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omments1.xml" ContentType="application/vnd.openxmlformats-officedocument.spreadsheetml.comments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35" yWindow="1590" windowWidth="19755" windowHeight="4245"/>
  </bookViews>
  <sheets>
    <sheet name="Control" sheetId="15" r:id="rId1"/>
    <sheet name="Resultados Intermedios" sheetId="47" r:id="rId2"/>
    <sheet name="Estructura del Modelo" sheetId="56" r:id="rId3"/>
    <sheet name="Conversiones" sheetId="94" r:id="rId4"/>
    <sheet name="Constantes" sheetId="45" r:id="rId5"/>
    <sheet name="Supuestos Globales" sheetId="3" r:id="rId6"/>
    <sheet name="D.a" sheetId="44" r:id="rId7"/>
    <sheet name="A.a" sheetId="53" r:id="rId8"/>
    <sheet name="I.a" sheetId="41" r:id="rId9"/>
    <sheet name="III.a" sheetId="34" r:id="rId10"/>
    <sheet name="III.b.1" sheetId="35" r:id="rId11"/>
    <sheet name="III.b.2" sheetId="36" r:id="rId12"/>
    <sheet name="III.b.3" sheetId="37" r:id="rId13"/>
    <sheet name="III.c" sheetId="38" r:id="rId14"/>
    <sheet name="III.d" sheetId="39" r:id="rId15"/>
    <sheet name="III.e" sheetId="40" r:id="rId16"/>
    <sheet name="IV.a" sheetId="57" r:id="rId17"/>
    <sheet name="V.a" sheetId="76" r:id="rId18"/>
    <sheet name="V.b" sheetId="77" r:id="rId19"/>
    <sheet name="X.a" sheetId="48" r:id="rId20"/>
    <sheet name="X.b" sheetId="49" r:id="rId21"/>
    <sheet name="XI.a" sheetId="50" r:id="rId22"/>
    <sheet name="XII.a" sheetId="51" r:id="rId23"/>
    <sheet name="XII.b" sheetId="52" r:id="rId24"/>
    <sheet name="XIV.a" sheetId="104" r:id="rId25"/>
    <sheet name="XV.b" sheetId="105" r:id="rId26"/>
    <sheet name="2015" sheetId="102" r:id="rId27"/>
    <sheet name="2020" sheetId="108" r:id="rId28"/>
    <sheet name="2025" sheetId="109" r:id="rId29"/>
    <sheet name="2030" sheetId="110" r:id="rId30"/>
    <sheet name="2035" sheetId="111" r:id="rId31"/>
    <sheet name="2040" sheetId="112" r:id="rId32"/>
    <sheet name="2045" sheetId="113" r:id="rId33"/>
    <sheet name="2050" sheetId="114" r:id="rId34"/>
    <sheet name="-&gt; otros Insumos" sheetId="12" r:id="rId35"/>
    <sheet name="Demanda 301216" sheetId="95" r:id="rId36"/>
    <sheet name="-&gt; Demanda 171016" sheetId="59" r:id="rId37"/>
    <sheet name="Residuos" sheetId="73" r:id="rId38"/>
    <sheet name="Sector Agropecuario" sheetId="75" r:id="rId39"/>
    <sheet name="Sector Forestal" sheetId="74" state="hidden" r:id="rId40"/>
    <sheet name="Listas" sheetId="71" r:id="rId41"/>
  </sheets>
  <externalReferences>
    <externalReference r:id="rId42"/>
    <externalReference r:id="rId43"/>
    <externalReference r:id="rId44"/>
  </externalReference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7</definedName>
    <definedName name="_AtRisk_SimSetting_ReportsList" hidden="1">1832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ano.balanceneto" localSheetId="26">'2015'!$G$105:$BR$105</definedName>
    <definedName name="ano.balanceneto" localSheetId="27">'2020'!$G$115:$BR$115</definedName>
    <definedName name="ano.balanceneto" localSheetId="28">'2025'!$G$115:$BR$115</definedName>
    <definedName name="ano.balanceneto" localSheetId="29">'2030'!$G$115:$BR$115</definedName>
    <definedName name="ano.balanceneto" localSheetId="30">'2035'!$G$115:$BR$115</definedName>
    <definedName name="ano.balanceneto" localSheetId="31">'2040'!$G$115:$BR$115</definedName>
    <definedName name="ano.balanceneto" localSheetId="32">'2045'!$G$115:$BR$115</definedName>
    <definedName name="ano.balanceneto" localSheetId="33">'2050'!$G$115:$BR$115</definedName>
    <definedName name="ano.vector" localSheetId="26">'2015'!$G$5:$BP$5</definedName>
    <definedName name="ano.vector" localSheetId="27">'2020'!$G$5:$BP$5</definedName>
    <definedName name="ano.vector" localSheetId="28">'2025'!$G$5:$BP$5</definedName>
    <definedName name="ano.vector" localSheetId="29">'2030'!$G$5:$BP$5</definedName>
    <definedName name="ano.vector" localSheetId="30">'2035'!$G$5:$BP$5</definedName>
    <definedName name="ano.vector" localSheetId="31">'2040'!$G$5:$BP$5</definedName>
    <definedName name="ano.vector" localSheetId="32">'2045'!$G$5:$BP$5</definedName>
    <definedName name="ano.vector" localSheetId="33">'2050'!$G$5:$BP$5</definedName>
    <definedName name="Cost.FinanceCostTable" localSheetId="5">'Supuestos Globales'!$B$146:$G$196</definedName>
    <definedName name="discount_factors" localSheetId="5">'Supuestos Globales'!$D$138:$I$138</definedName>
    <definedName name="Discount_rate" localSheetId="5">'Supuestos Globales'!$C$137</definedName>
    <definedName name="Global.UKIncidentSolarEnergy">'Supuestos Globales'!$D$130</definedName>
    <definedName name="Global.UKIncidentSolarEnergy_SouthFacing">'Supuestos Globales'!$D$131</definedName>
    <definedName name="HTML1_1" hidden="1">"'[Syb96.xls]ESI in South Africa'!$A$2:$C$22"</definedName>
    <definedName name="HTML1_11" hidden="1">1</definedName>
    <definedName name="HTML1_12" hidden="1">"C:\NER\ESIFlow.htm"</definedName>
    <definedName name="HTML1_2" hidden="1">-4146</definedName>
    <definedName name="HTML1_3" hidden="1">"C:\NER\Elec\Temp.htm"</definedName>
    <definedName name="HTMLCount" hidden="1">1</definedName>
    <definedName name="Pal_Workbook_GUID" hidden="1">"JGWG76XASHMY4J7EVNW4KA69"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5000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this.Year" localSheetId="26">'2015'!$E$2</definedName>
    <definedName name="this.Year" localSheetId="27">'2020'!$E$2</definedName>
    <definedName name="this.Year" localSheetId="28">'2025'!$E$2</definedName>
    <definedName name="this.Year" localSheetId="29">'2030'!$E$2</definedName>
    <definedName name="this.Year" localSheetId="30">'2035'!$E$2</definedName>
    <definedName name="this.Year" localSheetId="31">'2040'!$E$2</definedName>
    <definedName name="this.Year" localSheetId="32">'2045'!$E$2</definedName>
    <definedName name="this.Year" localSheetId="33">'2050'!$E$2</definedName>
    <definedName name="XLSIMSI" localSheetId="37" hidden="1">{"Sim",3,"Output 1","'Reworked data'!$AI$84","Output 2","'Reworked data'!$AJ$84","Output 3","'Reworked data'!$AK$84","1","2","100","0"}</definedName>
    <definedName name="XLSIMSI" localSheetId="38" hidden="1">{"Sim",3,"Output 1","'Reworked data'!$AI$84","Output 2","'Reworked data'!$AJ$84","Output 3","'Reworked data'!$AK$84","1","2","100","0"}</definedName>
    <definedName name="XLSIMSI" localSheetId="39" hidden="1">{"Sim",3,"Output 1","'Reworked data'!$AI$84","Output 2","'Reworked data'!$AJ$84","Output 3","'Reworked data'!$AK$84","1","2","100","0"}</definedName>
    <definedName name="XLSIMSI" hidden="1">{"Sim",3,"Output 1","'Reworked data'!$AI$84","Output 2","'Reworked data'!$AJ$84","Output 3","'Reworked data'!$AK$84","1","2","100","0"}</definedName>
    <definedName name="XLSIMSIM" localSheetId="37" hidden="1">{"Sim",3,"Output 1","'Reworked data'!$AI$84","Output 2","'Reworked data'!$AJ$84","Output 3","'Reworked data'!$AK$84","1","2","100","0"}</definedName>
    <definedName name="XLSIMSIM" localSheetId="38" hidden="1">{"Sim",3,"Output 1","'Reworked data'!$AI$84","Output 2","'Reworked data'!$AJ$84","Output 3","'Reworked data'!$AK$84","1","2","100","0"}</definedName>
    <definedName name="XLSIMSIM" localSheetId="39" hidden="1">{"Sim",3,"Output 1","'Reworked data'!$AI$84","Output 2","'Reworked data'!$AJ$84","Output 3","'Reworked data'!$AK$84","1","2","100","0"}</definedName>
    <definedName name="XLSIMSIM" hidden="1">{"Sim",3,"Output 1","'Reworked data'!$AI$84","Output 2","'Reworked data'!$AJ$84","Output 3","'Reworked data'!$AK$84","1","2","100","0"}</definedName>
  </definedNames>
  <calcPr calcId="145621"/>
</workbook>
</file>

<file path=xl/calcChain.xml><?xml version="1.0" encoding="utf-8"?>
<calcChain xmlns="http://schemas.openxmlformats.org/spreadsheetml/2006/main">
  <c r="I72" i="51" l="1"/>
  <c r="J72" i="51"/>
  <c r="K72" i="51"/>
  <c r="L72" i="51"/>
  <c r="M72" i="51"/>
  <c r="H72" i="51"/>
  <c r="H65" i="51" s="1"/>
  <c r="I65" i="51"/>
  <c r="J65" i="51"/>
  <c r="K65" i="51"/>
  <c r="L65" i="51"/>
  <c r="M65" i="51"/>
  <c r="M57" i="51"/>
  <c r="G57" i="51"/>
  <c r="H57" i="51"/>
  <c r="I57" i="51"/>
  <c r="J57" i="51"/>
  <c r="K57" i="51"/>
  <c r="L57" i="51"/>
  <c r="G73" i="51"/>
  <c r="H73" i="51"/>
  <c r="I73" i="51"/>
  <c r="J73" i="51"/>
  <c r="K73" i="51"/>
  <c r="L73" i="51"/>
  <c r="M73" i="51"/>
  <c r="H36" i="40" l="1"/>
  <c r="M36" i="40"/>
  <c r="E9" i="51" l="1"/>
  <c r="D126" i="47" l="1"/>
  <c r="D127" i="47"/>
  <c r="E12" i="51" l="1"/>
  <c r="D125" i="47" l="1"/>
  <c r="G27" i="41"/>
  <c r="H27" i="41" s="1"/>
  <c r="I27" i="41" s="1"/>
  <c r="J27" i="41" s="1"/>
  <c r="K27" i="41" s="1"/>
  <c r="L27" i="41" s="1"/>
  <c r="M27" i="41" s="1"/>
  <c r="N500" i="41" l="1"/>
  <c r="G78" i="39" l="1"/>
  <c r="E6" i="53" l="1"/>
  <c r="J29" i="53" s="1"/>
  <c r="N29" i="53" l="1"/>
  <c r="I29" i="53"/>
  <c r="H29" i="53"/>
  <c r="G29" i="53"/>
  <c r="M29" i="53"/>
  <c r="L29" i="53"/>
  <c r="K29" i="53"/>
  <c r="H26" i="56"/>
  <c r="D202" i="47" l="1"/>
  <c r="P44" i="47" l="1"/>
  <c r="G89" i="102" l="1"/>
  <c r="H89" i="102"/>
  <c r="I89" i="102"/>
  <c r="J89" i="102"/>
  <c r="K89" i="102"/>
  <c r="L89" i="102"/>
  <c r="M89" i="102"/>
  <c r="N89" i="102"/>
  <c r="O89" i="102"/>
  <c r="P89" i="102"/>
  <c r="Q89" i="102"/>
  <c r="R89" i="102"/>
  <c r="S89" i="102"/>
  <c r="T89" i="102"/>
  <c r="U89" i="102"/>
  <c r="V89" i="102"/>
  <c r="W89" i="102"/>
  <c r="X89" i="102"/>
  <c r="AR89" i="102"/>
  <c r="BM89" i="102"/>
  <c r="BR57" i="102"/>
  <c r="BR56" i="102"/>
  <c r="E13" i="48"/>
  <c r="E8" i="48"/>
  <c r="E8" i="49"/>
  <c r="E9" i="50" l="1"/>
  <c r="F251" i="52"/>
  <c r="F252" i="52"/>
  <c r="G251" i="52"/>
  <c r="H251" i="52"/>
  <c r="I251" i="52"/>
  <c r="J251" i="52"/>
  <c r="K251" i="52"/>
  <c r="L251" i="52"/>
  <c r="M251" i="52"/>
  <c r="G252" i="52"/>
  <c r="H252" i="52"/>
  <c r="I252" i="52"/>
  <c r="J252" i="52"/>
  <c r="K252" i="52"/>
  <c r="L252" i="52"/>
  <c r="M252" i="52"/>
  <c r="E8" i="76" l="1"/>
  <c r="E9" i="76"/>
  <c r="E7" i="76"/>
  <c r="K147" i="41" l="1"/>
  <c r="J147" i="41"/>
  <c r="J148" i="41" s="1"/>
  <c r="G147" i="41"/>
  <c r="H148" i="41" s="1"/>
  <c r="E147" i="41"/>
  <c r="E148" i="41" s="1"/>
  <c r="E197" i="41" s="1"/>
  <c r="G148" i="41" l="1"/>
  <c r="K148" i="41"/>
  <c r="E8" i="50" l="1"/>
  <c r="G408" i="50" s="1"/>
  <c r="E10" i="51" l="1"/>
  <c r="E8" i="51" l="1"/>
  <c r="D42" i="47" l="1"/>
  <c r="D43" i="47"/>
  <c r="H105" i="51" l="1"/>
  <c r="I105" i="51"/>
  <c r="J105" i="51"/>
  <c r="K105" i="51"/>
  <c r="L105" i="51"/>
  <c r="M105" i="51"/>
  <c r="H106" i="51"/>
  <c r="I106" i="51"/>
  <c r="J106" i="51"/>
  <c r="K106" i="51"/>
  <c r="L106" i="51"/>
  <c r="M106" i="51"/>
  <c r="G106" i="51"/>
  <c r="G105" i="51"/>
  <c r="H104" i="51"/>
  <c r="I104" i="51"/>
  <c r="J104" i="51"/>
  <c r="K104" i="51"/>
  <c r="L104" i="51"/>
  <c r="M104" i="51"/>
  <c r="G104" i="51"/>
  <c r="G107" i="51"/>
  <c r="H107" i="51"/>
  <c r="I107" i="51"/>
  <c r="J107" i="51"/>
  <c r="K107" i="51"/>
  <c r="L107" i="51"/>
  <c r="F295" i="51"/>
  <c r="F294" i="51"/>
  <c r="E10" i="48" l="1"/>
  <c r="E12" i="48"/>
  <c r="H38" i="40" l="1"/>
  <c r="I36" i="40"/>
  <c r="I38" i="40" s="1"/>
  <c r="J36" i="40"/>
  <c r="J38" i="40" s="1"/>
  <c r="K36" i="40"/>
  <c r="K38" i="40" s="1"/>
  <c r="L36" i="40"/>
  <c r="L38" i="40" s="1"/>
  <c r="M38" i="40"/>
  <c r="G120" i="41"/>
  <c r="H120" i="41" s="1"/>
  <c r="I120" i="41" s="1"/>
  <c r="J120" i="41" s="1"/>
  <c r="K120" i="41" s="1"/>
  <c r="L120" i="41" s="1"/>
  <c r="M120" i="41" s="1"/>
  <c r="G112" i="41"/>
  <c r="H112" i="41" s="1"/>
  <c r="I112" i="41" s="1"/>
  <c r="J112" i="41" s="1"/>
  <c r="K112" i="41" s="1"/>
  <c r="L112" i="41" s="1"/>
  <c r="M112" i="41" s="1"/>
  <c r="G32" i="34"/>
  <c r="H32" i="34" s="1"/>
  <c r="I32" i="34" s="1"/>
  <c r="J32" i="34" s="1"/>
  <c r="K32" i="34" s="1"/>
  <c r="L32" i="34" s="1"/>
  <c r="M32" i="34" s="1"/>
  <c r="G33" i="37"/>
  <c r="H33" i="37" s="1"/>
  <c r="I33" i="37" s="1"/>
  <c r="J33" i="37" s="1"/>
  <c r="K33" i="37" s="1"/>
  <c r="L33" i="37" s="1"/>
  <c r="M33" i="37" s="1"/>
  <c r="D128" i="47"/>
  <c r="F109" i="50" l="1"/>
  <c r="F111" i="50" s="1"/>
  <c r="F107" i="50"/>
  <c r="F106" i="50"/>
  <c r="F105" i="50"/>
  <c r="F101" i="50"/>
  <c r="F103" i="50" s="1"/>
  <c r="F97" i="50"/>
  <c r="F98" i="50" s="1"/>
  <c r="F99" i="50" s="1"/>
  <c r="F102" i="50" l="1"/>
  <c r="F110" i="50"/>
  <c r="D106" i="114"/>
  <c r="W92" i="114"/>
  <c r="V92" i="114"/>
  <c r="U92" i="114"/>
  <c r="T92" i="114"/>
  <c r="S92" i="114"/>
  <c r="R92" i="114"/>
  <c r="Q92" i="114"/>
  <c r="P92" i="114"/>
  <c r="O92" i="114"/>
  <c r="N92" i="114"/>
  <c r="M92" i="114"/>
  <c r="L92" i="114"/>
  <c r="K92" i="114"/>
  <c r="J92" i="114"/>
  <c r="I92" i="114"/>
  <c r="H92" i="114"/>
  <c r="G92" i="114"/>
  <c r="F92" i="114"/>
  <c r="BR89" i="114"/>
  <c r="BR88" i="114"/>
  <c r="BR87" i="114"/>
  <c r="BR86" i="114"/>
  <c r="BR85" i="114"/>
  <c r="BR84" i="114"/>
  <c r="D82" i="114"/>
  <c r="D80" i="114"/>
  <c r="D79" i="114"/>
  <c r="D78" i="114"/>
  <c r="D76" i="114"/>
  <c r="BR75" i="114"/>
  <c r="D73" i="114"/>
  <c r="BR72" i="114"/>
  <c r="D70" i="114"/>
  <c r="D68" i="114"/>
  <c r="D67" i="114"/>
  <c r="D66" i="114"/>
  <c r="D65" i="114"/>
  <c r="D64" i="114"/>
  <c r="D63" i="114"/>
  <c r="D62" i="114"/>
  <c r="BR61" i="114"/>
  <c r="BR58" i="114"/>
  <c r="D57" i="114"/>
  <c r="BR56" i="114"/>
  <c r="D54" i="114"/>
  <c r="BR53" i="114"/>
  <c r="D52" i="114"/>
  <c r="BR51" i="114"/>
  <c r="BR50" i="114"/>
  <c r="BR47" i="114"/>
  <c r="BR46" i="114"/>
  <c r="BR45" i="114"/>
  <c r="BR44" i="114"/>
  <c r="BR43" i="114"/>
  <c r="BR42" i="114"/>
  <c r="BR41" i="114"/>
  <c r="BR40" i="114"/>
  <c r="BR39" i="114"/>
  <c r="W33" i="114"/>
  <c r="BR33" i="114" s="1"/>
  <c r="W32" i="114"/>
  <c r="BR32" i="114" s="1"/>
  <c r="W30" i="114"/>
  <c r="BR30" i="114" s="1"/>
  <c r="W29" i="114"/>
  <c r="BR29" i="114" s="1"/>
  <c r="BK27" i="114"/>
  <c r="BJ27" i="114"/>
  <c r="BI27" i="114"/>
  <c r="BH27" i="114"/>
  <c r="BG27" i="114"/>
  <c r="BF27" i="114"/>
  <c r="BE27" i="114"/>
  <c r="BD27" i="114"/>
  <c r="BC27" i="114"/>
  <c r="BB27" i="114"/>
  <c r="BA27" i="114"/>
  <c r="AZ27" i="114"/>
  <c r="AY27" i="114"/>
  <c r="AX27" i="114"/>
  <c r="AW27" i="114"/>
  <c r="AV27" i="114"/>
  <c r="AU27" i="114"/>
  <c r="AT27" i="114"/>
  <c r="AS27" i="114"/>
  <c r="L27" i="114"/>
  <c r="K27" i="114"/>
  <c r="J27" i="114"/>
  <c r="I27" i="114"/>
  <c r="H27" i="114"/>
  <c r="D27" i="114"/>
  <c r="AQ26" i="114"/>
  <c r="W26" i="114"/>
  <c r="AQ25" i="114"/>
  <c r="W25" i="114"/>
  <c r="BK24" i="114"/>
  <c r="BJ24" i="114"/>
  <c r="BI24" i="114"/>
  <c r="BH24" i="114"/>
  <c r="BG24" i="114"/>
  <c r="BF24" i="114"/>
  <c r="BE24" i="114"/>
  <c r="BD24" i="114"/>
  <c r="BC24" i="114"/>
  <c r="BB24" i="114"/>
  <c r="BA24" i="114"/>
  <c r="AZ24" i="114"/>
  <c r="AY24" i="114"/>
  <c r="AX24" i="114"/>
  <c r="AW24" i="114"/>
  <c r="AV24" i="114"/>
  <c r="AU24" i="114"/>
  <c r="AT24" i="114"/>
  <c r="AS24" i="114"/>
  <c r="D24" i="114"/>
  <c r="AQ23" i="114"/>
  <c r="W23" i="114"/>
  <c r="AQ22" i="114"/>
  <c r="W22" i="114"/>
  <c r="BK21" i="114"/>
  <c r="BJ21" i="114"/>
  <c r="BI21" i="114"/>
  <c r="BH21" i="114"/>
  <c r="BG21" i="114"/>
  <c r="BF21" i="114"/>
  <c r="BE21" i="114"/>
  <c r="BD21" i="114"/>
  <c r="BC21" i="114"/>
  <c r="BB21" i="114"/>
  <c r="BA21" i="114"/>
  <c r="AZ21" i="114"/>
  <c r="AY21" i="114"/>
  <c r="AX21" i="114"/>
  <c r="AW21" i="114"/>
  <c r="AV21" i="114"/>
  <c r="AU21" i="114"/>
  <c r="AT21" i="114"/>
  <c r="AS21" i="114"/>
  <c r="D21" i="114"/>
  <c r="BM19" i="114"/>
  <c r="L19" i="114"/>
  <c r="K19" i="114"/>
  <c r="J19" i="114"/>
  <c r="I19" i="114"/>
  <c r="H19" i="114"/>
  <c r="D19" i="114"/>
  <c r="D18" i="114"/>
  <c r="AQ17" i="114"/>
  <c r="W17" i="114"/>
  <c r="D15" i="114"/>
  <c r="BR14" i="114"/>
  <c r="BR13" i="114"/>
  <c r="D12" i="114"/>
  <c r="BR11" i="114"/>
  <c r="BR10" i="114"/>
  <c r="D9" i="114"/>
  <c r="BR8" i="114"/>
  <c r="BR7" i="114"/>
  <c r="BO4" i="114"/>
  <c r="BN4" i="114"/>
  <c r="BK4" i="114"/>
  <c r="BJ4" i="114"/>
  <c r="BI4" i="114"/>
  <c r="BH4" i="114"/>
  <c r="BG4" i="114"/>
  <c r="BF4" i="114"/>
  <c r="BE4" i="114"/>
  <c r="BD4" i="114"/>
  <c r="BC4" i="114"/>
  <c r="BB4" i="114"/>
  <c r="BA4" i="114"/>
  <c r="AZ4" i="114"/>
  <c r="AY4" i="114"/>
  <c r="AX4" i="114"/>
  <c r="AW4" i="114"/>
  <c r="AV4" i="114"/>
  <c r="AU4" i="114"/>
  <c r="AT4" i="114"/>
  <c r="AS4" i="114"/>
  <c r="AP4" i="114"/>
  <c r="AO4" i="114"/>
  <c r="AN4" i="114"/>
  <c r="AM4" i="114"/>
  <c r="AL4" i="114"/>
  <c r="AK4" i="114"/>
  <c r="AJ4" i="114"/>
  <c r="AI4" i="114"/>
  <c r="AH4" i="114"/>
  <c r="AG4" i="114"/>
  <c r="AF4" i="114"/>
  <c r="AE4" i="114"/>
  <c r="AD4" i="114"/>
  <c r="AC4" i="114"/>
  <c r="AB4" i="114"/>
  <c r="AA4" i="114"/>
  <c r="Z4" i="114"/>
  <c r="Y4" i="114"/>
  <c r="V4" i="114"/>
  <c r="U4" i="114"/>
  <c r="T4" i="114"/>
  <c r="S4" i="114"/>
  <c r="R4" i="114"/>
  <c r="Q4" i="114"/>
  <c r="P4" i="114"/>
  <c r="O4" i="114"/>
  <c r="N4" i="114"/>
  <c r="M4" i="114"/>
  <c r="L4" i="114"/>
  <c r="K4" i="114"/>
  <c r="J4" i="114"/>
  <c r="I4" i="114"/>
  <c r="H4" i="114"/>
  <c r="G4" i="114"/>
  <c r="D106" i="113"/>
  <c r="W92" i="113"/>
  <c r="V92" i="113"/>
  <c r="U92" i="113"/>
  <c r="T92" i="113"/>
  <c r="S92" i="113"/>
  <c r="R92" i="113"/>
  <c r="Q92" i="113"/>
  <c r="P92" i="113"/>
  <c r="O92" i="113"/>
  <c r="N92" i="113"/>
  <c r="M92" i="113"/>
  <c r="L92" i="113"/>
  <c r="K92" i="113"/>
  <c r="J92" i="113"/>
  <c r="I92" i="113"/>
  <c r="H92" i="113"/>
  <c r="G92" i="113"/>
  <c r="F92" i="113"/>
  <c r="BR89" i="113"/>
  <c r="BR88" i="113"/>
  <c r="BR87" i="113"/>
  <c r="BR86" i="113"/>
  <c r="BR85" i="113"/>
  <c r="BR84" i="113"/>
  <c r="D82" i="113"/>
  <c r="D80" i="113"/>
  <c r="D79" i="113"/>
  <c r="D78" i="113"/>
  <c r="D76" i="113"/>
  <c r="BR75" i="113"/>
  <c r="D73" i="113"/>
  <c r="BR72" i="113"/>
  <c r="D70" i="113"/>
  <c r="D68" i="113"/>
  <c r="D67" i="113"/>
  <c r="D66" i="113"/>
  <c r="D65" i="113"/>
  <c r="D64" i="113"/>
  <c r="D63" i="113"/>
  <c r="D62" i="113"/>
  <c r="BR61" i="113"/>
  <c r="BR58" i="113"/>
  <c r="D57" i="113"/>
  <c r="BR56" i="113"/>
  <c r="D54" i="113"/>
  <c r="BR53" i="113"/>
  <c r="D52" i="113"/>
  <c r="BR51" i="113"/>
  <c r="BR50" i="113"/>
  <c r="BR47" i="113"/>
  <c r="BR46" i="113"/>
  <c r="BR45" i="113"/>
  <c r="BR44" i="113"/>
  <c r="BR43" i="113"/>
  <c r="BR42" i="113"/>
  <c r="BR41" i="113"/>
  <c r="BR40" i="113"/>
  <c r="BR39" i="113"/>
  <c r="W33" i="113"/>
  <c r="BR33" i="113" s="1"/>
  <c r="W32" i="113"/>
  <c r="BR32" i="113" s="1"/>
  <c r="W30" i="113"/>
  <c r="BR30" i="113" s="1"/>
  <c r="W29" i="113"/>
  <c r="BR29" i="113" s="1"/>
  <c r="BK27" i="113"/>
  <c r="BJ27" i="113"/>
  <c r="BI27" i="113"/>
  <c r="BH27" i="113"/>
  <c r="BG27" i="113"/>
  <c r="BF27" i="113"/>
  <c r="BE27" i="113"/>
  <c r="BD27" i="113"/>
  <c r="BC27" i="113"/>
  <c r="BB27" i="113"/>
  <c r="BA27" i="113"/>
  <c r="AZ27" i="113"/>
  <c r="AY27" i="113"/>
  <c r="AX27" i="113"/>
  <c r="AW27" i="113"/>
  <c r="AV27" i="113"/>
  <c r="AU27" i="113"/>
  <c r="AT27" i="113"/>
  <c r="AS27" i="113"/>
  <c r="L27" i="113"/>
  <c r="K27" i="113"/>
  <c r="J27" i="113"/>
  <c r="I27" i="113"/>
  <c r="H27" i="113"/>
  <c r="D27" i="113"/>
  <c r="AQ26" i="113"/>
  <c r="W26" i="113"/>
  <c r="AQ25" i="113"/>
  <c r="W25" i="113"/>
  <c r="BK24" i="113"/>
  <c r="BJ24" i="113"/>
  <c r="BI24" i="113"/>
  <c r="BH24" i="113"/>
  <c r="BG24" i="113"/>
  <c r="BF24" i="113"/>
  <c r="BE24" i="113"/>
  <c r="BD24" i="113"/>
  <c r="BC24" i="113"/>
  <c r="BB24" i="113"/>
  <c r="BA24" i="113"/>
  <c r="AZ24" i="113"/>
  <c r="AY24" i="113"/>
  <c r="AX24" i="113"/>
  <c r="AW24" i="113"/>
  <c r="AV24" i="113"/>
  <c r="AU24" i="113"/>
  <c r="AT24" i="113"/>
  <c r="AS24" i="113"/>
  <c r="D24" i="113"/>
  <c r="AQ23" i="113"/>
  <c r="W23" i="113"/>
  <c r="AQ22" i="113"/>
  <c r="W22" i="113"/>
  <c r="BK21" i="113"/>
  <c r="BJ21" i="113"/>
  <c r="BI21" i="113"/>
  <c r="BH21" i="113"/>
  <c r="BG21" i="113"/>
  <c r="BF21" i="113"/>
  <c r="BE21" i="113"/>
  <c r="BD21" i="113"/>
  <c r="BC21" i="113"/>
  <c r="BB21" i="113"/>
  <c r="BA21" i="113"/>
  <c r="AZ21" i="113"/>
  <c r="AY21" i="113"/>
  <c r="AX21" i="113"/>
  <c r="AW21" i="113"/>
  <c r="AV21" i="113"/>
  <c r="AU21" i="113"/>
  <c r="AT21" i="113"/>
  <c r="AS21" i="113"/>
  <c r="D21" i="113"/>
  <c r="BM19" i="113"/>
  <c r="L19" i="113"/>
  <c r="K19" i="113"/>
  <c r="J19" i="113"/>
  <c r="I19" i="113"/>
  <c r="H19" i="113"/>
  <c r="D19" i="113"/>
  <c r="D18" i="113"/>
  <c r="AQ17" i="113"/>
  <c r="W17" i="113"/>
  <c r="D15" i="113"/>
  <c r="BR14" i="113"/>
  <c r="BR13" i="113"/>
  <c r="D12" i="113"/>
  <c r="BR11" i="113"/>
  <c r="BR10" i="113"/>
  <c r="D9" i="113"/>
  <c r="BR8" i="113"/>
  <c r="BR7" i="113"/>
  <c r="BO4" i="113"/>
  <c r="BN4" i="113"/>
  <c r="BK4" i="113"/>
  <c r="BJ4" i="113"/>
  <c r="BI4" i="113"/>
  <c r="BH4" i="113"/>
  <c r="BG4" i="113"/>
  <c r="BF4" i="113"/>
  <c r="BE4" i="113"/>
  <c r="BD4" i="113"/>
  <c r="BC4" i="113"/>
  <c r="BB4" i="113"/>
  <c r="BA4" i="113"/>
  <c r="AZ4" i="113"/>
  <c r="AY4" i="113"/>
  <c r="AX4" i="113"/>
  <c r="AW4" i="113"/>
  <c r="AV4" i="113"/>
  <c r="AU4" i="113"/>
  <c r="AT4" i="113"/>
  <c r="AS4" i="113"/>
  <c r="AP4" i="113"/>
  <c r="AO4" i="113"/>
  <c r="AN4" i="113"/>
  <c r="AM4" i="113"/>
  <c r="AL4" i="113"/>
  <c r="AK4" i="113"/>
  <c r="AJ4" i="113"/>
  <c r="AI4" i="113"/>
  <c r="AH4" i="113"/>
  <c r="AG4" i="113"/>
  <c r="AF4" i="113"/>
  <c r="AE4" i="113"/>
  <c r="AD4" i="113"/>
  <c r="AC4" i="113"/>
  <c r="AB4" i="113"/>
  <c r="AA4" i="113"/>
  <c r="Z4" i="113"/>
  <c r="Y4" i="113"/>
  <c r="V4" i="113"/>
  <c r="U4" i="113"/>
  <c r="T4" i="113"/>
  <c r="S4" i="113"/>
  <c r="R4" i="113"/>
  <c r="Q4" i="113"/>
  <c r="P4" i="113"/>
  <c r="O4" i="113"/>
  <c r="N4" i="113"/>
  <c r="M4" i="113"/>
  <c r="L4" i="113"/>
  <c r="K4" i="113"/>
  <c r="J4" i="113"/>
  <c r="I4" i="113"/>
  <c r="H4" i="113"/>
  <c r="G4" i="113"/>
  <c r="D106" i="112"/>
  <c r="W92" i="112"/>
  <c r="V92" i="112"/>
  <c r="U92" i="112"/>
  <c r="T92" i="112"/>
  <c r="S92" i="112"/>
  <c r="R92" i="112"/>
  <c r="Q92" i="112"/>
  <c r="P92" i="112"/>
  <c r="O92" i="112"/>
  <c r="N92" i="112"/>
  <c r="M92" i="112"/>
  <c r="L92" i="112"/>
  <c r="K92" i="112"/>
  <c r="J92" i="112"/>
  <c r="I92" i="112"/>
  <c r="H92" i="112"/>
  <c r="G92" i="112"/>
  <c r="F92" i="112"/>
  <c r="BR89" i="112"/>
  <c r="BR88" i="112"/>
  <c r="BR87" i="112"/>
  <c r="BR86" i="112"/>
  <c r="BR85" i="112"/>
  <c r="BR84" i="112"/>
  <c r="D82" i="112"/>
  <c r="D80" i="112"/>
  <c r="D79" i="112"/>
  <c r="D78" i="112"/>
  <c r="D76" i="112"/>
  <c r="BR75" i="112"/>
  <c r="D73" i="112"/>
  <c r="BR72" i="112"/>
  <c r="D70" i="112"/>
  <c r="D68" i="112"/>
  <c r="D67" i="112"/>
  <c r="D66" i="112"/>
  <c r="D65" i="112"/>
  <c r="D64" i="112"/>
  <c r="D63" i="112"/>
  <c r="D62" i="112"/>
  <c r="BR61" i="112"/>
  <c r="BR58" i="112"/>
  <c r="D57" i="112"/>
  <c r="BR56" i="112"/>
  <c r="D54" i="112"/>
  <c r="BR53" i="112"/>
  <c r="D52" i="112"/>
  <c r="BR51" i="112"/>
  <c r="BR50" i="112"/>
  <c r="BR47" i="112"/>
  <c r="BR46" i="112"/>
  <c r="BR45" i="112"/>
  <c r="BR44" i="112"/>
  <c r="BR43" i="112"/>
  <c r="BR42" i="112"/>
  <c r="BR41" i="112"/>
  <c r="BR40" i="112"/>
  <c r="BR39" i="112"/>
  <c r="W33" i="112"/>
  <c r="BR33" i="112" s="1"/>
  <c r="W32" i="112"/>
  <c r="BR32" i="112" s="1"/>
  <c r="W30" i="112"/>
  <c r="BR30" i="112" s="1"/>
  <c r="W29" i="112"/>
  <c r="BR29" i="112" s="1"/>
  <c r="BK27" i="112"/>
  <c r="BJ27" i="112"/>
  <c r="BI27" i="112"/>
  <c r="BH27" i="112"/>
  <c r="BG27" i="112"/>
  <c r="BF27" i="112"/>
  <c r="BE27" i="112"/>
  <c r="BD27" i="112"/>
  <c r="BC27" i="112"/>
  <c r="BB27" i="112"/>
  <c r="BA27" i="112"/>
  <c r="AZ27" i="112"/>
  <c r="AY27" i="112"/>
  <c r="AX27" i="112"/>
  <c r="AW27" i="112"/>
  <c r="AV27" i="112"/>
  <c r="AU27" i="112"/>
  <c r="AT27" i="112"/>
  <c r="AS27" i="112"/>
  <c r="L27" i="112"/>
  <c r="K27" i="112"/>
  <c r="J27" i="112"/>
  <c r="I27" i="112"/>
  <c r="H27" i="112"/>
  <c r="D27" i="112"/>
  <c r="AQ26" i="112"/>
  <c r="W26" i="112"/>
  <c r="AQ25" i="112"/>
  <c r="W25" i="112"/>
  <c r="BK24" i="112"/>
  <c r="BJ24" i="112"/>
  <c r="BI24" i="112"/>
  <c r="BH24" i="112"/>
  <c r="BG24" i="112"/>
  <c r="BF24" i="112"/>
  <c r="BE24" i="112"/>
  <c r="BD24" i="112"/>
  <c r="BC24" i="112"/>
  <c r="BB24" i="112"/>
  <c r="BA24" i="112"/>
  <c r="AZ24" i="112"/>
  <c r="AY24" i="112"/>
  <c r="AX24" i="112"/>
  <c r="AW24" i="112"/>
  <c r="AV24" i="112"/>
  <c r="AU24" i="112"/>
  <c r="AT24" i="112"/>
  <c r="AS24" i="112"/>
  <c r="D24" i="112"/>
  <c r="AQ23" i="112"/>
  <c r="W23" i="112"/>
  <c r="AQ22" i="112"/>
  <c r="W22" i="112"/>
  <c r="BK21" i="112"/>
  <c r="BJ21" i="112"/>
  <c r="BI21" i="112"/>
  <c r="BH21" i="112"/>
  <c r="BG21" i="112"/>
  <c r="BF21" i="112"/>
  <c r="BE21" i="112"/>
  <c r="BD21" i="112"/>
  <c r="BC21" i="112"/>
  <c r="BB21" i="112"/>
  <c r="BA21" i="112"/>
  <c r="AZ21" i="112"/>
  <c r="AY21" i="112"/>
  <c r="AX21" i="112"/>
  <c r="AW21" i="112"/>
  <c r="AV21" i="112"/>
  <c r="AU21" i="112"/>
  <c r="AT21" i="112"/>
  <c r="AS21" i="112"/>
  <c r="D21" i="112"/>
  <c r="BM19" i="112"/>
  <c r="L19" i="112"/>
  <c r="K19" i="112"/>
  <c r="J19" i="112"/>
  <c r="I19" i="112"/>
  <c r="H19" i="112"/>
  <c r="D19" i="112"/>
  <c r="D18" i="112"/>
  <c r="AQ17" i="112"/>
  <c r="W17" i="112"/>
  <c r="D15" i="112"/>
  <c r="BR14" i="112"/>
  <c r="BR13" i="112"/>
  <c r="D12" i="112"/>
  <c r="BR11" i="112"/>
  <c r="BR10" i="112"/>
  <c r="D9" i="112"/>
  <c r="BR8" i="112"/>
  <c r="BR7" i="112"/>
  <c r="BO4" i="112"/>
  <c r="BN4" i="112"/>
  <c r="BK4" i="112"/>
  <c r="BJ4" i="112"/>
  <c r="BI4" i="112"/>
  <c r="BH4" i="112"/>
  <c r="BG4" i="112"/>
  <c r="BF4" i="112"/>
  <c r="BE4" i="112"/>
  <c r="BD4" i="112"/>
  <c r="BC4" i="112"/>
  <c r="BB4" i="112"/>
  <c r="BA4" i="112"/>
  <c r="AZ4" i="112"/>
  <c r="AY4" i="112"/>
  <c r="AX4" i="112"/>
  <c r="AW4" i="112"/>
  <c r="AV4" i="112"/>
  <c r="AU4" i="112"/>
  <c r="AT4" i="112"/>
  <c r="AS4" i="112"/>
  <c r="AP4" i="112"/>
  <c r="AO4" i="112"/>
  <c r="AN4" i="112"/>
  <c r="AM4" i="112"/>
  <c r="AL4" i="112"/>
  <c r="AK4" i="112"/>
  <c r="AJ4" i="112"/>
  <c r="AI4" i="112"/>
  <c r="AH4" i="112"/>
  <c r="AG4" i="112"/>
  <c r="AF4" i="112"/>
  <c r="AE4" i="112"/>
  <c r="AD4" i="112"/>
  <c r="AC4" i="112"/>
  <c r="AB4" i="112"/>
  <c r="AA4" i="112"/>
  <c r="Z4" i="112"/>
  <c r="Y4" i="112"/>
  <c r="V4" i="112"/>
  <c r="U4" i="112"/>
  <c r="T4" i="112"/>
  <c r="S4" i="112"/>
  <c r="R4" i="112"/>
  <c r="Q4" i="112"/>
  <c r="P4" i="112"/>
  <c r="O4" i="112"/>
  <c r="N4" i="112"/>
  <c r="M4" i="112"/>
  <c r="L4" i="112"/>
  <c r="K4" i="112"/>
  <c r="J4" i="112"/>
  <c r="I4" i="112"/>
  <c r="H4" i="112"/>
  <c r="G4" i="112"/>
  <c r="D106" i="111"/>
  <c r="W92" i="111"/>
  <c r="V92" i="111"/>
  <c r="U92" i="111"/>
  <c r="T92" i="111"/>
  <c r="S92" i="111"/>
  <c r="R92" i="111"/>
  <c r="Q92" i="111"/>
  <c r="P92" i="111"/>
  <c r="O92" i="111"/>
  <c r="N92" i="111"/>
  <c r="M92" i="111"/>
  <c r="L92" i="111"/>
  <c r="K92" i="111"/>
  <c r="J92" i="111"/>
  <c r="I92" i="111"/>
  <c r="H92" i="111"/>
  <c r="G92" i="111"/>
  <c r="F92" i="111"/>
  <c r="BR89" i="111"/>
  <c r="BR88" i="111"/>
  <c r="BR87" i="111"/>
  <c r="BR86" i="111"/>
  <c r="BR85" i="111"/>
  <c r="BR84" i="111"/>
  <c r="D82" i="111"/>
  <c r="D80" i="111"/>
  <c r="D79" i="111"/>
  <c r="D78" i="111"/>
  <c r="D76" i="111"/>
  <c r="BR75" i="111"/>
  <c r="D73" i="111"/>
  <c r="BR72" i="111"/>
  <c r="D70" i="111"/>
  <c r="D68" i="111"/>
  <c r="D67" i="111"/>
  <c r="D66" i="111"/>
  <c r="D65" i="111"/>
  <c r="D64" i="111"/>
  <c r="D63" i="111"/>
  <c r="D62" i="111"/>
  <c r="BR61" i="111"/>
  <c r="BR58" i="111"/>
  <c r="D57" i="111"/>
  <c r="BR56" i="111"/>
  <c r="D54" i="111"/>
  <c r="BR53" i="111"/>
  <c r="D52" i="111"/>
  <c r="BR51" i="111"/>
  <c r="BR50" i="111"/>
  <c r="BR47" i="111"/>
  <c r="BR46" i="111"/>
  <c r="BR45" i="111"/>
  <c r="BR44" i="111"/>
  <c r="BR43" i="111"/>
  <c r="BR42" i="111"/>
  <c r="BR41" i="111"/>
  <c r="BR40" i="111"/>
  <c r="BR39" i="111"/>
  <c r="W33" i="111"/>
  <c r="BR33" i="111" s="1"/>
  <c r="W32" i="111"/>
  <c r="BR32" i="111" s="1"/>
  <c r="W30" i="111"/>
  <c r="BR30" i="111" s="1"/>
  <c r="W29" i="111"/>
  <c r="BR29" i="111" s="1"/>
  <c r="BK27" i="111"/>
  <c r="BJ27" i="111"/>
  <c r="BI27" i="111"/>
  <c r="BH27" i="111"/>
  <c r="BG27" i="111"/>
  <c r="BF27" i="111"/>
  <c r="BE27" i="111"/>
  <c r="BD27" i="111"/>
  <c r="BC27" i="111"/>
  <c r="BB27" i="111"/>
  <c r="BA27" i="111"/>
  <c r="AZ27" i="111"/>
  <c r="AY27" i="111"/>
  <c r="AX27" i="111"/>
  <c r="AW27" i="111"/>
  <c r="AV27" i="111"/>
  <c r="AU27" i="111"/>
  <c r="AT27" i="111"/>
  <c r="AS27" i="111"/>
  <c r="L27" i="111"/>
  <c r="K27" i="111"/>
  <c r="J27" i="111"/>
  <c r="I27" i="111"/>
  <c r="H27" i="111"/>
  <c r="D27" i="111"/>
  <c r="AQ26" i="111"/>
  <c r="W26" i="111"/>
  <c r="AQ25" i="111"/>
  <c r="W25" i="111"/>
  <c r="BK24" i="111"/>
  <c r="BJ24" i="111"/>
  <c r="BI24" i="111"/>
  <c r="BH24" i="111"/>
  <c r="BG24" i="111"/>
  <c r="BF24" i="111"/>
  <c r="BE24" i="111"/>
  <c r="BD24" i="111"/>
  <c r="BC24" i="111"/>
  <c r="BB24" i="111"/>
  <c r="BA24" i="111"/>
  <c r="AZ24" i="111"/>
  <c r="AY24" i="111"/>
  <c r="AX24" i="111"/>
  <c r="AW24" i="111"/>
  <c r="AV24" i="111"/>
  <c r="AU24" i="111"/>
  <c r="AT24" i="111"/>
  <c r="AS24" i="111"/>
  <c r="D24" i="111"/>
  <c r="AQ23" i="111"/>
  <c r="W23" i="111"/>
  <c r="AQ22" i="111"/>
  <c r="W22" i="111"/>
  <c r="BK21" i="111"/>
  <c r="BJ21" i="111"/>
  <c r="BI21" i="111"/>
  <c r="BH21" i="111"/>
  <c r="BG21" i="111"/>
  <c r="BF21" i="111"/>
  <c r="BE21" i="111"/>
  <c r="BD21" i="111"/>
  <c r="BC21" i="111"/>
  <c r="BB21" i="111"/>
  <c r="BA21" i="111"/>
  <c r="AZ21" i="111"/>
  <c r="AY21" i="111"/>
  <c r="AX21" i="111"/>
  <c r="AW21" i="111"/>
  <c r="AV21" i="111"/>
  <c r="AU21" i="111"/>
  <c r="AT21" i="111"/>
  <c r="AS21" i="111"/>
  <c r="D21" i="111"/>
  <c r="BM19" i="111"/>
  <c r="L19" i="111"/>
  <c r="K19" i="111"/>
  <c r="J19" i="111"/>
  <c r="I19" i="111"/>
  <c r="H19" i="111"/>
  <c r="D19" i="111"/>
  <c r="D18" i="111"/>
  <c r="AQ17" i="111"/>
  <c r="W17" i="111"/>
  <c r="D15" i="111"/>
  <c r="BR14" i="111"/>
  <c r="BR13" i="111"/>
  <c r="D12" i="111"/>
  <c r="BR11" i="111"/>
  <c r="BR10" i="111"/>
  <c r="D9" i="111"/>
  <c r="BR8" i="111"/>
  <c r="BR7" i="111"/>
  <c r="BO4" i="111"/>
  <c r="BN4" i="111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D106" i="110"/>
  <c r="W92" i="110"/>
  <c r="V92" i="110"/>
  <c r="U92" i="110"/>
  <c r="T92" i="110"/>
  <c r="S92" i="110"/>
  <c r="R92" i="110"/>
  <c r="Q92" i="110"/>
  <c r="P92" i="110"/>
  <c r="O92" i="110"/>
  <c r="N92" i="110"/>
  <c r="M92" i="110"/>
  <c r="L92" i="110"/>
  <c r="K92" i="110"/>
  <c r="J92" i="110"/>
  <c r="I92" i="110"/>
  <c r="H92" i="110"/>
  <c r="G92" i="110"/>
  <c r="F92" i="110"/>
  <c r="BR89" i="110"/>
  <c r="BR88" i="110"/>
  <c r="BR87" i="110"/>
  <c r="BR86" i="110"/>
  <c r="BR85" i="110"/>
  <c r="BR84" i="110"/>
  <c r="D82" i="110"/>
  <c r="D80" i="110"/>
  <c r="D79" i="110"/>
  <c r="D78" i="110"/>
  <c r="D76" i="110"/>
  <c r="BR75" i="110"/>
  <c r="D73" i="110"/>
  <c r="BR72" i="110"/>
  <c r="D70" i="110"/>
  <c r="D68" i="110"/>
  <c r="D67" i="110"/>
  <c r="D66" i="110"/>
  <c r="D65" i="110"/>
  <c r="D64" i="110"/>
  <c r="D63" i="110"/>
  <c r="D62" i="110"/>
  <c r="BR61" i="110"/>
  <c r="BR58" i="110"/>
  <c r="D57" i="110"/>
  <c r="BR56" i="110"/>
  <c r="D54" i="110"/>
  <c r="BR53" i="110"/>
  <c r="D52" i="110"/>
  <c r="BR51" i="110"/>
  <c r="BR50" i="110"/>
  <c r="BR47" i="110"/>
  <c r="BR46" i="110"/>
  <c r="BR45" i="110"/>
  <c r="BR44" i="110"/>
  <c r="BR43" i="110"/>
  <c r="BR42" i="110"/>
  <c r="BR41" i="110"/>
  <c r="BR40" i="110"/>
  <c r="BR39" i="110"/>
  <c r="W33" i="110"/>
  <c r="BR33" i="110" s="1"/>
  <c r="W32" i="110"/>
  <c r="BR32" i="110" s="1"/>
  <c r="W30" i="110"/>
  <c r="BR30" i="110" s="1"/>
  <c r="W29" i="110"/>
  <c r="BR29" i="110" s="1"/>
  <c r="BK27" i="110"/>
  <c r="BJ27" i="110"/>
  <c r="BI27" i="110"/>
  <c r="BH27" i="110"/>
  <c r="BG27" i="110"/>
  <c r="BF27" i="110"/>
  <c r="BE27" i="110"/>
  <c r="BD27" i="110"/>
  <c r="BC27" i="110"/>
  <c r="BB27" i="110"/>
  <c r="BA27" i="110"/>
  <c r="AZ27" i="110"/>
  <c r="AY27" i="110"/>
  <c r="AX27" i="110"/>
  <c r="AW27" i="110"/>
  <c r="AV27" i="110"/>
  <c r="AU27" i="110"/>
  <c r="AT27" i="110"/>
  <c r="AS27" i="110"/>
  <c r="L27" i="110"/>
  <c r="K27" i="110"/>
  <c r="J27" i="110"/>
  <c r="I27" i="110"/>
  <c r="H27" i="110"/>
  <c r="D27" i="110"/>
  <c r="AQ26" i="110"/>
  <c r="W26" i="110"/>
  <c r="AQ25" i="110"/>
  <c r="W25" i="110"/>
  <c r="BK24" i="110"/>
  <c r="BJ24" i="110"/>
  <c r="BI24" i="110"/>
  <c r="BH24" i="110"/>
  <c r="BG24" i="110"/>
  <c r="BF24" i="110"/>
  <c r="BE24" i="110"/>
  <c r="BD24" i="110"/>
  <c r="BC24" i="110"/>
  <c r="BB24" i="110"/>
  <c r="BA24" i="110"/>
  <c r="AZ24" i="110"/>
  <c r="AY24" i="110"/>
  <c r="AX24" i="110"/>
  <c r="AW24" i="110"/>
  <c r="AV24" i="110"/>
  <c r="AU24" i="110"/>
  <c r="AT24" i="110"/>
  <c r="AS24" i="110"/>
  <c r="D24" i="110"/>
  <c r="AQ23" i="110"/>
  <c r="W23" i="110"/>
  <c r="AQ22" i="110"/>
  <c r="W22" i="110"/>
  <c r="BK21" i="110"/>
  <c r="BJ21" i="110"/>
  <c r="BI21" i="110"/>
  <c r="BH21" i="110"/>
  <c r="BG21" i="110"/>
  <c r="BF21" i="110"/>
  <c r="BE21" i="110"/>
  <c r="BD21" i="110"/>
  <c r="BC21" i="110"/>
  <c r="BB21" i="110"/>
  <c r="BA21" i="110"/>
  <c r="AZ21" i="110"/>
  <c r="AY21" i="110"/>
  <c r="AX21" i="110"/>
  <c r="AW21" i="110"/>
  <c r="AV21" i="110"/>
  <c r="AU21" i="110"/>
  <c r="AT21" i="110"/>
  <c r="AS21" i="110"/>
  <c r="D21" i="110"/>
  <c r="BM19" i="110"/>
  <c r="L19" i="110"/>
  <c r="K19" i="110"/>
  <c r="J19" i="110"/>
  <c r="I19" i="110"/>
  <c r="H19" i="110"/>
  <c r="D19" i="110"/>
  <c r="D18" i="110"/>
  <c r="AQ17" i="110"/>
  <c r="W17" i="110"/>
  <c r="D15" i="110"/>
  <c r="BR14" i="110"/>
  <c r="BR13" i="110"/>
  <c r="D12" i="110"/>
  <c r="BR11" i="110"/>
  <c r="BR10" i="110"/>
  <c r="D9" i="110"/>
  <c r="BR8" i="110"/>
  <c r="BR7" i="110"/>
  <c r="BO4" i="110"/>
  <c r="BN4" i="110"/>
  <c r="BK4" i="110"/>
  <c r="BJ4" i="110"/>
  <c r="BI4" i="110"/>
  <c r="BH4" i="110"/>
  <c r="BG4" i="110"/>
  <c r="BF4" i="110"/>
  <c r="BE4" i="110"/>
  <c r="BD4" i="110"/>
  <c r="BC4" i="110"/>
  <c r="BB4" i="110"/>
  <c r="BA4" i="110"/>
  <c r="AZ4" i="110"/>
  <c r="AY4" i="110"/>
  <c r="AX4" i="110"/>
  <c r="AW4" i="110"/>
  <c r="AV4" i="110"/>
  <c r="AU4" i="110"/>
  <c r="AT4" i="110"/>
  <c r="AS4" i="110"/>
  <c r="AP4" i="110"/>
  <c r="AO4" i="110"/>
  <c r="AN4" i="110"/>
  <c r="AM4" i="110"/>
  <c r="AL4" i="110"/>
  <c r="AK4" i="110"/>
  <c r="AJ4" i="110"/>
  <c r="AI4" i="110"/>
  <c r="AH4" i="110"/>
  <c r="AG4" i="110"/>
  <c r="AF4" i="110"/>
  <c r="AE4" i="110"/>
  <c r="AD4" i="110"/>
  <c r="AC4" i="110"/>
  <c r="AB4" i="110"/>
  <c r="AA4" i="110"/>
  <c r="Z4" i="110"/>
  <c r="Y4" i="110"/>
  <c r="V4" i="110"/>
  <c r="U4" i="110"/>
  <c r="T4" i="110"/>
  <c r="S4" i="110"/>
  <c r="R4" i="110"/>
  <c r="Q4" i="110"/>
  <c r="P4" i="110"/>
  <c r="O4" i="110"/>
  <c r="N4" i="110"/>
  <c r="M4" i="110"/>
  <c r="L4" i="110"/>
  <c r="K4" i="110"/>
  <c r="J4" i="110"/>
  <c r="I4" i="110"/>
  <c r="H4" i="110"/>
  <c r="G4" i="110"/>
  <c r="D106" i="109"/>
  <c r="W92" i="109"/>
  <c r="V92" i="109"/>
  <c r="U92" i="109"/>
  <c r="T92" i="109"/>
  <c r="S92" i="109"/>
  <c r="R92" i="109"/>
  <c r="Q92" i="109"/>
  <c r="P92" i="109"/>
  <c r="O92" i="109"/>
  <c r="N92" i="109"/>
  <c r="M92" i="109"/>
  <c r="L92" i="109"/>
  <c r="K92" i="109"/>
  <c r="J92" i="109"/>
  <c r="I92" i="109"/>
  <c r="H92" i="109"/>
  <c r="G92" i="109"/>
  <c r="F92" i="109"/>
  <c r="BR89" i="109"/>
  <c r="BR88" i="109"/>
  <c r="BR87" i="109"/>
  <c r="BR86" i="109"/>
  <c r="BR85" i="109"/>
  <c r="BR84" i="109"/>
  <c r="D82" i="109"/>
  <c r="D80" i="109"/>
  <c r="D79" i="109"/>
  <c r="D78" i="109"/>
  <c r="D76" i="109"/>
  <c r="BR75" i="109"/>
  <c r="D73" i="109"/>
  <c r="BR72" i="109"/>
  <c r="D70" i="109"/>
  <c r="D68" i="109"/>
  <c r="D67" i="109"/>
  <c r="D66" i="109"/>
  <c r="D65" i="109"/>
  <c r="D64" i="109"/>
  <c r="D63" i="109"/>
  <c r="D62" i="109"/>
  <c r="BR61" i="109"/>
  <c r="BR58" i="109"/>
  <c r="D57" i="109"/>
  <c r="BR56" i="109"/>
  <c r="D54" i="109"/>
  <c r="BR53" i="109"/>
  <c r="D52" i="109"/>
  <c r="BR51" i="109"/>
  <c r="BR50" i="109"/>
  <c r="BR47" i="109"/>
  <c r="BR46" i="109"/>
  <c r="BR45" i="109"/>
  <c r="BR44" i="109"/>
  <c r="BR43" i="109"/>
  <c r="BR42" i="109"/>
  <c r="BR41" i="109"/>
  <c r="BR40" i="109"/>
  <c r="BR39" i="109"/>
  <c r="W33" i="109"/>
  <c r="BR33" i="109" s="1"/>
  <c r="W32" i="109"/>
  <c r="BR32" i="109" s="1"/>
  <c r="W30" i="109"/>
  <c r="BR30" i="109" s="1"/>
  <c r="W29" i="109"/>
  <c r="BR29" i="109" s="1"/>
  <c r="BK27" i="109"/>
  <c r="BJ27" i="109"/>
  <c r="BI27" i="109"/>
  <c r="BH27" i="109"/>
  <c r="BG27" i="109"/>
  <c r="BF27" i="109"/>
  <c r="BE27" i="109"/>
  <c r="BD27" i="109"/>
  <c r="BC27" i="109"/>
  <c r="BB27" i="109"/>
  <c r="BA27" i="109"/>
  <c r="AZ27" i="109"/>
  <c r="AY27" i="109"/>
  <c r="AX27" i="109"/>
  <c r="AW27" i="109"/>
  <c r="AV27" i="109"/>
  <c r="AU27" i="109"/>
  <c r="AT27" i="109"/>
  <c r="AS27" i="109"/>
  <c r="L27" i="109"/>
  <c r="K27" i="109"/>
  <c r="J27" i="109"/>
  <c r="I27" i="109"/>
  <c r="H27" i="109"/>
  <c r="D27" i="109"/>
  <c r="AQ26" i="109"/>
  <c r="W26" i="109"/>
  <c r="AQ25" i="109"/>
  <c r="W25" i="109"/>
  <c r="BK24" i="109"/>
  <c r="BJ24" i="109"/>
  <c r="BI24" i="109"/>
  <c r="BH24" i="109"/>
  <c r="BG24" i="109"/>
  <c r="BF24" i="109"/>
  <c r="BE24" i="109"/>
  <c r="BD24" i="109"/>
  <c r="BC24" i="109"/>
  <c r="BB24" i="109"/>
  <c r="BA24" i="109"/>
  <c r="AZ24" i="109"/>
  <c r="AY24" i="109"/>
  <c r="AX24" i="109"/>
  <c r="AW24" i="109"/>
  <c r="AV24" i="109"/>
  <c r="AU24" i="109"/>
  <c r="AT24" i="109"/>
  <c r="AS24" i="109"/>
  <c r="D24" i="109"/>
  <c r="AQ23" i="109"/>
  <c r="W23" i="109"/>
  <c r="AQ22" i="109"/>
  <c r="W22" i="109"/>
  <c r="BK21" i="109"/>
  <c r="BJ21" i="109"/>
  <c r="BI21" i="109"/>
  <c r="BH21" i="109"/>
  <c r="BG21" i="109"/>
  <c r="BF21" i="109"/>
  <c r="BE21" i="109"/>
  <c r="BD21" i="109"/>
  <c r="BC21" i="109"/>
  <c r="BB21" i="109"/>
  <c r="BA21" i="109"/>
  <c r="AZ21" i="109"/>
  <c r="AY21" i="109"/>
  <c r="AX21" i="109"/>
  <c r="AW21" i="109"/>
  <c r="AV21" i="109"/>
  <c r="AU21" i="109"/>
  <c r="AT21" i="109"/>
  <c r="AS21" i="109"/>
  <c r="D21" i="109"/>
  <c r="BM19" i="109"/>
  <c r="L19" i="109"/>
  <c r="K19" i="109"/>
  <c r="J19" i="109"/>
  <c r="I19" i="109"/>
  <c r="H19" i="109"/>
  <c r="D19" i="109"/>
  <c r="D18" i="109"/>
  <c r="AQ17" i="109"/>
  <c r="W17" i="109"/>
  <c r="D15" i="109"/>
  <c r="BR14" i="109"/>
  <c r="BR13" i="109"/>
  <c r="D12" i="109"/>
  <c r="BR11" i="109"/>
  <c r="BR10" i="109"/>
  <c r="D9" i="109"/>
  <c r="BR8" i="109"/>
  <c r="BR7" i="109"/>
  <c r="BO4" i="109"/>
  <c r="BN4" i="109"/>
  <c r="BK4" i="109"/>
  <c r="BJ4" i="109"/>
  <c r="BI4" i="109"/>
  <c r="BH4" i="109"/>
  <c r="BG4" i="109"/>
  <c r="BF4" i="109"/>
  <c r="BE4" i="109"/>
  <c r="BD4" i="109"/>
  <c r="BC4" i="109"/>
  <c r="BB4" i="109"/>
  <c r="BA4" i="109"/>
  <c r="AZ4" i="109"/>
  <c r="AY4" i="109"/>
  <c r="AX4" i="109"/>
  <c r="AW4" i="109"/>
  <c r="AV4" i="109"/>
  <c r="AU4" i="109"/>
  <c r="AT4" i="109"/>
  <c r="AS4" i="109"/>
  <c r="AP4" i="109"/>
  <c r="AO4" i="109"/>
  <c r="AN4" i="109"/>
  <c r="AM4" i="109"/>
  <c r="AL4" i="109"/>
  <c r="AK4" i="109"/>
  <c r="AJ4" i="109"/>
  <c r="AI4" i="109"/>
  <c r="AH4" i="109"/>
  <c r="AG4" i="109"/>
  <c r="AF4" i="109"/>
  <c r="AE4" i="109"/>
  <c r="AD4" i="109"/>
  <c r="AC4" i="109"/>
  <c r="AB4" i="109"/>
  <c r="AA4" i="109"/>
  <c r="Z4" i="109"/>
  <c r="Y4" i="109"/>
  <c r="V4" i="109"/>
  <c r="U4" i="109"/>
  <c r="T4" i="109"/>
  <c r="S4" i="109"/>
  <c r="R4" i="109"/>
  <c r="Q4" i="109"/>
  <c r="P4" i="109"/>
  <c r="O4" i="109"/>
  <c r="N4" i="109"/>
  <c r="M4" i="109"/>
  <c r="L4" i="109"/>
  <c r="K4" i="109"/>
  <c r="J4" i="109"/>
  <c r="I4" i="109"/>
  <c r="H4" i="109"/>
  <c r="G4" i="109"/>
  <c r="D106" i="108"/>
  <c r="W92" i="108"/>
  <c r="V92" i="108"/>
  <c r="U92" i="108"/>
  <c r="T92" i="108"/>
  <c r="S92" i="108"/>
  <c r="R92" i="108"/>
  <c r="Q92" i="108"/>
  <c r="P92" i="108"/>
  <c r="O92" i="108"/>
  <c r="N92" i="108"/>
  <c r="M92" i="108"/>
  <c r="L92" i="108"/>
  <c r="K92" i="108"/>
  <c r="J92" i="108"/>
  <c r="I92" i="108"/>
  <c r="H92" i="108"/>
  <c r="G92" i="108"/>
  <c r="F92" i="108"/>
  <c r="BR89" i="108"/>
  <c r="BR88" i="108"/>
  <c r="BR87" i="108"/>
  <c r="BR86" i="108"/>
  <c r="BR85" i="108"/>
  <c r="BR84" i="108"/>
  <c r="D82" i="108"/>
  <c r="D80" i="108"/>
  <c r="D79" i="108"/>
  <c r="D78" i="108"/>
  <c r="D76" i="108"/>
  <c r="BR75" i="108"/>
  <c r="D73" i="108"/>
  <c r="BR72" i="108"/>
  <c r="D70" i="108"/>
  <c r="D68" i="108"/>
  <c r="D67" i="108"/>
  <c r="D66" i="108"/>
  <c r="D65" i="108"/>
  <c r="D64" i="108"/>
  <c r="D63" i="108"/>
  <c r="D62" i="108"/>
  <c r="BR61" i="108"/>
  <c r="BR58" i="108"/>
  <c r="BR56" i="108"/>
  <c r="D54" i="108"/>
  <c r="BR53" i="108"/>
  <c r="D52" i="108"/>
  <c r="BR51" i="108"/>
  <c r="BR50" i="108"/>
  <c r="BR47" i="108"/>
  <c r="BR46" i="108"/>
  <c r="BR45" i="108"/>
  <c r="BR44" i="108"/>
  <c r="BR43" i="108"/>
  <c r="BR42" i="108"/>
  <c r="BR41" i="108"/>
  <c r="BR40" i="108"/>
  <c r="BR39" i="108"/>
  <c r="W33" i="108"/>
  <c r="BR33" i="108" s="1"/>
  <c r="W32" i="108"/>
  <c r="BR32" i="108" s="1"/>
  <c r="W30" i="108"/>
  <c r="BR30" i="108" s="1"/>
  <c r="W29" i="108"/>
  <c r="BR29" i="108" s="1"/>
  <c r="BK27" i="108"/>
  <c r="BJ27" i="108"/>
  <c r="BI27" i="108"/>
  <c r="BH27" i="108"/>
  <c r="BG27" i="108"/>
  <c r="BF27" i="108"/>
  <c r="BE27" i="108"/>
  <c r="BD27" i="108"/>
  <c r="BC27" i="108"/>
  <c r="BB27" i="108"/>
  <c r="BA27" i="108"/>
  <c r="AZ27" i="108"/>
  <c r="AY27" i="108"/>
  <c r="AX27" i="108"/>
  <c r="AW27" i="108"/>
  <c r="AV27" i="108"/>
  <c r="AU27" i="108"/>
  <c r="AT27" i="108"/>
  <c r="AS27" i="108"/>
  <c r="L27" i="108"/>
  <c r="K27" i="108"/>
  <c r="J27" i="108"/>
  <c r="I27" i="108"/>
  <c r="H27" i="108"/>
  <c r="D27" i="108"/>
  <c r="AQ26" i="108"/>
  <c r="W26" i="108"/>
  <c r="AQ25" i="108"/>
  <c r="W25" i="108"/>
  <c r="BK24" i="108"/>
  <c r="BJ24" i="108"/>
  <c r="BI24" i="108"/>
  <c r="BH24" i="108"/>
  <c r="BG24" i="108"/>
  <c r="BF24" i="108"/>
  <c r="BE24" i="108"/>
  <c r="BD24" i="108"/>
  <c r="BC24" i="108"/>
  <c r="BB24" i="108"/>
  <c r="BA24" i="108"/>
  <c r="AZ24" i="108"/>
  <c r="AY24" i="108"/>
  <c r="AX24" i="108"/>
  <c r="AW24" i="108"/>
  <c r="AV24" i="108"/>
  <c r="AU24" i="108"/>
  <c r="AT24" i="108"/>
  <c r="AS24" i="108"/>
  <c r="D24" i="108"/>
  <c r="AQ23" i="108"/>
  <c r="W23" i="108"/>
  <c r="AQ22" i="108"/>
  <c r="W22" i="108"/>
  <c r="BK21" i="108"/>
  <c r="BJ21" i="108"/>
  <c r="BI21" i="108"/>
  <c r="BH21" i="108"/>
  <c r="BG21" i="108"/>
  <c r="BF21" i="108"/>
  <c r="BE21" i="108"/>
  <c r="BD21" i="108"/>
  <c r="BC21" i="108"/>
  <c r="BB21" i="108"/>
  <c r="BA21" i="108"/>
  <c r="AZ21" i="108"/>
  <c r="AY21" i="108"/>
  <c r="AX21" i="108"/>
  <c r="AW21" i="108"/>
  <c r="AV21" i="108"/>
  <c r="AU21" i="108"/>
  <c r="AT21" i="108"/>
  <c r="AS21" i="108"/>
  <c r="D21" i="108"/>
  <c r="BM19" i="108"/>
  <c r="L19" i="108"/>
  <c r="K19" i="108"/>
  <c r="J19" i="108"/>
  <c r="I19" i="108"/>
  <c r="H19" i="108"/>
  <c r="D19" i="108"/>
  <c r="D18" i="108"/>
  <c r="AQ17" i="108"/>
  <c r="W17" i="108"/>
  <c r="D15" i="108"/>
  <c r="BR14" i="108"/>
  <c r="BR13" i="108"/>
  <c r="D12" i="108"/>
  <c r="BR11" i="108"/>
  <c r="BR10" i="108"/>
  <c r="D9" i="108"/>
  <c r="BR8" i="108"/>
  <c r="BR7" i="108"/>
  <c r="BO4" i="108"/>
  <c r="BN4" i="108"/>
  <c r="BK4" i="108"/>
  <c r="BJ4" i="108"/>
  <c r="BI4" i="108"/>
  <c r="BH4" i="108"/>
  <c r="BG4" i="108"/>
  <c r="BF4" i="108"/>
  <c r="BE4" i="108"/>
  <c r="BD4" i="108"/>
  <c r="BC4" i="108"/>
  <c r="BB4" i="108"/>
  <c r="BA4" i="108"/>
  <c r="AZ4" i="108"/>
  <c r="AY4" i="108"/>
  <c r="AX4" i="108"/>
  <c r="AW4" i="108"/>
  <c r="AV4" i="108"/>
  <c r="AU4" i="108"/>
  <c r="AT4" i="108"/>
  <c r="AS4" i="108"/>
  <c r="AP4" i="108"/>
  <c r="AO4" i="108"/>
  <c r="AN4" i="108"/>
  <c r="AM4" i="108"/>
  <c r="AL4" i="108"/>
  <c r="AK4" i="108"/>
  <c r="AJ4" i="108"/>
  <c r="AI4" i="108"/>
  <c r="AH4" i="108"/>
  <c r="AG4" i="108"/>
  <c r="AF4" i="108"/>
  <c r="AE4" i="108"/>
  <c r="AD4" i="108"/>
  <c r="AC4" i="108"/>
  <c r="AB4" i="108"/>
  <c r="AA4" i="108"/>
  <c r="Z4" i="108"/>
  <c r="Y4" i="108"/>
  <c r="V4" i="108"/>
  <c r="U4" i="108"/>
  <c r="T4" i="108"/>
  <c r="S4" i="108"/>
  <c r="R4" i="108"/>
  <c r="Q4" i="108"/>
  <c r="P4" i="108"/>
  <c r="O4" i="108"/>
  <c r="N4" i="108"/>
  <c r="M4" i="108"/>
  <c r="L4" i="108"/>
  <c r="K4" i="108"/>
  <c r="J4" i="108"/>
  <c r="I4" i="108"/>
  <c r="H4" i="108"/>
  <c r="G4" i="108"/>
  <c r="D199" i="47"/>
  <c r="D200" i="47"/>
  <c r="D201" i="47"/>
  <c r="D186" i="47"/>
  <c r="D187" i="47"/>
  <c r="D188" i="47"/>
  <c r="D189" i="47"/>
  <c r="D190" i="47"/>
  <c r="D191" i="47"/>
  <c r="D192" i="47"/>
  <c r="D193" i="47"/>
  <c r="D194" i="47"/>
  <c r="D195" i="47"/>
  <c r="D196" i="47"/>
  <c r="D197" i="47"/>
  <c r="D198" i="47"/>
  <c r="D185" i="47"/>
  <c r="D155" i="47"/>
  <c r="F72" i="105"/>
  <c r="F71" i="105"/>
  <c r="D135" i="105"/>
  <c r="D136" i="105"/>
  <c r="D137" i="105"/>
  <c r="BR17" i="109" l="1"/>
  <c r="BR26" i="109"/>
  <c r="BR17" i="112"/>
  <c r="BR23" i="112"/>
  <c r="BR26" i="112"/>
  <c r="BR22" i="113"/>
  <c r="BR25" i="113"/>
  <c r="BR17" i="110"/>
  <c r="BR23" i="110"/>
  <c r="BR26" i="110"/>
  <c r="BR22" i="111"/>
  <c r="BR26" i="114"/>
  <c r="BL24" i="109"/>
  <c r="BL27" i="109"/>
  <c r="BR26" i="111"/>
  <c r="BR23" i="113"/>
  <c r="BR17" i="108"/>
  <c r="BR23" i="108"/>
  <c r="BL27" i="108"/>
  <c r="BL27" i="113"/>
  <c r="BR23" i="109"/>
  <c r="BR25" i="109"/>
  <c r="BL21" i="110"/>
  <c r="BR25" i="110"/>
  <c r="BL27" i="110"/>
  <c r="BR17" i="111"/>
  <c r="BR25" i="111"/>
  <c r="BL27" i="111"/>
  <c r="BR25" i="114"/>
  <c r="BL21" i="114"/>
  <c r="BL24" i="114"/>
  <c r="BL27" i="112"/>
  <c r="BR25" i="112"/>
  <c r="BL21" i="111"/>
  <c r="BR22" i="110"/>
  <c r="BL21" i="109"/>
  <c r="BR22" i="109"/>
  <c r="BL21" i="108"/>
  <c r="BL24" i="108" l="1"/>
  <c r="BR26" i="108"/>
  <c r="BR23" i="111"/>
  <c r="BR17" i="114"/>
  <c r="BR23" i="114"/>
  <c r="BL27" i="114"/>
  <c r="BL24" i="111"/>
  <c r="BR22" i="112"/>
  <c r="BL24" i="112"/>
  <c r="BL21" i="113"/>
  <c r="BR26" i="113"/>
  <c r="BR22" i="108"/>
  <c r="BR25" i="108"/>
  <c r="BL24" i="110"/>
  <c r="BL21" i="112"/>
  <c r="BR17" i="113"/>
  <c r="BL24" i="113"/>
  <c r="BR22" i="114"/>
  <c r="D139" i="105"/>
  <c r="D140" i="105"/>
  <c r="D138" i="105"/>
  <c r="D73" i="102"/>
  <c r="D61" i="102"/>
  <c r="BA4" i="102"/>
  <c r="D17" i="105" l="1"/>
  <c r="D16" i="105"/>
  <c r="D15" i="105"/>
  <c r="D56" i="47"/>
  <c r="C116" i="52" l="1"/>
  <c r="C115" i="52"/>
  <c r="C112" i="52"/>
  <c r="C111" i="52"/>
  <c r="C624" i="48" l="1"/>
  <c r="D77" i="39"/>
  <c r="D78" i="39"/>
  <c r="D76" i="39"/>
  <c r="D112" i="40"/>
  <c r="G96" i="40"/>
  <c r="H96" i="40"/>
  <c r="I96" i="40"/>
  <c r="J96" i="40"/>
  <c r="K96" i="40"/>
  <c r="L96" i="40"/>
  <c r="M96" i="40"/>
  <c r="G87" i="40"/>
  <c r="H87" i="40"/>
  <c r="I87" i="40"/>
  <c r="J87" i="40"/>
  <c r="K87" i="40"/>
  <c r="L87" i="40"/>
  <c r="M87" i="40"/>
  <c r="D113" i="40"/>
  <c r="D114" i="40"/>
  <c r="D499" i="41"/>
  <c r="B2" i="104" l="1"/>
  <c r="B1" i="104" s="1"/>
  <c r="B2" i="105"/>
  <c r="E191" i="45"/>
  <c r="E192" i="45"/>
  <c r="E193" i="45"/>
  <c r="E194" i="45"/>
  <c r="E190" i="45"/>
  <c r="H22" i="56"/>
  <c r="D500" i="41"/>
  <c r="D501" i="41"/>
  <c r="D502" i="41"/>
  <c r="D503" i="41"/>
  <c r="D504" i="41"/>
  <c r="D505" i="41"/>
  <c r="D286" i="49"/>
  <c r="H46" i="105" l="1"/>
  <c r="H90" i="105" s="1"/>
  <c r="H106" i="105" s="1"/>
  <c r="L46" i="105"/>
  <c r="L90" i="105" s="1"/>
  <c r="L106" i="105" s="1"/>
  <c r="H38" i="105"/>
  <c r="H89" i="105" s="1"/>
  <c r="H105" i="105" s="1"/>
  <c r="L38" i="105"/>
  <c r="L89" i="105" s="1"/>
  <c r="L105" i="105" s="1"/>
  <c r="H30" i="105"/>
  <c r="H91" i="105" s="1"/>
  <c r="H107" i="105" s="1"/>
  <c r="L30" i="105"/>
  <c r="L91" i="105" s="1"/>
  <c r="L107" i="105" s="1"/>
  <c r="I46" i="105"/>
  <c r="I90" i="105" s="1"/>
  <c r="I106" i="105" s="1"/>
  <c r="M46" i="105"/>
  <c r="M90" i="105" s="1"/>
  <c r="M106" i="105" s="1"/>
  <c r="I38" i="105"/>
  <c r="I89" i="105" s="1"/>
  <c r="I105" i="105" s="1"/>
  <c r="M38" i="105"/>
  <c r="M89" i="105" s="1"/>
  <c r="M105" i="105" s="1"/>
  <c r="I30" i="105"/>
  <c r="I91" i="105" s="1"/>
  <c r="I107" i="105" s="1"/>
  <c r="M30" i="105"/>
  <c r="M91" i="105" s="1"/>
  <c r="M107" i="105" s="1"/>
  <c r="J46" i="105"/>
  <c r="J90" i="105" s="1"/>
  <c r="J106" i="105" s="1"/>
  <c r="F46" i="105"/>
  <c r="F90" i="105" s="1"/>
  <c r="F106" i="105" s="1"/>
  <c r="J38" i="105"/>
  <c r="J89" i="105" s="1"/>
  <c r="J105" i="105" s="1"/>
  <c r="F38" i="105"/>
  <c r="F89" i="105" s="1"/>
  <c r="F105" i="105" s="1"/>
  <c r="J30" i="105"/>
  <c r="J91" i="105" s="1"/>
  <c r="J107" i="105" s="1"/>
  <c r="F30" i="105"/>
  <c r="F91" i="105" s="1"/>
  <c r="F107" i="105" s="1"/>
  <c r="G46" i="105"/>
  <c r="G90" i="105" s="1"/>
  <c r="G106" i="105" s="1"/>
  <c r="K46" i="105"/>
  <c r="K90" i="105" s="1"/>
  <c r="K106" i="105" s="1"/>
  <c r="G38" i="105"/>
  <c r="G89" i="105" s="1"/>
  <c r="G105" i="105" s="1"/>
  <c r="K38" i="105"/>
  <c r="K89" i="105" s="1"/>
  <c r="K105" i="105" s="1"/>
  <c r="G30" i="105"/>
  <c r="G91" i="105" s="1"/>
  <c r="G107" i="105" s="1"/>
  <c r="K30" i="105"/>
  <c r="K91" i="105" s="1"/>
  <c r="K107" i="105" s="1"/>
  <c r="G33" i="104"/>
  <c r="G44" i="104" s="1"/>
  <c r="M43" i="104"/>
  <c r="L43" i="104"/>
  <c r="K43" i="104"/>
  <c r="J43" i="104"/>
  <c r="I43" i="104"/>
  <c r="H43" i="104"/>
  <c r="G43" i="104"/>
  <c r="F43" i="104"/>
  <c r="G32" i="104"/>
  <c r="H32" i="104" s="1"/>
  <c r="I32" i="104" s="1"/>
  <c r="J32" i="104" s="1"/>
  <c r="K32" i="104" s="1"/>
  <c r="L32" i="104" s="1"/>
  <c r="M32" i="104" s="1"/>
  <c r="G31" i="104"/>
  <c r="H31" i="104" s="1"/>
  <c r="G30" i="104"/>
  <c r="H30" i="104" s="1"/>
  <c r="I30" i="104" s="1"/>
  <c r="J30" i="104" s="1"/>
  <c r="K30" i="104" s="1"/>
  <c r="L30" i="104" s="1"/>
  <c r="M30" i="104" s="1"/>
  <c r="K135" i="105" l="1"/>
  <c r="K138" i="105"/>
  <c r="K115" i="105"/>
  <c r="G135" i="105"/>
  <c r="G138" i="105"/>
  <c r="G115" i="105"/>
  <c r="K136" i="105"/>
  <c r="K139" i="105"/>
  <c r="G136" i="105"/>
  <c r="G139" i="105"/>
  <c r="K116" i="105"/>
  <c r="K140" i="105"/>
  <c r="K137" i="105"/>
  <c r="G116" i="105"/>
  <c r="G140" i="105"/>
  <c r="G137" i="105"/>
  <c r="F135" i="105"/>
  <c r="F138" i="105"/>
  <c r="F115" i="105"/>
  <c r="J135" i="105"/>
  <c r="J138" i="105"/>
  <c r="J115" i="105"/>
  <c r="F139" i="105"/>
  <c r="F136" i="105"/>
  <c r="J139" i="105"/>
  <c r="J136" i="105"/>
  <c r="F116" i="105"/>
  <c r="F137" i="105"/>
  <c r="F140" i="105"/>
  <c r="J116" i="105"/>
  <c r="J140" i="105"/>
  <c r="J137" i="105"/>
  <c r="M138" i="105"/>
  <c r="M135" i="105"/>
  <c r="M115" i="105"/>
  <c r="I135" i="105"/>
  <c r="I138" i="105"/>
  <c r="I115" i="105"/>
  <c r="M136" i="105"/>
  <c r="M139" i="105"/>
  <c r="I139" i="105"/>
  <c r="I136" i="105"/>
  <c r="M140" i="105"/>
  <c r="M137" i="105"/>
  <c r="M116" i="105"/>
  <c r="I137" i="105"/>
  <c r="I140" i="105"/>
  <c r="I116" i="105"/>
  <c r="L135" i="105"/>
  <c r="L138" i="105"/>
  <c r="L115" i="105"/>
  <c r="H135" i="105"/>
  <c r="H138" i="105"/>
  <c r="H115" i="105"/>
  <c r="L139" i="105"/>
  <c r="L136" i="105"/>
  <c r="H139" i="105"/>
  <c r="H136" i="105"/>
  <c r="L137" i="105"/>
  <c r="L140" i="105"/>
  <c r="L116" i="105"/>
  <c r="H137" i="105"/>
  <c r="H140" i="105"/>
  <c r="H116" i="105"/>
  <c r="F33" i="104"/>
  <c r="F44" i="104" s="1"/>
  <c r="F45" i="104" s="1"/>
  <c r="F53" i="104" s="1"/>
  <c r="H33" i="104"/>
  <c r="H44" i="104" s="1"/>
  <c r="H45" i="104" s="1"/>
  <c r="H53" i="104" s="1"/>
  <c r="I31" i="104"/>
  <c r="G45" i="104"/>
  <c r="G53" i="104" s="1"/>
  <c r="H141" i="105" l="1"/>
  <c r="I141" i="105"/>
  <c r="M141" i="105"/>
  <c r="J141" i="105"/>
  <c r="G141" i="105"/>
  <c r="F117" i="105"/>
  <c r="F127" i="105" s="1"/>
  <c r="F202" i="47" s="1"/>
  <c r="L141" i="105"/>
  <c r="F141" i="105"/>
  <c r="K141" i="105"/>
  <c r="I33" i="104"/>
  <c r="I44" i="104" s="1"/>
  <c r="I45" i="104" s="1"/>
  <c r="I53" i="104" s="1"/>
  <c r="J31" i="104"/>
  <c r="K31" i="104" l="1"/>
  <c r="J33" i="104"/>
  <c r="J44" i="104" s="1"/>
  <c r="J45" i="104" s="1"/>
  <c r="J53" i="104" s="1"/>
  <c r="L31" i="104" l="1"/>
  <c r="K33" i="104"/>
  <c r="K44" i="104" s="1"/>
  <c r="K45" i="104" s="1"/>
  <c r="K53" i="104" s="1"/>
  <c r="L33" i="104" l="1"/>
  <c r="L44" i="104" s="1"/>
  <c r="L45" i="104" s="1"/>
  <c r="L53" i="104" s="1"/>
  <c r="M31" i="104"/>
  <c r="M33" i="104" s="1"/>
  <c r="M44" i="104" s="1"/>
  <c r="M45" i="104" s="1"/>
  <c r="M53" i="104" s="1"/>
  <c r="D1269" i="48"/>
  <c r="BJ4" i="102" l="1"/>
  <c r="E160" i="45" l="1"/>
  <c r="E161" i="45"/>
  <c r="E162" i="45"/>
  <c r="E163" i="45"/>
  <c r="E164" i="45"/>
  <c r="E165" i="45"/>
  <c r="E156" i="45"/>
  <c r="E157" i="45"/>
  <c r="E158" i="45"/>
  <c r="E159" i="45"/>
  <c r="E153" i="45"/>
  <c r="E154" i="45"/>
  <c r="E155" i="45"/>
  <c r="E152" i="45"/>
  <c r="B2" i="41" l="1"/>
  <c r="E8" i="40" l="1"/>
  <c r="E7" i="40"/>
  <c r="F23" i="40" l="1"/>
  <c r="J23" i="40"/>
  <c r="G23" i="40"/>
  <c r="M23" i="40"/>
  <c r="K23" i="40"/>
  <c r="I23" i="40"/>
  <c r="L23" i="40"/>
  <c r="H23" i="40"/>
  <c r="D287" i="49" l="1"/>
  <c r="D288" i="49"/>
  <c r="D289" i="49"/>
  <c r="D290" i="49"/>
  <c r="D291" i="49"/>
  <c r="D292" i="49"/>
  <c r="D293" i="49"/>
  <c r="D294" i="49"/>
  <c r="D295" i="49"/>
  <c r="D296" i="49"/>
  <c r="E6" i="44" l="1"/>
  <c r="E7" i="44"/>
  <c r="F47" i="44" s="1"/>
  <c r="F285" i="51" l="1"/>
  <c r="F286" i="51"/>
  <c r="F287" i="51"/>
  <c r="F288" i="51"/>
  <c r="F289" i="51"/>
  <c r="F290" i="51"/>
  <c r="F291" i="51"/>
  <c r="F284" i="51"/>
  <c r="G97" i="53" l="1"/>
  <c r="G22" i="3" s="1"/>
  <c r="G36" i="53"/>
  <c r="G15" i="53"/>
  <c r="G271" i="51"/>
  <c r="G269" i="51"/>
  <c r="G396" i="51"/>
  <c r="H396" i="51"/>
  <c r="I396" i="51"/>
  <c r="J396" i="51"/>
  <c r="K396" i="51"/>
  <c r="L396" i="51"/>
  <c r="M396" i="51"/>
  <c r="F396" i="51"/>
  <c r="G339" i="51"/>
  <c r="H339" i="51"/>
  <c r="I339" i="51"/>
  <c r="J339" i="51"/>
  <c r="K339" i="51"/>
  <c r="L339" i="51"/>
  <c r="M339" i="51"/>
  <c r="F339" i="51"/>
  <c r="F267" i="51"/>
  <c r="G267" i="51"/>
  <c r="H267" i="51"/>
  <c r="I267" i="51"/>
  <c r="J267" i="51"/>
  <c r="K267" i="51"/>
  <c r="L267" i="51"/>
  <c r="M267" i="51"/>
  <c r="F268" i="51"/>
  <c r="G268" i="51"/>
  <c r="H268" i="51"/>
  <c r="I268" i="51"/>
  <c r="J268" i="51"/>
  <c r="K268" i="51"/>
  <c r="L268" i="51"/>
  <c r="M268" i="51"/>
  <c r="F269" i="51"/>
  <c r="H269" i="51"/>
  <c r="I269" i="51"/>
  <c r="J269" i="51"/>
  <c r="K269" i="51"/>
  <c r="L269" i="51"/>
  <c r="M269" i="51"/>
  <c r="F270" i="51"/>
  <c r="G270" i="51"/>
  <c r="H270" i="51"/>
  <c r="I270" i="51"/>
  <c r="J270" i="51"/>
  <c r="K270" i="51"/>
  <c r="L270" i="51"/>
  <c r="M270" i="51"/>
  <c r="F271" i="51"/>
  <c r="H271" i="51"/>
  <c r="I271" i="51"/>
  <c r="J271" i="51"/>
  <c r="K271" i="51"/>
  <c r="L271" i="51"/>
  <c r="M271" i="51"/>
  <c r="G242" i="51"/>
  <c r="G243" i="51" s="1"/>
  <c r="H242" i="51"/>
  <c r="H243" i="51" s="1"/>
  <c r="I242" i="51"/>
  <c r="I243" i="51" s="1"/>
  <c r="J242" i="51"/>
  <c r="J243" i="51" s="1"/>
  <c r="K242" i="51"/>
  <c r="K243" i="51" s="1"/>
  <c r="L242" i="51"/>
  <c r="L243" i="51" s="1"/>
  <c r="M242" i="51"/>
  <c r="M243" i="51" s="1"/>
  <c r="F242" i="51"/>
  <c r="F243" i="51" s="1"/>
  <c r="C760" i="50"/>
  <c r="C761" i="50"/>
  <c r="C762" i="50"/>
  <c r="C765" i="50"/>
  <c r="C766" i="50"/>
  <c r="C767" i="50"/>
  <c r="C768" i="50"/>
  <c r="C771" i="50"/>
  <c r="C772" i="50"/>
  <c r="C773" i="50"/>
  <c r="C774" i="50"/>
  <c r="C759" i="50"/>
  <c r="C243" i="49"/>
  <c r="K424" i="50"/>
  <c r="E10" i="50"/>
  <c r="F442" i="50" s="1"/>
  <c r="E11" i="50"/>
  <c r="J411" i="50"/>
  <c r="L467" i="50"/>
  <c r="C190" i="49"/>
  <c r="C191" i="49"/>
  <c r="C192" i="49"/>
  <c r="C193" i="49"/>
  <c r="C194" i="49"/>
  <c r="C195" i="49"/>
  <c r="C196" i="49"/>
  <c r="C197" i="49"/>
  <c r="C189" i="49"/>
  <c r="C244" i="49"/>
  <c r="C245" i="49"/>
  <c r="C246" i="49"/>
  <c r="C247" i="49"/>
  <c r="C248" i="49"/>
  <c r="C249" i="49"/>
  <c r="C250" i="49"/>
  <c r="C253" i="49"/>
  <c r="C254" i="49"/>
  <c r="C255" i="49"/>
  <c r="C256" i="49"/>
  <c r="C257" i="49"/>
  <c r="C258" i="49"/>
  <c r="C259" i="49"/>
  <c r="C260" i="49"/>
  <c r="C263" i="49"/>
  <c r="C264" i="49"/>
  <c r="C265" i="49"/>
  <c r="C266" i="49"/>
  <c r="C267" i="49"/>
  <c r="C268" i="49"/>
  <c r="C269" i="49"/>
  <c r="C270" i="49"/>
  <c r="E7" i="49"/>
  <c r="F41" i="49" s="1"/>
  <c r="F89" i="102"/>
  <c r="BR86" i="102"/>
  <c r="BR85" i="102"/>
  <c r="BR84" i="102"/>
  <c r="BR83" i="102"/>
  <c r="BR82" i="102"/>
  <c r="BR81" i="102"/>
  <c r="D79" i="102"/>
  <c r="D77" i="102"/>
  <c r="D76" i="102"/>
  <c r="D75" i="102"/>
  <c r="BR72" i="102"/>
  <c r="D70" i="102"/>
  <c r="BR69" i="102"/>
  <c r="D67" i="102"/>
  <c r="D66" i="102"/>
  <c r="D65" i="102"/>
  <c r="D64" i="102"/>
  <c r="D63" i="102"/>
  <c r="D62" i="102"/>
  <c r="D60" i="102"/>
  <c r="BR59" i="102"/>
  <c r="D54" i="102"/>
  <c r="BR53" i="102"/>
  <c r="D52" i="102"/>
  <c r="BR51" i="102"/>
  <c r="BR50" i="102"/>
  <c r="BR47" i="102"/>
  <c r="BR46" i="102"/>
  <c r="BR45" i="102"/>
  <c r="BR44" i="102"/>
  <c r="BR43" i="102"/>
  <c r="BR42" i="102"/>
  <c r="BR41" i="102"/>
  <c r="BR40" i="102"/>
  <c r="BR39" i="102"/>
  <c r="W33" i="102"/>
  <c r="BR33" i="102" s="1"/>
  <c r="W32" i="102"/>
  <c r="BR32" i="102" s="1"/>
  <c r="W30" i="102"/>
  <c r="BR30" i="102" s="1"/>
  <c r="W29" i="102"/>
  <c r="BR29" i="102" s="1"/>
  <c r="BK27" i="102"/>
  <c r="BJ27" i="102"/>
  <c r="BI27" i="102"/>
  <c r="BH27" i="102"/>
  <c r="BG27" i="102"/>
  <c r="BF27" i="102"/>
  <c r="BE27" i="102"/>
  <c r="BD27" i="102"/>
  <c r="BC27" i="102"/>
  <c r="BB27" i="102"/>
  <c r="BA27" i="102"/>
  <c r="AZ27" i="102"/>
  <c r="AY27" i="102"/>
  <c r="AX27" i="102"/>
  <c r="AW27" i="102"/>
  <c r="AV27" i="102"/>
  <c r="AU27" i="102"/>
  <c r="AT27" i="102"/>
  <c r="AS27" i="102"/>
  <c r="L27" i="102"/>
  <c r="K27" i="102"/>
  <c r="J27" i="102"/>
  <c r="I27" i="102"/>
  <c r="H27" i="102"/>
  <c r="D27" i="102"/>
  <c r="AQ26" i="102"/>
  <c r="W26" i="102"/>
  <c r="AQ25" i="102"/>
  <c r="W25" i="102"/>
  <c r="BK24" i="102"/>
  <c r="BJ24" i="102"/>
  <c r="BI24" i="102"/>
  <c r="BH24" i="102"/>
  <c r="BG24" i="102"/>
  <c r="BF24" i="102"/>
  <c r="BE24" i="102"/>
  <c r="BD24" i="102"/>
  <c r="BC24" i="102"/>
  <c r="BB24" i="102"/>
  <c r="BA24" i="102"/>
  <c r="AZ24" i="102"/>
  <c r="AY24" i="102"/>
  <c r="AX24" i="102"/>
  <c r="AW24" i="102"/>
  <c r="AV24" i="102"/>
  <c r="AU24" i="102"/>
  <c r="AT24" i="102"/>
  <c r="AS24" i="102"/>
  <c r="D24" i="102"/>
  <c r="AQ23" i="102"/>
  <c r="W23" i="102"/>
  <c r="AQ22" i="102"/>
  <c r="W22" i="102"/>
  <c r="BK21" i="102"/>
  <c r="BJ21" i="102"/>
  <c r="BI21" i="102"/>
  <c r="BH21" i="102"/>
  <c r="BG21" i="102"/>
  <c r="BF21" i="102"/>
  <c r="BE21" i="102"/>
  <c r="BD21" i="102"/>
  <c r="BC21" i="102"/>
  <c r="BB21" i="102"/>
  <c r="BA21" i="102"/>
  <c r="AZ21" i="102"/>
  <c r="AY21" i="102"/>
  <c r="AX21" i="102"/>
  <c r="AW21" i="102"/>
  <c r="AV21" i="102"/>
  <c r="AU21" i="102"/>
  <c r="AT21" i="102"/>
  <c r="AS21" i="102"/>
  <c r="D21" i="102"/>
  <c r="BM19" i="102"/>
  <c r="L19" i="102"/>
  <c r="K19" i="102"/>
  <c r="J19" i="102"/>
  <c r="I19" i="102"/>
  <c r="H19" i="102"/>
  <c r="D19" i="102"/>
  <c r="D18" i="102"/>
  <c r="AQ17" i="102"/>
  <c r="W17" i="102"/>
  <c r="D15" i="102"/>
  <c r="BR14" i="102"/>
  <c r="BR13" i="102"/>
  <c r="D12" i="102"/>
  <c r="BR11" i="102"/>
  <c r="BR10" i="102"/>
  <c r="D9" i="102"/>
  <c r="BR8" i="102"/>
  <c r="BR7" i="102"/>
  <c r="BO4" i="102"/>
  <c r="BN4" i="102"/>
  <c r="BK4" i="102"/>
  <c r="BI4" i="102"/>
  <c r="BH4" i="102"/>
  <c r="BG4" i="102"/>
  <c r="BF4" i="102"/>
  <c r="BE4" i="102"/>
  <c r="BD4" i="102"/>
  <c r="BC4" i="102"/>
  <c r="BB4" i="102"/>
  <c r="AZ4" i="102"/>
  <c r="AY4" i="102"/>
  <c r="AX4" i="102"/>
  <c r="AW4" i="102"/>
  <c r="AV4" i="102"/>
  <c r="AU4" i="102"/>
  <c r="AT4" i="102"/>
  <c r="AS4" i="102"/>
  <c r="AP4" i="102"/>
  <c r="AO4" i="102"/>
  <c r="AN4" i="102"/>
  <c r="AM4" i="102"/>
  <c r="AL4" i="102"/>
  <c r="AK4" i="102"/>
  <c r="AJ4" i="102"/>
  <c r="AI4" i="102"/>
  <c r="AH4" i="102"/>
  <c r="AG4" i="102"/>
  <c r="AF4" i="102"/>
  <c r="AE4" i="102"/>
  <c r="AD4" i="102"/>
  <c r="AC4" i="102"/>
  <c r="AB4" i="102"/>
  <c r="AA4" i="102"/>
  <c r="Z4" i="102"/>
  <c r="Y4" i="102"/>
  <c r="V4" i="102"/>
  <c r="U4" i="102"/>
  <c r="T4" i="102"/>
  <c r="S4" i="102"/>
  <c r="R4" i="102"/>
  <c r="Q4" i="102"/>
  <c r="P4" i="102"/>
  <c r="O4" i="102"/>
  <c r="N4" i="102"/>
  <c r="M4" i="102"/>
  <c r="L4" i="102"/>
  <c r="K4" i="102"/>
  <c r="J4" i="102"/>
  <c r="I4" i="102"/>
  <c r="H4" i="102"/>
  <c r="G4" i="102"/>
  <c r="D1277" i="48"/>
  <c r="M111" i="48"/>
  <c r="C1254" i="48"/>
  <c r="C1248" i="48"/>
  <c r="C1242" i="48"/>
  <c r="C1253" i="48"/>
  <c r="C1252" i="48"/>
  <c r="C1251" i="48"/>
  <c r="C1247" i="48"/>
  <c r="C1246" i="48"/>
  <c r="C1245" i="48"/>
  <c r="C1240" i="48"/>
  <c r="C1241" i="48"/>
  <c r="C1239" i="48"/>
  <c r="C544" i="51"/>
  <c r="D1227" i="48"/>
  <c r="D1228" i="48"/>
  <c r="D1229" i="48"/>
  <c r="D1230" i="48"/>
  <c r="D1231" i="48"/>
  <c r="D1226" i="48"/>
  <c r="E1213" i="48"/>
  <c r="E1214" i="48"/>
  <c r="E1215" i="48"/>
  <c r="D1214" i="48"/>
  <c r="D1215" i="48"/>
  <c r="D1213" i="48"/>
  <c r="D1211" i="48"/>
  <c r="D1206" i="48"/>
  <c r="D1207" i="48"/>
  <c r="D1208" i="48"/>
  <c r="D1209" i="48"/>
  <c r="D1210" i="48"/>
  <c r="D1205" i="48"/>
  <c r="D1199" i="48"/>
  <c r="D1200" i="48"/>
  <c r="D1201" i="48"/>
  <c r="D1202" i="48"/>
  <c r="D1203" i="48"/>
  <c r="D1198" i="48"/>
  <c r="G741" i="48"/>
  <c r="H741" i="48"/>
  <c r="I741" i="48"/>
  <c r="J741" i="48"/>
  <c r="K741" i="48"/>
  <c r="L741" i="48"/>
  <c r="M741" i="48"/>
  <c r="F741" i="48"/>
  <c r="E742" i="48"/>
  <c r="F225" i="48"/>
  <c r="G225" i="48"/>
  <c r="H225" i="48"/>
  <c r="I225" i="48"/>
  <c r="J225" i="48"/>
  <c r="K225" i="48"/>
  <c r="L225" i="48"/>
  <c r="M225" i="48"/>
  <c r="H70" i="48"/>
  <c r="I70" i="48"/>
  <c r="J70" i="48"/>
  <c r="K70" i="48"/>
  <c r="L70" i="48"/>
  <c r="M70" i="48"/>
  <c r="H71" i="48"/>
  <c r="I71" i="48"/>
  <c r="J71" i="48"/>
  <c r="K71" i="48"/>
  <c r="L71" i="48"/>
  <c r="M71" i="48"/>
  <c r="H72" i="48"/>
  <c r="I72" i="48"/>
  <c r="J72" i="48"/>
  <c r="K72" i="48"/>
  <c r="L72" i="48"/>
  <c r="M72" i="48"/>
  <c r="H73" i="48"/>
  <c r="I73" i="48"/>
  <c r="J73" i="48"/>
  <c r="K73" i="48"/>
  <c r="L73" i="48"/>
  <c r="M73" i="48"/>
  <c r="G70" i="48"/>
  <c r="G71" i="48"/>
  <c r="G72" i="48"/>
  <c r="G73" i="48"/>
  <c r="H79" i="48"/>
  <c r="I79" i="48"/>
  <c r="J79" i="48"/>
  <c r="K79" i="48"/>
  <c r="L79" i="48"/>
  <c r="M79" i="48"/>
  <c r="H80" i="48"/>
  <c r="I80" i="48"/>
  <c r="J80" i="48"/>
  <c r="K80" i="48"/>
  <c r="L80" i="48"/>
  <c r="M80" i="48"/>
  <c r="H81" i="48"/>
  <c r="I81" i="48"/>
  <c r="J81" i="48"/>
  <c r="K81" i="48"/>
  <c r="L81" i="48"/>
  <c r="M81" i="48"/>
  <c r="H82" i="48"/>
  <c r="I82" i="48"/>
  <c r="J82" i="48"/>
  <c r="K82" i="48"/>
  <c r="L82" i="48"/>
  <c r="M82" i="48"/>
  <c r="G82" i="48"/>
  <c r="G81" i="48"/>
  <c r="G80" i="48"/>
  <c r="G79" i="48"/>
  <c r="E7" i="34"/>
  <c r="E7" i="57"/>
  <c r="F96" i="40"/>
  <c r="F87" i="40"/>
  <c r="D50" i="40"/>
  <c r="D79" i="40" s="1"/>
  <c r="B93" i="40" s="1"/>
  <c r="D49" i="40"/>
  <c r="D78" i="40" s="1"/>
  <c r="B85" i="40" s="1"/>
  <c r="H37" i="40"/>
  <c r="I37" i="40"/>
  <c r="J37" i="40"/>
  <c r="K37" i="40"/>
  <c r="L37" i="40"/>
  <c r="M37" i="40"/>
  <c r="F37" i="40"/>
  <c r="F38" i="40" s="1"/>
  <c r="F39" i="40" s="1"/>
  <c r="E7" i="35"/>
  <c r="M156" i="47"/>
  <c r="L156" i="47"/>
  <c r="K156" i="47"/>
  <c r="J156" i="47"/>
  <c r="I156" i="47"/>
  <c r="H156" i="47"/>
  <c r="G156" i="47"/>
  <c r="F156" i="47"/>
  <c r="D156" i="47"/>
  <c r="M155" i="47"/>
  <c r="L155" i="47"/>
  <c r="K155" i="47"/>
  <c r="J155" i="47"/>
  <c r="I155" i="47"/>
  <c r="H155" i="47"/>
  <c r="G155" i="47"/>
  <c r="F155" i="47"/>
  <c r="D153" i="47"/>
  <c r="D152" i="47"/>
  <c r="D151" i="47"/>
  <c r="D150" i="47"/>
  <c r="D149" i="47"/>
  <c r="D148" i="47"/>
  <c r="D147" i="47"/>
  <c r="D146" i="47"/>
  <c r="D145" i="47"/>
  <c r="J198" i="48"/>
  <c r="I177" i="48"/>
  <c r="C231" i="52"/>
  <c r="C229" i="52"/>
  <c r="C227" i="52"/>
  <c r="C546" i="51"/>
  <c r="C552" i="51"/>
  <c r="C558" i="51"/>
  <c r="C557" i="51"/>
  <c r="C556" i="51"/>
  <c r="C551" i="51"/>
  <c r="C550" i="51"/>
  <c r="C545" i="51"/>
  <c r="E463" i="51"/>
  <c r="E462" i="51"/>
  <c r="E461" i="51"/>
  <c r="G399" i="51"/>
  <c r="H399" i="51"/>
  <c r="I399" i="51"/>
  <c r="J399" i="51"/>
  <c r="J402" i="51" s="1"/>
  <c r="K399" i="51"/>
  <c r="L399" i="51"/>
  <c r="M399" i="51"/>
  <c r="G400" i="51"/>
  <c r="H400" i="51"/>
  <c r="I400" i="51"/>
  <c r="J400" i="51"/>
  <c r="K400" i="51"/>
  <c r="L400" i="51"/>
  <c r="M400" i="51"/>
  <c r="G401" i="51"/>
  <c r="H401" i="51"/>
  <c r="I401" i="51"/>
  <c r="J401" i="51"/>
  <c r="K401" i="51"/>
  <c r="L401" i="51"/>
  <c r="M401" i="51"/>
  <c r="F401" i="51"/>
  <c r="F400" i="51"/>
  <c r="F399" i="51"/>
  <c r="F402" i="51" s="1"/>
  <c r="C38" i="95"/>
  <c r="D38" i="95"/>
  <c r="E38" i="95"/>
  <c r="F38" i="95"/>
  <c r="G38" i="95"/>
  <c r="H38" i="95"/>
  <c r="I38" i="95"/>
  <c r="C39" i="95"/>
  <c r="D39" i="95"/>
  <c r="E39" i="95"/>
  <c r="F39" i="95"/>
  <c r="G39" i="95"/>
  <c r="H39" i="95"/>
  <c r="I39" i="95"/>
  <c r="B39" i="95"/>
  <c r="B38" i="95"/>
  <c r="C26" i="95"/>
  <c r="D26" i="95"/>
  <c r="E26" i="95"/>
  <c r="F26" i="95"/>
  <c r="G26" i="95"/>
  <c r="H26" i="95"/>
  <c r="I26" i="95"/>
  <c r="C27" i="95"/>
  <c r="D27" i="95"/>
  <c r="E27" i="95"/>
  <c r="F27" i="95"/>
  <c r="G27" i="95"/>
  <c r="H27" i="95"/>
  <c r="I27" i="95"/>
  <c r="C28" i="95"/>
  <c r="D28" i="95"/>
  <c r="E28" i="95"/>
  <c r="F28" i="95"/>
  <c r="G28" i="95"/>
  <c r="H28" i="95"/>
  <c r="I28" i="95"/>
  <c r="C29" i="95"/>
  <c r="D29" i="95"/>
  <c r="E29" i="95"/>
  <c r="F29" i="95"/>
  <c r="G29" i="95"/>
  <c r="H29" i="95"/>
  <c r="I29" i="95"/>
  <c r="C30" i="95"/>
  <c r="D30" i="95"/>
  <c r="E30" i="95"/>
  <c r="F30" i="95"/>
  <c r="G30" i="95"/>
  <c r="H30" i="95"/>
  <c r="I30" i="95"/>
  <c r="C31" i="95"/>
  <c r="D31" i="95"/>
  <c r="E31" i="95"/>
  <c r="F31" i="95"/>
  <c r="G31" i="95"/>
  <c r="H31" i="95"/>
  <c r="I31" i="95"/>
  <c r="C32" i="95"/>
  <c r="D32" i="95"/>
  <c r="E32" i="95"/>
  <c r="F32" i="95"/>
  <c r="G32" i="95"/>
  <c r="H32" i="95"/>
  <c r="I32" i="95"/>
  <c r="B27" i="95"/>
  <c r="B28" i="95"/>
  <c r="B29" i="95"/>
  <c r="B30" i="95"/>
  <c r="B31" i="95"/>
  <c r="B32" i="95"/>
  <c r="B26" i="95"/>
  <c r="C15" i="95"/>
  <c r="D15" i="95"/>
  <c r="E15" i="95"/>
  <c r="F15" i="95"/>
  <c r="G15" i="95"/>
  <c r="H15" i="95"/>
  <c r="I15" i="95"/>
  <c r="C16" i="95"/>
  <c r="D16" i="95"/>
  <c r="E16" i="95"/>
  <c r="F16" i="95"/>
  <c r="G16" i="95"/>
  <c r="H16" i="95"/>
  <c r="I16" i="95"/>
  <c r="C17" i="95"/>
  <c r="D17" i="95"/>
  <c r="E17" i="95"/>
  <c r="F17" i="95"/>
  <c r="G17" i="95"/>
  <c r="H17" i="95"/>
  <c r="I17" i="95"/>
  <c r="C18" i="95"/>
  <c r="D18" i="95"/>
  <c r="E18" i="95"/>
  <c r="F18" i="95"/>
  <c r="G18" i="95"/>
  <c r="H18" i="95"/>
  <c r="I18" i="95"/>
  <c r="C19" i="95"/>
  <c r="D19" i="95"/>
  <c r="E19" i="95"/>
  <c r="F19" i="95"/>
  <c r="G19" i="95"/>
  <c r="H19" i="95"/>
  <c r="I19" i="95"/>
  <c r="C20" i="95"/>
  <c r="D20" i="95"/>
  <c r="E20" i="95"/>
  <c r="F20" i="95"/>
  <c r="G20" i="95"/>
  <c r="H20" i="95"/>
  <c r="I20" i="95"/>
  <c r="C21" i="95"/>
  <c r="D21" i="95"/>
  <c r="E21" i="95"/>
  <c r="F21" i="95"/>
  <c r="G21" i="95"/>
  <c r="H21" i="95"/>
  <c r="I21" i="95"/>
  <c r="B16" i="95"/>
  <c r="B17" i="95"/>
  <c r="B18" i="95"/>
  <c r="B19" i="95"/>
  <c r="B20" i="95"/>
  <c r="B21" i="95"/>
  <c r="B15" i="95"/>
  <c r="B10" i="95"/>
  <c r="C10" i="95"/>
  <c r="D10" i="95"/>
  <c r="E10" i="95"/>
  <c r="F10" i="95"/>
  <c r="G10" i="95"/>
  <c r="H10" i="95"/>
  <c r="I10" i="95"/>
  <c r="C11" i="95"/>
  <c r="D11" i="95"/>
  <c r="E11" i="95"/>
  <c r="F11" i="95"/>
  <c r="G11" i="95"/>
  <c r="H11" i="95"/>
  <c r="I11" i="95"/>
  <c r="B11" i="95"/>
  <c r="D143" i="95"/>
  <c r="C143" i="95"/>
  <c r="D142" i="95"/>
  <c r="C142" i="95"/>
  <c r="D141" i="95"/>
  <c r="C141" i="95"/>
  <c r="D140" i="95"/>
  <c r="C140" i="95"/>
  <c r="D139" i="95"/>
  <c r="C139" i="95"/>
  <c r="D138" i="95"/>
  <c r="C138" i="95"/>
  <c r="D137" i="95"/>
  <c r="C137" i="95"/>
  <c r="D136" i="95"/>
  <c r="C136" i="95"/>
  <c r="D135" i="95"/>
  <c r="C135" i="95"/>
  <c r="D134" i="95"/>
  <c r="C134" i="95"/>
  <c r="D133" i="95"/>
  <c r="C133" i="95"/>
  <c r="D132" i="95"/>
  <c r="C132" i="95"/>
  <c r="D131" i="95"/>
  <c r="C131" i="95"/>
  <c r="D130" i="95"/>
  <c r="C130" i="95"/>
  <c r="E354" i="50"/>
  <c r="E355" i="50"/>
  <c r="E356" i="50"/>
  <c r="E357" i="50"/>
  <c r="E353" i="50"/>
  <c r="H118" i="45"/>
  <c r="K118" i="45" s="1"/>
  <c r="N118" i="45" s="1"/>
  <c r="H119" i="45"/>
  <c r="K119" i="45" s="1"/>
  <c r="N119" i="45" s="1"/>
  <c r="H120" i="45"/>
  <c r="K120" i="45" s="1"/>
  <c r="N120" i="45" s="1"/>
  <c r="H117" i="45"/>
  <c r="K117" i="45" s="1"/>
  <c r="N117" i="45" s="1"/>
  <c r="H116" i="45"/>
  <c r="K116" i="45" s="1"/>
  <c r="N116" i="45" s="1"/>
  <c r="C446" i="41"/>
  <c r="C447" i="41"/>
  <c r="C448" i="41"/>
  <c r="C449" i="41"/>
  <c r="C450" i="41"/>
  <c r="C451" i="41"/>
  <c r="C452" i="41"/>
  <c r="C453" i="41"/>
  <c r="C454" i="41"/>
  <c r="C456" i="41"/>
  <c r="C457" i="41"/>
  <c r="C458" i="41"/>
  <c r="C459" i="41"/>
  <c r="C460" i="41"/>
  <c r="C461" i="41"/>
  <c r="C462" i="41"/>
  <c r="C463" i="41"/>
  <c r="C464" i="41"/>
  <c r="C437" i="41"/>
  <c r="C438" i="41"/>
  <c r="C439" i="41"/>
  <c r="C440" i="41"/>
  <c r="C441" i="41"/>
  <c r="C442" i="41"/>
  <c r="C443" i="41"/>
  <c r="C444" i="41"/>
  <c r="C436" i="41"/>
  <c r="G13" i="45"/>
  <c r="G14" i="45"/>
  <c r="G15" i="45"/>
  <c r="G16" i="45"/>
  <c r="G17" i="45"/>
  <c r="G18" i="45"/>
  <c r="G19" i="45"/>
  <c r="G20" i="45"/>
  <c r="G21" i="45"/>
  <c r="G22" i="45"/>
  <c r="G23" i="45"/>
  <c r="G24" i="45"/>
  <c r="G25" i="45"/>
  <c r="G26" i="45"/>
  <c r="G27" i="45"/>
  <c r="G28" i="45"/>
  <c r="G29" i="45"/>
  <c r="G30" i="45"/>
  <c r="G31" i="45"/>
  <c r="G32" i="45"/>
  <c r="G33" i="45"/>
  <c r="G34" i="45"/>
  <c r="G35" i="45"/>
  <c r="G36" i="45"/>
  <c r="G37" i="45"/>
  <c r="G38" i="45"/>
  <c r="G39" i="45"/>
  <c r="G40" i="45"/>
  <c r="G41" i="45"/>
  <c r="G42" i="45"/>
  <c r="G43" i="45"/>
  <c r="G44" i="45"/>
  <c r="G45" i="45"/>
  <c r="G46" i="45"/>
  <c r="G47" i="45"/>
  <c r="G48" i="45"/>
  <c r="G49" i="45"/>
  <c r="G50" i="45"/>
  <c r="G51" i="45"/>
  <c r="G52" i="45"/>
  <c r="G53" i="45"/>
  <c r="G54" i="45"/>
  <c r="G55" i="45"/>
  <c r="G56" i="45"/>
  <c r="G57" i="45"/>
  <c r="G58" i="45"/>
  <c r="G59" i="45"/>
  <c r="G60" i="45"/>
  <c r="G61" i="45"/>
  <c r="G62" i="45"/>
  <c r="G63" i="45"/>
  <c r="G64" i="45"/>
  <c r="G65" i="45"/>
  <c r="G66" i="45"/>
  <c r="G67" i="45"/>
  <c r="G68" i="45"/>
  <c r="G69" i="45"/>
  <c r="G70" i="45"/>
  <c r="G71" i="45"/>
  <c r="G72" i="45"/>
  <c r="G73" i="45"/>
  <c r="G74" i="45"/>
  <c r="G75" i="45"/>
  <c r="G76" i="45"/>
  <c r="G77" i="45"/>
  <c r="G78" i="45"/>
  <c r="G79" i="45"/>
  <c r="G80" i="45"/>
  <c r="G81" i="45"/>
  <c r="G82" i="45"/>
  <c r="G83" i="45"/>
  <c r="G84" i="45"/>
  <c r="G85" i="45"/>
  <c r="G86" i="45"/>
  <c r="G87" i="45"/>
  <c r="G88" i="45"/>
  <c r="G89" i="45"/>
  <c r="G90" i="45"/>
  <c r="G91" i="45"/>
  <c r="G92" i="45"/>
  <c r="G93" i="45"/>
  <c r="G94" i="45"/>
  <c r="G95" i="45"/>
  <c r="G96" i="45"/>
  <c r="G97" i="45"/>
  <c r="G98" i="45"/>
  <c r="G99" i="45"/>
  <c r="G100" i="45"/>
  <c r="G101" i="45"/>
  <c r="G102" i="45"/>
  <c r="G103" i="45"/>
  <c r="G104" i="45"/>
  <c r="G105" i="45"/>
  <c r="G106" i="45"/>
  <c r="G107" i="45"/>
  <c r="G108" i="45"/>
  <c r="G109" i="45"/>
  <c r="G110" i="45"/>
  <c r="G111" i="45"/>
  <c r="G112" i="45"/>
  <c r="G113" i="45"/>
  <c r="G114" i="45"/>
  <c r="G115" i="45"/>
  <c r="G116" i="45"/>
  <c r="G117" i="45"/>
  <c r="G118" i="45"/>
  <c r="G119" i="45"/>
  <c r="G120" i="45"/>
  <c r="G12" i="45"/>
  <c r="G11" i="45"/>
  <c r="M123" i="45"/>
  <c r="P123" i="45" s="1"/>
  <c r="M124" i="45"/>
  <c r="P124" i="45" s="1"/>
  <c r="M125" i="45"/>
  <c r="P125" i="45" s="1"/>
  <c r="M126" i="45"/>
  <c r="P126" i="45" s="1"/>
  <c r="M127" i="45"/>
  <c r="P127" i="45" s="1"/>
  <c r="M128" i="45"/>
  <c r="P128" i="45" s="1"/>
  <c r="M129" i="45"/>
  <c r="P129" i="45" s="1"/>
  <c r="M130" i="45"/>
  <c r="P130" i="45" s="1"/>
  <c r="M131" i="45"/>
  <c r="P131" i="45" s="1"/>
  <c r="M132" i="45"/>
  <c r="P132" i="45" s="1"/>
  <c r="F7" i="94"/>
  <c r="I22" i="59"/>
  <c r="E7" i="94"/>
  <c r="K12" i="45"/>
  <c r="N12" i="45" s="1"/>
  <c r="L12" i="45"/>
  <c r="O12" i="45" s="1"/>
  <c r="M12" i="45"/>
  <c r="P12" i="45" s="1"/>
  <c r="K13" i="45"/>
  <c r="N13" i="45" s="1"/>
  <c r="L13" i="45"/>
  <c r="O13" i="45" s="1"/>
  <c r="M13" i="45"/>
  <c r="P13" i="45" s="1"/>
  <c r="K14" i="45"/>
  <c r="N14" i="45" s="1"/>
  <c r="L14" i="45"/>
  <c r="O14" i="45" s="1"/>
  <c r="M14" i="45"/>
  <c r="P14" i="45" s="1"/>
  <c r="K15" i="45"/>
  <c r="N15" i="45" s="1"/>
  <c r="L15" i="45"/>
  <c r="O15" i="45" s="1"/>
  <c r="M15" i="45"/>
  <c r="P15" i="45" s="1"/>
  <c r="K16" i="45"/>
  <c r="N16" i="45" s="1"/>
  <c r="L16" i="45"/>
  <c r="O16" i="45" s="1"/>
  <c r="M16" i="45"/>
  <c r="P16" i="45" s="1"/>
  <c r="K17" i="45"/>
  <c r="N17" i="45" s="1"/>
  <c r="L17" i="45"/>
  <c r="O17" i="45" s="1"/>
  <c r="M17" i="45"/>
  <c r="P17" i="45" s="1"/>
  <c r="K18" i="45"/>
  <c r="N18" i="45" s="1"/>
  <c r="L18" i="45"/>
  <c r="O18" i="45" s="1"/>
  <c r="M18" i="45"/>
  <c r="P18" i="45" s="1"/>
  <c r="K19" i="45"/>
  <c r="N19" i="45" s="1"/>
  <c r="L19" i="45"/>
  <c r="O19" i="45" s="1"/>
  <c r="M19" i="45"/>
  <c r="P19" i="45" s="1"/>
  <c r="K20" i="45"/>
  <c r="N20" i="45" s="1"/>
  <c r="L20" i="45"/>
  <c r="O20" i="45" s="1"/>
  <c r="M20" i="45"/>
  <c r="P20" i="45" s="1"/>
  <c r="K21" i="45"/>
  <c r="N21" i="45" s="1"/>
  <c r="L21" i="45"/>
  <c r="O21" i="45" s="1"/>
  <c r="M21" i="45"/>
  <c r="P21" i="45" s="1"/>
  <c r="K22" i="45"/>
  <c r="N22" i="45" s="1"/>
  <c r="L22" i="45"/>
  <c r="O22" i="45" s="1"/>
  <c r="M22" i="45"/>
  <c r="P22" i="45" s="1"/>
  <c r="K23" i="45"/>
  <c r="N23" i="45" s="1"/>
  <c r="L23" i="45"/>
  <c r="O23" i="45" s="1"/>
  <c r="M23" i="45"/>
  <c r="P23" i="45" s="1"/>
  <c r="K24" i="45"/>
  <c r="N24" i="45" s="1"/>
  <c r="L24" i="45"/>
  <c r="O24" i="45" s="1"/>
  <c r="M24" i="45"/>
  <c r="P24" i="45" s="1"/>
  <c r="K25" i="45"/>
  <c r="N25" i="45" s="1"/>
  <c r="L25" i="45"/>
  <c r="O25" i="45" s="1"/>
  <c r="M25" i="45"/>
  <c r="P25" i="45" s="1"/>
  <c r="K26" i="45"/>
  <c r="N26" i="45" s="1"/>
  <c r="L26" i="45"/>
  <c r="O26" i="45" s="1"/>
  <c r="M26" i="45"/>
  <c r="P26" i="45" s="1"/>
  <c r="K27" i="45"/>
  <c r="N27" i="45" s="1"/>
  <c r="L27" i="45"/>
  <c r="O27" i="45" s="1"/>
  <c r="M27" i="45"/>
  <c r="P27" i="45" s="1"/>
  <c r="K28" i="45"/>
  <c r="N28" i="45" s="1"/>
  <c r="L28" i="45"/>
  <c r="O28" i="45" s="1"/>
  <c r="M28" i="45"/>
  <c r="P28" i="45" s="1"/>
  <c r="K29" i="45"/>
  <c r="N29" i="45" s="1"/>
  <c r="L29" i="45"/>
  <c r="O29" i="45" s="1"/>
  <c r="M29" i="45"/>
  <c r="P29" i="45" s="1"/>
  <c r="K30" i="45"/>
  <c r="N30" i="45" s="1"/>
  <c r="L30" i="45"/>
  <c r="O30" i="45" s="1"/>
  <c r="M30" i="45"/>
  <c r="P30" i="45" s="1"/>
  <c r="K31" i="45"/>
  <c r="N31" i="45" s="1"/>
  <c r="L31" i="45"/>
  <c r="O31" i="45" s="1"/>
  <c r="M31" i="45"/>
  <c r="P31" i="45" s="1"/>
  <c r="K32" i="45"/>
  <c r="N32" i="45" s="1"/>
  <c r="L32" i="45"/>
  <c r="O32" i="45" s="1"/>
  <c r="M32" i="45"/>
  <c r="P32" i="45" s="1"/>
  <c r="K33" i="45"/>
  <c r="N33" i="45" s="1"/>
  <c r="L33" i="45"/>
  <c r="O33" i="45" s="1"/>
  <c r="M33" i="45"/>
  <c r="P33" i="45" s="1"/>
  <c r="K34" i="45"/>
  <c r="N34" i="45" s="1"/>
  <c r="L34" i="45"/>
  <c r="O34" i="45" s="1"/>
  <c r="M34" i="45"/>
  <c r="P34" i="45" s="1"/>
  <c r="K35" i="45"/>
  <c r="N35" i="45" s="1"/>
  <c r="L35" i="45"/>
  <c r="O35" i="45" s="1"/>
  <c r="M35" i="45"/>
  <c r="P35" i="45" s="1"/>
  <c r="K36" i="45"/>
  <c r="N36" i="45" s="1"/>
  <c r="L36" i="45"/>
  <c r="O36" i="45" s="1"/>
  <c r="M36" i="45"/>
  <c r="P36" i="45" s="1"/>
  <c r="K37" i="45"/>
  <c r="N37" i="45" s="1"/>
  <c r="L37" i="45"/>
  <c r="O37" i="45" s="1"/>
  <c r="M37" i="45"/>
  <c r="P37" i="45" s="1"/>
  <c r="K38" i="45"/>
  <c r="N38" i="45" s="1"/>
  <c r="L38" i="45"/>
  <c r="O38" i="45" s="1"/>
  <c r="M38" i="45"/>
  <c r="P38" i="45" s="1"/>
  <c r="K39" i="45"/>
  <c r="N39" i="45" s="1"/>
  <c r="L39" i="45"/>
  <c r="O39" i="45" s="1"/>
  <c r="M39" i="45"/>
  <c r="P39" i="45" s="1"/>
  <c r="K40" i="45"/>
  <c r="N40" i="45" s="1"/>
  <c r="L40" i="45"/>
  <c r="O40" i="45" s="1"/>
  <c r="M40" i="45"/>
  <c r="P40" i="45" s="1"/>
  <c r="K41" i="45"/>
  <c r="N41" i="45" s="1"/>
  <c r="K42" i="45"/>
  <c r="N42" i="45" s="1"/>
  <c r="L42" i="45"/>
  <c r="O42" i="45" s="1"/>
  <c r="M42" i="45"/>
  <c r="P42" i="45" s="1"/>
  <c r="K43" i="45"/>
  <c r="N43" i="45" s="1"/>
  <c r="L43" i="45"/>
  <c r="O43" i="45" s="1"/>
  <c r="M43" i="45"/>
  <c r="P43" i="45" s="1"/>
  <c r="K44" i="45"/>
  <c r="N44" i="45" s="1"/>
  <c r="L44" i="45"/>
  <c r="O44" i="45" s="1"/>
  <c r="M44" i="45"/>
  <c r="P44" i="45" s="1"/>
  <c r="K45" i="45"/>
  <c r="N45" i="45" s="1"/>
  <c r="L45" i="45"/>
  <c r="O45" i="45" s="1"/>
  <c r="M45" i="45"/>
  <c r="P45" i="45" s="1"/>
  <c r="K46" i="45"/>
  <c r="N46" i="45" s="1"/>
  <c r="L46" i="45"/>
  <c r="O46" i="45" s="1"/>
  <c r="M46" i="45"/>
  <c r="P46" i="45" s="1"/>
  <c r="K47" i="45"/>
  <c r="N47" i="45" s="1"/>
  <c r="L47" i="45"/>
  <c r="O47" i="45" s="1"/>
  <c r="M47" i="45"/>
  <c r="P47" i="45" s="1"/>
  <c r="K48" i="45"/>
  <c r="N48" i="45" s="1"/>
  <c r="L48" i="45"/>
  <c r="O48" i="45" s="1"/>
  <c r="M48" i="45"/>
  <c r="P48" i="45" s="1"/>
  <c r="K49" i="45"/>
  <c r="N49" i="45" s="1"/>
  <c r="L49" i="45"/>
  <c r="O49" i="45" s="1"/>
  <c r="M49" i="45"/>
  <c r="P49" i="45" s="1"/>
  <c r="K50" i="45"/>
  <c r="N50" i="45" s="1"/>
  <c r="L50" i="45"/>
  <c r="O50" i="45" s="1"/>
  <c r="M50" i="45"/>
  <c r="P50" i="45" s="1"/>
  <c r="K51" i="45"/>
  <c r="N51" i="45" s="1"/>
  <c r="L51" i="45"/>
  <c r="O51" i="45" s="1"/>
  <c r="M51" i="45"/>
  <c r="P51" i="45" s="1"/>
  <c r="K52" i="45"/>
  <c r="N52" i="45" s="1"/>
  <c r="L52" i="45"/>
  <c r="O52" i="45" s="1"/>
  <c r="M52" i="45"/>
  <c r="P52" i="45" s="1"/>
  <c r="K53" i="45"/>
  <c r="N53" i="45" s="1"/>
  <c r="L53" i="45"/>
  <c r="O53" i="45" s="1"/>
  <c r="M53" i="45"/>
  <c r="P53" i="45" s="1"/>
  <c r="K54" i="45"/>
  <c r="N54" i="45" s="1"/>
  <c r="L54" i="45"/>
  <c r="O54" i="45" s="1"/>
  <c r="M54" i="45"/>
  <c r="P54" i="45" s="1"/>
  <c r="K55" i="45"/>
  <c r="N55" i="45" s="1"/>
  <c r="L55" i="45"/>
  <c r="O55" i="45" s="1"/>
  <c r="M55" i="45"/>
  <c r="P55" i="45" s="1"/>
  <c r="K56" i="45"/>
  <c r="N56" i="45" s="1"/>
  <c r="L56" i="45"/>
  <c r="O56" i="45" s="1"/>
  <c r="M56" i="45"/>
  <c r="P56" i="45" s="1"/>
  <c r="K57" i="45"/>
  <c r="N57" i="45" s="1"/>
  <c r="L57" i="45"/>
  <c r="O57" i="45" s="1"/>
  <c r="M57" i="45"/>
  <c r="P57" i="45" s="1"/>
  <c r="K58" i="45"/>
  <c r="N58" i="45" s="1"/>
  <c r="L58" i="45"/>
  <c r="O58" i="45" s="1"/>
  <c r="M58" i="45"/>
  <c r="P58" i="45" s="1"/>
  <c r="K59" i="45"/>
  <c r="N59" i="45" s="1"/>
  <c r="L59" i="45"/>
  <c r="O59" i="45" s="1"/>
  <c r="M59" i="45"/>
  <c r="P59" i="45" s="1"/>
  <c r="K60" i="45"/>
  <c r="N60" i="45" s="1"/>
  <c r="L60" i="45"/>
  <c r="O60" i="45" s="1"/>
  <c r="M60" i="45"/>
  <c r="P60" i="45" s="1"/>
  <c r="K61" i="45"/>
  <c r="N61" i="45" s="1"/>
  <c r="L61" i="45"/>
  <c r="O61" i="45" s="1"/>
  <c r="M61" i="45"/>
  <c r="P61" i="45" s="1"/>
  <c r="K62" i="45"/>
  <c r="N62" i="45" s="1"/>
  <c r="L62" i="45"/>
  <c r="O62" i="45" s="1"/>
  <c r="M62" i="45"/>
  <c r="P62" i="45" s="1"/>
  <c r="K63" i="45"/>
  <c r="N63" i="45" s="1"/>
  <c r="L63" i="45"/>
  <c r="O63" i="45" s="1"/>
  <c r="M63" i="45"/>
  <c r="P63" i="45" s="1"/>
  <c r="K64" i="45"/>
  <c r="N64" i="45" s="1"/>
  <c r="L64" i="45"/>
  <c r="O64" i="45" s="1"/>
  <c r="M64" i="45"/>
  <c r="P64" i="45" s="1"/>
  <c r="K65" i="45"/>
  <c r="N65" i="45" s="1"/>
  <c r="L65" i="45"/>
  <c r="O65" i="45" s="1"/>
  <c r="M65" i="45"/>
  <c r="P65" i="45" s="1"/>
  <c r="K66" i="45"/>
  <c r="N66" i="45" s="1"/>
  <c r="L66" i="45"/>
  <c r="O66" i="45" s="1"/>
  <c r="M66" i="45"/>
  <c r="P66" i="45" s="1"/>
  <c r="K67" i="45"/>
  <c r="N67" i="45" s="1"/>
  <c r="L67" i="45"/>
  <c r="O67" i="45" s="1"/>
  <c r="M67" i="45"/>
  <c r="P67" i="45" s="1"/>
  <c r="K68" i="45"/>
  <c r="N68" i="45" s="1"/>
  <c r="L68" i="45"/>
  <c r="O68" i="45" s="1"/>
  <c r="M68" i="45"/>
  <c r="P68" i="45" s="1"/>
  <c r="K69" i="45"/>
  <c r="N69" i="45" s="1"/>
  <c r="L69" i="45"/>
  <c r="O69" i="45" s="1"/>
  <c r="M69" i="45"/>
  <c r="P69" i="45" s="1"/>
  <c r="K70" i="45"/>
  <c r="N70" i="45" s="1"/>
  <c r="L70" i="45"/>
  <c r="O70" i="45" s="1"/>
  <c r="M70" i="45"/>
  <c r="P70" i="45" s="1"/>
  <c r="K71" i="45"/>
  <c r="N71" i="45" s="1"/>
  <c r="L71" i="45"/>
  <c r="O71" i="45" s="1"/>
  <c r="M71" i="45"/>
  <c r="P71" i="45" s="1"/>
  <c r="K72" i="45"/>
  <c r="N72" i="45" s="1"/>
  <c r="L72" i="45"/>
  <c r="O72" i="45" s="1"/>
  <c r="M72" i="45"/>
  <c r="P72" i="45" s="1"/>
  <c r="K73" i="45"/>
  <c r="N73" i="45" s="1"/>
  <c r="L73" i="45"/>
  <c r="O73" i="45" s="1"/>
  <c r="M73" i="45"/>
  <c r="P73" i="45" s="1"/>
  <c r="K74" i="45"/>
  <c r="N74" i="45" s="1"/>
  <c r="L74" i="45"/>
  <c r="O74" i="45" s="1"/>
  <c r="M74" i="45"/>
  <c r="P74" i="45" s="1"/>
  <c r="K75" i="45"/>
  <c r="N75" i="45" s="1"/>
  <c r="L75" i="45"/>
  <c r="O75" i="45" s="1"/>
  <c r="M75" i="45"/>
  <c r="P75" i="45" s="1"/>
  <c r="K76" i="45"/>
  <c r="N76" i="45" s="1"/>
  <c r="L76" i="45"/>
  <c r="O76" i="45" s="1"/>
  <c r="M76" i="45"/>
  <c r="P76" i="45" s="1"/>
  <c r="K77" i="45"/>
  <c r="N77" i="45" s="1"/>
  <c r="L77" i="45"/>
  <c r="O77" i="45" s="1"/>
  <c r="M77" i="45"/>
  <c r="P77" i="45" s="1"/>
  <c r="K78" i="45"/>
  <c r="N78" i="45" s="1"/>
  <c r="L78" i="45"/>
  <c r="O78" i="45" s="1"/>
  <c r="M78" i="45"/>
  <c r="P78" i="45" s="1"/>
  <c r="K79" i="45"/>
  <c r="N79" i="45" s="1"/>
  <c r="L79" i="45"/>
  <c r="O79" i="45" s="1"/>
  <c r="M79" i="45"/>
  <c r="P79" i="45" s="1"/>
  <c r="K80" i="45"/>
  <c r="N80" i="45" s="1"/>
  <c r="L80" i="45"/>
  <c r="O80" i="45" s="1"/>
  <c r="M80" i="45"/>
  <c r="P80" i="45" s="1"/>
  <c r="K81" i="45"/>
  <c r="N81" i="45" s="1"/>
  <c r="L81" i="45"/>
  <c r="O81" i="45" s="1"/>
  <c r="M81" i="45"/>
  <c r="P81" i="45" s="1"/>
  <c r="K82" i="45"/>
  <c r="N82" i="45" s="1"/>
  <c r="L82" i="45"/>
  <c r="O82" i="45" s="1"/>
  <c r="M82" i="45"/>
  <c r="P82" i="45" s="1"/>
  <c r="K83" i="45"/>
  <c r="N83" i="45" s="1"/>
  <c r="L83" i="45"/>
  <c r="O83" i="45" s="1"/>
  <c r="M83" i="45"/>
  <c r="P83" i="45" s="1"/>
  <c r="K84" i="45"/>
  <c r="N84" i="45" s="1"/>
  <c r="L84" i="45"/>
  <c r="O84" i="45" s="1"/>
  <c r="M84" i="45"/>
  <c r="P84" i="45" s="1"/>
  <c r="K85" i="45"/>
  <c r="N85" i="45" s="1"/>
  <c r="L85" i="45"/>
  <c r="O85" i="45" s="1"/>
  <c r="M85" i="45"/>
  <c r="P85" i="45" s="1"/>
  <c r="K86" i="45"/>
  <c r="N86" i="45" s="1"/>
  <c r="L86" i="45"/>
  <c r="O86" i="45" s="1"/>
  <c r="M86" i="45"/>
  <c r="P86" i="45" s="1"/>
  <c r="K87" i="45"/>
  <c r="N87" i="45" s="1"/>
  <c r="L87" i="45"/>
  <c r="O87" i="45" s="1"/>
  <c r="M87" i="45"/>
  <c r="P87" i="45" s="1"/>
  <c r="K88" i="45"/>
  <c r="N88" i="45" s="1"/>
  <c r="L88" i="45"/>
  <c r="O88" i="45" s="1"/>
  <c r="M88" i="45"/>
  <c r="P88" i="45" s="1"/>
  <c r="K89" i="45"/>
  <c r="N89" i="45" s="1"/>
  <c r="L89" i="45"/>
  <c r="O89" i="45" s="1"/>
  <c r="M89" i="45"/>
  <c r="P89" i="45" s="1"/>
  <c r="K90" i="45"/>
  <c r="N90" i="45" s="1"/>
  <c r="L90" i="45"/>
  <c r="O90" i="45" s="1"/>
  <c r="M90" i="45"/>
  <c r="P90" i="45" s="1"/>
  <c r="K91" i="45"/>
  <c r="N91" i="45" s="1"/>
  <c r="L91" i="45"/>
  <c r="O91" i="45" s="1"/>
  <c r="M91" i="45"/>
  <c r="P91" i="45" s="1"/>
  <c r="K92" i="45"/>
  <c r="N92" i="45" s="1"/>
  <c r="L92" i="45"/>
  <c r="O92" i="45" s="1"/>
  <c r="M92" i="45"/>
  <c r="P92" i="45" s="1"/>
  <c r="K93" i="45"/>
  <c r="N93" i="45" s="1"/>
  <c r="L93" i="45"/>
  <c r="O93" i="45" s="1"/>
  <c r="M93" i="45"/>
  <c r="P93" i="45" s="1"/>
  <c r="K94" i="45"/>
  <c r="N94" i="45" s="1"/>
  <c r="L94" i="45"/>
  <c r="O94" i="45" s="1"/>
  <c r="M94" i="45"/>
  <c r="P94" i="45" s="1"/>
  <c r="K95" i="45"/>
  <c r="N95" i="45" s="1"/>
  <c r="L95" i="45"/>
  <c r="O95" i="45" s="1"/>
  <c r="M95" i="45"/>
  <c r="P95" i="45" s="1"/>
  <c r="K96" i="45"/>
  <c r="N96" i="45" s="1"/>
  <c r="L96" i="45"/>
  <c r="O96" i="45" s="1"/>
  <c r="M96" i="45"/>
  <c r="P96" i="45" s="1"/>
  <c r="K97" i="45"/>
  <c r="N97" i="45" s="1"/>
  <c r="L97" i="45"/>
  <c r="O97" i="45" s="1"/>
  <c r="M97" i="45"/>
  <c r="P97" i="45" s="1"/>
  <c r="K98" i="45"/>
  <c r="N98" i="45" s="1"/>
  <c r="L98" i="45"/>
  <c r="O98" i="45" s="1"/>
  <c r="M98" i="45"/>
  <c r="P98" i="45" s="1"/>
  <c r="K99" i="45"/>
  <c r="N99" i="45" s="1"/>
  <c r="L99" i="45"/>
  <c r="O99" i="45" s="1"/>
  <c r="M99" i="45"/>
  <c r="P99" i="45" s="1"/>
  <c r="K100" i="45"/>
  <c r="N100" i="45" s="1"/>
  <c r="L100" i="45"/>
  <c r="O100" i="45" s="1"/>
  <c r="M100" i="45"/>
  <c r="P100" i="45" s="1"/>
  <c r="K101" i="45"/>
  <c r="N101" i="45" s="1"/>
  <c r="L101" i="45"/>
  <c r="O101" i="45" s="1"/>
  <c r="M101" i="45"/>
  <c r="P101" i="45" s="1"/>
  <c r="K102" i="45"/>
  <c r="N102" i="45" s="1"/>
  <c r="L102" i="45"/>
  <c r="O102" i="45" s="1"/>
  <c r="M102" i="45"/>
  <c r="P102" i="45" s="1"/>
  <c r="K103" i="45"/>
  <c r="N103" i="45" s="1"/>
  <c r="L103" i="45"/>
  <c r="O103" i="45" s="1"/>
  <c r="M103" i="45"/>
  <c r="P103" i="45" s="1"/>
  <c r="K104" i="45"/>
  <c r="N104" i="45" s="1"/>
  <c r="L104" i="45"/>
  <c r="O104" i="45" s="1"/>
  <c r="M104" i="45"/>
  <c r="P104" i="45" s="1"/>
  <c r="K105" i="45"/>
  <c r="N105" i="45" s="1"/>
  <c r="L105" i="45"/>
  <c r="O105" i="45" s="1"/>
  <c r="M105" i="45"/>
  <c r="P105" i="45" s="1"/>
  <c r="K106" i="45"/>
  <c r="N106" i="45" s="1"/>
  <c r="L106" i="45"/>
  <c r="O106" i="45" s="1"/>
  <c r="M106" i="45"/>
  <c r="P106" i="45" s="1"/>
  <c r="K107" i="45"/>
  <c r="N107" i="45" s="1"/>
  <c r="L107" i="45"/>
  <c r="O107" i="45" s="1"/>
  <c r="M107" i="45"/>
  <c r="P107" i="45" s="1"/>
  <c r="K108" i="45"/>
  <c r="N108" i="45" s="1"/>
  <c r="L108" i="45"/>
  <c r="O108" i="45" s="1"/>
  <c r="M108" i="45"/>
  <c r="P108" i="45" s="1"/>
  <c r="K109" i="45"/>
  <c r="N109" i="45" s="1"/>
  <c r="L109" i="45"/>
  <c r="O109" i="45" s="1"/>
  <c r="M109" i="45"/>
  <c r="P109" i="45" s="1"/>
  <c r="K110" i="45"/>
  <c r="N110" i="45" s="1"/>
  <c r="L110" i="45"/>
  <c r="O110" i="45" s="1"/>
  <c r="M110" i="45"/>
  <c r="P110" i="45" s="1"/>
  <c r="K111" i="45"/>
  <c r="N111" i="45" s="1"/>
  <c r="L111" i="45"/>
  <c r="O111" i="45" s="1"/>
  <c r="M111" i="45"/>
  <c r="P111" i="45" s="1"/>
  <c r="K112" i="45"/>
  <c r="N112" i="45" s="1"/>
  <c r="L112" i="45"/>
  <c r="O112" i="45" s="1"/>
  <c r="M112" i="45"/>
  <c r="P112" i="45" s="1"/>
  <c r="K113" i="45"/>
  <c r="N113" i="45" s="1"/>
  <c r="L113" i="45"/>
  <c r="O113" i="45" s="1"/>
  <c r="M113" i="45"/>
  <c r="P113" i="45" s="1"/>
  <c r="K114" i="45"/>
  <c r="N114" i="45" s="1"/>
  <c r="L114" i="45"/>
  <c r="O114" i="45" s="1"/>
  <c r="M114" i="45"/>
  <c r="P114" i="45" s="1"/>
  <c r="K115" i="45"/>
  <c r="N115" i="45" s="1"/>
  <c r="L115" i="45"/>
  <c r="O115" i="45" s="1"/>
  <c r="M115" i="45"/>
  <c r="P115" i="45" s="1"/>
  <c r="L116" i="45"/>
  <c r="O116" i="45" s="1"/>
  <c r="M116" i="45"/>
  <c r="P116" i="45" s="1"/>
  <c r="L117" i="45"/>
  <c r="O117" i="45" s="1"/>
  <c r="M117" i="45"/>
  <c r="P117" i="45" s="1"/>
  <c r="L118" i="45"/>
  <c r="O118" i="45" s="1"/>
  <c r="M118" i="45"/>
  <c r="P118" i="45" s="1"/>
  <c r="L119" i="45"/>
  <c r="O119" i="45" s="1"/>
  <c r="M119" i="45"/>
  <c r="P119" i="45" s="1"/>
  <c r="L120" i="45"/>
  <c r="O120" i="45" s="1"/>
  <c r="M120" i="45"/>
  <c r="P120" i="45" s="1"/>
  <c r="M11" i="45"/>
  <c r="P11" i="45" s="1"/>
  <c r="L11" i="45"/>
  <c r="O11" i="45" s="1"/>
  <c r="K11" i="45"/>
  <c r="N11" i="45" s="1"/>
  <c r="L140" i="41"/>
  <c r="M139" i="41" s="1"/>
  <c r="H140" i="41"/>
  <c r="D140" i="41"/>
  <c r="J41" i="45"/>
  <c r="M41" i="45" s="1"/>
  <c r="P41" i="45" s="1"/>
  <c r="I41" i="45"/>
  <c r="L41" i="45" s="1"/>
  <c r="O41" i="45" s="1"/>
  <c r="G279" i="50"/>
  <c r="H279" i="50" s="1"/>
  <c r="I279" i="50" s="1"/>
  <c r="J279" i="50" s="1"/>
  <c r="K279" i="50" s="1"/>
  <c r="L279" i="50" s="1"/>
  <c r="E8" i="41"/>
  <c r="F338" i="41"/>
  <c r="G335" i="41"/>
  <c r="H335" i="41"/>
  <c r="I335" i="41"/>
  <c r="J335" i="41"/>
  <c r="K335" i="41"/>
  <c r="L335" i="41"/>
  <c r="M335" i="41"/>
  <c r="G338" i="41"/>
  <c r="H338" i="41"/>
  <c r="I338" i="41"/>
  <c r="J338" i="41"/>
  <c r="K338" i="41"/>
  <c r="L338" i="41"/>
  <c r="M338" i="41"/>
  <c r="F335" i="41"/>
  <c r="G325" i="41"/>
  <c r="H325" i="41"/>
  <c r="I325" i="41"/>
  <c r="J325" i="41"/>
  <c r="K325" i="41"/>
  <c r="L325" i="41"/>
  <c r="M325" i="41"/>
  <c r="F325" i="41"/>
  <c r="G328" i="41"/>
  <c r="H328" i="41"/>
  <c r="I328" i="41"/>
  <c r="J328" i="41"/>
  <c r="K328" i="41"/>
  <c r="L328" i="41"/>
  <c r="M328" i="41"/>
  <c r="F328" i="41"/>
  <c r="F318" i="41"/>
  <c r="G318" i="41"/>
  <c r="H318" i="41"/>
  <c r="I318" i="41"/>
  <c r="J318" i="41"/>
  <c r="K318" i="41"/>
  <c r="L318" i="41"/>
  <c r="M318" i="41"/>
  <c r="F355" i="41"/>
  <c r="G315" i="41"/>
  <c r="H315" i="41"/>
  <c r="I315" i="41"/>
  <c r="J315" i="41"/>
  <c r="K315" i="41"/>
  <c r="L315" i="41"/>
  <c r="M315" i="41"/>
  <c r="F315" i="41"/>
  <c r="F360" i="41"/>
  <c r="E302" i="41"/>
  <c r="E305" i="41" s="1"/>
  <c r="E8" i="12"/>
  <c r="E9" i="12" s="1"/>
  <c r="E10" i="12" s="1"/>
  <c r="B8" i="12"/>
  <c r="B2" i="34"/>
  <c r="D7" i="34" s="1"/>
  <c r="B2" i="35"/>
  <c r="D7" i="35" s="1"/>
  <c r="B2" i="36"/>
  <c r="D7" i="36" s="1"/>
  <c r="B2" i="37"/>
  <c r="D7" i="37" s="1"/>
  <c r="B2" i="38"/>
  <c r="B2" i="39"/>
  <c r="D7" i="39" s="1"/>
  <c r="B2" i="40"/>
  <c r="B2" i="57"/>
  <c r="B2" i="76"/>
  <c r="B2" i="77"/>
  <c r="B2" i="48"/>
  <c r="B2" i="49"/>
  <c r="B2" i="50"/>
  <c r="B2" i="51"/>
  <c r="B2" i="52"/>
  <c r="E5" i="53"/>
  <c r="G74" i="53"/>
  <c r="E7" i="48"/>
  <c r="J61" i="49"/>
  <c r="M423" i="50"/>
  <c r="G124" i="51"/>
  <c r="I84" i="51"/>
  <c r="I306" i="51" s="1"/>
  <c r="J34" i="51"/>
  <c r="J258" i="51" s="1"/>
  <c r="G43" i="51"/>
  <c r="G44" i="51" s="1"/>
  <c r="G115" i="51"/>
  <c r="L141" i="52"/>
  <c r="G63" i="52"/>
  <c r="H63" i="52" s="1"/>
  <c r="I63" i="52" s="1"/>
  <c r="J63" i="52" s="1"/>
  <c r="K63" i="52" s="1"/>
  <c r="L63" i="52" s="1"/>
  <c r="H48" i="52"/>
  <c r="G64" i="52"/>
  <c r="H64" i="52" s="1"/>
  <c r="I64" i="52" s="1"/>
  <c r="J64" i="52" s="1"/>
  <c r="K64" i="52" s="1"/>
  <c r="L72" i="41"/>
  <c r="L268" i="41" s="1"/>
  <c r="L376" i="41" s="1"/>
  <c r="I377" i="41"/>
  <c r="I382" i="41"/>
  <c r="E7" i="41"/>
  <c r="I293" i="41"/>
  <c r="I298" i="41"/>
  <c r="H44" i="41"/>
  <c r="H266" i="41" s="1"/>
  <c r="H354" i="41" s="1"/>
  <c r="I355" i="41"/>
  <c r="I360" i="41"/>
  <c r="F58" i="41"/>
  <c r="F267" i="41" s="1"/>
  <c r="F365" i="41" s="1"/>
  <c r="I366" i="41"/>
  <c r="I371" i="41"/>
  <c r="E7" i="73"/>
  <c r="R22" i="73" s="1"/>
  <c r="R128" i="73" s="1"/>
  <c r="S18" i="73"/>
  <c r="T18" i="73" s="1"/>
  <c r="U18" i="73" s="1"/>
  <c r="V18" i="73" s="1"/>
  <c r="S73" i="73"/>
  <c r="S78" i="73"/>
  <c r="T78" i="73" s="1"/>
  <c r="U78" i="73" s="1"/>
  <c r="V78" i="73" s="1"/>
  <c r="S85" i="73"/>
  <c r="T85" i="73" s="1"/>
  <c r="U85" i="73" s="1"/>
  <c r="V85" i="73" s="1"/>
  <c r="R134" i="73"/>
  <c r="N18" i="73"/>
  <c r="O18" i="73" s="1"/>
  <c r="P18" i="73" s="1"/>
  <c r="Q18" i="73" s="1"/>
  <c r="N73" i="73"/>
  <c r="N78" i="73"/>
  <c r="N85" i="73"/>
  <c r="O85" i="73" s="1"/>
  <c r="P85" i="73" s="1"/>
  <c r="Q85" i="73" s="1"/>
  <c r="M134" i="73"/>
  <c r="M152" i="73" s="1"/>
  <c r="I18" i="73"/>
  <c r="J18" i="73" s="1"/>
  <c r="I73" i="73"/>
  <c r="J73" i="73" s="1"/>
  <c r="K73" i="73" s="1"/>
  <c r="L73" i="73" s="1"/>
  <c r="L134" i="73" s="1"/>
  <c r="I78" i="73"/>
  <c r="J78" i="73" s="1"/>
  <c r="K78" i="73" s="1"/>
  <c r="L78" i="73" s="1"/>
  <c r="I85" i="73"/>
  <c r="J85" i="73" s="1"/>
  <c r="K85" i="73" s="1"/>
  <c r="L85" i="73" s="1"/>
  <c r="H134" i="73"/>
  <c r="G134" i="73"/>
  <c r="G154" i="73" s="1"/>
  <c r="G158" i="73" s="1"/>
  <c r="H162" i="73" s="1"/>
  <c r="S77" i="73"/>
  <c r="T77" i="73" s="1"/>
  <c r="U77" i="73" s="1"/>
  <c r="V77" i="73" s="1"/>
  <c r="N77" i="73"/>
  <c r="O77" i="73" s="1"/>
  <c r="P77" i="73" s="1"/>
  <c r="Q77" i="73" s="1"/>
  <c r="I77" i="73"/>
  <c r="S79" i="73"/>
  <c r="T79" i="73" s="1"/>
  <c r="U79" i="73" s="1"/>
  <c r="V79" i="73" s="1"/>
  <c r="N79" i="73"/>
  <c r="O79" i="73" s="1"/>
  <c r="P79" i="73" s="1"/>
  <c r="I79" i="73"/>
  <c r="J79" i="73" s="1"/>
  <c r="K79" i="73" s="1"/>
  <c r="L79" i="73" s="1"/>
  <c r="E8" i="73"/>
  <c r="W134" i="73"/>
  <c r="W154" i="73" s="1"/>
  <c r="H55" i="73"/>
  <c r="E9" i="73"/>
  <c r="L47" i="73" s="1"/>
  <c r="L183" i="73" s="1"/>
  <c r="L184" i="73" s="1"/>
  <c r="E7" i="77"/>
  <c r="G7" i="75" s="1"/>
  <c r="Y303" i="75"/>
  <c r="Y315" i="75"/>
  <c r="Y316" i="75"/>
  <c r="Y317" i="75"/>
  <c r="Y539" i="75"/>
  <c r="Y540" i="75"/>
  <c r="Y541" i="75"/>
  <c r="Y542" i="75"/>
  <c r="Y543" i="75"/>
  <c r="Y544" i="75"/>
  <c r="Y545" i="75"/>
  <c r="Y546" i="75"/>
  <c r="Y547" i="75"/>
  <c r="Y548" i="75"/>
  <c r="Y549" i="75"/>
  <c r="Y553" i="75"/>
  <c r="Y368" i="75"/>
  <c r="Y369" i="75"/>
  <c r="Y370" i="75"/>
  <c r="Y371" i="75"/>
  <c r="Y372" i="75"/>
  <c r="Y373" i="75"/>
  <c r="Y374" i="75"/>
  <c r="Y375" i="75"/>
  <c r="Y376" i="75"/>
  <c r="Y377" i="75"/>
  <c r="Y378" i="75"/>
  <c r="Y379" i="75"/>
  <c r="Y380" i="75"/>
  <c r="Y381" i="75"/>
  <c r="Y382" i="75"/>
  <c r="Y383" i="75"/>
  <c r="Y388" i="75"/>
  <c r="Y389" i="75"/>
  <c r="Y390" i="75"/>
  <c r="Y98" i="75"/>
  <c r="Y391" i="75" s="1"/>
  <c r="Y660" i="75"/>
  <c r="Y665" i="75"/>
  <c r="Y669" i="75"/>
  <c r="Y713" i="75" s="1"/>
  <c r="Y697" i="75"/>
  <c r="Y693" i="75" s="1"/>
  <c r="Y704" i="75" s="1"/>
  <c r="Y723" i="75" s="1"/>
  <c r="Y492" i="75"/>
  <c r="Y493" i="75"/>
  <c r="Y494" i="75"/>
  <c r="Y495" i="75"/>
  <c r="Y496" i="75"/>
  <c r="Y497" i="75"/>
  <c r="Y498" i="75"/>
  <c r="Y499" i="75"/>
  <c r="Y500" i="75"/>
  <c r="Y501" i="75"/>
  <c r="Y502" i="75"/>
  <c r="Y503" i="75"/>
  <c r="Y504" i="75"/>
  <c r="Y505" i="75"/>
  <c r="Y506" i="75"/>
  <c r="Y507" i="75"/>
  <c r="Y514" i="75"/>
  <c r="Y515" i="75"/>
  <c r="Y516" i="75"/>
  <c r="Y517" i="75"/>
  <c r="Y518" i="75"/>
  <c r="Y519" i="75"/>
  <c r="Y520" i="75"/>
  <c r="Y521" i="75"/>
  <c r="Y522" i="75"/>
  <c r="Y523" i="75"/>
  <c r="Y524" i="75"/>
  <c r="Y525" i="75"/>
  <c r="Y526" i="75"/>
  <c r="Y527" i="75"/>
  <c r="Y528" i="75"/>
  <c r="Y529" i="75"/>
  <c r="Y398" i="75"/>
  <c r="Y399" i="75" s="1"/>
  <c r="Y678" i="75" s="1"/>
  <c r="Y406" i="75"/>
  <c r="Y407" i="75"/>
  <c r="Y408" i="75"/>
  <c r="Y409" i="75"/>
  <c r="Y410" i="75"/>
  <c r="Y411" i="75"/>
  <c r="Y412" i="75"/>
  <c r="Y413" i="75"/>
  <c r="Y414" i="75"/>
  <c r="Y415" i="75"/>
  <c r="Y416" i="75"/>
  <c r="Y418" i="75"/>
  <c r="Y419" i="75"/>
  <c r="Y420" i="75"/>
  <c r="Y421" i="75"/>
  <c r="Y470" i="75"/>
  <c r="Y471" i="75"/>
  <c r="Y472" i="75"/>
  <c r="Y473" i="75"/>
  <c r="Y474" i="75"/>
  <c r="Y475" i="75"/>
  <c r="Y476" i="75"/>
  <c r="Y477" i="75"/>
  <c r="Y478" i="75"/>
  <c r="Y479" i="75"/>
  <c r="Y480" i="75"/>
  <c r="Y481" i="75"/>
  <c r="Y482" i="75"/>
  <c r="Y483" i="75"/>
  <c r="Y484" i="75"/>
  <c r="Y485" i="75"/>
  <c r="Y427" i="75"/>
  <c r="Y428" i="75"/>
  <c r="Y429" i="75"/>
  <c r="Y430" i="75"/>
  <c r="Y431" i="75"/>
  <c r="Y432" i="75"/>
  <c r="Y433" i="75"/>
  <c r="Y434" i="75"/>
  <c r="Y435" i="75"/>
  <c r="Y436" i="75"/>
  <c r="Y437" i="75"/>
  <c r="Y438" i="75"/>
  <c r="Y439" i="75"/>
  <c r="Y440" i="75"/>
  <c r="Y441" i="75"/>
  <c r="Y442" i="75"/>
  <c r="Y448" i="75"/>
  <c r="Y449" i="75"/>
  <c r="Y450" i="75"/>
  <c r="Y451" i="75"/>
  <c r="Y452" i="75"/>
  <c r="Y453" i="75"/>
  <c r="Y454" i="75"/>
  <c r="Y455" i="75"/>
  <c r="Y456" i="75"/>
  <c r="Y457" i="75"/>
  <c r="Y458" i="75"/>
  <c r="Y459" i="75"/>
  <c r="Y460" i="75"/>
  <c r="Y461" i="75"/>
  <c r="Y462" i="75"/>
  <c r="Y463" i="75"/>
  <c r="Y318" i="75"/>
  <c r="E8" i="77"/>
  <c r="G8" i="75" s="1"/>
  <c r="AD60" i="75" s="1"/>
  <c r="Y359" i="75"/>
  <c r="Y360" i="75"/>
  <c r="Y361" i="75"/>
  <c r="Y635" i="75"/>
  <c r="M377" i="41"/>
  <c r="M382" i="41"/>
  <c r="M293" i="41"/>
  <c r="M298" i="41"/>
  <c r="M355" i="41"/>
  <c r="M360" i="41"/>
  <c r="M366" i="41"/>
  <c r="M371" i="41"/>
  <c r="AM18" i="73"/>
  <c r="AN18" i="73" s="1"/>
  <c r="AO18" i="73" s="1"/>
  <c r="AP18" i="73" s="1"/>
  <c r="AM73" i="73"/>
  <c r="AM78" i="73"/>
  <c r="AN78" i="73" s="1"/>
  <c r="AO78" i="73" s="1"/>
  <c r="AP78" i="73" s="1"/>
  <c r="AM85" i="73"/>
  <c r="AN85" i="73" s="1"/>
  <c r="AO85" i="73" s="1"/>
  <c r="AP85" i="73" s="1"/>
  <c r="AL134" i="73"/>
  <c r="AL154" i="73" s="1"/>
  <c r="AH18" i="73"/>
  <c r="AI18" i="73" s="1"/>
  <c r="AH73" i="73"/>
  <c r="AH78" i="73"/>
  <c r="AI78" i="73" s="1"/>
  <c r="AJ78" i="73" s="1"/>
  <c r="AK78" i="73" s="1"/>
  <c r="AH85" i="73"/>
  <c r="AI85" i="73" s="1"/>
  <c r="AJ85" i="73" s="1"/>
  <c r="AK85" i="73" s="1"/>
  <c r="AG134" i="73"/>
  <c r="AG154" i="73" s="1"/>
  <c r="AC18" i="73"/>
  <c r="AD18" i="73" s="1"/>
  <c r="AC73" i="73"/>
  <c r="AD73" i="73" s="1"/>
  <c r="AD134" i="73" s="1"/>
  <c r="AC78" i="73"/>
  <c r="AD78" i="73" s="1"/>
  <c r="AE78" i="73" s="1"/>
  <c r="AF78" i="73" s="1"/>
  <c r="AC85" i="73"/>
  <c r="AD85" i="73" s="1"/>
  <c r="AE85" i="73" s="1"/>
  <c r="AF85" i="73" s="1"/>
  <c r="AB134" i="73"/>
  <c r="AB154" i="73" s="1"/>
  <c r="X18" i="73"/>
  <c r="Y18" i="73" s="1"/>
  <c r="Z18" i="73" s="1"/>
  <c r="AA18" i="73" s="1"/>
  <c r="X73" i="73"/>
  <c r="X134" i="73" s="1"/>
  <c r="X78" i="73"/>
  <c r="Y78" i="73" s="1"/>
  <c r="Z78" i="73" s="1"/>
  <c r="AA78" i="73" s="1"/>
  <c r="X85" i="73"/>
  <c r="Y85" i="73" s="1"/>
  <c r="AM77" i="73"/>
  <c r="AN77" i="73" s="1"/>
  <c r="AO77" i="73" s="1"/>
  <c r="AP77" i="73" s="1"/>
  <c r="AL152" i="73"/>
  <c r="AH77" i="73"/>
  <c r="AI77" i="73" s="1"/>
  <c r="AJ77" i="73" s="1"/>
  <c r="AK77" i="73" s="1"/>
  <c r="AC77" i="73"/>
  <c r="AD77" i="73" s="1"/>
  <c r="AE77" i="73" s="1"/>
  <c r="AF77" i="73" s="1"/>
  <c r="X77" i="73"/>
  <c r="Y77" i="73" s="1"/>
  <c r="Z77" i="73" s="1"/>
  <c r="AA77" i="73" s="1"/>
  <c r="AM79" i="73"/>
  <c r="AN79" i="73" s="1"/>
  <c r="AO79" i="73" s="1"/>
  <c r="AH79" i="73"/>
  <c r="AI79" i="73" s="1"/>
  <c r="AJ79" i="73" s="1"/>
  <c r="AC79" i="73"/>
  <c r="AD79" i="73" s="1"/>
  <c r="AE79" i="73" s="1"/>
  <c r="AF79" i="73" s="1"/>
  <c r="X79" i="73"/>
  <c r="Y79" i="73" s="1"/>
  <c r="Z79" i="73" s="1"/>
  <c r="AA79" i="73" s="1"/>
  <c r="AQ134" i="73"/>
  <c r="AS303" i="75"/>
  <c r="AS315" i="75"/>
  <c r="AS316" i="75"/>
  <c r="AS317" i="75"/>
  <c r="AS539" i="75"/>
  <c r="AS540" i="75"/>
  <c r="AS541" i="75"/>
  <c r="AS542" i="75"/>
  <c r="AS543" i="75"/>
  <c r="AS544" i="75"/>
  <c r="AS545" i="75"/>
  <c r="AS546" i="75"/>
  <c r="AS547" i="75"/>
  <c r="AS548" i="75"/>
  <c r="AS549" i="75"/>
  <c r="AS553" i="75"/>
  <c r="AS368" i="75"/>
  <c r="AS369" i="75"/>
  <c r="AS370" i="75"/>
  <c r="AS371" i="75"/>
  <c r="AS372" i="75"/>
  <c r="AS373" i="75"/>
  <c r="AS374" i="75"/>
  <c r="AS375" i="75"/>
  <c r="AS376" i="75"/>
  <c r="AS377" i="75"/>
  <c r="AS378" i="75"/>
  <c r="AS379" i="75"/>
  <c r="AS380" i="75"/>
  <c r="AS381" i="75"/>
  <c r="AS382" i="75"/>
  <c r="AS383" i="75"/>
  <c r="AS388" i="75"/>
  <c r="AS389" i="75"/>
  <c r="AS390" i="75"/>
  <c r="AS98" i="75"/>
  <c r="AS391" i="75" s="1"/>
  <c r="AS660" i="75"/>
  <c r="AS665" i="75"/>
  <c r="AS669" i="75"/>
  <c r="AS713" i="75" s="1"/>
  <c r="AS697" i="75"/>
  <c r="AS693" i="75" s="1"/>
  <c r="AS704" i="75" s="1"/>
  <c r="AS723" i="75" s="1"/>
  <c r="AS492" i="75"/>
  <c r="AS493" i="75"/>
  <c r="AS494" i="75"/>
  <c r="AS495" i="75"/>
  <c r="AS496" i="75"/>
  <c r="AS497" i="75"/>
  <c r="AS498" i="75"/>
  <c r="AS499" i="75"/>
  <c r="AS500" i="75"/>
  <c r="AS501" i="75"/>
  <c r="AS502" i="75"/>
  <c r="AS503" i="75"/>
  <c r="AS504" i="75"/>
  <c r="AS505" i="75"/>
  <c r="AS506" i="75"/>
  <c r="AS507" i="75"/>
  <c r="AS514" i="75"/>
  <c r="AS515" i="75"/>
  <c r="AS516" i="75"/>
  <c r="AS517" i="75"/>
  <c r="AS518" i="75"/>
  <c r="AS519" i="75"/>
  <c r="AS520" i="75"/>
  <c r="AS521" i="75"/>
  <c r="AS522" i="75"/>
  <c r="AS523" i="75"/>
  <c r="AS524" i="75"/>
  <c r="AS525" i="75"/>
  <c r="AS526" i="75"/>
  <c r="AS527" i="75"/>
  <c r="AS528" i="75"/>
  <c r="AS529" i="75"/>
  <c r="AS398" i="75"/>
  <c r="AS399" i="75" s="1"/>
  <c r="AS678" i="75" s="1"/>
  <c r="AS406" i="75"/>
  <c r="AS407" i="75"/>
  <c r="AS408" i="75"/>
  <c r="AS409" i="75"/>
  <c r="AS410" i="75"/>
  <c r="AS411" i="75"/>
  <c r="AS412" i="75"/>
  <c r="AS413" i="75"/>
  <c r="AS414" i="75"/>
  <c r="AS415" i="75"/>
  <c r="AS416" i="75"/>
  <c r="AS418" i="75"/>
  <c r="AS419" i="75"/>
  <c r="AS420" i="75"/>
  <c r="AS421" i="75"/>
  <c r="AS470" i="75"/>
  <c r="AS471" i="75"/>
  <c r="AS472" i="75"/>
  <c r="AS473" i="75"/>
  <c r="AS474" i="75"/>
  <c r="AS475" i="75"/>
  <c r="AS476" i="75"/>
  <c r="AS477" i="75"/>
  <c r="AS478" i="75"/>
  <c r="AS479" i="75"/>
  <c r="AS480" i="75"/>
  <c r="AS481" i="75"/>
  <c r="AS482" i="75"/>
  <c r="AS483" i="75"/>
  <c r="AS484" i="75"/>
  <c r="AS485" i="75"/>
  <c r="AS427" i="75"/>
  <c r="AS428" i="75"/>
  <c r="AS429" i="75"/>
  <c r="AS430" i="75"/>
  <c r="AS431" i="75"/>
  <c r="AS432" i="75"/>
  <c r="AS433" i="75"/>
  <c r="AS434" i="75"/>
  <c r="AS435" i="75"/>
  <c r="AS436" i="75"/>
  <c r="AS437" i="75"/>
  <c r="AS438" i="75"/>
  <c r="AS439" i="75"/>
  <c r="AS440" i="75"/>
  <c r="AS441" i="75"/>
  <c r="AS442" i="75"/>
  <c r="AS448" i="75"/>
  <c r="AS449" i="75"/>
  <c r="AS450" i="75"/>
  <c r="AS451" i="75"/>
  <c r="AS452" i="75"/>
  <c r="AS453" i="75"/>
  <c r="AS454" i="75"/>
  <c r="AS455" i="75"/>
  <c r="AS456" i="75"/>
  <c r="AS457" i="75"/>
  <c r="AS458" i="75"/>
  <c r="AS459" i="75"/>
  <c r="AS460" i="75"/>
  <c r="AS461" i="75"/>
  <c r="AS462" i="75"/>
  <c r="AS463" i="75"/>
  <c r="AS318" i="75"/>
  <c r="AS359" i="75"/>
  <c r="AS360" i="75"/>
  <c r="AS361" i="75"/>
  <c r="AS635" i="75"/>
  <c r="G293" i="41"/>
  <c r="G298" i="41"/>
  <c r="G355" i="41"/>
  <c r="G360" i="41"/>
  <c r="G366" i="41"/>
  <c r="G371" i="41"/>
  <c r="G377" i="41"/>
  <c r="G382" i="41"/>
  <c r="O303" i="75"/>
  <c r="O315" i="75"/>
  <c r="O316" i="75"/>
  <c r="O317" i="75"/>
  <c r="O539" i="75"/>
  <c r="O540" i="75"/>
  <c r="O541" i="75"/>
  <c r="O542" i="75"/>
  <c r="O543" i="75"/>
  <c r="O544" i="75"/>
  <c r="O545" i="75"/>
  <c r="O546" i="75"/>
  <c r="O547" i="75"/>
  <c r="O548" i="75"/>
  <c r="O549" i="75"/>
  <c r="O553" i="75"/>
  <c r="O368" i="75"/>
  <c r="O369" i="75"/>
  <c r="O370" i="75"/>
  <c r="O371" i="75"/>
  <c r="O372" i="75"/>
  <c r="O373" i="75"/>
  <c r="O374" i="75"/>
  <c r="O375" i="75"/>
  <c r="O376" i="75"/>
  <c r="O377" i="75"/>
  <c r="O378" i="75"/>
  <c r="O379" i="75"/>
  <c r="O380" i="75"/>
  <c r="O381" i="75"/>
  <c r="O382" i="75"/>
  <c r="O383" i="75"/>
  <c r="O388" i="75"/>
  <c r="O389" i="75"/>
  <c r="O390" i="75"/>
  <c r="O98" i="75"/>
  <c r="O391" i="75" s="1"/>
  <c r="O660" i="75"/>
  <c r="O665" i="75"/>
  <c r="O669" i="75"/>
  <c r="O713" i="75" s="1"/>
  <c r="O697" i="75"/>
  <c r="O693" i="75" s="1"/>
  <c r="O704" i="75" s="1"/>
  <c r="O723" i="75" s="1"/>
  <c r="O492" i="75"/>
  <c r="O493" i="75"/>
  <c r="O494" i="75"/>
  <c r="O495" i="75"/>
  <c r="O496" i="75"/>
  <c r="O497" i="75"/>
  <c r="O498" i="75"/>
  <c r="O499" i="75"/>
  <c r="O500" i="75"/>
  <c r="O501" i="75"/>
  <c r="O502" i="75"/>
  <c r="O503" i="75"/>
  <c r="O504" i="75"/>
  <c r="O505" i="75"/>
  <c r="O506" i="75"/>
  <c r="O507" i="75"/>
  <c r="O514" i="75"/>
  <c r="O515" i="75"/>
  <c r="O516" i="75"/>
  <c r="O517" i="75"/>
  <c r="O518" i="75"/>
  <c r="O519" i="75"/>
  <c r="O520" i="75"/>
  <c r="O521" i="75"/>
  <c r="O522" i="75"/>
  <c r="O523" i="75"/>
  <c r="O524" i="75"/>
  <c r="O525" i="75"/>
  <c r="O526" i="75"/>
  <c r="O527" i="75"/>
  <c r="O528" i="75"/>
  <c r="O529" i="75"/>
  <c r="O398" i="75"/>
  <c r="O399" i="75" s="1"/>
  <c r="O678" i="75" s="1"/>
  <c r="O406" i="75"/>
  <c r="O407" i="75"/>
  <c r="O408" i="75"/>
  <c r="O409" i="75"/>
  <c r="O410" i="75"/>
  <c r="O411" i="75"/>
  <c r="O412" i="75"/>
  <c r="O413" i="75"/>
  <c r="O414" i="75"/>
  <c r="O415" i="75"/>
  <c r="O416" i="75"/>
  <c r="O418" i="75"/>
  <c r="O419" i="75"/>
  <c r="O420" i="75"/>
  <c r="O421" i="75"/>
  <c r="O470" i="75"/>
  <c r="O471" i="75"/>
  <c r="O472" i="75"/>
  <c r="O473" i="75"/>
  <c r="O474" i="75"/>
  <c r="O475" i="75"/>
  <c r="O476" i="75"/>
  <c r="O477" i="75"/>
  <c r="O478" i="75"/>
  <c r="O479" i="75"/>
  <c r="O480" i="75"/>
  <c r="O481" i="75"/>
  <c r="O482" i="75"/>
  <c r="O483" i="75"/>
  <c r="O484" i="75"/>
  <c r="O485" i="75"/>
  <c r="O427" i="75"/>
  <c r="O428" i="75"/>
  <c r="O429" i="75"/>
  <c r="O430" i="75"/>
  <c r="O431" i="75"/>
  <c r="O432" i="75"/>
  <c r="O433" i="75"/>
  <c r="O434" i="75"/>
  <c r="O435" i="75"/>
  <c r="O436" i="75"/>
  <c r="O437" i="75"/>
  <c r="O438" i="75"/>
  <c r="O439" i="75"/>
  <c r="O440" i="75"/>
  <c r="O441" i="75"/>
  <c r="O442" i="75"/>
  <c r="O448" i="75"/>
  <c r="O449" i="75"/>
  <c r="O450" i="75"/>
  <c r="O451" i="75"/>
  <c r="O452" i="75"/>
  <c r="O453" i="75"/>
  <c r="O454" i="75"/>
  <c r="O455" i="75"/>
  <c r="O456" i="75"/>
  <c r="O457" i="75"/>
  <c r="O458" i="75"/>
  <c r="O459" i="75"/>
  <c r="O460" i="75"/>
  <c r="O461" i="75"/>
  <c r="O462" i="75"/>
  <c r="O463" i="75"/>
  <c r="O318" i="75"/>
  <c r="O359" i="75"/>
  <c r="O360" i="75"/>
  <c r="O361" i="75"/>
  <c r="O635" i="75"/>
  <c r="G8" i="74"/>
  <c r="Y37" i="74" s="1"/>
  <c r="Y165" i="74" s="1"/>
  <c r="Y220" i="74" s="1"/>
  <c r="Y262" i="74" s="1"/>
  <c r="M169" i="74"/>
  <c r="M260" i="74" s="1"/>
  <c r="M173" i="74"/>
  <c r="M261" i="74" s="1"/>
  <c r="M177" i="74"/>
  <c r="M268" i="74" s="1"/>
  <c r="M178" i="74"/>
  <c r="M269" i="74" s="1"/>
  <c r="M179" i="74"/>
  <c r="M270" i="74" s="1"/>
  <c r="M180" i="74"/>
  <c r="M271" i="74" s="1"/>
  <c r="M181" i="74"/>
  <c r="M272" i="74" s="1"/>
  <c r="M182" i="74"/>
  <c r="M273" i="74" s="1"/>
  <c r="M183" i="74"/>
  <c r="M274" i="74" s="1"/>
  <c r="M75" i="74"/>
  <c r="M188" i="74" s="1"/>
  <c r="M288" i="74" s="1"/>
  <c r="M206" i="74"/>
  <c r="M279" i="74" s="1"/>
  <c r="M207" i="74"/>
  <c r="M280" i="74" s="1"/>
  <c r="M208" i="74"/>
  <c r="M281" i="74" s="1"/>
  <c r="M209" i="74"/>
  <c r="M282" i="74" s="1"/>
  <c r="M201" i="74"/>
  <c r="M202" i="74" s="1"/>
  <c r="M290" i="74" s="1"/>
  <c r="M195" i="74"/>
  <c r="M196" i="74"/>
  <c r="M189" i="74"/>
  <c r="M190" i="74"/>
  <c r="M293" i="74" s="1"/>
  <c r="G7" i="74"/>
  <c r="AB19" i="74" s="1"/>
  <c r="H293" i="41"/>
  <c r="H298" i="41"/>
  <c r="H355" i="41"/>
  <c r="H360" i="41"/>
  <c r="H366" i="41"/>
  <c r="H371" i="41"/>
  <c r="H377" i="41"/>
  <c r="H382" i="41"/>
  <c r="T303" i="75"/>
  <c r="T315" i="75"/>
  <c r="T316" i="75"/>
  <c r="T317" i="75"/>
  <c r="T539" i="75"/>
  <c r="T540" i="75"/>
  <c r="T541" i="75"/>
  <c r="T542" i="75"/>
  <c r="T543" i="75"/>
  <c r="T544" i="75"/>
  <c r="T545" i="75"/>
  <c r="T546" i="75"/>
  <c r="T547" i="75"/>
  <c r="T548" i="75"/>
  <c r="T549" i="75"/>
  <c r="T553" i="75"/>
  <c r="T368" i="75"/>
  <c r="T369" i="75"/>
  <c r="T370" i="75"/>
  <c r="T371" i="75"/>
  <c r="T372" i="75"/>
  <c r="T373" i="75"/>
  <c r="T374" i="75"/>
  <c r="T375" i="75"/>
  <c r="T376" i="75"/>
  <c r="T377" i="75"/>
  <c r="T378" i="75"/>
  <c r="T379" i="75"/>
  <c r="T380" i="75"/>
  <c r="T381" i="75"/>
  <c r="T382" i="75"/>
  <c r="T383" i="75"/>
  <c r="T388" i="75"/>
  <c r="T389" i="75"/>
  <c r="T390" i="75"/>
  <c r="T98" i="75"/>
  <c r="T391" i="75" s="1"/>
  <c r="T660" i="75"/>
  <c r="T665" i="75"/>
  <c r="T669" i="75"/>
  <c r="T713" i="75" s="1"/>
  <c r="T697" i="75"/>
  <c r="T693" i="75" s="1"/>
  <c r="T704" i="75" s="1"/>
  <c r="T723" i="75" s="1"/>
  <c r="T492" i="75"/>
  <c r="T493" i="75"/>
  <c r="T494" i="75"/>
  <c r="T495" i="75"/>
  <c r="T496" i="75"/>
  <c r="T497" i="75"/>
  <c r="T498" i="75"/>
  <c r="T499" i="75"/>
  <c r="T500" i="75"/>
  <c r="T501" i="75"/>
  <c r="T502" i="75"/>
  <c r="T503" i="75"/>
  <c r="T504" i="75"/>
  <c r="T505" i="75"/>
  <c r="T506" i="75"/>
  <c r="T507" i="75"/>
  <c r="T514" i="75"/>
  <c r="T515" i="75"/>
  <c r="T516" i="75"/>
  <c r="T517" i="75"/>
  <c r="T518" i="75"/>
  <c r="T519" i="75"/>
  <c r="T520" i="75"/>
  <c r="T521" i="75"/>
  <c r="T522" i="75"/>
  <c r="T523" i="75"/>
  <c r="T524" i="75"/>
  <c r="T525" i="75"/>
  <c r="T526" i="75"/>
  <c r="T527" i="75"/>
  <c r="T528" i="75"/>
  <c r="T529" i="75"/>
  <c r="T398" i="75"/>
  <c r="T399" i="75" s="1"/>
  <c r="T678" i="75" s="1"/>
  <c r="T406" i="75"/>
  <c r="T407" i="75"/>
  <c r="T408" i="75"/>
  <c r="T409" i="75"/>
  <c r="T410" i="75"/>
  <c r="T411" i="75"/>
  <c r="T412" i="75"/>
  <c r="T413" i="75"/>
  <c r="T414" i="75"/>
  <c r="T415" i="75"/>
  <c r="T416" i="75"/>
  <c r="T418" i="75"/>
  <c r="T419" i="75"/>
  <c r="T420" i="75"/>
  <c r="T421" i="75"/>
  <c r="T470" i="75"/>
  <c r="T471" i="75"/>
  <c r="T472" i="75"/>
  <c r="T473" i="75"/>
  <c r="T474" i="75"/>
  <c r="T475" i="75"/>
  <c r="T476" i="75"/>
  <c r="T477" i="75"/>
  <c r="T478" i="75"/>
  <c r="T479" i="75"/>
  <c r="T480" i="75"/>
  <c r="T481" i="75"/>
  <c r="T482" i="75"/>
  <c r="T483" i="75"/>
  <c r="T484" i="75"/>
  <c r="T485" i="75"/>
  <c r="T427" i="75"/>
  <c r="T428" i="75"/>
  <c r="T429" i="75"/>
  <c r="T430" i="75"/>
  <c r="T431" i="75"/>
  <c r="T432" i="75"/>
  <c r="T433" i="75"/>
  <c r="T434" i="75"/>
  <c r="T435" i="75"/>
  <c r="T436" i="75"/>
  <c r="T437" i="75"/>
  <c r="T438" i="75"/>
  <c r="T439" i="75"/>
  <c r="T440" i="75"/>
  <c r="T441" i="75"/>
  <c r="T442" i="75"/>
  <c r="T448" i="75"/>
  <c r="T449" i="75"/>
  <c r="T450" i="75"/>
  <c r="T451" i="75"/>
  <c r="T452" i="75"/>
  <c r="T453" i="75"/>
  <c r="T454" i="75"/>
  <c r="T455" i="75"/>
  <c r="T456" i="75"/>
  <c r="T457" i="75"/>
  <c r="T458" i="75"/>
  <c r="T459" i="75"/>
  <c r="T460" i="75"/>
  <c r="T461" i="75"/>
  <c r="T462" i="75"/>
  <c r="T463" i="75"/>
  <c r="T318" i="75"/>
  <c r="T359" i="75"/>
  <c r="T360" i="75"/>
  <c r="T361" i="75"/>
  <c r="T635" i="75"/>
  <c r="R169" i="74"/>
  <c r="R260" i="74" s="1"/>
  <c r="R173" i="74"/>
  <c r="R261" i="74" s="1"/>
  <c r="R177" i="74"/>
  <c r="R268" i="74" s="1"/>
  <c r="R178" i="74"/>
  <c r="R269" i="74" s="1"/>
  <c r="R179" i="74"/>
  <c r="R180" i="74"/>
  <c r="R271" i="74" s="1"/>
  <c r="R181" i="74"/>
  <c r="R272" i="74" s="1"/>
  <c r="R182" i="74"/>
  <c r="R273" i="74" s="1"/>
  <c r="R183" i="74"/>
  <c r="R274" i="74" s="1"/>
  <c r="R75" i="74"/>
  <c r="R188" i="74" s="1"/>
  <c r="R288" i="74" s="1"/>
  <c r="R206" i="74"/>
  <c r="R279" i="74" s="1"/>
  <c r="R207" i="74"/>
  <c r="R280" i="74" s="1"/>
  <c r="R208" i="74"/>
  <c r="R209" i="74"/>
  <c r="R282" i="74" s="1"/>
  <c r="R201" i="74"/>
  <c r="R202" i="74" s="1"/>
  <c r="R290" i="74" s="1"/>
  <c r="R195" i="74"/>
  <c r="R196" i="74"/>
  <c r="R189" i="74"/>
  <c r="R191" i="74" s="1"/>
  <c r="R190" i="74"/>
  <c r="R293" i="74" s="1"/>
  <c r="W169" i="74"/>
  <c r="W260" i="74" s="1"/>
  <c r="W173" i="74"/>
  <c r="W261" i="74" s="1"/>
  <c r="W177" i="74"/>
  <c r="W178" i="74"/>
  <c r="W269" i="74" s="1"/>
  <c r="W179" i="74"/>
  <c r="W270" i="74" s="1"/>
  <c r="W180" i="74"/>
  <c r="W271" i="74" s="1"/>
  <c r="W181" i="74"/>
  <c r="W272" i="74" s="1"/>
  <c r="W182" i="74"/>
  <c r="W273" i="74" s="1"/>
  <c r="W183" i="74"/>
  <c r="W274" i="74" s="1"/>
  <c r="W75" i="74"/>
  <c r="W188" i="74" s="1"/>
  <c r="W288" i="74" s="1"/>
  <c r="W206" i="74"/>
  <c r="W207" i="74"/>
  <c r="W280" i="74" s="1"/>
  <c r="W208" i="74"/>
  <c r="W281" i="74" s="1"/>
  <c r="W209" i="74"/>
  <c r="W282" i="74" s="1"/>
  <c r="W201" i="74"/>
  <c r="W202" i="74" s="1"/>
  <c r="W290" i="74" s="1"/>
  <c r="W195" i="74"/>
  <c r="W196" i="74"/>
  <c r="W189" i="74"/>
  <c r="W292" i="74" s="1"/>
  <c r="W190" i="74"/>
  <c r="W293" i="74" s="1"/>
  <c r="J293" i="41"/>
  <c r="J298" i="41"/>
  <c r="J355" i="41"/>
  <c r="J360" i="41"/>
  <c r="J366" i="41"/>
  <c r="J371" i="41"/>
  <c r="J377" i="41"/>
  <c r="J382" i="41"/>
  <c r="AD303" i="75"/>
  <c r="AD315" i="75"/>
  <c r="AD316" i="75"/>
  <c r="AD317" i="75"/>
  <c r="AD539" i="75"/>
  <c r="AD540" i="75"/>
  <c r="AD541" i="75"/>
  <c r="AD542" i="75"/>
  <c r="AD543" i="75"/>
  <c r="AD544" i="75"/>
  <c r="AD545" i="75"/>
  <c r="AD546" i="75"/>
  <c r="AD547" i="75"/>
  <c r="AD548" i="75"/>
  <c r="AD549" i="75"/>
  <c r="AD553" i="75"/>
  <c r="AD368" i="75"/>
  <c r="AD369" i="75"/>
  <c r="AD370" i="75"/>
  <c r="AD371" i="75"/>
  <c r="AD372" i="75"/>
  <c r="AD373" i="75"/>
  <c r="AD374" i="75"/>
  <c r="AD375" i="75"/>
  <c r="AD376" i="75"/>
  <c r="AD377" i="75"/>
  <c r="AD378" i="75"/>
  <c r="AD379" i="75"/>
  <c r="AD380" i="75"/>
  <c r="AD381" i="75"/>
  <c r="AD382" i="75"/>
  <c r="AD383" i="75"/>
  <c r="AD388" i="75"/>
  <c r="AD389" i="75"/>
  <c r="AD390" i="75"/>
  <c r="AD98" i="75"/>
  <c r="AD391" i="75" s="1"/>
  <c r="AD660" i="75"/>
  <c r="AD665" i="75"/>
  <c r="AD669" i="75"/>
  <c r="AD713" i="75" s="1"/>
  <c r="AD697" i="75"/>
  <c r="AD693" i="75" s="1"/>
  <c r="AD704" i="75" s="1"/>
  <c r="AD723" i="75" s="1"/>
  <c r="AD492" i="75"/>
  <c r="AD493" i="75"/>
  <c r="AD494" i="75"/>
  <c r="AD495" i="75"/>
  <c r="AD496" i="75"/>
  <c r="AD497" i="75"/>
  <c r="AD498" i="75"/>
  <c r="AD499" i="75"/>
  <c r="AD500" i="75"/>
  <c r="AD501" i="75"/>
  <c r="AD502" i="75"/>
  <c r="AD503" i="75"/>
  <c r="AD504" i="75"/>
  <c r="AD505" i="75"/>
  <c r="AD506" i="75"/>
  <c r="AD507" i="75"/>
  <c r="AD514" i="75"/>
  <c r="AD515" i="75"/>
  <c r="AD516" i="75"/>
  <c r="AD517" i="75"/>
  <c r="AD518" i="75"/>
  <c r="AD519" i="75"/>
  <c r="AD520" i="75"/>
  <c r="AD521" i="75"/>
  <c r="AD522" i="75"/>
  <c r="AD523" i="75"/>
  <c r="AD524" i="75"/>
  <c r="AD525" i="75"/>
  <c r="AD526" i="75"/>
  <c r="AD527" i="75"/>
  <c r="AD528" i="75"/>
  <c r="AD529" i="75"/>
  <c r="AD398" i="75"/>
  <c r="AD399" i="75" s="1"/>
  <c r="AD678" i="75" s="1"/>
  <c r="AD406" i="75"/>
  <c r="AD407" i="75"/>
  <c r="AD408" i="75"/>
  <c r="AD409" i="75"/>
  <c r="AD410" i="75"/>
  <c r="AD411" i="75"/>
  <c r="AD412" i="75"/>
  <c r="AD413" i="75"/>
  <c r="AD414" i="75"/>
  <c r="AD415" i="75"/>
  <c r="AD416" i="75"/>
  <c r="AD418" i="75"/>
  <c r="AD419" i="75"/>
  <c r="AD420" i="75"/>
  <c r="AD421" i="75"/>
  <c r="AD470" i="75"/>
  <c r="AD471" i="75"/>
  <c r="AD472" i="75"/>
  <c r="AD473" i="75"/>
  <c r="AD474" i="75"/>
  <c r="AD475" i="75"/>
  <c r="AD476" i="75"/>
  <c r="AD477" i="75"/>
  <c r="AD478" i="75"/>
  <c r="AD479" i="75"/>
  <c r="AD480" i="75"/>
  <c r="AD481" i="75"/>
  <c r="AD482" i="75"/>
  <c r="AD483" i="75"/>
  <c r="AD484" i="75"/>
  <c r="AD485" i="75"/>
  <c r="AD427" i="75"/>
  <c r="AD428" i="75"/>
  <c r="AD429" i="75"/>
  <c r="AD430" i="75"/>
  <c r="AD431" i="75"/>
  <c r="AD432" i="75"/>
  <c r="AD433" i="75"/>
  <c r="AD434" i="75"/>
  <c r="AD435" i="75"/>
  <c r="AD436" i="75"/>
  <c r="AD437" i="75"/>
  <c r="AD438" i="75"/>
  <c r="AD439" i="75"/>
  <c r="AD440" i="75"/>
  <c r="AD441" i="75"/>
  <c r="AD442" i="75"/>
  <c r="AD448" i="75"/>
  <c r="AD449" i="75"/>
  <c r="AD450" i="75"/>
  <c r="AD451" i="75"/>
  <c r="AD452" i="75"/>
  <c r="AD453" i="75"/>
  <c r="AD454" i="75"/>
  <c r="AD455" i="75"/>
  <c r="AD456" i="75"/>
  <c r="AD457" i="75"/>
  <c r="AD458" i="75"/>
  <c r="AD459" i="75"/>
  <c r="AD460" i="75"/>
  <c r="AD461" i="75"/>
  <c r="AD462" i="75"/>
  <c r="AD463" i="75"/>
  <c r="AD318" i="75"/>
  <c r="AD359" i="75"/>
  <c r="AD360" i="75"/>
  <c r="AD361" i="75"/>
  <c r="AD635" i="75"/>
  <c r="AB169" i="74"/>
  <c r="AB260" i="74" s="1"/>
  <c r="AB173" i="74"/>
  <c r="AB261" i="74" s="1"/>
  <c r="AB177" i="74"/>
  <c r="AB268" i="74" s="1"/>
  <c r="AB178" i="74"/>
  <c r="AB269" i="74" s="1"/>
  <c r="AB179" i="74"/>
  <c r="AB270" i="74" s="1"/>
  <c r="AB180" i="74"/>
  <c r="AB271" i="74" s="1"/>
  <c r="AB181" i="74"/>
  <c r="AB272" i="74" s="1"/>
  <c r="AB182" i="74"/>
  <c r="AB273" i="74" s="1"/>
  <c r="AB183" i="74"/>
  <c r="AB274" i="74" s="1"/>
  <c r="AB75" i="74"/>
  <c r="AB188" i="74" s="1"/>
  <c r="AB288" i="74" s="1"/>
  <c r="AB206" i="74"/>
  <c r="AB207" i="74"/>
  <c r="AB280" i="74" s="1"/>
  <c r="AB208" i="74"/>
  <c r="AB281" i="74" s="1"/>
  <c r="AB209" i="74"/>
  <c r="AB282" i="74" s="1"/>
  <c r="AB201" i="74"/>
  <c r="AB202" i="74" s="1"/>
  <c r="AB290" i="74" s="1"/>
  <c r="AB195" i="74"/>
  <c r="AB196" i="74"/>
  <c r="AB189" i="74"/>
  <c r="AB190" i="74"/>
  <c r="AB293" i="74" s="1"/>
  <c r="K293" i="41"/>
  <c r="K298" i="41"/>
  <c r="K355" i="41"/>
  <c r="K360" i="41"/>
  <c r="K366" i="41"/>
  <c r="K371" i="41"/>
  <c r="K377" i="41"/>
  <c r="K382" i="41"/>
  <c r="AI303" i="75"/>
  <c r="AI315" i="75"/>
  <c r="AI316" i="75"/>
  <c r="AI317" i="75"/>
  <c r="AI539" i="75"/>
  <c r="AI540" i="75"/>
  <c r="AI541" i="75"/>
  <c r="AI542" i="75"/>
  <c r="AI543" i="75"/>
  <c r="AI544" i="75"/>
  <c r="AI545" i="75"/>
  <c r="AI546" i="75"/>
  <c r="AI547" i="75"/>
  <c r="AI548" i="75"/>
  <c r="AI549" i="75"/>
  <c r="AI553" i="75"/>
  <c r="AI368" i="75"/>
  <c r="AI369" i="75"/>
  <c r="AI370" i="75"/>
  <c r="AI371" i="75"/>
  <c r="AI372" i="75"/>
  <c r="AI373" i="75"/>
  <c r="AI374" i="75"/>
  <c r="AI375" i="75"/>
  <c r="AI376" i="75"/>
  <c r="AI377" i="75"/>
  <c r="AI378" i="75"/>
  <c r="AI379" i="75"/>
  <c r="AI380" i="75"/>
  <c r="AI381" i="75"/>
  <c r="AI382" i="75"/>
  <c r="AI383" i="75"/>
  <c r="AI388" i="75"/>
  <c r="AI389" i="75"/>
  <c r="AI390" i="75"/>
  <c r="AI98" i="75"/>
  <c r="AI391" i="75" s="1"/>
  <c r="AI660" i="75"/>
  <c r="AI665" i="75"/>
  <c r="AI669" i="75"/>
  <c r="AI713" i="75" s="1"/>
  <c r="AI697" i="75"/>
  <c r="AI693" i="75" s="1"/>
  <c r="AI704" i="75" s="1"/>
  <c r="AI723" i="75" s="1"/>
  <c r="AI492" i="75"/>
  <c r="AI493" i="75"/>
  <c r="AI494" i="75"/>
  <c r="AI495" i="75"/>
  <c r="AI496" i="75"/>
  <c r="AI497" i="75"/>
  <c r="AI498" i="75"/>
  <c r="AI499" i="75"/>
  <c r="AI500" i="75"/>
  <c r="AI501" i="75"/>
  <c r="AI502" i="75"/>
  <c r="AI503" i="75"/>
  <c r="AI504" i="75"/>
  <c r="AI505" i="75"/>
  <c r="AI506" i="75"/>
  <c r="AI507" i="75"/>
  <c r="AI514" i="75"/>
  <c r="AI515" i="75"/>
  <c r="AI516" i="75"/>
  <c r="AI517" i="75"/>
  <c r="AI518" i="75"/>
  <c r="AI519" i="75"/>
  <c r="AI520" i="75"/>
  <c r="AI521" i="75"/>
  <c r="AI522" i="75"/>
  <c r="AI523" i="75"/>
  <c r="AI524" i="75"/>
  <c r="AI525" i="75"/>
  <c r="AI526" i="75"/>
  <c r="AI527" i="75"/>
  <c r="AI528" i="75"/>
  <c r="AI529" i="75"/>
  <c r="AI398" i="75"/>
  <c r="AI399" i="75" s="1"/>
  <c r="AI678" i="75" s="1"/>
  <c r="AI406" i="75"/>
  <c r="AI407" i="75"/>
  <c r="AI408" i="75"/>
  <c r="AI409" i="75"/>
  <c r="AI410" i="75"/>
  <c r="AI411" i="75"/>
  <c r="AI412" i="75"/>
  <c r="AI413" i="75"/>
  <c r="AI414" i="75"/>
  <c r="AI415" i="75"/>
  <c r="AI416" i="75"/>
  <c r="AI418" i="75"/>
  <c r="AI419" i="75"/>
  <c r="AI420" i="75"/>
  <c r="AI421" i="75"/>
  <c r="AI470" i="75"/>
  <c r="AI471" i="75"/>
  <c r="AI472" i="75"/>
  <c r="AI473" i="75"/>
  <c r="AI474" i="75"/>
  <c r="AI475" i="75"/>
  <c r="AI476" i="75"/>
  <c r="AI477" i="75"/>
  <c r="AI478" i="75"/>
  <c r="AI479" i="75"/>
  <c r="AI480" i="75"/>
  <c r="AI481" i="75"/>
  <c r="AI482" i="75"/>
  <c r="AI483" i="75"/>
  <c r="AI484" i="75"/>
  <c r="AI485" i="75"/>
  <c r="AI427" i="75"/>
  <c r="AI428" i="75"/>
  <c r="AI429" i="75"/>
  <c r="AI430" i="75"/>
  <c r="AI431" i="75"/>
  <c r="AI432" i="75"/>
  <c r="AI433" i="75"/>
  <c r="AI434" i="75"/>
  <c r="AI435" i="75"/>
  <c r="AI436" i="75"/>
  <c r="AI437" i="75"/>
  <c r="AI438" i="75"/>
  <c r="AI439" i="75"/>
  <c r="AI440" i="75"/>
  <c r="AI441" i="75"/>
  <c r="AI442" i="75"/>
  <c r="AI448" i="75"/>
  <c r="AI449" i="75"/>
  <c r="AI450" i="75"/>
  <c r="AI451" i="75"/>
  <c r="AI452" i="75"/>
  <c r="AI453" i="75"/>
  <c r="AI454" i="75"/>
  <c r="AI455" i="75"/>
  <c r="AI456" i="75"/>
  <c r="AI457" i="75"/>
  <c r="AI458" i="75"/>
  <c r="AI459" i="75"/>
  <c r="AI460" i="75"/>
  <c r="AI461" i="75"/>
  <c r="AI462" i="75"/>
  <c r="AI463" i="75"/>
  <c r="AI318" i="75"/>
  <c r="AI359" i="75"/>
  <c r="AI360" i="75"/>
  <c r="AI361" i="75"/>
  <c r="AI635" i="75"/>
  <c r="AG169" i="74"/>
  <c r="AG260" i="74" s="1"/>
  <c r="AG173" i="74"/>
  <c r="AG261" i="74" s="1"/>
  <c r="AG177" i="74"/>
  <c r="AG178" i="74"/>
  <c r="AG269" i="74" s="1"/>
  <c r="AG179" i="74"/>
  <c r="AG270" i="74" s="1"/>
  <c r="AG180" i="74"/>
  <c r="AG271" i="74" s="1"/>
  <c r="AG181" i="74"/>
  <c r="AG272" i="74" s="1"/>
  <c r="AG182" i="74"/>
  <c r="AG273" i="74" s="1"/>
  <c r="AG183" i="74"/>
  <c r="AG274" i="74" s="1"/>
  <c r="AG75" i="74"/>
  <c r="AG188" i="74" s="1"/>
  <c r="AG288" i="74" s="1"/>
  <c r="AG206" i="74"/>
  <c r="AG279" i="74" s="1"/>
  <c r="AG207" i="74"/>
  <c r="AG208" i="74"/>
  <c r="AG281" i="74" s="1"/>
  <c r="AG209" i="74"/>
  <c r="AG282" i="74" s="1"/>
  <c r="AG201" i="74"/>
  <c r="AG202" i="74" s="1"/>
  <c r="AG290" i="74" s="1"/>
  <c r="AG195" i="74"/>
  <c r="AG196" i="74"/>
  <c r="AG189" i="74"/>
  <c r="AG190" i="74"/>
  <c r="AG293" i="74" s="1"/>
  <c r="L293" i="41"/>
  <c r="L298" i="41"/>
  <c r="L355" i="41"/>
  <c r="L360" i="41"/>
  <c r="L366" i="41"/>
  <c r="L371" i="41"/>
  <c r="L377" i="41"/>
  <c r="L382" i="41"/>
  <c r="AN303" i="75"/>
  <c r="AN315" i="75"/>
  <c r="AN316" i="75"/>
  <c r="AN317" i="75"/>
  <c r="AN539" i="75"/>
  <c r="AN540" i="75"/>
  <c r="AN541" i="75"/>
  <c r="AN542" i="75"/>
  <c r="AN543" i="75"/>
  <c r="AN544" i="75"/>
  <c r="AN545" i="75"/>
  <c r="AN546" i="75"/>
  <c r="AN547" i="75"/>
  <c r="AN548" i="75"/>
  <c r="AN549" i="75"/>
  <c r="AN553" i="75"/>
  <c r="AN368" i="75"/>
  <c r="AN369" i="75"/>
  <c r="AN370" i="75"/>
  <c r="AN371" i="75"/>
  <c r="AN372" i="75"/>
  <c r="AN373" i="75"/>
  <c r="AN374" i="75"/>
  <c r="AN375" i="75"/>
  <c r="AN376" i="75"/>
  <c r="AN377" i="75"/>
  <c r="AN378" i="75"/>
  <c r="AN379" i="75"/>
  <c r="AN380" i="75"/>
  <c r="AN381" i="75"/>
  <c r="AN382" i="75"/>
  <c r="AN383" i="75"/>
  <c r="AN388" i="75"/>
  <c r="AN389" i="75"/>
  <c r="AN390" i="75"/>
  <c r="AN98" i="75"/>
  <c r="AN391" i="75" s="1"/>
  <c r="AN660" i="75"/>
  <c r="AN665" i="75"/>
  <c r="AN669" i="75"/>
  <c r="AN713" i="75" s="1"/>
  <c r="AN697" i="75"/>
  <c r="AN693" i="75" s="1"/>
  <c r="AN704" i="75" s="1"/>
  <c r="AN723" i="75" s="1"/>
  <c r="AN492" i="75"/>
  <c r="AN493" i="75"/>
  <c r="AN494" i="75"/>
  <c r="AN495" i="75"/>
  <c r="AN496" i="75"/>
  <c r="AN497" i="75"/>
  <c r="AN498" i="75"/>
  <c r="AN499" i="75"/>
  <c r="AN500" i="75"/>
  <c r="AN501" i="75"/>
  <c r="AN502" i="75"/>
  <c r="AN503" i="75"/>
  <c r="AN504" i="75"/>
  <c r="AN505" i="75"/>
  <c r="AN506" i="75"/>
  <c r="AN507" i="75"/>
  <c r="AN514" i="75"/>
  <c r="AN515" i="75"/>
  <c r="AN516" i="75"/>
  <c r="AN517" i="75"/>
  <c r="AN518" i="75"/>
  <c r="AN519" i="75"/>
  <c r="AN520" i="75"/>
  <c r="AN521" i="75"/>
  <c r="AN522" i="75"/>
  <c r="AN523" i="75"/>
  <c r="AN524" i="75"/>
  <c r="AN525" i="75"/>
  <c r="AN526" i="75"/>
  <c r="AN527" i="75"/>
  <c r="AN528" i="75"/>
  <c r="AN529" i="75"/>
  <c r="AN398" i="75"/>
  <c r="AN399" i="75" s="1"/>
  <c r="AN678" i="75" s="1"/>
  <c r="AN406" i="75"/>
  <c r="AN407" i="75"/>
  <c r="AN408" i="75"/>
  <c r="AN409" i="75"/>
  <c r="AN410" i="75"/>
  <c r="AN411" i="75"/>
  <c r="AN412" i="75"/>
  <c r="AN413" i="75"/>
  <c r="AN414" i="75"/>
  <c r="AN415" i="75"/>
  <c r="AN416" i="75"/>
  <c r="AN418" i="75"/>
  <c r="AN419" i="75"/>
  <c r="AN420" i="75"/>
  <c r="AN421" i="75"/>
  <c r="AN470" i="75"/>
  <c r="AN471" i="75"/>
  <c r="AN472" i="75"/>
  <c r="AN473" i="75"/>
  <c r="AN474" i="75"/>
  <c r="AN475" i="75"/>
  <c r="AN476" i="75"/>
  <c r="AN477" i="75"/>
  <c r="AN478" i="75"/>
  <c r="AN479" i="75"/>
  <c r="AN480" i="75"/>
  <c r="AN481" i="75"/>
  <c r="AN482" i="75"/>
  <c r="AN483" i="75"/>
  <c r="AN484" i="75"/>
  <c r="AN485" i="75"/>
  <c r="AN427" i="75"/>
  <c r="AN428" i="75"/>
  <c r="AN429" i="75"/>
  <c r="AN430" i="75"/>
  <c r="AN431" i="75"/>
  <c r="AN432" i="75"/>
  <c r="AN433" i="75"/>
  <c r="AN434" i="75"/>
  <c r="AN435" i="75"/>
  <c r="AN436" i="75"/>
  <c r="AN437" i="75"/>
  <c r="AN438" i="75"/>
  <c r="AN439" i="75"/>
  <c r="AN440" i="75"/>
  <c r="AN441" i="75"/>
  <c r="AN442" i="75"/>
  <c r="AN448" i="75"/>
  <c r="AN449" i="75"/>
  <c r="AN450" i="75"/>
  <c r="AN451" i="75"/>
  <c r="AN452" i="75"/>
  <c r="AN453" i="75"/>
  <c r="AN454" i="75"/>
  <c r="AN455" i="75"/>
  <c r="AN456" i="75"/>
  <c r="AN457" i="75"/>
  <c r="AN458" i="75"/>
  <c r="AN459" i="75"/>
  <c r="AN460" i="75"/>
  <c r="AN461" i="75"/>
  <c r="AN462" i="75"/>
  <c r="AN463" i="75"/>
  <c r="AN318" i="75"/>
  <c r="AN359" i="75"/>
  <c r="AN360" i="75"/>
  <c r="AN361" i="75"/>
  <c r="AN635" i="75"/>
  <c r="AL169" i="74"/>
  <c r="AL260" i="74" s="1"/>
  <c r="AL173" i="74"/>
  <c r="AL261" i="74" s="1"/>
  <c r="AL177" i="74"/>
  <c r="AL268" i="74" s="1"/>
  <c r="AL178" i="74"/>
  <c r="AL269" i="74" s="1"/>
  <c r="AL179" i="74"/>
  <c r="AL270" i="74" s="1"/>
  <c r="AL180" i="74"/>
  <c r="AL271" i="74" s="1"/>
  <c r="AL181" i="74"/>
  <c r="AL272" i="74" s="1"/>
  <c r="AL182" i="74"/>
  <c r="AL273" i="74" s="1"/>
  <c r="AL183" i="74"/>
  <c r="AL274" i="74" s="1"/>
  <c r="AL75" i="74"/>
  <c r="AL188" i="74" s="1"/>
  <c r="AL288" i="74" s="1"/>
  <c r="AL206" i="74"/>
  <c r="AL207" i="74"/>
  <c r="AL280" i="74" s="1"/>
  <c r="AL208" i="74"/>
  <c r="AL281" i="74" s="1"/>
  <c r="AL209" i="74"/>
  <c r="AL282" i="74" s="1"/>
  <c r="AL201" i="74"/>
  <c r="AL202" i="74" s="1"/>
  <c r="AL290" i="74" s="1"/>
  <c r="AL195" i="74"/>
  <c r="AL196" i="74"/>
  <c r="AL189" i="74"/>
  <c r="AL190" i="74"/>
  <c r="AL293" i="74" s="1"/>
  <c r="AQ169" i="74"/>
  <c r="AQ260" i="74" s="1"/>
  <c r="AQ173" i="74"/>
  <c r="AQ261" i="74" s="1"/>
  <c r="AQ177" i="74"/>
  <c r="AQ268" i="74" s="1"/>
  <c r="AQ178" i="74"/>
  <c r="AQ269" i="74" s="1"/>
  <c r="AQ179" i="74"/>
  <c r="AQ180" i="74"/>
  <c r="AQ271" i="74" s="1"/>
  <c r="AQ181" i="74"/>
  <c r="AQ272" i="74" s="1"/>
  <c r="AQ182" i="74"/>
  <c r="AQ273" i="74" s="1"/>
  <c r="AQ183" i="74"/>
  <c r="AQ274" i="74" s="1"/>
  <c r="AQ75" i="74"/>
  <c r="AQ188" i="74" s="1"/>
  <c r="AQ288" i="74" s="1"/>
  <c r="AQ206" i="74"/>
  <c r="AQ207" i="74"/>
  <c r="AQ280" i="74" s="1"/>
  <c r="AQ208" i="74"/>
  <c r="AQ281" i="74" s="1"/>
  <c r="AQ209" i="74"/>
  <c r="AQ282" i="74" s="1"/>
  <c r="AQ201" i="74"/>
  <c r="AQ202" i="74" s="1"/>
  <c r="AQ290" i="74" s="1"/>
  <c r="AQ195" i="74"/>
  <c r="AQ196" i="74"/>
  <c r="AQ189" i="74"/>
  <c r="AQ190" i="74"/>
  <c r="AQ293" i="74" s="1"/>
  <c r="F293" i="41"/>
  <c r="F298" i="41"/>
  <c r="F366" i="41"/>
  <c r="F371" i="41"/>
  <c r="F377" i="41"/>
  <c r="F382" i="41"/>
  <c r="J303" i="75"/>
  <c r="J315" i="75"/>
  <c r="J316" i="75"/>
  <c r="J317" i="75"/>
  <c r="J539" i="75"/>
  <c r="J540" i="75"/>
  <c r="J541" i="75"/>
  <c r="J542" i="75"/>
  <c r="J543" i="75"/>
  <c r="J544" i="75"/>
  <c r="J545" i="75"/>
  <c r="J546" i="75"/>
  <c r="J547" i="75"/>
  <c r="J548" i="75"/>
  <c r="J549" i="75"/>
  <c r="J553" i="75"/>
  <c r="J368" i="75"/>
  <c r="J369" i="75"/>
  <c r="J370" i="75"/>
  <c r="J371" i="75"/>
  <c r="J372" i="75"/>
  <c r="J373" i="75"/>
  <c r="J374" i="75"/>
  <c r="J375" i="75"/>
  <c r="J376" i="75"/>
  <c r="J377" i="75"/>
  <c r="J378" i="75"/>
  <c r="J379" i="75"/>
  <c r="J380" i="75"/>
  <c r="J381" i="75"/>
  <c r="J382" i="75"/>
  <c r="J383" i="75"/>
  <c r="J388" i="75"/>
  <c r="J389" i="75"/>
  <c r="J390" i="75"/>
  <c r="J98" i="75"/>
  <c r="J391" i="75" s="1"/>
  <c r="J660" i="75"/>
  <c r="J665" i="75"/>
  <c r="J669" i="75"/>
  <c r="J713" i="75" s="1"/>
  <c r="J697" i="75"/>
  <c r="J693" i="75" s="1"/>
  <c r="J704" i="75" s="1"/>
  <c r="J723" i="75" s="1"/>
  <c r="J492" i="75"/>
  <c r="J493" i="75"/>
  <c r="J494" i="75"/>
  <c r="J495" i="75"/>
  <c r="J496" i="75"/>
  <c r="J497" i="75"/>
  <c r="J498" i="75"/>
  <c r="J499" i="75"/>
  <c r="J500" i="75"/>
  <c r="J501" i="75"/>
  <c r="J502" i="75"/>
  <c r="J503" i="75"/>
  <c r="J504" i="75"/>
  <c r="J505" i="75"/>
  <c r="J506" i="75"/>
  <c r="J507" i="75"/>
  <c r="J514" i="75"/>
  <c r="J515" i="75"/>
  <c r="J516" i="75"/>
  <c r="J517" i="75"/>
  <c r="J518" i="75"/>
  <c r="J519" i="75"/>
  <c r="J520" i="75"/>
  <c r="J521" i="75"/>
  <c r="J522" i="75"/>
  <c r="J523" i="75"/>
  <c r="J524" i="75"/>
  <c r="J525" i="75"/>
  <c r="J526" i="75"/>
  <c r="J527" i="75"/>
  <c r="J528" i="75"/>
  <c r="J529" i="75"/>
  <c r="J398" i="75"/>
  <c r="J399" i="75" s="1"/>
  <c r="J678" i="75" s="1"/>
  <c r="J406" i="75"/>
  <c r="J407" i="75"/>
  <c r="J408" i="75"/>
  <c r="J409" i="75"/>
  <c r="J410" i="75"/>
  <c r="J411" i="75"/>
  <c r="J412" i="75"/>
  <c r="J413" i="75"/>
  <c r="J414" i="75"/>
  <c r="J415" i="75"/>
  <c r="J416" i="75"/>
  <c r="J418" i="75"/>
  <c r="J419" i="75"/>
  <c r="J420" i="75"/>
  <c r="J421" i="75"/>
  <c r="J470" i="75"/>
  <c r="J471" i="75"/>
  <c r="J472" i="75"/>
  <c r="J473" i="75"/>
  <c r="J474" i="75"/>
  <c r="J475" i="75"/>
  <c r="J476" i="75"/>
  <c r="J477" i="75"/>
  <c r="J478" i="75"/>
  <c r="J479" i="75"/>
  <c r="J480" i="75"/>
  <c r="J481" i="75"/>
  <c r="J482" i="75"/>
  <c r="J483" i="75"/>
  <c r="J484" i="75"/>
  <c r="J485" i="75"/>
  <c r="J427" i="75"/>
  <c r="J428" i="75"/>
  <c r="J429" i="75"/>
  <c r="J430" i="75"/>
  <c r="J431" i="75"/>
  <c r="J432" i="75"/>
  <c r="J433" i="75"/>
  <c r="J434" i="75"/>
  <c r="J435" i="75"/>
  <c r="J436" i="75"/>
  <c r="J437" i="75"/>
  <c r="J438" i="75"/>
  <c r="J439" i="75"/>
  <c r="J440" i="75"/>
  <c r="J441" i="75"/>
  <c r="J442" i="75"/>
  <c r="J448" i="75"/>
  <c r="J449" i="75"/>
  <c r="J450" i="75"/>
  <c r="J451" i="75"/>
  <c r="J452" i="75"/>
  <c r="J453" i="75"/>
  <c r="J454" i="75"/>
  <c r="J455" i="75"/>
  <c r="J456" i="75"/>
  <c r="J457" i="75"/>
  <c r="J458" i="75"/>
  <c r="J459" i="75"/>
  <c r="J460" i="75"/>
  <c r="J461" i="75"/>
  <c r="J462" i="75"/>
  <c r="J463" i="75"/>
  <c r="J318" i="75"/>
  <c r="J359" i="75"/>
  <c r="J360" i="75"/>
  <c r="J361" i="75"/>
  <c r="J635" i="75"/>
  <c r="H169" i="74"/>
  <c r="H260" i="74" s="1"/>
  <c r="H173" i="74"/>
  <c r="H261" i="74" s="1"/>
  <c r="H177" i="74"/>
  <c r="H268" i="74" s="1"/>
  <c r="H178" i="74"/>
  <c r="H269" i="74" s="1"/>
  <c r="H179" i="74"/>
  <c r="H270" i="74" s="1"/>
  <c r="H180" i="74"/>
  <c r="H271" i="74" s="1"/>
  <c r="H181" i="74"/>
  <c r="H272" i="74" s="1"/>
  <c r="H182" i="74"/>
  <c r="H273" i="74" s="1"/>
  <c r="H183" i="74"/>
  <c r="H274" i="74" s="1"/>
  <c r="H75" i="74"/>
  <c r="H188" i="74" s="1"/>
  <c r="H288" i="74" s="1"/>
  <c r="H206" i="74"/>
  <c r="H279" i="74" s="1"/>
  <c r="H207" i="74"/>
  <c r="H280" i="74" s="1"/>
  <c r="H208" i="74"/>
  <c r="H281" i="74" s="1"/>
  <c r="H209" i="74"/>
  <c r="H282" i="74" s="1"/>
  <c r="H201" i="74"/>
  <c r="H202" i="74" s="1"/>
  <c r="H290" i="74" s="1"/>
  <c r="H195" i="74"/>
  <c r="H196" i="74"/>
  <c r="H189" i="74"/>
  <c r="H292" i="74" s="1"/>
  <c r="H190" i="74"/>
  <c r="H293" i="74" s="1"/>
  <c r="F889" i="48"/>
  <c r="F890" i="48"/>
  <c r="F891" i="48"/>
  <c r="F892" i="48"/>
  <c r="F893" i="48"/>
  <c r="F894" i="48"/>
  <c r="F895" i="48"/>
  <c r="F896" i="48"/>
  <c r="F897" i="48"/>
  <c r="F898" i="48"/>
  <c r="F899" i="48"/>
  <c r="F900" i="48"/>
  <c r="F901" i="48"/>
  <c r="F902" i="48"/>
  <c r="F903" i="48"/>
  <c r="F70" i="48"/>
  <c r="F874" i="48"/>
  <c r="F875" i="48"/>
  <c r="F876" i="48"/>
  <c r="F877" i="48"/>
  <c r="F878" i="48"/>
  <c r="F879" i="48"/>
  <c r="F880" i="48"/>
  <c r="F881" i="48"/>
  <c r="F882" i="48"/>
  <c r="F883" i="48"/>
  <c r="F884" i="48"/>
  <c r="F885" i="48"/>
  <c r="F886" i="48"/>
  <c r="F887" i="48"/>
  <c r="F888" i="48"/>
  <c r="F477" i="50"/>
  <c r="F478" i="50"/>
  <c r="F479" i="50"/>
  <c r="F480" i="50"/>
  <c r="F481" i="50"/>
  <c r="F482" i="50"/>
  <c r="F483" i="50"/>
  <c r="F484" i="50"/>
  <c r="F485" i="50"/>
  <c r="F486" i="50"/>
  <c r="F487" i="50"/>
  <c r="R27" i="47"/>
  <c r="R30" i="47"/>
  <c r="R31" i="47"/>
  <c r="R32" i="47"/>
  <c r="R33" i="47"/>
  <c r="R29" i="47"/>
  <c r="R28" i="47"/>
  <c r="T27" i="47"/>
  <c r="U27" i="47"/>
  <c r="V27" i="47"/>
  <c r="W27" i="47"/>
  <c r="X27" i="47"/>
  <c r="Y27" i="47"/>
  <c r="Z27" i="47"/>
  <c r="S27" i="47"/>
  <c r="R26" i="47"/>
  <c r="G65" i="34"/>
  <c r="H65" i="34"/>
  <c r="I65" i="34"/>
  <c r="J65" i="34"/>
  <c r="K65" i="34"/>
  <c r="L65" i="34"/>
  <c r="M65" i="34"/>
  <c r="G33" i="35"/>
  <c r="E7" i="36"/>
  <c r="F19" i="36" s="1"/>
  <c r="F148" i="47" s="1"/>
  <c r="G33" i="36"/>
  <c r="H33" i="36" s="1"/>
  <c r="I33" i="36" s="1"/>
  <c r="J33" i="36" s="1"/>
  <c r="E7" i="37"/>
  <c r="K19" i="37" s="1"/>
  <c r="K69" i="37" s="1"/>
  <c r="K73" i="37" s="1"/>
  <c r="G74" i="37"/>
  <c r="H74" i="37"/>
  <c r="I74" i="37"/>
  <c r="J74" i="37"/>
  <c r="K74" i="37"/>
  <c r="L74" i="37"/>
  <c r="M74" i="37"/>
  <c r="E7" i="38"/>
  <c r="G75" i="38"/>
  <c r="G76" i="38"/>
  <c r="G83" i="38"/>
  <c r="G84" i="38"/>
  <c r="H75" i="38"/>
  <c r="H76" i="38"/>
  <c r="H83" i="38"/>
  <c r="H84" i="38"/>
  <c r="I75" i="38"/>
  <c r="I76" i="38"/>
  <c r="I83" i="38"/>
  <c r="I84" i="38"/>
  <c r="J75" i="38"/>
  <c r="J76" i="38"/>
  <c r="J83" i="38"/>
  <c r="J84" i="38"/>
  <c r="K75" i="38"/>
  <c r="K76" i="38"/>
  <c r="K83" i="38"/>
  <c r="K84" i="38"/>
  <c r="L75" i="38"/>
  <c r="L76" i="38"/>
  <c r="L83" i="38"/>
  <c r="L84" i="38"/>
  <c r="M75" i="38"/>
  <c r="M76" i="38"/>
  <c r="M83" i="38"/>
  <c r="M84" i="38"/>
  <c r="E7" i="39"/>
  <c r="G60" i="39"/>
  <c r="H60" i="39"/>
  <c r="I60" i="39"/>
  <c r="J60" i="39"/>
  <c r="K60" i="39"/>
  <c r="L60" i="39"/>
  <c r="M60" i="39"/>
  <c r="G50" i="57"/>
  <c r="H50" i="57"/>
  <c r="I50" i="57"/>
  <c r="J50" i="57"/>
  <c r="K50" i="57"/>
  <c r="L50" i="57"/>
  <c r="M50" i="57"/>
  <c r="B36" i="76"/>
  <c r="F65" i="34"/>
  <c r="F72" i="35"/>
  <c r="F73" i="36"/>
  <c r="F74" i="37"/>
  <c r="F75" i="38"/>
  <c r="F76" i="38"/>
  <c r="F83" i="38"/>
  <c r="F84" i="38"/>
  <c r="F50" i="57"/>
  <c r="D129" i="47"/>
  <c r="D130" i="47"/>
  <c r="D131" i="47"/>
  <c r="D132" i="47"/>
  <c r="D133" i="47"/>
  <c r="D134" i="47"/>
  <c r="AN13" i="47" s="1"/>
  <c r="D135" i="47"/>
  <c r="D136" i="47"/>
  <c r="D137" i="47"/>
  <c r="AN16" i="47" s="1"/>
  <c r="D138" i="47"/>
  <c r="AN17" i="47" s="1"/>
  <c r="AN3" i="47"/>
  <c r="D29" i="47"/>
  <c r="AC5" i="47" s="1"/>
  <c r="D30" i="47"/>
  <c r="AC6" i="47" s="1"/>
  <c r="D28" i="47"/>
  <c r="AC4" i="47" s="1"/>
  <c r="AC2" i="47"/>
  <c r="D45" i="47"/>
  <c r="R11" i="47" s="1"/>
  <c r="D71" i="47"/>
  <c r="D67" i="47"/>
  <c r="R15" i="47" s="1"/>
  <c r="D58" i="47"/>
  <c r="D57" i="47"/>
  <c r="D37" i="47"/>
  <c r="R5" i="47" s="1"/>
  <c r="D38" i="47"/>
  <c r="D39" i="47"/>
  <c r="D40" i="47"/>
  <c r="D41" i="47"/>
  <c r="R9" i="47" s="1"/>
  <c r="M107" i="77"/>
  <c r="L107" i="77"/>
  <c r="K107" i="77"/>
  <c r="J107" i="77"/>
  <c r="I107" i="77"/>
  <c r="H107" i="77"/>
  <c r="G107" i="77"/>
  <c r="F107" i="77"/>
  <c r="M106" i="77"/>
  <c r="L106" i="77"/>
  <c r="K106" i="77"/>
  <c r="J106" i="77"/>
  <c r="I106" i="77"/>
  <c r="H106" i="77"/>
  <c r="G106" i="77"/>
  <c r="F106" i="77"/>
  <c r="M105" i="77"/>
  <c r="L105" i="77"/>
  <c r="K105" i="77"/>
  <c r="J105" i="77"/>
  <c r="I105" i="77"/>
  <c r="H105" i="77"/>
  <c r="G105" i="77"/>
  <c r="F105" i="77"/>
  <c r="M99" i="76"/>
  <c r="M100" i="76"/>
  <c r="M101" i="76"/>
  <c r="L99" i="76"/>
  <c r="L100" i="76"/>
  <c r="L101" i="76"/>
  <c r="K99" i="76"/>
  <c r="K100" i="76"/>
  <c r="K101" i="76"/>
  <c r="J99" i="76"/>
  <c r="J100" i="76"/>
  <c r="J101" i="76"/>
  <c r="I99" i="76"/>
  <c r="I100" i="76"/>
  <c r="I101" i="76"/>
  <c r="H99" i="76"/>
  <c r="H100" i="76"/>
  <c r="H101" i="76"/>
  <c r="G99" i="76"/>
  <c r="G100" i="76"/>
  <c r="G101" i="76"/>
  <c r="F99" i="76"/>
  <c r="F100" i="76"/>
  <c r="F101" i="76"/>
  <c r="D114" i="47"/>
  <c r="D113" i="47"/>
  <c r="D110" i="47"/>
  <c r="D109" i="47"/>
  <c r="D82" i="47"/>
  <c r="D77" i="47"/>
  <c r="D76" i="47"/>
  <c r="D83" i="47"/>
  <c r="D59" i="47"/>
  <c r="D60" i="47"/>
  <c r="D61" i="47"/>
  <c r="D62" i="47"/>
  <c r="D63" i="47"/>
  <c r="D64" i="47"/>
  <c r="D65" i="47"/>
  <c r="D66" i="47"/>
  <c r="D68" i="47"/>
  <c r="D69" i="47"/>
  <c r="D70" i="47"/>
  <c r="D54" i="47"/>
  <c r="D53" i="47"/>
  <c r="D51" i="47"/>
  <c r="D52" i="47"/>
  <c r="D50" i="47"/>
  <c r="D49" i="47"/>
  <c r="D48" i="47"/>
  <c r="D46" i="47"/>
  <c r="D47" i="47"/>
  <c r="D44" i="47"/>
  <c r="D70" i="77"/>
  <c r="D71" i="77"/>
  <c r="D66" i="76"/>
  <c r="D67" i="76"/>
  <c r="D9" i="47"/>
  <c r="D10" i="47"/>
  <c r="D11" i="47"/>
  <c r="D12" i="47"/>
  <c r="D13" i="47"/>
  <c r="D14" i="47"/>
  <c r="D15" i="47"/>
  <c r="D16" i="47"/>
  <c r="D17" i="47"/>
  <c r="D18" i="47"/>
  <c r="D19" i="47"/>
  <c r="D20" i="47"/>
  <c r="D21" i="47"/>
  <c r="D22" i="47"/>
  <c r="D23" i="47"/>
  <c r="D8" i="47"/>
  <c r="G303" i="75"/>
  <c r="G315" i="75"/>
  <c r="G316" i="75"/>
  <c r="G317" i="75"/>
  <c r="G318" i="75"/>
  <c r="G539" i="75"/>
  <c r="G540" i="75"/>
  <c r="G541" i="75"/>
  <c r="G542" i="75"/>
  <c r="G543" i="75"/>
  <c r="G544" i="75"/>
  <c r="G545" i="75"/>
  <c r="G546" i="75"/>
  <c r="G547" i="75"/>
  <c r="G548" i="75"/>
  <c r="G549" i="75"/>
  <c r="G669" i="75"/>
  <c r="G713" i="75" s="1"/>
  <c r="G660" i="75"/>
  <c r="G665" i="75"/>
  <c r="G388" i="75"/>
  <c r="G389" i="75"/>
  <c r="G390" i="75"/>
  <c r="G98" i="75"/>
  <c r="G391" i="75" s="1"/>
  <c r="G368" i="75"/>
  <c r="G369" i="75"/>
  <c r="G370" i="75"/>
  <c r="G371" i="75"/>
  <c r="G372" i="75"/>
  <c r="G373" i="75"/>
  <c r="G374" i="75"/>
  <c r="G375" i="75"/>
  <c r="G376" i="75"/>
  <c r="G377" i="75"/>
  <c r="G378" i="75"/>
  <c r="G379" i="75"/>
  <c r="G380" i="75"/>
  <c r="G381" i="75"/>
  <c r="G382" i="75"/>
  <c r="G383" i="75"/>
  <c r="G697" i="75"/>
  <c r="G693" i="75" s="1"/>
  <c r="G704" i="75" s="1"/>
  <c r="G723" i="75" s="1"/>
  <c r="G492" i="75"/>
  <c r="G493" i="75"/>
  <c r="G494" i="75"/>
  <c r="G495" i="75"/>
  <c r="G496" i="75"/>
  <c r="G497" i="75"/>
  <c r="G498" i="75"/>
  <c r="G499" i="75"/>
  <c r="G500" i="75"/>
  <c r="G501" i="75"/>
  <c r="G502" i="75"/>
  <c r="G503" i="75"/>
  <c r="G504" i="75"/>
  <c r="G505" i="75"/>
  <c r="G506" i="75"/>
  <c r="G507" i="75"/>
  <c r="G514" i="75"/>
  <c r="G515" i="75"/>
  <c r="G516" i="75"/>
  <c r="G517" i="75"/>
  <c r="G518" i="75"/>
  <c r="G519" i="75"/>
  <c r="G520" i="75"/>
  <c r="G521" i="75"/>
  <c r="G522" i="75"/>
  <c r="G523" i="75"/>
  <c r="G524" i="75"/>
  <c r="G525" i="75"/>
  <c r="G526" i="75"/>
  <c r="G527" i="75"/>
  <c r="G528" i="75"/>
  <c r="G529" i="75"/>
  <c r="G398" i="75"/>
  <c r="G399" i="75" s="1"/>
  <c r="G678" i="75" s="1"/>
  <c r="G406" i="75"/>
  <c r="G407" i="75"/>
  <c r="G408" i="75"/>
  <c r="G409" i="75"/>
  <c r="G410" i="75"/>
  <c r="G411" i="75"/>
  <c r="G412" i="75"/>
  <c r="G413" i="75"/>
  <c r="G414" i="75"/>
  <c r="G415" i="75"/>
  <c r="G416" i="75"/>
  <c r="G418" i="75"/>
  <c r="G419" i="75"/>
  <c r="G420" i="75"/>
  <c r="G421" i="75"/>
  <c r="G470" i="75"/>
  <c r="G471" i="75"/>
  <c r="G472" i="75"/>
  <c r="G473" i="75"/>
  <c r="G474" i="75"/>
  <c r="G475" i="75"/>
  <c r="G476" i="75"/>
  <c r="G477" i="75"/>
  <c r="G478" i="75"/>
  <c r="G479" i="75"/>
  <c r="G480" i="75"/>
  <c r="G481" i="75"/>
  <c r="G482" i="75"/>
  <c r="G483" i="75"/>
  <c r="G484" i="75"/>
  <c r="G485" i="75"/>
  <c r="G427" i="75"/>
  <c r="G428" i="75"/>
  <c r="G429" i="75"/>
  <c r="G430" i="75"/>
  <c r="G431" i="75"/>
  <c r="G432" i="75"/>
  <c r="G433" i="75"/>
  <c r="G434" i="75"/>
  <c r="G435" i="75"/>
  <c r="G436" i="75"/>
  <c r="G437" i="75"/>
  <c r="G438" i="75"/>
  <c r="G439" i="75"/>
  <c r="G440" i="75"/>
  <c r="G441" i="75"/>
  <c r="G442" i="75"/>
  <c r="G448" i="75"/>
  <c r="G449" i="75"/>
  <c r="G450" i="75"/>
  <c r="G451" i="75"/>
  <c r="G452" i="75"/>
  <c r="G453" i="75"/>
  <c r="G454" i="75"/>
  <c r="G455" i="75"/>
  <c r="G456" i="75"/>
  <c r="G457" i="75"/>
  <c r="G458" i="75"/>
  <c r="G459" i="75"/>
  <c r="G460" i="75"/>
  <c r="G461" i="75"/>
  <c r="G462" i="75"/>
  <c r="G463" i="75"/>
  <c r="G359" i="75"/>
  <c r="G360" i="75"/>
  <c r="G361" i="75"/>
  <c r="G635" i="75"/>
  <c r="C43" i="77"/>
  <c r="D39" i="77"/>
  <c r="C39" i="77"/>
  <c r="B39" i="77"/>
  <c r="B38" i="77"/>
  <c r="C39" i="76"/>
  <c r="C35" i="76"/>
  <c r="D35" i="76"/>
  <c r="C36" i="76"/>
  <c r="B35" i="76"/>
  <c r="B34" i="76"/>
  <c r="AR697" i="75"/>
  <c r="AR693" i="75" s="1"/>
  <c r="AR704" i="75" s="1"/>
  <c r="AR723" i="75" s="1"/>
  <c r="AR368" i="75"/>
  <c r="AR369" i="75"/>
  <c r="AR370" i="75"/>
  <c r="AR371" i="75"/>
  <c r="AR372" i="75"/>
  <c r="AR373" i="75"/>
  <c r="AR374" i="75"/>
  <c r="AR375" i="75"/>
  <c r="AR376" i="75"/>
  <c r="AR377" i="75"/>
  <c r="AR378" i="75"/>
  <c r="AR379" i="75"/>
  <c r="AR380" i="75"/>
  <c r="AR381" i="75"/>
  <c r="AR382" i="75"/>
  <c r="AR383" i="75"/>
  <c r="AR388" i="75"/>
  <c r="AR389" i="75"/>
  <c r="AR390" i="75"/>
  <c r="AR98" i="75"/>
  <c r="AR391" i="75" s="1"/>
  <c r="AR660" i="75"/>
  <c r="AR665" i="75"/>
  <c r="AR303" i="75"/>
  <c r="AR539" i="75"/>
  <c r="AR540" i="75"/>
  <c r="AR541" i="75"/>
  <c r="AR542" i="75"/>
  <c r="AR543" i="75"/>
  <c r="AR544" i="75"/>
  <c r="AR545" i="75"/>
  <c r="AR546" i="75"/>
  <c r="AR547" i="75"/>
  <c r="AR548" i="75"/>
  <c r="AR549" i="75"/>
  <c r="AR315" i="75"/>
  <c r="AR316" i="75"/>
  <c r="AR317" i="75"/>
  <c r="AR553" i="75"/>
  <c r="AR669" i="75"/>
  <c r="AR713" i="75" s="1"/>
  <c r="AR492" i="75"/>
  <c r="AR493" i="75"/>
  <c r="AR494" i="75"/>
  <c r="AR495" i="75"/>
  <c r="AR496" i="75"/>
  <c r="AR497" i="75"/>
  <c r="AR498" i="75"/>
  <c r="AR499" i="75"/>
  <c r="AR500" i="75"/>
  <c r="AR501" i="75"/>
  <c r="AR502" i="75"/>
  <c r="AR503" i="75"/>
  <c r="AR504" i="75"/>
  <c r="AR505" i="75"/>
  <c r="AR506" i="75"/>
  <c r="AR507" i="75"/>
  <c r="AR514" i="75"/>
  <c r="AR515" i="75"/>
  <c r="AR516" i="75"/>
  <c r="AR517" i="75"/>
  <c r="AR518" i="75"/>
  <c r="AR519" i="75"/>
  <c r="AR520" i="75"/>
  <c r="AR521" i="75"/>
  <c r="AR522" i="75"/>
  <c r="AR523" i="75"/>
  <c r="AR524" i="75"/>
  <c r="AR525" i="75"/>
  <c r="AR526" i="75"/>
  <c r="AR527" i="75"/>
  <c r="AR528" i="75"/>
  <c r="AR529" i="75"/>
  <c r="AR398" i="75"/>
  <c r="AR399" i="75" s="1"/>
  <c r="AR678" i="75" s="1"/>
  <c r="AR406" i="75"/>
  <c r="AR407" i="75"/>
  <c r="AR408" i="75"/>
  <c r="AR409" i="75"/>
  <c r="AR410" i="75"/>
  <c r="AR411" i="75"/>
  <c r="AR412" i="75"/>
  <c r="AR413" i="75"/>
  <c r="AR414" i="75"/>
  <c r="AR415" i="75"/>
  <c r="AR416" i="75"/>
  <c r="AR418" i="75"/>
  <c r="AR419" i="75"/>
  <c r="AR420" i="75"/>
  <c r="AR421" i="75"/>
  <c r="AR470" i="75"/>
  <c r="AR471" i="75"/>
  <c r="AR472" i="75"/>
  <c r="AR473" i="75"/>
  <c r="AR474" i="75"/>
  <c r="AR475" i="75"/>
  <c r="AR476" i="75"/>
  <c r="AR477" i="75"/>
  <c r="AR478" i="75"/>
  <c r="AR479" i="75"/>
  <c r="AR480" i="75"/>
  <c r="AR481" i="75"/>
  <c r="AR482" i="75"/>
  <c r="AR483" i="75"/>
  <c r="AR484" i="75"/>
  <c r="AR485" i="75"/>
  <c r="AR427" i="75"/>
  <c r="AR428" i="75"/>
  <c r="AR429" i="75"/>
  <c r="AR430" i="75"/>
  <c r="AR431" i="75"/>
  <c r="AR432" i="75"/>
  <c r="AR433" i="75"/>
  <c r="AR434" i="75"/>
  <c r="AR435" i="75"/>
  <c r="AR436" i="75"/>
  <c r="AR437" i="75"/>
  <c r="AR438" i="75"/>
  <c r="AR439" i="75"/>
  <c r="AR440" i="75"/>
  <c r="AR441" i="75"/>
  <c r="AR442" i="75"/>
  <c r="AR448" i="75"/>
  <c r="AR449" i="75"/>
  <c r="AR450" i="75"/>
  <c r="AR451" i="75"/>
  <c r="AR452" i="75"/>
  <c r="AR453" i="75"/>
  <c r="AR454" i="75"/>
  <c r="AR455" i="75"/>
  <c r="AR456" i="75"/>
  <c r="AR457" i="75"/>
  <c r="AR458" i="75"/>
  <c r="AR459" i="75"/>
  <c r="AR460" i="75"/>
  <c r="AR461" i="75"/>
  <c r="AR462" i="75"/>
  <c r="AR463" i="75"/>
  <c r="AR318" i="75"/>
  <c r="AR359" i="75"/>
  <c r="AR360" i="75"/>
  <c r="AR361" i="75"/>
  <c r="AR635" i="75"/>
  <c r="AQ697" i="75"/>
  <c r="AQ693" i="75" s="1"/>
  <c r="AQ704" i="75" s="1"/>
  <c r="AQ723" i="75" s="1"/>
  <c r="AQ368" i="75"/>
  <c r="AQ369" i="75"/>
  <c r="AQ370" i="75"/>
  <c r="AQ371" i="75"/>
  <c r="AQ372" i="75"/>
  <c r="AQ373" i="75"/>
  <c r="AQ374" i="75"/>
  <c r="AQ375" i="75"/>
  <c r="AQ376" i="75"/>
  <c r="AQ377" i="75"/>
  <c r="AQ378" i="75"/>
  <c r="AQ379" i="75"/>
  <c r="AQ380" i="75"/>
  <c r="AQ381" i="75"/>
  <c r="AQ382" i="75"/>
  <c r="AQ383" i="75"/>
  <c r="AQ388" i="75"/>
  <c r="AQ389" i="75"/>
  <c r="AQ390" i="75"/>
  <c r="AQ98" i="75"/>
  <c r="AQ391" i="75" s="1"/>
  <c r="AQ660" i="75"/>
  <c r="AQ665" i="75"/>
  <c r="AQ303" i="75"/>
  <c r="AQ539" i="75"/>
  <c r="AQ540" i="75"/>
  <c r="AQ541" i="75"/>
  <c r="AQ542" i="75"/>
  <c r="AQ543" i="75"/>
  <c r="AQ544" i="75"/>
  <c r="AQ545" i="75"/>
  <c r="AQ546" i="75"/>
  <c r="AQ547" i="75"/>
  <c r="AQ548" i="75"/>
  <c r="AQ549" i="75"/>
  <c r="AQ315" i="75"/>
  <c r="AQ316" i="75"/>
  <c r="AQ317" i="75"/>
  <c r="AQ553" i="75"/>
  <c r="AQ669" i="75"/>
  <c r="AQ713" i="75" s="1"/>
  <c r="AQ492" i="75"/>
  <c r="AQ493" i="75"/>
  <c r="AQ494" i="75"/>
  <c r="AQ495" i="75"/>
  <c r="AQ496" i="75"/>
  <c r="AQ497" i="75"/>
  <c r="AQ498" i="75"/>
  <c r="AQ499" i="75"/>
  <c r="AQ500" i="75"/>
  <c r="AQ501" i="75"/>
  <c r="AQ502" i="75"/>
  <c r="AQ503" i="75"/>
  <c r="AQ504" i="75"/>
  <c r="AQ505" i="75"/>
  <c r="AQ506" i="75"/>
  <c r="AQ507" i="75"/>
  <c r="AQ514" i="75"/>
  <c r="AQ515" i="75"/>
  <c r="AQ516" i="75"/>
  <c r="AQ517" i="75"/>
  <c r="AQ518" i="75"/>
  <c r="AQ519" i="75"/>
  <c r="AQ520" i="75"/>
  <c r="AQ521" i="75"/>
  <c r="AQ522" i="75"/>
  <c r="AQ523" i="75"/>
  <c r="AQ524" i="75"/>
  <c r="AQ525" i="75"/>
  <c r="AQ526" i="75"/>
  <c r="AQ527" i="75"/>
  <c r="AQ528" i="75"/>
  <c r="AQ529" i="75"/>
  <c r="AQ398" i="75"/>
  <c r="AQ399" i="75" s="1"/>
  <c r="AQ678" i="75" s="1"/>
  <c r="AQ406" i="75"/>
  <c r="AQ407" i="75"/>
  <c r="AQ408" i="75"/>
  <c r="AQ409" i="75"/>
  <c r="AQ410" i="75"/>
  <c r="AQ411" i="75"/>
  <c r="AQ412" i="75"/>
  <c r="AQ413" i="75"/>
  <c r="AQ414" i="75"/>
  <c r="AQ415" i="75"/>
  <c r="AQ416" i="75"/>
  <c r="AQ418" i="75"/>
  <c r="AQ419" i="75"/>
  <c r="AQ420" i="75"/>
  <c r="AQ421" i="75"/>
  <c r="AQ470" i="75"/>
  <c r="AQ471" i="75"/>
  <c r="AQ472" i="75"/>
  <c r="AQ473" i="75"/>
  <c r="AQ474" i="75"/>
  <c r="AQ475" i="75"/>
  <c r="AQ476" i="75"/>
  <c r="AQ477" i="75"/>
  <c r="AQ478" i="75"/>
  <c r="AQ479" i="75"/>
  <c r="AQ480" i="75"/>
  <c r="AQ481" i="75"/>
  <c r="AQ482" i="75"/>
  <c r="AQ483" i="75"/>
  <c r="AQ484" i="75"/>
  <c r="AQ485" i="75"/>
  <c r="AQ427" i="75"/>
  <c r="AQ428" i="75"/>
  <c r="AQ429" i="75"/>
  <c r="AQ430" i="75"/>
  <c r="AQ431" i="75"/>
  <c r="AQ432" i="75"/>
  <c r="AQ433" i="75"/>
  <c r="AQ434" i="75"/>
  <c r="AQ435" i="75"/>
  <c r="AQ436" i="75"/>
  <c r="AQ437" i="75"/>
  <c r="AQ438" i="75"/>
  <c r="AQ439" i="75"/>
  <c r="AQ440" i="75"/>
  <c r="AQ441" i="75"/>
  <c r="AQ442" i="75"/>
  <c r="AQ448" i="75"/>
  <c r="AQ449" i="75"/>
  <c r="AQ450" i="75"/>
  <c r="AQ451" i="75"/>
  <c r="AQ452" i="75"/>
  <c r="AQ453" i="75"/>
  <c r="AQ454" i="75"/>
  <c r="AQ455" i="75"/>
  <c r="AQ456" i="75"/>
  <c r="AQ457" i="75"/>
  <c r="AQ458" i="75"/>
  <c r="AQ459" i="75"/>
  <c r="AQ460" i="75"/>
  <c r="AQ461" i="75"/>
  <c r="AQ462" i="75"/>
  <c r="AQ463" i="75"/>
  <c r="AQ318" i="75"/>
  <c r="AQ359" i="75"/>
  <c r="AQ360" i="75"/>
  <c r="AQ361" i="75"/>
  <c r="AQ635" i="75"/>
  <c r="AP697" i="75"/>
  <c r="AP693" i="75" s="1"/>
  <c r="AP704" i="75" s="1"/>
  <c r="AP723" i="75" s="1"/>
  <c r="AP368" i="75"/>
  <c r="AP369" i="75"/>
  <c r="AP370" i="75"/>
  <c r="AP371" i="75"/>
  <c r="AP372" i="75"/>
  <c r="AP373" i="75"/>
  <c r="AP374" i="75"/>
  <c r="AP375" i="75"/>
  <c r="AP376" i="75"/>
  <c r="AP377" i="75"/>
  <c r="AP378" i="75"/>
  <c r="AP379" i="75"/>
  <c r="AP380" i="75"/>
  <c r="AP381" i="75"/>
  <c r="AP382" i="75"/>
  <c r="AP383" i="75"/>
  <c r="AP388" i="75"/>
  <c r="AP389" i="75"/>
  <c r="AP390" i="75"/>
  <c r="AP98" i="75"/>
  <c r="AP391" i="75" s="1"/>
  <c r="AP660" i="75"/>
  <c r="AP665" i="75"/>
  <c r="AP303" i="75"/>
  <c r="AP539" i="75"/>
  <c r="AP540" i="75"/>
  <c r="AP541" i="75"/>
  <c r="AP542" i="75"/>
  <c r="AP543" i="75"/>
  <c r="AP544" i="75"/>
  <c r="AP545" i="75"/>
  <c r="AP546" i="75"/>
  <c r="AP547" i="75"/>
  <c r="AP548" i="75"/>
  <c r="AP549" i="75"/>
  <c r="AP315" i="75"/>
  <c r="AP316" i="75"/>
  <c r="AP317" i="75"/>
  <c r="AP553" i="75"/>
  <c r="AP669" i="75"/>
  <c r="AP713" i="75" s="1"/>
  <c r="AP492" i="75"/>
  <c r="AP493" i="75"/>
  <c r="AP494" i="75"/>
  <c r="AP495" i="75"/>
  <c r="AP496" i="75"/>
  <c r="AP497" i="75"/>
  <c r="AP498" i="75"/>
  <c r="AP499" i="75"/>
  <c r="AP500" i="75"/>
  <c r="AP501" i="75"/>
  <c r="AP502" i="75"/>
  <c r="AP503" i="75"/>
  <c r="AP504" i="75"/>
  <c r="AP505" i="75"/>
  <c r="AP506" i="75"/>
  <c r="AP507" i="75"/>
  <c r="AP514" i="75"/>
  <c r="AP515" i="75"/>
  <c r="AP516" i="75"/>
  <c r="AP517" i="75"/>
  <c r="AP518" i="75"/>
  <c r="AP519" i="75"/>
  <c r="AP520" i="75"/>
  <c r="AP521" i="75"/>
  <c r="AP522" i="75"/>
  <c r="AP523" i="75"/>
  <c r="AP524" i="75"/>
  <c r="AP525" i="75"/>
  <c r="AP526" i="75"/>
  <c r="AP527" i="75"/>
  <c r="AP528" i="75"/>
  <c r="AP529" i="75"/>
  <c r="AP398" i="75"/>
  <c r="AP399" i="75" s="1"/>
  <c r="AP678" i="75" s="1"/>
  <c r="AP406" i="75"/>
  <c r="AP407" i="75"/>
  <c r="AP408" i="75"/>
  <c r="AP409" i="75"/>
  <c r="AP410" i="75"/>
  <c r="AP411" i="75"/>
  <c r="AP412" i="75"/>
  <c r="AP413" i="75"/>
  <c r="AP414" i="75"/>
  <c r="AP415" i="75"/>
  <c r="AP416" i="75"/>
  <c r="AP418" i="75"/>
  <c r="AP419" i="75"/>
  <c r="AP420" i="75"/>
  <c r="AP421" i="75"/>
  <c r="AP470" i="75"/>
  <c r="AP471" i="75"/>
  <c r="AP472" i="75"/>
  <c r="AP473" i="75"/>
  <c r="AP474" i="75"/>
  <c r="AP475" i="75"/>
  <c r="AP476" i="75"/>
  <c r="AP477" i="75"/>
  <c r="AP478" i="75"/>
  <c r="AP479" i="75"/>
  <c r="AP480" i="75"/>
  <c r="AP481" i="75"/>
  <c r="AP482" i="75"/>
  <c r="AP483" i="75"/>
  <c r="AP484" i="75"/>
  <c r="AP485" i="75"/>
  <c r="AP427" i="75"/>
  <c r="AP428" i="75"/>
  <c r="AP429" i="75"/>
  <c r="AP430" i="75"/>
  <c r="AP431" i="75"/>
  <c r="AP432" i="75"/>
  <c r="AP433" i="75"/>
  <c r="AP434" i="75"/>
  <c r="AP435" i="75"/>
  <c r="AP436" i="75"/>
  <c r="AP437" i="75"/>
  <c r="AP438" i="75"/>
  <c r="AP439" i="75"/>
  <c r="AP440" i="75"/>
  <c r="AP441" i="75"/>
  <c r="AP442" i="75"/>
  <c r="AP448" i="75"/>
  <c r="AP449" i="75"/>
  <c r="AP450" i="75"/>
  <c r="AP451" i="75"/>
  <c r="AP452" i="75"/>
  <c r="AP453" i="75"/>
  <c r="AP454" i="75"/>
  <c r="AP455" i="75"/>
  <c r="AP456" i="75"/>
  <c r="AP457" i="75"/>
  <c r="AP458" i="75"/>
  <c r="AP459" i="75"/>
  <c r="AP460" i="75"/>
  <c r="AP461" i="75"/>
  <c r="AP462" i="75"/>
  <c r="AP463" i="75"/>
  <c r="AP318" i="75"/>
  <c r="AP359" i="75"/>
  <c r="AP360" i="75"/>
  <c r="AP361" i="75"/>
  <c r="AP635" i="75"/>
  <c r="AO697" i="75"/>
  <c r="AO693" i="75" s="1"/>
  <c r="AO704" i="75" s="1"/>
  <c r="AO723" i="75" s="1"/>
  <c r="AO368" i="75"/>
  <c r="AO369" i="75"/>
  <c r="AO370" i="75"/>
  <c r="AO371" i="75"/>
  <c r="AO372" i="75"/>
  <c r="AO373" i="75"/>
  <c r="AO374" i="75"/>
  <c r="AO375" i="75"/>
  <c r="AO376" i="75"/>
  <c r="AO377" i="75"/>
  <c r="AO378" i="75"/>
  <c r="AO379" i="75"/>
  <c r="AO380" i="75"/>
  <c r="AO381" i="75"/>
  <c r="AO382" i="75"/>
  <c r="AO383" i="75"/>
  <c r="AO388" i="75"/>
  <c r="AO389" i="75"/>
  <c r="AO390" i="75"/>
  <c r="AO98" i="75"/>
  <c r="AO391" i="75" s="1"/>
  <c r="AO660" i="75"/>
  <c r="AO665" i="75"/>
  <c r="AO303" i="75"/>
  <c r="AO539" i="75"/>
  <c r="AO540" i="75"/>
  <c r="AO541" i="75"/>
  <c r="AO542" i="75"/>
  <c r="AO543" i="75"/>
  <c r="AO544" i="75"/>
  <c r="AO545" i="75"/>
  <c r="AO546" i="75"/>
  <c r="AO547" i="75"/>
  <c r="AO548" i="75"/>
  <c r="AO549" i="75"/>
  <c r="AO315" i="75"/>
  <c r="AO316" i="75"/>
  <c r="AO317" i="75"/>
  <c r="AO553" i="75"/>
  <c r="AO669" i="75"/>
  <c r="AO713" i="75" s="1"/>
  <c r="AO492" i="75"/>
  <c r="AO493" i="75"/>
  <c r="AO494" i="75"/>
  <c r="AO495" i="75"/>
  <c r="AO496" i="75"/>
  <c r="AO497" i="75"/>
  <c r="AO498" i="75"/>
  <c r="AO499" i="75"/>
  <c r="AO500" i="75"/>
  <c r="AO501" i="75"/>
  <c r="AO502" i="75"/>
  <c r="AO503" i="75"/>
  <c r="AO504" i="75"/>
  <c r="AO505" i="75"/>
  <c r="AO506" i="75"/>
  <c r="AO507" i="75"/>
  <c r="AO514" i="75"/>
  <c r="AO515" i="75"/>
  <c r="AO516" i="75"/>
  <c r="AO517" i="75"/>
  <c r="AO518" i="75"/>
  <c r="AO519" i="75"/>
  <c r="AO520" i="75"/>
  <c r="AO521" i="75"/>
  <c r="AO522" i="75"/>
  <c r="AO523" i="75"/>
  <c r="AO524" i="75"/>
  <c r="AO525" i="75"/>
  <c r="AO526" i="75"/>
  <c r="AO527" i="75"/>
  <c r="AO528" i="75"/>
  <c r="AO529" i="75"/>
  <c r="AO398" i="75"/>
  <c r="AO399" i="75" s="1"/>
  <c r="AO678" i="75" s="1"/>
  <c r="AO406" i="75"/>
  <c r="AO407" i="75"/>
  <c r="AO408" i="75"/>
  <c r="AO409" i="75"/>
  <c r="AO410" i="75"/>
  <c r="AO411" i="75"/>
  <c r="AO412" i="75"/>
  <c r="AO413" i="75"/>
  <c r="AO414" i="75"/>
  <c r="AO415" i="75"/>
  <c r="AO416" i="75"/>
  <c r="AO418" i="75"/>
  <c r="AO419" i="75"/>
  <c r="AO420" i="75"/>
  <c r="AO421" i="75"/>
  <c r="AO470" i="75"/>
  <c r="AO471" i="75"/>
  <c r="AO472" i="75"/>
  <c r="AO473" i="75"/>
  <c r="AO474" i="75"/>
  <c r="AO475" i="75"/>
  <c r="AO476" i="75"/>
  <c r="AO477" i="75"/>
  <c r="AO478" i="75"/>
  <c r="AO479" i="75"/>
  <c r="AO480" i="75"/>
  <c r="AO481" i="75"/>
  <c r="AO482" i="75"/>
  <c r="AO483" i="75"/>
  <c r="AO484" i="75"/>
  <c r="AO485" i="75"/>
  <c r="AO427" i="75"/>
  <c r="AO428" i="75"/>
  <c r="AO429" i="75"/>
  <c r="AO430" i="75"/>
  <c r="AO431" i="75"/>
  <c r="AO432" i="75"/>
  <c r="AO433" i="75"/>
  <c r="AO434" i="75"/>
  <c r="AO435" i="75"/>
  <c r="AO436" i="75"/>
  <c r="AO437" i="75"/>
  <c r="AO438" i="75"/>
  <c r="AO439" i="75"/>
  <c r="AO440" i="75"/>
  <c r="AO441" i="75"/>
  <c r="AO442" i="75"/>
  <c r="AO448" i="75"/>
  <c r="AO449" i="75"/>
  <c r="AO450" i="75"/>
  <c r="AO451" i="75"/>
  <c r="AO452" i="75"/>
  <c r="AO453" i="75"/>
  <c r="AO454" i="75"/>
  <c r="AO455" i="75"/>
  <c r="AO456" i="75"/>
  <c r="AO457" i="75"/>
  <c r="AO458" i="75"/>
  <c r="AO459" i="75"/>
  <c r="AO460" i="75"/>
  <c r="AO461" i="75"/>
  <c r="AO462" i="75"/>
  <c r="AO463" i="75"/>
  <c r="AO318" i="75"/>
  <c r="AO359" i="75"/>
  <c r="AO360" i="75"/>
  <c r="AO361" i="75"/>
  <c r="AO635" i="75"/>
  <c r="AM697" i="75"/>
  <c r="AM693" i="75" s="1"/>
  <c r="AM704" i="75" s="1"/>
  <c r="AM723" i="75" s="1"/>
  <c r="AM368" i="75"/>
  <c r="AM369" i="75"/>
  <c r="AM370" i="75"/>
  <c r="AM371" i="75"/>
  <c r="AM372" i="75"/>
  <c r="AM373" i="75"/>
  <c r="AM374" i="75"/>
  <c r="AM375" i="75"/>
  <c r="AM376" i="75"/>
  <c r="AM377" i="75"/>
  <c r="AM378" i="75"/>
  <c r="AM379" i="75"/>
  <c r="AM380" i="75"/>
  <c r="AM381" i="75"/>
  <c r="AM382" i="75"/>
  <c r="AM383" i="75"/>
  <c r="AM388" i="75"/>
  <c r="AM389" i="75"/>
  <c r="AM390" i="75"/>
  <c r="AM98" i="75"/>
  <c r="AM391" i="75" s="1"/>
  <c r="AM660" i="75"/>
  <c r="AM665" i="75"/>
  <c r="AM303" i="75"/>
  <c r="AM539" i="75"/>
  <c r="AM540" i="75"/>
  <c r="AM541" i="75"/>
  <c r="AM542" i="75"/>
  <c r="AM543" i="75"/>
  <c r="AM544" i="75"/>
  <c r="AM545" i="75"/>
  <c r="AM546" i="75"/>
  <c r="AM547" i="75"/>
  <c r="AM548" i="75"/>
  <c r="AM549" i="75"/>
  <c r="AM315" i="75"/>
  <c r="AM316" i="75"/>
  <c r="AM317" i="75"/>
  <c r="AM553" i="75"/>
  <c r="AM669" i="75"/>
  <c r="AM713" i="75" s="1"/>
  <c r="AM492" i="75"/>
  <c r="AM493" i="75"/>
  <c r="AM494" i="75"/>
  <c r="AM495" i="75"/>
  <c r="AM496" i="75"/>
  <c r="AM497" i="75"/>
  <c r="AM498" i="75"/>
  <c r="AM499" i="75"/>
  <c r="AM500" i="75"/>
  <c r="AM501" i="75"/>
  <c r="AM502" i="75"/>
  <c r="AM503" i="75"/>
  <c r="AM504" i="75"/>
  <c r="AM505" i="75"/>
  <c r="AM506" i="75"/>
  <c r="AM507" i="75"/>
  <c r="AM514" i="75"/>
  <c r="AM515" i="75"/>
  <c r="AM516" i="75"/>
  <c r="AM517" i="75"/>
  <c r="AM518" i="75"/>
  <c r="AM519" i="75"/>
  <c r="AM520" i="75"/>
  <c r="AM521" i="75"/>
  <c r="AM522" i="75"/>
  <c r="AM523" i="75"/>
  <c r="AM524" i="75"/>
  <c r="AM525" i="75"/>
  <c r="AM526" i="75"/>
  <c r="AM527" i="75"/>
  <c r="AM528" i="75"/>
  <c r="AM529" i="75"/>
  <c r="AM398" i="75"/>
  <c r="AM399" i="75" s="1"/>
  <c r="AM678" i="75" s="1"/>
  <c r="AM406" i="75"/>
  <c r="AM407" i="75"/>
  <c r="AM408" i="75"/>
  <c r="AM409" i="75"/>
  <c r="AM410" i="75"/>
  <c r="AM411" i="75"/>
  <c r="AM412" i="75"/>
  <c r="AM413" i="75"/>
  <c r="AM414" i="75"/>
  <c r="AM415" i="75"/>
  <c r="AM416" i="75"/>
  <c r="AM418" i="75"/>
  <c r="AM419" i="75"/>
  <c r="AM420" i="75"/>
  <c r="AM421" i="75"/>
  <c r="AM470" i="75"/>
  <c r="AM471" i="75"/>
  <c r="AM472" i="75"/>
  <c r="AM473" i="75"/>
  <c r="AM474" i="75"/>
  <c r="AM475" i="75"/>
  <c r="AM476" i="75"/>
  <c r="AM477" i="75"/>
  <c r="AM478" i="75"/>
  <c r="AM479" i="75"/>
  <c r="AM480" i="75"/>
  <c r="AM481" i="75"/>
  <c r="AM482" i="75"/>
  <c r="AM483" i="75"/>
  <c r="AM484" i="75"/>
  <c r="AM485" i="75"/>
  <c r="AM427" i="75"/>
  <c r="AM428" i="75"/>
  <c r="AM429" i="75"/>
  <c r="AM430" i="75"/>
  <c r="AM431" i="75"/>
  <c r="AM432" i="75"/>
  <c r="AM433" i="75"/>
  <c r="AM434" i="75"/>
  <c r="AM435" i="75"/>
  <c r="AM436" i="75"/>
  <c r="AM437" i="75"/>
  <c r="AM438" i="75"/>
  <c r="AM439" i="75"/>
  <c r="AM440" i="75"/>
  <c r="AM441" i="75"/>
  <c r="AM442" i="75"/>
  <c r="AM448" i="75"/>
  <c r="AM449" i="75"/>
  <c r="AM450" i="75"/>
  <c r="AM451" i="75"/>
  <c r="AM452" i="75"/>
  <c r="AM453" i="75"/>
  <c r="AM454" i="75"/>
  <c r="AM455" i="75"/>
  <c r="AM456" i="75"/>
  <c r="AM457" i="75"/>
  <c r="AM458" i="75"/>
  <c r="AM459" i="75"/>
  <c r="AM460" i="75"/>
  <c r="AM461" i="75"/>
  <c r="AM462" i="75"/>
  <c r="AM463" i="75"/>
  <c r="AM318" i="75"/>
  <c r="AM359" i="75"/>
  <c r="AM360" i="75"/>
  <c r="AM361" i="75"/>
  <c r="AM635" i="75"/>
  <c r="AL697" i="75"/>
  <c r="AL693" i="75" s="1"/>
  <c r="AL704" i="75" s="1"/>
  <c r="AL723" i="75" s="1"/>
  <c r="AL368" i="75"/>
  <c r="AL369" i="75"/>
  <c r="AL370" i="75"/>
  <c r="AL371" i="75"/>
  <c r="AL372" i="75"/>
  <c r="AL373" i="75"/>
  <c r="AL374" i="75"/>
  <c r="AL375" i="75"/>
  <c r="AL376" i="75"/>
  <c r="AL377" i="75"/>
  <c r="AL378" i="75"/>
  <c r="AL379" i="75"/>
  <c r="AL380" i="75"/>
  <c r="AL381" i="75"/>
  <c r="AL382" i="75"/>
  <c r="AL383" i="75"/>
  <c r="AL388" i="75"/>
  <c r="AL389" i="75"/>
  <c r="AL390" i="75"/>
  <c r="AL98" i="75"/>
  <c r="AL391" i="75" s="1"/>
  <c r="AL660" i="75"/>
  <c r="AL665" i="75"/>
  <c r="AL303" i="75"/>
  <c r="AL539" i="75"/>
  <c r="AL540" i="75"/>
  <c r="AL541" i="75"/>
  <c r="AL542" i="75"/>
  <c r="AL543" i="75"/>
  <c r="AL544" i="75"/>
  <c r="AL545" i="75"/>
  <c r="AL546" i="75"/>
  <c r="AL547" i="75"/>
  <c r="AL548" i="75"/>
  <c r="AL549" i="75"/>
  <c r="AL315" i="75"/>
  <c r="AL316" i="75"/>
  <c r="AL317" i="75"/>
  <c r="AL553" i="75"/>
  <c r="AL669" i="75"/>
  <c r="AL713" i="75" s="1"/>
  <c r="AL492" i="75"/>
  <c r="AL493" i="75"/>
  <c r="AL494" i="75"/>
  <c r="AL495" i="75"/>
  <c r="AL496" i="75"/>
  <c r="AL497" i="75"/>
  <c r="AL498" i="75"/>
  <c r="AL499" i="75"/>
  <c r="AL500" i="75"/>
  <c r="AL501" i="75"/>
  <c r="AL502" i="75"/>
  <c r="AL503" i="75"/>
  <c r="AL504" i="75"/>
  <c r="AL505" i="75"/>
  <c r="AL506" i="75"/>
  <c r="AL507" i="75"/>
  <c r="AL514" i="75"/>
  <c r="AL515" i="75"/>
  <c r="AL516" i="75"/>
  <c r="AL517" i="75"/>
  <c r="AL518" i="75"/>
  <c r="AL519" i="75"/>
  <c r="AL520" i="75"/>
  <c r="AL521" i="75"/>
  <c r="AL522" i="75"/>
  <c r="AL523" i="75"/>
  <c r="AL524" i="75"/>
  <c r="AL525" i="75"/>
  <c r="AL526" i="75"/>
  <c r="AL527" i="75"/>
  <c r="AL528" i="75"/>
  <c r="AL529" i="75"/>
  <c r="AL398" i="75"/>
  <c r="AL399" i="75" s="1"/>
  <c r="AL678" i="75" s="1"/>
  <c r="AL406" i="75"/>
  <c r="AL407" i="75"/>
  <c r="AL408" i="75"/>
  <c r="AL409" i="75"/>
  <c r="AL410" i="75"/>
  <c r="AL411" i="75"/>
  <c r="AL412" i="75"/>
  <c r="AL413" i="75"/>
  <c r="AL414" i="75"/>
  <c r="AL415" i="75"/>
  <c r="AL416" i="75"/>
  <c r="AL418" i="75"/>
  <c r="AL419" i="75"/>
  <c r="AL420" i="75"/>
  <c r="AL421" i="75"/>
  <c r="AL470" i="75"/>
  <c r="AL471" i="75"/>
  <c r="AL472" i="75"/>
  <c r="AL473" i="75"/>
  <c r="AL474" i="75"/>
  <c r="AL475" i="75"/>
  <c r="AL476" i="75"/>
  <c r="AL477" i="75"/>
  <c r="AL478" i="75"/>
  <c r="AL479" i="75"/>
  <c r="AL480" i="75"/>
  <c r="AL481" i="75"/>
  <c r="AL482" i="75"/>
  <c r="AL483" i="75"/>
  <c r="AL484" i="75"/>
  <c r="AL485" i="75"/>
  <c r="AL427" i="75"/>
  <c r="AL428" i="75"/>
  <c r="AL429" i="75"/>
  <c r="AL430" i="75"/>
  <c r="AL431" i="75"/>
  <c r="AL432" i="75"/>
  <c r="AL433" i="75"/>
  <c r="AL434" i="75"/>
  <c r="AL435" i="75"/>
  <c r="AL436" i="75"/>
  <c r="AL437" i="75"/>
  <c r="AL438" i="75"/>
  <c r="AL439" i="75"/>
  <c r="AL440" i="75"/>
  <c r="AL441" i="75"/>
  <c r="AL442" i="75"/>
  <c r="AL448" i="75"/>
  <c r="AL449" i="75"/>
  <c r="AL450" i="75"/>
  <c r="AL451" i="75"/>
  <c r="AL452" i="75"/>
  <c r="AL453" i="75"/>
  <c r="AL454" i="75"/>
  <c r="AL455" i="75"/>
  <c r="AL456" i="75"/>
  <c r="AL457" i="75"/>
  <c r="AL458" i="75"/>
  <c r="AL459" i="75"/>
  <c r="AL460" i="75"/>
  <c r="AL461" i="75"/>
  <c r="AL462" i="75"/>
  <c r="AL463" i="75"/>
  <c r="AL318" i="75"/>
  <c r="AL359" i="75"/>
  <c r="AL360" i="75"/>
  <c r="AL361" i="75"/>
  <c r="AL635" i="75"/>
  <c r="AK697" i="75"/>
  <c r="AK693" i="75" s="1"/>
  <c r="AK704" i="75" s="1"/>
  <c r="AK723" i="75" s="1"/>
  <c r="AK368" i="75"/>
  <c r="AK369" i="75"/>
  <c r="AK370" i="75"/>
  <c r="AK371" i="75"/>
  <c r="AK372" i="75"/>
  <c r="AK373" i="75"/>
  <c r="AK374" i="75"/>
  <c r="AK375" i="75"/>
  <c r="AK376" i="75"/>
  <c r="AK377" i="75"/>
  <c r="AK378" i="75"/>
  <c r="AK379" i="75"/>
  <c r="AK380" i="75"/>
  <c r="AK381" i="75"/>
  <c r="AK382" i="75"/>
  <c r="AK383" i="75"/>
  <c r="AK388" i="75"/>
  <c r="AK389" i="75"/>
  <c r="AK390" i="75"/>
  <c r="AK98" i="75"/>
  <c r="AK391" i="75" s="1"/>
  <c r="AK660" i="75"/>
  <c r="AK665" i="75"/>
  <c r="AK303" i="75"/>
  <c r="AK539" i="75"/>
  <c r="AK540" i="75"/>
  <c r="AK541" i="75"/>
  <c r="AK542" i="75"/>
  <c r="AK543" i="75"/>
  <c r="AK544" i="75"/>
  <c r="AK545" i="75"/>
  <c r="AK546" i="75"/>
  <c r="AK547" i="75"/>
  <c r="AK548" i="75"/>
  <c r="AK549" i="75"/>
  <c r="AK315" i="75"/>
  <c r="AK316" i="75"/>
  <c r="AK317" i="75"/>
  <c r="AK553" i="75"/>
  <c r="AK669" i="75"/>
  <c r="AK713" i="75" s="1"/>
  <c r="AK492" i="75"/>
  <c r="AK493" i="75"/>
  <c r="AK494" i="75"/>
  <c r="AK495" i="75"/>
  <c r="AK496" i="75"/>
  <c r="AK497" i="75"/>
  <c r="AK498" i="75"/>
  <c r="AK499" i="75"/>
  <c r="AK500" i="75"/>
  <c r="AK501" i="75"/>
  <c r="AK502" i="75"/>
  <c r="AK503" i="75"/>
  <c r="AK504" i="75"/>
  <c r="AK505" i="75"/>
  <c r="AK506" i="75"/>
  <c r="AK507" i="75"/>
  <c r="AK514" i="75"/>
  <c r="AK515" i="75"/>
  <c r="AK516" i="75"/>
  <c r="AK517" i="75"/>
  <c r="AK518" i="75"/>
  <c r="AK519" i="75"/>
  <c r="AK520" i="75"/>
  <c r="AK521" i="75"/>
  <c r="AK522" i="75"/>
  <c r="AK523" i="75"/>
  <c r="AK524" i="75"/>
  <c r="AK525" i="75"/>
  <c r="AK526" i="75"/>
  <c r="AK527" i="75"/>
  <c r="AK528" i="75"/>
  <c r="AK529" i="75"/>
  <c r="AK398" i="75"/>
  <c r="AK399" i="75" s="1"/>
  <c r="AK678" i="75" s="1"/>
  <c r="AK406" i="75"/>
  <c r="AK407" i="75"/>
  <c r="AK408" i="75"/>
  <c r="AK409" i="75"/>
  <c r="AK410" i="75"/>
  <c r="AK411" i="75"/>
  <c r="AK412" i="75"/>
  <c r="AK413" i="75"/>
  <c r="AK414" i="75"/>
  <c r="AK415" i="75"/>
  <c r="AK416" i="75"/>
  <c r="AK418" i="75"/>
  <c r="AK419" i="75"/>
  <c r="AK420" i="75"/>
  <c r="AK421" i="75"/>
  <c r="AK470" i="75"/>
  <c r="AK471" i="75"/>
  <c r="AK472" i="75"/>
  <c r="AK473" i="75"/>
  <c r="AK474" i="75"/>
  <c r="AK475" i="75"/>
  <c r="AK476" i="75"/>
  <c r="AK477" i="75"/>
  <c r="AK478" i="75"/>
  <c r="AK479" i="75"/>
  <c r="AK480" i="75"/>
  <c r="AK481" i="75"/>
  <c r="AK482" i="75"/>
  <c r="AK483" i="75"/>
  <c r="AK484" i="75"/>
  <c r="AK485" i="75"/>
  <c r="AK427" i="75"/>
  <c r="AK428" i="75"/>
  <c r="AK429" i="75"/>
  <c r="AK430" i="75"/>
  <c r="AK431" i="75"/>
  <c r="AK432" i="75"/>
  <c r="AK433" i="75"/>
  <c r="AK434" i="75"/>
  <c r="AK435" i="75"/>
  <c r="AK436" i="75"/>
  <c r="AK437" i="75"/>
  <c r="AK438" i="75"/>
  <c r="AK439" i="75"/>
  <c r="AK440" i="75"/>
  <c r="AK441" i="75"/>
  <c r="AK442" i="75"/>
  <c r="AK448" i="75"/>
  <c r="AK449" i="75"/>
  <c r="AK450" i="75"/>
  <c r="AK451" i="75"/>
  <c r="AK452" i="75"/>
  <c r="AK453" i="75"/>
  <c r="AK454" i="75"/>
  <c r="AK455" i="75"/>
  <c r="AK456" i="75"/>
  <c r="AK457" i="75"/>
  <c r="AK458" i="75"/>
  <c r="AK459" i="75"/>
  <c r="AK460" i="75"/>
  <c r="AK461" i="75"/>
  <c r="AK462" i="75"/>
  <c r="AK463" i="75"/>
  <c r="AK318" i="75"/>
  <c r="AK359" i="75"/>
  <c r="AK360" i="75"/>
  <c r="AK361" i="75"/>
  <c r="AK635" i="75"/>
  <c r="AJ697" i="75"/>
  <c r="AJ693" i="75" s="1"/>
  <c r="AJ704" i="75" s="1"/>
  <c r="AJ723" i="75" s="1"/>
  <c r="AJ368" i="75"/>
  <c r="AJ369" i="75"/>
  <c r="AJ370" i="75"/>
  <c r="AJ371" i="75"/>
  <c r="AJ372" i="75"/>
  <c r="AJ373" i="75"/>
  <c r="AJ374" i="75"/>
  <c r="AJ375" i="75"/>
  <c r="AJ376" i="75"/>
  <c r="AJ377" i="75"/>
  <c r="AJ378" i="75"/>
  <c r="AJ379" i="75"/>
  <c r="AJ380" i="75"/>
  <c r="AJ381" i="75"/>
  <c r="AJ382" i="75"/>
  <c r="AJ383" i="75"/>
  <c r="AJ388" i="75"/>
  <c r="AJ389" i="75"/>
  <c r="AJ390" i="75"/>
  <c r="AJ98" i="75"/>
  <c r="AJ391" i="75" s="1"/>
  <c r="AJ660" i="75"/>
  <c r="AJ665" i="75"/>
  <c r="AJ303" i="75"/>
  <c r="AJ539" i="75"/>
  <c r="AJ540" i="75"/>
  <c r="AJ541" i="75"/>
  <c r="AJ542" i="75"/>
  <c r="AJ543" i="75"/>
  <c r="AJ544" i="75"/>
  <c r="AJ545" i="75"/>
  <c r="AJ546" i="75"/>
  <c r="AJ547" i="75"/>
  <c r="AJ548" i="75"/>
  <c r="AJ549" i="75"/>
  <c r="AJ315" i="75"/>
  <c r="AJ316" i="75"/>
  <c r="AJ317" i="75"/>
  <c r="AJ553" i="75"/>
  <c r="AJ669" i="75"/>
  <c r="AJ713" i="75" s="1"/>
  <c r="AJ492" i="75"/>
  <c r="AJ493" i="75"/>
  <c r="AJ494" i="75"/>
  <c r="AJ495" i="75"/>
  <c r="AJ496" i="75"/>
  <c r="AJ497" i="75"/>
  <c r="AJ498" i="75"/>
  <c r="AJ499" i="75"/>
  <c r="AJ500" i="75"/>
  <c r="AJ501" i="75"/>
  <c r="AJ502" i="75"/>
  <c r="AJ503" i="75"/>
  <c r="AJ504" i="75"/>
  <c r="AJ505" i="75"/>
  <c r="AJ506" i="75"/>
  <c r="AJ507" i="75"/>
  <c r="AJ514" i="75"/>
  <c r="AJ515" i="75"/>
  <c r="AJ516" i="75"/>
  <c r="AJ517" i="75"/>
  <c r="AJ518" i="75"/>
  <c r="AJ519" i="75"/>
  <c r="AJ520" i="75"/>
  <c r="AJ521" i="75"/>
  <c r="AJ522" i="75"/>
  <c r="AJ523" i="75"/>
  <c r="AJ524" i="75"/>
  <c r="AJ525" i="75"/>
  <c r="AJ526" i="75"/>
  <c r="AJ527" i="75"/>
  <c r="AJ528" i="75"/>
  <c r="AJ529" i="75"/>
  <c r="AJ398" i="75"/>
  <c r="AJ399" i="75" s="1"/>
  <c r="AJ678" i="75" s="1"/>
  <c r="AJ406" i="75"/>
  <c r="AJ407" i="75"/>
  <c r="AJ408" i="75"/>
  <c r="AJ409" i="75"/>
  <c r="AJ410" i="75"/>
  <c r="AJ411" i="75"/>
  <c r="AJ412" i="75"/>
  <c r="AJ413" i="75"/>
  <c r="AJ414" i="75"/>
  <c r="AJ415" i="75"/>
  <c r="AJ416" i="75"/>
  <c r="AJ418" i="75"/>
  <c r="AJ419" i="75"/>
  <c r="AJ420" i="75"/>
  <c r="AJ421" i="75"/>
  <c r="AJ470" i="75"/>
  <c r="AJ471" i="75"/>
  <c r="AJ472" i="75"/>
  <c r="AJ473" i="75"/>
  <c r="AJ474" i="75"/>
  <c r="AJ475" i="75"/>
  <c r="AJ476" i="75"/>
  <c r="AJ477" i="75"/>
  <c r="AJ478" i="75"/>
  <c r="AJ479" i="75"/>
  <c r="AJ480" i="75"/>
  <c r="AJ481" i="75"/>
  <c r="AJ482" i="75"/>
  <c r="AJ483" i="75"/>
  <c r="AJ484" i="75"/>
  <c r="AJ485" i="75"/>
  <c r="AJ427" i="75"/>
  <c r="AJ428" i="75"/>
  <c r="AJ429" i="75"/>
  <c r="AJ430" i="75"/>
  <c r="AJ431" i="75"/>
  <c r="AJ432" i="75"/>
  <c r="AJ433" i="75"/>
  <c r="AJ434" i="75"/>
  <c r="AJ435" i="75"/>
  <c r="AJ436" i="75"/>
  <c r="AJ437" i="75"/>
  <c r="AJ438" i="75"/>
  <c r="AJ439" i="75"/>
  <c r="AJ440" i="75"/>
  <c r="AJ441" i="75"/>
  <c r="AJ442" i="75"/>
  <c r="AJ448" i="75"/>
  <c r="AJ449" i="75"/>
  <c r="AJ450" i="75"/>
  <c r="AJ451" i="75"/>
  <c r="AJ452" i="75"/>
  <c r="AJ453" i="75"/>
  <c r="AJ454" i="75"/>
  <c r="AJ455" i="75"/>
  <c r="AJ456" i="75"/>
  <c r="AJ457" i="75"/>
  <c r="AJ458" i="75"/>
  <c r="AJ459" i="75"/>
  <c r="AJ460" i="75"/>
  <c r="AJ461" i="75"/>
  <c r="AJ462" i="75"/>
  <c r="AJ463" i="75"/>
  <c r="AJ318" i="75"/>
  <c r="AJ359" i="75"/>
  <c r="AJ360" i="75"/>
  <c r="AJ361" i="75"/>
  <c r="AJ635" i="75"/>
  <c r="AH697" i="75"/>
  <c r="AH693" i="75" s="1"/>
  <c r="AH704" i="75" s="1"/>
  <c r="AH723" i="75" s="1"/>
  <c r="AH368" i="75"/>
  <c r="AH369" i="75"/>
  <c r="AH370" i="75"/>
  <c r="AH371" i="75"/>
  <c r="AH372" i="75"/>
  <c r="AH373" i="75"/>
  <c r="AH374" i="75"/>
  <c r="AH375" i="75"/>
  <c r="AH376" i="75"/>
  <c r="AH377" i="75"/>
  <c r="AH378" i="75"/>
  <c r="AH379" i="75"/>
  <c r="AH380" i="75"/>
  <c r="AH381" i="75"/>
  <c r="AH382" i="75"/>
  <c r="AH383" i="75"/>
  <c r="AH388" i="75"/>
  <c r="AH389" i="75"/>
  <c r="AH390" i="75"/>
  <c r="AH98" i="75"/>
  <c r="AH391" i="75" s="1"/>
  <c r="AH660" i="75"/>
  <c r="AH665" i="75"/>
  <c r="AH303" i="75"/>
  <c r="AH539" i="75"/>
  <c r="AH540" i="75"/>
  <c r="AH541" i="75"/>
  <c r="AH542" i="75"/>
  <c r="AH543" i="75"/>
  <c r="AH544" i="75"/>
  <c r="AH545" i="75"/>
  <c r="AH546" i="75"/>
  <c r="AH547" i="75"/>
  <c r="AH548" i="75"/>
  <c r="AH549" i="75"/>
  <c r="AH315" i="75"/>
  <c r="AH316" i="75"/>
  <c r="AH317" i="75"/>
  <c r="AH553" i="75"/>
  <c r="AH669" i="75"/>
  <c r="AH713" i="75" s="1"/>
  <c r="AH492" i="75"/>
  <c r="AH493" i="75"/>
  <c r="AH494" i="75"/>
  <c r="AH495" i="75"/>
  <c r="AH496" i="75"/>
  <c r="AH497" i="75"/>
  <c r="AH498" i="75"/>
  <c r="AH499" i="75"/>
  <c r="AH500" i="75"/>
  <c r="AH501" i="75"/>
  <c r="AH502" i="75"/>
  <c r="AH503" i="75"/>
  <c r="AH504" i="75"/>
  <c r="AH505" i="75"/>
  <c r="AH506" i="75"/>
  <c r="AH507" i="75"/>
  <c r="AH514" i="75"/>
  <c r="AH515" i="75"/>
  <c r="AH516" i="75"/>
  <c r="AH517" i="75"/>
  <c r="AH518" i="75"/>
  <c r="AH519" i="75"/>
  <c r="AH520" i="75"/>
  <c r="AH521" i="75"/>
  <c r="AH522" i="75"/>
  <c r="AH523" i="75"/>
  <c r="AH524" i="75"/>
  <c r="AH525" i="75"/>
  <c r="AH526" i="75"/>
  <c r="AH527" i="75"/>
  <c r="AH528" i="75"/>
  <c r="AH529" i="75"/>
  <c r="AH398" i="75"/>
  <c r="AH399" i="75" s="1"/>
  <c r="AH678" i="75" s="1"/>
  <c r="AH406" i="75"/>
  <c r="AH407" i="75"/>
  <c r="AH408" i="75"/>
  <c r="AH409" i="75"/>
  <c r="AH410" i="75"/>
  <c r="AH411" i="75"/>
  <c r="AH412" i="75"/>
  <c r="AH413" i="75"/>
  <c r="AH414" i="75"/>
  <c r="AH415" i="75"/>
  <c r="AH416" i="75"/>
  <c r="AH418" i="75"/>
  <c r="AH419" i="75"/>
  <c r="AH420" i="75"/>
  <c r="AH421" i="75"/>
  <c r="AH470" i="75"/>
  <c r="AH471" i="75"/>
  <c r="AH472" i="75"/>
  <c r="AH473" i="75"/>
  <c r="AH474" i="75"/>
  <c r="AH475" i="75"/>
  <c r="AH476" i="75"/>
  <c r="AH477" i="75"/>
  <c r="AH478" i="75"/>
  <c r="AH479" i="75"/>
  <c r="AH480" i="75"/>
  <c r="AH481" i="75"/>
  <c r="AH482" i="75"/>
  <c r="AH483" i="75"/>
  <c r="AH484" i="75"/>
  <c r="AH485" i="75"/>
  <c r="AH427" i="75"/>
  <c r="AH428" i="75"/>
  <c r="AH429" i="75"/>
  <c r="AH430" i="75"/>
  <c r="AH431" i="75"/>
  <c r="AH432" i="75"/>
  <c r="AH433" i="75"/>
  <c r="AH434" i="75"/>
  <c r="AH435" i="75"/>
  <c r="AH436" i="75"/>
  <c r="AH437" i="75"/>
  <c r="AH438" i="75"/>
  <c r="AH439" i="75"/>
  <c r="AH440" i="75"/>
  <c r="AH441" i="75"/>
  <c r="AH442" i="75"/>
  <c r="AH448" i="75"/>
  <c r="AH449" i="75"/>
  <c r="AH450" i="75"/>
  <c r="AH451" i="75"/>
  <c r="AH452" i="75"/>
  <c r="AH453" i="75"/>
  <c r="AH454" i="75"/>
  <c r="AH455" i="75"/>
  <c r="AH456" i="75"/>
  <c r="AH457" i="75"/>
  <c r="AH458" i="75"/>
  <c r="AH459" i="75"/>
  <c r="AH460" i="75"/>
  <c r="AH461" i="75"/>
  <c r="AH462" i="75"/>
  <c r="AH463" i="75"/>
  <c r="AH318" i="75"/>
  <c r="AH359" i="75"/>
  <c r="AH360" i="75"/>
  <c r="AH361" i="75"/>
  <c r="AH635" i="75"/>
  <c r="AG697" i="75"/>
  <c r="AG693" i="75" s="1"/>
  <c r="AG704" i="75" s="1"/>
  <c r="AG723" i="75" s="1"/>
  <c r="AG368" i="75"/>
  <c r="AG369" i="75"/>
  <c r="AG370" i="75"/>
  <c r="AG371" i="75"/>
  <c r="AG372" i="75"/>
  <c r="AG373" i="75"/>
  <c r="AG374" i="75"/>
  <c r="AG375" i="75"/>
  <c r="AG376" i="75"/>
  <c r="AG377" i="75"/>
  <c r="AG378" i="75"/>
  <c r="AG379" i="75"/>
  <c r="AG380" i="75"/>
  <c r="AG381" i="75"/>
  <c r="AG382" i="75"/>
  <c r="AG383" i="75"/>
  <c r="AG388" i="75"/>
  <c r="AG389" i="75"/>
  <c r="AG390" i="75"/>
  <c r="AG98" i="75"/>
  <c r="AG391" i="75" s="1"/>
  <c r="AG660" i="75"/>
  <c r="AG665" i="75"/>
  <c r="AG303" i="75"/>
  <c r="AG539" i="75"/>
  <c r="AG540" i="75"/>
  <c r="AG541" i="75"/>
  <c r="AG542" i="75"/>
  <c r="AG543" i="75"/>
  <c r="AG544" i="75"/>
  <c r="AG545" i="75"/>
  <c r="AG546" i="75"/>
  <c r="AG547" i="75"/>
  <c r="AG548" i="75"/>
  <c r="AG549" i="75"/>
  <c r="AG315" i="75"/>
  <c r="AG316" i="75"/>
  <c r="AG317" i="75"/>
  <c r="AG553" i="75"/>
  <c r="AG669" i="75"/>
  <c r="AG713" i="75" s="1"/>
  <c r="AG492" i="75"/>
  <c r="AG493" i="75"/>
  <c r="AG494" i="75"/>
  <c r="AG495" i="75"/>
  <c r="AG496" i="75"/>
  <c r="AG497" i="75"/>
  <c r="AG498" i="75"/>
  <c r="AG499" i="75"/>
  <c r="AG500" i="75"/>
  <c r="AG501" i="75"/>
  <c r="AG502" i="75"/>
  <c r="AG503" i="75"/>
  <c r="AG504" i="75"/>
  <c r="AG505" i="75"/>
  <c r="AG506" i="75"/>
  <c r="AG507" i="75"/>
  <c r="AG514" i="75"/>
  <c r="AG515" i="75"/>
  <c r="AG516" i="75"/>
  <c r="AG517" i="75"/>
  <c r="AG518" i="75"/>
  <c r="AG519" i="75"/>
  <c r="AG520" i="75"/>
  <c r="AG521" i="75"/>
  <c r="AG522" i="75"/>
  <c r="AG523" i="75"/>
  <c r="AG524" i="75"/>
  <c r="AG525" i="75"/>
  <c r="AG526" i="75"/>
  <c r="AG527" i="75"/>
  <c r="AG528" i="75"/>
  <c r="AG529" i="75"/>
  <c r="AG398" i="75"/>
  <c r="AG399" i="75" s="1"/>
  <c r="AG678" i="75" s="1"/>
  <c r="AG406" i="75"/>
  <c r="AG407" i="75"/>
  <c r="AG408" i="75"/>
  <c r="AG409" i="75"/>
  <c r="AG410" i="75"/>
  <c r="AG411" i="75"/>
  <c r="AG412" i="75"/>
  <c r="AG413" i="75"/>
  <c r="AG414" i="75"/>
  <c r="AG415" i="75"/>
  <c r="AG416" i="75"/>
  <c r="AG418" i="75"/>
  <c r="AG419" i="75"/>
  <c r="AG420" i="75"/>
  <c r="AG421" i="75"/>
  <c r="AG470" i="75"/>
  <c r="AG471" i="75"/>
  <c r="AG472" i="75"/>
  <c r="AG473" i="75"/>
  <c r="AG474" i="75"/>
  <c r="AG475" i="75"/>
  <c r="AG476" i="75"/>
  <c r="AG477" i="75"/>
  <c r="AG478" i="75"/>
  <c r="AG479" i="75"/>
  <c r="AG480" i="75"/>
  <c r="AG481" i="75"/>
  <c r="AG482" i="75"/>
  <c r="AG483" i="75"/>
  <c r="AG484" i="75"/>
  <c r="AG485" i="75"/>
  <c r="AG427" i="75"/>
  <c r="AG428" i="75"/>
  <c r="AG429" i="75"/>
  <c r="AG430" i="75"/>
  <c r="AG431" i="75"/>
  <c r="AG432" i="75"/>
  <c r="AG433" i="75"/>
  <c r="AG434" i="75"/>
  <c r="AG435" i="75"/>
  <c r="AG436" i="75"/>
  <c r="AG437" i="75"/>
  <c r="AG438" i="75"/>
  <c r="AG439" i="75"/>
  <c r="AG440" i="75"/>
  <c r="AG441" i="75"/>
  <c r="AG442" i="75"/>
  <c r="AG448" i="75"/>
  <c r="AG449" i="75"/>
  <c r="AG450" i="75"/>
  <c r="AG451" i="75"/>
  <c r="AG452" i="75"/>
  <c r="AG453" i="75"/>
  <c r="AG454" i="75"/>
  <c r="AG455" i="75"/>
  <c r="AG456" i="75"/>
  <c r="AG457" i="75"/>
  <c r="AG458" i="75"/>
  <c r="AG459" i="75"/>
  <c r="AG460" i="75"/>
  <c r="AG461" i="75"/>
  <c r="AG462" i="75"/>
  <c r="AG463" i="75"/>
  <c r="AG318" i="75"/>
  <c r="AG359" i="75"/>
  <c r="AG360" i="75"/>
  <c r="AG361" i="75"/>
  <c r="AG635" i="75"/>
  <c r="AF697" i="75"/>
  <c r="AF693" i="75" s="1"/>
  <c r="AF704" i="75" s="1"/>
  <c r="AF723" i="75" s="1"/>
  <c r="AF368" i="75"/>
  <c r="AF369" i="75"/>
  <c r="AF370" i="75"/>
  <c r="AF371" i="75"/>
  <c r="AF372" i="75"/>
  <c r="AF373" i="75"/>
  <c r="AF374" i="75"/>
  <c r="AF375" i="75"/>
  <c r="AF376" i="75"/>
  <c r="AF377" i="75"/>
  <c r="AF378" i="75"/>
  <c r="AF379" i="75"/>
  <c r="AF380" i="75"/>
  <c r="AF381" i="75"/>
  <c r="AF382" i="75"/>
  <c r="AF383" i="75"/>
  <c r="AF388" i="75"/>
  <c r="AF389" i="75"/>
  <c r="AF390" i="75"/>
  <c r="AF98" i="75"/>
  <c r="AF391" i="75" s="1"/>
  <c r="AF660" i="75"/>
  <c r="AF665" i="75"/>
  <c r="AF303" i="75"/>
  <c r="AF539" i="75"/>
  <c r="AF540" i="75"/>
  <c r="AF541" i="75"/>
  <c r="AF542" i="75"/>
  <c r="AF543" i="75"/>
  <c r="AF544" i="75"/>
  <c r="AF545" i="75"/>
  <c r="AF546" i="75"/>
  <c r="AF547" i="75"/>
  <c r="AF548" i="75"/>
  <c r="AF549" i="75"/>
  <c r="AF315" i="75"/>
  <c r="AF316" i="75"/>
  <c r="AF317" i="75"/>
  <c r="AF553" i="75"/>
  <c r="AF669" i="75"/>
  <c r="AF713" i="75" s="1"/>
  <c r="AF492" i="75"/>
  <c r="AF493" i="75"/>
  <c r="AF494" i="75"/>
  <c r="AF495" i="75"/>
  <c r="AF496" i="75"/>
  <c r="AF497" i="75"/>
  <c r="AF498" i="75"/>
  <c r="AF499" i="75"/>
  <c r="AF500" i="75"/>
  <c r="AF501" i="75"/>
  <c r="AF502" i="75"/>
  <c r="AF503" i="75"/>
  <c r="AF504" i="75"/>
  <c r="AF505" i="75"/>
  <c r="AF506" i="75"/>
  <c r="AF507" i="75"/>
  <c r="AF514" i="75"/>
  <c r="AF515" i="75"/>
  <c r="AF516" i="75"/>
  <c r="AF517" i="75"/>
  <c r="AF518" i="75"/>
  <c r="AF519" i="75"/>
  <c r="AF520" i="75"/>
  <c r="AF521" i="75"/>
  <c r="AF522" i="75"/>
  <c r="AF523" i="75"/>
  <c r="AF524" i="75"/>
  <c r="AF525" i="75"/>
  <c r="AF526" i="75"/>
  <c r="AF527" i="75"/>
  <c r="AF528" i="75"/>
  <c r="AF529" i="75"/>
  <c r="AF398" i="75"/>
  <c r="AF399" i="75" s="1"/>
  <c r="AF678" i="75" s="1"/>
  <c r="AF406" i="75"/>
  <c r="AF407" i="75"/>
  <c r="AF408" i="75"/>
  <c r="AF409" i="75"/>
  <c r="AF410" i="75"/>
  <c r="AF411" i="75"/>
  <c r="AF412" i="75"/>
  <c r="AF413" i="75"/>
  <c r="AF414" i="75"/>
  <c r="AF415" i="75"/>
  <c r="AF416" i="75"/>
  <c r="AF418" i="75"/>
  <c r="AF419" i="75"/>
  <c r="AF420" i="75"/>
  <c r="AF421" i="75"/>
  <c r="AF470" i="75"/>
  <c r="AF471" i="75"/>
  <c r="AF472" i="75"/>
  <c r="AF473" i="75"/>
  <c r="AF474" i="75"/>
  <c r="AF475" i="75"/>
  <c r="AF476" i="75"/>
  <c r="AF477" i="75"/>
  <c r="AF478" i="75"/>
  <c r="AF479" i="75"/>
  <c r="AF480" i="75"/>
  <c r="AF481" i="75"/>
  <c r="AF482" i="75"/>
  <c r="AF483" i="75"/>
  <c r="AF484" i="75"/>
  <c r="AF485" i="75"/>
  <c r="AF427" i="75"/>
  <c r="AF428" i="75"/>
  <c r="AF429" i="75"/>
  <c r="AF430" i="75"/>
  <c r="AF431" i="75"/>
  <c r="AF432" i="75"/>
  <c r="AF433" i="75"/>
  <c r="AF434" i="75"/>
  <c r="AF435" i="75"/>
  <c r="AF436" i="75"/>
  <c r="AF437" i="75"/>
  <c r="AF438" i="75"/>
  <c r="AF439" i="75"/>
  <c r="AF440" i="75"/>
  <c r="AF441" i="75"/>
  <c r="AF442" i="75"/>
  <c r="AF448" i="75"/>
  <c r="AF449" i="75"/>
  <c r="AF450" i="75"/>
  <c r="AF451" i="75"/>
  <c r="AF452" i="75"/>
  <c r="AF453" i="75"/>
  <c r="AF454" i="75"/>
  <c r="AF455" i="75"/>
  <c r="AF456" i="75"/>
  <c r="AF457" i="75"/>
  <c r="AF458" i="75"/>
  <c r="AF459" i="75"/>
  <c r="AF460" i="75"/>
  <c r="AF461" i="75"/>
  <c r="AF462" i="75"/>
  <c r="AF463" i="75"/>
  <c r="AF318" i="75"/>
  <c r="AF359" i="75"/>
  <c r="AF360" i="75"/>
  <c r="AF361" i="75"/>
  <c r="AF635" i="75"/>
  <c r="AE697" i="75"/>
  <c r="AE693" i="75" s="1"/>
  <c r="AE704" i="75" s="1"/>
  <c r="AE723" i="75" s="1"/>
  <c r="AE368" i="75"/>
  <c r="AE369" i="75"/>
  <c r="AE370" i="75"/>
  <c r="AE371" i="75"/>
  <c r="AE372" i="75"/>
  <c r="AE373" i="75"/>
  <c r="AE374" i="75"/>
  <c r="AE375" i="75"/>
  <c r="AE376" i="75"/>
  <c r="AE377" i="75"/>
  <c r="AE378" i="75"/>
  <c r="AE379" i="75"/>
  <c r="AE380" i="75"/>
  <c r="AE381" i="75"/>
  <c r="AE382" i="75"/>
  <c r="AE383" i="75"/>
  <c r="AE388" i="75"/>
  <c r="AE389" i="75"/>
  <c r="AE390" i="75"/>
  <c r="AE98" i="75"/>
  <c r="AE391" i="75" s="1"/>
  <c r="AE660" i="75"/>
  <c r="AE665" i="75"/>
  <c r="AE303" i="75"/>
  <c r="AE539" i="75"/>
  <c r="AE540" i="75"/>
  <c r="AE541" i="75"/>
  <c r="AE542" i="75"/>
  <c r="AE543" i="75"/>
  <c r="AE544" i="75"/>
  <c r="AE545" i="75"/>
  <c r="AE546" i="75"/>
  <c r="AE547" i="75"/>
  <c r="AE548" i="75"/>
  <c r="AE549" i="75"/>
  <c r="AE315" i="75"/>
  <c r="AE316" i="75"/>
  <c r="AE317" i="75"/>
  <c r="AE553" i="75"/>
  <c r="AE669" i="75"/>
  <c r="AE713" i="75" s="1"/>
  <c r="AE492" i="75"/>
  <c r="AE493" i="75"/>
  <c r="AE494" i="75"/>
  <c r="AE495" i="75"/>
  <c r="AE496" i="75"/>
  <c r="AE497" i="75"/>
  <c r="AE498" i="75"/>
  <c r="AE499" i="75"/>
  <c r="AE500" i="75"/>
  <c r="AE501" i="75"/>
  <c r="AE502" i="75"/>
  <c r="AE503" i="75"/>
  <c r="AE504" i="75"/>
  <c r="AE505" i="75"/>
  <c r="AE506" i="75"/>
  <c r="AE507" i="75"/>
  <c r="AE514" i="75"/>
  <c r="AE515" i="75"/>
  <c r="AE516" i="75"/>
  <c r="AE517" i="75"/>
  <c r="AE518" i="75"/>
  <c r="AE519" i="75"/>
  <c r="AE520" i="75"/>
  <c r="AE521" i="75"/>
  <c r="AE522" i="75"/>
  <c r="AE523" i="75"/>
  <c r="AE524" i="75"/>
  <c r="AE525" i="75"/>
  <c r="AE526" i="75"/>
  <c r="AE527" i="75"/>
  <c r="AE528" i="75"/>
  <c r="AE529" i="75"/>
  <c r="AE398" i="75"/>
  <c r="AE399" i="75" s="1"/>
  <c r="AE678" i="75" s="1"/>
  <c r="AE406" i="75"/>
  <c r="AE407" i="75"/>
  <c r="AE408" i="75"/>
  <c r="AE409" i="75"/>
  <c r="AE410" i="75"/>
  <c r="AE411" i="75"/>
  <c r="AE412" i="75"/>
  <c r="AE413" i="75"/>
  <c r="AE414" i="75"/>
  <c r="AE415" i="75"/>
  <c r="AE416" i="75"/>
  <c r="AE418" i="75"/>
  <c r="AE419" i="75"/>
  <c r="AE420" i="75"/>
  <c r="AE421" i="75"/>
  <c r="AE470" i="75"/>
  <c r="AE471" i="75"/>
  <c r="AE472" i="75"/>
  <c r="AE473" i="75"/>
  <c r="AE474" i="75"/>
  <c r="AE475" i="75"/>
  <c r="AE476" i="75"/>
  <c r="AE477" i="75"/>
  <c r="AE478" i="75"/>
  <c r="AE479" i="75"/>
  <c r="AE480" i="75"/>
  <c r="AE481" i="75"/>
  <c r="AE482" i="75"/>
  <c r="AE483" i="75"/>
  <c r="AE484" i="75"/>
  <c r="AE485" i="75"/>
  <c r="AE427" i="75"/>
  <c r="AE428" i="75"/>
  <c r="AE429" i="75"/>
  <c r="AE430" i="75"/>
  <c r="AE431" i="75"/>
  <c r="AE432" i="75"/>
  <c r="AE433" i="75"/>
  <c r="AE434" i="75"/>
  <c r="AE435" i="75"/>
  <c r="AE436" i="75"/>
  <c r="AE437" i="75"/>
  <c r="AE438" i="75"/>
  <c r="AE439" i="75"/>
  <c r="AE440" i="75"/>
  <c r="AE441" i="75"/>
  <c r="AE442" i="75"/>
  <c r="AE448" i="75"/>
  <c r="AE449" i="75"/>
  <c r="AE450" i="75"/>
  <c r="AE451" i="75"/>
  <c r="AE452" i="75"/>
  <c r="AE453" i="75"/>
  <c r="AE454" i="75"/>
  <c r="AE455" i="75"/>
  <c r="AE456" i="75"/>
  <c r="AE457" i="75"/>
  <c r="AE458" i="75"/>
  <c r="AE459" i="75"/>
  <c r="AE460" i="75"/>
  <c r="AE461" i="75"/>
  <c r="AE462" i="75"/>
  <c r="AE463" i="75"/>
  <c r="AE318" i="75"/>
  <c r="AE359" i="75"/>
  <c r="AE360" i="75"/>
  <c r="AE361" i="75"/>
  <c r="AE635" i="75"/>
  <c r="AC697" i="75"/>
  <c r="AC693" i="75" s="1"/>
  <c r="AC704" i="75" s="1"/>
  <c r="AC723" i="75" s="1"/>
  <c r="AC368" i="75"/>
  <c r="AC369" i="75"/>
  <c r="AC370" i="75"/>
  <c r="AC371" i="75"/>
  <c r="AC372" i="75"/>
  <c r="AC373" i="75"/>
  <c r="AC374" i="75"/>
  <c r="AC375" i="75"/>
  <c r="AC376" i="75"/>
  <c r="AC377" i="75"/>
  <c r="AC378" i="75"/>
  <c r="AC379" i="75"/>
  <c r="AC380" i="75"/>
  <c r="AC381" i="75"/>
  <c r="AC382" i="75"/>
  <c r="AC383" i="75"/>
  <c r="AC388" i="75"/>
  <c r="AC389" i="75"/>
  <c r="AC390" i="75"/>
  <c r="AC98" i="75"/>
  <c r="AC391" i="75" s="1"/>
  <c r="AC660" i="75"/>
  <c r="AC665" i="75"/>
  <c r="AC303" i="75"/>
  <c r="AC539" i="75"/>
  <c r="AC540" i="75"/>
  <c r="AC541" i="75"/>
  <c r="AC542" i="75"/>
  <c r="AC543" i="75"/>
  <c r="AC544" i="75"/>
  <c r="AC545" i="75"/>
  <c r="AC546" i="75"/>
  <c r="AC547" i="75"/>
  <c r="AC548" i="75"/>
  <c r="AC549" i="75"/>
  <c r="AC315" i="75"/>
  <c r="AC316" i="75"/>
  <c r="AC317" i="75"/>
  <c r="AC553" i="75"/>
  <c r="AC669" i="75"/>
  <c r="AC713" i="75" s="1"/>
  <c r="AC492" i="75"/>
  <c r="AC493" i="75"/>
  <c r="AC494" i="75"/>
  <c r="AC495" i="75"/>
  <c r="AC496" i="75"/>
  <c r="AC497" i="75"/>
  <c r="AC498" i="75"/>
  <c r="AC499" i="75"/>
  <c r="AC500" i="75"/>
  <c r="AC501" i="75"/>
  <c r="AC502" i="75"/>
  <c r="AC503" i="75"/>
  <c r="AC504" i="75"/>
  <c r="AC505" i="75"/>
  <c r="AC506" i="75"/>
  <c r="AC507" i="75"/>
  <c r="AC514" i="75"/>
  <c r="AC515" i="75"/>
  <c r="AC516" i="75"/>
  <c r="AC517" i="75"/>
  <c r="AC518" i="75"/>
  <c r="AC519" i="75"/>
  <c r="AC520" i="75"/>
  <c r="AC521" i="75"/>
  <c r="AC522" i="75"/>
  <c r="AC523" i="75"/>
  <c r="AC524" i="75"/>
  <c r="AC525" i="75"/>
  <c r="AC526" i="75"/>
  <c r="AC527" i="75"/>
  <c r="AC528" i="75"/>
  <c r="AC529" i="75"/>
  <c r="AC398" i="75"/>
  <c r="AC399" i="75" s="1"/>
  <c r="AC678" i="75" s="1"/>
  <c r="AC406" i="75"/>
  <c r="AC407" i="75"/>
  <c r="AC408" i="75"/>
  <c r="AC409" i="75"/>
  <c r="AC410" i="75"/>
  <c r="AC411" i="75"/>
  <c r="AC412" i="75"/>
  <c r="AC413" i="75"/>
  <c r="AC414" i="75"/>
  <c r="AC415" i="75"/>
  <c r="AC416" i="75"/>
  <c r="AC418" i="75"/>
  <c r="AC419" i="75"/>
  <c r="AC420" i="75"/>
  <c r="AC421" i="75"/>
  <c r="AC470" i="75"/>
  <c r="AC471" i="75"/>
  <c r="AC472" i="75"/>
  <c r="AC473" i="75"/>
  <c r="AC474" i="75"/>
  <c r="AC475" i="75"/>
  <c r="AC476" i="75"/>
  <c r="AC477" i="75"/>
  <c r="AC478" i="75"/>
  <c r="AC479" i="75"/>
  <c r="AC480" i="75"/>
  <c r="AC481" i="75"/>
  <c r="AC482" i="75"/>
  <c r="AC483" i="75"/>
  <c r="AC484" i="75"/>
  <c r="AC485" i="75"/>
  <c r="AC427" i="75"/>
  <c r="AC428" i="75"/>
  <c r="AC429" i="75"/>
  <c r="AC430" i="75"/>
  <c r="AC431" i="75"/>
  <c r="AC432" i="75"/>
  <c r="AC433" i="75"/>
  <c r="AC434" i="75"/>
  <c r="AC435" i="75"/>
  <c r="AC436" i="75"/>
  <c r="AC437" i="75"/>
  <c r="AC438" i="75"/>
  <c r="AC439" i="75"/>
  <c r="AC440" i="75"/>
  <c r="AC441" i="75"/>
  <c r="AC442" i="75"/>
  <c r="AC448" i="75"/>
  <c r="AC449" i="75"/>
  <c r="AC450" i="75"/>
  <c r="AC451" i="75"/>
  <c r="AC452" i="75"/>
  <c r="AC453" i="75"/>
  <c r="AC454" i="75"/>
  <c r="AC455" i="75"/>
  <c r="AC456" i="75"/>
  <c r="AC457" i="75"/>
  <c r="AC458" i="75"/>
  <c r="AC459" i="75"/>
  <c r="AC460" i="75"/>
  <c r="AC461" i="75"/>
  <c r="AC462" i="75"/>
  <c r="AC463" i="75"/>
  <c r="AC318" i="75"/>
  <c r="AC359" i="75"/>
  <c r="AC360" i="75"/>
  <c r="AC361" i="75"/>
  <c r="AC635" i="75"/>
  <c r="AB697" i="75"/>
  <c r="AB693" i="75" s="1"/>
  <c r="AB704" i="75" s="1"/>
  <c r="AB723" i="75" s="1"/>
  <c r="AB368" i="75"/>
  <c r="AB369" i="75"/>
  <c r="AB370" i="75"/>
  <c r="AB371" i="75"/>
  <c r="AB372" i="75"/>
  <c r="AB373" i="75"/>
  <c r="AB374" i="75"/>
  <c r="AB375" i="75"/>
  <c r="AB376" i="75"/>
  <c r="AB377" i="75"/>
  <c r="AB378" i="75"/>
  <c r="AB379" i="75"/>
  <c r="AB380" i="75"/>
  <c r="AB381" i="75"/>
  <c r="AB382" i="75"/>
  <c r="AB383" i="75"/>
  <c r="AB388" i="75"/>
  <c r="AB389" i="75"/>
  <c r="AB390" i="75"/>
  <c r="AB98" i="75"/>
  <c r="AB391" i="75" s="1"/>
  <c r="AB660" i="75"/>
  <c r="AB665" i="75"/>
  <c r="AB303" i="75"/>
  <c r="AB539" i="75"/>
  <c r="AB540" i="75"/>
  <c r="AB541" i="75"/>
  <c r="AB542" i="75"/>
  <c r="AB543" i="75"/>
  <c r="AB544" i="75"/>
  <c r="AB545" i="75"/>
  <c r="AB546" i="75"/>
  <c r="AB547" i="75"/>
  <c r="AB548" i="75"/>
  <c r="AB549" i="75"/>
  <c r="AB315" i="75"/>
  <c r="AB316" i="75"/>
  <c r="AB317" i="75"/>
  <c r="AB553" i="75"/>
  <c r="AB669" i="75"/>
  <c r="AB713" i="75" s="1"/>
  <c r="AB492" i="75"/>
  <c r="AB493" i="75"/>
  <c r="AB494" i="75"/>
  <c r="AB495" i="75"/>
  <c r="AB496" i="75"/>
  <c r="AB497" i="75"/>
  <c r="AB498" i="75"/>
  <c r="AB499" i="75"/>
  <c r="AB500" i="75"/>
  <c r="AB501" i="75"/>
  <c r="AB502" i="75"/>
  <c r="AB503" i="75"/>
  <c r="AB504" i="75"/>
  <c r="AB505" i="75"/>
  <c r="AB506" i="75"/>
  <c r="AB507" i="75"/>
  <c r="AB514" i="75"/>
  <c r="AB515" i="75"/>
  <c r="AB516" i="75"/>
  <c r="AB517" i="75"/>
  <c r="AB518" i="75"/>
  <c r="AB519" i="75"/>
  <c r="AB520" i="75"/>
  <c r="AB521" i="75"/>
  <c r="AB522" i="75"/>
  <c r="AB523" i="75"/>
  <c r="AB524" i="75"/>
  <c r="AB525" i="75"/>
  <c r="AB526" i="75"/>
  <c r="AB527" i="75"/>
  <c r="AB528" i="75"/>
  <c r="AB529" i="75"/>
  <c r="AB398" i="75"/>
  <c r="AB399" i="75" s="1"/>
  <c r="AB678" i="75" s="1"/>
  <c r="AB406" i="75"/>
  <c r="AB407" i="75"/>
  <c r="AB408" i="75"/>
  <c r="AB409" i="75"/>
  <c r="AB410" i="75"/>
  <c r="AB411" i="75"/>
  <c r="AB412" i="75"/>
  <c r="AB413" i="75"/>
  <c r="AB414" i="75"/>
  <c r="AB415" i="75"/>
  <c r="AB416" i="75"/>
  <c r="AB418" i="75"/>
  <c r="AB419" i="75"/>
  <c r="AB420" i="75"/>
  <c r="AB421" i="75"/>
  <c r="AB470" i="75"/>
  <c r="AB471" i="75"/>
  <c r="AB472" i="75"/>
  <c r="AB473" i="75"/>
  <c r="AB474" i="75"/>
  <c r="AB475" i="75"/>
  <c r="AB476" i="75"/>
  <c r="AB477" i="75"/>
  <c r="AB478" i="75"/>
  <c r="AB479" i="75"/>
  <c r="AB480" i="75"/>
  <c r="AB481" i="75"/>
  <c r="AB482" i="75"/>
  <c r="AB483" i="75"/>
  <c r="AB484" i="75"/>
  <c r="AB485" i="75"/>
  <c r="AB427" i="75"/>
  <c r="AB428" i="75"/>
  <c r="AB429" i="75"/>
  <c r="AB430" i="75"/>
  <c r="AB431" i="75"/>
  <c r="AB432" i="75"/>
  <c r="AB433" i="75"/>
  <c r="AB434" i="75"/>
  <c r="AB435" i="75"/>
  <c r="AB436" i="75"/>
  <c r="AB437" i="75"/>
  <c r="AB438" i="75"/>
  <c r="AB439" i="75"/>
  <c r="AB440" i="75"/>
  <c r="AB441" i="75"/>
  <c r="AB442" i="75"/>
  <c r="AB448" i="75"/>
  <c r="AB449" i="75"/>
  <c r="AB450" i="75"/>
  <c r="AB451" i="75"/>
  <c r="AB452" i="75"/>
  <c r="AB453" i="75"/>
  <c r="AB454" i="75"/>
  <c r="AB455" i="75"/>
  <c r="AB456" i="75"/>
  <c r="AB457" i="75"/>
  <c r="AB458" i="75"/>
  <c r="AB459" i="75"/>
  <c r="AB460" i="75"/>
  <c r="AB461" i="75"/>
  <c r="AB462" i="75"/>
  <c r="AB463" i="75"/>
  <c r="AB318" i="75"/>
  <c r="AB359" i="75"/>
  <c r="AB360" i="75"/>
  <c r="AB361" i="75"/>
  <c r="AB635" i="75"/>
  <c r="AA697" i="75"/>
  <c r="AA693" i="75" s="1"/>
  <c r="AA704" i="75" s="1"/>
  <c r="AA723" i="75" s="1"/>
  <c r="AA368" i="75"/>
  <c r="AA369" i="75"/>
  <c r="AA370" i="75"/>
  <c r="AA371" i="75"/>
  <c r="AA372" i="75"/>
  <c r="AA373" i="75"/>
  <c r="AA374" i="75"/>
  <c r="AA375" i="75"/>
  <c r="AA376" i="75"/>
  <c r="AA377" i="75"/>
  <c r="AA378" i="75"/>
  <c r="AA379" i="75"/>
  <c r="AA380" i="75"/>
  <c r="AA381" i="75"/>
  <c r="AA382" i="75"/>
  <c r="AA383" i="75"/>
  <c r="AA388" i="75"/>
  <c r="AA389" i="75"/>
  <c r="AA390" i="75"/>
  <c r="AA98" i="75"/>
  <c r="AA391" i="75" s="1"/>
  <c r="AA660" i="75"/>
  <c r="AA665" i="75"/>
  <c r="AA303" i="75"/>
  <c r="AA539" i="75"/>
  <c r="AA540" i="75"/>
  <c r="AA541" i="75"/>
  <c r="AA542" i="75"/>
  <c r="AA543" i="75"/>
  <c r="AA544" i="75"/>
  <c r="AA545" i="75"/>
  <c r="AA546" i="75"/>
  <c r="AA547" i="75"/>
  <c r="AA548" i="75"/>
  <c r="AA549" i="75"/>
  <c r="AA315" i="75"/>
  <c r="AA316" i="75"/>
  <c r="AA317" i="75"/>
  <c r="AA553" i="75"/>
  <c r="AA669" i="75"/>
  <c r="AA713" i="75" s="1"/>
  <c r="AA492" i="75"/>
  <c r="AA493" i="75"/>
  <c r="AA494" i="75"/>
  <c r="AA495" i="75"/>
  <c r="AA496" i="75"/>
  <c r="AA497" i="75"/>
  <c r="AA498" i="75"/>
  <c r="AA499" i="75"/>
  <c r="AA500" i="75"/>
  <c r="AA501" i="75"/>
  <c r="AA502" i="75"/>
  <c r="AA503" i="75"/>
  <c r="AA504" i="75"/>
  <c r="AA505" i="75"/>
  <c r="AA506" i="75"/>
  <c r="AA507" i="75"/>
  <c r="AA514" i="75"/>
  <c r="AA515" i="75"/>
  <c r="AA516" i="75"/>
  <c r="AA517" i="75"/>
  <c r="AA518" i="75"/>
  <c r="AA519" i="75"/>
  <c r="AA520" i="75"/>
  <c r="AA521" i="75"/>
  <c r="AA522" i="75"/>
  <c r="AA523" i="75"/>
  <c r="AA524" i="75"/>
  <c r="AA525" i="75"/>
  <c r="AA526" i="75"/>
  <c r="AA527" i="75"/>
  <c r="AA528" i="75"/>
  <c r="AA529" i="75"/>
  <c r="AA398" i="75"/>
  <c r="AA399" i="75" s="1"/>
  <c r="AA678" i="75" s="1"/>
  <c r="AA406" i="75"/>
  <c r="AA407" i="75"/>
  <c r="AA408" i="75"/>
  <c r="AA409" i="75"/>
  <c r="AA410" i="75"/>
  <c r="AA411" i="75"/>
  <c r="AA412" i="75"/>
  <c r="AA413" i="75"/>
  <c r="AA414" i="75"/>
  <c r="AA415" i="75"/>
  <c r="AA416" i="75"/>
  <c r="AA418" i="75"/>
  <c r="AA419" i="75"/>
  <c r="AA420" i="75"/>
  <c r="AA421" i="75"/>
  <c r="AA470" i="75"/>
  <c r="AA471" i="75"/>
  <c r="AA472" i="75"/>
  <c r="AA473" i="75"/>
  <c r="AA474" i="75"/>
  <c r="AA475" i="75"/>
  <c r="AA476" i="75"/>
  <c r="AA477" i="75"/>
  <c r="AA478" i="75"/>
  <c r="AA479" i="75"/>
  <c r="AA480" i="75"/>
  <c r="AA481" i="75"/>
  <c r="AA482" i="75"/>
  <c r="AA483" i="75"/>
  <c r="AA484" i="75"/>
  <c r="AA485" i="75"/>
  <c r="AA427" i="75"/>
  <c r="AA428" i="75"/>
  <c r="AA429" i="75"/>
  <c r="AA430" i="75"/>
  <c r="AA431" i="75"/>
  <c r="AA432" i="75"/>
  <c r="AA433" i="75"/>
  <c r="AA434" i="75"/>
  <c r="AA435" i="75"/>
  <c r="AA436" i="75"/>
  <c r="AA437" i="75"/>
  <c r="AA438" i="75"/>
  <c r="AA439" i="75"/>
  <c r="AA440" i="75"/>
  <c r="AA441" i="75"/>
  <c r="AA442" i="75"/>
  <c r="AA448" i="75"/>
  <c r="AA449" i="75"/>
  <c r="AA450" i="75"/>
  <c r="AA451" i="75"/>
  <c r="AA452" i="75"/>
  <c r="AA453" i="75"/>
  <c r="AA454" i="75"/>
  <c r="AA455" i="75"/>
  <c r="AA456" i="75"/>
  <c r="AA457" i="75"/>
  <c r="AA458" i="75"/>
  <c r="AA459" i="75"/>
  <c r="AA460" i="75"/>
  <c r="AA461" i="75"/>
  <c r="AA462" i="75"/>
  <c r="AA463" i="75"/>
  <c r="AA318" i="75"/>
  <c r="AA359" i="75"/>
  <c r="AA360" i="75"/>
  <c r="AA361" i="75"/>
  <c r="AA635" i="75"/>
  <c r="Z697" i="75"/>
  <c r="Z693" i="75" s="1"/>
  <c r="Z704" i="75" s="1"/>
  <c r="Z723" i="75" s="1"/>
  <c r="Z368" i="75"/>
  <c r="Z369" i="75"/>
  <c r="Z370" i="75"/>
  <c r="Z371" i="75"/>
  <c r="Z372" i="75"/>
  <c r="Z373" i="75"/>
  <c r="Z374" i="75"/>
  <c r="Z375" i="75"/>
  <c r="Z376" i="75"/>
  <c r="Z377" i="75"/>
  <c r="Z378" i="75"/>
  <c r="Z379" i="75"/>
  <c r="Z380" i="75"/>
  <c r="Z381" i="75"/>
  <c r="Z382" i="75"/>
  <c r="Z383" i="75"/>
  <c r="Z388" i="75"/>
  <c r="Z389" i="75"/>
  <c r="Z390" i="75"/>
  <c r="Z98" i="75"/>
  <c r="Z391" i="75" s="1"/>
  <c r="Z660" i="75"/>
  <c r="Z665" i="75"/>
  <c r="Z303" i="75"/>
  <c r="Z539" i="75"/>
  <c r="Z540" i="75"/>
  <c r="Z541" i="75"/>
  <c r="Z542" i="75"/>
  <c r="Z543" i="75"/>
  <c r="Z544" i="75"/>
  <c r="Z545" i="75"/>
  <c r="Z546" i="75"/>
  <c r="Z547" i="75"/>
  <c r="Z548" i="75"/>
  <c r="Z549" i="75"/>
  <c r="Z315" i="75"/>
  <c r="Z316" i="75"/>
  <c r="Z317" i="75"/>
  <c r="Z553" i="75"/>
  <c r="Z669" i="75"/>
  <c r="Z713" i="75" s="1"/>
  <c r="Z492" i="75"/>
  <c r="Z493" i="75"/>
  <c r="Z494" i="75"/>
  <c r="Z495" i="75"/>
  <c r="Z496" i="75"/>
  <c r="Z497" i="75"/>
  <c r="Z498" i="75"/>
  <c r="Z499" i="75"/>
  <c r="Z500" i="75"/>
  <c r="Z501" i="75"/>
  <c r="Z502" i="75"/>
  <c r="Z503" i="75"/>
  <c r="Z504" i="75"/>
  <c r="Z505" i="75"/>
  <c r="Z506" i="75"/>
  <c r="Z507" i="75"/>
  <c r="Z514" i="75"/>
  <c r="Z515" i="75"/>
  <c r="Z516" i="75"/>
  <c r="Z517" i="75"/>
  <c r="Z518" i="75"/>
  <c r="Z519" i="75"/>
  <c r="Z520" i="75"/>
  <c r="Z521" i="75"/>
  <c r="Z522" i="75"/>
  <c r="Z523" i="75"/>
  <c r="Z524" i="75"/>
  <c r="Z525" i="75"/>
  <c r="Z526" i="75"/>
  <c r="Z527" i="75"/>
  <c r="Z528" i="75"/>
  <c r="Z529" i="75"/>
  <c r="Z398" i="75"/>
  <c r="Z399" i="75" s="1"/>
  <c r="Z678" i="75" s="1"/>
  <c r="Z406" i="75"/>
  <c r="Z407" i="75"/>
  <c r="Z408" i="75"/>
  <c r="Z409" i="75"/>
  <c r="Z410" i="75"/>
  <c r="Z411" i="75"/>
  <c r="Z412" i="75"/>
  <c r="Z413" i="75"/>
  <c r="Z414" i="75"/>
  <c r="Z415" i="75"/>
  <c r="Z416" i="75"/>
  <c r="Z418" i="75"/>
  <c r="Z419" i="75"/>
  <c r="Z420" i="75"/>
  <c r="Z421" i="75"/>
  <c r="Z470" i="75"/>
  <c r="Z471" i="75"/>
  <c r="Z472" i="75"/>
  <c r="Z473" i="75"/>
  <c r="Z474" i="75"/>
  <c r="Z475" i="75"/>
  <c r="Z476" i="75"/>
  <c r="Z477" i="75"/>
  <c r="Z478" i="75"/>
  <c r="Z479" i="75"/>
  <c r="Z480" i="75"/>
  <c r="Z481" i="75"/>
  <c r="Z482" i="75"/>
  <c r="Z483" i="75"/>
  <c r="Z484" i="75"/>
  <c r="Z485" i="75"/>
  <c r="Z427" i="75"/>
  <c r="Z428" i="75"/>
  <c r="Z429" i="75"/>
  <c r="Z430" i="75"/>
  <c r="Z431" i="75"/>
  <c r="Z432" i="75"/>
  <c r="Z433" i="75"/>
  <c r="Z434" i="75"/>
  <c r="Z435" i="75"/>
  <c r="Z436" i="75"/>
  <c r="Z437" i="75"/>
  <c r="Z438" i="75"/>
  <c r="Z439" i="75"/>
  <c r="Z440" i="75"/>
  <c r="Z441" i="75"/>
  <c r="Z442" i="75"/>
  <c r="Z448" i="75"/>
  <c r="Z449" i="75"/>
  <c r="Z450" i="75"/>
  <c r="Z451" i="75"/>
  <c r="Z452" i="75"/>
  <c r="Z453" i="75"/>
  <c r="Z454" i="75"/>
  <c r="Z455" i="75"/>
  <c r="Z456" i="75"/>
  <c r="Z457" i="75"/>
  <c r="Z458" i="75"/>
  <c r="Z459" i="75"/>
  <c r="Z460" i="75"/>
  <c r="Z461" i="75"/>
  <c r="Z462" i="75"/>
  <c r="Z463" i="75"/>
  <c r="Z318" i="75"/>
  <c r="Z359" i="75"/>
  <c r="Z360" i="75"/>
  <c r="Z361" i="75"/>
  <c r="Z635" i="75"/>
  <c r="X697" i="75"/>
  <c r="X693" i="75" s="1"/>
  <c r="X704" i="75" s="1"/>
  <c r="X723" i="75" s="1"/>
  <c r="X368" i="75"/>
  <c r="X369" i="75"/>
  <c r="X370" i="75"/>
  <c r="X371" i="75"/>
  <c r="X372" i="75"/>
  <c r="X373" i="75"/>
  <c r="X374" i="75"/>
  <c r="X375" i="75"/>
  <c r="X376" i="75"/>
  <c r="X377" i="75"/>
  <c r="X378" i="75"/>
  <c r="X379" i="75"/>
  <c r="X380" i="75"/>
  <c r="X381" i="75"/>
  <c r="X382" i="75"/>
  <c r="X383" i="75"/>
  <c r="X388" i="75"/>
  <c r="X389" i="75"/>
  <c r="X390" i="75"/>
  <c r="X98" i="75"/>
  <c r="X391" i="75" s="1"/>
  <c r="X660" i="75"/>
  <c r="X665" i="75"/>
  <c r="X303" i="75"/>
  <c r="X539" i="75"/>
  <c r="X540" i="75"/>
  <c r="X541" i="75"/>
  <c r="X542" i="75"/>
  <c r="X543" i="75"/>
  <c r="X544" i="75"/>
  <c r="X545" i="75"/>
  <c r="X546" i="75"/>
  <c r="X547" i="75"/>
  <c r="X548" i="75"/>
  <c r="X549" i="75"/>
  <c r="X315" i="75"/>
  <c r="X316" i="75"/>
  <c r="X317" i="75"/>
  <c r="X553" i="75"/>
  <c r="X669" i="75"/>
  <c r="X713" i="75" s="1"/>
  <c r="X492" i="75"/>
  <c r="X493" i="75"/>
  <c r="X494" i="75"/>
  <c r="X495" i="75"/>
  <c r="X496" i="75"/>
  <c r="X497" i="75"/>
  <c r="X498" i="75"/>
  <c r="X499" i="75"/>
  <c r="X500" i="75"/>
  <c r="X501" i="75"/>
  <c r="X502" i="75"/>
  <c r="X503" i="75"/>
  <c r="X504" i="75"/>
  <c r="X505" i="75"/>
  <c r="X506" i="75"/>
  <c r="X507" i="75"/>
  <c r="X514" i="75"/>
  <c r="X515" i="75"/>
  <c r="X516" i="75"/>
  <c r="X517" i="75"/>
  <c r="X518" i="75"/>
  <c r="X519" i="75"/>
  <c r="X520" i="75"/>
  <c r="X521" i="75"/>
  <c r="X522" i="75"/>
  <c r="X523" i="75"/>
  <c r="X524" i="75"/>
  <c r="X525" i="75"/>
  <c r="X526" i="75"/>
  <c r="X527" i="75"/>
  <c r="X528" i="75"/>
  <c r="X529" i="75"/>
  <c r="X398" i="75"/>
  <c r="X399" i="75" s="1"/>
  <c r="X678" i="75" s="1"/>
  <c r="X406" i="75"/>
  <c r="X407" i="75"/>
  <c r="X408" i="75"/>
  <c r="X409" i="75"/>
  <c r="X410" i="75"/>
  <c r="X411" i="75"/>
  <c r="X412" i="75"/>
  <c r="X413" i="75"/>
  <c r="X414" i="75"/>
  <c r="X415" i="75"/>
  <c r="X416" i="75"/>
  <c r="X418" i="75"/>
  <c r="X419" i="75"/>
  <c r="X420" i="75"/>
  <c r="X421" i="75"/>
  <c r="X470" i="75"/>
  <c r="X471" i="75"/>
  <c r="X472" i="75"/>
  <c r="X473" i="75"/>
  <c r="X474" i="75"/>
  <c r="X475" i="75"/>
  <c r="X476" i="75"/>
  <c r="X477" i="75"/>
  <c r="X478" i="75"/>
  <c r="X479" i="75"/>
  <c r="X480" i="75"/>
  <c r="X481" i="75"/>
  <c r="X482" i="75"/>
  <c r="X483" i="75"/>
  <c r="X484" i="75"/>
  <c r="X485" i="75"/>
  <c r="X427" i="75"/>
  <c r="X428" i="75"/>
  <c r="X429" i="75"/>
  <c r="X430" i="75"/>
  <c r="X431" i="75"/>
  <c r="X432" i="75"/>
  <c r="X433" i="75"/>
  <c r="X434" i="75"/>
  <c r="X435" i="75"/>
  <c r="X436" i="75"/>
  <c r="X437" i="75"/>
  <c r="X438" i="75"/>
  <c r="X439" i="75"/>
  <c r="X440" i="75"/>
  <c r="X441" i="75"/>
  <c r="X442" i="75"/>
  <c r="X448" i="75"/>
  <c r="X449" i="75"/>
  <c r="X450" i="75"/>
  <c r="X451" i="75"/>
  <c r="X452" i="75"/>
  <c r="X453" i="75"/>
  <c r="X454" i="75"/>
  <c r="X455" i="75"/>
  <c r="X456" i="75"/>
  <c r="X457" i="75"/>
  <c r="X458" i="75"/>
  <c r="X459" i="75"/>
  <c r="X460" i="75"/>
  <c r="X461" i="75"/>
  <c r="X462" i="75"/>
  <c r="X463" i="75"/>
  <c r="X318" i="75"/>
  <c r="X359" i="75"/>
  <c r="X360" i="75"/>
  <c r="X361" i="75"/>
  <c r="X635" i="75"/>
  <c r="W697" i="75"/>
  <c r="W693" i="75" s="1"/>
  <c r="W704" i="75" s="1"/>
  <c r="W723" i="75" s="1"/>
  <c r="W368" i="75"/>
  <c r="W369" i="75"/>
  <c r="W370" i="75"/>
  <c r="W371" i="75"/>
  <c r="W372" i="75"/>
  <c r="W373" i="75"/>
  <c r="W374" i="75"/>
  <c r="W375" i="75"/>
  <c r="W376" i="75"/>
  <c r="W377" i="75"/>
  <c r="W378" i="75"/>
  <c r="W379" i="75"/>
  <c r="W380" i="75"/>
  <c r="W381" i="75"/>
  <c r="W382" i="75"/>
  <c r="W383" i="75"/>
  <c r="W388" i="75"/>
  <c r="W389" i="75"/>
  <c r="W390" i="75"/>
  <c r="W98" i="75"/>
  <c r="W391" i="75" s="1"/>
  <c r="W660" i="75"/>
  <c r="W665" i="75"/>
  <c r="W303" i="75"/>
  <c r="W539" i="75"/>
  <c r="W540" i="75"/>
  <c r="W541" i="75"/>
  <c r="W542" i="75"/>
  <c r="W543" i="75"/>
  <c r="W544" i="75"/>
  <c r="W545" i="75"/>
  <c r="W546" i="75"/>
  <c r="W547" i="75"/>
  <c r="W548" i="75"/>
  <c r="W549" i="75"/>
  <c r="W315" i="75"/>
  <c r="W316" i="75"/>
  <c r="W317" i="75"/>
  <c r="W553" i="75"/>
  <c r="W669" i="75"/>
  <c r="W713" i="75" s="1"/>
  <c r="W492" i="75"/>
  <c r="W493" i="75"/>
  <c r="W494" i="75"/>
  <c r="W495" i="75"/>
  <c r="W496" i="75"/>
  <c r="W497" i="75"/>
  <c r="W498" i="75"/>
  <c r="W499" i="75"/>
  <c r="W500" i="75"/>
  <c r="W501" i="75"/>
  <c r="W502" i="75"/>
  <c r="W503" i="75"/>
  <c r="W504" i="75"/>
  <c r="W505" i="75"/>
  <c r="W506" i="75"/>
  <c r="W507" i="75"/>
  <c r="W514" i="75"/>
  <c r="W515" i="75"/>
  <c r="W516" i="75"/>
  <c r="W517" i="75"/>
  <c r="W518" i="75"/>
  <c r="W519" i="75"/>
  <c r="W520" i="75"/>
  <c r="W521" i="75"/>
  <c r="W522" i="75"/>
  <c r="W523" i="75"/>
  <c r="W524" i="75"/>
  <c r="W525" i="75"/>
  <c r="W526" i="75"/>
  <c r="W527" i="75"/>
  <c r="W528" i="75"/>
  <c r="W529" i="75"/>
  <c r="W398" i="75"/>
  <c r="W399" i="75" s="1"/>
  <c r="W678" i="75" s="1"/>
  <c r="W406" i="75"/>
  <c r="W407" i="75"/>
  <c r="W408" i="75"/>
  <c r="W409" i="75"/>
  <c r="W410" i="75"/>
  <c r="W411" i="75"/>
  <c r="W412" i="75"/>
  <c r="W413" i="75"/>
  <c r="W414" i="75"/>
  <c r="W415" i="75"/>
  <c r="W416" i="75"/>
  <c r="W418" i="75"/>
  <c r="W419" i="75"/>
  <c r="W420" i="75"/>
  <c r="W421" i="75"/>
  <c r="W470" i="75"/>
  <c r="W471" i="75"/>
  <c r="W472" i="75"/>
  <c r="W473" i="75"/>
  <c r="W474" i="75"/>
  <c r="W475" i="75"/>
  <c r="W476" i="75"/>
  <c r="W477" i="75"/>
  <c r="W478" i="75"/>
  <c r="W479" i="75"/>
  <c r="W480" i="75"/>
  <c r="W481" i="75"/>
  <c r="W482" i="75"/>
  <c r="W483" i="75"/>
  <c r="W484" i="75"/>
  <c r="W485" i="75"/>
  <c r="W427" i="75"/>
  <c r="W428" i="75"/>
  <c r="W429" i="75"/>
  <c r="W430" i="75"/>
  <c r="W431" i="75"/>
  <c r="W432" i="75"/>
  <c r="W433" i="75"/>
  <c r="W434" i="75"/>
  <c r="W435" i="75"/>
  <c r="W436" i="75"/>
  <c r="W437" i="75"/>
  <c r="W438" i="75"/>
  <c r="W439" i="75"/>
  <c r="W440" i="75"/>
  <c r="W441" i="75"/>
  <c r="W442" i="75"/>
  <c r="W448" i="75"/>
  <c r="W449" i="75"/>
  <c r="W450" i="75"/>
  <c r="W451" i="75"/>
  <c r="W452" i="75"/>
  <c r="W453" i="75"/>
  <c r="W454" i="75"/>
  <c r="W455" i="75"/>
  <c r="W456" i="75"/>
  <c r="W457" i="75"/>
  <c r="W458" i="75"/>
  <c r="W459" i="75"/>
  <c r="W460" i="75"/>
  <c r="W461" i="75"/>
  <c r="W462" i="75"/>
  <c r="W463" i="75"/>
  <c r="W318" i="75"/>
  <c r="W359" i="75"/>
  <c r="W360" i="75"/>
  <c r="W361" i="75"/>
  <c r="W635" i="75"/>
  <c r="V697" i="75"/>
  <c r="V693" i="75" s="1"/>
  <c r="V704" i="75" s="1"/>
  <c r="V723" i="75" s="1"/>
  <c r="V368" i="75"/>
  <c r="V369" i="75"/>
  <c r="V370" i="75"/>
  <c r="V371" i="75"/>
  <c r="V372" i="75"/>
  <c r="V373" i="75"/>
  <c r="V374" i="75"/>
  <c r="V375" i="75"/>
  <c r="V376" i="75"/>
  <c r="V377" i="75"/>
  <c r="V378" i="75"/>
  <c r="V379" i="75"/>
  <c r="V380" i="75"/>
  <c r="V381" i="75"/>
  <c r="V382" i="75"/>
  <c r="V383" i="75"/>
  <c r="V388" i="75"/>
  <c r="V389" i="75"/>
  <c r="V390" i="75"/>
  <c r="V98" i="75"/>
  <c r="V391" i="75" s="1"/>
  <c r="V660" i="75"/>
  <c r="V665" i="75"/>
  <c r="V303" i="75"/>
  <c r="V539" i="75"/>
  <c r="V540" i="75"/>
  <c r="V541" i="75"/>
  <c r="V542" i="75"/>
  <c r="V543" i="75"/>
  <c r="V544" i="75"/>
  <c r="V545" i="75"/>
  <c r="V546" i="75"/>
  <c r="V547" i="75"/>
  <c r="V548" i="75"/>
  <c r="V549" i="75"/>
  <c r="V315" i="75"/>
  <c r="V316" i="75"/>
  <c r="V317" i="75"/>
  <c r="V553" i="75"/>
  <c r="V669" i="75"/>
  <c r="V713" i="75" s="1"/>
  <c r="V492" i="75"/>
  <c r="V493" i="75"/>
  <c r="V494" i="75"/>
  <c r="V495" i="75"/>
  <c r="V496" i="75"/>
  <c r="V497" i="75"/>
  <c r="V498" i="75"/>
  <c r="V499" i="75"/>
  <c r="V500" i="75"/>
  <c r="V501" i="75"/>
  <c r="V502" i="75"/>
  <c r="V503" i="75"/>
  <c r="V504" i="75"/>
  <c r="V505" i="75"/>
  <c r="V506" i="75"/>
  <c r="V507" i="75"/>
  <c r="V514" i="75"/>
  <c r="V515" i="75"/>
  <c r="V516" i="75"/>
  <c r="V517" i="75"/>
  <c r="V518" i="75"/>
  <c r="V519" i="75"/>
  <c r="V520" i="75"/>
  <c r="V521" i="75"/>
  <c r="V522" i="75"/>
  <c r="V523" i="75"/>
  <c r="V524" i="75"/>
  <c r="V525" i="75"/>
  <c r="V526" i="75"/>
  <c r="V527" i="75"/>
  <c r="V528" i="75"/>
  <c r="V529" i="75"/>
  <c r="V398" i="75"/>
  <c r="V399" i="75" s="1"/>
  <c r="V678" i="75" s="1"/>
  <c r="V406" i="75"/>
  <c r="V407" i="75"/>
  <c r="V408" i="75"/>
  <c r="V409" i="75"/>
  <c r="V410" i="75"/>
  <c r="V411" i="75"/>
  <c r="V412" i="75"/>
  <c r="V413" i="75"/>
  <c r="V414" i="75"/>
  <c r="V415" i="75"/>
  <c r="V416" i="75"/>
  <c r="V418" i="75"/>
  <c r="V419" i="75"/>
  <c r="V420" i="75"/>
  <c r="V421" i="75"/>
  <c r="V470" i="75"/>
  <c r="V471" i="75"/>
  <c r="V472" i="75"/>
  <c r="V473" i="75"/>
  <c r="V474" i="75"/>
  <c r="V475" i="75"/>
  <c r="V476" i="75"/>
  <c r="V477" i="75"/>
  <c r="V478" i="75"/>
  <c r="V479" i="75"/>
  <c r="V480" i="75"/>
  <c r="V481" i="75"/>
  <c r="V482" i="75"/>
  <c r="V483" i="75"/>
  <c r="V484" i="75"/>
  <c r="V485" i="75"/>
  <c r="V427" i="75"/>
  <c r="V428" i="75"/>
  <c r="V429" i="75"/>
  <c r="V430" i="75"/>
  <c r="V431" i="75"/>
  <c r="V432" i="75"/>
  <c r="V433" i="75"/>
  <c r="V434" i="75"/>
  <c r="V435" i="75"/>
  <c r="V436" i="75"/>
  <c r="V437" i="75"/>
  <c r="V438" i="75"/>
  <c r="V439" i="75"/>
  <c r="V440" i="75"/>
  <c r="V441" i="75"/>
  <c r="V442" i="75"/>
  <c r="V448" i="75"/>
  <c r="V449" i="75"/>
  <c r="V450" i="75"/>
  <c r="V451" i="75"/>
  <c r="V452" i="75"/>
  <c r="V453" i="75"/>
  <c r="V454" i="75"/>
  <c r="V455" i="75"/>
  <c r="V456" i="75"/>
  <c r="V457" i="75"/>
  <c r="V458" i="75"/>
  <c r="V459" i="75"/>
  <c r="V460" i="75"/>
  <c r="V461" i="75"/>
  <c r="V462" i="75"/>
  <c r="V463" i="75"/>
  <c r="V318" i="75"/>
  <c r="V359" i="75"/>
  <c r="V360" i="75"/>
  <c r="V361" i="75"/>
  <c r="V635" i="75"/>
  <c r="U697" i="75"/>
  <c r="U693" i="75" s="1"/>
  <c r="U704" i="75" s="1"/>
  <c r="U723" i="75" s="1"/>
  <c r="U368" i="75"/>
  <c r="U369" i="75"/>
  <c r="U370" i="75"/>
  <c r="U371" i="75"/>
  <c r="U372" i="75"/>
  <c r="U373" i="75"/>
  <c r="U374" i="75"/>
  <c r="U375" i="75"/>
  <c r="U376" i="75"/>
  <c r="U377" i="75"/>
  <c r="U378" i="75"/>
  <c r="U379" i="75"/>
  <c r="U380" i="75"/>
  <c r="U381" i="75"/>
  <c r="U382" i="75"/>
  <c r="U383" i="75"/>
  <c r="U388" i="75"/>
  <c r="U389" i="75"/>
  <c r="U390" i="75"/>
  <c r="U98" i="75"/>
  <c r="U391" i="75" s="1"/>
  <c r="U660" i="75"/>
  <c r="U665" i="75"/>
  <c r="U303" i="75"/>
  <c r="U539" i="75"/>
  <c r="U540" i="75"/>
  <c r="U541" i="75"/>
  <c r="U542" i="75"/>
  <c r="U543" i="75"/>
  <c r="U544" i="75"/>
  <c r="U545" i="75"/>
  <c r="U546" i="75"/>
  <c r="U547" i="75"/>
  <c r="U548" i="75"/>
  <c r="U549" i="75"/>
  <c r="U315" i="75"/>
  <c r="U316" i="75"/>
  <c r="U317" i="75"/>
  <c r="U553" i="75"/>
  <c r="U669" i="75"/>
  <c r="U713" i="75" s="1"/>
  <c r="U492" i="75"/>
  <c r="U493" i="75"/>
  <c r="U494" i="75"/>
  <c r="U495" i="75"/>
  <c r="U496" i="75"/>
  <c r="U497" i="75"/>
  <c r="U498" i="75"/>
  <c r="U499" i="75"/>
  <c r="U500" i="75"/>
  <c r="U501" i="75"/>
  <c r="U502" i="75"/>
  <c r="U503" i="75"/>
  <c r="U504" i="75"/>
  <c r="U505" i="75"/>
  <c r="U506" i="75"/>
  <c r="U507" i="75"/>
  <c r="U514" i="75"/>
  <c r="U515" i="75"/>
  <c r="U516" i="75"/>
  <c r="U517" i="75"/>
  <c r="U518" i="75"/>
  <c r="U519" i="75"/>
  <c r="U520" i="75"/>
  <c r="U521" i="75"/>
  <c r="U522" i="75"/>
  <c r="U523" i="75"/>
  <c r="U524" i="75"/>
  <c r="U525" i="75"/>
  <c r="U526" i="75"/>
  <c r="U527" i="75"/>
  <c r="U528" i="75"/>
  <c r="U529" i="75"/>
  <c r="U398" i="75"/>
  <c r="U399" i="75" s="1"/>
  <c r="U678" i="75" s="1"/>
  <c r="U406" i="75"/>
  <c r="U407" i="75"/>
  <c r="U408" i="75"/>
  <c r="U409" i="75"/>
  <c r="U410" i="75"/>
  <c r="U411" i="75"/>
  <c r="U412" i="75"/>
  <c r="U413" i="75"/>
  <c r="U414" i="75"/>
  <c r="U415" i="75"/>
  <c r="U416" i="75"/>
  <c r="U418" i="75"/>
  <c r="U419" i="75"/>
  <c r="U420" i="75"/>
  <c r="U421" i="75"/>
  <c r="U470" i="75"/>
  <c r="U471" i="75"/>
  <c r="U472" i="75"/>
  <c r="U473" i="75"/>
  <c r="U474" i="75"/>
  <c r="U475" i="75"/>
  <c r="U476" i="75"/>
  <c r="U477" i="75"/>
  <c r="U478" i="75"/>
  <c r="U479" i="75"/>
  <c r="U480" i="75"/>
  <c r="U481" i="75"/>
  <c r="U482" i="75"/>
  <c r="U483" i="75"/>
  <c r="U484" i="75"/>
  <c r="U485" i="75"/>
  <c r="U427" i="75"/>
  <c r="U428" i="75"/>
  <c r="U429" i="75"/>
  <c r="U430" i="75"/>
  <c r="U431" i="75"/>
  <c r="U432" i="75"/>
  <c r="U433" i="75"/>
  <c r="U434" i="75"/>
  <c r="U435" i="75"/>
  <c r="U436" i="75"/>
  <c r="U437" i="75"/>
  <c r="U438" i="75"/>
  <c r="U439" i="75"/>
  <c r="U440" i="75"/>
  <c r="U441" i="75"/>
  <c r="U442" i="75"/>
  <c r="U448" i="75"/>
  <c r="U449" i="75"/>
  <c r="U450" i="75"/>
  <c r="U451" i="75"/>
  <c r="U452" i="75"/>
  <c r="U453" i="75"/>
  <c r="U454" i="75"/>
  <c r="U455" i="75"/>
  <c r="U456" i="75"/>
  <c r="U457" i="75"/>
  <c r="U458" i="75"/>
  <c r="U459" i="75"/>
  <c r="U460" i="75"/>
  <c r="U461" i="75"/>
  <c r="U462" i="75"/>
  <c r="U463" i="75"/>
  <c r="U318" i="75"/>
  <c r="U359" i="75"/>
  <c r="U360" i="75"/>
  <c r="U361" i="75"/>
  <c r="U635" i="75"/>
  <c r="S697" i="75"/>
  <c r="S693" i="75" s="1"/>
  <c r="S704" i="75" s="1"/>
  <c r="S723" i="75" s="1"/>
  <c r="S368" i="75"/>
  <c r="S369" i="75"/>
  <c r="S370" i="75"/>
  <c r="S371" i="75"/>
  <c r="S372" i="75"/>
  <c r="S373" i="75"/>
  <c r="S374" i="75"/>
  <c r="S375" i="75"/>
  <c r="S376" i="75"/>
  <c r="S377" i="75"/>
  <c r="S378" i="75"/>
  <c r="S379" i="75"/>
  <c r="S380" i="75"/>
  <c r="S381" i="75"/>
  <c r="S382" i="75"/>
  <c r="S383" i="75"/>
  <c r="S388" i="75"/>
  <c r="S389" i="75"/>
  <c r="S390" i="75"/>
  <c r="S98" i="75"/>
  <c r="S391" i="75" s="1"/>
  <c r="S660" i="75"/>
  <c r="S665" i="75"/>
  <c r="S303" i="75"/>
  <c r="S539" i="75"/>
  <c r="S540" i="75"/>
  <c r="S541" i="75"/>
  <c r="S542" i="75"/>
  <c r="S543" i="75"/>
  <c r="S544" i="75"/>
  <c r="S545" i="75"/>
  <c r="S546" i="75"/>
  <c r="S547" i="75"/>
  <c r="S548" i="75"/>
  <c r="S549" i="75"/>
  <c r="S315" i="75"/>
  <c r="S316" i="75"/>
  <c r="S317" i="75"/>
  <c r="S553" i="75"/>
  <c r="S669" i="75"/>
  <c r="S713" i="75" s="1"/>
  <c r="S492" i="75"/>
  <c r="S493" i="75"/>
  <c r="S494" i="75"/>
  <c r="S495" i="75"/>
  <c r="S496" i="75"/>
  <c r="S497" i="75"/>
  <c r="S498" i="75"/>
  <c r="S499" i="75"/>
  <c r="S500" i="75"/>
  <c r="S501" i="75"/>
  <c r="S502" i="75"/>
  <c r="S503" i="75"/>
  <c r="S504" i="75"/>
  <c r="S505" i="75"/>
  <c r="S506" i="75"/>
  <c r="S507" i="75"/>
  <c r="S514" i="75"/>
  <c r="S515" i="75"/>
  <c r="S516" i="75"/>
  <c r="S517" i="75"/>
  <c r="S518" i="75"/>
  <c r="S519" i="75"/>
  <c r="S520" i="75"/>
  <c r="S521" i="75"/>
  <c r="S522" i="75"/>
  <c r="S523" i="75"/>
  <c r="S524" i="75"/>
  <c r="S525" i="75"/>
  <c r="S526" i="75"/>
  <c r="S527" i="75"/>
  <c r="S528" i="75"/>
  <c r="S529" i="75"/>
  <c r="S398" i="75"/>
  <c r="S399" i="75" s="1"/>
  <c r="S678" i="75" s="1"/>
  <c r="S406" i="75"/>
  <c r="S407" i="75"/>
  <c r="S408" i="75"/>
  <c r="S409" i="75"/>
  <c r="S410" i="75"/>
  <c r="S411" i="75"/>
  <c r="S412" i="75"/>
  <c r="S413" i="75"/>
  <c r="S414" i="75"/>
  <c r="S415" i="75"/>
  <c r="S416" i="75"/>
  <c r="S418" i="75"/>
  <c r="S419" i="75"/>
  <c r="S420" i="75"/>
  <c r="S421" i="75"/>
  <c r="S470" i="75"/>
  <c r="S471" i="75"/>
  <c r="S472" i="75"/>
  <c r="S473" i="75"/>
  <c r="S474" i="75"/>
  <c r="S475" i="75"/>
  <c r="S476" i="75"/>
  <c r="S477" i="75"/>
  <c r="S478" i="75"/>
  <c r="S479" i="75"/>
  <c r="S480" i="75"/>
  <c r="S481" i="75"/>
  <c r="S482" i="75"/>
  <c r="S483" i="75"/>
  <c r="S484" i="75"/>
  <c r="S485" i="75"/>
  <c r="S427" i="75"/>
  <c r="S428" i="75"/>
  <c r="S429" i="75"/>
  <c r="S430" i="75"/>
  <c r="S431" i="75"/>
  <c r="S432" i="75"/>
  <c r="S433" i="75"/>
  <c r="S434" i="75"/>
  <c r="S435" i="75"/>
  <c r="S436" i="75"/>
  <c r="S437" i="75"/>
  <c r="S438" i="75"/>
  <c r="S439" i="75"/>
  <c r="S440" i="75"/>
  <c r="S441" i="75"/>
  <c r="S442" i="75"/>
  <c r="S448" i="75"/>
  <c r="S449" i="75"/>
  <c r="S450" i="75"/>
  <c r="S451" i="75"/>
  <c r="S452" i="75"/>
  <c r="S453" i="75"/>
  <c r="S454" i="75"/>
  <c r="S455" i="75"/>
  <c r="S456" i="75"/>
  <c r="S457" i="75"/>
  <c r="S458" i="75"/>
  <c r="S459" i="75"/>
  <c r="S460" i="75"/>
  <c r="S461" i="75"/>
  <c r="S462" i="75"/>
  <c r="S463" i="75"/>
  <c r="S318" i="75"/>
  <c r="S359" i="75"/>
  <c r="S360" i="75"/>
  <c r="S361" i="75"/>
  <c r="S635" i="75"/>
  <c r="R697" i="75"/>
  <c r="R693" i="75" s="1"/>
  <c r="R704" i="75" s="1"/>
  <c r="R723" i="75" s="1"/>
  <c r="R368" i="75"/>
  <c r="R369" i="75"/>
  <c r="R370" i="75"/>
  <c r="R371" i="75"/>
  <c r="R372" i="75"/>
  <c r="R373" i="75"/>
  <c r="R374" i="75"/>
  <c r="R375" i="75"/>
  <c r="R376" i="75"/>
  <c r="R377" i="75"/>
  <c r="R378" i="75"/>
  <c r="R379" i="75"/>
  <c r="R380" i="75"/>
  <c r="R381" i="75"/>
  <c r="R382" i="75"/>
  <c r="R383" i="75"/>
  <c r="R388" i="75"/>
  <c r="R389" i="75"/>
  <c r="R390" i="75"/>
  <c r="R98" i="75"/>
  <c r="R391" i="75" s="1"/>
  <c r="R660" i="75"/>
  <c r="R665" i="75"/>
  <c r="R303" i="75"/>
  <c r="R539" i="75"/>
  <c r="R540" i="75"/>
  <c r="R541" i="75"/>
  <c r="R542" i="75"/>
  <c r="R543" i="75"/>
  <c r="R544" i="75"/>
  <c r="R545" i="75"/>
  <c r="R546" i="75"/>
  <c r="R547" i="75"/>
  <c r="R548" i="75"/>
  <c r="R549" i="75"/>
  <c r="R315" i="75"/>
  <c r="R316" i="75"/>
  <c r="R317" i="75"/>
  <c r="R553" i="75"/>
  <c r="R669" i="75"/>
  <c r="R713" i="75" s="1"/>
  <c r="R492" i="75"/>
  <c r="R493" i="75"/>
  <c r="R494" i="75"/>
  <c r="R495" i="75"/>
  <c r="R496" i="75"/>
  <c r="R497" i="75"/>
  <c r="R498" i="75"/>
  <c r="R499" i="75"/>
  <c r="R500" i="75"/>
  <c r="R501" i="75"/>
  <c r="R502" i="75"/>
  <c r="R503" i="75"/>
  <c r="R504" i="75"/>
  <c r="R505" i="75"/>
  <c r="R506" i="75"/>
  <c r="R507" i="75"/>
  <c r="R514" i="75"/>
  <c r="R515" i="75"/>
  <c r="R516" i="75"/>
  <c r="R517" i="75"/>
  <c r="R518" i="75"/>
  <c r="R519" i="75"/>
  <c r="R520" i="75"/>
  <c r="R521" i="75"/>
  <c r="R522" i="75"/>
  <c r="R523" i="75"/>
  <c r="R524" i="75"/>
  <c r="R525" i="75"/>
  <c r="R526" i="75"/>
  <c r="R527" i="75"/>
  <c r="R528" i="75"/>
  <c r="R529" i="75"/>
  <c r="R398" i="75"/>
  <c r="R399" i="75" s="1"/>
  <c r="R678" i="75" s="1"/>
  <c r="R406" i="75"/>
  <c r="R407" i="75"/>
  <c r="R408" i="75"/>
  <c r="R409" i="75"/>
  <c r="R410" i="75"/>
  <c r="R411" i="75"/>
  <c r="R412" i="75"/>
  <c r="R413" i="75"/>
  <c r="R414" i="75"/>
  <c r="R415" i="75"/>
  <c r="R416" i="75"/>
  <c r="R418" i="75"/>
  <c r="R419" i="75"/>
  <c r="R420" i="75"/>
  <c r="R421" i="75"/>
  <c r="R470" i="75"/>
  <c r="R471" i="75"/>
  <c r="R472" i="75"/>
  <c r="R473" i="75"/>
  <c r="R474" i="75"/>
  <c r="R475" i="75"/>
  <c r="R476" i="75"/>
  <c r="R477" i="75"/>
  <c r="R478" i="75"/>
  <c r="R479" i="75"/>
  <c r="R480" i="75"/>
  <c r="R481" i="75"/>
  <c r="R482" i="75"/>
  <c r="R483" i="75"/>
  <c r="R484" i="75"/>
  <c r="R485" i="75"/>
  <c r="R427" i="75"/>
  <c r="R428" i="75"/>
  <c r="R429" i="75"/>
  <c r="R430" i="75"/>
  <c r="R431" i="75"/>
  <c r="R432" i="75"/>
  <c r="R433" i="75"/>
  <c r="R434" i="75"/>
  <c r="R435" i="75"/>
  <c r="R436" i="75"/>
  <c r="R437" i="75"/>
  <c r="R438" i="75"/>
  <c r="R439" i="75"/>
  <c r="R440" i="75"/>
  <c r="R441" i="75"/>
  <c r="R442" i="75"/>
  <c r="R448" i="75"/>
  <c r="R449" i="75"/>
  <c r="R450" i="75"/>
  <c r="R451" i="75"/>
  <c r="R452" i="75"/>
  <c r="R453" i="75"/>
  <c r="R454" i="75"/>
  <c r="R455" i="75"/>
  <c r="R456" i="75"/>
  <c r="R457" i="75"/>
  <c r="R458" i="75"/>
  <c r="R459" i="75"/>
  <c r="R460" i="75"/>
  <c r="R461" i="75"/>
  <c r="R462" i="75"/>
  <c r="R463" i="75"/>
  <c r="R318" i="75"/>
  <c r="R359" i="75"/>
  <c r="R360" i="75"/>
  <c r="R361" i="75"/>
  <c r="R635" i="75"/>
  <c r="Q697" i="75"/>
  <c r="Q693" i="75" s="1"/>
  <c r="Q704" i="75" s="1"/>
  <c r="Q723" i="75" s="1"/>
  <c r="Q368" i="75"/>
  <c r="Q369" i="75"/>
  <c r="Q370" i="75"/>
  <c r="Q371" i="75"/>
  <c r="Q372" i="75"/>
  <c r="Q373" i="75"/>
  <c r="Q374" i="75"/>
  <c r="Q375" i="75"/>
  <c r="Q376" i="75"/>
  <c r="Q377" i="75"/>
  <c r="Q378" i="75"/>
  <c r="Q379" i="75"/>
  <c r="Q380" i="75"/>
  <c r="Q381" i="75"/>
  <c r="Q382" i="75"/>
  <c r="Q383" i="75"/>
  <c r="Q388" i="75"/>
  <c r="Q389" i="75"/>
  <c r="Q390" i="75"/>
  <c r="Q98" i="75"/>
  <c r="Q391" i="75" s="1"/>
  <c r="Q660" i="75"/>
  <c r="Q665" i="75"/>
  <c r="Q303" i="75"/>
  <c r="Q539" i="75"/>
  <c r="Q540" i="75"/>
  <c r="Q541" i="75"/>
  <c r="Q542" i="75"/>
  <c r="Q543" i="75"/>
  <c r="Q544" i="75"/>
  <c r="Q545" i="75"/>
  <c r="Q546" i="75"/>
  <c r="Q547" i="75"/>
  <c r="Q548" i="75"/>
  <c r="Q549" i="75"/>
  <c r="Q315" i="75"/>
  <c r="Q316" i="75"/>
  <c r="Q317" i="75"/>
  <c r="Q553" i="75"/>
  <c r="Q669" i="75"/>
  <c r="Q713" i="75" s="1"/>
  <c r="Q492" i="75"/>
  <c r="Q493" i="75"/>
  <c r="Q494" i="75"/>
  <c r="Q495" i="75"/>
  <c r="Q496" i="75"/>
  <c r="Q497" i="75"/>
  <c r="Q498" i="75"/>
  <c r="Q499" i="75"/>
  <c r="Q500" i="75"/>
  <c r="Q501" i="75"/>
  <c r="Q502" i="75"/>
  <c r="Q503" i="75"/>
  <c r="Q504" i="75"/>
  <c r="Q505" i="75"/>
  <c r="Q506" i="75"/>
  <c r="Q507" i="75"/>
  <c r="Q514" i="75"/>
  <c r="Q515" i="75"/>
  <c r="Q516" i="75"/>
  <c r="Q517" i="75"/>
  <c r="Q518" i="75"/>
  <c r="Q519" i="75"/>
  <c r="Q520" i="75"/>
  <c r="Q521" i="75"/>
  <c r="Q522" i="75"/>
  <c r="Q523" i="75"/>
  <c r="Q524" i="75"/>
  <c r="Q525" i="75"/>
  <c r="Q526" i="75"/>
  <c r="Q527" i="75"/>
  <c r="Q528" i="75"/>
  <c r="Q529" i="75"/>
  <c r="Q398" i="75"/>
  <c r="Q399" i="75" s="1"/>
  <c r="Q678" i="75" s="1"/>
  <c r="Q406" i="75"/>
  <c r="Q407" i="75"/>
  <c r="Q408" i="75"/>
  <c r="Q409" i="75"/>
  <c r="Q410" i="75"/>
  <c r="Q411" i="75"/>
  <c r="Q412" i="75"/>
  <c r="Q413" i="75"/>
  <c r="Q414" i="75"/>
  <c r="Q415" i="75"/>
  <c r="Q416" i="75"/>
  <c r="Q418" i="75"/>
  <c r="Q419" i="75"/>
  <c r="Q420" i="75"/>
  <c r="Q421" i="75"/>
  <c r="Q470" i="75"/>
  <c r="Q471" i="75"/>
  <c r="Q472" i="75"/>
  <c r="Q473" i="75"/>
  <c r="Q474" i="75"/>
  <c r="Q475" i="75"/>
  <c r="Q476" i="75"/>
  <c r="Q477" i="75"/>
  <c r="Q478" i="75"/>
  <c r="Q479" i="75"/>
  <c r="Q480" i="75"/>
  <c r="Q481" i="75"/>
  <c r="Q482" i="75"/>
  <c r="Q483" i="75"/>
  <c r="Q484" i="75"/>
  <c r="Q485" i="75"/>
  <c r="Q427" i="75"/>
  <c r="Q428" i="75"/>
  <c r="Q429" i="75"/>
  <c r="Q430" i="75"/>
  <c r="Q431" i="75"/>
  <c r="Q432" i="75"/>
  <c r="Q433" i="75"/>
  <c r="Q434" i="75"/>
  <c r="Q435" i="75"/>
  <c r="Q436" i="75"/>
  <c r="Q437" i="75"/>
  <c r="Q438" i="75"/>
  <c r="Q439" i="75"/>
  <c r="Q440" i="75"/>
  <c r="Q441" i="75"/>
  <c r="Q442" i="75"/>
  <c r="Q448" i="75"/>
  <c r="Q449" i="75"/>
  <c r="Q450" i="75"/>
  <c r="Q451" i="75"/>
  <c r="Q452" i="75"/>
  <c r="Q453" i="75"/>
  <c r="Q454" i="75"/>
  <c r="Q455" i="75"/>
  <c r="Q456" i="75"/>
  <c r="Q457" i="75"/>
  <c r="Q458" i="75"/>
  <c r="Q459" i="75"/>
  <c r="Q460" i="75"/>
  <c r="Q461" i="75"/>
  <c r="Q462" i="75"/>
  <c r="Q463" i="75"/>
  <c r="Q318" i="75"/>
  <c r="Q359" i="75"/>
  <c r="Q360" i="75"/>
  <c r="Q361" i="75"/>
  <c r="Q635" i="75"/>
  <c r="P697" i="75"/>
  <c r="P693" i="75" s="1"/>
  <c r="P704" i="75" s="1"/>
  <c r="P723" i="75" s="1"/>
  <c r="P368" i="75"/>
  <c r="P369" i="75"/>
  <c r="P370" i="75"/>
  <c r="P371" i="75"/>
  <c r="P372" i="75"/>
  <c r="P373" i="75"/>
  <c r="P374" i="75"/>
  <c r="P375" i="75"/>
  <c r="P376" i="75"/>
  <c r="P377" i="75"/>
  <c r="P378" i="75"/>
  <c r="P379" i="75"/>
  <c r="P380" i="75"/>
  <c r="P381" i="75"/>
  <c r="P382" i="75"/>
  <c r="P383" i="75"/>
  <c r="P388" i="75"/>
  <c r="P389" i="75"/>
  <c r="P390" i="75"/>
  <c r="P98" i="75"/>
  <c r="P391" i="75" s="1"/>
  <c r="P660" i="75"/>
  <c r="P665" i="75"/>
  <c r="P303" i="75"/>
  <c r="P539" i="75"/>
  <c r="P540" i="75"/>
  <c r="P541" i="75"/>
  <c r="P542" i="75"/>
  <c r="P543" i="75"/>
  <c r="P544" i="75"/>
  <c r="P545" i="75"/>
  <c r="P546" i="75"/>
  <c r="P547" i="75"/>
  <c r="P548" i="75"/>
  <c r="P549" i="75"/>
  <c r="P315" i="75"/>
  <c r="P316" i="75"/>
  <c r="P317" i="75"/>
  <c r="P553" i="75"/>
  <c r="P669" i="75"/>
  <c r="P713" i="75" s="1"/>
  <c r="P492" i="75"/>
  <c r="P493" i="75"/>
  <c r="P494" i="75"/>
  <c r="P495" i="75"/>
  <c r="P496" i="75"/>
  <c r="P497" i="75"/>
  <c r="P498" i="75"/>
  <c r="P499" i="75"/>
  <c r="P500" i="75"/>
  <c r="P501" i="75"/>
  <c r="P502" i="75"/>
  <c r="P503" i="75"/>
  <c r="P504" i="75"/>
  <c r="P505" i="75"/>
  <c r="P506" i="75"/>
  <c r="P507" i="75"/>
  <c r="P514" i="75"/>
  <c r="P515" i="75"/>
  <c r="P516" i="75"/>
  <c r="P517" i="75"/>
  <c r="P518" i="75"/>
  <c r="P519" i="75"/>
  <c r="P520" i="75"/>
  <c r="P521" i="75"/>
  <c r="P522" i="75"/>
  <c r="P523" i="75"/>
  <c r="P524" i="75"/>
  <c r="P525" i="75"/>
  <c r="P526" i="75"/>
  <c r="P527" i="75"/>
  <c r="P528" i="75"/>
  <c r="P529" i="75"/>
  <c r="P398" i="75"/>
  <c r="P399" i="75" s="1"/>
  <c r="P678" i="75" s="1"/>
  <c r="P406" i="75"/>
  <c r="P407" i="75"/>
  <c r="P408" i="75"/>
  <c r="P409" i="75"/>
  <c r="P410" i="75"/>
  <c r="P411" i="75"/>
  <c r="P412" i="75"/>
  <c r="P413" i="75"/>
  <c r="P414" i="75"/>
  <c r="P415" i="75"/>
  <c r="P416" i="75"/>
  <c r="P418" i="75"/>
  <c r="P419" i="75"/>
  <c r="P420" i="75"/>
  <c r="P421" i="75"/>
  <c r="P470" i="75"/>
  <c r="P471" i="75"/>
  <c r="P472" i="75"/>
  <c r="P473" i="75"/>
  <c r="P474" i="75"/>
  <c r="P475" i="75"/>
  <c r="P476" i="75"/>
  <c r="P477" i="75"/>
  <c r="P478" i="75"/>
  <c r="P479" i="75"/>
  <c r="P480" i="75"/>
  <c r="P481" i="75"/>
  <c r="P482" i="75"/>
  <c r="P483" i="75"/>
  <c r="P484" i="75"/>
  <c r="P485" i="75"/>
  <c r="P427" i="75"/>
  <c r="P428" i="75"/>
  <c r="P429" i="75"/>
  <c r="P430" i="75"/>
  <c r="P431" i="75"/>
  <c r="P432" i="75"/>
  <c r="P433" i="75"/>
  <c r="P434" i="75"/>
  <c r="P435" i="75"/>
  <c r="P436" i="75"/>
  <c r="P437" i="75"/>
  <c r="P438" i="75"/>
  <c r="P439" i="75"/>
  <c r="P440" i="75"/>
  <c r="P441" i="75"/>
  <c r="P442" i="75"/>
  <c r="P448" i="75"/>
  <c r="P449" i="75"/>
  <c r="P450" i="75"/>
  <c r="P451" i="75"/>
  <c r="P452" i="75"/>
  <c r="P453" i="75"/>
  <c r="P454" i="75"/>
  <c r="P455" i="75"/>
  <c r="P456" i="75"/>
  <c r="P457" i="75"/>
  <c r="P458" i="75"/>
  <c r="P459" i="75"/>
  <c r="P460" i="75"/>
  <c r="P461" i="75"/>
  <c r="P462" i="75"/>
  <c r="P463" i="75"/>
  <c r="P318" i="75"/>
  <c r="P359" i="75"/>
  <c r="P360" i="75"/>
  <c r="P361" i="75"/>
  <c r="P635" i="75"/>
  <c r="N697" i="75"/>
  <c r="N693" i="75" s="1"/>
  <c r="N704" i="75" s="1"/>
  <c r="N723" i="75" s="1"/>
  <c r="N368" i="75"/>
  <c r="N369" i="75"/>
  <c r="N370" i="75"/>
  <c r="N371" i="75"/>
  <c r="N372" i="75"/>
  <c r="N373" i="75"/>
  <c r="N374" i="75"/>
  <c r="N375" i="75"/>
  <c r="N376" i="75"/>
  <c r="N377" i="75"/>
  <c r="N378" i="75"/>
  <c r="N379" i="75"/>
  <c r="N380" i="75"/>
  <c r="N381" i="75"/>
  <c r="N382" i="75"/>
  <c r="N383" i="75"/>
  <c r="N388" i="75"/>
  <c r="N389" i="75"/>
  <c r="N390" i="75"/>
  <c r="N98" i="75"/>
  <c r="N391" i="75" s="1"/>
  <c r="N660" i="75"/>
  <c r="N665" i="75"/>
  <c r="N303" i="75"/>
  <c r="N539" i="75"/>
  <c r="N540" i="75"/>
  <c r="N541" i="75"/>
  <c r="N542" i="75"/>
  <c r="N543" i="75"/>
  <c r="N544" i="75"/>
  <c r="N545" i="75"/>
  <c r="N546" i="75"/>
  <c r="N547" i="75"/>
  <c r="N548" i="75"/>
  <c r="N549" i="75"/>
  <c r="N315" i="75"/>
  <c r="N316" i="75"/>
  <c r="N317" i="75"/>
  <c r="N553" i="75"/>
  <c r="N669" i="75"/>
  <c r="N713" i="75" s="1"/>
  <c r="N492" i="75"/>
  <c r="N493" i="75"/>
  <c r="N494" i="75"/>
  <c r="N495" i="75"/>
  <c r="N496" i="75"/>
  <c r="N497" i="75"/>
  <c r="N498" i="75"/>
  <c r="N499" i="75"/>
  <c r="N500" i="75"/>
  <c r="N501" i="75"/>
  <c r="N502" i="75"/>
  <c r="N503" i="75"/>
  <c r="N504" i="75"/>
  <c r="N505" i="75"/>
  <c r="N506" i="75"/>
  <c r="N507" i="75"/>
  <c r="N514" i="75"/>
  <c r="N515" i="75"/>
  <c r="N516" i="75"/>
  <c r="N517" i="75"/>
  <c r="N518" i="75"/>
  <c r="N519" i="75"/>
  <c r="N520" i="75"/>
  <c r="N521" i="75"/>
  <c r="N522" i="75"/>
  <c r="N523" i="75"/>
  <c r="N524" i="75"/>
  <c r="N525" i="75"/>
  <c r="N526" i="75"/>
  <c r="N527" i="75"/>
  <c r="N528" i="75"/>
  <c r="N529" i="75"/>
  <c r="N398" i="75"/>
  <c r="N399" i="75" s="1"/>
  <c r="N678" i="75" s="1"/>
  <c r="N406" i="75"/>
  <c r="N407" i="75"/>
  <c r="N408" i="75"/>
  <c r="N409" i="75"/>
  <c r="N410" i="75"/>
  <c r="N411" i="75"/>
  <c r="N412" i="75"/>
  <c r="N413" i="75"/>
  <c r="N414" i="75"/>
  <c r="N415" i="75"/>
  <c r="N416" i="75"/>
  <c r="N418" i="75"/>
  <c r="N419" i="75"/>
  <c r="N420" i="75"/>
  <c r="N421" i="75"/>
  <c r="N470" i="75"/>
  <c r="N471" i="75"/>
  <c r="N472" i="75"/>
  <c r="N473" i="75"/>
  <c r="N474" i="75"/>
  <c r="N475" i="75"/>
  <c r="N476" i="75"/>
  <c r="N477" i="75"/>
  <c r="N478" i="75"/>
  <c r="N479" i="75"/>
  <c r="N480" i="75"/>
  <c r="N481" i="75"/>
  <c r="N482" i="75"/>
  <c r="N483" i="75"/>
  <c r="N484" i="75"/>
  <c r="N485" i="75"/>
  <c r="N427" i="75"/>
  <c r="N428" i="75"/>
  <c r="N429" i="75"/>
  <c r="N430" i="75"/>
  <c r="N431" i="75"/>
  <c r="N432" i="75"/>
  <c r="N433" i="75"/>
  <c r="N434" i="75"/>
  <c r="N435" i="75"/>
  <c r="N436" i="75"/>
  <c r="N437" i="75"/>
  <c r="N438" i="75"/>
  <c r="N439" i="75"/>
  <c r="N440" i="75"/>
  <c r="N441" i="75"/>
  <c r="N442" i="75"/>
  <c r="N448" i="75"/>
  <c r="N449" i="75"/>
  <c r="N450" i="75"/>
  <c r="N451" i="75"/>
  <c r="N452" i="75"/>
  <c r="N453" i="75"/>
  <c r="N454" i="75"/>
  <c r="N455" i="75"/>
  <c r="N456" i="75"/>
  <c r="N457" i="75"/>
  <c r="N458" i="75"/>
  <c r="N459" i="75"/>
  <c r="N460" i="75"/>
  <c r="N461" i="75"/>
  <c r="N462" i="75"/>
  <c r="N463" i="75"/>
  <c r="N318" i="75"/>
  <c r="N359" i="75"/>
  <c r="N360" i="75"/>
  <c r="N361" i="75"/>
  <c r="N635" i="75"/>
  <c r="M697" i="75"/>
  <c r="M693" i="75" s="1"/>
  <c r="M704" i="75" s="1"/>
  <c r="M723" i="75" s="1"/>
  <c r="M368" i="75"/>
  <c r="M369" i="75"/>
  <c r="M370" i="75"/>
  <c r="M371" i="75"/>
  <c r="M372" i="75"/>
  <c r="M373" i="75"/>
  <c r="M374" i="75"/>
  <c r="M375" i="75"/>
  <c r="M376" i="75"/>
  <c r="M377" i="75"/>
  <c r="M378" i="75"/>
  <c r="M379" i="75"/>
  <c r="M380" i="75"/>
  <c r="M381" i="75"/>
  <c r="M382" i="75"/>
  <c r="M383" i="75"/>
  <c r="M388" i="75"/>
  <c r="M389" i="75"/>
  <c r="M390" i="75"/>
  <c r="M98" i="75"/>
  <c r="M391" i="75" s="1"/>
  <c r="M660" i="75"/>
  <c r="M665" i="75"/>
  <c r="M303" i="75"/>
  <c r="M539" i="75"/>
  <c r="M540" i="75"/>
  <c r="M541" i="75"/>
  <c r="M542" i="75"/>
  <c r="M543" i="75"/>
  <c r="M544" i="75"/>
  <c r="M545" i="75"/>
  <c r="M546" i="75"/>
  <c r="M547" i="75"/>
  <c r="M548" i="75"/>
  <c r="M549" i="75"/>
  <c r="M315" i="75"/>
  <c r="M316" i="75"/>
  <c r="M317" i="75"/>
  <c r="M553" i="75"/>
  <c r="M669" i="75"/>
  <c r="M713" i="75" s="1"/>
  <c r="M492" i="75"/>
  <c r="M493" i="75"/>
  <c r="M494" i="75"/>
  <c r="M495" i="75"/>
  <c r="M496" i="75"/>
  <c r="M497" i="75"/>
  <c r="M498" i="75"/>
  <c r="M499" i="75"/>
  <c r="M500" i="75"/>
  <c r="M501" i="75"/>
  <c r="M502" i="75"/>
  <c r="M503" i="75"/>
  <c r="M504" i="75"/>
  <c r="M505" i="75"/>
  <c r="M506" i="75"/>
  <c r="M507" i="75"/>
  <c r="M514" i="75"/>
  <c r="M515" i="75"/>
  <c r="M516" i="75"/>
  <c r="M517" i="75"/>
  <c r="M518" i="75"/>
  <c r="M519" i="75"/>
  <c r="M520" i="75"/>
  <c r="M521" i="75"/>
  <c r="M522" i="75"/>
  <c r="M523" i="75"/>
  <c r="M524" i="75"/>
  <c r="M525" i="75"/>
  <c r="M526" i="75"/>
  <c r="M527" i="75"/>
  <c r="M528" i="75"/>
  <c r="M529" i="75"/>
  <c r="M398" i="75"/>
  <c r="M399" i="75" s="1"/>
  <c r="M678" i="75" s="1"/>
  <c r="M406" i="75"/>
  <c r="M407" i="75"/>
  <c r="M408" i="75"/>
  <c r="M409" i="75"/>
  <c r="M410" i="75"/>
  <c r="M411" i="75"/>
  <c r="M412" i="75"/>
  <c r="M413" i="75"/>
  <c r="M414" i="75"/>
  <c r="M415" i="75"/>
  <c r="M416" i="75"/>
  <c r="M418" i="75"/>
  <c r="M419" i="75"/>
  <c r="M420" i="75"/>
  <c r="M421" i="75"/>
  <c r="M470" i="75"/>
  <c r="M471" i="75"/>
  <c r="M472" i="75"/>
  <c r="M473" i="75"/>
  <c r="M474" i="75"/>
  <c r="M475" i="75"/>
  <c r="M476" i="75"/>
  <c r="M477" i="75"/>
  <c r="M478" i="75"/>
  <c r="M479" i="75"/>
  <c r="M480" i="75"/>
  <c r="M481" i="75"/>
  <c r="M482" i="75"/>
  <c r="M483" i="75"/>
  <c r="M484" i="75"/>
  <c r="M485" i="75"/>
  <c r="M427" i="75"/>
  <c r="M428" i="75"/>
  <c r="M429" i="75"/>
  <c r="M430" i="75"/>
  <c r="M431" i="75"/>
  <c r="M432" i="75"/>
  <c r="M433" i="75"/>
  <c r="M434" i="75"/>
  <c r="M435" i="75"/>
  <c r="M436" i="75"/>
  <c r="M437" i="75"/>
  <c r="M438" i="75"/>
  <c r="M439" i="75"/>
  <c r="M440" i="75"/>
  <c r="M441" i="75"/>
  <c r="M442" i="75"/>
  <c r="M448" i="75"/>
  <c r="M449" i="75"/>
  <c r="M450" i="75"/>
  <c r="M451" i="75"/>
  <c r="M452" i="75"/>
  <c r="M453" i="75"/>
  <c r="M454" i="75"/>
  <c r="M455" i="75"/>
  <c r="M456" i="75"/>
  <c r="M457" i="75"/>
  <c r="M458" i="75"/>
  <c r="M459" i="75"/>
  <c r="M460" i="75"/>
  <c r="M461" i="75"/>
  <c r="M462" i="75"/>
  <c r="M463" i="75"/>
  <c r="M318" i="75"/>
  <c r="M359" i="75"/>
  <c r="M360" i="75"/>
  <c r="M361" i="75"/>
  <c r="M635" i="75"/>
  <c r="L697" i="75"/>
  <c r="L693" i="75" s="1"/>
  <c r="L704" i="75" s="1"/>
  <c r="L723" i="75" s="1"/>
  <c r="L368" i="75"/>
  <c r="L369" i="75"/>
  <c r="L370" i="75"/>
  <c r="L371" i="75"/>
  <c r="L372" i="75"/>
  <c r="L373" i="75"/>
  <c r="L374" i="75"/>
  <c r="L375" i="75"/>
  <c r="L376" i="75"/>
  <c r="L377" i="75"/>
  <c r="L378" i="75"/>
  <c r="L379" i="75"/>
  <c r="L380" i="75"/>
  <c r="L381" i="75"/>
  <c r="L382" i="75"/>
  <c r="L383" i="75"/>
  <c r="L388" i="75"/>
  <c r="L389" i="75"/>
  <c r="L390" i="75"/>
  <c r="L98" i="75"/>
  <c r="L391" i="75" s="1"/>
  <c r="L660" i="75"/>
  <c r="L665" i="75"/>
  <c r="L303" i="75"/>
  <c r="L539" i="75"/>
  <c r="L540" i="75"/>
  <c r="L541" i="75"/>
  <c r="L542" i="75"/>
  <c r="L543" i="75"/>
  <c r="L544" i="75"/>
  <c r="L545" i="75"/>
  <c r="L546" i="75"/>
  <c r="L547" i="75"/>
  <c r="L548" i="75"/>
  <c r="L549" i="75"/>
  <c r="L315" i="75"/>
  <c r="L316" i="75"/>
  <c r="L317" i="75"/>
  <c r="L553" i="75"/>
  <c r="L669" i="75"/>
  <c r="L713" i="75" s="1"/>
  <c r="L492" i="75"/>
  <c r="L493" i="75"/>
  <c r="L494" i="75"/>
  <c r="L495" i="75"/>
  <c r="L496" i="75"/>
  <c r="L497" i="75"/>
  <c r="L498" i="75"/>
  <c r="L499" i="75"/>
  <c r="L500" i="75"/>
  <c r="L501" i="75"/>
  <c r="L502" i="75"/>
  <c r="L503" i="75"/>
  <c r="L504" i="75"/>
  <c r="L505" i="75"/>
  <c r="L506" i="75"/>
  <c r="L507" i="75"/>
  <c r="L514" i="75"/>
  <c r="L515" i="75"/>
  <c r="L516" i="75"/>
  <c r="L517" i="75"/>
  <c r="L518" i="75"/>
  <c r="L519" i="75"/>
  <c r="L520" i="75"/>
  <c r="L521" i="75"/>
  <c r="L522" i="75"/>
  <c r="L523" i="75"/>
  <c r="L524" i="75"/>
  <c r="L525" i="75"/>
  <c r="L526" i="75"/>
  <c r="L527" i="75"/>
  <c r="L528" i="75"/>
  <c r="L529" i="75"/>
  <c r="L398" i="75"/>
  <c r="L399" i="75" s="1"/>
  <c r="L678" i="75" s="1"/>
  <c r="L406" i="75"/>
  <c r="L407" i="75"/>
  <c r="L408" i="75"/>
  <c r="L409" i="75"/>
  <c r="L410" i="75"/>
  <c r="L411" i="75"/>
  <c r="L412" i="75"/>
  <c r="L413" i="75"/>
  <c r="L414" i="75"/>
  <c r="L415" i="75"/>
  <c r="L416" i="75"/>
  <c r="L418" i="75"/>
  <c r="L419" i="75"/>
  <c r="L420" i="75"/>
  <c r="L421" i="75"/>
  <c r="L470" i="75"/>
  <c r="L471" i="75"/>
  <c r="L472" i="75"/>
  <c r="L473" i="75"/>
  <c r="L474" i="75"/>
  <c r="L475" i="75"/>
  <c r="L476" i="75"/>
  <c r="L477" i="75"/>
  <c r="L478" i="75"/>
  <c r="L479" i="75"/>
  <c r="L480" i="75"/>
  <c r="L481" i="75"/>
  <c r="L482" i="75"/>
  <c r="L483" i="75"/>
  <c r="L484" i="75"/>
  <c r="L485" i="75"/>
  <c r="L427" i="75"/>
  <c r="L428" i="75"/>
  <c r="L429" i="75"/>
  <c r="L430" i="75"/>
  <c r="L431" i="75"/>
  <c r="L432" i="75"/>
  <c r="L433" i="75"/>
  <c r="L434" i="75"/>
  <c r="L435" i="75"/>
  <c r="L436" i="75"/>
  <c r="L437" i="75"/>
  <c r="L438" i="75"/>
  <c r="L439" i="75"/>
  <c r="L440" i="75"/>
  <c r="L441" i="75"/>
  <c r="L442" i="75"/>
  <c r="L448" i="75"/>
  <c r="L449" i="75"/>
  <c r="L450" i="75"/>
  <c r="L451" i="75"/>
  <c r="L452" i="75"/>
  <c r="L453" i="75"/>
  <c r="L454" i="75"/>
  <c r="L455" i="75"/>
  <c r="L456" i="75"/>
  <c r="L457" i="75"/>
  <c r="L458" i="75"/>
  <c r="L459" i="75"/>
  <c r="L460" i="75"/>
  <c r="L461" i="75"/>
  <c r="L462" i="75"/>
  <c r="L463" i="75"/>
  <c r="L318" i="75"/>
  <c r="L359" i="75"/>
  <c r="L360" i="75"/>
  <c r="L361" i="75"/>
  <c r="L635" i="75"/>
  <c r="K697" i="75"/>
  <c r="K693" i="75" s="1"/>
  <c r="K704" i="75" s="1"/>
  <c r="K723" i="75" s="1"/>
  <c r="K368" i="75"/>
  <c r="K369" i="75"/>
  <c r="K370" i="75"/>
  <c r="K371" i="75"/>
  <c r="K372" i="75"/>
  <c r="K373" i="75"/>
  <c r="K374" i="75"/>
  <c r="K375" i="75"/>
  <c r="K376" i="75"/>
  <c r="K377" i="75"/>
  <c r="K378" i="75"/>
  <c r="K379" i="75"/>
  <c r="K380" i="75"/>
  <c r="K381" i="75"/>
  <c r="K382" i="75"/>
  <c r="K383" i="75"/>
  <c r="K388" i="75"/>
  <c r="K389" i="75"/>
  <c r="K390" i="75"/>
  <c r="K98" i="75"/>
  <c r="K391" i="75" s="1"/>
  <c r="K660" i="75"/>
  <c r="K665" i="75"/>
  <c r="K303" i="75"/>
  <c r="K539" i="75"/>
  <c r="K540" i="75"/>
  <c r="K541" i="75"/>
  <c r="K542" i="75"/>
  <c r="K543" i="75"/>
  <c r="K544" i="75"/>
  <c r="K545" i="75"/>
  <c r="K546" i="75"/>
  <c r="K547" i="75"/>
  <c r="K548" i="75"/>
  <c r="K549" i="75"/>
  <c r="K315" i="75"/>
  <c r="K316" i="75"/>
  <c r="K317" i="75"/>
  <c r="K553" i="75"/>
  <c r="K669" i="75"/>
  <c r="K713" i="75" s="1"/>
  <c r="K492" i="75"/>
  <c r="K493" i="75"/>
  <c r="K494" i="75"/>
  <c r="K495" i="75"/>
  <c r="K496" i="75"/>
  <c r="K497" i="75"/>
  <c r="K498" i="75"/>
  <c r="K499" i="75"/>
  <c r="K500" i="75"/>
  <c r="K501" i="75"/>
  <c r="K502" i="75"/>
  <c r="K503" i="75"/>
  <c r="K504" i="75"/>
  <c r="K505" i="75"/>
  <c r="K506" i="75"/>
  <c r="K507" i="75"/>
  <c r="K514" i="75"/>
  <c r="K515" i="75"/>
  <c r="K516" i="75"/>
  <c r="K517" i="75"/>
  <c r="K518" i="75"/>
  <c r="K519" i="75"/>
  <c r="K520" i="75"/>
  <c r="K521" i="75"/>
  <c r="K522" i="75"/>
  <c r="K523" i="75"/>
  <c r="K524" i="75"/>
  <c r="K525" i="75"/>
  <c r="K526" i="75"/>
  <c r="K527" i="75"/>
  <c r="K528" i="75"/>
  <c r="K529" i="75"/>
  <c r="K398" i="75"/>
  <c r="K399" i="75" s="1"/>
  <c r="K678" i="75" s="1"/>
  <c r="K406" i="75"/>
  <c r="K407" i="75"/>
  <c r="K408" i="75"/>
  <c r="K409" i="75"/>
  <c r="K410" i="75"/>
  <c r="K411" i="75"/>
  <c r="K412" i="75"/>
  <c r="K413" i="75"/>
  <c r="K414" i="75"/>
  <c r="K415" i="75"/>
  <c r="K416" i="75"/>
  <c r="K418" i="75"/>
  <c r="K419" i="75"/>
  <c r="K420" i="75"/>
  <c r="K421" i="75"/>
  <c r="K470" i="75"/>
  <c r="K471" i="75"/>
  <c r="K472" i="75"/>
  <c r="K473" i="75"/>
  <c r="K474" i="75"/>
  <c r="K475" i="75"/>
  <c r="K476" i="75"/>
  <c r="K477" i="75"/>
  <c r="K478" i="75"/>
  <c r="K479" i="75"/>
  <c r="K480" i="75"/>
  <c r="K481" i="75"/>
  <c r="K482" i="75"/>
  <c r="K483" i="75"/>
  <c r="K484" i="75"/>
  <c r="K485" i="75"/>
  <c r="K427" i="75"/>
  <c r="K428" i="75"/>
  <c r="K429" i="75"/>
  <c r="K430" i="75"/>
  <c r="K431" i="75"/>
  <c r="K432" i="75"/>
  <c r="K433" i="75"/>
  <c r="K434" i="75"/>
  <c r="K435" i="75"/>
  <c r="K436" i="75"/>
  <c r="K437" i="75"/>
  <c r="K438" i="75"/>
  <c r="K439" i="75"/>
  <c r="K440" i="75"/>
  <c r="K441" i="75"/>
  <c r="K442" i="75"/>
  <c r="K448" i="75"/>
  <c r="K449" i="75"/>
  <c r="K450" i="75"/>
  <c r="K451" i="75"/>
  <c r="K452" i="75"/>
  <c r="K453" i="75"/>
  <c r="K454" i="75"/>
  <c r="K455" i="75"/>
  <c r="K456" i="75"/>
  <c r="K457" i="75"/>
  <c r="K458" i="75"/>
  <c r="K459" i="75"/>
  <c r="K460" i="75"/>
  <c r="K461" i="75"/>
  <c r="K462" i="75"/>
  <c r="K463" i="75"/>
  <c r="K318" i="75"/>
  <c r="K359" i="75"/>
  <c r="K360" i="75"/>
  <c r="K361" i="75"/>
  <c r="K635" i="75"/>
  <c r="I697" i="75"/>
  <c r="I693" i="75" s="1"/>
  <c r="I704" i="75" s="1"/>
  <c r="I723" i="75" s="1"/>
  <c r="I368" i="75"/>
  <c r="I369" i="75"/>
  <c r="I370" i="75"/>
  <c r="I371" i="75"/>
  <c r="I372" i="75"/>
  <c r="I373" i="75"/>
  <c r="I374" i="75"/>
  <c r="I375" i="75"/>
  <c r="I376" i="75"/>
  <c r="I377" i="75"/>
  <c r="I378" i="75"/>
  <c r="I379" i="75"/>
  <c r="I380" i="75"/>
  <c r="I381" i="75"/>
  <c r="I382" i="75"/>
  <c r="I383" i="75"/>
  <c r="I388" i="75"/>
  <c r="I389" i="75"/>
  <c r="I390" i="75"/>
  <c r="I98" i="75"/>
  <c r="I391" i="75" s="1"/>
  <c r="I660" i="75"/>
  <c r="I665" i="75"/>
  <c r="I303" i="75"/>
  <c r="I539" i="75"/>
  <c r="I540" i="75"/>
  <c r="I541" i="75"/>
  <c r="I542" i="75"/>
  <c r="I543" i="75"/>
  <c r="I544" i="75"/>
  <c r="I545" i="75"/>
  <c r="I546" i="75"/>
  <c r="I547" i="75"/>
  <c r="I548" i="75"/>
  <c r="I549" i="75"/>
  <c r="I315" i="75"/>
  <c r="I316" i="75"/>
  <c r="I317" i="75"/>
  <c r="I553" i="75"/>
  <c r="I669" i="75"/>
  <c r="I713" i="75" s="1"/>
  <c r="I492" i="75"/>
  <c r="I493" i="75"/>
  <c r="I494" i="75"/>
  <c r="I495" i="75"/>
  <c r="I496" i="75"/>
  <c r="I497" i="75"/>
  <c r="I498" i="75"/>
  <c r="I499" i="75"/>
  <c r="I500" i="75"/>
  <c r="I501" i="75"/>
  <c r="I502" i="75"/>
  <c r="I503" i="75"/>
  <c r="I504" i="75"/>
  <c r="I505" i="75"/>
  <c r="I506" i="75"/>
  <c r="I507" i="75"/>
  <c r="I514" i="75"/>
  <c r="I515" i="75"/>
  <c r="I516" i="75"/>
  <c r="I517" i="75"/>
  <c r="I518" i="75"/>
  <c r="I519" i="75"/>
  <c r="I520" i="75"/>
  <c r="I521" i="75"/>
  <c r="I522" i="75"/>
  <c r="I523" i="75"/>
  <c r="I524" i="75"/>
  <c r="I525" i="75"/>
  <c r="I526" i="75"/>
  <c r="I527" i="75"/>
  <c r="I528" i="75"/>
  <c r="I529" i="75"/>
  <c r="I398" i="75"/>
  <c r="I399" i="75" s="1"/>
  <c r="I678" i="75" s="1"/>
  <c r="I406" i="75"/>
  <c r="I407" i="75"/>
  <c r="I408" i="75"/>
  <c r="I409" i="75"/>
  <c r="I410" i="75"/>
  <c r="I411" i="75"/>
  <c r="I412" i="75"/>
  <c r="I413" i="75"/>
  <c r="I414" i="75"/>
  <c r="I415" i="75"/>
  <c r="I416" i="75"/>
  <c r="I418" i="75"/>
  <c r="I419" i="75"/>
  <c r="I420" i="75"/>
  <c r="I421" i="75"/>
  <c r="I470" i="75"/>
  <c r="I471" i="75"/>
  <c r="I472" i="75"/>
  <c r="I473" i="75"/>
  <c r="I474" i="75"/>
  <c r="I475" i="75"/>
  <c r="I476" i="75"/>
  <c r="I477" i="75"/>
  <c r="I478" i="75"/>
  <c r="I479" i="75"/>
  <c r="I480" i="75"/>
  <c r="I481" i="75"/>
  <c r="I482" i="75"/>
  <c r="I483" i="75"/>
  <c r="I484" i="75"/>
  <c r="I485" i="75"/>
  <c r="I427" i="75"/>
  <c r="I428" i="75"/>
  <c r="I429" i="75"/>
  <c r="I430" i="75"/>
  <c r="I431" i="75"/>
  <c r="I432" i="75"/>
  <c r="I433" i="75"/>
  <c r="I434" i="75"/>
  <c r="I435" i="75"/>
  <c r="I436" i="75"/>
  <c r="I437" i="75"/>
  <c r="I438" i="75"/>
  <c r="I439" i="75"/>
  <c r="I440" i="75"/>
  <c r="I441" i="75"/>
  <c r="I442" i="75"/>
  <c r="I448" i="75"/>
  <c r="I449" i="75"/>
  <c r="I450" i="75"/>
  <c r="I451" i="75"/>
  <c r="I452" i="75"/>
  <c r="I453" i="75"/>
  <c r="I454" i="75"/>
  <c r="I455" i="75"/>
  <c r="I456" i="75"/>
  <c r="I457" i="75"/>
  <c r="I458" i="75"/>
  <c r="I459" i="75"/>
  <c r="I460" i="75"/>
  <c r="I461" i="75"/>
  <c r="I462" i="75"/>
  <c r="I463" i="75"/>
  <c r="I318" i="75"/>
  <c r="I359" i="75"/>
  <c r="I360" i="75"/>
  <c r="I361" i="75"/>
  <c r="I635" i="75"/>
  <c r="H697" i="75"/>
  <c r="H693" i="75" s="1"/>
  <c r="H704" i="75" s="1"/>
  <c r="H723" i="75" s="1"/>
  <c r="H368" i="75"/>
  <c r="H369" i="75"/>
  <c r="H370" i="75"/>
  <c r="H371" i="75"/>
  <c r="H372" i="75"/>
  <c r="H373" i="75"/>
  <c r="H374" i="75"/>
  <c r="H375" i="75"/>
  <c r="H376" i="75"/>
  <c r="H377" i="75"/>
  <c r="H378" i="75"/>
  <c r="H379" i="75"/>
  <c r="H380" i="75"/>
  <c r="H381" i="75"/>
  <c r="H382" i="75"/>
  <c r="H383" i="75"/>
  <c r="H388" i="75"/>
  <c r="H389" i="75"/>
  <c r="H390" i="75"/>
  <c r="H98" i="75"/>
  <c r="H391" i="75" s="1"/>
  <c r="H660" i="75"/>
  <c r="H665" i="75"/>
  <c r="H303" i="75"/>
  <c r="H539" i="75"/>
  <c r="H540" i="75"/>
  <c r="H541" i="75"/>
  <c r="H542" i="75"/>
  <c r="H543" i="75"/>
  <c r="H544" i="75"/>
  <c r="H545" i="75"/>
  <c r="H546" i="75"/>
  <c r="H547" i="75"/>
  <c r="H548" i="75"/>
  <c r="H549" i="75"/>
  <c r="H315" i="75"/>
  <c r="H316" i="75"/>
  <c r="H317" i="75"/>
  <c r="H553" i="75"/>
  <c r="H669" i="75"/>
  <c r="H713" i="75" s="1"/>
  <c r="H492" i="75"/>
  <c r="H493" i="75"/>
  <c r="H494" i="75"/>
  <c r="H495" i="75"/>
  <c r="H496" i="75"/>
  <c r="H497" i="75"/>
  <c r="H498" i="75"/>
  <c r="H499" i="75"/>
  <c r="H500" i="75"/>
  <c r="H501" i="75"/>
  <c r="H502" i="75"/>
  <c r="H503" i="75"/>
  <c r="H504" i="75"/>
  <c r="H505" i="75"/>
  <c r="H506" i="75"/>
  <c r="H507" i="75"/>
  <c r="H514" i="75"/>
  <c r="H515" i="75"/>
  <c r="H516" i="75"/>
  <c r="H517" i="75"/>
  <c r="H518" i="75"/>
  <c r="H519" i="75"/>
  <c r="H520" i="75"/>
  <c r="H521" i="75"/>
  <c r="H522" i="75"/>
  <c r="H523" i="75"/>
  <c r="H524" i="75"/>
  <c r="H525" i="75"/>
  <c r="H526" i="75"/>
  <c r="H527" i="75"/>
  <c r="H528" i="75"/>
  <c r="H529" i="75"/>
  <c r="H398" i="75"/>
  <c r="H399" i="75" s="1"/>
  <c r="H678" i="75" s="1"/>
  <c r="H406" i="75"/>
  <c r="H407" i="75"/>
  <c r="H408" i="75"/>
  <c r="H409" i="75"/>
  <c r="H410" i="75"/>
  <c r="H411" i="75"/>
  <c r="H412" i="75"/>
  <c r="H413" i="75"/>
  <c r="H414" i="75"/>
  <c r="H415" i="75"/>
  <c r="H416" i="75"/>
  <c r="H418" i="75"/>
  <c r="H419" i="75"/>
  <c r="H420" i="75"/>
  <c r="H421" i="75"/>
  <c r="H470" i="75"/>
  <c r="H471" i="75"/>
  <c r="H472" i="75"/>
  <c r="H473" i="75"/>
  <c r="H474" i="75"/>
  <c r="H475" i="75"/>
  <c r="H476" i="75"/>
  <c r="H477" i="75"/>
  <c r="H478" i="75"/>
  <c r="H479" i="75"/>
  <c r="H480" i="75"/>
  <c r="H481" i="75"/>
  <c r="H482" i="75"/>
  <c r="H483" i="75"/>
  <c r="H484" i="75"/>
  <c r="H485" i="75"/>
  <c r="H427" i="75"/>
  <c r="H428" i="75"/>
  <c r="H429" i="75"/>
  <c r="H430" i="75"/>
  <c r="H431" i="75"/>
  <c r="H432" i="75"/>
  <c r="H433" i="75"/>
  <c r="H434" i="75"/>
  <c r="H435" i="75"/>
  <c r="H436" i="75"/>
  <c r="H437" i="75"/>
  <c r="H438" i="75"/>
  <c r="H439" i="75"/>
  <c r="H440" i="75"/>
  <c r="H441" i="75"/>
  <c r="H442" i="75"/>
  <c r="H448" i="75"/>
  <c r="H449" i="75"/>
  <c r="H450" i="75"/>
  <c r="H451" i="75"/>
  <c r="H452" i="75"/>
  <c r="H453" i="75"/>
  <c r="H454" i="75"/>
  <c r="H455" i="75"/>
  <c r="H456" i="75"/>
  <c r="H457" i="75"/>
  <c r="H458" i="75"/>
  <c r="H459" i="75"/>
  <c r="H460" i="75"/>
  <c r="H461" i="75"/>
  <c r="H462" i="75"/>
  <c r="H463" i="75"/>
  <c r="H318" i="75"/>
  <c r="H359" i="75"/>
  <c r="H360" i="75"/>
  <c r="H361" i="75"/>
  <c r="H635" i="75"/>
  <c r="AS581" i="75"/>
  <c r="AS582" i="75"/>
  <c r="AS584" i="75"/>
  <c r="AS593" i="75"/>
  <c r="AS594" i="75"/>
  <c r="AS595" i="75"/>
  <c r="AS596" i="75"/>
  <c r="AR581" i="75"/>
  <c r="AR582" i="75"/>
  <c r="AR584" i="75"/>
  <c r="AR593" i="75"/>
  <c r="AR594" i="75"/>
  <c r="AR595" i="75"/>
  <c r="AR596" i="75"/>
  <c r="AQ581" i="75"/>
  <c r="AQ582" i="75"/>
  <c r="AQ584" i="75"/>
  <c r="AQ593" i="75"/>
  <c r="AQ594" i="75"/>
  <c r="AQ595" i="75"/>
  <c r="AQ596" i="75"/>
  <c r="AP581" i="75"/>
  <c r="AP582" i="75"/>
  <c r="AP584" i="75"/>
  <c r="AP593" i="75"/>
  <c r="AP594" i="75"/>
  <c r="AP595" i="75"/>
  <c r="AP596" i="75"/>
  <c r="AO581" i="75"/>
  <c r="AO582" i="75"/>
  <c r="AO584" i="75"/>
  <c r="AO593" i="75"/>
  <c r="AO594" i="75"/>
  <c r="AO595" i="75"/>
  <c r="AO596" i="75"/>
  <c r="AN581" i="75"/>
  <c r="AN582" i="75"/>
  <c r="AN584" i="75"/>
  <c r="AN593" i="75"/>
  <c r="AN594" i="75"/>
  <c r="AN595" i="75"/>
  <c r="AN596" i="75"/>
  <c r="AM581" i="75"/>
  <c r="AM582" i="75"/>
  <c r="AM584" i="75"/>
  <c r="AM593" i="75"/>
  <c r="AM594" i="75"/>
  <c r="AM595" i="75"/>
  <c r="AM596" i="75"/>
  <c r="AL581" i="75"/>
  <c r="AL582" i="75"/>
  <c r="AL584" i="75"/>
  <c r="AL593" i="75"/>
  <c r="AL594" i="75"/>
  <c r="AL595" i="75"/>
  <c r="AL596" i="75"/>
  <c r="AK581" i="75"/>
  <c r="AK582" i="75"/>
  <c r="AK584" i="75"/>
  <c r="AK593" i="75"/>
  <c r="AK594" i="75"/>
  <c r="AK595" i="75"/>
  <c r="AK596" i="75"/>
  <c r="AJ581" i="75"/>
  <c r="AJ582" i="75"/>
  <c r="AJ584" i="75"/>
  <c r="AJ593" i="75"/>
  <c r="AJ594" i="75"/>
  <c r="AJ595" i="75"/>
  <c r="AJ596" i="75"/>
  <c r="AI581" i="75"/>
  <c r="AI582" i="75"/>
  <c r="AI584" i="75"/>
  <c r="AI593" i="75"/>
  <c r="AI594" i="75"/>
  <c r="AI595" i="75"/>
  <c r="AI596" i="75"/>
  <c r="AH581" i="75"/>
  <c r="AH582" i="75"/>
  <c r="AH584" i="75"/>
  <c r="AH593" i="75"/>
  <c r="AH594" i="75"/>
  <c r="AH595" i="75"/>
  <c r="AH596" i="75"/>
  <c r="AG581" i="75"/>
  <c r="AG582" i="75"/>
  <c r="AG584" i="75"/>
  <c r="AG593" i="75"/>
  <c r="AG594" i="75"/>
  <c r="AG595" i="75"/>
  <c r="AG596" i="75"/>
  <c r="AF581" i="75"/>
  <c r="AF582" i="75"/>
  <c r="AF584" i="75"/>
  <c r="AF593" i="75"/>
  <c r="AF594" i="75"/>
  <c r="AF595" i="75"/>
  <c r="AF596" i="75"/>
  <c r="AE581" i="75"/>
  <c r="AE582" i="75"/>
  <c r="AE584" i="75"/>
  <c r="AE593" i="75"/>
  <c r="AE594" i="75"/>
  <c r="AE595" i="75"/>
  <c r="AE596" i="75"/>
  <c r="AD581" i="75"/>
  <c r="AD582" i="75"/>
  <c r="AD584" i="75"/>
  <c r="AD593" i="75"/>
  <c r="AD594" i="75"/>
  <c r="AD595" i="75"/>
  <c r="AD596" i="75"/>
  <c r="AC581" i="75"/>
  <c r="AC582" i="75"/>
  <c r="AC584" i="75"/>
  <c r="AC593" i="75"/>
  <c r="AC594" i="75"/>
  <c r="AC595" i="75"/>
  <c r="AC596" i="75"/>
  <c r="AB581" i="75"/>
  <c r="AB582" i="75"/>
  <c r="AB584" i="75"/>
  <c r="AB593" i="75"/>
  <c r="AB594" i="75"/>
  <c r="AB595" i="75"/>
  <c r="AB596" i="75"/>
  <c r="AA581" i="75"/>
  <c r="AA582" i="75"/>
  <c r="AA584" i="75"/>
  <c r="AA593" i="75"/>
  <c r="AA594" i="75"/>
  <c r="AA595" i="75"/>
  <c r="AA596" i="75"/>
  <c r="Z581" i="75"/>
  <c r="Z582" i="75"/>
  <c r="Z584" i="75"/>
  <c r="Z593" i="75"/>
  <c r="Z594" i="75"/>
  <c r="Z595" i="75"/>
  <c r="Z596" i="75"/>
  <c r="Y581" i="75"/>
  <c r="Y582" i="75"/>
  <c r="Y584" i="75"/>
  <c r="Y593" i="75"/>
  <c r="Y594" i="75"/>
  <c r="Y595" i="75"/>
  <c r="Y596" i="75"/>
  <c r="X581" i="75"/>
  <c r="X582" i="75"/>
  <c r="X584" i="75"/>
  <c r="X593" i="75"/>
  <c r="X594" i="75"/>
  <c r="X595" i="75"/>
  <c r="X596" i="75"/>
  <c r="W581" i="75"/>
  <c r="W582" i="75"/>
  <c r="W584" i="75"/>
  <c r="W593" i="75"/>
  <c r="W594" i="75"/>
  <c r="W595" i="75"/>
  <c r="W596" i="75"/>
  <c r="V581" i="75"/>
  <c r="V582" i="75"/>
  <c r="V584" i="75"/>
  <c r="V593" i="75"/>
  <c r="V594" i="75"/>
  <c r="V595" i="75"/>
  <c r="V596" i="75"/>
  <c r="U581" i="75"/>
  <c r="U582" i="75"/>
  <c r="U584" i="75"/>
  <c r="U593" i="75"/>
  <c r="U594" i="75"/>
  <c r="U595" i="75"/>
  <c r="U596" i="75"/>
  <c r="T581" i="75"/>
  <c r="T582" i="75"/>
  <c r="T584" i="75"/>
  <c r="T593" i="75"/>
  <c r="T594" i="75"/>
  <c r="T595" i="75"/>
  <c r="T596" i="75"/>
  <c r="S581" i="75"/>
  <c r="S582" i="75"/>
  <c r="S584" i="75"/>
  <c r="S593" i="75"/>
  <c r="S594" i="75"/>
  <c r="S595" i="75"/>
  <c r="S596" i="75"/>
  <c r="R581" i="75"/>
  <c r="R582" i="75"/>
  <c r="R584" i="75"/>
  <c r="R593" i="75"/>
  <c r="R594" i="75"/>
  <c r="R595" i="75"/>
  <c r="R596" i="75"/>
  <c r="Q581" i="75"/>
  <c r="Q582" i="75"/>
  <c r="Q584" i="75"/>
  <c r="Q593" i="75"/>
  <c r="Q594" i="75"/>
  <c r="Q595" i="75"/>
  <c r="Q596" i="75"/>
  <c r="P581" i="75"/>
  <c r="P582" i="75"/>
  <c r="P584" i="75"/>
  <c r="P593" i="75"/>
  <c r="P594" i="75"/>
  <c r="P595" i="75"/>
  <c r="P596" i="75"/>
  <c r="O581" i="75"/>
  <c r="O582" i="75"/>
  <c r="O584" i="75"/>
  <c r="O593" i="75"/>
  <c r="O594" i="75"/>
  <c r="O595" i="75"/>
  <c r="O596" i="75"/>
  <c r="N581" i="75"/>
  <c r="N582" i="75"/>
  <c r="N584" i="75"/>
  <c r="N593" i="75"/>
  <c r="N594" i="75"/>
  <c r="N595" i="75"/>
  <c r="N596" i="75"/>
  <c r="M581" i="75"/>
  <c r="M582" i="75"/>
  <c r="M584" i="75"/>
  <c r="M593" i="75"/>
  <c r="M594" i="75"/>
  <c r="M595" i="75"/>
  <c r="M596" i="75"/>
  <c r="L581" i="75"/>
  <c r="L582" i="75"/>
  <c r="L584" i="75"/>
  <c r="L593" i="75"/>
  <c r="L594" i="75"/>
  <c r="L595" i="75"/>
  <c r="L596" i="75"/>
  <c r="K581" i="75"/>
  <c r="K582" i="75"/>
  <c r="K584" i="75"/>
  <c r="K593" i="75"/>
  <c r="K594" i="75"/>
  <c r="K595" i="75"/>
  <c r="K596" i="75"/>
  <c r="J581" i="75"/>
  <c r="J582" i="75"/>
  <c r="J584" i="75"/>
  <c r="J593" i="75"/>
  <c r="J594" i="75"/>
  <c r="J595" i="75"/>
  <c r="J596" i="75"/>
  <c r="I581" i="75"/>
  <c r="I582" i="75"/>
  <c r="I584" i="75"/>
  <c r="I593" i="75"/>
  <c r="I594" i="75"/>
  <c r="I595" i="75"/>
  <c r="I596" i="75"/>
  <c r="H581" i="75"/>
  <c r="H582" i="75"/>
  <c r="H584" i="75"/>
  <c r="H593" i="75"/>
  <c r="H594" i="75"/>
  <c r="H595" i="75"/>
  <c r="H596" i="75"/>
  <c r="G581" i="75"/>
  <c r="G582" i="75"/>
  <c r="G583" i="75"/>
  <c r="G584" i="75"/>
  <c r="G593" i="75"/>
  <c r="G594" i="75"/>
  <c r="G595" i="75"/>
  <c r="G596" i="75"/>
  <c r="AS560" i="75"/>
  <c r="AS561" i="75"/>
  <c r="AS562" i="75"/>
  <c r="AS563" i="75"/>
  <c r="AS564" i="75"/>
  <c r="AS565" i="75"/>
  <c r="AS566" i="75"/>
  <c r="AS567" i="75"/>
  <c r="AS568" i="75"/>
  <c r="AS569" i="75"/>
  <c r="AS570" i="75"/>
  <c r="AS571" i="75"/>
  <c r="AS572" i="75"/>
  <c r="AS573" i="75"/>
  <c r="AS574" i="75"/>
  <c r="AS575" i="75"/>
  <c r="AR560" i="75"/>
  <c r="AR561" i="75"/>
  <c r="AR562" i="75"/>
  <c r="AR563" i="75"/>
  <c r="AR564" i="75"/>
  <c r="AR565" i="75"/>
  <c r="AR566" i="75"/>
  <c r="AR567" i="75"/>
  <c r="AR568" i="75"/>
  <c r="AR569" i="75"/>
  <c r="AR570" i="75"/>
  <c r="AR571" i="75"/>
  <c r="AR572" i="75"/>
  <c r="AR573" i="75"/>
  <c r="AR574" i="75"/>
  <c r="AR575" i="75"/>
  <c r="AQ560" i="75"/>
  <c r="AQ561" i="75"/>
  <c r="AQ562" i="75"/>
  <c r="AQ563" i="75"/>
  <c r="AQ564" i="75"/>
  <c r="AQ565" i="75"/>
  <c r="AQ566" i="75"/>
  <c r="AQ567" i="75"/>
  <c r="AQ568" i="75"/>
  <c r="AQ569" i="75"/>
  <c r="AQ570" i="75"/>
  <c r="AQ571" i="75"/>
  <c r="AQ572" i="75"/>
  <c r="AQ573" i="75"/>
  <c r="AQ574" i="75"/>
  <c r="AQ575" i="75"/>
  <c r="AP560" i="75"/>
  <c r="AP561" i="75"/>
  <c r="AP562" i="75"/>
  <c r="AP563" i="75"/>
  <c r="AP564" i="75"/>
  <c r="AP565" i="75"/>
  <c r="AP566" i="75"/>
  <c r="AP567" i="75"/>
  <c r="AP568" i="75"/>
  <c r="AP569" i="75"/>
  <c r="AP570" i="75"/>
  <c r="AP571" i="75"/>
  <c r="AP572" i="75"/>
  <c r="AP573" i="75"/>
  <c r="AP574" i="75"/>
  <c r="AP575" i="75"/>
  <c r="AO560" i="75"/>
  <c r="AO561" i="75"/>
  <c r="AO562" i="75"/>
  <c r="AO563" i="75"/>
  <c r="AO564" i="75"/>
  <c r="AO565" i="75"/>
  <c r="AO566" i="75"/>
  <c r="AO567" i="75"/>
  <c r="AO568" i="75"/>
  <c r="AO569" i="75"/>
  <c r="AO570" i="75"/>
  <c r="AO571" i="75"/>
  <c r="AO572" i="75"/>
  <c r="AO573" i="75"/>
  <c r="AO574" i="75"/>
  <c r="AO575" i="75"/>
  <c r="AN560" i="75"/>
  <c r="AN561" i="75"/>
  <c r="AN562" i="75"/>
  <c r="AN563" i="75"/>
  <c r="AN564" i="75"/>
  <c r="AN565" i="75"/>
  <c r="AN566" i="75"/>
  <c r="AN567" i="75"/>
  <c r="AN568" i="75"/>
  <c r="AN569" i="75"/>
  <c r="AN570" i="75"/>
  <c r="AN571" i="75"/>
  <c r="AN572" i="75"/>
  <c r="AN573" i="75"/>
  <c r="AN574" i="75"/>
  <c r="AN575" i="75"/>
  <c r="AM560" i="75"/>
  <c r="AM561" i="75"/>
  <c r="AM562" i="75"/>
  <c r="AM563" i="75"/>
  <c r="AM564" i="75"/>
  <c r="AM565" i="75"/>
  <c r="AM566" i="75"/>
  <c r="AM567" i="75"/>
  <c r="AM568" i="75"/>
  <c r="AM569" i="75"/>
  <c r="AM570" i="75"/>
  <c r="AM571" i="75"/>
  <c r="AM572" i="75"/>
  <c r="AM573" i="75"/>
  <c r="AM574" i="75"/>
  <c r="AM575" i="75"/>
  <c r="AL560" i="75"/>
  <c r="AL561" i="75"/>
  <c r="AL562" i="75"/>
  <c r="AL563" i="75"/>
  <c r="AL564" i="75"/>
  <c r="AL565" i="75"/>
  <c r="AL566" i="75"/>
  <c r="AL567" i="75"/>
  <c r="AL568" i="75"/>
  <c r="AL569" i="75"/>
  <c r="AL570" i="75"/>
  <c r="AL571" i="75"/>
  <c r="AL572" i="75"/>
  <c r="AL573" i="75"/>
  <c r="AL574" i="75"/>
  <c r="AL575" i="75"/>
  <c r="AK560" i="75"/>
  <c r="AK561" i="75"/>
  <c r="AK562" i="75"/>
  <c r="AK563" i="75"/>
  <c r="AK564" i="75"/>
  <c r="AK565" i="75"/>
  <c r="AK566" i="75"/>
  <c r="AK567" i="75"/>
  <c r="AK568" i="75"/>
  <c r="AK569" i="75"/>
  <c r="AK570" i="75"/>
  <c r="AK571" i="75"/>
  <c r="AK572" i="75"/>
  <c r="AK573" i="75"/>
  <c r="AK574" i="75"/>
  <c r="AK575" i="75"/>
  <c r="AJ560" i="75"/>
  <c r="AJ561" i="75"/>
  <c r="AJ562" i="75"/>
  <c r="AJ563" i="75"/>
  <c r="AJ564" i="75"/>
  <c r="AJ565" i="75"/>
  <c r="AJ566" i="75"/>
  <c r="AJ567" i="75"/>
  <c r="AJ568" i="75"/>
  <c r="AJ569" i="75"/>
  <c r="AJ570" i="75"/>
  <c r="AJ571" i="75"/>
  <c r="AJ572" i="75"/>
  <c r="AJ573" i="75"/>
  <c r="AJ574" i="75"/>
  <c r="AJ575" i="75"/>
  <c r="AI560" i="75"/>
  <c r="AI561" i="75"/>
  <c r="AI562" i="75"/>
  <c r="AI563" i="75"/>
  <c r="AI564" i="75"/>
  <c r="AI565" i="75"/>
  <c r="AI566" i="75"/>
  <c r="AI567" i="75"/>
  <c r="AI568" i="75"/>
  <c r="AI569" i="75"/>
  <c r="AI570" i="75"/>
  <c r="AI571" i="75"/>
  <c r="AI572" i="75"/>
  <c r="AI573" i="75"/>
  <c r="AI574" i="75"/>
  <c r="AI575" i="75"/>
  <c r="AH560" i="75"/>
  <c r="AH561" i="75"/>
  <c r="AH562" i="75"/>
  <c r="AH563" i="75"/>
  <c r="AH564" i="75"/>
  <c r="AH565" i="75"/>
  <c r="AH566" i="75"/>
  <c r="AH567" i="75"/>
  <c r="AH568" i="75"/>
  <c r="AH569" i="75"/>
  <c r="AH570" i="75"/>
  <c r="AH571" i="75"/>
  <c r="AH572" i="75"/>
  <c r="AH573" i="75"/>
  <c r="AH574" i="75"/>
  <c r="AH575" i="75"/>
  <c r="AG560" i="75"/>
  <c r="AG561" i="75"/>
  <c r="AG562" i="75"/>
  <c r="AG563" i="75"/>
  <c r="AG564" i="75"/>
  <c r="AG565" i="75"/>
  <c r="AG566" i="75"/>
  <c r="AG567" i="75"/>
  <c r="AG568" i="75"/>
  <c r="AG569" i="75"/>
  <c r="AG570" i="75"/>
  <c r="AG571" i="75"/>
  <c r="AG572" i="75"/>
  <c r="AG573" i="75"/>
  <c r="AG574" i="75"/>
  <c r="AG575" i="75"/>
  <c r="AF560" i="75"/>
  <c r="AF561" i="75"/>
  <c r="AF562" i="75"/>
  <c r="AF563" i="75"/>
  <c r="AF564" i="75"/>
  <c r="AF565" i="75"/>
  <c r="AF566" i="75"/>
  <c r="AF567" i="75"/>
  <c r="AF568" i="75"/>
  <c r="AF569" i="75"/>
  <c r="AF570" i="75"/>
  <c r="AF571" i="75"/>
  <c r="AF572" i="75"/>
  <c r="AF573" i="75"/>
  <c r="AF574" i="75"/>
  <c r="AF575" i="75"/>
  <c r="AE560" i="75"/>
  <c r="AE561" i="75"/>
  <c r="AE562" i="75"/>
  <c r="AE563" i="75"/>
  <c r="AE564" i="75"/>
  <c r="AE565" i="75"/>
  <c r="AE566" i="75"/>
  <c r="AE567" i="75"/>
  <c r="AE568" i="75"/>
  <c r="AE569" i="75"/>
  <c r="AE570" i="75"/>
  <c r="AE571" i="75"/>
  <c r="AE572" i="75"/>
  <c r="AE573" i="75"/>
  <c r="AE574" i="75"/>
  <c r="AE575" i="75"/>
  <c r="AD560" i="75"/>
  <c r="AD561" i="75"/>
  <c r="AD562" i="75"/>
  <c r="AD563" i="75"/>
  <c r="AD564" i="75"/>
  <c r="AD565" i="75"/>
  <c r="AD566" i="75"/>
  <c r="AD567" i="75"/>
  <c r="AD568" i="75"/>
  <c r="AD569" i="75"/>
  <c r="AD570" i="75"/>
  <c r="AD571" i="75"/>
  <c r="AD572" i="75"/>
  <c r="AD573" i="75"/>
  <c r="AD574" i="75"/>
  <c r="AD575" i="75"/>
  <c r="AC560" i="75"/>
  <c r="AC561" i="75"/>
  <c r="AC562" i="75"/>
  <c r="AC563" i="75"/>
  <c r="AC564" i="75"/>
  <c r="AC565" i="75"/>
  <c r="AC566" i="75"/>
  <c r="AC567" i="75"/>
  <c r="AC568" i="75"/>
  <c r="AC569" i="75"/>
  <c r="AC570" i="75"/>
  <c r="AC571" i="75"/>
  <c r="AC572" i="75"/>
  <c r="AC573" i="75"/>
  <c r="AC574" i="75"/>
  <c r="AC575" i="75"/>
  <c r="AB560" i="75"/>
  <c r="AB561" i="75"/>
  <c r="AB562" i="75"/>
  <c r="AB563" i="75"/>
  <c r="AB564" i="75"/>
  <c r="AB565" i="75"/>
  <c r="AB566" i="75"/>
  <c r="AB567" i="75"/>
  <c r="AB568" i="75"/>
  <c r="AB569" i="75"/>
  <c r="AB570" i="75"/>
  <c r="AB571" i="75"/>
  <c r="AB572" i="75"/>
  <c r="AB573" i="75"/>
  <c r="AB574" i="75"/>
  <c r="AB575" i="75"/>
  <c r="AA560" i="75"/>
  <c r="AA561" i="75"/>
  <c r="AA562" i="75"/>
  <c r="AA563" i="75"/>
  <c r="AA564" i="75"/>
  <c r="AA565" i="75"/>
  <c r="AA566" i="75"/>
  <c r="AA567" i="75"/>
  <c r="AA568" i="75"/>
  <c r="AA569" i="75"/>
  <c r="AA570" i="75"/>
  <c r="AA571" i="75"/>
  <c r="AA572" i="75"/>
  <c r="AA573" i="75"/>
  <c r="AA574" i="75"/>
  <c r="AA575" i="75"/>
  <c r="Z560" i="75"/>
  <c r="Z561" i="75"/>
  <c r="Z562" i="75"/>
  <c r="Z563" i="75"/>
  <c r="Z564" i="75"/>
  <c r="Z565" i="75"/>
  <c r="Z566" i="75"/>
  <c r="Z567" i="75"/>
  <c r="Z568" i="75"/>
  <c r="Z569" i="75"/>
  <c r="Z570" i="75"/>
  <c r="Z571" i="75"/>
  <c r="Z572" i="75"/>
  <c r="Z573" i="75"/>
  <c r="Z574" i="75"/>
  <c r="Z575" i="75"/>
  <c r="Y560" i="75"/>
  <c r="Y561" i="75"/>
  <c r="Y562" i="75"/>
  <c r="Y563" i="75"/>
  <c r="Y564" i="75"/>
  <c r="Y565" i="75"/>
  <c r="Y566" i="75"/>
  <c r="Y567" i="75"/>
  <c r="Y568" i="75"/>
  <c r="Y569" i="75"/>
  <c r="Y570" i="75"/>
  <c r="Y571" i="75"/>
  <c r="Y572" i="75"/>
  <c r="Y573" i="75"/>
  <c r="Y574" i="75"/>
  <c r="Y575" i="75"/>
  <c r="X560" i="75"/>
  <c r="X561" i="75"/>
  <c r="X562" i="75"/>
  <c r="X563" i="75"/>
  <c r="X564" i="75"/>
  <c r="X565" i="75"/>
  <c r="X566" i="75"/>
  <c r="X567" i="75"/>
  <c r="X568" i="75"/>
  <c r="X569" i="75"/>
  <c r="X570" i="75"/>
  <c r="X571" i="75"/>
  <c r="X572" i="75"/>
  <c r="X573" i="75"/>
  <c r="X574" i="75"/>
  <c r="X575" i="75"/>
  <c r="W560" i="75"/>
  <c r="W561" i="75"/>
  <c r="W562" i="75"/>
  <c r="W563" i="75"/>
  <c r="W564" i="75"/>
  <c r="W565" i="75"/>
  <c r="W566" i="75"/>
  <c r="W567" i="75"/>
  <c r="W568" i="75"/>
  <c r="W569" i="75"/>
  <c r="W570" i="75"/>
  <c r="W571" i="75"/>
  <c r="W572" i="75"/>
  <c r="W573" i="75"/>
  <c r="W574" i="75"/>
  <c r="W575" i="75"/>
  <c r="V560" i="75"/>
  <c r="V561" i="75"/>
  <c r="V562" i="75"/>
  <c r="V563" i="75"/>
  <c r="V564" i="75"/>
  <c r="V565" i="75"/>
  <c r="V566" i="75"/>
  <c r="V567" i="75"/>
  <c r="V568" i="75"/>
  <c r="V569" i="75"/>
  <c r="V570" i="75"/>
  <c r="V571" i="75"/>
  <c r="V572" i="75"/>
  <c r="V573" i="75"/>
  <c r="V574" i="75"/>
  <c r="V575" i="75"/>
  <c r="U560" i="75"/>
  <c r="U561" i="75"/>
  <c r="U562" i="75"/>
  <c r="U563" i="75"/>
  <c r="U564" i="75"/>
  <c r="U565" i="75"/>
  <c r="U566" i="75"/>
  <c r="U567" i="75"/>
  <c r="U568" i="75"/>
  <c r="U569" i="75"/>
  <c r="U570" i="75"/>
  <c r="U571" i="75"/>
  <c r="U572" i="75"/>
  <c r="U573" i="75"/>
  <c r="U574" i="75"/>
  <c r="U575" i="75"/>
  <c r="T560" i="75"/>
  <c r="T561" i="75"/>
  <c r="T562" i="75"/>
  <c r="T563" i="75"/>
  <c r="T564" i="75"/>
  <c r="T565" i="75"/>
  <c r="T566" i="75"/>
  <c r="T567" i="75"/>
  <c r="T568" i="75"/>
  <c r="T569" i="75"/>
  <c r="T570" i="75"/>
  <c r="T571" i="75"/>
  <c r="T572" i="75"/>
  <c r="T573" i="75"/>
  <c r="T574" i="75"/>
  <c r="T575" i="75"/>
  <c r="S560" i="75"/>
  <c r="S561" i="75"/>
  <c r="S562" i="75"/>
  <c r="S563" i="75"/>
  <c r="S564" i="75"/>
  <c r="S565" i="75"/>
  <c r="S566" i="75"/>
  <c r="S567" i="75"/>
  <c r="S568" i="75"/>
  <c r="S569" i="75"/>
  <c r="S570" i="75"/>
  <c r="S571" i="75"/>
  <c r="S572" i="75"/>
  <c r="S573" i="75"/>
  <c r="S574" i="75"/>
  <c r="S575" i="75"/>
  <c r="R560" i="75"/>
  <c r="R561" i="75"/>
  <c r="R562" i="75"/>
  <c r="R563" i="75"/>
  <c r="R564" i="75"/>
  <c r="R565" i="75"/>
  <c r="R566" i="75"/>
  <c r="R567" i="75"/>
  <c r="R568" i="75"/>
  <c r="R569" i="75"/>
  <c r="R570" i="75"/>
  <c r="R571" i="75"/>
  <c r="R572" i="75"/>
  <c r="R573" i="75"/>
  <c r="R574" i="75"/>
  <c r="R575" i="75"/>
  <c r="Q560" i="75"/>
  <c r="Q561" i="75"/>
  <c r="Q562" i="75"/>
  <c r="Q563" i="75"/>
  <c r="Q564" i="75"/>
  <c r="Q565" i="75"/>
  <c r="Q566" i="75"/>
  <c r="Q567" i="75"/>
  <c r="Q568" i="75"/>
  <c r="Q569" i="75"/>
  <c r="Q570" i="75"/>
  <c r="Q571" i="75"/>
  <c r="Q572" i="75"/>
  <c r="Q573" i="75"/>
  <c r="Q574" i="75"/>
  <c r="Q575" i="75"/>
  <c r="P560" i="75"/>
  <c r="P561" i="75"/>
  <c r="P562" i="75"/>
  <c r="P563" i="75"/>
  <c r="P564" i="75"/>
  <c r="P565" i="75"/>
  <c r="P566" i="75"/>
  <c r="P567" i="75"/>
  <c r="P568" i="75"/>
  <c r="P569" i="75"/>
  <c r="P570" i="75"/>
  <c r="P571" i="75"/>
  <c r="P572" i="75"/>
  <c r="P573" i="75"/>
  <c r="P574" i="75"/>
  <c r="P575" i="75"/>
  <c r="O560" i="75"/>
  <c r="O561" i="75"/>
  <c r="O562" i="75"/>
  <c r="O563" i="75"/>
  <c r="O564" i="75"/>
  <c r="O565" i="75"/>
  <c r="O566" i="75"/>
  <c r="O567" i="75"/>
  <c r="O568" i="75"/>
  <c r="O569" i="75"/>
  <c r="O570" i="75"/>
  <c r="O571" i="75"/>
  <c r="O572" i="75"/>
  <c r="O573" i="75"/>
  <c r="O574" i="75"/>
  <c r="O575" i="75"/>
  <c r="N560" i="75"/>
  <c r="N561" i="75"/>
  <c r="N562" i="75"/>
  <c r="N563" i="75"/>
  <c r="N564" i="75"/>
  <c r="N565" i="75"/>
  <c r="N566" i="75"/>
  <c r="N567" i="75"/>
  <c r="N568" i="75"/>
  <c r="N569" i="75"/>
  <c r="N570" i="75"/>
  <c r="N571" i="75"/>
  <c r="N572" i="75"/>
  <c r="N573" i="75"/>
  <c r="N574" i="75"/>
  <c r="N575" i="75"/>
  <c r="M560" i="75"/>
  <c r="M561" i="75"/>
  <c r="M562" i="75"/>
  <c r="M563" i="75"/>
  <c r="M564" i="75"/>
  <c r="M565" i="75"/>
  <c r="M566" i="75"/>
  <c r="M567" i="75"/>
  <c r="M568" i="75"/>
  <c r="M569" i="75"/>
  <c r="M570" i="75"/>
  <c r="M571" i="75"/>
  <c r="M572" i="75"/>
  <c r="M573" i="75"/>
  <c r="M574" i="75"/>
  <c r="M575" i="75"/>
  <c r="L560" i="75"/>
  <c r="L561" i="75"/>
  <c r="L562" i="75"/>
  <c r="L563" i="75"/>
  <c r="L564" i="75"/>
  <c r="L565" i="75"/>
  <c r="L566" i="75"/>
  <c r="L567" i="75"/>
  <c r="L568" i="75"/>
  <c r="L569" i="75"/>
  <c r="L570" i="75"/>
  <c r="L571" i="75"/>
  <c r="L572" i="75"/>
  <c r="L573" i="75"/>
  <c r="L574" i="75"/>
  <c r="L575" i="75"/>
  <c r="K560" i="75"/>
  <c r="K561" i="75"/>
  <c r="K562" i="75"/>
  <c r="K563" i="75"/>
  <c r="K564" i="75"/>
  <c r="K565" i="75"/>
  <c r="K566" i="75"/>
  <c r="K567" i="75"/>
  <c r="K568" i="75"/>
  <c r="K569" i="75"/>
  <c r="K570" i="75"/>
  <c r="K571" i="75"/>
  <c r="K572" i="75"/>
  <c r="K573" i="75"/>
  <c r="K574" i="75"/>
  <c r="K575" i="75"/>
  <c r="J560" i="75"/>
  <c r="J561" i="75"/>
  <c r="J562" i="75"/>
  <c r="J563" i="75"/>
  <c r="J564" i="75"/>
  <c r="J565" i="75"/>
  <c r="J566" i="75"/>
  <c r="J567" i="75"/>
  <c r="J568" i="75"/>
  <c r="J569" i="75"/>
  <c r="J570" i="75"/>
  <c r="J571" i="75"/>
  <c r="J572" i="75"/>
  <c r="J573" i="75"/>
  <c r="J574" i="75"/>
  <c r="J575" i="75"/>
  <c r="I560" i="75"/>
  <c r="I561" i="75"/>
  <c r="I562" i="75"/>
  <c r="I563" i="75"/>
  <c r="I564" i="75"/>
  <c r="I565" i="75"/>
  <c r="I566" i="75"/>
  <c r="I567" i="75"/>
  <c r="I568" i="75"/>
  <c r="I569" i="75"/>
  <c r="I570" i="75"/>
  <c r="I571" i="75"/>
  <c r="I572" i="75"/>
  <c r="I573" i="75"/>
  <c r="I574" i="75"/>
  <c r="I575" i="75"/>
  <c r="H560" i="75"/>
  <c r="H561" i="75"/>
  <c r="H562" i="75"/>
  <c r="H563" i="75"/>
  <c r="H564" i="75"/>
  <c r="H565" i="75"/>
  <c r="H566" i="75"/>
  <c r="H567" i="75"/>
  <c r="H568" i="75"/>
  <c r="H569" i="75"/>
  <c r="H570" i="75"/>
  <c r="H571" i="75"/>
  <c r="H572" i="75"/>
  <c r="H573" i="75"/>
  <c r="H574" i="75"/>
  <c r="H575" i="75"/>
  <c r="G560" i="75"/>
  <c r="G561" i="75"/>
  <c r="G562" i="75"/>
  <c r="G563" i="75"/>
  <c r="G564" i="75"/>
  <c r="G565" i="75"/>
  <c r="G566" i="75"/>
  <c r="G567" i="75"/>
  <c r="G568" i="75"/>
  <c r="G569" i="75"/>
  <c r="G570" i="75"/>
  <c r="G571" i="75"/>
  <c r="G572" i="75"/>
  <c r="G573" i="75"/>
  <c r="G574" i="75"/>
  <c r="G575" i="75"/>
  <c r="AS304" i="75"/>
  <c r="AS305" i="75"/>
  <c r="AS306" i="75"/>
  <c r="AS307" i="75"/>
  <c r="AS308" i="75"/>
  <c r="AS309" i="75"/>
  <c r="AS310" i="75"/>
  <c r="AS311" i="75"/>
  <c r="AS312" i="75"/>
  <c r="AS313" i="75"/>
  <c r="AS314" i="75"/>
  <c r="AR304" i="75"/>
  <c r="AR305" i="75"/>
  <c r="AR306" i="75"/>
  <c r="AR307" i="75"/>
  <c r="AR308" i="75"/>
  <c r="AR309" i="75"/>
  <c r="AR310" i="75"/>
  <c r="AR311" i="75"/>
  <c r="AR312" i="75"/>
  <c r="AR313" i="75"/>
  <c r="AR314" i="75"/>
  <c r="AQ304" i="75"/>
  <c r="AQ305" i="75"/>
  <c r="AQ306" i="75"/>
  <c r="AQ307" i="75"/>
  <c r="AQ308" i="75"/>
  <c r="AQ309" i="75"/>
  <c r="AQ310" i="75"/>
  <c r="AQ311" i="75"/>
  <c r="AQ312" i="75"/>
  <c r="AQ313" i="75"/>
  <c r="AQ314" i="75"/>
  <c r="AP304" i="75"/>
  <c r="AP305" i="75"/>
  <c r="AP306" i="75"/>
  <c r="AP307" i="75"/>
  <c r="AP308" i="75"/>
  <c r="AP309" i="75"/>
  <c r="AP310" i="75"/>
  <c r="AP311" i="75"/>
  <c r="AP312" i="75"/>
  <c r="AP313" i="75"/>
  <c r="AP314" i="75"/>
  <c r="AO304" i="75"/>
  <c r="AO305" i="75"/>
  <c r="AO306" i="75"/>
  <c r="AO307" i="75"/>
  <c r="AO308" i="75"/>
  <c r="AO309" i="75"/>
  <c r="AO310" i="75"/>
  <c r="AO311" i="75"/>
  <c r="AO312" i="75"/>
  <c r="AO313" i="75"/>
  <c r="AO314" i="75"/>
  <c r="AN304" i="75"/>
  <c r="AN305" i="75"/>
  <c r="AN306" i="75"/>
  <c r="AN307" i="75"/>
  <c r="AN308" i="75"/>
  <c r="AN309" i="75"/>
  <c r="AN310" i="75"/>
  <c r="AN311" i="75"/>
  <c r="AN312" i="75"/>
  <c r="AN313" i="75"/>
  <c r="AN314" i="75"/>
  <c r="AM304" i="75"/>
  <c r="AM305" i="75"/>
  <c r="AM306" i="75"/>
  <c r="AM307" i="75"/>
  <c r="AM308" i="75"/>
  <c r="AM309" i="75"/>
  <c r="AM310" i="75"/>
  <c r="AM311" i="75"/>
  <c r="AM312" i="75"/>
  <c r="AM313" i="75"/>
  <c r="AM314" i="75"/>
  <c r="AL304" i="75"/>
  <c r="AL305" i="75"/>
  <c r="AL306" i="75"/>
  <c r="AL307" i="75"/>
  <c r="AL308" i="75"/>
  <c r="AL309" i="75"/>
  <c r="AL310" i="75"/>
  <c r="AL311" i="75"/>
  <c r="AL312" i="75"/>
  <c r="AL313" i="75"/>
  <c r="AL314" i="75"/>
  <c r="AK304" i="75"/>
  <c r="AK305" i="75"/>
  <c r="AK306" i="75"/>
  <c r="AK307" i="75"/>
  <c r="AK308" i="75"/>
  <c r="AK309" i="75"/>
  <c r="AK310" i="75"/>
  <c r="AK311" i="75"/>
  <c r="AK312" i="75"/>
  <c r="AK313" i="75"/>
  <c r="AK314" i="75"/>
  <c r="AJ304" i="75"/>
  <c r="AJ305" i="75"/>
  <c r="AJ306" i="75"/>
  <c r="AJ307" i="75"/>
  <c r="AJ308" i="75"/>
  <c r="AJ309" i="75"/>
  <c r="AJ310" i="75"/>
  <c r="AJ311" i="75"/>
  <c r="AJ312" i="75"/>
  <c r="AJ313" i="75"/>
  <c r="AJ314" i="75"/>
  <c r="AI304" i="75"/>
  <c r="AI305" i="75"/>
  <c r="AI306" i="75"/>
  <c r="AI307" i="75"/>
  <c r="AI308" i="75"/>
  <c r="AI309" i="75"/>
  <c r="AI310" i="75"/>
  <c r="AI311" i="75"/>
  <c r="AI312" i="75"/>
  <c r="AI313" i="75"/>
  <c r="AI314" i="75"/>
  <c r="AH304" i="75"/>
  <c r="AH305" i="75"/>
  <c r="AH306" i="75"/>
  <c r="AH307" i="75"/>
  <c r="AH308" i="75"/>
  <c r="AH309" i="75"/>
  <c r="AH310" i="75"/>
  <c r="AH311" i="75"/>
  <c r="AH312" i="75"/>
  <c r="AH313" i="75"/>
  <c r="AH314" i="75"/>
  <c r="AG304" i="75"/>
  <c r="AG305" i="75"/>
  <c r="AG306" i="75"/>
  <c r="AG307" i="75"/>
  <c r="AG308" i="75"/>
  <c r="AG309" i="75"/>
  <c r="AG310" i="75"/>
  <c r="AG311" i="75"/>
  <c r="AG312" i="75"/>
  <c r="AG313" i="75"/>
  <c r="AG314" i="75"/>
  <c r="AF304" i="75"/>
  <c r="AF305" i="75"/>
  <c r="AF306" i="75"/>
  <c r="AF307" i="75"/>
  <c r="AF308" i="75"/>
  <c r="AF309" i="75"/>
  <c r="AF310" i="75"/>
  <c r="AF311" i="75"/>
  <c r="AF312" i="75"/>
  <c r="AF313" i="75"/>
  <c r="AF314" i="75"/>
  <c r="AE304" i="75"/>
  <c r="AE305" i="75"/>
  <c r="AE306" i="75"/>
  <c r="AE307" i="75"/>
  <c r="AE308" i="75"/>
  <c r="AE309" i="75"/>
  <c r="AE310" i="75"/>
  <c r="AE311" i="75"/>
  <c r="AE312" i="75"/>
  <c r="AE313" i="75"/>
  <c r="AE314" i="75"/>
  <c r="AD304" i="75"/>
  <c r="AD305" i="75"/>
  <c r="AD306" i="75"/>
  <c r="AD307" i="75"/>
  <c r="AD308" i="75"/>
  <c r="AD309" i="75"/>
  <c r="AD310" i="75"/>
  <c r="AD311" i="75"/>
  <c r="AD312" i="75"/>
  <c r="AD313" i="75"/>
  <c r="AD314" i="75"/>
  <c r="AC304" i="75"/>
  <c r="AC305" i="75"/>
  <c r="AC306" i="75"/>
  <c r="AC307" i="75"/>
  <c r="AC308" i="75"/>
  <c r="AC309" i="75"/>
  <c r="AC310" i="75"/>
  <c r="AC311" i="75"/>
  <c r="AC312" i="75"/>
  <c r="AC313" i="75"/>
  <c r="AC314" i="75"/>
  <c r="AB304" i="75"/>
  <c r="AB305" i="75"/>
  <c r="AB306" i="75"/>
  <c r="AB307" i="75"/>
  <c r="AB308" i="75"/>
  <c r="AB309" i="75"/>
  <c r="AB310" i="75"/>
  <c r="AB311" i="75"/>
  <c r="AB312" i="75"/>
  <c r="AB313" i="75"/>
  <c r="AB314" i="75"/>
  <c r="AA304" i="75"/>
  <c r="AA305" i="75"/>
  <c r="AA306" i="75"/>
  <c r="AA307" i="75"/>
  <c r="AA308" i="75"/>
  <c r="AA309" i="75"/>
  <c r="AA310" i="75"/>
  <c r="AA311" i="75"/>
  <c r="AA312" i="75"/>
  <c r="AA313" i="75"/>
  <c r="AA314" i="75"/>
  <c r="Z304" i="75"/>
  <c r="Z305" i="75"/>
  <c r="Z306" i="75"/>
  <c r="Z307" i="75"/>
  <c r="Z308" i="75"/>
  <c r="Z309" i="75"/>
  <c r="Z310" i="75"/>
  <c r="Z311" i="75"/>
  <c r="Z312" i="75"/>
  <c r="Z313" i="75"/>
  <c r="Z314" i="75"/>
  <c r="Y304" i="75"/>
  <c r="Y305" i="75"/>
  <c r="Y306" i="75"/>
  <c r="Y307" i="75"/>
  <c r="Y308" i="75"/>
  <c r="Y309" i="75"/>
  <c r="Y310" i="75"/>
  <c r="Y311" i="75"/>
  <c r="Y312" i="75"/>
  <c r="Y313" i="75"/>
  <c r="Y314" i="75"/>
  <c r="X304" i="75"/>
  <c r="X305" i="75"/>
  <c r="X306" i="75"/>
  <c r="X307" i="75"/>
  <c r="X308" i="75"/>
  <c r="X309" i="75"/>
  <c r="X310" i="75"/>
  <c r="X311" i="75"/>
  <c r="X312" i="75"/>
  <c r="X313" i="75"/>
  <c r="X314" i="75"/>
  <c r="W304" i="75"/>
  <c r="W305" i="75"/>
  <c r="W306" i="75"/>
  <c r="W307" i="75"/>
  <c r="W308" i="75"/>
  <c r="W309" i="75"/>
  <c r="W310" i="75"/>
  <c r="W311" i="75"/>
  <c r="W312" i="75"/>
  <c r="W313" i="75"/>
  <c r="W314" i="75"/>
  <c r="V304" i="75"/>
  <c r="V305" i="75"/>
  <c r="V306" i="75"/>
  <c r="V307" i="75"/>
  <c r="V308" i="75"/>
  <c r="V309" i="75"/>
  <c r="V310" i="75"/>
  <c r="V311" i="75"/>
  <c r="V312" i="75"/>
  <c r="V313" i="75"/>
  <c r="V314" i="75"/>
  <c r="U304" i="75"/>
  <c r="U305" i="75"/>
  <c r="U306" i="75"/>
  <c r="U307" i="75"/>
  <c r="U308" i="75"/>
  <c r="U309" i="75"/>
  <c r="U310" i="75"/>
  <c r="U311" i="75"/>
  <c r="U312" i="75"/>
  <c r="U313" i="75"/>
  <c r="U314" i="75"/>
  <c r="T304" i="75"/>
  <c r="T305" i="75"/>
  <c r="T306" i="75"/>
  <c r="T307" i="75"/>
  <c r="T308" i="75"/>
  <c r="T309" i="75"/>
  <c r="T310" i="75"/>
  <c r="T311" i="75"/>
  <c r="T312" i="75"/>
  <c r="T313" i="75"/>
  <c r="T314" i="75"/>
  <c r="S304" i="75"/>
  <c r="S305" i="75"/>
  <c r="S306" i="75"/>
  <c r="S307" i="75"/>
  <c r="S308" i="75"/>
  <c r="S309" i="75"/>
  <c r="S310" i="75"/>
  <c r="S311" i="75"/>
  <c r="S312" i="75"/>
  <c r="S313" i="75"/>
  <c r="S314" i="75"/>
  <c r="R304" i="75"/>
  <c r="R305" i="75"/>
  <c r="R306" i="75"/>
  <c r="R307" i="75"/>
  <c r="R308" i="75"/>
  <c r="R309" i="75"/>
  <c r="R310" i="75"/>
  <c r="R311" i="75"/>
  <c r="R312" i="75"/>
  <c r="R313" i="75"/>
  <c r="R314" i="75"/>
  <c r="Q304" i="75"/>
  <c r="Q305" i="75"/>
  <c r="Q306" i="75"/>
  <c r="Q307" i="75"/>
  <c r="Q308" i="75"/>
  <c r="Q309" i="75"/>
  <c r="Q310" i="75"/>
  <c r="Q311" i="75"/>
  <c r="Q312" i="75"/>
  <c r="Q313" i="75"/>
  <c r="Q314" i="75"/>
  <c r="P304" i="75"/>
  <c r="P305" i="75"/>
  <c r="P306" i="75"/>
  <c r="P307" i="75"/>
  <c r="P308" i="75"/>
  <c r="P309" i="75"/>
  <c r="P310" i="75"/>
  <c r="P311" i="75"/>
  <c r="P312" i="75"/>
  <c r="P313" i="75"/>
  <c r="P314" i="75"/>
  <c r="O304" i="75"/>
  <c r="O305" i="75"/>
  <c r="O306" i="75"/>
  <c r="O307" i="75"/>
  <c r="O308" i="75"/>
  <c r="O309" i="75"/>
  <c r="O310" i="75"/>
  <c r="O311" i="75"/>
  <c r="O312" i="75"/>
  <c r="O313" i="75"/>
  <c r="O314" i="75"/>
  <c r="N304" i="75"/>
  <c r="N305" i="75"/>
  <c r="N306" i="75"/>
  <c r="N307" i="75"/>
  <c r="N308" i="75"/>
  <c r="N309" i="75"/>
  <c r="N310" i="75"/>
  <c r="N311" i="75"/>
  <c r="N312" i="75"/>
  <c r="N313" i="75"/>
  <c r="N314" i="75"/>
  <c r="M304" i="75"/>
  <c r="M305" i="75"/>
  <c r="M306" i="75"/>
  <c r="M307" i="75"/>
  <c r="M308" i="75"/>
  <c r="M309" i="75"/>
  <c r="M310" i="75"/>
  <c r="M311" i="75"/>
  <c r="M312" i="75"/>
  <c r="M313" i="75"/>
  <c r="M314" i="75"/>
  <c r="L304" i="75"/>
  <c r="L305" i="75"/>
  <c r="L306" i="75"/>
  <c r="L307" i="75"/>
  <c r="L308" i="75"/>
  <c r="L309" i="75"/>
  <c r="L310" i="75"/>
  <c r="L311" i="75"/>
  <c r="L312" i="75"/>
  <c r="L313" i="75"/>
  <c r="L314" i="75"/>
  <c r="K304" i="75"/>
  <c r="K305" i="75"/>
  <c r="K306" i="75"/>
  <c r="K307" i="75"/>
  <c r="K308" i="75"/>
  <c r="K309" i="75"/>
  <c r="K310" i="75"/>
  <c r="K311" i="75"/>
  <c r="K312" i="75"/>
  <c r="K313" i="75"/>
  <c r="K314" i="75"/>
  <c r="J304" i="75"/>
  <c r="J305" i="75"/>
  <c r="J306" i="75"/>
  <c r="J307" i="75"/>
  <c r="J308" i="75"/>
  <c r="J309" i="75"/>
  <c r="J310" i="75"/>
  <c r="J311" i="75"/>
  <c r="J312" i="75"/>
  <c r="J313" i="75"/>
  <c r="J314" i="75"/>
  <c r="I304" i="75"/>
  <c r="I305" i="75"/>
  <c r="I306" i="75"/>
  <c r="I307" i="75"/>
  <c r="I308" i="75"/>
  <c r="I309" i="75"/>
  <c r="I310" i="75"/>
  <c r="I311" i="75"/>
  <c r="I312" i="75"/>
  <c r="I313" i="75"/>
  <c r="I314" i="75"/>
  <c r="H304" i="75"/>
  <c r="H305" i="75"/>
  <c r="H306" i="75"/>
  <c r="H307" i="75"/>
  <c r="H308" i="75"/>
  <c r="H309" i="75"/>
  <c r="H310" i="75"/>
  <c r="H311" i="75"/>
  <c r="H312" i="75"/>
  <c r="H313" i="75"/>
  <c r="H314" i="75"/>
  <c r="G304" i="75"/>
  <c r="G305" i="75"/>
  <c r="G306" i="75"/>
  <c r="G307" i="75"/>
  <c r="G308" i="75"/>
  <c r="G309" i="75"/>
  <c r="G310" i="75"/>
  <c r="G311" i="75"/>
  <c r="G312" i="75"/>
  <c r="G313" i="75"/>
  <c r="G314" i="75"/>
  <c r="D219" i="75"/>
  <c r="D218" i="75"/>
  <c r="AS90" i="75"/>
  <c r="AR90" i="75"/>
  <c r="AQ90" i="75"/>
  <c r="AP90" i="75"/>
  <c r="AO90" i="75"/>
  <c r="AN90" i="75"/>
  <c r="AM90" i="75"/>
  <c r="AL90" i="75"/>
  <c r="AK90" i="75"/>
  <c r="AJ90" i="75"/>
  <c r="AI90" i="75"/>
  <c r="AH90" i="75"/>
  <c r="AG90" i="75"/>
  <c r="AF90" i="75"/>
  <c r="AE90" i="75"/>
  <c r="AD90" i="75"/>
  <c r="AC90" i="75"/>
  <c r="AB90" i="75"/>
  <c r="AA90" i="75"/>
  <c r="Z90" i="75"/>
  <c r="Y90" i="75"/>
  <c r="X90" i="75"/>
  <c r="W90" i="75"/>
  <c r="V90" i="75"/>
  <c r="U90" i="75"/>
  <c r="T90" i="75"/>
  <c r="S90" i="75"/>
  <c r="R90" i="75"/>
  <c r="Q90" i="75"/>
  <c r="P90" i="75"/>
  <c r="O90" i="75"/>
  <c r="N90" i="75"/>
  <c r="M90" i="75"/>
  <c r="L90" i="75"/>
  <c r="K90" i="75"/>
  <c r="J90" i="75"/>
  <c r="I90" i="75"/>
  <c r="H90" i="75"/>
  <c r="G90" i="75"/>
  <c r="AP169" i="74"/>
  <c r="AP260" i="74" s="1"/>
  <c r="AP173" i="74"/>
  <c r="AP261" i="74" s="1"/>
  <c r="AP177" i="74"/>
  <c r="AP178" i="74"/>
  <c r="AP269" i="74" s="1"/>
  <c r="AP179" i="74"/>
  <c r="AP270" i="74" s="1"/>
  <c r="AP180" i="74"/>
  <c r="AP271" i="74" s="1"/>
  <c r="AP181" i="74"/>
  <c r="AP272" i="74" s="1"/>
  <c r="AP182" i="74"/>
  <c r="AP273" i="74" s="1"/>
  <c r="AP183" i="74"/>
  <c r="AP274" i="74" s="1"/>
  <c r="AP75" i="74"/>
  <c r="AP188" i="74" s="1"/>
  <c r="AP288" i="74" s="1"/>
  <c r="AP206" i="74"/>
  <c r="AP279" i="74" s="1"/>
  <c r="AP207" i="74"/>
  <c r="AP280" i="74" s="1"/>
  <c r="AP208" i="74"/>
  <c r="AP209" i="74"/>
  <c r="AP282" i="74" s="1"/>
  <c r="AP201" i="74"/>
  <c r="AP202" i="74" s="1"/>
  <c r="AP290" i="74" s="1"/>
  <c r="AP195" i="74"/>
  <c r="AP196" i="74"/>
  <c r="AP189" i="74"/>
  <c r="AP190" i="74"/>
  <c r="AP293" i="74" s="1"/>
  <c r="AO169" i="74"/>
  <c r="AO260" i="74" s="1"/>
  <c r="AO173" i="74"/>
  <c r="AO261" i="74" s="1"/>
  <c r="AO177" i="74"/>
  <c r="AO268" i="74" s="1"/>
  <c r="AO178" i="74"/>
  <c r="AO179" i="74"/>
  <c r="AO270" i="74" s="1"/>
  <c r="AO180" i="74"/>
  <c r="AO271" i="74" s="1"/>
  <c r="AO181" i="74"/>
  <c r="AO272" i="74" s="1"/>
  <c r="AO182" i="74"/>
  <c r="AO273" i="74" s="1"/>
  <c r="AO183" i="74"/>
  <c r="AO274" i="74" s="1"/>
  <c r="AO75" i="74"/>
  <c r="AO188" i="74" s="1"/>
  <c r="AO288" i="74" s="1"/>
  <c r="AO206" i="74"/>
  <c r="AO279" i="74" s="1"/>
  <c r="AO207" i="74"/>
  <c r="AO208" i="74"/>
  <c r="AO281" i="74" s="1"/>
  <c r="AO209" i="74"/>
  <c r="AO282" i="74" s="1"/>
  <c r="AO201" i="74"/>
  <c r="AO202" i="74" s="1"/>
  <c r="AO290" i="74" s="1"/>
  <c r="AO195" i="74"/>
  <c r="AO196" i="74"/>
  <c r="AO189" i="74"/>
  <c r="AO190" i="74"/>
  <c r="AO293" i="74" s="1"/>
  <c r="AN169" i="74"/>
  <c r="AN260" i="74" s="1"/>
  <c r="AN173" i="74"/>
  <c r="AN261" i="74" s="1"/>
  <c r="AN177" i="74"/>
  <c r="AN268" i="74" s="1"/>
  <c r="AN178" i="74"/>
  <c r="AN269" i="74" s="1"/>
  <c r="AN179" i="74"/>
  <c r="AN180" i="74"/>
  <c r="AN271" i="74" s="1"/>
  <c r="AN181" i="74"/>
  <c r="AN272" i="74" s="1"/>
  <c r="AN182" i="74"/>
  <c r="AN273" i="74" s="1"/>
  <c r="AN183" i="74"/>
  <c r="AN274" i="74" s="1"/>
  <c r="AN75" i="74"/>
  <c r="AN188" i="74" s="1"/>
  <c r="AN288" i="74" s="1"/>
  <c r="AN206" i="74"/>
  <c r="AN279" i="74" s="1"/>
  <c r="AN207" i="74"/>
  <c r="AN280" i="74" s="1"/>
  <c r="AN208" i="74"/>
  <c r="AN209" i="74"/>
  <c r="AN282" i="74" s="1"/>
  <c r="AN201" i="74"/>
  <c r="AN202" i="74" s="1"/>
  <c r="AN290" i="74" s="1"/>
  <c r="AN195" i="74"/>
  <c r="AN196" i="74"/>
  <c r="AN189" i="74"/>
  <c r="AN190" i="74"/>
  <c r="AN293" i="74" s="1"/>
  <c r="AM169" i="74"/>
  <c r="AM260" i="74" s="1"/>
  <c r="AM173" i="74"/>
  <c r="AM261" i="74" s="1"/>
  <c r="AM177" i="74"/>
  <c r="AM178" i="74"/>
  <c r="AM269" i="74" s="1"/>
  <c r="AM179" i="74"/>
  <c r="AM270" i="74" s="1"/>
  <c r="AM180" i="74"/>
  <c r="AM271" i="74" s="1"/>
  <c r="AM181" i="74"/>
  <c r="AM272" i="74" s="1"/>
  <c r="AM182" i="74"/>
  <c r="AM273" i="74" s="1"/>
  <c r="AM183" i="74"/>
  <c r="AM274" i="74" s="1"/>
  <c r="AM75" i="74"/>
  <c r="AM188" i="74" s="1"/>
  <c r="AM288" i="74" s="1"/>
  <c r="AM206" i="74"/>
  <c r="AM207" i="74"/>
  <c r="AM280" i="74" s="1"/>
  <c r="AM208" i="74"/>
  <c r="AM281" i="74" s="1"/>
  <c r="AM209" i="74"/>
  <c r="AM282" i="74" s="1"/>
  <c r="AM201" i="74"/>
  <c r="AM202" i="74" s="1"/>
  <c r="AM290" i="74" s="1"/>
  <c r="AM195" i="74"/>
  <c r="AM196" i="74"/>
  <c r="AM189" i="74"/>
  <c r="AM190" i="74"/>
  <c r="AM293" i="74" s="1"/>
  <c r="AK169" i="74"/>
  <c r="AK260" i="74" s="1"/>
  <c r="AK173" i="74"/>
  <c r="AK261" i="74" s="1"/>
  <c r="AK177" i="74"/>
  <c r="AK268" i="74" s="1"/>
  <c r="AK178" i="74"/>
  <c r="AK269" i="74" s="1"/>
  <c r="AK179" i="74"/>
  <c r="AK180" i="74"/>
  <c r="AK271" i="74" s="1"/>
  <c r="AK181" i="74"/>
  <c r="AK272" i="74" s="1"/>
  <c r="AK182" i="74"/>
  <c r="AK273" i="74" s="1"/>
  <c r="AK183" i="74"/>
  <c r="AK274" i="74" s="1"/>
  <c r="AK75" i="74"/>
  <c r="AK188" i="74" s="1"/>
  <c r="AK288" i="74" s="1"/>
  <c r="AK206" i="74"/>
  <c r="AK279" i="74" s="1"/>
  <c r="AK207" i="74"/>
  <c r="AK280" i="74" s="1"/>
  <c r="AK208" i="74"/>
  <c r="AK209" i="74"/>
  <c r="AK282" i="74" s="1"/>
  <c r="AK201" i="74"/>
  <c r="AK202" i="74" s="1"/>
  <c r="AK290" i="74" s="1"/>
  <c r="AK195" i="74"/>
  <c r="AK196" i="74"/>
  <c r="AK189" i="74"/>
  <c r="AK190" i="74"/>
  <c r="AK293" i="74" s="1"/>
  <c r="AJ169" i="74"/>
  <c r="AJ260" i="74" s="1"/>
  <c r="AJ173" i="74"/>
  <c r="AJ261" i="74" s="1"/>
  <c r="AJ177" i="74"/>
  <c r="AJ268" i="74" s="1"/>
  <c r="AJ178" i="74"/>
  <c r="AJ269" i="74" s="1"/>
  <c r="AJ179" i="74"/>
  <c r="AJ270" i="74" s="1"/>
  <c r="AJ180" i="74"/>
  <c r="AJ271" i="74" s="1"/>
  <c r="AJ181" i="74"/>
  <c r="AJ272" i="74" s="1"/>
  <c r="AJ182" i="74"/>
  <c r="AJ273" i="74" s="1"/>
  <c r="AJ183" i="74"/>
  <c r="AJ274" i="74" s="1"/>
  <c r="AJ75" i="74"/>
  <c r="AJ188" i="74" s="1"/>
  <c r="AJ288" i="74" s="1"/>
  <c r="AJ206" i="74"/>
  <c r="AJ279" i="74" s="1"/>
  <c r="AJ207" i="74"/>
  <c r="AJ208" i="74"/>
  <c r="AJ281" i="74" s="1"/>
  <c r="AJ209" i="74"/>
  <c r="AJ282" i="74" s="1"/>
  <c r="AJ201" i="74"/>
  <c r="AJ202" i="74" s="1"/>
  <c r="AJ290" i="74" s="1"/>
  <c r="AJ195" i="74"/>
  <c r="AJ196" i="74"/>
  <c r="AJ189" i="74"/>
  <c r="AJ190" i="74"/>
  <c r="AJ293" i="74" s="1"/>
  <c r="AI169" i="74"/>
  <c r="AI260" i="74" s="1"/>
  <c r="AI173" i="74"/>
  <c r="AI261" i="74" s="1"/>
  <c r="AI177" i="74"/>
  <c r="AI178" i="74"/>
  <c r="AI269" i="74" s="1"/>
  <c r="AI179" i="74"/>
  <c r="AI270" i="74" s="1"/>
  <c r="AI180" i="74"/>
  <c r="AI271" i="74" s="1"/>
  <c r="AI181" i="74"/>
  <c r="AI272" i="74" s="1"/>
  <c r="AI182" i="74"/>
  <c r="AI273" i="74" s="1"/>
  <c r="AI183" i="74"/>
  <c r="AI274" i="74" s="1"/>
  <c r="AI75" i="74"/>
  <c r="AI188" i="74" s="1"/>
  <c r="AI288" i="74" s="1"/>
  <c r="AI206" i="74"/>
  <c r="AI279" i="74" s="1"/>
  <c r="AI207" i="74"/>
  <c r="AI280" i="74" s="1"/>
  <c r="AI208" i="74"/>
  <c r="AI281" i="74" s="1"/>
  <c r="AI209" i="74"/>
  <c r="AI282" i="74" s="1"/>
  <c r="AI201" i="74"/>
  <c r="AI202" i="74" s="1"/>
  <c r="AI290" i="74" s="1"/>
  <c r="AI195" i="74"/>
  <c r="AI196" i="74"/>
  <c r="AI189" i="74"/>
  <c r="AI292" i="74" s="1"/>
  <c r="AI190" i="74"/>
  <c r="AI293" i="74" s="1"/>
  <c r="AH169" i="74"/>
  <c r="AH260" i="74" s="1"/>
  <c r="AH173" i="74"/>
  <c r="AH261" i="74" s="1"/>
  <c r="AH177" i="74"/>
  <c r="AH268" i="74" s="1"/>
  <c r="AH178" i="74"/>
  <c r="AH179" i="74"/>
  <c r="AH270" i="74" s="1"/>
  <c r="AH180" i="74"/>
  <c r="AH271" i="74" s="1"/>
  <c r="AH181" i="74"/>
  <c r="AH272" i="74" s="1"/>
  <c r="AH182" i="74"/>
  <c r="AH273" i="74" s="1"/>
  <c r="AH183" i="74"/>
  <c r="AH274" i="74" s="1"/>
  <c r="AH75" i="74"/>
  <c r="AH188" i="74" s="1"/>
  <c r="AH288" i="74" s="1"/>
  <c r="AH206" i="74"/>
  <c r="AH279" i="74" s="1"/>
  <c r="AH207" i="74"/>
  <c r="AH280" i="74" s="1"/>
  <c r="AH208" i="74"/>
  <c r="AH281" i="74" s="1"/>
  <c r="AH209" i="74"/>
  <c r="AH282" i="74" s="1"/>
  <c r="AH201" i="74"/>
  <c r="AH202" i="74" s="1"/>
  <c r="AH290" i="74" s="1"/>
  <c r="AH195" i="74"/>
  <c r="AH196" i="74"/>
  <c r="AH189" i="74"/>
  <c r="AH190" i="74"/>
  <c r="AH293" i="74" s="1"/>
  <c r="AF169" i="74"/>
  <c r="AF260" i="74" s="1"/>
  <c r="AF173" i="74"/>
  <c r="AF261" i="74" s="1"/>
  <c r="AF177" i="74"/>
  <c r="AF268" i="74" s="1"/>
  <c r="AF178" i="74"/>
  <c r="AF269" i="74" s="1"/>
  <c r="AF179" i="74"/>
  <c r="AF270" i="74" s="1"/>
  <c r="AF180" i="74"/>
  <c r="AF271" i="74" s="1"/>
  <c r="AF181" i="74"/>
  <c r="AF272" i="74" s="1"/>
  <c r="AF182" i="74"/>
  <c r="AF273" i="74" s="1"/>
  <c r="AF183" i="74"/>
  <c r="AF274" i="74" s="1"/>
  <c r="AF75" i="74"/>
  <c r="AF188" i="74" s="1"/>
  <c r="AF288" i="74" s="1"/>
  <c r="AF206" i="74"/>
  <c r="AF207" i="74"/>
  <c r="AF280" i="74" s="1"/>
  <c r="AF208" i="74"/>
  <c r="AF281" i="74" s="1"/>
  <c r="AF209" i="74"/>
  <c r="AF282" i="74" s="1"/>
  <c r="AF201" i="74"/>
  <c r="AF202" i="74" s="1"/>
  <c r="AF290" i="74" s="1"/>
  <c r="AF195" i="74"/>
  <c r="AF196" i="74"/>
  <c r="AF189" i="74"/>
  <c r="AF190" i="74"/>
  <c r="AF293" i="74" s="1"/>
  <c r="AE169" i="74"/>
  <c r="AE260" i="74" s="1"/>
  <c r="AE173" i="74"/>
  <c r="AE261" i="74" s="1"/>
  <c r="AE177" i="74"/>
  <c r="AE268" i="74" s="1"/>
  <c r="AE178" i="74"/>
  <c r="AE269" i="74" s="1"/>
  <c r="AE179" i="74"/>
  <c r="AE180" i="74"/>
  <c r="AE271" i="74" s="1"/>
  <c r="AE181" i="74"/>
  <c r="AE272" i="74" s="1"/>
  <c r="AE182" i="74"/>
  <c r="AE273" i="74" s="1"/>
  <c r="AE183" i="74"/>
  <c r="AE274" i="74" s="1"/>
  <c r="AE75" i="74"/>
  <c r="AE188" i="74" s="1"/>
  <c r="AE288" i="74" s="1"/>
  <c r="AE206" i="74"/>
  <c r="AE279" i="74" s="1"/>
  <c r="AE207" i="74"/>
  <c r="AE280" i="74" s="1"/>
  <c r="AE208" i="74"/>
  <c r="AE209" i="74"/>
  <c r="AE282" i="74" s="1"/>
  <c r="AE201" i="74"/>
  <c r="AE202" i="74" s="1"/>
  <c r="AE290" i="74" s="1"/>
  <c r="AE195" i="74"/>
  <c r="AE196" i="74"/>
  <c r="AE189" i="74"/>
  <c r="AE292" i="74" s="1"/>
  <c r="AE190" i="74"/>
  <c r="AE293" i="74" s="1"/>
  <c r="AD169" i="74"/>
  <c r="AD260" i="74" s="1"/>
  <c r="AD173" i="74"/>
  <c r="AD261" i="74" s="1"/>
  <c r="AD177" i="74"/>
  <c r="AD268" i="74" s="1"/>
  <c r="AD178" i="74"/>
  <c r="AD269" i="74" s="1"/>
  <c r="AD179" i="74"/>
  <c r="AD270" i="74" s="1"/>
  <c r="AD180" i="74"/>
  <c r="AD181" i="74"/>
  <c r="AD272" i="74" s="1"/>
  <c r="AD182" i="74"/>
  <c r="AD273" i="74" s="1"/>
  <c r="AD183" i="74"/>
  <c r="AD274" i="74" s="1"/>
  <c r="AD75" i="74"/>
  <c r="AD188" i="74" s="1"/>
  <c r="AD288" i="74" s="1"/>
  <c r="AD206" i="74"/>
  <c r="AD279" i="74" s="1"/>
  <c r="AD207" i="74"/>
  <c r="AD280" i="74" s="1"/>
  <c r="AD208" i="74"/>
  <c r="AD209" i="74"/>
  <c r="AD282" i="74" s="1"/>
  <c r="AD201" i="74"/>
  <c r="AD202" i="74" s="1"/>
  <c r="AD290" i="74" s="1"/>
  <c r="AD195" i="74"/>
  <c r="AD196" i="74"/>
  <c r="AD189" i="74"/>
  <c r="AD292" i="74" s="1"/>
  <c r="AD190" i="74"/>
  <c r="AD293" i="74" s="1"/>
  <c r="AC169" i="74"/>
  <c r="AC260" i="74" s="1"/>
  <c r="AC173" i="74"/>
  <c r="AC261" i="74" s="1"/>
  <c r="AC177" i="74"/>
  <c r="AC178" i="74"/>
  <c r="AC269" i="74" s="1"/>
  <c r="AC179" i="74"/>
  <c r="AC270" i="74" s="1"/>
  <c r="AC180" i="74"/>
  <c r="AC271" i="74" s="1"/>
  <c r="AC181" i="74"/>
  <c r="AC272" i="74" s="1"/>
  <c r="AC182" i="74"/>
  <c r="AC273" i="74" s="1"/>
  <c r="AC183" i="74"/>
  <c r="AC274" i="74" s="1"/>
  <c r="AC75" i="74"/>
  <c r="AC188" i="74" s="1"/>
  <c r="AC288" i="74" s="1"/>
  <c r="AC206" i="74"/>
  <c r="AC279" i="74" s="1"/>
  <c r="AC207" i="74"/>
  <c r="AC280" i="74" s="1"/>
  <c r="AC208" i="74"/>
  <c r="AC281" i="74" s="1"/>
  <c r="AC209" i="74"/>
  <c r="AC282" i="74" s="1"/>
  <c r="AC201" i="74"/>
  <c r="AC202" i="74" s="1"/>
  <c r="AC290" i="74" s="1"/>
  <c r="AC195" i="74"/>
  <c r="AC196" i="74"/>
  <c r="AC189" i="74"/>
  <c r="AC190" i="74"/>
  <c r="AC293" i="74" s="1"/>
  <c r="AA169" i="74"/>
  <c r="AA260" i="74" s="1"/>
  <c r="AA173" i="74"/>
  <c r="AA261" i="74" s="1"/>
  <c r="AA177" i="74"/>
  <c r="AA268" i="74" s="1"/>
  <c r="AA178" i="74"/>
  <c r="AA179" i="74"/>
  <c r="AA270" i="74" s="1"/>
  <c r="AA180" i="74"/>
  <c r="AA271" i="74" s="1"/>
  <c r="AA181" i="74"/>
  <c r="AA272" i="74" s="1"/>
  <c r="AA182" i="74"/>
  <c r="AA273" i="74" s="1"/>
  <c r="AA183" i="74"/>
  <c r="AA274" i="74" s="1"/>
  <c r="AA75" i="74"/>
  <c r="AA188" i="74" s="1"/>
  <c r="AA288" i="74" s="1"/>
  <c r="AA206" i="74"/>
  <c r="AA279" i="74" s="1"/>
  <c r="AA207" i="74"/>
  <c r="AA208" i="74"/>
  <c r="AA281" i="74" s="1"/>
  <c r="AA209" i="74"/>
  <c r="AA282" i="74" s="1"/>
  <c r="AA201" i="74"/>
  <c r="AA202" i="74" s="1"/>
  <c r="AA290" i="74" s="1"/>
  <c r="AA195" i="74"/>
  <c r="AA196" i="74"/>
  <c r="AA189" i="74"/>
  <c r="AA190" i="74"/>
  <c r="AA293" i="74" s="1"/>
  <c r="Z169" i="74"/>
  <c r="Z260" i="74" s="1"/>
  <c r="Z173" i="74"/>
  <c r="Z261" i="74" s="1"/>
  <c r="Z177" i="74"/>
  <c r="Z268" i="74" s="1"/>
  <c r="Z178" i="74"/>
  <c r="Z269" i="74" s="1"/>
  <c r="Z179" i="74"/>
  <c r="Z270" i="74" s="1"/>
  <c r="Z180" i="74"/>
  <c r="Z181" i="74"/>
  <c r="Z272" i="74" s="1"/>
  <c r="Z182" i="74"/>
  <c r="Z273" i="74" s="1"/>
  <c r="Z183" i="74"/>
  <c r="Z274" i="74" s="1"/>
  <c r="Z75" i="74"/>
  <c r="Z188" i="74" s="1"/>
  <c r="Z206" i="74"/>
  <c r="Z207" i="74"/>
  <c r="Z280" i="74" s="1"/>
  <c r="Z208" i="74"/>
  <c r="Z281" i="74" s="1"/>
  <c r="Z209" i="74"/>
  <c r="Z282" i="74" s="1"/>
  <c r="Z201" i="74"/>
  <c r="Z202" i="74" s="1"/>
  <c r="Z290" i="74" s="1"/>
  <c r="Z195" i="74"/>
  <c r="Z196" i="74"/>
  <c r="Z189" i="74"/>
  <c r="Z292" i="74" s="1"/>
  <c r="Z190" i="74"/>
  <c r="Z293" i="74" s="1"/>
  <c r="Y169" i="74"/>
  <c r="Y260" i="74" s="1"/>
  <c r="Y173" i="74"/>
  <c r="Y261" i="74" s="1"/>
  <c r="Y177" i="74"/>
  <c r="Y268" i="74" s="1"/>
  <c r="Y178" i="74"/>
  <c r="Y269" i="74" s="1"/>
  <c r="Y179" i="74"/>
  <c r="Y180" i="74"/>
  <c r="Y271" i="74" s="1"/>
  <c r="Y181" i="74"/>
  <c r="Y272" i="74" s="1"/>
  <c r="Y182" i="74"/>
  <c r="Y273" i="74" s="1"/>
  <c r="Y183" i="74"/>
  <c r="Y274" i="74" s="1"/>
  <c r="Y75" i="74"/>
  <c r="Y188" i="74" s="1"/>
  <c r="Y288" i="74" s="1"/>
  <c r="Y206" i="74"/>
  <c r="Y279" i="74" s="1"/>
  <c r="Y207" i="74"/>
  <c r="Y280" i="74" s="1"/>
  <c r="Y208" i="74"/>
  <c r="Y209" i="74"/>
  <c r="Y282" i="74" s="1"/>
  <c r="Y201" i="74"/>
  <c r="Y202" i="74" s="1"/>
  <c r="Y290" i="74" s="1"/>
  <c r="Y195" i="74"/>
  <c r="Y196" i="74"/>
  <c r="Y189" i="74"/>
  <c r="Y292" i="74" s="1"/>
  <c r="Y190" i="74"/>
  <c r="Y293" i="74" s="1"/>
  <c r="X169" i="74"/>
  <c r="X260" i="74" s="1"/>
  <c r="X173" i="74"/>
  <c r="X261" i="74" s="1"/>
  <c r="X177" i="74"/>
  <c r="X268" i="74" s="1"/>
  <c r="X178" i="74"/>
  <c r="X269" i="74" s="1"/>
  <c r="X179" i="74"/>
  <c r="X270" i="74" s="1"/>
  <c r="X180" i="74"/>
  <c r="X181" i="74"/>
  <c r="X272" i="74" s="1"/>
  <c r="X182" i="74"/>
  <c r="X273" i="74" s="1"/>
  <c r="X183" i="74"/>
  <c r="X274" i="74" s="1"/>
  <c r="X75" i="74"/>
  <c r="X188" i="74" s="1"/>
  <c r="X288" i="74" s="1"/>
  <c r="X206" i="74"/>
  <c r="X279" i="74" s="1"/>
  <c r="X207" i="74"/>
  <c r="X280" i="74" s="1"/>
  <c r="X208" i="74"/>
  <c r="X281" i="74" s="1"/>
  <c r="X209" i="74"/>
  <c r="X282" i="74" s="1"/>
  <c r="X201" i="74"/>
  <c r="X202" i="74" s="1"/>
  <c r="X290" i="74" s="1"/>
  <c r="X195" i="74"/>
  <c r="X196" i="74"/>
  <c r="X189" i="74"/>
  <c r="X190" i="74"/>
  <c r="X293" i="74" s="1"/>
  <c r="V169" i="74"/>
  <c r="V260" i="74" s="1"/>
  <c r="V173" i="74"/>
  <c r="V261" i="74" s="1"/>
  <c r="V177" i="74"/>
  <c r="V268" i="74" s="1"/>
  <c r="V178" i="74"/>
  <c r="V269" i="74" s="1"/>
  <c r="V179" i="74"/>
  <c r="V270" i="74" s="1"/>
  <c r="V180" i="74"/>
  <c r="V271" i="74" s="1"/>
  <c r="V181" i="74"/>
  <c r="V272" i="74" s="1"/>
  <c r="V182" i="74"/>
  <c r="V273" i="74" s="1"/>
  <c r="V183" i="74"/>
  <c r="V274" i="74" s="1"/>
  <c r="V75" i="74"/>
  <c r="V188" i="74" s="1"/>
  <c r="V288" i="74" s="1"/>
  <c r="V206" i="74"/>
  <c r="V279" i="74" s="1"/>
  <c r="V207" i="74"/>
  <c r="V280" i="74" s="1"/>
  <c r="V208" i="74"/>
  <c r="V281" i="74" s="1"/>
  <c r="V209" i="74"/>
  <c r="V282" i="74" s="1"/>
  <c r="V201" i="74"/>
  <c r="V202" i="74" s="1"/>
  <c r="V290" i="74" s="1"/>
  <c r="V195" i="74"/>
  <c r="V196" i="74"/>
  <c r="V189" i="74"/>
  <c r="V190" i="74"/>
  <c r="V293" i="74" s="1"/>
  <c r="U169" i="74"/>
  <c r="U260" i="74" s="1"/>
  <c r="U173" i="74"/>
  <c r="U261" i="74" s="1"/>
  <c r="U177" i="74"/>
  <c r="U268" i="74" s="1"/>
  <c r="U178" i="74"/>
  <c r="U269" i="74" s="1"/>
  <c r="U179" i="74"/>
  <c r="U270" i="74" s="1"/>
  <c r="U180" i="74"/>
  <c r="U181" i="74"/>
  <c r="U272" i="74" s="1"/>
  <c r="U182" i="74"/>
  <c r="U273" i="74" s="1"/>
  <c r="U183" i="74"/>
  <c r="U274" i="74" s="1"/>
  <c r="U75" i="74"/>
  <c r="U188" i="74" s="1"/>
  <c r="U288" i="74" s="1"/>
  <c r="U206" i="74"/>
  <c r="U279" i="74" s="1"/>
  <c r="U207" i="74"/>
  <c r="U280" i="74" s="1"/>
  <c r="U208" i="74"/>
  <c r="U281" i="74" s="1"/>
  <c r="U209" i="74"/>
  <c r="U282" i="74" s="1"/>
  <c r="U201" i="74"/>
  <c r="U202" i="74" s="1"/>
  <c r="U290" i="74" s="1"/>
  <c r="U195" i="74"/>
  <c r="U196" i="74"/>
  <c r="U189" i="74"/>
  <c r="U292" i="74" s="1"/>
  <c r="U190" i="74"/>
  <c r="U293" i="74" s="1"/>
  <c r="T169" i="74"/>
  <c r="T260" i="74" s="1"/>
  <c r="T173" i="74"/>
  <c r="T261" i="74" s="1"/>
  <c r="T177" i="74"/>
  <c r="T268" i="74" s="1"/>
  <c r="T178" i="74"/>
  <c r="T269" i="74" s="1"/>
  <c r="T179" i="74"/>
  <c r="T270" i="74" s="1"/>
  <c r="T180" i="74"/>
  <c r="T271" i="74" s="1"/>
  <c r="T181" i="74"/>
  <c r="T272" i="74" s="1"/>
  <c r="T182" i="74"/>
  <c r="T273" i="74" s="1"/>
  <c r="T183" i="74"/>
  <c r="T274" i="74" s="1"/>
  <c r="T75" i="74"/>
  <c r="T188" i="74" s="1"/>
  <c r="T288" i="74" s="1"/>
  <c r="T206" i="74"/>
  <c r="T207" i="74"/>
  <c r="T280" i="74" s="1"/>
  <c r="T208" i="74"/>
  <c r="T281" i="74" s="1"/>
  <c r="T209" i="74"/>
  <c r="T282" i="74" s="1"/>
  <c r="T201" i="74"/>
  <c r="T202" i="74" s="1"/>
  <c r="T290" i="74" s="1"/>
  <c r="T195" i="74"/>
  <c r="T196" i="74"/>
  <c r="T189" i="74"/>
  <c r="T292" i="74" s="1"/>
  <c r="T190" i="74"/>
  <c r="T293" i="74" s="1"/>
  <c r="S169" i="74"/>
  <c r="S260" i="74" s="1"/>
  <c r="S173" i="74"/>
  <c r="S261" i="74" s="1"/>
  <c r="S177" i="74"/>
  <c r="S178" i="74"/>
  <c r="S269" i="74" s="1"/>
  <c r="S179" i="74"/>
  <c r="S270" i="74" s="1"/>
  <c r="S180" i="74"/>
  <c r="S271" i="74" s="1"/>
  <c r="S181" i="74"/>
  <c r="S272" i="74" s="1"/>
  <c r="S182" i="74"/>
  <c r="S273" i="74" s="1"/>
  <c r="S183" i="74"/>
  <c r="S274" i="74" s="1"/>
  <c r="S75" i="74"/>
  <c r="S188" i="74" s="1"/>
  <c r="S288" i="74" s="1"/>
  <c r="S206" i="74"/>
  <c r="S207" i="74"/>
  <c r="S280" i="74" s="1"/>
  <c r="S208" i="74"/>
  <c r="S281" i="74" s="1"/>
  <c r="S209" i="74"/>
  <c r="S282" i="74" s="1"/>
  <c r="S201" i="74"/>
  <c r="S202" i="74" s="1"/>
  <c r="S290" i="74" s="1"/>
  <c r="S195" i="74"/>
  <c r="S196" i="74"/>
  <c r="S189" i="74"/>
  <c r="S292" i="74" s="1"/>
  <c r="S190" i="74"/>
  <c r="S293" i="74" s="1"/>
  <c r="Q169" i="74"/>
  <c r="Q260" i="74" s="1"/>
  <c r="Q173" i="74"/>
  <c r="Q261" i="74" s="1"/>
  <c r="Q177" i="74"/>
  <c r="Q268" i="74" s="1"/>
  <c r="Q178" i="74"/>
  <c r="Q269" i="74" s="1"/>
  <c r="Q179" i="74"/>
  <c r="Q270" i="74" s="1"/>
  <c r="Q180" i="74"/>
  <c r="Q271" i="74" s="1"/>
  <c r="Q181" i="74"/>
  <c r="Q272" i="74" s="1"/>
  <c r="Q182" i="74"/>
  <c r="Q273" i="74" s="1"/>
  <c r="Q183" i="74"/>
  <c r="Q274" i="74" s="1"/>
  <c r="Q75" i="74"/>
  <c r="Q188" i="74" s="1"/>
  <c r="Q288" i="74" s="1"/>
  <c r="Q206" i="74"/>
  <c r="Q279" i="74" s="1"/>
  <c r="Q207" i="74"/>
  <c r="Q280" i="74" s="1"/>
  <c r="Q208" i="74"/>
  <c r="Q281" i="74" s="1"/>
  <c r="Q209" i="74"/>
  <c r="Q282" i="74" s="1"/>
  <c r="Q201" i="74"/>
  <c r="Q202" i="74" s="1"/>
  <c r="Q290" i="74" s="1"/>
  <c r="Q195" i="74"/>
  <c r="Q196" i="74"/>
  <c r="Q189" i="74"/>
  <c r="Q190" i="74"/>
  <c r="Q293" i="74" s="1"/>
  <c r="P169" i="74"/>
  <c r="P260" i="74" s="1"/>
  <c r="P173" i="74"/>
  <c r="P261" i="74" s="1"/>
  <c r="P177" i="74"/>
  <c r="P268" i="74" s="1"/>
  <c r="P178" i="74"/>
  <c r="P269" i="74" s="1"/>
  <c r="P179" i="74"/>
  <c r="P180" i="74"/>
  <c r="P271" i="74" s="1"/>
  <c r="P181" i="74"/>
  <c r="P272" i="74" s="1"/>
  <c r="P182" i="74"/>
  <c r="P273" i="74" s="1"/>
  <c r="P183" i="74"/>
  <c r="P274" i="74" s="1"/>
  <c r="P75" i="74"/>
  <c r="P188" i="74" s="1"/>
  <c r="P288" i="74" s="1"/>
  <c r="P206" i="74"/>
  <c r="P279" i="74" s="1"/>
  <c r="P207" i="74"/>
  <c r="P280" i="74" s="1"/>
  <c r="P208" i="74"/>
  <c r="P281" i="74" s="1"/>
  <c r="P209" i="74"/>
  <c r="P282" i="74" s="1"/>
  <c r="P201" i="74"/>
  <c r="P202" i="74" s="1"/>
  <c r="P290" i="74" s="1"/>
  <c r="P195" i="74"/>
  <c r="P196" i="74"/>
  <c r="P189" i="74"/>
  <c r="P190" i="74"/>
  <c r="P293" i="74" s="1"/>
  <c r="O169" i="74"/>
  <c r="O260" i="74" s="1"/>
  <c r="O173" i="74"/>
  <c r="O261" i="74" s="1"/>
  <c r="O177" i="74"/>
  <c r="O268" i="74" s="1"/>
  <c r="O178" i="74"/>
  <c r="O269" i="74" s="1"/>
  <c r="O179" i="74"/>
  <c r="O180" i="74"/>
  <c r="O271" i="74" s="1"/>
  <c r="O181" i="74"/>
  <c r="O272" i="74" s="1"/>
  <c r="O182" i="74"/>
  <c r="O273" i="74" s="1"/>
  <c r="O183" i="74"/>
  <c r="O274" i="74" s="1"/>
  <c r="O75" i="74"/>
  <c r="O188" i="74" s="1"/>
  <c r="O288" i="74" s="1"/>
  <c r="O206" i="74"/>
  <c r="O279" i="74" s="1"/>
  <c r="O207" i="74"/>
  <c r="O280" i="74" s="1"/>
  <c r="O208" i="74"/>
  <c r="O281" i="74" s="1"/>
  <c r="O209" i="74"/>
  <c r="O282" i="74" s="1"/>
  <c r="O201" i="74"/>
  <c r="O202" i="74" s="1"/>
  <c r="O290" i="74" s="1"/>
  <c r="O195" i="74"/>
  <c r="O196" i="74"/>
  <c r="O189" i="74"/>
  <c r="O292" i="74" s="1"/>
  <c r="O190" i="74"/>
  <c r="O293" i="74" s="1"/>
  <c r="N169" i="74"/>
  <c r="N260" i="74" s="1"/>
  <c r="N173" i="74"/>
  <c r="N261" i="74" s="1"/>
  <c r="N177" i="74"/>
  <c r="N268" i="74" s="1"/>
  <c r="N178" i="74"/>
  <c r="N269" i="74" s="1"/>
  <c r="N179" i="74"/>
  <c r="N270" i="74" s="1"/>
  <c r="N180" i="74"/>
  <c r="N271" i="74" s="1"/>
  <c r="N181" i="74"/>
  <c r="N272" i="74" s="1"/>
  <c r="N182" i="74"/>
  <c r="N273" i="74" s="1"/>
  <c r="N183" i="74"/>
  <c r="N274" i="74" s="1"/>
  <c r="N75" i="74"/>
  <c r="N188" i="74" s="1"/>
  <c r="N288" i="74" s="1"/>
  <c r="N206" i="74"/>
  <c r="N279" i="74" s="1"/>
  <c r="N207" i="74"/>
  <c r="N280" i="74" s="1"/>
  <c r="N208" i="74"/>
  <c r="N281" i="74" s="1"/>
  <c r="N209" i="74"/>
  <c r="N282" i="74" s="1"/>
  <c r="N201" i="74"/>
  <c r="N202" i="74" s="1"/>
  <c r="N290" i="74" s="1"/>
  <c r="N195" i="74"/>
  <c r="N196" i="74"/>
  <c r="N189" i="74"/>
  <c r="N190" i="74"/>
  <c r="N293" i="74" s="1"/>
  <c r="L169" i="74"/>
  <c r="L260" i="74" s="1"/>
  <c r="L173" i="74"/>
  <c r="L261" i="74" s="1"/>
  <c r="L177" i="74"/>
  <c r="L268" i="74" s="1"/>
  <c r="L178" i="74"/>
  <c r="L269" i="74" s="1"/>
  <c r="L179" i="74"/>
  <c r="L270" i="74" s="1"/>
  <c r="L180" i="74"/>
  <c r="L271" i="74" s="1"/>
  <c r="L181" i="74"/>
  <c r="L272" i="74" s="1"/>
  <c r="L182" i="74"/>
  <c r="L273" i="74" s="1"/>
  <c r="L183" i="74"/>
  <c r="L274" i="74" s="1"/>
  <c r="L75" i="74"/>
  <c r="L188" i="74" s="1"/>
  <c r="L288" i="74" s="1"/>
  <c r="L206" i="74"/>
  <c r="L279" i="74" s="1"/>
  <c r="L207" i="74"/>
  <c r="L280" i="74" s="1"/>
  <c r="L208" i="74"/>
  <c r="L281" i="74" s="1"/>
  <c r="L209" i="74"/>
  <c r="L282" i="74" s="1"/>
  <c r="L201" i="74"/>
  <c r="L202" i="74" s="1"/>
  <c r="L290" i="74" s="1"/>
  <c r="L195" i="74"/>
  <c r="L196" i="74"/>
  <c r="L189" i="74"/>
  <c r="L190" i="74"/>
  <c r="L293" i="74" s="1"/>
  <c r="K169" i="74"/>
  <c r="K260" i="74" s="1"/>
  <c r="K173" i="74"/>
  <c r="K261" i="74" s="1"/>
  <c r="K177" i="74"/>
  <c r="K268" i="74" s="1"/>
  <c r="K178" i="74"/>
  <c r="K269" i="74" s="1"/>
  <c r="K179" i="74"/>
  <c r="K270" i="74" s="1"/>
  <c r="K180" i="74"/>
  <c r="K271" i="74" s="1"/>
  <c r="K181" i="74"/>
  <c r="K272" i="74" s="1"/>
  <c r="K182" i="74"/>
  <c r="K273" i="74" s="1"/>
  <c r="K183" i="74"/>
  <c r="K274" i="74" s="1"/>
  <c r="K75" i="74"/>
  <c r="K188" i="74" s="1"/>
  <c r="K288" i="74" s="1"/>
  <c r="K206" i="74"/>
  <c r="K207" i="74"/>
  <c r="K280" i="74" s="1"/>
  <c r="K208" i="74"/>
  <c r="K281" i="74" s="1"/>
  <c r="K209" i="74"/>
  <c r="K282" i="74" s="1"/>
  <c r="K201" i="74"/>
  <c r="K202" i="74" s="1"/>
  <c r="K290" i="74" s="1"/>
  <c r="K195" i="74"/>
  <c r="K196" i="74"/>
  <c r="K189" i="74"/>
  <c r="K190" i="74"/>
  <c r="K293" i="74" s="1"/>
  <c r="J169" i="74"/>
  <c r="J260" i="74" s="1"/>
  <c r="J173" i="74"/>
  <c r="J261" i="74" s="1"/>
  <c r="J177" i="74"/>
  <c r="J268" i="74" s="1"/>
  <c r="J178" i="74"/>
  <c r="J269" i="74" s="1"/>
  <c r="J179" i="74"/>
  <c r="J180" i="74"/>
  <c r="J271" i="74" s="1"/>
  <c r="J181" i="74"/>
  <c r="J272" i="74" s="1"/>
  <c r="J182" i="74"/>
  <c r="J273" i="74" s="1"/>
  <c r="J183" i="74"/>
  <c r="J274" i="74" s="1"/>
  <c r="J75" i="74"/>
  <c r="J188" i="74" s="1"/>
  <c r="J288" i="74" s="1"/>
  <c r="J206" i="74"/>
  <c r="J279" i="74" s="1"/>
  <c r="J207" i="74"/>
  <c r="J208" i="74"/>
  <c r="J281" i="74" s="1"/>
  <c r="J209" i="74"/>
  <c r="J282" i="74" s="1"/>
  <c r="J201" i="74"/>
  <c r="J202" i="74" s="1"/>
  <c r="J290" i="74" s="1"/>
  <c r="J195" i="74"/>
  <c r="J196" i="74"/>
  <c r="J189" i="74"/>
  <c r="J190" i="74"/>
  <c r="J293" i="74" s="1"/>
  <c r="I169" i="74"/>
  <c r="I260" i="74" s="1"/>
  <c r="I173" i="74"/>
  <c r="I261" i="74" s="1"/>
  <c r="I177" i="74"/>
  <c r="I268" i="74" s="1"/>
  <c r="I178" i="74"/>
  <c r="I269" i="74" s="1"/>
  <c r="I179" i="74"/>
  <c r="I270" i="74" s="1"/>
  <c r="I180" i="74"/>
  <c r="I271" i="74" s="1"/>
  <c r="I181" i="74"/>
  <c r="I182" i="74"/>
  <c r="I273" i="74" s="1"/>
  <c r="I183" i="74"/>
  <c r="I274" i="74" s="1"/>
  <c r="I75" i="74"/>
  <c r="I188" i="74" s="1"/>
  <c r="I206" i="74"/>
  <c r="I279" i="74" s="1"/>
  <c r="I207" i="74"/>
  <c r="I280" i="74" s="1"/>
  <c r="I208" i="74"/>
  <c r="I209" i="74"/>
  <c r="I282" i="74" s="1"/>
  <c r="I201" i="74"/>
  <c r="I202" i="74" s="1"/>
  <c r="I290" i="74" s="1"/>
  <c r="I195" i="74"/>
  <c r="I196" i="74"/>
  <c r="I189" i="74"/>
  <c r="I292" i="74" s="1"/>
  <c r="I190" i="74"/>
  <c r="I293" i="74" s="1"/>
  <c r="G169" i="74"/>
  <c r="G260" i="74" s="1"/>
  <c r="G173" i="74"/>
  <c r="G261" i="74" s="1"/>
  <c r="G177" i="74"/>
  <c r="G178" i="74"/>
  <c r="G269" i="74" s="1"/>
  <c r="G179" i="74"/>
  <c r="G270" i="74" s="1"/>
  <c r="G180" i="74"/>
  <c r="G271" i="74" s="1"/>
  <c r="G181" i="74"/>
  <c r="G272" i="74" s="1"/>
  <c r="G182" i="74"/>
  <c r="G273" i="74" s="1"/>
  <c r="G183" i="74"/>
  <c r="G274" i="74" s="1"/>
  <c r="G75" i="74"/>
  <c r="G188" i="74" s="1"/>
  <c r="G288" i="74" s="1"/>
  <c r="G206" i="74"/>
  <c r="G207" i="74"/>
  <c r="G280" i="74" s="1"/>
  <c r="G208" i="74"/>
  <c r="G281" i="74" s="1"/>
  <c r="G209" i="74"/>
  <c r="G282" i="74" s="1"/>
  <c r="G201" i="74"/>
  <c r="G202" i="74" s="1"/>
  <c r="G290" i="74" s="1"/>
  <c r="G195" i="74"/>
  <c r="G196" i="74"/>
  <c r="G189" i="74"/>
  <c r="G190" i="74"/>
  <c r="G293" i="74" s="1"/>
  <c r="G232" i="74"/>
  <c r="G234" i="74" s="1"/>
  <c r="G238" i="74" s="1"/>
  <c r="AQ72" i="74"/>
  <c r="AP72" i="74"/>
  <c r="AO72" i="74"/>
  <c r="AN72" i="74"/>
  <c r="AM72" i="74"/>
  <c r="AL72" i="74"/>
  <c r="AK72" i="74"/>
  <c r="AJ72" i="74"/>
  <c r="AI72" i="74"/>
  <c r="AH72" i="74"/>
  <c r="AG72" i="74"/>
  <c r="AF72" i="74"/>
  <c r="AE72" i="74"/>
  <c r="AD72" i="74"/>
  <c r="AC72" i="74"/>
  <c r="AB72" i="74"/>
  <c r="AA72" i="74"/>
  <c r="Z72" i="74"/>
  <c r="Y72" i="74"/>
  <c r="X72" i="74"/>
  <c r="W72" i="74"/>
  <c r="V72" i="74"/>
  <c r="U72" i="74"/>
  <c r="T72" i="74"/>
  <c r="S72" i="74"/>
  <c r="R72" i="74"/>
  <c r="Q72" i="74"/>
  <c r="P72" i="74"/>
  <c r="O72" i="74"/>
  <c r="N72" i="74"/>
  <c r="M72" i="74"/>
  <c r="L72" i="74"/>
  <c r="K72" i="74"/>
  <c r="J72" i="74"/>
  <c r="I72" i="74"/>
  <c r="H72" i="74"/>
  <c r="G72" i="74"/>
  <c r="AQ45" i="74"/>
  <c r="AP45" i="74"/>
  <c r="AO45" i="74"/>
  <c r="AN45" i="74"/>
  <c r="AM45" i="74"/>
  <c r="AL45" i="74"/>
  <c r="AK45" i="74"/>
  <c r="AJ45" i="74"/>
  <c r="AI45" i="74"/>
  <c r="AH45" i="74"/>
  <c r="AG45" i="74"/>
  <c r="AF45" i="74"/>
  <c r="AE45" i="74"/>
  <c r="AD45" i="74"/>
  <c r="AC45" i="74"/>
  <c r="AB45" i="74"/>
  <c r="AA45" i="74"/>
  <c r="Z45" i="74"/>
  <c r="Y45" i="74"/>
  <c r="X45" i="74"/>
  <c r="W45" i="74"/>
  <c r="V45" i="74"/>
  <c r="U45" i="74"/>
  <c r="T45" i="74"/>
  <c r="S45" i="74"/>
  <c r="R45" i="74"/>
  <c r="Q45" i="74"/>
  <c r="P45" i="74"/>
  <c r="O45" i="74"/>
  <c r="N45" i="74"/>
  <c r="M45" i="74"/>
  <c r="L45" i="74"/>
  <c r="K45" i="74"/>
  <c r="J45" i="74"/>
  <c r="I45" i="74"/>
  <c r="H45" i="74"/>
  <c r="G45" i="74"/>
  <c r="AQ367" i="73"/>
  <c r="AQ372" i="73" s="1"/>
  <c r="AQ374" i="73" s="1"/>
  <c r="AP367" i="73"/>
  <c r="AP372" i="73" s="1"/>
  <c r="AP374" i="73" s="1"/>
  <c r="AO367" i="73"/>
  <c r="AO372" i="73" s="1"/>
  <c r="AO374" i="73" s="1"/>
  <c r="AN367" i="73"/>
  <c r="AN372" i="73" s="1"/>
  <c r="AN374" i="73" s="1"/>
  <c r="AM367" i="73"/>
  <c r="AM372" i="73" s="1"/>
  <c r="AM374" i="73" s="1"/>
  <c r="AL367" i="73"/>
  <c r="AK367" i="73"/>
  <c r="AK372" i="73" s="1"/>
  <c r="AK374" i="73" s="1"/>
  <c r="AJ367" i="73"/>
  <c r="AJ372" i="73" s="1"/>
  <c r="AJ374" i="73" s="1"/>
  <c r="AI367" i="73"/>
  <c r="AI372" i="73" s="1"/>
  <c r="AI374" i="73" s="1"/>
  <c r="AH367" i="73"/>
  <c r="AH372" i="73" s="1"/>
  <c r="AH374" i="73" s="1"/>
  <c r="AG367" i="73"/>
  <c r="AG372" i="73" s="1"/>
  <c r="AG374" i="73" s="1"/>
  <c r="AF367" i="73"/>
  <c r="AF372" i="73" s="1"/>
  <c r="AF374" i="73" s="1"/>
  <c r="AE367" i="73"/>
  <c r="AE372" i="73" s="1"/>
  <c r="AE374" i="73" s="1"/>
  <c r="AD367" i="73"/>
  <c r="AD372" i="73" s="1"/>
  <c r="AD374" i="73" s="1"/>
  <c r="AC367" i="73"/>
  <c r="AC372" i="73" s="1"/>
  <c r="AC374" i="73" s="1"/>
  <c r="AB367" i="73"/>
  <c r="AB372" i="73" s="1"/>
  <c r="AB374" i="73" s="1"/>
  <c r="AA367" i="73"/>
  <c r="Z367" i="73"/>
  <c r="Y367" i="73"/>
  <c r="Y372" i="73" s="1"/>
  <c r="Y374" i="73" s="1"/>
  <c r="X367" i="73"/>
  <c r="X372" i="73" s="1"/>
  <c r="X374" i="73" s="1"/>
  <c r="W367" i="73"/>
  <c r="W372" i="73" s="1"/>
  <c r="W374" i="73" s="1"/>
  <c r="V367" i="73"/>
  <c r="V372" i="73" s="1"/>
  <c r="V374" i="73" s="1"/>
  <c r="U367" i="73"/>
  <c r="U372" i="73" s="1"/>
  <c r="U374" i="73" s="1"/>
  <c r="T367" i="73"/>
  <c r="T372" i="73" s="1"/>
  <c r="T374" i="73" s="1"/>
  <c r="S367" i="73"/>
  <c r="S372" i="73" s="1"/>
  <c r="S374" i="73" s="1"/>
  <c r="R367" i="73"/>
  <c r="R372" i="73" s="1"/>
  <c r="R374" i="73" s="1"/>
  <c r="Q367" i="73"/>
  <c r="Q372" i="73" s="1"/>
  <c r="Q374" i="73" s="1"/>
  <c r="P367" i="73"/>
  <c r="P372" i="73" s="1"/>
  <c r="P374" i="73" s="1"/>
  <c r="O367" i="73"/>
  <c r="O372" i="73" s="1"/>
  <c r="O374" i="73" s="1"/>
  <c r="N367" i="73"/>
  <c r="N372" i="73" s="1"/>
  <c r="N374" i="73" s="1"/>
  <c r="M367" i="73"/>
  <c r="M372" i="73" s="1"/>
  <c r="M374" i="73" s="1"/>
  <c r="L367" i="73"/>
  <c r="L372" i="73" s="1"/>
  <c r="L374" i="73" s="1"/>
  <c r="K367" i="73"/>
  <c r="K372" i="73" s="1"/>
  <c r="K374" i="73" s="1"/>
  <c r="J367" i="73"/>
  <c r="J372" i="73" s="1"/>
  <c r="J374" i="73" s="1"/>
  <c r="I367" i="73"/>
  <c r="I372" i="73" s="1"/>
  <c r="I374" i="73" s="1"/>
  <c r="H367" i="73"/>
  <c r="H372" i="73" s="1"/>
  <c r="H374" i="73" s="1"/>
  <c r="G367" i="73"/>
  <c r="G372" i="73" s="1"/>
  <c r="G374" i="73" s="1"/>
  <c r="AQ373" i="73"/>
  <c r="AP373" i="73"/>
  <c r="AO373" i="73"/>
  <c r="AN373" i="73"/>
  <c r="AM373" i="73"/>
  <c r="AL373" i="73"/>
  <c r="AK373" i="73"/>
  <c r="AJ373" i="73"/>
  <c r="AI373" i="73"/>
  <c r="AH373" i="73"/>
  <c r="AG373" i="73"/>
  <c r="AF373" i="73"/>
  <c r="AE373" i="73"/>
  <c r="AD373" i="73"/>
  <c r="AC373" i="73"/>
  <c r="AB373" i="73"/>
  <c r="AA373" i="73"/>
  <c r="Z373" i="73"/>
  <c r="Y373" i="73"/>
  <c r="X373" i="73"/>
  <c r="W373" i="73"/>
  <c r="V373" i="73"/>
  <c r="U373" i="73"/>
  <c r="T373" i="73"/>
  <c r="S373" i="73"/>
  <c r="R373" i="73"/>
  <c r="Q373" i="73"/>
  <c r="P373" i="73"/>
  <c r="O373" i="73"/>
  <c r="N373" i="73"/>
  <c r="M373" i="73"/>
  <c r="L373" i="73"/>
  <c r="K373" i="73"/>
  <c r="J373" i="73"/>
  <c r="I373" i="73"/>
  <c r="H373" i="73"/>
  <c r="G373" i="73"/>
  <c r="AQ338" i="73"/>
  <c r="AQ366" i="73" s="1"/>
  <c r="AP338" i="73"/>
  <c r="AP366" i="73" s="1"/>
  <c r="AO338" i="73"/>
  <c r="AO366" i="73" s="1"/>
  <c r="AN338" i="73"/>
  <c r="AN366" i="73" s="1"/>
  <c r="AM338" i="73"/>
  <c r="AM366" i="73" s="1"/>
  <c r="AL338" i="73"/>
  <c r="AL366" i="73" s="1"/>
  <c r="AK338" i="73"/>
  <c r="AK366" i="73" s="1"/>
  <c r="AJ338" i="73"/>
  <c r="AJ366" i="73" s="1"/>
  <c r="AI338" i="73"/>
  <c r="AI366" i="73" s="1"/>
  <c r="AH338" i="73"/>
  <c r="AH366" i="73" s="1"/>
  <c r="AG338" i="73"/>
  <c r="AG366" i="73" s="1"/>
  <c r="AF338" i="73"/>
  <c r="AF366" i="73" s="1"/>
  <c r="AE338" i="73"/>
  <c r="AE366" i="73" s="1"/>
  <c r="AD338" i="73"/>
  <c r="AD366" i="73" s="1"/>
  <c r="AC338" i="73"/>
  <c r="AC366" i="73" s="1"/>
  <c r="AB338" i="73"/>
  <c r="AB366" i="73" s="1"/>
  <c r="AA338" i="73"/>
  <c r="AA366" i="73" s="1"/>
  <c r="Z338" i="73"/>
  <c r="Z366" i="73" s="1"/>
  <c r="Y338" i="73"/>
  <c r="Y366" i="73" s="1"/>
  <c r="X338" i="73"/>
  <c r="X366" i="73" s="1"/>
  <c r="W338" i="73"/>
  <c r="W366" i="73" s="1"/>
  <c r="V338" i="73"/>
  <c r="V366" i="73" s="1"/>
  <c r="U338" i="73"/>
  <c r="U366" i="73" s="1"/>
  <c r="T338" i="73"/>
  <c r="T366" i="73" s="1"/>
  <c r="S338" i="73"/>
  <c r="S366" i="73" s="1"/>
  <c r="R338" i="73"/>
  <c r="R366" i="73" s="1"/>
  <c r="Q338" i="73"/>
  <c r="Q366" i="73" s="1"/>
  <c r="P338" i="73"/>
  <c r="P366" i="73" s="1"/>
  <c r="O338" i="73"/>
  <c r="O366" i="73" s="1"/>
  <c r="N338" i="73"/>
  <c r="N366" i="73" s="1"/>
  <c r="M338" i="73"/>
  <c r="M366" i="73" s="1"/>
  <c r="L338" i="73"/>
  <c r="L366" i="73" s="1"/>
  <c r="K338" i="73"/>
  <c r="K366" i="73" s="1"/>
  <c r="J338" i="73"/>
  <c r="J366" i="73" s="1"/>
  <c r="I338" i="73"/>
  <c r="I366" i="73" s="1"/>
  <c r="H338" i="73"/>
  <c r="H366" i="73" s="1"/>
  <c r="G338" i="73"/>
  <c r="G366" i="73" s="1"/>
  <c r="AQ357" i="73"/>
  <c r="AQ358" i="73"/>
  <c r="AQ359" i="73"/>
  <c r="AQ360" i="73"/>
  <c r="AQ334" i="73"/>
  <c r="AQ361" i="73" s="1"/>
  <c r="AP357" i="73"/>
  <c r="AP358" i="73"/>
  <c r="AP359" i="73"/>
  <c r="AP360" i="73"/>
  <c r="AP334" i="73"/>
  <c r="AP361" i="73" s="1"/>
  <c r="AO357" i="73"/>
  <c r="AO358" i="73"/>
  <c r="AO359" i="73"/>
  <c r="AO360" i="73"/>
  <c r="AO334" i="73"/>
  <c r="AO361" i="73" s="1"/>
  <c r="AN357" i="73"/>
  <c r="AN358" i="73"/>
  <c r="AN359" i="73"/>
  <c r="AN360" i="73"/>
  <c r="AN334" i="73"/>
  <c r="AN361" i="73" s="1"/>
  <c r="AM357" i="73"/>
  <c r="AM358" i="73"/>
  <c r="AM359" i="73"/>
  <c r="AM360" i="73"/>
  <c r="AM334" i="73"/>
  <c r="AM361" i="73" s="1"/>
  <c r="AL357" i="73"/>
  <c r="AL358" i="73"/>
  <c r="AL359" i="73"/>
  <c r="AL360" i="73"/>
  <c r="AL334" i="73"/>
  <c r="AL361" i="73" s="1"/>
  <c r="AK357" i="73"/>
  <c r="AK358" i="73"/>
  <c r="AK359" i="73"/>
  <c r="AK360" i="73"/>
  <c r="AK334" i="73"/>
  <c r="AK361" i="73" s="1"/>
  <c r="AJ357" i="73"/>
  <c r="AJ358" i="73"/>
  <c r="AJ359" i="73"/>
  <c r="AJ360" i="73"/>
  <c r="AJ334" i="73"/>
  <c r="AJ361" i="73" s="1"/>
  <c r="AI357" i="73"/>
  <c r="AI358" i="73"/>
  <c r="AI359" i="73"/>
  <c r="AI360" i="73"/>
  <c r="AI334" i="73"/>
  <c r="AI361" i="73" s="1"/>
  <c r="AH357" i="73"/>
  <c r="AH358" i="73"/>
  <c r="AH359" i="73"/>
  <c r="AH360" i="73"/>
  <c r="AH334" i="73"/>
  <c r="AH361" i="73" s="1"/>
  <c r="AG357" i="73"/>
  <c r="AG358" i="73"/>
  <c r="AG359" i="73"/>
  <c r="AG360" i="73"/>
  <c r="AG334" i="73"/>
  <c r="AG361" i="73" s="1"/>
  <c r="AF357" i="73"/>
  <c r="AF358" i="73"/>
  <c r="AF359" i="73"/>
  <c r="AF360" i="73"/>
  <c r="AF334" i="73"/>
  <c r="AF361" i="73" s="1"/>
  <c r="AE357" i="73"/>
  <c r="AE358" i="73"/>
  <c r="AE359" i="73"/>
  <c r="AE360" i="73"/>
  <c r="AE334" i="73"/>
  <c r="AE361" i="73" s="1"/>
  <c r="AD357" i="73"/>
  <c r="AD358" i="73"/>
  <c r="AD359" i="73"/>
  <c r="AD360" i="73"/>
  <c r="AD334" i="73"/>
  <c r="AD361" i="73" s="1"/>
  <c r="AC357" i="73"/>
  <c r="AC358" i="73"/>
  <c r="AC359" i="73"/>
  <c r="AC360" i="73"/>
  <c r="AC334" i="73"/>
  <c r="AC361" i="73" s="1"/>
  <c r="AB357" i="73"/>
  <c r="AB358" i="73"/>
  <c r="AB359" i="73"/>
  <c r="AB360" i="73"/>
  <c r="AB334" i="73"/>
  <c r="AB361" i="73" s="1"/>
  <c r="AA357" i="73"/>
  <c r="AA358" i="73"/>
  <c r="AA359" i="73"/>
  <c r="AA360" i="73"/>
  <c r="AA334" i="73"/>
  <c r="AA361" i="73" s="1"/>
  <c r="Z357" i="73"/>
  <c r="Z358" i="73"/>
  <c r="Z359" i="73"/>
  <c r="Z360" i="73"/>
  <c r="Z334" i="73"/>
  <c r="Z361" i="73" s="1"/>
  <c r="Y357" i="73"/>
  <c r="Y358" i="73"/>
  <c r="Y359" i="73"/>
  <c r="Y360" i="73"/>
  <c r="Y334" i="73"/>
  <c r="Y361" i="73" s="1"/>
  <c r="X357" i="73"/>
  <c r="X358" i="73"/>
  <c r="X359" i="73"/>
  <c r="X360" i="73"/>
  <c r="X334" i="73"/>
  <c r="X361" i="73" s="1"/>
  <c r="W357" i="73"/>
  <c r="W358" i="73"/>
  <c r="W359" i="73"/>
  <c r="W360" i="73"/>
  <c r="W334" i="73"/>
  <c r="W361" i="73" s="1"/>
  <c r="V357" i="73"/>
  <c r="V358" i="73"/>
  <c r="V359" i="73"/>
  <c r="V360" i="73"/>
  <c r="V334" i="73"/>
  <c r="V361" i="73" s="1"/>
  <c r="U357" i="73"/>
  <c r="U358" i="73"/>
  <c r="U359" i="73"/>
  <c r="U360" i="73"/>
  <c r="U334" i="73"/>
  <c r="U361" i="73" s="1"/>
  <c r="T357" i="73"/>
  <c r="T358" i="73"/>
  <c r="T359" i="73"/>
  <c r="T360" i="73"/>
  <c r="T334" i="73"/>
  <c r="T361" i="73" s="1"/>
  <c r="S357" i="73"/>
  <c r="S358" i="73"/>
  <c r="S359" i="73"/>
  <c r="S360" i="73"/>
  <c r="S334" i="73"/>
  <c r="S361" i="73" s="1"/>
  <c r="R357" i="73"/>
  <c r="R358" i="73"/>
  <c r="R359" i="73"/>
  <c r="R360" i="73"/>
  <c r="R334" i="73"/>
  <c r="R361" i="73" s="1"/>
  <c r="Q357" i="73"/>
  <c r="Q358" i="73"/>
  <c r="Q359" i="73"/>
  <c r="Q360" i="73"/>
  <c r="Q334" i="73"/>
  <c r="Q361" i="73" s="1"/>
  <c r="P357" i="73"/>
  <c r="P358" i="73"/>
  <c r="P359" i="73"/>
  <c r="P360" i="73"/>
  <c r="P334" i="73"/>
  <c r="P361" i="73" s="1"/>
  <c r="O357" i="73"/>
  <c r="O358" i="73"/>
  <c r="O359" i="73"/>
  <c r="O360" i="73"/>
  <c r="O334" i="73"/>
  <c r="O361" i="73" s="1"/>
  <c r="N357" i="73"/>
  <c r="N358" i="73"/>
  <c r="N359" i="73"/>
  <c r="N360" i="73"/>
  <c r="N334" i="73"/>
  <c r="N361" i="73" s="1"/>
  <c r="M357" i="73"/>
  <c r="M358" i="73"/>
  <c r="M359" i="73"/>
  <c r="M360" i="73"/>
  <c r="M334" i="73"/>
  <c r="M361" i="73" s="1"/>
  <c r="L357" i="73"/>
  <c r="L358" i="73"/>
  <c r="L359" i="73"/>
  <c r="L360" i="73"/>
  <c r="L334" i="73"/>
  <c r="L361" i="73" s="1"/>
  <c r="K357" i="73"/>
  <c r="K358" i="73"/>
  <c r="K359" i="73"/>
  <c r="K360" i="73"/>
  <c r="K334" i="73"/>
  <c r="K361" i="73" s="1"/>
  <c r="J357" i="73"/>
  <c r="J358" i="73"/>
  <c r="J359" i="73"/>
  <c r="J360" i="73"/>
  <c r="J334" i="73"/>
  <c r="J361" i="73" s="1"/>
  <c r="I357" i="73"/>
  <c r="I358" i="73"/>
  <c r="I359" i="73"/>
  <c r="I360" i="73"/>
  <c r="I334" i="73"/>
  <c r="I361" i="73" s="1"/>
  <c r="H357" i="73"/>
  <c r="H358" i="73"/>
  <c r="H359" i="73"/>
  <c r="H360" i="73"/>
  <c r="H334" i="73"/>
  <c r="H361" i="73" s="1"/>
  <c r="G357" i="73"/>
  <c r="G358" i="73"/>
  <c r="G359" i="73"/>
  <c r="G360" i="73"/>
  <c r="G334" i="73"/>
  <c r="G361" i="73" s="1"/>
  <c r="AQ353" i="73"/>
  <c r="AP353" i="73"/>
  <c r="AO353" i="73"/>
  <c r="AN353" i="73"/>
  <c r="AM353" i="73"/>
  <c r="AL353" i="73"/>
  <c r="AK353" i="73"/>
  <c r="AJ353" i="73"/>
  <c r="AI353" i="73"/>
  <c r="AH353" i="73"/>
  <c r="AG353" i="73"/>
  <c r="AF353" i="73"/>
  <c r="AE353" i="73"/>
  <c r="AD353" i="73"/>
  <c r="AC353" i="73"/>
  <c r="AB353" i="73"/>
  <c r="AA353" i="73"/>
  <c r="Z353" i="73"/>
  <c r="Y353" i="73"/>
  <c r="X353" i="73"/>
  <c r="W353" i="73"/>
  <c r="V353" i="73"/>
  <c r="U353" i="73"/>
  <c r="T353" i="73"/>
  <c r="S353" i="73"/>
  <c r="R353" i="73"/>
  <c r="Q353" i="73"/>
  <c r="P353" i="73"/>
  <c r="O353" i="73"/>
  <c r="N353" i="73"/>
  <c r="M353" i="73"/>
  <c r="L353" i="73"/>
  <c r="K353" i="73"/>
  <c r="J353" i="73"/>
  <c r="I353" i="73"/>
  <c r="H353" i="73"/>
  <c r="G353" i="73"/>
  <c r="AQ352" i="73"/>
  <c r="AP352" i="73"/>
  <c r="AO352" i="73"/>
  <c r="AN352" i="73"/>
  <c r="AM352" i="73"/>
  <c r="AL352" i="73"/>
  <c r="AK352" i="73"/>
  <c r="AJ352" i="73"/>
  <c r="AI352" i="73"/>
  <c r="AH352" i="73"/>
  <c r="AG352" i="73"/>
  <c r="AF352" i="73"/>
  <c r="AE352" i="73"/>
  <c r="AD352" i="73"/>
  <c r="AC352" i="73"/>
  <c r="AB352" i="73"/>
  <c r="AA352" i="73"/>
  <c r="Z352" i="73"/>
  <c r="Y352" i="73"/>
  <c r="X352" i="73"/>
  <c r="W352" i="73"/>
  <c r="V352" i="73"/>
  <c r="U352" i="73"/>
  <c r="T352" i="73"/>
  <c r="S352" i="73"/>
  <c r="R352" i="73"/>
  <c r="Q352" i="73"/>
  <c r="P352" i="73"/>
  <c r="O352" i="73"/>
  <c r="N352" i="73"/>
  <c r="M352" i="73"/>
  <c r="L352" i="73"/>
  <c r="K352" i="73"/>
  <c r="J352" i="73"/>
  <c r="I352" i="73"/>
  <c r="H352" i="73"/>
  <c r="G352" i="73"/>
  <c r="AQ351" i="73"/>
  <c r="AP351" i="73"/>
  <c r="AO351" i="73"/>
  <c r="AN351" i="73"/>
  <c r="AM351" i="73"/>
  <c r="AL351" i="73"/>
  <c r="AK351" i="73"/>
  <c r="AJ351" i="73"/>
  <c r="AI351" i="73"/>
  <c r="AH351" i="73"/>
  <c r="AG351" i="73"/>
  <c r="AF351" i="73"/>
  <c r="AE351" i="73"/>
  <c r="AD351" i="73"/>
  <c r="AC351" i="73"/>
  <c r="AB351" i="73"/>
  <c r="AA351" i="73"/>
  <c r="Z351" i="73"/>
  <c r="Y351" i="73"/>
  <c r="X351" i="73"/>
  <c r="W351" i="73"/>
  <c r="V351" i="73"/>
  <c r="U351" i="73"/>
  <c r="T351" i="73"/>
  <c r="S351" i="73"/>
  <c r="R351" i="73"/>
  <c r="Q351" i="73"/>
  <c r="P351" i="73"/>
  <c r="O351" i="73"/>
  <c r="N351" i="73"/>
  <c r="M351" i="73"/>
  <c r="L351" i="73"/>
  <c r="K351" i="73"/>
  <c r="J351" i="73"/>
  <c r="I351" i="73"/>
  <c r="H351" i="73"/>
  <c r="G351" i="73"/>
  <c r="AQ350" i="73"/>
  <c r="AP350" i="73"/>
  <c r="AO350" i="73"/>
  <c r="AN350" i="73"/>
  <c r="AM350" i="73"/>
  <c r="AL350" i="73"/>
  <c r="AK350" i="73"/>
  <c r="AJ350" i="73"/>
  <c r="AI350" i="73"/>
  <c r="AH350" i="73"/>
  <c r="AG350" i="73"/>
  <c r="AF350" i="73"/>
  <c r="AE350" i="73"/>
  <c r="AD350" i="73"/>
  <c r="AC350" i="73"/>
  <c r="AB350" i="73"/>
  <c r="AA350" i="73"/>
  <c r="Z350" i="73"/>
  <c r="Y350" i="73"/>
  <c r="X350" i="73"/>
  <c r="W350" i="73"/>
  <c r="V350" i="73"/>
  <c r="U350" i="73"/>
  <c r="T350" i="73"/>
  <c r="S350" i="73"/>
  <c r="R350" i="73"/>
  <c r="Q350" i="73"/>
  <c r="P350" i="73"/>
  <c r="O350" i="73"/>
  <c r="N350" i="73"/>
  <c r="M350" i="73"/>
  <c r="L350" i="73"/>
  <c r="K350" i="73"/>
  <c r="J350" i="73"/>
  <c r="I350" i="73"/>
  <c r="H350" i="73"/>
  <c r="G350" i="73"/>
  <c r="AQ349" i="73"/>
  <c r="AP349" i="73"/>
  <c r="AO349" i="73"/>
  <c r="AN349" i="73"/>
  <c r="AM349" i="73"/>
  <c r="AL349" i="73"/>
  <c r="AK349" i="73"/>
  <c r="AJ349" i="73"/>
  <c r="AI349" i="73"/>
  <c r="AH349" i="73"/>
  <c r="AG349" i="73"/>
  <c r="AF349" i="73"/>
  <c r="AE349" i="73"/>
  <c r="AD349" i="73"/>
  <c r="AC349" i="73"/>
  <c r="AB349" i="73"/>
  <c r="AA349" i="73"/>
  <c r="Z349" i="73"/>
  <c r="Y349" i="73"/>
  <c r="X349" i="73"/>
  <c r="W349" i="73"/>
  <c r="V349" i="73"/>
  <c r="U349" i="73"/>
  <c r="T349" i="73"/>
  <c r="S349" i="73"/>
  <c r="R349" i="73"/>
  <c r="Q349" i="73"/>
  <c r="P349" i="73"/>
  <c r="O349" i="73"/>
  <c r="N349" i="73"/>
  <c r="M349" i="73"/>
  <c r="L349" i="73"/>
  <c r="K349" i="73"/>
  <c r="J349" i="73"/>
  <c r="I349" i="73"/>
  <c r="H349" i="73"/>
  <c r="G349" i="73"/>
  <c r="AQ348" i="73"/>
  <c r="AP348" i="73"/>
  <c r="AO348" i="73"/>
  <c r="AN348" i="73"/>
  <c r="AM348" i="73"/>
  <c r="AL348" i="73"/>
  <c r="AK348" i="73"/>
  <c r="AJ348" i="73"/>
  <c r="AI348" i="73"/>
  <c r="AH348" i="73"/>
  <c r="AG348" i="73"/>
  <c r="AF348" i="73"/>
  <c r="AE348" i="73"/>
  <c r="AD348" i="73"/>
  <c r="AC348" i="73"/>
  <c r="AB348" i="73"/>
  <c r="AA348" i="73"/>
  <c r="Z348" i="73"/>
  <c r="Y348" i="73"/>
  <c r="X348" i="73"/>
  <c r="W348" i="73"/>
  <c r="V348" i="73"/>
  <c r="U348" i="73"/>
  <c r="T348" i="73"/>
  <c r="S348" i="73"/>
  <c r="R348" i="73"/>
  <c r="Q348" i="73"/>
  <c r="P348" i="73"/>
  <c r="O348" i="73"/>
  <c r="N348" i="73"/>
  <c r="M348" i="73"/>
  <c r="L348" i="73"/>
  <c r="K348" i="73"/>
  <c r="J348" i="73"/>
  <c r="I348" i="73"/>
  <c r="H348" i="73"/>
  <c r="G348" i="73"/>
  <c r="AM34" i="73"/>
  <c r="AN34" i="73" s="1"/>
  <c r="AO34" i="73" s="1"/>
  <c r="AM80" i="73"/>
  <c r="AM26" i="73"/>
  <c r="AM43" i="73"/>
  <c r="AN43" i="73" s="1"/>
  <c r="AM280" i="73"/>
  <c r="AN280" i="73" s="1"/>
  <c r="AO280" i="73" s="1"/>
  <c r="AP280" i="73" s="1"/>
  <c r="AM281" i="73"/>
  <c r="AN281" i="73" s="1"/>
  <c r="AO281" i="73" s="1"/>
  <c r="AP281" i="73" s="1"/>
  <c r="AM282" i="73"/>
  <c r="AN282" i="73" s="1"/>
  <c r="AO282" i="73" s="1"/>
  <c r="AP282" i="73" s="1"/>
  <c r="AM283" i="73"/>
  <c r="AN283" i="73" s="1"/>
  <c r="AO283" i="73" s="1"/>
  <c r="AP283" i="73" s="1"/>
  <c r="AH34" i="73"/>
  <c r="AI34" i="73" s="1"/>
  <c r="AJ34" i="73" s="1"/>
  <c r="AK34" i="73" s="1"/>
  <c r="AH80" i="73"/>
  <c r="AH26" i="73"/>
  <c r="AI26" i="73" s="1"/>
  <c r="AH280" i="73"/>
  <c r="AI280" i="73" s="1"/>
  <c r="AJ280" i="73" s="1"/>
  <c r="AK280" i="73" s="1"/>
  <c r="AH281" i="73"/>
  <c r="AI281" i="73" s="1"/>
  <c r="AJ281" i="73" s="1"/>
  <c r="AK281" i="73" s="1"/>
  <c r="AH282" i="73"/>
  <c r="AI282" i="73" s="1"/>
  <c r="AJ282" i="73" s="1"/>
  <c r="AK282" i="73" s="1"/>
  <c r="AH283" i="73"/>
  <c r="AI283" i="73" s="1"/>
  <c r="AJ283" i="73" s="1"/>
  <c r="AK283" i="73" s="1"/>
  <c r="AC34" i="73"/>
  <c r="AD34" i="73" s="1"/>
  <c r="AC80" i="73"/>
  <c r="AC26" i="73"/>
  <c r="AC280" i="73"/>
  <c r="AD280" i="73" s="1"/>
  <c r="AE280" i="73" s="1"/>
  <c r="AF280" i="73" s="1"/>
  <c r="AC281" i="73"/>
  <c r="AD281" i="73" s="1"/>
  <c r="AE281" i="73" s="1"/>
  <c r="AF281" i="73" s="1"/>
  <c r="AC282" i="73"/>
  <c r="AD282" i="73" s="1"/>
  <c r="AE282" i="73" s="1"/>
  <c r="AF282" i="73" s="1"/>
  <c r="AC283" i="73"/>
  <c r="AD283" i="73" s="1"/>
  <c r="AE283" i="73" s="1"/>
  <c r="AF283" i="73" s="1"/>
  <c r="X34" i="73"/>
  <c r="Y34" i="73" s="1"/>
  <c r="X80" i="73"/>
  <c r="Y80" i="73" s="1"/>
  <c r="X26" i="73"/>
  <c r="Y26" i="73" s="1"/>
  <c r="X280" i="73"/>
  <c r="Y280" i="73" s="1"/>
  <c r="Z280" i="73" s="1"/>
  <c r="AA280" i="73" s="1"/>
  <c r="X281" i="73"/>
  <c r="Y281" i="73" s="1"/>
  <c r="Z281" i="73" s="1"/>
  <c r="AA281" i="73" s="1"/>
  <c r="X282" i="73"/>
  <c r="Y282" i="73" s="1"/>
  <c r="Z282" i="73" s="1"/>
  <c r="AA282" i="73" s="1"/>
  <c r="X283" i="73"/>
  <c r="Y283" i="73" s="1"/>
  <c r="Z283" i="73" s="1"/>
  <c r="AA283" i="73" s="1"/>
  <c r="S34" i="73"/>
  <c r="T34" i="73" s="1"/>
  <c r="U34" i="73" s="1"/>
  <c r="S80" i="73"/>
  <c r="S26" i="73"/>
  <c r="T26" i="73" s="1"/>
  <c r="U26" i="73" s="1"/>
  <c r="S280" i="73"/>
  <c r="T280" i="73" s="1"/>
  <c r="U280" i="73" s="1"/>
  <c r="V280" i="73" s="1"/>
  <c r="S281" i="73"/>
  <c r="T281" i="73" s="1"/>
  <c r="U281" i="73" s="1"/>
  <c r="V281" i="73" s="1"/>
  <c r="S282" i="73"/>
  <c r="T282" i="73" s="1"/>
  <c r="U282" i="73" s="1"/>
  <c r="V282" i="73" s="1"/>
  <c r="S283" i="73"/>
  <c r="T283" i="73" s="1"/>
  <c r="U283" i="73" s="1"/>
  <c r="V283" i="73" s="1"/>
  <c r="N34" i="73"/>
  <c r="O34" i="73" s="1"/>
  <c r="P34" i="73" s="1"/>
  <c r="Q34" i="73" s="1"/>
  <c r="N80" i="73"/>
  <c r="O80" i="73" s="1"/>
  <c r="P80" i="73" s="1"/>
  <c r="Q80" i="73" s="1"/>
  <c r="N26" i="73"/>
  <c r="O26" i="73" s="1"/>
  <c r="N280" i="73"/>
  <c r="O280" i="73" s="1"/>
  <c r="P280" i="73" s="1"/>
  <c r="Q280" i="73" s="1"/>
  <c r="N281" i="73"/>
  <c r="O281" i="73" s="1"/>
  <c r="P281" i="73" s="1"/>
  <c r="Q281" i="73" s="1"/>
  <c r="N282" i="73"/>
  <c r="O282" i="73" s="1"/>
  <c r="P282" i="73" s="1"/>
  <c r="Q282" i="73" s="1"/>
  <c r="N283" i="73"/>
  <c r="O283" i="73" s="1"/>
  <c r="P283" i="73" s="1"/>
  <c r="Q283" i="73" s="1"/>
  <c r="I80" i="73"/>
  <c r="J80" i="73" s="1"/>
  <c r="K80" i="73" s="1"/>
  <c r="L80" i="73" s="1"/>
  <c r="I26" i="73"/>
  <c r="I280" i="73"/>
  <c r="J280" i="73" s="1"/>
  <c r="K280" i="73" s="1"/>
  <c r="L280" i="73" s="1"/>
  <c r="I281" i="73"/>
  <c r="J281" i="73" s="1"/>
  <c r="K281" i="73" s="1"/>
  <c r="L281" i="73" s="1"/>
  <c r="I282" i="73"/>
  <c r="J282" i="73" s="1"/>
  <c r="K282" i="73" s="1"/>
  <c r="L282" i="73" s="1"/>
  <c r="I283" i="73"/>
  <c r="J283" i="73" s="1"/>
  <c r="K283" i="73" s="1"/>
  <c r="L283" i="73" s="1"/>
  <c r="G160" i="73"/>
  <c r="G161" i="73"/>
  <c r="G162" i="73"/>
  <c r="AQ248" i="73"/>
  <c r="AP248" i="73"/>
  <c r="AO248" i="73"/>
  <c r="AN248" i="73"/>
  <c r="AM248" i="73"/>
  <c r="AL248" i="73"/>
  <c r="AK248" i="73"/>
  <c r="AJ248" i="73"/>
  <c r="AI248" i="73"/>
  <c r="AH248" i="73"/>
  <c r="AG248" i="73"/>
  <c r="AF248" i="73"/>
  <c r="AE248" i="73"/>
  <c r="AD248" i="73"/>
  <c r="AC248" i="73"/>
  <c r="AB248" i="73"/>
  <c r="AA248" i="73"/>
  <c r="Z248" i="73"/>
  <c r="Y248" i="73"/>
  <c r="X248" i="73"/>
  <c r="W248" i="73"/>
  <c r="V248" i="73"/>
  <c r="U248" i="73"/>
  <c r="T248" i="73"/>
  <c r="S248" i="73"/>
  <c r="R248" i="73"/>
  <c r="Q248" i="73"/>
  <c r="P248" i="73"/>
  <c r="O248" i="73"/>
  <c r="N248" i="73"/>
  <c r="M248" i="73"/>
  <c r="L248" i="73"/>
  <c r="K248" i="73"/>
  <c r="J248" i="73"/>
  <c r="I248" i="73"/>
  <c r="H248" i="73"/>
  <c r="G248" i="73"/>
  <c r="AQ81" i="73"/>
  <c r="AL81" i="73"/>
  <c r="AG81" i="73"/>
  <c r="AB81" i="73"/>
  <c r="W81" i="73"/>
  <c r="R81" i="73"/>
  <c r="M81" i="73"/>
  <c r="H81" i="73"/>
  <c r="G81" i="73"/>
  <c r="M54" i="73"/>
  <c r="N54" i="73" s="1"/>
  <c r="O54" i="73" s="1"/>
  <c r="P54" i="73" s="1"/>
  <c r="Q54" i="73" s="1"/>
  <c r="R54" i="73" s="1"/>
  <c r="S54" i="73" s="1"/>
  <c r="T54" i="73" s="1"/>
  <c r="U54" i="73" s="1"/>
  <c r="V54" i="73" s="1"/>
  <c r="W54" i="73" s="1"/>
  <c r="X54" i="73" s="1"/>
  <c r="Y54" i="73" s="1"/>
  <c r="Z54" i="73" s="1"/>
  <c r="AA54" i="73" s="1"/>
  <c r="AB54" i="73" s="1"/>
  <c r="AC54" i="73" s="1"/>
  <c r="AD54" i="73" s="1"/>
  <c r="AE54" i="73" s="1"/>
  <c r="AF54" i="73" s="1"/>
  <c r="AG54" i="73" s="1"/>
  <c r="AH54" i="73" s="1"/>
  <c r="AI54" i="73" s="1"/>
  <c r="AJ54" i="73" s="1"/>
  <c r="AK54" i="73" s="1"/>
  <c r="AL54" i="73" s="1"/>
  <c r="AM54" i="73" s="1"/>
  <c r="AN54" i="73" s="1"/>
  <c r="AO54" i="73" s="1"/>
  <c r="AP54" i="73" s="1"/>
  <c r="M53" i="73"/>
  <c r="N53" i="73" s="1"/>
  <c r="O53" i="73" s="1"/>
  <c r="P53" i="73" s="1"/>
  <c r="Q53" i="73" s="1"/>
  <c r="R53" i="73" s="1"/>
  <c r="S53" i="73" s="1"/>
  <c r="T53" i="73" s="1"/>
  <c r="U53" i="73" s="1"/>
  <c r="V53" i="73" s="1"/>
  <c r="W53" i="73" s="1"/>
  <c r="X53" i="73" s="1"/>
  <c r="Y53" i="73" s="1"/>
  <c r="Z53" i="73" s="1"/>
  <c r="AA53" i="73" s="1"/>
  <c r="AB53" i="73" s="1"/>
  <c r="AC53" i="73" s="1"/>
  <c r="AD53" i="73" s="1"/>
  <c r="AE53" i="73" s="1"/>
  <c r="AF53" i="73" s="1"/>
  <c r="AG53" i="73" s="1"/>
  <c r="AH53" i="73" s="1"/>
  <c r="AI53" i="73" s="1"/>
  <c r="AJ53" i="73" s="1"/>
  <c r="AK53" i="73" s="1"/>
  <c r="AL53" i="73" s="1"/>
  <c r="AM53" i="73" s="1"/>
  <c r="AN53" i="73" s="1"/>
  <c r="AO53" i="73" s="1"/>
  <c r="AP53" i="73" s="1"/>
  <c r="M52" i="73"/>
  <c r="N52" i="73" s="1"/>
  <c r="O52" i="73" s="1"/>
  <c r="P52" i="73" s="1"/>
  <c r="Q52" i="73" s="1"/>
  <c r="R52" i="73" s="1"/>
  <c r="S52" i="73" s="1"/>
  <c r="T52" i="73" s="1"/>
  <c r="U52" i="73" s="1"/>
  <c r="V52" i="73" s="1"/>
  <c r="W52" i="73" s="1"/>
  <c r="X52" i="73" s="1"/>
  <c r="Y52" i="73" s="1"/>
  <c r="Z52" i="73" s="1"/>
  <c r="AA52" i="73" s="1"/>
  <c r="AB52" i="73" s="1"/>
  <c r="AC52" i="73" s="1"/>
  <c r="AD52" i="73" s="1"/>
  <c r="AE52" i="73" s="1"/>
  <c r="AF52" i="73" s="1"/>
  <c r="AG52" i="73" s="1"/>
  <c r="AH52" i="73" s="1"/>
  <c r="AI52" i="73" s="1"/>
  <c r="AJ52" i="73" s="1"/>
  <c r="AK52" i="73" s="1"/>
  <c r="AL52" i="73" s="1"/>
  <c r="AM52" i="73" s="1"/>
  <c r="AN52" i="73" s="1"/>
  <c r="AO52" i="73" s="1"/>
  <c r="AP52" i="73" s="1"/>
  <c r="AM44" i="73"/>
  <c r="AN44" i="73" s="1"/>
  <c r="AO44" i="73" s="1"/>
  <c r="AP44" i="73" s="1"/>
  <c r="AM37" i="73"/>
  <c r="AN37" i="73" s="1"/>
  <c r="AO37" i="73" s="1"/>
  <c r="AP37" i="73" s="1"/>
  <c r="AH37" i="73"/>
  <c r="AI37" i="73" s="1"/>
  <c r="AJ37" i="73" s="1"/>
  <c r="AK37" i="73" s="1"/>
  <c r="AC37" i="73"/>
  <c r="AD37" i="73" s="1"/>
  <c r="AE37" i="73" s="1"/>
  <c r="AF37" i="73" s="1"/>
  <c r="X37" i="73"/>
  <c r="Y37" i="73" s="1"/>
  <c r="Z37" i="73" s="1"/>
  <c r="AA37" i="73" s="1"/>
  <c r="S37" i="73"/>
  <c r="T37" i="73" s="1"/>
  <c r="U37" i="73" s="1"/>
  <c r="V37" i="73" s="1"/>
  <c r="N37" i="73"/>
  <c r="O37" i="73" s="1"/>
  <c r="P37" i="73" s="1"/>
  <c r="Q37" i="73" s="1"/>
  <c r="AM36" i="73"/>
  <c r="AN36" i="73" s="1"/>
  <c r="AO36" i="73" s="1"/>
  <c r="AP36" i="73" s="1"/>
  <c r="AH36" i="73"/>
  <c r="AI36" i="73" s="1"/>
  <c r="AJ36" i="73" s="1"/>
  <c r="AK36" i="73" s="1"/>
  <c r="AC36" i="73"/>
  <c r="AD36" i="73" s="1"/>
  <c r="AE36" i="73" s="1"/>
  <c r="AF36" i="73" s="1"/>
  <c r="X36" i="73"/>
  <c r="Y36" i="73" s="1"/>
  <c r="Z36" i="73" s="1"/>
  <c r="AA36" i="73" s="1"/>
  <c r="S36" i="73"/>
  <c r="T36" i="73" s="1"/>
  <c r="U36" i="73" s="1"/>
  <c r="V36" i="73" s="1"/>
  <c r="N36" i="73"/>
  <c r="O36" i="73" s="1"/>
  <c r="P36" i="73" s="1"/>
  <c r="Q36" i="73" s="1"/>
  <c r="AM35" i="73"/>
  <c r="AN35" i="73" s="1"/>
  <c r="AO35" i="73" s="1"/>
  <c r="AP35" i="73" s="1"/>
  <c r="AH35" i="73"/>
  <c r="AI35" i="73" s="1"/>
  <c r="AJ35" i="73" s="1"/>
  <c r="AK35" i="73" s="1"/>
  <c r="AC35" i="73"/>
  <c r="AD35" i="73" s="1"/>
  <c r="AE35" i="73" s="1"/>
  <c r="AF35" i="73" s="1"/>
  <c r="X35" i="73"/>
  <c r="Y35" i="73" s="1"/>
  <c r="Z35" i="73" s="1"/>
  <c r="AA35" i="73" s="1"/>
  <c r="S35" i="73"/>
  <c r="T35" i="73" s="1"/>
  <c r="U35" i="73" s="1"/>
  <c r="V35" i="73" s="1"/>
  <c r="N35" i="73"/>
  <c r="O35" i="73" s="1"/>
  <c r="P35" i="73" s="1"/>
  <c r="Q35" i="73" s="1"/>
  <c r="AM29" i="73"/>
  <c r="AN29" i="73" s="1"/>
  <c r="AO29" i="73" s="1"/>
  <c r="AP29" i="73" s="1"/>
  <c r="AH29" i="73"/>
  <c r="AI29" i="73" s="1"/>
  <c r="AJ29" i="73" s="1"/>
  <c r="AK29" i="73" s="1"/>
  <c r="AC29" i="73"/>
  <c r="AD29" i="73" s="1"/>
  <c r="AE29" i="73" s="1"/>
  <c r="AF29" i="73" s="1"/>
  <c r="X29" i="73"/>
  <c r="Y29" i="73" s="1"/>
  <c r="Z29" i="73" s="1"/>
  <c r="AA29" i="73" s="1"/>
  <c r="S29" i="73"/>
  <c r="T29" i="73" s="1"/>
  <c r="U29" i="73" s="1"/>
  <c r="V29" i="73" s="1"/>
  <c r="N29" i="73"/>
  <c r="O29" i="73" s="1"/>
  <c r="P29" i="73" s="1"/>
  <c r="Q29" i="73" s="1"/>
  <c r="I29" i="73"/>
  <c r="J29" i="73" s="1"/>
  <c r="K29" i="73" s="1"/>
  <c r="L29" i="73" s="1"/>
  <c r="AM28" i="73"/>
  <c r="AN28" i="73" s="1"/>
  <c r="AO28" i="73" s="1"/>
  <c r="AP28" i="73" s="1"/>
  <c r="AH28" i="73"/>
  <c r="AI28" i="73" s="1"/>
  <c r="AJ28" i="73" s="1"/>
  <c r="AK28" i="73" s="1"/>
  <c r="AC28" i="73"/>
  <c r="AD28" i="73" s="1"/>
  <c r="AE28" i="73" s="1"/>
  <c r="AF28" i="73" s="1"/>
  <c r="X28" i="73"/>
  <c r="Y28" i="73" s="1"/>
  <c r="Z28" i="73" s="1"/>
  <c r="AA28" i="73" s="1"/>
  <c r="S28" i="73"/>
  <c r="T28" i="73" s="1"/>
  <c r="U28" i="73" s="1"/>
  <c r="V28" i="73" s="1"/>
  <c r="N28" i="73"/>
  <c r="O28" i="73" s="1"/>
  <c r="P28" i="73" s="1"/>
  <c r="Q28" i="73" s="1"/>
  <c r="I28" i="73"/>
  <c r="J28" i="73" s="1"/>
  <c r="K28" i="73" s="1"/>
  <c r="L28" i="73" s="1"/>
  <c r="AM27" i="73"/>
  <c r="AN27" i="73" s="1"/>
  <c r="AO27" i="73" s="1"/>
  <c r="AP27" i="73" s="1"/>
  <c r="AH27" i="73"/>
  <c r="AI27" i="73" s="1"/>
  <c r="AJ27" i="73" s="1"/>
  <c r="AK27" i="73" s="1"/>
  <c r="AC27" i="73"/>
  <c r="AD27" i="73" s="1"/>
  <c r="AE27" i="73" s="1"/>
  <c r="AF27" i="73" s="1"/>
  <c r="X27" i="73"/>
  <c r="Y27" i="73" s="1"/>
  <c r="Z27" i="73" s="1"/>
  <c r="AA27" i="73" s="1"/>
  <c r="S27" i="73"/>
  <c r="T27" i="73" s="1"/>
  <c r="U27" i="73" s="1"/>
  <c r="V27" i="73" s="1"/>
  <c r="N27" i="73"/>
  <c r="O27" i="73" s="1"/>
  <c r="P27" i="73" s="1"/>
  <c r="Q27" i="73" s="1"/>
  <c r="I27" i="73"/>
  <c r="J27" i="73" s="1"/>
  <c r="K27" i="73" s="1"/>
  <c r="L27" i="73" s="1"/>
  <c r="AM21" i="73"/>
  <c r="AN21" i="73" s="1"/>
  <c r="AO21" i="73" s="1"/>
  <c r="AP21" i="73" s="1"/>
  <c r="AH21" i="73"/>
  <c r="AI21" i="73" s="1"/>
  <c r="AJ21" i="73" s="1"/>
  <c r="AK21" i="73" s="1"/>
  <c r="AC21" i="73"/>
  <c r="AD21" i="73" s="1"/>
  <c r="AE21" i="73" s="1"/>
  <c r="AF21" i="73" s="1"/>
  <c r="X21" i="73"/>
  <c r="Y21" i="73" s="1"/>
  <c r="Z21" i="73" s="1"/>
  <c r="AA21" i="73" s="1"/>
  <c r="S21" i="73"/>
  <c r="T21" i="73" s="1"/>
  <c r="U21" i="73" s="1"/>
  <c r="V21" i="73" s="1"/>
  <c r="N21" i="73"/>
  <c r="O21" i="73" s="1"/>
  <c r="P21" i="73" s="1"/>
  <c r="Q21" i="73" s="1"/>
  <c r="I21" i="73"/>
  <c r="J21" i="73" s="1"/>
  <c r="K21" i="73" s="1"/>
  <c r="L21" i="73" s="1"/>
  <c r="AM20" i="73"/>
  <c r="AN20" i="73" s="1"/>
  <c r="AO20" i="73" s="1"/>
  <c r="AP20" i="73" s="1"/>
  <c r="AH20" i="73"/>
  <c r="AI20" i="73" s="1"/>
  <c r="AJ20" i="73" s="1"/>
  <c r="AK20" i="73" s="1"/>
  <c r="AC20" i="73"/>
  <c r="AD20" i="73" s="1"/>
  <c r="AE20" i="73" s="1"/>
  <c r="AF20" i="73" s="1"/>
  <c r="X20" i="73"/>
  <c r="Y20" i="73" s="1"/>
  <c r="Z20" i="73" s="1"/>
  <c r="AA20" i="73" s="1"/>
  <c r="S20" i="73"/>
  <c r="T20" i="73" s="1"/>
  <c r="U20" i="73" s="1"/>
  <c r="V20" i="73" s="1"/>
  <c r="N20" i="73"/>
  <c r="O20" i="73" s="1"/>
  <c r="P20" i="73" s="1"/>
  <c r="Q20" i="73" s="1"/>
  <c r="I20" i="73"/>
  <c r="J20" i="73" s="1"/>
  <c r="K20" i="73" s="1"/>
  <c r="L20" i="73" s="1"/>
  <c r="AM19" i="73"/>
  <c r="AN19" i="73" s="1"/>
  <c r="AO19" i="73" s="1"/>
  <c r="AP19" i="73" s="1"/>
  <c r="AH19" i="73"/>
  <c r="AI19" i="73" s="1"/>
  <c r="AJ19" i="73" s="1"/>
  <c r="AK19" i="73" s="1"/>
  <c r="AC19" i="73"/>
  <c r="AD19" i="73" s="1"/>
  <c r="AE19" i="73" s="1"/>
  <c r="AF19" i="73" s="1"/>
  <c r="X19" i="73"/>
  <c r="Y19" i="73" s="1"/>
  <c r="Z19" i="73" s="1"/>
  <c r="AA19" i="73" s="1"/>
  <c r="S19" i="73"/>
  <c r="T19" i="73" s="1"/>
  <c r="U19" i="73" s="1"/>
  <c r="V19" i="73" s="1"/>
  <c r="N19" i="73"/>
  <c r="O19" i="73" s="1"/>
  <c r="P19" i="73" s="1"/>
  <c r="Q19" i="73" s="1"/>
  <c r="I19" i="73"/>
  <c r="J19" i="73" s="1"/>
  <c r="K19" i="73" s="1"/>
  <c r="L19" i="73" s="1"/>
  <c r="N108" i="36"/>
  <c r="D1275" i="48"/>
  <c r="D1279" i="48"/>
  <c r="D1278" i="48"/>
  <c r="D1276" i="48"/>
  <c r="D1274" i="48"/>
  <c r="D1273" i="48"/>
  <c r="D1272" i="48"/>
  <c r="D1271" i="48"/>
  <c r="D1270" i="48"/>
  <c r="C620" i="48"/>
  <c r="C742" i="48" s="1"/>
  <c r="C621" i="48"/>
  <c r="C622" i="48"/>
  <c r="C623" i="48"/>
  <c r="C619" i="48"/>
  <c r="D793" i="50"/>
  <c r="D788" i="50"/>
  <c r="D789" i="50"/>
  <c r="D790" i="50"/>
  <c r="D791" i="50"/>
  <c r="D792" i="50"/>
  <c r="D209" i="52"/>
  <c r="D210" i="52"/>
  <c r="D211" i="52"/>
  <c r="D208" i="52"/>
  <c r="D252" i="52"/>
  <c r="D251" i="52"/>
  <c r="D250" i="52"/>
  <c r="D249" i="52"/>
  <c r="D248" i="52"/>
  <c r="D247" i="52"/>
  <c r="D246" i="52"/>
  <c r="D579" i="51"/>
  <c r="D578" i="51"/>
  <c r="D577" i="51"/>
  <c r="D576" i="51"/>
  <c r="D575" i="51"/>
  <c r="D582" i="51"/>
  <c r="D581" i="51"/>
  <c r="D580" i="51"/>
  <c r="D119" i="44"/>
  <c r="D118" i="44"/>
  <c r="D117" i="44"/>
  <c r="D116" i="44"/>
  <c r="D115" i="44"/>
  <c r="D114" i="44"/>
  <c r="D113" i="44"/>
  <c r="D112" i="44"/>
  <c r="D111" i="44"/>
  <c r="D38" i="59"/>
  <c r="E38" i="59"/>
  <c r="F38" i="59"/>
  <c r="G38" i="59"/>
  <c r="H38" i="59"/>
  <c r="I38" i="59"/>
  <c r="J38" i="59"/>
  <c r="D39" i="59"/>
  <c r="E39" i="59"/>
  <c r="F39" i="59"/>
  <c r="G39" i="59"/>
  <c r="H39" i="59"/>
  <c r="I39" i="59"/>
  <c r="J39" i="59"/>
  <c r="D40" i="59"/>
  <c r="E40" i="59"/>
  <c r="F40" i="59"/>
  <c r="G40" i="59"/>
  <c r="H40" i="59"/>
  <c r="I40" i="59"/>
  <c r="J40" i="59"/>
  <c r="D41" i="59"/>
  <c r="E41" i="59"/>
  <c r="F41" i="59"/>
  <c r="G41" i="59"/>
  <c r="H41" i="59"/>
  <c r="I41" i="59"/>
  <c r="J41" i="59"/>
  <c r="D42" i="59"/>
  <c r="E42" i="59"/>
  <c r="F42" i="59"/>
  <c r="G42" i="59"/>
  <c r="H42" i="59"/>
  <c r="I42" i="59"/>
  <c r="J42" i="59"/>
  <c r="D43" i="59"/>
  <c r="E43" i="59"/>
  <c r="F43" i="59"/>
  <c r="G43" i="59"/>
  <c r="H43" i="59"/>
  <c r="I43" i="59"/>
  <c r="J43" i="59"/>
  <c r="D44" i="59"/>
  <c r="E44" i="59"/>
  <c r="F44" i="59"/>
  <c r="G44" i="59"/>
  <c r="H44" i="59"/>
  <c r="I44" i="59"/>
  <c r="J44" i="59"/>
  <c r="C39" i="59"/>
  <c r="C40" i="59"/>
  <c r="C41" i="59"/>
  <c r="C42" i="59"/>
  <c r="C43" i="59"/>
  <c r="C44" i="59"/>
  <c r="C32" i="59"/>
  <c r="D32" i="59"/>
  <c r="E32" i="59"/>
  <c r="F32" i="59"/>
  <c r="G32" i="59"/>
  <c r="H32" i="59"/>
  <c r="I32" i="59"/>
  <c r="J32" i="59"/>
  <c r="C33" i="59"/>
  <c r="D33" i="59"/>
  <c r="E33" i="59"/>
  <c r="F33" i="59"/>
  <c r="G33" i="59"/>
  <c r="H33" i="59"/>
  <c r="I33" i="59"/>
  <c r="J33" i="59"/>
  <c r="C34" i="59"/>
  <c r="D34" i="59"/>
  <c r="E34" i="59"/>
  <c r="F34" i="59"/>
  <c r="G34" i="59"/>
  <c r="H34" i="59"/>
  <c r="I34" i="59"/>
  <c r="J34" i="59"/>
  <c r="C35" i="59"/>
  <c r="D35" i="59"/>
  <c r="E35" i="59"/>
  <c r="F35" i="59"/>
  <c r="G35" i="59"/>
  <c r="H35" i="59"/>
  <c r="I35" i="59"/>
  <c r="J35" i="59"/>
  <c r="C36" i="59"/>
  <c r="D36" i="59"/>
  <c r="E36" i="59"/>
  <c r="F36" i="59"/>
  <c r="G36" i="59"/>
  <c r="H36" i="59"/>
  <c r="I36" i="59"/>
  <c r="J36" i="59"/>
  <c r="C37" i="59"/>
  <c r="D37" i="59"/>
  <c r="E37" i="59"/>
  <c r="F37" i="59"/>
  <c r="G37" i="59"/>
  <c r="H37" i="59"/>
  <c r="I37" i="59"/>
  <c r="J37" i="59"/>
  <c r="D31" i="59"/>
  <c r="E31" i="59"/>
  <c r="F31" i="59"/>
  <c r="G31" i="59"/>
  <c r="H31" i="59"/>
  <c r="I31" i="59"/>
  <c r="J31" i="59"/>
  <c r="C31" i="59"/>
  <c r="C38" i="59"/>
  <c r="K76" i="44"/>
  <c r="H17" i="56"/>
  <c r="I17" i="56" s="1"/>
  <c r="H18" i="56"/>
  <c r="I18" i="56" s="1"/>
  <c r="H19" i="56"/>
  <c r="I19" i="56" s="1"/>
  <c r="H20" i="56"/>
  <c r="I20" i="56" s="1"/>
  <c r="H21" i="56"/>
  <c r="I21" i="56" s="1"/>
  <c r="H23" i="56"/>
  <c r="I23" i="56" s="1"/>
  <c r="H24" i="56"/>
  <c r="I24" i="56" s="1"/>
  <c r="H25" i="56"/>
  <c r="I25" i="56" s="1"/>
  <c r="H10" i="56"/>
  <c r="I10" i="56" s="1"/>
  <c r="H11" i="56"/>
  <c r="I11" i="56" s="1"/>
  <c r="H9" i="56"/>
  <c r="I9" i="56" s="1"/>
  <c r="C55" i="3"/>
  <c r="D55" i="3"/>
  <c r="E55" i="3"/>
  <c r="F55" i="3"/>
  <c r="C56" i="3"/>
  <c r="D56" i="3"/>
  <c r="E56" i="3"/>
  <c r="F56" i="3"/>
  <c r="C57" i="3"/>
  <c r="D57" i="3"/>
  <c r="E57" i="3"/>
  <c r="F57" i="3"/>
  <c r="C58" i="3"/>
  <c r="D58" i="3"/>
  <c r="E58" i="3"/>
  <c r="F58" i="3"/>
  <c r="C59" i="3"/>
  <c r="D59" i="3"/>
  <c r="E59" i="3"/>
  <c r="F59" i="3"/>
  <c r="C60" i="3"/>
  <c r="D60" i="3"/>
  <c r="E60" i="3"/>
  <c r="F60" i="3"/>
  <c r="H16" i="56"/>
  <c r="I16" i="56" s="1"/>
  <c r="H15" i="56"/>
  <c r="I15" i="56" s="1"/>
  <c r="H14" i="56"/>
  <c r="I14" i="56" s="1"/>
  <c r="H13" i="56"/>
  <c r="I13" i="56" s="1"/>
  <c r="H12" i="56"/>
  <c r="I12" i="56" s="1"/>
  <c r="H8" i="56"/>
  <c r="I8" i="56" s="1"/>
  <c r="H6" i="56"/>
  <c r="I6" i="56" s="1"/>
  <c r="H5" i="56"/>
  <c r="I5" i="56" s="1"/>
  <c r="F72" i="48"/>
  <c r="D92" i="53"/>
  <c r="D91" i="53"/>
  <c r="F544" i="48"/>
  <c r="F538" i="48"/>
  <c r="M249" i="48"/>
  <c r="L249" i="48"/>
  <c r="K249" i="48"/>
  <c r="J249" i="48"/>
  <c r="I249" i="48"/>
  <c r="H249" i="48"/>
  <c r="G249" i="48"/>
  <c r="F249" i="48"/>
  <c r="F73" i="48"/>
  <c r="F71" i="48"/>
  <c r="C62" i="3"/>
  <c r="F58" i="38"/>
  <c r="E8" i="38"/>
  <c r="G110" i="44"/>
  <c r="H110" i="44"/>
  <c r="I110" i="44"/>
  <c r="J110" i="44"/>
  <c r="K110" i="44"/>
  <c r="L110" i="44"/>
  <c r="M110" i="44"/>
  <c r="F110" i="44"/>
  <c r="E115" i="40"/>
  <c r="D115" i="40"/>
  <c r="E79" i="39"/>
  <c r="D79" i="39"/>
  <c r="F60" i="39"/>
  <c r="F59" i="38"/>
  <c r="F39" i="37"/>
  <c r="F38" i="37"/>
  <c r="F38" i="36"/>
  <c r="F38" i="35"/>
  <c r="D63" i="3"/>
  <c r="D62" i="3"/>
  <c r="D61" i="3"/>
  <c r="D113" i="3"/>
  <c r="D114" i="3" s="1"/>
  <c r="C113" i="3"/>
  <c r="C114" i="3" s="1"/>
  <c r="C115" i="3" s="1"/>
  <c r="E62" i="3"/>
  <c r="C63" i="3"/>
  <c r="C61" i="3"/>
  <c r="E61" i="3"/>
  <c r="E63" i="3"/>
  <c r="F61" i="3"/>
  <c r="F62" i="3"/>
  <c r="F63" i="3"/>
  <c r="J141" i="52"/>
  <c r="K44" i="41"/>
  <c r="K266" i="41" s="1"/>
  <c r="K354" i="41" s="1"/>
  <c r="F44" i="41"/>
  <c r="F266" i="41" s="1"/>
  <c r="F354" i="41" s="1"/>
  <c r="I58" i="41"/>
  <c r="I267" i="41" s="1"/>
  <c r="I365" i="41" s="1"/>
  <c r="L58" i="41"/>
  <c r="L267" i="41" s="1"/>
  <c r="L365" i="41" s="1"/>
  <c r="J58" i="41"/>
  <c r="J267" i="41" s="1"/>
  <c r="J365" i="41" s="1"/>
  <c r="H58" i="41"/>
  <c r="H267" i="41" s="1"/>
  <c r="H365" i="41" s="1"/>
  <c r="I72" i="41"/>
  <c r="I268" i="41" s="1"/>
  <c r="I376" i="41" s="1"/>
  <c r="G72" i="41"/>
  <c r="G268" i="41" s="1"/>
  <c r="G376" i="41" s="1"/>
  <c r="J72" i="41"/>
  <c r="J268" i="41" s="1"/>
  <c r="J376" i="41" s="1"/>
  <c r="M72" i="41"/>
  <c r="M268" i="41" s="1"/>
  <c r="M376" i="41" s="1"/>
  <c r="F72" i="41"/>
  <c r="F268" i="41" s="1"/>
  <c r="F376" i="41" s="1"/>
  <c r="K72" i="41"/>
  <c r="K268" i="41" s="1"/>
  <c r="K376" i="41" s="1"/>
  <c r="H72" i="41"/>
  <c r="H268" i="41" s="1"/>
  <c r="H376" i="41" s="1"/>
  <c r="I44" i="41"/>
  <c r="I266" i="41" s="1"/>
  <c r="I354" i="41" s="1"/>
  <c r="J44" i="41"/>
  <c r="J266" i="41" s="1"/>
  <c r="J354" i="41" s="1"/>
  <c r="L44" i="41"/>
  <c r="L266" i="41" s="1"/>
  <c r="L354" i="41" s="1"/>
  <c r="G58" i="41"/>
  <c r="G267" i="41" s="1"/>
  <c r="G365" i="41" s="1"/>
  <c r="K58" i="41"/>
  <c r="K267" i="41" s="1"/>
  <c r="K365" i="41" s="1"/>
  <c r="M58" i="41"/>
  <c r="M267" i="41" s="1"/>
  <c r="M365" i="41" s="1"/>
  <c r="M141" i="52"/>
  <c r="K141" i="52"/>
  <c r="I141" i="52"/>
  <c r="H141" i="52"/>
  <c r="F141" i="52"/>
  <c r="G141" i="52"/>
  <c r="L40" i="44"/>
  <c r="G44" i="41"/>
  <c r="G266" i="41" s="1"/>
  <c r="G354" i="41" s="1"/>
  <c r="M44" i="41"/>
  <c r="M266" i="41" s="1"/>
  <c r="M354" i="41" s="1"/>
  <c r="G281" i="50"/>
  <c r="H281" i="50" s="1"/>
  <c r="I281" i="50" s="1"/>
  <c r="J281" i="50" s="1"/>
  <c r="K281" i="50" s="1"/>
  <c r="L281" i="50" s="1"/>
  <c r="G280" i="50"/>
  <c r="H280" i="50" s="1"/>
  <c r="I280" i="50" s="1"/>
  <c r="J280" i="50" s="1"/>
  <c r="K280" i="50" s="1"/>
  <c r="L280" i="50" s="1"/>
  <c r="AN12" i="47" l="1"/>
  <c r="R7" i="47"/>
  <c r="L185" i="73"/>
  <c r="L256" i="73"/>
  <c r="M16" i="53"/>
  <c r="M87" i="53" s="1"/>
  <c r="M12" i="3" s="1"/>
  <c r="G16" i="53"/>
  <c r="H15" i="53"/>
  <c r="I15" i="53" s="1"/>
  <c r="J15" i="53" s="1"/>
  <c r="K15" i="53" s="1"/>
  <c r="L15" i="53" s="1"/>
  <c r="M15" i="53" s="1"/>
  <c r="N15" i="53" s="1"/>
  <c r="F29" i="38"/>
  <c r="F82" i="38" s="1"/>
  <c r="M29" i="38"/>
  <c r="L89" i="41"/>
  <c r="L90" i="41"/>
  <c r="M274" i="41" s="1"/>
  <c r="G274" i="41" s="1"/>
  <c r="H274" i="41" s="1"/>
  <c r="L88" i="41"/>
  <c r="M272" i="41" s="1"/>
  <c r="L429" i="50"/>
  <c r="K432" i="50"/>
  <c r="I430" i="50"/>
  <c r="I442" i="50"/>
  <c r="J134" i="73"/>
  <c r="J154" i="73" s="1"/>
  <c r="F444" i="50"/>
  <c r="H282" i="50"/>
  <c r="H715" i="50" s="1"/>
  <c r="G446" i="50"/>
  <c r="M443" i="50"/>
  <c r="I356" i="41"/>
  <c r="I357" i="41" s="1"/>
  <c r="I358" i="41" s="1"/>
  <c r="I359" i="41" s="1"/>
  <c r="I361" i="41" s="1"/>
  <c r="F20" i="38"/>
  <c r="M447" i="50"/>
  <c r="H451" i="50"/>
  <c r="AN52" i="75"/>
  <c r="AN627" i="75" s="1"/>
  <c r="S659" i="75"/>
  <c r="Y191" i="74"/>
  <c r="M430" i="50"/>
  <c r="F465" i="50"/>
  <c r="F403" i="51"/>
  <c r="F406" i="51" s="1"/>
  <c r="G356" i="41"/>
  <c r="G357" i="41" s="1"/>
  <c r="G358" i="41" s="1"/>
  <c r="G359" i="41" s="1"/>
  <c r="G361" i="41" s="1"/>
  <c r="F427" i="50"/>
  <c r="F496" i="50" s="1"/>
  <c r="K463" i="50"/>
  <c r="G433" i="50"/>
  <c r="L466" i="50"/>
  <c r="F404" i="51"/>
  <c r="F407" i="51" s="1"/>
  <c r="F424" i="51" s="1"/>
  <c r="F441" i="51" s="1"/>
  <c r="F452" i="51" s="1"/>
  <c r="J404" i="51"/>
  <c r="J407" i="51" s="1"/>
  <c r="J424" i="51" s="1"/>
  <c r="J441" i="51" s="1"/>
  <c r="G431" i="50"/>
  <c r="J403" i="51"/>
  <c r="J406" i="51" s="1"/>
  <c r="J20" i="38"/>
  <c r="M468" i="50"/>
  <c r="F472" i="50"/>
  <c r="G367" i="41"/>
  <c r="G368" i="41" s="1"/>
  <c r="G369" i="41" s="1"/>
  <c r="G370" i="41" s="1"/>
  <c r="G372" i="41" s="1"/>
  <c r="M442" i="50"/>
  <c r="J446" i="50"/>
  <c r="J448" i="50"/>
  <c r="K403" i="51"/>
  <c r="K406" i="51" s="1"/>
  <c r="G403" i="51"/>
  <c r="G406" i="51" s="1"/>
  <c r="G423" i="51" s="1"/>
  <c r="G440" i="51" s="1"/>
  <c r="G481" i="51" s="1"/>
  <c r="G451" i="50"/>
  <c r="K446" i="50"/>
  <c r="AB191" i="74"/>
  <c r="AB152" i="73"/>
  <c r="Z52" i="75"/>
  <c r="Z627" i="75" s="1"/>
  <c r="AA659" i="75"/>
  <c r="P659" i="75"/>
  <c r="U659" i="75"/>
  <c r="AE659" i="75"/>
  <c r="AJ659" i="75"/>
  <c r="AO659" i="75"/>
  <c r="K19" i="57"/>
  <c r="K153" i="47" s="1"/>
  <c r="K61" i="49"/>
  <c r="H19" i="57"/>
  <c r="H45" i="57" s="1"/>
  <c r="K367" i="41"/>
  <c r="K368" i="41" s="1"/>
  <c r="K369" i="41" s="1"/>
  <c r="K370" i="41" s="1"/>
  <c r="K372" i="41" s="1"/>
  <c r="M197" i="74"/>
  <c r="M291" i="74" s="1"/>
  <c r="O659" i="75"/>
  <c r="W368" i="73"/>
  <c r="M450" i="50"/>
  <c r="I444" i="50"/>
  <c r="I445" i="50"/>
  <c r="L450" i="50"/>
  <c r="L443" i="50"/>
  <c r="H22" i="73"/>
  <c r="H128" i="73" s="1"/>
  <c r="H153" i="73" s="1"/>
  <c r="J445" i="50"/>
  <c r="H442" i="50"/>
  <c r="G448" i="50"/>
  <c r="L448" i="50"/>
  <c r="L444" i="50"/>
  <c r="H444" i="50"/>
  <c r="AC134" i="73"/>
  <c r="AC152" i="73" s="1"/>
  <c r="AE47" i="73"/>
  <c r="AE183" i="73" s="1"/>
  <c r="AE184" i="73" s="1"/>
  <c r="P486" i="75"/>
  <c r="P681" i="75" s="1"/>
  <c r="J392" i="75"/>
  <c r="J658" i="75" s="1"/>
  <c r="J710" i="75" s="1"/>
  <c r="H356" i="41"/>
  <c r="H357" i="41" s="1"/>
  <c r="H358" i="41" s="1"/>
  <c r="H359" i="41" s="1"/>
  <c r="H361" i="41" s="1"/>
  <c r="H191" i="74"/>
  <c r="T27" i="74"/>
  <c r="AB292" i="74"/>
  <c r="I367" i="41"/>
  <c r="I368" i="41" s="1"/>
  <c r="I369" i="41" s="1"/>
  <c r="I370" i="41" s="1"/>
  <c r="I372" i="41" s="1"/>
  <c r="M47" i="73"/>
  <c r="M183" i="73" s="1"/>
  <c r="M184" i="73" s="1"/>
  <c r="M446" i="50"/>
  <c r="R292" i="74"/>
  <c r="J356" i="41"/>
  <c r="J357" i="41" s="1"/>
  <c r="J358" i="41" s="1"/>
  <c r="J359" i="41" s="1"/>
  <c r="J361" i="41" s="1"/>
  <c r="H378" i="41"/>
  <c r="H379" i="41" s="1"/>
  <c r="H380" i="41" s="1"/>
  <c r="H381" i="41" s="1"/>
  <c r="H383" i="41" s="1"/>
  <c r="M378" i="41"/>
  <c r="M379" i="41" s="1"/>
  <c r="M380" i="41" s="1"/>
  <c r="M381" i="41" s="1"/>
  <c r="M383" i="41" s="1"/>
  <c r="M448" i="50"/>
  <c r="K47" i="73"/>
  <c r="K183" i="73" s="1"/>
  <c r="K184" i="73" s="1"/>
  <c r="I452" i="50"/>
  <c r="L445" i="50"/>
  <c r="G443" i="50"/>
  <c r="H450" i="50"/>
  <c r="K445" i="50"/>
  <c r="H443" i="50"/>
  <c r="L451" i="50"/>
  <c r="I447" i="50"/>
  <c r="G449" i="50"/>
  <c r="K404" i="51"/>
  <c r="K407" i="51" s="1"/>
  <c r="K424" i="51" s="1"/>
  <c r="K441" i="51" s="1"/>
  <c r="K501" i="51" s="1"/>
  <c r="G404" i="51"/>
  <c r="G407" i="51" s="1"/>
  <c r="G424" i="51" s="1"/>
  <c r="G441" i="51" s="1"/>
  <c r="G501" i="51" s="1"/>
  <c r="AH319" i="75"/>
  <c r="L508" i="75"/>
  <c r="S464" i="75"/>
  <c r="U422" i="75"/>
  <c r="U679" i="75" s="1"/>
  <c r="G384" i="75"/>
  <c r="G657" i="75" s="1"/>
  <c r="G709" i="75" s="1"/>
  <c r="AD508" i="75"/>
  <c r="AQ22" i="73"/>
  <c r="AQ128" i="73" s="1"/>
  <c r="AQ153" i="73" s="1"/>
  <c r="M154" i="73"/>
  <c r="AH22" i="73"/>
  <c r="AH128" i="73" s="1"/>
  <c r="H73" i="36"/>
  <c r="M449" i="50"/>
  <c r="W191" i="74"/>
  <c r="K447" i="50"/>
  <c r="H445" i="50"/>
  <c r="K448" i="50"/>
  <c r="L442" i="50"/>
  <c r="I450" i="50"/>
  <c r="J447" i="50"/>
  <c r="G445" i="50"/>
  <c r="H452" i="50"/>
  <c r="G73" i="36"/>
  <c r="M61" i="49"/>
  <c r="K402" i="51"/>
  <c r="G402" i="51"/>
  <c r="F39" i="52"/>
  <c r="F158" i="52" s="1"/>
  <c r="F37" i="52"/>
  <c r="F144" i="52" s="1"/>
  <c r="F38" i="52"/>
  <c r="F155" i="52" s="1"/>
  <c r="F171" i="52" s="1"/>
  <c r="F196" i="52" s="1"/>
  <c r="G152" i="73"/>
  <c r="G156" i="73" s="1"/>
  <c r="H160" i="73" s="1"/>
  <c r="M30" i="73"/>
  <c r="M129" i="73" s="1"/>
  <c r="M367" i="41"/>
  <c r="M368" i="41" s="1"/>
  <c r="M369" i="41" s="1"/>
  <c r="M370" i="41" s="1"/>
  <c r="M372" i="41" s="1"/>
  <c r="AG152" i="73"/>
  <c r="Y659" i="75"/>
  <c r="BR25" i="102"/>
  <c r="W152" i="73"/>
  <c r="AG22" i="73"/>
  <c r="AG128" i="73" s="1"/>
  <c r="AG153" i="73" s="1"/>
  <c r="H367" i="41"/>
  <c r="H368" i="41" s="1"/>
  <c r="H369" i="41" s="1"/>
  <c r="H370" i="41" s="1"/>
  <c r="H372" i="41" s="1"/>
  <c r="Y422" i="75"/>
  <c r="Y679" i="75" s="1"/>
  <c r="Y508" i="75"/>
  <c r="Q22" i="73"/>
  <c r="Q128" i="73" s="1"/>
  <c r="X22" i="73"/>
  <c r="X128" i="73" s="1"/>
  <c r="X153" i="73" s="1"/>
  <c r="AI191" i="74"/>
  <c r="W30" i="73"/>
  <c r="W129" i="73" s="1"/>
  <c r="AD191" i="74"/>
  <c r="I134" i="73"/>
  <c r="I154" i="73" s="1"/>
  <c r="H210" i="74"/>
  <c r="K368" i="73"/>
  <c r="O368" i="73"/>
  <c r="S368" i="73"/>
  <c r="G197" i="74"/>
  <c r="G291" i="74" s="1"/>
  <c r="L197" i="74"/>
  <c r="L291" i="74" s="1"/>
  <c r="V197" i="74"/>
  <c r="V291" i="74" s="1"/>
  <c r="AH597" i="75"/>
  <c r="I659" i="75"/>
  <c r="K422" i="75"/>
  <c r="K679" i="75" s="1"/>
  <c r="L530" i="75"/>
  <c r="R392" i="75"/>
  <c r="R658" i="75" s="1"/>
  <c r="R710" i="75" s="1"/>
  <c r="AA422" i="75"/>
  <c r="AA679" i="75" s="1"/>
  <c r="AC659" i="75"/>
  <c r="AH659" i="75"/>
  <c r="AK464" i="75"/>
  <c r="AL486" i="75"/>
  <c r="AL681" i="75" s="1"/>
  <c r="AL392" i="75"/>
  <c r="AL658" i="75" s="1"/>
  <c r="AL710" i="75" s="1"/>
  <c r="AQ464" i="75"/>
  <c r="AR392" i="75"/>
  <c r="AR658" i="75" s="1"/>
  <c r="AR710" i="75" s="1"/>
  <c r="AR18" i="75"/>
  <c r="AR326" i="75" s="1"/>
  <c r="AR347" i="75" s="1"/>
  <c r="AR552" i="75" s="1"/>
  <c r="AA18" i="75"/>
  <c r="AA324" i="75" s="1"/>
  <c r="AA345" i="75" s="1"/>
  <c r="AA550" i="75" s="1"/>
  <c r="AA26" i="75"/>
  <c r="AA331" i="75" s="1"/>
  <c r="Q38" i="73"/>
  <c r="T279" i="74"/>
  <c r="T283" i="74" s="1"/>
  <c r="T289" i="74" s="1"/>
  <c r="T210" i="74"/>
  <c r="J422" i="75"/>
  <c r="J679" i="75" s="1"/>
  <c r="AI464" i="75"/>
  <c r="AD422" i="75"/>
  <c r="AD679" i="75" s="1"/>
  <c r="J19" i="34"/>
  <c r="J146" i="47" s="1"/>
  <c r="O73" i="73"/>
  <c r="O134" i="73" s="1"/>
  <c r="N134" i="73"/>
  <c r="G30" i="41"/>
  <c r="G265" i="41" s="1"/>
  <c r="G292" i="41" s="1"/>
  <c r="G294" i="41" s="1"/>
  <c r="G295" i="41" s="1"/>
  <c r="H30" i="41"/>
  <c r="H265" i="41" s="1"/>
  <c r="H292" i="41" s="1"/>
  <c r="H294" i="41" s="1"/>
  <c r="H295" i="41" s="1"/>
  <c r="H128" i="47" s="1"/>
  <c r="AF486" i="75"/>
  <c r="AF681" i="75" s="1"/>
  <c r="Y73" i="73"/>
  <c r="Y134" i="73" s="1"/>
  <c r="V464" i="75"/>
  <c r="AG422" i="75"/>
  <c r="AG679" i="75" s="1"/>
  <c r="G242" i="74"/>
  <c r="G311" i="74" s="1"/>
  <c r="G254" i="74"/>
  <c r="AK197" i="74"/>
  <c r="AK291" i="74" s="1"/>
  <c r="K34" i="75"/>
  <c r="K340" i="75" s="1"/>
  <c r="AD576" i="75"/>
  <c r="Z486" i="75"/>
  <c r="Z681" i="75" s="1"/>
  <c r="I137" i="41"/>
  <c r="I138" i="41"/>
  <c r="G378" i="41"/>
  <c r="G379" i="41" s="1"/>
  <c r="G380" i="41" s="1"/>
  <c r="G381" i="41" s="1"/>
  <c r="G383" i="41" s="1"/>
  <c r="H283" i="74"/>
  <c r="H289" i="74" s="1"/>
  <c r="J486" i="75"/>
  <c r="J681" i="75" s="1"/>
  <c r="J659" i="75"/>
  <c r="AN443" i="75"/>
  <c r="AI508" i="75"/>
  <c r="AI384" i="75"/>
  <c r="AI657" i="75" s="1"/>
  <c r="AI709" i="75" s="1"/>
  <c r="AB197" i="74"/>
  <c r="AB291" i="74" s="1"/>
  <c r="AD659" i="75"/>
  <c r="W197" i="74"/>
  <c r="W291" i="74" s="1"/>
  <c r="R197" i="74"/>
  <c r="R291" i="74" s="1"/>
  <c r="M275" i="74"/>
  <c r="O486" i="75"/>
  <c r="O681" i="75" s="1"/>
  <c r="O508" i="75"/>
  <c r="Y464" i="75"/>
  <c r="F378" i="41"/>
  <c r="F379" i="41" s="1"/>
  <c r="F380" i="41" s="1"/>
  <c r="F381" i="41" s="1"/>
  <c r="F383" i="41" s="1"/>
  <c r="U197" i="74"/>
  <c r="U291" i="74" s="1"/>
  <c r="Z197" i="74"/>
  <c r="Z291" i="74" s="1"/>
  <c r="J368" i="73"/>
  <c r="N368" i="73"/>
  <c r="R368" i="73"/>
  <c r="V368" i="73"/>
  <c r="AP368" i="73"/>
  <c r="W319" i="75"/>
  <c r="AI576" i="75"/>
  <c r="N597" i="75"/>
  <c r="U597" i="75"/>
  <c r="W597" i="75"/>
  <c r="X597" i="75"/>
  <c r="AF597" i="75"/>
  <c r="AI597" i="75"/>
  <c r="AK597" i="75"/>
  <c r="AL597" i="75"/>
  <c r="H443" i="75"/>
  <c r="L659" i="75"/>
  <c r="L392" i="75"/>
  <c r="L658" i="75" s="1"/>
  <c r="L710" i="75" s="1"/>
  <c r="P530" i="75"/>
  <c r="P392" i="75"/>
  <c r="P658" i="75" s="1"/>
  <c r="P710" i="75" s="1"/>
  <c r="Q486" i="75"/>
  <c r="Q681" i="75" s="1"/>
  <c r="Q659" i="75"/>
  <c r="R384" i="75"/>
  <c r="R657" i="75" s="1"/>
  <c r="R709" i="75" s="1"/>
  <c r="S422" i="75"/>
  <c r="S679" i="75" s="1"/>
  <c r="U486" i="75"/>
  <c r="U681" i="75" s="1"/>
  <c r="V659" i="75"/>
  <c r="Z422" i="75"/>
  <c r="Z679" i="75" s="1"/>
  <c r="AA392" i="75"/>
  <c r="AA658" i="75" s="1"/>
  <c r="AA710" i="75" s="1"/>
  <c r="AA384" i="75"/>
  <c r="AA657" i="75" s="1"/>
  <c r="AA709" i="75" s="1"/>
  <c r="AB392" i="75"/>
  <c r="AB658" i="75" s="1"/>
  <c r="AB710" i="75" s="1"/>
  <c r="AE464" i="75"/>
  <c r="AE443" i="75"/>
  <c r="AE530" i="75"/>
  <c r="AE508" i="75"/>
  <c r="AF508" i="75"/>
  <c r="AH530" i="75"/>
  <c r="AJ530" i="75"/>
  <c r="AK422" i="75"/>
  <c r="AK679" i="75" s="1"/>
  <c r="AK384" i="75"/>
  <c r="AK657" i="75" s="1"/>
  <c r="AK709" i="75" s="1"/>
  <c r="AM392" i="75"/>
  <c r="AM658" i="75" s="1"/>
  <c r="AM710" i="75" s="1"/>
  <c r="AO464" i="75"/>
  <c r="AO530" i="75"/>
  <c r="AP422" i="75"/>
  <c r="AP679" i="75" s="1"/>
  <c r="AP659" i="75"/>
  <c r="AQ392" i="75"/>
  <c r="AQ658" i="75" s="1"/>
  <c r="AQ710" i="75" s="1"/>
  <c r="G659" i="75"/>
  <c r="AN659" i="75"/>
  <c r="M83" i="48"/>
  <c r="M19" i="57"/>
  <c r="M45" i="57" s="1"/>
  <c r="M71" i="57" s="1"/>
  <c r="BR22" i="102"/>
  <c r="AB22" i="73"/>
  <c r="AB128" i="73" s="1"/>
  <c r="AB153" i="73" s="1"/>
  <c r="W22" i="73"/>
  <c r="W128" i="73" s="1"/>
  <c r="W153" i="73" s="1"/>
  <c r="I22" i="73"/>
  <c r="I128" i="73" s="1"/>
  <c r="K19" i="34"/>
  <c r="K64" i="34" s="1"/>
  <c r="M451" i="50"/>
  <c r="R30" i="73"/>
  <c r="R129" i="73" s="1"/>
  <c r="R135" i="73" s="1"/>
  <c r="M445" i="50"/>
  <c r="AN22" i="73"/>
  <c r="AN128" i="73" s="1"/>
  <c r="K451" i="50"/>
  <c r="G442" i="50"/>
  <c r="H449" i="50"/>
  <c r="L449" i="50"/>
  <c r="K452" i="50"/>
  <c r="G447" i="50"/>
  <c r="H446" i="50"/>
  <c r="J450" i="50"/>
  <c r="M452" i="50"/>
  <c r="I446" i="50"/>
  <c r="G452" i="50"/>
  <c r="J443" i="50"/>
  <c r="L447" i="50"/>
  <c r="I443" i="50"/>
  <c r="K450" i="50"/>
  <c r="L452" i="50"/>
  <c r="J452" i="50"/>
  <c r="K442" i="50"/>
  <c r="H61" i="49"/>
  <c r="AL22" i="73"/>
  <c r="AL128" i="73" s="1"/>
  <c r="AL153" i="73" s="1"/>
  <c r="G22" i="73"/>
  <c r="G128" i="73" s="1"/>
  <c r="G153" i="73" s="1"/>
  <c r="G157" i="73" s="1"/>
  <c r="H161" i="73" s="1"/>
  <c r="AI22" i="73"/>
  <c r="AI128" i="73" s="1"/>
  <c r="M444" i="50"/>
  <c r="K443" i="50"/>
  <c r="I448" i="50"/>
  <c r="G450" i="50"/>
  <c r="J449" i="50"/>
  <c r="K444" i="50"/>
  <c r="I449" i="50"/>
  <c r="J442" i="50"/>
  <c r="L446" i="50"/>
  <c r="K449" i="50"/>
  <c r="G444" i="50"/>
  <c r="H447" i="50"/>
  <c r="J451" i="50"/>
  <c r="H448" i="50"/>
  <c r="I451" i="50"/>
  <c r="J444" i="50"/>
  <c r="G292" i="74"/>
  <c r="G191" i="74"/>
  <c r="L292" i="74"/>
  <c r="L191" i="74"/>
  <c r="Q292" i="74"/>
  <c r="Q191" i="74"/>
  <c r="Z279" i="74"/>
  <c r="Z283" i="74" s="1"/>
  <c r="Z289" i="74" s="1"/>
  <c r="Z210" i="74"/>
  <c r="V597" i="75"/>
  <c r="K530" i="75"/>
  <c r="R530" i="75"/>
  <c r="S443" i="75"/>
  <c r="V422" i="75"/>
  <c r="V679" i="75" s="1"/>
  <c r="V384" i="75"/>
  <c r="V657" i="75" s="1"/>
  <c r="V709" i="75" s="1"/>
  <c r="Z464" i="75"/>
  <c r="AF384" i="75"/>
  <c r="AF657" i="75" s="1"/>
  <c r="AF709" i="75" s="1"/>
  <c r="AH384" i="75"/>
  <c r="AH657" i="75" s="1"/>
  <c r="AH709" i="75" s="1"/>
  <c r="AJ464" i="75"/>
  <c r="AJ508" i="75"/>
  <c r="AO443" i="75"/>
  <c r="J464" i="75"/>
  <c r="J384" i="75"/>
  <c r="J657" i="75" s="1"/>
  <c r="J709" i="75" s="1"/>
  <c r="AN486" i="75"/>
  <c r="AN681" i="75" s="1"/>
  <c r="AG268" i="74"/>
  <c r="AG275" i="74" s="1"/>
  <c r="AG184" i="74"/>
  <c r="AG263" i="74" s="1"/>
  <c r="AD443" i="75"/>
  <c r="AD486" i="75"/>
  <c r="AD681" i="75" s="1"/>
  <c r="AD384" i="75"/>
  <c r="AD657" i="75" s="1"/>
  <c r="AD709" i="75" s="1"/>
  <c r="O443" i="75"/>
  <c r="AE18" i="73"/>
  <c r="AF18" i="73" s="1"/>
  <c r="AF22" i="73" s="1"/>
  <c r="AF128" i="73" s="1"/>
  <c r="AD22" i="73"/>
  <c r="AD128" i="73" s="1"/>
  <c r="AD153" i="73" s="1"/>
  <c r="AH134" i="73"/>
  <c r="AH154" i="73" s="1"/>
  <c r="AI73" i="73"/>
  <c r="P60" i="75"/>
  <c r="P628" i="75" s="1"/>
  <c r="AL60" i="75"/>
  <c r="AL628" i="75" s="1"/>
  <c r="AO44" i="75"/>
  <c r="AO626" i="75" s="1"/>
  <c r="R152" i="73"/>
  <c r="R154" i="73"/>
  <c r="M184" i="74"/>
  <c r="M263" i="74" s="1"/>
  <c r="AL184" i="74"/>
  <c r="AL263" i="74" s="1"/>
  <c r="AB184" i="74"/>
  <c r="AB263" i="74" s="1"/>
  <c r="AF44" i="75"/>
  <c r="AF626" i="75" s="1"/>
  <c r="W576" i="75"/>
  <c r="I464" i="75"/>
  <c r="M486" i="75"/>
  <c r="M681" i="75" s="1"/>
  <c r="M508" i="75"/>
  <c r="Q443" i="75"/>
  <c r="R443" i="75"/>
  <c r="R422" i="75"/>
  <c r="R679" i="75" s="1"/>
  <c r="R659" i="75"/>
  <c r="S392" i="75"/>
  <c r="S658" i="75" s="1"/>
  <c r="S710" i="75" s="1"/>
  <c r="U392" i="75"/>
  <c r="U658" i="75" s="1"/>
  <c r="U710" i="75" s="1"/>
  <c r="V508" i="75"/>
  <c r="AG659" i="75"/>
  <c r="AJ392" i="75"/>
  <c r="AJ658" i="75" s="1"/>
  <c r="AJ710" i="75" s="1"/>
  <c r="AL384" i="75"/>
  <c r="AL657" i="75" s="1"/>
  <c r="AL709" i="75" s="1"/>
  <c r="G508" i="75"/>
  <c r="G392" i="75"/>
  <c r="G658" i="75" s="1"/>
  <c r="G710" i="75" s="1"/>
  <c r="V191" i="74"/>
  <c r="V292" i="74"/>
  <c r="AA292" i="74"/>
  <c r="AA191" i="74"/>
  <c r="AF292" i="74"/>
  <c r="AF191" i="74"/>
  <c r="AK191" i="74"/>
  <c r="AK292" i="74"/>
  <c r="Q576" i="75"/>
  <c r="P508" i="75"/>
  <c r="Q422" i="75"/>
  <c r="Q679" i="75" s="1"/>
  <c r="U443" i="75"/>
  <c r="U530" i="75"/>
  <c r="U508" i="75"/>
  <c r="AC443" i="75"/>
  <c r="AH508" i="75"/>
  <c r="AP443" i="75"/>
  <c r="G72" i="35"/>
  <c r="H33" i="35"/>
  <c r="H72" i="35" s="1"/>
  <c r="J530" i="75"/>
  <c r="J508" i="75"/>
  <c r="AQ292" i="74"/>
  <c r="AQ191" i="74"/>
  <c r="AN464" i="75"/>
  <c r="AD464" i="75"/>
  <c r="AD530" i="75"/>
  <c r="O464" i="75"/>
  <c r="O422" i="75"/>
  <c r="O679" i="75" s="1"/>
  <c r="O530" i="75"/>
  <c r="F367" i="41"/>
  <c r="F368" i="41" s="1"/>
  <c r="F369" i="41" s="1"/>
  <c r="F370" i="41" s="1"/>
  <c r="F372" i="41" s="1"/>
  <c r="S22" i="73"/>
  <c r="S128" i="73" s="1"/>
  <c r="H184" i="74"/>
  <c r="H263" i="74" s="1"/>
  <c r="M210" i="74"/>
  <c r="J367" i="41"/>
  <c r="J368" i="41" s="1"/>
  <c r="J369" i="41" s="1"/>
  <c r="J370" i="41" s="1"/>
  <c r="J372" i="41" s="1"/>
  <c r="Y30" i="73"/>
  <c r="Y129" i="73" s="1"/>
  <c r="Z26" i="73"/>
  <c r="AA26" i="73" s="1"/>
  <c r="AA30" i="73" s="1"/>
  <c r="AA129" i="73" s="1"/>
  <c r="K292" i="74"/>
  <c r="K191" i="74"/>
  <c r="X197" i="74"/>
  <c r="X291" i="74" s="1"/>
  <c r="AK319" i="75"/>
  <c r="AF576" i="75"/>
  <c r="AO576" i="75"/>
  <c r="AS576" i="75"/>
  <c r="K597" i="75"/>
  <c r="AN597" i="75"/>
  <c r="AQ597" i="75"/>
  <c r="N530" i="75"/>
  <c r="P422" i="75"/>
  <c r="P679" i="75" s="1"/>
  <c r="Q530" i="75"/>
  <c r="R508" i="75"/>
  <c r="S530" i="75"/>
  <c r="V486" i="75"/>
  <c r="V681" i="75" s="1"/>
  <c r="V530" i="75"/>
  <c r="V392" i="75"/>
  <c r="V658" i="75" s="1"/>
  <c r="V710" i="75" s="1"/>
  <c r="X530" i="75"/>
  <c r="AA443" i="75"/>
  <c r="AA530" i="75"/>
  <c r="AC486" i="75"/>
  <c r="AC681" i="75" s="1"/>
  <c r="AF464" i="75"/>
  <c r="AF443" i="75"/>
  <c r="AG486" i="75"/>
  <c r="AG681" i="75" s="1"/>
  <c r="AG392" i="75"/>
  <c r="AG658" i="75" s="1"/>
  <c r="AG710" i="75" s="1"/>
  <c r="AH392" i="75"/>
  <c r="AH658" i="75" s="1"/>
  <c r="AH710" i="75" s="1"/>
  <c r="AK443" i="75"/>
  <c r="AL464" i="75"/>
  <c r="AM464" i="75"/>
  <c r="AO392" i="75"/>
  <c r="AO658" i="75" s="1"/>
  <c r="AO710" i="75" s="1"/>
  <c r="AQ443" i="75"/>
  <c r="AQ486" i="75"/>
  <c r="AQ681" i="75" s="1"/>
  <c r="I20" i="38"/>
  <c r="I74" i="38" s="1"/>
  <c r="G20" i="38"/>
  <c r="G74" i="38" s="1"/>
  <c r="AQ270" i="74"/>
  <c r="AQ275" i="74" s="1"/>
  <c r="AQ184" i="74"/>
  <c r="AQ263" i="74" s="1"/>
  <c r="AN422" i="75"/>
  <c r="AN679" i="75" s="1"/>
  <c r="AG292" i="74"/>
  <c r="AG191" i="74"/>
  <c r="AI486" i="75"/>
  <c r="AI681" i="75" s="1"/>
  <c r="AI530" i="75"/>
  <c r="AI392" i="75"/>
  <c r="AI658" i="75" s="1"/>
  <c r="AI710" i="75" s="1"/>
  <c r="AB279" i="74"/>
  <c r="AB283" i="74" s="1"/>
  <c r="AB289" i="74" s="1"/>
  <c r="AB210" i="74"/>
  <c r="AB275" i="74"/>
  <c r="AD392" i="75"/>
  <c r="AD658" i="75" s="1"/>
  <c r="AD710" i="75" s="1"/>
  <c r="W268" i="74"/>
  <c r="W275" i="74" s="1"/>
  <c r="W184" i="74"/>
  <c r="W263" i="74" s="1"/>
  <c r="T464" i="75"/>
  <c r="M292" i="74"/>
  <c r="M191" i="74"/>
  <c r="AS659" i="75"/>
  <c r="AN73" i="73"/>
  <c r="AM134" i="73"/>
  <c r="AM154" i="73" s="1"/>
  <c r="Y486" i="75"/>
  <c r="Y681" i="75" s="1"/>
  <c r="AC22" i="73"/>
  <c r="AC128" i="73" s="1"/>
  <c r="AM22" i="73"/>
  <c r="AM128" i="73" s="1"/>
  <c r="U22" i="73"/>
  <c r="U128" i="73" s="1"/>
  <c r="M22" i="73"/>
  <c r="M128" i="73" s="1"/>
  <c r="M153" i="73" s="1"/>
  <c r="AQ30" i="73"/>
  <c r="AQ129" i="73" s="1"/>
  <c r="L378" i="41"/>
  <c r="L379" i="41" s="1"/>
  <c r="L380" i="41" s="1"/>
  <c r="L381" i="41" s="1"/>
  <c r="L383" i="41" s="1"/>
  <c r="F83" i="48"/>
  <c r="J49" i="48"/>
  <c r="I58" i="48"/>
  <c r="N275" i="74"/>
  <c r="S197" i="74"/>
  <c r="S291" i="74" s="1"/>
  <c r="U283" i="74"/>
  <c r="U289" i="74" s="1"/>
  <c r="AE576" i="75"/>
  <c r="L597" i="75"/>
  <c r="Q597" i="75"/>
  <c r="AS597" i="75"/>
  <c r="H530" i="75"/>
  <c r="I422" i="75"/>
  <c r="I679" i="75" s="1"/>
  <c r="K392" i="75"/>
  <c r="K658" i="75" s="1"/>
  <c r="K710" i="75" s="1"/>
  <c r="M422" i="75"/>
  <c r="M679" i="75" s="1"/>
  <c r="N392" i="75"/>
  <c r="N658" i="75" s="1"/>
  <c r="N710" i="75" s="1"/>
  <c r="Q508" i="75"/>
  <c r="R486" i="75"/>
  <c r="R681" i="75" s="1"/>
  <c r="S486" i="75"/>
  <c r="S681" i="75" s="1"/>
  <c r="S508" i="75"/>
  <c r="S384" i="75"/>
  <c r="S657" i="75" s="1"/>
  <c r="S709" i="75" s="1"/>
  <c r="U384" i="75"/>
  <c r="U657" i="75" s="1"/>
  <c r="U709" i="75" s="1"/>
  <c r="V443" i="75"/>
  <c r="W659" i="75"/>
  <c r="X464" i="75"/>
  <c r="X486" i="75"/>
  <c r="X681" i="75" s="1"/>
  <c r="X508" i="75"/>
  <c r="AB464" i="75"/>
  <c r="AC530" i="75"/>
  <c r="AE422" i="75"/>
  <c r="AE679" i="75" s="1"/>
  <c r="AE392" i="75"/>
  <c r="AE658" i="75" s="1"/>
  <c r="AE710" i="75" s="1"/>
  <c r="AH443" i="75"/>
  <c r="AJ422" i="75"/>
  <c r="AJ679" i="75" s="1"/>
  <c r="AM486" i="75"/>
  <c r="AM681" i="75" s="1"/>
  <c r="AP530" i="75"/>
  <c r="AQ530" i="75"/>
  <c r="AQ659" i="75"/>
  <c r="AE191" i="74"/>
  <c r="M74" i="48"/>
  <c r="I378" i="41"/>
  <c r="I379" i="41" s="1"/>
  <c r="I380" i="41" s="1"/>
  <c r="I381" i="41" s="1"/>
  <c r="I383" i="41" s="1"/>
  <c r="L368" i="73"/>
  <c r="P368" i="73"/>
  <c r="T368" i="73"/>
  <c r="X368" i="73"/>
  <c r="AB368" i="73"/>
  <c r="AJ368" i="73"/>
  <c r="AN368" i="73"/>
  <c r="AP22" i="73"/>
  <c r="AP128" i="73" s="1"/>
  <c r="L356" i="41"/>
  <c r="L357" i="41" s="1"/>
  <c r="L358" i="41" s="1"/>
  <c r="L359" i="41" s="1"/>
  <c r="L361" i="41" s="1"/>
  <c r="I368" i="73"/>
  <c r="M368" i="73"/>
  <c r="Q368" i="73"/>
  <c r="U368" i="73"/>
  <c r="J197" i="74"/>
  <c r="J291" i="74" s="1"/>
  <c r="T197" i="74"/>
  <c r="T291" i="74" s="1"/>
  <c r="AG197" i="74"/>
  <c r="AG291" i="74" s="1"/>
  <c r="AA22" i="73"/>
  <c r="AA128" i="73" s="1"/>
  <c r="F79" i="40"/>
  <c r="F95" i="40" s="1"/>
  <c r="X30" i="73"/>
  <c r="X129" i="73" s="1"/>
  <c r="E113" i="3"/>
  <c r="F113" i="3" s="1"/>
  <c r="G113" i="3" s="1"/>
  <c r="H113" i="3" s="1"/>
  <c r="I113" i="3" s="1"/>
  <c r="J113" i="3" s="1"/>
  <c r="K113" i="3" s="1"/>
  <c r="L113" i="3" s="1"/>
  <c r="M113" i="3" s="1"/>
  <c r="N113" i="3" s="1"/>
  <c r="O113" i="3" s="1"/>
  <c r="P113" i="3" s="1"/>
  <c r="Q113" i="3" s="1"/>
  <c r="R113" i="3" s="1"/>
  <c r="S113" i="3" s="1"/>
  <c r="T113" i="3" s="1"/>
  <c r="U113" i="3" s="1"/>
  <c r="V113" i="3" s="1"/>
  <c r="W113" i="3" s="1"/>
  <c r="X113" i="3" s="1"/>
  <c r="Y113" i="3" s="1"/>
  <c r="Z113" i="3" s="1"/>
  <c r="AA113" i="3" s="1"/>
  <c r="AB113" i="3" s="1"/>
  <c r="AC113" i="3" s="1"/>
  <c r="AD113" i="3" s="1"/>
  <c r="AE113" i="3" s="1"/>
  <c r="AF113" i="3" s="1"/>
  <c r="AG113" i="3" s="1"/>
  <c r="AH113" i="3" s="1"/>
  <c r="AI113" i="3" s="1"/>
  <c r="AJ113" i="3" s="1"/>
  <c r="AK113" i="3" s="1"/>
  <c r="AL113" i="3" s="1"/>
  <c r="AM113" i="3" s="1"/>
  <c r="AJ197" i="74"/>
  <c r="AJ291" i="74" s="1"/>
  <c r="AN197" i="74"/>
  <c r="AN291" i="74" s="1"/>
  <c r="K659" i="75"/>
  <c r="M659" i="75"/>
  <c r="AR659" i="75"/>
  <c r="G392" i="50"/>
  <c r="B22" i="95"/>
  <c r="B33" i="95"/>
  <c r="BR17" i="102"/>
  <c r="BR23" i="102"/>
  <c r="BR26" i="102"/>
  <c r="BL27" i="102"/>
  <c r="F446" i="50"/>
  <c r="T275" i="74"/>
  <c r="AK368" i="73"/>
  <c r="J362" i="73"/>
  <c r="AL362" i="73"/>
  <c r="AP362" i="73"/>
  <c r="AQ362" i="73"/>
  <c r="AM368" i="73"/>
  <c r="AQ368" i="73"/>
  <c r="AF210" i="74"/>
  <c r="N576" i="75"/>
  <c r="AN576" i="75"/>
  <c r="AP576" i="75"/>
  <c r="H384" i="75"/>
  <c r="H657" i="75" s="1"/>
  <c r="H709" i="75" s="1"/>
  <c r="K508" i="75"/>
  <c r="L443" i="75"/>
  <c r="Q464" i="75"/>
  <c r="Q384" i="75"/>
  <c r="Q657" i="75" s="1"/>
  <c r="Q709" i="75" s="1"/>
  <c r="AQ508" i="75"/>
  <c r="AQ384" i="75"/>
  <c r="AQ657" i="75" s="1"/>
  <c r="AQ709" i="75" s="1"/>
  <c r="AR443" i="75"/>
  <c r="AR486" i="75"/>
  <c r="AR681" i="75" s="1"/>
  <c r="AR508" i="75"/>
  <c r="G443" i="75"/>
  <c r="G422" i="75"/>
  <c r="G679" i="75" s="1"/>
  <c r="G530" i="75"/>
  <c r="AQ197" i="74"/>
  <c r="AQ291" i="74" s="1"/>
  <c r="BL21" i="102"/>
  <c r="BL24" i="102"/>
  <c r="G368" i="73"/>
  <c r="Y368" i="73"/>
  <c r="AC368" i="73"/>
  <c r="AG368" i="73"/>
  <c r="N210" i="74"/>
  <c r="Q197" i="74"/>
  <c r="Q291" i="74" s="1"/>
  <c r="AA197" i="74"/>
  <c r="AA291" i="74" s="1"/>
  <c r="AC197" i="74"/>
  <c r="AC291" i="74" s="1"/>
  <c r="AF197" i="74"/>
  <c r="AF291" i="74" s="1"/>
  <c r="AH197" i="74"/>
  <c r="AH291" i="74" s="1"/>
  <c r="AI197" i="74"/>
  <c r="AI291" i="74" s="1"/>
  <c r="AP197" i="74"/>
  <c r="AP291" i="74" s="1"/>
  <c r="AE319" i="75"/>
  <c r="AQ319" i="75"/>
  <c r="J576" i="75"/>
  <c r="L576" i="75"/>
  <c r="T576" i="75"/>
  <c r="H659" i="75"/>
  <c r="N659" i="75"/>
  <c r="AN508" i="75"/>
  <c r="O392" i="75"/>
  <c r="O658" i="75" s="1"/>
  <c r="O710" i="75" s="1"/>
  <c r="O384" i="75"/>
  <c r="O657" i="75" s="1"/>
  <c r="O709" i="75" s="1"/>
  <c r="AS464" i="75"/>
  <c r="AS443" i="75"/>
  <c r="AS422" i="75"/>
  <c r="AS679" i="75" s="1"/>
  <c r="AS530" i="75"/>
  <c r="AS508" i="75"/>
  <c r="AS392" i="75"/>
  <c r="AS658" i="75" s="1"/>
  <c r="AS710" i="75" s="1"/>
  <c r="AS384" i="75"/>
  <c r="AS657" i="75" s="1"/>
  <c r="AS709" i="75" s="1"/>
  <c r="AD154" i="73"/>
  <c r="Y443" i="75"/>
  <c r="Y530" i="75"/>
  <c r="Y392" i="75"/>
  <c r="Y658" i="75" s="1"/>
  <c r="Y710" i="75" s="1"/>
  <c r="Y384" i="75"/>
  <c r="Y657" i="75" s="1"/>
  <c r="Y709" i="75" s="1"/>
  <c r="L83" i="48"/>
  <c r="F443" i="50"/>
  <c r="V26" i="73"/>
  <c r="V30" i="73" s="1"/>
  <c r="V129" i="73" s="1"/>
  <c r="U30" i="73"/>
  <c r="U129" i="73" s="1"/>
  <c r="L98" i="48"/>
  <c r="F98" i="48"/>
  <c r="K134" i="73"/>
  <c r="K154" i="73" s="1"/>
  <c r="M356" i="41"/>
  <c r="M357" i="41" s="1"/>
  <c r="M358" i="41" s="1"/>
  <c r="M359" i="41" s="1"/>
  <c r="M361" i="41" s="1"/>
  <c r="Z22" i="73"/>
  <c r="Z128" i="73" s="1"/>
  <c r="AC210" i="74"/>
  <c r="N22" i="73"/>
  <c r="N128" i="73" s="1"/>
  <c r="AQ47" i="73"/>
  <c r="AQ183" i="73" s="1"/>
  <c r="AQ184" i="73" s="1"/>
  <c r="V210" i="74"/>
  <c r="G240" i="74"/>
  <c r="G255" i="74" s="1"/>
  <c r="AE73" i="73"/>
  <c r="X210" i="74"/>
  <c r="U210" i="74"/>
  <c r="AC47" i="73"/>
  <c r="AC183" i="73" s="1"/>
  <c r="AC184" i="73" s="1"/>
  <c r="J47" i="73"/>
  <c r="J183" i="73" s="1"/>
  <c r="J184" i="73" s="1"/>
  <c r="AM47" i="73"/>
  <c r="AM183" i="73" s="1"/>
  <c r="AM184" i="73" s="1"/>
  <c r="AJ384" i="75"/>
  <c r="AJ657" i="75" s="1"/>
  <c r="AJ709" i="75" s="1"/>
  <c r="AG47" i="73"/>
  <c r="AG183" i="73" s="1"/>
  <c r="AG184" i="73" s="1"/>
  <c r="V47" i="73"/>
  <c r="V183" i="73" s="1"/>
  <c r="V184" i="73" s="1"/>
  <c r="Z47" i="73"/>
  <c r="Z183" i="73" s="1"/>
  <c r="Z184" i="73" s="1"/>
  <c r="G47" i="73"/>
  <c r="G183" i="73" s="1"/>
  <c r="G184" i="73" s="1"/>
  <c r="G256" i="73" s="1"/>
  <c r="I73" i="36"/>
  <c r="Q184" i="74"/>
  <c r="Q263" i="74" s="1"/>
  <c r="O22" i="73"/>
  <c r="O128" i="73" s="1"/>
  <c r="N184" i="74"/>
  <c r="N263" i="74" s="1"/>
  <c r="O191" i="74"/>
  <c r="X152" i="73"/>
  <c r="S30" i="73"/>
  <c r="S129" i="73" s="1"/>
  <c r="AH210" i="74"/>
  <c r="Q210" i="74"/>
  <c r="AD47" i="73"/>
  <c r="AD183" i="73" s="1"/>
  <c r="AD184" i="73" s="1"/>
  <c r="N197" i="74"/>
  <c r="N291" i="74" s="1"/>
  <c r="X283" i="74"/>
  <c r="X289" i="74" s="1"/>
  <c r="Y197" i="74"/>
  <c r="Y291" i="74" s="1"/>
  <c r="AD197" i="74"/>
  <c r="AD291" i="74" s="1"/>
  <c r="X154" i="73"/>
  <c r="P283" i="74"/>
  <c r="P289" i="74" s="1"/>
  <c r="P22" i="73"/>
  <c r="P128" i="73" s="1"/>
  <c r="K184" i="74"/>
  <c r="K263" i="74" s="1"/>
  <c r="T184" i="74"/>
  <c r="T263" i="74" s="1"/>
  <c r="V275" i="74"/>
  <c r="X81" i="73"/>
  <c r="T191" i="74"/>
  <c r="AI368" i="73"/>
  <c r="AE368" i="73"/>
  <c r="K197" i="74"/>
  <c r="K291" i="74" s="1"/>
  <c r="L275" i="74"/>
  <c r="P292" i="74"/>
  <c r="P191" i="74"/>
  <c r="U464" i="75"/>
  <c r="K356" i="41"/>
  <c r="K357" i="41" s="1"/>
  <c r="K358" i="41" s="1"/>
  <c r="K359" i="41" s="1"/>
  <c r="K361" i="41" s="1"/>
  <c r="O197" i="74"/>
  <c r="O291" i="74" s="1"/>
  <c r="AM197" i="74"/>
  <c r="AM291" i="74" s="1"/>
  <c r="AO197" i="74"/>
  <c r="AO291" i="74" s="1"/>
  <c r="K319" i="75"/>
  <c r="O319" i="75"/>
  <c r="S319" i="75"/>
  <c r="U319" i="75"/>
  <c r="X319" i="75"/>
  <c r="Y319" i="75"/>
  <c r="AB319" i="75"/>
  <c r="AD319" i="75"/>
  <c r="AA576" i="75"/>
  <c r="AG576" i="75"/>
  <c r="H597" i="75"/>
  <c r="P597" i="75"/>
  <c r="AB597" i="75"/>
  <c r="AR597" i="75"/>
  <c r="I530" i="75"/>
  <c r="I508" i="75"/>
  <c r="K464" i="75"/>
  <c r="K443" i="75"/>
  <c r="L464" i="75"/>
  <c r="L384" i="75"/>
  <c r="L657" i="75" s="1"/>
  <c r="L709" i="75" s="1"/>
  <c r="M392" i="75"/>
  <c r="M658" i="75" s="1"/>
  <c r="M710" i="75" s="1"/>
  <c r="N384" i="75"/>
  <c r="N657" i="75" s="1"/>
  <c r="N709" i="75" s="1"/>
  <c r="P384" i="75"/>
  <c r="P657" i="75" s="1"/>
  <c r="P709" i="75" s="1"/>
  <c r="Q392" i="75"/>
  <c r="Q658" i="75" s="1"/>
  <c r="Q710" i="75" s="1"/>
  <c r="R464" i="75"/>
  <c r="W443" i="75"/>
  <c r="W530" i="75"/>
  <c r="X659" i="75"/>
  <c r="X392" i="75"/>
  <c r="X658" i="75" s="1"/>
  <c r="X710" i="75" s="1"/>
  <c r="Z508" i="75"/>
  <c r="Z659" i="75"/>
  <c r="Z392" i="75"/>
  <c r="Z658" i="75" s="1"/>
  <c r="Z710" i="75" s="1"/>
  <c r="AA486" i="75"/>
  <c r="AA681" i="75" s="1"/>
  <c r="AB659" i="75"/>
  <c r="AC392" i="75"/>
  <c r="AC658" i="75" s="1"/>
  <c r="AC710" i="75" s="1"/>
  <c r="AF659" i="75"/>
  <c r="AK659" i="75"/>
  <c r="AL659" i="75"/>
  <c r="AP392" i="75"/>
  <c r="AP658" i="75" s="1"/>
  <c r="AP710" i="75" s="1"/>
  <c r="AQ422" i="75"/>
  <c r="AQ679" i="75" s="1"/>
  <c r="AR384" i="75"/>
  <c r="AR657" i="75" s="1"/>
  <c r="AR709" i="75" s="1"/>
  <c r="L74" i="48"/>
  <c r="AL197" i="74"/>
  <c r="AL291" i="74" s="1"/>
  <c r="AN392" i="75"/>
  <c r="AN658" i="75" s="1"/>
  <c r="AN710" i="75" s="1"/>
  <c r="AI659" i="75"/>
  <c r="M402" i="51"/>
  <c r="I402" i="51"/>
  <c r="M283" i="74"/>
  <c r="M289" i="74" s="1"/>
  <c r="M403" i="51"/>
  <c r="M406" i="51" s="1"/>
  <c r="I403" i="51"/>
  <c r="I406" i="51" s="1"/>
  <c r="T443" i="75"/>
  <c r="T422" i="75"/>
  <c r="T679" i="75" s="1"/>
  <c r="T530" i="75"/>
  <c r="T659" i="75"/>
  <c r="T392" i="75"/>
  <c r="T658" i="75" s="1"/>
  <c r="T710" i="75" s="1"/>
  <c r="T384" i="75"/>
  <c r="T657" i="75" s="1"/>
  <c r="T709" i="75" s="1"/>
  <c r="T319" i="75"/>
  <c r="I33" i="95"/>
  <c r="M404" i="51"/>
  <c r="M407" i="51" s="1"/>
  <c r="M424" i="51" s="1"/>
  <c r="M441" i="51" s="1"/>
  <c r="I404" i="51"/>
  <c r="I407" i="51" s="1"/>
  <c r="I424" i="51" s="1"/>
  <c r="I441" i="51" s="1"/>
  <c r="I452" i="51" s="1"/>
  <c r="D115" i="3"/>
  <c r="E115" i="3" s="1"/>
  <c r="F115" i="3" s="1"/>
  <c r="G115" i="3" s="1"/>
  <c r="H115" i="3" s="1"/>
  <c r="I115" i="3" s="1"/>
  <c r="J115" i="3" s="1"/>
  <c r="K115" i="3" s="1"/>
  <c r="L115" i="3" s="1"/>
  <c r="M115" i="3" s="1"/>
  <c r="N115" i="3" s="1"/>
  <c r="O115" i="3" s="1"/>
  <c r="P115" i="3" s="1"/>
  <c r="Q115" i="3" s="1"/>
  <c r="R115" i="3" s="1"/>
  <c r="S115" i="3" s="1"/>
  <c r="T115" i="3" s="1"/>
  <c r="U115" i="3" s="1"/>
  <c r="V115" i="3" s="1"/>
  <c r="W115" i="3" s="1"/>
  <c r="X115" i="3" s="1"/>
  <c r="Y115" i="3" s="1"/>
  <c r="Z115" i="3" s="1"/>
  <c r="AA115" i="3" s="1"/>
  <c r="AB115" i="3" s="1"/>
  <c r="AC115" i="3" s="1"/>
  <c r="AD115" i="3" s="1"/>
  <c r="AE115" i="3" s="1"/>
  <c r="AF115" i="3" s="1"/>
  <c r="AG115" i="3" s="1"/>
  <c r="AH115" i="3" s="1"/>
  <c r="AI115" i="3" s="1"/>
  <c r="AJ115" i="3" s="1"/>
  <c r="AK115" i="3" s="1"/>
  <c r="AL115" i="3" s="1"/>
  <c r="AM115" i="3" s="1"/>
  <c r="E114" i="3"/>
  <c r="F114" i="3" s="1"/>
  <c r="G114" i="3" s="1"/>
  <c r="H114" i="3" s="1"/>
  <c r="I114" i="3" s="1"/>
  <c r="J114" i="3" s="1"/>
  <c r="K114" i="3" s="1"/>
  <c r="L114" i="3" s="1"/>
  <c r="M114" i="3" s="1"/>
  <c r="N114" i="3" s="1"/>
  <c r="O114" i="3" s="1"/>
  <c r="P114" i="3" s="1"/>
  <c r="Q114" i="3" s="1"/>
  <c r="R114" i="3" s="1"/>
  <c r="S114" i="3" s="1"/>
  <c r="T114" i="3" s="1"/>
  <c r="U114" i="3" s="1"/>
  <c r="V114" i="3" s="1"/>
  <c r="W114" i="3" s="1"/>
  <c r="X114" i="3" s="1"/>
  <c r="Y114" i="3" s="1"/>
  <c r="Z114" i="3" s="1"/>
  <c r="AA114" i="3" s="1"/>
  <c r="AB114" i="3" s="1"/>
  <c r="AC114" i="3" s="1"/>
  <c r="AD114" i="3" s="1"/>
  <c r="AE114" i="3" s="1"/>
  <c r="AF114" i="3" s="1"/>
  <c r="AG114" i="3" s="1"/>
  <c r="AH114" i="3" s="1"/>
  <c r="AI114" i="3" s="1"/>
  <c r="AJ114" i="3" s="1"/>
  <c r="AK114" i="3" s="1"/>
  <c r="AL114" i="3" s="1"/>
  <c r="AM114" i="3" s="1"/>
  <c r="Z288" i="74"/>
  <c r="Z191" i="74"/>
  <c r="AM292" i="74"/>
  <c r="AM191" i="74"/>
  <c r="AM268" i="74"/>
  <c r="AM275" i="74" s="1"/>
  <c r="AM184" i="74"/>
  <c r="AM263" i="74" s="1"/>
  <c r="AN292" i="74"/>
  <c r="AN191" i="74"/>
  <c r="R281" i="74"/>
  <c r="R283" i="74" s="1"/>
  <c r="R289" i="74" s="1"/>
  <c r="R210" i="74"/>
  <c r="T486" i="75"/>
  <c r="T681" i="75" s="1"/>
  <c r="K18" i="73"/>
  <c r="J22" i="73"/>
  <c r="J128" i="73" s="1"/>
  <c r="J19" i="35"/>
  <c r="J147" i="47" s="1"/>
  <c r="M19" i="35"/>
  <c r="M147" i="47" s="1"/>
  <c r="F19" i="35"/>
  <c r="L184" i="74"/>
  <c r="L263" i="74" s="1"/>
  <c r="X292" i="74"/>
  <c r="X191" i="74"/>
  <c r="Z271" i="74"/>
  <c r="Z275" i="74" s="1"/>
  <c r="Z184" i="74"/>
  <c r="Z263" i="74" s="1"/>
  <c r="AC292" i="74"/>
  <c r="AC191" i="74"/>
  <c r="AD281" i="74"/>
  <c r="AD283" i="74" s="1"/>
  <c r="AD289" i="74" s="1"/>
  <c r="AD210" i="74"/>
  <c r="AH292" i="74"/>
  <c r="AH191" i="74"/>
  <c r="AJ210" i="74"/>
  <c r="AJ280" i="74"/>
  <c r="AJ283" i="74" s="1"/>
  <c r="AJ289" i="74" s="1"/>
  <c r="AM279" i="74"/>
  <c r="AM283" i="74" s="1"/>
  <c r="AM289" i="74" s="1"/>
  <c r="AM210" i="74"/>
  <c r="AO292" i="74"/>
  <c r="AO191" i="74"/>
  <c r="R270" i="74"/>
  <c r="R275" i="74" s="1"/>
  <c r="R184" i="74"/>
  <c r="R263" i="74" s="1"/>
  <c r="T508" i="75"/>
  <c r="AF279" i="74"/>
  <c r="AF283" i="74" s="1"/>
  <c r="AF289" i="74" s="1"/>
  <c r="K279" i="74"/>
  <c r="K283" i="74" s="1"/>
  <c r="K289" i="74" s="1"/>
  <c r="K210" i="74"/>
  <c r="AP268" i="74"/>
  <c r="AP275" i="74" s="1"/>
  <c r="AP184" i="74"/>
  <c r="AP263" i="74" s="1"/>
  <c r="G319" i="75"/>
  <c r="J319" i="75"/>
  <c r="L319" i="75"/>
  <c r="N319" i="75"/>
  <c r="P319" i="75"/>
  <c r="Q319" i="75"/>
  <c r="V319" i="75"/>
  <c r="Z319" i="75"/>
  <c r="AF319" i="75"/>
  <c r="AG319" i="75"/>
  <c r="AL319" i="75"/>
  <c r="AM319" i="75"/>
  <c r="AN319" i="75"/>
  <c r="AO319" i="75"/>
  <c r="AP319" i="75"/>
  <c r="AS319" i="75"/>
  <c r="G576" i="75"/>
  <c r="H576" i="75"/>
  <c r="I576" i="75"/>
  <c r="K576" i="75"/>
  <c r="M576" i="75"/>
  <c r="O576" i="75"/>
  <c r="P576" i="75"/>
  <c r="R576" i="75"/>
  <c r="S576" i="75"/>
  <c r="U576" i="75"/>
  <c r="V576" i="75"/>
  <c r="X576" i="75"/>
  <c r="Y576" i="75"/>
  <c r="Z576" i="75"/>
  <c r="AB576" i="75"/>
  <c r="AC576" i="75"/>
  <c r="AH576" i="75"/>
  <c r="AJ576" i="75"/>
  <c r="AK576" i="75"/>
  <c r="AL576" i="75"/>
  <c r="AM576" i="75"/>
  <c r="AQ576" i="75"/>
  <c r="AR576" i="75"/>
  <c r="G597" i="75"/>
  <c r="M597" i="75"/>
  <c r="O597" i="75"/>
  <c r="R597" i="75"/>
  <c r="S597" i="75"/>
  <c r="AA597" i="75"/>
  <c r="AC597" i="75"/>
  <c r="AD597" i="75"/>
  <c r="AE597" i="75"/>
  <c r="AG597" i="75"/>
  <c r="AM597" i="75"/>
  <c r="H486" i="75"/>
  <c r="H681" i="75" s="1"/>
  <c r="H508" i="75"/>
  <c r="H319" i="75"/>
  <c r="I443" i="75"/>
  <c r="J292" i="74"/>
  <c r="J191" i="74"/>
  <c r="AJ18" i="73"/>
  <c r="J210" i="74"/>
  <c r="J280" i="74"/>
  <c r="J283" i="74" s="1"/>
  <c r="J289" i="74" s="1"/>
  <c r="AO280" i="74"/>
  <c r="AO283" i="74" s="1"/>
  <c r="AO289" i="74" s="1"/>
  <c r="AO210" i="74"/>
  <c r="AO269" i="74"/>
  <c r="AO275" i="74" s="1"/>
  <c r="AO184" i="74"/>
  <c r="AO263" i="74" s="1"/>
  <c r="T80" i="73"/>
  <c r="T81" i="73" s="1"/>
  <c r="S81" i="73"/>
  <c r="N362" i="73"/>
  <c r="R362" i="73"/>
  <c r="AH362" i="73"/>
  <c r="AO362" i="73"/>
  <c r="M464" i="75"/>
  <c r="M443" i="75"/>
  <c r="M530" i="75"/>
  <c r="M319" i="75"/>
  <c r="M384" i="75"/>
  <c r="M657" i="75" s="1"/>
  <c r="M709" i="75" s="1"/>
  <c r="N464" i="75"/>
  <c r="N443" i="75"/>
  <c r="N486" i="75"/>
  <c r="N681" i="75" s="1"/>
  <c r="N422" i="75"/>
  <c r="N679" i="75" s="1"/>
  <c r="N508" i="75"/>
  <c r="P464" i="75"/>
  <c r="P443" i="75"/>
  <c r="W464" i="75"/>
  <c r="W486" i="75"/>
  <c r="W681" i="75" s="1"/>
  <c r="W422" i="75"/>
  <c r="W679" i="75" s="1"/>
  <c r="W508" i="75"/>
  <c r="W384" i="75"/>
  <c r="W657" i="75" s="1"/>
  <c r="W709" i="75" s="1"/>
  <c r="X443" i="75"/>
  <c r="X422" i="75"/>
  <c r="X679" i="75" s="1"/>
  <c r="X384" i="75"/>
  <c r="X657" i="75" s="1"/>
  <c r="X709" i="75" s="1"/>
  <c r="Z443" i="75"/>
  <c r="Z530" i="75"/>
  <c r="Z384" i="75"/>
  <c r="Z657" i="75" s="1"/>
  <c r="Z709" i="75" s="1"/>
  <c r="AA508" i="75"/>
  <c r="AB443" i="75"/>
  <c r="AB486" i="75"/>
  <c r="AB681" i="75" s="1"/>
  <c r="AB422" i="75"/>
  <c r="AB679" i="75" s="1"/>
  <c r="AB530" i="75"/>
  <c r="AB508" i="75"/>
  <c r="AB384" i="75"/>
  <c r="AB657" i="75" s="1"/>
  <c r="AB709" i="75" s="1"/>
  <c r="AC464" i="75"/>
  <c r="AC422" i="75"/>
  <c r="AC679" i="75" s="1"/>
  <c r="AC319" i="75"/>
  <c r="AC384" i="75"/>
  <c r="AC657" i="75" s="1"/>
  <c r="AC709" i="75" s="1"/>
  <c r="AE486" i="75"/>
  <c r="AE681" i="75" s="1"/>
  <c r="AE384" i="75"/>
  <c r="AE657" i="75" s="1"/>
  <c r="AE709" i="75" s="1"/>
  <c r="AF422" i="75"/>
  <c r="AF679" i="75" s="1"/>
  <c r="AF530" i="75"/>
  <c r="AG464" i="75"/>
  <c r="AG443" i="75"/>
  <c r="AG530" i="75"/>
  <c r="AG508" i="75"/>
  <c r="AG384" i="75"/>
  <c r="AG657" i="75" s="1"/>
  <c r="AG709" i="75" s="1"/>
  <c r="AH464" i="75"/>
  <c r="AH486" i="75"/>
  <c r="AH681" i="75" s="1"/>
  <c r="AH422" i="75"/>
  <c r="AH679" i="75" s="1"/>
  <c r="AJ443" i="75"/>
  <c r="AJ486" i="75"/>
  <c r="AJ681" i="75" s="1"/>
  <c r="AK486" i="75"/>
  <c r="AK681" i="75" s="1"/>
  <c r="AK530" i="75"/>
  <c r="AK508" i="75"/>
  <c r="AL443" i="75"/>
  <c r="AL422" i="75"/>
  <c r="AL679" i="75" s="1"/>
  <c r="AL530" i="75"/>
  <c r="AL508" i="75"/>
  <c r="AM443" i="75"/>
  <c r="AM422" i="75"/>
  <c r="AM679" i="75" s="1"/>
  <c r="AM530" i="75"/>
  <c r="AM508" i="75"/>
  <c r="AM384" i="75"/>
  <c r="AM657" i="75" s="1"/>
  <c r="AM709" i="75" s="1"/>
  <c r="AO486" i="75"/>
  <c r="AO681" i="75" s="1"/>
  <c r="AO422" i="75"/>
  <c r="AO679" i="75" s="1"/>
  <c r="AO508" i="75"/>
  <c r="AO384" i="75"/>
  <c r="AO657" i="75" s="1"/>
  <c r="AO709" i="75" s="1"/>
  <c r="AP464" i="75"/>
  <c r="I486" i="75"/>
  <c r="I681" i="75" s="1"/>
  <c r="K486" i="75"/>
  <c r="K681" i="75" s="1"/>
  <c r="K384" i="75"/>
  <c r="K657" i="75" s="1"/>
  <c r="K709" i="75" s="1"/>
  <c r="AD80" i="73"/>
  <c r="AC81" i="73"/>
  <c r="H362" i="73"/>
  <c r="Z372" i="73"/>
  <c r="Z374" i="73" s="1"/>
  <c r="Z368" i="73"/>
  <c r="L283" i="74"/>
  <c r="L289" i="74" s="1"/>
  <c r="AH368" i="73"/>
  <c r="S279" i="74"/>
  <c r="S210" i="74"/>
  <c r="S268" i="74"/>
  <c r="S275" i="74" s="1"/>
  <c r="S184" i="74"/>
  <c r="S263" i="74" s="1"/>
  <c r="W279" i="74"/>
  <c r="W283" i="74" s="1"/>
  <c r="W289" i="74" s="1"/>
  <c r="W210" i="74"/>
  <c r="D33" i="95"/>
  <c r="AP486" i="75"/>
  <c r="AP681" i="75" s="1"/>
  <c r="AP508" i="75"/>
  <c r="AP384" i="75"/>
  <c r="AP657" i="75" s="1"/>
  <c r="AP709" i="75" s="1"/>
  <c r="AR464" i="75"/>
  <c r="AR422" i="75"/>
  <c r="AR679" i="75" s="1"/>
  <c r="AR530" i="75"/>
  <c r="G464" i="75"/>
  <c r="G486" i="75"/>
  <c r="G681" i="75" s="1"/>
  <c r="H275" i="74"/>
  <c r="J443" i="75"/>
  <c r="AQ279" i="74"/>
  <c r="AQ283" i="74" s="1"/>
  <c r="AQ289" i="74" s="1"/>
  <c r="AQ210" i="74"/>
  <c r="AL275" i="74"/>
  <c r="AN530" i="75"/>
  <c r="AN384" i="75"/>
  <c r="AN657" i="75" s="1"/>
  <c r="AN709" i="75" s="1"/>
  <c r="AG280" i="74"/>
  <c r="AG283" i="74" s="1"/>
  <c r="AG289" i="74" s="1"/>
  <c r="AG210" i="74"/>
  <c r="AI443" i="75"/>
  <c r="AI422" i="75"/>
  <c r="AI679" i="75" s="1"/>
  <c r="AS486" i="75"/>
  <c r="AS681" i="75" s="1"/>
  <c r="AP292" i="74"/>
  <c r="AP191" i="74"/>
  <c r="R319" i="75"/>
  <c r="AA319" i="75"/>
  <c r="AJ319" i="75"/>
  <c r="AR319" i="75"/>
  <c r="I597" i="75"/>
  <c r="J597" i="75"/>
  <c r="T597" i="75"/>
  <c r="Y597" i="75"/>
  <c r="Z597" i="75"/>
  <c r="AJ597" i="75"/>
  <c r="AO597" i="75"/>
  <c r="AP597" i="75"/>
  <c r="H464" i="75"/>
  <c r="H422" i="75"/>
  <c r="H679" i="75" s="1"/>
  <c r="H392" i="75"/>
  <c r="H658" i="75" s="1"/>
  <c r="H710" i="75" s="1"/>
  <c r="I319" i="75"/>
  <c r="I384" i="75"/>
  <c r="I657" i="75" s="1"/>
  <c r="I709" i="75" s="1"/>
  <c r="L486" i="75"/>
  <c r="L681" i="75" s="1"/>
  <c r="L422" i="75"/>
  <c r="L679" i="75" s="1"/>
  <c r="P197" i="74"/>
  <c r="P291" i="74" s="1"/>
  <c r="P210" i="74"/>
  <c r="H197" i="74"/>
  <c r="H291" i="74" s="1"/>
  <c r="AI319" i="75"/>
  <c r="T73" i="73"/>
  <c r="S134" i="73"/>
  <c r="E33" i="95"/>
  <c r="S191" i="74"/>
  <c r="G163" i="73"/>
  <c r="G164" i="73" s="1"/>
  <c r="G177" i="73" s="1"/>
  <c r="G178" i="73" s="1"/>
  <c r="G179" i="73" s="1"/>
  <c r="G180" i="73" s="1"/>
  <c r="AD368" i="73"/>
  <c r="AC283" i="74"/>
  <c r="AC289" i="74" s="1"/>
  <c r="AE197" i="74"/>
  <c r="AE291" i="74" s="1"/>
  <c r="AF275" i="74"/>
  <c r="AA464" i="75"/>
  <c r="AC508" i="75"/>
  <c r="AM659" i="75"/>
  <c r="AL292" i="74"/>
  <c r="AL191" i="74"/>
  <c r="AL279" i="74"/>
  <c r="AL283" i="74" s="1"/>
  <c r="AL289" i="74" s="1"/>
  <c r="AL210" i="74"/>
  <c r="AQ154" i="73"/>
  <c r="AQ152" i="73"/>
  <c r="M26" i="75"/>
  <c r="M331" i="75" s="1"/>
  <c r="M351" i="75" s="1"/>
  <c r="M538" i="75" s="1"/>
  <c r="O34" i="75"/>
  <c r="O340" i="75" s="1"/>
  <c r="O355" i="75" s="1"/>
  <c r="G34" i="75"/>
  <c r="G340" i="75" s="1"/>
  <c r="L19" i="74"/>
  <c r="O19" i="74"/>
  <c r="H30" i="73"/>
  <c r="H129" i="73" s="1"/>
  <c r="N30" i="73"/>
  <c r="N129" i="73" s="1"/>
  <c r="J39" i="52"/>
  <c r="J158" i="52" s="1"/>
  <c r="J198" i="52" s="1"/>
  <c r="K37" i="52"/>
  <c r="K144" i="52" s="1"/>
  <c r="K145" i="52" s="1"/>
  <c r="K149" i="52" s="1"/>
  <c r="K165" i="52" s="1"/>
  <c r="D22" i="95"/>
  <c r="L403" i="51"/>
  <c r="L406" i="51" s="1"/>
  <c r="H403" i="51"/>
  <c r="H406" i="51" s="1"/>
  <c r="K378" i="41"/>
  <c r="K379" i="41" s="1"/>
  <c r="K380" i="41" s="1"/>
  <c r="K381" i="41" s="1"/>
  <c r="K383" i="41" s="1"/>
  <c r="J378" i="41"/>
  <c r="J379" i="41" s="1"/>
  <c r="J380" i="41" s="1"/>
  <c r="J381" i="41" s="1"/>
  <c r="J383" i="41" s="1"/>
  <c r="L367" i="41"/>
  <c r="L368" i="41" s="1"/>
  <c r="L369" i="41" s="1"/>
  <c r="L370" i="41" s="1"/>
  <c r="L372" i="41" s="1"/>
  <c r="AD628" i="75"/>
  <c r="H368" i="73"/>
  <c r="I197" i="74"/>
  <c r="I291" i="74" s="1"/>
  <c r="S43" i="47"/>
  <c r="S46" i="47" s="1"/>
  <c r="M424" i="50"/>
  <c r="M432" i="50"/>
  <c r="F429" i="50"/>
  <c r="F498" i="50" s="1"/>
  <c r="K472" i="50"/>
  <c r="K427" i="50"/>
  <c r="H427" i="50"/>
  <c r="G471" i="50"/>
  <c r="F470" i="50"/>
  <c r="G466" i="50"/>
  <c r="L463" i="50"/>
  <c r="J426" i="50"/>
  <c r="M426" i="50"/>
  <c r="F423" i="50"/>
  <c r="F492" i="50" s="1"/>
  <c r="F431" i="50"/>
  <c r="F500" i="50" s="1"/>
  <c r="K464" i="50"/>
  <c r="G426" i="50"/>
  <c r="I431" i="50"/>
  <c r="K429" i="50"/>
  <c r="J427" i="50"/>
  <c r="H463" i="50"/>
  <c r="G472" i="50"/>
  <c r="H470" i="50"/>
  <c r="L471" i="50"/>
  <c r="I424" i="50"/>
  <c r="F177" i="48"/>
  <c r="F68" i="36"/>
  <c r="F72" i="36" s="1"/>
  <c r="F74" i="36" s="1"/>
  <c r="F76" i="36" s="1"/>
  <c r="F106" i="36" s="1"/>
  <c r="F131" i="47" s="1"/>
  <c r="M428" i="50"/>
  <c r="F425" i="50"/>
  <c r="F494" i="50" s="1"/>
  <c r="F433" i="50"/>
  <c r="F502" i="50" s="1"/>
  <c r="I465" i="50"/>
  <c r="K470" i="50"/>
  <c r="H432" i="50"/>
  <c r="L423" i="50"/>
  <c r="I429" i="50"/>
  <c r="J463" i="50"/>
  <c r="K469" i="50"/>
  <c r="L468" i="50"/>
  <c r="F463" i="50"/>
  <c r="M177" i="48"/>
  <c r="K41" i="49"/>
  <c r="J83" i="48"/>
  <c r="T52" i="75"/>
  <c r="T627" i="75" s="1"/>
  <c r="I49" i="48"/>
  <c r="AF60" i="75"/>
  <c r="AF628" i="75" s="1"/>
  <c r="AK44" i="75"/>
  <c r="AK626" i="75" s="1"/>
  <c r="F49" i="48"/>
  <c r="H58" i="48"/>
  <c r="F30" i="41"/>
  <c r="F265" i="41" s="1"/>
  <c r="F292" i="41" s="1"/>
  <c r="F294" i="41" s="1"/>
  <c r="F295" i="41" s="1"/>
  <c r="F128" i="47" s="1"/>
  <c r="H19" i="36"/>
  <c r="H68" i="36" s="1"/>
  <c r="H72" i="36" s="1"/>
  <c r="H98" i="48"/>
  <c r="H49" i="48"/>
  <c r="K37" i="74"/>
  <c r="K165" i="74" s="1"/>
  <c r="K220" i="74" s="1"/>
  <c r="K262" i="74" s="1"/>
  <c r="G78" i="40"/>
  <c r="M78" i="40"/>
  <c r="I34" i="51"/>
  <c r="I258" i="51" s="1"/>
  <c r="L30" i="41"/>
  <c r="L265" i="41" s="1"/>
  <c r="L292" i="41" s="1"/>
  <c r="L294" i="41" s="1"/>
  <c r="L295" i="41" s="1"/>
  <c r="G44" i="75"/>
  <c r="G626" i="75" s="1"/>
  <c r="N52" i="75"/>
  <c r="N627" i="75" s="1"/>
  <c r="N44" i="75"/>
  <c r="N626" i="75" s="1"/>
  <c r="AA52" i="75"/>
  <c r="AA627" i="75" s="1"/>
  <c r="O55" i="73"/>
  <c r="H39" i="40"/>
  <c r="H79" i="40" s="1"/>
  <c r="H95" i="40" s="1"/>
  <c r="H97" i="40" s="1"/>
  <c r="J282" i="50"/>
  <c r="J715" i="50" s="1"/>
  <c r="AN44" i="75"/>
  <c r="AN626" i="75" s="1"/>
  <c r="K44" i="75"/>
  <c r="K626" i="75" s="1"/>
  <c r="I52" i="75"/>
  <c r="I627" i="75" s="1"/>
  <c r="L58" i="48"/>
  <c r="Y52" i="75"/>
  <c r="Y627" i="75" s="1"/>
  <c r="K83" i="48"/>
  <c r="K49" i="48"/>
  <c r="T44" i="75"/>
  <c r="T626" i="75" s="1"/>
  <c r="J44" i="75"/>
  <c r="J626" i="75" s="1"/>
  <c r="Q60" i="75"/>
  <c r="Q628" i="75" s="1"/>
  <c r="F58" i="48"/>
  <c r="U60" i="75"/>
  <c r="U628" i="75" s="1"/>
  <c r="G150" i="48"/>
  <c r="H154" i="48"/>
  <c r="J155" i="48"/>
  <c r="L156" i="48"/>
  <c r="F156" i="48"/>
  <c r="M151" i="48"/>
  <c r="H153" i="48"/>
  <c r="J154" i="48"/>
  <c r="M152" i="48"/>
  <c r="J156" i="48"/>
  <c r="G154" i="48"/>
  <c r="G98" i="48"/>
  <c r="K98" i="48"/>
  <c r="M98" i="48"/>
  <c r="J98" i="48"/>
  <c r="H413" i="50"/>
  <c r="G409" i="50"/>
  <c r="M39" i="52"/>
  <c r="M158" i="52" s="1"/>
  <c r="M198" i="52" s="1"/>
  <c r="AS44" i="75"/>
  <c r="AS626" i="75" s="1"/>
  <c r="AO60" i="75"/>
  <c r="AO628" i="75" s="1"/>
  <c r="AP44" i="75"/>
  <c r="AP626" i="75" s="1"/>
  <c r="AM60" i="75"/>
  <c r="AM628" i="75" s="1"/>
  <c r="AM52" i="75"/>
  <c r="AM627" i="75" s="1"/>
  <c r="AR52" i="75"/>
  <c r="AR627" i="75" s="1"/>
  <c r="M60" i="75"/>
  <c r="M628" i="75" s="1"/>
  <c r="S52" i="75"/>
  <c r="S627" i="75" s="1"/>
  <c r="X44" i="75"/>
  <c r="X626" i="75" s="1"/>
  <c r="AB60" i="75"/>
  <c r="AB628" i="75" s="1"/>
  <c r="AC52" i="75"/>
  <c r="AC627" i="75" s="1"/>
  <c r="AE44" i="75"/>
  <c r="AE626" i="75" s="1"/>
  <c r="J60" i="75"/>
  <c r="J628" i="75" s="1"/>
  <c r="L52" i="75"/>
  <c r="L627" i="75" s="1"/>
  <c r="Q52" i="75"/>
  <c r="Q627" i="75" s="1"/>
  <c r="V60" i="75"/>
  <c r="V628" i="75" s="1"/>
  <c r="AF52" i="75"/>
  <c r="AF627" i="75" s="1"/>
  <c r="AK60" i="75"/>
  <c r="AK628" i="75" s="1"/>
  <c r="K60" i="75"/>
  <c r="K628" i="75" s="1"/>
  <c r="R60" i="75"/>
  <c r="R628" i="75" s="1"/>
  <c r="W52" i="75"/>
  <c r="W627" i="75" s="1"/>
  <c r="AG44" i="75"/>
  <c r="AG626" i="75" s="1"/>
  <c r="G60" i="75"/>
  <c r="G628" i="75" s="1"/>
  <c r="AI60" i="75"/>
  <c r="AI628" i="75" s="1"/>
  <c r="AD52" i="75"/>
  <c r="AD627" i="75" s="1"/>
  <c r="O60" i="75"/>
  <c r="O628" i="75" s="1"/>
  <c r="AN60" i="75"/>
  <c r="AN628" i="75" s="1"/>
  <c r="O52" i="75"/>
  <c r="O627" i="75" s="1"/>
  <c r="O44" i="75"/>
  <c r="O626" i="75" s="1"/>
  <c r="Y60" i="75"/>
  <c r="Y628" i="75" s="1"/>
  <c r="AQ60" i="75"/>
  <c r="AQ628" i="75" s="1"/>
  <c r="P52" i="75"/>
  <c r="P627" i="75" s="1"/>
  <c r="S44" i="75"/>
  <c r="S626" i="75" s="1"/>
  <c r="AB52" i="75"/>
  <c r="AB627" i="75" s="1"/>
  <c r="AP60" i="75"/>
  <c r="AP628" i="75" s="1"/>
  <c r="AM44" i="75"/>
  <c r="AM626" i="75" s="1"/>
  <c r="AH60" i="75"/>
  <c r="AH628" i="75" s="1"/>
  <c r="AH44" i="75"/>
  <c r="AH626" i="75" s="1"/>
  <c r="AH52" i="75"/>
  <c r="AH627" i="75" s="1"/>
  <c r="AQ52" i="75"/>
  <c r="AQ627" i="75" s="1"/>
  <c r="P44" i="75"/>
  <c r="P626" i="75" s="1"/>
  <c r="I44" i="75"/>
  <c r="I626" i="75" s="1"/>
  <c r="S60" i="75"/>
  <c r="S628" i="75" s="1"/>
  <c r="X52" i="75"/>
  <c r="X627" i="75" s="1"/>
  <c r="Z44" i="75"/>
  <c r="Z626" i="75" s="1"/>
  <c r="AA44" i="75"/>
  <c r="AA626" i="75" s="1"/>
  <c r="AC60" i="75"/>
  <c r="AC628" i="75" s="1"/>
  <c r="AE52" i="75"/>
  <c r="AE627" i="75" s="1"/>
  <c r="K52" i="75"/>
  <c r="K627" i="75" s="1"/>
  <c r="U44" i="75"/>
  <c r="U626" i="75" s="1"/>
  <c r="W44" i="75"/>
  <c r="W626" i="75" s="1"/>
  <c r="AJ44" i="75"/>
  <c r="AJ626" i="75" s="1"/>
  <c r="AL44" i="75"/>
  <c r="AL626" i="75" s="1"/>
  <c r="H52" i="75"/>
  <c r="H627" i="75" s="1"/>
  <c r="L44" i="75"/>
  <c r="L626" i="75" s="1"/>
  <c r="Q44" i="75"/>
  <c r="Q626" i="75" s="1"/>
  <c r="V52" i="75"/>
  <c r="V627" i="75" s="1"/>
  <c r="AG60" i="75"/>
  <c r="AG628" i="75" s="1"/>
  <c r="AL52" i="75"/>
  <c r="AL627" i="75" s="1"/>
  <c r="AD44" i="75"/>
  <c r="AD626" i="75" s="1"/>
  <c r="AS60" i="75"/>
  <c r="AS628" i="75" s="1"/>
  <c r="AS52" i="75"/>
  <c r="AS627" i="75" s="1"/>
  <c r="AR44" i="75"/>
  <c r="AR626" i="75" s="1"/>
  <c r="AQ44" i="75"/>
  <c r="AQ626" i="75" s="1"/>
  <c r="AO52" i="75"/>
  <c r="AO627" i="75" s="1"/>
  <c r="I60" i="75"/>
  <c r="I628" i="75" s="1"/>
  <c r="M52" i="75"/>
  <c r="M627" i="75" s="1"/>
  <c r="Z60" i="75"/>
  <c r="Z628" i="75" s="1"/>
  <c r="AA60" i="75"/>
  <c r="AA628" i="75" s="1"/>
  <c r="AC44" i="75"/>
  <c r="AC626" i="75" s="1"/>
  <c r="H60" i="75"/>
  <c r="H628" i="75" s="1"/>
  <c r="N60" i="75"/>
  <c r="N628" i="75" s="1"/>
  <c r="R52" i="75"/>
  <c r="R627" i="75" s="1"/>
  <c r="V44" i="75"/>
  <c r="V626" i="75" s="1"/>
  <c r="AG52" i="75"/>
  <c r="AG627" i="75" s="1"/>
  <c r="H152" i="48"/>
  <c r="I38" i="52"/>
  <c r="I155" i="52" s="1"/>
  <c r="I171" i="52" s="1"/>
  <c r="I196" i="52" s="1"/>
  <c r="I203" i="52" s="1"/>
  <c r="G39" i="52"/>
  <c r="G158" i="52" s="1"/>
  <c r="K38" i="52"/>
  <c r="K155" i="52" s="1"/>
  <c r="K171" i="52" s="1"/>
  <c r="K196" i="52" s="1"/>
  <c r="K203" i="52" s="1"/>
  <c r="L38" i="52"/>
  <c r="L155" i="52" s="1"/>
  <c r="L171" i="52" s="1"/>
  <c r="L196" i="52" s="1"/>
  <c r="I39" i="52"/>
  <c r="I158" i="52" s="1"/>
  <c r="I198" i="52" s="1"/>
  <c r="J52" i="75"/>
  <c r="J627" i="75" s="1"/>
  <c r="AJ52" i="75"/>
  <c r="AJ627" i="75" s="1"/>
  <c r="R44" i="75"/>
  <c r="R626" i="75" s="1"/>
  <c r="L60" i="75"/>
  <c r="L628" i="75" s="1"/>
  <c r="W60" i="75"/>
  <c r="W628" i="75" s="1"/>
  <c r="AB44" i="75"/>
  <c r="AB626" i="75" s="1"/>
  <c r="M44" i="75"/>
  <c r="M626" i="75" s="1"/>
  <c r="AR60" i="75"/>
  <c r="AR628" i="75" s="1"/>
  <c r="F154" i="48"/>
  <c r="H37" i="52"/>
  <c r="H144" i="52" s="1"/>
  <c r="H146" i="52" s="1"/>
  <c r="H150" i="52" s="1"/>
  <c r="H166" i="52" s="1"/>
  <c r="L39" i="52"/>
  <c r="L158" i="52" s="1"/>
  <c r="L37" i="52"/>
  <c r="L144" i="52" s="1"/>
  <c r="J38" i="52"/>
  <c r="J155" i="52" s="1"/>
  <c r="J171" i="52" s="1"/>
  <c r="J196" i="52" s="1"/>
  <c r="I37" i="52"/>
  <c r="I144" i="52" s="1"/>
  <c r="M38" i="52"/>
  <c r="M155" i="52" s="1"/>
  <c r="M171" i="52" s="1"/>
  <c r="M196" i="52" s="1"/>
  <c r="G38" i="52"/>
  <c r="G155" i="52" s="1"/>
  <c r="G171" i="52" s="1"/>
  <c r="G196" i="52" s="1"/>
  <c r="J37" i="52"/>
  <c r="J144" i="52" s="1"/>
  <c r="J146" i="52" s="1"/>
  <c r="H39" i="52"/>
  <c r="H158" i="52" s="1"/>
  <c r="H198" i="52" s="1"/>
  <c r="G37" i="52"/>
  <c r="G144" i="52" s="1"/>
  <c r="G146" i="52" s="1"/>
  <c r="K39" i="52"/>
  <c r="K158" i="52" s="1"/>
  <c r="K198" i="52" s="1"/>
  <c r="K413" i="50"/>
  <c r="I98" i="48"/>
  <c r="H38" i="52"/>
  <c r="H155" i="52" s="1"/>
  <c r="H171" i="52" s="1"/>
  <c r="H196" i="52" s="1"/>
  <c r="AN55" i="73"/>
  <c r="P55" i="73"/>
  <c r="I30" i="41"/>
  <c r="I265" i="41" s="1"/>
  <c r="I292" i="41" s="1"/>
  <c r="I294" i="41" s="1"/>
  <c r="I295" i="41" s="1"/>
  <c r="J30" i="41"/>
  <c r="J265" i="41" s="1"/>
  <c r="J292" i="41" s="1"/>
  <c r="J294" i="41" s="1"/>
  <c r="J295" i="41" s="1"/>
  <c r="M30" i="41"/>
  <c r="M265" i="41" s="1"/>
  <c r="M292" i="41" s="1"/>
  <c r="M294" i="41" s="1"/>
  <c r="M295" i="41" s="1"/>
  <c r="M128" i="47" s="1"/>
  <c r="K30" i="41"/>
  <c r="K265" i="41" s="1"/>
  <c r="K292" i="41" s="1"/>
  <c r="K294" i="41" s="1"/>
  <c r="K295" i="41" s="1"/>
  <c r="K128" i="47" s="1"/>
  <c r="M37" i="52"/>
  <c r="M144" i="52" s="1"/>
  <c r="Y44" i="75"/>
  <c r="Y626" i="75" s="1"/>
  <c r="AI52" i="75"/>
  <c r="AI627" i="75" s="1"/>
  <c r="T60" i="75"/>
  <c r="T628" i="75" s="1"/>
  <c r="AI44" i="75"/>
  <c r="AI626" i="75" s="1"/>
  <c r="AK52" i="75"/>
  <c r="AK627" i="75" s="1"/>
  <c r="U52" i="75"/>
  <c r="U627" i="75" s="1"/>
  <c r="G52" i="75"/>
  <c r="G627" i="75" s="1"/>
  <c r="AJ60" i="75"/>
  <c r="AJ628" i="75" s="1"/>
  <c r="H44" i="75"/>
  <c r="H626" i="75" s="1"/>
  <c r="AE60" i="75"/>
  <c r="AE628" i="75" s="1"/>
  <c r="X60" i="75"/>
  <c r="X628" i="75" s="1"/>
  <c r="AP52" i="75"/>
  <c r="AP627" i="75" s="1"/>
  <c r="M150" i="48"/>
  <c r="G58" i="48"/>
  <c r="L19" i="57"/>
  <c r="G19" i="57"/>
  <c r="L49" i="48"/>
  <c r="I78" i="40"/>
  <c r="K34" i="51"/>
  <c r="K258" i="51" s="1"/>
  <c r="H83" i="48"/>
  <c r="J58" i="48"/>
  <c r="F74" i="48"/>
  <c r="K58" i="48"/>
  <c r="G83" i="48"/>
  <c r="M58" i="48"/>
  <c r="I83" i="48"/>
  <c r="G49" i="48"/>
  <c r="O37" i="74"/>
  <c r="O165" i="74" s="1"/>
  <c r="O220" i="74" s="1"/>
  <c r="O262" i="74" s="1"/>
  <c r="M49" i="48"/>
  <c r="K74" i="48"/>
  <c r="K150" i="48"/>
  <c r="J153" i="48"/>
  <c r="H150" i="48"/>
  <c r="J152" i="48"/>
  <c r="L154" i="48"/>
  <c r="F151" i="48"/>
  <c r="J151" i="48"/>
  <c r="L153" i="48"/>
  <c r="G156" i="48"/>
  <c r="J150" i="48"/>
  <c r="L152" i="48"/>
  <c r="G155" i="48"/>
  <c r="F153" i="48"/>
  <c r="H155" i="48"/>
  <c r="L151" i="48"/>
  <c r="I156" i="48"/>
  <c r="I151" i="48"/>
  <c r="K153" i="48"/>
  <c r="M155" i="48"/>
  <c r="I150" i="48"/>
  <c r="K152" i="48"/>
  <c r="M154" i="48"/>
  <c r="F152" i="48"/>
  <c r="K151" i="48"/>
  <c r="M153" i="48"/>
  <c r="H156" i="48"/>
  <c r="I152" i="48"/>
  <c r="M156" i="48"/>
  <c r="F467" i="50"/>
  <c r="F471" i="50"/>
  <c r="I463" i="50"/>
  <c r="L472" i="50"/>
  <c r="J465" i="50"/>
  <c r="G470" i="50"/>
  <c r="I464" i="50"/>
  <c r="F466" i="50"/>
  <c r="L462" i="50"/>
  <c r="H472" i="50"/>
  <c r="G468" i="50"/>
  <c r="F469" i="50"/>
  <c r="J462" i="50"/>
  <c r="G463" i="50"/>
  <c r="M471" i="50"/>
  <c r="M463" i="50"/>
  <c r="M464" i="50"/>
  <c r="I466" i="50"/>
  <c r="K467" i="50"/>
  <c r="I467" i="50"/>
  <c r="M466" i="50"/>
  <c r="G469" i="50"/>
  <c r="G465" i="50"/>
  <c r="J468" i="50"/>
  <c r="J472" i="50"/>
  <c r="F468" i="50"/>
  <c r="L464" i="50"/>
  <c r="H466" i="50"/>
  <c r="G462" i="50"/>
  <c r="L470" i="50"/>
  <c r="J467" i="50"/>
  <c r="H464" i="50"/>
  <c r="L469" i="50"/>
  <c r="J466" i="50"/>
  <c r="H467" i="50"/>
  <c r="G467" i="50"/>
  <c r="I469" i="50"/>
  <c r="M462" i="50"/>
  <c r="K466" i="50"/>
  <c r="M470" i="50"/>
  <c r="K468" i="50"/>
  <c r="M472" i="50"/>
  <c r="I462" i="50"/>
  <c r="I472" i="50"/>
  <c r="G424" i="50"/>
  <c r="G428" i="50"/>
  <c r="L432" i="50"/>
  <c r="I428" i="50"/>
  <c r="L433" i="50"/>
  <c r="J431" i="50"/>
  <c r="H431" i="50"/>
  <c r="I425" i="50"/>
  <c r="K425" i="50"/>
  <c r="L427" i="50"/>
  <c r="J433" i="50"/>
  <c r="H425" i="50"/>
  <c r="G427" i="50"/>
  <c r="K431" i="50"/>
  <c r="J432" i="50"/>
  <c r="H428" i="50"/>
  <c r="K426" i="50"/>
  <c r="L424" i="50"/>
  <c r="J430" i="50"/>
  <c r="K428" i="50"/>
  <c r="H426" i="50"/>
  <c r="L425" i="50"/>
  <c r="J423" i="50"/>
  <c r="H423" i="50"/>
  <c r="G429" i="50"/>
  <c r="I433" i="50"/>
  <c r="K433" i="50"/>
  <c r="J425" i="50"/>
  <c r="H433" i="50"/>
  <c r="I427" i="50"/>
  <c r="K423" i="50"/>
  <c r="L426" i="50"/>
  <c r="J424" i="50"/>
  <c r="G430" i="50"/>
  <c r="I426" i="50"/>
  <c r="M427" i="50"/>
  <c r="M431" i="50"/>
  <c r="F424" i="50"/>
  <c r="K493" i="50" s="1"/>
  <c r="F428" i="50"/>
  <c r="F497" i="50" s="1"/>
  <c r="F432" i="50"/>
  <c r="K501" i="50" s="1"/>
  <c r="I470" i="50"/>
  <c r="I468" i="50"/>
  <c r="M465" i="50"/>
  <c r="K430" i="50"/>
  <c r="H424" i="50"/>
  <c r="L430" i="50"/>
  <c r="I423" i="50"/>
  <c r="G423" i="50"/>
  <c r="H429" i="50"/>
  <c r="J429" i="50"/>
  <c r="L431" i="50"/>
  <c r="G425" i="50"/>
  <c r="H471" i="50"/>
  <c r="L465" i="50"/>
  <c r="G464" i="50"/>
  <c r="J471" i="50"/>
  <c r="H462" i="50"/>
  <c r="F464" i="50"/>
  <c r="H465" i="50"/>
  <c r="J464" i="50"/>
  <c r="I432" i="50"/>
  <c r="H430" i="50"/>
  <c r="H20" i="38"/>
  <c r="H74" i="38" s="1"/>
  <c r="H91" i="38" s="1"/>
  <c r="L20" i="38"/>
  <c r="L74" i="38" s="1"/>
  <c r="L91" i="38" s="1"/>
  <c r="M20" i="38"/>
  <c r="M74" i="38" s="1"/>
  <c r="M91" i="38" s="1"/>
  <c r="K20" i="38"/>
  <c r="K74" i="38" s="1"/>
  <c r="M19" i="37"/>
  <c r="M149" i="47" s="1"/>
  <c r="I19" i="37"/>
  <c r="I69" i="37" s="1"/>
  <c r="I73" i="37" s="1"/>
  <c r="N47" i="73"/>
  <c r="N183" i="73" s="1"/>
  <c r="N184" i="73" s="1"/>
  <c r="O47" i="73"/>
  <c r="O183" i="73" s="1"/>
  <c r="O184" i="73" s="1"/>
  <c r="AJ47" i="73"/>
  <c r="AJ183" i="73" s="1"/>
  <c r="AJ184" i="73" s="1"/>
  <c r="U47" i="73"/>
  <c r="U183" i="73" s="1"/>
  <c r="U184" i="73" s="1"/>
  <c r="AB47" i="73"/>
  <c r="AB183" i="73" s="1"/>
  <c r="AB184" i="73" s="1"/>
  <c r="AL47" i="73"/>
  <c r="AL183" i="73" s="1"/>
  <c r="AL184" i="73" s="1"/>
  <c r="AA47" i="73"/>
  <c r="AA183" i="73" s="1"/>
  <c r="AA184" i="73" s="1"/>
  <c r="AI47" i="73"/>
  <c r="AI183" i="73" s="1"/>
  <c r="AI184" i="73" s="1"/>
  <c r="X47" i="73"/>
  <c r="X183" i="73" s="1"/>
  <c r="X184" i="73" s="1"/>
  <c r="AF47" i="73"/>
  <c r="AF183" i="73" s="1"/>
  <c r="AF184" i="73" s="1"/>
  <c r="H47" i="73"/>
  <c r="H183" i="73" s="1"/>
  <c r="H184" i="73" s="1"/>
  <c r="Q47" i="73"/>
  <c r="Q183" i="73" s="1"/>
  <c r="Q184" i="73" s="1"/>
  <c r="W47" i="73"/>
  <c r="W183" i="73" s="1"/>
  <c r="W184" i="73" s="1"/>
  <c r="Y22" i="73"/>
  <c r="Y128" i="73" s="1"/>
  <c r="AB30" i="73"/>
  <c r="AB129" i="73" s="1"/>
  <c r="AG30" i="73"/>
  <c r="AG129" i="73" s="1"/>
  <c r="AO22" i="73"/>
  <c r="AO128" i="73" s="1"/>
  <c r="T22" i="73"/>
  <c r="T128" i="73" s="1"/>
  <c r="AL30" i="73"/>
  <c r="AL129" i="73" s="1"/>
  <c r="T30" i="73"/>
  <c r="T129" i="73" s="1"/>
  <c r="V22" i="73"/>
  <c r="V128" i="73" s="1"/>
  <c r="I114" i="51"/>
  <c r="K114" i="51"/>
  <c r="J135" i="51"/>
  <c r="J249" i="51" s="1"/>
  <c r="L135" i="51"/>
  <c r="L249" i="51" s="1"/>
  <c r="M273" i="41"/>
  <c r="G273" i="41" s="1"/>
  <c r="H273" i="41" s="1"/>
  <c r="I273" i="41" s="1"/>
  <c r="J273" i="41" s="1"/>
  <c r="K273" i="41" s="1"/>
  <c r="L273" i="41" s="1"/>
  <c r="F150" i="48"/>
  <c r="I153" i="48"/>
  <c r="K156" i="48"/>
  <c r="G152" i="48"/>
  <c r="I155" i="48"/>
  <c r="L150" i="48"/>
  <c r="H151" i="48"/>
  <c r="F198" i="48"/>
  <c r="L198" i="48"/>
  <c r="H198" i="48"/>
  <c r="K19" i="35"/>
  <c r="L19" i="35"/>
  <c r="G19" i="35"/>
  <c r="G67" i="35" s="1"/>
  <c r="G71" i="35" s="1"/>
  <c r="H19" i="35"/>
  <c r="M425" i="50"/>
  <c r="M429" i="50"/>
  <c r="M433" i="50"/>
  <c r="F426" i="50"/>
  <c r="F430" i="50"/>
  <c r="I19" i="35"/>
  <c r="I147" i="47" s="1"/>
  <c r="M467" i="50"/>
  <c r="K471" i="50"/>
  <c r="M469" i="50"/>
  <c r="K462" i="50"/>
  <c r="J428" i="50"/>
  <c r="J470" i="50"/>
  <c r="I471" i="50"/>
  <c r="H468" i="50"/>
  <c r="F462" i="50"/>
  <c r="J469" i="50"/>
  <c r="H469" i="50"/>
  <c r="K465" i="50"/>
  <c r="G432" i="50"/>
  <c r="L428" i="50"/>
  <c r="L39" i="40"/>
  <c r="L79" i="40" s="1"/>
  <c r="L95" i="40" s="1"/>
  <c r="L97" i="40" s="1"/>
  <c r="J78" i="40"/>
  <c r="G39" i="40"/>
  <c r="G79" i="40" s="1"/>
  <c r="G95" i="40" s="1"/>
  <c r="G97" i="40" s="1"/>
  <c r="L78" i="40"/>
  <c r="I19" i="36"/>
  <c r="G19" i="36"/>
  <c r="L155" i="48"/>
  <c r="K155" i="48"/>
  <c r="G151" i="48"/>
  <c r="I154" i="48"/>
  <c r="F155" i="48"/>
  <c r="G153" i="48"/>
  <c r="K154" i="48"/>
  <c r="F447" i="50"/>
  <c r="F19" i="39"/>
  <c r="I19" i="39"/>
  <c r="L19" i="39"/>
  <c r="K19" i="39"/>
  <c r="H19" i="39"/>
  <c r="J19" i="39"/>
  <c r="J52" i="39" s="1"/>
  <c r="J59" i="39" s="1"/>
  <c r="J61" i="39" s="1"/>
  <c r="J63" i="39" s="1"/>
  <c r="AP26" i="75"/>
  <c r="AP331" i="75" s="1"/>
  <c r="AH34" i="75"/>
  <c r="AH340" i="75" s="1"/>
  <c r="AH355" i="75" s="1"/>
  <c r="W18" i="75"/>
  <c r="AD34" i="75"/>
  <c r="AD340" i="75" s="1"/>
  <c r="AE18" i="75"/>
  <c r="AE325" i="75" s="1"/>
  <c r="N34" i="75"/>
  <c r="N340" i="75" s="1"/>
  <c r="I26" i="75"/>
  <c r="I331" i="75" s="1"/>
  <c r="I351" i="75" s="1"/>
  <c r="I538" i="75" s="1"/>
  <c r="N26" i="75"/>
  <c r="N331" i="75" s="1"/>
  <c r="Z34" i="75"/>
  <c r="Z340" i="75" s="1"/>
  <c r="AP34" i="75"/>
  <c r="AP340" i="75" s="1"/>
  <c r="J34" i="75"/>
  <c r="J340" i="75" s="1"/>
  <c r="J355" i="75" s="1"/>
  <c r="W26" i="75"/>
  <c r="W331" i="75" s="1"/>
  <c r="W603" i="75" s="1"/>
  <c r="AJ34" i="75"/>
  <c r="AJ340" i="75" s="1"/>
  <c r="G26" i="75"/>
  <c r="G331" i="75" s="1"/>
  <c r="G351" i="75" s="1"/>
  <c r="G538" i="75" s="1"/>
  <c r="AI34" i="75"/>
  <c r="AI340" i="75" s="1"/>
  <c r="AI604" i="75" s="1"/>
  <c r="I18" i="75"/>
  <c r="Q26" i="75"/>
  <c r="Q331" i="75" s="1"/>
  <c r="AG34" i="75"/>
  <c r="AG340" i="75" s="1"/>
  <c r="AN26" i="75"/>
  <c r="AN331" i="75" s="1"/>
  <c r="AN603" i="75" s="1"/>
  <c r="AK34" i="75"/>
  <c r="AK340" i="75" s="1"/>
  <c r="AG18" i="75"/>
  <c r="AB34" i="75"/>
  <c r="AB340" i="75" s="1"/>
  <c r="AB604" i="75" s="1"/>
  <c r="V34" i="75"/>
  <c r="V340" i="75" s="1"/>
  <c r="V355" i="75" s="1"/>
  <c r="P34" i="75"/>
  <c r="P340" i="75" s="1"/>
  <c r="P604" i="75" s="1"/>
  <c r="AQ26" i="75"/>
  <c r="AQ331" i="75" s="1"/>
  <c r="AM34" i="75"/>
  <c r="AM340" i="75" s="1"/>
  <c r="AM355" i="75" s="1"/>
  <c r="AJ18" i="75"/>
  <c r="AC18" i="75"/>
  <c r="W34" i="75"/>
  <c r="W340" i="75" s="1"/>
  <c r="W604" i="75" s="1"/>
  <c r="Q34" i="75"/>
  <c r="Q340" i="75" s="1"/>
  <c r="Y18" i="75"/>
  <c r="Y324" i="75" s="1"/>
  <c r="AD26" i="75"/>
  <c r="AD331" i="75" s="1"/>
  <c r="AD351" i="75" s="1"/>
  <c r="AD538" i="75" s="1"/>
  <c r="AN34" i="75"/>
  <c r="AN340" i="75" s="1"/>
  <c r="AN604" i="75" s="1"/>
  <c r="P18" i="75"/>
  <c r="H18" i="75"/>
  <c r="H326" i="75" s="1"/>
  <c r="H347" i="75" s="1"/>
  <c r="H552" i="75" s="1"/>
  <c r="M18" i="75"/>
  <c r="M325" i="75" s="1"/>
  <c r="AO26" i="75"/>
  <c r="AO331" i="75" s="1"/>
  <c r="AO603" i="75" s="1"/>
  <c r="L26" i="75"/>
  <c r="L331" i="75" s="1"/>
  <c r="U34" i="75"/>
  <c r="U340" i="75" s="1"/>
  <c r="U604" i="75" s="1"/>
  <c r="AF18" i="75"/>
  <c r="AR26" i="75"/>
  <c r="AR331" i="75" s="1"/>
  <c r="N18" i="75"/>
  <c r="N324" i="75" s="1"/>
  <c r="AF26" i="75"/>
  <c r="AF331" i="75" s="1"/>
  <c r="AI26" i="75"/>
  <c r="AI331" i="75" s="1"/>
  <c r="AI351" i="75" s="1"/>
  <c r="AI538" i="75" s="1"/>
  <c r="AH26" i="75"/>
  <c r="AH331" i="75" s="1"/>
  <c r="AC34" i="75"/>
  <c r="AC340" i="75" s="1"/>
  <c r="AC604" i="75" s="1"/>
  <c r="X18" i="75"/>
  <c r="X325" i="75" s="1"/>
  <c r="R18" i="75"/>
  <c r="R324" i="75" s="1"/>
  <c r="R345" i="75" s="1"/>
  <c r="R550" i="75" s="1"/>
  <c r="AR34" i="75"/>
  <c r="AR340" i="75" s="1"/>
  <c r="AR604" i="75" s="1"/>
  <c r="AM26" i="75"/>
  <c r="AM331" i="75" s="1"/>
  <c r="AM351" i="75" s="1"/>
  <c r="AM538" i="75" s="1"/>
  <c r="AE26" i="75"/>
  <c r="AE331" i="75" s="1"/>
  <c r="Z18" i="75"/>
  <c r="S18" i="75"/>
  <c r="T18" i="75"/>
  <c r="T326" i="75" s="1"/>
  <c r="T347" i="75" s="1"/>
  <c r="T552" i="75" s="1"/>
  <c r="AL18" i="75"/>
  <c r="V18" i="75"/>
  <c r="AQ18" i="75"/>
  <c r="M34" i="75"/>
  <c r="M340" i="75" s="1"/>
  <c r="AM18" i="75"/>
  <c r="K26" i="75"/>
  <c r="K331" i="75" s="1"/>
  <c r="AO18" i="75"/>
  <c r="J26" i="75"/>
  <c r="J331" i="75" s="1"/>
  <c r="AE34" i="75"/>
  <c r="AE340" i="75" s="1"/>
  <c r="AE604" i="75" s="1"/>
  <c r="U26" i="75"/>
  <c r="U331" i="75" s="1"/>
  <c r="AQ34" i="75"/>
  <c r="AQ340" i="75" s="1"/>
  <c r="AH18" i="75"/>
  <c r="V26" i="75"/>
  <c r="V331" i="75" s="1"/>
  <c r="AN18" i="75"/>
  <c r="Y26" i="75"/>
  <c r="Y331" i="75" s="1"/>
  <c r="Y351" i="75" s="1"/>
  <c r="Y538" i="75" s="1"/>
  <c r="X26" i="75"/>
  <c r="X331" i="75" s="1"/>
  <c r="Q18" i="75"/>
  <c r="AP18" i="75"/>
  <c r="AD18" i="75"/>
  <c r="L34" i="75"/>
  <c r="L340" i="75" s="1"/>
  <c r="AL34" i="75"/>
  <c r="AL340" i="75" s="1"/>
  <c r="AC26" i="75"/>
  <c r="AC331" i="75" s="1"/>
  <c r="S26" i="75"/>
  <c r="S331" i="75" s="1"/>
  <c r="AO34" i="75"/>
  <c r="AO340" i="75" s="1"/>
  <c r="AO604" i="75" s="1"/>
  <c r="AF34" i="75"/>
  <c r="AF340" i="75" s="1"/>
  <c r="AF355" i="75" s="1"/>
  <c r="U18" i="75"/>
  <c r="T34" i="75"/>
  <c r="T340" i="75" s="1"/>
  <c r="T604" i="75" s="1"/>
  <c r="Y34" i="75"/>
  <c r="Y340" i="75" s="1"/>
  <c r="Y355" i="75" s="1"/>
  <c r="T26" i="75"/>
  <c r="T331" i="75" s="1"/>
  <c r="J406" i="50"/>
  <c r="J407" i="50"/>
  <c r="I413" i="50"/>
  <c r="H406" i="50"/>
  <c r="J413" i="50"/>
  <c r="I404" i="50"/>
  <c r="H405" i="50"/>
  <c r="J408" i="50"/>
  <c r="L412" i="50"/>
  <c r="H407" i="50"/>
  <c r="I411" i="50"/>
  <c r="M406" i="50"/>
  <c r="K404" i="50"/>
  <c r="M407" i="50"/>
  <c r="K411" i="50"/>
  <c r="F413" i="50"/>
  <c r="F408" i="50"/>
  <c r="I409" i="50"/>
  <c r="G406" i="50"/>
  <c r="L414" i="50"/>
  <c r="L408" i="50"/>
  <c r="G411" i="50"/>
  <c r="H404" i="50"/>
  <c r="H412" i="50"/>
  <c r="I405" i="50"/>
  <c r="G413" i="50"/>
  <c r="J409" i="50"/>
  <c r="F407" i="50"/>
  <c r="G412" i="50"/>
  <c r="J404" i="50"/>
  <c r="L409" i="50"/>
  <c r="G407" i="50"/>
  <c r="K409" i="50"/>
  <c r="L404" i="50"/>
  <c r="M404" i="50"/>
  <c r="M414" i="50"/>
  <c r="M405" i="50"/>
  <c r="M413" i="50"/>
  <c r="F409" i="50"/>
  <c r="F404" i="50"/>
  <c r="I407" i="50"/>
  <c r="F406" i="50"/>
  <c r="F410" i="50"/>
  <c r="H414" i="50"/>
  <c r="G404" i="50"/>
  <c r="J412" i="50"/>
  <c r="L411" i="50"/>
  <c r="M408" i="50"/>
  <c r="M409" i="50"/>
  <c r="K407" i="50"/>
  <c r="I412" i="50"/>
  <c r="H411" i="50"/>
  <c r="K412" i="50"/>
  <c r="K405" i="50"/>
  <c r="J405" i="50"/>
  <c r="L405" i="50"/>
  <c r="F414" i="50"/>
  <c r="M412" i="50"/>
  <c r="M411" i="50"/>
  <c r="I408" i="50"/>
  <c r="I414" i="50"/>
  <c r="AG19" i="74"/>
  <c r="M19" i="39"/>
  <c r="K406" i="50"/>
  <c r="AI18" i="75"/>
  <c r="H408" i="50"/>
  <c r="G405" i="50"/>
  <c r="AB26" i="75"/>
  <c r="AB331" i="75" s="1"/>
  <c r="AJ26" i="75"/>
  <c r="AJ331" i="75" s="1"/>
  <c r="X34" i="75"/>
  <c r="X340" i="75" s="1"/>
  <c r="O26" i="75"/>
  <c r="O331" i="75" s="1"/>
  <c r="AS26" i="75"/>
  <c r="AS331" i="75" s="1"/>
  <c r="AS603" i="75" s="1"/>
  <c r="S19" i="74"/>
  <c r="F405" i="50"/>
  <c r="M48" i="52"/>
  <c r="F411" i="50"/>
  <c r="J484" i="50" s="1"/>
  <c r="L406" i="50"/>
  <c r="P26" i="75"/>
  <c r="P331" i="75" s="1"/>
  <c r="AL26" i="75"/>
  <c r="AL331" i="75" s="1"/>
  <c r="AA34" i="75"/>
  <c r="AA340" i="75" s="1"/>
  <c r="AA355" i="75" s="1"/>
  <c r="G414" i="50"/>
  <c r="H34" i="75"/>
  <c r="H340" i="75" s="1"/>
  <c r="H604" i="75" s="1"/>
  <c r="I34" i="75"/>
  <c r="I340" i="75" s="1"/>
  <c r="H26" i="75"/>
  <c r="H331" i="75" s="1"/>
  <c r="G111" i="48"/>
  <c r="L111" i="48"/>
  <c r="J111" i="48"/>
  <c r="Z27" i="74"/>
  <c r="P19" i="74"/>
  <c r="AK19" i="74"/>
  <c r="AC19" i="74"/>
  <c r="I19" i="74"/>
  <c r="V19" i="74"/>
  <c r="AF27" i="74"/>
  <c r="Y27" i="74"/>
  <c r="R27" i="74"/>
  <c r="R19" i="74"/>
  <c r="AK27" i="74"/>
  <c r="P27" i="74"/>
  <c r="S38" i="73"/>
  <c r="AQ38" i="73"/>
  <c r="M38" i="73"/>
  <c r="AS18" i="75"/>
  <c r="K414" i="50"/>
  <c r="AH19" i="74"/>
  <c r="H409" i="50"/>
  <c r="G18" i="75"/>
  <c r="AK18" i="75"/>
  <c r="O18" i="75"/>
  <c r="O326" i="75" s="1"/>
  <c r="O347" i="75" s="1"/>
  <c r="O552" i="75" s="1"/>
  <c r="AS34" i="75"/>
  <c r="AS340" i="75" s="1"/>
  <c r="AS355" i="75" s="1"/>
  <c r="I27" i="74"/>
  <c r="G19" i="39"/>
  <c r="F412" i="50"/>
  <c r="K408" i="50"/>
  <c r="J18" i="75"/>
  <c r="I406" i="50"/>
  <c r="L413" i="50"/>
  <c r="AK26" i="75"/>
  <c r="AK331" i="75" s="1"/>
  <c r="Z26" i="75"/>
  <c r="Z331" i="75" s="1"/>
  <c r="J414" i="50"/>
  <c r="L407" i="50"/>
  <c r="R34" i="75"/>
  <c r="R340" i="75" s="1"/>
  <c r="K18" i="75"/>
  <c r="AB18" i="75"/>
  <c r="S34" i="75"/>
  <c r="S340" i="75" s="1"/>
  <c r="R26" i="75"/>
  <c r="R331" i="75" s="1"/>
  <c r="L18" i="75"/>
  <c r="AG26" i="75"/>
  <c r="AG331" i="75" s="1"/>
  <c r="G61" i="49"/>
  <c r="I61" i="49"/>
  <c r="L61" i="49"/>
  <c r="F61" i="49"/>
  <c r="F19" i="57"/>
  <c r="F45" i="57" s="1"/>
  <c r="J19" i="57"/>
  <c r="I19" i="57"/>
  <c r="I282" i="50"/>
  <c r="I715" i="50" s="1"/>
  <c r="K282" i="50"/>
  <c r="K715" i="50" s="1"/>
  <c r="L36" i="53"/>
  <c r="L97" i="53" s="1"/>
  <c r="J39" i="40"/>
  <c r="J79" i="40" s="1"/>
  <c r="J95" i="40" s="1"/>
  <c r="J97" i="40" s="1"/>
  <c r="F78" i="40"/>
  <c r="F86" i="40" s="1"/>
  <c r="F88" i="40" s="1"/>
  <c r="F89" i="40" s="1"/>
  <c r="M39" i="40"/>
  <c r="M79" i="40" s="1"/>
  <c r="M95" i="40" s="1"/>
  <c r="M97" i="40" s="1"/>
  <c r="K39" i="40"/>
  <c r="K79" i="40" s="1"/>
  <c r="K95" i="40" s="1"/>
  <c r="K97" i="40" s="1"/>
  <c r="I39" i="40"/>
  <c r="I79" i="40" s="1"/>
  <c r="I95" i="40" s="1"/>
  <c r="I97" i="40" s="1"/>
  <c r="M19" i="36"/>
  <c r="L19" i="36"/>
  <c r="K19" i="36"/>
  <c r="J19" i="36"/>
  <c r="M34" i="51"/>
  <c r="M258" i="51" s="1"/>
  <c r="G34" i="51"/>
  <c r="G258" i="51" s="1"/>
  <c r="L34" i="51"/>
  <c r="L258" i="51" s="1"/>
  <c r="H34" i="51"/>
  <c r="H258" i="51" s="1"/>
  <c r="F34" i="51"/>
  <c r="F258" i="51" s="1"/>
  <c r="F405" i="51" s="1"/>
  <c r="G198" i="48"/>
  <c r="I198" i="48"/>
  <c r="K198" i="48"/>
  <c r="M198" i="48"/>
  <c r="G41" i="49"/>
  <c r="M41" i="49"/>
  <c r="L41" i="49"/>
  <c r="F445" i="50"/>
  <c r="F18" i="44"/>
  <c r="F111" i="44" s="1"/>
  <c r="J36" i="53"/>
  <c r="J97" i="53" s="1"/>
  <c r="V34" i="73"/>
  <c r="V38" i="73" s="1"/>
  <c r="U38" i="73"/>
  <c r="AP79" i="73"/>
  <c r="I395" i="50"/>
  <c r="M394" i="50"/>
  <c r="H393" i="50"/>
  <c r="K394" i="50"/>
  <c r="G29" i="38"/>
  <c r="I29" i="38"/>
  <c r="K29" i="38"/>
  <c r="H29" i="38"/>
  <c r="L29" i="38"/>
  <c r="J26" i="73"/>
  <c r="I30" i="73"/>
  <c r="I129" i="73" s="1"/>
  <c r="V362" i="73"/>
  <c r="P270" i="74"/>
  <c r="P275" i="74" s="1"/>
  <c r="P184" i="74"/>
  <c r="P263" i="74" s="1"/>
  <c r="Y281" i="74"/>
  <c r="Y210" i="74"/>
  <c r="Y270" i="74"/>
  <c r="Y275" i="74" s="1"/>
  <c r="Y184" i="74"/>
  <c r="Y263" i="74" s="1"/>
  <c r="Y287" i="74" s="1"/>
  <c r="AA280" i="74"/>
  <c r="AA283" i="74" s="1"/>
  <c r="AA289" i="74" s="1"/>
  <c r="AA210" i="74"/>
  <c r="AD271" i="74"/>
  <c r="AD184" i="74"/>
  <c r="AD263" i="74" s="1"/>
  <c r="AI268" i="74"/>
  <c r="AI275" i="74" s="1"/>
  <c r="AI184" i="74"/>
  <c r="AI263" i="74" s="1"/>
  <c r="AK281" i="74"/>
  <c r="AK283" i="74" s="1"/>
  <c r="AK289" i="74" s="1"/>
  <c r="AK210" i="74"/>
  <c r="AK270" i="74"/>
  <c r="AK275" i="74" s="1"/>
  <c r="AK184" i="74"/>
  <c r="AK263" i="74" s="1"/>
  <c r="E138" i="41"/>
  <c r="E137" i="41"/>
  <c r="E139" i="41"/>
  <c r="AJ184" i="74"/>
  <c r="AJ263" i="74" s="1"/>
  <c r="U191" i="74"/>
  <c r="AD26" i="73"/>
  <c r="AD30" i="73" s="1"/>
  <c r="AD129" i="73" s="1"/>
  <c r="AC30" i="73"/>
  <c r="AC129" i="73" s="1"/>
  <c r="AI80" i="73"/>
  <c r="AH81" i="73"/>
  <c r="AN80" i="73"/>
  <c r="AO80" i="73" s="1"/>
  <c r="AM81" i="73"/>
  <c r="G362" i="73"/>
  <c r="I362" i="73"/>
  <c r="K362" i="73"/>
  <c r="L362" i="73"/>
  <c r="M362" i="73"/>
  <c r="O362" i="73"/>
  <c r="P362" i="73"/>
  <c r="Q362" i="73"/>
  <c r="S362" i="73"/>
  <c r="T362" i="73"/>
  <c r="U362" i="73"/>
  <c r="W362" i="73"/>
  <c r="X362" i="73"/>
  <c r="Y362" i="73"/>
  <c r="AA362" i="73"/>
  <c r="AB362" i="73"/>
  <c r="AC362" i="73"/>
  <c r="AE362" i="73"/>
  <c r="AF362" i="73"/>
  <c r="AG362" i="73"/>
  <c r="AI362" i="73"/>
  <c r="AJ362" i="73"/>
  <c r="AK362" i="73"/>
  <c r="AM362" i="73"/>
  <c r="AN362" i="73"/>
  <c r="N292" i="74"/>
  <c r="N191" i="74"/>
  <c r="O270" i="74"/>
  <c r="O275" i="74" s="1"/>
  <c r="O184" i="74"/>
  <c r="O263" i="74" s="1"/>
  <c r="AI27" i="74"/>
  <c r="AN27" i="74"/>
  <c r="U27" i="74"/>
  <c r="AJ19" i="74"/>
  <c r="AJ27" i="74"/>
  <c r="AL27" i="74"/>
  <c r="AM27" i="74"/>
  <c r="W19" i="74"/>
  <c r="G27" i="74"/>
  <c r="AE27" i="74"/>
  <c r="AM19" i="74"/>
  <c r="AO27" i="74"/>
  <c r="Q19" i="74"/>
  <c r="M19" i="74"/>
  <c r="AA27" i="74"/>
  <c r="H19" i="74"/>
  <c r="M27" i="74"/>
  <c r="AA19" i="74"/>
  <c r="X27" i="74"/>
  <c r="AC27" i="74"/>
  <c r="W27" i="74"/>
  <c r="AP27" i="74"/>
  <c r="G19" i="74"/>
  <c r="Z19" i="74"/>
  <c r="AE19" i="74"/>
  <c r="Y19" i="74"/>
  <c r="AO19" i="74"/>
  <c r="AF19" i="74"/>
  <c r="AG27" i="74"/>
  <c r="X19" i="74"/>
  <c r="AD27" i="74"/>
  <c r="U19" i="74"/>
  <c r="AQ27" i="74"/>
  <c r="N27" i="74"/>
  <c r="L27" i="74"/>
  <c r="AP19" i="74"/>
  <c r="AN19" i="74"/>
  <c r="AI19" i="74"/>
  <c r="V27" i="74"/>
  <c r="S27" i="74"/>
  <c r="N19" i="74"/>
  <c r="Q27" i="74"/>
  <c r="O27" i="74"/>
  <c r="K27" i="74"/>
  <c r="AQ19" i="74"/>
  <c r="T19" i="74"/>
  <c r="K19" i="74"/>
  <c r="AD19" i="74"/>
  <c r="J27" i="74"/>
  <c r="AB27" i="74"/>
  <c r="AB224" i="74" s="1"/>
  <c r="J19" i="74"/>
  <c r="AL19" i="74"/>
  <c r="H27" i="74"/>
  <c r="AH27" i="74"/>
  <c r="AG38" i="73"/>
  <c r="AM38" i="73"/>
  <c r="H38" i="73"/>
  <c r="AH38" i="73"/>
  <c r="K38" i="73"/>
  <c r="I38" i="73"/>
  <c r="G38" i="73"/>
  <c r="AN38" i="73"/>
  <c r="O38" i="73"/>
  <c r="W38" i="73"/>
  <c r="L38" i="73"/>
  <c r="J38" i="73"/>
  <c r="AB38" i="73"/>
  <c r="AI38" i="73"/>
  <c r="R38" i="73"/>
  <c r="AJ38" i="73"/>
  <c r="T38" i="73"/>
  <c r="AC38" i="73"/>
  <c r="X38" i="73"/>
  <c r="AL38" i="73"/>
  <c r="P38" i="73"/>
  <c r="J77" i="73"/>
  <c r="I81" i="73"/>
  <c r="H154" i="73"/>
  <c r="H158" i="73" s="1"/>
  <c r="I162" i="73" s="1"/>
  <c r="H152" i="73"/>
  <c r="O78" i="73"/>
  <c r="N81" i="73"/>
  <c r="L64" i="52"/>
  <c r="I48" i="52"/>
  <c r="J48" i="52"/>
  <c r="K48" i="52"/>
  <c r="L48" i="52"/>
  <c r="G48" i="52"/>
  <c r="F48" i="52"/>
  <c r="J16" i="53"/>
  <c r="J87" i="53" s="1"/>
  <c r="J12" i="3" s="1"/>
  <c r="L16" i="53"/>
  <c r="L87" i="53" s="1"/>
  <c r="L12" i="3" s="1"/>
  <c r="K16" i="53"/>
  <c r="K87" i="53" s="1"/>
  <c r="K12" i="3" s="1"/>
  <c r="H16" i="53"/>
  <c r="H87" i="53" s="1"/>
  <c r="H12" i="3" s="1"/>
  <c r="N16" i="53"/>
  <c r="N87" i="53" s="1"/>
  <c r="N12" i="3" s="1"/>
  <c r="I16" i="53"/>
  <c r="I87" i="53" s="1"/>
  <c r="I12" i="3" s="1"/>
  <c r="H125" i="52"/>
  <c r="H127" i="52"/>
  <c r="H126" i="52"/>
  <c r="AI30" i="73"/>
  <c r="AI129" i="73" s="1"/>
  <c r="AJ26" i="73"/>
  <c r="AN26" i="73"/>
  <c r="AO26" i="73" s="1"/>
  <c r="AM30" i="73"/>
  <c r="AM129" i="73" s="1"/>
  <c r="Z362" i="73"/>
  <c r="AD362" i="73"/>
  <c r="U271" i="74"/>
  <c r="U275" i="74" s="1"/>
  <c r="U184" i="74"/>
  <c r="U263" i="74" s="1"/>
  <c r="X271" i="74"/>
  <c r="X275" i="74" s="1"/>
  <c r="X184" i="74"/>
  <c r="X263" i="74" s="1"/>
  <c r="AA269" i="74"/>
  <c r="AA275" i="74" s="1"/>
  <c r="AA184" i="74"/>
  <c r="AA263" i="74" s="1"/>
  <c r="AC268" i="74"/>
  <c r="AC275" i="74" s="1"/>
  <c r="AC184" i="74"/>
  <c r="AC263" i="74" s="1"/>
  <c r="AE281" i="74"/>
  <c r="AE283" i="74" s="1"/>
  <c r="AE289" i="74" s="1"/>
  <c r="AE210" i="74"/>
  <c r="AE270" i="74"/>
  <c r="AE275" i="74" s="1"/>
  <c r="AE184" i="74"/>
  <c r="AE263" i="74" s="1"/>
  <c r="AH269" i="74"/>
  <c r="AH275" i="74" s="1"/>
  <c r="AH184" i="74"/>
  <c r="AH263" i="74" s="1"/>
  <c r="AJ292" i="74"/>
  <c r="AJ191" i="74"/>
  <c r="AN281" i="74"/>
  <c r="AN283" i="74" s="1"/>
  <c r="AN289" i="74" s="1"/>
  <c r="AN210" i="74"/>
  <c r="AN270" i="74"/>
  <c r="AN275" i="74" s="1"/>
  <c r="AN184" i="74"/>
  <c r="AN263" i="74" s="1"/>
  <c r="AI210" i="74"/>
  <c r="N38" i="73"/>
  <c r="J29" i="38"/>
  <c r="J82" i="38" s="1"/>
  <c r="G18" i="44"/>
  <c r="G111" i="44" s="1"/>
  <c r="K68" i="44"/>
  <c r="I54" i="44"/>
  <c r="L47" i="44"/>
  <c r="L114" i="44" s="1"/>
  <c r="M47" i="44"/>
  <c r="M114" i="44" s="1"/>
  <c r="G76" i="44"/>
  <c r="I90" i="44"/>
  <c r="I119" i="44" s="1"/>
  <c r="L90" i="44"/>
  <c r="L119" i="44" s="1"/>
  <c r="M83" i="44"/>
  <c r="J47" i="44"/>
  <c r="J114" i="44" s="1"/>
  <c r="K83" i="44"/>
  <c r="J83" i="44"/>
  <c r="F83" i="44"/>
  <c r="AK79" i="73"/>
  <c r="AD152" i="73"/>
  <c r="G28" i="44"/>
  <c r="K47" i="44"/>
  <c r="K114" i="44" s="1"/>
  <c r="AF184" i="74"/>
  <c r="AF263" i="74" s="1"/>
  <c r="O210" i="74"/>
  <c r="V184" i="74"/>
  <c r="V263" i="74" s="1"/>
  <c r="AK38" i="73"/>
  <c r="O283" i="74"/>
  <c r="O289" i="74" s="1"/>
  <c r="F356" i="41"/>
  <c r="F357" i="41" s="1"/>
  <c r="F358" i="41" s="1"/>
  <c r="F359" i="41" s="1"/>
  <c r="F361" i="41" s="1"/>
  <c r="G279" i="74"/>
  <c r="G283" i="74" s="1"/>
  <c r="G289" i="74" s="1"/>
  <c r="G210" i="74"/>
  <c r="G268" i="74"/>
  <c r="G275" i="74" s="1"/>
  <c r="G184" i="74"/>
  <c r="G263" i="74" s="1"/>
  <c r="Y81" i="73"/>
  <c r="Z80" i="73"/>
  <c r="I272" i="74"/>
  <c r="I275" i="74" s="1"/>
  <c r="I184" i="74"/>
  <c r="I263" i="74" s="1"/>
  <c r="J270" i="74"/>
  <c r="J275" i="74" s="1"/>
  <c r="J184" i="74"/>
  <c r="J263" i="74" s="1"/>
  <c r="K275" i="74"/>
  <c r="L210" i="74"/>
  <c r="V283" i="74"/>
  <c r="V289" i="74" s="1"/>
  <c r="AH47" i="73"/>
  <c r="AH183" i="73" s="1"/>
  <c r="AH184" i="73" s="1"/>
  <c r="S47" i="73"/>
  <c r="S183" i="73" s="1"/>
  <c r="S184" i="73" s="1"/>
  <c r="I47" i="73"/>
  <c r="I183" i="73" s="1"/>
  <c r="I184" i="73" s="1"/>
  <c r="Y47" i="73"/>
  <c r="Y183" i="73" s="1"/>
  <c r="Y184" i="73" s="1"/>
  <c r="AK47" i="73"/>
  <c r="AK183" i="73" s="1"/>
  <c r="AK184" i="73" s="1"/>
  <c r="P47" i="73"/>
  <c r="P183" i="73" s="1"/>
  <c r="P184" i="73" s="1"/>
  <c r="R47" i="73"/>
  <c r="R183" i="73" s="1"/>
  <c r="R184" i="73" s="1"/>
  <c r="T47" i="73"/>
  <c r="T183" i="73" s="1"/>
  <c r="T184" i="73" s="1"/>
  <c r="G30" i="73"/>
  <c r="G129" i="73" s="1"/>
  <c r="AH30" i="73"/>
  <c r="AH129" i="73" s="1"/>
  <c r="H22" i="95"/>
  <c r="G22" i="95"/>
  <c r="C22" i="95"/>
  <c r="F22" i="95"/>
  <c r="H33" i="95"/>
  <c r="G33" i="95"/>
  <c r="C33" i="95"/>
  <c r="F33" i="95"/>
  <c r="L404" i="51"/>
  <c r="L407" i="51" s="1"/>
  <c r="L424" i="51" s="1"/>
  <c r="L441" i="51" s="1"/>
  <c r="N283" i="74"/>
  <c r="N289" i="74" s="1"/>
  <c r="AJ275" i="74"/>
  <c r="AH283" i="74"/>
  <c r="AH289" i="74" s="1"/>
  <c r="AF368" i="73"/>
  <c r="AO368" i="73"/>
  <c r="AP281" i="74"/>
  <c r="AP283" i="74" s="1"/>
  <c r="AP289" i="74" s="1"/>
  <c r="AP210" i="74"/>
  <c r="M138" i="41"/>
  <c r="M137" i="41"/>
  <c r="L394" i="50"/>
  <c r="G395" i="50"/>
  <c r="J392" i="50"/>
  <c r="L392" i="50"/>
  <c r="I74" i="48"/>
  <c r="G74" i="48"/>
  <c r="J74" i="48"/>
  <c r="H111" i="48"/>
  <c r="K111" i="48"/>
  <c r="I111" i="48"/>
  <c r="F282" i="50"/>
  <c r="F715" i="50" s="1"/>
  <c r="G282" i="50"/>
  <c r="G715" i="50" s="1"/>
  <c r="M282" i="50"/>
  <c r="M715" i="50" s="1"/>
  <c r="L282" i="50"/>
  <c r="L715" i="50" s="1"/>
  <c r="H74" i="48"/>
  <c r="M392" i="50"/>
  <c r="F111" i="48"/>
  <c r="F451" i="50"/>
  <c r="F448" i="50"/>
  <c r="E22" i="95"/>
  <c r="I22" i="95"/>
  <c r="H404" i="51"/>
  <c r="H407" i="51" s="1"/>
  <c r="H424" i="51" s="1"/>
  <c r="H441" i="51" s="1"/>
  <c r="L402" i="51"/>
  <c r="F450" i="50"/>
  <c r="F452" i="50"/>
  <c r="F449" i="50"/>
  <c r="Q283" i="74"/>
  <c r="Q289" i="74" s="1"/>
  <c r="I392" i="75"/>
  <c r="I658" i="75" s="1"/>
  <c r="I710" i="75" s="1"/>
  <c r="W392" i="75"/>
  <c r="W658" i="75" s="1"/>
  <c r="W710" i="75" s="1"/>
  <c r="AF392" i="75"/>
  <c r="AF658" i="75" s="1"/>
  <c r="AK392" i="75"/>
  <c r="AK658" i="75" s="1"/>
  <c r="AK710" i="75" s="1"/>
  <c r="H402" i="51"/>
  <c r="G19" i="37"/>
  <c r="L19" i="37"/>
  <c r="F19" i="37"/>
  <c r="J19" i="37"/>
  <c r="K149" i="47"/>
  <c r="H19" i="37"/>
  <c r="I19" i="34"/>
  <c r="G19" i="34"/>
  <c r="M19" i="34"/>
  <c r="L19" i="34"/>
  <c r="H19" i="34"/>
  <c r="F19" i="34"/>
  <c r="K75" i="37"/>
  <c r="K77" i="37" s="1"/>
  <c r="L112" i="51"/>
  <c r="L113" i="51"/>
  <c r="L114" i="51"/>
  <c r="J405" i="51"/>
  <c r="H85" i="51"/>
  <c r="H307" i="51" s="1"/>
  <c r="G135" i="51"/>
  <c r="G249" i="51" s="1"/>
  <c r="G248" i="51" s="1"/>
  <c r="J112" i="51"/>
  <c r="F112" i="51"/>
  <c r="M113" i="51"/>
  <c r="K112" i="51"/>
  <c r="H115" i="51"/>
  <c r="G113" i="51"/>
  <c r="G114" i="51"/>
  <c r="L124" i="51"/>
  <c r="H113" i="51"/>
  <c r="M115" i="51"/>
  <c r="M114" i="51"/>
  <c r="F115" i="51"/>
  <c r="J113" i="51"/>
  <c r="I112" i="51"/>
  <c r="M112" i="51"/>
  <c r="I135" i="51"/>
  <c r="I249" i="51" s="1"/>
  <c r="I113" i="51"/>
  <c r="H114" i="51"/>
  <c r="I115" i="51"/>
  <c r="K135" i="51"/>
  <c r="K249" i="51" s="1"/>
  <c r="K343" i="51" s="1"/>
  <c r="K347" i="51" s="1"/>
  <c r="K351" i="51" s="1"/>
  <c r="K370" i="51" s="1"/>
  <c r="J115" i="51"/>
  <c r="F113" i="51"/>
  <c r="K115" i="51"/>
  <c r="F135" i="51"/>
  <c r="F249" i="51" s="1"/>
  <c r="J114" i="51"/>
  <c r="F114" i="51"/>
  <c r="L115" i="51"/>
  <c r="K113" i="51"/>
  <c r="G112" i="51"/>
  <c r="H112" i="51"/>
  <c r="J86" i="51"/>
  <c r="I85" i="51"/>
  <c r="I307" i="51" s="1"/>
  <c r="M83" i="51"/>
  <c r="M305" i="51" s="1"/>
  <c r="M124" i="51"/>
  <c r="L87" i="51"/>
  <c r="F82" i="51"/>
  <c r="F304" i="51" s="1"/>
  <c r="F314" i="51" s="1"/>
  <c r="H89" i="51"/>
  <c r="K86" i="51"/>
  <c r="I88" i="51"/>
  <c r="I310" i="51" s="1"/>
  <c r="J89" i="51"/>
  <c r="K43" i="51"/>
  <c r="K44" i="51" s="1"/>
  <c r="K88" i="51"/>
  <c r="J88" i="51"/>
  <c r="M82" i="51"/>
  <c r="M304" i="51" s="1"/>
  <c r="M84" i="51"/>
  <c r="M306" i="51" s="1"/>
  <c r="H87" i="51"/>
  <c r="G85" i="51"/>
  <c r="L86" i="51"/>
  <c r="J82" i="51"/>
  <c r="M88" i="51"/>
  <c r="M310" i="51" s="1"/>
  <c r="I43" i="51"/>
  <c r="I44" i="51" s="1"/>
  <c r="F88" i="51"/>
  <c r="F310" i="51" s="1"/>
  <c r="F320" i="51" s="1"/>
  <c r="F89" i="51"/>
  <c r="F311" i="51" s="1"/>
  <c r="F321" i="51" s="1"/>
  <c r="I89" i="51"/>
  <c r="I311" i="51" s="1"/>
  <c r="F87" i="51"/>
  <c r="F309" i="51" s="1"/>
  <c r="F319" i="51" s="1"/>
  <c r="I82" i="51"/>
  <c r="I304" i="51" s="1"/>
  <c r="F124" i="51"/>
  <c r="H124" i="51"/>
  <c r="H86" i="51"/>
  <c r="G88" i="51"/>
  <c r="L43" i="51"/>
  <c r="L44" i="51" s="1"/>
  <c r="H83" i="51"/>
  <c r="L83" i="51"/>
  <c r="K87" i="51"/>
  <c r="L82" i="51"/>
  <c r="G84" i="51"/>
  <c r="J124" i="51"/>
  <c r="F85" i="51"/>
  <c r="F307" i="51" s="1"/>
  <c r="F317" i="51" s="1"/>
  <c r="L88" i="51"/>
  <c r="I124" i="51"/>
  <c r="K124" i="51"/>
  <c r="M85" i="51"/>
  <c r="M307" i="51" s="1"/>
  <c r="H135" i="51"/>
  <c r="H249" i="51" s="1"/>
  <c r="H43" i="51"/>
  <c r="H44" i="51" s="1"/>
  <c r="M87" i="51"/>
  <c r="M309" i="51" s="1"/>
  <c r="L89" i="51"/>
  <c r="J84" i="51"/>
  <c r="I87" i="51"/>
  <c r="I309" i="51" s="1"/>
  <c r="K85" i="51"/>
  <c r="G89" i="51"/>
  <c r="L84" i="51"/>
  <c r="G86" i="51"/>
  <c r="G82" i="51"/>
  <c r="K83" i="51"/>
  <c r="G87" i="51"/>
  <c r="I86" i="51"/>
  <c r="I308" i="51" s="1"/>
  <c r="I83" i="51"/>
  <c r="I305" i="51" s="1"/>
  <c r="J43" i="51"/>
  <c r="J44" i="51" s="1"/>
  <c r="J83" i="51"/>
  <c r="M135" i="51"/>
  <c r="M249" i="51" s="1"/>
  <c r="M86" i="51"/>
  <c r="M308" i="51" s="1"/>
  <c r="M43" i="51"/>
  <c r="M44" i="51" s="1"/>
  <c r="H82" i="51"/>
  <c r="J87" i="51"/>
  <c r="H88" i="51"/>
  <c r="F86" i="51"/>
  <c r="F308" i="51" s="1"/>
  <c r="F318" i="51" s="1"/>
  <c r="H84" i="51"/>
  <c r="K89" i="51"/>
  <c r="M89" i="51"/>
  <c r="M311" i="51" s="1"/>
  <c r="F83" i="51"/>
  <c r="F305" i="51" s="1"/>
  <c r="F315" i="51" s="1"/>
  <c r="J85" i="51"/>
  <c r="K82" i="51"/>
  <c r="G83" i="51"/>
  <c r="K84" i="51"/>
  <c r="F84" i="51"/>
  <c r="F306" i="51" s="1"/>
  <c r="F316" i="51" s="1"/>
  <c r="F43" i="51"/>
  <c r="F44" i="51" s="1"/>
  <c r="L85" i="51"/>
  <c r="H74" i="53"/>
  <c r="M36" i="53"/>
  <c r="M97" i="53" s="1"/>
  <c r="I36" i="53"/>
  <c r="I97" i="53" s="1"/>
  <c r="L113" i="44"/>
  <c r="L18" i="44"/>
  <c r="L111" i="44" s="1"/>
  <c r="J18" i="44"/>
  <c r="J111" i="44" s="1"/>
  <c r="K18" i="44"/>
  <c r="K111" i="44" s="1"/>
  <c r="F28" i="44"/>
  <c r="G68" i="44"/>
  <c r="L54" i="44"/>
  <c r="K40" i="44"/>
  <c r="H40" i="44"/>
  <c r="H76" i="44"/>
  <c r="G83" i="44"/>
  <c r="J40" i="44"/>
  <c r="J54" i="44"/>
  <c r="J76" i="44"/>
  <c r="J90" i="44"/>
  <c r="J119" i="44" s="1"/>
  <c r="I47" i="44"/>
  <c r="I114" i="44" s="1"/>
  <c r="I68" i="44"/>
  <c r="I83" i="44"/>
  <c r="H28" i="44"/>
  <c r="M28" i="44"/>
  <c r="I18" i="44"/>
  <c r="I111" i="44" s="1"/>
  <c r="I28" i="44"/>
  <c r="G40" i="44"/>
  <c r="L83" i="44"/>
  <c r="L68" i="44"/>
  <c r="K54" i="44"/>
  <c r="H47" i="44"/>
  <c r="H114" i="44" s="1"/>
  <c r="H90" i="44"/>
  <c r="H119" i="44" s="1"/>
  <c r="K90" i="44"/>
  <c r="K119" i="44" s="1"/>
  <c r="F114" i="44"/>
  <c r="F54" i="44"/>
  <c r="F76" i="44"/>
  <c r="F90" i="44"/>
  <c r="F119" i="44" s="1"/>
  <c r="M40" i="44"/>
  <c r="M54" i="44"/>
  <c r="M76" i="44"/>
  <c r="M90" i="44"/>
  <c r="M119" i="44" s="1"/>
  <c r="K28" i="44"/>
  <c r="M18" i="44"/>
  <c r="M111" i="44" s="1"/>
  <c r="G47" i="44"/>
  <c r="G114" i="44" s="1"/>
  <c r="L76" i="44"/>
  <c r="H54" i="44"/>
  <c r="G90" i="44"/>
  <c r="G119" i="44" s="1"/>
  <c r="J68" i="44"/>
  <c r="I40" i="44"/>
  <c r="I76" i="44"/>
  <c r="J28" i="44"/>
  <c r="H18" i="44"/>
  <c r="H111" i="44" s="1"/>
  <c r="G54" i="44"/>
  <c r="H83" i="44"/>
  <c r="H68" i="44"/>
  <c r="F40" i="44"/>
  <c r="F68" i="44"/>
  <c r="M68" i="44"/>
  <c r="L28" i="44"/>
  <c r="N36" i="53"/>
  <c r="N97" i="53" s="1"/>
  <c r="H36" i="53"/>
  <c r="H97" i="53" s="1"/>
  <c r="K36" i="53"/>
  <c r="K97" i="53" s="1"/>
  <c r="Q79" i="73"/>
  <c r="K33" i="36"/>
  <c r="J73" i="36"/>
  <c r="F85" i="38"/>
  <c r="F87" i="38" s="1"/>
  <c r="AD38" i="73"/>
  <c r="AE34" i="73"/>
  <c r="AN47" i="73"/>
  <c r="AN183" i="73" s="1"/>
  <c r="AN184" i="73" s="1"/>
  <c r="AO43" i="73"/>
  <c r="R153" i="73"/>
  <c r="O30" i="73"/>
  <c r="O129" i="73" s="1"/>
  <c r="P26" i="73"/>
  <c r="Y38" i="73"/>
  <c r="Z34" i="73"/>
  <c r="J41" i="49"/>
  <c r="I41" i="49"/>
  <c r="H41" i="49"/>
  <c r="AQ224" i="74" l="1"/>
  <c r="M77" i="38"/>
  <c r="M79" i="38" s="1"/>
  <c r="J296" i="41"/>
  <c r="J297" i="41" s="1"/>
  <c r="J299" i="41" s="1"/>
  <c r="J500" i="41" s="1"/>
  <c r="J128" i="47"/>
  <c r="I394" i="41"/>
  <c r="I128" i="47"/>
  <c r="L394" i="41"/>
  <c r="L408" i="41" s="1"/>
  <c r="L128" i="47"/>
  <c r="G394" i="41"/>
  <c r="G408" i="41" s="1"/>
  <c r="G128" i="47"/>
  <c r="AN185" i="73"/>
  <c r="AN256" i="73"/>
  <c r="T185" i="73"/>
  <c r="T256" i="73"/>
  <c r="P185" i="73"/>
  <c r="P256" i="73"/>
  <c r="Y185" i="73"/>
  <c r="Y256" i="73"/>
  <c r="S185" i="73"/>
  <c r="S256" i="73"/>
  <c r="W185" i="73"/>
  <c r="W256" i="73"/>
  <c r="H185" i="73"/>
  <c r="H256" i="73"/>
  <c r="X185" i="73"/>
  <c r="X256" i="73"/>
  <c r="AA185" i="73"/>
  <c r="AA256" i="73"/>
  <c r="AB185" i="73"/>
  <c r="AB256" i="73"/>
  <c r="AJ185" i="73"/>
  <c r="AJ256" i="73"/>
  <c r="N185" i="73"/>
  <c r="N256" i="73"/>
  <c r="AD185" i="73"/>
  <c r="AD256" i="73"/>
  <c r="G185" i="73"/>
  <c r="V185" i="73"/>
  <c r="V256" i="73"/>
  <c r="J185" i="73"/>
  <c r="J256" i="73"/>
  <c r="K185" i="73"/>
  <c r="K256" i="73"/>
  <c r="R185" i="73"/>
  <c r="R256" i="73"/>
  <c r="AK185" i="73"/>
  <c r="AK256" i="73"/>
  <c r="I185" i="73"/>
  <c r="I256" i="73"/>
  <c r="AH185" i="73"/>
  <c r="AH256" i="73"/>
  <c r="Q185" i="73"/>
  <c r="Q256" i="73"/>
  <c r="AF185" i="73"/>
  <c r="AF256" i="73"/>
  <c r="AI185" i="73"/>
  <c r="AI256" i="73"/>
  <c r="AL185" i="73"/>
  <c r="AL256" i="73"/>
  <c r="U185" i="73"/>
  <c r="U256" i="73"/>
  <c r="O185" i="73"/>
  <c r="O256" i="73"/>
  <c r="Z185" i="73"/>
  <c r="Z256" i="73"/>
  <c r="AG185" i="73"/>
  <c r="AG256" i="73"/>
  <c r="AM185" i="73"/>
  <c r="AM256" i="73"/>
  <c r="AC185" i="73"/>
  <c r="AC256" i="73"/>
  <c r="AQ185" i="73"/>
  <c r="AQ256" i="73"/>
  <c r="M185" i="73"/>
  <c r="M256" i="73"/>
  <c r="AE185" i="73"/>
  <c r="AE256" i="73"/>
  <c r="J482" i="50"/>
  <c r="F150" i="47"/>
  <c r="G272" i="41"/>
  <c r="H272" i="41" s="1"/>
  <c r="I272" i="41" s="1"/>
  <c r="J272" i="41" s="1"/>
  <c r="K272" i="41" s="1"/>
  <c r="L272" i="41" s="1"/>
  <c r="I499" i="50"/>
  <c r="AC154" i="73"/>
  <c r="P73" i="73"/>
  <c r="Q73" i="73" s="1"/>
  <c r="Q134" i="73" s="1"/>
  <c r="Q152" i="73" s="1"/>
  <c r="F248" i="51"/>
  <c r="AM224" i="74"/>
  <c r="F74" i="38"/>
  <c r="Q683" i="75"/>
  <c r="AN677" i="75"/>
  <c r="V683" i="75"/>
  <c r="F198" i="52"/>
  <c r="F204" i="52" s="1"/>
  <c r="G198" i="52"/>
  <c r="G204" i="52" s="1"/>
  <c r="L198" i="52"/>
  <c r="L211" i="52" s="1"/>
  <c r="L249" i="52" s="1"/>
  <c r="Y683" i="75"/>
  <c r="K452" i="51"/>
  <c r="M496" i="50"/>
  <c r="S684" i="75"/>
  <c r="F423" i="51"/>
  <c r="F440" i="51" s="1"/>
  <c r="F481" i="51" s="1"/>
  <c r="K423" i="51"/>
  <c r="K440" i="51" s="1"/>
  <c r="K481" i="51" s="1"/>
  <c r="K422" i="51"/>
  <c r="K439" i="51" s="1"/>
  <c r="K509" i="51" s="1"/>
  <c r="K420" i="51"/>
  <c r="K437" i="51" s="1"/>
  <c r="K499" i="51" s="1"/>
  <c r="J78" i="39"/>
  <c r="F90" i="40"/>
  <c r="I99" i="40"/>
  <c r="I114" i="40" s="1"/>
  <c r="I98" i="40"/>
  <c r="G99" i="40"/>
  <c r="G114" i="40" s="1"/>
  <c r="G98" i="40"/>
  <c r="I86" i="40"/>
  <c r="M98" i="40"/>
  <c r="M99" i="40"/>
  <c r="M114" i="40" s="1"/>
  <c r="L98" i="40"/>
  <c r="L99" i="40"/>
  <c r="L114" i="40" s="1"/>
  <c r="H98" i="40"/>
  <c r="H99" i="40"/>
  <c r="H114" i="40" s="1"/>
  <c r="M86" i="40"/>
  <c r="J98" i="40"/>
  <c r="J99" i="40"/>
  <c r="J114" i="40" s="1"/>
  <c r="K98" i="40"/>
  <c r="K99" i="40"/>
  <c r="K114" i="40" s="1"/>
  <c r="J86" i="40"/>
  <c r="L86" i="40"/>
  <c r="G86" i="40"/>
  <c r="F422" i="51"/>
  <c r="F439" i="51" s="1"/>
  <c r="F509" i="51" s="1"/>
  <c r="F420" i="51"/>
  <c r="F437" i="51" s="1"/>
  <c r="M153" i="47"/>
  <c r="F421" i="51"/>
  <c r="F438" i="51" s="1"/>
  <c r="F480" i="51" s="1"/>
  <c r="G422" i="51"/>
  <c r="G439" i="51" s="1"/>
  <c r="G509" i="51" s="1"/>
  <c r="F501" i="51"/>
  <c r="G420" i="51"/>
  <c r="G437" i="51" s="1"/>
  <c r="G499" i="51" s="1"/>
  <c r="G421" i="51"/>
  <c r="G438" i="51" s="1"/>
  <c r="G480" i="51" s="1"/>
  <c r="I496" i="50"/>
  <c r="L496" i="50"/>
  <c r="I498" i="50"/>
  <c r="H496" i="50"/>
  <c r="J496" i="50"/>
  <c r="AQ135" i="73"/>
  <c r="AQ191" i="73" s="1"/>
  <c r="K421" i="51"/>
  <c r="K438" i="51" s="1"/>
  <c r="K480" i="51" s="1"/>
  <c r="T224" i="74"/>
  <c r="G496" i="50"/>
  <c r="K496" i="50"/>
  <c r="L684" i="75"/>
  <c r="H157" i="73"/>
  <c r="I161" i="73" s="1"/>
  <c r="G500" i="50"/>
  <c r="Z73" i="73"/>
  <c r="AA73" i="73" s="1"/>
  <c r="AA134" i="73" s="1"/>
  <c r="AS7" i="47"/>
  <c r="K45" i="57"/>
  <c r="K71" i="57" s="1"/>
  <c r="H135" i="73"/>
  <c r="H136" i="73" s="1"/>
  <c r="H137" i="73" s="1"/>
  <c r="AI683" i="75"/>
  <c r="AM152" i="73"/>
  <c r="AC153" i="73"/>
  <c r="J494" i="50"/>
  <c r="H492" i="50"/>
  <c r="AE26" i="73"/>
  <c r="AE30" i="73" s="1"/>
  <c r="AE129" i="73" s="1"/>
  <c r="H421" i="51"/>
  <c r="H438" i="51" s="1"/>
  <c r="H500" i="51" s="1"/>
  <c r="H423" i="51"/>
  <c r="H440" i="51" s="1"/>
  <c r="H481" i="51" s="1"/>
  <c r="J64" i="34"/>
  <c r="J66" i="34" s="1"/>
  <c r="J67" i="34" s="1"/>
  <c r="O683" i="75"/>
  <c r="M423" i="51"/>
  <c r="M440" i="51" s="1"/>
  <c r="M481" i="51" s="1"/>
  <c r="AA684" i="75"/>
  <c r="Q684" i="75"/>
  <c r="J684" i="75"/>
  <c r="H71" i="57"/>
  <c r="H153" i="47"/>
  <c r="AM677" i="75"/>
  <c r="Z677" i="75"/>
  <c r="L498" i="50"/>
  <c r="M498" i="50"/>
  <c r="H49" i="57"/>
  <c r="H51" i="57" s="1"/>
  <c r="H52" i="57" s="1"/>
  <c r="H78" i="57" s="1"/>
  <c r="AE677" i="75"/>
  <c r="P684" i="75"/>
  <c r="AH152" i="73"/>
  <c r="AN683" i="75"/>
  <c r="U677" i="75"/>
  <c r="L685" i="75"/>
  <c r="H156" i="73"/>
  <c r="I160" i="73" s="1"/>
  <c r="G405" i="51"/>
  <c r="R685" i="75"/>
  <c r="I140" i="41"/>
  <c r="G677" i="75"/>
  <c r="AK684" i="75"/>
  <c r="AC135" i="73"/>
  <c r="AC190" i="73" s="1"/>
  <c r="AR325" i="75"/>
  <c r="AR346" i="75" s="1"/>
  <c r="G684" i="75"/>
  <c r="R684" i="75"/>
  <c r="P685" i="75"/>
  <c r="AJ684" i="75"/>
  <c r="AN30" i="73"/>
  <c r="AN129" i="73" s="1"/>
  <c r="AL677" i="75"/>
  <c r="AF683" i="75"/>
  <c r="G480" i="50"/>
  <c r="AR677" i="75"/>
  <c r="K685" i="75"/>
  <c r="M502" i="50"/>
  <c r="L677" i="75"/>
  <c r="AS684" i="75"/>
  <c r="AH683" i="75"/>
  <c r="M135" i="73"/>
  <c r="M193" i="73" s="1"/>
  <c r="AM135" i="73"/>
  <c r="AM192" i="73" s="1"/>
  <c r="AA325" i="75"/>
  <c r="AA551" i="75" s="1"/>
  <c r="X685" i="75"/>
  <c r="AD683" i="75"/>
  <c r="AP677" i="75"/>
  <c r="AE684" i="75"/>
  <c r="I501" i="51"/>
  <c r="AO683" i="75"/>
  <c r="M421" i="51"/>
  <c r="M438" i="51" s="1"/>
  <c r="M480" i="51" s="1"/>
  <c r="L683" i="75"/>
  <c r="AD685" i="75"/>
  <c r="K66" i="34"/>
  <c r="K67" i="34" s="1"/>
  <c r="K90" i="34" s="1"/>
  <c r="AR324" i="75"/>
  <c r="AR345" i="75" s="1"/>
  <c r="AR550" i="75" s="1"/>
  <c r="M49" i="57"/>
  <c r="M51" i="57" s="1"/>
  <c r="M55" i="57" s="1"/>
  <c r="M57" i="57" s="1"/>
  <c r="AM684" i="75"/>
  <c r="AF685" i="75"/>
  <c r="AQ684" i="75"/>
  <c r="AI685" i="75"/>
  <c r="O685" i="75"/>
  <c r="AO684" i="75"/>
  <c r="AE685" i="75"/>
  <c r="M684" i="75"/>
  <c r="G296" i="41"/>
  <c r="G297" i="41" s="1"/>
  <c r="G299" i="41" s="1"/>
  <c r="G500" i="41" s="1"/>
  <c r="K405" i="51"/>
  <c r="AC677" i="75"/>
  <c r="Y685" i="75"/>
  <c r="G683" i="75"/>
  <c r="AG677" i="75"/>
  <c r="S135" i="73"/>
  <c r="S193" i="73" s="1"/>
  <c r="Y677" i="75"/>
  <c r="AE629" i="75"/>
  <c r="AE634" i="75" s="1"/>
  <c r="AE636" i="75" s="1"/>
  <c r="AE640" i="75" s="1"/>
  <c r="M629" i="75"/>
  <c r="M634" i="75" s="1"/>
  <c r="M636" i="75" s="1"/>
  <c r="M640" i="75" s="1"/>
  <c r="AD603" i="75"/>
  <c r="O604" i="75"/>
  <c r="H181" i="52"/>
  <c r="H191" i="52" s="1"/>
  <c r="Y264" i="74"/>
  <c r="S153" i="73"/>
  <c r="M422" i="51"/>
  <c r="M439" i="51" s="1"/>
  <c r="M509" i="51" s="1"/>
  <c r="Q685" i="75"/>
  <c r="AA326" i="75"/>
  <c r="AA347" i="75" s="1"/>
  <c r="AA552" i="75" s="1"/>
  <c r="AC685" i="75"/>
  <c r="I677" i="75"/>
  <c r="AL684" i="75"/>
  <c r="T685" i="75"/>
  <c r="AQ677" i="75"/>
  <c r="I33" i="35"/>
  <c r="J33" i="35" s="1"/>
  <c r="J72" i="35" s="1"/>
  <c r="AH685" i="75"/>
  <c r="M405" i="51"/>
  <c r="AH684" i="75"/>
  <c r="AA685" i="75"/>
  <c r="K683" i="75"/>
  <c r="N153" i="73"/>
  <c r="X135" i="73"/>
  <c r="X191" i="73" s="1"/>
  <c r="AE22" i="73"/>
  <c r="AE128" i="73" s="1"/>
  <c r="V685" i="75"/>
  <c r="H163" i="73"/>
  <c r="H164" i="73" s="1"/>
  <c r="H215" i="73" s="1"/>
  <c r="M420" i="51"/>
  <c r="M437" i="51" s="1"/>
  <c r="G135" i="73"/>
  <c r="G192" i="73" s="1"/>
  <c r="AG684" i="75"/>
  <c r="AC684" i="75"/>
  <c r="T684" i="75"/>
  <c r="X684" i="75"/>
  <c r="AD684" i="75"/>
  <c r="J685" i="75"/>
  <c r="R683" i="75"/>
  <c r="S683" i="75"/>
  <c r="O677" i="75"/>
  <c r="V684" i="75"/>
  <c r="J677" i="75"/>
  <c r="I210" i="52"/>
  <c r="I248" i="52" s="1"/>
  <c r="I77" i="38"/>
  <c r="I79" i="38" s="1"/>
  <c r="I106" i="38" s="1"/>
  <c r="I487" i="50"/>
  <c r="U80" i="73"/>
  <c r="V80" i="73" s="1"/>
  <c r="AO685" i="75"/>
  <c r="I135" i="73"/>
  <c r="I192" i="73" s="1"/>
  <c r="H494" i="50"/>
  <c r="I494" i="50"/>
  <c r="F116" i="36"/>
  <c r="AE683" i="75"/>
  <c r="AP684" i="75"/>
  <c r="I684" i="75"/>
  <c r="AH153" i="73"/>
  <c r="K684" i="75"/>
  <c r="AG629" i="75"/>
  <c r="AG634" i="75" s="1"/>
  <c r="AG652" i="75" s="1"/>
  <c r="J683" i="75"/>
  <c r="U684" i="75"/>
  <c r="S685" i="75"/>
  <c r="AA683" i="75"/>
  <c r="U685" i="75"/>
  <c r="V677" i="75"/>
  <c r="K146" i="47"/>
  <c r="W135" i="73"/>
  <c r="W190" i="73" s="1"/>
  <c r="L296" i="41"/>
  <c r="L297" i="41" s="1"/>
  <c r="L299" i="41" s="1"/>
  <c r="L500" i="41" s="1"/>
  <c r="I492" i="50"/>
  <c r="G77" i="38"/>
  <c r="G79" i="38" s="1"/>
  <c r="G106" i="38" s="1"/>
  <c r="L492" i="50"/>
  <c r="H498" i="50"/>
  <c r="G452" i="51"/>
  <c r="AM153" i="73"/>
  <c r="AB684" i="75"/>
  <c r="AN134" i="73"/>
  <c r="AO73" i="73"/>
  <c r="AI134" i="73"/>
  <c r="AI152" i="73" s="1"/>
  <c r="AJ73" i="73"/>
  <c r="AN81" i="73"/>
  <c r="F97" i="40"/>
  <c r="H420" i="51"/>
  <c r="H437" i="51" s="1"/>
  <c r="H499" i="51" s="1"/>
  <c r="H422" i="51"/>
  <c r="H439" i="51" s="1"/>
  <c r="H509" i="51" s="1"/>
  <c r="I67" i="35"/>
  <c r="I71" i="35" s="1"/>
  <c r="I91" i="38"/>
  <c r="L92" i="38" s="1"/>
  <c r="J67" i="35"/>
  <c r="J71" i="35" s="1"/>
  <c r="Z30" i="73"/>
  <c r="Z129" i="73" s="1"/>
  <c r="N135" i="73"/>
  <c r="N193" i="73" s="1"/>
  <c r="U683" i="75"/>
  <c r="AR685" i="75"/>
  <c r="AP683" i="75"/>
  <c r="M685" i="75"/>
  <c r="AI684" i="75"/>
  <c r="G685" i="75"/>
  <c r="G502" i="50"/>
  <c r="L500" i="50"/>
  <c r="M67" i="35"/>
  <c r="M71" i="35" s="1"/>
  <c r="H684" i="75"/>
  <c r="P683" i="75"/>
  <c r="H685" i="75"/>
  <c r="Y684" i="75"/>
  <c r="AQ683" i="75"/>
  <c r="AS604" i="75"/>
  <c r="G91" i="38"/>
  <c r="K146" i="52"/>
  <c r="K150" i="52" s="1"/>
  <c r="K166" i="52" s="1"/>
  <c r="M500" i="50"/>
  <c r="I502" i="50"/>
  <c r="L494" i="50"/>
  <c r="K500" i="50"/>
  <c r="J500" i="50"/>
  <c r="O684" i="75"/>
  <c r="Z685" i="75"/>
  <c r="X683" i="75"/>
  <c r="N685" i="75"/>
  <c r="N684" i="75"/>
  <c r="M683" i="75"/>
  <c r="Y629" i="75"/>
  <c r="Y634" i="75" s="1"/>
  <c r="Y636" i="75" s="1"/>
  <c r="Y640" i="75" s="1"/>
  <c r="AO677" i="75"/>
  <c r="AG685" i="75"/>
  <c r="W677" i="75"/>
  <c r="AR683" i="75"/>
  <c r="Y326" i="75"/>
  <c r="Y347" i="75" s="1"/>
  <c r="Y552" i="75" s="1"/>
  <c r="H502" i="50"/>
  <c r="K502" i="50"/>
  <c r="J502" i="50"/>
  <c r="H500" i="50"/>
  <c r="L502" i="50"/>
  <c r="K148" i="52"/>
  <c r="K164" i="52" s="1"/>
  <c r="I500" i="50"/>
  <c r="Z683" i="75"/>
  <c r="AQ685" i="75"/>
  <c r="AS685" i="75"/>
  <c r="AS683" i="75"/>
  <c r="J204" i="52"/>
  <c r="J211" i="52"/>
  <c r="J249" i="52" s="1"/>
  <c r="AE80" i="73"/>
  <c r="AF80" i="73" s="1"/>
  <c r="AD81" i="73"/>
  <c r="J452" i="51"/>
  <c r="J501" i="51"/>
  <c r="K287" i="74"/>
  <c r="K294" i="74" s="1"/>
  <c r="K304" i="74" s="1"/>
  <c r="K307" i="74" s="1"/>
  <c r="K264" i="74"/>
  <c r="R603" i="75"/>
  <c r="R351" i="75"/>
  <c r="R538" i="75" s="1"/>
  <c r="G151" i="47"/>
  <c r="G52" i="39"/>
  <c r="G59" i="39" s="1"/>
  <c r="G67" i="39" s="1"/>
  <c r="L68" i="39" s="1"/>
  <c r="AP355" i="75"/>
  <c r="AP604" i="75"/>
  <c r="N604" i="75"/>
  <c r="N355" i="75"/>
  <c r="L423" i="51"/>
  <c r="L440" i="51" s="1"/>
  <c r="L481" i="51" s="1"/>
  <c r="I423" i="51"/>
  <c r="I440" i="51" s="1"/>
  <c r="I481" i="51" s="1"/>
  <c r="L422" i="51"/>
  <c r="L439" i="51" s="1"/>
  <c r="L509" i="51" s="1"/>
  <c r="L420" i="51"/>
  <c r="L437" i="51" s="1"/>
  <c r="L499" i="51" s="1"/>
  <c r="AK18" i="73"/>
  <c r="AK22" i="73" s="1"/>
  <c r="AK128" i="73" s="1"/>
  <c r="AJ22" i="73"/>
  <c r="AJ128" i="73" s="1"/>
  <c r="L421" i="51"/>
  <c r="L438" i="51" s="1"/>
  <c r="L480" i="51" s="1"/>
  <c r="O224" i="74"/>
  <c r="V224" i="74"/>
  <c r="I422" i="51"/>
  <c r="I439" i="51" s="1"/>
  <c r="I509" i="51" s="1"/>
  <c r="AD629" i="75"/>
  <c r="AD634" i="75" s="1"/>
  <c r="AD636" i="75" s="1"/>
  <c r="AD640" i="75" s="1"/>
  <c r="G182" i="73"/>
  <c r="AN684" i="75"/>
  <c r="I421" i="51"/>
  <c r="I438" i="51" s="1"/>
  <c r="I480" i="51" s="1"/>
  <c r="AD135" i="73"/>
  <c r="AD193" i="73" s="1"/>
  <c r="AM683" i="75"/>
  <c r="AL683" i="75"/>
  <c r="AG683" i="75"/>
  <c r="AP685" i="75"/>
  <c r="AE134" i="73"/>
  <c r="AF73" i="73"/>
  <c r="AF134" i="73" s="1"/>
  <c r="I420" i="51"/>
  <c r="I437" i="51" s="1"/>
  <c r="I499" i="51" s="1"/>
  <c r="H486" i="50"/>
  <c r="AM685" i="75"/>
  <c r="AL685" i="75"/>
  <c r="AK685" i="75"/>
  <c r="AB677" i="75"/>
  <c r="I296" i="41"/>
  <c r="I297" i="41" s="1"/>
  <c r="I299" i="41" s="1"/>
  <c r="H501" i="51"/>
  <c r="H452" i="51"/>
  <c r="G604" i="75"/>
  <c r="G355" i="75"/>
  <c r="G553" i="75" s="1"/>
  <c r="F67" i="35"/>
  <c r="F71" i="35" s="1"/>
  <c r="F147" i="47"/>
  <c r="L18" i="73"/>
  <c r="L22" i="73" s="1"/>
  <c r="L128" i="73" s="1"/>
  <c r="L153" i="73" s="1"/>
  <c r="K22" i="73"/>
  <c r="K128" i="73" s="1"/>
  <c r="K153" i="73" s="1"/>
  <c r="AR603" i="75"/>
  <c r="AR351" i="75"/>
  <c r="AR538" i="75" s="1"/>
  <c r="AJ355" i="75"/>
  <c r="AJ604" i="75"/>
  <c r="L224" i="74"/>
  <c r="W685" i="75"/>
  <c r="W683" i="75"/>
  <c r="N683" i="75"/>
  <c r="AC683" i="75"/>
  <c r="Z684" i="75"/>
  <c r="AB629" i="75"/>
  <c r="AB634" i="75" s="1"/>
  <c r="AB652" i="75" s="1"/>
  <c r="G215" i="73"/>
  <c r="G216" i="73" s="1"/>
  <c r="G217" i="73" s="1"/>
  <c r="G218" i="73" s="1"/>
  <c r="G219" i="73" s="1"/>
  <c r="S154" i="73"/>
  <c r="S152" i="73"/>
  <c r="AK683" i="75"/>
  <c r="H683" i="75"/>
  <c r="O135" i="73"/>
  <c r="O193" i="73" s="1"/>
  <c r="I158" i="73"/>
  <c r="J162" i="73" s="1"/>
  <c r="S224" i="74"/>
  <c r="E140" i="41"/>
  <c r="H629" i="75"/>
  <c r="H634" i="75" s="1"/>
  <c r="H636" i="75" s="1"/>
  <c r="H640" i="75" s="1"/>
  <c r="AK629" i="75"/>
  <c r="AK634" i="75" s="1"/>
  <c r="AK652" i="75" s="1"/>
  <c r="T134" i="73"/>
  <c r="T153" i="73" s="1"/>
  <c r="U73" i="73"/>
  <c r="AR684" i="75"/>
  <c r="AB685" i="75"/>
  <c r="AB683" i="75"/>
  <c r="AF684" i="75"/>
  <c r="J394" i="41"/>
  <c r="J408" i="41" s="1"/>
  <c r="T355" i="75"/>
  <c r="L77" i="38"/>
  <c r="L79" i="38" s="1"/>
  <c r="L106" i="38" s="1"/>
  <c r="AN355" i="75"/>
  <c r="K210" i="52"/>
  <c r="K248" i="52" s="1"/>
  <c r="K498" i="50"/>
  <c r="Y603" i="75"/>
  <c r="H501" i="50"/>
  <c r="J499" i="50"/>
  <c r="K487" i="50"/>
  <c r="AI629" i="75"/>
  <c r="AI634" i="75" s="1"/>
  <c r="AI636" i="75" s="1"/>
  <c r="AI640" i="75" s="1"/>
  <c r="J85" i="38"/>
  <c r="J87" i="38" s="1"/>
  <c r="J107" i="38" s="1"/>
  <c r="I152" i="47"/>
  <c r="AR355" i="75"/>
  <c r="Y224" i="74"/>
  <c r="AE324" i="75"/>
  <c r="AE345" i="75" s="1"/>
  <c r="AE550" i="75" s="1"/>
  <c r="G487" i="50"/>
  <c r="L479" i="50"/>
  <c r="R629" i="75"/>
  <c r="R634" i="75" s="1"/>
  <c r="R636" i="75" s="1"/>
  <c r="R640" i="75" s="1"/>
  <c r="V629" i="75"/>
  <c r="V634" i="75" s="1"/>
  <c r="V636" i="75" s="1"/>
  <c r="V640" i="75" s="1"/>
  <c r="P629" i="75"/>
  <c r="P634" i="75" s="1"/>
  <c r="P636" i="75" s="1"/>
  <c r="P640" i="75" s="1"/>
  <c r="X629" i="75"/>
  <c r="X634" i="75" s="1"/>
  <c r="X652" i="75" s="1"/>
  <c r="AE355" i="75"/>
  <c r="F152" i="47"/>
  <c r="I75" i="37"/>
  <c r="I77" i="37" s="1"/>
  <c r="I85" i="37" s="1"/>
  <c r="AL629" i="75"/>
  <c r="AL634" i="75" s="1"/>
  <c r="AL652" i="75" s="1"/>
  <c r="G501" i="50"/>
  <c r="M152" i="47"/>
  <c r="AI355" i="75"/>
  <c r="AO355" i="75"/>
  <c r="G152" i="47"/>
  <c r="I149" i="47"/>
  <c r="G145" i="52"/>
  <c r="G148" i="52" s="1"/>
  <c r="G164" i="52" s="1"/>
  <c r="M501" i="50"/>
  <c r="AM604" i="75"/>
  <c r="AC224" i="74"/>
  <c r="T324" i="75"/>
  <c r="T345" i="75" s="1"/>
  <c r="T550" i="75" s="1"/>
  <c r="H145" i="52"/>
  <c r="H148" i="52" s="1"/>
  <c r="H164" i="52" s="1"/>
  <c r="H178" i="52" s="1"/>
  <c r="H188" i="52" s="1"/>
  <c r="H148" i="47"/>
  <c r="H152" i="52"/>
  <c r="H168" i="52" s="1"/>
  <c r="H183" i="52" s="1"/>
  <c r="H193" i="52" s="1"/>
  <c r="K486" i="50"/>
  <c r="AR629" i="75"/>
  <c r="AR634" i="75" s="1"/>
  <c r="AR636" i="75" s="1"/>
  <c r="AR640" i="75" s="1"/>
  <c r="L629" i="75"/>
  <c r="L634" i="75" s="1"/>
  <c r="L636" i="75" s="1"/>
  <c r="L640" i="75" s="1"/>
  <c r="W629" i="75"/>
  <c r="W634" i="75" s="1"/>
  <c r="W652" i="75" s="1"/>
  <c r="S629" i="75"/>
  <c r="S634" i="75" s="1"/>
  <c r="S636" i="75" s="1"/>
  <c r="S640" i="75" s="1"/>
  <c r="Q629" i="75"/>
  <c r="Q634" i="75" s="1"/>
  <c r="Q652" i="75" s="1"/>
  <c r="J501" i="50"/>
  <c r="L501" i="50"/>
  <c r="V604" i="75"/>
  <c r="AH224" i="74"/>
  <c r="AF629" i="75"/>
  <c r="AF634" i="75" s="1"/>
  <c r="AF652" i="75" s="1"/>
  <c r="F501" i="50"/>
  <c r="Y325" i="75"/>
  <c r="Y551" i="75" s="1"/>
  <c r="N325" i="75"/>
  <c r="N551" i="75" s="1"/>
  <c r="AC355" i="75"/>
  <c r="G477" i="50"/>
  <c r="I480" i="50"/>
  <c r="J486" i="50"/>
  <c r="I501" i="50"/>
  <c r="H151" i="52"/>
  <c r="H167" i="52" s="1"/>
  <c r="H182" i="52" s="1"/>
  <c r="H192" i="52" s="1"/>
  <c r="AJ629" i="75"/>
  <c r="AJ634" i="75" s="1"/>
  <c r="AJ636" i="75" s="1"/>
  <c r="AJ640" i="75" s="1"/>
  <c r="AC629" i="75"/>
  <c r="AC634" i="75" s="1"/>
  <c r="AC636" i="75" s="1"/>
  <c r="AC640" i="75" s="1"/>
  <c r="U629" i="75"/>
  <c r="U634" i="75" s="1"/>
  <c r="U652" i="75" s="1"/>
  <c r="AA629" i="75"/>
  <c r="AA634" i="75" s="1"/>
  <c r="AA652" i="75" s="1"/>
  <c r="L153" i="47"/>
  <c r="L45" i="57"/>
  <c r="K394" i="41"/>
  <c r="K408" i="41" s="1"/>
  <c r="K296" i="41"/>
  <c r="K297" i="41" s="1"/>
  <c r="K299" i="41" s="1"/>
  <c r="K500" i="41" s="1"/>
  <c r="AA604" i="75"/>
  <c r="L152" i="47"/>
  <c r="M69" i="37"/>
  <c r="M73" i="37" s="1"/>
  <c r="M75" i="37" s="1"/>
  <c r="M77" i="37" s="1"/>
  <c r="K499" i="50"/>
  <c r="L497" i="50"/>
  <c r="F499" i="50"/>
  <c r="I497" i="50"/>
  <c r="R325" i="75"/>
  <c r="R346" i="75" s="1"/>
  <c r="M497" i="50"/>
  <c r="I204" i="52"/>
  <c r="I211" i="52"/>
  <c r="I249" i="52" s="1"/>
  <c r="I629" i="75"/>
  <c r="I634" i="75" s="1"/>
  <c r="I274" i="41"/>
  <c r="J274" i="41" s="1"/>
  <c r="K274" i="41" s="1"/>
  <c r="L274" i="41" s="1"/>
  <c r="U355" i="75"/>
  <c r="AI603" i="75"/>
  <c r="M324" i="75"/>
  <c r="N224" i="74"/>
  <c r="K495" i="50"/>
  <c r="G493" i="50"/>
  <c r="AS629" i="75"/>
  <c r="AS634" i="75" s="1"/>
  <c r="AK224" i="74"/>
  <c r="J497" i="50"/>
  <c r="H499" i="50"/>
  <c r="L499" i="50"/>
  <c r="G499" i="50"/>
  <c r="L493" i="50"/>
  <c r="G497" i="50"/>
  <c r="F107" i="36"/>
  <c r="M394" i="41"/>
  <c r="M408" i="41" s="1"/>
  <c r="M296" i="41"/>
  <c r="M297" i="41" s="1"/>
  <c r="M299" i="41" s="1"/>
  <c r="M500" i="41" s="1"/>
  <c r="M499" i="50"/>
  <c r="K497" i="50"/>
  <c r="M326" i="75"/>
  <c r="M347" i="75" s="1"/>
  <c r="M552" i="75" s="1"/>
  <c r="AN224" i="74"/>
  <c r="L484" i="50"/>
  <c r="J493" i="50"/>
  <c r="J96" i="38"/>
  <c r="M97" i="38" s="1"/>
  <c r="AN351" i="75"/>
  <c r="AN538" i="75" s="1"/>
  <c r="AF604" i="75"/>
  <c r="AS351" i="75"/>
  <c r="AS538" i="75" s="1"/>
  <c r="J604" i="75"/>
  <c r="P355" i="75"/>
  <c r="H497" i="50"/>
  <c r="AL224" i="74"/>
  <c r="AD224" i="74"/>
  <c r="K224" i="74"/>
  <c r="AP224" i="74"/>
  <c r="AQ225" i="74" s="1"/>
  <c r="U224" i="74"/>
  <c r="AF224" i="74"/>
  <c r="AM603" i="75"/>
  <c r="L480" i="50"/>
  <c r="L486" i="50"/>
  <c r="G153" i="47"/>
  <c r="G45" i="57"/>
  <c r="AG604" i="75"/>
  <c r="AG355" i="75"/>
  <c r="M495" i="50"/>
  <c r="F495" i="50"/>
  <c r="K147" i="47"/>
  <c r="K67" i="35"/>
  <c r="K71" i="35" s="1"/>
  <c r="K77" i="38"/>
  <c r="K79" i="38" s="1"/>
  <c r="K106" i="38" s="1"/>
  <c r="H405" i="51"/>
  <c r="AH604" i="75"/>
  <c r="AB355" i="75"/>
  <c r="G479" i="50"/>
  <c r="M106" i="38"/>
  <c r="H495" i="50"/>
  <c r="G603" i="75"/>
  <c r="F103" i="40"/>
  <c r="H355" i="75"/>
  <c r="Y604" i="75"/>
  <c r="J248" i="51"/>
  <c r="J152" i="47"/>
  <c r="AE326" i="75"/>
  <c r="AE347" i="75" s="1"/>
  <c r="AE552" i="75" s="1"/>
  <c r="AO351" i="75"/>
  <c r="AO538" i="75" s="1"/>
  <c r="N326" i="75"/>
  <c r="N347" i="75" s="1"/>
  <c r="N552" i="75" s="1"/>
  <c r="T325" i="75"/>
  <c r="T346" i="75" s="1"/>
  <c r="K479" i="50"/>
  <c r="M482" i="50"/>
  <c r="M478" i="50"/>
  <c r="K482" i="50"/>
  <c r="I478" i="50"/>
  <c r="K477" i="50"/>
  <c r="J479" i="50"/>
  <c r="G482" i="50"/>
  <c r="I68" i="36"/>
  <c r="I72" i="36" s="1"/>
  <c r="I148" i="47"/>
  <c r="G73" i="35"/>
  <c r="G75" i="35" s="1"/>
  <c r="L495" i="50"/>
  <c r="J495" i="50"/>
  <c r="H493" i="50"/>
  <c r="F493" i="50"/>
  <c r="G148" i="47"/>
  <c r="G68" i="36"/>
  <c r="G72" i="36" s="1"/>
  <c r="M603" i="75"/>
  <c r="L405" i="51"/>
  <c r="G495" i="50"/>
  <c r="K91" i="38"/>
  <c r="W355" i="75"/>
  <c r="AG224" i="74"/>
  <c r="J487" i="50"/>
  <c r="I479" i="50"/>
  <c r="H482" i="50"/>
  <c r="P224" i="74"/>
  <c r="I493" i="50"/>
  <c r="G478" i="50"/>
  <c r="M484" i="50"/>
  <c r="H484" i="50"/>
  <c r="H487" i="50"/>
  <c r="M487" i="50"/>
  <c r="L487" i="50"/>
  <c r="M479" i="50"/>
  <c r="H479" i="50"/>
  <c r="L67" i="35"/>
  <c r="L71" i="35" s="1"/>
  <c r="L147" i="47"/>
  <c r="H77" i="38"/>
  <c r="H79" i="38" s="1"/>
  <c r="H106" i="38" s="1"/>
  <c r="I495" i="50"/>
  <c r="G69" i="37"/>
  <c r="G73" i="37" s="1"/>
  <c r="G149" i="47"/>
  <c r="L148" i="47"/>
  <c r="L68" i="36"/>
  <c r="L72" i="36" s="1"/>
  <c r="S355" i="75"/>
  <c r="S604" i="75"/>
  <c r="G325" i="75"/>
  <c r="G326" i="75"/>
  <c r="G347" i="75" s="1"/>
  <c r="G552" i="75" s="1"/>
  <c r="G324" i="75"/>
  <c r="I224" i="74"/>
  <c r="H603" i="75"/>
  <c r="H351" i="75"/>
  <c r="H538" i="75" s="1"/>
  <c r="AL351" i="75"/>
  <c r="AL538" i="75" s="1"/>
  <c r="AL603" i="75"/>
  <c r="O351" i="75"/>
  <c r="O538" i="75" s="1"/>
  <c r="O603" i="75"/>
  <c r="L485" i="50"/>
  <c r="AC351" i="75"/>
  <c r="AC538" i="75" s="1"/>
  <c r="AC603" i="75"/>
  <c r="T43" i="47"/>
  <c r="T46" i="47" s="1"/>
  <c r="H22" i="3"/>
  <c r="L18" i="50"/>
  <c r="L27" i="50" s="1"/>
  <c r="H152" i="47"/>
  <c r="H78" i="40"/>
  <c r="AB603" i="75"/>
  <c r="AB351" i="75"/>
  <c r="AB538" i="75" s="1"/>
  <c r="I481" i="50"/>
  <c r="U324" i="75"/>
  <c r="U345" i="75" s="1"/>
  <c r="U550" i="75" s="1"/>
  <c r="U325" i="75"/>
  <c r="U326" i="75"/>
  <c r="U347" i="75" s="1"/>
  <c r="U552" i="75" s="1"/>
  <c r="G250" i="51"/>
  <c r="G344" i="51" s="1"/>
  <c r="G348" i="51" s="1"/>
  <c r="G352" i="51" s="1"/>
  <c r="G367" i="51" s="1"/>
  <c r="G384" i="51" s="1"/>
  <c r="G251" i="51"/>
  <c r="G345" i="51" s="1"/>
  <c r="G349" i="51" s="1"/>
  <c r="G353" i="51" s="1"/>
  <c r="G371" i="51" s="1"/>
  <c r="G388" i="51" s="1"/>
  <c r="G451" i="51" s="1"/>
  <c r="Z224" i="74"/>
  <c r="U43" i="47"/>
  <c r="U46" i="47" s="1"/>
  <c r="I22" i="3"/>
  <c r="AN326" i="75"/>
  <c r="AN347" i="75" s="1"/>
  <c r="AN552" i="75" s="1"/>
  <c r="AN324" i="75"/>
  <c r="AN325" i="75"/>
  <c r="V326" i="75"/>
  <c r="V347" i="75" s="1"/>
  <c r="V552" i="75" s="1"/>
  <c r="V324" i="75"/>
  <c r="V325" i="75"/>
  <c r="Z324" i="75"/>
  <c r="Z325" i="75"/>
  <c r="Z326" i="75"/>
  <c r="Z347" i="75" s="1"/>
  <c r="Z552" i="75" s="1"/>
  <c r="AC324" i="75"/>
  <c r="AC345" i="75" s="1"/>
  <c r="AC550" i="75" s="1"/>
  <c r="AC326" i="75"/>
  <c r="AC347" i="75" s="1"/>
  <c r="AC552" i="75" s="1"/>
  <c r="AC325" i="75"/>
  <c r="AC551" i="75" s="1"/>
  <c r="R326" i="75"/>
  <c r="R347" i="75" s="1"/>
  <c r="R552" i="75" s="1"/>
  <c r="M148" i="47"/>
  <c r="M68" i="36"/>
  <c r="M72" i="36" s="1"/>
  <c r="P351" i="75"/>
  <c r="P538" i="75" s="1"/>
  <c r="P603" i="75"/>
  <c r="Q326" i="75"/>
  <c r="Q347" i="75" s="1"/>
  <c r="Q552" i="75" s="1"/>
  <c r="Q324" i="75"/>
  <c r="Q325" i="75"/>
  <c r="AL325" i="75"/>
  <c r="AL324" i="75"/>
  <c r="AL326" i="75"/>
  <c r="AL347" i="75" s="1"/>
  <c r="AL552" i="75" s="1"/>
  <c r="X324" i="75"/>
  <c r="X326" i="75"/>
  <c r="X347" i="75" s="1"/>
  <c r="X552" i="75" s="1"/>
  <c r="H151" i="47"/>
  <c r="H52" i="39"/>
  <c r="H59" i="39" s="1"/>
  <c r="W351" i="75"/>
  <c r="W538" i="75" s="1"/>
  <c r="X224" i="74"/>
  <c r="AA224" i="74"/>
  <c r="I603" i="75"/>
  <c r="J68" i="36"/>
  <c r="J72" i="36" s="1"/>
  <c r="J148" i="47"/>
  <c r="J45" i="57"/>
  <c r="J153" i="47"/>
  <c r="L324" i="75"/>
  <c r="L325" i="75"/>
  <c r="L326" i="75"/>
  <c r="L347" i="75" s="1"/>
  <c r="L552" i="75" s="1"/>
  <c r="K326" i="75"/>
  <c r="K347" i="75" s="1"/>
  <c r="K552" i="75" s="1"/>
  <c r="K325" i="75"/>
  <c r="K346" i="75" s="1"/>
  <c r="K324" i="75"/>
  <c r="K345" i="75" s="1"/>
  <c r="K550" i="75" s="1"/>
  <c r="Z603" i="75"/>
  <c r="Z351" i="75"/>
  <c r="Z538" i="75" s="1"/>
  <c r="J325" i="75"/>
  <c r="J326" i="75"/>
  <c r="J347" i="75" s="1"/>
  <c r="J552" i="75" s="1"/>
  <c r="J324" i="75"/>
  <c r="X604" i="75"/>
  <c r="X355" i="75"/>
  <c r="H481" i="50"/>
  <c r="J478" i="50"/>
  <c r="M477" i="50"/>
  <c r="L482" i="50"/>
  <c r="H477" i="50"/>
  <c r="K484" i="50"/>
  <c r="I484" i="50"/>
  <c r="H478" i="50"/>
  <c r="I486" i="50"/>
  <c r="L604" i="75"/>
  <c r="L355" i="75"/>
  <c r="X351" i="75"/>
  <c r="X538" i="75" s="1"/>
  <c r="X603" i="75"/>
  <c r="AH325" i="75"/>
  <c r="AH326" i="75"/>
  <c r="AH347" i="75" s="1"/>
  <c r="AH552" i="75" s="1"/>
  <c r="AH324" i="75"/>
  <c r="M355" i="75"/>
  <c r="M604" i="75"/>
  <c r="L603" i="75"/>
  <c r="L351" i="75"/>
  <c r="L538" i="75" s="1"/>
  <c r="P324" i="75"/>
  <c r="P325" i="75"/>
  <c r="P326" i="75"/>
  <c r="P347" i="75" s="1"/>
  <c r="P552" i="75" s="1"/>
  <c r="Q604" i="75"/>
  <c r="Q355" i="75"/>
  <c r="K52" i="39"/>
  <c r="K59" i="39" s="1"/>
  <c r="K61" i="39" s="1"/>
  <c r="K63" i="39" s="1"/>
  <c r="K151" i="47"/>
  <c r="AP324" i="75"/>
  <c r="AP326" i="75"/>
  <c r="AP347" i="75" s="1"/>
  <c r="AP552" i="75" s="1"/>
  <c r="AP325" i="75"/>
  <c r="U351" i="75"/>
  <c r="U538" i="75" s="1"/>
  <c r="U603" i="75"/>
  <c r="AF325" i="75"/>
  <c r="AF324" i="75"/>
  <c r="AF326" i="75"/>
  <c r="AF347" i="75" s="1"/>
  <c r="AF552" i="75" s="1"/>
  <c r="AK355" i="75"/>
  <c r="AK604" i="75"/>
  <c r="AD355" i="75"/>
  <c r="AD604" i="75"/>
  <c r="I151" i="47"/>
  <c r="I52" i="39"/>
  <c r="I59" i="39" s="1"/>
  <c r="J67" i="39"/>
  <c r="Z43" i="47"/>
  <c r="Z46" i="47" s="1"/>
  <c r="N22" i="3"/>
  <c r="Y43" i="47"/>
  <c r="Y46" i="47" s="1"/>
  <c r="M22" i="3"/>
  <c r="X43" i="47"/>
  <c r="X46" i="47" s="1"/>
  <c r="L22" i="3"/>
  <c r="H204" i="52"/>
  <c r="H211" i="52"/>
  <c r="H249" i="52" s="1"/>
  <c r="AB326" i="75"/>
  <c r="AB347" i="75" s="1"/>
  <c r="AB552" i="75" s="1"/>
  <c r="AB325" i="75"/>
  <c r="AB324" i="75"/>
  <c r="AS325" i="75"/>
  <c r="AS324" i="75"/>
  <c r="AS326" i="75"/>
  <c r="AS347" i="75" s="1"/>
  <c r="AS552" i="75" s="1"/>
  <c r="I355" i="75"/>
  <c r="I604" i="75"/>
  <c r="G481" i="50"/>
  <c r="M481" i="50"/>
  <c r="J481" i="50"/>
  <c r="T351" i="75"/>
  <c r="T538" i="75" s="1"/>
  <c r="T603" i="75"/>
  <c r="AM325" i="75"/>
  <c r="AM324" i="75"/>
  <c r="AM326" i="75"/>
  <c r="AM347" i="75" s="1"/>
  <c r="AM552" i="75" s="1"/>
  <c r="AF603" i="75"/>
  <c r="AF351" i="75"/>
  <c r="AF538" i="75" s="1"/>
  <c r="W325" i="75"/>
  <c r="W324" i="75"/>
  <c r="W326" i="75"/>
  <c r="W347" i="75" s="1"/>
  <c r="W552" i="75" s="1"/>
  <c r="F52" i="39"/>
  <c r="F59" i="39" s="1"/>
  <c r="F151" i="47"/>
  <c r="W43" i="47"/>
  <c r="W46" i="47" s="1"/>
  <c r="K22" i="3"/>
  <c r="J151" i="47"/>
  <c r="V43" i="47"/>
  <c r="V46" i="47" s="1"/>
  <c r="J22" i="3"/>
  <c r="F153" i="47"/>
  <c r="R604" i="75"/>
  <c r="R355" i="75"/>
  <c r="AK351" i="75"/>
  <c r="AK538" i="75" s="1"/>
  <c r="AK603" i="75"/>
  <c r="K481" i="50"/>
  <c r="AK326" i="75"/>
  <c r="AK347" i="75" s="1"/>
  <c r="AK552" i="75" s="1"/>
  <c r="AK325" i="75"/>
  <c r="AK324" i="75"/>
  <c r="R224" i="74"/>
  <c r="L478" i="50"/>
  <c r="AJ351" i="75"/>
  <c r="AJ538" i="75" s="1"/>
  <c r="AJ603" i="75"/>
  <c r="AI324" i="75"/>
  <c r="AI325" i="75"/>
  <c r="AI326" i="75"/>
  <c r="AI347" i="75" s="1"/>
  <c r="AI552" i="75" s="1"/>
  <c r="K478" i="50"/>
  <c r="K480" i="50"/>
  <c r="J485" i="50"/>
  <c r="M486" i="50"/>
  <c r="L477" i="50"/>
  <c r="J477" i="50"/>
  <c r="G486" i="50"/>
  <c r="G484" i="50"/>
  <c r="I482" i="50"/>
  <c r="M480" i="50"/>
  <c r="H480" i="50"/>
  <c r="I477" i="50"/>
  <c r="J480" i="50"/>
  <c r="S603" i="75"/>
  <c r="S351" i="75"/>
  <c r="S538" i="75" s="1"/>
  <c r="AD326" i="75"/>
  <c r="AD347" i="75" s="1"/>
  <c r="AD552" i="75" s="1"/>
  <c r="AD324" i="75"/>
  <c r="AD325" i="75"/>
  <c r="AQ355" i="75"/>
  <c r="AQ604" i="75"/>
  <c r="AO324" i="75"/>
  <c r="AO326" i="75"/>
  <c r="AO347" i="75" s="1"/>
  <c r="AO552" i="75" s="1"/>
  <c r="AO325" i="75"/>
  <c r="AH603" i="75"/>
  <c r="AH351" i="75"/>
  <c r="AH538" i="75" s="1"/>
  <c r="AQ351" i="75"/>
  <c r="AQ538" i="75" s="1"/>
  <c r="AQ603" i="75"/>
  <c r="AG325" i="75"/>
  <c r="AG324" i="75"/>
  <c r="AG326" i="75"/>
  <c r="AG347" i="75" s="1"/>
  <c r="AG552" i="75" s="1"/>
  <c r="Q603" i="75"/>
  <c r="Q351" i="75"/>
  <c r="Q538" i="75" s="1"/>
  <c r="Z604" i="75"/>
  <c r="Z355" i="75"/>
  <c r="L52" i="39"/>
  <c r="L59" i="39" s="1"/>
  <c r="L151" i="47"/>
  <c r="J101" i="53"/>
  <c r="J26" i="3" s="1"/>
  <c r="Y345" i="75"/>
  <c r="Y550" i="75" s="1"/>
  <c r="K82" i="38"/>
  <c r="K150" i="47"/>
  <c r="Y153" i="73"/>
  <c r="Y152" i="73"/>
  <c r="I74" i="53"/>
  <c r="J74" i="53" s="1"/>
  <c r="H80" i="53"/>
  <c r="K84" i="37"/>
  <c r="K85" i="37"/>
  <c r="K351" i="75"/>
  <c r="K538" i="75" s="1"/>
  <c r="K603" i="75"/>
  <c r="G151" i="52"/>
  <c r="G167" i="52" s="1"/>
  <c r="G150" i="52"/>
  <c r="G166" i="52" s="1"/>
  <c r="G152" i="52"/>
  <c r="G168" i="52" s="1"/>
  <c r="M101" i="53"/>
  <c r="M26" i="3" s="1"/>
  <c r="AF710" i="75"/>
  <c r="H61" i="57"/>
  <c r="L101" i="53"/>
  <c r="L26" i="3" s="1"/>
  <c r="L127" i="52"/>
  <c r="L126" i="52"/>
  <c r="L125" i="52"/>
  <c r="AE551" i="75"/>
  <c r="AE346" i="75"/>
  <c r="I115" i="44"/>
  <c r="M551" i="75"/>
  <c r="M346" i="75"/>
  <c r="O152" i="73"/>
  <c r="O154" i="73"/>
  <c r="N345" i="75"/>
  <c r="N550" i="75" s="1"/>
  <c r="M82" i="38"/>
  <c r="M150" i="47"/>
  <c r="I82" i="38"/>
  <c r="I150" i="47"/>
  <c r="L501" i="51"/>
  <c r="L452" i="51"/>
  <c r="J203" i="52"/>
  <c r="J210" i="52"/>
  <c r="J248" i="52" s="1"/>
  <c r="M204" i="52"/>
  <c r="M211" i="52"/>
  <c r="M249" i="52" s="1"/>
  <c r="G87" i="53"/>
  <c r="G80" i="53"/>
  <c r="F98" i="44" s="1"/>
  <c r="F99" i="44" s="1"/>
  <c r="F116" i="44" s="1"/>
  <c r="J61" i="57"/>
  <c r="I126" i="52"/>
  <c r="I127" i="52"/>
  <c r="I125" i="52"/>
  <c r="P78" i="73"/>
  <c r="O81" i="73"/>
  <c r="K77" i="73"/>
  <c r="J152" i="73"/>
  <c r="J81" i="73"/>
  <c r="H224" i="74"/>
  <c r="W224" i="74"/>
  <c r="AJ224" i="74"/>
  <c r="O287" i="74"/>
  <c r="O294" i="74" s="1"/>
  <c r="O304" i="74" s="1"/>
  <c r="O307" i="74" s="1"/>
  <c r="O264" i="74"/>
  <c r="AJ80" i="73"/>
  <c r="AI81" i="73"/>
  <c r="K101" i="53"/>
  <c r="K26" i="3" s="1"/>
  <c r="F413" i="51"/>
  <c r="F430" i="51" s="1"/>
  <c r="F477" i="51" s="1"/>
  <c r="F416" i="51"/>
  <c r="F433" i="51" s="1"/>
  <c r="F496" i="51" s="1"/>
  <c r="F412" i="51"/>
  <c r="F429" i="51" s="1"/>
  <c r="F465" i="51" s="1"/>
  <c r="F417" i="51"/>
  <c r="F434" i="51" s="1"/>
  <c r="F479" i="51" s="1"/>
  <c r="F414" i="51"/>
  <c r="F431" i="51" s="1"/>
  <c r="F494" i="51" s="1"/>
  <c r="F418" i="51"/>
  <c r="F435" i="51" s="1"/>
  <c r="F498" i="51" s="1"/>
  <c r="F415" i="51"/>
  <c r="F432" i="51" s="1"/>
  <c r="F419" i="51"/>
  <c r="F436" i="51" s="1"/>
  <c r="F508" i="51" s="1"/>
  <c r="M140" i="41"/>
  <c r="Z81" i="73"/>
  <c r="AA80" i="73"/>
  <c r="AA81" i="73" s="1"/>
  <c r="K92" i="38"/>
  <c r="AJ30" i="73"/>
  <c r="AJ129" i="73" s="1"/>
  <c r="AK26" i="73"/>
  <c r="AK30" i="73" s="1"/>
  <c r="AK129" i="73" s="1"/>
  <c r="M61" i="57"/>
  <c r="I61" i="57"/>
  <c r="K126" i="52"/>
  <c r="K125" i="52"/>
  <c r="K127" i="52"/>
  <c r="K179" i="52" s="1"/>
  <c r="K189" i="52" s="1"/>
  <c r="M64" i="52"/>
  <c r="M146" i="52" s="1"/>
  <c r="L146" i="52"/>
  <c r="J224" i="74"/>
  <c r="AO224" i="74"/>
  <c r="G224" i="74"/>
  <c r="X551" i="75"/>
  <c r="X346" i="75"/>
  <c r="L82" i="38"/>
  <c r="L150" i="47"/>
  <c r="G82" i="38"/>
  <c r="G150" i="47"/>
  <c r="I101" i="53"/>
  <c r="I26" i="3" s="1"/>
  <c r="F146" i="52"/>
  <c r="F145" i="52"/>
  <c r="J150" i="52"/>
  <c r="J166" i="52" s="1"/>
  <c r="J151" i="52"/>
  <c r="J167" i="52" s="1"/>
  <c r="J152" i="52"/>
  <c r="J168" i="52" s="1"/>
  <c r="F203" i="52"/>
  <c r="F210" i="52"/>
  <c r="F248" i="52" s="1"/>
  <c r="G61" i="57"/>
  <c r="F125" i="52"/>
  <c r="F127" i="52"/>
  <c r="F126" i="52"/>
  <c r="J125" i="52"/>
  <c r="J126" i="52"/>
  <c r="J127" i="52"/>
  <c r="Q224" i="74"/>
  <c r="AI224" i="74"/>
  <c r="M224" i="74"/>
  <c r="AE224" i="74"/>
  <c r="H82" i="38"/>
  <c r="H150" i="47"/>
  <c r="H149" i="47"/>
  <c r="H69" i="37"/>
  <c r="H73" i="37" s="1"/>
  <c r="J69" i="37"/>
  <c r="J73" i="37" s="1"/>
  <c r="J149" i="47"/>
  <c r="G146" i="47"/>
  <c r="G64" i="34"/>
  <c r="L64" i="34"/>
  <c r="L146" i="47"/>
  <c r="F64" i="34"/>
  <c r="F146" i="47"/>
  <c r="H64" i="34"/>
  <c r="H146" i="47"/>
  <c r="L307" i="51"/>
  <c r="K306" i="51"/>
  <c r="K305" i="51"/>
  <c r="G311" i="51"/>
  <c r="L311" i="51"/>
  <c r="L305" i="51"/>
  <c r="H308" i="51"/>
  <c r="G307" i="51"/>
  <c r="J310" i="51"/>
  <c r="L309" i="51"/>
  <c r="G305" i="51"/>
  <c r="H310" i="51"/>
  <c r="G304" i="51"/>
  <c r="K307" i="51"/>
  <c r="G306" i="51"/>
  <c r="H305" i="51"/>
  <c r="H309" i="51"/>
  <c r="K310" i="51"/>
  <c r="K308" i="51"/>
  <c r="J308" i="51"/>
  <c r="K304" i="51"/>
  <c r="K311" i="51"/>
  <c r="J309" i="51"/>
  <c r="G308" i="51"/>
  <c r="L310" i="51"/>
  <c r="L304" i="51"/>
  <c r="J304" i="51"/>
  <c r="H311" i="51"/>
  <c r="J307" i="51"/>
  <c r="H306" i="51"/>
  <c r="H304" i="51"/>
  <c r="J305" i="51"/>
  <c r="G309" i="51"/>
  <c r="L306" i="51"/>
  <c r="J306" i="51"/>
  <c r="K309" i="51"/>
  <c r="G310" i="51"/>
  <c r="L308" i="51"/>
  <c r="J311" i="51"/>
  <c r="F322" i="51"/>
  <c r="G275" i="51" s="1"/>
  <c r="H250" i="51"/>
  <c r="H344" i="51" s="1"/>
  <c r="H348" i="51" s="1"/>
  <c r="H352" i="51" s="1"/>
  <c r="H366" i="51" s="1"/>
  <c r="H383" i="51" s="1"/>
  <c r="H490" i="51" s="1"/>
  <c r="H251" i="51"/>
  <c r="H345" i="51" s="1"/>
  <c r="H349" i="51" s="1"/>
  <c r="H353" i="51" s="1"/>
  <c r="H371" i="51" s="1"/>
  <c r="H388" i="51" s="1"/>
  <c r="H451" i="51" s="1"/>
  <c r="M248" i="51"/>
  <c r="J251" i="51"/>
  <c r="J345" i="51" s="1"/>
  <c r="J349" i="51" s="1"/>
  <c r="J353" i="51" s="1"/>
  <c r="J371" i="51" s="1"/>
  <c r="J388" i="51" s="1"/>
  <c r="F250" i="51"/>
  <c r="F344" i="51" s="1"/>
  <c r="F348" i="51" s="1"/>
  <c r="F352" i="51" s="1"/>
  <c r="F251" i="51"/>
  <c r="F345" i="51" s="1"/>
  <c r="F349" i="51" s="1"/>
  <c r="F353" i="51" s="1"/>
  <c r="F371" i="51" s="1"/>
  <c r="F388" i="51" s="1"/>
  <c r="M343" i="51"/>
  <c r="M347" i="51" s="1"/>
  <c r="M351" i="51" s="1"/>
  <c r="M370" i="51" s="1"/>
  <c r="M250" i="51"/>
  <c r="M344" i="51" s="1"/>
  <c r="M348" i="51" s="1"/>
  <c r="M352" i="51" s="1"/>
  <c r="M251" i="51"/>
  <c r="M345" i="51" s="1"/>
  <c r="M349" i="51" s="1"/>
  <c r="M353" i="51" s="1"/>
  <c r="M371" i="51" s="1"/>
  <c r="M388" i="51" s="1"/>
  <c r="M252" i="51"/>
  <c r="H343" i="51"/>
  <c r="H347" i="51" s="1"/>
  <c r="H351" i="51" s="1"/>
  <c r="H370" i="51" s="1"/>
  <c r="H252" i="51"/>
  <c r="K251" i="51"/>
  <c r="K345" i="51" s="1"/>
  <c r="K349" i="51" s="1"/>
  <c r="K353" i="51" s="1"/>
  <c r="K371" i="51" s="1"/>
  <c r="K388" i="51" s="1"/>
  <c r="K248" i="51"/>
  <c r="H248" i="51"/>
  <c r="V351" i="75"/>
  <c r="V538" i="75" s="1"/>
  <c r="V603" i="75"/>
  <c r="AA603" i="75"/>
  <c r="AA351" i="75"/>
  <c r="AA538" i="75" s="1"/>
  <c r="AE603" i="75"/>
  <c r="AE351" i="75"/>
  <c r="AE538" i="75" s="1"/>
  <c r="AJ325" i="75"/>
  <c r="AJ326" i="75"/>
  <c r="AJ347" i="75" s="1"/>
  <c r="AJ552" i="75" s="1"/>
  <c r="AJ324" i="75"/>
  <c r="J603" i="75"/>
  <c r="J351" i="75"/>
  <c r="J538" i="75" s="1"/>
  <c r="L203" i="52"/>
  <c r="L210" i="52"/>
  <c r="L248" i="52" s="1"/>
  <c r="AP603" i="75"/>
  <c r="AP351" i="75"/>
  <c r="AP538" i="75" s="1"/>
  <c r="J422" i="51"/>
  <c r="J439" i="51" s="1"/>
  <c r="J509" i="51" s="1"/>
  <c r="J420" i="51"/>
  <c r="J437" i="51" s="1"/>
  <c r="J421" i="51"/>
  <c r="J438" i="51" s="1"/>
  <c r="J423" i="51"/>
  <c r="J440" i="51" s="1"/>
  <c r="J481" i="51" s="1"/>
  <c r="G125" i="52"/>
  <c r="G126" i="52"/>
  <c r="G127" i="52"/>
  <c r="M127" i="52"/>
  <c r="M126" i="52"/>
  <c r="M125" i="52"/>
  <c r="L154" i="73"/>
  <c r="H203" i="52"/>
  <c r="H210" i="52"/>
  <c r="H248" i="52" s="1"/>
  <c r="M501" i="51"/>
  <c r="M452" i="51"/>
  <c r="O324" i="75"/>
  <c r="O325" i="75"/>
  <c r="J150" i="47"/>
  <c r="J74" i="38"/>
  <c r="H79" i="36"/>
  <c r="H116" i="36"/>
  <c r="H74" i="36"/>
  <c r="H76" i="36" s="1"/>
  <c r="AG603" i="75"/>
  <c r="AG351" i="75"/>
  <c r="AG538" i="75" s="1"/>
  <c r="AA372" i="73"/>
  <c r="AA374" i="73" s="1"/>
  <c r="AA368" i="73"/>
  <c r="AL372" i="73"/>
  <c r="AL374" i="73" s="1"/>
  <c r="AL368" i="73"/>
  <c r="I281" i="74"/>
  <c r="I283" i="74" s="1"/>
  <c r="I289" i="74" s="1"/>
  <c r="I210" i="74"/>
  <c r="I288" i="74"/>
  <c r="I191" i="74"/>
  <c r="Q275" i="74"/>
  <c r="T677" i="75"/>
  <c r="P37" i="74"/>
  <c r="P165" i="74" s="1"/>
  <c r="P220" i="74" s="1"/>
  <c r="P262" i="74" s="1"/>
  <c r="U37" i="74"/>
  <c r="U165" i="74" s="1"/>
  <c r="U220" i="74" s="1"/>
  <c r="U262" i="74" s="1"/>
  <c r="AC37" i="74"/>
  <c r="AC165" i="74" s="1"/>
  <c r="AC220" i="74" s="1"/>
  <c r="AC262" i="74" s="1"/>
  <c r="AK37" i="74"/>
  <c r="AK165" i="74" s="1"/>
  <c r="AK220" i="74" s="1"/>
  <c r="AK262" i="74" s="1"/>
  <c r="I37" i="74"/>
  <c r="I165" i="74" s="1"/>
  <c r="I220" i="74" s="1"/>
  <c r="I262" i="74" s="1"/>
  <c r="AN37" i="74"/>
  <c r="AN165" i="74" s="1"/>
  <c r="AN220" i="74" s="1"/>
  <c r="AN262" i="74" s="1"/>
  <c r="T37" i="74"/>
  <c r="T165" i="74" s="1"/>
  <c r="T220" i="74" s="1"/>
  <c r="T262" i="74" s="1"/>
  <c r="Z37" i="74"/>
  <c r="Z165" i="74" s="1"/>
  <c r="Z220" i="74" s="1"/>
  <c r="Z262" i="74" s="1"/>
  <c r="AO37" i="74"/>
  <c r="AO165" i="74" s="1"/>
  <c r="AO220" i="74" s="1"/>
  <c r="AO262" i="74" s="1"/>
  <c r="G37" i="74"/>
  <c r="G165" i="74" s="1"/>
  <c r="G220" i="74" s="1"/>
  <c r="G262" i="74" s="1"/>
  <c r="AF37" i="74"/>
  <c r="AF165" i="74" s="1"/>
  <c r="AF220" i="74" s="1"/>
  <c r="AF262" i="74" s="1"/>
  <c r="H37" i="74"/>
  <c r="H165" i="74" s="1"/>
  <c r="H220" i="74" s="1"/>
  <c r="H262" i="74" s="1"/>
  <c r="AQ37" i="74"/>
  <c r="AQ165" i="74" s="1"/>
  <c r="AQ220" i="74" s="1"/>
  <c r="AQ262" i="74" s="1"/>
  <c r="AL37" i="74"/>
  <c r="AL165" i="74" s="1"/>
  <c r="AL220" i="74" s="1"/>
  <c r="AL262" i="74" s="1"/>
  <c r="AH37" i="74"/>
  <c r="AH165" i="74" s="1"/>
  <c r="AH220" i="74" s="1"/>
  <c r="AH262" i="74" s="1"/>
  <c r="Q37" i="74"/>
  <c r="Q165" i="74" s="1"/>
  <c r="Q220" i="74" s="1"/>
  <c r="Q262" i="74" s="1"/>
  <c r="X37" i="74"/>
  <c r="X165" i="74" s="1"/>
  <c r="X220" i="74" s="1"/>
  <c r="X262" i="74" s="1"/>
  <c r="W37" i="74"/>
  <c r="W165" i="74" s="1"/>
  <c r="W220" i="74" s="1"/>
  <c r="W262" i="74" s="1"/>
  <c r="AA37" i="74"/>
  <c r="AA165" i="74" s="1"/>
  <c r="AA220" i="74" s="1"/>
  <c r="AA262" i="74" s="1"/>
  <c r="L37" i="74"/>
  <c r="L165" i="74" s="1"/>
  <c r="L220" i="74" s="1"/>
  <c r="L262" i="74" s="1"/>
  <c r="AI37" i="74"/>
  <c r="AI165" i="74" s="1"/>
  <c r="AI220" i="74" s="1"/>
  <c r="AI262" i="74" s="1"/>
  <c r="AD37" i="74"/>
  <c r="AD165" i="74" s="1"/>
  <c r="AD220" i="74" s="1"/>
  <c r="AD262" i="74" s="1"/>
  <c r="AE37" i="74"/>
  <c r="AE165" i="74" s="1"/>
  <c r="AE220" i="74" s="1"/>
  <c r="AE262" i="74" s="1"/>
  <c r="R37" i="74"/>
  <c r="R165" i="74" s="1"/>
  <c r="R220" i="74" s="1"/>
  <c r="R262" i="74" s="1"/>
  <c r="AG37" i="74"/>
  <c r="AG165" i="74" s="1"/>
  <c r="AG220" i="74" s="1"/>
  <c r="AG262" i="74" s="1"/>
  <c r="AP37" i="74"/>
  <c r="AP165" i="74" s="1"/>
  <c r="AP220" i="74" s="1"/>
  <c r="AP262" i="74" s="1"/>
  <c r="N37" i="74"/>
  <c r="N165" i="74" s="1"/>
  <c r="N220" i="74" s="1"/>
  <c r="N262" i="74" s="1"/>
  <c r="AB37" i="74"/>
  <c r="AB165" i="74" s="1"/>
  <c r="AB220" i="74" s="1"/>
  <c r="AB262" i="74" s="1"/>
  <c r="AM37" i="74"/>
  <c r="AM165" i="74" s="1"/>
  <c r="AM220" i="74" s="1"/>
  <c r="AM262" i="74" s="1"/>
  <c r="AJ37" i="74"/>
  <c r="AJ165" i="74" s="1"/>
  <c r="AJ220" i="74" s="1"/>
  <c r="AJ262" i="74" s="1"/>
  <c r="S37" i="74"/>
  <c r="S165" i="74" s="1"/>
  <c r="S220" i="74" s="1"/>
  <c r="S262" i="74" s="1"/>
  <c r="V37" i="74"/>
  <c r="V165" i="74" s="1"/>
  <c r="V220" i="74" s="1"/>
  <c r="V262" i="74" s="1"/>
  <c r="J37" i="74"/>
  <c r="J165" i="74" s="1"/>
  <c r="J220" i="74" s="1"/>
  <c r="J262" i="74" s="1"/>
  <c r="M37" i="74"/>
  <c r="M165" i="74" s="1"/>
  <c r="M220" i="74" s="1"/>
  <c r="M262" i="74" s="1"/>
  <c r="Z85" i="73"/>
  <c r="Y154" i="73"/>
  <c r="AP55" i="73"/>
  <c r="X55" i="73"/>
  <c r="AJ55" i="73"/>
  <c r="AA55" i="73"/>
  <c r="Q55" i="73"/>
  <c r="AM55" i="73"/>
  <c r="T55" i="73"/>
  <c r="N55" i="73"/>
  <c r="S55" i="73"/>
  <c r="R55" i="73"/>
  <c r="R136" i="73" s="1"/>
  <c r="R137" i="73" s="1"/>
  <c r="K55" i="73"/>
  <c r="U55" i="73"/>
  <c r="AD55" i="73"/>
  <c r="AG55" i="73"/>
  <c r="M55" i="73"/>
  <c r="AK55" i="73"/>
  <c r="AE55" i="73"/>
  <c r="J55" i="73"/>
  <c r="AL55" i="73"/>
  <c r="L55" i="73"/>
  <c r="AF55" i="73"/>
  <c r="V55" i="73"/>
  <c r="AI55" i="73"/>
  <c r="G55" i="73"/>
  <c r="I55" i="73"/>
  <c r="AC55" i="73"/>
  <c r="AB55" i="73"/>
  <c r="W55" i="73"/>
  <c r="AO55" i="73"/>
  <c r="Z55" i="73"/>
  <c r="Y55" i="73"/>
  <c r="AH55" i="73"/>
  <c r="AQ55" i="73"/>
  <c r="M63" i="52"/>
  <c r="M145" i="52" s="1"/>
  <c r="L145" i="52"/>
  <c r="K204" i="52"/>
  <c r="K211" i="52"/>
  <c r="K249" i="52" s="1"/>
  <c r="M203" i="52"/>
  <c r="M210" i="52"/>
  <c r="M248" i="52" s="1"/>
  <c r="AP34" i="73"/>
  <c r="AP38" i="73" s="1"/>
  <c r="AO38" i="73"/>
  <c r="H485" i="50"/>
  <c r="M485" i="50"/>
  <c r="I485" i="50"/>
  <c r="G485" i="50"/>
  <c r="K485" i="50"/>
  <c r="F296" i="41"/>
  <c r="F297" i="41" s="1"/>
  <c r="F299" i="41" s="1"/>
  <c r="F500" i="41" s="1"/>
  <c r="F394" i="41"/>
  <c r="F408" i="41" s="1"/>
  <c r="H394" i="41"/>
  <c r="H408" i="41" s="1"/>
  <c r="H296" i="41"/>
  <c r="H297" i="41" s="1"/>
  <c r="H299" i="41" s="1"/>
  <c r="H500" i="41" s="1"/>
  <c r="K148" i="47"/>
  <c r="K68" i="36"/>
  <c r="K72" i="36" s="1"/>
  <c r="AJ683" i="75"/>
  <c r="AJ685" i="75"/>
  <c r="Y135" i="73"/>
  <c r="I326" i="75"/>
  <c r="I347" i="75" s="1"/>
  <c r="I552" i="75" s="1"/>
  <c r="I325" i="75"/>
  <c r="I324" i="75"/>
  <c r="AQ326" i="75"/>
  <c r="AQ347" i="75" s="1"/>
  <c r="AQ552" i="75" s="1"/>
  <c r="AQ324" i="75"/>
  <c r="AQ325" i="75"/>
  <c r="K604" i="75"/>
  <c r="K355" i="75"/>
  <c r="G203" i="52"/>
  <c r="G210" i="52"/>
  <c r="G248" i="52" s="1"/>
  <c r="I145" i="52"/>
  <c r="I146" i="52"/>
  <c r="J343" i="51"/>
  <c r="J347" i="51" s="1"/>
  <c r="J351" i="51" s="1"/>
  <c r="J370" i="51" s="1"/>
  <c r="J250" i="51"/>
  <c r="J252" i="51"/>
  <c r="I343" i="51"/>
  <c r="I347" i="51" s="1"/>
  <c r="I351" i="51" s="1"/>
  <c r="I370" i="51" s="1"/>
  <c r="I251" i="51"/>
  <c r="I345" i="51" s="1"/>
  <c r="I349" i="51" s="1"/>
  <c r="I353" i="51" s="1"/>
  <c r="I371" i="51" s="1"/>
  <c r="I388" i="51" s="1"/>
  <c r="I252" i="51"/>
  <c r="H67" i="35"/>
  <c r="H71" i="35" s="1"/>
  <c r="H147" i="47"/>
  <c r="M52" i="39"/>
  <c r="M59" i="39" s="1"/>
  <c r="M151" i="47"/>
  <c r="M64" i="34"/>
  <c r="M146" i="47"/>
  <c r="I64" i="34"/>
  <c r="I146" i="47"/>
  <c r="AF677" i="75"/>
  <c r="I153" i="47"/>
  <c r="I45" i="57"/>
  <c r="G343" i="51"/>
  <c r="G347" i="51" s="1"/>
  <c r="G351" i="51" s="1"/>
  <c r="G370" i="51" s="1"/>
  <c r="G252" i="51"/>
  <c r="AG135" i="73"/>
  <c r="N154" i="73"/>
  <c r="N152" i="73"/>
  <c r="K78" i="40"/>
  <c r="K86" i="40" s="1"/>
  <c r="K152" i="47"/>
  <c r="O629" i="75"/>
  <c r="O634" i="75" s="1"/>
  <c r="H325" i="75"/>
  <c r="H324" i="75"/>
  <c r="I248" i="51"/>
  <c r="I250" i="51"/>
  <c r="I344" i="51" s="1"/>
  <c r="I348" i="51" s="1"/>
  <c r="I352" i="51" s="1"/>
  <c r="G147" i="47"/>
  <c r="O153" i="73"/>
  <c r="K677" i="75"/>
  <c r="K252" i="51"/>
  <c r="K250" i="51"/>
  <c r="AI283" i="74"/>
  <c r="AI289" i="74" s="1"/>
  <c r="AD275" i="74"/>
  <c r="F343" i="51"/>
  <c r="F347" i="51" s="1"/>
  <c r="F351" i="51" s="1"/>
  <c r="F370" i="51" s="1"/>
  <c r="F252" i="51"/>
  <c r="I153" i="73"/>
  <c r="I152" i="73"/>
  <c r="AB135" i="73"/>
  <c r="AL135" i="73"/>
  <c r="J30" i="73"/>
  <c r="J129" i="73" s="1"/>
  <c r="J135" i="73" s="1"/>
  <c r="K26" i="73"/>
  <c r="I685" i="75"/>
  <c r="I683" i="75"/>
  <c r="N603" i="75"/>
  <c r="N351" i="75"/>
  <c r="N538" i="75" s="1"/>
  <c r="Z629" i="75"/>
  <c r="Z634" i="75" s="1"/>
  <c r="J145" i="52"/>
  <c r="S677" i="75"/>
  <c r="L69" i="37"/>
  <c r="L73" i="37" s="1"/>
  <c r="L149" i="47"/>
  <c r="F69" i="37"/>
  <c r="F73" i="37" s="1"/>
  <c r="F149" i="47"/>
  <c r="S283" i="74"/>
  <c r="S289" i="74" s="1"/>
  <c r="L343" i="51"/>
  <c r="L347" i="51" s="1"/>
  <c r="L351" i="51" s="1"/>
  <c r="L370" i="51" s="1"/>
  <c r="L252" i="51"/>
  <c r="L250" i="51"/>
  <c r="L344" i="51" s="1"/>
  <c r="L348" i="51" s="1"/>
  <c r="L352" i="51" s="1"/>
  <c r="L248" i="51"/>
  <c r="L251" i="51"/>
  <c r="L345" i="51" s="1"/>
  <c r="L349" i="51" s="1"/>
  <c r="L353" i="51" s="1"/>
  <c r="L371" i="51" s="1"/>
  <c r="L388" i="51" s="1"/>
  <c r="S325" i="75"/>
  <c r="S326" i="75"/>
  <c r="S347" i="75" s="1"/>
  <c r="S552" i="75" s="1"/>
  <c r="S324" i="75"/>
  <c r="AL604" i="75"/>
  <c r="AL355" i="75"/>
  <c r="AD677" i="75"/>
  <c r="AJ677" i="75"/>
  <c r="AI677" i="75"/>
  <c r="AO629" i="75"/>
  <c r="AO634" i="75" s="1"/>
  <c r="P677" i="75"/>
  <c r="H677" i="75"/>
  <c r="AS677" i="75"/>
  <c r="J629" i="75"/>
  <c r="J634" i="75" s="1"/>
  <c r="G629" i="75"/>
  <c r="G634" i="75" s="1"/>
  <c r="AH677" i="75"/>
  <c r="X677" i="75"/>
  <c r="N677" i="75"/>
  <c r="AK677" i="75"/>
  <c r="AA677" i="75"/>
  <c r="Q677" i="75"/>
  <c r="M677" i="75"/>
  <c r="R677" i="75"/>
  <c r="Y283" i="74"/>
  <c r="Y289" i="74" s="1"/>
  <c r="Y294" i="74" s="1"/>
  <c r="Y304" i="74" s="1"/>
  <c r="Y307" i="74" s="1"/>
  <c r="AH135" i="73"/>
  <c r="N629" i="75"/>
  <c r="N634" i="75" s="1"/>
  <c r="K629" i="75"/>
  <c r="K634" i="75" s="1"/>
  <c r="AM629" i="75"/>
  <c r="AM634" i="75" s="1"/>
  <c r="AQ629" i="75"/>
  <c r="AQ634" i="75" s="1"/>
  <c r="AH629" i="75"/>
  <c r="AH634" i="75" s="1"/>
  <c r="AP629" i="75"/>
  <c r="AP634" i="75" s="1"/>
  <c r="E307" i="41"/>
  <c r="E308" i="41"/>
  <c r="E306" i="41"/>
  <c r="L393" i="50"/>
  <c r="F395" i="50"/>
  <c r="I147" i="50" s="1"/>
  <c r="M393" i="50"/>
  <c r="F393" i="50"/>
  <c r="H145" i="50" s="1"/>
  <c r="L395" i="50"/>
  <c r="K393" i="50"/>
  <c r="M395" i="50"/>
  <c r="G177" i="48"/>
  <c r="L177" i="48"/>
  <c r="K392" i="50"/>
  <c r="I394" i="50"/>
  <c r="H392" i="50"/>
  <c r="J394" i="50"/>
  <c r="I392" i="50"/>
  <c r="G394" i="50"/>
  <c r="F394" i="50"/>
  <c r="K146" i="50" s="1"/>
  <c r="H394" i="50"/>
  <c r="F392" i="50"/>
  <c r="M144" i="50" s="1"/>
  <c r="J177" i="48"/>
  <c r="H177" i="48"/>
  <c r="J395" i="50"/>
  <c r="I393" i="50"/>
  <c r="K395" i="50"/>
  <c r="J393" i="50"/>
  <c r="H395" i="50"/>
  <c r="G393" i="50"/>
  <c r="K177" i="48"/>
  <c r="N101" i="53"/>
  <c r="N26" i="3" s="1"/>
  <c r="F113" i="44"/>
  <c r="F18" i="50" s="1"/>
  <c r="F27" i="50" s="1"/>
  <c r="H115" i="44"/>
  <c r="M113" i="44"/>
  <c r="M18" i="50" s="1"/>
  <c r="M27" i="50" s="1"/>
  <c r="K115" i="44"/>
  <c r="J113" i="44"/>
  <c r="J18" i="50" s="1"/>
  <c r="J27" i="50" s="1"/>
  <c r="K113" i="44"/>
  <c r="K18" i="50" s="1"/>
  <c r="K27" i="50" s="1"/>
  <c r="H101" i="53"/>
  <c r="H26" i="3" s="1"/>
  <c r="G115" i="44"/>
  <c r="I113" i="44"/>
  <c r="I18" i="50" s="1"/>
  <c r="I27" i="50" s="1"/>
  <c r="M115" i="44"/>
  <c r="F115" i="44"/>
  <c r="G113" i="44"/>
  <c r="G18" i="50" s="1"/>
  <c r="G27" i="50" s="1"/>
  <c r="J115" i="44"/>
  <c r="H113" i="44"/>
  <c r="H18" i="50" s="1"/>
  <c r="H27" i="50" s="1"/>
  <c r="L115" i="44"/>
  <c r="AO30" i="73"/>
  <c r="AO129" i="73" s="1"/>
  <c r="AP26" i="73"/>
  <c r="AP30" i="73" s="1"/>
  <c r="AP129" i="73" s="1"/>
  <c r="AA34" i="73"/>
  <c r="AA38" i="73" s="1"/>
  <c r="Z38" i="73"/>
  <c r="P30" i="73"/>
  <c r="P129" i="73" s="1"/>
  <c r="Q26" i="73"/>
  <c r="Q30" i="73" s="1"/>
  <c r="Q129" i="73" s="1"/>
  <c r="I408" i="41"/>
  <c r="AP80" i="73"/>
  <c r="AO81" i="73"/>
  <c r="F107" i="38"/>
  <c r="L61" i="57"/>
  <c r="R192" i="73"/>
  <c r="R190" i="73"/>
  <c r="R193" i="73"/>
  <c r="R191" i="73"/>
  <c r="AO47" i="73"/>
  <c r="AO183" i="73" s="1"/>
  <c r="AO184" i="73" s="1"/>
  <c r="AP43" i="73"/>
  <c r="AP47" i="73" s="1"/>
  <c r="AP183" i="73" s="1"/>
  <c r="AP184" i="73" s="1"/>
  <c r="AF34" i="73"/>
  <c r="AF38" i="73" s="1"/>
  <c r="AE38" i="73"/>
  <c r="K73" i="36"/>
  <c r="L33" i="36"/>
  <c r="J400" i="41" l="1"/>
  <c r="J420" i="41" s="1"/>
  <c r="J436" i="41" s="1"/>
  <c r="AR7" i="47"/>
  <c r="I500" i="41"/>
  <c r="AO185" i="73"/>
  <c r="AO256" i="73"/>
  <c r="AP185" i="73"/>
  <c r="AP256" i="73"/>
  <c r="L481" i="50"/>
  <c r="J153" i="73"/>
  <c r="M499" i="51"/>
  <c r="F499" i="51"/>
  <c r="AN225" i="74"/>
  <c r="P134" i="73"/>
  <c r="P135" i="73" s="1"/>
  <c r="P191" i="73" s="1"/>
  <c r="Y682" i="75"/>
  <c r="Y676" i="75" s="1"/>
  <c r="Y687" i="75" s="1"/>
  <c r="Y725" i="75" s="1"/>
  <c r="M136" i="73"/>
  <c r="M137" i="73" s="1"/>
  <c r="M200" i="73" s="1"/>
  <c r="M206" i="73" s="1"/>
  <c r="AM225" i="74"/>
  <c r="O682" i="75"/>
  <c r="O676" i="75" s="1"/>
  <c r="Q682" i="75"/>
  <c r="Q676" i="75" s="1"/>
  <c r="Q687" i="75" s="1"/>
  <c r="Q725" i="75" s="1"/>
  <c r="F77" i="38"/>
  <c r="F79" i="38" s="1"/>
  <c r="F106" i="38" s="1"/>
  <c r="F91" i="38"/>
  <c r="I157" i="73"/>
  <c r="J161" i="73" s="1"/>
  <c r="W192" i="73"/>
  <c r="G211" i="52"/>
  <c r="G249" i="52" s="1"/>
  <c r="S682" i="75"/>
  <c r="S676" i="75" s="1"/>
  <c r="S687" i="75" s="1"/>
  <c r="S725" i="75" s="1"/>
  <c r="V682" i="75"/>
  <c r="V676" i="75" s="1"/>
  <c r="V687" i="75" s="1"/>
  <c r="V725" i="75" s="1"/>
  <c r="J145" i="50"/>
  <c r="K49" i="57"/>
  <c r="K51" i="57" s="1"/>
  <c r="K55" i="57" s="1"/>
  <c r="K57" i="57" s="1"/>
  <c r="K58" i="57" s="1"/>
  <c r="H136" i="47"/>
  <c r="K132" i="47"/>
  <c r="Z134" i="73"/>
  <c r="Z154" i="73" s="1"/>
  <c r="AQ190" i="73"/>
  <c r="F211" i="52"/>
  <c r="F249" i="52" s="1"/>
  <c r="L204" i="52"/>
  <c r="AF26" i="73"/>
  <c r="AF30" i="73" s="1"/>
  <c r="AF129" i="73" s="1"/>
  <c r="AF135" i="73" s="1"/>
  <c r="AF193" i="73" s="1"/>
  <c r="M191" i="73"/>
  <c r="G500" i="51"/>
  <c r="F500" i="51"/>
  <c r="AQ136" i="73"/>
  <c r="AQ137" i="73" s="1"/>
  <c r="AQ193" i="73"/>
  <c r="AQ192" i="73"/>
  <c r="H191" i="73"/>
  <c r="H198" i="73" s="1"/>
  <c r="H204" i="73" s="1"/>
  <c r="L100" i="40"/>
  <c r="G100" i="40"/>
  <c r="J100" i="40"/>
  <c r="J76" i="39"/>
  <c r="J77" i="39"/>
  <c r="K100" i="40"/>
  <c r="H100" i="40"/>
  <c r="M100" i="40"/>
  <c r="I100" i="40"/>
  <c r="K78" i="39"/>
  <c r="G103" i="40"/>
  <c r="G88" i="40"/>
  <c r="G89" i="40" s="1"/>
  <c r="G90" i="40" s="1"/>
  <c r="L88" i="40"/>
  <c r="L89" i="40" s="1"/>
  <c r="L90" i="40" s="1"/>
  <c r="L103" i="40"/>
  <c r="M88" i="40"/>
  <c r="M89" i="40" s="1"/>
  <c r="M90" i="40" s="1"/>
  <c r="M103" i="40"/>
  <c r="I88" i="40"/>
  <c r="I89" i="40" s="1"/>
  <c r="I90" i="40" s="1"/>
  <c r="I103" i="40"/>
  <c r="J103" i="40"/>
  <c r="J88" i="40"/>
  <c r="J89" i="40" s="1"/>
  <c r="J90" i="40" s="1"/>
  <c r="K103" i="40"/>
  <c r="K88" i="40"/>
  <c r="K89" i="40" s="1"/>
  <c r="H86" i="40"/>
  <c r="F99" i="40"/>
  <c r="F114" i="40" s="1"/>
  <c r="F98" i="40"/>
  <c r="P225" i="74"/>
  <c r="P226" i="74" s="1"/>
  <c r="P232" i="74" s="1"/>
  <c r="P234" i="74" s="1"/>
  <c r="P238" i="74" s="1"/>
  <c r="P242" i="74" s="1"/>
  <c r="P311" i="74" s="1"/>
  <c r="L682" i="75"/>
  <c r="L676" i="75" s="1"/>
  <c r="L711" i="75" s="1"/>
  <c r="K500" i="51"/>
  <c r="G682" i="75"/>
  <c r="G676" i="75" s="1"/>
  <c r="G711" i="75" s="1"/>
  <c r="M192" i="73"/>
  <c r="H480" i="51"/>
  <c r="T225" i="74"/>
  <c r="AK682" i="75"/>
  <c r="AK676" i="75" s="1"/>
  <c r="AK711" i="75" s="1"/>
  <c r="J682" i="75"/>
  <c r="J676" i="75" s="1"/>
  <c r="J687" i="75" s="1"/>
  <c r="J725" i="75" s="1"/>
  <c r="I163" i="73"/>
  <c r="I164" i="73" s="1"/>
  <c r="I215" i="73" s="1"/>
  <c r="I216" i="73" s="1"/>
  <c r="I156" i="73"/>
  <c r="J160" i="73" s="1"/>
  <c r="J446" i="41"/>
  <c r="H55" i="57"/>
  <c r="H57" i="57" s="1"/>
  <c r="H190" i="73"/>
  <c r="H197" i="73" s="1"/>
  <c r="H203" i="73" s="1"/>
  <c r="U81" i="73"/>
  <c r="I93" i="38"/>
  <c r="M400" i="41"/>
  <c r="M420" i="41" s="1"/>
  <c r="M446" i="41" s="1"/>
  <c r="AV7" i="47"/>
  <c r="AD652" i="75"/>
  <c r="H400" i="41"/>
  <c r="H420" i="41" s="1"/>
  <c r="H456" i="41" s="1"/>
  <c r="AQ7" i="47"/>
  <c r="J456" i="41"/>
  <c r="H193" i="73"/>
  <c r="H200" i="73" s="1"/>
  <c r="H206" i="73" s="1"/>
  <c r="AP682" i="75"/>
  <c r="AP676" i="75" s="1"/>
  <c r="H192" i="73"/>
  <c r="H199" i="73" s="1"/>
  <c r="H205" i="73" s="1"/>
  <c r="AI682" i="75"/>
  <c r="AI676" i="75" s="1"/>
  <c r="AI687" i="75" s="1"/>
  <c r="AI725" i="75" s="1"/>
  <c r="H79" i="57"/>
  <c r="AE682" i="75"/>
  <c r="AE676" i="75" s="1"/>
  <c r="AE711" i="75" s="1"/>
  <c r="F400" i="41"/>
  <c r="F420" i="41" s="1"/>
  <c r="F436" i="41" s="1"/>
  <c r="AO7" i="47"/>
  <c r="K400" i="41"/>
  <c r="K420" i="41" s="1"/>
  <c r="K456" i="41" s="1"/>
  <c r="AT7" i="47"/>
  <c r="AN135" i="73"/>
  <c r="AN191" i="73" s="1"/>
  <c r="L400" i="41"/>
  <c r="L420" i="41" s="1"/>
  <c r="L436" i="41" s="1"/>
  <c r="AU7" i="47"/>
  <c r="G400" i="41"/>
  <c r="G420" i="41" s="1"/>
  <c r="G446" i="41" s="1"/>
  <c r="AO682" i="75"/>
  <c r="AO676" i="75" s="1"/>
  <c r="AM191" i="73"/>
  <c r="X190" i="73"/>
  <c r="AM193" i="73"/>
  <c r="S190" i="73"/>
  <c r="AJ682" i="75"/>
  <c r="AJ676" i="75" s="1"/>
  <c r="AJ711" i="75" s="1"/>
  <c r="AC191" i="73"/>
  <c r="P682" i="75"/>
  <c r="P676" i="75" s="1"/>
  <c r="P711" i="75" s="1"/>
  <c r="AA682" i="75"/>
  <c r="AA676" i="75" s="1"/>
  <c r="AA687" i="75" s="1"/>
  <c r="AA725" i="75" s="1"/>
  <c r="K33" i="35"/>
  <c r="AC193" i="73"/>
  <c r="AM190" i="73"/>
  <c r="X193" i="73"/>
  <c r="H93" i="38"/>
  <c r="G191" i="73"/>
  <c r="AR551" i="75"/>
  <c r="AR554" i="75" s="1"/>
  <c r="AR668" i="75" s="1"/>
  <c r="AR712" i="75" s="1"/>
  <c r="N190" i="73"/>
  <c r="AM136" i="73"/>
  <c r="AM137" i="73" s="1"/>
  <c r="X136" i="73"/>
  <c r="X137" i="73" s="1"/>
  <c r="X192" i="73"/>
  <c r="H149" i="52"/>
  <c r="H165" i="52" s="1"/>
  <c r="H179" i="52" s="1"/>
  <c r="H189" i="52" s="1"/>
  <c r="AR323" i="75"/>
  <c r="AR602" i="75" s="1"/>
  <c r="AR605" i="75" s="1"/>
  <c r="O225" i="74"/>
  <c r="O226" i="74" s="1"/>
  <c r="O232" i="74" s="1"/>
  <c r="O234" i="74" s="1"/>
  <c r="O238" i="74" s="1"/>
  <c r="O242" i="74" s="1"/>
  <c r="O311" i="74" s="1"/>
  <c r="O315" i="74" s="1"/>
  <c r="AN682" i="75"/>
  <c r="AN676" i="75" s="1"/>
  <c r="AN711" i="75" s="1"/>
  <c r="I72" i="35"/>
  <c r="I73" i="35" s="1"/>
  <c r="X682" i="75"/>
  <c r="X676" i="75" s="1"/>
  <c r="X711" i="75" s="1"/>
  <c r="U682" i="75"/>
  <c r="U676" i="75" s="1"/>
  <c r="U687" i="75" s="1"/>
  <c r="U725" i="75" s="1"/>
  <c r="AD682" i="75"/>
  <c r="AD676" i="75" s="1"/>
  <c r="AD711" i="75" s="1"/>
  <c r="M190" i="73"/>
  <c r="S192" i="73"/>
  <c r="H177" i="73"/>
  <c r="H178" i="73" s="1"/>
  <c r="H179" i="73" s="1"/>
  <c r="H180" i="73" s="1"/>
  <c r="H182" i="73" s="1"/>
  <c r="I682" i="75"/>
  <c r="I676" i="75" s="1"/>
  <c r="I711" i="75" s="1"/>
  <c r="W136" i="73"/>
  <c r="W137" i="73" s="1"/>
  <c r="AC192" i="73"/>
  <c r="AC682" i="75"/>
  <c r="AC676" i="75" s="1"/>
  <c r="AC687" i="75" s="1"/>
  <c r="AC725" i="75" s="1"/>
  <c r="K682" i="75"/>
  <c r="K676" i="75" s="1"/>
  <c r="AH682" i="75"/>
  <c r="AH676" i="75" s="1"/>
  <c r="AC136" i="73"/>
  <c r="AC137" i="73" s="1"/>
  <c r="R551" i="75"/>
  <c r="R554" i="75" s="1"/>
  <c r="R668" i="75" s="1"/>
  <c r="R712" i="75" s="1"/>
  <c r="T135" i="73"/>
  <c r="T191" i="73" s="1"/>
  <c r="M58" i="57"/>
  <c r="I500" i="51"/>
  <c r="M52" i="57"/>
  <c r="M652" i="75"/>
  <c r="Y652" i="75"/>
  <c r="AF682" i="75"/>
  <c r="AF676" i="75" s="1"/>
  <c r="AF687" i="75" s="1"/>
  <c r="AF725" i="75" s="1"/>
  <c r="M682" i="75"/>
  <c r="M676" i="75" s="1"/>
  <c r="M687" i="75" s="1"/>
  <c r="M725" i="75" s="1"/>
  <c r="AE81" i="73"/>
  <c r="M63" i="57"/>
  <c r="AG636" i="75"/>
  <c r="AG640" i="75" s="1"/>
  <c r="AR682" i="75"/>
  <c r="AR676" i="75" s="1"/>
  <c r="AR711" i="75" s="1"/>
  <c r="Z682" i="75"/>
  <c r="Z676" i="75" s="1"/>
  <c r="Z711" i="75" s="1"/>
  <c r="AG682" i="75"/>
  <c r="AG676" i="75" s="1"/>
  <c r="AG711" i="75" s="1"/>
  <c r="AD192" i="73"/>
  <c r="AI153" i="73"/>
  <c r="AA554" i="75"/>
  <c r="AA668" i="75" s="1"/>
  <c r="AA670" i="75" s="1"/>
  <c r="AA724" i="75" s="1"/>
  <c r="M500" i="51"/>
  <c r="U636" i="75"/>
  <c r="U640" i="75" s="1"/>
  <c r="AE652" i="75"/>
  <c r="AA346" i="75"/>
  <c r="AS682" i="75"/>
  <c r="S191" i="73"/>
  <c r="N191" i="73"/>
  <c r="N192" i="73"/>
  <c r="S136" i="73"/>
  <c r="S137" i="73" s="1"/>
  <c r="W193" i="73"/>
  <c r="AM682" i="75"/>
  <c r="AM676" i="75" s="1"/>
  <c r="AM687" i="75" s="1"/>
  <c r="AM725" i="75" s="1"/>
  <c r="W191" i="73"/>
  <c r="G368" i="51"/>
  <c r="G385" i="51" s="1"/>
  <c r="G506" i="51" s="1"/>
  <c r="AQ682" i="75"/>
  <c r="AQ676" i="75" s="1"/>
  <c r="AQ687" i="75" s="1"/>
  <c r="AQ725" i="75" s="1"/>
  <c r="AA323" i="75"/>
  <c r="AA602" i="75" s="1"/>
  <c r="AA605" i="75" s="1"/>
  <c r="AA613" i="75" s="1"/>
  <c r="K178" i="52"/>
  <c r="K188" i="52" s="1"/>
  <c r="G193" i="73"/>
  <c r="I84" i="37"/>
  <c r="AB682" i="75"/>
  <c r="AB676" i="75" s="1"/>
  <c r="AB711" i="75" s="1"/>
  <c r="AL682" i="75"/>
  <c r="AL676" i="75" s="1"/>
  <c r="AL687" i="75" s="1"/>
  <c r="AL725" i="75" s="1"/>
  <c r="G136" i="73"/>
  <c r="G137" i="73" s="1"/>
  <c r="AJ652" i="75"/>
  <c r="G190" i="73"/>
  <c r="P652" i="75"/>
  <c r="K91" i="34"/>
  <c r="I136" i="73"/>
  <c r="I137" i="73" s="1"/>
  <c r="G369" i="51"/>
  <c r="G386" i="51" s="1"/>
  <c r="G475" i="51" s="1"/>
  <c r="I190" i="73"/>
  <c r="AF225" i="74"/>
  <c r="I193" i="73"/>
  <c r="AG225" i="74"/>
  <c r="H209" i="52"/>
  <c r="H247" i="52" s="1"/>
  <c r="X636" i="75"/>
  <c r="X640" i="75" s="1"/>
  <c r="I191" i="73"/>
  <c r="O136" i="73"/>
  <c r="O137" i="73" s="1"/>
  <c r="O200" i="73" s="1"/>
  <c r="O206" i="73" s="1"/>
  <c r="AF636" i="75"/>
  <c r="AF640" i="75" s="1"/>
  <c r="N136" i="73"/>
  <c r="N137" i="73" s="1"/>
  <c r="AC652" i="75"/>
  <c r="G366" i="51"/>
  <c r="G383" i="51" s="1"/>
  <c r="G490" i="51" s="1"/>
  <c r="K129" i="47"/>
  <c r="AT8" i="47" s="1"/>
  <c r="AK225" i="74"/>
  <c r="V225" i="74"/>
  <c r="AD136" i="73"/>
  <c r="AD137" i="73" s="1"/>
  <c r="AD200" i="73" s="1"/>
  <c r="AD206" i="73" s="1"/>
  <c r="AD190" i="73"/>
  <c r="AI135" i="73"/>
  <c r="AI192" i="73" s="1"/>
  <c r="AI154" i="73"/>
  <c r="H492" i="51"/>
  <c r="J158" i="73"/>
  <c r="K162" i="73" s="1"/>
  <c r="Q225" i="74"/>
  <c r="AI652" i="75"/>
  <c r="N346" i="75"/>
  <c r="K152" i="52"/>
  <c r="K168" i="52" s="1"/>
  <c r="K183" i="52" s="1"/>
  <c r="K193" i="52" s="1"/>
  <c r="AB636" i="75"/>
  <c r="AB640" i="75" s="1"/>
  <c r="J73" i="35"/>
  <c r="H652" i="75"/>
  <c r="AO134" i="73"/>
  <c r="AP73" i="73"/>
  <c r="AP134" i="73" s="1"/>
  <c r="AP135" i="73" s="1"/>
  <c r="AK73" i="73"/>
  <c r="AK134" i="73" s="1"/>
  <c r="AJ134" i="73"/>
  <c r="AJ135" i="73" s="1"/>
  <c r="AJ136" i="73" s="1"/>
  <c r="AJ137" i="73" s="1"/>
  <c r="AD191" i="73"/>
  <c r="G61" i="39"/>
  <c r="G63" i="39" s="1"/>
  <c r="K151" i="52"/>
  <c r="K167" i="52" s="1"/>
  <c r="K182" i="52" s="1"/>
  <c r="K192" i="52" s="1"/>
  <c r="L500" i="51"/>
  <c r="H682" i="75"/>
  <c r="H676" i="75" s="1"/>
  <c r="N682" i="75"/>
  <c r="N676" i="75" s="1"/>
  <c r="N711" i="75" s="1"/>
  <c r="AN152" i="73"/>
  <c r="AN153" i="73"/>
  <c r="AN154" i="73"/>
  <c r="N323" i="75"/>
  <c r="N602" i="75" s="1"/>
  <c r="N605" i="75" s="1"/>
  <c r="H147" i="52"/>
  <c r="H163" i="52" s="1"/>
  <c r="H177" i="52" s="1"/>
  <c r="H187" i="52" s="1"/>
  <c r="Z225" i="74"/>
  <c r="M494" i="50"/>
  <c r="M673" i="50" s="1"/>
  <c r="F79" i="36"/>
  <c r="F117" i="36" s="1"/>
  <c r="G494" i="50"/>
  <c r="G673" i="50" s="1"/>
  <c r="J498" i="50"/>
  <c r="J677" i="50" s="1"/>
  <c r="G492" i="50"/>
  <c r="G671" i="50" s="1"/>
  <c r="M493" i="50"/>
  <c r="M672" i="50" s="1"/>
  <c r="K492" i="50"/>
  <c r="K671" i="50" s="1"/>
  <c r="G498" i="50"/>
  <c r="G677" i="50" s="1"/>
  <c r="J492" i="50"/>
  <c r="J671" i="50" s="1"/>
  <c r="K494" i="50"/>
  <c r="K673" i="50" s="1"/>
  <c r="M492" i="50"/>
  <c r="M671" i="50" s="1"/>
  <c r="AN629" i="75"/>
  <c r="AN634" i="75" s="1"/>
  <c r="K147" i="52"/>
  <c r="K163" i="52" s="1"/>
  <c r="K177" i="52" s="1"/>
  <c r="K187" i="52" s="1"/>
  <c r="T629" i="75"/>
  <c r="T634" i="75" s="1"/>
  <c r="AN685" i="75"/>
  <c r="W684" i="75"/>
  <c r="W682" i="75" s="1"/>
  <c r="W676" i="75" s="1"/>
  <c r="T683" i="75"/>
  <c r="T682" i="75" s="1"/>
  <c r="T676" i="75" s="1"/>
  <c r="R682" i="75"/>
  <c r="R676" i="75" s="1"/>
  <c r="I405" i="51"/>
  <c r="F117" i="44"/>
  <c r="F15" i="49" s="1"/>
  <c r="F27" i="49" s="1"/>
  <c r="F118" i="44"/>
  <c r="F19" i="49" s="1"/>
  <c r="F32" i="49" s="1"/>
  <c r="F160" i="49" s="1"/>
  <c r="O192" i="73"/>
  <c r="AE135" i="73"/>
  <c r="AE136" i="73" s="1"/>
  <c r="AE137" i="73" s="1"/>
  <c r="G492" i="51"/>
  <c r="K225" i="74"/>
  <c r="K226" i="74" s="1"/>
  <c r="K232" i="74" s="1"/>
  <c r="K234" i="74" s="1"/>
  <c r="K238" i="74" s="1"/>
  <c r="K254" i="74" s="1"/>
  <c r="M323" i="75"/>
  <c r="M602" i="75" s="1"/>
  <c r="M605" i="75" s="1"/>
  <c r="L225" i="74"/>
  <c r="L226" i="74" s="1"/>
  <c r="L232" i="74" s="1"/>
  <c r="L234" i="74" s="1"/>
  <c r="L238" i="74" s="1"/>
  <c r="L242" i="74" s="1"/>
  <c r="L311" i="74" s="1"/>
  <c r="AF154" i="73"/>
  <c r="AF152" i="73"/>
  <c r="AE154" i="73"/>
  <c r="AE152" i="73"/>
  <c r="AE153" i="73"/>
  <c r="O191" i="73"/>
  <c r="K67" i="39"/>
  <c r="W225" i="74"/>
  <c r="S225" i="74"/>
  <c r="AF153" i="73"/>
  <c r="G265" i="73"/>
  <c r="M225" i="74"/>
  <c r="M226" i="74" s="1"/>
  <c r="M232" i="74" s="1"/>
  <c r="M234" i="74" s="1"/>
  <c r="M238" i="74" s="1"/>
  <c r="O190" i="73"/>
  <c r="AO225" i="74"/>
  <c r="AR652" i="75"/>
  <c r="S652" i="75"/>
  <c r="AA225" i="74"/>
  <c r="R652" i="75"/>
  <c r="AK636" i="75"/>
  <c r="AK640" i="75" s="1"/>
  <c r="V73" i="73"/>
  <c r="V134" i="73" s="1"/>
  <c r="V135" i="73" s="1"/>
  <c r="V193" i="73" s="1"/>
  <c r="U134" i="73"/>
  <c r="F73" i="35"/>
  <c r="F75" i="35" s="1"/>
  <c r="G178" i="52"/>
  <c r="G188" i="52" s="1"/>
  <c r="Q154" i="73"/>
  <c r="G145" i="50"/>
  <c r="I145" i="50"/>
  <c r="K145" i="50"/>
  <c r="K551" i="75"/>
  <c r="K554" i="75" s="1"/>
  <c r="K668" i="75" s="1"/>
  <c r="K670" i="75" s="1"/>
  <c r="K724" i="75" s="1"/>
  <c r="M345" i="75"/>
  <c r="M550" i="75" s="1"/>
  <c r="M554" i="75" s="1"/>
  <c r="M668" i="75" s="1"/>
  <c r="M670" i="75" s="1"/>
  <c r="M724" i="75" s="1"/>
  <c r="T154" i="73"/>
  <c r="T152" i="73"/>
  <c r="L708" i="50"/>
  <c r="L671" i="50"/>
  <c r="G147" i="52"/>
  <c r="G163" i="52" s="1"/>
  <c r="G177" i="52" s="1"/>
  <c r="G187" i="52" s="1"/>
  <c r="Q636" i="75"/>
  <c r="Q640" i="75" s="1"/>
  <c r="G149" i="52"/>
  <c r="G165" i="52" s="1"/>
  <c r="G179" i="52" s="1"/>
  <c r="G189" i="52" s="1"/>
  <c r="T551" i="75"/>
  <c r="T554" i="75" s="1"/>
  <c r="T668" i="75" s="1"/>
  <c r="V652" i="75"/>
  <c r="AD225" i="74"/>
  <c r="L652" i="75"/>
  <c r="AC225" i="74"/>
  <c r="AL636" i="75"/>
  <c r="AL640" i="75" s="1"/>
  <c r="Y346" i="75"/>
  <c r="Y323" i="75"/>
  <c r="Y602" i="75" s="1"/>
  <c r="Y605" i="75" s="1"/>
  <c r="AA636" i="75"/>
  <c r="AA640" i="75" s="1"/>
  <c r="W636" i="75"/>
  <c r="W640" i="75" s="1"/>
  <c r="AL225" i="74"/>
  <c r="AB225" i="74"/>
  <c r="AH225" i="74"/>
  <c r="J342" i="51"/>
  <c r="J346" i="51" s="1"/>
  <c r="J350" i="51" s="1"/>
  <c r="AC346" i="75"/>
  <c r="AE323" i="75"/>
  <c r="AE602" i="75" s="1"/>
  <c r="AE605" i="75" s="1"/>
  <c r="F108" i="36"/>
  <c r="AS636" i="75"/>
  <c r="AS640" i="75" s="1"/>
  <c r="AS652" i="75"/>
  <c r="U225" i="74"/>
  <c r="R323" i="75"/>
  <c r="R602" i="75" s="1"/>
  <c r="R605" i="75" s="1"/>
  <c r="Y554" i="75"/>
  <c r="Y668" i="75" s="1"/>
  <c r="Y712" i="75" s="1"/>
  <c r="J225" i="74"/>
  <c r="J226" i="74" s="1"/>
  <c r="G49" i="57"/>
  <c r="G51" i="57" s="1"/>
  <c r="G71" i="57"/>
  <c r="L71" i="57"/>
  <c r="L49" i="57"/>
  <c r="L51" i="57" s="1"/>
  <c r="I636" i="75"/>
  <c r="I640" i="75" s="1"/>
  <c r="I652" i="75"/>
  <c r="AJ225" i="74"/>
  <c r="J183" i="52"/>
  <c r="J193" i="52" s="1"/>
  <c r="T323" i="75"/>
  <c r="T602" i="75" s="1"/>
  <c r="T605" i="75" s="1"/>
  <c r="T613" i="75" s="1"/>
  <c r="L93" i="38"/>
  <c r="N225" i="74"/>
  <c r="N226" i="74" s="1"/>
  <c r="N232" i="74" s="1"/>
  <c r="N234" i="74" s="1"/>
  <c r="N238" i="74" s="1"/>
  <c r="N254" i="74" s="1"/>
  <c r="G116" i="36"/>
  <c r="G79" i="36"/>
  <c r="G74" i="36"/>
  <c r="G76" i="36" s="1"/>
  <c r="I79" i="36"/>
  <c r="I117" i="36" s="1"/>
  <c r="I116" i="36"/>
  <c r="I74" i="36"/>
  <c r="I76" i="36" s="1"/>
  <c r="G82" i="35"/>
  <c r="G83" i="35"/>
  <c r="X225" i="74"/>
  <c r="Q551" i="75"/>
  <c r="Q346" i="75"/>
  <c r="Z345" i="75"/>
  <c r="Z550" i="75" s="1"/>
  <c r="Z323" i="75"/>
  <c r="Z602" i="75" s="1"/>
  <c r="Z605" i="75" s="1"/>
  <c r="Y225" i="74"/>
  <c r="M16" i="52"/>
  <c r="M214" i="52" s="1"/>
  <c r="M20" i="51"/>
  <c r="M453" i="51" s="1"/>
  <c r="U323" i="75"/>
  <c r="U602" i="75" s="1"/>
  <c r="U605" i="75" s="1"/>
  <c r="U613" i="75" s="1"/>
  <c r="R225" i="74"/>
  <c r="I16" i="52"/>
  <c r="I214" i="52" s="1"/>
  <c r="I20" i="51"/>
  <c r="I517" i="51" s="1"/>
  <c r="W346" i="75"/>
  <c r="W551" i="75"/>
  <c r="AS323" i="75"/>
  <c r="AS602" i="75" s="1"/>
  <c r="AS605" i="75" s="1"/>
  <c r="AS345" i="75"/>
  <c r="AS550" i="75" s="1"/>
  <c r="AP345" i="75"/>
  <c r="AP550" i="75" s="1"/>
  <c r="AP323" i="75"/>
  <c r="AP602" i="75" s="1"/>
  <c r="AP605" i="75" s="1"/>
  <c r="P346" i="75"/>
  <c r="P551" i="75"/>
  <c r="J346" i="75"/>
  <c r="J551" i="75"/>
  <c r="L345" i="75"/>
  <c r="L550" i="75" s="1"/>
  <c r="L323" i="75"/>
  <c r="L602" i="75" s="1"/>
  <c r="L605" i="75" s="1"/>
  <c r="L609" i="75" s="1"/>
  <c r="L610" i="75" s="1"/>
  <c r="L612" i="75" s="1"/>
  <c r="H67" i="39"/>
  <c r="H69" i="39" s="1"/>
  <c r="H61" i="39"/>
  <c r="H63" i="39" s="1"/>
  <c r="Q345" i="75"/>
  <c r="Q550" i="75" s="1"/>
  <c r="Q323" i="75"/>
  <c r="Q602" i="75" s="1"/>
  <c r="Q605" i="75" s="1"/>
  <c r="G551" i="75"/>
  <c r="G346" i="75"/>
  <c r="L608" i="50"/>
  <c r="N554" i="75"/>
  <c r="N668" i="75" s="1"/>
  <c r="N712" i="75" s="1"/>
  <c r="H369" i="51"/>
  <c r="H386" i="51" s="1"/>
  <c r="H475" i="51" s="1"/>
  <c r="AG551" i="75"/>
  <c r="AG346" i="75"/>
  <c r="AK551" i="75"/>
  <c r="AK346" i="75"/>
  <c r="F49" i="57"/>
  <c r="F51" i="57" s="1"/>
  <c r="F71" i="57"/>
  <c r="F67" i="39"/>
  <c r="F61" i="39"/>
  <c r="AM551" i="75"/>
  <c r="AM346" i="75"/>
  <c r="AS551" i="75"/>
  <c r="AS346" i="75"/>
  <c r="P345" i="75"/>
  <c r="P550" i="75" s="1"/>
  <c r="P323" i="75"/>
  <c r="P602" i="75" s="1"/>
  <c r="P605" i="75" s="1"/>
  <c r="AL345" i="75"/>
  <c r="AL550" i="75" s="1"/>
  <c r="AL323" i="75"/>
  <c r="AL602" i="75" s="1"/>
  <c r="AL605" i="75" s="1"/>
  <c r="V345" i="75"/>
  <c r="V550" i="75" s="1"/>
  <c r="V323" i="75"/>
  <c r="V602" i="75" s="1"/>
  <c r="V605" i="75" s="1"/>
  <c r="AD346" i="75"/>
  <c r="AD551" i="75"/>
  <c r="AI345" i="75"/>
  <c r="AI550" i="75" s="1"/>
  <c r="AI323" i="75"/>
  <c r="AI602" i="75" s="1"/>
  <c r="AI605" i="75" s="1"/>
  <c r="W345" i="75"/>
  <c r="W550" i="75" s="1"/>
  <c r="W323" i="75"/>
  <c r="W602" i="75" s="1"/>
  <c r="W605" i="75" s="1"/>
  <c r="AB346" i="75"/>
  <c r="AB551" i="75"/>
  <c r="I67" i="39"/>
  <c r="I61" i="39"/>
  <c r="I63" i="39" s="1"/>
  <c r="AF346" i="75"/>
  <c r="AF551" i="75"/>
  <c r="L551" i="75"/>
  <c r="L346" i="75"/>
  <c r="X345" i="75"/>
  <c r="X550" i="75" s="1"/>
  <c r="X554" i="75" s="1"/>
  <c r="X668" i="75" s="1"/>
  <c r="X323" i="75"/>
  <c r="X602" i="75" s="1"/>
  <c r="X605" i="75" s="1"/>
  <c r="AN346" i="75"/>
  <c r="AN551" i="75"/>
  <c r="L116" i="36"/>
  <c r="L79" i="36"/>
  <c r="L117" i="36" s="1"/>
  <c r="L20" i="51"/>
  <c r="L517" i="51" s="1"/>
  <c r="L16" i="52"/>
  <c r="L214" i="52" s="1"/>
  <c r="AC554" i="75"/>
  <c r="AC668" i="75" s="1"/>
  <c r="AC670" i="75" s="1"/>
  <c r="AC724" i="75" s="1"/>
  <c r="AG345" i="75"/>
  <c r="AG550" i="75" s="1"/>
  <c r="AG323" i="75"/>
  <c r="AG602" i="75" s="1"/>
  <c r="AG605" i="75" s="1"/>
  <c r="AO345" i="75"/>
  <c r="AO550" i="75" s="1"/>
  <c r="AO323" i="75"/>
  <c r="AO602" i="75" s="1"/>
  <c r="AO605" i="75" s="1"/>
  <c r="AD345" i="75"/>
  <c r="AD550" i="75" s="1"/>
  <c r="AD323" i="75"/>
  <c r="AD602" i="75" s="1"/>
  <c r="AD605" i="75" s="1"/>
  <c r="AK323" i="75"/>
  <c r="AK602" i="75" s="1"/>
  <c r="AK605" i="75" s="1"/>
  <c r="AK345" i="75"/>
  <c r="AK550" i="75" s="1"/>
  <c r="AM345" i="75"/>
  <c r="AM550" i="75" s="1"/>
  <c r="AM323" i="75"/>
  <c r="AM602" i="75" s="1"/>
  <c r="AM605" i="75" s="1"/>
  <c r="AH346" i="75"/>
  <c r="AH551" i="75"/>
  <c r="J79" i="36"/>
  <c r="J116" i="36"/>
  <c r="M79" i="36"/>
  <c r="M116" i="36"/>
  <c r="V346" i="75"/>
  <c r="V551" i="75"/>
  <c r="AN345" i="75"/>
  <c r="AN550" i="75" s="1"/>
  <c r="AN323" i="75"/>
  <c r="AN602" i="75" s="1"/>
  <c r="AN605" i="75" s="1"/>
  <c r="U346" i="75"/>
  <c r="U551" i="75"/>
  <c r="U554" i="75" s="1"/>
  <c r="U668" i="75" s="1"/>
  <c r="G75" i="37"/>
  <c r="G77" i="37" s="1"/>
  <c r="J20" i="51"/>
  <c r="J521" i="51" s="1"/>
  <c r="J16" i="52"/>
  <c r="J214" i="52" s="1"/>
  <c r="F16" i="52"/>
  <c r="F214" i="52" s="1"/>
  <c r="F20" i="51"/>
  <c r="F453" i="51" s="1"/>
  <c r="G16" i="52"/>
  <c r="G214" i="52" s="1"/>
  <c r="G20" i="51"/>
  <c r="G521" i="51" s="1"/>
  <c r="K16" i="52"/>
  <c r="K214" i="52" s="1"/>
  <c r="K20" i="51"/>
  <c r="K517" i="51" s="1"/>
  <c r="H20" i="51"/>
  <c r="H453" i="51" s="1"/>
  <c r="H16" i="52"/>
  <c r="H214" i="52" s="1"/>
  <c r="AE225" i="74"/>
  <c r="G183" i="52"/>
  <c r="G193" i="52" s="1"/>
  <c r="K323" i="75"/>
  <c r="K602" i="75" s="1"/>
  <c r="K605" i="75" s="1"/>
  <c r="AC323" i="75"/>
  <c r="AC602" i="75" s="1"/>
  <c r="AC605" i="75" s="1"/>
  <c r="L67" i="39"/>
  <c r="L61" i="39"/>
  <c r="L63" i="39" s="1"/>
  <c r="AO346" i="75"/>
  <c r="AO551" i="75"/>
  <c r="AI346" i="75"/>
  <c r="AI551" i="75"/>
  <c r="AB345" i="75"/>
  <c r="AB550" i="75" s="1"/>
  <c r="AB323" i="75"/>
  <c r="AB602" i="75" s="1"/>
  <c r="AB605" i="75" s="1"/>
  <c r="AB609" i="75" s="1"/>
  <c r="AB610" i="75" s="1"/>
  <c r="AB612" i="75" s="1"/>
  <c r="J74" i="36"/>
  <c r="J76" i="36" s="1"/>
  <c r="AF345" i="75"/>
  <c r="AF550" i="75" s="1"/>
  <c r="AF323" i="75"/>
  <c r="AF602" i="75" s="1"/>
  <c r="AF605" i="75" s="1"/>
  <c r="AP346" i="75"/>
  <c r="AP551" i="75"/>
  <c r="AH345" i="75"/>
  <c r="AH550" i="75" s="1"/>
  <c r="AH323" i="75"/>
  <c r="AH602" i="75" s="1"/>
  <c r="AH605" i="75" s="1"/>
  <c r="J345" i="75"/>
  <c r="J550" i="75" s="1"/>
  <c r="J323" i="75"/>
  <c r="J602" i="75" s="1"/>
  <c r="J605" i="75" s="1"/>
  <c r="J71" i="57"/>
  <c r="J49" i="57"/>
  <c r="J51" i="57" s="1"/>
  <c r="AL551" i="75"/>
  <c r="AL346" i="75"/>
  <c r="Z551" i="75"/>
  <c r="Z346" i="75"/>
  <c r="G345" i="75"/>
  <c r="G550" i="75" s="1"/>
  <c r="G323" i="75"/>
  <c r="G602" i="75" s="1"/>
  <c r="G605" i="75" s="1"/>
  <c r="F27" i="48"/>
  <c r="F35" i="48" s="1"/>
  <c r="F623" i="48" s="1"/>
  <c r="F771" i="48" s="1"/>
  <c r="L709" i="50"/>
  <c r="L532" i="50"/>
  <c r="L597" i="50"/>
  <c r="L643" i="50"/>
  <c r="H93" i="53"/>
  <c r="H18" i="3" s="1"/>
  <c r="G23" i="48" s="1"/>
  <c r="G98" i="44"/>
  <c r="G99" i="44" s="1"/>
  <c r="L585" i="50"/>
  <c r="L666" i="50"/>
  <c r="L691" i="50"/>
  <c r="L707" i="50"/>
  <c r="L699" i="50"/>
  <c r="L677" i="50"/>
  <c r="L627" i="50"/>
  <c r="L607" i="50"/>
  <c r="L701" i="50"/>
  <c r="L690" i="50"/>
  <c r="L575" i="50"/>
  <c r="L598" i="50"/>
  <c r="L676" i="50"/>
  <c r="L517" i="50"/>
  <c r="L616" i="50"/>
  <c r="L550" i="50"/>
  <c r="L659" i="50"/>
  <c r="L529" i="50"/>
  <c r="L609" i="50"/>
  <c r="L573" i="50"/>
  <c r="L586" i="50"/>
  <c r="L648" i="50"/>
  <c r="L606" i="50"/>
  <c r="L686" i="50"/>
  <c r="L645" i="50"/>
  <c r="L658" i="50"/>
  <c r="L617" i="50"/>
  <c r="L651" i="50"/>
  <c r="L694" i="50"/>
  <c r="L561" i="50"/>
  <c r="L543" i="50"/>
  <c r="L687" i="50"/>
  <c r="L562" i="50"/>
  <c r="L552" i="50"/>
  <c r="L572" i="50"/>
  <c r="L678" i="50"/>
  <c r="L540" i="50"/>
  <c r="L703" i="50"/>
  <c r="L539" i="50"/>
  <c r="L650" i="50"/>
  <c r="L630" i="50"/>
  <c r="L674" i="50"/>
  <c r="L554" i="50"/>
  <c r="L620" i="50"/>
  <c r="L695" i="50"/>
  <c r="L661" i="50"/>
  <c r="L675" i="50"/>
  <c r="L521" i="50"/>
  <c r="L605" i="50"/>
  <c r="L542" i="50"/>
  <c r="L672" i="50"/>
  <c r="L706" i="50"/>
  <c r="L702" i="50"/>
  <c r="L689" i="50"/>
  <c r="L584" i="50"/>
  <c r="L688" i="50"/>
  <c r="L680" i="50"/>
  <c r="L563" i="50"/>
  <c r="L619" i="50"/>
  <c r="L520" i="50"/>
  <c r="L705" i="50"/>
  <c r="L531" i="50"/>
  <c r="L595" i="50"/>
  <c r="L700" i="50"/>
  <c r="L660" i="50"/>
  <c r="L530" i="50"/>
  <c r="L667" i="50"/>
  <c r="L649" i="50"/>
  <c r="L631" i="50"/>
  <c r="L553" i="50"/>
  <c r="L642" i="50"/>
  <c r="L541" i="50"/>
  <c r="L673" i="50"/>
  <c r="L618" i="50"/>
  <c r="L594" i="50"/>
  <c r="L665" i="50"/>
  <c r="L574" i="50"/>
  <c r="L564" i="50"/>
  <c r="L652" i="50"/>
  <c r="L583" i="50"/>
  <c r="L664" i="50"/>
  <c r="L646" i="50"/>
  <c r="L587" i="50"/>
  <c r="L692" i="50"/>
  <c r="L629" i="50"/>
  <c r="L518" i="50"/>
  <c r="L565" i="50"/>
  <c r="L519" i="50"/>
  <c r="L693" i="50"/>
  <c r="L596" i="50"/>
  <c r="L704" i="50"/>
  <c r="L681" i="50"/>
  <c r="L528" i="50"/>
  <c r="L647" i="50"/>
  <c r="L576" i="50"/>
  <c r="L696" i="50"/>
  <c r="L551" i="50"/>
  <c r="L628" i="50"/>
  <c r="L657" i="50"/>
  <c r="L679" i="50"/>
  <c r="L662" i="50"/>
  <c r="L644" i="50"/>
  <c r="G101" i="53"/>
  <c r="G26" i="3" s="1"/>
  <c r="G12" i="3"/>
  <c r="H78" i="53"/>
  <c r="H91" i="53" s="1"/>
  <c r="H16" i="3" s="1"/>
  <c r="G21" i="48" s="1"/>
  <c r="G527" i="48" s="1"/>
  <c r="M67" i="57"/>
  <c r="I80" i="53"/>
  <c r="M152" i="52"/>
  <c r="M168" i="52" s="1"/>
  <c r="M183" i="52" s="1"/>
  <c r="M193" i="52" s="1"/>
  <c r="M150" i="52"/>
  <c r="M166" i="52" s="1"/>
  <c r="M181" i="52" s="1"/>
  <c r="M191" i="52" s="1"/>
  <c r="M151" i="52"/>
  <c r="M167" i="52" s="1"/>
  <c r="M182" i="52" s="1"/>
  <c r="M192" i="52" s="1"/>
  <c r="H85" i="38"/>
  <c r="H87" i="38" s="1"/>
  <c r="H96" i="38"/>
  <c r="K61" i="57"/>
  <c r="AI225" i="74"/>
  <c r="L150" i="52"/>
  <c r="L166" i="52" s="1"/>
  <c r="L181" i="52" s="1"/>
  <c r="L191" i="52" s="1"/>
  <c r="L151" i="52"/>
  <c r="L167" i="52" s="1"/>
  <c r="L182" i="52" s="1"/>
  <c r="L192" i="52" s="1"/>
  <c r="L152" i="52"/>
  <c r="L168" i="52" s="1"/>
  <c r="L183" i="52" s="1"/>
  <c r="L193" i="52" s="1"/>
  <c r="I85" i="38"/>
  <c r="I87" i="38" s="1"/>
  <c r="I96" i="38"/>
  <c r="AA135" i="73"/>
  <c r="AA190" i="73" s="1"/>
  <c r="J182" i="52"/>
  <c r="J192" i="52" s="1"/>
  <c r="F149" i="52"/>
  <c r="F165" i="52" s="1"/>
  <c r="F179" i="52" s="1"/>
  <c r="F189" i="52" s="1"/>
  <c r="F148" i="52"/>
  <c r="F164" i="52" s="1"/>
  <c r="F178" i="52" s="1"/>
  <c r="F188" i="52" s="1"/>
  <c r="F147" i="52"/>
  <c r="F163" i="52" s="1"/>
  <c r="F177" i="52" s="1"/>
  <c r="F187" i="52" s="1"/>
  <c r="AK80" i="73"/>
  <c r="AJ81" i="73"/>
  <c r="K85" i="38"/>
  <c r="K87" i="38" s="1"/>
  <c r="K96" i="38"/>
  <c r="G93" i="53"/>
  <c r="G18" i="3" s="1"/>
  <c r="G78" i="53"/>
  <c r="G91" i="53" s="1"/>
  <c r="G16" i="3" s="1"/>
  <c r="F21" i="48" s="1"/>
  <c r="F527" i="48" s="1"/>
  <c r="F539" i="48" s="1"/>
  <c r="G539" i="48" s="1"/>
  <c r="H539" i="48" s="1"/>
  <c r="I539" i="48" s="1"/>
  <c r="J539" i="48" s="1"/>
  <c r="K539" i="48" s="1"/>
  <c r="L539" i="48" s="1"/>
  <c r="M539" i="48" s="1"/>
  <c r="L85" i="38"/>
  <c r="L87" i="38" s="1"/>
  <c r="L96" i="38"/>
  <c r="Q78" i="73"/>
  <c r="P81" i="73"/>
  <c r="K86" i="37"/>
  <c r="G182" i="52"/>
  <c r="G192" i="52" s="1"/>
  <c r="AE554" i="75"/>
  <c r="AE668" i="75" s="1"/>
  <c r="AE712" i="75" s="1"/>
  <c r="J181" i="52"/>
  <c r="J191" i="52" s="1"/>
  <c r="F151" i="52"/>
  <c r="F167" i="52" s="1"/>
  <c r="F182" i="52" s="1"/>
  <c r="F192" i="52" s="1"/>
  <c r="F152" i="52"/>
  <c r="F168" i="52" s="1"/>
  <c r="F183" i="52" s="1"/>
  <c r="F193" i="52" s="1"/>
  <c r="F150" i="52"/>
  <c r="F166" i="52" s="1"/>
  <c r="F181" i="52" s="1"/>
  <c r="F191" i="52" s="1"/>
  <c r="G85" i="38"/>
  <c r="G87" i="38" s="1"/>
  <c r="G96" i="38"/>
  <c r="H225" i="74"/>
  <c r="H226" i="74" s="1"/>
  <c r="H232" i="74" s="1"/>
  <c r="H234" i="74" s="1"/>
  <c r="H238" i="74" s="1"/>
  <c r="I225" i="74"/>
  <c r="I226" i="74" s="1"/>
  <c r="I232" i="74" s="1"/>
  <c r="I234" i="74" s="1"/>
  <c r="I238" i="74" s="1"/>
  <c r="AP225" i="74"/>
  <c r="L77" i="73"/>
  <c r="K152" i="73"/>
  <c r="K81" i="73"/>
  <c r="M85" i="38"/>
  <c r="M87" i="38" s="1"/>
  <c r="M96" i="38"/>
  <c r="K181" i="52"/>
  <c r="K191" i="52" s="1"/>
  <c r="J75" i="37"/>
  <c r="J77" i="37" s="1"/>
  <c r="H75" i="37"/>
  <c r="H77" i="37" s="1"/>
  <c r="M85" i="37"/>
  <c r="M84" i="37"/>
  <c r="G66" i="34"/>
  <c r="G67" i="34" s="1"/>
  <c r="J90" i="34"/>
  <c r="F66" i="34"/>
  <c r="F67" i="34" s="1"/>
  <c r="H66" i="34"/>
  <c r="H67" i="34" s="1"/>
  <c r="L66" i="34"/>
  <c r="L67" i="34" s="1"/>
  <c r="G274" i="51"/>
  <c r="G280" i="51"/>
  <c r="G413" i="51"/>
  <c r="G430" i="51" s="1"/>
  <c r="G477" i="51" s="1"/>
  <c r="G285" i="51"/>
  <c r="G277" i="51"/>
  <c r="G276" i="51"/>
  <c r="G278" i="51"/>
  <c r="G281" i="51"/>
  <c r="G279" i="51"/>
  <c r="H368" i="51"/>
  <c r="H385" i="51" s="1"/>
  <c r="H506" i="51" s="1"/>
  <c r="F467" i="51"/>
  <c r="H367" i="51"/>
  <c r="H384" i="51" s="1"/>
  <c r="K342" i="51"/>
  <c r="K346" i="51" s="1"/>
  <c r="K350" i="51" s="1"/>
  <c r="F497" i="51"/>
  <c r="M342" i="51"/>
  <c r="M346" i="51" s="1"/>
  <c r="M350" i="51" s="1"/>
  <c r="F466" i="51"/>
  <c r="J451" i="51"/>
  <c r="J492" i="51"/>
  <c r="F478" i="51"/>
  <c r="F495" i="51"/>
  <c r="F451" i="51"/>
  <c r="F492" i="51"/>
  <c r="F366" i="51"/>
  <c r="F383" i="51" s="1"/>
  <c r="F490" i="51" s="1"/>
  <c r="F368" i="51"/>
  <c r="F385" i="51" s="1"/>
  <c r="F506" i="51" s="1"/>
  <c r="F369" i="51"/>
  <c r="F386" i="51" s="1"/>
  <c r="F475" i="51" s="1"/>
  <c r="F367" i="51"/>
  <c r="F384" i="51" s="1"/>
  <c r="M492" i="51"/>
  <c r="M451" i="51"/>
  <c r="F450" i="51"/>
  <c r="J499" i="51"/>
  <c r="K451" i="51"/>
  <c r="K492" i="51"/>
  <c r="M368" i="51"/>
  <c r="M385" i="51" s="1"/>
  <c r="M506" i="51" s="1"/>
  <c r="M366" i="51"/>
  <c r="M383" i="51" s="1"/>
  <c r="M490" i="51" s="1"/>
  <c r="M367" i="51"/>
  <c r="M384" i="51" s="1"/>
  <c r="M369" i="51"/>
  <c r="M386" i="51" s="1"/>
  <c r="M475" i="51" s="1"/>
  <c r="H342" i="51"/>
  <c r="H346" i="51" s="1"/>
  <c r="H350" i="51" s="1"/>
  <c r="H253" i="51"/>
  <c r="G491" i="51"/>
  <c r="G474" i="51"/>
  <c r="M253" i="51"/>
  <c r="I144" i="50"/>
  <c r="K144" i="50"/>
  <c r="K410" i="50" s="1"/>
  <c r="K483" i="50" s="1"/>
  <c r="K663" i="50" s="1"/>
  <c r="G144" i="50"/>
  <c r="G410" i="50" s="1"/>
  <c r="G483" i="50" s="1"/>
  <c r="G663" i="50" s="1"/>
  <c r="L144" i="50"/>
  <c r="AP652" i="75"/>
  <c r="AP636" i="75"/>
  <c r="AP640" i="75" s="1"/>
  <c r="K636" i="75"/>
  <c r="K640" i="75" s="1"/>
  <c r="K652" i="75"/>
  <c r="S345" i="75"/>
  <c r="S550" i="75" s="1"/>
  <c r="S323" i="75"/>
  <c r="S602" i="75" s="1"/>
  <c r="S605" i="75" s="1"/>
  <c r="L253" i="51"/>
  <c r="L342" i="51"/>
  <c r="L346" i="51" s="1"/>
  <c r="L350" i="51" s="1"/>
  <c r="L75" i="37"/>
  <c r="L77" i="37" s="1"/>
  <c r="AL191" i="73"/>
  <c r="AL190" i="73"/>
  <c r="AL136" i="73"/>
  <c r="AL137" i="73" s="1"/>
  <c r="AL192" i="73"/>
  <c r="AL193" i="73"/>
  <c r="H346" i="75"/>
  <c r="H551" i="75"/>
  <c r="G342" i="51"/>
  <c r="G346" i="51" s="1"/>
  <c r="G350" i="51" s="1"/>
  <c r="G359" i="51" s="1"/>
  <c r="G253" i="51"/>
  <c r="M66" i="34"/>
  <c r="M67" i="34" s="1"/>
  <c r="H73" i="35"/>
  <c r="H75" i="35" s="1"/>
  <c r="J344" i="51"/>
  <c r="J348" i="51" s="1"/>
  <c r="J352" i="51" s="1"/>
  <c r="J253" i="51"/>
  <c r="I150" i="52"/>
  <c r="I166" i="52" s="1"/>
  <c r="I181" i="52" s="1"/>
  <c r="I191" i="52" s="1"/>
  <c r="I151" i="52"/>
  <c r="I167" i="52" s="1"/>
  <c r="I182" i="52" s="1"/>
  <c r="I192" i="52" s="1"/>
  <c r="I152" i="52"/>
  <c r="I168" i="52" s="1"/>
  <c r="I183" i="52" s="1"/>
  <c r="I193" i="52" s="1"/>
  <c r="AQ345" i="75"/>
  <c r="AQ550" i="75" s="1"/>
  <c r="AQ323" i="75"/>
  <c r="AQ602" i="75" s="1"/>
  <c r="AQ605" i="75" s="1"/>
  <c r="J264" i="74"/>
  <c r="J287" i="74"/>
  <c r="J294" i="74" s="1"/>
  <c r="J304" i="74" s="1"/>
  <c r="J307" i="74" s="1"/>
  <c r="AM287" i="74"/>
  <c r="AM294" i="74" s="1"/>
  <c r="AM304" i="74" s="1"/>
  <c r="AM307" i="74" s="1"/>
  <c r="AM264" i="74"/>
  <c r="AG264" i="74"/>
  <c r="AG287" i="74"/>
  <c r="AG294" i="74" s="1"/>
  <c r="AG304" i="74" s="1"/>
  <c r="AG307" i="74" s="1"/>
  <c r="AI264" i="74"/>
  <c r="AI287" i="74"/>
  <c r="AI294" i="74" s="1"/>
  <c r="AI304" i="74" s="1"/>
  <c r="AI307" i="74" s="1"/>
  <c r="X287" i="74"/>
  <c r="X294" i="74" s="1"/>
  <c r="X304" i="74" s="1"/>
  <c r="X307" i="74" s="1"/>
  <c r="X264" i="74"/>
  <c r="AQ287" i="74"/>
  <c r="AQ294" i="74" s="1"/>
  <c r="AQ304" i="74" s="1"/>
  <c r="AQ307" i="74" s="1"/>
  <c r="AQ264" i="74"/>
  <c r="AO264" i="74"/>
  <c r="AO287" i="74"/>
  <c r="AO294" i="74" s="1"/>
  <c r="AO304" i="74" s="1"/>
  <c r="AO307" i="74" s="1"/>
  <c r="I264" i="74"/>
  <c r="I287" i="74"/>
  <c r="I294" i="74" s="1"/>
  <c r="I304" i="74" s="1"/>
  <c r="I307" i="74" s="1"/>
  <c r="P287" i="74"/>
  <c r="P294" i="74" s="1"/>
  <c r="P304" i="74" s="1"/>
  <c r="P307" i="74" s="1"/>
  <c r="P264" i="74"/>
  <c r="H117" i="36"/>
  <c r="M147" i="52"/>
  <c r="M163" i="52" s="1"/>
  <c r="M177" i="52" s="1"/>
  <c r="M187" i="52" s="1"/>
  <c r="M149" i="52"/>
  <c r="M165" i="52" s="1"/>
  <c r="M179" i="52" s="1"/>
  <c r="M189" i="52" s="1"/>
  <c r="M148" i="52"/>
  <c r="M164" i="52" s="1"/>
  <c r="M178" i="52" s="1"/>
  <c r="M188" i="52" s="1"/>
  <c r="J77" i="38"/>
  <c r="J79" i="38" s="1"/>
  <c r="J91" i="38"/>
  <c r="J480" i="51"/>
  <c r="J500" i="51"/>
  <c r="G181" i="52"/>
  <c r="G191" i="52" s="1"/>
  <c r="K74" i="36"/>
  <c r="K76" i="36" s="1"/>
  <c r="K106" i="36" s="1"/>
  <c r="H147" i="50"/>
  <c r="J147" i="50"/>
  <c r="H146" i="50"/>
  <c r="J146" i="50"/>
  <c r="L147" i="50"/>
  <c r="L145" i="50"/>
  <c r="L146" i="50"/>
  <c r="AH652" i="75"/>
  <c r="AH636" i="75"/>
  <c r="N636" i="75"/>
  <c r="N640" i="75" s="1"/>
  <c r="N652" i="75"/>
  <c r="AO636" i="75"/>
  <c r="AO640" i="75" s="1"/>
  <c r="AO652" i="75"/>
  <c r="L366" i="51"/>
  <c r="L383" i="51" s="1"/>
  <c r="L490" i="51" s="1"/>
  <c r="L368" i="51"/>
  <c r="L385" i="51" s="1"/>
  <c r="L506" i="51" s="1"/>
  <c r="L367" i="51"/>
  <c r="L384" i="51" s="1"/>
  <c r="L369" i="51"/>
  <c r="L386" i="51" s="1"/>
  <c r="L475" i="51" s="1"/>
  <c r="AB190" i="73"/>
  <c r="AB136" i="73"/>
  <c r="AB137" i="73" s="1"/>
  <c r="AB193" i="73"/>
  <c r="AB192" i="73"/>
  <c r="AB191" i="73"/>
  <c r="I367" i="51"/>
  <c r="I384" i="51" s="1"/>
  <c r="I368" i="51"/>
  <c r="I385" i="51" s="1"/>
  <c r="I506" i="51" s="1"/>
  <c r="I366" i="51"/>
  <c r="I383" i="51" s="1"/>
  <c r="I490" i="51" s="1"/>
  <c r="I369" i="51"/>
  <c r="I386" i="51" s="1"/>
  <c r="I475" i="51" s="1"/>
  <c r="O636" i="75"/>
  <c r="O640" i="75" s="1"/>
  <c r="O652" i="75"/>
  <c r="I451" i="51"/>
  <c r="I492" i="51"/>
  <c r="I149" i="52"/>
  <c r="I165" i="52" s="1"/>
  <c r="I179" i="52" s="1"/>
  <c r="I189" i="52" s="1"/>
  <c r="I147" i="52"/>
  <c r="I163" i="52" s="1"/>
  <c r="I177" i="52" s="1"/>
  <c r="I187" i="52" s="1"/>
  <c r="I148" i="52"/>
  <c r="I164" i="52" s="1"/>
  <c r="I178" i="52" s="1"/>
  <c r="I188" i="52" s="1"/>
  <c r="Y191" i="73"/>
  <c r="Y190" i="73"/>
  <c r="Y192" i="73"/>
  <c r="Y193" i="73"/>
  <c r="Y136" i="73"/>
  <c r="Y137" i="73" s="1"/>
  <c r="V264" i="74"/>
  <c r="V287" i="74"/>
  <c r="V294" i="74" s="1"/>
  <c r="V304" i="74" s="1"/>
  <c r="V307" i="74" s="1"/>
  <c r="AB264" i="74"/>
  <c r="AB287" i="74"/>
  <c r="AB294" i="74" s="1"/>
  <c r="AB304" i="74" s="1"/>
  <c r="AB307" i="74" s="1"/>
  <c r="R264" i="74"/>
  <c r="R287" i="74"/>
  <c r="R294" i="74" s="1"/>
  <c r="R304" i="74" s="1"/>
  <c r="R307" i="74" s="1"/>
  <c r="L264" i="74"/>
  <c r="L287" i="74"/>
  <c r="L294" i="74" s="1"/>
  <c r="L304" i="74" s="1"/>
  <c r="L307" i="74" s="1"/>
  <c r="Q264" i="74"/>
  <c r="Q287" i="74"/>
  <c r="Q294" i="74" s="1"/>
  <c r="Q304" i="74" s="1"/>
  <c r="Q307" i="74" s="1"/>
  <c r="H287" i="74"/>
  <c r="H294" i="74" s="1"/>
  <c r="H304" i="74" s="1"/>
  <c r="H307" i="74" s="1"/>
  <c r="H264" i="74"/>
  <c r="Z287" i="74"/>
  <c r="Z294" i="74" s="1"/>
  <c r="Z304" i="74" s="1"/>
  <c r="Z307" i="74" s="1"/>
  <c r="Z264" i="74"/>
  <c r="AK264" i="74"/>
  <c r="AK287" i="74"/>
  <c r="AK294" i="74" s="1"/>
  <c r="AK304" i="74" s="1"/>
  <c r="AK307" i="74" s="1"/>
  <c r="AJ346" i="75"/>
  <c r="AJ551" i="75"/>
  <c r="H144" i="50"/>
  <c r="H410" i="50" s="1"/>
  <c r="H483" i="50" s="1"/>
  <c r="H663" i="50" s="1"/>
  <c r="M146" i="50"/>
  <c r="G147" i="50"/>
  <c r="AQ636" i="75"/>
  <c r="AQ640" i="75" s="1"/>
  <c r="AQ652" i="75"/>
  <c r="G636" i="75"/>
  <c r="G640" i="75" s="1"/>
  <c r="G652" i="75"/>
  <c r="S551" i="75"/>
  <c r="S346" i="75"/>
  <c r="F75" i="37"/>
  <c r="F77" i="37" s="1"/>
  <c r="J147" i="52"/>
  <c r="J163" i="52" s="1"/>
  <c r="J177" i="52" s="1"/>
  <c r="J187" i="52" s="1"/>
  <c r="J149" i="52"/>
  <c r="J165" i="52" s="1"/>
  <c r="J179" i="52" s="1"/>
  <c r="J189" i="52" s="1"/>
  <c r="J148" i="52"/>
  <c r="J164" i="52" s="1"/>
  <c r="J178" i="52" s="1"/>
  <c r="J188" i="52" s="1"/>
  <c r="L26" i="73"/>
  <c r="L30" i="73" s="1"/>
  <c r="L129" i="73" s="1"/>
  <c r="K30" i="73"/>
  <c r="K129" i="73" s="1"/>
  <c r="K135" i="73" s="1"/>
  <c r="F253" i="51"/>
  <c r="F342" i="51"/>
  <c r="F346" i="51" s="1"/>
  <c r="F350" i="51" s="1"/>
  <c r="K344" i="51"/>
  <c r="K348" i="51" s="1"/>
  <c r="K352" i="51" s="1"/>
  <c r="K253" i="51"/>
  <c r="I253" i="51"/>
  <c r="I342" i="51"/>
  <c r="I346" i="51" s="1"/>
  <c r="I350" i="51" s="1"/>
  <c r="AG191" i="73"/>
  <c r="AG136" i="73"/>
  <c r="AG137" i="73" s="1"/>
  <c r="AG192" i="73"/>
  <c r="AG193" i="73"/>
  <c r="AG190" i="73"/>
  <c r="I71" i="57"/>
  <c r="I49" i="57"/>
  <c r="I51" i="57" s="1"/>
  <c r="I66" i="34"/>
  <c r="I67" i="34" s="1"/>
  <c r="M67" i="39"/>
  <c r="M61" i="39"/>
  <c r="M63" i="39" s="1"/>
  <c r="I345" i="75"/>
  <c r="I550" i="75" s="1"/>
  <c r="I323" i="75"/>
  <c r="I602" i="75" s="1"/>
  <c r="I605" i="75" s="1"/>
  <c r="K79" i="36"/>
  <c r="K116" i="36"/>
  <c r="L147" i="52"/>
  <c r="L163" i="52" s="1"/>
  <c r="L177" i="52" s="1"/>
  <c r="L187" i="52" s="1"/>
  <c r="L148" i="52"/>
  <c r="L164" i="52" s="1"/>
  <c r="L178" i="52" s="1"/>
  <c r="L188" i="52" s="1"/>
  <c r="L149" i="52"/>
  <c r="L165" i="52" s="1"/>
  <c r="L179" i="52" s="1"/>
  <c r="L189" i="52" s="1"/>
  <c r="AA85" i="73"/>
  <c r="S264" i="74"/>
  <c r="S287" i="74"/>
  <c r="S294" i="74" s="1"/>
  <c r="S304" i="74" s="1"/>
  <c r="S307" i="74" s="1"/>
  <c r="N264" i="74"/>
  <c r="N287" i="74"/>
  <c r="N294" i="74" s="1"/>
  <c r="N304" i="74" s="1"/>
  <c r="N307" i="74" s="1"/>
  <c r="AE264" i="74"/>
  <c r="AE287" i="74"/>
  <c r="AE294" i="74" s="1"/>
  <c r="AE304" i="74" s="1"/>
  <c r="AE307" i="74" s="1"/>
  <c r="AA287" i="74"/>
  <c r="AA294" i="74" s="1"/>
  <c r="AA304" i="74" s="1"/>
  <c r="AA307" i="74" s="1"/>
  <c r="AA264" i="74"/>
  <c r="AH287" i="74"/>
  <c r="AH294" i="74" s="1"/>
  <c r="AH304" i="74" s="1"/>
  <c r="AH307" i="74" s="1"/>
  <c r="AH264" i="74"/>
  <c r="AF264" i="74"/>
  <c r="AF287" i="74"/>
  <c r="AF294" i="74" s="1"/>
  <c r="AF304" i="74" s="1"/>
  <c r="AF307" i="74" s="1"/>
  <c r="T264" i="74"/>
  <c r="T287" i="74"/>
  <c r="T294" i="74" s="1"/>
  <c r="T304" i="74" s="1"/>
  <c r="T307" i="74" s="1"/>
  <c r="AC287" i="74"/>
  <c r="AC294" i="74" s="1"/>
  <c r="AC304" i="74" s="1"/>
  <c r="AC307" i="74" s="1"/>
  <c r="AC264" i="74"/>
  <c r="H106" i="36"/>
  <c r="H107" i="36"/>
  <c r="O551" i="75"/>
  <c r="O346" i="75"/>
  <c r="K147" i="50"/>
  <c r="G146" i="50"/>
  <c r="I146" i="50"/>
  <c r="M147" i="50"/>
  <c r="M145" i="50"/>
  <c r="J144" i="50"/>
  <c r="J410" i="50" s="1"/>
  <c r="J483" i="50" s="1"/>
  <c r="J663" i="50" s="1"/>
  <c r="AM636" i="75"/>
  <c r="AM652" i="75"/>
  <c r="AH191" i="73"/>
  <c r="AH192" i="73"/>
  <c r="AH136" i="73"/>
  <c r="AH137" i="73" s="1"/>
  <c r="AH193" i="73"/>
  <c r="AH190" i="73"/>
  <c r="J652" i="75"/>
  <c r="J636" i="75"/>
  <c r="J640" i="75" s="1"/>
  <c r="L451" i="51"/>
  <c r="L492" i="51"/>
  <c r="Z636" i="75"/>
  <c r="Z640" i="75" s="1"/>
  <c r="Z652" i="75"/>
  <c r="J136" i="73"/>
  <c r="J137" i="73" s="1"/>
  <c r="J192" i="73"/>
  <c r="J190" i="73"/>
  <c r="J193" i="73"/>
  <c r="J191" i="73"/>
  <c r="H345" i="75"/>
  <c r="H550" i="75" s="1"/>
  <c r="H323" i="75"/>
  <c r="H602" i="75" s="1"/>
  <c r="H605" i="75" s="1"/>
  <c r="AQ346" i="75"/>
  <c r="AQ551" i="75"/>
  <c r="I551" i="75"/>
  <c r="I346" i="75"/>
  <c r="M264" i="74"/>
  <c r="M287" i="74"/>
  <c r="M294" i="74" s="1"/>
  <c r="M304" i="74" s="1"/>
  <c r="M307" i="74" s="1"/>
  <c r="AJ264" i="74"/>
  <c r="AJ287" i="74"/>
  <c r="AJ294" i="74" s="1"/>
  <c r="AJ304" i="74" s="1"/>
  <c r="AJ307" i="74" s="1"/>
  <c r="AP287" i="74"/>
  <c r="AP294" i="74" s="1"/>
  <c r="AP304" i="74" s="1"/>
  <c r="AP307" i="74" s="1"/>
  <c r="AP264" i="74"/>
  <c r="AD287" i="74"/>
  <c r="AD294" i="74" s="1"/>
  <c r="AD304" i="74" s="1"/>
  <c r="AD307" i="74" s="1"/>
  <c r="AD264" i="74"/>
  <c r="W287" i="74"/>
  <c r="W294" i="74" s="1"/>
  <c r="W304" i="74" s="1"/>
  <c r="W307" i="74" s="1"/>
  <c r="W264" i="74"/>
  <c r="AL287" i="74"/>
  <c r="AL294" i="74" s="1"/>
  <c r="AL304" i="74" s="1"/>
  <c r="AL307" i="74" s="1"/>
  <c r="AL264" i="74"/>
  <c r="G264" i="74"/>
  <c r="G287" i="74"/>
  <c r="G294" i="74" s="1"/>
  <c r="G304" i="74" s="1"/>
  <c r="G307" i="74" s="1"/>
  <c r="G315" i="74" s="1"/>
  <c r="AN264" i="74"/>
  <c r="AN287" i="74"/>
  <c r="AN294" i="74" s="1"/>
  <c r="AN304" i="74" s="1"/>
  <c r="AN307" i="74" s="1"/>
  <c r="U264" i="74"/>
  <c r="U287" i="74"/>
  <c r="U294" i="74" s="1"/>
  <c r="U304" i="74" s="1"/>
  <c r="U307" i="74" s="1"/>
  <c r="O345" i="75"/>
  <c r="O550" i="75" s="1"/>
  <c r="O323" i="75"/>
  <c r="O602" i="75" s="1"/>
  <c r="O605" i="75" s="1"/>
  <c r="AJ345" i="75"/>
  <c r="AJ550" i="75" s="1"/>
  <c r="AJ323" i="75"/>
  <c r="AJ602" i="75" s="1"/>
  <c r="AJ605" i="75" s="1"/>
  <c r="K642" i="50"/>
  <c r="K695" i="50"/>
  <c r="K680" i="50"/>
  <c r="K679" i="50"/>
  <c r="K676" i="50"/>
  <c r="K696" i="50"/>
  <c r="K674" i="50"/>
  <c r="K675" i="50"/>
  <c r="K666" i="50"/>
  <c r="K665" i="50"/>
  <c r="K702" i="50"/>
  <c r="K672" i="50"/>
  <c r="K658" i="50"/>
  <c r="K681" i="50"/>
  <c r="K661" i="50"/>
  <c r="K694" i="50"/>
  <c r="K705" i="50"/>
  <c r="K703" i="50"/>
  <c r="K648" i="50"/>
  <c r="K657" i="50"/>
  <c r="K677" i="50"/>
  <c r="K652" i="50"/>
  <c r="K706" i="50"/>
  <c r="K607" i="50"/>
  <c r="K517" i="50"/>
  <c r="K596" i="50"/>
  <c r="K518" i="50"/>
  <c r="K619" i="50"/>
  <c r="K542" i="50"/>
  <c r="K608" i="50"/>
  <c r="K586" i="50"/>
  <c r="K561" i="50"/>
  <c r="K553" i="50"/>
  <c r="K562" i="50"/>
  <c r="K532" i="50"/>
  <c r="K630" i="50"/>
  <c r="K565" i="50"/>
  <c r="K631" i="50"/>
  <c r="K552" i="50"/>
  <c r="K627" i="50"/>
  <c r="K620" i="50"/>
  <c r="K520" i="50"/>
  <c r="K699" i="50"/>
  <c r="K628" i="50"/>
  <c r="K583" i="50"/>
  <c r="K531" i="50"/>
  <c r="K617" i="50"/>
  <c r="K563" i="50"/>
  <c r="K594" i="50"/>
  <c r="K686" i="50"/>
  <c r="K585" i="50"/>
  <c r="K551" i="50"/>
  <c r="K651" i="50"/>
  <c r="K647" i="50"/>
  <c r="K645" i="50"/>
  <c r="K690" i="50"/>
  <c r="K646" i="50"/>
  <c r="K708" i="50"/>
  <c r="K700" i="50"/>
  <c r="K689" i="50"/>
  <c r="K704" i="50"/>
  <c r="K667" i="50"/>
  <c r="K687" i="50"/>
  <c r="K543" i="50"/>
  <c r="K598" i="50"/>
  <c r="K550" i="50"/>
  <c r="K564" i="50"/>
  <c r="K584" i="50"/>
  <c r="K618" i="50"/>
  <c r="K595" i="50"/>
  <c r="K573" i="50"/>
  <c r="K575" i="50"/>
  <c r="K541" i="50"/>
  <c r="K597" i="50"/>
  <c r="K576" i="50"/>
  <c r="K572" i="50"/>
  <c r="K530" i="50"/>
  <c r="K701" i="50"/>
  <c r="K644" i="50"/>
  <c r="K693" i="50"/>
  <c r="K643" i="50"/>
  <c r="K692" i="50"/>
  <c r="K664" i="50"/>
  <c r="K678" i="50"/>
  <c r="K650" i="50"/>
  <c r="K709" i="50"/>
  <c r="K540" i="50"/>
  <c r="K574" i="50"/>
  <c r="K616" i="50"/>
  <c r="K521" i="50"/>
  <c r="K539" i="50"/>
  <c r="K529" i="50"/>
  <c r="K609" i="50"/>
  <c r="K554" i="50"/>
  <c r="K528" i="50"/>
  <c r="K605" i="50"/>
  <c r="K606" i="50"/>
  <c r="K587" i="50"/>
  <c r="K629" i="50"/>
  <c r="K519" i="50"/>
  <c r="K707" i="50"/>
  <c r="K688" i="50"/>
  <c r="K649" i="50"/>
  <c r="K691" i="50"/>
  <c r="K660" i="50"/>
  <c r="K662" i="50"/>
  <c r="K659" i="50"/>
  <c r="M644" i="50"/>
  <c r="M692" i="50"/>
  <c r="M696" i="50"/>
  <c r="M628" i="50"/>
  <c r="M520" i="50"/>
  <c r="M597" i="50"/>
  <c r="M606" i="50"/>
  <c r="M703" i="50"/>
  <c r="M573" i="50"/>
  <c r="M565" i="50"/>
  <c r="M595" i="50"/>
  <c r="M587" i="50"/>
  <c r="M564" i="50"/>
  <c r="M542" i="50"/>
  <c r="M605" i="50"/>
  <c r="M618" i="50"/>
  <c r="M701" i="50"/>
  <c r="M646" i="50"/>
  <c r="M676" i="50"/>
  <c r="M562" i="50"/>
  <c r="M518" i="50"/>
  <c r="M575" i="50"/>
  <c r="M553" i="50"/>
  <c r="M666" i="50"/>
  <c r="M658" i="50"/>
  <c r="M674" i="50"/>
  <c r="M619" i="50"/>
  <c r="M642" i="50"/>
  <c r="M594" i="50"/>
  <c r="M694" i="50"/>
  <c r="M517" i="50"/>
  <c r="M705" i="50"/>
  <c r="M584" i="50"/>
  <c r="M688" i="50"/>
  <c r="M662" i="50"/>
  <c r="M687" i="50"/>
  <c r="M660" i="50"/>
  <c r="M661" i="50"/>
  <c r="M645" i="50"/>
  <c r="M629" i="50"/>
  <c r="M690" i="50"/>
  <c r="M652" i="50"/>
  <c r="M540" i="50"/>
  <c r="M583" i="50"/>
  <c r="M554" i="50"/>
  <c r="M531" i="50"/>
  <c r="M608" i="50"/>
  <c r="M675" i="50"/>
  <c r="M689" i="50"/>
  <c r="M699" i="50"/>
  <c r="M686" i="50"/>
  <c r="M677" i="50"/>
  <c r="M649" i="50"/>
  <c r="M664" i="50"/>
  <c r="M659" i="50"/>
  <c r="M678" i="50"/>
  <c r="M647" i="50"/>
  <c r="M704" i="50"/>
  <c r="M574" i="50"/>
  <c r="M665" i="50"/>
  <c r="M596" i="50"/>
  <c r="M693" i="50"/>
  <c r="M630" i="50"/>
  <c r="M609" i="50"/>
  <c r="M709" i="50"/>
  <c r="M627" i="50"/>
  <c r="M681" i="50"/>
  <c r="M680" i="50"/>
  <c r="M572" i="50"/>
  <c r="M543" i="50"/>
  <c r="M576" i="50"/>
  <c r="M691" i="50"/>
  <c r="M657" i="50"/>
  <c r="M530" i="50"/>
  <c r="M519" i="50"/>
  <c r="M695" i="50"/>
  <c r="M541" i="50"/>
  <c r="M563" i="50"/>
  <c r="M620" i="50"/>
  <c r="M586" i="50"/>
  <c r="M702" i="50"/>
  <c r="M550" i="50"/>
  <c r="M648" i="50"/>
  <c r="M679" i="50"/>
  <c r="M561" i="50"/>
  <c r="M521" i="50"/>
  <c r="M708" i="50"/>
  <c r="M529" i="50"/>
  <c r="M707" i="50"/>
  <c r="M631" i="50"/>
  <c r="M617" i="50"/>
  <c r="M585" i="50"/>
  <c r="M607" i="50"/>
  <c r="M528" i="50"/>
  <c r="M552" i="50"/>
  <c r="M650" i="50"/>
  <c r="M551" i="50"/>
  <c r="M706" i="50"/>
  <c r="M532" i="50"/>
  <c r="M667" i="50"/>
  <c r="M539" i="50"/>
  <c r="M643" i="50"/>
  <c r="M651" i="50"/>
  <c r="M598" i="50"/>
  <c r="M700" i="50"/>
  <c r="M616" i="50"/>
  <c r="H531" i="50"/>
  <c r="H565" i="50"/>
  <c r="H606" i="50"/>
  <c r="H665" i="50"/>
  <c r="H681" i="50"/>
  <c r="H586" i="50"/>
  <c r="H543" i="50"/>
  <c r="H688" i="50"/>
  <c r="H693" i="50"/>
  <c r="H647" i="50"/>
  <c r="H686" i="50"/>
  <c r="H608" i="50"/>
  <c r="H675" i="50"/>
  <c r="H529" i="50"/>
  <c r="H709" i="50"/>
  <c r="H631" i="50"/>
  <c r="H550" i="50"/>
  <c r="H519" i="50"/>
  <c r="H692" i="50"/>
  <c r="H574" i="50"/>
  <c r="H562" i="50"/>
  <c r="H517" i="50"/>
  <c r="H630" i="50"/>
  <c r="H521" i="50"/>
  <c r="H706" i="50"/>
  <c r="H618" i="50"/>
  <c r="H696" i="50"/>
  <c r="H619" i="50"/>
  <c r="H528" i="50"/>
  <c r="H575" i="50"/>
  <c r="H542" i="50"/>
  <c r="H598" i="50"/>
  <c r="H576" i="50"/>
  <c r="H703" i="50"/>
  <c r="H651" i="50"/>
  <c r="H689" i="50"/>
  <c r="H690" i="50"/>
  <c r="H539" i="50"/>
  <c r="H680" i="50"/>
  <c r="H585" i="50"/>
  <c r="H642" i="50"/>
  <c r="H700" i="50"/>
  <c r="H676" i="50"/>
  <c r="H532" i="50"/>
  <c r="H666" i="50"/>
  <c r="H661" i="50"/>
  <c r="H617" i="50"/>
  <c r="H597" i="50"/>
  <c r="H587" i="50"/>
  <c r="H705" i="50"/>
  <c r="H563" i="50"/>
  <c r="H695" i="50"/>
  <c r="H596" i="50"/>
  <c r="H620" i="50"/>
  <c r="H708" i="50"/>
  <c r="H572" i="50"/>
  <c r="H673" i="50"/>
  <c r="H672" i="50"/>
  <c r="H671" i="50"/>
  <c r="H609" i="50"/>
  <c r="H518" i="50"/>
  <c r="H540" i="50"/>
  <c r="H662" i="50"/>
  <c r="H616" i="50"/>
  <c r="H687" i="50"/>
  <c r="H627" i="50"/>
  <c r="H541" i="50"/>
  <c r="H605" i="50"/>
  <c r="H707" i="50"/>
  <c r="H553" i="50"/>
  <c r="H629" i="50"/>
  <c r="H520" i="50"/>
  <c r="H561" i="50"/>
  <c r="H649" i="50"/>
  <c r="H677" i="50"/>
  <c r="H679" i="50"/>
  <c r="H584" i="50"/>
  <c r="H554" i="50"/>
  <c r="H658" i="50"/>
  <c r="H644" i="50"/>
  <c r="H530" i="50"/>
  <c r="H650" i="50"/>
  <c r="H583" i="50"/>
  <c r="H628" i="50"/>
  <c r="H652" i="50"/>
  <c r="H645" i="50"/>
  <c r="H664" i="50"/>
  <c r="H674" i="50"/>
  <c r="H678" i="50"/>
  <c r="H699" i="50"/>
  <c r="H694" i="50"/>
  <c r="H594" i="50"/>
  <c r="H702" i="50"/>
  <c r="H657" i="50"/>
  <c r="H573" i="50"/>
  <c r="H564" i="50"/>
  <c r="H691" i="50"/>
  <c r="H648" i="50"/>
  <c r="H667" i="50"/>
  <c r="H659" i="50"/>
  <c r="H595" i="50"/>
  <c r="H660" i="50"/>
  <c r="H701" i="50"/>
  <c r="H704" i="50"/>
  <c r="H552" i="50"/>
  <c r="H607" i="50"/>
  <c r="H643" i="50"/>
  <c r="H551" i="50"/>
  <c r="H646" i="50"/>
  <c r="G676" i="50"/>
  <c r="G598" i="50"/>
  <c r="G702" i="50"/>
  <c r="G585" i="50"/>
  <c r="G629" i="50"/>
  <c r="G675" i="50"/>
  <c r="G617" i="50"/>
  <c r="G630" i="50"/>
  <c r="G521" i="50"/>
  <c r="G709" i="50"/>
  <c r="G643" i="50"/>
  <c r="G520" i="50"/>
  <c r="G701" i="50"/>
  <c r="G631" i="50"/>
  <c r="G586" i="50"/>
  <c r="G646" i="50"/>
  <c r="G607" i="50"/>
  <c r="G644" i="50"/>
  <c r="G583" i="50"/>
  <c r="G679" i="50"/>
  <c r="G703" i="50"/>
  <c r="G705" i="50"/>
  <c r="G649" i="50"/>
  <c r="G564" i="50"/>
  <c r="G573" i="50"/>
  <c r="G605" i="50"/>
  <c r="G650" i="50"/>
  <c r="G532" i="50"/>
  <c r="G674" i="50"/>
  <c r="G576" i="50"/>
  <c r="G706" i="50"/>
  <c r="G700" i="50"/>
  <c r="G616" i="50"/>
  <c r="G707" i="50"/>
  <c r="G595" i="50"/>
  <c r="G694" i="50"/>
  <c r="G530" i="50"/>
  <c r="G572" i="50"/>
  <c r="G627" i="50"/>
  <c r="G681" i="50"/>
  <c r="G645" i="50"/>
  <c r="G708" i="50"/>
  <c r="G620" i="50"/>
  <c r="G565" i="50"/>
  <c r="G660" i="50"/>
  <c r="G666" i="50"/>
  <c r="G661" i="50"/>
  <c r="G689" i="50"/>
  <c r="G662" i="50"/>
  <c r="G587" i="50"/>
  <c r="G563" i="50"/>
  <c r="G665" i="50"/>
  <c r="G531" i="50"/>
  <c r="G517" i="50"/>
  <c r="G651" i="50"/>
  <c r="G699" i="50"/>
  <c r="G543" i="50"/>
  <c r="G541" i="50"/>
  <c r="G664" i="50"/>
  <c r="G687" i="50"/>
  <c r="G667" i="50"/>
  <c r="G596" i="50"/>
  <c r="G552" i="50"/>
  <c r="G574" i="50"/>
  <c r="G575" i="50"/>
  <c r="G693" i="50"/>
  <c r="G539" i="50"/>
  <c r="G584" i="50"/>
  <c r="G553" i="50"/>
  <c r="G594" i="50"/>
  <c r="G691" i="50"/>
  <c r="G542" i="50"/>
  <c r="G529" i="50"/>
  <c r="G608" i="50"/>
  <c r="G658" i="50"/>
  <c r="G680" i="50"/>
  <c r="G551" i="50"/>
  <c r="G695" i="50"/>
  <c r="G528" i="50"/>
  <c r="G554" i="50"/>
  <c r="G642" i="50"/>
  <c r="G550" i="50"/>
  <c r="G562" i="50"/>
  <c r="G561" i="50"/>
  <c r="G659" i="50"/>
  <c r="G692" i="50"/>
  <c r="G618" i="50"/>
  <c r="G628" i="50"/>
  <c r="G696" i="50"/>
  <c r="G657" i="50"/>
  <c r="G652" i="50"/>
  <c r="G518" i="50"/>
  <c r="G609" i="50"/>
  <c r="G597" i="50"/>
  <c r="G704" i="50"/>
  <c r="G647" i="50"/>
  <c r="G678" i="50"/>
  <c r="G519" i="50"/>
  <c r="G688" i="50"/>
  <c r="G606" i="50"/>
  <c r="G690" i="50"/>
  <c r="G686" i="50"/>
  <c r="G540" i="50"/>
  <c r="G648" i="50"/>
  <c r="G619" i="50"/>
  <c r="G672" i="50"/>
  <c r="I617" i="50"/>
  <c r="I598" i="50"/>
  <c r="I681" i="50"/>
  <c r="I675" i="50"/>
  <c r="I576" i="50"/>
  <c r="I651" i="50"/>
  <c r="I662" i="50"/>
  <c r="I616" i="50"/>
  <c r="I699" i="50"/>
  <c r="I647" i="50"/>
  <c r="I587" i="50"/>
  <c r="I532" i="50"/>
  <c r="I700" i="50"/>
  <c r="I607" i="50"/>
  <c r="I517" i="50"/>
  <c r="I550" i="50"/>
  <c r="I573" i="50"/>
  <c r="I707" i="50"/>
  <c r="I692" i="50"/>
  <c r="I652" i="50"/>
  <c r="I531" i="50"/>
  <c r="I696" i="50"/>
  <c r="I708" i="50"/>
  <c r="I585" i="50"/>
  <c r="I695" i="50"/>
  <c r="I649" i="50"/>
  <c r="I564" i="50"/>
  <c r="I528" i="50"/>
  <c r="I660" i="50"/>
  <c r="I553" i="50"/>
  <c r="I657" i="50"/>
  <c r="I702" i="50"/>
  <c r="I664" i="50"/>
  <c r="I620" i="50"/>
  <c r="I629" i="50"/>
  <c r="I565" i="50"/>
  <c r="I595" i="50"/>
  <c r="I520" i="50"/>
  <c r="I691" i="50"/>
  <c r="I631" i="50"/>
  <c r="I643" i="50"/>
  <c r="I690" i="50"/>
  <c r="I619" i="50"/>
  <c r="I562" i="50"/>
  <c r="I519" i="50"/>
  <c r="I706" i="50"/>
  <c r="I701" i="50"/>
  <c r="I627" i="50"/>
  <c r="I688" i="50"/>
  <c r="I551" i="50"/>
  <c r="I554" i="50"/>
  <c r="I574" i="50"/>
  <c r="I608" i="50"/>
  <c r="I594" i="50"/>
  <c r="I575" i="50"/>
  <c r="I704" i="50"/>
  <c r="I648" i="50"/>
  <c r="I686" i="50"/>
  <c r="I630" i="50"/>
  <c r="I642" i="50"/>
  <c r="I644" i="50"/>
  <c r="I584" i="50"/>
  <c r="I673" i="50"/>
  <c r="I672" i="50"/>
  <c r="I661" i="50"/>
  <c r="I659" i="50"/>
  <c r="I679" i="50"/>
  <c r="I678" i="50"/>
  <c r="I674" i="50"/>
  <c r="I645" i="50"/>
  <c r="I693" i="50"/>
  <c r="I650" i="50"/>
  <c r="I583" i="50"/>
  <c r="I552" i="50"/>
  <c r="I563" i="50"/>
  <c r="I646" i="50"/>
  <c r="I689" i="50"/>
  <c r="I628" i="50"/>
  <c r="I605" i="50"/>
  <c r="I521" i="50"/>
  <c r="I703" i="50"/>
  <c r="I542" i="50"/>
  <c r="I694" i="50"/>
  <c r="I687" i="50"/>
  <c r="I676" i="50"/>
  <c r="I680" i="50"/>
  <c r="I658" i="50"/>
  <c r="I671" i="50"/>
  <c r="I609" i="50"/>
  <c r="I572" i="50"/>
  <c r="I606" i="50"/>
  <c r="I561" i="50"/>
  <c r="I539" i="50"/>
  <c r="I541" i="50"/>
  <c r="I586" i="50"/>
  <c r="I529" i="50"/>
  <c r="I618" i="50"/>
  <c r="I709" i="50"/>
  <c r="I540" i="50"/>
  <c r="I543" i="50"/>
  <c r="I518" i="50"/>
  <c r="I530" i="50"/>
  <c r="I705" i="50"/>
  <c r="I596" i="50"/>
  <c r="I597" i="50"/>
  <c r="I677" i="50"/>
  <c r="I666" i="50"/>
  <c r="I665" i="50"/>
  <c r="I667" i="50"/>
  <c r="J594" i="50"/>
  <c r="J650" i="50"/>
  <c r="J521" i="50"/>
  <c r="J706" i="50"/>
  <c r="J643" i="50"/>
  <c r="J665" i="50"/>
  <c r="J704" i="50"/>
  <c r="J531" i="50"/>
  <c r="J688" i="50"/>
  <c r="J607" i="50"/>
  <c r="J674" i="50"/>
  <c r="J680" i="50"/>
  <c r="J676" i="50"/>
  <c r="J707" i="50"/>
  <c r="J616" i="50"/>
  <c r="J540" i="50"/>
  <c r="J564" i="50"/>
  <c r="J657" i="50"/>
  <c r="J709" i="50"/>
  <c r="J597" i="50"/>
  <c r="J554" i="50"/>
  <c r="J702" i="50"/>
  <c r="J631" i="50"/>
  <c r="J542" i="50"/>
  <c r="J606" i="50"/>
  <c r="J519" i="50"/>
  <c r="J572" i="50"/>
  <c r="J583" i="50"/>
  <c r="J681" i="50"/>
  <c r="J666" i="50"/>
  <c r="J543" i="50"/>
  <c r="J563" i="50"/>
  <c r="J694" i="50"/>
  <c r="J532" i="50"/>
  <c r="J617" i="50"/>
  <c r="J575" i="50"/>
  <c r="J658" i="50"/>
  <c r="J690" i="50"/>
  <c r="J585" i="50"/>
  <c r="J530" i="50"/>
  <c r="J703" i="50"/>
  <c r="J584" i="50"/>
  <c r="J630" i="50"/>
  <c r="J678" i="50"/>
  <c r="J699" i="50"/>
  <c r="J629" i="50"/>
  <c r="J664" i="50"/>
  <c r="J539" i="50"/>
  <c r="J679" i="50"/>
  <c r="J708" i="50"/>
  <c r="J517" i="50"/>
  <c r="J686" i="50"/>
  <c r="J595" i="50"/>
  <c r="J659" i="50"/>
  <c r="J675" i="50"/>
  <c r="J691" i="50"/>
  <c r="J700" i="50"/>
  <c r="J551" i="50"/>
  <c r="J705" i="50"/>
  <c r="J608" i="50"/>
  <c r="J573" i="50"/>
  <c r="J550" i="50"/>
  <c r="J598" i="50"/>
  <c r="J642" i="50"/>
  <c r="J618" i="50"/>
  <c r="J652" i="50"/>
  <c r="J574" i="50"/>
  <c r="J648" i="50"/>
  <c r="J620" i="50"/>
  <c r="J586" i="50"/>
  <c r="J541" i="50"/>
  <c r="J689" i="50"/>
  <c r="J528" i="50"/>
  <c r="J695" i="50"/>
  <c r="J619" i="50"/>
  <c r="J667" i="50"/>
  <c r="J660" i="50"/>
  <c r="J661" i="50"/>
  <c r="J520" i="50"/>
  <c r="J693" i="50"/>
  <c r="J529" i="50"/>
  <c r="J561" i="50"/>
  <c r="J565" i="50"/>
  <c r="J609" i="50"/>
  <c r="J596" i="50"/>
  <c r="J628" i="50"/>
  <c r="J645" i="50"/>
  <c r="J651" i="50"/>
  <c r="J647" i="50"/>
  <c r="J627" i="50"/>
  <c r="J518" i="50"/>
  <c r="J696" i="50"/>
  <c r="J562" i="50"/>
  <c r="J701" i="50"/>
  <c r="J673" i="50"/>
  <c r="J672" i="50"/>
  <c r="J687" i="50"/>
  <c r="J587" i="50"/>
  <c r="J553" i="50"/>
  <c r="J552" i="50"/>
  <c r="J692" i="50"/>
  <c r="J605" i="50"/>
  <c r="J644" i="50"/>
  <c r="J649" i="50"/>
  <c r="J576" i="50"/>
  <c r="J646" i="50"/>
  <c r="J662" i="50"/>
  <c r="F657" i="50"/>
  <c r="F574" i="50"/>
  <c r="F651" i="50"/>
  <c r="F628" i="50"/>
  <c r="F679" i="50"/>
  <c r="F583" i="50"/>
  <c r="F562" i="50"/>
  <c r="F585" i="50"/>
  <c r="F702" i="50"/>
  <c r="F690" i="50"/>
  <c r="F587" i="50"/>
  <c r="F661" i="50"/>
  <c r="F673" i="50"/>
  <c r="F596" i="50"/>
  <c r="F700" i="50"/>
  <c r="F687" i="50"/>
  <c r="F699" i="50"/>
  <c r="F586" i="50"/>
  <c r="F597" i="50"/>
  <c r="F630" i="50"/>
  <c r="F532" i="50"/>
  <c r="F646" i="50"/>
  <c r="F616" i="50"/>
  <c r="F561" i="50"/>
  <c r="F686" i="50"/>
  <c r="F608" i="50"/>
  <c r="F607" i="50"/>
  <c r="F678" i="50"/>
  <c r="F620" i="50"/>
  <c r="F695" i="50"/>
  <c r="F598" i="50"/>
  <c r="F528" i="50"/>
  <c r="F553" i="50"/>
  <c r="F704" i="50"/>
  <c r="F584" i="50"/>
  <c r="F696" i="50"/>
  <c r="F708" i="50"/>
  <c r="F605" i="50"/>
  <c r="F659" i="50"/>
  <c r="F644" i="50"/>
  <c r="F642" i="50"/>
  <c r="F652" i="50"/>
  <c r="F662" i="50"/>
  <c r="F664" i="50"/>
  <c r="F649" i="50"/>
  <c r="F658" i="50"/>
  <c r="F520" i="50"/>
  <c r="F689" i="50"/>
  <c r="F542" i="50"/>
  <c r="F552" i="50"/>
  <c r="F618" i="50"/>
  <c r="F692" i="50"/>
  <c r="F563" i="50"/>
  <c r="F705" i="50"/>
  <c r="F645" i="50"/>
  <c r="F665" i="50"/>
  <c r="F519" i="50"/>
  <c r="F627" i="50"/>
  <c r="F530" i="50"/>
  <c r="F694" i="50"/>
  <c r="F518" i="50"/>
  <c r="F521" i="50"/>
  <c r="F701" i="50"/>
  <c r="F609" i="50"/>
  <c r="F667" i="50"/>
  <c r="F677" i="50"/>
  <c r="F671" i="50"/>
  <c r="F680" i="50"/>
  <c r="F572" i="50"/>
  <c r="F691" i="50"/>
  <c r="F629" i="50"/>
  <c r="F707" i="50"/>
  <c r="F674" i="50"/>
  <c r="F517" i="50"/>
  <c r="F531" i="50"/>
  <c r="F575" i="50"/>
  <c r="F551" i="50"/>
  <c r="F650" i="50"/>
  <c r="F541" i="50"/>
  <c r="F631" i="50"/>
  <c r="F539" i="50"/>
  <c r="F617" i="50"/>
  <c r="F594" i="50"/>
  <c r="F648" i="50"/>
  <c r="F543" i="50"/>
  <c r="F554" i="50"/>
  <c r="F565" i="50"/>
  <c r="F706" i="50"/>
  <c r="F663" i="50"/>
  <c r="F681" i="50"/>
  <c r="F676" i="50"/>
  <c r="F573" i="50"/>
  <c r="F606" i="50"/>
  <c r="F647" i="50"/>
  <c r="F666" i="50"/>
  <c r="F660" i="50"/>
  <c r="F619" i="50"/>
  <c r="F529" i="50"/>
  <c r="F540" i="50"/>
  <c r="F688" i="50"/>
  <c r="F709" i="50"/>
  <c r="F643" i="50"/>
  <c r="F550" i="50"/>
  <c r="F693" i="50"/>
  <c r="F576" i="50"/>
  <c r="F564" i="50"/>
  <c r="F703" i="50"/>
  <c r="F672" i="50"/>
  <c r="F675" i="50"/>
  <c r="F595" i="50"/>
  <c r="R199" i="73"/>
  <c r="R205" i="73" s="1"/>
  <c r="R198" i="73"/>
  <c r="R204" i="73" s="1"/>
  <c r="R200" i="73"/>
  <c r="R206" i="73" s="1"/>
  <c r="R197" i="73"/>
  <c r="K74" i="53"/>
  <c r="J80" i="53"/>
  <c r="I98" i="44" s="1"/>
  <c r="I99" i="44" s="1"/>
  <c r="AP81" i="73"/>
  <c r="M33" i="36"/>
  <c r="M73" i="36" s="1"/>
  <c r="M74" i="36" s="1"/>
  <c r="M76" i="36" s="1"/>
  <c r="L73" i="36"/>
  <c r="L74" i="36" s="1"/>
  <c r="L76" i="36" s="1"/>
  <c r="V81" i="73"/>
  <c r="R194" i="73"/>
  <c r="I400" i="41"/>
  <c r="AF81" i="73"/>
  <c r="H216" i="73"/>
  <c r="M79" i="57" l="1"/>
  <c r="M78" i="57"/>
  <c r="M104" i="40"/>
  <c r="G197" i="73"/>
  <c r="G203" i="73" s="1"/>
  <c r="G200" i="73"/>
  <c r="G206" i="73" s="1"/>
  <c r="AP7" i="47"/>
  <c r="P154" i="73"/>
  <c r="P152" i="73"/>
  <c r="P153" i="73"/>
  <c r="L446" i="41"/>
  <c r="F105" i="38"/>
  <c r="I75" i="35"/>
  <c r="I82" i="35" s="1"/>
  <c r="J75" i="35"/>
  <c r="J83" i="35" s="1"/>
  <c r="M198" i="73"/>
  <c r="M204" i="73" s="1"/>
  <c r="M197" i="73"/>
  <c r="M203" i="73" s="1"/>
  <c r="M199" i="73"/>
  <c r="M205" i="73" s="1"/>
  <c r="M410" i="50"/>
  <c r="M483" i="50" s="1"/>
  <c r="M663" i="50" s="1"/>
  <c r="M668" i="50" s="1"/>
  <c r="I410" i="50"/>
  <c r="I483" i="50" s="1"/>
  <c r="I663" i="50" s="1"/>
  <c r="I668" i="50" s="1"/>
  <c r="G295" i="51"/>
  <c r="G315" i="51" s="1"/>
  <c r="G284" i="51"/>
  <c r="G412" i="51"/>
  <c r="G429" i="51" s="1"/>
  <c r="G465" i="51" s="1"/>
  <c r="G294" i="51"/>
  <c r="W199" i="73"/>
  <c r="W205" i="73" s="1"/>
  <c r="G93" i="38"/>
  <c r="J157" i="73"/>
  <c r="K157" i="73" s="1"/>
  <c r="K67" i="57"/>
  <c r="K52" i="57"/>
  <c r="K79" i="57" s="1"/>
  <c r="AQ197" i="73"/>
  <c r="AQ203" i="73" s="1"/>
  <c r="N199" i="73"/>
  <c r="N205" i="73" s="1"/>
  <c r="AQ198" i="73"/>
  <c r="AQ204" i="73" s="1"/>
  <c r="Z152" i="73"/>
  <c r="Z135" i="73"/>
  <c r="Z193" i="73" s="1"/>
  <c r="Z153" i="73"/>
  <c r="L410" i="50"/>
  <c r="L483" i="50" s="1"/>
  <c r="L663" i="50" s="1"/>
  <c r="L668" i="50" s="1"/>
  <c r="H80" i="57"/>
  <c r="I132" i="47"/>
  <c r="J79" i="39"/>
  <c r="K92" i="34"/>
  <c r="AQ199" i="73"/>
  <c r="AQ205" i="73" s="1"/>
  <c r="G687" i="75"/>
  <c r="G725" i="75" s="1"/>
  <c r="F456" i="41"/>
  <c r="H67" i="57"/>
  <c r="P254" i="74"/>
  <c r="AE687" i="75"/>
  <c r="AE725" i="75" s="1"/>
  <c r="P315" i="74"/>
  <c r="Y226" i="74"/>
  <c r="AH226" i="74" s="1"/>
  <c r="F446" i="41"/>
  <c r="AN136" i="73"/>
  <c r="AN137" i="73" s="1"/>
  <c r="AN198" i="73" s="1"/>
  <c r="AN204" i="73" s="1"/>
  <c r="M456" i="41"/>
  <c r="T136" i="73"/>
  <c r="T137" i="73" s="1"/>
  <c r="G113" i="40"/>
  <c r="AQ194" i="73"/>
  <c r="J156" i="73"/>
  <c r="K160" i="73" s="1"/>
  <c r="AN193" i="73"/>
  <c r="F1190" i="48"/>
  <c r="F1221" i="48" s="1"/>
  <c r="F1270" i="48" s="1"/>
  <c r="I177" i="73"/>
  <c r="I178" i="73" s="1"/>
  <c r="I179" i="73" s="1"/>
  <c r="I180" i="73" s="1"/>
  <c r="I182" i="73" s="1"/>
  <c r="X199" i="73"/>
  <c r="X205" i="73" s="1"/>
  <c r="I113" i="40"/>
  <c r="L113" i="40"/>
  <c r="M113" i="40"/>
  <c r="AQ200" i="73"/>
  <c r="AQ206" i="73" s="1"/>
  <c r="J134" i="47"/>
  <c r="AS13" i="47" s="1"/>
  <c r="AN190" i="73"/>
  <c r="AN192" i="73"/>
  <c r="J113" i="40"/>
  <c r="G526" i="48"/>
  <c r="K77" i="39"/>
  <c r="K76" i="39"/>
  <c r="K134" i="47" s="1"/>
  <c r="AT13" i="47" s="1"/>
  <c r="F100" i="40"/>
  <c r="F113" i="40" s="1"/>
  <c r="M78" i="39"/>
  <c r="I78" i="39"/>
  <c r="L78" i="39"/>
  <c r="F63" i="39"/>
  <c r="F78" i="39"/>
  <c r="H78" i="39"/>
  <c r="K104" i="40"/>
  <c r="K90" i="40"/>
  <c r="K113" i="40" s="1"/>
  <c r="L104" i="40"/>
  <c r="L112" i="40" s="1"/>
  <c r="H88" i="40"/>
  <c r="H89" i="40" s="1"/>
  <c r="H90" i="40" s="1"/>
  <c r="H113" i="40" s="1"/>
  <c r="H103" i="40"/>
  <c r="J104" i="40"/>
  <c r="J112" i="40" s="1"/>
  <c r="G104" i="40"/>
  <c r="I104" i="40"/>
  <c r="I112" i="40" s="1"/>
  <c r="M112" i="40"/>
  <c r="F104" i="40"/>
  <c r="X197" i="73"/>
  <c r="X203" i="73" s="1"/>
  <c r="X198" i="73"/>
  <c r="X204" i="73" s="1"/>
  <c r="M194" i="73"/>
  <c r="G436" i="41"/>
  <c r="W197" i="73"/>
  <c r="W203" i="73" s="1"/>
  <c r="Y711" i="75"/>
  <c r="Y714" i="75" s="1"/>
  <c r="X226" i="74"/>
  <c r="X232" i="74" s="1"/>
  <c r="X234" i="74" s="1"/>
  <c r="X238" i="74" s="1"/>
  <c r="X242" i="74" s="1"/>
  <c r="X311" i="74" s="1"/>
  <c r="X315" i="74" s="1"/>
  <c r="O254" i="74"/>
  <c r="M436" i="41"/>
  <c r="G456" i="41"/>
  <c r="AM198" i="73"/>
  <c r="AM204" i="73" s="1"/>
  <c r="U711" i="75"/>
  <c r="H436" i="41"/>
  <c r="T190" i="73"/>
  <c r="T193" i="73"/>
  <c r="V711" i="75"/>
  <c r="I200" i="73"/>
  <c r="I206" i="73" s="1"/>
  <c r="X200" i="73"/>
  <c r="X206" i="73" s="1"/>
  <c r="AP711" i="75"/>
  <c r="AP687" i="75"/>
  <c r="AP725" i="75" s="1"/>
  <c r="H446" i="41"/>
  <c r="Q711" i="75"/>
  <c r="K446" i="41"/>
  <c r="H58" i="57"/>
  <c r="K208" i="52"/>
  <c r="K246" i="52" s="1"/>
  <c r="W198" i="73"/>
  <c r="W204" i="73" s="1"/>
  <c r="S197" i="73"/>
  <c r="S203" i="73" s="1"/>
  <c r="H194" i="73"/>
  <c r="I86" i="37"/>
  <c r="K436" i="41"/>
  <c r="AM194" i="73"/>
  <c r="G199" i="73"/>
  <c r="G205" i="73" s="1"/>
  <c r="AM197" i="73"/>
  <c r="AM203" i="73" s="1"/>
  <c r="AO711" i="75"/>
  <c r="AO687" i="75"/>
  <c r="AO725" i="75" s="1"/>
  <c r="AR609" i="75"/>
  <c r="AR610" i="75" s="1"/>
  <c r="AR612" i="75" s="1"/>
  <c r="AR607" i="75"/>
  <c r="S194" i="73"/>
  <c r="AC200" i="73"/>
  <c r="AC206" i="73" s="1"/>
  <c r="AM200" i="73"/>
  <c r="AM206" i="73" s="1"/>
  <c r="L687" i="75"/>
  <c r="L725" i="75" s="1"/>
  <c r="AC194" i="73"/>
  <c r="L456" i="41"/>
  <c r="X194" i="73"/>
  <c r="O197" i="73"/>
  <c r="O203" i="73" s="1"/>
  <c r="AM199" i="73"/>
  <c r="AM205" i="73" s="1"/>
  <c r="K72" i="35"/>
  <c r="K73" i="35" s="1"/>
  <c r="L33" i="35"/>
  <c r="AC198" i="73"/>
  <c r="AC204" i="73" s="1"/>
  <c r="AQ711" i="75"/>
  <c r="AI711" i="75"/>
  <c r="AH687" i="75"/>
  <c r="AH725" i="75" s="1"/>
  <c r="AH711" i="75"/>
  <c r="AC711" i="75"/>
  <c r="AA711" i="75"/>
  <c r="W194" i="73"/>
  <c r="AG687" i="75"/>
  <c r="AG725" i="75" s="1"/>
  <c r="H202" i="52"/>
  <c r="AE190" i="73"/>
  <c r="AC199" i="73"/>
  <c r="AC205" i="73" s="1"/>
  <c r="X687" i="75"/>
  <c r="X725" i="75" s="1"/>
  <c r="Z687" i="75"/>
  <c r="Z725" i="75" s="1"/>
  <c r="AN687" i="75"/>
  <c r="AN725" i="75" s="1"/>
  <c r="AD194" i="73"/>
  <c r="G194" i="73"/>
  <c r="W200" i="73"/>
  <c r="W206" i="73" s="1"/>
  <c r="S198" i="73"/>
  <c r="S204" i="73" s="1"/>
  <c r="K687" i="75"/>
  <c r="K725" i="75" s="1"/>
  <c r="K726" i="75" s="1"/>
  <c r="K711" i="75"/>
  <c r="AC197" i="73"/>
  <c r="AC203" i="73" s="1"/>
  <c r="AR714" i="75"/>
  <c r="AR613" i="75"/>
  <c r="AR651" i="75" s="1"/>
  <c r="T192" i="73"/>
  <c r="I687" i="75"/>
  <c r="I725" i="75" s="1"/>
  <c r="AR687" i="75"/>
  <c r="AR725" i="75" s="1"/>
  <c r="AI191" i="73"/>
  <c r="I194" i="73"/>
  <c r="N198" i="73"/>
  <c r="N204" i="73" s="1"/>
  <c r="S200" i="73"/>
  <c r="S206" i="73" s="1"/>
  <c r="AA712" i="75"/>
  <c r="AL711" i="75"/>
  <c r="J711" i="75"/>
  <c r="AM711" i="75"/>
  <c r="AI193" i="73"/>
  <c r="AG554" i="75"/>
  <c r="AG668" i="75" s="1"/>
  <c r="AG670" i="75" s="1"/>
  <c r="AG724" i="75" s="1"/>
  <c r="N194" i="73"/>
  <c r="S711" i="75"/>
  <c r="I197" i="73"/>
  <c r="I203" i="73" s="1"/>
  <c r="S199" i="73"/>
  <c r="S205" i="73" s="1"/>
  <c r="O198" i="73"/>
  <c r="O204" i="73" s="1"/>
  <c r="N197" i="73"/>
  <c r="N203" i="73" s="1"/>
  <c r="AI190" i="73"/>
  <c r="AI136" i="73"/>
  <c r="AI137" i="73" s="1"/>
  <c r="AI199" i="73" s="1"/>
  <c r="AI205" i="73" s="1"/>
  <c r="O199" i="73"/>
  <c r="O205" i="73" s="1"/>
  <c r="H208" i="52"/>
  <c r="G198" i="73"/>
  <c r="G204" i="73" s="1"/>
  <c r="AJ153" i="73"/>
  <c r="AE193" i="73"/>
  <c r="AE200" i="73" s="1"/>
  <c r="AE206" i="73" s="1"/>
  <c r="AE192" i="73"/>
  <c r="AE199" i="73" s="1"/>
  <c r="AE205" i="73" s="1"/>
  <c r="K158" i="73"/>
  <c r="L162" i="73" s="1"/>
  <c r="I199" i="73"/>
  <c r="I205" i="73" s="1"/>
  <c r="AD687" i="75"/>
  <c r="AD725" i="75" s="1"/>
  <c r="R670" i="75"/>
  <c r="R724" i="75" s="1"/>
  <c r="AB687" i="75"/>
  <c r="AB725" i="75" s="1"/>
  <c r="AD198" i="73"/>
  <c r="AD204" i="73" s="1"/>
  <c r="I198" i="73"/>
  <c r="I204" i="73" s="1"/>
  <c r="M711" i="75"/>
  <c r="AD197" i="73"/>
  <c r="AD203" i="73" s="1"/>
  <c r="N200" i="73"/>
  <c r="N206" i="73" s="1"/>
  <c r="N670" i="75"/>
  <c r="N724" i="75" s="1"/>
  <c r="H687" i="75"/>
  <c r="H725" i="75" s="1"/>
  <c r="H711" i="75"/>
  <c r="N607" i="75"/>
  <c r="N609" i="75"/>
  <c r="N610" i="75" s="1"/>
  <c r="N612" i="75" s="1"/>
  <c r="AK152" i="73"/>
  <c r="AK153" i="73"/>
  <c r="AK154" i="73"/>
  <c r="V226" i="74"/>
  <c r="AD199" i="73"/>
  <c r="AK687" i="75"/>
  <c r="AK725" i="75" s="1"/>
  <c r="AF711" i="75"/>
  <c r="K242" i="74"/>
  <c r="K311" i="74" s="1"/>
  <c r="K315" i="74" s="1"/>
  <c r="AO152" i="73"/>
  <c r="AO154" i="73"/>
  <c r="AO153" i="73"/>
  <c r="L315" i="74"/>
  <c r="T226" i="74"/>
  <c r="AC226" i="74" s="1"/>
  <c r="N242" i="74"/>
  <c r="N311" i="74" s="1"/>
  <c r="N315" i="74" s="1"/>
  <c r="AP154" i="73"/>
  <c r="AP153" i="73"/>
  <c r="AP152" i="73"/>
  <c r="G517" i="51"/>
  <c r="G527" i="51" s="1"/>
  <c r="G546" i="51" s="1"/>
  <c r="U226" i="74"/>
  <c r="U232" i="74" s="1"/>
  <c r="U234" i="74" s="1"/>
  <c r="U238" i="74" s="1"/>
  <c r="U254" i="74" s="1"/>
  <c r="L254" i="74"/>
  <c r="AJ152" i="73"/>
  <c r="AJ154" i="73"/>
  <c r="AO135" i="73"/>
  <c r="AS676" i="75"/>
  <c r="H521" i="51"/>
  <c r="F622" i="48"/>
  <c r="F769" i="48" s="1"/>
  <c r="F195" i="49"/>
  <c r="F153" i="49"/>
  <c r="F175" i="49"/>
  <c r="F176" i="49"/>
  <c r="F222" i="49" s="1"/>
  <c r="F244" i="49" s="1"/>
  <c r="F197" i="49"/>
  <c r="F288" i="49" s="1"/>
  <c r="F183" i="49"/>
  <c r="F229" i="49" s="1"/>
  <c r="F296" i="49" s="1"/>
  <c r="F154" i="49"/>
  <c r="F192" i="49"/>
  <c r="F290" i="49" s="1"/>
  <c r="F196" i="49"/>
  <c r="F191" i="49"/>
  <c r="F286" i="49" s="1"/>
  <c r="F178" i="49"/>
  <c r="F224" i="49" s="1"/>
  <c r="F246" i="49" s="1"/>
  <c r="F181" i="49"/>
  <c r="F227" i="49" s="1"/>
  <c r="F249" i="49" s="1"/>
  <c r="T687" i="75"/>
  <c r="T725" i="75" s="1"/>
  <c r="T711" i="75"/>
  <c r="R711" i="75"/>
  <c r="R714" i="75" s="1"/>
  <c r="R687" i="75"/>
  <c r="R725" i="75" s="1"/>
  <c r="W711" i="75"/>
  <c r="W687" i="75"/>
  <c r="W725" i="75" s="1"/>
  <c r="O687" i="75"/>
  <c r="O725" i="75" s="1"/>
  <c r="O711" i="75"/>
  <c r="AE191" i="73"/>
  <c r="AE198" i="73" s="1"/>
  <c r="AE204" i="73" s="1"/>
  <c r="F624" i="48"/>
  <c r="F773" i="48" s="1"/>
  <c r="Y670" i="75"/>
  <c r="Y724" i="75" s="1"/>
  <c r="Y726" i="75" s="1"/>
  <c r="F112" i="44"/>
  <c r="S226" i="74"/>
  <c r="S232" i="74" s="1"/>
  <c r="S234" i="74" s="1"/>
  <c r="S238" i="74" s="1"/>
  <c r="S242" i="74" s="1"/>
  <c r="S311" i="74" s="1"/>
  <c r="S315" i="74" s="1"/>
  <c r="O194" i="73"/>
  <c r="T652" i="75"/>
  <c r="T636" i="75"/>
  <c r="T640" i="75" s="1"/>
  <c r="AN652" i="75"/>
  <c r="AN636" i="75"/>
  <c r="AN640" i="75" s="1"/>
  <c r="M613" i="75"/>
  <c r="M651" i="75" s="1"/>
  <c r="M607" i="75"/>
  <c r="F177" i="49"/>
  <c r="F223" i="49" s="1"/>
  <c r="F245" i="49" s="1"/>
  <c r="F193" i="49"/>
  <c r="F182" i="49"/>
  <c r="F174" i="49"/>
  <c r="F220" i="49" s="1"/>
  <c r="F190" i="49"/>
  <c r="N613" i="75"/>
  <c r="N618" i="75" s="1"/>
  <c r="N687" i="75"/>
  <c r="N725" i="75" s="1"/>
  <c r="P687" i="75"/>
  <c r="P725" i="75" s="1"/>
  <c r="T609" i="75"/>
  <c r="T610" i="75" s="1"/>
  <c r="T612" i="75" s="1"/>
  <c r="AC726" i="75"/>
  <c r="I116" i="44"/>
  <c r="I117" i="44"/>
  <c r="I15" i="49" s="1"/>
  <c r="I27" i="49" s="1"/>
  <c r="I118" i="44"/>
  <c r="I19" i="49" s="1"/>
  <c r="I32" i="49" s="1"/>
  <c r="F194" i="49"/>
  <c r="F189" i="49"/>
  <c r="F289" i="49" s="1"/>
  <c r="F179" i="49"/>
  <c r="F225" i="49" s="1"/>
  <c r="F247" i="49" s="1"/>
  <c r="F180" i="49"/>
  <c r="F226" i="49" s="1"/>
  <c r="F258" i="49" s="1"/>
  <c r="F161" i="49"/>
  <c r="F162" i="49" s="1"/>
  <c r="G116" i="44"/>
  <c r="G117" i="44"/>
  <c r="G15" i="49" s="1"/>
  <c r="G27" i="49" s="1"/>
  <c r="G118" i="44"/>
  <c r="G19" i="49" s="1"/>
  <c r="G32" i="49" s="1"/>
  <c r="T618" i="75"/>
  <c r="Y607" i="75"/>
  <c r="Y613" i="75"/>
  <c r="Y618" i="75" s="1"/>
  <c r="F83" i="35"/>
  <c r="F82" i="35"/>
  <c r="L135" i="73"/>
  <c r="L192" i="73" s="1"/>
  <c r="S554" i="75"/>
  <c r="S668" i="75" s="1"/>
  <c r="S670" i="75" s="1"/>
  <c r="S724" i="75" s="1"/>
  <c r="S726" i="75" s="1"/>
  <c r="AC712" i="75"/>
  <c r="T607" i="75"/>
  <c r="M609" i="75"/>
  <c r="M610" i="75" s="1"/>
  <c r="M612" i="75" s="1"/>
  <c r="AA651" i="75"/>
  <c r="H207" i="73"/>
  <c r="H209" i="73" s="1"/>
  <c r="H225" i="73" s="1"/>
  <c r="H271" i="73" s="1"/>
  <c r="V152" i="73"/>
  <c r="V154" i="73"/>
  <c r="V153" i="73"/>
  <c r="M726" i="75"/>
  <c r="U154" i="73"/>
  <c r="U152" i="73"/>
  <c r="U153" i="73"/>
  <c r="U135" i="73"/>
  <c r="U190" i="73" s="1"/>
  <c r="H554" i="75"/>
  <c r="H668" i="75" s="1"/>
  <c r="AF554" i="75"/>
  <c r="AF668" i="75" s="1"/>
  <c r="N714" i="75"/>
  <c r="M242" i="74"/>
  <c r="M311" i="74" s="1"/>
  <c r="M315" i="74" s="1"/>
  <c r="M254" i="74"/>
  <c r="K453" i="51"/>
  <c r="F517" i="51"/>
  <c r="AA609" i="75"/>
  <c r="AA610" i="75" s="1"/>
  <c r="AA612" i="75" s="1"/>
  <c r="H201" i="73"/>
  <c r="H221" i="73" s="1"/>
  <c r="H222" i="73" s="1"/>
  <c r="H264" i="73" s="1"/>
  <c r="AL554" i="75"/>
  <c r="AL668" i="75" s="1"/>
  <c r="AL712" i="75" s="1"/>
  <c r="L554" i="75"/>
  <c r="L668" i="75" s="1"/>
  <c r="M517" i="51"/>
  <c r="AA607" i="75"/>
  <c r="G208" i="52"/>
  <c r="G246" i="52" s="1"/>
  <c r="M521" i="51"/>
  <c r="M534" i="51" s="1"/>
  <c r="M578" i="51" s="1"/>
  <c r="Z554" i="75"/>
  <c r="Z668" i="75" s="1"/>
  <c r="Z712" i="75" s="1"/>
  <c r="Z714" i="75" s="1"/>
  <c r="AE609" i="75"/>
  <c r="AE610" i="75" s="1"/>
  <c r="AE612" i="75" s="1"/>
  <c r="AE607" i="75"/>
  <c r="R609" i="75"/>
  <c r="R610" i="75" s="1"/>
  <c r="R612" i="75" s="1"/>
  <c r="R613" i="75"/>
  <c r="R618" i="75" s="1"/>
  <c r="U618" i="75"/>
  <c r="U615" i="75"/>
  <c r="J163" i="73"/>
  <c r="J164" i="73" s="1"/>
  <c r="J177" i="73" s="1"/>
  <c r="J178" i="73" s="1"/>
  <c r="J179" i="73" s="1"/>
  <c r="J180" i="73" s="1"/>
  <c r="J182" i="73" s="1"/>
  <c r="G453" i="51"/>
  <c r="G535" i="51" s="1"/>
  <c r="G579" i="51" s="1"/>
  <c r="L613" i="75"/>
  <c r="L615" i="75" s="1"/>
  <c r="G554" i="75"/>
  <c r="G668" i="75" s="1"/>
  <c r="G670" i="75" s="1"/>
  <c r="G724" i="75" s="1"/>
  <c r="K712" i="75"/>
  <c r="W226" i="74"/>
  <c r="W232" i="74" s="1"/>
  <c r="W234" i="74" s="1"/>
  <c r="W238" i="74" s="1"/>
  <c r="W242" i="74" s="1"/>
  <c r="W311" i="74" s="1"/>
  <c r="W315" i="74" s="1"/>
  <c r="Y609" i="75"/>
  <c r="Y610" i="75" s="1"/>
  <c r="Y612" i="75" s="1"/>
  <c r="F619" i="48"/>
  <c r="F632" i="48" s="1"/>
  <c r="I554" i="75"/>
  <c r="I668" i="75" s="1"/>
  <c r="AB554" i="75"/>
  <c r="AB668" i="75" s="1"/>
  <c r="AB712" i="75" s="1"/>
  <c r="AB714" i="75" s="1"/>
  <c r="P136" i="73"/>
  <c r="P137" i="73" s="1"/>
  <c r="P198" i="73" s="1"/>
  <c r="P204" i="73" s="1"/>
  <c r="J517" i="51"/>
  <c r="J527" i="51" s="1"/>
  <c r="J552" i="51" s="1"/>
  <c r="L521" i="51"/>
  <c r="L607" i="75"/>
  <c r="J232" i="74"/>
  <c r="J234" i="74" s="1"/>
  <c r="J238" i="74" s="1"/>
  <c r="J242" i="74" s="1"/>
  <c r="J311" i="74" s="1"/>
  <c r="J315" i="74" s="1"/>
  <c r="P554" i="75"/>
  <c r="P668" i="75" s="1"/>
  <c r="AR670" i="75"/>
  <c r="AR724" i="75" s="1"/>
  <c r="I453" i="51"/>
  <c r="I521" i="51"/>
  <c r="I527" i="51" s="1"/>
  <c r="I552" i="51" s="1"/>
  <c r="V554" i="75"/>
  <c r="V668" i="75" s="1"/>
  <c r="V712" i="75" s="1"/>
  <c r="AP554" i="75"/>
  <c r="AP668" i="75" s="1"/>
  <c r="AP712" i="75" s="1"/>
  <c r="Q554" i="75"/>
  <c r="Q668" i="75" s="1"/>
  <c r="Q670" i="75" s="1"/>
  <c r="Q724" i="75" s="1"/>
  <c r="Q726" i="75" s="1"/>
  <c r="G52" i="57"/>
  <c r="G55" i="57"/>
  <c r="G57" i="57" s="1"/>
  <c r="L52" i="57"/>
  <c r="L55" i="57"/>
  <c r="L57" i="57" s="1"/>
  <c r="K107" i="36"/>
  <c r="H517" i="51"/>
  <c r="L453" i="51"/>
  <c r="H79" i="53"/>
  <c r="H92" i="53" s="1"/>
  <c r="H17" i="3" s="1"/>
  <c r="G22" i="48" s="1"/>
  <c r="G528" i="48" s="1"/>
  <c r="I82" i="36"/>
  <c r="AE670" i="75"/>
  <c r="AE724" i="75" s="1"/>
  <c r="K209" i="52"/>
  <c r="K247" i="52" s="1"/>
  <c r="X712" i="75"/>
  <c r="X714" i="75" s="1"/>
  <c r="X670" i="75"/>
  <c r="X724" i="75" s="1"/>
  <c r="AL607" i="75"/>
  <c r="AL613" i="75"/>
  <c r="AL618" i="75" s="1"/>
  <c r="AL609" i="75"/>
  <c r="AL610" i="75" s="1"/>
  <c r="AL612" i="75" s="1"/>
  <c r="AK554" i="75"/>
  <c r="AK668" i="75" s="1"/>
  <c r="AK712" i="75" s="1"/>
  <c r="AK714" i="75" s="1"/>
  <c r="I107" i="36"/>
  <c r="I106" i="36"/>
  <c r="G117" i="36"/>
  <c r="G82" i="36"/>
  <c r="J453" i="51"/>
  <c r="J535" i="51" s="1"/>
  <c r="J579" i="51" s="1"/>
  <c r="H82" i="36"/>
  <c r="R607" i="75"/>
  <c r="AN554" i="75"/>
  <c r="AN668" i="75" s="1"/>
  <c r="AN670" i="75" s="1"/>
  <c r="AN724" i="75" s="1"/>
  <c r="W554" i="75"/>
  <c r="W668" i="75" s="1"/>
  <c r="W712" i="75" s="1"/>
  <c r="G84" i="35"/>
  <c r="G130" i="47"/>
  <c r="G209" i="52"/>
  <c r="G247" i="52" s="1"/>
  <c r="AM554" i="75"/>
  <c r="AM668" i="75" s="1"/>
  <c r="AD554" i="75"/>
  <c r="AD668" i="75" s="1"/>
  <c r="AD712" i="75" s="1"/>
  <c r="AD714" i="75" s="1"/>
  <c r="J554" i="75"/>
  <c r="J668" i="75" s="1"/>
  <c r="J712" i="75" s="1"/>
  <c r="G107" i="36"/>
  <c r="G106" i="36"/>
  <c r="J613" i="75"/>
  <c r="J651" i="75" s="1"/>
  <c r="F40" i="77" s="1"/>
  <c r="F70" i="77" s="1"/>
  <c r="J609" i="75"/>
  <c r="J610" i="75" s="1"/>
  <c r="J612" i="75" s="1"/>
  <c r="J607" i="75"/>
  <c r="U712" i="75"/>
  <c r="U670" i="75"/>
  <c r="U724" i="75" s="1"/>
  <c r="U726" i="75" s="1"/>
  <c r="AG613" i="75"/>
  <c r="AG607" i="75"/>
  <c r="AG609" i="75"/>
  <c r="AG610" i="75" s="1"/>
  <c r="AG612" i="75" s="1"/>
  <c r="AP613" i="75"/>
  <c r="AP651" i="75" s="1"/>
  <c r="AP607" i="75"/>
  <c r="AP609" i="75"/>
  <c r="AP610" i="75" s="1"/>
  <c r="AP612" i="75" s="1"/>
  <c r="V607" i="75"/>
  <c r="V613" i="75"/>
  <c r="V615" i="75" s="1"/>
  <c r="V609" i="75"/>
  <c r="V610" i="75" s="1"/>
  <c r="V612" i="75" s="1"/>
  <c r="AC607" i="75"/>
  <c r="AC613" i="75"/>
  <c r="AC609" i="75"/>
  <c r="AC610" i="75" s="1"/>
  <c r="AC612" i="75" s="1"/>
  <c r="AM613" i="75"/>
  <c r="AM651" i="75" s="1"/>
  <c r="AM609" i="75"/>
  <c r="AM610" i="75" s="1"/>
  <c r="AM612" i="75" s="1"/>
  <c r="AM607" i="75"/>
  <c r="K521" i="51"/>
  <c r="L209" i="52"/>
  <c r="L247" i="52" s="1"/>
  <c r="M98" i="38"/>
  <c r="J107" i="36"/>
  <c r="J106" i="36"/>
  <c r="J82" i="36"/>
  <c r="J117" i="36"/>
  <c r="AI609" i="75"/>
  <c r="AI610" i="75" s="1"/>
  <c r="AI612" i="75" s="1"/>
  <c r="AI607" i="75"/>
  <c r="AI613" i="75"/>
  <c r="P609" i="75"/>
  <c r="P610" i="75" s="1"/>
  <c r="P612" i="75" s="1"/>
  <c r="P607" i="75"/>
  <c r="P613" i="75"/>
  <c r="F52" i="57"/>
  <c r="F55" i="57"/>
  <c r="F57" i="57" s="1"/>
  <c r="Q613" i="75"/>
  <c r="Q609" i="75"/>
  <c r="Q610" i="75" s="1"/>
  <c r="Q612" i="75" s="1"/>
  <c r="Q607" i="75"/>
  <c r="M68" i="39"/>
  <c r="M69" i="39" s="1"/>
  <c r="U651" i="75"/>
  <c r="F533" i="48"/>
  <c r="F620" i="48"/>
  <c r="F521" i="51"/>
  <c r="F532" i="51" s="1"/>
  <c r="F576" i="51" s="1"/>
  <c r="AH194" i="73"/>
  <c r="M712" i="75"/>
  <c r="G607" i="75"/>
  <c r="G609" i="75"/>
  <c r="G610" i="75" s="1"/>
  <c r="G612" i="75" s="1"/>
  <c r="G613" i="75"/>
  <c r="J55" i="57"/>
  <c r="J57" i="57" s="1"/>
  <c r="J52" i="57"/>
  <c r="AH607" i="75"/>
  <c r="AH613" i="75"/>
  <c r="AH651" i="75" s="1"/>
  <c r="AH609" i="75"/>
  <c r="AH610" i="75" s="1"/>
  <c r="AH612" i="75" s="1"/>
  <c r="AB607" i="75"/>
  <c r="AB613" i="75"/>
  <c r="AN609" i="75"/>
  <c r="AN610" i="75" s="1"/>
  <c r="AN612" i="75" s="1"/>
  <c r="AN607" i="75"/>
  <c r="AN613" i="75"/>
  <c r="AH554" i="75"/>
  <c r="AH668" i="75" s="1"/>
  <c r="AO607" i="75"/>
  <c r="AO613" i="75"/>
  <c r="AO651" i="75" s="1"/>
  <c r="AO609" i="75"/>
  <c r="AO610" i="75" s="1"/>
  <c r="AO612" i="75" s="1"/>
  <c r="AI554" i="75"/>
  <c r="AI668" i="75" s="1"/>
  <c r="K68" i="39"/>
  <c r="K69" i="39" s="1"/>
  <c r="G69" i="39"/>
  <c r="AS554" i="75"/>
  <c r="AS668" i="75" s="1"/>
  <c r="Z609" i="75"/>
  <c r="Z610" i="75" s="1"/>
  <c r="Z612" i="75" s="1"/>
  <c r="Z613" i="75"/>
  <c r="Z651" i="75" s="1"/>
  <c r="Z607" i="75"/>
  <c r="AD607" i="75"/>
  <c r="AD613" i="75"/>
  <c r="AD609" i="75"/>
  <c r="AD610" i="75" s="1"/>
  <c r="AD612" i="75" s="1"/>
  <c r="X613" i="75"/>
  <c r="X609" i="75"/>
  <c r="X610" i="75" s="1"/>
  <c r="X612" i="75" s="1"/>
  <c r="X607" i="75"/>
  <c r="U609" i="75"/>
  <c r="U610" i="75" s="1"/>
  <c r="U612" i="75" s="1"/>
  <c r="U607" i="75"/>
  <c r="F621" i="48"/>
  <c r="F746" i="48" s="1"/>
  <c r="L69" i="39"/>
  <c r="J209" i="52"/>
  <c r="J247" i="52" s="1"/>
  <c r="AE613" i="75"/>
  <c r="M209" i="52"/>
  <c r="M247" i="52" s="1"/>
  <c r="AF613" i="75"/>
  <c r="AF607" i="75"/>
  <c r="AF609" i="75"/>
  <c r="AF610" i="75" s="1"/>
  <c r="AF612" i="75" s="1"/>
  <c r="G85" i="37"/>
  <c r="G84" i="37"/>
  <c r="M117" i="36"/>
  <c r="M82" i="36"/>
  <c r="AK609" i="75"/>
  <c r="AK610" i="75" s="1"/>
  <c r="AK612" i="75" s="1"/>
  <c r="AK613" i="75"/>
  <c r="AK607" i="75"/>
  <c r="AO554" i="75"/>
  <c r="AO668" i="75" s="1"/>
  <c r="J69" i="39"/>
  <c r="I69" i="39"/>
  <c r="W609" i="75"/>
  <c r="W610" i="75" s="1"/>
  <c r="W612" i="75" s="1"/>
  <c r="W613" i="75"/>
  <c r="W607" i="75"/>
  <c r="AS609" i="75"/>
  <c r="AS610" i="75" s="1"/>
  <c r="AS612" i="75" s="1"/>
  <c r="AS613" i="75"/>
  <c r="AS607" i="75"/>
  <c r="G60" i="57"/>
  <c r="I93" i="53"/>
  <c r="I18" i="3" s="1"/>
  <c r="H23" i="48" s="1"/>
  <c r="H98" i="44"/>
  <c r="H99" i="44" s="1"/>
  <c r="L599" i="50"/>
  <c r="L533" i="50"/>
  <c r="L535" i="50" s="1"/>
  <c r="L588" i="50"/>
  <c r="L591" i="50" s="1"/>
  <c r="L653" i="50"/>
  <c r="L722" i="50" s="1"/>
  <c r="L733" i="50" s="1"/>
  <c r="L747" i="50" s="1"/>
  <c r="L789" i="50" s="1"/>
  <c r="L522" i="50"/>
  <c r="L524" i="50" s="1"/>
  <c r="L544" i="50"/>
  <c r="L546" i="50" s="1"/>
  <c r="L710" i="50"/>
  <c r="L721" i="50"/>
  <c r="L732" i="50" s="1"/>
  <c r="L746" i="50" s="1"/>
  <c r="L774" i="50" s="1"/>
  <c r="L697" i="50"/>
  <c r="L566" i="50"/>
  <c r="L569" i="50" s="1"/>
  <c r="L621" i="50"/>
  <c r="L622" i="50" s="1"/>
  <c r="L555" i="50"/>
  <c r="L558" i="50" s="1"/>
  <c r="L632" i="50"/>
  <c r="L635" i="50" s="1"/>
  <c r="L577" i="50"/>
  <c r="L580" i="50" s="1"/>
  <c r="L610" i="50"/>
  <c r="L612" i="50" s="1"/>
  <c r="L720" i="50"/>
  <c r="L731" i="50" s="1"/>
  <c r="L745" i="50" s="1"/>
  <c r="L767" i="50" s="1"/>
  <c r="L682" i="50"/>
  <c r="L724" i="50" s="1"/>
  <c r="L735" i="50" s="1"/>
  <c r="L749" i="50" s="1"/>
  <c r="L793" i="50" s="1"/>
  <c r="I566" i="50"/>
  <c r="I568" i="50" s="1"/>
  <c r="G537" i="48"/>
  <c r="G538" i="48" s="1"/>
  <c r="G605" i="48"/>
  <c r="I78" i="53"/>
  <c r="I91" i="53" s="1"/>
  <c r="I16" i="3" s="1"/>
  <c r="H21" i="48" s="1"/>
  <c r="H527" i="48" s="1"/>
  <c r="H537" i="48" s="1"/>
  <c r="G720" i="50"/>
  <c r="G731" i="50" s="1"/>
  <c r="G745" i="50" s="1"/>
  <c r="G767" i="50" s="1"/>
  <c r="H566" i="50"/>
  <c r="H569" i="50" s="1"/>
  <c r="M621" i="50"/>
  <c r="M624" i="50" s="1"/>
  <c r="M721" i="50"/>
  <c r="M732" i="50" s="1"/>
  <c r="M746" i="50" s="1"/>
  <c r="M774" i="50" s="1"/>
  <c r="K621" i="50"/>
  <c r="K622" i="50" s="1"/>
  <c r="M107" i="38"/>
  <c r="M105" i="38"/>
  <c r="P193" i="73"/>
  <c r="AA615" i="75"/>
  <c r="F362" i="51"/>
  <c r="F379" i="51" s="1"/>
  <c r="F358" i="51"/>
  <c r="F375" i="51" s="1"/>
  <c r="F359" i="51"/>
  <c r="F376" i="51" s="1"/>
  <c r="F471" i="51" s="1"/>
  <c r="F363" i="51"/>
  <c r="F380" i="51" s="1"/>
  <c r="F360" i="51"/>
  <c r="F377" i="51" s="1"/>
  <c r="F364" i="51"/>
  <c r="F381" i="51" s="1"/>
  <c r="F489" i="51" s="1"/>
  <c r="F361" i="51"/>
  <c r="F378" i="51" s="1"/>
  <c r="F365" i="51"/>
  <c r="F382" i="51" s="1"/>
  <c r="F505" i="51" s="1"/>
  <c r="F516" i="51" s="1"/>
  <c r="G202" i="52"/>
  <c r="L81" i="73"/>
  <c r="L152" i="73"/>
  <c r="K202" i="52"/>
  <c r="AA192" i="73"/>
  <c r="AA193" i="73"/>
  <c r="L97" i="38"/>
  <c r="L98" i="38" s="1"/>
  <c r="I98" i="38"/>
  <c r="J98" i="38"/>
  <c r="T615" i="75"/>
  <c r="P190" i="73"/>
  <c r="AA618" i="75"/>
  <c r="I209" i="52"/>
  <c r="I247" i="52" s="1"/>
  <c r="I254" i="74"/>
  <c r="I242" i="74"/>
  <c r="I311" i="74" s="1"/>
  <c r="I315" i="74" s="1"/>
  <c r="G98" i="38"/>
  <c r="Q153" i="73"/>
  <c r="Q81" i="73"/>
  <c r="R226" i="74"/>
  <c r="AK81" i="73"/>
  <c r="AK135" i="73"/>
  <c r="F202" i="52"/>
  <c r="F208" i="52"/>
  <c r="F246" i="52" s="1"/>
  <c r="AA191" i="73"/>
  <c r="I107" i="38"/>
  <c r="I105" i="38"/>
  <c r="H242" i="74"/>
  <c r="H311" i="74" s="1"/>
  <c r="H315" i="74" s="1"/>
  <c r="H254" i="74"/>
  <c r="H240" i="74"/>
  <c r="G105" i="38"/>
  <c r="G107" i="38"/>
  <c r="F23" i="48"/>
  <c r="F60" i="57"/>
  <c r="F61" i="57"/>
  <c r="K97" i="38"/>
  <c r="K98" i="38" s="1"/>
  <c r="H98" i="38"/>
  <c r="Q226" i="74"/>
  <c r="P192" i="73"/>
  <c r="G682" i="50"/>
  <c r="G724" i="50" s="1"/>
  <c r="G735" i="50" s="1"/>
  <c r="G749" i="50" s="1"/>
  <c r="G793" i="50" s="1"/>
  <c r="G697" i="50"/>
  <c r="G533" i="50"/>
  <c r="G536" i="50" s="1"/>
  <c r="G710" i="50"/>
  <c r="G364" i="51"/>
  <c r="G381" i="51" s="1"/>
  <c r="G489" i="51" s="1"/>
  <c r="AJ191" i="73"/>
  <c r="AJ198" i="73" s="1"/>
  <c r="AJ204" i="73" s="1"/>
  <c r="AJ192" i="73"/>
  <c r="AJ199" i="73" s="1"/>
  <c r="AJ205" i="73" s="1"/>
  <c r="AJ190" i="73"/>
  <c r="AJ197" i="73" s="1"/>
  <c r="AJ193" i="73"/>
  <c r="AJ200" i="73" s="1"/>
  <c r="AJ206" i="73" s="1"/>
  <c r="T670" i="75"/>
  <c r="T724" i="75" s="1"/>
  <c r="T712" i="75"/>
  <c r="H107" i="38"/>
  <c r="H105" i="38"/>
  <c r="F209" i="52"/>
  <c r="F247" i="52" s="1"/>
  <c r="AA136" i="73"/>
  <c r="AA137" i="73" s="1"/>
  <c r="L107" i="38"/>
  <c r="L105" i="38"/>
  <c r="Q135" i="73"/>
  <c r="G79" i="53"/>
  <c r="G92" i="53" s="1"/>
  <c r="G17" i="3" s="1"/>
  <c r="F22" i="48" s="1"/>
  <c r="F528" i="48" s="1"/>
  <c r="K107" i="38"/>
  <c r="K105" i="38"/>
  <c r="H84" i="37"/>
  <c r="H85" i="37"/>
  <c r="J84" i="37"/>
  <c r="J85" i="37"/>
  <c r="M132" i="47"/>
  <c r="M86" i="37"/>
  <c r="G90" i="34"/>
  <c r="J129" i="47"/>
  <c r="AS8" i="47" s="1"/>
  <c r="J91" i="34"/>
  <c r="L90" i="34"/>
  <c r="H90" i="34"/>
  <c r="F90" i="34"/>
  <c r="G358" i="51"/>
  <c r="G375" i="51" s="1"/>
  <c r="G418" i="51"/>
  <c r="G435" i="51" s="1"/>
  <c r="G498" i="51" s="1"/>
  <c r="G290" i="51"/>
  <c r="G320" i="51" s="1"/>
  <c r="G289" i="51"/>
  <c r="G319" i="51" s="1"/>
  <c r="G417" i="51"/>
  <c r="G434" i="51" s="1"/>
  <c r="G363" i="51"/>
  <c r="G380" i="51" s="1"/>
  <c r="G288" i="51"/>
  <c r="G318" i="51" s="1"/>
  <c r="G416" i="51"/>
  <c r="G433" i="51" s="1"/>
  <c r="G362" i="51"/>
  <c r="G379" i="51" s="1"/>
  <c r="G291" i="51"/>
  <c r="G321" i="51" s="1"/>
  <c r="G419" i="51"/>
  <c r="G436" i="51" s="1"/>
  <c r="G508" i="51" s="1"/>
  <c r="G365" i="51"/>
  <c r="G382" i="51" s="1"/>
  <c r="G505" i="51" s="1"/>
  <c r="G286" i="51"/>
  <c r="G316" i="51" s="1"/>
  <c r="G414" i="51"/>
  <c r="G431" i="51" s="1"/>
  <c r="G360" i="51"/>
  <c r="G377" i="51" s="1"/>
  <c r="G287" i="51"/>
  <c r="G317" i="51" s="1"/>
  <c r="G415" i="51"/>
  <c r="G432" i="51" s="1"/>
  <c r="G361" i="51"/>
  <c r="G378" i="51" s="1"/>
  <c r="H491" i="51"/>
  <c r="H474" i="51"/>
  <c r="F491" i="51"/>
  <c r="F474" i="51"/>
  <c r="M474" i="51"/>
  <c r="M491" i="51"/>
  <c r="AG199" i="73"/>
  <c r="AG205" i="73" s="1"/>
  <c r="AG197" i="73"/>
  <c r="AG198" i="73"/>
  <c r="AG204" i="73" s="1"/>
  <c r="AG200" i="73"/>
  <c r="AG206" i="73" s="1"/>
  <c r="Y200" i="73"/>
  <c r="Y206" i="73" s="1"/>
  <c r="Y199" i="73"/>
  <c r="Y205" i="73" s="1"/>
  <c r="Y197" i="73"/>
  <c r="Y198" i="73"/>
  <c r="Y204" i="73" s="1"/>
  <c r="K613" i="75"/>
  <c r="K607" i="75"/>
  <c r="K609" i="75"/>
  <c r="K610" i="75" s="1"/>
  <c r="K612" i="75" s="1"/>
  <c r="K82" i="36"/>
  <c r="K117" i="36"/>
  <c r="L82" i="36"/>
  <c r="AH640" i="75"/>
  <c r="M208" i="52"/>
  <c r="M246" i="52" s="1"/>
  <c r="M202" i="52"/>
  <c r="AJ607" i="75"/>
  <c r="AJ609" i="75"/>
  <c r="AJ610" i="75" s="1"/>
  <c r="AJ612" i="75" s="1"/>
  <c r="AJ613" i="75"/>
  <c r="I90" i="34"/>
  <c r="AG194" i="73"/>
  <c r="J208" i="52"/>
  <c r="J246" i="52" s="1"/>
  <c r="J202" i="52"/>
  <c r="I202" i="52"/>
  <c r="I208" i="52"/>
  <c r="I246" i="52" s="1"/>
  <c r="L474" i="51"/>
  <c r="L491" i="51"/>
  <c r="J105" i="38"/>
  <c r="J106" i="38"/>
  <c r="AQ609" i="75"/>
  <c r="AQ610" i="75" s="1"/>
  <c r="AQ612" i="75" s="1"/>
  <c r="AQ613" i="75"/>
  <c r="AQ607" i="75"/>
  <c r="H82" i="35"/>
  <c r="H83" i="35"/>
  <c r="AL197" i="73"/>
  <c r="AL199" i="73"/>
  <c r="AL205" i="73" s="1"/>
  <c r="AL198" i="73"/>
  <c r="AL204" i="73" s="1"/>
  <c r="AL200" i="73"/>
  <c r="AL206" i="73" s="1"/>
  <c r="I577" i="50"/>
  <c r="I578" i="50" s="1"/>
  <c r="G632" i="50"/>
  <c r="G634" i="50" s="1"/>
  <c r="H588" i="50"/>
  <c r="H590" i="50" s="1"/>
  <c r="M533" i="50"/>
  <c r="M536" i="50" s="1"/>
  <c r="K668" i="50"/>
  <c r="K533" i="50"/>
  <c r="K536" i="50" s="1"/>
  <c r="K544" i="50"/>
  <c r="K545" i="50" s="1"/>
  <c r="AJ554" i="75"/>
  <c r="AJ668" i="75" s="1"/>
  <c r="O607" i="75"/>
  <c r="O609" i="75"/>
  <c r="O610" i="75" s="1"/>
  <c r="O612" i="75" s="1"/>
  <c r="O613" i="75"/>
  <c r="H607" i="75"/>
  <c r="H613" i="75"/>
  <c r="H609" i="75"/>
  <c r="H610" i="75" s="1"/>
  <c r="H612" i="75" s="1"/>
  <c r="J194" i="73"/>
  <c r="L202" i="52"/>
  <c r="L208" i="52"/>
  <c r="L246" i="52" s="1"/>
  <c r="K366" i="51"/>
  <c r="K383" i="51" s="1"/>
  <c r="K490" i="51" s="1"/>
  <c r="K369" i="51"/>
  <c r="K386" i="51" s="1"/>
  <c r="K475" i="51" s="1"/>
  <c r="K367" i="51"/>
  <c r="K384" i="51" s="1"/>
  <c r="K368" i="51"/>
  <c r="K385" i="51" s="1"/>
  <c r="K506" i="51" s="1"/>
  <c r="I474" i="51"/>
  <c r="I491" i="51"/>
  <c r="AB198" i="73"/>
  <c r="AB204" i="73" s="1"/>
  <c r="AB200" i="73"/>
  <c r="AB206" i="73" s="1"/>
  <c r="AB197" i="73"/>
  <c r="AB199" i="73"/>
  <c r="AB205" i="73" s="1"/>
  <c r="AQ554" i="75"/>
  <c r="AQ668" i="75" s="1"/>
  <c r="J368" i="51"/>
  <c r="J385" i="51" s="1"/>
  <c r="J506" i="51" s="1"/>
  <c r="J366" i="51"/>
  <c r="J383" i="51" s="1"/>
  <c r="J490" i="51" s="1"/>
  <c r="J367" i="51"/>
  <c r="J384" i="51" s="1"/>
  <c r="J369" i="51"/>
  <c r="J386" i="51" s="1"/>
  <c r="J475" i="51" s="1"/>
  <c r="M90" i="34"/>
  <c r="G376" i="51"/>
  <c r="G471" i="51" s="1"/>
  <c r="AL194" i="73"/>
  <c r="S607" i="75"/>
  <c r="S613" i="75"/>
  <c r="S609" i="75"/>
  <c r="S610" i="75" s="1"/>
  <c r="S612" i="75" s="1"/>
  <c r="AE714" i="75"/>
  <c r="J200" i="73"/>
  <c r="J206" i="73" s="1"/>
  <c r="J199" i="73"/>
  <c r="J205" i="73" s="1"/>
  <c r="J198" i="73"/>
  <c r="J204" i="73" s="1"/>
  <c r="J197" i="73"/>
  <c r="AH197" i="73"/>
  <c r="AH199" i="73"/>
  <c r="AH205" i="73" s="1"/>
  <c r="AH198" i="73"/>
  <c r="AH204" i="73" s="1"/>
  <c r="AH200" i="73"/>
  <c r="AH206" i="73" s="1"/>
  <c r="AA726" i="75"/>
  <c r="J544" i="50"/>
  <c r="J546" i="50" s="1"/>
  <c r="H131" i="47"/>
  <c r="H108" i="36"/>
  <c r="I607" i="75"/>
  <c r="I609" i="75"/>
  <c r="I610" i="75" s="1"/>
  <c r="I612" i="75" s="1"/>
  <c r="I613" i="75"/>
  <c r="K191" i="73"/>
  <c r="K192" i="73"/>
  <c r="K190" i="73"/>
  <c r="K193" i="73"/>
  <c r="K136" i="73"/>
  <c r="K137" i="73" s="1"/>
  <c r="F85" i="37"/>
  <c r="F84" i="37"/>
  <c r="Y194" i="73"/>
  <c r="J610" i="50"/>
  <c r="J612" i="50" s="1"/>
  <c r="J632" i="50"/>
  <c r="J634" i="50" s="1"/>
  <c r="J566" i="50"/>
  <c r="J569" i="50" s="1"/>
  <c r="J599" i="50"/>
  <c r="J600" i="50" s="1"/>
  <c r="O554" i="75"/>
  <c r="O668" i="75" s="1"/>
  <c r="AM640" i="75"/>
  <c r="AA152" i="73"/>
  <c r="AA153" i="73"/>
  <c r="AA154" i="73"/>
  <c r="I55" i="57"/>
  <c r="I57" i="57" s="1"/>
  <c r="I52" i="57"/>
  <c r="AB194" i="73"/>
  <c r="J93" i="38"/>
  <c r="K93" i="38"/>
  <c r="M92" i="38"/>
  <c r="M93" i="38" s="1"/>
  <c r="AJ687" i="75"/>
  <c r="AJ725" i="75" s="1"/>
  <c r="L85" i="37"/>
  <c r="L84" i="37"/>
  <c r="F555" i="50"/>
  <c r="F558" i="50" s="1"/>
  <c r="F599" i="50"/>
  <c r="F602" i="50" s="1"/>
  <c r="F697" i="50"/>
  <c r="F544" i="50"/>
  <c r="F577" i="50"/>
  <c r="F682" i="50"/>
  <c r="F724" i="50" s="1"/>
  <c r="F735" i="50" s="1"/>
  <c r="F749" i="50" s="1"/>
  <c r="F793" i="50" s="1"/>
  <c r="F720" i="50"/>
  <c r="F731" i="50" s="1"/>
  <c r="F745" i="50" s="1"/>
  <c r="F721" i="50"/>
  <c r="F732" i="50" s="1"/>
  <c r="F746" i="50" s="1"/>
  <c r="F653" i="50"/>
  <c r="F722" i="50" s="1"/>
  <c r="F621" i="50"/>
  <c r="F710" i="50"/>
  <c r="F668" i="50"/>
  <c r="J653" i="50"/>
  <c r="J722" i="50" s="1"/>
  <c r="J555" i="50"/>
  <c r="J697" i="50"/>
  <c r="J682" i="50"/>
  <c r="J724" i="50" s="1"/>
  <c r="J577" i="50"/>
  <c r="J621" i="50"/>
  <c r="I682" i="50"/>
  <c r="I724" i="50" s="1"/>
  <c r="I720" i="50"/>
  <c r="I731" i="50" s="1"/>
  <c r="I745" i="50" s="1"/>
  <c r="I522" i="50"/>
  <c r="I710" i="50"/>
  <c r="G653" i="50"/>
  <c r="G722" i="50" s="1"/>
  <c r="G733" i="50" s="1"/>
  <c r="G747" i="50" s="1"/>
  <c r="G789" i="50" s="1"/>
  <c r="G599" i="50"/>
  <c r="G522" i="50"/>
  <c r="G621" i="50"/>
  <c r="G588" i="50"/>
  <c r="H682" i="50"/>
  <c r="H724" i="50" s="1"/>
  <c r="H735" i="50" s="1"/>
  <c r="H749" i="50" s="1"/>
  <c r="H793" i="50" s="1"/>
  <c r="H653" i="50"/>
  <c r="H722" i="50" s="1"/>
  <c r="H533" i="50"/>
  <c r="H555" i="50"/>
  <c r="H697" i="50"/>
  <c r="M555" i="50"/>
  <c r="M632" i="50"/>
  <c r="M697" i="50"/>
  <c r="M522" i="50"/>
  <c r="M599" i="50"/>
  <c r="K599" i="50"/>
  <c r="K588" i="50"/>
  <c r="K710" i="50"/>
  <c r="K522" i="50"/>
  <c r="K682" i="50"/>
  <c r="K724" i="50" s="1"/>
  <c r="F522" i="50"/>
  <c r="F632" i="50"/>
  <c r="F610" i="50"/>
  <c r="F533" i="50"/>
  <c r="F566" i="50"/>
  <c r="F588" i="50"/>
  <c r="J721" i="50"/>
  <c r="J732" i="50" s="1"/>
  <c r="J746" i="50" s="1"/>
  <c r="J533" i="50"/>
  <c r="J522" i="50"/>
  <c r="J710" i="50"/>
  <c r="J588" i="50"/>
  <c r="J720" i="50"/>
  <c r="J731" i="50" s="1"/>
  <c r="J745" i="50" s="1"/>
  <c r="J668" i="50"/>
  <c r="I544" i="50"/>
  <c r="I610" i="50"/>
  <c r="I588" i="50"/>
  <c r="I653" i="50"/>
  <c r="I722" i="50" s="1"/>
  <c r="I697" i="50"/>
  <c r="I599" i="50"/>
  <c r="I632" i="50"/>
  <c r="I721" i="50"/>
  <c r="I732" i="50" s="1"/>
  <c r="I746" i="50" s="1"/>
  <c r="I533" i="50"/>
  <c r="I555" i="50"/>
  <c r="I621" i="50"/>
  <c r="G668" i="50"/>
  <c r="G566" i="50"/>
  <c r="G555" i="50"/>
  <c r="G544" i="50"/>
  <c r="G577" i="50"/>
  <c r="G610" i="50"/>
  <c r="G721" i="50"/>
  <c r="G732" i="50" s="1"/>
  <c r="G746" i="50" s="1"/>
  <c r="G768" i="50" s="1"/>
  <c r="J533" i="51"/>
  <c r="J577" i="51" s="1"/>
  <c r="J534" i="51"/>
  <c r="J578" i="51" s="1"/>
  <c r="H668" i="50"/>
  <c r="H599" i="50"/>
  <c r="H710" i="50"/>
  <c r="H721" i="50"/>
  <c r="H732" i="50" s="1"/>
  <c r="H746" i="50" s="1"/>
  <c r="H610" i="50"/>
  <c r="H632" i="50"/>
  <c r="H621" i="50"/>
  <c r="H577" i="50"/>
  <c r="H544" i="50"/>
  <c r="H522" i="50"/>
  <c r="H720" i="50"/>
  <c r="H731" i="50" s="1"/>
  <c r="H745" i="50" s="1"/>
  <c r="M544" i="50"/>
  <c r="M682" i="50"/>
  <c r="M724" i="50" s="1"/>
  <c r="M610" i="50"/>
  <c r="M566" i="50"/>
  <c r="M720" i="50"/>
  <c r="M731" i="50" s="1"/>
  <c r="M745" i="50" s="1"/>
  <c r="M577" i="50"/>
  <c r="M710" i="50"/>
  <c r="M588" i="50"/>
  <c r="M653" i="50"/>
  <c r="M722" i="50" s="1"/>
  <c r="M733" i="50" s="1"/>
  <c r="M747" i="50" s="1"/>
  <c r="M789" i="50" s="1"/>
  <c r="K720" i="50"/>
  <c r="K731" i="50" s="1"/>
  <c r="K745" i="50" s="1"/>
  <c r="K610" i="50"/>
  <c r="K577" i="50"/>
  <c r="K555" i="50"/>
  <c r="K697" i="50"/>
  <c r="K721" i="50"/>
  <c r="K732" i="50" s="1"/>
  <c r="K746" i="50" s="1"/>
  <c r="K632" i="50"/>
  <c r="K566" i="50"/>
  <c r="K653" i="50"/>
  <c r="K722" i="50" s="1"/>
  <c r="K733" i="50" s="1"/>
  <c r="K747" i="50" s="1"/>
  <c r="K789" i="50" s="1"/>
  <c r="G533" i="51"/>
  <c r="G577" i="51" s="1"/>
  <c r="G534" i="51"/>
  <c r="G578" i="51" s="1"/>
  <c r="H217" i="73"/>
  <c r="H218" i="73" s="1"/>
  <c r="H219" i="73" s="1"/>
  <c r="H265" i="73"/>
  <c r="AF191" i="73"/>
  <c r="AF192" i="73"/>
  <c r="AF136" i="73"/>
  <c r="AF137" i="73" s="1"/>
  <c r="AF190" i="73"/>
  <c r="M107" i="36"/>
  <c r="M106" i="36"/>
  <c r="AP192" i="73"/>
  <c r="AP190" i="73"/>
  <c r="AP191" i="73"/>
  <c r="AP136" i="73"/>
  <c r="AP137" i="73" s="1"/>
  <c r="L74" i="53"/>
  <c r="K80" i="53"/>
  <c r="J98" i="44" s="1"/>
  <c r="J99" i="44" s="1"/>
  <c r="I265" i="73"/>
  <c r="I217" i="73"/>
  <c r="I218" i="73" s="1"/>
  <c r="I219" i="73" s="1"/>
  <c r="R201" i="73"/>
  <c r="R221" i="73" s="1"/>
  <c r="R222" i="73" s="1"/>
  <c r="R203" i="73"/>
  <c r="R207" i="73" s="1"/>
  <c r="R209" i="73" s="1"/>
  <c r="I420" i="41"/>
  <c r="V136" i="73"/>
  <c r="V137" i="73" s="1"/>
  <c r="V190" i="73"/>
  <c r="V191" i="73"/>
  <c r="V192" i="73"/>
  <c r="L107" i="36"/>
  <c r="L106" i="36"/>
  <c r="AP193" i="73"/>
  <c r="J78" i="53"/>
  <c r="J91" i="53" s="1"/>
  <c r="J16" i="3" s="1"/>
  <c r="I21" i="48" s="1"/>
  <c r="I527" i="48" s="1"/>
  <c r="J93" i="53"/>
  <c r="J18" i="3" s="1"/>
  <c r="K131" i="47"/>
  <c r="G719" i="50" l="1"/>
  <c r="H218" i="52"/>
  <c r="H250" i="52" s="1"/>
  <c r="H246" i="52"/>
  <c r="J82" i="35"/>
  <c r="J130" i="47" s="1"/>
  <c r="F133" i="47"/>
  <c r="AO12" i="47" s="1"/>
  <c r="F108" i="38"/>
  <c r="AE726" i="75"/>
  <c r="G726" i="75"/>
  <c r="I130" i="47"/>
  <c r="I83" i="35"/>
  <c r="I84" i="35" s="1"/>
  <c r="K75" i="35"/>
  <c r="K82" i="35" s="1"/>
  <c r="M207" i="73"/>
  <c r="M209" i="73" s="1"/>
  <c r="M225" i="73" s="1"/>
  <c r="M271" i="73" s="1"/>
  <c r="M201" i="73"/>
  <c r="M221" i="73" s="1"/>
  <c r="M222" i="73" s="1"/>
  <c r="K161" i="73"/>
  <c r="K163" i="73" s="1"/>
  <c r="K164" i="73" s="1"/>
  <c r="K177" i="73" s="1"/>
  <c r="K178" i="73" s="1"/>
  <c r="K179" i="73" s="1"/>
  <c r="K180" i="73" s="1"/>
  <c r="K182" i="73" s="1"/>
  <c r="G314" i="51"/>
  <c r="G322" i="51" s="1"/>
  <c r="H274" i="51" s="1"/>
  <c r="K78" i="57"/>
  <c r="AN197" i="73"/>
  <c r="AN203" i="73" s="1"/>
  <c r="Z192" i="73"/>
  <c r="Z136" i="73"/>
  <c r="Z137" i="73" s="1"/>
  <c r="Z200" i="73" s="1"/>
  <c r="Z206" i="73" s="1"/>
  <c r="Z191" i="73"/>
  <c r="Z190" i="73"/>
  <c r="AN199" i="73"/>
  <c r="AN205" i="73" s="1"/>
  <c r="T199" i="73"/>
  <c r="T205" i="73" s="1"/>
  <c r="K108" i="36"/>
  <c r="I135" i="47"/>
  <c r="M135" i="47"/>
  <c r="T198" i="73"/>
  <c r="T204" i="73" s="1"/>
  <c r="Y232" i="74"/>
  <c r="Y234" i="74" s="1"/>
  <c r="Y238" i="74" s="1"/>
  <c r="Y242" i="74" s="1"/>
  <c r="Y311" i="74" s="1"/>
  <c r="Y315" i="74" s="1"/>
  <c r="V714" i="75"/>
  <c r="T197" i="73"/>
  <c r="T203" i="73" s="1"/>
  <c r="K714" i="75"/>
  <c r="AN200" i="73"/>
  <c r="AN206" i="73" s="1"/>
  <c r="K79" i="39"/>
  <c r="K156" i="73"/>
  <c r="L160" i="73" s="1"/>
  <c r="AN194" i="73"/>
  <c r="G77" i="39"/>
  <c r="AQ201" i="73"/>
  <c r="AQ221" i="73" s="1"/>
  <c r="AQ222" i="73" s="1"/>
  <c r="T200" i="73"/>
  <c r="T206" i="73" s="1"/>
  <c r="F1183" i="48"/>
  <c r="F1217" i="48" s="1"/>
  <c r="F1271" i="48" s="1"/>
  <c r="U714" i="75"/>
  <c r="F1184" i="48"/>
  <c r="F1219" i="48" s="1"/>
  <c r="F1274" i="48" s="1"/>
  <c r="AQ207" i="73"/>
  <c r="AQ209" i="73" s="1"/>
  <c r="M36" i="76" s="1"/>
  <c r="H526" i="48"/>
  <c r="F526" i="48"/>
  <c r="F76" i="39"/>
  <c r="F77" i="39"/>
  <c r="I76" i="39"/>
  <c r="I77" i="39"/>
  <c r="H76" i="39"/>
  <c r="H77" i="39"/>
  <c r="L77" i="39"/>
  <c r="L76" i="39"/>
  <c r="M76" i="39"/>
  <c r="M77" i="39"/>
  <c r="G76" i="39"/>
  <c r="G112" i="40"/>
  <c r="L115" i="40"/>
  <c r="F112" i="40"/>
  <c r="F135" i="47" s="1"/>
  <c r="H104" i="40"/>
  <c r="L135" i="47"/>
  <c r="I115" i="40"/>
  <c r="K112" i="40"/>
  <c r="M115" i="40"/>
  <c r="J135" i="47"/>
  <c r="J115" i="40"/>
  <c r="AG226" i="74"/>
  <c r="AG232" i="74" s="1"/>
  <c r="AG234" i="74" s="1"/>
  <c r="AG238" i="74" s="1"/>
  <c r="AG242" i="74" s="1"/>
  <c r="AG311" i="74" s="1"/>
  <c r="AG315" i="74" s="1"/>
  <c r="AP714" i="75"/>
  <c r="X207" i="73"/>
  <c r="X209" i="73" s="1"/>
  <c r="T194" i="73"/>
  <c r="AI194" i="73"/>
  <c r="X254" i="74"/>
  <c r="X201" i="73"/>
  <c r="X221" i="73" s="1"/>
  <c r="X222" i="73" s="1"/>
  <c r="N651" i="75"/>
  <c r="AR618" i="75"/>
  <c r="AR730" i="75" s="1"/>
  <c r="W201" i="73"/>
  <c r="W221" i="73" s="1"/>
  <c r="W222" i="73" s="1"/>
  <c r="AM207" i="73"/>
  <c r="AM209" i="73" s="1"/>
  <c r="AM225" i="73" s="1"/>
  <c r="AM271" i="73" s="1"/>
  <c r="W207" i="73"/>
  <c r="W209" i="73" s="1"/>
  <c r="I36" i="76" s="1"/>
  <c r="Y615" i="75"/>
  <c r="AG712" i="75"/>
  <c r="AG714" i="75" s="1"/>
  <c r="AC714" i="75"/>
  <c r="AE194" i="73"/>
  <c r="AE197" i="73"/>
  <c r="AE203" i="73" s="1"/>
  <c r="AE207" i="73" s="1"/>
  <c r="AE209" i="73" s="1"/>
  <c r="J714" i="75"/>
  <c r="AG726" i="75"/>
  <c r="X726" i="75"/>
  <c r="AR726" i="75"/>
  <c r="S254" i="74"/>
  <c r="T232" i="74"/>
  <c r="T234" i="74" s="1"/>
  <c r="T238" i="74" s="1"/>
  <c r="T242" i="74" s="1"/>
  <c r="T311" i="74" s="1"/>
  <c r="T315" i="74" s="1"/>
  <c r="AM201" i="73"/>
  <c r="AM221" i="73" s="1"/>
  <c r="AM222" i="73" s="1"/>
  <c r="AA714" i="75"/>
  <c r="L72" i="35"/>
  <c r="L73" i="35" s="1"/>
  <c r="L75" i="35" s="1"/>
  <c r="M33" i="35"/>
  <c r="M72" i="35" s="1"/>
  <c r="M73" i="35" s="1"/>
  <c r="M75" i="35" s="1"/>
  <c r="F248" i="49"/>
  <c r="AC207" i="73"/>
  <c r="AC209" i="73" s="1"/>
  <c r="AC225" i="73" s="1"/>
  <c r="AC271" i="73" s="1"/>
  <c r="AR615" i="75"/>
  <c r="O201" i="73"/>
  <c r="O221" i="73" s="1"/>
  <c r="O222" i="73" s="1"/>
  <c r="F265" i="49"/>
  <c r="AC201" i="73"/>
  <c r="AC221" i="73" s="1"/>
  <c r="AC222" i="73" s="1"/>
  <c r="AN726" i="75"/>
  <c r="H267" i="73"/>
  <c r="H275" i="73" s="1"/>
  <c r="H279" i="73" s="1"/>
  <c r="H284" i="73" s="1"/>
  <c r="F39" i="76" s="1"/>
  <c r="M714" i="75"/>
  <c r="AL714" i="75"/>
  <c r="F268" i="49"/>
  <c r="T726" i="75"/>
  <c r="AB226" i="74"/>
  <c r="AB232" i="74" s="1"/>
  <c r="AB234" i="74" s="1"/>
  <c r="AB238" i="74" s="1"/>
  <c r="W714" i="75"/>
  <c r="AI198" i="73"/>
  <c r="AI204" i="73" s="1"/>
  <c r="H212" i="52"/>
  <c r="R726" i="75"/>
  <c r="M136" i="47"/>
  <c r="M80" i="57"/>
  <c r="S207" i="73"/>
  <c r="S209" i="73" s="1"/>
  <c r="W254" i="74"/>
  <c r="F203" i="49"/>
  <c r="AD226" i="74"/>
  <c r="AM226" i="74" s="1"/>
  <c r="AM232" i="74" s="1"/>
  <c r="AM234" i="74" s="1"/>
  <c r="AM238" i="74" s="1"/>
  <c r="AI200" i="73"/>
  <c r="AI206" i="73" s="1"/>
  <c r="O207" i="73"/>
  <c r="O209" i="73" s="1"/>
  <c r="O225" i="73" s="1"/>
  <c r="O271" i="73" s="1"/>
  <c r="G201" i="73"/>
  <c r="G221" i="73" s="1"/>
  <c r="G222" i="73" s="1"/>
  <c r="G264" i="73" s="1"/>
  <c r="G267" i="73" s="1"/>
  <c r="P197" i="73"/>
  <c r="P203" i="73" s="1"/>
  <c r="Q712" i="75"/>
  <c r="Q714" i="75" s="1"/>
  <c r="S201" i="73"/>
  <c r="S221" i="73" s="1"/>
  <c r="S222" i="73" s="1"/>
  <c r="F257" i="49"/>
  <c r="L158" i="73"/>
  <c r="M162" i="73" s="1"/>
  <c r="AI197" i="73"/>
  <c r="AI203" i="73" s="1"/>
  <c r="Z670" i="75"/>
  <c r="Z724" i="75" s="1"/>
  <c r="Z726" i="75" s="1"/>
  <c r="M615" i="75"/>
  <c r="F267" i="49"/>
  <c r="T651" i="75"/>
  <c r="H40" i="77" s="1"/>
  <c r="H70" i="77" s="1"/>
  <c r="I207" i="73"/>
  <c r="I209" i="73" s="1"/>
  <c r="J254" i="74"/>
  <c r="G207" i="73"/>
  <c r="G209" i="73" s="1"/>
  <c r="V670" i="75"/>
  <c r="V724" i="75" s="1"/>
  <c r="V726" i="75" s="1"/>
  <c r="N726" i="75"/>
  <c r="I201" i="73"/>
  <c r="I221" i="73" s="1"/>
  <c r="I222" i="73" s="1"/>
  <c r="I264" i="73" s="1"/>
  <c r="I267" i="73" s="1"/>
  <c r="AL651" i="75"/>
  <c r="F266" i="49"/>
  <c r="T730" i="75"/>
  <c r="N201" i="73"/>
  <c r="N221" i="73" s="1"/>
  <c r="N222" i="73" s="1"/>
  <c r="F256" i="49"/>
  <c r="N207" i="73"/>
  <c r="N209" i="73" s="1"/>
  <c r="N210" i="73" s="1"/>
  <c r="J215" i="73"/>
  <c r="J216" i="73" s="1"/>
  <c r="I546" i="51"/>
  <c r="AM670" i="75"/>
  <c r="AM724" i="75" s="1"/>
  <c r="AM726" i="75" s="1"/>
  <c r="AM712" i="75"/>
  <c r="AM714" i="75" s="1"/>
  <c r="F202" i="49"/>
  <c r="F155" i="49"/>
  <c r="F204" i="49" s="1"/>
  <c r="F235" i="49" s="1"/>
  <c r="H533" i="51"/>
  <c r="H577" i="51" s="1"/>
  <c r="H534" i="51"/>
  <c r="H578" i="51" s="1"/>
  <c r="H535" i="51"/>
  <c r="H579" i="51" s="1"/>
  <c r="V232" i="74"/>
  <c r="V234" i="74" s="1"/>
  <c r="V238" i="74" s="1"/>
  <c r="AE226" i="74"/>
  <c r="F761" i="48"/>
  <c r="F755" i="48"/>
  <c r="F1162" i="48"/>
  <c r="F1167" i="48"/>
  <c r="K527" i="51"/>
  <c r="K546" i="51" s="1"/>
  <c r="K533" i="51"/>
  <c r="K577" i="51" s="1"/>
  <c r="F255" i="49"/>
  <c r="F295" i="49"/>
  <c r="I712" i="75"/>
  <c r="I714" i="75" s="1"/>
  <c r="I670" i="75"/>
  <c r="I724" i="75" s="1"/>
  <c r="I726" i="75" s="1"/>
  <c r="F293" i="49"/>
  <c r="F259" i="49"/>
  <c r="F269" i="49"/>
  <c r="F254" i="49"/>
  <c r="F264" i="49"/>
  <c r="AD205" i="73"/>
  <c r="AD207" i="73" s="1"/>
  <c r="AD209" i="73" s="1"/>
  <c r="AD201" i="73"/>
  <c r="AD221" i="73" s="1"/>
  <c r="AD222" i="73" s="1"/>
  <c r="AF712" i="75"/>
  <c r="AF714" i="75" s="1"/>
  <c r="AF670" i="75"/>
  <c r="AF724" i="75" s="1"/>
  <c r="AF726" i="75" s="1"/>
  <c r="L193" i="73"/>
  <c r="L136" i="73"/>
  <c r="L137" i="73" s="1"/>
  <c r="L199" i="73" s="1"/>
  <c r="L205" i="73" s="1"/>
  <c r="L190" i="73"/>
  <c r="T714" i="75"/>
  <c r="U242" i="74"/>
  <c r="U311" i="74" s="1"/>
  <c r="U315" i="74" s="1"/>
  <c r="H527" i="51"/>
  <c r="N730" i="75"/>
  <c r="AO193" i="73"/>
  <c r="AO190" i="73"/>
  <c r="AO136" i="73"/>
  <c r="AO137" i="73" s="1"/>
  <c r="AO191" i="73"/>
  <c r="AO192" i="73"/>
  <c r="AS711" i="75"/>
  <c r="AS687" i="75"/>
  <c r="AS725" i="75" s="1"/>
  <c r="M618" i="75"/>
  <c r="M730" i="75" s="1"/>
  <c r="M734" i="75" s="1"/>
  <c r="G112" i="44"/>
  <c r="H116" i="44"/>
  <c r="H27" i="48" s="1"/>
  <c r="H35" i="48" s="1"/>
  <c r="H533" i="48" s="1"/>
  <c r="H118" i="44"/>
  <c r="H19" i="49" s="1"/>
  <c r="H32" i="49" s="1"/>
  <c r="H117" i="44"/>
  <c r="H15" i="49" s="1"/>
  <c r="H27" i="49" s="1"/>
  <c r="I27" i="48"/>
  <c r="I35" i="48" s="1"/>
  <c r="I620" i="48" s="1"/>
  <c r="I1159" i="48" s="1"/>
  <c r="I112" i="44"/>
  <c r="F228" i="49"/>
  <c r="F294" i="49" s="1"/>
  <c r="F184" i="49"/>
  <c r="L527" i="51"/>
  <c r="L546" i="51" s="1"/>
  <c r="L533" i="51"/>
  <c r="L577" i="51" s="1"/>
  <c r="L534" i="51"/>
  <c r="L578" i="51" s="1"/>
  <c r="F637" i="48"/>
  <c r="F654" i="48" s="1"/>
  <c r="F686" i="48" s="1"/>
  <c r="F636" i="48"/>
  <c r="F653" i="48" s="1"/>
  <c r="F685" i="48" s="1"/>
  <c r="F630" i="48"/>
  <c r="F647" i="48" s="1"/>
  <c r="F679" i="48" s="1"/>
  <c r="F631" i="48"/>
  <c r="F648" i="48" s="1"/>
  <c r="F641" i="48"/>
  <c r="F658" i="48" s="1"/>
  <c r="F690" i="48" s="1"/>
  <c r="F633" i="48"/>
  <c r="F650" i="48" s="1"/>
  <c r="F665" i="48" s="1"/>
  <c r="F697" i="48" s="1"/>
  <c r="L712" i="75"/>
  <c r="L714" i="75" s="1"/>
  <c r="L670" i="75"/>
  <c r="L724" i="75" s="1"/>
  <c r="L726" i="75" s="1"/>
  <c r="H670" i="75"/>
  <c r="H724" i="75" s="1"/>
  <c r="H726" i="75" s="1"/>
  <c r="H712" i="75"/>
  <c r="H714" i="75" s="1"/>
  <c r="F643" i="48"/>
  <c r="F660" i="48" s="1"/>
  <c r="F692" i="48" s="1"/>
  <c r="G27" i="48"/>
  <c r="G35" i="48" s="1"/>
  <c r="G619" i="48" s="1"/>
  <c r="Y730" i="75"/>
  <c r="Y734" i="75" s="1"/>
  <c r="I43" i="77" s="1"/>
  <c r="I108" i="77" s="1"/>
  <c r="I196" i="47" s="1"/>
  <c r="V30" i="47" s="1"/>
  <c r="N615" i="75"/>
  <c r="AA194" i="73"/>
  <c r="G161" i="49"/>
  <c r="G160" i="49"/>
  <c r="I161" i="49"/>
  <c r="I160" i="49"/>
  <c r="J116" i="44"/>
  <c r="J27" i="48" s="1"/>
  <c r="J35" i="48" s="1"/>
  <c r="J620" i="48" s="1"/>
  <c r="J117" i="44"/>
  <c r="J15" i="49" s="1"/>
  <c r="J27" i="49" s="1"/>
  <c r="J118" i="44"/>
  <c r="J19" i="49" s="1"/>
  <c r="J32" i="49" s="1"/>
  <c r="S712" i="75"/>
  <c r="S714" i="75" s="1"/>
  <c r="U730" i="75"/>
  <c r="U734" i="75" s="1"/>
  <c r="G191" i="49"/>
  <c r="G286" i="49" s="1"/>
  <c r="G189" i="49"/>
  <c r="G289" i="49" s="1"/>
  <c r="G181" i="49"/>
  <c r="G227" i="49" s="1"/>
  <c r="G293" i="49" s="1"/>
  <c r="G197" i="49"/>
  <c r="G288" i="49" s="1"/>
  <c r="G182" i="49"/>
  <c r="G228" i="49" s="1"/>
  <c r="G193" i="49"/>
  <c r="G177" i="49"/>
  <c r="G223" i="49" s="1"/>
  <c r="G175" i="49"/>
  <c r="G180" i="49"/>
  <c r="G226" i="49" s="1"/>
  <c r="G178" i="49"/>
  <c r="G224" i="49" s="1"/>
  <c r="G154" i="49"/>
  <c r="G179" i="49"/>
  <c r="G225" i="49" s="1"/>
  <c r="G192" i="49"/>
  <c r="G290" i="49" s="1"/>
  <c r="G183" i="49"/>
  <c r="G229" i="49" s="1"/>
  <c r="G296" i="49" s="1"/>
  <c r="G190" i="49"/>
  <c r="G174" i="49"/>
  <c r="G153" i="49"/>
  <c r="G176" i="49"/>
  <c r="G222" i="49" s="1"/>
  <c r="G196" i="49"/>
  <c r="G194" i="49"/>
  <c r="G195" i="49"/>
  <c r="I196" i="49"/>
  <c r="I195" i="49"/>
  <c r="I182" i="49"/>
  <c r="I228" i="49" s="1"/>
  <c r="I178" i="49"/>
  <c r="I224" i="49" s="1"/>
  <c r="I174" i="49"/>
  <c r="I189" i="49"/>
  <c r="I289" i="49" s="1"/>
  <c r="I154" i="49"/>
  <c r="I179" i="49"/>
  <c r="I225" i="49" s="1"/>
  <c r="I197" i="49"/>
  <c r="I288" i="49" s="1"/>
  <c r="I153" i="49"/>
  <c r="I175" i="49"/>
  <c r="I193" i="49"/>
  <c r="I190" i="49"/>
  <c r="I183" i="49"/>
  <c r="I229" i="49" s="1"/>
  <c r="I296" i="49" s="1"/>
  <c r="I177" i="49"/>
  <c r="I223" i="49" s="1"/>
  <c r="I180" i="49"/>
  <c r="I226" i="49" s="1"/>
  <c r="I176" i="49"/>
  <c r="I222" i="49" s="1"/>
  <c r="I192" i="49"/>
  <c r="I290" i="49" s="1"/>
  <c r="I191" i="49"/>
  <c r="I286" i="49" s="1"/>
  <c r="I181" i="49"/>
  <c r="I227" i="49" s="1"/>
  <c r="I293" i="49" s="1"/>
  <c r="I194" i="49"/>
  <c r="L618" i="75"/>
  <c r="L730" i="75" s="1"/>
  <c r="L191" i="73"/>
  <c r="AL615" i="75"/>
  <c r="R615" i="75"/>
  <c r="AP670" i="75"/>
  <c r="AP724" i="75" s="1"/>
  <c r="AP726" i="75" s="1"/>
  <c r="H210" i="73"/>
  <c r="U193" i="73"/>
  <c r="U136" i="73"/>
  <c r="U137" i="73" s="1"/>
  <c r="U192" i="73"/>
  <c r="U191" i="73"/>
  <c r="M527" i="51"/>
  <c r="M552" i="51" s="1"/>
  <c r="F534" i="51"/>
  <c r="F578" i="51" s="1"/>
  <c r="P199" i="73"/>
  <c r="P205" i="73" s="1"/>
  <c r="AA730" i="75"/>
  <c r="AA734" i="75" s="1"/>
  <c r="Y651" i="75"/>
  <c r="I40" i="77" s="1"/>
  <c r="I70" i="77" s="1"/>
  <c r="I535" i="51"/>
  <c r="I579" i="51" s="1"/>
  <c r="F36" i="76"/>
  <c r="F130" i="47"/>
  <c r="F84" i="35"/>
  <c r="F535" i="51"/>
  <c r="F579" i="51" s="1"/>
  <c r="M535" i="51"/>
  <c r="M579" i="51" s="1"/>
  <c r="F642" i="48"/>
  <c r="F659" i="48" s="1"/>
  <c r="F691" i="48" s="1"/>
  <c r="F644" i="48"/>
  <c r="F661" i="48" s="1"/>
  <c r="F693" i="48" s="1"/>
  <c r="F638" i="48"/>
  <c r="F655" i="48" s="1"/>
  <c r="F687" i="48" s="1"/>
  <c r="F639" i="48"/>
  <c r="F656" i="48" s="1"/>
  <c r="F688" i="48" s="1"/>
  <c r="F1176" i="48"/>
  <c r="F1211" i="48" s="1"/>
  <c r="M533" i="51"/>
  <c r="M577" i="51" s="1"/>
  <c r="I533" i="51"/>
  <c r="I577" i="51" s="1"/>
  <c r="L535" i="51"/>
  <c r="L579" i="51" s="1"/>
  <c r="F762" i="48"/>
  <c r="F533" i="51"/>
  <c r="F577" i="51" s="1"/>
  <c r="F635" i="48"/>
  <c r="F652" i="48" s="1"/>
  <c r="F684" i="48" s="1"/>
  <c r="F640" i="48"/>
  <c r="F657" i="48" s="1"/>
  <c r="F689" i="48" s="1"/>
  <c r="F634" i="48"/>
  <c r="F651" i="48" s="1"/>
  <c r="F683" i="48" s="1"/>
  <c r="F1155" i="48"/>
  <c r="I534" i="51"/>
  <c r="I578" i="51" s="1"/>
  <c r="G218" i="52"/>
  <c r="G250" i="52" s="1"/>
  <c r="F526" i="51"/>
  <c r="F582" i="51" s="1"/>
  <c r="R651" i="75"/>
  <c r="AL670" i="75"/>
  <c r="AL724" i="75" s="1"/>
  <c r="AL726" i="75" s="1"/>
  <c r="F527" i="51"/>
  <c r="F552" i="51" s="1"/>
  <c r="F1172" i="48"/>
  <c r="F1207" i="48" s="1"/>
  <c r="F1173" i="48"/>
  <c r="F1208" i="48" s="1"/>
  <c r="F1154" i="48"/>
  <c r="F742" i="48"/>
  <c r="F1156" i="48"/>
  <c r="I558" i="51"/>
  <c r="L651" i="75"/>
  <c r="R730" i="75"/>
  <c r="G712" i="75"/>
  <c r="G714" i="75" s="1"/>
  <c r="F1168" i="48"/>
  <c r="AF226" i="74"/>
  <c r="AF232" i="74" s="1"/>
  <c r="AF234" i="74" s="1"/>
  <c r="AF238" i="74" s="1"/>
  <c r="AK670" i="75"/>
  <c r="AK724" i="75" s="1"/>
  <c r="AK726" i="75" s="1"/>
  <c r="F1170" i="48"/>
  <c r="F1205" i="48" s="1"/>
  <c r="F1159" i="48"/>
  <c r="F1160" i="48"/>
  <c r="V618" i="75"/>
  <c r="V730" i="75" s="1"/>
  <c r="F67" i="57"/>
  <c r="F66" i="57"/>
  <c r="P200" i="73"/>
  <c r="P206" i="73" s="1"/>
  <c r="G66" i="57"/>
  <c r="AD670" i="75"/>
  <c r="AD724" i="75" s="1"/>
  <c r="AD726" i="75" s="1"/>
  <c r="AL730" i="75"/>
  <c r="F751" i="48"/>
  <c r="F758" i="48"/>
  <c r="AN712" i="75"/>
  <c r="AN714" i="75" s="1"/>
  <c r="L58" i="57"/>
  <c r="L67" i="57"/>
  <c r="L79" i="57"/>
  <c r="L78" i="57"/>
  <c r="F757" i="48"/>
  <c r="F753" i="48"/>
  <c r="K212" i="52"/>
  <c r="G58" i="57"/>
  <c r="G67" i="57"/>
  <c r="F756" i="48"/>
  <c r="F752" i="48"/>
  <c r="K218" i="52"/>
  <c r="J670" i="75"/>
  <c r="J724" i="75" s="1"/>
  <c r="J726" i="75" s="1"/>
  <c r="G79" i="57"/>
  <c r="G78" i="57"/>
  <c r="P712" i="75"/>
  <c r="P714" i="75" s="1"/>
  <c r="P670" i="75"/>
  <c r="P724" i="75" s="1"/>
  <c r="P726" i="75" s="1"/>
  <c r="W670" i="75"/>
  <c r="W724" i="75" s="1"/>
  <c r="W726" i="75" s="1"/>
  <c r="I131" i="47"/>
  <c r="I108" i="36"/>
  <c r="F625" i="48"/>
  <c r="F1165" i="48"/>
  <c r="F1164" i="48"/>
  <c r="F1171" i="48"/>
  <c r="F1206" i="48" s="1"/>
  <c r="F1161" i="48"/>
  <c r="F1163" i="48"/>
  <c r="K534" i="51"/>
  <c r="K578" i="51" s="1"/>
  <c r="F750" i="48"/>
  <c r="F749" i="48"/>
  <c r="F748" i="48"/>
  <c r="F760" i="48"/>
  <c r="F766" i="48" s="1"/>
  <c r="F1215" i="48" s="1"/>
  <c r="F1174" i="48"/>
  <c r="F1209" i="48" s="1"/>
  <c r="F1166" i="48"/>
  <c r="F1158" i="48"/>
  <c r="F1175" i="48"/>
  <c r="F1210" i="48" s="1"/>
  <c r="F1277" i="48" s="1"/>
  <c r="F1157" i="48"/>
  <c r="F754" i="48"/>
  <c r="F759" i="48"/>
  <c r="G212" i="52"/>
  <c r="P194" i="73"/>
  <c r="G131" i="47"/>
  <c r="G108" i="36"/>
  <c r="AS615" i="75"/>
  <c r="AS618" i="75"/>
  <c r="AS730" i="75" s="1"/>
  <c r="AS651" i="75"/>
  <c r="M40" i="77" s="1"/>
  <c r="AI712" i="75"/>
  <c r="AI714" i="75" s="1"/>
  <c r="AI670" i="75"/>
  <c r="AI724" i="75" s="1"/>
  <c r="AI726" i="75" s="1"/>
  <c r="AO618" i="75"/>
  <c r="AO730" i="75" s="1"/>
  <c r="AO615" i="75"/>
  <c r="AB615" i="75"/>
  <c r="AB651" i="75"/>
  <c r="AB618" i="75"/>
  <c r="AB730" i="75" s="1"/>
  <c r="AE615" i="75"/>
  <c r="AE651" i="75"/>
  <c r="AE618" i="75"/>
  <c r="AE730" i="75" s="1"/>
  <c r="AQ226" i="74"/>
  <c r="AQ232" i="74" s="1"/>
  <c r="AQ234" i="74" s="1"/>
  <c r="AQ238" i="74" s="1"/>
  <c r="AH232" i="74"/>
  <c r="AH234" i="74" s="1"/>
  <c r="AH238" i="74" s="1"/>
  <c r="V651" i="75"/>
  <c r="W615" i="75"/>
  <c r="W618" i="75"/>
  <c r="W730" i="75" s="1"/>
  <c r="W651" i="75"/>
  <c r="AK618" i="75"/>
  <c r="AK730" i="75" s="1"/>
  <c r="AK651" i="75"/>
  <c r="AK615" i="75"/>
  <c r="AD615" i="75"/>
  <c r="AD651" i="75"/>
  <c r="J40" i="77" s="1"/>
  <c r="AD618" i="75"/>
  <c r="AD730" i="75" s="1"/>
  <c r="AN618" i="75"/>
  <c r="AN730" i="75" s="1"/>
  <c r="AN615" i="75"/>
  <c r="AN651" i="75"/>
  <c r="L40" i="77" s="1"/>
  <c r="AH615" i="75"/>
  <c r="AH618" i="75"/>
  <c r="AH730" i="75" s="1"/>
  <c r="G651" i="75"/>
  <c r="G618" i="75"/>
  <c r="G730" i="75" s="1"/>
  <c r="G615" i="75"/>
  <c r="F58" i="57"/>
  <c r="P651" i="75"/>
  <c r="P615" i="75"/>
  <c r="P618" i="75"/>
  <c r="P730" i="75" s="1"/>
  <c r="J108" i="36"/>
  <c r="J131" i="47"/>
  <c r="AP615" i="75"/>
  <c r="AP618" i="75"/>
  <c r="AP730" i="75" s="1"/>
  <c r="AS712" i="75"/>
  <c r="AS670" i="75"/>
  <c r="AS724" i="75" s="1"/>
  <c r="F79" i="57"/>
  <c r="F78" i="57"/>
  <c r="AC618" i="75"/>
  <c r="AC730" i="75" s="1"/>
  <c r="AC734" i="75" s="1"/>
  <c r="AC615" i="75"/>
  <c r="AC651" i="75"/>
  <c r="AG618" i="75"/>
  <c r="AG730" i="75" s="1"/>
  <c r="AG615" i="75"/>
  <c r="AG651" i="75"/>
  <c r="AO712" i="75"/>
  <c r="AO714" i="75" s="1"/>
  <c r="AO670" i="75"/>
  <c r="AO724" i="75" s="1"/>
  <c r="AO726" i="75" s="1"/>
  <c r="G86" i="37"/>
  <c r="G132" i="47"/>
  <c r="AF618" i="75"/>
  <c r="AF730" i="75" s="1"/>
  <c r="AF615" i="75"/>
  <c r="AF651" i="75"/>
  <c r="X651" i="75"/>
  <c r="X618" i="75"/>
  <c r="X730" i="75" s="1"/>
  <c r="X615" i="75"/>
  <c r="J79" i="57"/>
  <c r="J78" i="57"/>
  <c r="J618" i="75"/>
  <c r="J730" i="75" s="1"/>
  <c r="J615" i="75"/>
  <c r="H60" i="57"/>
  <c r="H66" i="57" s="1"/>
  <c r="Z615" i="75"/>
  <c r="Z618" i="75"/>
  <c r="Z730" i="75" s="1"/>
  <c r="AH670" i="75"/>
  <c r="AH724" i="75" s="1"/>
  <c r="AH726" i="75" s="1"/>
  <c r="AH712" i="75"/>
  <c r="AH714" i="75" s="1"/>
  <c r="J67" i="57"/>
  <c r="J58" i="57"/>
  <c r="Q615" i="75"/>
  <c r="Q618" i="75"/>
  <c r="Q730" i="75" s="1"/>
  <c r="Q734" i="75" s="1"/>
  <c r="Q651" i="75"/>
  <c r="AI618" i="75"/>
  <c r="AI730" i="75" s="1"/>
  <c r="AI615" i="75"/>
  <c r="AI651" i="75"/>
  <c r="K40" i="77" s="1"/>
  <c r="AM618" i="75"/>
  <c r="AM730" i="75" s="1"/>
  <c r="AM615" i="75"/>
  <c r="L534" i="50"/>
  <c r="L536" i="50"/>
  <c r="L611" i="50"/>
  <c r="L600" i="50"/>
  <c r="L602" i="50"/>
  <c r="L601" i="50"/>
  <c r="L589" i="50"/>
  <c r="H538" i="48"/>
  <c r="L545" i="50"/>
  <c r="L547" i="50"/>
  <c r="L623" i="50"/>
  <c r="L624" i="50"/>
  <c r="L590" i="50"/>
  <c r="L762" i="50"/>
  <c r="L768" i="50"/>
  <c r="L523" i="50"/>
  <c r="L567" i="50"/>
  <c r="M623" i="50"/>
  <c r="M622" i="50"/>
  <c r="L557" i="50"/>
  <c r="L568" i="50"/>
  <c r="H568" i="50"/>
  <c r="L578" i="50"/>
  <c r="L633" i="50"/>
  <c r="L634" i="50"/>
  <c r="L525" i="50"/>
  <c r="L579" i="50"/>
  <c r="J601" i="50"/>
  <c r="L556" i="50"/>
  <c r="L790" i="50"/>
  <c r="L613" i="50"/>
  <c r="L719" i="50"/>
  <c r="L730" i="50" s="1"/>
  <c r="L744" i="50" s="1"/>
  <c r="L792" i="50" s="1"/>
  <c r="G761" i="50"/>
  <c r="L718" i="50"/>
  <c r="L773" i="50"/>
  <c r="L761" i="50"/>
  <c r="J602" i="50"/>
  <c r="H567" i="50"/>
  <c r="I569" i="50"/>
  <c r="G773" i="50"/>
  <c r="F601" i="50"/>
  <c r="H589" i="50"/>
  <c r="M768" i="50"/>
  <c r="I567" i="50"/>
  <c r="H605" i="48"/>
  <c r="M762" i="50"/>
  <c r="J633" i="50"/>
  <c r="K534" i="50"/>
  <c r="G633" i="50"/>
  <c r="J613" i="50"/>
  <c r="I79" i="53"/>
  <c r="I92" i="53" s="1"/>
  <c r="I17" i="3" s="1"/>
  <c r="H22" i="48" s="1"/>
  <c r="H528" i="48" s="1"/>
  <c r="H543" i="48" s="1"/>
  <c r="K624" i="50"/>
  <c r="K535" i="50"/>
  <c r="G635" i="50"/>
  <c r="F556" i="50"/>
  <c r="K623" i="50"/>
  <c r="I580" i="50"/>
  <c r="I579" i="50"/>
  <c r="J635" i="50"/>
  <c r="F719" i="50"/>
  <c r="F730" i="50" s="1"/>
  <c r="F744" i="50" s="1"/>
  <c r="F766" i="50" s="1"/>
  <c r="AJ201" i="73"/>
  <c r="AJ221" i="73" s="1"/>
  <c r="AJ222" i="73" s="1"/>
  <c r="Q192" i="73"/>
  <c r="Q190" i="73"/>
  <c r="Q136" i="73"/>
  <c r="Q137" i="73" s="1"/>
  <c r="Q193" i="73"/>
  <c r="Q191" i="73"/>
  <c r="F557" i="50"/>
  <c r="M535" i="50"/>
  <c r="L108" i="38"/>
  <c r="L133" i="47"/>
  <c r="AU12" i="47" s="1"/>
  <c r="F218" i="52"/>
  <c r="F250" i="52" s="1"/>
  <c r="F212" i="52"/>
  <c r="M133" i="47"/>
  <c r="AV12" i="47" s="1"/>
  <c r="M108" i="38"/>
  <c r="AJ203" i="73"/>
  <c r="AJ207" i="73" s="1"/>
  <c r="AJ209" i="73" s="1"/>
  <c r="AJ225" i="73" s="1"/>
  <c r="AJ271" i="73" s="1"/>
  <c r="F71" i="77"/>
  <c r="G774" i="50"/>
  <c r="G718" i="50"/>
  <c r="G729" i="50" s="1"/>
  <c r="G743" i="50" s="1"/>
  <c r="K547" i="50"/>
  <c r="H591" i="50"/>
  <c r="G535" i="50"/>
  <c r="K133" i="47"/>
  <c r="AT12" i="47" s="1"/>
  <c r="K108" i="38"/>
  <c r="AJ194" i="73"/>
  <c r="G108" i="38"/>
  <c r="G133" i="47"/>
  <c r="AP12" i="47" s="1"/>
  <c r="I133" i="47"/>
  <c r="AR12" i="47" s="1"/>
  <c r="I108" i="38"/>
  <c r="AC232" i="74"/>
  <c r="AC234" i="74" s="1"/>
  <c r="AC238" i="74" s="1"/>
  <c r="AL226" i="74"/>
  <c r="AL232" i="74" s="1"/>
  <c r="AL234" i="74" s="1"/>
  <c r="AL238" i="74" s="1"/>
  <c r="G790" i="50"/>
  <c r="M534" i="50"/>
  <c r="G534" i="50"/>
  <c r="AA199" i="73"/>
  <c r="AA205" i="73" s="1"/>
  <c r="AA200" i="73"/>
  <c r="AA206" i="73" s="1"/>
  <c r="AA198" i="73"/>
  <c r="AA204" i="73" s="1"/>
  <c r="AA197" i="73"/>
  <c r="AK193" i="73"/>
  <c r="AK192" i="73"/>
  <c r="AK191" i="73"/>
  <c r="AK190" i="73"/>
  <c r="AK136" i="73"/>
  <c r="AK137" i="73" s="1"/>
  <c r="AF194" i="73"/>
  <c r="I718" i="50"/>
  <c r="I729" i="50" s="1"/>
  <c r="I743" i="50" s="1"/>
  <c r="J547" i="50"/>
  <c r="J567" i="50"/>
  <c r="F545" i="48"/>
  <c r="G545" i="48" s="1"/>
  <c r="H545" i="48" s="1"/>
  <c r="I545" i="48" s="1"/>
  <c r="J545" i="48" s="1"/>
  <c r="K545" i="48" s="1"/>
  <c r="L545" i="48" s="1"/>
  <c r="M545" i="48" s="1"/>
  <c r="G606" i="48"/>
  <c r="G543" i="48"/>
  <c r="G544" i="48" s="1"/>
  <c r="H133" i="47"/>
  <c r="AQ12" i="47" s="1"/>
  <c r="H108" i="38"/>
  <c r="Q232" i="74"/>
  <c r="Q234" i="74" s="1"/>
  <c r="Q238" i="74" s="1"/>
  <c r="Z226" i="74"/>
  <c r="I240" i="74"/>
  <c r="H255" i="74"/>
  <c r="R232" i="74"/>
  <c r="R234" i="74" s="1"/>
  <c r="R238" i="74" s="1"/>
  <c r="AA226" i="74"/>
  <c r="H86" i="37"/>
  <c r="H132" i="47"/>
  <c r="J86" i="37"/>
  <c r="J132" i="47"/>
  <c r="G91" i="34"/>
  <c r="G129" i="47"/>
  <c r="AP8" i="47" s="1"/>
  <c r="H129" i="47"/>
  <c r="AQ8" i="47" s="1"/>
  <c r="H91" i="34"/>
  <c r="F129" i="47"/>
  <c r="AO8" i="47" s="1"/>
  <c r="F91" i="34"/>
  <c r="F92" i="34" s="1"/>
  <c r="L129" i="47"/>
  <c r="AU8" i="47" s="1"/>
  <c r="L91" i="34"/>
  <c r="J92" i="34"/>
  <c r="G516" i="51"/>
  <c r="G526" i="51" s="1"/>
  <c r="G582" i="51" s="1"/>
  <c r="G478" i="51"/>
  <c r="G495" i="51"/>
  <c r="G479" i="51"/>
  <c r="G497" i="51"/>
  <c r="G467" i="51"/>
  <c r="G496" i="51"/>
  <c r="G466" i="51"/>
  <c r="G494" i="51"/>
  <c r="G450" i="51"/>
  <c r="G532" i="51" s="1"/>
  <c r="G576" i="51" s="1"/>
  <c r="G558" i="51"/>
  <c r="J558" i="51"/>
  <c r="G552" i="51"/>
  <c r="J546" i="51"/>
  <c r="H719" i="50"/>
  <c r="H730" i="50" s="1"/>
  <c r="H744" i="50" s="1"/>
  <c r="H792" i="50" s="1"/>
  <c r="F462" i="51"/>
  <c r="F485" i="51"/>
  <c r="F461" i="51"/>
  <c r="F449" i="51"/>
  <c r="F531" i="51" s="1"/>
  <c r="S618" i="75"/>
  <c r="S730" i="75" s="1"/>
  <c r="S734" i="75" s="1"/>
  <c r="S615" i="75"/>
  <c r="S651" i="75"/>
  <c r="G472" i="51"/>
  <c r="G486" i="51"/>
  <c r="G463" i="51"/>
  <c r="G487" i="51"/>
  <c r="M91" i="34"/>
  <c r="M129" i="47"/>
  <c r="AV8" i="47" s="1"/>
  <c r="J474" i="51"/>
  <c r="J491" i="51"/>
  <c r="K474" i="51"/>
  <c r="K491" i="51"/>
  <c r="L161" i="73"/>
  <c r="L157" i="73"/>
  <c r="H618" i="75"/>
  <c r="H730" i="75" s="1"/>
  <c r="H651" i="75"/>
  <c r="H615" i="75"/>
  <c r="I218" i="52"/>
  <c r="I250" i="52" s="1"/>
  <c r="I212" i="52"/>
  <c r="J218" i="52"/>
  <c r="J250" i="52" s="1"/>
  <c r="J212" i="52"/>
  <c r="H231" i="52"/>
  <c r="H235" i="52" s="1"/>
  <c r="H264" i="52" s="1"/>
  <c r="H221" i="52"/>
  <c r="H229" i="52"/>
  <c r="H234" i="52" s="1"/>
  <c r="H263" i="52" s="1"/>
  <c r="H227" i="52"/>
  <c r="H233" i="52" s="1"/>
  <c r="K615" i="75"/>
  <c r="K618" i="75"/>
  <c r="K730" i="75" s="1"/>
  <c r="K734" i="75" s="1"/>
  <c r="K651" i="75"/>
  <c r="G762" i="50"/>
  <c r="M718" i="50"/>
  <c r="M729" i="50" s="1"/>
  <c r="M743" i="50" s="1"/>
  <c r="M791" i="50" s="1"/>
  <c r="K546" i="50"/>
  <c r="G730" i="50"/>
  <c r="G744" i="50" s="1"/>
  <c r="G792" i="50" s="1"/>
  <c r="J545" i="50"/>
  <c r="J568" i="50"/>
  <c r="J611" i="50"/>
  <c r="F472" i="51"/>
  <c r="F486" i="51"/>
  <c r="F463" i="51"/>
  <c r="F487" i="51"/>
  <c r="F132" i="47"/>
  <c r="F86" i="37"/>
  <c r="K194" i="73"/>
  <c r="AH201" i="73"/>
  <c r="AH221" i="73" s="1"/>
  <c r="AH222" i="73" s="1"/>
  <c r="AH203" i="73"/>
  <c r="AH207" i="73" s="1"/>
  <c r="AH209" i="73" s="1"/>
  <c r="G462" i="51"/>
  <c r="G485" i="51"/>
  <c r="L212" i="52"/>
  <c r="L218" i="52"/>
  <c r="L250" i="52" s="1"/>
  <c r="O618" i="75"/>
  <c r="O730" i="75" s="1"/>
  <c r="O615" i="75"/>
  <c r="O651" i="75"/>
  <c r="G40" i="77" s="1"/>
  <c r="H130" i="47"/>
  <c r="AQ9" i="47" s="1"/>
  <c r="H84" i="35"/>
  <c r="Y203" i="73"/>
  <c r="Y207" i="73" s="1"/>
  <c r="Y209" i="73" s="1"/>
  <c r="Y201" i="73"/>
  <c r="Y221" i="73" s="1"/>
  <c r="Y222" i="73" s="1"/>
  <c r="L132" i="47"/>
  <c r="L86" i="37"/>
  <c r="F488" i="51"/>
  <c r="F473" i="51"/>
  <c r="I78" i="57"/>
  <c r="I79" i="57"/>
  <c r="K200" i="73"/>
  <c r="K206" i="73" s="1"/>
  <c r="K197" i="73"/>
  <c r="K199" i="73"/>
  <c r="K205" i="73" s="1"/>
  <c r="K198" i="73"/>
  <c r="K204" i="73" s="1"/>
  <c r="J201" i="73"/>
  <c r="J221" i="73" s="1"/>
  <c r="J222" i="73" s="1"/>
  <c r="J203" i="73"/>
  <c r="J207" i="73" s="1"/>
  <c r="J209" i="73" s="1"/>
  <c r="G461" i="51"/>
  <c r="G449" i="51"/>
  <c r="G531" i="51" s="1"/>
  <c r="J108" i="38"/>
  <c r="J133" i="47"/>
  <c r="AS12" i="47" s="1"/>
  <c r="I129" i="47"/>
  <c r="AR8" i="47" s="1"/>
  <c r="I91" i="34"/>
  <c r="AJ618" i="75"/>
  <c r="AJ730" i="75" s="1"/>
  <c r="AJ651" i="75"/>
  <c r="AJ615" i="75"/>
  <c r="AG201" i="73"/>
  <c r="AG221" i="73" s="1"/>
  <c r="AG222" i="73" s="1"/>
  <c r="AG203" i="73"/>
  <c r="AG207" i="73" s="1"/>
  <c r="AG209" i="73" s="1"/>
  <c r="K719" i="50"/>
  <c r="K730" i="50" s="1"/>
  <c r="K744" i="50" s="1"/>
  <c r="I58" i="57"/>
  <c r="I67" i="57"/>
  <c r="O712" i="75"/>
  <c r="O714" i="75" s="1"/>
  <c r="O670" i="75"/>
  <c r="O724" i="75" s="1"/>
  <c r="O726" i="75" s="1"/>
  <c r="I651" i="75"/>
  <c r="I618" i="75"/>
  <c r="I730" i="75" s="1"/>
  <c r="I615" i="75"/>
  <c r="G488" i="51"/>
  <c r="G473" i="51"/>
  <c r="AQ670" i="75"/>
  <c r="AQ724" i="75" s="1"/>
  <c r="AQ726" i="75" s="1"/>
  <c r="AQ712" i="75"/>
  <c r="AQ714" i="75" s="1"/>
  <c r="AB201" i="73"/>
  <c r="AB221" i="73" s="1"/>
  <c r="AB222" i="73" s="1"/>
  <c r="AB203" i="73"/>
  <c r="AB207" i="73" s="1"/>
  <c r="AB209" i="73" s="1"/>
  <c r="AJ712" i="75"/>
  <c r="AJ714" i="75" s="1"/>
  <c r="AJ670" i="75"/>
  <c r="AJ724" i="75" s="1"/>
  <c r="AJ726" i="75" s="1"/>
  <c r="AL201" i="73"/>
  <c r="AL221" i="73" s="1"/>
  <c r="AL222" i="73" s="1"/>
  <c r="AL203" i="73"/>
  <c r="AL207" i="73" s="1"/>
  <c r="AL209" i="73" s="1"/>
  <c r="AQ615" i="75"/>
  <c r="AQ618" i="75"/>
  <c r="AQ730" i="75" s="1"/>
  <c r="AQ651" i="75"/>
  <c r="M218" i="52"/>
  <c r="M250" i="52" s="1"/>
  <c r="M212" i="52"/>
  <c r="H718" i="50"/>
  <c r="H729" i="50" s="1"/>
  <c r="H743" i="50" s="1"/>
  <c r="F718" i="50"/>
  <c r="K718" i="50"/>
  <c r="M719" i="50"/>
  <c r="M730" i="50" s="1"/>
  <c r="M744" i="50" s="1"/>
  <c r="M766" i="50" s="1"/>
  <c r="J719" i="50"/>
  <c r="J730" i="50" s="1"/>
  <c r="J744" i="50" s="1"/>
  <c r="J766" i="50" s="1"/>
  <c r="F600" i="50"/>
  <c r="F649" i="48"/>
  <c r="F681" i="48" s="1"/>
  <c r="K569" i="50"/>
  <c r="K567" i="50"/>
  <c r="K568" i="50"/>
  <c r="K768" i="50"/>
  <c r="K774" i="50"/>
  <c r="K762" i="50"/>
  <c r="K558" i="50"/>
  <c r="K557" i="50"/>
  <c r="K556" i="50"/>
  <c r="K611" i="50"/>
  <c r="K612" i="50"/>
  <c r="K613" i="50"/>
  <c r="M590" i="50"/>
  <c r="M591" i="50"/>
  <c r="M589" i="50"/>
  <c r="M579" i="50"/>
  <c r="M580" i="50"/>
  <c r="M578" i="50"/>
  <c r="M761" i="50"/>
  <c r="M767" i="50"/>
  <c r="M773" i="50"/>
  <c r="M790" i="50"/>
  <c r="M613" i="50"/>
  <c r="M611" i="50"/>
  <c r="M612" i="50"/>
  <c r="M545" i="50"/>
  <c r="M546" i="50"/>
  <c r="M547" i="50"/>
  <c r="H761" i="50"/>
  <c r="H767" i="50"/>
  <c r="H773" i="50"/>
  <c r="H790" i="50"/>
  <c r="H523" i="50"/>
  <c r="H525" i="50"/>
  <c r="H524" i="50"/>
  <c r="H578" i="50"/>
  <c r="H580" i="50"/>
  <c r="H579" i="50"/>
  <c r="H634" i="50"/>
  <c r="H633" i="50"/>
  <c r="H635" i="50"/>
  <c r="H768" i="50"/>
  <c r="H762" i="50"/>
  <c r="H774" i="50"/>
  <c r="H601" i="50"/>
  <c r="H602" i="50"/>
  <c r="H600" i="50"/>
  <c r="G612" i="50"/>
  <c r="G613" i="50"/>
  <c r="G611" i="50"/>
  <c r="G545" i="50"/>
  <c r="G547" i="50"/>
  <c r="G546" i="50"/>
  <c r="G567" i="50"/>
  <c r="G569" i="50"/>
  <c r="G568" i="50"/>
  <c r="I622" i="50"/>
  <c r="I624" i="50"/>
  <c r="I623" i="50"/>
  <c r="I535" i="50"/>
  <c r="I536" i="50"/>
  <c r="I534" i="50"/>
  <c r="I634" i="50"/>
  <c r="I635" i="50"/>
  <c r="I633" i="50"/>
  <c r="I591" i="50"/>
  <c r="I589" i="50"/>
  <c r="I590" i="50"/>
  <c r="I545" i="50"/>
  <c r="I547" i="50"/>
  <c r="I546" i="50"/>
  <c r="J767" i="50"/>
  <c r="J790" i="50"/>
  <c r="J773" i="50"/>
  <c r="J761" i="50"/>
  <c r="J525" i="50"/>
  <c r="J524" i="50"/>
  <c r="J523" i="50"/>
  <c r="J762" i="50"/>
  <c r="J768" i="50"/>
  <c r="J774" i="50"/>
  <c r="F243" i="49"/>
  <c r="F263" i="49"/>
  <c r="F253" i="49"/>
  <c r="F569" i="50"/>
  <c r="F568" i="50"/>
  <c r="F567" i="50"/>
  <c r="F611" i="50"/>
  <c r="F613" i="50"/>
  <c r="F612" i="50"/>
  <c r="K589" i="50"/>
  <c r="K590" i="50"/>
  <c r="K591" i="50"/>
  <c r="M602" i="50"/>
  <c r="M601" i="50"/>
  <c r="M600" i="50"/>
  <c r="H557" i="50"/>
  <c r="H556" i="50"/>
  <c r="H558" i="50"/>
  <c r="H733" i="50"/>
  <c r="H747" i="50" s="1"/>
  <c r="H789" i="50" s="1"/>
  <c r="G589" i="50"/>
  <c r="G590" i="50"/>
  <c r="G591" i="50"/>
  <c r="G525" i="50"/>
  <c r="G524" i="50"/>
  <c r="G523" i="50"/>
  <c r="I523" i="50"/>
  <c r="I525" i="50"/>
  <c r="I524" i="50"/>
  <c r="I767" i="50"/>
  <c r="I790" i="50"/>
  <c r="I773" i="50"/>
  <c r="I761" i="50"/>
  <c r="J623" i="50"/>
  <c r="J622" i="50"/>
  <c r="J624" i="50"/>
  <c r="J735" i="50"/>
  <c r="J749" i="50" s="1"/>
  <c r="J793" i="50" s="1"/>
  <c r="J733" i="50"/>
  <c r="J747" i="50" s="1"/>
  <c r="J789" i="50" s="1"/>
  <c r="F733" i="50"/>
  <c r="F747" i="50" s="1"/>
  <c r="F789" i="50" s="1"/>
  <c r="F773" i="50"/>
  <c r="F790" i="50"/>
  <c r="F767" i="50"/>
  <c r="F761" i="50"/>
  <c r="F547" i="50"/>
  <c r="F546" i="50"/>
  <c r="F545" i="50"/>
  <c r="K633" i="50"/>
  <c r="K635" i="50"/>
  <c r="K634" i="50"/>
  <c r="K579" i="50"/>
  <c r="K578" i="50"/>
  <c r="K580" i="50"/>
  <c r="K773" i="50"/>
  <c r="K790" i="50"/>
  <c r="K761" i="50"/>
  <c r="K767" i="50"/>
  <c r="M567" i="50"/>
  <c r="M568" i="50"/>
  <c r="M569" i="50"/>
  <c r="M735" i="50"/>
  <c r="M749" i="50" s="1"/>
  <c r="M793" i="50" s="1"/>
  <c r="H545" i="50"/>
  <c r="H546" i="50"/>
  <c r="H547" i="50"/>
  <c r="H623" i="50"/>
  <c r="H622" i="50"/>
  <c r="H624" i="50"/>
  <c r="H611" i="50"/>
  <c r="H613" i="50"/>
  <c r="H612" i="50"/>
  <c r="G579" i="50"/>
  <c r="G580" i="50"/>
  <c r="G578" i="50"/>
  <c r="G558" i="50"/>
  <c r="G557" i="50"/>
  <c r="G556" i="50"/>
  <c r="I557" i="50"/>
  <c r="I558" i="50"/>
  <c r="I556" i="50"/>
  <c r="I768" i="50"/>
  <c r="I762" i="50"/>
  <c r="I774" i="50"/>
  <c r="I600" i="50"/>
  <c r="I601" i="50"/>
  <c r="I602" i="50"/>
  <c r="I733" i="50"/>
  <c r="I747" i="50" s="1"/>
  <c r="I789" i="50" s="1"/>
  <c r="I613" i="50"/>
  <c r="I612" i="50"/>
  <c r="I611" i="50"/>
  <c r="I719" i="50"/>
  <c r="I730" i="50" s="1"/>
  <c r="I744" i="50" s="1"/>
  <c r="J589" i="50"/>
  <c r="J591" i="50"/>
  <c r="J590" i="50"/>
  <c r="J718" i="50"/>
  <c r="J535" i="50"/>
  <c r="J534" i="50"/>
  <c r="J536" i="50"/>
  <c r="F590" i="50"/>
  <c r="F589" i="50"/>
  <c r="F591" i="50"/>
  <c r="F536" i="50"/>
  <c r="F535" i="50"/>
  <c r="F534" i="50"/>
  <c r="F635" i="50"/>
  <c r="F634" i="50"/>
  <c r="F633" i="50"/>
  <c r="F523" i="50"/>
  <c r="F525" i="50"/>
  <c r="F524" i="50"/>
  <c r="K735" i="50"/>
  <c r="K749" i="50" s="1"/>
  <c r="K793" i="50" s="1"/>
  <c r="K524" i="50"/>
  <c r="K525" i="50"/>
  <c r="K523" i="50"/>
  <c r="K601" i="50"/>
  <c r="K602" i="50"/>
  <c r="K600" i="50"/>
  <c r="M524" i="50"/>
  <c r="M523" i="50"/>
  <c r="M525" i="50"/>
  <c r="M633" i="50"/>
  <c r="M634" i="50"/>
  <c r="M635" i="50"/>
  <c r="M557" i="50"/>
  <c r="M558" i="50"/>
  <c r="M556" i="50"/>
  <c r="H535" i="50"/>
  <c r="H534" i="50"/>
  <c r="H536" i="50"/>
  <c r="G622" i="50"/>
  <c r="G623" i="50"/>
  <c r="G624" i="50"/>
  <c r="G602" i="50"/>
  <c r="G600" i="50"/>
  <c r="G601" i="50"/>
  <c r="I735" i="50"/>
  <c r="I749" i="50" s="1"/>
  <c r="I793" i="50" s="1"/>
  <c r="J580" i="50"/>
  <c r="J578" i="50"/>
  <c r="J579" i="50"/>
  <c r="J557" i="50"/>
  <c r="J556" i="50"/>
  <c r="J558" i="50"/>
  <c r="F622" i="50"/>
  <c r="F623" i="50"/>
  <c r="F624" i="50"/>
  <c r="F768" i="50"/>
  <c r="F774" i="50"/>
  <c r="F762" i="50"/>
  <c r="F578" i="50"/>
  <c r="F579" i="50"/>
  <c r="F580" i="50"/>
  <c r="I23" i="48"/>
  <c r="I60" i="57"/>
  <c r="I66" i="57" s="1"/>
  <c r="I537" i="48"/>
  <c r="I605" i="48"/>
  <c r="V199" i="73"/>
  <c r="V205" i="73" s="1"/>
  <c r="V200" i="73"/>
  <c r="V206" i="73" s="1"/>
  <c r="V197" i="73"/>
  <c r="V198" i="73"/>
  <c r="V204" i="73" s="1"/>
  <c r="K78" i="53"/>
  <c r="K91" i="53" s="1"/>
  <c r="K16" i="3" s="1"/>
  <c r="J21" i="48" s="1"/>
  <c r="J527" i="48" s="1"/>
  <c r="J537" i="48" s="1"/>
  <c r="K93" i="53"/>
  <c r="K18" i="3" s="1"/>
  <c r="AP194" i="73"/>
  <c r="F138" i="47"/>
  <c r="AO17" i="47" s="1"/>
  <c r="J79" i="53"/>
  <c r="J92" i="53" s="1"/>
  <c r="J17" i="3" s="1"/>
  <c r="I22" i="48" s="1"/>
  <c r="I528" i="48" s="1"/>
  <c r="L131" i="47"/>
  <c r="L108" i="36"/>
  <c r="V194" i="73"/>
  <c r="I436" i="41"/>
  <c r="I456" i="41"/>
  <c r="I446" i="41"/>
  <c r="R225" i="73"/>
  <c r="R271" i="73" s="1"/>
  <c r="H36" i="76"/>
  <c r="R210" i="73"/>
  <c r="L80" i="53"/>
  <c r="K98" i="44" s="1"/>
  <c r="K99" i="44" s="1"/>
  <c r="M74" i="53"/>
  <c r="AP198" i="73"/>
  <c r="AP204" i="73" s="1"/>
  <c r="AP199" i="73"/>
  <c r="AP205" i="73" s="1"/>
  <c r="AP200" i="73"/>
  <c r="AP206" i="73" s="1"/>
  <c r="AP197" i="73"/>
  <c r="M131" i="47"/>
  <c r="M108" i="36"/>
  <c r="AF198" i="73"/>
  <c r="AF204" i="73" s="1"/>
  <c r="AF199" i="73"/>
  <c r="AF205" i="73" s="1"/>
  <c r="AF200" i="73"/>
  <c r="AF206" i="73" s="1"/>
  <c r="AF197" i="73"/>
  <c r="AP9" i="47" l="1"/>
  <c r="AR9" i="47"/>
  <c r="AO9" i="47"/>
  <c r="AV14" i="47"/>
  <c r="AV34" i="47" s="1"/>
  <c r="AS9" i="47"/>
  <c r="K229" i="52"/>
  <c r="K234" i="52" s="1"/>
  <c r="K263" i="52" s="1"/>
  <c r="K250" i="52"/>
  <c r="F102" i="76"/>
  <c r="F195" i="47" s="1"/>
  <c r="S29" i="47" s="1"/>
  <c r="J84" i="35"/>
  <c r="AW21" i="47"/>
  <c r="G734" i="75"/>
  <c r="AE734" i="75"/>
  <c r="M210" i="73"/>
  <c r="K130" i="47"/>
  <c r="AT9" i="47" s="1"/>
  <c r="K83" i="35"/>
  <c r="K84" i="35" s="1"/>
  <c r="G36" i="76"/>
  <c r="G67" i="76" s="1"/>
  <c r="L156" i="73"/>
  <c r="M156" i="73" s="1"/>
  <c r="Z198" i="73"/>
  <c r="Z204" i="73" s="1"/>
  <c r="K80" i="57"/>
  <c r="K136" i="47"/>
  <c r="Z197" i="73"/>
  <c r="Z203" i="73" s="1"/>
  <c r="Z199" i="73"/>
  <c r="Z205" i="73" s="1"/>
  <c r="Z194" i="73"/>
  <c r="AN207" i="73"/>
  <c r="AN209" i="73" s="1"/>
  <c r="Y254" i="74"/>
  <c r="I295" i="49"/>
  <c r="G295" i="49"/>
  <c r="AC210" i="73"/>
  <c r="AN201" i="73"/>
  <c r="AN221" i="73" s="1"/>
  <c r="AN222" i="73" s="1"/>
  <c r="G253" i="52"/>
  <c r="I138" i="47"/>
  <c r="AR17" i="47" s="1"/>
  <c r="T207" i="73"/>
  <c r="T209" i="73" s="1"/>
  <c r="T210" i="73" s="1"/>
  <c r="G134" i="47"/>
  <c r="AP13" i="47" s="1"/>
  <c r="I134" i="47"/>
  <c r="AR13" i="47" s="1"/>
  <c r="L134" i="47"/>
  <c r="AU13" i="47" s="1"/>
  <c r="M134" i="47"/>
  <c r="AV13" i="47" s="1"/>
  <c r="H134" i="47"/>
  <c r="AQ13" i="47" s="1"/>
  <c r="G115" i="40"/>
  <c r="K135" i="47"/>
  <c r="AT14" i="47" s="1"/>
  <c r="M92" i="34"/>
  <c r="I92" i="34"/>
  <c r="G92" i="34"/>
  <c r="AQ210" i="73"/>
  <c r="AQ225" i="73"/>
  <c r="AQ271" i="73" s="1"/>
  <c r="AG734" i="75"/>
  <c r="M79" i="39"/>
  <c r="H79" i="39"/>
  <c r="AP226" i="74"/>
  <c r="AP232" i="74" s="1"/>
  <c r="AP234" i="74" s="1"/>
  <c r="AP238" i="74" s="1"/>
  <c r="AP254" i="74" s="1"/>
  <c r="AG254" i="74"/>
  <c r="H734" i="75"/>
  <c r="T201" i="73"/>
  <c r="T221" i="73" s="1"/>
  <c r="T222" i="73" s="1"/>
  <c r="H71" i="77"/>
  <c r="I79" i="39"/>
  <c r="F210" i="49"/>
  <c r="F211" i="49" s="1"/>
  <c r="AE201" i="73"/>
  <c r="AE221" i="73" s="1"/>
  <c r="AE222" i="73" s="1"/>
  <c r="F214" i="49"/>
  <c r="F234" i="49" s="1"/>
  <c r="F287" i="49" s="1"/>
  <c r="AR734" i="75"/>
  <c r="I526" i="48"/>
  <c r="L79" i="39"/>
  <c r="G135" i="47"/>
  <c r="F134" i="47"/>
  <c r="AO13" i="47" s="1"/>
  <c r="F79" i="39"/>
  <c r="G79" i="39"/>
  <c r="K115" i="40"/>
  <c r="H112" i="40"/>
  <c r="F115" i="40"/>
  <c r="X210" i="73"/>
  <c r="W210" i="73"/>
  <c r="G221" i="52"/>
  <c r="S210" i="73"/>
  <c r="X225" i="73"/>
  <c r="X271" i="73" s="1"/>
  <c r="W225" i="73"/>
  <c r="W271" i="73" s="1"/>
  <c r="S225" i="73"/>
  <c r="S271" i="73" s="1"/>
  <c r="AM210" i="73"/>
  <c r="I623" i="48"/>
  <c r="I771" i="48" s="1"/>
  <c r="T254" i="74"/>
  <c r="X734" i="75"/>
  <c r="R734" i="75"/>
  <c r="M158" i="73"/>
  <c r="N158" i="73" s="1"/>
  <c r="AI207" i="73"/>
  <c r="AI209" i="73" s="1"/>
  <c r="AI210" i="73" s="1"/>
  <c r="AD232" i="74"/>
  <c r="AD234" i="74" s="1"/>
  <c r="AD238" i="74" s="1"/>
  <c r="AD242" i="74" s="1"/>
  <c r="AD311" i="74" s="1"/>
  <c r="AD315" i="74" s="1"/>
  <c r="AK226" i="74"/>
  <c r="AK232" i="74" s="1"/>
  <c r="AK234" i="74" s="1"/>
  <c r="AK238" i="74" s="1"/>
  <c r="AK254" i="74" s="1"/>
  <c r="N225" i="73"/>
  <c r="N271" i="73" s="1"/>
  <c r="M82" i="35"/>
  <c r="M83" i="35"/>
  <c r="H253" i="52"/>
  <c r="V734" i="75"/>
  <c r="T734" i="75"/>
  <c r="H43" i="77" s="1"/>
  <c r="H108" i="77" s="1"/>
  <c r="H196" i="47" s="1"/>
  <c r="U30" i="47" s="1"/>
  <c r="L83" i="35"/>
  <c r="L82" i="35"/>
  <c r="AN734" i="75"/>
  <c r="L43" i="77" s="1"/>
  <c r="L108" i="77" s="1"/>
  <c r="L196" i="47" s="1"/>
  <c r="Y30" i="47" s="1"/>
  <c r="O210" i="73"/>
  <c r="Z734" i="75"/>
  <c r="G533" i="48"/>
  <c r="AI201" i="73"/>
  <c r="AI221" i="73" s="1"/>
  <c r="AI222" i="73" s="1"/>
  <c r="K558" i="51"/>
  <c r="K552" i="51"/>
  <c r="AS714" i="75"/>
  <c r="J734" i="75"/>
  <c r="F43" i="77" s="1"/>
  <c r="F108" i="77" s="1"/>
  <c r="F196" i="47" s="1"/>
  <c r="S30" i="47" s="1"/>
  <c r="AM734" i="75"/>
  <c r="AF734" i="75"/>
  <c r="J265" i="73"/>
  <c r="J217" i="73"/>
  <c r="J218" i="73" s="1"/>
  <c r="J219" i="73" s="1"/>
  <c r="I210" i="73"/>
  <c r="I225" i="73"/>
  <c r="I271" i="73" s="1"/>
  <c r="I275" i="73" s="1"/>
  <c r="I279" i="73" s="1"/>
  <c r="I284" i="73" s="1"/>
  <c r="H546" i="51"/>
  <c r="H558" i="51"/>
  <c r="H552" i="51"/>
  <c r="J264" i="73"/>
  <c r="AS726" i="75"/>
  <c r="AS734" i="75" s="1"/>
  <c r="M43" i="77" s="1"/>
  <c r="M108" i="77" s="1"/>
  <c r="M196" i="47" s="1"/>
  <c r="Z30" i="47" s="1"/>
  <c r="L734" i="75"/>
  <c r="N734" i="75"/>
  <c r="K535" i="51"/>
  <c r="K579" i="51" s="1"/>
  <c r="AB670" i="75"/>
  <c r="AB724" i="75" s="1"/>
  <c r="AB726" i="75" s="1"/>
  <c r="AB734" i="75" s="1"/>
  <c r="L194" i="73"/>
  <c r="L197" i="73"/>
  <c r="L203" i="73" s="1"/>
  <c r="F546" i="51"/>
  <c r="L200" i="73"/>
  <c r="L206" i="73" s="1"/>
  <c r="AD225" i="73"/>
  <c r="AD271" i="73" s="1"/>
  <c r="AD210" i="73"/>
  <c r="V254" i="74"/>
  <c r="V242" i="74"/>
  <c r="V311" i="74" s="1"/>
  <c r="V315" i="74" s="1"/>
  <c r="F205" i="49"/>
  <c r="G227" i="52"/>
  <c r="G233" i="52" s="1"/>
  <c r="G262" i="52" s="1"/>
  <c r="P734" i="75"/>
  <c r="AO194" i="73"/>
  <c r="H138" i="47"/>
  <c r="AQ17" i="47" s="1"/>
  <c r="I734" i="75"/>
  <c r="AO198" i="73"/>
  <c r="AO204" i="73" s="1"/>
  <c r="AO199" i="73"/>
  <c r="AO205" i="73" s="1"/>
  <c r="AO197" i="73"/>
  <c r="AO200" i="73"/>
  <c r="AO206" i="73" s="1"/>
  <c r="I622" i="48"/>
  <c r="I769" i="48" s="1"/>
  <c r="L198" i="73"/>
  <c r="L204" i="73" s="1"/>
  <c r="J112" i="44"/>
  <c r="M558" i="51"/>
  <c r="L558" i="51"/>
  <c r="L552" i="51"/>
  <c r="G624" i="48"/>
  <c r="G773" i="48" s="1"/>
  <c r="G622" i="48"/>
  <c r="G769" i="48" s="1"/>
  <c r="I621" i="48"/>
  <c r="I746" i="48" s="1"/>
  <c r="I762" i="48" s="1"/>
  <c r="G229" i="52"/>
  <c r="G234" i="52" s="1"/>
  <c r="G263" i="52" s="1"/>
  <c r="H622" i="48"/>
  <c r="H769" i="48" s="1"/>
  <c r="G620" i="48"/>
  <c r="G1159" i="48" s="1"/>
  <c r="I624" i="48"/>
  <c r="I773" i="48" s="1"/>
  <c r="G621" i="48"/>
  <c r="G746" i="48" s="1"/>
  <c r="G754" i="48" s="1"/>
  <c r="G623" i="48"/>
  <c r="G771" i="48" s="1"/>
  <c r="H112" i="44"/>
  <c r="I254" i="49"/>
  <c r="I264" i="49"/>
  <c r="I244" i="49"/>
  <c r="I184" i="49"/>
  <c r="I220" i="49"/>
  <c r="I294" i="49" s="1"/>
  <c r="G254" i="49"/>
  <c r="G264" i="49"/>
  <c r="G244" i="49"/>
  <c r="G266" i="49"/>
  <c r="G246" i="49"/>
  <c r="G256" i="49"/>
  <c r="P201" i="73"/>
  <c r="P221" i="73" s="1"/>
  <c r="P222" i="73" s="1"/>
  <c r="O734" i="75"/>
  <c r="G43" i="77" s="1"/>
  <c r="G108" i="77" s="1"/>
  <c r="G196" i="47" s="1"/>
  <c r="T30" i="47" s="1"/>
  <c r="G231" i="52"/>
  <c r="G235" i="52" s="1"/>
  <c r="G264" i="52" s="1"/>
  <c r="I249" i="49"/>
  <c r="I259" i="49"/>
  <c r="I269" i="49"/>
  <c r="I268" i="49"/>
  <c r="I258" i="49"/>
  <c r="I248" i="49"/>
  <c r="I257" i="49"/>
  <c r="I267" i="49"/>
  <c r="I247" i="49"/>
  <c r="I246" i="49"/>
  <c r="I266" i="49"/>
  <c r="I256" i="49"/>
  <c r="G202" i="49"/>
  <c r="G210" i="49" s="1"/>
  <c r="G248" i="49"/>
  <c r="G258" i="49"/>
  <c r="G268" i="49"/>
  <c r="G270" i="49"/>
  <c r="G250" i="49"/>
  <c r="G260" i="49"/>
  <c r="J161" i="49"/>
  <c r="J160" i="49"/>
  <c r="G162" i="49"/>
  <c r="I533" i="48"/>
  <c r="I619" i="48"/>
  <c r="K116" i="44"/>
  <c r="K27" i="48" s="1"/>
  <c r="K35" i="48" s="1"/>
  <c r="K623" i="48" s="1"/>
  <c r="K771" i="48" s="1"/>
  <c r="K117" i="44"/>
  <c r="K15" i="49" s="1"/>
  <c r="K27" i="49" s="1"/>
  <c r="K118" i="44"/>
  <c r="K19" i="49" s="1"/>
  <c r="K32" i="49" s="1"/>
  <c r="I245" i="49"/>
  <c r="I265" i="49"/>
  <c r="I255" i="49"/>
  <c r="I155" i="49"/>
  <c r="I203" i="49"/>
  <c r="I214" i="49" s="1"/>
  <c r="I250" i="49"/>
  <c r="I270" i="49"/>
  <c r="I260" i="49"/>
  <c r="G220" i="49"/>
  <c r="G294" i="49" s="1"/>
  <c r="G184" i="49"/>
  <c r="G257" i="49"/>
  <c r="G267" i="49"/>
  <c r="G247" i="49"/>
  <c r="J180" i="49"/>
  <c r="J226" i="49" s="1"/>
  <c r="J176" i="49"/>
  <c r="J222" i="49" s="1"/>
  <c r="J190" i="49"/>
  <c r="J154" i="49"/>
  <c r="J203" i="49" s="1"/>
  <c r="J214" i="49" s="1"/>
  <c r="J181" i="49"/>
  <c r="J227" i="49" s="1"/>
  <c r="J293" i="49" s="1"/>
  <c r="J197" i="49"/>
  <c r="J288" i="49" s="1"/>
  <c r="J182" i="49"/>
  <c r="J228" i="49" s="1"/>
  <c r="J193" i="49"/>
  <c r="J175" i="49"/>
  <c r="J192" i="49"/>
  <c r="J290" i="49" s="1"/>
  <c r="J177" i="49"/>
  <c r="J223" i="49" s="1"/>
  <c r="J196" i="49"/>
  <c r="J174" i="49"/>
  <c r="J179" i="49"/>
  <c r="J225" i="49" s="1"/>
  <c r="J194" i="49"/>
  <c r="J195" i="49"/>
  <c r="J153" i="49"/>
  <c r="J191" i="49"/>
  <c r="J286" i="49" s="1"/>
  <c r="J178" i="49"/>
  <c r="J224" i="49" s="1"/>
  <c r="J189" i="49"/>
  <c r="J289" i="49" s="1"/>
  <c r="J183" i="49"/>
  <c r="J229" i="49" s="1"/>
  <c r="J296" i="49" s="1"/>
  <c r="H191" i="49"/>
  <c r="H286" i="49" s="1"/>
  <c r="H190" i="49"/>
  <c r="H178" i="49"/>
  <c r="H224" i="49" s="1"/>
  <c r="H177" i="49"/>
  <c r="H223" i="49" s="1"/>
  <c r="H195" i="49"/>
  <c r="H153" i="49"/>
  <c r="H192" i="49"/>
  <c r="H290" i="49" s="1"/>
  <c r="H183" i="49"/>
  <c r="H229" i="49" s="1"/>
  <c r="H296" i="49" s="1"/>
  <c r="H174" i="49"/>
  <c r="H197" i="49"/>
  <c r="H288" i="49" s="1"/>
  <c r="H189" i="49"/>
  <c r="H289" i="49" s="1"/>
  <c r="H179" i="49"/>
  <c r="H225" i="49" s="1"/>
  <c r="H175" i="49"/>
  <c r="H193" i="49"/>
  <c r="H182" i="49"/>
  <c r="H228" i="49" s="1"/>
  <c r="H181" i="49"/>
  <c r="H227" i="49" s="1"/>
  <c r="H293" i="49" s="1"/>
  <c r="H196" i="49"/>
  <c r="H180" i="49"/>
  <c r="H226" i="49" s="1"/>
  <c r="H194" i="49"/>
  <c r="H154" i="49"/>
  <c r="H176" i="49"/>
  <c r="H222" i="49" s="1"/>
  <c r="K221" i="52"/>
  <c r="AP734" i="75"/>
  <c r="U194" i="73"/>
  <c r="I202" i="49"/>
  <c r="G155" i="49"/>
  <c r="G203" i="49"/>
  <c r="G214" i="49" s="1"/>
  <c r="G245" i="49"/>
  <c r="G255" i="49"/>
  <c r="G265" i="49"/>
  <c r="G249" i="49"/>
  <c r="G259" i="49"/>
  <c r="G269" i="49"/>
  <c r="I162" i="49"/>
  <c r="F260" i="49"/>
  <c r="F273" i="49" s="1"/>
  <c r="F270" i="49"/>
  <c r="F274" i="49" s="1"/>
  <c r="F250" i="49"/>
  <c r="F272" i="49" s="1"/>
  <c r="H161" i="49"/>
  <c r="H160" i="49"/>
  <c r="M546" i="51"/>
  <c r="F536" i="51"/>
  <c r="F67" i="76"/>
  <c r="F66" i="76"/>
  <c r="F18" i="41" s="1"/>
  <c r="P207" i="73"/>
  <c r="P209" i="73" s="1"/>
  <c r="P225" i="73" s="1"/>
  <c r="P271" i="73" s="1"/>
  <c r="K227" i="52"/>
  <c r="K233" i="52" s="1"/>
  <c r="K262" i="52" s="1"/>
  <c r="U197" i="73"/>
  <c r="U198" i="73"/>
  <c r="U204" i="73" s="1"/>
  <c r="U199" i="73"/>
  <c r="U205" i="73" s="1"/>
  <c r="U200" i="73"/>
  <c r="U206" i="73" s="1"/>
  <c r="F558" i="51"/>
  <c r="K231" i="52"/>
  <c r="K235" i="52" s="1"/>
  <c r="K264" i="52" s="1"/>
  <c r="I71" i="77"/>
  <c r="K215" i="73"/>
  <c r="K216" i="73" s="1"/>
  <c r="AO226" i="74"/>
  <c r="AO232" i="74" s="1"/>
  <c r="AO234" i="74" s="1"/>
  <c r="AO238" i="74" s="1"/>
  <c r="AO254" i="74" s="1"/>
  <c r="F1272" i="48"/>
  <c r="AL734" i="75"/>
  <c r="J624" i="48"/>
  <c r="J773" i="48" s="1"/>
  <c r="AK734" i="75"/>
  <c r="J619" i="48"/>
  <c r="J643" i="48" s="1"/>
  <c r="J660" i="48" s="1"/>
  <c r="J722" i="48" s="1"/>
  <c r="AD734" i="75"/>
  <c r="J43" i="77" s="1"/>
  <c r="J108" i="77" s="1"/>
  <c r="J196" i="47" s="1"/>
  <c r="W30" i="47" s="1"/>
  <c r="F1177" i="48"/>
  <c r="W734" i="75"/>
  <c r="G136" i="47"/>
  <c r="G80" i="57"/>
  <c r="F765" i="48"/>
  <c r="F1214" i="48" s="1"/>
  <c r="F764" i="48"/>
  <c r="F1213" i="48" s="1"/>
  <c r="AM242" i="74"/>
  <c r="AM311" i="74" s="1"/>
  <c r="AM315" i="74" s="1"/>
  <c r="AM254" i="74"/>
  <c r="AI734" i="75"/>
  <c r="K43" i="77" s="1"/>
  <c r="K108" i="77" s="1"/>
  <c r="K196" i="47" s="1"/>
  <c r="X30" i="47" s="1"/>
  <c r="L136" i="47"/>
  <c r="AU14" i="47" s="1"/>
  <c r="AU34" i="47" s="1"/>
  <c r="L80" i="57"/>
  <c r="L163" i="73"/>
  <c r="L164" i="73" s="1"/>
  <c r="L215" i="73" s="1"/>
  <c r="J622" i="48"/>
  <c r="J769" i="48" s="1"/>
  <c r="I1166" i="48"/>
  <c r="AH734" i="75"/>
  <c r="H620" i="48"/>
  <c r="H1167" i="48" s="1"/>
  <c r="AJ210" i="73"/>
  <c r="J533" i="48"/>
  <c r="I1156" i="48"/>
  <c r="AK194" i="73"/>
  <c r="L71" i="77"/>
  <c r="L70" i="77"/>
  <c r="I538" i="48"/>
  <c r="J538" i="48" s="1"/>
  <c r="AK199" i="73"/>
  <c r="AK205" i="73" s="1"/>
  <c r="I1157" i="48"/>
  <c r="I1155" i="48"/>
  <c r="F136" i="47"/>
  <c r="AO14" i="47" s="1"/>
  <c r="F80" i="57"/>
  <c r="AO734" i="75"/>
  <c r="M70" i="77"/>
  <c r="M71" i="77"/>
  <c r="AH242" i="74"/>
  <c r="AH311" i="74" s="1"/>
  <c r="AH315" i="74" s="1"/>
  <c r="AH254" i="74"/>
  <c r="K71" i="77"/>
  <c r="K70" i="77"/>
  <c r="J71" i="77"/>
  <c r="J70" i="77"/>
  <c r="AQ254" i="74"/>
  <c r="AQ242" i="74"/>
  <c r="AQ311" i="74" s="1"/>
  <c r="AQ315" i="74" s="1"/>
  <c r="AK198" i="73"/>
  <c r="AK204" i="73" s="1"/>
  <c r="I1164" i="48"/>
  <c r="I1167" i="48"/>
  <c r="J80" i="57"/>
  <c r="J136" i="47"/>
  <c r="AS14" i="47" s="1"/>
  <c r="AS34" i="47" s="1"/>
  <c r="I1163" i="48"/>
  <c r="I1168" i="48"/>
  <c r="J621" i="48"/>
  <c r="J746" i="48" s="1"/>
  <c r="J753" i="48" s="1"/>
  <c r="I1161" i="48"/>
  <c r="I1158" i="48"/>
  <c r="I742" i="48"/>
  <c r="I1172" i="48"/>
  <c r="I1207" i="48" s="1"/>
  <c r="I1176" i="48"/>
  <c r="I1211" i="48" s="1"/>
  <c r="I1174" i="48"/>
  <c r="I1209" i="48" s="1"/>
  <c r="I1175" i="48"/>
  <c r="I1210" i="48" s="1"/>
  <c r="I1277" i="48" s="1"/>
  <c r="I1165" i="48"/>
  <c r="I1160" i="48"/>
  <c r="I1171" i="48"/>
  <c r="I1206" i="48" s="1"/>
  <c r="I1154" i="48"/>
  <c r="I1173" i="48"/>
  <c r="I1208" i="48" s="1"/>
  <c r="I1162" i="48"/>
  <c r="I1170" i="48"/>
  <c r="I1205" i="48" s="1"/>
  <c r="J623" i="48"/>
  <c r="J771" i="48" s="1"/>
  <c r="H623" i="48"/>
  <c r="H771" i="48" s="1"/>
  <c r="H619" i="48"/>
  <c r="H640" i="48" s="1"/>
  <c r="H657" i="48" s="1"/>
  <c r="H672" i="48" s="1"/>
  <c r="H621" i="48"/>
  <c r="H746" i="48" s="1"/>
  <c r="H753" i="48" s="1"/>
  <c r="H624" i="48"/>
  <c r="H773" i="48" s="1"/>
  <c r="G642" i="48"/>
  <c r="G659" i="48" s="1"/>
  <c r="G674" i="48" s="1"/>
  <c r="G638" i="48"/>
  <c r="G655" i="48" s="1"/>
  <c r="G670" i="48" s="1"/>
  <c r="G630" i="48"/>
  <c r="G647" i="48" s="1"/>
  <c r="G662" i="48" s="1"/>
  <c r="G634" i="48"/>
  <c r="G637" i="48"/>
  <c r="G643" i="48"/>
  <c r="G660" i="48" s="1"/>
  <c r="G675" i="48" s="1"/>
  <c r="G633" i="48"/>
  <c r="G650" i="48" s="1"/>
  <c r="G665" i="48" s="1"/>
  <c r="G727" i="48" s="1"/>
  <c r="G827" i="48" s="1"/>
  <c r="G892" i="48" s="1"/>
  <c r="G632" i="48"/>
  <c r="G649" i="48" s="1"/>
  <c r="G711" i="48" s="1"/>
  <c r="G811" i="48" s="1"/>
  <c r="G876" i="48" s="1"/>
  <c r="G631" i="48"/>
  <c r="G636" i="48"/>
  <c r="G653" i="48" s="1"/>
  <c r="G715" i="48" s="1"/>
  <c r="G815" i="48" s="1"/>
  <c r="G880" i="48" s="1"/>
  <c r="G641" i="48"/>
  <c r="G658" i="48" s="1"/>
  <c r="G720" i="48" s="1"/>
  <c r="G820" i="48" s="1"/>
  <c r="G885" i="48" s="1"/>
  <c r="G639" i="48"/>
  <c r="G656" i="48" s="1"/>
  <c r="G718" i="48" s="1"/>
  <c r="G818" i="48" s="1"/>
  <c r="G883" i="48" s="1"/>
  <c r="G635" i="48"/>
  <c r="G652" i="48" s="1"/>
  <c r="G714" i="48" s="1"/>
  <c r="G814" i="48" s="1"/>
  <c r="G879" i="48" s="1"/>
  <c r="G640" i="48"/>
  <c r="G657" i="48" s="1"/>
  <c r="G672" i="48" s="1"/>
  <c r="G644" i="48"/>
  <c r="J1161" i="48"/>
  <c r="J1163" i="48"/>
  <c r="J1168" i="48"/>
  <c r="J1175" i="48"/>
  <c r="J1210" i="48" s="1"/>
  <c r="J1277" i="48" s="1"/>
  <c r="J1160" i="48"/>
  <c r="J1170" i="48"/>
  <c r="J742" i="48"/>
  <c r="J1155" i="48"/>
  <c r="J1165" i="48"/>
  <c r="J1171" i="48"/>
  <c r="J1206" i="48" s="1"/>
  <c r="J1157" i="48"/>
  <c r="J1173" i="48"/>
  <c r="J1208" i="48" s="1"/>
  <c r="J1158" i="48"/>
  <c r="J1172" i="48"/>
  <c r="J1207" i="48" s="1"/>
  <c r="J1174" i="48"/>
  <c r="J1209" i="48" s="1"/>
  <c r="J1176" i="48"/>
  <c r="J1211" i="48" s="1"/>
  <c r="J1167" i="48"/>
  <c r="J1164" i="48"/>
  <c r="J1162" i="48"/>
  <c r="J1154" i="48"/>
  <c r="J1166" i="48"/>
  <c r="J1156" i="48"/>
  <c r="J1159" i="48"/>
  <c r="M792" i="50"/>
  <c r="L760" i="50"/>
  <c r="L726" i="50"/>
  <c r="L737" i="50" s="1"/>
  <c r="L751" i="50" s="1"/>
  <c r="L788" i="50" s="1"/>
  <c r="L729" i="50"/>
  <c r="L743" i="50" s="1"/>
  <c r="L765" i="50" s="1"/>
  <c r="L772" i="50"/>
  <c r="L766" i="50"/>
  <c r="H772" i="50"/>
  <c r="M772" i="50"/>
  <c r="F772" i="50"/>
  <c r="F726" i="50"/>
  <c r="F737" i="50" s="1"/>
  <c r="F751" i="50" s="1"/>
  <c r="F788" i="50" s="1"/>
  <c r="F792" i="50"/>
  <c r="H766" i="50"/>
  <c r="H544" i="48"/>
  <c r="H606" i="48"/>
  <c r="F729" i="50"/>
  <c r="F743" i="50" s="1"/>
  <c r="F759" i="50" s="1"/>
  <c r="M760" i="50"/>
  <c r="F760" i="50"/>
  <c r="K726" i="50"/>
  <c r="K737" i="50" s="1"/>
  <c r="K751" i="50" s="1"/>
  <c r="K788" i="50" s="1"/>
  <c r="G772" i="50"/>
  <c r="M759" i="50"/>
  <c r="AJ734" i="75"/>
  <c r="AL242" i="74"/>
  <c r="AL311" i="74" s="1"/>
  <c r="AL315" i="74" s="1"/>
  <c r="AL254" i="74"/>
  <c r="Q198" i="73"/>
  <c r="Q204" i="73" s="1"/>
  <c r="Q200" i="73"/>
  <c r="Q206" i="73" s="1"/>
  <c r="Q199" i="73"/>
  <c r="Q205" i="73" s="1"/>
  <c r="Q197" i="73"/>
  <c r="H760" i="50"/>
  <c r="J240" i="74"/>
  <c r="I255" i="74"/>
  <c r="AF242" i="74"/>
  <c r="AF311" i="74" s="1"/>
  <c r="AF315" i="74" s="1"/>
  <c r="AF254" i="74"/>
  <c r="Q194" i="73"/>
  <c r="R254" i="74"/>
  <c r="R242" i="74"/>
  <c r="R311" i="74" s="1"/>
  <c r="R315" i="74" s="1"/>
  <c r="Q242" i="74"/>
  <c r="Q311" i="74" s="1"/>
  <c r="Q315" i="74" s="1"/>
  <c r="Q254" i="74"/>
  <c r="AA203" i="73"/>
  <c r="AA207" i="73" s="1"/>
  <c r="AA209" i="73" s="1"/>
  <c r="AA201" i="73"/>
  <c r="AA221" i="73" s="1"/>
  <c r="AA222" i="73" s="1"/>
  <c r="J792" i="50"/>
  <c r="AC242" i="74"/>
  <c r="AC311" i="74" s="1"/>
  <c r="AC315" i="74" s="1"/>
  <c r="AC254" i="74"/>
  <c r="F72" i="77"/>
  <c r="K79" i="53"/>
  <c r="K92" i="53" s="1"/>
  <c r="K17" i="3" s="1"/>
  <c r="J22" i="48" s="1"/>
  <c r="J528" i="48" s="1"/>
  <c r="J606" i="48" s="1"/>
  <c r="H726" i="50"/>
  <c r="H737" i="50" s="1"/>
  <c r="H751" i="50" s="1"/>
  <c r="H788" i="50" s="1"/>
  <c r="G726" i="50"/>
  <c r="G737" i="50" s="1"/>
  <c r="G751" i="50" s="1"/>
  <c r="G788" i="50" s="1"/>
  <c r="AJ226" i="74"/>
  <c r="AJ232" i="74" s="1"/>
  <c r="AJ234" i="74" s="1"/>
  <c r="AJ238" i="74" s="1"/>
  <c r="AA232" i="74"/>
  <c r="AA234" i="74" s="1"/>
  <c r="AA238" i="74" s="1"/>
  <c r="AI226" i="74"/>
  <c r="AI232" i="74" s="1"/>
  <c r="AI234" i="74" s="1"/>
  <c r="AI238" i="74" s="1"/>
  <c r="Z232" i="74"/>
  <c r="Z234" i="74" s="1"/>
  <c r="Z238" i="74" s="1"/>
  <c r="AK200" i="73"/>
  <c r="AK206" i="73" s="1"/>
  <c r="AK197" i="73"/>
  <c r="F221" i="52"/>
  <c r="F231" i="52"/>
  <c r="F235" i="52" s="1"/>
  <c r="F264" i="52" s="1"/>
  <c r="F227" i="52"/>
  <c r="F233" i="52" s="1"/>
  <c r="F229" i="52"/>
  <c r="F234" i="52" s="1"/>
  <c r="F263" i="52" s="1"/>
  <c r="H92" i="34"/>
  <c r="L92" i="34"/>
  <c r="H412" i="51"/>
  <c r="H429" i="51" s="1"/>
  <c r="H358" i="51"/>
  <c r="H375" i="51" s="1"/>
  <c r="G536" i="51"/>
  <c r="H284" i="51"/>
  <c r="H280" i="51"/>
  <c r="H277" i="51"/>
  <c r="H278" i="51"/>
  <c r="H276" i="51"/>
  <c r="H279" i="51"/>
  <c r="H275" i="51"/>
  <c r="H281" i="51"/>
  <c r="G575" i="51"/>
  <c r="F575" i="51"/>
  <c r="G513" i="51"/>
  <c r="G523" i="51" s="1"/>
  <c r="F514" i="51"/>
  <c r="F524" i="51" s="1"/>
  <c r="F557" i="51" s="1"/>
  <c r="F513" i="51"/>
  <c r="F523" i="51" s="1"/>
  <c r="Y210" i="73"/>
  <c r="Y225" i="73"/>
  <c r="Y271" i="73" s="1"/>
  <c r="AG210" i="73"/>
  <c r="K36" i="76"/>
  <c r="AG225" i="73"/>
  <c r="AG271" i="73" s="1"/>
  <c r="AH225" i="73"/>
  <c r="AH271" i="73" s="1"/>
  <c r="AH210" i="73"/>
  <c r="I229" i="52"/>
  <c r="I234" i="52" s="1"/>
  <c r="I263" i="52" s="1"/>
  <c r="I221" i="52"/>
  <c r="I227" i="52"/>
  <c r="I233" i="52" s="1"/>
  <c r="I231" i="52"/>
  <c r="I235" i="52" s="1"/>
  <c r="I264" i="52" s="1"/>
  <c r="M161" i="73"/>
  <c r="M157" i="73"/>
  <c r="M771" i="50"/>
  <c r="J760" i="50"/>
  <c r="M67" i="76"/>
  <c r="M66" i="76"/>
  <c r="M18" i="41" s="1"/>
  <c r="AQ734" i="75"/>
  <c r="I67" i="76"/>
  <c r="I66" i="76"/>
  <c r="I18" i="41" s="1"/>
  <c r="J225" i="73"/>
  <c r="J271" i="73" s="1"/>
  <c r="J210" i="73"/>
  <c r="K203" i="73"/>
  <c r="K207" i="73" s="1"/>
  <c r="K209" i="73" s="1"/>
  <c r="K201" i="73"/>
  <c r="K221" i="73" s="1"/>
  <c r="K222" i="73" s="1"/>
  <c r="G70" i="77"/>
  <c r="G71" i="77"/>
  <c r="G766" i="50"/>
  <c r="G760" i="50"/>
  <c r="M231" i="52"/>
  <c r="M235" i="52" s="1"/>
  <c r="M264" i="52" s="1"/>
  <c r="M229" i="52"/>
  <c r="M234" i="52" s="1"/>
  <c r="M263" i="52" s="1"/>
  <c r="M227" i="52"/>
  <c r="M233" i="52" s="1"/>
  <c r="M221" i="52"/>
  <c r="AL210" i="73"/>
  <c r="AL225" i="73"/>
  <c r="AL271" i="73" s="1"/>
  <c r="L36" i="76"/>
  <c r="AB210" i="73"/>
  <c r="AB225" i="73"/>
  <c r="AB271" i="73" s="1"/>
  <c r="J36" i="76"/>
  <c r="I80" i="57"/>
  <c r="I136" i="47"/>
  <c r="AR14" i="47" s="1"/>
  <c r="AR34" i="47" s="1"/>
  <c r="J229" i="52"/>
  <c r="J234" i="52" s="1"/>
  <c r="J263" i="52" s="1"/>
  <c r="J231" i="52"/>
  <c r="J235" i="52" s="1"/>
  <c r="J264" i="52" s="1"/>
  <c r="J221" i="52"/>
  <c r="J227" i="52"/>
  <c r="J233" i="52" s="1"/>
  <c r="K729" i="50"/>
  <c r="K743" i="50" s="1"/>
  <c r="K765" i="50" s="1"/>
  <c r="L229" i="52"/>
  <c r="L234" i="52" s="1"/>
  <c r="L263" i="52" s="1"/>
  <c r="L227" i="52"/>
  <c r="L233" i="52" s="1"/>
  <c r="L231" i="52"/>
  <c r="L235" i="52" s="1"/>
  <c r="L264" i="52" s="1"/>
  <c r="L221" i="52"/>
  <c r="G515" i="51"/>
  <c r="G525" i="51" s="1"/>
  <c r="G581" i="51" s="1"/>
  <c r="H237" i="52"/>
  <c r="H265" i="52" s="1"/>
  <c r="H201" i="47" s="1"/>
  <c r="H262" i="52"/>
  <c r="G514" i="51"/>
  <c r="G524" i="51" s="1"/>
  <c r="F515" i="51"/>
  <c r="F525" i="51" s="1"/>
  <c r="F581" i="51" s="1"/>
  <c r="M765" i="50"/>
  <c r="F673" i="48"/>
  <c r="F705" i="48" s="1"/>
  <c r="F671" i="48"/>
  <c r="F703" i="48" s="1"/>
  <c r="F675" i="48"/>
  <c r="F707" i="48" s="1"/>
  <c r="F670" i="48"/>
  <c r="F702" i="48" s="1"/>
  <c r="F676" i="48"/>
  <c r="F708" i="48" s="1"/>
  <c r="F664" i="48"/>
  <c r="F696" i="48" s="1"/>
  <c r="F796" i="48" s="1"/>
  <c r="F861" i="48" s="1"/>
  <c r="F910" i="48" s="1"/>
  <c r="F674" i="48"/>
  <c r="F706" i="48" s="1"/>
  <c r="J772" i="50"/>
  <c r="M726" i="50"/>
  <c r="M737" i="50" s="1"/>
  <c r="M751" i="50" s="1"/>
  <c r="M788" i="50" s="1"/>
  <c r="G771" i="50"/>
  <c r="G791" i="50"/>
  <c r="G759" i="50"/>
  <c r="G765" i="50"/>
  <c r="J729" i="50"/>
  <c r="J743" i="50" s="1"/>
  <c r="J726" i="50"/>
  <c r="J737" i="50" s="1"/>
  <c r="J751" i="50" s="1"/>
  <c r="J788" i="50" s="1"/>
  <c r="I766" i="50"/>
  <c r="I792" i="50"/>
  <c r="I760" i="50"/>
  <c r="I772" i="50"/>
  <c r="F786" i="48"/>
  <c r="F851" i="48" s="1"/>
  <c r="F930" i="48" s="1"/>
  <c r="G686" i="48"/>
  <c r="G679" i="48"/>
  <c r="F779" i="48"/>
  <c r="F844" i="48" s="1"/>
  <c r="F923" i="48" s="1"/>
  <c r="F783" i="48"/>
  <c r="F848" i="48" s="1"/>
  <c r="F927" i="48" s="1"/>
  <c r="G683" i="48"/>
  <c r="F785" i="48"/>
  <c r="F850" i="48" s="1"/>
  <c r="F929" i="48" s="1"/>
  <c r="G685" i="48"/>
  <c r="G689" i="48"/>
  <c r="F789" i="48"/>
  <c r="F854" i="48" s="1"/>
  <c r="F933" i="48" s="1"/>
  <c r="F680" i="48"/>
  <c r="G684" i="48"/>
  <c r="F784" i="48"/>
  <c r="F849" i="48" s="1"/>
  <c r="F928" i="48" s="1"/>
  <c r="K772" i="50"/>
  <c r="K766" i="50"/>
  <c r="K792" i="50"/>
  <c r="K760" i="50"/>
  <c r="F797" i="48"/>
  <c r="F862" i="48" s="1"/>
  <c r="F911" i="48" s="1"/>
  <c r="G697" i="48"/>
  <c r="I726" i="50"/>
  <c r="I737" i="50" s="1"/>
  <c r="I751" i="50" s="1"/>
  <c r="I788" i="50" s="1"/>
  <c r="H771" i="50"/>
  <c r="H791" i="50"/>
  <c r="H765" i="50"/>
  <c r="H759" i="50"/>
  <c r="F669" i="48"/>
  <c r="F701" i="48" s="1"/>
  <c r="F662" i="48"/>
  <c r="F694" i="48" s="1"/>
  <c r="F666" i="48"/>
  <c r="F698" i="48" s="1"/>
  <c r="F668" i="48"/>
  <c r="F700" i="48" s="1"/>
  <c r="F672" i="48"/>
  <c r="F704" i="48" s="1"/>
  <c r="F663" i="48"/>
  <c r="F695" i="48" s="1"/>
  <c r="F667" i="48"/>
  <c r="F699" i="48" s="1"/>
  <c r="F790" i="48"/>
  <c r="F855" i="48" s="1"/>
  <c r="F934" i="48" s="1"/>
  <c r="G690" i="48"/>
  <c r="F788" i="48"/>
  <c r="F853" i="48" s="1"/>
  <c r="F932" i="48" s="1"/>
  <c r="G688" i="48"/>
  <c r="F792" i="48"/>
  <c r="F857" i="48" s="1"/>
  <c r="F936" i="48" s="1"/>
  <c r="G692" i="48"/>
  <c r="G687" i="48"/>
  <c r="F787" i="48"/>
  <c r="F852" i="48" s="1"/>
  <c r="F931" i="48" s="1"/>
  <c r="F682" i="48"/>
  <c r="F793" i="48"/>
  <c r="F858" i="48" s="1"/>
  <c r="F937" i="48" s="1"/>
  <c r="G693" i="48"/>
  <c r="G681" i="48"/>
  <c r="F781" i="48"/>
  <c r="F846" i="48" s="1"/>
  <c r="F925" i="48" s="1"/>
  <c r="F791" i="48"/>
  <c r="F856" i="48" s="1"/>
  <c r="F935" i="48" s="1"/>
  <c r="G691" i="48"/>
  <c r="I765" i="50"/>
  <c r="I791" i="50"/>
  <c r="I771" i="50"/>
  <c r="I759" i="50"/>
  <c r="L78" i="53"/>
  <c r="L91" i="53" s="1"/>
  <c r="L16" i="3" s="1"/>
  <c r="K21" i="48" s="1"/>
  <c r="K527" i="48" s="1"/>
  <c r="K537" i="48" s="1"/>
  <c r="L93" i="53"/>
  <c r="L18" i="3" s="1"/>
  <c r="V203" i="73"/>
  <c r="V207" i="73" s="1"/>
  <c r="V209" i="73" s="1"/>
  <c r="V201" i="73"/>
  <c r="V221" i="73" s="1"/>
  <c r="V222" i="73" s="1"/>
  <c r="J605" i="48"/>
  <c r="AF203" i="73"/>
  <c r="AF207" i="73" s="1"/>
  <c r="AF209" i="73" s="1"/>
  <c r="AF201" i="73"/>
  <c r="AF221" i="73" s="1"/>
  <c r="AF222" i="73" s="1"/>
  <c r="AP201" i="73"/>
  <c r="AP221" i="73" s="1"/>
  <c r="AP222" i="73" s="1"/>
  <c r="AP203" i="73"/>
  <c r="AP207" i="73" s="1"/>
  <c r="AP209" i="73" s="1"/>
  <c r="AE225" i="73"/>
  <c r="AE271" i="73" s="1"/>
  <c r="AE210" i="73"/>
  <c r="N74" i="53"/>
  <c r="N80" i="53" s="1"/>
  <c r="M98" i="44" s="1"/>
  <c r="M99" i="44" s="1"/>
  <c r="M80" i="53"/>
  <c r="L98" i="44" s="1"/>
  <c r="L99" i="44" s="1"/>
  <c r="H67" i="76"/>
  <c r="H66" i="76"/>
  <c r="I543" i="48"/>
  <c r="I606" i="48"/>
  <c r="J60" i="57"/>
  <c r="J66" i="57" s="1"/>
  <c r="J23" i="48"/>
  <c r="H18" i="41" l="1"/>
  <c r="AP14" i="47"/>
  <c r="AP34" i="47" s="1"/>
  <c r="AO34" i="47"/>
  <c r="AT34" i="47"/>
  <c r="J267" i="73"/>
  <c r="J275" i="73" s="1"/>
  <c r="J279" i="73" s="1"/>
  <c r="J284" i="73" s="1"/>
  <c r="S59" i="47"/>
  <c r="G66" i="76"/>
  <c r="G18" i="41" s="1"/>
  <c r="M160" i="73"/>
  <c r="M163" i="73" s="1"/>
  <c r="M164" i="73" s="1"/>
  <c r="M177" i="73" s="1"/>
  <c r="M178" i="73" s="1"/>
  <c r="M179" i="73" s="1"/>
  <c r="M180" i="73" s="1"/>
  <c r="M182" i="73" s="1"/>
  <c r="N162" i="73"/>
  <c r="H294" i="51"/>
  <c r="H314" i="51" s="1"/>
  <c r="H295" i="51"/>
  <c r="Z207" i="73"/>
  <c r="Z209" i="73" s="1"/>
  <c r="Z210" i="73" s="1"/>
  <c r="AP242" i="74"/>
  <c r="AP311" i="74" s="1"/>
  <c r="AP315" i="74" s="1"/>
  <c r="AN210" i="73"/>
  <c r="AK242" i="74"/>
  <c r="AK311" i="74" s="1"/>
  <c r="AK315" i="74" s="1"/>
  <c r="Z201" i="73"/>
  <c r="Z221" i="73" s="1"/>
  <c r="Z222" i="73" s="1"/>
  <c r="AN225" i="73"/>
  <c r="AN271" i="73" s="1"/>
  <c r="T225" i="73"/>
  <c r="T271" i="73" s="1"/>
  <c r="G204" i="49"/>
  <c r="G235" i="49" s="1"/>
  <c r="H295" i="49"/>
  <c r="J295" i="49"/>
  <c r="F233" i="49"/>
  <c r="F236" i="49" s="1"/>
  <c r="I72" i="77"/>
  <c r="H72" i="77"/>
  <c r="I253" i="52"/>
  <c r="F215" i="49"/>
  <c r="F221" i="49" s="1"/>
  <c r="F230" i="49" s="1"/>
  <c r="F291" i="49" s="1"/>
  <c r="G1190" i="48"/>
  <c r="G1221" i="48" s="1"/>
  <c r="G1270" i="48" s="1"/>
  <c r="H1183" i="48"/>
  <c r="H1217" i="48" s="1"/>
  <c r="H1271" i="48" s="1"/>
  <c r="G1183" i="48"/>
  <c r="G1217" i="48" s="1"/>
  <c r="G1271" i="48" s="1"/>
  <c r="H1190" i="48"/>
  <c r="H1221" i="48" s="1"/>
  <c r="H1270" i="48" s="1"/>
  <c r="J1183" i="48"/>
  <c r="J1217" i="48" s="1"/>
  <c r="J1271" i="48" s="1"/>
  <c r="G1184" i="48"/>
  <c r="G1219" i="48" s="1"/>
  <c r="G1274" i="48" s="1"/>
  <c r="H1184" i="48"/>
  <c r="H1219" i="48" s="1"/>
  <c r="H1274" i="48" s="1"/>
  <c r="J1190" i="48"/>
  <c r="J1221" i="48" s="1"/>
  <c r="J1270" i="48" s="1"/>
  <c r="J1184" i="48"/>
  <c r="J1219" i="48" s="1"/>
  <c r="J1274" i="48" s="1"/>
  <c r="I1184" i="48"/>
  <c r="I1219" i="48" s="1"/>
  <c r="I1274" i="48" s="1"/>
  <c r="I1190" i="48"/>
  <c r="I1221" i="48" s="1"/>
  <c r="I1270" i="48" s="1"/>
  <c r="AI225" i="73"/>
  <c r="AI271" i="73" s="1"/>
  <c r="I210" i="49"/>
  <c r="I233" i="49" s="1"/>
  <c r="K1190" i="48"/>
  <c r="K1221" i="48" s="1"/>
  <c r="K1270" i="48" s="1"/>
  <c r="I1183" i="48"/>
  <c r="I1217" i="48" s="1"/>
  <c r="I1271" i="48" s="1"/>
  <c r="J526" i="48"/>
  <c r="H115" i="40"/>
  <c r="H135" i="47"/>
  <c r="AQ14" i="47" s="1"/>
  <c r="I755" i="48"/>
  <c r="AD254" i="74"/>
  <c r="G1155" i="48"/>
  <c r="AO242" i="74"/>
  <c r="AO311" i="74" s="1"/>
  <c r="AO315" i="74" s="1"/>
  <c r="G1170" i="48"/>
  <c r="G1205" i="48" s="1"/>
  <c r="L130" i="47"/>
  <c r="AU9" i="47" s="1"/>
  <c r="L84" i="35"/>
  <c r="M130" i="47"/>
  <c r="AV9" i="47" s="1"/>
  <c r="M84" i="35"/>
  <c r="G756" i="48"/>
  <c r="G748" i="48"/>
  <c r="G762" i="48"/>
  <c r="G749" i="48"/>
  <c r="G753" i="48"/>
  <c r="G758" i="48"/>
  <c r="G760" i="48"/>
  <c r="G766" i="48" s="1"/>
  <c r="G1215" i="48" s="1"/>
  <c r="I758" i="48"/>
  <c r="I761" i="48"/>
  <c r="G1171" i="48"/>
  <c r="G1206" i="48" s="1"/>
  <c r="G1156" i="48"/>
  <c r="G1175" i="48"/>
  <c r="G1210" i="48" s="1"/>
  <c r="G1277" i="48" s="1"/>
  <c r="G1157" i="48"/>
  <c r="G742" i="48"/>
  <c r="G1165" i="48"/>
  <c r="G1154" i="48"/>
  <c r="AB254" i="74"/>
  <c r="AB242" i="74"/>
  <c r="AB311" i="74" s="1"/>
  <c r="AB315" i="74" s="1"/>
  <c r="F253" i="52"/>
  <c r="AN226" i="74"/>
  <c r="AN232" i="74" s="1"/>
  <c r="AN234" i="74" s="1"/>
  <c r="AN238" i="74" s="1"/>
  <c r="AE232" i="74"/>
  <c r="AE234" i="74" s="1"/>
  <c r="AE238" i="74" s="1"/>
  <c r="G225" i="73"/>
  <c r="G271" i="73" s="1"/>
  <c r="G275" i="73" s="1"/>
  <c r="G279" i="73" s="1"/>
  <c r="G284" i="73" s="1"/>
  <c r="G210" i="73"/>
  <c r="G1166" i="48"/>
  <c r="G1176" i="48"/>
  <c r="G1211" i="48" s="1"/>
  <c r="G1173" i="48"/>
  <c r="G1208" i="48" s="1"/>
  <c r="G1163" i="48"/>
  <c r="G1172" i="48"/>
  <c r="G1174" i="48"/>
  <c r="G1209" i="48" s="1"/>
  <c r="P210" i="73"/>
  <c r="G1167" i="48"/>
  <c r="G1168" i="48"/>
  <c r="G1160" i="48"/>
  <c r="G1158" i="48"/>
  <c r="G1161" i="48"/>
  <c r="G1162" i="48"/>
  <c r="G1164" i="48"/>
  <c r="K253" i="52"/>
  <c r="I625" i="48"/>
  <c r="K237" i="52"/>
  <c r="K265" i="52" s="1"/>
  <c r="K201" i="47" s="1"/>
  <c r="G759" i="48"/>
  <c r="G757" i="48"/>
  <c r="G750" i="48"/>
  <c r="G751" i="48"/>
  <c r="I749" i="48"/>
  <c r="I757" i="48"/>
  <c r="I751" i="48"/>
  <c r="G625" i="48"/>
  <c r="I750" i="48"/>
  <c r="I754" i="48"/>
  <c r="L201" i="73"/>
  <c r="L221" i="73" s="1"/>
  <c r="L222" i="73" s="1"/>
  <c r="L264" i="73" s="1"/>
  <c r="G237" i="52"/>
  <c r="G265" i="52" s="1"/>
  <c r="G201" i="47" s="1"/>
  <c r="G755" i="48"/>
  <c r="G752" i="48"/>
  <c r="G761" i="48"/>
  <c r="I748" i="48"/>
  <c r="L207" i="73"/>
  <c r="L209" i="73" s="1"/>
  <c r="L225" i="73" s="1"/>
  <c r="L271" i="73" s="1"/>
  <c r="I752" i="48"/>
  <c r="I759" i="48"/>
  <c r="I760" i="48"/>
  <c r="I766" i="48" s="1"/>
  <c r="I1215" i="48" s="1"/>
  <c r="I756" i="48"/>
  <c r="I753" i="48"/>
  <c r="AO203" i="73"/>
  <c r="AO207" i="73" s="1"/>
  <c r="AO209" i="73" s="1"/>
  <c r="AO201" i="73"/>
  <c r="AO221" i="73" s="1"/>
  <c r="AO222" i="73" s="1"/>
  <c r="H162" i="49"/>
  <c r="J751" i="48"/>
  <c r="H638" i="48"/>
  <c r="H655" i="48" s="1"/>
  <c r="H670" i="48" s="1"/>
  <c r="H732" i="48" s="1"/>
  <c r="H832" i="48" s="1"/>
  <c r="H897" i="48" s="1"/>
  <c r="J635" i="48"/>
  <c r="J652" i="48" s="1"/>
  <c r="J714" i="48" s="1"/>
  <c r="J814" i="48" s="1"/>
  <c r="J879" i="48" s="1"/>
  <c r="H203" i="49"/>
  <c r="J202" i="49"/>
  <c r="K112" i="44"/>
  <c r="F276" i="49"/>
  <c r="F307" i="49" s="1"/>
  <c r="F198" i="47" s="1"/>
  <c r="S32" i="47" s="1"/>
  <c r="H254" i="49"/>
  <c r="H244" i="49"/>
  <c r="H264" i="49"/>
  <c r="H220" i="49"/>
  <c r="H294" i="49" s="1"/>
  <c r="H184" i="49"/>
  <c r="J184" i="49"/>
  <c r="J220" i="49"/>
  <c r="J294" i="49" s="1"/>
  <c r="J249" i="49"/>
  <c r="J259" i="49"/>
  <c r="J269" i="49"/>
  <c r="J268" i="49"/>
  <c r="J258" i="49"/>
  <c r="J248" i="49"/>
  <c r="H259" i="49"/>
  <c r="H269" i="49"/>
  <c r="H249" i="49"/>
  <c r="J215" i="49"/>
  <c r="J234" i="49"/>
  <c r="J287" i="49" s="1"/>
  <c r="G253" i="49"/>
  <c r="G273" i="49" s="1"/>
  <c r="G263" i="49"/>
  <c r="G274" i="49" s="1"/>
  <c r="G243" i="49"/>
  <c r="G272" i="49" s="1"/>
  <c r="I215" i="49"/>
  <c r="I234" i="49"/>
  <c r="I287" i="49" s="1"/>
  <c r="L116" i="44"/>
  <c r="L27" i="48" s="1"/>
  <c r="L35" i="48" s="1"/>
  <c r="L624" i="48" s="1"/>
  <c r="L773" i="48" s="1"/>
  <c r="L118" i="44"/>
  <c r="L19" i="49" s="1"/>
  <c r="L32" i="49" s="1"/>
  <c r="L117" i="44"/>
  <c r="L15" i="49" s="1"/>
  <c r="L27" i="49" s="1"/>
  <c r="H260" i="49"/>
  <c r="H250" i="49"/>
  <c r="H270" i="49"/>
  <c r="H266" i="49"/>
  <c r="H246" i="49"/>
  <c r="H256" i="49"/>
  <c r="J256" i="49"/>
  <c r="J246" i="49"/>
  <c r="J266" i="49"/>
  <c r="J265" i="49"/>
  <c r="J255" i="49"/>
  <c r="J245" i="49"/>
  <c r="J250" i="49"/>
  <c r="J270" i="49"/>
  <c r="J260" i="49"/>
  <c r="I204" i="49"/>
  <c r="I634" i="48"/>
  <c r="I651" i="48" s="1"/>
  <c r="I631" i="48"/>
  <c r="I648" i="48" s="1"/>
  <c r="I637" i="48"/>
  <c r="I654" i="48" s="1"/>
  <c r="I640" i="48"/>
  <c r="I657" i="48" s="1"/>
  <c r="I633" i="48"/>
  <c r="I632" i="48"/>
  <c r="I642" i="48"/>
  <c r="I659" i="48" s="1"/>
  <c r="I630" i="48"/>
  <c r="I647" i="48" s="1"/>
  <c r="I635" i="48"/>
  <c r="I652" i="48" s="1"/>
  <c r="I641" i="48"/>
  <c r="I644" i="48"/>
  <c r="I639" i="48"/>
  <c r="I656" i="48" s="1"/>
  <c r="I643" i="48"/>
  <c r="I638" i="48"/>
  <c r="I636" i="48"/>
  <c r="G211" i="49"/>
  <c r="G233" i="49"/>
  <c r="I243" i="49"/>
  <c r="I272" i="49" s="1"/>
  <c r="I263" i="49"/>
  <c r="I274" i="49" s="1"/>
  <c r="I253" i="49"/>
  <c r="I273" i="49" s="1"/>
  <c r="K154" i="49"/>
  <c r="K153" i="49"/>
  <c r="K183" i="49"/>
  <c r="K229" i="49" s="1"/>
  <c r="K296" i="49" s="1"/>
  <c r="K193" i="49"/>
  <c r="K179" i="49"/>
  <c r="K225" i="49" s="1"/>
  <c r="K176" i="49"/>
  <c r="K222" i="49" s="1"/>
  <c r="K181" i="49"/>
  <c r="K227" i="49" s="1"/>
  <c r="K293" i="49" s="1"/>
  <c r="K194" i="49"/>
  <c r="K180" i="49"/>
  <c r="K226" i="49" s="1"/>
  <c r="K196" i="49"/>
  <c r="K190" i="49"/>
  <c r="K175" i="49"/>
  <c r="K178" i="49"/>
  <c r="K224" i="49" s="1"/>
  <c r="K197" i="49"/>
  <c r="K288" i="49" s="1"/>
  <c r="K182" i="49"/>
  <c r="K228" i="49" s="1"/>
  <c r="K189" i="49"/>
  <c r="K289" i="49" s="1"/>
  <c r="K177" i="49"/>
  <c r="K223" i="49" s="1"/>
  <c r="K174" i="49"/>
  <c r="K191" i="49"/>
  <c r="K286" i="49" s="1"/>
  <c r="K195" i="49"/>
  <c r="K192" i="49"/>
  <c r="K290" i="49" s="1"/>
  <c r="H755" i="48"/>
  <c r="H267" i="49"/>
  <c r="H257" i="49"/>
  <c r="H247" i="49"/>
  <c r="H255" i="49"/>
  <c r="H245" i="49"/>
  <c r="H265" i="49"/>
  <c r="M116" i="44"/>
  <c r="M27" i="48" s="1"/>
  <c r="M35" i="48" s="1"/>
  <c r="M620" i="48" s="1"/>
  <c r="M118" i="44"/>
  <c r="M19" i="49" s="1"/>
  <c r="M32" i="49" s="1"/>
  <c r="M117" i="44"/>
  <c r="M15" i="49" s="1"/>
  <c r="M27" i="49" s="1"/>
  <c r="H1171" i="48"/>
  <c r="H1206" i="48" s="1"/>
  <c r="G215" i="49"/>
  <c r="G234" i="49"/>
  <c r="G287" i="49" s="1"/>
  <c r="H155" i="49"/>
  <c r="H268" i="49"/>
  <c r="H248" i="49"/>
  <c r="H258" i="49"/>
  <c r="H202" i="49"/>
  <c r="H210" i="49" s="1"/>
  <c r="J155" i="49"/>
  <c r="J267" i="49"/>
  <c r="J247" i="49"/>
  <c r="J257" i="49"/>
  <c r="J254" i="49"/>
  <c r="J264" i="49"/>
  <c r="J244" i="49"/>
  <c r="K160" i="49"/>
  <c r="K161" i="49"/>
  <c r="J752" i="48"/>
  <c r="U203" i="73"/>
  <c r="U207" i="73" s="1"/>
  <c r="U209" i="73" s="1"/>
  <c r="U201" i="73"/>
  <c r="U221" i="73" s="1"/>
  <c r="U222" i="73" s="1"/>
  <c r="H748" i="48"/>
  <c r="J636" i="48"/>
  <c r="J653" i="48" s="1"/>
  <c r="J715" i="48" s="1"/>
  <c r="J815" i="48" s="1"/>
  <c r="J880" i="48" s="1"/>
  <c r="F137" i="47"/>
  <c r="AO16" i="47" s="1"/>
  <c r="F68" i="76"/>
  <c r="H1155" i="48"/>
  <c r="H1164" i="48"/>
  <c r="J642" i="48"/>
  <c r="J659" i="48" s="1"/>
  <c r="J721" i="48" s="1"/>
  <c r="J821" i="48" s="1"/>
  <c r="J886" i="48" s="1"/>
  <c r="H1166" i="48"/>
  <c r="G673" i="48"/>
  <c r="G735" i="48" s="1"/>
  <c r="G835" i="48" s="1"/>
  <c r="G900" i="48" s="1"/>
  <c r="H1165" i="48"/>
  <c r="H1157" i="48"/>
  <c r="J633" i="48"/>
  <c r="J650" i="48" s="1"/>
  <c r="J712" i="48" s="1"/>
  <c r="J812" i="48" s="1"/>
  <c r="J877" i="48" s="1"/>
  <c r="K265" i="73"/>
  <c r="K217" i="73"/>
  <c r="K218" i="73" s="1"/>
  <c r="K219" i="73" s="1"/>
  <c r="K264" i="73"/>
  <c r="J759" i="48"/>
  <c r="J749" i="48"/>
  <c r="J638" i="48"/>
  <c r="J655" i="48" s="1"/>
  <c r="J717" i="48" s="1"/>
  <c r="J817" i="48" s="1"/>
  <c r="J882" i="48" s="1"/>
  <c r="J640" i="48"/>
  <c r="J657" i="48" s="1"/>
  <c r="J719" i="48" s="1"/>
  <c r="J819" i="48" s="1"/>
  <c r="J884" i="48" s="1"/>
  <c r="J637" i="48"/>
  <c r="J654" i="48" s="1"/>
  <c r="J716" i="48" s="1"/>
  <c r="J816" i="48" s="1"/>
  <c r="J881" i="48" s="1"/>
  <c r="J630" i="48"/>
  <c r="J647" i="48" s="1"/>
  <c r="J709" i="48" s="1"/>
  <c r="J809" i="48" s="1"/>
  <c r="J874" i="48" s="1"/>
  <c r="J754" i="48"/>
  <c r="J762" i="48"/>
  <c r="J631" i="48"/>
  <c r="J648" i="48" s="1"/>
  <c r="J710" i="48" s="1"/>
  <c r="J810" i="48" s="1"/>
  <c r="J875" i="48" s="1"/>
  <c r="J639" i="48"/>
  <c r="J656" i="48" s="1"/>
  <c r="J718" i="48" s="1"/>
  <c r="J818" i="48" s="1"/>
  <c r="J883" i="48" s="1"/>
  <c r="J632" i="48"/>
  <c r="J649" i="48" s="1"/>
  <c r="J711" i="48" s="1"/>
  <c r="J811" i="48" s="1"/>
  <c r="J876" i="48" s="1"/>
  <c r="L177" i="73"/>
  <c r="L178" i="73" s="1"/>
  <c r="L179" i="73" s="1"/>
  <c r="L180" i="73" s="1"/>
  <c r="L182" i="73" s="1"/>
  <c r="J757" i="48"/>
  <c r="J755" i="48"/>
  <c r="J634" i="48"/>
  <c r="J651" i="48" s="1"/>
  <c r="J713" i="48" s="1"/>
  <c r="J813" i="48" s="1"/>
  <c r="J878" i="48" s="1"/>
  <c r="J644" i="48"/>
  <c r="J661" i="48" s="1"/>
  <c r="J723" i="48" s="1"/>
  <c r="J823" i="48" s="1"/>
  <c r="J888" i="48" s="1"/>
  <c r="J641" i="48"/>
  <c r="J658" i="48" s="1"/>
  <c r="J720" i="48" s="1"/>
  <c r="J820" i="48" s="1"/>
  <c r="J885" i="48" s="1"/>
  <c r="F1273" i="48"/>
  <c r="G664" i="48"/>
  <c r="G726" i="48" s="1"/>
  <c r="G826" i="48" s="1"/>
  <c r="G891" i="48" s="1"/>
  <c r="H1154" i="48"/>
  <c r="H1170" i="48"/>
  <c r="H1205" i="48" s="1"/>
  <c r="H1156" i="48"/>
  <c r="H742" i="48"/>
  <c r="H1162" i="48"/>
  <c r="H1172" i="48"/>
  <c r="H1207" i="48" s="1"/>
  <c r="H1168" i="48"/>
  <c r="H1173" i="48"/>
  <c r="H1208" i="48" s="1"/>
  <c r="H630" i="48"/>
  <c r="H647" i="48" s="1"/>
  <c r="H709" i="48" s="1"/>
  <c r="H809" i="48" s="1"/>
  <c r="H874" i="48" s="1"/>
  <c r="H1159" i="48"/>
  <c r="H1161" i="48"/>
  <c r="H1175" i="48"/>
  <c r="H1210" i="48" s="1"/>
  <c r="H1277" i="48" s="1"/>
  <c r="H642" i="48"/>
  <c r="H659" i="48" s="1"/>
  <c r="H721" i="48" s="1"/>
  <c r="H821" i="48" s="1"/>
  <c r="H886" i="48" s="1"/>
  <c r="G709" i="48"/>
  <c r="G809" i="48" s="1"/>
  <c r="G874" i="48" s="1"/>
  <c r="G724" i="48"/>
  <c r="G824" i="48" s="1"/>
  <c r="G889" i="48" s="1"/>
  <c r="H1176" i="48"/>
  <c r="H1211" i="48" s="1"/>
  <c r="H1158" i="48"/>
  <c r="H1174" i="48"/>
  <c r="H1209" i="48" s="1"/>
  <c r="H1163" i="48"/>
  <c r="H1160" i="48"/>
  <c r="H749" i="48"/>
  <c r="I1272" i="48"/>
  <c r="G712" i="48"/>
  <c r="G812" i="48" s="1"/>
  <c r="G877" i="48" s="1"/>
  <c r="H762" i="48"/>
  <c r="H752" i="48"/>
  <c r="H760" i="48"/>
  <c r="H766" i="48" s="1"/>
  <c r="H1215" i="48" s="1"/>
  <c r="J72" i="77"/>
  <c r="J138" i="47"/>
  <c r="AS17" i="47" s="1"/>
  <c r="H756" i="48"/>
  <c r="H750" i="48"/>
  <c r="H754" i="48"/>
  <c r="H757" i="48"/>
  <c r="H634" i="48"/>
  <c r="H651" i="48" s="1"/>
  <c r="H713" i="48" s="1"/>
  <c r="H813" i="48" s="1"/>
  <c r="H878" i="48" s="1"/>
  <c r="H643" i="48"/>
  <c r="H660" i="48" s="1"/>
  <c r="H675" i="48" s="1"/>
  <c r="H737" i="48" s="1"/>
  <c r="H837" i="48" s="1"/>
  <c r="H902" i="48" s="1"/>
  <c r="K138" i="47"/>
  <c r="AT17" i="47" s="1"/>
  <c r="K72" i="77"/>
  <c r="L72" i="77"/>
  <c r="L138" i="47"/>
  <c r="AU17" i="47" s="1"/>
  <c r="H761" i="48"/>
  <c r="H751" i="48"/>
  <c r="H759" i="48"/>
  <c r="H758" i="48"/>
  <c r="H631" i="48"/>
  <c r="H648" i="48" s="1"/>
  <c r="H663" i="48" s="1"/>
  <c r="H725" i="48" s="1"/>
  <c r="H825" i="48" s="1"/>
  <c r="H890" i="48" s="1"/>
  <c r="H636" i="48"/>
  <c r="H653" i="48" s="1"/>
  <c r="H668" i="48" s="1"/>
  <c r="H730" i="48" s="1"/>
  <c r="H830" i="48" s="1"/>
  <c r="H895" i="48" s="1"/>
  <c r="K621" i="48"/>
  <c r="K746" i="48" s="1"/>
  <c r="K751" i="48" s="1"/>
  <c r="M72" i="77"/>
  <c r="M138" i="47"/>
  <c r="AV17" i="47" s="1"/>
  <c r="G717" i="48"/>
  <c r="G817" i="48" s="1"/>
  <c r="G882" i="48" s="1"/>
  <c r="I1177" i="48"/>
  <c r="J750" i="48"/>
  <c r="J748" i="48"/>
  <c r="J761" i="48"/>
  <c r="H632" i="48"/>
  <c r="H649" i="48" s="1"/>
  <c r="H711" i="48" s="1"/>
  <c r="H811" i="48" s="1"/>
  <c r="H876" i="48" s="1"/>
  <c r="H641" i="48"/>
  <c r="H658" i="48" s="1"/>
  <c r="H720" i="48" s="1"/>
  <c r="H820" i="48" s="1"/>
  <c r="H885" i="48" s="1"/>
  <c r="H637" i="48"/>
  <c r="H654" i="48" s="1"/>
  <c r="H716" i="48" s="1"/>
  <c r="H816" i="48" s="1"/>
  <c r="H881" i="48" s="1"/>
  <c r="H644" i="48"/>
  <c r="H661" i="48" s="1"/>
  <c r="H723" i="48" s="1"/>
  <c r="H823" i="48" s="1"/>
  <c r="H888" i="48" s="1"/>
  <c r="J758" i="48"/>
  <c r="J760" i="48"/>
  <c r="J766" i="48" s="1"/>
  <c r="J1215" i="48" s="1"/>
  <c r="J756" i="48"/>
  <c r="H633" i="48"/>
  <c r="H650" i="48" s="1"/>
  <c r="H712" i="48" s="1"/>
  <c r="H812" i="48" s="1"/>
  <c r="H877" i="48" s="1"/>
  <c r="H639" i="48"/>
  <c r="H656" i="48" s="1"/>
  <c r="H671" i="48" s="1"/>
  <c r="H733" i="48" s="1"/>
  <c r="H833" i="48" s="1"/>
  <c r="H898" i="48" s="1"/>
  <c r="H635" i="48"/>
  <c r="H652" i="48" s="1"/>
  <c r="H714" i="48" s="1"/>
  <c r="H814" i="48" s="1"/>
  <c r="H879" i="48" s="1"/>
  <c r="K619" i="48"/>
  <c r="K640" i="48" s="1"/>
  <c r="K657" i="48" s="1"/>
  <c r="G671" i="48"/>
  <c r="G733" i="48" s="1"/>
  <c r="G833" i="48" s="1"/>
  <c r="G898" i="48" s="1"/>
  <c r="K622" i="48"/>
  <c r="K769" i="48" s="1"/>
  <c r="G667" i="48"/>
  <c r="G729" i="48" s="1"/>
  <c r="G829" i="48" s="1"/>
  <c r="G894" i="48" s="1"/>
  <c r="J625" i="48"/>
  <c r="H625" i="48"/>
  <c r="G648" i="48"/>
  <c r="G710" i="48" s="1"/>
  <c r="G810" i="48" s="1"/>
  <c r="G875" i="48" s="1"/>
  <c r="G654" i="48"/>
  <c r="G716" i="48" s="1"/>
  <c r="G816" i="48" s="1"/>
  <c r="G881" i="48" s="1"/>
  <c r="K620" i="48"/>
  <c r="K1172" i="48" s="1"/>
  <c r="K1207" i="48" s="1"/>
  <c r="K624" i="48"/>
  <c r="K773" i="48" s="1"/>
  <c r="G661" i="48"/>
  <c r="G723" i="48" s="1"/>
  <c r="G823" i="48" s="1"/>
  <c r="G888" i="48" s="1"/>
  <c r="G719" i="48"/>
  <c r="G819" i="48" s="1"/>
  <c r="G884" i="48" s="1"/>
  <c r="G722" i="48"/>
  <c r="G822" i="48" s="1"/>
  <c r="G887" i="48" s="1"/>
  <c r="G668" i="48"/>
  <c r="G730" i="48" s="1"/>
  <c r="G830" i="48" s="1"/>
  <c r="G895" i="48" s="1"/>
  <c r="G721" i="48"/>
  <c r="G821" i="48" s="1"/>
  <c r="G886" i="48" s="1"/>
  <c r="K533" i="48"/>
  <c r="G651" i="48"/>
  <c r="G713" i="48" s="1"/>
  <c r="G813" i="48" s="1"/>
  <c r="G878" i="48" s="1"/>
  <c r="M794" i="50"/>
  <c r="H719" i="48"/>
  <c r="H819" i="48" s="1"/>
  <c r="H884" i="48" s="1"/>
  <c r="J675" i="48"/>
  <c r="J737" i="48" s="1"/>
  <c r="J837" i="48" s="1"/>
  <c r="J902" i="48" s="1"/>
  <c r="J1205" i="48"/>
  <c r="J1272" i="48" s="1"/>
  <c r="J1177" i="48"/>
  <c r="L759" i="50"/>
  <c r="F765" i="50"/>
  <c r="G705" i="48"/>
  <c r="G805" i="48" s="1"/>
  <c r="G870" i="48" s="1"/>
  <c r="I544" i="48"/>
  <c r="L771" i="50"/>
  <c r="L791" i="50"/>
  <c r="F808" i="48"/>
  <c r="F873" i="48" s="1"/>
  <c r="F922" i="48" s="1"/>
  <c r="F1013" i="48" s="1"/>
  <c r="F805" i="48"/>
  <c r="F870" i="48" s="1"/>
  <c r="F919" i="48" s="1"/>
  <c r="F999" i="48" s="1"/>
  <c r="F802" i="48"/>
  <c r="F867" i="48" s="1"/>
  <c r="F916" i="48" s="1"/>
  <c r="F983" i="48" s="1"/>
  <c r="F791" i="50"/>
  <c r="F771" i="50"/>
  <c r="M776" i="50"/>
  <c r="M805" i="50" s="1"/>
  <c r="M199" i="47" s="1"/>
  <c r="F807" i="48"/>
  <c r="F872" i="48" s="1"/>
  <c r="F921" i="48" s="1"/>
  <c r="F1010" i="48" s="1"/>
  <c r="G706" i="48"/>
  <c r="G806" i="48" s="1"/>
  <c r="G871" i="48" s="1"/>
  <c r="G707" i="48"/>
  <c r="G807" i="48" s="1"/>
  <c r="G872" i="48" s="1"/>
  <c r="F806" i="48"/>
  <c r="F871" i="48" s="1"/>
  <c r="F920" i="48" s="1"/>
  <c r="F1005" i="48" s="1"/>
  <c r="J543" i="48"/>
  <c r="L79" i="53"/>
  <c r="L92" i="53" s="1"/>
  <c r="L17" i="3" s="1"/>
  <c r="K22" i="48" s="1"/>
  <c r="K528" i="48" s="1"/>
  <c r="K543" i="48" s="1"/>
  <c r="AK203" i="73"/>
  <c r="AK207" i="73" s="1"/>
  <c r="AK209" i="73" s="1"/>
  <c r="AK201" i="73"/>
  <c r="AK221" i="73" s="1"/>
  <c r="AK222" i="73" s="1"/>
  <c r="K759" i="50"/>
  <c r="H794" i="50"/>
  <c r="F237" i="52"/>
  <c r="F265" i="52" s="1"/>
  <c r="F201" i="47" s="1"/>
  <c r="F262" i="52"/>
  <c r="AI242" i="74"/>
  <c r="AI311" i="74" s="1"/>
  <c r="AI315" i="74" s="1"/>
  <c r="AI254" i="74"/>
  <c r="AA242" i="74"/>
  <c r="AA311" i="74" s="1"/>
  <c r="AA315" i="74" s="1"/>
  <c r="AA254" i="74"/>
  <c r="Q203" i="73"/>
  <c r="Q207" i="73" s="1"/>
  <c r="Q209" i="73" s="1"/>
  <c r="Q201" i="73"/>
  <c r="Q221" i="73" s="1"/>
  <c r="Q222" i="73" s="1"/>
  <c r="AJ254" i="74"/>
  <c r="AJ242" i="74"/>
  <c r="AJ311" i="74" s="1"/>
  <c r="AJ315" i="74" s="1"/>
  <c r="Z254" i="74"/>
  <c r="Z242" i="74"/>
  <c r="Z311" i="74" s="1"/>
  <c r="Z315" i="74" s="1"/>
  <c r="AA210" i="73"/>
  <c r="AA225" i="73"/>
  <c r="AA271" i="73" s="1"/>
  <c r="K240" i="74"/>
  <c r="J255" i="74"/>
  <c r="H291" i="51"/>
  <c r="H321" i="51" s="1"/>
  <c r="H419" i="51"/>
  <c r="H436" i="51" s="1"/>
  <c r="H508" i="51" s="1"/>
  <c r="H365" i="51"/>
  <c r="H382" i="51" s="1"/>
  <c r="H505" i="51" s="1"/>
  <c r="H288" i="51"/>
  <c r="H318" i="51" s="1"/>
  <c r="H416" i="51"/>
  <c r="H433" i="51" s="1"/>
  <c r="H362" i="51"/>
  <c r="H379" i="51" s="1"/>
  <c r="H413" i="51"/>
  <c r="H430" i="51" s="1"/>
  <c r="H477" i="51" s="1"/>
  <c r="H359" i="51"/>
  <c r="H376" i="51" s="1"/>
  <c r="H471" i="51" s="1"/>
  <c r="H415" i="51"/>
  <c r="H432" i="51" s="1"/>
  <c r="H361" i="51"/>
  <c r="H378" i="51" s="1"/>
  <c r="H461" i="51"/>
  <c r="H417" i="51"/>
  <c r="H434" i="51" s="1"/>
  <c r="H363" i="51"/>
  <c r="H380" i="51" s="1"/>
  <c r="H290" i="51"/>
  <c r="H320" i="51" s="1"/>
  <c r="H418" i="51"/>
  <c r="H435" i="51" s="1"/>
  <c r="H498" i="51" s="1"/>
  <c r="H364" i="51"/>
  <c r="H381" i="51" s="1"/>
  <c r="H489" i="51" s="1"/>
  <c r="H465" i="51"/>
  <c r="H286" i="51"/>
  <c r="H316" i="51" s="1"/>
  <c r="H414" i="51"/>
  <c r="H431" i="51" s="1"/>
  <c r="H360" i="51"/>
  <c r="H377" i="51" s="1"/>
  <c r="H285" i="51"/>
  <c r="H287" i="51"/>
  <c r="H317" i="51" s="1"/>
  <c r="H289" i="51"/>
  <c r="H319" i="51" s="1"/>
  <c r="F545" i="51"/>
  <c r="F551" i="51"/>
  <c r="K225" i="73"/>
  <c r="K271" i="73" s="1"/>
  <c r="K210" i="73"/>
  <c r="J262" i="52"/>
  <c r="J237" i="52"/>
  <c r="J265" i="52" s="1"/>
  <c r="J201" i="47" s="1"/>
  <c r="G138" i="47"/>
  <c r="AP17" i="47" s="1"/>
  <c r="G72" i="77"/>
  <c r="G776" i="50"/>
  <c r="G805" i="50" s="1"/>
  <c r="G199" i="47" s="1"/>
  <c r="J67" i="76"/>
  <c r="J66" i="76"/>
  <c r="J18" i="41" s="1"/>
  <c r="N161" i="73"/>
  <c r="N157" i="73"/>
  <c r="K771" i="50"/>
  <c r="G696" i="48"/>
  <c r="H696" i="48" s="1"/>
  <c r="G736" i="48"/>
  <c r="G836" i="48" s="1"/>
  <c r="G901" i="48" s="1"/>
  <c r="O162" i="73"/>
  <c r="O158" i="73"/>
  <c r="L66" i="76"/>
  <c r="L18" i="41" s="1"/>
  <c r="L67" i="76"/>
  <c r="J253" i="52"/>
  <c r="I68" i="76"/>
  <c r="I137" i="47"/>
  <c r="AR16" i="47" s="1"/>
  <c r="M68" i="76"/>
  <c r="M137" i="47"/>
  <c r="AV16" i="47" s="1"/>
  <c r="G518" i="51"/>
  <c r="M253" i="52"/>
  <c r="L262" i="52"/>
  <c r="L237" i="52"/>
  <c r="L265" i="52" s="1"/>
  <c r="L201" i="47" s="1"/>
  <c r="F518" i="51"/>
  <c r="I237" i="52"/>
  <c r="I265" i="52" s="1"/>
  <c r="I201" i="47" s="1"/>
  <c r="I262" i="52"/>
  <c r="K791" i="50"/>
  <c r="F550" i="51"/>
  <c r="F580" i="51"/>
  <c r="F544" i="51"/>
  <c r="F556" i="51"/>
  <c r="F563" i="51" s="1"/>
  <c r="F594" i="51" s="1"/>
  <c r="F528" i="51"/>
  <c r="K67" i="76"/>
  <c r="K66" i="76"/>
  <c r="K18" i="41" s="1"/>
  <c r="L216" i="73"/>
  <c r="L217" i="73" s="1"/>
  <c r="L218" i="73" s="1"/>
  <c r="L219" i="73" s="1"/>
  <c r="K538" i="48"/>
  <c r="G708" i="48"/>
  <c r="H708" i="48" s="1"/>
  <c r="F803" i="48"/>
  <c r="F868" i="48" s="1"/>
  <c r="F917" i="48" s="1"/>
  <c r="F987" i="48" s="1"/>
  <c r="G557" i="51"/>
  <c r="G551" i="51"/>
  <c r="G545" i="51"/>
  <c r="L253" i="52"/>
  <c r="M262" i="52"/>
  <c r="M237" i="52"/>
  <c r="M265" i="52" s="1"/>
  <c r="M201" i="47" s="1"/>
  <c r="G544" i="51"/>
  <c r="G528" i="51"/>
  <c r="G550" i="51"/>
  <c r="G556" i="51"/>
  <c r="G580" i="51"/>
  <c r="G732" i="48"/>
  <c r="G832" i="48" s="1"/>
  <c r="G897" i="48" s="1"/>
  <c r="G702" i="48"/>
  <c r="G802" i="48" s="1"/>
  <c r="G867" i="48" s="1"/>
  <c r="G703" i="48"/>
  <c r="H703" i="48" s="1"/>
  <c r="G737" i="48"/>
  <c r="G837" i="48" s="1"/>
  <c r="G902" i="48" s="1"/>
  <c r="F1030" i="48"/>
  <c r="F1027" i="48"/>
  <c r="F1028" i="48"/>
  <c r="F1029" i="48"/>
  <c r="F1026" i="48"/>
  <c r="F1079" i="48"/>
  <c r="F1077" i="48"/>
  <c r="F1076" i="48"/>
  <c r="F1080" i="48"/>
  <c r="F1078" i="48"/>
  <c r="H681" i="48"/>
  <c r="G781" i="48"/>
  <c r="G846" i="48" s="1"/>
  <c r="G925" i="48" s="1"/>
  <c r="G793" i="48"/>
  <c r="G858" i="48" s="1"/>
  <c r="H693" i="48"/>
  <c r="F1059" i="48"/>
  <c r="F1058" i="48"/>
  <c r="F1056" i="48"/>
  <c r="F1060" i="48"/>
  <c r="F1057" i="48"/>
  <c r="G787" i="48"/>
  <c r="G852" i="48" s="1"/>
  <c r="H687" i="48"/>
  <c r="F1085" i="48"/>
  <c r="F1081" i="48"/>
  <c r="F1083" i="48"/>
  <c r="F1084" i="48"/>
  <c r="F1082" i="48"/>
  <c r="F1064" i="48"/>
  <c r="F1061" i="48"/>
  <c r="F1062" i="48"/>
  <c r="F1063" i="48"/>
  <c r="F1065" i="48"/>
  <c r="F1074" i="48"/>
  <c r="F1071" i="48"/>
  <c r="F1072" i="48"/>
  <c r="F1073" i="48"/>
  <c r="F1075" i="48"/>
  <c r="F799" i="48"/>
  <c r="F864" i="48" s="1"/>
  <c r="F913" i="48" s="1"/>
  <c r="G699" i="48"/>
  <c r="G704" i="48"/>
  <c r="F804" i="48"/>
  <c r="F869" i="48" s="1"/>
  <c r="F918" i="48" s="1"/>
  <c r="G698" i="48"/>
  <c r="F798" i="48"/>
  <c r="F863" i="48" s="1"/>
  <c r="F912" i="48" s="1"/>
  <c r="F801" i="48"/>
  <c r="F866" i="48" s="1"/>
  <c r="F915" i="48" s="1"/>
  <c r="G701" i="48"/>
  <c r="F952" i="48"/>
  <c r="F953" i="48"/>
  <c r="F954" i="48"/>
  <c r="F951" i="48"/>
  <c r="F955" i="48"/>
  <c r="H697" i="48"/>
  <c r="G797" i="48"/>
  <c r="G862" i="48" s="1"/>
  <c r="G911" i="48" s="1"/>
  <c r="G734" i="48"/>
  <c r="G834" i="48" s="1"/>
  <c r="G899" i="48" s="1"/>
  <c r="H684" i="48"/>
  <c r="G784" i="48"/>
  <c r="G849" i="48" s="1"/>
  <c r="G928" i="48" s="1"/>
  <c r="G789" i="48"/>
  <c r="G854" i="48" s="1"/>
  <c r="H689" i="48"/>
  <c r="F1050" i="48"/>
  <c r="F1047" i="48"/>
  <c r="F1049" i="48"/>
  <c r="F1046" i="48"/>
  <c r="F1048" i="48"/>
  <c r="G783" i="48"/>
  <c r="G848" i="48" s="1"/>
  <c r="H683" i="48"/>
  <c r="F1020" i="48"/>
  <c r="F1016" i="48"/>
  <c r="F1019" i="48"/>
  <c r="F1018" i="48"/>
  <c r="F1017" i="48"/>
  <c r="G779" i="48"/>
  <c r="G844" i="48" s="1"/>
  <c r="H679" i="48"/>
  <c r="F1053" i="48"/>
  <c r="F1052" i="48"/>
  <c r="F1055" i="48"/>
  <c r="F1051" i="48"/>
  <c r="F1054" i="48"/>
  <c r="J765" i="50"/>
  <c r="J771" i="50"/>
  <c r="J759" i="50"/>
  <c r="J791" i="50"/>
  <c r="H734" i="48"/>
  <c r="H834" i="48" s="1"/>
  <c r="H899" i="48" s="1"/>
  <c r="K605" i="48"/>
  <c r="I776" i="50"/>
  <c r="I805" i="50" s="1"/>
  <c r="I199" i="47" s="1"/>
  <c r="H691" i="48"/>
  <c r="G791" i="48"/>
  <c r="G856" i="48" s="1"/>
  <c r="F1088" i="48"/>
  <c r="F1086" i="48"/>
  <c r="F1087" i="48"/>
  <c r="F1089" i="48"/>
  <c r="F1090" i="48"/>
  <c r="G682" i="48"/>
  <c r="F782" i="48"/>
  <c r="F847" i="48" s="1"/>
  <c r="F926" i="48" s="1"/>
  <c r="H692" i="48"/>
  <c r="G792" i="48"/>
  <c r="G857" i="48" s="1"/>
  <c r="H688" i="48"/>
  <c r="G788" i="48"/>
  <c r="G853" i="48" s="1"/>
  <c r="G932" i="48" s="1"/>
  <c r="G790" i="48"/>
  <c r="G855" i="48" s="1"/>
  <c r="G934" i="48" s="1"/>
  <c r="H690" i="48"/>
  <c r="G695" i="48"/>
  <c r="F795" i="48"/>
  <c r="F860" i="48" s="1"/>
  <c r="F909" i="48" s="1"/>
  <c r="G700" i="48"/>
  <c r="F800" i="48"/>
  <c r="F865" i="48" s="1"/>
  <c r="F914" i="48" s="1"/>
  <c r="G694" i="48"/>
  <c r="F794" i="48"/>
  <c r="F859" i="48" s="1"/>
  <c r="F908" i="48" s="1"/>
  <c r="H776" i="50"/>
  <c r="H805" i="50" s="1"/>
  <c r="H199" i="47" s="1"/>
  <c r="I794" i="50"/>
  <c r="F957" i="48"/>
  <c r="F956" i="48"/>
  <c r="F960" i="48"/>
  <c r="F958" i="48"/>
  <c r="F959" i="48"/>
  <c r="F1041" i="48"/>
  <c r="F1043" i="48"/>
  <c r="F1044" i="48"/>
  <c r="F1042" i="48"/>
  <c r="F1045" i="48"/>
  <c r="F780" i="48"/>
  <c r="F845" i="48" s="1"/>
  <c r="F924" i="48" s="1"/>
  <c r="G680" i="48"/>
  <c r="F1066" i="48"/>
  <c r="F1068" i="48"/>
  <c r="F1070" i="48"/>
  <c r="F1067" i="48"/>
  <c r="F1069" i="48"/>
  <c r="G785" i="48"/>
  <c r="G850" i="48" s="1"/>
  <c r="G929" i="48" s="1"/>
  <c r="H685" i="48"/>
  <c r="F1040" i="48"/>
  <c r="F1038" i="48"/>
  <c r="F1036" i="48"/>
  <c r="F1039" i="48"/>
  <c r="F1037" i="48"/>
  <c r="H686" i="48"/>
  <c r="G786" i="48"/>
  <c r="G851" i="48" s="1"/>
  <c r="G794" i="50"/>
  <c r="M78" i="53"/>
  <c r="M91" i="53" s="1"/>
  <c r="M16" i="3" s="1"/>
  <c r="L21" i="48" s="1"/>
  <c r="L527" i="48" s="1"/>
  <c r="M93" i="53"/>
  <c r="M18" i="3" s="1"/>
  <c r="J822" i="48"/>
  <c r="J887" i="48" s="1"/>
  <c r="V225" i="73"/>
  <c r="V271" i="73" s="1"/>
  <c r="V210" i="73"/>
  <c r="N160" i="73"/>
  <c r="N156" i="73"/>
  <c r="H68" i="76"/>
  <c r="H137" i="47"/>
  <c r="AQ16" i="47" s="1"/>
  <c r="N93" i="53"/>
  <c r="N18" i="3" s="1"/>
  <c r="N78" i="53"/>
  <c r="N91" i="53" s="1"/>
  <c r="N16" i="3" s="1"/>
  <c r="M21" i="48" s="1"/>
  <c r="M527" i="48" s="1"/>
  <c r="AP225" i="73"/>
  <c r="AP271" i="73" s="1"/>
  <c r="AP210" i="73"/>
  <c r="AF225" i="73"/>
  <c r="AF271" i="73" s="1"/>
  <c r="AF210" i="73"/>
  <c r="G137" i="47"/>
  <c r="AP16" i="47" s="1"/>
  <c r="K23" i="48"/>
  <c r="K60" i="57"/>
  <c r="K66" i="57" s="1"/>
  <c r="AQ34" i="47" l="1"/>
  <c r="G68" i="76"/>
  <c r="F794" i="50"/>
  <c r="H315" i="51"/>
  <c r="H322" i="51" s="1"/>
  <c r="Z225" i="73"/>
  <c r="Z271" i="73" s="1"/>
  <c r="K295" i="49"/>
  <c r="G205" i="49"/>
  <c r="L794" i="50"/>
  <c r="I211" i="49"/>
  <c r="I221" i="49" s="1"/>
  <c r="I292" i="49" s="1"/>
  <c r="G236" i="49"/>
  <c r="F292" i="49"/>
  <c r="F297" i="49" s="1"/>
  <c r="H214" i="49"/>
  <c r="H215" i="49" s="1"/>
  <c r="L1184" i="48"/>
  <c r="L1219" i="48" s="1"/>
  <c r="L1274" i="48" s="1"/>
  <c r="K1183" i="48"/>
  <c r="K1217" i="48" s="1"/>
  <c r="K1271" i="48" s="1"/>
  <c r="K1184" i="48"/>
  <c r="K1219" i="48" s="1"/>
  <c r="K1274" i="48" s="1"/>
  <c r="J210" i="49"/>
  <c r="J211" i="49" s="1"/>
  <c r="J221" i="49" s="1"/>
  <c r="J292" i="49" s="1"/>
  <c r="K526" i="48"/>
  <c r="L210" i="73"/>
  <c r="H204" i="49"/>
  <c r="H235" i="49" s="1"/>
  <c r="I765" i="48"/>
  <c r="I1214" i="48" s="1"/>
  <c r="J162" i="49"/>
  <c r="J204" i="49" s="1"/>
  <c r="J235" i="49" s="1"/>
  <c r="AE254" i="74"/>
  <c r="AE242" i="74"/>
  <c r="AE311" i="74" s="1"/>
  <c r="AE315" i="74" s="1"/>
  <c r="AN242" i="74"/>
  <c r="AN311" i="74" s="1"/>
  <c r="AN315" i="74" s="1"/>
  <c r="AN254" i="74"/>
  <c r="G765" i="48"/>
  <c r="G1214" i="48" s="1"/>
  <c r="G764" i="48"/>
  <c r="G1213" i="48" s="1"/>
  <c r="I764" i="48"/>
  <c r="I1213" i="48" s="1"/>
  <c r="K267" i="73"/>
  <c r="K275" i="73" s="1"/>
  <c r="K279" i="73" s="1"/>
  <c r="K284" i="73" s="1"/>
  <c r="AO225" i="73"/>
  <c r="AO271" i="73" s="1"/>
  <c r="AO210" i="73"/>
  <c r="K202" i="49"/>
  <c r="H662" i="48"/>
  <c r="H724" i="48" s="1"/>
  <c r="H824" i="48" s="1"/>
  <c r="H889" i="48" s="1"/>
  <c r="M112" i="44"/>
  <c r="H717" i="48"/>
  <c r="H817" i="48" s="1"/>
  <c r="H882" i="48" s="1"/>
  <c r="J672" i="48"/>
  <c r="J734" i="48" s="1"/>
  <c r="J834" i="48" s="1"/>
  <c r="J899" i="48" s="1"/>
  <c r="J667" i="48"/>
  <c r="J729" i="48" s="1"/>
  <c r="J829" i="48" s="1"/>
  <c r="J894" i="48" s="1"/>
  <c r="J671" i="48"/>
  <c r="J733" i="48" s="1"/>
  <c r="J833" i="48" s="1"/>
  <c r="J898" i="48" s="1"/>
  <c r="G221" i="49"/>
  <c r="G292" i="49" s="1"/>
  <c r="K162" i="49"/>
  <c r="M161" i="49"/>
  <c r="M160" i="49"/>
  <c r="K270" i="49"/>
  <c r="K260" i="49"/>
  <c r="K250" i="49"/>
  <c r="K269" i="49"/>
  <c r="K249" i="49"/>
  <c r="K259" i="49"/>
  <c r="I655" i="48"/>
  <c r="I717" i="48" s="1"/>
  <c r="I817" i="48" s="1"/>
  <c r="I882" i="48" s="1"/>
  <c r="I658" i="48"/>
  <c r="I720" i="48" s="1"/>
  <c r="I820" i="48" s="1"/>
  <c r="I885" i="48" s="1"/>
  <c r="I649" i="48"/>
  <c r="I711" i="48" s="1"/>
  <c r="I811" i="48" s="1"/>
  <c r="I876" i="48" s="1"/>
  <c r="I663" i="48"/>
  <c r="I725" i="48" s="1"/>
  <c r="I825" i="48" s="1"/>
  <c r="I890" i="48" s="1"/>
  <c r="I710" i="48"/>
  <c r="I810" i="48" s="1"/>
  <c r="I875" i="48" s="1"/>
  <c r="L160" i="49"/>
  <c r="L161" i="49"/>
  <c r="G276" i="49"/>
  <c r="G307" i="49" s="1"/>
  <c r="G198" i="47" s="1"/>
  <c r="T32" i="47" s="1"/>
  <c r="J263" i="49"/>
  <c r="J274" i="49" s="1"/>
  <c r="J253" i="49"/>
  <c r="J273" i="49" s="1"/>
  <c r="J243" i="49"/>
  <c r="J272" i="49" s="1"/>
  <c r="G923" i="48"/>
  <c r="G1017" i="48" s="1"/>
  <c r="K753" i="48"/>
  <c r="J668" i="48"/>
  <c r="J730" i="48" s="1"/>
  <c r="J830" i="48" s="1"/>
  <c r="J895" i="48" s="1"/>
  <c r="J676" i="48"/>
  <c r="J738" i="48" s="1"/>
  <c r="J838" i="48" s="1"/>
  <c r="J903" i="48" s="1"/>
  <c r="L112" i="44"/>
  <c r="K203" i="49"/>
  <c r="K214" i="49" s="1"/>
  <c r="K184" i="49"/>
  <c r="K220" i="49"/>
  <c r="K294" i="49" s="1"/>
  <c r="K244" i="49"/>
  <c r="K254" i="49"/>
  <c r="K264" i="49"/>
  <c r="K155" i="49"/>
  <c r="I276" i="49"/>
  <c r="I307" i="49" s="1"/>
  <c r="I198" i="47" s="1"/>
  <c r="V32" i="47" s="1"/>
  <c r="I660" i="48"/>
  <c r="I722" i="48" s="1"/>
  <c r="I822" i="48" s="1"/>
  <c r="I887" i="48" s="1"/>
  <c r="I667" i="48"/>
  <c r="I729" i="48" s="1"/>
  <c r="I829" i="48" s="1"/>
  <c r="I894" i="48" s="1"/>
  <c r="I714" i="48"/>
  <c r="I814" i="48" s="1"/>
  <c r="I879" i="48" s="1"/>
  <c r="I650" i="48"/>
  <c r="I712" i="48" s="1"/>
  <c r="I812" i="48" s="1"/>
  <c r="I877" i="48" s="1"/>
  <c r="I666" i="48"/>
  <c r="I728" i="48" s="1"/>
  <c r="I828" i="48" s="1"/>
  <c r="I893" i="48" s="1"/>
  <c r="I713" i="48"/>
  <c r="I813" i="48" s="1"/>
  <c r="I878" i="48" s="1"/>
  <c r="H253" i="49"/>
  <c r="H273" i="49" s="1"/>
  <c r="H243" i="49"/>
  <c r="H272" i="49" s="1"/>
  <c r="H263" i="49"/>
  <c r="H274" i="49" s="1"/>
  <c r="K245" i="49"/>
  <c r="K265" i="49"/>
  <c r="K255" i="49"/>
  <c r="K256" i="49"/>
  <c r="K266" i="49"/>
  <c r="K246" i="49"/>
  <c r="K268" i="49"/>
  <c r="K248" i="49"/>
  <c r="K258" i="49"/>
  <c r="K247" i="49"/>
  <c r="K257" i="49"/>
  <c r="K267" i="49"/>
  <c r="I671" i="48"/>
  <c r="I733" i="48" s="1"/>
  <c r="I833" i="48" s="1"/>
  <c r="I898" i="48" s="1"/>
  <c r="I718" i="48"/>
  <c r="I818" i="48" s="1"/>
  <c r="I883" i="48" s="1"/>
  <c r="I662" i="48"/>
  <c r="I724" i="48" s="1"/>
  <c r="I824" i="48" s="1"/>
  <c r="I889" i="48" s="1"/>
  <c r="I709" i="48"/>
  <c r="I809" i="48" s="1"/>
  <c r="I874" i="48" s="1"/>
  <c r="I672" i="48"/>
  <c r="I734" i="48" s="1"/>
  <c r="I834" i="48" s="1"/>
  <c r="I899" i="48" s="1"/>
  <c r="I719" i="48"/>
  <c r="I819" i="48" s="1"/>
  <c r="I884" i="48" s="1"/>
  <c r="I235" i="49"/>
  <c r="I236" i="49" s="1"/>
  <c r="I205" i="49"/>
  <c r="M192" i="49"/>
  <c r="M290" i="49" s="1"/>
  <c r="M154" i="49"/>
  <c r="M182" i="49"/>
  <c r="M228" i="49" s="1"/>
  <c r="M175" i="49"/>
  <c r="M189" i="49"/>
  <c r="M289" i="49" s="1"/>
  <c r="M176" i="49"/>
  <c r="M222" i="49" s="1"/>
  <c r="M181" i="49"/>
  <c r="M227" i="49" s="1"/>
  <c r="M293" i="49" s="1"/>
  <c r="M195" i="49"/>
  <c r="M183" i="49"/>
  <c r="M229" i="49" s="1"/>
  <c r="M296" i="49" s="1"/>
  <c r="M179" i="49"/>
  <c r="M225" i="49" s="1"/>
  <c r="M196" i="49"/>
  <c r="M193" i="49"/>
  <c r="M194" i="49"/>
  <c r="M190" i="49"/>
  <c r="M191" i="49"/>
  <c r="M286" i="49" s="1"/>
  <c r="M180" i="49"/>
  <c r="M226" i="49" s="1"/>
  <c r="M177" i="49"/>
  <c r="M223" i="49" s="1"/>
  <c r="M178" i="49"/>
  <c r="M224" i="49" s="1"/>
  <c r="M197" i="49"/>
  <c r="M288" i="49" s="1"/>
  <c r="M174" i="49"/>
  <c r="M153" i="49"/>
  <c r="I653" i="48"/>
  <c r="I715" i="48" s="1"/>
  <c r="I815" i="48" s="1"/>
  <c r="I880" i="48" s="1"/>
  <c r="I661" i="48"/>
  <c r="I723" i="48" s="1"/>
  <c r="I823" i="48" s="1"/>
  <c r="I888" i="48" s="1"/>
  <c r="I674" i="48"/>
  <c r="I736" i="48" s="1"/>
  <c r="I836" i="48" s="1"/>
  <c r="I901" i="48" s="1"/>
  <c r="I721" i="48"/>
  <c r="I821" i="48" s="1"/>
  <c r="I886" i="48" s="1"/>
  <c r="I669" i="48"/>
  <c r="I731" i="48" s="1"/>
  <c r="I831" i="48" s="1"/>
  <c r="I896" i="48" s="1"/>
  <c r="I716" i="48"/>
  <c r="I816" i="48" s="1"/>
  <c r="I881" i="48" s="1"/>
  <c r="L194" i="49"/>
  <c r="L190" i="49"/>
  <c r="L177" i="49"/>
  <c r="L223" i="49" s="1"/>
  <c r="L180" i="49"/>
  <c r="L226" i="49" s="1"/>
  <c r="L176" i="49"/>
  <c r="L222" i="49" s="1"/>
  <c r="L153" i="49"/>
  <c r="L183" i="49"/>
  <c r="L229" i="49" s="1"/>
  <c r="L296" i="49" s="1"/>
  <c r="L174" i="49"/>
  <c r="L175" i="49"/>
  <c r="L193" i="49"/>
  <c r="L195" i="49"/>
  <c r="L192" i="49"/>
  <c r="L290" i="49" s="1"/>
  <c r="L181" i="49"/>
  <c r="L227" i="49" s="1"/>
  <c r="L293" i="49" s="1"/>
  <c r="L197" i="49"/>
  <c r="L288" i="49" s="1"/>
  <c r="L179" i="49"/>
  <c r="L225" i="49" s="1"/>
  <c r="L154" i="49"/>
  <c r="L178" i="49"/>
  <c r="L224" i="49" s="1"/>
  <c r="L189" i="49"/>
  <c r="L289" i="49" s="1"/>
  <c r="L191" i="49"/>
  <c r="L286" i="49" s="1"/>
  <c r="L196" i="49"/>
  <c r="L182" i="49"/>
  <c r="L228" i="49" s="1"/>
  <c r="H722" i="48"/>
  <c r="H822" i="48" s="1"/>
  <c r="H887" i="48" s="1"/>
  <c r="J669" i="48"/>
  <c r="J731" i="48" s="1"/>
  <c r="J831" i="48" s="1"/>
  <c r="J896" i="48" s="1"/>
  <c r="H718" i="48"/>
  <c r="H818" i="48" s="1"/>
  <c r="H883" i="48" s="1"/>
  <c r="U225" i="73"/>
  <c r="U271" i="73" s="1"/>
  <c r="U210" i="73"/>
  <c r="H710" i="48"/>
  <c r="H810" i="48" s="1"/>
  <c r="H875" i="48" s="1"/>
  <c r="K749" i="48"/>
  <c r="J674" i="48"/>
  <c r="J736" i="48" s="1"/>
  <c r="J836" i="48" s="1"/>
  <c r="J901" i="48" s="1"/>
  <c r="J665" i="48"/>
  <c r="J727" i="48" s="1"/>
  <c r="J827" i="48" s="1"/>
  <c r="J892" i="48" s="1"/>
  <c r="J673" i="48"/>
  <c r="J735" i="48" s="1"/>
  <c r="J835" i="48" s="1"/>
  <c r="J900" i="48" s="1"/>
  <c r="J662" i="48"/>
  <c r="J724" i="48" s="1"/>
  <c r="J824" i="48" s="1"/>
  <c r="J889" i="48" s="1"/>
  <c r="J663" i="48"/>
  <c r="J725" i="48" s="1"/>
  <c r="J825" i="48" s="1"/>
  <c r="J890" i="48" s="1"/>
  <c r="K644" i="48"/>
  <c r="K661" i="48" s="1"/>
  <c r="K723" i="48" s="1"/>
  <c r="K823" i="48" s="1"/>
  <c r="K888" i="48" s="1"/>
  <c r="H1272" i="48"/>
  <c r="J664" i="48"/>
  <c r="J726" i="48" s="1"/>
  <c r="J826" i="48" s="1"/>
  <c r="J891" i="48" s="1"/>
  <c r="H1177" i="48"/>
  <c r="J670" i="48"/>
  <c r="J732" i="48" s="1"/>
  <c r="J832" i="48" s="1"/>
  <c r="J897" i="48" s="1"/>
  <c r="J666" i="48"/>
  <c r="J728" i="48" s="1"/>
  <c r="J828" i="48" s="1"/>
  <c r="J893" i="48" s="1"/>
  <c r="K752" i="48"/>
  <c r="N163" i="73"/>
  <c r="N164" i="73" s="1"/>
  <c r="N215" i="73" s="1"/>
  <c r="N264" i="73" s="1"/>
  <c r="G937" i="48"/>
  <c r="G1087" i="48" s="1"/>
  <c r="M624" i="48"/>
  <c r="M773" i="48" s="1"/>
  <c r="H674" i="48"/>
  <c r="H736" i="48" s="1"/>
  <c r="H836" i="48" s="1"/>
  <c r="H901" i="48" s="1"/>
  <c r="K759" i="48"/>
  <c r="K757" i="48"/>
  <c r="K756" i="48"/>
  <c r="K1176" i="48"/>
  <c r="K1211" i="48" s="1"/>
  <c r="G666" i="48"/>
  <c r="G728" i="48" s="1"/>
  <c r="G828" i="48" s="1"/>
  <c r="G893" i="48" s="1"/>
  <c r="G676" i="48"/>
  <c r="G738" i="48" s="1"/>
  <c r="G838" i="48" s="1"/>
  <c r="G903" i="48" s="1"/>
  <c r="K760" i="48"/>
  <c r="K766" i="48" s="1"/>
  <c r="K1215" i="48" s="1"/>
  <c r="K758" i="48"/>
  <c r="M619" i="48"/>
  <c r="M631" i="48" s="1"/>
  <c r="M648" i="48" s="1"/>
  <c r="K750" i="48"/>
  <c r="K762" i="48"/>
  <c r="K761" i="48"/>
  <c r="J765" i="48"/>
  <c r="J1214" i="48" s="1"/>
  <c r="H715" i="48"/>
  <c r="H815" i="48" s="1"/>
  <c r="H880" i="48" s="1"/>
  <c r="M215" i="73"/>
  <c r="M264" i="73" s="1"/>
  <c r="G931" i="48"/>
  <c r="G1058" i="48" s="1"/>
  <c r="H764" i="48"/>
  <c r="H1213" i="48" s="1"/>
  <c r="K642" i="48"/>
  <c r="K659" i="48" s="1"/>
  <c r="K721" i="48" s="1"/>
  <c r="K821" i="48" s="1"/>
  <c r="K886" i="48" s="1"/>
  <c r="M621" i="48"/>
  <c r="M746" i="48" s="1"/>
  <c r="M760" i="48" s="1"/>
  <c r="M766" i="48" s="1"/>
  <c r="M1215" i="48" s="1"/>
  <c r="K754" i="48"/>
  <c r="K755" i="48"/>
  <c r="K748" i="48"/>
  <c r="H765" i="48"/>
  <c r="H1214" i="48" s="1"/>
  <c r="L265" i="73"/>
  <c r="L267" i="73" s="1"/>
  <c r="L275" i="73" s="1"/>
  <c r="L279" i="73" s="1"/>
  <c r="L284" i="73" s="1"/>
  <c r="G936" i="48"/>
  <c r="G1084" i="48" s="1"/>
  <c r="M623" i="48"/>
  <c r="M771" i="48" s="1"/>
  <c r="M533" i="48"/>
  <c r="G663" i="48"/>
  <c r="G725" i="48" s="1"/>
  <c r="G825" i="48" s="1"/>
  <c r="G890" i="48" s="1"/>
  <c r="J764" i="48"/>
  <c r="J1213" i="48" s="1"/>
  <c r="H667" i="48"/>
  <c r="H729" i="48" s="1"/>
  <c r="H829" i="48" s="1"/>
  <c r="H894" i="48" s="1"/>
  <c r="G927" i="48"/>
  <c r="G1040" i="48" s="1"/>
  <c r="M622" i="48"/>
  <c r="M769" i="48" s="1"/>
  <c r="H664" i="48"/>
  <c r="H726" i="48" s="1"/>
  <c r="H826" i="48" s="1"/>
  <c r="H891" i="48" s="1"/>
  <c r="K639" i="48"/>
  <c r="K656" i="48" s="1"/>
  <c r="K718" i="48" s="1"/>
  <c r="K818" i="48" s="1"/>
  <c r="K883" i="48" s="1"/>
  <c r="K636" i="48"/>
  <c r="K653" i="48" s="1"/>
  <c r="K715" i="48" s="1"/>
  <c r="K815" i="48" s="1"/>
  <c r="K880" i="48" s="1"/>
  <c r="L619" i="48"/>
  <c r="L632" i="48" s="1"/>
  <c r="K635" i="48"/>
  <c r="K652" i="48" s="1"/>
  <c r="K714" i="48" s="1"/>
  <c r="K814" i="48" s="1"/>
  <c r="K879" i="48" s="1"/>
  <c r="L622" i="48"/>
  <c r="L769" i="48" s="1"/>
  <c r="H669" i="48"/>
  <c r="H731" i="48" s="1"/>
  <c r="H831" i="48" s="1"/>
  <c r="H896" i="48" s="1"/>
  <c r="K637" i="48"/>
  <c r="K654" i="48" s="1"/>
  <c r="K716" i="48" s="1"/>
  <c r="K816" i="48" s="1"/>
  <c r="K881" i="48" s="1"/>
  <c r="K633" i="48"/>
  <c r="K650" i="48" s="1"/>
  <c r="K712" i="48" s="1"/>
  <c r="K812" i="48" s="1"/>
  <c r="K877" i="48" s="1"/>
  <c r="K1170" i="48"/>
  <c r="K1205" i="48" s="1"/>
  <c r="G933" i="48"/>
  <c r="G1067" i="48" s="1"/>
  <c r="K631" i="48"/>
  <c r="K648" i="48" s="1"/>
  <c r="K710" i="48" s="1"/>
  <c r="K810" i="48" s="1"/>
  <c r="K875" i="48" s="1"/>
  <c r="K641" i="48"/>
  <c r="K658" i="48" s="1"/>
  <c r="K720" i="48" s="1"/>
  <c r="K820" i="48" s="1"/>
  <c r="K885" i="48" s="1"/>
  <c r="K630" i="48"/>
  <c r="K647" i="48" s="1"/>
  <c r="K709" i="48" s="1"/>
  <c r="K809" i="48" s="1"/>
  <c r="K874" i="48" s="1"/>
  <c r="K634" i="48"/>
  <c r="K651" i="48" s="1"/>
  <c r="K713" i="48" s="1"/>
  <c r="K813" i="48" s="1"/>
  <c r="K878" i="48" s="1"/>
  <c r="K1163" i="48"/>
  <c r="K1167" i="48"/>
  <c r="K632" i="48"/>
  <c r="K649" i="48" s="1"/>
  <c r="K711" i="48" s="1"/>
  <c r="K811" i="48" s="1"/>
  <c r="K876" i="48" s="1"/>
  <c r="K638" i="48"/>
  <c r="K655" i="48" s="1"/>
  <c r="K717" i="48" s="1"/>
  <c r="K817" i="48" s="1"/>
  <c r="K882" i="48" s="1"/>
  <c r="K643" i="48"/>
  <c r="K660" i="48" s="1"/>
  <c r="K722" i="48" s="1"/>
  <c r="K822" i="48" s="1"/>
  <c r="K887" i="48" s="1"/>
  <c r="K1173" i="48"/>
  <c r="K1208" i="48" s="1"/>
  <c r="K1175" i="48"/>
  <c r="K1210" i="48" s="1"/>
  <c r="K1277" i="48" s="1"/>
  <c r="L623" i="48"/>
  <c r="L771" i="48" s="1"/>
  <c r="L533" i="48"/>
  <c r="K1155" i="48"/>
  <c r="K742" i="48"/>
  <c r="L621" i="48"/>
  <c r="L746" i="48" s="1"/>
  <c r="L760" i="48" s="1"/>
  <c r="L766" i="48" s="1"/>
  <c r="L1215" i="48" s="1"/>
  <c r="K1168" i="48"/>
  <c r="K1164" i="48"/>
  <c r="K1158" i="48"/>
  <c r="K1154" i="48"/>
  <c r="K1159" i="48"/>
  <c r="K1156" i="48"/>
  <c r="G669" i="48"/>
  <c r="G731" i="48" s="1"/>
  <c r="G831" i="48" s="1"/>
  <c r="G896" i="48" s="1"/>
  <c r="G930" i="48"/>
  <c r="G1051" i="48" s="1"/>
  <c r="K625" i="48"/>
  <c r="K1157" i="48"/>
  <c r="K1166" i="48"/>
  <c r="K1161" i="48"/>
  <c r="K1162" i="48"/>
  <c r="G935" i="48"/>
  <c r="G1080" i="48" s="1"/>
  <c r="J544" i="48"/>
  <c r="K544" i="48" s="1"/>
  <c r="L620" i="48"/>
  <c r="L1154" i="48" s="1"/>
  <c r="K1165" i="48"/>
  <c r="K1171" i="48"/>
  <c r="K1206" i="48" s="1"/>
  <c r="K1160" i="48"/>
  <c r="K1174" i="48"/>
  <c r="K1209" i="48" s="1"/>
  <c r="F1012" i="48"/>
  <c r="L776" i="50"/>
  <c r="L805" i="50" s="1"/>
  <c r="L199" i="47" s="1"/>
  <c r="H705" i="48"/>
  <c r="I705" i="48" s="1"/>
  <c r="G916" i="48"/>
  <c r="G982" i="48" s="1"/>
  <c r="F776" i="50"/>
  <c r="F805" i="50" s="1"/>
  <c r="F199" i="47" s="1"/>
  <c r="S33" i="47" s="1"/>
  <c r="H665" i="48"/>
  <c r="H727" i="48" s="1"/>
  <c r="H827" i="48" s="1"/>
  <c r="H892" i="48" s="1"/>
  <c r="H666" i="48"/>
  <c r="H728" i="48" s="1"/>
  <c r="H828" i="48" s="1"/>
  <c r="H893" i="48" s="1"/>
  <c r="F984" i="48"/>
  <c r="H673" i="48"/>
  <c r="H735" i="48" s="1"/>
  <c r="H835" i="48" s="1"/>
  <c r="H900" i="48" s="1"/>
  <c r="H676" i="48"/>
  <c r="H738" i="48" s="1"/>
  <c r="H838" i="48" s="1"/>
  <c r="H903" i="48" s="1"/>
  <c r="M1155" i="48"/>
  <c r="M1165" i="48"/>
  <c r="M1159" i="48"/>
  <c r="M1161" i="48"/>
  <c r="M1176" i="48"/>
  <c r="M1211" i="48" s="1"/>
  <c r="M1164" i="48"/>
  <c r="M1162" i="48"/>
  <c r="M1168" i="48"/>
  <c r="M1166" i="48"/>
  <c r="M1174" i="48"/>
  <c r="M1209" i="48" s="1"/>
  <c r="M1175" i="48"/>
  <c r="M1210" i="48" s="1"/>
  <c r="M1277" i="48" s="1"/>
  <c r="M1163" i="48"/>
  <c r="M1167" i="48"/>
  <c r="M1171" i="48"/>
  <c r="M1206" i="48" s="1"/>
  <c r="M1154" i="48"/>
  <c r="M1158" i="48"/>
  <c r="M742" i="48"/>
  <c r="M1170" i="48"/>
  <c r="M1156" i="48"/>
  <c r="M1160" i="48"/>
  <c r="M1172" i="48"/>
  <c r="M1207" i="48" s="1"/>
  <c r="M1173" i="48"/>
  <c r="M1208" i="48" s="1"/>
  <c r="M1157" i="48"/>
  <c r="K672" i="48"/>
  <c r="K734" i="48" s="1"/>
  <c r="K719" i="48"/>
  <c r="K819" i="48" s="1"/>
  <c r="K884" i="48" s="1"/>
  <c r="H706" i="48"/>
  <c r="H806" i="48" s="1"/>
  <c r="H871" i="48" s="1"/>
  <c r="F1007" i="48"/>
  <c r="F1011" i="48"/>
  <c r="F982" i="48"/>
  <c r="F1015" i="48"/>
  <c r="F1014" i="48"/>
  <c r="F998" i="48"/>
  <c r="F1002" i="48"/>
  <c r="G808" i="48"/>
  <c r="G873" i="48" s="1"/>
  <c r="F1000" i="48"/>
  <c r="F997" i="48"/>
  <c r="F996" i="48"/>
  <c r="F981" i="48"/>
  <c r="F985" i="48"/>
  <c r="H707" i="48"/>
  <c r="I707" i="48" s="1"/>
  <c r="F989" i="48"/>
  <c r="F1004" i="48"/>
  <c r="F1006" i="48"/>
  <c r="F1008" i="48"/>
  <c r="F1009" i="48"/>
  <c r="F990" i="48"/>
  <c r="F1003" i="48"/>
  <c r="F986" i="48"/>
  <c r="G796" i="48"/>
  <c r="G861" i="48" s="1"/>
  <c r="G910" i="48" s="1"/>
  <c r="G955" i="48" s="1"/>
  <c r="G803" i="48"/>
  <c r="G868" i="48" s="1"/>
  <c r="G917" i="48" s="1"/>
  <c r="G986" i="48" s="1"/>
  <c r="F1001" i="48"/>
  <c r="K776" i="50"/>
  <c r="K805" i="50" s="1"/>
  <c r="K199" i="47" s="1"/>
  <c r="K606" i="48"/>
  <c r="G919" i="48"/>
  <c r="G997" i="48" s="1"/>
  <c r="L240" i="74"/>
  <c r="K255" i="74"/>
  <c r="Q210" i="73"/>
  <c r="Q225" i="73"/>
  <c r="Q271" i="73" s="1"/>
  <c r="M79" i="53"/>
  <c r="M92" i="53" s="1"/>
  <c r="M17" i="3" s="1"/>
  <c r="L22" i="48" s="1"/>
  <c r="L528" i="48" s="1"/>
  <c r="L606" i="48" s="1"/>
  <c r="AK210" i="73"/>
  <c r="AK225" i="73"/>
  <c r="AK271" i="73" s="1"/>
  <c r="H516" i="51"/>
  <c r="H526" i="51" s="1"/>
  <c r="H582" i="51" s="1"/>
  <c r="H449" i="51"/>
  <c r="H531" i="51" s="1"/>
  <c r="H575" i="51" s="1"/>
  <c r="G563" i="51"/>
  <c r="G594" i="51" s="1"/>
  <c r="H485" i="51"/>
  <c r="H462" i="51"/>
  <c r="H450" i="51"/>
  <c r="H532" i="51" s="1"/>
  <c r="H576" i="51" s="1"/>
  <c r="H473" i="51"/>
  <c r="H488" i="51"/>
  <c r="H472" i="51"/>
  <c r="H486" i="51"/>
  <c r="H487" i="51"/>
  <c r="H463" i="51"/>
  <c r="H494" i="51"/>
  <c r="H466" i="51"/>
  <c r="H497" i="51"/>
  <c r="H479" i="51"/>
  <c r="H495" i="51"/>
  <c r="H478" i="51"/>
  <c r="H496" i="51"/>
  <c r="H467" i="51"/>
  <c r="F561" i="51"/>
  <c r="F592" i="51" s="1"/>
  <c r="F562" i="51"/>
  <c r="F593" i="51" s="1"/>
  <c r="G561" i="51"/>
  <c r="G592" i="51" s="1"/>
  <c r="G583" i="51"/>
  <c r="P162" i="73"/>
  <c r="P158" i="73"/>
  <c r="O161" i="73"/>
  <c r="O157" i="73"/>
  <c r="F988" i="48"/>
  <c r="G920" i="48"/>
  <c r="G1003" i="48" s="1"/>
  <c r="K794" i="50"/>
  <c r="L137" i="47"/>
  <c r="AU16" i="47" s="1"/>
  <c r="L68" i="76"/>
  <c r="G562" i="51"/>
  <c r="G593" i="51" s="1"/>
  <c r="F583" i="51"/>
  <c r="J137" i="47"/>
  <c r="AS16" i="47" s="1"/>
  <c r="J68" i="76"/>
  <c r="N79" i="53"/>
  <c r="N92" i="53" s="1"/>
  <c r="N17" i="3" s="1"/>
  <c r="M22" i="48" s="1"/>
  <c r="M528" i="48" s="1"/>
  <c r="H702" i="48"/>
  <c r="I702" i="48" s="1"/>
  <c r="K137" i="47"/>
  <c r="AT16" i="47" s="1"/>
  <c r="K68" i="76"/>
  <c r="G921" i="48"/>
  <c r="G1006" i="48" s="1"/>
  <c r="F946" i="48"/>
  <c r="F950" i="48"/>
  <c r="F947" i="48"/>
  <c r="F948" i="48"/>
  <c r="F949" i="48"/>
  <c r="H786" i="48"/>
  <c r="H851" i="48" s="1"/>
  <c r="H930" i="48" s="1"/>
  <c r="I686" i="48"/>
  <c r="I685" i="48"/>
  <c r="H785" i="48"/>
  <c r="H850" i="48" s="1"/>
  <c r="F1023" i="48"/>
  <c r="F1025" i="48"/>
  <c r="F1022" i="48"/>
  <c r="F1024" i="48"/>
  <c r="F1021" i="48"/>
  <c r="I708" i="48"/>
  <c r="H808" i="48"/>
  <c r="H873" i="48" s="1"/>
  <c r="F941" i="48"/>
  <c r="F945" i="48"/>
  <c r="F942" i="48"/>
  <c r="F944" i="48"/>
  <c r="F943" i="48"/>
  <c r="F975" i="48"/>
  <c r="F973" i="48"/>
  <c r="F972" i="48"/>
  <c r="F971" i="48"/>
  <c r="F974" i="48"/>
  <c r="G795" i="48"/>
  <c r="G860" i="48" s="1"/>
  <c r="H695" i="48"/>
  <c r="I690" i="48"/>
  <c r="H790" i="48"/>
  <c r="H855" i="48" s="1"/>
  <c r="H934" i="48" s="1"/>
  <c r="G1063" i="48"/>
  <c r="G1062" i="48"/>
  <c r="G1061" i="48"/>
  <c r="G1065" i="48"/>
  <c r="G1064" i="48"/>
  <c r="H788" i="48"/>
  <c r="H853" i="48" s="1"/>
  <c r="I688" i="48"/>
  <c r="H792" i="48"/>
  <c r="H857" i="48" s="1"/>
  <c r="I692" i="48"/>
  <c r="H682" i="48"/>
  <c r="G782" i="48"/>
  <c r="G847" i="48" s="1"/>
  <c r="G926" i="48" s="1"/>
  <c r="H779" i="48"/>
  <c r="H844" i="48" s="1"/>
  <c r="H923" i="48" s="1"/>
  <c r="I679" i="48"/>
  <c r="G1041" i="48"/>
  <c r="G1045" i="48"/>
  <c r="G1043" i="48"/>
  <c r="G1044" i="48"/>
  <c r="G1042" i="48"/>
  <c r="I684" i="48"/>
  <c r="H784" i="48"/>
  <c r="H849" i="48" s="1"/>
  <c r="H928" i="48" s="1"/>
  <c r="H803" i="48"/>
  <c r="H868" i="48" s="1"/>
  <c r="H917" i="48" s="1"/>
  <c r="I703" i="48"/>
  <c r="G959" i="48"/>
  <c r="G957" i="48"/>
  <c r="G958" i="48"/>
  <c r="G960" i="48"/>
  <c r="G956" i="48"/>
  <c r="G801" i="48"/>
  <c r="G866" i="48" s="1"/>
  <c r="H701" i="48"/>
  <c r="G798" i="48"/>
  <c r="G863" i="48" s="1"/>
  <c r="H698" i="48"/>
  <c r="F993" i="48"/>
  <c r="F991" i="48"/>
  <c r="F994" i="48"/>
  <c r="F995" i="48"/>
  <c r="F992" i="48"/>
  <c r="H704" i="48"/>
  <c r="G804" i="48"/>
  <c r="G869" i="48" s="1"/>
  <c r="G918" i="48" s="1"/>
  <c r="F968" i="48"/>
  <c r="F967" i="48"/>
  <c r="F966" i="48"/>
  <c r="F969" i="48"/>
  <c r="F970" i="48"/>
  <c r="I687" i="48"/>
  <c r="H787" i="48"/>
  <c r="H852" i="48" s="1"/>
  <c r="G1026" i="48"/>
  <c r="G1028" i="48"/>
  <c r="G1030" i="48"/>
  <c r="G1029" i="48"/>
  <c r="G1027" i="48"/>
  <c r="M537" i="48"/>
  <c r="J794" i="50"/>
  <c r="G1050" i="48"/>
  <c r="G1047" i="48"/>
  <c r="G1049" i="48"/>
  <c r="G1046" i="48"/>
  <c r="G1048" i="48"/>
  <c r="H680" i="48"/>
  <c r="G780" i="48"/>
  <c r="G845" i="48" s="1"/>
  <c r="G924" i="48" s="1"/>
  <c r="I696" i="48"/>
  <c r="H796" i="48"/>
  <c r="H861" i="48" s="1"/>
  <c r="H694" i="48"/>
  <c r="G794" i="48"/>
  <c r="G859" i="48" s="1"/>
  <c r="G908" i="48" s="1"/>
  <c r="G800" i="48"/>
  <c r="G865" i="48" s="1"/>
  <c r="G914" i="48" s="1"/>
  <c r="H700" i="48"/>
  <c r="G1074" i="48"/>
  <c r="G1072" i="48"/>
  <c r="G1073" i="48"/>
  <c r="G1071" i="48"/>
  <c r="G1075" i="48"/>
  <c r="F1032" i="48"/>
  <c r="F1034" i="48"/>
  <c r="F1033" i="48"/>
  <c r="F1035" i="48"/>
  <c r="F1031" i="48"/>
  <c r="I691" i="48"/>
  <c r="H791" i="48"/>
  <c r="H856" i="48" s="1"/>
  <c r="H935" i="48" s="1"/>
  <c r="J776" i="50"/>
  <c r="J805" i="50" s="1"/>
  <c r="J199" i="47" s="1"/>
  <c r="H783" i="48"/>
  <c r="H848" i="48" s="1"/>
  <c r="H927" i="48" s="1"/>
  <c r="I683" i="48"/>
  <c r="H789" i="48"/>
  <c r="H854" i="48" s="1"/>
  <c r="H933" i="48" s="1"/>
  <c r="I689" i="48"/>
  <c r="I697" i="48"/>
  <c r="H797" i="48"/>
  <c r="H862" i="48" s="1"/>
  <c r="F980" i="48"/>
  <c r="F977" i="48"/>
  <c r="F976" i="48"/>
  <c r="F978" i="48"/>
  <c r="F979" i="48"/>
  <c r="F965" i="48"/>
  <c r="F963" i="48"/>
  <c r="F961" i="48"/>
  <c r="F962" i="48"/>
  <c r="F964" i="48"/>
  <c r="G799" i="48"/>
  <c r="G864" i="48" s="1"/>
  <c r="G913" i="48" s="1"/>
  <c r="H699" i="48"/>
  <c r="H793" i="48"/>
  <c r="H858" i="48" s="1"/>
  <c r="H937" i="48" s="1"/>
  <c r="I693" i="48"/>
  <c r="H781" i="48"/>
  <c r="H846" i="48" s="1"/>
  <c r="H925" i="48" s="1"/>
  <c r="I681" i="48"/>
  <c r="O160" i="73"/>
  <c r="O156" i="73"/>
  <c r="L537" i="48"/>
  <c r="L538" i="48" s="1"/>
  <c r="L605" i="48"/>
  <c r="M605" i="48"/>
  <c r="M60" i="57"/>
  <c r="M23" i="48"/>
  <c r="L23" i="48"/>
  <c r="L60" i="57"/>
  <c r="L66" i="57" s="1"/>
  <c r="H205" i="49" l="1"/>
  <c r="L295" i="49"/>
  <c r="M295" i="49"/>
  <c r="H234" i="49"/>
  <c r="H287" i="49" s="1"/>
  <c r="M1190" i="48"/>
  <c r="M1221" i="48" s="1"/>
  <c r="M1270" i="48" s="1"/>
  <c r="M1184" i="48"/>
  <c r="M1219" i="48" s="1"/>
  <c r="M1274" i="48" s="1"/>
  <c r="J233" i="49"/>
  <c r="J236" i="49" s="1"/>
  <c r="L1190" i="48"/>
  <c r="L1221" i="48" s="1"/>
  <c r="L1270" i="48" s="1"/>
  <c r="M1183" i="48"/>
  <c r="M1217" i="48" s="1"/>
  <c r="M1271" i="48" s="1"/>
  <c r="K210" i="49"/>
  <c r="K211" i="49" s="1"/>
  <c r="L1183" i="48"/>
  <c r="L1217" i="48" s="1"/>
  <c r="L1271" i="48" s="1"/>
  <c r="L526" i="48"/>
  <c r="I1273" i="48"/>
  <c r="I230" i="49"/>
  <c r="I291" i="49" s="1"/>
  <c r="G1207" i="48"/>
  <c r="G1272" i="48" s="1"/>
  <c r="G1177" i="48"/>
  <c r="J205" i="49"/>
  <c r="G1273" i="48"/>
  <c r="H931" i="48"/>
  <c r="G1083" i="48"/>
  <c r="M638" i="48"/>
  <c r="M655" i="48" s="1"/>
  <c r="M717" i="48" s="1"/>
  <c r="M817" i="48" s="1"/>
  <c r="M882" i="48" s="1"/>
  <c r="L155" i="49"/>
  <c r="J1273" i="48"/>
  <c r="L202" i="49"/>
  <c r="L210" i="49" s="1"/>
  <c r="G1089" i="48"/>
  <c r="L162" i="49"/>
  <c r="I664" i="48"/>
  <c r="I726" i="48" s="1"/>
  <c r="I826" i="48" s="1"/>
  <c r="I891" i="48" s="1"/>
  <c r="M155" i="49"/>
  <c r="G1020" i="48"/>
  <c r="G1037" i="48"/>
  <c r="I668" i="48"/>
  <c r="I730" i="48" s="1"/>
  <c r="I830" i="48" s="1"/>
  <c r="I895" i="48" s="1"/>
  <c r="G1056" i="48"/>
  <c r="G1016" i="48"/>
  <c r="M762" i="48"/>
  <c r="G230" i="49"/>
  <c r="G291" i="49" s="1"/>
  <c r="M162" i="49"/>
  <c r="I665" i="48"/>
  <c r="I727" i="48" s="1"/>
  <c r="I827" i="48" s="1"/>
  <c r="I892" i="48" s="1"/>
  <c r="I675" i="48"/>
  <c r="I737" i="48" s="1"/>
  <c r="I837" i="48" s="1"/>
  <c r="I902" i="48" s="1"/>
  <c r="I670" i="48"/>
  <c r="I732" i="48" s="1"/>
  <c r="I832" i="48" s="1"/>
  <c r="I897" i="48" s="1"/>
  <c r="K215" i="49"/>
  <c r="K234" i="49"/>
  <c r="K287" i="49" s="1"/>
  <c r="M260" i="49"/>
  <c r="M250" i="49"/>
  <c r="M270" i="49"/>
  <c r="H211" i="49"/>
  <c r="H221" i="49" s="1"/>
  <c r="H292" i="49" s="1"/>
  <c r="H233" i="49"/>
  <c r="J230" i="49"/>
  <c r="J291" i="49" s="1"/>
  <c r="J297" i="49" s="1"/>
  <c r="G1018" i="48"/>
  <c r="G1019" i="48"/>
  <c r="H936" i="48"/>
  <c r="H1082" i="48" s="1"/>
  <c r="G1036" i="48"/>
  <c r="M633" i="48"/>
  <c r="M650" i="48" s="1"/>
  <c r="M712" i="48" s="1"/>
  <c r="M812" i="48" s="1"/>
  <c r="M877" i="48" s="1"/>
  <c r="L250" i="49"/>
  <c r="L270" i="49"/>
  <c r="L260" i="49"/>
  <c r="L256" i="49"/>
  <c r="L246" i="49"/>
  <c r="L266" i="49"/>
  <c r="L259" i="49"/>
  <c r="L249" i="49"/>
  <c r="L269" i="49"/>
  <c r="L254" i="49"/>
  <c r="L264" i="49"/>
  <c r="L244" i="49"/>
  <c r="M266" i="49"/>
  <c r="M256" i="49"/>
  <c r="M246" i="49"/>
  <c r="M267" i="49"/>
  <c r="M247" i="49"/>
  <c r="M257" i="49"/>
  <c r="M254" i="49"/>
  <c r="M264" i="49"/>
  <c r="M244" i="49"/>
  <c r="M203" i="49"/>
  <c r="M214" i="49" s="1"/>
  <c r="K243" i="49"/>
  <c r="K272" i="49" s="1"/>
  <c r="K253" i="49"/>
  <c r="K273" i="49" s="1"/>
  <c r="K263" i="49"/>
  <c r="K274" i="49" s="1"/>
  <c r="J276" i="49"/>
  <c r="J307" i="49" s="1"/>
  <c r="J198" i="47" s="1"/>
  <c r="W32" i="47" s="1"/>
  <c r="I673" i="48"/>
  <c r="I735" i="48" s="1"/>
  <c r="I835" i="48" s="1"/>
  <c r="I900" i="48" s="1"/>
  <c r="K204" i="49"/>
  <c r="L257" i="49"/>
  <c r="L247" i="49"/>
  <c r="L267" i="49"/>
  <c r="L245" i="49"/>
  <c r="L265" i="49"/>
  <c r="L255" i="49"/>
  <c r="M184" i="49"/>
  <c r="M220" i="49"/>
  <c r="M294" i="49" s="1"/>
  <c r="M258" i="49"/>
  <c r="M248" i="49"/>
  <c r="M268" i="49"/>
  <c r="M259" i="49"/>
  <c r="M249" i="49"/>
  <c r="M269" i="49"/>
  <c r="M636" i="48"/>
  <c r="M653" i="48" s="1"/>
  <c r="M715" i="48" s="1"/>
  <c r="M815" i="48" s="1"/>
  <c r="M880" i="48" s="1"/>
  <c r="L203" i="49"/>
  <c r="L214" i="49" s="1"/>
  <c r="L220" i="49"/>
  <c r="L294" i="49" s="1"/>
  <c r="L184" i="49"/>
  <c r="L258" i="49"/>
  <c r="L268" i="49"/>
  <c r="L248" i="49"/>
  <c r="I676" i="48"/>
  <c r="I738" i="48" s="1"/>
  <c r="I838" i="48" s="1"/>
  <c r="I903" i="48" s="1"/>
  <c r="M202" i="49"/>
  <c r="M210" i="49" s="1"/>
  <c r="M245" i="49"/>
  <c r="M255" i="49"/>
  <c r="M265" i="49"/>
  <c r="H276" i="49"/>
  <c r="H307" i="49" s="1"/>
  <c r="H198" i="47" s="1"/>
  <c r="U32" i="47" s="1"/>
  <c r="M639" i="48"/>
  <c r="M656" i="48" s="1"/>
  <c r="M718" i="48" s="1"/>
  <c r="M818" i="48" s="1"/>
  <c r="M883" i="48" s="1"/>
  <c r="M640" i="48"/>
  <c r="M657" i="48" s="1"/>
  <c r="M719" i="48" s="1"/>
  <c r="M819" i="48" s="1"/>
  <c r="M884" i="48" s="1"/>
  <c r="G1039" i="48"/>
  <c r="M643" i="48"/>
  <c r="M660" i="48" s="1"/>
  <c r="M722" i="48" s="1"/>
  <c r="M822" i="48" s="1"/>
  <c r="M887" i="48" s="1"/>
  <c r="M641" i="48"/>
  <c r="M658" i="48" s="1"/>
  <c r="M720" i="48" s="1"/>
  <c r="M820" i="48" s="1"/>
  <c r="M885" i="48" s="1"/>
  <c r="G1060" i="48"/>
  <c r="L1163" i="48"/>
  <c r="M761" i="48"/>
  <c r="G1086" i="48"/>
  <c r="H932" i="48"/>
  <c r="H1065" i="48" s="1"/>
  <c r="K676" i="48"/>
  <c r="K738" i="48" s="1"/>
  <c r="K838" i="48" s="1"/>
  <c r="K903" i="48" s="1"/>
  <c r="G1038" i="48"/>
  <c r="M630" i="48"/>
  <c r="M647" i="48" s="1"/>
  <c r="M709" i="48" s="1"/>
  <c r="M809" i="48" s="1"/>
  <c r="M874" i="48" s="1"/>
  <c r="M634" i="48"/>
  <c r="M651" i="48" s="1"/>
  <c r="M713" i="48" s="1"/>
  <c r="M813" i="48" s="1"/>
  <c r="M878" i="48" s="1"/>
  <c r="M635" i="48"/>
  <c r="M652" i="48" s="1"/>
  <c r="M714" i="48" s="1"/>
  <c r="M814" i="48" s="1"/>
  <c r="M879" i="48" s="1"/>
  <c r="M642" i="48"/>
  <c r="M659" i="48" s="1"/>
  <c r="M721" i="48" s="1"/>
  <c r="M821" i="48" s="1"/>
  <c r="M886" i="48" s="1"/>
  <c r="M637" i="48"/>
  <c r="M654" i="48" s="1"/>
  <c r="M716" i="48" s="1"/>
  <c r="M816" i="48" s="1"/>
  <c r="M881" i="48" s="1"/>
  <c r="M632" i="48"/>
  <c r="M649" i="48" s="1"/>
  <c r="M711" i="48" s="1"/>
  <c r="M811" i="48" s="1"/>
  <c r="M876" i="48" s="1"/>
  <c r="M644" i="48"/>
  <c r="M661" i="48" s="1"/>
  <c r="M723" i="48" s="1"/>
  <c r="M823" i="48" s="1"/>
  <c r="M888" i="48" s="1"/>
  <c r="G1057" i="48"/>
  <c r="G1088" i="48"/>
  <c r="G922" i="48"/>
  <c r="G1014" i="48" s="1"/>
  <c r="M759" i="48"/>
  <c r="M758" i="48"/>
  <c r="G1059" i="48"/>
  <c r="G1090" i="48"/>
  <c r="M748" i="48"/>
  <c r="M752" i="48"/>
  <c r="H1273" i="48"/>
  <c r="M757" i="48"/>
  <c r="M749" i="48"/>
  <c r="O163" i="73"/>
  <c r="O164" i="73" s="1"/>
  <c r="O177" i="73" s="1"/>
  <c r="O178" i="73" s="1"/>
  <c r="O179" i="73" s="1"/>
  <c r="O180" i="73" s="1"/>
  <c r="O182" i="73" s="1"/>
  <c r="N177" i="73"/>
  <c r="N178" i="73" s="1"/>
  <c r="N179" i="73" s="1"/>
  <c r="N180" i="73" s="1"/>
  <c r="N182" i="73" s="1"/>
  <c r="M216" i="73"/>
  <c r="M265" i="73" s="1"/>
  <c r="M267" i="73" s="1"/>
  <c r="M275" i="73" s="1"/>
  <c r="M279" i="73" s="1"/>
  <c r="M284" i="73" s="1"/>
  <c r="G39" i="76" s="1"/>
  <c r="G102" i="76" s="1"/>
  <c r="G195" i="47" s="1"/>
  <c r="T29" i="47" s="1"/>
  <c r="T59" i="47" s="1"/>
  <c r="K765" i="48"/>
  <c r="K1214" i="48" s="1"/>
  <c r="G912" i="48"/>
  <c r="G963" i="48" s="1"/>
  <c r="H929" i="48"/>
  <c r="H1050" i="48" s="1"/>
  <c r="H920" i="48"/>
  <c r="H1005" i="48" s="1"/>
  <c r="L637" i="48"/>
  <c r="L654" i="48" s="1"/>
  <c r="L716" i="48" s="1"/>
  <c r="L816" i="48" s="1"/>
  <c r="L881" i="48" s="1"/>
  <c r="L630" i="48"/>
  <c r="L647" i="48" s="1"/>
  <c r="L709" i="48" s="1"/>
  <c r="L809" i="48" s="1"/>
  <c r="L874" i="48" s="1"/>
  <c r="K764" i="48"/>
  <c r="K1213" i="48" s="1"/>
  <c r="K664" i="48"/>
  <c r="K726" i="48" s="1"/>
  <c r="K826" i="48" s="1"/>
  <c r="K891" i="48" s="1"/>
  <c r="L636" i="48"/>
  <c r="L653" i="48" s="1"/>
  <c r="L715" i="48" s="1"/>
  <c r="L815" i="48" s="1"/>
  <c r="L880" i="48" s="1"/>
  <c r="L635" i="48"/>
  <c r="L652" i="48" s="1"/>
  <c r="L714" i="48" s="1"/>
  <c r="L814" i="48" s="1"/>
  <c r="L879" i="48" s="1"/>
  <c r="L638" i="48"/>
  <c r="L655" i="48" s="1"/>
  <c r="L717" i="48" s="1"/>
  <c r="L817" i="48" s="1"/>
  <c r="L882" i="48" s="1"/>
  <c r="L644" i="48"/>
  <c r="L661" i="48" s="1"/>
  <c r="L723" i="48" s="1"/>
  <c r="L823" i="48" s="1"/>
  <c r="L888" i="48" s="1"/>
  <c r="L640" i="48"/>
  <c r="L657" i="48" s="1"/>
  <c r="L719" i="48" s="1"/>
  <c r="L819" i="48" s="1"/>
  <c r="L884" i="48" s="1"/>
  <c r="M625" i="48"/>
  <c r="L631" i="48"/>
  <c r="L648" i="48" s="1"/>
  <c r="L710" i="48" s="1"/>
  <c r="L810" i="48" s="1"/>
  <c r="L875" i="48" s="1"/>
  <c r="L634" i="48"/>
  <c r="L651" i="48" s="1"/>
  <c r="L713" i="48" s="1"/>
  <c r="L813" i="48" s="1"/>
  <c r="L878" i="48" s="1"/>
  <c r="L642" i="48"/>
  <c r="L659" i="48" s="1"/>
  <c r="L721" i="48" s="1"/>
  <c r="L821" i="48" s="1"/>
  <c r="L886" i="48" s="1"/>
  <c r="L643" i="48"/>
  <c r="L660" i="48" s="1"/>
  <c r="L722" i="48" s="1"/>
  <c r="L822" i="48" s="1"/>
  <c r="L887" i="48" s="1"/>
  <c r="L758" i="48"/>
  <c r="M753" i="48"/>
  <c r="M756" i="48"/>
  <c r="M751" i="48"/>
  <c r="G1054" i="48"/>
  <c r="L639" i="48"/>
  <c r="L656" i="48" s="1"/>
  <c r="L718" i="48" s="1"/>
  <c r="L818" i="48" s="1"/>
  <c r="L883" i="48" s="1"/>
  <c r="L641" i="48"/>
  <c r="L658" i="48" s="1"/>
  <c r="L720" i="48" s="1"/>
  <c r="L820" i="48" s="1"/>
  <c r="L885" i="48" s="1"/>
  <c r="L633" i="48"/>
  <c r="L650" i="48" s="1"/>
  <c r="L712" i="48" s="1"/>
  <c r="L812" i="48" s="1"/>
  <c r="L877" i="48" s="1"/>
  <c r="M750" i="48"/>
  <c r="M754" i="48"/>
  <c r="M755" i="48"/>
  <c r="G1085" i="48"/>
  <c r="H910" i="48"/>
  <c r="H955" i="48" s="1"/>
  <c r="G1053" i="48"/>
  <c r="L751" i="48"/>
  <c r="L762" i="48"/>
  <c r="G1081" i="48"/>
  <c r="G1077" i="48"/>
  <c r="G909" i="48"/>
  <c r="G946" i="48" s="1"/>
  <c r="G1070" i="48"/>
  <c r="L761" i="48"/>
  <c r="L749" i="48"/>
  <c r="G1082" i="48"/>
  <c r="L755" i="48"/>
  <c r="K675" i="48"/>
  <c r="K737" i="48" s="1"/>
  <c r="K837" i="48" s="1"/>
  <c r="K902" i="48" s="1"/>
  <c r="L1168" i="48"/>
  <c r="L1164" i="48"/>
  <c r="L1155" i="48"/>
  <c r="L756" i="48"/>
  <c r="L757" i="48"/>
  <c r="L1170" i="48"/>
  <c r="L1205" i="48" s="1"/>
  <c r="L1173" i="48"/>
  <c r="L1208" i="48" s="1"/>
  <c r="L625" i="48"/>
  <c r="H911" i="48"/>
  <c r="H960" i="48" s="1"/>
  <c r="G1079" i="48"/>
  <c r="G1069" i="48"/>
  <c r="G1068" i="48"/>
  <c r="G1078" i="48"/>
  <c r="G1066" i="48"/>
  <c r="K666" i="48"/>
  <c r="K728" i="48" s="1"/>
  <c r="K828" i="48" s="1"/>
  <c r="K893" i="48" s="1"/>
  <c r="G1076" i="48"/>
  <c r="G915" i="48"/>
  <c r="G976" i="48" s="1"/>
  <c r="L742" i="48"/>
  <c r="L1166" i="48"/>
  <c r="G1055" i="48"/>
  <c r="G1052" i="48"/>
  <c r="L1157" i="48"/>
  <c r="L1156" i="48"/>
  <c r="L1172" i="48"/>
  <c r="L1207" i="48" s="1"/>
  <c r="L1165" i="48"/>
  <c r="L1159" i="48"/>
  <c r="L1171" i="48"/>
  <c r="L1206" i="48" s="1"/>
  <c r="L753" i="48"/>
  <c r="L754" i="48"/>
  <c r="L752" i="48"/>
  <c r="K1272" i="48"/>
  <c r="L1175" i="48"/>
  <c r="L1210" i="48" s="1"/>
  <c r="L1277" i="48" s="1"/>
  <c r="L1174" i="48"/>
  <c r="L1209" i="48" s="1"/>
  <c r="L1160" i="48"/>
  <c r="L1167" i="48"/>
  <c r="K1177" i="48"/>
  <c r="L1162" i="48"/>
  <c r="L1158" i="48"/>
  <c r="L1176" i="48"/>
  <c r="L1211" i="48" s="1"/>
  <c r="L1161" i="48"/>
  <c r="L748" i="48"/>
  <c r="L750" i="48"/>
  <c r="L759" i="48"/>
  <c r="H805" i="48"/>
  <c r="H870" i="48" s="1"/>
  <c r="H919" i="48" s="1"/>
  <c r="H997" i="48" s="1"/>
  <c r="G985" i="48"/>
  <c r="G981" i="48"/>
  <c r="G983" i="48"/>
  <c r="G984" i="48"/>
  <c r="K667" i="48"/>
  <c r="K729" i="48" s="1"/>
  <c r="K829" i="48" s="1"/>
  <c r="K894" i="48" s="1"/>
  <c r="I706" i="48"/>
  <c r="J706" i="48" s="1"/>
  <c r="K669" i="48"/>
  <c r="K731" i="48" s="1"/>
  <c r="K831" i="48" s="1"/>
  <c r="K896" i="48" s="1"/>
  <c r="H807" i="48"/>
  <c r="H872" i="48" s="1"/>
  <c r="H921" i="48" s="1"/>
  <c r="H1009" i="48" s="1"/>
  <c r="K668" i="48"/>
  <c r="K730" i="48" s="1"/>
  <c r="K830" i="48" s="1"/>
  <c r="K895" i="48" s="1"/>
  <c r="K670" i="48"/>
  <c r="K732" i="48" s="1"/>
  <c r="K832" i="48" s="1"/>
  <c r="K897" i="48" s="1"/>
  <c r="H922" i="48"/>
  <c r="H1012" i="48" s="1"/>
  <c r="K662" i="48"/>
  <c r="K724" i="48" s="1"/>
  <c r="K824" i="48" s="1"/>
  <c r="K889" i="48" s="1"/>
  <c r="K673" i="48"/>
  <c r="K735" i="48" s="1"/>
  <c r="K835" i="48" s="1"/>
  <c r="K900" i="48" s="1"/>
  <c r="K665" i="48"/>
  <c r="K727" i="48" s="1"/>
  <c r="K827" i="48" s="1"/>
  <c r="K892" i="48" s="1"/>
  <c r="K674" i="48"/>
  <c r="K736" i="48" s="1"/>
  <c r="K836" i="48" s="1"/>
  <c r="K901" i="48" s="1"/>
  <c r="M663" i="48"/>
  <c r="M725" i="48" s="1"/>
  <c r="M710" i="48"/>
  <c r="M810" i="48" s="1"/>
  <c r="M875" i="48" s="1"/>
  <c r="K671" i="48"/>
  <c r="K733" i="48" s="1"/>
  <c r="K833" i="48" s="1"/>
  <c r="K898" i="48" s="1"/>
  <c r="K663" i="48"/>
  <c r="K725" i="48" s="1"/>
  <c r="K825" i="48" s="1"/>
  <c r="K890" i="48" s="1"/>
  <c r="M1177" i="48"/>
  <c r="M1205" i="48"/>
  <c r="M1272" i="48" s="1"/>
  <c r="L649" i="48"/>
  <c r="L711" i="48" s="1"/>
  <c r="L811" i="48" s="1"/>
  <c r="L876" i="48" s="1"/>
  <c r="H802" i="48"/>
  <c r="H867" i="48" s="1"/>
  <c r="H916" i="48" s="1"/>
  <c r="H982" i="48" s="1"/>
  <c r="G996" i="48"/>
  <c r="G998" i="48"/>
  <c r="G954" i="48"/>
  <c r="G1005" i="48"/>
  <c r="M543" i="48"/>
  <c r="K834" i="48"/>
  <c r="K899" i="48" s="1"/>
  <c r="L543" i="48"/>
  <c r="L544" i="48" s="1"/>
  <c r="G1000" i="48"/>
  <c r="G999" i="48"/>
  <c r="G1002" i="48"/>
  <c r="M538" i="48"/>
  <c r="G989" i="48"/>
  <c r="G1008" i="48"/>
  <c r="G1009" i="48"/>
  <c r="G953" i="48"/>
  <c r="G1004" i="48"/>
  <c r="G988" i="48"/>
  <c r="G990" i="48"/>
  <c r="G951" i="48"/>
  <c r="G987" i="48"/>
  <c r="G952" i="48"/>
  <c r="M240" i="74"/>
  <c r="L255" i="74"/>
  <c r="G1001" i="48"/>
  <c r="G1010" i="48"/>
  <c r="H536" i="51"/>
  <c r="H514" i="51"/>
  <c r="H524" i="51" s="1"/>
  <c r="H545" i="51" s="1"/>
  <c r="H513" i="51"/>
  <c r="H523" i="51" s="1"/>
  <c r="H515" i="51"/>
  <c r="H525" i="51" s="1"/>
  <c r="H581" i="51" s="1"/>
  <c r="I280" i="51"/>
  <c r="I281" i="51"/>
  <c r="I278" i="51"/>
  <c r="I276" i="51"/>
  <c r="I279" i="51"/>
  <c r="I275" i="51"/>
  <c r="I274" i="51"/>
  <c r="I277" i="51"/>
  <c r="F565" i="51"/>
  <c r="F595" i="51" s="1"/>
  <c r="F200" i="47" s="1"/>
  <c r="S34" i="47" s="1"/>
  <c r="G565" i="51"/>
  <c r="G595" i="51" s="1"/>
  <c r="G200" i="47" s="1"/>
  <c r="T34" i="47" s="1"/>
  <c r="M606" i="48"/>
  <c r="G1007" i="48"/>
  <c r="P157" i="73"/>
  <c r="P161" i="73"/>
  <c r="Q162" i="73"/>
  <c r="Q158" i="73"/>
  <c r="H1052" i="48"/>
  <c r="H1053" i="48"/>
  <c r="H1054" i="48"/>
  <c r="H1051" i="48"/>
  <c r="H1055" i="48"/>
  <c r="G975" i="48"/>
  <c r="G971" i="48"/>
  <c r="G972" i="48"/>
  <c r="G973" i="48"/>
  <c r="G974" i="48"/>
  <c r="H988" i="48"/>
  <c r="H986" i="48"/>
  <c r="H990" i="48"/>
  <c r="H987" i="48"/>
  <c r="H989" i="48"/>
  <c r="J681" i="48"/>
  <c r="I781" i="48"/>
  <c r="I846" i="48" s="1"/>
  <c r="I925" i="48" s="1"/>
  <c r="H1088" i="48"/>
  <c r="H1090" i="48"/>
  <c r="H1087" i="48"/>
  <c r="H1086" i="48"/>
  <c r="H1089" i="48"/>
  <c r="I699" i="48"/>
  <c r="H799" i="48"/>
  <c r="H864" i="48" s="1"/>
  <c r="H913" i="48" s="1"/>
  <c r="G968" i="48"/>
  <c r="G966" i="48"/>
  <c r="G969" i="48"/>
  <c r="G967" i="48"/>
  <c r="G970" i="48"/>
  <c r="I789" i="48"/>
  <c r="I854" i="48" s="1"/>
  <c r="I933" i="48" s="1"/>
  <c r="J689" i="48"/>
  <c r="J683" i="48"/>
  <c r="I783" i="48"/>
  <c r="I848" i="48" s="1"/>
  <c r="I927" i="48" s="1"/>
  <c r="H1078" i="48"/>
  <c r="H1079" i="48"/>
  <c r="H1077" i="48"/>
  <c r="H1080" i="48"/>
  <c r="H1076" i="48"/>
  <c r="J691" i="48"/>
  <c r="I791" i="48"/>
  <c r="I856" i="48" s="1"/>
  <c r="I935" i="48" s="1"/>
  <c r="H794" i="48"/>
  <c r="H859" i="48" s="1"/>
  <c r="H908" i="48" s="1"/>
  <c r="I694" i="48"/>
  <c r="H780" i="48"/>
  <c r="H845" i="48" s="1"/>
  <c r="H924" i="48" s="1"/>
  <c r="I680" i="48"/>
  <c r="H804" i="48"/>
  <c r="H869" i="48" s="1"/>
  <c r="H918" i="48" s="1"/>
  <c r="I704" i="48"/>
  <c r="I698" i="48"/>
  <c r="H798" i="48"/>
  <c r="H863" i="48" s="1"/>
  <c r="H912" i="48" s="1"/>
  <c r="H801" i="48"/>
  <c r="H866" i="48" s="1"/>
  <c r="H915" i="48" s="1"/>
  <c r="I701" i="48"/>
  <c r="J703" i="48"/>
  <c r="I803" i="48"/>
  <c r="I868" i="48" s="1"/>
  <c r="I917" i="48" s="1"/>
  <c r="H1043" i="48"/>
  <c r="H1042" i="48"/>
  <c r="H1044" i="48"/>
  <c r="H1045" i="48"/>
  <c r="H1041" i="48"/>
  <c r="H1016" i="48"/>
  <c r="H1020" i="48"/>
  <c r="H1017" i="48"/>
  <c r="H1019" i="48"/>
  <c r="H1018" i="48"/>
  <c r="G1032" i="48"/>
  <c r="G1034" i="48"/>
  <c r="G1033" i="48"/>
  <c r="G1035" i="48"/>
  <c r="G1031" i="48"/>
  <c r="I682" i="48"/>
  <c r="H782" i="48"/>
  <c r="H847" i="48" s="1"/>
  <c r="H926" i="48" s="1"/>
  <c r="H1073" i="48"/>
  <c r="H1074" i="48"/>
  <c r="H1071" i="48"/>
  <c r="H1072" i="48"/>
  <c r="H1075" i="48"/>
  <c r="I695" i="48"/>
  <c r="H795" i="48"/>
  <c r="H860" i="48" s="1"/>
  <c r="H909" i="48" s="1"/>
  <c r="F1097" i="48"/>
  <c r="F1117" i="48" s="1"/>
  <c r="F1096" i="48"/>
  <c r="F1116" i="48" s="1"/>
  <c r="F1095" i="48"/>
  <c r="I786" i="48"/>
  <c r="I851" i="48" s="1"/>
  <c r="I930" i="48" s="1"/>
  <c r="J686" i="48"/>
  <c r="H1029" i="48"/>
  <c r="H1027" i="48"/>
  <c r="H1028" i="48"/>
  <c r="H1026" i="48"/>
  <c r="H1030" i="48"/>
  <c r="I793" i="48"/>
  <c r="I858" i="48" s="1"/>
  <c r="I937" i="48" s="1"/>
  <c r="J693" i="48"/>
  <c r="I797" i="48"/>
  <c r="I862" i="48" s="1"/>
  <c r="J697" i="48"/>
  <c r="G993" i="48"/>
  <c r="G992" i="48"/>
  <c r="G991" i="48"/>
  <c r="G994" i="48"/>
  <c r="G995" i="48"/>
  <c r="H1067" i="48"/>
  <c r="H1070" i="48"/>
  <c r="H1068" i="48"/>
  <c r="H1069" i="48"/>
  <c r="H1066" i="48"/>
  <c r="H1037" i="48"/>
  <c r="H1040" i="48"/>
  <c r="H1038" i="48"/>
  <c r="H1036" i="48"/>
  <c r="H1039" i="48"/>
  <c r="H800" i="48"/>
  <c r="H865" i="48" s="1"/>
  <c r="H914" i="48" s="1"/>
  <c r="I700" i="48"/>
  <c r="G941" i="48"/>
  <c r="G943" i="48"/>
  <c r="G942" i="48"/>
  <c r="G945" i="48"/>
  <c r="G944" i="48"/>
  <c r="J696" i="48"/>
  <c r="I796" i="48"/>
  <c r="I861" i="48" s="1"/>
  <c r="G1023" i="48"/>
  <c r="G1021" i="48"/>
  <c r="G1022" i="48"/>
  <c r="G1025" i="48"/>
  <c r="G1024" i="48"/>
  <c r="J687" i="48"/>
  <c r="I787" i="48"/>
  <c r="I852" i="48" s="1"/>
  <c r="I931" i="48" s="1"/>
  <c r="J702" i="48"/>
  <c r="I802" i="48"/>
  <c r="I867" i="48" s="1"/>
  <c r="J705" i="48"/>
  <c r="I805" i="48"/>
  <c r="I870" i="48" s="1"/>
  <c r="I784" i="48"/>
  <c r="I849" i="48" s="1"/>
  <c r="I928" i="48" s="1"/>
  <c r="J684" i="48"/>
  <c r="I779" i="48"/>
  <c r="I844" i="48" s="1"/>
  <c r="I923" i="48" s="1"/>
  <c r="J679" i="48"/>
  <c r="J692" i="48"/>
  <c r="I792" i="48"/>
  <c r="I857" i="48" s="1"/>
  <c r="I936" i="48" s="1"/>
  <c r="I788" i="48"/>
  <c r="I853" i="48" s="1"/>
  <c r="I932" i="48" s="1"/>
  <c r="J688" i="48"/>
  <c r="J690" i="48"/>
  <c r="I790" i="48"/>
  <c r="I855" i="48" s="1"/>
  <c r="I934" i="48" s="1"/>
  <c r="F1098" i="48"/>
  <c r="F1118" i="48" s="1"/>
  <c r="F1099" i="48"/>
  <c r="F1119" i="48" s="1"/>
  <c r="I808" i="48"/>
  <c r="I873" i="48" s="1"/>
  <c r="J708" i="48"/>
  <c r="J707" i="48"/>
  <c r="I807" i="48"/>
  <c r="I872" i="48" s="1"/>
  <c r="J685" i="48"/>
  <c r="I785" i="48"/>
  <c r="I850" i="48" s="1"/>
  <c r="I929" i="48" s="1"/>
  <c r="M64" i="57"/>
  <c r="M66" i="57"/>
  <c r="N216" i="73"/>
  <c r="Q372" i="48"/>
  <c r="M526" i="48"/>
  <c r="P156" i="73"/>
  <c r="P160" i="73"/>
  <c r="H236" i="49" l="1"/>
  <c r="I295" i="51"/>
  <c r="I294" i="51"/>
  <c r="G297" i="49"/>
  <c r="I297" i="49"/>
  <c r="K233" i="49"/>
  <c r="H1057" i="48"/>
  <c r="H1056" i="48"/>
  <c r="G1011" i="48"/>
  <c r="L204" i="49"/>
  <c r="L235" i="49" s="1"/>
  <c r="O215" i="73"/>
  <c r="O264" i="73" s="1"/>
  <c r="I910" i="48"/>
  <c r="I952" i="48" s="1"/>
  <c r="H1060" i="48"/>
  <c r="M665" i="48"/>
  <c r="M727" i="48" s="1"/>
  <c r="M827" i="48" s="1"/>
  <c r="M892" i="48" s="1"/>
  <c r="H1059" i="48"/>
  <c r="H1058" i="48"/>
  <c r="I911" i="48"/>
  <c r="I957" i="48" s="1"/>
  <c r="I922" i="48"/>
  <c r="I1011" i="48" s="1"/>
  <c r="M204" i="49"/>
  <c r="M235" i="49" s="1"/>
  <c r="H1084" i="48"/>
  <c r="H1083" i="48"/>
  <c r="H1085" i="48"/>
  <c r="I921" i="48"/>
  <c r="I1008" i="48" s="1"/>
  <c r="H1081" i="48"/>
  <c r="M217" i="73"/>
  <c r="M218" i="73" s="1"/>
  <c r="M219" i="73" s="1"/>
  <c r="I916" i="48"/>
  <c r="I985" i="48" s="1"/>
  <c r="K221" i="49"/>
  <c r="K292" i="49" s="1"/>
  <c r="G965" i="48"/>
  <c r="G964" i="48"/>
  <c r="M673" i="48"/>
  <c r="M735" i="48" s="1"/>
  <c r="M835" i="48" s="1"/>
  <c r="M900" i="48" s="1"/>
  <c r="M662" i="48"/>
  <c r="M724" i="48" s="1"/>
  <c r="M824" i="48" s="1"/>
  <c r="M889" i="48" s="1"/>
  <c r="L263" i="49"/>
  <c r="L274" i="49" s="1"/>
  <c r="L243" i="49"/>
  <c r="L272" i="49" s="1"/>
  <c r="L253" i="49"/>
  <c r="L273" i="49" s="1"/>
  <c r="L211" i="49"/>
  <c r="L233" i="49"/>
  <c r="K276" i="49"/>
  <c r="K307" i="49" s="1"/>
  <c r="K198" i="47" s="1"/>
  <c r="X32" i="47" s="1"/>
  <c r="I919" i="48"/>
  <c r="I998" i="48" s="1"/>
  <c r="H1061" i="48"/>
  <c r="L215" i="49"/>
  <c r="L234" i="49"/>
  <c r="L287" i="49" s="1"/>
  <c r="M263" i="49"/>
  <c r="M274" i="49" s="1"/>
  <c r="M243" i="49"/>
  <c r="M272" i="49" s="1"/>
  <c r="M253" i="49"/>
  <c r="M273" i="49" s="1"/>
  <c r="K205" i="49"/>
  <c r="K235" i="49"/>
  <c r="M234" i="49"/>
  <c r="M287" i="49" s="1"/>
  <c r="M215" i="49"/>
  <c r="H230" i="49"/>
  <c r="H291" i="49" s="1"/>
  <c r="H297" i="49" s="1"/>
  <c r="H1064" i="48"/>
  <c r="H1046" i="48"/>
  <c r="H1062" i="48"/>
  <c r="M674" i="48"/>
  <c r="M736" i="48" s="1"/>
  <c r="M836" i="48" s="1"/>
  <c r="M901" i="48" s="1"/>
  <c r="M765" i="48"/>
  <c r="M1214" i="48" s="1"/>
  <c r="H1003" i="48"/>
  <c r="H1063" i="48"/>
  <c r="H1002" i="48"/>
  <c r="M669" i="48"/>
  <c r="M731" i="48" s="1"/>
  <c r="M831" i="48" s="1"/>
  <c r="M896" i="48" s="1"/>
  <c r="H1004" i="48"/>
  <c r="G950" i="48"/>
  <c r="H1001" i="48"/>
  <c r="M666" i="48"/>
  <c r="M728" i="48" s="1"/>
  <c r="M828" i="48" s="1"/>
  <c r="M893" i="48" s="1"/>
  <c r="G1012" i="48"/>
  <c r="G1015" i="48"/>
  <c r="G1013" i="48"/>
  <c r="H1049" i="48"/>
  <c r="G962" i="48"/>
  <c r="G961" i="48"/>
  <c r="M764" i="48"/>
  <c r="M1213" i="48" s="1"/>
  <c r="K1273" i="48"/>
  <c r="H1047" i="48"/>
  <c r="H1048" i="48"/>
  <c r="G948" i="48"/>
  <c r="G949" i="48"/>
  <c r="L765" i="48"/>
  <c r="L1214" i="48" s="1"/>
  <c r="H952" i="48"/>
  <c r="G947" i="48"/>
  <c r="G978" i="48"/>
  <c r="H951" i="48"/>
  <c r="H954" i="48"/>
  <c r="H953" i="48"/>
  <c r="H957" i="48"/>
  <c r="H958" i="48"/>
  <c r="G977" i="48"/>
  <c r="G980" i="48"/>
  <c r="L1272" i="48"/>
  <c r="L764" i="48"/>
  <c r="L1213" i="48" s="1"/>
  <c r="G979" i="48"/>
  <c r="H959" i="48"/>
  <c r="H956" i="48"/>
  <c r="H996" i="48"/>
  <c r="L1177" i="48"/>
  <c r="H1008" i="48"/>
  <c r="L676" i="48"/>
  <c r="L738" i="48" s="1"/>
  <c r="L838" i="48" s="1"/>
  <c r="L903" i="48" s="1"/>
  <c r="H1007" i="48"/>
  <c r="H1010" i="48"/>
  <c r="H1014" i="48"/>
  <c r="H1011" i="48"/>
  <c r="H1006" i="48"/>
  <c r="I806" i="48"/>
  <c r="I871" i="48" s="1"/>
  <c r="I920" i="48" s="1"/>
  <c r="I1002" i="48" s="1"/>
  <c r="H1000" i="48"/>
  <c r="H999" i="48"/>
  <c r="M670" i="48"/>
  <c r="M732" i="48" s="1"/>
  <c r="M832" i="48" s="1"/>
  <c r="M897" i="48" s="1"/>
  <c r="H998" i="48"/>
  <c r="L675" i="48"/>
  <c r="L737" i="48" s="1"/>
  <c r="L837" i="48" s="1"/>
  <c r="L902" i="48" s="1"/>
  <c r="L662" i="48"/>
  <c r="L724" i="48" s="1"/>
  <c r="L824" i="48" s="1"/>
  <c r="L889" i="48" s="1"/>
  <c r="L663" i="48"/>
  <c r="L725" i="48" s="1"/>
  <c r="L825" i="48" s="1"/>
  <c r="L890" i="48" s="1"/>
  <c r="M671" i="48"/>
  <c r="M733" i="48" s="1"/>
  <c r="M833" i="48" s="1"/>
  <c r="M898" i="48" s="1"/>
  <c r="L674" i="48"/>
  <c r="L736" i="48" s="1"/>
  <c r="L836" i="48" s="1"/>
  <c r="L901" i="48" s="1"/>
  <c r="L669" i="48"/>
  <c r="L731" i="48" s="1"/>
  <c r="L831" i="48" s="1"/>
  <c r="L896" i="48" s="1"/>
  <c r="M668" i="48"/>
  <c r="M730" i="48" s="1"/>
  <c r="M830" i="48" s="1"/>
  <c r="M895" i="48" s="1"/>
  <c r="L672" i="48"/>
  <c r="L734" i="48" s="1"/>
  <c r="L834" i="48" s="1"/>
  <c r="L899" i="48" s="1"/>
  <c r="L666" i="48"/>
  <c r="L728" i="48" s="1"/>
  <c r="L828" i="48" s="1"/>
  <c r="L893" i="48" s="1"/>
  <c r="M672" i="48"/>
  <c r="M734" i="48" s="1"/>
  <c r="M834" i="48" s="1"/>
  <c r="M899" i="48" s="1"/>
  <c r="L664" i="48"/>
  <c r="L726" i="48" s="1"/>
  <c r="L826" i="48" s="1"/>
  <c r="L891" i="48" s="1"/>
  <c r="M676" i="48"/>
  <c r="M738" i="48" s="1"/>
  <c r="M838" i="48" s="1"/>
  <c r="M903" i="48" s="1"/>
  <c r="L673" i="48"/>
  <c r="L735" i="48" s="1"/>
  <c r="L835" i="48" s="1"/>
  <c r="L900" i="48" s="1"/>
  <c r="H1013" i="48"/>
  <c r="H1015" i="48"/>
  <c r="L670" i="48"/>
  <c r="L732" i="48" s="1"/>
  <c r="L832" i="48" s="1"/>
  <c r="L897" i="48" s="1"/>
  <c r="L665" i="48"/>
  <c r="L727" i="48" s="1"/>
  <c r="L827" i="48" s="1"/>
  <c r="L892" i="48" s="1"/>
  <c r="L667" i="48"/>
  <c r="L729" i="48" s="1"/>
  <c r="L829" i="48" s="1"/>
  <c r="L894" i="48" s="1"/>
  <c r="M667" i="48"/>
  <c r="M729" i="48" s="1"/>
  <c r="M829" i="48" s="1"/>
  <c r="M894" i="48" s="1"/>
  <c r="M664" i="48"/>
  <c r="M726" i="48" s="1"/>
  <c r="M826" i="48" s="1"/>
  <c r="M891" i="48" s="1"/>
  <c r="L668" i="48"/>
  <c r="L730" i="48" s="1"/>
  <c r="L830" i="48" s="1"/>
  <c r="L895" i="48" s="1"/>
  <c r="L671" i="48"/>
  <c r="L733" i="48" s="1"/>
  <c r="L833" i="48" s="1"/>
  <c r="L898" i="48" s="1"/>
  <c r="M675" i="48"/>
  <c r="M737" i="48" s="1"/>
  <c r="M837" i="48" s="1"/>
  <c r="M902" i="48" s="1"/>
  <c r="H983" i="48"/>
  <c r="H984" i="48"/>
  <c r="H981" i="48"/>
  <c r="H985" i="48"/>
  <c r="M825" i="48"/>
  <c r="M890" i="48" s="1"/>
  <c r="M544" i="48"/>
  <c r="P163" i="73"/>
  <c r="P164" i="73" s="1"/>
  <c r="P177" i="73" s="1"/>
  <c r="P178" i="73" s="1"/>
  <c r="P179" i="73" s="1"/>
  <c r="P180" i="73" s="1"/>
  <c r="P182" i="73" s="1"/>
  <c r="M255" i="74"/>
  <c r="N240" i="74"/>
  <c r="H557" i="51"/>
  <c r="H551" i="51"/>
  <c r="I413" i="51"/>
  <c r="I430" i="51" s="1"/>
  <c r="I477" i="51" s="1"/>
  <c r="I359" i="51"/>
  <c r="I376" i="51" s="1"/>
  <c r="I471" i="51" s="1"/>
  <c r="I291" i="51"/>
  <c r="I321" i="51" s="1"/>
  <c r="I419" i="51"/>
  <c r="I436" i="51" s="1"/>
  <c r="I508" i="51" s="1"/>
  <c r="I365" i="51"/>
  <c r="I382" i="51" s="1"/>
  <c r="I505" i="51" s="1"/>
  <c r="H518" i="51"/>
  <c r="I289" i="51"/>
  <c r="I319" i="51" s="1"/>
  <c r="I417" i="51"/>
  <c r="I434" i="51" s="1"/>
  <c r="I363" i="51"/>
  <c r="I380" i="51" s="1"/>
  <c r="I290" i="51"/>
  <c r="I320" i="51" s="1"/>
  <c r="I418" i="51"/>
  <c r="I435" i="51" s="1"/>
  <c r="I498" i="51" s="1"/>
  <c r="I364" i="51"/>
  <c r="I381" i="51" s="1"/>
  <c r="I489" i="51" s="1"/>
  <c r="I287" i="51"/>
  <c r="I317" i="51" s="1"/>
  <c r="I415" i="51"/>
  <c r="I432" i="51" s="1"/>
  <c r="I361" i="51"/>
  <c r="I378" i="51" s="1"/>
  <c r="I286" i="51"/>
  <c r="I316" i="51" s="1"/>
  <c r="I414" i="51"/>
  <c r="I431" i="51" s="1"/>
  <c r="I360" i="51"/>
  <c r="I377" i="51" s="1"/>
  <c r="I412" i="51"/>
  <c r="I429" i="51" s="1"/>
  <c r="I358" i="51"/>
  <c r="I375" i="51" s="1"/>
  <c r="I288" i="51"/>
  <c r="I318" i="51" s="1"/>
  <c r="I416" i="51"/>
  <c r="I433" i="51" s="1"/>
  <c r="I362" i="51"/>
  <c r="I379" i="51" s="1"/>
  <c r="H556" i="51"/>
  <c r="H544" i="51"/>
  <c r="H561" i="51" s="1"/>
  <c r="H580" i="51"/>
  <c r="H550" i="51"/>
  <c r="H528" i="51"/>
  <c r="I284" i="51"/>
  <c r="I285" i="51"/>
  <c r="Q161" i="73"/>
  <c r="Q157" i="73"/>
  <c r="R158" i="73"/>
  <c r="R162" i="73"/>
  <c r="H1033" i="48"/>
  <c r="H1031" i="48"/>
  <c r="H1034" i="48"/>
  <c r="H1035" i="48"/>
  <c r="H1032" i="48"/>
  <c r="H947" i="48"/>
  <c r="H950" i="48"/>
  <c r="H949" i="48"/>
  <c r="H946" i="48"/>
  <c r="H948" i="48"/>
  <c r="I1028" i="48"/>
  <c r="I1026" i="48"/>
  <c r="I1029" i="48"/>
  <c r="I1027" i="48"/>
  <c r="I1030" i="48"/>
  <c r="I1048" i="48"/>
  <c r="I1050" i="48"/>
  <c r="I1046" i="48"/>
  <c r="I1047" i="48"/>
  <c r="I1049" i="48"/>
  <c r="K685" i="48"/>
  <c r="J785" i="48"/>
  <c r="J850" i="48" s="1"/>
  <c r="J929" i="48" s="1"/>
  <c r="J807" i="48"/>
  <c r="J872" i="48" s="1"/>
  <c r="J921" i="48" s="1"/>
  <c r="K707" i="48"/>
  <c r="F1128" i="48"/>
  <c r="F1146" i="48" s="1"/>
  <c r="F1202" i="48" s="1"/>
  <c r="F1230" i="48" s="1"/>
  <c r="I1073" i="48"/>
  <c r="I1075" i="48"/>
  <c r="I1074" i="48"/>
  <c r="I1072" i="48"/>
  <c r="I1071" i="48"/>
  <c r="J788" i="48"/>
  <c r="J853" i="48" s="1"/>
  <c r="J932" i="48" s="1"/>
  <c r="K688" i="48"/>
  <c r="I1084" i="48"/>
  <c r="I1081" i="48"/>
  <c r="I1082" i="48"/>
  <c r="I1083" i="48"/>
  <c r="I1085" i="48"/>
  <c r="K679" i="48"/>
  <c r="J779" i="48"/>
  <c r="J844" i="48" s="1"/>
  <c r="J923" i="48" s="1"/>
  <c r="K684" i="48"/>
  <c r="J784" i="48"/>
  <c r="J849" i="48" s="1"/>
  <c r="J928" i="48" s="1"/>
  <c r="J805" i="48"/>
  <c r="J870" i="48" s="1"/>
  <c r="J919" i="48" s="1"/>
  <c r="K705" i="48"/>
  <c r="J787" i="48"/>
  <c r="J852" i="48" s="1"/>
  <c r="J931" i="48" s="1"/>
  <c r="K687" i="48"/>
  <c r="K696" i="48"/>
  <c r="J796" i="48"/>
  <c r="J861" i="48" s="1"/>
  <c r="J910" i="48" s="1"/>
  <c r="H974" i="48"/>
  <c r="H971" i="48"/>
  <c r="H973" i="48"/>
  <c r="H972" i="48"/>
  <c r="H975" i="48"/>
  <c r="K697" i="48"/>
  <c r="J797" i="48"/>
  <c r="J862" i="48" s="1"/>
  <c r="J911" i="48" s="1"/>
  <c r="I1086" i="48"/>
  <c r="I1089" i="48"/>
  <c r="I1088" i="48"/>
  <c r="I1090" i="48"/>
  <c r="I1087" i="48"/>
  <c r="K686" i="48"/>
  <c r="J786" i="48"/>
  <c r="J851" i="48" s="1"/>
  <c r="J930" i="48" s="1"/>
  <c r="F1100" i="48"/>
  <c r="F1106" i="48"/>
  <c r="F1127" i="48"/>
  <c r="F1145" i="48" s="1"/>
  <c r="F1201" i="48" s="1"/>
  <c r="F1229" i="48" s="1"/>
  <c r="I989" i="48"/>
  <c r="I987" i="48"/>
  <c r="I988" i="48"/>
  <c r="I990" i="48"/>
  <c r="I986" i="48"/>
  <c r="I801" i="48"/>
  <c r="I866" i="48" s="1"/>
  <c r="I915" i="48" s="1"/>
  <c r="J701" i="48"/>
  <c r="H961" i="48"/>
  <c r="H964" i="48"/>
  <c r="H962" i="48"/>
  <c r="H963" i="48"/>
  <c r="H965" i="48"/>
  <c r="H992" i="48"/>
  <c r="H995" i="48"/>
  <c r="H994" i="48"/>
  <c r="H993" i="48"/>
  <c r="H991" i="48"/>
  <c r="H1022" i="48"/>
  <c r="H1021" i="48"/>
  <c r="H1023" i="48"/>
  <c r="H1025" i="48"/>
  <c r="H1024" i="48"/>
  <c r="J694" i="48"/>
  <c r="I794" i="48"/>
  <c r="I859" i="48" s="1"/>
  <c r="I908" i="48" s="1"/>
  <c r="I1079" i="48"/>
  <c r="I1078" i="48"/>
  <c r="I1076" i="48"/>
  <c r="I1077" i="48"/>
  <c r="I1080" i="48"/>
  <c r="J783" i="48"/>
  <c r="J848" i="48" s="1"/>
  <c r="J927" i="48" s="1"/>
  <c r="K683" i="48"/>
  <c r="I1066" i="48"/>
  <c r="I1070" i="48"/>
  <c r="I1068" i="48"/>
  <c r="I1069" i="48"/>
  <c r="I1067" i="48"/>
  <c r="H970" i="48"/>
  <c r="H966" i="48"/>
  <c r="H968" i="48"/>
  <c r="H969" i="48"/>
  <c r="H967" i="48"/>
  <c r="K708" i="48"/>
  <c r="J808" i="48"/>
  <c r="J873" i="48" s="1"/>
  <c r="J922" i="48" s="1"/>
  <c r="J790" i="48"/>
  <c r="J855" i="48" s="1"/>
  <c r="J934" i="48" s="1"/>
  <c r="K690" i="48"/>
  <c r="I1061" i="48"/>
  <c r="I1065" i="48"/>
  <c r="I1062" i="48"/>
  <c r="I1064" i="48"/>
  <c r="I1063" i="48"/>
  <c r="J792" i="48"/>
  <c r="J857" i="48" s="1"/>
  <c r="J936" i="48" s="1"/>
  <c r="K692" i="48"/>
  <c r="I1018" i="48"/>
  <c r="I1020" i="48"/>
  <c r="I1019" i="48"/>
  <c r="I1016" i="48"/>
  <c r="I1017" i="48"/>
  <c r="I1044" i="48"/>
  <c r="I1045" i="48"/>
  <c r="I1042" i="48"/>
  <c r="I1043" i="48"/>
  <c r="I1041" i="48"/>
  <c r="J802" i="48"/>
  <c r="J867" i="48" s="1"/>
  <c r="J916" i="48" s="1"/>
  <c r="K702" i="48"/>
  <c r="J806" i="48"/>
  <c r="J871" i="48" s="1"/>
  <c r="J920" i="48" s="1"/>
  <c r="K706" i="48"/>
  <c r="I1058" i="48"/>
  <c r="I1059" i="48"/>
  <c r="I1056" i="48"/>
  <c r="I1057" i="48"/>
  <c r="I1060" i="48"/>
  <c r="J700" i="48"/>
  <c r="I800" i="48"/>
  <c r="I865" i="48" s="1"/>
  <c r="I914" i="48" s="1"/>
  <c r="K693" i="48"/>
  <c r="J793" i="48"/>
  <c r="J858" i="48" s="1"/>
  <c r="J937" i="48" s="1"/>
  <c r="I1052" i="48"/>
  <c r="I1055" i="48"/>
  <c r="I1051" i="48"/>
  <c r="I1054" i="48"/>
  <c r="I1053" i="48"/>
  <c r="F1126" i="48"/>
  <c r="F1144" i="48" s="1"/>
  <c r="F1200" i="48" s="1"/>
  <c r="F1228" i="48" s="1"/>
  <c r="J695" i="48"/>
  <c r="I795" i="48"/>
  <c r="I860" i="48" s="1"/>
  <c r="I909" i="48" s="1"/>
  <c r="I782" i="48"/>
  <c r="I847" i="48" s="1"/>
  <c r="I926" i="48" s="1"/>
  <c r="J682" i="48"/>
  <c r="K703" i="48"/>
  <c r="J803" i="48"/>
  <c r="J868" i="48" s="1"/>
  <c r="J917" i="48" s="1"/>
  <c r="H979" i="48"/>
  <c r="H977" i="48"/>
  <c r="H976" i="48"/>
  <c r="H980" i="48"/>
  <c r="H978" i="48"/>
  <c r="I798" i="48"/>
  <c r="I863" i="48" s="1"/>
  <c r="I912" i="48" s="1"/>
  <c r="J698" i="48"/>
  <c r="J704" i="48"/>
  <c r="I804" i="48"/>
  <c r="I869" i="48" s="1"/>
  <c r="I918" i="48" s="1"/>
  <c r="J680" i="48"/>
  <c r="I780" i="48"/>
  <c r="I845" i="48" s="1"/>
  <c r="I924" i="48" s="1"/>
  <c r="H942" i="48"/>
  <c r="H945" i="48"/>
  <c r="H943" i="48"/>
  <c r="H944" i="48"/>
  <c r="H941" i="48"/>
  <c r="J791" i="48"/>
  <c r="J856" i="48" s="1"/>
  <c r="J935" i="48" s="1"/>
  <c r="K691" i="48"/>
  <c r="I1038" i="48"/>
  <c r="I1036" i="48"/>
  <c r="I1037" i="48"/>
  <c r="I1040" i="48"/>
  <c r="I1039" i="48"/>
  <c r="J789" i="48"/>
  <c r="J854" i="48" s="1"/>
  <c r="J933" i="48" s="1"/>
  <c r="K689" i="48"/>
  <c r="J699" i="48"/>
  <c r="I799" i="48"/>
  <c r="I864" i="48" s="1"/>
  <c r="I913" i="48" s="1"/>
  <c r="J781" i="48"/>
  <c r="J846" i="48" s="1"/>
  <c r="J925" i="48" s="1"/>
  <c r="K681" i="48"/>
  <c r="Q156" i="73"/>
  <c r="Q160" i="73"/>
  <c r="N265" i="73"/>
  <c r="N267" i="73" s="1"/>
  <c r="N275" i="73" s="1"/>
  <c r="N279" i="73" s="1"/>
  <c r="N284" i="73" s="1"/>
  <c r="N217" i="73"/>
  <c r="N218" i="73" s="1"/>
  <c r="N219" i="73" s="1"/>
  <c r="I315" i="51" l="1"/>
  <c r="I314" i="51"/>
  <c r="L236" i="49"/>
  <c r="K236" i="49"/>
  <c r="I954" i="48"/>
  <c r="G1095" i="48"/>
  <c r="G1106" i="48" s="1"/>
  <c r="M205" i="49"/>
  <c r="I953" i="48"/>
  <c r="I955" i="48"/>
  <c r="H563" i="51"/>
  <c r="H594" i="51" s="1"/>
  <c r="O216" i="73"/>
  <c r="O265" i="73" s="1"/>
  <c r="O267" i="73" s="1"/>
  <c r="O275" i="73" s="1"/>
  <c r="O279" i="73" s="1"/>
  <c r="O284" i="73" s="1"/>
  <c r="L205" i="49"/>
  <c r="I951" i="48"/>
  <c r="I956" i="48"/>
  <c r="I960" i="48"/>
  <c r="I959" i="48"/>
  <c r="I1010" i="48"/>
  <c r="I958" i="48"/>
  <c r="I1012" i="48"/>
  <c r="I1013" i="48"/>
  <c r="I1014" i="48"/>
  <c r="I983" i="48"/>
  <c r="I1015" i="48"/>
  <c r="I1009" i="48"/>
  <c r="I1006" i="48"/>
  <c r="I1007" i="48"/>
  <c r="I997" i="48"/>
  <c r="I996" i="48"/>
  <c r="I999" i="48"/>
  <c r="I984" i="48"/>
  <c r="I1000" i="48"/>
  <c r="I982" i="48"/>
  <c r="I981" i="48"/>
  <c r="K230" i="49"/>
  <c r="K291" i="49" s="1"/>
  <c r="L276" i="49"/>
  <c r="L307" i="49" s="1"/>
  <c r="L198" i="47" s="1"/>
  <c r="Y32" i="47" s="1"/>
  <c r="G1099" i="48"/>
  <c r="G1119" i="48" s="1"/>
  <c r="M233" i="49"/>
  <c r="M236" i="49" s="1"/>
  <c r="M211" i="49"/>
  <c r="M221" i="49" s="1"/>
  <c r="M292" i="49" s="1"/>
  <c r="L221" i="49"/>
  <c r="L292" i="49" s="1"/>
  <c r="M276" i="49"/>
  <c r="M307" i="49" s="1"/>
  <c r="M198" i="47" s="1"/>
  <c r="Z32" i="47" s="1"/>
  <c r="M1273" i="48"/>
  <c r="G1096" i="48"/>
  <c r="G1116" i="48" s="1"/>
  <c r="G1126" i="48" s="1"/>
  <c r="G1144" i="48" s="1"/>
  <c r="G1200" i="48" s="1"/>
  <c r="G1228" i="48" s="1"/>
  <c r="G1097" i="48"/>
  <c r="G1117" i="48" s="1"/>
  <c r="G1127" i="48" s="1"/>
  <c r="G1145" i="48" s="1"/>
  <c r="G1201" i="48" s="1"/>
  <c r="G1229" i="48" s="1"/>
  <c r="G1246" i="48" s="1"/>
  <c r="I1001" i="48"/>
  <c r="I1005" i="48"/>
  <c r="G1098" i="48"/>
  <c r="G1118" i="48" s="1"/>
  <c r="G1128" i="48" s="1"/>
  <c r="G1146" i="48" s="1"/>
  <c r="G1202" i="48" s="1"/>
  <c r="G1230" i="48" s="1"/>
  <c r="P215" i="73"/>
  <c r="P264" i="73" s="1"/>
  <c r="L1273" i="48"/>
  <c r="I1003" i="48"/>
  <c r="I1004" i="48"/>
  <c r="H1098" i="48"/>
  <c r="H1118" i="48" s="1"/>
  <c r="H1128" i="48" s="1"/>
  <c r="H1146" i="48" s="1"/>
  <c r="H1202" i="48" s="1"/>
  <c r="H1230" i="48" s="1"/>
  <c r="Q163" i="73"/>
  <c r="Q164" i="73" s="1"/>
  <c r="Q177" i="73" s="1"/>
  <c r="Q178" i="73" s="1"/>
  <c r="Q179" i="73" s="1"/>
  <c r="Q180" i="73" s="1"/>
  <c r="Q182" i="73" s="1"/>
  <c r="N255" i="74"/>
  <c r="O240" i="74"/>
  <c r="H1099" i="48"/>
  <c r="H1119" i="48" s="1"/>
  <c r="H562" i="51"/>
  <c r="H593" i="51" s="1"/>
  <c r="I461" i="51"/>
  <c r="I449" i="51"/>
  <c r="I531" i="51" s="1"/>
  <c r="I462" i="51"/>
  <c r="I485" i="51"/>
  <c r="I478" i="51"/>
  <c r="I495" i="51"/>
  <c r="I487" i="51"/>
  <c r="I463" i="51"/>
  <c r="I465" i="51"/>
  <c r="I450" i="51"/>
  <c r="I532" i="51" s="1"/>
  <c r="I576" i="51" s="1"/>
  <c r="I466" i="51"/>
  <c r="I494" i="51"/>
  <c r="I473" i="51"/>
  <c r="I488" i="51"/>
  <c r="I516" i="51"/>
  <c r="I526" i="51" s="1"/>
  <c r="I582" i="51" s="1"/>
  <c r="H583" i="51"/>
  <c r="I496" i="51"/>
  <c r="I467" i="51"/>
  <c r="I497" i="51"/>
  <c r="I479" i="51"/>
  <c r="H592" i="51"/>
  <c r="I472" i="51"/>
  <c r="I486" i="51"/>
  <c r="R161" i="73"/>
  <c r="R157" i="73"/>
  <c r="S162" i="73"/>
  <c r="S158" i="73"/>
  <c r="F1133" i="48"/>
  <c r="F1134" i="48"/>
  <c r="I947" i="48"/>
  <c r="I948" i="48"/>
  <c r="I950" i="48"/>
  <c r="I949" i="48"/>
  <c r="I946" i="48"/>
  <c r="J1085" i="48"/>
  <c r="J1081" i="48"/>
  <c r="J1082" i="48"/>
  <c r="J1084" i="48"/>
  <c r="J1083" i="48"/>
  <c r="J1036" i="48"/>
  <c r="J1039" i="48"/>
  <c r="J1037" i="48"/>
  <c r="J1040" i="48"/>
  <c r="J1038" i="48"/>
  <c r="I941" i="48"/>
  <c r="I944" i="48"/>
  <c r="I942" i="48"/>
  <c r="I945" i="48"/>
  <c r="I943" i="48"/>
  <c r="J1079" i="48"/>
  <c r="J1077" i="48"/>
  <c r="J1078" i="48"/>
  <c r="J1076" i="48"/>
  <c r="J1080" i="48"/>
  <c r="J1090" i="48"/>
  <c r="J1089" i="48"/>
  <c r="J1088" i="48"/>
  <c r="J1086" i="48"/>
  <c r="J1087" i="48"/>
  <c r="J1029" i="48"/>
  <c r="J1026" i="48"/>
  <c r="J1030" i="48"/>
  <c r="J1028" i="48"/>
  <c r="J1027" i="48"/>
  <c r="I968" i="48"/>
  <c r="I966" i="48"/>
  <c r="I967" i="48"/>
  <c r="I969" i="48"/>
  <c r="I970" i="48"/>
  <c r="K699" i="48"/>
  <c r="J799" i="48"/>
  <c r="J864" i="48" s="1"/>
  <c r="J913" i="48" s="1"/>
  <c r="J1069" i="48"/>
  <c r="J1068" i="48"/>
  <c r="J1067" i="48"/>
  <c r="J1070" i="48"/>
  <c r="J1066" i="48"/>
  <c r="L691" i="48"/>
  <c r="K791" i="48"/>
  <c r="K856" i="48" s="1"/>
  <c r="K935" i="48" s="1"/>
  <c r="I1021" i="48"/>
  <c r="I1023" i="48"/>
  <c r="I1025" i="48"/>
  <c r="I1024" i="48"/>
  <c r="I1022" i="48"/>
  <c r="I993" i="48"/>
  <c r="I994" i="48"/>
  <c r="I991" i="48"/>
  <c r="I995" i="48"/>
  <c r="I992" i="48"/>
  <c r="J798" i="48"/>
  <c r="J863" i="48" s="1"/>
  <c r="J912" i="48" s="1"/>
  <c r="K698" i="48"/>
  <c r="K803" i="48"/>
  <c r="K868" i="48" s="1"/>
  <c r="K917" i="48" s="1"/>
  <c r="L703" i="48"/>
  <c r="I1035" i="48"/>
  <c r="I1031" i="48"/>
  <c r="I1033" i="48"/>
  <c r="I1034" i="48"/>
  <c r="I1032" i="48"/>
  <c r="K793" i="48"/>
  <c r="K858" i="48" s="1"/>
  <c r="K937" i="48" s="1"/>
  <c r="L693" i="48"/>
  <c r="J800" i="48"/>
  <c r="J865" i="48" s="1"/>
  <c r="J914" i="48" s="1"/>
  <c r="K700" i="48"/>
  <c r="L706" i="48"/>
  <c r="K806" i="48"/>
  <c r="K871" i="48" s="1"/>
  <c r="K920" i="48" s="1"/>
  <c r="K802" i="48"/>
  <c r="K867" i="48" s="1"/>
  <c r="K916" i="48" s="1"/>
  <c r="L702" i="48"/>
  <c r="L692" i="48"/>
  <c r="K792" i="48"/>
  <c r="K857" i="48" s="1"/>
  <c r="K936" i="48" s="1"/>
  <c r="K790" i="48"/>
  <c r="K855" i="48" s="1"/>
  <c r="K934" i="48" s="1"/>
  <c r="L690" i="48"/>
  <c r="J1015" i="48"/>
  <c r="J1013" i="48"/>
  <c r="J1011" i="48"/>
  <c r="J1014" i="48"/>
  <c r="J1012" i="48"/>
  <c r="I976" i="48"/>
  <c r="I977" i="48"/>
  <c r="I978" i="48"/>
  <c r="I979" i="48"/>
  <c r="I980" i="48"/>
  <c r="F1114" i="48"/>
  <c r="F1107" i="48"/>
  <c r="F1115" i="48" s="1"/>
  <c r="J1052" i="48"/>
  <c r="J1054" i="48"/>
  <c r="J1053" i="48"/>
  <c r="J1055" i="48"/>
  <c r="J1051" i="48"/>
  <c r="K797" i="48"/>
  <c r="K862" i="48" s="1"/>
  <c r="K911" i="48" s="1"/>
  <c r="L697" i="48"/>
  <c r="L696" i="48"/>
  <c r="K796" i="48"/>
  <c r="K861" i="48" s="1"/>
  <c r="K910" i="48" s="1"/>
  <c r="K787" i="48"/>
  <c r="K852" i="48" s="1"/>
  <c r="K931" i="48" s="1"/>
  <c r="L687" i="48"/>
  <c r="J1060" i="48"/>
  <c r="J1058" i="48"/>
  <c r="J1056" i="48"/>
  <c r="J1059" i="48"/>
  <c r="J1057" i="48"/>
  <c r="K805" i="48"/>
  <c r="K870" i="48" s="1"/>
  <c r="K919" i="48" s="1"/>
  <c r="L705" i="48"/>
  <c r="J996" i="48"/>
  <c r="J1000" i="48"/>
  <c r="J997" i="48"/>
  <c r="J999" i="48"/>
  <c r="J998" i="48"/>
  <c r="J1041" i="48"/>
  <c r="J1044" i="48"/>
  <c r="J1042" i="48"/>
  <c r="J1043" i="48"/>
  <c r="J1045" i="48"/>
  <c r="J1018" i="48"/>
  <c r="J1016" i="48"/>
  <c r="J1020" i="48"/>
  <c r="J1019" i="48"/>
  <c r="J1017" i="48"/>
  <c r="L679" i="48"/>
  <c r="K779" i="48"/>
  <c r="K844" i="48" s="1"/>
  <c r="K923" i="48" s="1"/>
  <c r="L688" i="48"/>
  <c r="K788" i="48"/>
  <c r="K853" i="48" s="1"/>
  <c r="K932" i="48" s="1"/>
  <c r="F1242" i="48"/>
  <c r="F1248" i="48"/>
  <c r="F1254" i="48"/>
  <c r="F1278" i="48"/>
  <c r="K807" i="48"/>
  <c r="K872" i="48" s="1"/>
  <c r="K921" i="48" s="1"/>
  <c r="L707" i="48"/>
  <c r="J1046" i="48"/>
  <c r="J1048" i="48"/>
  <c r="J1047" i="48"/>
  <c r="J1049" i="48"/>
  <c r="J1050" i="48"/>
  <c r="L685" i="48"/>
  <c r="K785" i="48"/>
  <c r="K850" i="48" s="1"/>
  <c r="K929" i="48" s="1"/>
  <c r="K781" i="48"/>
  <c r="K846" i="48" s="1"/>
  <c r="K925" i="48" s="1"/>
  <c r="L681" i="48"/>
  <c r="L689" i="48"/>
  <c r="K789" i="48"/>
  <c r="K854" i="48" s="1"/>
  <c r="K933" i="48" s="1"/>
  <c r="H1095" i="48"/>
  <c r="H1097" i="48"/>
  <c r="H1117" i="48" s="1"/>
  <c r="H1096" i="48"/>
  <c r="H1116" i="48" s="1"/>
  <c r="J780" i="48"/>
  <c r="J845" i="48" s="1"/>
  <c r="J924" i="48" s="1"/>
  <c r="K680" i="48"/>
  <c r="J804" i="48"/>
  <c r="J869" i="48" s="1"/>
  <c r="J918" i="48" s="1"/>
  <c r="K704" i="48"/>
  <c r="I961" i="48"/>
  <c r="I962" i="48"/>
  <c r="I965" i="48"/>
  <c r="I963" i="48"/>
  <c r="I964" i="48"/>
  <c r="J988" i="48"/>
  <c r="J990" i="48"/>
  <c r="J989" i="48"/>
  <c r="J987" i="48"/>
  <c r="J986" i="48"/>
  <c r="J782" i="48"/>
  <c r="J847" i="48" s="1"/>
  <c r="J926" i="48" s="1"/>
  <c r="K682" i="48"/>
  <c r="J795" i="48"/>
  <c r="J860" i="48" s="1"/>
  <c r="J909" i="48" s="1"/>
  <c r="K695" i="48"/>
  <c r="F1241" i="48"/>
  <c r="F1247" i="48"/>
  <c r="F1253" i="48"/>
  <c r="F1279" i="48"/>
  <c r="I974" i="48"/>
  <c r="I972" i="48"/>
  <c r="I975" i="48"/>
  <c r="I971" i="48"/>
  <c r="I973" i="48"/>
  <c r="J1004" i="48"/>
  <c r="J1005" i="48"/>
  <c r="J1001" i="48"/>
  <c r="J1002" i="48"/>
  <c r="J1003" i="48"/>
  <c r="J981" i="48"/>
  <c r="J984" i="48"/>
  <c r="J985" i="48"/>
  <c r="J982" i="48"/>
  <c r="J983" i="48"/>
  <c r="J1074" i="48"/>
  <c r="J1071" i="48"/>
  <c r="J1075" i="48"/>
  <c r="J1072" i="48"/>
  <c r="J1073" i="48"/>
  <c r="L708" i="48"/>
  <c r="K808" i="48"/>
  <c r="K873" i="48" s="1"/>
  <c r="K922" i="48" s="1"/>
  <c r="K783" i="48"/>
  <c r="K848" i="48" s="1"/>
  <c r="K927" i="48" s="1"/>
  <c r="L683" i="48"/>
  <c r="J794" i="48"/>
  <c r="J859" i="48" s="1"/>
  <c r="J908" i="48" s="1"/>
  <c r="K694" i="48"/>
  <c r="J801" i="48"/>
  <c r="J866" i="48" s="1"/>
  <c r="J915" i="48" s="1"/>
  <c r="K701" i="48"/>
  <c r="F1240" i="48"/>
  <c r="F1246" i="48"/>
  <c r="F1252" i="48"/>
  <c r="K786" i="48"/>
  <c r="K851" i="48" s="1"/>
  <c r="K930" i="48" s="1"/>
  <c r="L686" i="48"/>
  <c r="J959" i="48"/>
  <c r="J956" i="48"/>
  <c r="J958" i="48"/>
  <c r="J957" i="48"/>
  <c r="J960" i="48"/>
  <c r="J953" i="48"/>
  <c r="J955" i="48"/>
  <c r="J951" i="48"/>
  <c r="J952" i="48"/>
  <c r="J954" i="48"/>
  <c r="L684" i="48"/>
  <c r="K784" i="48"/>
  <c r="K849" i="48" s="1"/>
  <c r="K928" i="48" s="1"/>
  <c r="J1062" i="48"/>
  <c r="J1061" i="48"/>
  <c r="J1064" i="48"/>
  <c r="J1065" i="48"/>
  <c r="J1063" i="48"/>
  <c r="F1135" i="48"/>
  <c r="J1007" i="48"/>
  <c r="J1006" i="48"/>
  <c r="J1008" i="48"/>
  <c r="J1010" i="48"/>
  <c r="J1009" i="48"/>
  <c r="R160" i="73"/>
  <c r="R156" i="73"/>
  <c r="K297" i="49" l="1"/>
  <c r="O217" i="73"/>
  <c r="O218" i="73" s="1"/>
  <c r="O219" i="73" s="1"/>
  <c r="M230" i="49"/>
  <c r="M291" i="49" s="1"/>
  <c r="G1100" i="48"/>
  <c r="L230" i="49"/>
  <c r="L291" i="49" s="1"/>
  <c r="P216" i="73"/>
  <c r="P217" i="73" s="1"/>
  <c r="P218" i="73" s="1"/>
  <c r="P219" i="73" s="1"/>
  <c r="Q215" i="73"/>
  <c r="Q264" i="73" s="1"/>
  <c r="G1252" i="48"/>
  <c r="G1240" i="48"/>
  <c r="I322" i="51"/>
  <c r="J280" i="51" s="1"/>
  <c r="P240" i="74"/>
  <c r="O255" i="74"/>
  <c r="H565" i="51"/>
  <c r="H595" i="51" s="1"/>
  <c r="H200" i="47" s="1"/>
  <c r="U34" i="47" s="1"/>
  <c r="I514" i="51"/>
  <c r="I524" i="51" s="1"/>
  <c r="I551" i="51" s="1"/>
  <c r="I513" i="51"/>
  <c r="I523" i="51" s="1"/>
  <c r="I515" i="51"/>
  <c r="I525" i="51" s="1"/>
  <c r="I581" i="51" s="1"/>
  <c r="I536" i="51"/>
  <c r="I575" i="51"/>
  <c r="H1135" i="48"/>
  <c r="G1134" i="48"/>
  <c r="T158" i="73"/>
  <c r="T162" i="73"/>
  <c r="R163" i="73"/>
  <c r="R164" i="73" s="1"/>
  <c r="R215" i="73" s="1"/>
  <c r="S161" i="73"/>
  <c r="S157" i="73"/>
  <c r="G1133" i="48"/>
  <c r="K1045" i="48"/>
  <c r="K1042" i="48"/>
  <c r="K1043" i="48"/>
  <c r="K1044" i="48"/>
  <c r="K1041" i="48"/>
  <c r="K1011" i="48"/>
  <c r="K1012" i="48"/>
  <c r="K1014" i="48"/>
  <c r="K1015" i="48"/>
  <c r="K1013" i="48"/>
  <c r="J950" i="48"/>
  <c r="J949" i="48"/>
  <c r="J946" i="48"/>
  <c r="J948" i="48"/>
  <c r="J947" i="48"/>
  <c r="K1030" i="48"/>
  <c r="K1026" i="48"/>
  <c r="K1028" i="48"/>
  <c r="K1027" i="48"/>
  <c r="K1029" i="48"/>
  <c r="K1006" i="48"/>
  <c r="K1009" i="48"/>
  <c r="K1007" i="48"/>
  <c r="K1010" i="48"/>
  <c r="K1008" i="48"/>
  <c r="J971" i="48"/>
  <c r="J972" i="48"/>
  <c r="J975" i="48"/>
  <c r="J973" i="48"/>
  <c r="J974" i="48"/>
  <c r="J966" i="48"/>
  <c r="J970" i="48"/>
  <c r="J969" i="48"/>
  <c r="J967" i="48"/>
  <c r="J968" i="48"/>
  <c r="L786" i="48"/>
  <c r="L851" i="48" s="1"/>
  <c r="L930" i="48" s="1"/>
  <c r="M686" i="48"/>
  <c r="J980" i="48"/>
  <c r="J976" i="48"/>
  <c r="J979" i="48"/>
  <c r="J978" i="48"/>
  <c r="J977" i="48"/>
  <c r="J941" i="48"/>
  <c r="J944" i="48"/>
  <c r="J942" i="48"/>
  <c r="J945" i="48"/>
  <c r="J943" i="48"/>
  <c r="K1038" i="48"/>
  <c r="K1037" i="48"/>
  <c r="K1036" i="48"/>
  <c r="K1040" i="48"/>
  <c r="K1039" i="48"/>
  <c r="M708" i="48"/>
  <c r="M808" i="48" s="1"/>
  <c r="M873" i="48" s="1"/>
  <c r="M922" i="48" s="1"/>
  <c r="L808" i="48"/>
  <c r="L873" i="48" s="1"/>
  <c r="L922" i="48" s="1"/>
  <c r="G1242" i="48"/>
  <c r="G1278" i="48"/>
  <c r="G1254" i="48"/>
  <c r="G1248" i="48"/>
  <c r="G1107" i="48"/>
  <c r="G1115" i="48" s="1"/>
  <c r="G1114" i="48"/>
  <c r="L695" i="48"/>
  <c r="K795" i="48"/>
  <c r="K860" i="48" s="1"/>
  <c r="K909" i="48" s="1"/>
  <c r="J1033" i="48"/>
  <c r="J1035" i="48"/>
  <c r="J1031" i="48"/>
  <c r="J1032" i="48"/>
  <c r="J1034" i="48"/>
  <c r="K804" i="48"/>
  <c r="K869" i="48" s="1"/>
  <c r="K918" i="48" s="1"/>
  <c r="L704" i="48"/>
  <c r="K780" i="48"/>
  <c r="K845" i="48" s="1"/>
  <c r="K924" i="48" s="1"/>
  <c r="L680" i="48"/>
  <c r="H1126" i="48"/>
  <c r="H1144" i="48" s="1"/>
  <c r="H1200" i="48" s="1"/>
  <c r="H1228" i="48" s="1"/>
  <c r="H1100" i="48"/>
  <c r="H1106" i="48"/>
  <c r="M689" i="48"/>
  <c r="M789" i="48" s="1"/>
  <c r="M854" i="48" s="1"/>
  <c r="M933" i="48" s="1"/>
  <c r="L789" i="48"/>
  <c r="L854" i="48" s="1"/>
  <c r="L933" i="48" s="1"/>
  <c r="K1049" i="48"/>
  <c r="K1050" i="48"/>
  <c r="K1048" i="48"/>
  <c r="K1047" i="48"/>
  <c r="K1046" i="48"/>
  <c r="M685" i="48"/>
  <c r="M785" i="48" s="1"/>
  <c r="M850" i="48" s="1"/>
  <c r="M929" i="48" s="1"/>
  <c r="L785" i="48"/>
  <c r="L850" i="48" s="1"/>
  <c r="L929" i="48" s="1"/>
  <c r="M707" i="48"/>
  <c r="M807" i="48" s="1"/>
  <c r="M872" i="48" s="1"/>
  <c r="M921" i="48" s="1"/>
  <c r="L807" i="48"/>
  <c r="L872" i="48" s="1"/>
  <c r="L921" i="48" s="1"/>
  <c r="M688" i="48"/>
  <c r="M788" i="48" s="1"/>
  <c r="M853" i="48" s="1"/>
  <c r="M932" i="48" s="1"/>
  <c r="L788" i="48"/>
  <c r="L853" i="48" s="1"/>
  <c r="L932" i="48" s="1"/>
  <c r="L779" i="48"/>
  <c r="L844" i="48" s="1"/>
  <c r="L923" i="48" s="1"/>
  <c r="M679" i="48"/>
  <c r="M779" i="48" s="1"/>
  <c r="M844" i="48" s="1"/>
  <c r="M923" i="48" s="1"/>
  <c r="L805" i="48"/>
  <c r="L870" i="48" s="1"/>
  <c r="L919" i="48" s="1"/>
  <c r="M705" i="48"/>
  <c r="M805" i="48" s="1"/>
  <c r="M870" i="48" s="1"/>
  <c r="M919" i="48" s="1"/>
  <c r="K1059" i="48"/>
  <c r="K1058" i="48"/>
  <c r="K1056" i="48"/>
  <c r="K1060" i="48"/>
  <c r="K1057" i="48"/>
  <c r="K952" i="48"/>
  <c r="K954" i="48"/>
  <c r="K955" i="48"/>
  <c r="K953" i="48"/>
  <c r="K951" i="48"/>
  <c r="L796" i="48"/>
  <c r="L861" i="48" s="1"/>
  <c r="L910" i="48" s="1"/>
  <c r="M696" i="48"/>
  <c r="M796" i="48" s="1"/>
  <c r="M861" i="48" s="1"/>
  <c r="M910" i="48" s="1"/>
  <c r="K957" i="48"/>
  <c r="K958" i="48"/>
  <c r="K959" i="48"/>
  <c r="K956" i="48"/>
  <c r="K960" i="48"/>
  <c r="F1125" i="48"/>
  <c r="F1143" i="48" s="1"/>
  <c r="F1199" i="48" s="1"/>
  <c r="F1227" i="48" s="1"/>
  <c r="L790" i="48"/>
  <c r="L855" i="48" s="1"/>
  <c r="L934" i="48" s="1"/>
  <c r="M690" i="48"/>
  <c r="M790" i="48" s="1"/>
  <c r="M855" i="48" s="1"/>
  <c r="M934" i="48" s="1"/>
  <c r="K1082" i="48"/>
  <c r="K1084" i="48"/>
  <c r="K1083" i="48"/>
  <c r="K1085" i="48"/>
  <c r="K1081" i="48"/>
  <c r="M702" i="48"/>
  <c r="L802" i="48"/>
  <c r="L867" i="48" s="1"/>
  <c r="L916" i="48" s="1"/>
  <c r="K1001" i="48"/>
  <c r="K1004" i="48"/>
  <c r="K1005" i="48"/>
  <c r="K1003" i="48"/>
  <c r="K1002" i="48"/>
  <c r="K800" i="48"/>
  <c r="K865" i="48" s="1"/>
  <c r="K914" i="48" s="1"/>
  <c r="L700" i="48"/>
  <c r="K1089" i="48"/>
  <c r="K1090" i="48"/>
  <c r="K1088" i="48"/>
  <c r="K1086" i="48"/>
  <c r="K1087" i="48"/>
  <c r="K986" i="48"/>
  <c r="K990" i="48"/>
  <c r="K987" i="48"/>
  <c r="K988" i="48"/>
  <c r="K989" i="48"/>
  <c r="J963" i="48"/>
  <c r="J962" i="48"/>
  <c r="J965" i="48"/>
  <c r="J961" i="48"/>
  <c r="J964" i="48"/>
  <c r="K1077" i="48"/>
  <c r="K1080" i="48"/>
  <c r="K1079" i="48"/>
  <c r="K1078" i="48"/>
  <c r="K1076" i="48"/>
  <c r="L699" i="48"/>
  <c r="K799" i="48"/>
  <c r="K864" i="48" s="1"/>
  <c r="K913" i="48" s="1"/>
  <c r="I1097" i="48"/>
  <c r="I1117" i="48" s="1"/>
  <c r="I1096" i="48"/>
  <c r="I1116" i="48" s="1"/>
  <c r="I1095" i="48"/>
  <c r="L784" i="48"/>
  <c r="L849" i="48" s="1"/>
  <c r="L928" i="48" s="1"/>
  <c r="M684" i="48"/>
  <c r="K1051" i="48"/>
  <c r="K1054" i="48"/>
  <c r="K1053" i="48"/>
  <c r="K1052" i="48"/>
  <c r="K1055" i="48"/>
  <c r="K801" i="48"/>
  <c r="K866" i="48" s="1"/>
  <c r="K915" i="48" s="1"/>
  <c r="L701" i="48"/>
  <c r="K794" i="48"/>
  <c r="K859" i="48" s="1"/>
  <c r="K908" i="48" s="1"/>
  <c r="L694" i="48"/>
  <c r="M683" i="48"/>
  <c r="M783" i="48" s="1"/>
  <c r="M848" i="48" s="1"/>
  <c r="M927" i="48" s="1"/>
  <c r="L783" i="48"/>
  <c r="L848" i="48" s="1"/>
  <c r="L927" i="48" s="1"/>
  <c r="G1135" i="48"/>
  <c r="K782" i="48"/>
  <c r="K847" i="48" s="1"/>
  <c r="K926" i="48" s="1"/>
  <c r="L682" i="48"/>
  <c r="J991" i="48"/>
  <c r="J992" i="48"/>
  <c r="J994" i="48"/>
  <c r="J993" i="48"/>
  <c r="J995" i="48"/>
  <c r="J1023" i="48"/>
  <c r="J1024" i="48"/>
  <c r="J1021" i="48"/>
  <c r="J1025" i="48"/>
  <c r="J1022" i="48"/>
  <c r="H1127" i="48"/>
  <c r="H1145" i="48" s="1"/>
  <c r="H1201" i="48" s="1"/>
  <c r="H1229" i="48" s="1"/>
  <c r="K1067" i="48"/>
  <c r="K1066" i="48"/>
  <c r="K1070" i="48"/>
  <c r="K1069" i="48"/>
  <c r="K1068" i="48"/>
  <c r="M681" i="48"/>
  <c r="M781" i="48" s="1"/>
  <c r="M846" i="48" s="1"/>
  <c r="M925" i="48" s="1"/>
  <c r="L781" i="48"/>
  <c r="L846" i="48" s="1"/>
  <c r="L925" i="48" s="1"/>
  <c r="K1063" i="48"/>
  <c r="K1062" i="48"/>
  <c r="K1064" i="48"/>
  <c r="K1061" i="48"/>
  <c r="K1065" i="48"/>
  <c r="K1016" i="48"/>
  <c r="K1020" i="48"/>
  <c r="K1019" i="48"/>
  <c r="K1017" i="48"/>
  <c r="K1018" i="48"/>
  <c r="K999" i="48"/>
  <c r="K998" i="48"/>
  <c r="K1000" i="48"/>
  <c r="K997" i="48"/>
  <c r="K996" i="48"/>
  <c r="L787" i="48"/>
  <c r="L852" i="48" s="1"/>
  <c r="L931" i="48" s="1"/>
  <c r="M687" i="48"/>
  <c r="M697" i="48"/>
  <c r="L797" i="48"/>
  <c r="L862" i="48" s="1"/>
  <c r="L911" i="48" s="1"/>
  <c r="F1108" i="48"/>
  <c r="F1109" i="48" s="1"/>
  <c r="F1124" i="48"/>
  <c r="F1142" i="48" s="1"/>
  <c r="F1120" i="48"/>
  <c r="K1073" i="48"/>
  <c r="K1075" i="48"/>
  <c r="K1072" i="48"/>
  <c r="K1071" i="48"/>
  <c r="K1074" i="48"/>
  <c r="M692" i="48"/>
  <c r="L792" i="48"/>
  <c r="L857" i="48" s="1"/>
  <c r="L936" i="48" s="1"/>
  <c r="K981" i="48"/>
  <c r="K985" i="48"/>
  <c r="K984" i="48"/>
  <c r="K982" i="48"/>
  <c r="K983" i="48"/>
  <c r="M706" i="48"/>
  <c r="M806" i="48" s="1"/>
  <c r="M871" i="48" s="1"/>
  <c r="M920" i="48" s="1"/>
  <c r="L806" i="48"/>
  <c r="L871" i="48" s="1"/>
  <c r="L920" i="48" s="1"/>
  <c r="G1253" i="48"/>
  <c r="G1279" i="48"/>
  <c r="G1241" i="48"/>
  <c r="G1247" i="48"/>
  <c r="L793" i="48"/>
  <c r="L858" i="48" s="1"/>
  <c r="L937" i="48" s="1"/>
  <c r="M693" i="48"/>
  <c r="M793" i="48" s="1"/>
  <c r="M858" i="48" s="1"/>
  <c r="M937" i="48" s="1"/>
  <c r="L803" i="48"/>
  <c r="L868" i="48" s="1"/>
  <c r="L917" i="48" s="1"/>
  <c r="M703" i="48"/>
  <c r="M803" i="48" s="1"/>
  <c r="M868" i="48" s="1"/>
  <c r="M917" i="48" s="1"/>
  <c r="L698" i="48"/>
  <c r="K798" i="48"/>
  <c r="K863" i="48" s="1"/>
  <c r="K912" i="48" s="1"/>
  <c r="H1242" i="48"/>
  <c r="H1254" i="48"/>
  <c r="H1248" i="48"/>
  <c r="H1278" i="48"/>
  <c r="L791" i="48"/>
  <c r="L856" i="48" s="1"/>
  <c r="L935" i="48" s="1"/>
  <c r="M691" i="48"/>
  <c r="M791" i="48" s="1"/>
  <c r="M856" i="48" s="1"/>
  <c r="M935" i="48" s="1"/>
  <c r="I1099" i="48"/>
  <c r="I1119" i="48" s="1"/>
  <c r="I1098" i="48"/>
  <c r="I1118" i="48" s="1"/>
  <c r="S156" i="73"/>
  <c r="S160" i="73"/>
  <c r="L297" i="49" l="1"/>
  <c r="M297" i="49"/>
  <c r="I557" i="51"/>
  <c r="S163" i="73"/>
  <c r="S164" i="73" s="1"/>
  <c r="S177" i="73" s="1"/>
  <c r="S178" i="73" s="1"/>
  <c r="S179" i="73" s="1"/>
  <c r="S180" i="73" s="1"/>
  <c r="S182" i="73" s="1"/>
  <c r="P265" i="73"/>
  <c r="P267" i="73" s="1"/>
  <c r="P275" i="73" s="1"/>
  <c r="P279" i="73" s="1"/>
  <c r="P284" i="73" s="1"/>
  <c r="J276" i="51"/>
  <c r="J286" i="51" s="1"/>
  <c r="J316" i="51" s="1"/>
  <c r="Q216" i="73"/>
  <c r="Q265" i="73" s="1"/>
  <c r="Q267" i="73" s="1"/>
  <c r="Q275" i="73" s="1"/>
  <c r="Q279" i="73" s="1"/>
  <c r="Q284" i="73" s="1"/>
  <c r="J279" i="51"/>
  <c r="J417" i="51" s="1"/>
  <c r="J434" i="51" s="1"/>
  <c r="J277" i="51"/>
  <c r="J361" i="51" s="1"/>
  <c r="J378" i="51" s="1"/>
  <c r="J278" i="51"/>
  <c r="J416" i="51" s="1"/>
  <c r="J433" i="51" s="1"/>
  <c r="R177" i="73"/>
  <c r="R178" i="73" s="1"/>
  <c r="R179" i="73" s="1"/>
  <c r="R180" i="73" s="1"/>
  <c r="R182" i="73" s="1"/>
  <c r="J281" i="51"/>
  <c r="J419" i="51" s="1"/>
  <c r="J436" i="51" s="1"/>
  <c r="J508" i="51" s="1"/>
  <c r="J275" i="51"/>
  <c r="Q240" i="74"/>
  <c r="P255" i="74"/>
  <c r="J274" i="51"/>
  <c r="I545" i="51"/>
  <c r="J290" i="51"/>
  <c r="J320" i="51" s="1"/>
  <c r="J418" i="51"/>
  <c r="J435" i="51" s="1"/>
  <c r="J498" i="51" s="1"/>
  <c r="J364" i="51"/>
  <c r="J381" i="51" s="1"/>
  <c r="J489" i="51" s="1"/>
  <c r="I556" i="51"/>
  <c r="I528" i="51"/>
  <c r="I544" i="51"/>
  <c r="I550" i="51"/>
  <c r="I562" i="51" s="1"/>
  <c r="I593" i="51" s="1"/>
  <c r="I580" i="51"/>
  <c r="I518" i="51"/>
  <c r="R264" i="73"/>
  <c r="R216" i="73"/>
  <c r="R265" i="73" s="1"/>
  <c r="U162" i="73"/>
  <c r="U158" i="73"/>
  <c r="F1131" i="48"/>
  <c r="G1108" i="48"/>
  <c r="G1109" i="48" s="1"/>
  <c r="T157" i="73"/>
  <c r="T161" i="73"/>
  <c r="H1133" i="48"/>
  <c r="H1134" i="48"/>
  <c r="L987" i="48"/>
  <c r="L986" i="48"/>
  <c r="L989" i="48"/>
  <c r="L990" i="48"/>
  <c r="L988" i="48"/>
  <c r="I1128" i="48"/>
  <c r="I1146" i="48" s="1"/>
  <c r="I1202" i="48" s="1"/>
  <c r="I1230" i="48" s="1"/>
  <c r="L1076" i="48"/>
  <c r="L1079" i="48"/>
  <c r="L1077" i="48"/>
  <c r="L1078" i="48"/>
  <c r="L1080" i="48"/>
  <c r="L798" i="48"/>
  <c r="L863" i="48" s="1"/>
  <c r="L912" i="48" s="1"/>
  <c r="M698" i="48"/>
  <c r="M1087" i="48"/>
  <c r="M1086" i="48"/>
  <c r="M1089" i="48"/>
  <c r="M1088" i="48"/>
  <c r="M1090" i="48"/>
  <c r="L1001" i="48"/>
  <c r="L1005" i="48"/>
  <c r="L1002" i="48"/>
  <c r="L1004" i="48"/>
  <c r="L1003" i="48"/>
  <c r="M792" i="48"/>
  <c r="M857" i="48" s="1"/>
  <c r="M936" i="48" s="1"/>
  <c r="F1198" i="48"/>
  <c r="L957" i="48"/>
  <c r="L960" i="48"/>
  <c r="L959" i="48"/>
  <c r="L956" i="48"/>
  <c r="L958" i="48"/>
  <c r="M787" i="48"/>
  <c r="M852" i="48" s="1"/>
  <c r="M931" i="48" s="1"/>
  <c r="L1057" i="48"/>
  <c r="L1058" i="48"/>
  <c r="L1060" i="48"/>
  <c r="L1059" i="48"/>
  <c r="L1056" i="48"/>
  <c r="L1028" i="48"/>
  <c r="L1029" i="48"/>
  <c r="L1026" i="48"/>
  <c r="L1027" i="48"/>
  <c r="L1030" i="48"/>
  <c r="K1035" i="48"/>
  <c r="K1034" i="48"/>
  <c r="K1033" i="48"/>
  <c r="K1031" i="48"/>
  <c r="K1032" i="48"/>
  <c r="L1039" i="48"/>
  <c r="L1040" i="48"/>
  <c r="L1036" i="48"/>
  <c r="L1037" i="48"/>
  <c r="L1038" i="48"/>
  <c r="L794" i="48"/>
  <c r="L859" i="48" s="1"/>
  <c r="L908" i="48" s="1"/>
  <c r="M694" i="48"/>
  <c r="M794" i="48" s="1"/>
  <c r="M859" i="48" s="1"/>
  <c r="M908" i="48" s="1"/>
  <c r="L801" i="48"/>
  <c r="L866" i="48" s="1"/>
  <c r="L915" i="48" s="1"/>
  <c r="M701" i="48"/>
  <c r="M801" i="48" s="1"/>
  <c r="M866" i="48" s="1"/>
  <c r="M915" i="48" s="1"/>
  <c r="L1043" i="48"/>
  <c r="L1045" i="48"/>
  <c r="L1044" i="48"/>
  <c r="L1041" i="48"/>
  <c r="L1042" i="48"/>
  <c r="I1126" i="48"/>
  <c r="I1144" i="48" s="1"/>
  <c r="I1200" i="48" s="1"/>
  <c r="I1228" i="48" s="1"/>
  <c r="K969" i="48"/>
  <c r="K970" i="48"/>
  <c r="K967" i="48"/>
  <c r="K966" i="48"/>
  <c r="K968" i="48"/>
  <c r="K971" i="48"/>
  <c r="K975" i="48"/>
  <c r="K973" i="48"/>
  <c r="K974" i="48"/>
  <c r="K972" i="48"/>
  <c r="L981" i="48"/>
  <c r="L982" i="48"/>
  <c r="L983" i="48"/>
  <c r="L985" i="48"/>
  <c r="L984" i="48"/>
  <c r="L1073" i="48"/>
  <c r="L1071" i="48"/>
  <c r="L1074" i="48"/>
  <c r="L1075" i="48"/>
  <c r="L1072" i="48"/>
  <c r="M951" i="48"/>
  <c r="M954" i="48"/>
  <c r="M955" i="48"/>
  <c r="M953" i="48"/>
  <c r="M952" i="48"/>
  <c r="L952" i="48"/>
  <c r="L951" i="48"/>
  <c r="L954" i="48"/>
  <c r="L955" i="48"/>
  <c r="L953" i="48"/>
  <c r="L996" i="48"/>
  <c r="L997" i="48"/>
  <c r="L1000" i="48"/>
  <c r="L999" i="48"/>
  <c r="L998" i="48"/>
  <c r="L1016" i="48"/>
  <c r="L1020" i="48"/>
  <c r="L1017" i="48"/>
  <c r="L1018" i="48"/>
  <c r="L1019" i="48"/>
  <c r="M1065" i="48"/>
  <c r="M1062" i="48"/>
  <c r="M1063" i="48"/>
  <c r="M1064" i="48"/>
  <c r="M1061" i="48"/>
  <c r="M1006" i="48"/>
  <c r="M1010" i="48"/>
  <c r="M1009" i="48"/>
  <c r="M1008" i="48"/>
  <c r="M1007" i="48"/>
  <c r="M1046" i="48"/>
  <c r="M1050" i="48"/>
  <c r="M1047" i="48"/>
  <c r="M1048" i="48"/>
  <c r="M1049" i="48"/>
  <c r="L1070" i="48"/>
  <c r="L1068" i="48"/>
  <c r="L1067" i="48"/>
  <c r="L1069" i="48"/>
  <c r="L1066" i="48"/>
  <c r="H1107" i="48"/>
  <c r="H1115" i="48" s="1"/>
  <c r="H1114" i="48"/>
  <c r="K1024" i="48"/>
  <c r="K1023" i="48"/>
  <c r="K1021" i="48"/>
  <c r="K1022" i="48"/>
  <c r="K1025" i="48"/>
  <c r="K991" i="48"/>
  <c r="K994" i="48"/>
  <c r="K995" i="48"/>
  <c r="K992" i="48"/>
  <c r="K993" i="48"/>
  <c r="M695" i="48"/>
  <c r="L795" i="48"/>
  <c r="L860" i="48" s="1"/>
  <c r="L909" i="48" s="1"/>
  <c r="G1120" i="48"/>
  <c r="G1124" i="48"/>
  <c r="G1142" i="48" s="1"/>
  <c r="L1015" i="48"/>
  <c r="L1013" i="48"/>
  <c r="L1012" i="48"/>
  <c r="L1011" i="48"/>
  <c r="L1014" i="48"/>
  <c r="J1099" i="48"/>
  <c r="J1119" i="48" s="1"/>
  <c r="J1098" i="48"/>
  <c r="J1118" i="48" s="1"/>
  <c r="L1053" i="48"/>
  <c r="L1055" i="48"/>
  <c r="L1054" i="48"/>
  <c r="L1051" i="48"/>
  <c r="L1052" i="48"/>
  <c r="M1076" i="48"/>
  <c r="M1078" i="48"/>
  <c r="M1077" i="48"/>
  <c r="M1080" i="48"/>
  <c r="M1079" i="48"/>
  <c r="K961" i="48"/>
  <c r="K962" i="48"/>
  <c r="K965" i="48"/>
  <c r="K963" i="48"/>
  <c r="K964" i="48"/>
  <c r="M989" i="48"/>
  <c r="M988" i="48"/>
  <c r="M986" i="48"/>
  <c r="M987" i="48"/>
  <c r="M990" i="48"/>
  <c r="L1088" i="48"/>
  <c r="L1089" i="48"/>
  <c r="L1086" i="48"/>
  <c r="L1090" i="48"/>
  <c r="L1087" i="48"/>
  <c r="M1003" i="48"/>
  <c r="M1001" i="48"/>
  <c r="M1002" i="48"/>
  <c r="M1005" i="48"/>
  <c r="M1004" i="48"/>
  <c r="L1083" i="48"/>
  <c r="L1084" i="48"/>
  <c r="L1081" i="48"/>
  <c r="L1082" i="48"/>
  <c r="L1085" i="48"/>
  <c r="M797" i="48"/>
  <c r="M862" i="48" s="1"/>
  <c r="M911" i="48" s="1"/>
  <c r="M1026" i="48"/>
  <c r="M1029" i="48"/>
  <c r="M1028" i="48"/>
  <c r="M1030" i="48"/>
  <c r="M1027" i="48"/>
  <c r="H1240" i="48"/>
  <c r="H1246" i="48"/>
  <c r="H1252" i="48"/>
  <c r="L782" i="48"/>
  <c r="L847" i="48" s="1"/>
  <c r="L926" i="48" s="1"/>
  <c r="M682" i="48"/>
  <c r="M1036" i="48"/>
  <c r="M1037" i="48"/>
  <c r="M1040" i="48"/>
  <c r="M1038" i="48"/>
  <c r="M1039" i="48"/>
  <c r="K944" i="48"/>
  <c r="K942" i="48"/>
  <c r="K941" i="48"/>
  <c r="K945" i="48"/>
  <c r="K943" i="48"/>
  <c r="K979" i="48"/>
  <c r="K976" i="48"/>
  <c r="K978" i="48"/>
  <c r="K977" i="48"/>
  <c r="K980" i="48"/>
  <c r="M784" i="48"/>
  <c r="M849" i="48" s="1"/>
  <c r="M928" i="48" s="1"/>
  <c r="I1106" i="48"/>
  <c r="I1100" i="48"/>
  <c r="I1127" i="48"/>
  <c r="I1145" i="48" s="1"/>
  <c r="I1201" i="48" s="1"/>
  <c r="I1229" i="48" s="1"/>
  <c r="L799" i="48"/>
  <c r="L864" i="48" s="1"/>
  <c r="L913" i="48" s="1"/>
  <c r="M699" i="48"/>
  <c r="M799" i="48" s="1"/>
  <c r="M864" i="48" s="1"/>
  <c r="M913" i="48" s="1"/>
  <c r="L800" i="48"/>
  <c r="L865" i="48" s="1"/>
  <c r="L914" i="48" s="1"/>
  <c r="M700" i="48"/>
  <c r="M800" i="48" s="1"/>
  <c r="M865" i="48" s="1"/>
  <c r="M914" i="48" s="1"/>
  <c r="M802" i="48"/>
  <c r="M867" i="48" s="1"/>
  <c r="M916" i="48" s="1"/>
  <c r="M1075" i="48"/>
  <c r="M1071" i="48"/>
  <c r="M1073" i="48"/>
  <c r="M1072" i="48"/>
  <c r="M1074" i="48"/>
  <c r="F1132" i="48"/>
  <c r="M997" i="48"/>
  <c r="M999" i="48"/>
  <c r="M998" i="48"/>
  <c r="M1000" i="48"/>
  <c r="M996" i="48"/>
  <c r="M1020" i="48"/>
  <c r="M1018" i="48"/>
  <c r="M1019" i="48"/>
  <c r="M1017" i="48"/>
  <c r="M1016" i="48"/>
  <c r="L1063" i="48"/>
  <c r="L1065" i="48"/>
  <c r="L1064" i="48"/>
  <c r="L1061" i="48"/>
  <c r="L1062" i="48"/>
  <c r="L1009" i="48"/>
  <c r="L1010" i="48"/>
  <c r="L1007" i="48"/>
  <c r="L1006" i="48"/>
  <c r="L1008" i="48"/>
  <c r="L1046" i="48"/>
  <c r="L1050" i="48"/>
  <c r="L1047" i="48"/>
  <c r="L1048" i="48"/>
  <c r="L1049" i="48"/>
  <c r="M1067" i="48"/>
  <c r="M1066" i="48"/>
  <c r="M1069" i="48"/>
  <c r="M1070" i="48"/>
  <c r="M1068" i="48"/>
  <c r="H1253" i="48"/>
  <c r="H1279" i="48"/>
  <c r="H1247" i="48"/>
  <c r="H1241" i="48"/>
  <c r="M680" i="48"/>
  <c r="M780" i="48" s="1"/>
  <c r="M845" i="48" s="1"/>
  <c r="M924" i="48" s="1"/>
  <c r="L780" i="48"/>
  <c r="L845" i="48" s="1"/>
  <c r="L924" i="48" s="1"/>
  <c r="M704" i="48"/>
  <c r="M804" i="48" s="1"/>
  <c r="M869" i="48" s="1"/>
  <c r="M918" i="48" s="1"/>
  <c r="L804" i="48"/>
  <c r="L869" i="48" s="1"/>
  <c r="L918" i="48" s="1"/>
  <c r="K946" i="48"/>
  <c r="K949" i="48"/>
  <c r="K950" i="48"/>
  <c r="K947" i="48"/>
  <c r="K948" i="48"/>
  <c r="G1125" i="48"/>
  <c r="G1143" i="48" s="1"/>
  <c r="G1199" i="48" s="1"/>
  <c r="G1227" i="48" s="1"/>
  <c r="M1013" i="48"/>
  <c r="M1012" i="48"/>
  <c r="M1015" i="48"/>
  <c r="M1011" i="48"/>
  <c r="M1014" i="48"/>
  <c r="J1097" i="48"/>
  <c r="J1117" i="48" s="1"/>
  <c r="J1096" i="48"/>
  <c r="J1116" i="48" s="1"/>
  <c r="J1095" i="48"/>
  <c r="M786" i="48"/>
  <c r="M851" i="48" s="1"/>
  <c r="M930" i="48" s="1"/>
  <c r="T160" i="73"/>
  <c r="T156" i="73"/>
  <c r="J285" i="51" l="1"/>
  <c r="J295" i="51"/>
  <c r="J412" i="51"/>
  <c r="J429" i="51" s="1"/>
  <c r="J465" i="51" s="1"/>
  <c r="J294" i="51"/>
  <c r="S215" i="73"/>
  <c r="S264" i="73" s="1"/>
  <c r="I563" i="51"/>
  <c r="I594" i="51" s="1"/>
  <c r="I583" i="51"/>
  <c r="Q217" i="73"/>
  <c r="Q218" i="73" s="1"/>
  <c r="Q219" i="73" s="1"/>
  <c r="J291" i="51"/>
  <c r="J321" i="51" s="1"/>
  <c r="J288" i="51"/>
  <c r="J318" i="51" s="1"/>
  <c r="J363" i="51"/>
  <c r="J380" i="51" s="1"/>
  <c r="J473" i="51" s="1"/>
  <c r="J360" i="51"/>
  <c r="J377" i="51" s="1"/>
  <c r="J462" i="51" s="1"/>
  <c r="J359" i="51"/>
  <c r="J376" i="51" s="1"/>
  <c r="J471" i="51" s="1"/>
  <c r="J414" i="51"/>
  <c r="J431" i="51" s="1"/>
  <c r="J466" i="51" s="1"/>
  <c r="J287" i="51"/>
  <c r="J317" i="51" s="1"/>
  <c r="R217" i="73"/>
  <c r="R218" i="73" s="1"/>
  <c r="R219" i="73" s="1"/>
  <c r="J362" i="51"/>
  <c r="J379" i="51" s="1"/>
  <c r="J487" i="51" s="1"/>
  <c r="J289" i="51"/>
  <c r="J319" i="51" s="1"/>
  <c r="J415" i="51"/>
  <c r="J432" i="51" s="1"/>
  <c r="J478" i="51" s="1"/>
  <c r="J365" i="51"/>
  <c r="J382" i="51" s="1"/>
  <c r="J505" i="51" s="1"/>
  <c r="J516" i="51" s="1"/>
  <c r="J526" i="51" s="1"/>
  <c r="J582" i="51" s="1"/>
  <c r="J284" i="51"/>
  <c r="J358" i="51"/>
  <c r="J375" i="51" s="1"/>
  <c r="J461" i="51" s="1"/>
  <c r="J413" i="51"/>
  <c r="J430" i="51" s="1"/>
  <c r="J477" i="51" s="1"/>
  <c r="Q255" i="74"/>
  <c r="R240" i="74"/>
  <c r="T163" i="73"/>
  <c r="T164" i="73" s="1"/>
  <c r="T215" i="73" s="1"/>
  <c r="R267" i="73"/>
  <c r="R275" i="73" s="1"/>
  <c r="R279" i="73" s="1"/>
  <c r="R284" i="73" s="1"/>
  <c r="H39" i="76" s="1"/>
  <c r="H102" i="76" s="1"/>
  <c r="H195" i="47" s="1"/>
  <c r="U29" i="47" s="1"/>
  <c r="U59" i="47" s="1"/>
  <c r="G1131" i="48"/>
  <c r="H1108" i="48"/>
  <c r="H1109" i="48" s="1"/>
  <c r="I561" i="51"/>
  <c r="I592" i="51" s="1"/>
  <c r="J472" i="51"/>
  <c r="J486" i="51"/>
  <c r="J467" i="51"/>
  <c r="J496" i="51"/>
  <c r="J497" i="51"/>
  <c r="J479" i="51"/>
  <c r="U161" i="73"/>
  <c r="U157" i="73"/>
  <c r="F1136" i="48"/>
  <c r="F1147" i="48" s="1"/>
  <c r="F1148" i="48" s="1"/>
  <c r="V162" i="73"/>
  <c r="V158" i="73"/>
  <c r="K1099" i="48"/>
  <c r="K1119" i="48" s="1"/>
  <c r="K1097" i="48"/>
  <c r="K1117" i="48" s="1"/>
  <c r="K1127" i="48" s="1"/>
  <c r="K1145" i="48" s="1"/>
  <c r="K1201" i="48" s="1"/>
  <c r="K1229" i="48" s="1"/>
  <c r="K1095" i="48"/>
  <c r="K1106" i="48" s="1"/>
  <c r="I1135" i="48"/>
  <c r="M984" i="48"/>
  <c r="M983" i="48"/>
  <c r="M985" i="48"/>
  <c r="M982" i="48"/>
  <c r="M981" i="48"/>
  <c r="M1057" i="48"/>
  <c r="M1060" i="48"/>
  <c r="M1056" i="48"/>
  <c r="M1059" i="48"/>
  <c r="M1058" i="48"/>
  <c r="M959" i="48"/>
  <c r="M956" i="48"/>
  <c r="M957" i="48"/>
  <c r="M958" i="48"/>
  <c r="M960" i="48"/>
  <c r="M1053" i="48"/>
  <c r="M1051" i="48"/>
  <c r="M1052" i="48"/>
  <c r="M1055" i="48"/>
  <c r="M1054" i="48"/>
  <c r="J1126" i="48"/>
  <c r="J1144" i="48" s="1"/>
  <c r="J1200" i="48" s="1"/>
  <c r="J1228" i="48" s="1"/>
  <c r="L995" i="48"/>
  <c r="L994" i="48"/>
  <c r="L993" i="48"/>
  <c r="L991" i="48"/>
  <c r="L992" i="48"/>
  <c r="L1023" i="48"/>
  <c r="L1025" i="48"/>
  <c r="L1024" i="48"/>
  <c r="L1021" i="48"/>
  <c r="L1022" i="48"/>
  <c r="L973" i="48"/>
  <c r="L972" i="48"/>
  <c r="L975" i="48"/>
  <c r="L971" i="48"/>
  <c r="L974" i="48"/>
  <c r="L967" i="48"/>
  <c r="L966" i="48"/>
  <c r="L968" i="48"/>
  <c r="L970" i="48"/>
  <c r="L969" i="48"/>
  <c r="I1240" i="48"/>
  <c r="I1252" i="48"/>
  <c r="I1246" i="48"/>
  <c r="I1107" i="48"/>
  <c r="I1115" i="48" s="1"/>
  <c r="I1114" i="48"/>
  <c r="M1043" i="48"/>
  <c r="M1045" i="48"/>
  <c r="M1044" i="48"/>
  <c r="M1041" i="48"/>
  <c r="M1042" i="48"/>
  <c r="K1098" i="48"/>
  <c r="K1118" i="48" s="1"/>
  <c r="M782" i="48"/>
  <c r="M847" i="48" s="1"/>
  <c r="M926" i="48" s="1"/>
  <c r="M795" i="48"/>
  <c r="M860" i="48" s="1"/>
  <c r="M909" i="48" s="1"/>
  <c r="I1279" i="48"/>
  <c r="I1253" i="48"/>
  <c r="I1247" i="48"/>
  <c r="I1241" i="48"/>
  <c r="M977" i="48"/>
  <c r="M978" i="48"/>
  <c r="M979" i="48"/>
  <c r="M980" i="48"/>
  <c r="M976" i="48"/>
  <c r="M945" i="48"/>
  <c r="M941" i="48"/>
  <c r="M942" i="48"/>
  <c r="M944" i="48"/>
  <c r="M943" i="48"/>
  <c r="M1085" i="48"/>
  <c r="M1084" i="48"/>
  <c r="M1083" i="48"/>
  <c r="M1082" i="48"/>
  <c r="M1081" i="48"/>
  <c r="M798" i="48"/>
  <c r="M863" i="48" s="1"/>
  <c r="M912" i="48" s="1"/>
  <c r="J1106" i="48"/>
  <c r="J1100" i="48"/>
  <c r="J1127" i="48"/>
  <c r="J1145" i="48" s="1"/>
  <c r="J1201" i="48" s="1"/>
  <c r="J1229" i="48" s="1"/>
  <c r="G1132" i="48"/>
  <c r="M994" i="48"/>
  <c r="M993" i="48"/>
  <c r="M991" i="48"/>
  <c r="M992" i="48"/>
  <c r="M995" i="48"/>
  <c r="M1025" i="48"/>
  <c r="M1023" i="48"/>
  <c r="M1024" i="48"/>
  <c r="M1021" i="48"/>
  <c r="M1022" i="48"/>
  <c r="M973" i="48"/>
  <c r="M971" i="48"/>
  <c r="M975" i="48"/>
  <c r="M972" i="48"/>
  <c r="M974" i="48"/>
  <c r="M970" i="48"/>
  <c r="M969" i="48"/>
  <c r="M968" i="48"/>
  <c r="M967" i="48"/>
  <c r="M966" i="48"/>
  <c r="I1134" i="48"/>
  <c r="K1096" i="48"/>
  <c r="K1116" i="48" s="1"/>
  <c r="L1034" i="48"/>
  <c r="L1035" i="48"/>
  <c r="L1031" i="48"/>
  <c r="L1032" i="48"/>
  <c r="L1033" i="48"/>
  <c r="J1128" i="48"/>
  <c r="J1146" i="48" s="1"/>
  <c r="J1202" i="48" s="1"/>
  <c r="J1230" i="48" s="1"/>
  <c r="G1198" i="48"/>
  <c r="L949" i="48"/>
  <c r="L946" i="48"/>
  <c r="L947" i="48"/>
  <c r="L950" i="48"/>
  <c r="L948" i="48"/>
  <c r="H1124" i="48"/>
  <c r="H1142" i="48" s="1"/>
  <c r="H1120" i="48"/>
  <c r="H1125" i="48"/>
  <c r="H1143" i="48" s="1"/>
  <c r="H1199" i="48" s="1"/>
  <c r="H1227" i="48" s="1"/>
  <c r="I1133" i="48"/>
  <c r="L979" i="48"/>
  <c r="L978" i="48"/>
  <c r="L977" i="48"/>
  <c r="L976" i="48"/>
  <c r="L980" i="48"/>
  <c r="L942" i="48"/>
  <c r="L941" i="48"/>
  <c r="L944" i="48"/>
  <c r="L945" i="48"/>
  <c r="L943" i="48"/>
  <c r="F1226" i="48"/>
  <c r="L964" i="48"/>
  <c r="L963" i="48"/>
  <c r="L965" i="48"/>
  <c r="L962" i="48"/>
  <c r="L961" i="48"/>
  <c r="I1254" i="48"/>
  <c r="I1278" i="48"/>
  <c r="I1248" i="48"/>
  <c r="I1242" i="48"/>
  <c r="U156" i="73"/>
  <c r="U160" i="73"/>
  <c r="J315" i="51" l="1"/>
  <c r="S216" i="73"/>
  <c r="S265" i="73" s="1"/>
  <c r="S267" i="73" s="1"/>
  <c r="S275" i="73" s="1"/>
  <c r="S279" i="73" s="1"/>
  <c r="S284" i="73" s="1"/>
  <c r="J314" i="51"/>
  <c r="J494" i="51"/>
  <c r="J488" i="51"/>
  <c r="G1136" i="48"/>
  <c r="G1147" i="48" s="1"/>
  <c r="G1148" i="48" s="1"/>
  <c r="J485" i="51"/>
  <c r="F1203" i="48"/>
  <c r="F1231" i="48" s="1"/>
  <c r="F1275" i="48" s="1"/>
  <c r="J463" i="51"/>
  <c r="J513" i="51" s="1"/>
  <c r="J523" i="51" s="1"/>
  <c r="J495" i="51"/>
  <c r="J449" i="51"/>
  <c r="J531" i="51" s="1"/>
  <c r="J450" i="51"/>
  <c r="J532" i="51" s="1"/>
  <c r="J576" i="51" s="1"/>
  <c r="I565" i="51"/>
  <c r="I595" i="51" s="1"/>
  <c r="I200" i="47" s="1"/>
  <c r="V34" i="47" s="1"/>
  <c r="T264" i="73"/>
  <c r="T216" i="73"/>
  <c r="T217" i="73" s="1"/>
  <c r="T218" i="73" s="1"/>
  <c r="T219" i="73" s="1"/>
  <c r="T177" i="73"/>
  <c r="T178" i="73" s="1"/>
  <c r="T179" i="73" s="1"/>
  <c r="T180" i="73" s="1"/>
  <c r="T182" i="73" s="1"/>
  <c r="S240" i="74"/>
  <c r="R255" i="74"/>
  <c r="U163" i="73"/>
  <c r="U164" i="73" s="1"/>
  <c r="U177" i="73" s="1"/>
  <c r="U178" i="73" s="1"/>
  <c r="U179" i="73" s="1"/>
  <c r="U180" i="73" s="1"/>
  <c r="U182" i="73" s="1"/>
  <c r="L1099" i="48"/>
  <c r="L1119" i="48" s="1"/>
  <c r="J514" i="51"/>
  <c r="J524" i="51" s="1"/>
  <c r="J557" i="51" s="1"/>
  <c r="V157" i="73"/>
  <c r="V161" i="73"/>
  <c r="J1133" i="48"/>
  <c r="W162" i="73"/>
  <c r="W158" i="73"/>
  <c r="L1095" i="48"/>
  <c r="L1106" i="48" s="1"/>
  <c r="J1135" i="48"/>
  <c r="H1131" i="48"/>
  <c r="M948" i="48"/>
  <c r="M947" i="48"/>
  <c r="M949" i="48"/>
  <c r="M950" i="48"/>
  <c r="M946" i="48"/>
  <c r="M1031" i="48"/>
  <c r="M1032" i="48"/>
  <c r="M1035" i="48"/>
  <c r="M1034" i="48"/>
  <c r="M1033" i="48"/>
  <c r="F1251" i="48"/>
  <c r="F1258" i="48" s="1"/>
  <c r="F1276" i="48"/>
  <c r="F1239" i="48"/>
  <c r="F1256" i="48" s="1"/>
  <c r="F1245" i="48"/>
  <c r="F1257" i="48" s="1"/>
  <c r="J1252" i="48"/>
  <c r="J1240" i="48"/>
  <c r="J1246" i="48"/>
  <c r="M961" i="48"/>
  <c r="M965" i="48"/>
  <c r="M962" i="48"/>
  <c r="M964" i="48"/>
  <c r="M963" i="48"/>
  <c r="K1128" i="48"/>
  <c r="K1146" i="48" s="1"/>
  <c r="K1202" i="48" s="1"/>
  <c r="K1230" i="48" s="1"/>
  <c r="K1240" i="48"/>
  <c r="K1252" i="48"/>
  <c r="K1246" i="48"/>
  <c r="I1124" i="48"/>
  <c r="I1142" i="48" s="1"/>
  <c r="I1120" i="48"/>
  <c r="I1125" i="48"/>
  <c r="I1143" i="48" s="1"/>
  <c r="I1199" i="48" s="1"/>
  <c r="I1227" i="48" s="1"/>
  <c r="K1100" i="48"/>
  <c r="L1097" i="48"/>
  <c r="L1117" i="48" s="1"/>
  <c r="L1098" i="48"/>
  <c r="L1118" i="48" s="1"/>
  <c r="L1096" i="48"/>
  <c r="L1116" i="48" s="1"/>
  <c r="H1132" i="48"/>
  <c r="H1198" i="48"/>
  <c r="G1226" i="48"/>
  <c r="J1254" i="48"/>
  <c r="J1242" i="48"/>
  <c r="J1248" i="48"/>
  <c r="J1278" i="48"/>
  <c r="K1126" i="48"/>
  <c r="K1144" i="48" s="1"/>
  <c r="K1200" i="48" s="1"/>
  <c r="K1228" i="48" s="1"/>
  <c r="J1134" i="48"/>
  <c r="J1107" i="48"/>
  <c r="J1115" i="48" s="1"/>
  <c r="J1114" i="48"/>
  <c r="K1134" i="48"/>
  <c r="I1108" i="48"/>
  <c r="I1109" i="48" s="1"/>
  <c r="J1247" i="48"/>
  <c r="J1241" i="48"/>
  <c r="J1253" i="48"/>
  <c r="J1279" i="48"/>
  <c r="K1107" i="48"/>
  <c r="K1115" i="48" s="1"/>
  <c r="K1114" i="48"/>
  <c r="S217" i="73"/>
  <c r="S218" i="73" s="1"/>
  <c r="S219" i="73" s="1"/>
  <c r="V160" i="73"/>
  <c r="V156" i="73"/>
  <c r="J322" i="51" l="1"/>
  <c r="K274" i="51" s="1"/>
  <c r="K284" i="51" s="1"/>
  <c r="G1203" i="48"/>
  <c r="G1231" i="48" s="1"/>
  <c r="G1275" i="48" s="1"/>
  <c r="U215" i="73"/>
  <c r="U264" i="73" s="1"/>
  <c r="J515" i="51"/>
  <c r="J525" i="51" s="1"/>
  <c r="J581" i="51" s="1"/>
  <c r="F1232" i="48"/>
  <c r="F1223" i="48"/>
  <c r="F1269" i="48"/>
  <c r="F1280" i="48" s="1"/>
  <c r="T265" i="73"/>
  <c r="T267" i="73" s="1"/>
  <c r="T275" i="73" s="1"/>
  <c r="T279" i="73" s="1"/>
  <c r="T284" i="73" s="1"/>
  <c r="J536" i="51"/>
  <c r="J575" i="51"/>
  <c r="J1108" i="48"/>
  <c r="J1109" i="48" s="1"/>
  <c r="K1133" i="48"/>
  <c r="M1098" i="48"/>
  <c r="M1118" i="48" s="1"/>
  <c r="M1128" i="48" s="1"/>
  <c r="M1146" i="48" s="1"/>
  <c r="M1202" i="48" s="1"/>
  <c r="M1230" i="48" s="1"/>
  <c r="H1136" i="48"/>
  <c r="H1147" i="48" s="1"/>
  <c r="H1148" i="48" s="1"/>
  <c r="S255" i="74"/>
  <c r="T240" i="74"/>
  <c r="I1132" i="48"/>
  <c r="J551" i="51"/>
  <c r="J545" i="51"/>
  <c r="J556" i="51"/>
  <c r="J563" i="51" s="1"/>
  <c r="J594" i="51" s="1"/>
  <c r="J544" i="51"/>
  <c r="J550" i="51"/>
  <c r="J580" i="51"/>
  <c r="X162" i="73"/>
  <c r="X158" i="73"/>
  <c r="V163" i="73"/>
  <c r="V164" i="73" s="1"/>
  <c r="V215" i="73" s="1"/>
  <c r="V264" i="73" s="1"/>
  <c r="K1108" i="48"/>
  <c r="K1109" i="48" s="1"/>
  <c r="I1131" i="48"/>
  <c r="M1096" i="48"/>
  <c r="M1116" i="48" s="1"/>
  <c r="M1126" i="48" s="1"/>
  <c r="M1144" i="48" s="1"/>
  <c r="M1200" i="48" s="1"/>
  <c r="M1228" i="48" s="1"/>
  <c r="W161" i="73"/>
  <c r="W157" i="73"/>
  <c r="M1099" i="48"/>
  <c r="M1119" i="48" s="1"/>
  <c r="F1260" i="48"/>
  <c r="F1288" i="48" s="1"/>
  <c r="F197" i="47" s="1"/>
  <c r="S31" i="47" s="1"/>
  <c r="M1095" i="48"/>
  <c r="M1106" i="48" s="1"/>
  <c r="M1097" i="48"/>
  <c r="M1117" i="48" s="1"/>
  <c r="M1127" i="48" s="1"/>
  <c r="M1145" i="48" s="1"/>
  <c r="M1201" i="48" s="1"/>
  <c r="M1229" i="48" s="1"/>
  <c r="K1124" i="48"/>
  <c r="K1142" i="48" s="1"/>
  <c r="K1120" i="48"/>
  <c r="J1125" i="48"/>
  <c r="J1143" i="48" s="1"/>
  <c r="J1199" i="48" s="1"/>
  <c r="J1227" i="48" s="1"/>
  <c r="G1239" i="48"/>
  <c r="G1256" i="48" s="1"/>
  <c r="G1251" i="48"/>
  <c r="G1258" i="48" s="1"/>
  <c r="G1245" i="48"/>
  <c r="G1257" i="48" s="1"/>
  <c r="G1276" i="48"/>
  <c r="H1226" i="48"/>
  <c r="L1126" i="48"/>
  <c r="L1144" i="48" s="1"/>
  <c r="L1200" i="48" s="1"/>
  <c r="L1228" i="48" s="1"/>
  <c r="L1127" i="48"/>
  <c r="L1145" i="48" s="1"/>
  <c r="L1201" i="48" s="1"/>
  <c r="L1229" i="48" s="1"/>
  <c r="I1198" i="48"/>
  <c r="K1278" i="48"/>
  <c r="K1254" i="48"/>
  <c r="K1242" i="48"/>
  <c r="K1248" i="48"/>
  <c r="L1114" i="48"/>
  <c r="L1107" i="48"/>
  <c r="L1115" i="48" s="1"/>
  <c r="K1125" i="48"/>
  <c r="K1143" i="48" s="1"/>
  <c r="K1199" i="48" s="1"/>
  <c r="K1227" i="48" s="1"/>
  <c r="J1120" i="48"/>
  <c r="J1124" i="48"/>
  <c r="J1142" i="48" s="1"/>
  <c r="K1247" i="48"/>
  <c r="K1253" i="48"/>
  <c r="K1241" i="48"/>
  <c r="K1279" i="48"/>
  <c r="L1128" i="48"/>
  <c r="L1146" i="48" s="1"/>
  <c r="L1202" i="48" s="1"/>
  <c r="L1230" i="48" s="1"/>
  <c r="K1135" i="48"/>
  <c r="L1100" i="48"/>
  <c r="W156" i="73"/>
  <c r="W160" i="73"/>
  <c r="K275" i="51" l="1"/>
  <c r="K285" i="51" s="1"/>
  <c r="K358" i="51"/>
  <c r="K375" i="51" s="1"/>
  <c r="K461" i="51" s="1"/>
  <c r="K279" i="51"/>
  <c r="K289" i="51" s="1"/>
  <c r="K319" i="51" s="1"/>
  <c r="K276" i="51"/>
  <c r="K360" i="51" s="1"/>
  <c r="K377" i="51" s="1"/>
  <c r="K462" i="51" s="1"/>
  <c r="K277" i="51"/>
  <c r="K361" i="51" s="1"/>
  <c r="K378" i="51" s="1"/>
  <c r="K486" i="51" s="1"/>
  <c r="K412" i="51"/>
  <c r="K429" i="51" s="1"/>
  <c r="K465" i="51" s="1"/>
  <c r="K280" i="51"/>
  <c r="K290" i="51" s="1"/>
  <c r="K320" i="51" s="1"/>
  <c r="K278" i="51"/>
  <c r="K288" i="51" s="1"/>
  <c r="K318" i="51" s="1"/>
  <c r="K281" i="51"/>
  <c r="K291" i="51" s="1"/>
  <c r="K321" i="51" s="1"/>
  <c r="G1232" i="48"/>
  <c r="G1269" i="48"/>
  <c r="G1223" i="48"/>
  <c r="U216" i="73"/>
  <c r="U217" i="73" s="1"/>
  <c r="U218" i="73" s="1"/>
  <c r="U219" i="73" s="1"/>
  <c r="J528" i="51"/>
  <c r="J518" i="51"/>
  <c r="J583" i="51"/>
  <c r="V177" i="73"/>
  <c r="V178" i="73" s="1"/>
  <c r="V179" i="73" s="1"/>
  <c r="V180" i="73" s="1"/>
  <c r="V182" i="73" s="1"/>
  <c r="W163" i="73"/>
  <c r="W164" i="73" s="1"/>
  <c r="W177" i="73" s="1"/>
  <c r="W178" i="73" s="1"/>
  <c r="W179" i="73" s="1"/>
  <c r="W180" i="73" s="1"/>
  <c r="W182" i="73" s="1"/>
  <c r="H1203" i="48"/>
  <c r="H1231" i="48" s="1"/>
  <c r="H1275" i="48" s="1"/>
  <c r="I1136" i="48"/>
  <c r="I1147" i="48" s="1"/>
  <c r="I1203" i="48" s="1"/>
  <c r="I1231" i="48" s="1"/>
  <c r="I1275" i="48" s="1"/>
  <c r="L1108" i="48"/>
  <c r="L1109" i="48" s="1"/>
  <c r="M1100" i="48"/>
  <c r="T255" i="74"/>
  <c r="U240" i="74"/>
  <c r="J562" i="51"/>
  <c r="J593" i="51" s="1"/>
  <c r="J561" i="51"/>
  <c r="J592" i="51" s="1"/>
  <c r="X157" i="73"/>
  <c r="X161" i="73"/>
  <c r="Y158" i="73"/>
  <c r="Y162" i="73"/>
  <c r="V216" i="73"/>
  <c r="V217" i="73" s="1"/>
  <c r="V218" i="73" s="1"/>
  <c r="V219" i="73" s="1"/>
  <c r="K1131" i="48"/>
  <c r="J1131" i="48"/>
  <c r="L1134" i="48"/>
  <c r="L1133" i="48"/>
  <c r="J1132" i="48"/>
  <c r="M1133" i="48"/>
  <c r="L1278" i="48"/>
  <c r="L1242" i="48"/>
  <c r="L1248" i="48"/>
  <c r="L1254" i="48"/>
  <c r="L1124" i="48"/>
  <c r="L1142" i="48" s="1"/>
  <c r="L1120" i="48"/>
  <c r="M1248" i="48"/>
  <c r="M1278" i="48"/>
  <c r="M1254" i="48"/>
  <c r="M1242" i="48"/>
  <c r="I1226" i="48"/>
  <c r="K1198" i="48"/>
  <c r="M1240" i="48"/>
  <c r="M1246" i="48"/>
  <c r="M1252" i="48"/>
  <c r="L1135" i="48"/>
  <c r="J1198" i="48"/>
  <c r="K1132" i="48"/>
  <c r="L1125" i="48"/>
  <c r="L1143" i="48" s="1"/>
  <c r="L1199" i="48" s="1"/>
  <c r="L1227" i="48" s="1"/>
  <c r="M1135" i="48"/>
  <c r="L1252" i="48"/>
  <c r="L1246" i="48"/>
  <c r="L1240" i="48"/>
  <c r="L1247" i="48"/>
  <c r="L1241" i="48"/>
  <c r="L1279" i="48"/>
  <c r="L1253" i="48"/>
  <c r="H1239" i="48"/>
  <c r="H1256" i="48" s="1"/>
  <c r="H1251" i="48"/>
  <c r="H1258" i="48" s="1"/>
  <c r="H1245" i="48"/>
  <c r="H1257" i="48" s="1"/>
  <c r="H1276" i="48"/>
  <c r="G1260" i="48"/>
  <c r="G1288" i="48" s="1"/>
  <c r="G197" i="47" s="1"/>
  <c r="T31" i="47" s="1"/>
  <c r="M1253" i="48"/>
  <c r="M1279" i="48"/>
  <c r="M1247" i="48"/>
  <c r="M1241" i="48"/>
  <c r="M1134" i="48"/>
  <c r="M1114" i="48"/>
  <c r="M1107" i="48"/>
  <c r="M1115" i="48" s="1"/>
  <c r="X160" i="73"/>
  <c r="X156" i="73"/>
  <c r="G1280" i="48" l="1"/>
  <c r="K413" i="51"/>
  <c r="K430" i="51" s="1"/>
  <c r="K477" i="51" s="1"/>
  <c r="K485" i="51"/>
  <c r="K417" i="51"/>
  <c r="K434" i="51" s="1"/>
  <c r="K497" i="51" s="1"/>
  <c r="K295" i="51"/>
  <c r="K315" i="51" s="1"/>
  <c r="K419" i="51"/>
  <c r="K436" i="51" s="1"/>
  <c r="K508" i="51" s="1"/>
  <c r="K359" i="51"/>
  <c r="K376" i="51" s="1"/>
  <c r="K471" i="51" s="1"/>
  <c r="K294" i="51"/>
  <c r="K314" i="51" s="1"/>
  <c r="K363" i="51"/>
  <c r="K380" i="51" s="1"/>
  <c r="K488" i="51" s="1"/>
  <c r="K472" i="51"/>
  <c r="K415" i="51"/>
  <c r="K432" i="51" s="1"/>
  <c r="K478" i="51" s="1"/>
  <c r="K286" i="51"/>
  <c r="K316" i="51" s="1"/>
  <c r="K414" i="51"/>
  <c r="K431" i="51" s="1"/>
  <c r="K466" i="51" s="1"/>
  <c r="K365" i="51"/>
  <c r="K382" i="51" s="1"/>
  <c r="K505" i="51" s="1"/>
  <c r="K516" i="51" s="1"/>
  <c r="K526" i="51" s="1"/>
  <c r="K582" i="51" s="1"/>
  <c r="K418" i="51"/>
  <c r="K435" i="51" s="1"/>
  <c r="K498" i="51" s="1"/>
  <c r="K287" i="51"/>
  <c r="K317" i="51" s="1"/>
  <c r="K364" i="51"/>
  <c r="K381" i="51" s="1"/>
  <c r="K489" i="51" s="1"/>
  <c r="K416" i="51"/>
  <c r="K433" i="51" s="1"/>
  <c r="K496" i="51" s="1"/>
  <c r="K362" i="51"/>
  <c r="K379" i="51" s="1"/>
  <c r="K487" i="51" s="1"/>
  <c r="U265" i="73"/>
  <c r="U267" i="73" s="1"/>
  <c r="U275" i="73" s="1"/>
  <c r="U279" i="73" s="1"/>
  <c r="U284" i="73" s="1"/>
  <c r="I1148" i="48"/>
  <c r="W215" i="73"/>
  <c r="W264" i="73" s="1"/>
  <c r="V265" i="73"/>
  <c r="V267" i="73" s="1"/>
  <c r="V275" i="73" s="1"/>
  <c r="V279" i="73" s="1"/>
  <c r="V284" i="73" s="1"/>
  <c r="K1136" i="48"/>
  <c r="K1147" i="48" s="1"/>
  <c r="K1203" i="48" s="1"/>
  <c r="K1231" i="48" s="1"/>
  <c r="K1275" i="48" s="1"/>
  <c r="I1269" i="48"/>
  <c r="X163" i="73"/>
  <c r="X164" i="73" s="1"/>
  <c r="X177" i="73" s="1"/>
  <c r="X178" i="73" s="1"/>
  <c r="X179" i="73" s="1"/>
  <c r="X180" i="73" s="1"/>
  <c r="X182" i="73" s="1"/>
  <c r="H1232" i="48"/>
  <c r="H1269" i="48"/>
  <c r="H1223" i="48"/>
  <c r="I1223" i="48"/>
  <c r="U255" i="74"/>
  <c r="V240" i="74"/>
  <c r="L1131" i="48"/>
  <c r="J565" i="51"/>
  <c r="J595" i="51" s="1"/>
  <c r="J200" i="47" s="1"/>
  <c r="W34" i="47" s="1"/>
  <c r="L1132" i="48"/>
  <c r="Z162" i="73"/>
  <c r="Z158" i="73"/>
  <c r="M1108" i="48"/>
  <c r="M1109" i="48" s="1"/>
  <c r="Y157" i="73"/>
  <c r="Y161" i="73"/>
  <c r="J1136" i="48"/>
  <c r="J1147" i="48" s="1"/>
  <c r="M1120" i="48"/>
  <c r="M1124" i="48"/>
  <c r="M1142" i="48" s="1"/>
  <c r="J1226" i="48"/>
  <c r="L1198" i="48"/>
  <c r="M1125" i="48"/>
  <c r="M1143" i="48" s="1"/>
  <c r="M1199" i="48" s="1"/>
  <c r="M1227" i="48" s="1"/>
  <c r="H1260" i="48"/>
  <c r="H1288" i="48" s="1"/>
  <c r="H197" i="47" s="1"/>
  <c r="U31" i="47" s="1"/>
  <c r="K1226" i="48"/>
  <c r="I1239" i="48"/>
  <c r="I1256" i="48" s="1"/>
  <c r="I1251" i="48"/>
  <c r="I1258" i="48" s="1"/>
  <c r="I1232" i="48"/>
  <c r="I1245" i="48"/>
  <c r="I1257" i="48" s="1"/>
  <c r="I1276" i="48"/>
  <c r="Y156" i="73"/>
  <c r="Y160" i="73"/>
  <c r="K463" i="51" l="1"/>
  <c r="K322" i="51"/>
  <c r="L274" i="51" s="1"/>
  <c r="K479" i="51"/>
  <c r="K495" i="51"/>
  <c r="K473" i="51"/>
  <c r="K494" i="51"/>
  <c r="K450" i="51"/>
  <c r="K532" i="51" s="1"/>
  <c r="K576" i="51" s="1"/>
  <c r="K449" i="51"/>
  <c r="K531" i="51" s="1"/>
  <c r="K575" i="51" s="1"/>
  <c r="K467" i="51"/>
  <c r="Y163" i="73"/>
  <c r="Y164" i="73" s="1"/>
  <c r="Y177" i="73" s="1"/>
  <c r="Y178" i="73" s="1"/>
  <c r="Y179" i="73" s="1"/>
  <c r="Y180" i="73" s="1"/>
  <c r="Y182" i="73" s="1"/>
  <c r="X215" i="73"/>
  <c r="X264" i="73" s="1"/>
  <c r="W216" i="73"/>
  <c r="I1280" i="48"/>
  <c r="K1148" i="48"/>
  <c r="L1136" i="48"/>
  <c r="L1147" i="48" s="1"/>
  <c r="L1203" i="48" s="1"/>
  <c r="L1231" i="48" s="1"/>
  <c r="L1275" i="48" s="1"/>
  <c r="H1280" i="48"/>
  <c r="W240" i="74"/>
  <c r="V255" i="74"/>
  <c r="K1223" i="48"/>
  <c r="K1269" i="48"/>
  <c r="Z157" i="73"/>
  <c r="Z161" i="73"/>
  <c r="AA162" i="73"/>
  <c r="AA158" i="73"/>
  <c r="J1203" i="48"/>
  <c r="J1148" i="48"/>
  <c r="M1132" i="48"/>
  <c r="M1131" i="48"/>
  <c r="J1251" i="48"/>
  <c r="J1258" i="48" s="1"/>
  <c r="J1245" i="48"/>
  <c r="J1257" i="48" s="1"/>
  <c r="J1239" i="48"/>
  <c r="J1256" i="48" s="1"/>
  <c r="J1276" i="48"/>
  <c r="I1260" i="48"/>
  <c r="I1288" i="48" s="1"/>
  <c r="I197" i="47" s="1"/>
  <c r="V31" i="47" s="1"/>
  <c r="K1245" i="48"/>
  <c r="K1257" i="48" s="1"/>
  <c r="K1251" i="48"/>
  <c r="K1258" i="48" s="1"/>
  <c r="K1276" i="48"/>
  <c r="K1239" i="48"/>
  <c r="K1256" i="48" s="1"/>
  <c r="K1232" i="48"/>
  <c r="L1226" i="48"/>
  <c r="M1198" i="48"/>
  <c r="Z160" i="73"/>
  <c r="Z156" i="73"/>
  <c r="Y215" i="73" l="1"/>
  <c r="Y264" i="73" s="1"/>
  <c r="L275" i="51"/>
  <c r="L285" i="51" s="1"/>
  <c r="L279" i="51"/>
  <c r="L289" i="51" s="1"/>
  <c r="L319" i="51" s="1"/>
  <c r="K513" i="51"/>
  <c r="K523" i="51" s="1"/>
  <c r="K556" i="51" s="1"/>
  <c r="K514" i="51"/>
  <c r="K524" i="51" s="1"/>
  <c r="K557" i="51" s="1"/>
  <c r="L277" i="51"/>
  <c r="L287" i="51" s="1"/>
  <c r="L317" i="51" s="1"/>
  <c r="L276" i="51"/>
  <c r="L414" i="51" s="1"/>
  <c r="L431" i="51" s="1"/>
  <c r="L278" i="51"/>
  <c r="L288" i="51" s="1"/>
  <c r="L318" i="51" s="1"/>
  <c r="L281" i="51"/>
  <c r="L419" i="51" s="1"/>
  <c r="L436" i="51" s="1"/>
  <c r="L508" i="51" s="1"/>
  <c r="L280" i="51"/>
  <c r="L364" i="51" s="1"/>
  <c r="L381" i="51" s="1"/>
  <c r="L489" i="51" s="1"/>
  <c r="K515" i="51"/>
  <c r="K525" i="51" s="1"/>
  <c r="K581" i="51" s="1"/>
  <c r="K536" i="51"/>
  <c r="X216" i="73"/>
  <c r="X265" i="73" s="1"/>
  <c r="X267" i="73" s="1"/>
  <c r="X275" i="73" s="1"/>
  <c r="X279" i="73" s="1"/>
  <c r="X284" i="73" s="1"/>
  <c r="W217" i="73"/>
  <c r="W218" i="73" s="1"/>
  <c r="W219" i="73" s="1"/>
  <c r="W265" i="73"/>
  <c r="W267" i="73" s="1"/>
  <c r="W275" i="73" s="1"/>
  <c r="W279" i="73" s="1"/>
  <c r="W284" i="73" s="1"/>
  <c r="I39" i="76" s="1"/>
  <c r="I102" i="76" s="1"/>
  <c r="I195" i="47" s="1"/>
  <c r="V29" i="47" s="1"/>
  <c r="V59" i="47" s="1"/>
  <c r="Z163" i="73"/>
  <c r="Z164" i="73" s="1"/>
  <c r="Z177" i="73" s="1"/>
  <c r="Z178" i="73" s="1"/>
  <c r="Z179" i="73" s="1"/>
  <c r="Z180" i="73" s="1"/>
  <c r="Z182" i="73" s="1"/>
  <c r="L1269" i="48"/>
  <c r="L1223" i="48"/>
  <c r="L1148" i="48"/>
  <c r="J1260" i="48"/>
  <c r="J1288" i="48" s="1"/>
  <c r="J197" i="47" s="1"/>
  <c r="W31" i="47" s="1"/>
  <c r="M1136" i="48"/>
  <c r="M1147" i="48" s="1"/>
  <c r="M1203" i="48" s="1"/>
  <c r="M1231" i="48" s="1"/>
  <c r="M1275" i="48" s="1"/>
  <c r="W255" i="74"/>
  <c r="X240" i="74"/>
  <c r="L412" i="51"/>
  <c r="L429" i="51" s="1"/>
  <c r="L358" i="51"/>
  <c r="L375" i="51" s="1"/>
  <c r="L284" i="51"/>
  <c r="AB158" i="73"/>
  <c r="AB162" i="73"/>
  <c r="AA157" i="73"/>
  <c r="AA161" i="73"/>
  <c r="J1231" i="48"/>
  <c r="J1269" i="48"/>
  <c r="J1223" i="48"/>
  <c r="M1226" i="48"/>
  <c r="L1239" i="48"/>
  <c r="L1256" i="48" s="1"/>
  <c r="L1251" i="48"/>
  <c r="L1258" i="48" s="1"/>
  <c r="L1276" i="48"/>
  <c r="L1245" i="48"/>
  <c r="L1257" i="48" s="1"/>
  <c r="L1232" i="48"/>
  <c r="K1260" i="48"/>
  <c r="K1288" i="48" s="1"/>
  <c r="K197" i="47" s="1"/>
  <c r="X31" i="47" s="1"/>
  <c r="K1280" i="48"/>
  <c r="Y216" i="73"/>
  <c r="AA160" i="73"/>
  <c r="AA156" i="73"/>
  <c r="L417" i="51" l="1"/>
  <c r="L434" i="51" s="1"/>
  <c r="L359" i="51"/>
  <c r="L376" i="51" s="1"/>
  <c r="L471" i="51" s="1"/>
  <c r="L413" i="51"/>
  <c r="L430" i="51" s="1"/>
  <c r="L477" i="51" s="1"/>
  <c r="L363" i="51"/>
  <c r="L380" i="51" s="1"/>
  <c r="L488" i="51" s="1"/>
  <c r="L291" i="51"/>
  <c r="L321" i="51" s="1"/>
  <c r="K545" i="51"/>
  <c r="L295" i="51"/>
  <c r="L315" i="51" s="1"/>
  <c r="L294" i="51"/>
  <c r="L314" i="51" s="1"/>
  <c r="K563" i="51"/>
  <c r="K594" i="51" s="1"/>
  <c r="L360" i="51"/>
  <c r="L377" i="51" s="1"/>
  <c r="L462" i="51" s="1"/>
  <c r="L286" i="51"/>
  <c r="L316" i="51" s="1"/>
  <c r="K528" i="51"/>
  <c r="K580" i="51"/>
  <c r="K583" i="51" s="1"/>
  <c r="L365" i="51"/>
  <c r="L382" i="51" s="1"/>
  <c r="L505" i="51" s="1"/>
  <c r="L516" i="51" s="1"/>
  <c r="L526" i="51" s="1"/>
  <c r="L582" i="51" s="1"/>
  <c r="K551" i="51"/>
  <c r="K550" i="51"/>
  <c r="K544" i="51"/>
  <c r="L361" i="51"/>
  <c r="L378" i="51" s="1"/>
  <c r="L472" i="51" s="1"/>
  <c r="L362" i="51"/>
  <c r="L379" i="51" s="1"/>
  <c r="L487" i="51" s="1"/>
  <c r="L416" i="51"/>
  <c r="L433" i="51" s="1"/>
  <c r="L496" i="51" s="1"/>
  <c r="L418" i="51"/>
  <c r="L435" i="51" s="1"/>
  <c r="L498" i="51" s="1"/>
  <c r="L290" i="51"/>
  <c r="L320" i="51" s="1"/>
  <c r="L415" i="51"/>
  <c r="L432" i="51" s="1"/>
  <c r="L495" i="51" s="1"/>
  <c r="K518" i="51"/>
  <c r="Z215" i="73"/>
  <c r="Z264" i="73" s="1"/>
  <c r="X217" i="73"/>
  <c r="X218" i="73" s="1"/>
  <c r="X219" i="73" s="1"/>
  <c r="M1148" i="48"/>
  <c r="M1223" i="48"/>
  <c r="M1269" i="48"/>
  <c r="X255" i="74"/>
  <c r="Y240" i="74"/>
  <c r="AA163" i="73"/>
  <c r="AA164" i="73" s="1"/>
  <c r="AA215" i="73" s="1"/>
  <c r="AA264" i="73" s="1"/>
  <c r="L497" i="51"/>
  <c r="L479" i="51"/>
  <c r="L461" i="51"/>
  <c r="L465" i="51"/>
  <c r="L494" i="51"/>
  <c r="L466" i="51"/>
  <c r="AB157" i="73"/>
  <c r="AB161" i="73"/>
  <c r="AC158" i="73"/>
  <c r="AC162" i="73"/>
  <c r="J1275" i="48"/>
  <c r="J1232" i="48"/>
  <c r="L1260" i="48"/>
  <c r="L1288" i="48" s="1"/>
  <c r="L197" i="47" s="1"/>
  <c r="Y31" i="47" s="1"/>
  <c r="L1280" i="48"/>
  <c r="M1245" i="48"/>
  <c r="M1257" i="48" s="1"/>
  <c r="M1276" i="48"/>
  <c r="M1251" i="48"/>
  <c r="M1258" i="48" s="1"/>
  <c r="M1239" i="48"/>
  <c r="M1256" i="48" s="1"/>
  <c r="M1232" i="48"/>
  <c r="AB160" i="73"/>
  <c r="AB156" i="73"/>
  <c r="Y217" i="73"/>
  <c r="Y218" i="73" s="1"/>
  <c r="Y219" i="73" s="1"/>
  <c r="Y265" i="73"/>
  <c r="Y267" i="73" s="1"/>
  <c r="Y275" i="73" s="1"/>
  <c r="Y279" i="73" s="1"/>
  <c r="Y284" i="73" s="1"/>
  <c r="L473" i="51" l="1"/>
  <c r="K561" i="51"/>
  <c r="K592" i="51" s="1"/>
  <c r="L485" i="51"/>
  <c r="L486" i="51"/>
  <c r="L478" i="51"/>
  <c r="K562" i="51"/>
  <c r="K593" i="51" s="1"/>
  <c r="L449" i="51"/>
  <c r="L531" i="51" s="1"/>
  <c r="L575" i="51" s="1"/>
  <c r="L463" i="51"/>
  <c r="L467" i="51"/>
  <c r="L450" i="51"/>
  <c r="L532" i="51" s="1"/>
  <c r="L576" i="51" s="1"/>
  <c r="L322" i="51"/>
  <c r="Z216" i="73"/>
  <c r="Z217" i="73" s="1"/>
  <c r="Z218" i="73" s="1"/>
  <c r="Z219" i="73" s="1"/>
  <c r="AA177" i="73"/>
  <c r="AA178" i="73" s="1"/>
  <c r="AA179" i="73" s="1"/>
  <c r="AA180" i="73" s="1"/>
  <c r="AA182" i="73" s="1"/>
  <c r="Y255" i="74"/>
  <c r="Z240" i="74"/>
  <c r="AC161" i="73"/>
  <c r="AC157" i="73"/>
  <c r="AA216" i="73"/>
  <c r="AA265" i="73" s="1"/>
  <c r="AA267" i="73" s="1"/>
  <c r="AA275" i="73" s="1"/>
  <c r="AA279" i="73" s="1"/>
  <c r="AA284" i="73" s="1"/>
  <c r="AB163" i="73"/>
  <c r="AB164" i="73" s="1"/>
  <c r="AB177" i="73" s="1"/>
  <c r="AB178" i="73" s="1"/>
  <c r="AB179" i="73" s="1"/>
  <c r="AB180" i="73" s="1"/>
  <c r="AB182" i="73" s="1"/>
  <c r="AD158" i="73"/>
  <c r="AD162" i="73"/>
  <c r="J1280" i="48"/>
  <c r="M1260" i="48"/>
  <c r="M1288" i="48" s="1"/>
  <c r="M197" i="47" s="1"/>
  <c r="Z31" i="47" s="1"/>
  <c r="M1280" i="48"/>
  <c r="AC156" i="73"/>
  <c r="AC160" i="73"/>
  <c r="L514" i="51" l="1"/>
  <c r="L524" i="51" s="1"/>
  <c r="L545" i="51" s="1"/>
  <c r="K565" i="51"/>
  <c r="K595" i="51" s="1"/>
  <c r="K200" i="47" s="1"/>
  <c r="X34" i="47" s="1"/>
  <c r="L515" i="51"/>
  <c r="L525" i="51" s="1"/>
  <c r="L581" i="51" s="1"/>
  <c r="L513" i="51"/>
  <c r="L523" i="51" s="1"/>
  <c r="L536" i="51"/>
  <c r="Z265" i="73"/>
  <c r="Z267" i="73" s="1"/>
  <c r="Z275" i="73" s="1"/>
  <c r="Z279" i="73" s="1"/>
  <c r="Z284" i="73" s="1"/>
  <c r="AB215" i="73"/>
  <c r="AB264" i="73" s="1"/>
  <c r="AA217" i="73"/>
  <c r="AA218" i="73" s="1"/>
  <c r="AA219" i="73" s="1"/>
  <c r="AA240" i="74"/>
  <c r="Z255" i="74"/>
  <c r="M275" i="51"/>
  <c r="M274" i="51"/>
  <c r="M284" i="51" s="1"/>
  <c r="M279" i="51"/>
  <c r="M277" i="51"/>
  <c r="M281" i="51"/>
  <c r="M278" i="51"/>
  <c r="M276" i="51"/>
  <c r="M280" i="51"/>
  <c r="AE158" i="73"/>
  <c r="AE162" i="73"/>
  <c r="AC163" i="73"/>
  <c r="AC164" i="73" s="1"/>
  <c r="AC177" i="73" s="1"/>
  <c r="AC178" i="73" s="1"/>
  <c r="AC179" i="73" s="1"/>
  <c r="AC180" i="73" s="1"/>
  <c r="AC182" i="73" s="1"/>
  <c r="AD157" i="73"/>
  <c r="AD161" i="73"/>
  <c r="AD156" i="73"/>
  <c r="AD160" i="73"/>
  <c r="L557" i="51" l="1"/>
  <c r="L551" i="51"/>
  <c r="L528" i="51"/>
  <c r="L544" i="51"/>
  <c r="L561" i="51" s="1"/>
  <c r="L592" i="51" s="1"/>
  <c r="L556" i="51"/>
  <c r="L550" i="51"/>
  <c r="L580" i="51"/>
  <c r="L583" i="51" s="1"/>
  <c r="L518" i="51"/>
  <c r="M285" i="51"/>
  <c r="M295" i="51"/>
  <c r="M294" i="51"/>
  <c r="AD163" i="73"/>
  <c r="AD164" i="73" s="1"/>
  <c r="AD177" i="73" s="1"/>
  <c r="AD178" i="73" s="1"/>
  <c r="AD179" i="73" s="1"/>
  <c r="AD180" i="73" s="1"/>
  <c r="AD182" i="73" s="1"/>
  <c r="AB216" i="73"/>
  <c r="AC215" i="73"/>
  <c r="AC264" i="73" s="1"/>
  <c r="M359" i="51"/>
  <c r="M376" i="51" s="1"/>
  <c r="M471" i="51" s="1"/>
  <c r="M413" i="51"/>
  <c r="M430" i="51" s="1"/>
  <c r="M477" i="51" s="1"/>
  <c r="AB240" i="74"/>
  <c r="AA255" i="74"/>
  <c r="M288" i="51"/>
  <c r="M318" i="51" s="1"/>
  <c r="M416" i="51"/>
  <c r="M433" i="51" s="1"/>
  <c r="M362" i="51"/>
  <c r="M379" i="51" s="1"/>
  <c r="M364" i="51"/>
  <c r="M381" i="51" s="1"/>
  <c r="M489" i="51" s="1"/>
  <c r="M290" i="51"/>
  <c r="M320" i="51" s="1"/>
  <c r="M418" i="51"/>
  <c r="M435" i="51" s="1"/>
  <c r="M498" i="51" s="1"/>
  <c r="M291" i="51"/>
  <c r="M321" i="51" s="1"/>
  <c r="M419" i="51"/>
  <c r="M436" i="51" s="1"/>
  <c r="M508" i="51" s="1"/>
  <c r="M365" i="51"/>
  <c r="M382" i="51" s="1"/>
  <c r="M505" i="51" s="1"/>
  <c r="M414" i="51"/>
  <c r="M431" i="51" s="1"/>
  <c r="M360" i="51"/>
  <c r="M377" i="51" s="1"/>
  <c r="M286" i="51"/>
  <c r="M316" i="51" s="1"/>
  <c r="M415" i="51"/>
  <c r="M432" i="51" s="1"/>
  <c r="M361" i="51"/>
  <c r="M378" i="51" s="1"/>
  <c r="M287" i="51"/>
  <c r="M317" i="51" s="1"/>
  <c r="M412" i="51"/>
  <c r="M429" i="51" s="1"/>
  <c r="M358" i="51"/>
  <c r="M375" i="51" s="1"/>
  <c r="M289" i="51"/>
  <c r="M319" i="51" s="1"/>
  <c r="M417" i="51"/>
  <c r="M434" i="51" s="1"/>
  <c r="M363" i="51"/>
  <c r="M380" i="51" s="1"/>
  <c r="AE161" i="73"/>
  <c r="AE157" i="73"/>
  <c r="AF158" i="73"/>
  <c r="AF162" i="73"/>
  <c r="AE156" i="73"/>
  <c r="AE160" i="73"/>
  <c r="AL68" i="109"/>
  <c r="AY69" i="111"/>
  <c r="AV80" i="110"/>
  <c r="AJ79" i="110"/>
  <c r="AI73" i="111"/>
  <c r="AK66" i="114"/>
  <c r="BE73" i="110"/>
  <c r="AA12" i="111"/>
  <c r="AG57" i="111"/>
  <c r="AC78" i="113"/>
  <c r="AP73" i="113"/>
  <c r="BJ106" i="109"/>
  <c r="Z12" i="114"/>
  <c r="AA67" i="110"/>
  <c r="AE67" i="113"/>
  <c r="AB69" i="114"/>
  <c r="BD12" i="114"/>
  <c r="BF67" i="114"/>
  <c r="AM21" i="114"/>
  <c r="AN78" i="112"/>
  <c r="AZ63" i="108"/>
  <c r="BO9" i="112"/>
  <c r="AP79" i="114"/>
  <c r="AB68" i="114"/>
  <c r="AW62" i="114"/>
  <c r="AT12" i="109"/>
  <c r="AG106" i="113"/>
  <c r="AS66" i="109"/>
  <c r="BJ65" i="113"/>
  <c r="AN21" i="113"/>
  <c r="AH73" i="112"/>
  <c r="AM24" i="113"/>
  <c r="AW62" i="110"/>
  <c r="AN64" i="113"/>
  <c r="BA66" i="109"/>
  <c r="BF106" i="110"/>
  <c r="AS57" i="108"/>
  <c r="AO24" i="113"/>
  <c r="Y66" i="108"/>
  <c r="BN18" i="112"/>
  <c r="AX62" i="113"/>
  <c r="AJ24" i="110"/>
  <c r="AI74" i="112"/>
  <c r="AK68" i="112"/>
  <c r="AI69" i="108"/>
  <c r="AU68" i="110"/>
  <c r="AU74" i="114"/>
  <c r="BB12" i="110"/>
  <c r="BK73" i="108"/>
  <c r="AM69" i="114"/>
  <c r="AY9" i="108"/>
  <c r="BK69" i="108"/>
  <c r="AD63" i="109"/>
  <c r="BB78" i="114"/>
  <c r="AX106" i="111"/>
  <c r="AV80" i="108"/>
  <c r="BB106" i="114"/>
  <c r="AS12" i="111"/>
  <c r="AY63" i="108"/>
  <c r="AJ18" i="113"/>
  <c r="BF73" i="113"/>
  <c r="AZ68" i="108"/>
  <c r="BA65" i="111"/>
  <c r="BH67" i="114"/>
  <c r="BG52" i="113"/>
  <c r="AN78" i="108"/>
  <c r="AP18" i="112"/>
  <c r="Y78" i="111"/>
  <c r="AD80" i="110"/>
  <c r="AT66" i="114"/>
  <c r="AS68" i="113"/>
  <c r="BB52" i="111"/>
  <c r="AV69" i="109"/>
  <c r="AT63" i="110"/>
  <c r="BE9" i="113"/>
  <c r="AN63" i="112"/>
  <c r="BB65" i="113"/>
  <c r="AE74" i="112"/>
  <c r="Y78" i="108"/>
  <c r="AD18" i="113"/>
  <c r="AZ57" i="109"/>
  <c r="BD67" i="111"/>
  <c r="AS66" i="113"/>
  <c r="Z18" i="110"/>
  <c r="BG73" i="108"/>
  <c r="AP66" i="113"/>
  <c r="BH74" i="109"/>
  <c r="AD74" i="112"/>
  <c r="AU9" i="112"/>
  <c r="AH65" i="111"/>
  <c r="BE62" i="113"/>
  <c r="AJ69" i="109"/>
  <c r="AZ78" i="109"/>
  <c r="AJ68" i="112"/>
  <c r="AT63" i="114"/>
  <c r="AD68" i="108"/>
  <c r="BB73" i="111"/>
  <c r="AA9" i="110"/>
  <c r="AV78" i="111"/>
  <c r="AW67" i="108"/>
  <c r="AE12" i="110"/>
  <c r="AV67" i="108"/>
  <c r="AD73" i="112"/>
  <c r="AI57" i="111"/>
  <c r="AD68" i="111"/>
  <c r="BN21" i="109"/>
  <c r="AF73" i="108"/>
  <c r="BJ65" i="114"/>
  <c r="AC67" i="114"/>
  <c r="AX68" i="112"/>
  <c r="BF64" i="113"/>
  <c r="AS18" i="113"/>
  <c r="BH74" i="113"/>
  <c r="AC64" i="114"/>
  <c r="AC68" i="112"/>
  <c r="AN57" i="111"/>
  <c r="AZ79" i="111"/>
  <c r="BO68" i="108"/>
  <c r="AC68" i="113"/>
  <c r="BI79" i="114"/>
  <c r="AG18" i="109"/>
  <c r="AW63" i="111"/>
  <c r="AF78" i="112"/>
  <c r="AU64" i="114"/>
  <c r="AL66" i="112"/>
  <c r="S12" i="113"/>
  <c r="AS73" i="114"/>
  <c r="AE67" i="110"/>
  <c r="AW74" i="114"/>
  <c r="AB106" i="114"/>
  <c r="BB18" i="109"/>
  <c r="AJ66" i="109"/>
  <c r="AV74" i="110"/>
  <c r="AY68" i="111"/>
  <c r="AS63" i="113"/>
  <c r="BD52" i="113"/>
  <c r="AK63" i="111"/>
  <c r="BA66" i="113"/>
  <c r="BK73" i="113"/>
  <c r="BG74" i="112"/>
  <c r="Y78" i="112"/>
  <c r="AN21" i="110"/>
  <c r="BA52" i="108"/>
  <c r="AY52" i="113"/>
  <c r="AH74" i="109"/>
  <c r="AD74" i="109"/>
  <c r="AV9" i="111"/>
  <c r="BA74" i="113"/>
  <c r="AO52" i="108"/>
  <c r="AU62" i="108"/>
  <c r="BN74" i="111"/>
  <c r="AB69" i="111"/>
  <c r="AF80" i="108"/>
  <c r="AH24" i="108"/>
  <c r="AW67" i="112"/>
  <c r="BG9" i="111"/>
  <c r="AX79" i="109"/>
  <c r="AU65" i="109"/>
  <c r="BA73" i="114"/>
  <c r="BJ69" i="111"/>
  <c r="U21" i="112"/>
  <c r="BB62" i="111"/>
  <c r="BE65" i="111"/>
  <c r="AZ52" i="113"/>
  <c r="AZ64" i="111"/>
  <c r="AF64" i="114"/>
  <c r="AL64" i="110"/>
  <c r="AZ74" i="111"/>
  <c r="BA73" i="110"/>
  <c r="AC74" i="108"/>
  <c r="AM67" i="109"/>
  <c r="AK24" i="113"/>
  <c r="AI106" i="109"/>
  <c r="AL79" i="114"/>
  <c r="AM65" i="110"/>
  <c r="BN74" i="108"/>
  <c r="BE73" i="108"/>
  <c r="BK57" i="111"/>
  <c r="BO9" i="111"/>
  <c r="AT78" i="112"/>
  <c r="BH57" i="110"/>
  <c r="BN18" i="109"/>
  <c r="BB12" i="108"/>
  <c r="BA69" i="110"/>
  <c r="BH106" i="110"/>
  <c r="AP73" i="109"/>
  <c r="AW64" i="114"/>
  <c r="BJ73" i="114"/>
  <c r="N18" i="110"/>
  <c r="V12" i="109"/>
  <c r="AO68" i="112"/>
  <c r="AH12" i="114"/>
  <c r="BC57" i="113"/>
  <c r="BB79" i="110"/>
  <c r="AD78" i="111"/>
  <c r="AB57" i="113"/>
  <c r="BA69" i="113"/>
  <c r="AP64" i="112"/>
  <c r="BN9" i="108"/>
  <c r="AF67" i="110"/>
  <c r="AV79" i="109"/>
  <c r="AG63" i="108"/>
  <c r="BO65" i="110"/>
  <c r="AU106" i="112"/>
  <c r="S12" i="108"/>
  <c r="BG64" i="109"/>
  <c r="AS62" i="113"/>
  <c r="BO9" i="113"/>
  <c r="AM24" i="112"/>
  <c r="AI68" i="113"/>
  <c r="AB78" i="108"/>
  <c r="AD69" i="112"/>
  <c r="AB65" i="114"/>
  <c r="BF52" i="108"/>
  <c r="AG79" i="110"/>
  <c r="AT52" i="109"/>
  <c r="AB69" i="113"/>
  <c r="AH106" i="109"/>
  <c r="AC69" i="113"/>
  <c r="BA106" i="114"/>
  <c r="AS67" i="111"/>
  <c r="BI78" i="110"/>
  <c r="AK64" i="114"/>
  <c r="BO73" i="109"/>
  <c r="AC78" i="110"/>
  <c r="AX67" i="114"/>
  <c r="AZ68" i="113"/>
  <c r="BE69" i="108"/>
  <c r="Y73" i="111"/>
  <c r="AJ66" i="113"/>
  <c r="BA106" i="111"/>
  <c r="BG79" i="114"/>
  <c r="AB74" i="108"/>
  <c r="AX73" i="114"/>
  <c r="BK65" i="110"/>
  <c r="AG78" i="114"/>
  <c r="AU12" i="113"/>
  <c r="AX64" i="113"/>
  <c r="AG9" i="111"/>
  <c r="BB80" i="112"/>
  <c r="AC21" i="114"/>
  <c r="BA62" i="113"/>
  <c r="AO9" i="108"/>
  <c r="S21" i="108"/>
  <c r="U18" i="113"/>
  <c r="AH9" i="109"/>
  <c r="AB62" i="114"/>
  <c r="AG67" i="110"/>
  <c r="BK57" i="110"/>
  <c r="AA74" i="113"/>
  <c r="Y57" i="110"/>
  <c r="AC73" i="108"/>
  <c r="AF63" i="109"/>
  <c r="AG80" i="112"/>
  <c r="BD65" i="114"/>
  <c r="BB69" i="109"/>
  <c r="AD18" i="112"/>
  <c r="AC79" i="114"/>
  <c r="AX67" i="113"/>
  <c r="AW106" i="114"/>
  <c r="AL78" i="110"/>
  <c r="AD66" i="111"/>
  <c r="AD62" i="112"/>
  <c r="BD12" i="108"/>
  <c r="AM24" i="111"/>
  <c r="AZ67" i="112"/>
  <c r="AO69" i="110"/>
  <c r="BA12" i="114"/>
  <c r="AB74" i="111"/>
  <c r="BK68" i="110"/>
  <c r="AF80" i="110"/>
  <c r="AT9" i="109"/>
  <c r="Q12" i="114"/>
  <c r="AM69" i="113"/>
  <c r="AN57" i="114"/>
  <c r="AE65" i="114"/>
  <c r="AG63" i="112"/>
  <c r="AY9" i="112"/>
  <c r="BA57" i="111"/>
  <c r="BA73" i="113"/>
  <c r="Y69" i="112"/>
  <c r="Z24" i="111"/>
  <c r="AD73" i="113"/>
  <c r="AM78" i="110"/>
  <c r="AA80" i="108"/>
  <c r="BA63" i="110"/>
  <c r="AV67" i="111"/>
  <c r="AL68" i="113"/>
  <c r="N24" i="112"/>
  <c r="Y57" i="113"/>
  <c r="AD68" i="112"/>
  <c r="AO62" i="112"/>
  <c r="AD12" i="109"/>
  <c r="AT73" i="114"/>
  <c r="BC74" i="112"/>
  <c r="AO79" i="111"/>
  <c r="BO80" i="114"/>
  <c r="AP106" i="114"/>
  <c r="BC57" i="111"/>
  <c r="BE64" i="113"/>
  <c r="AZ73" i="112"/>
  <c r="AK52" i="112"/>
  <c r="AN57" i="113"/>
  <c r="AU18" i="109"/>
  <c r="AA64" i="113"/>
  <c r="BK69" i="109"/>
  <c r="AZ64" i="108"/>
  <c r="BJ62" i="109"/>
  <c r="BB69" i="114"/>
  <c r="BH66" i="114"/>
  <c r="BK74" i="111"/>
  <c r="AT57" i="110"/>
  <c r="AI21" i="108"/>
  <c r="Z21" i="111"/>
  <c r="AZ63" i="109"/>
  <c r="AK64" i="112"/>
  <c r="BE106" i="112"/>
  <c r="AJ12" i="112"/>
  <c r="BJ12" i="111"/>
  <c r="AD65" i="114"/>
  <c r="AH69" i="108"/>
  <c r="AL21" i="108"/>
  <c r="AY9" i="109"/>
  <c r="AP57" i="114"/>
  <c r="AJ21" i="113"/>
  <c r="BG66" i="112"/>
  <c r="AA67" i="113"/>
  <c r="AM80" i="112"/>
  <c r="BD66" i="112"/>
  <c r="AU62" i="110"/>
  <c r="AF74" i="110"/>
  <c r="Y63" i="114"/>
  <c r="Y57" i="112"/>
  <c r="AN66" i="114"/>
  <c r="BD52" i="114"/>
  <c r="BJ52" i="114"/>
  <c r="AV18" i="111"/>
  <c r="AL69" i="111"/>
  <c r="AB73" i="114"/>
  <c r="AI52" i="109"/>
  <c r="AK67" i="109"/>
  <c r="AZ67" i="114"/>
  <c r="AT80" i="112"/>
  <c r="N18" i="113"/>
  <c r="BG62" i="111"/>
  <c r="AO24" i="108"/>
  <c r="AE62" i="111"/>
  <c r="AJ21" i="108"/>
  <c r="BC65" i="109"/>
  <c r="AI21" i="112"/>
  <c r="AF18" i="113"/>
  <c r="BF12" i="112"/>
  <c r="AI21" i="114"/>
  <c r="BJ63" i="109"/>
  <c r="AX80" i="113"/>
  <c r="Q18" i="111"/>
  <c r="AP69" i="108"/>
  <c r="BN74" i="114"/>
  <c r="AG80" i="110"/>
  <c r="AH18" i="114"/>
  <c r="BG57" i="114"/>
  <c r="M24" i="110"/>
  <c r="AP63" i="113"/>
  <c r="AZ57" i="114"/>
  <c r="AP9" i="111"/>
  <c r="AY80" i="111"/>
  <c r="BC80" i="108"/>
  <c r="BD67" i="112"/>
  <c r="AN62" i="109"/>
  <c r="AG63" i="110"/>
  <c r="BH80" i="114"/>
  <c r="AT64" i="110"/>
  <c r="AL63" i="109"/>
  <c r="AZ64" i="112"/>
  <c r="AE78" i="114"/>
  <c r="AZ64" i="114"/>
  <c r="AX63" i="111"/>
  <c r="AV79" i="113"/>
  <c r="AT12" i="102"/>
  <c r="BN24" i="111"/>
  <c r="Z21" i="108"/>
  <c r="R9" i="108"/>
  <c r="AD66" i="112"/>
  <c r="N24" i="110"/>
  <c r="BE62" i="112"/>
  <c r="AP66" i="111"/>
  <c r="BG66" i="111"/>
  <c r="BH106" i="109"/>
  <c r="AK62" i="110"/>
  <c r="BI64" i="113"/>
  <c r="BH12" i="108"/>
  <c r="AK106" i="112"/>
  <c r="AE21" i="112"/>
  <c r="AJ18" i="112"/>
  <c r="M9" i="110"/>
  <c r="BO68" i="109"/>
  <c r="BN78" i="113"/>
  <c r="AT106" i="110"/>
  <c r="AV74" i="108"/>
  <c r="BA18" i="109"/>
  <c r="AG57" i="112"/>
  <c r="Z24" i="113"/>
  <c r="AV68" i="109"/>
  <c r="AW57" i="111"/>
  <c r="AU62" i="109"/>
  <c r="BK52" i="112"/>
  <c r="AB68" i="112"/>
  <c r="BD57" i="113"/>
  <c r="AL67" i="110"/>
  <c r="AK18" i="111"/>
  <c r="AU73" i="112"/>
  <c r="AW63" i="113"/>
  <c r="V21" i="108"/>
  <c r="O12" i="109"/>
  <c r="AT57" i="113"/>
  <c r="BK62" i="114"/>
  <c r="AU64" i="110"/>
  <c r="AT64" i="113"/>
  <c r="U9" i="113"/>
  <c r="AA12" i="112"/>
  <c r="AF80" i="113"/>
  <c r="AE63" i="113"/>
  <c r="AP66" i="109"/>
  <c r="BN74" i="113"/>
  <c r="AO52" i="110"/>
  <c r="AL24" i="109"/>
  <c r="AO73" i="108"/>
  <c r="R18" i="114"/>
  <c r="AK73" i="110"/>
  <c r="AF106" i="114"/>
  <c r="AY63" i="110"/>
  <c r="BO66" i="109"/>
  <c r="AJ12" i="111"/>
  <c r="AV80" i="109"/>
  <c r="AE80" i="110"/>
  <c r="AT69" i="108"/>
  <c r="AC79" i="113"/>
  <c r="BG80" i="113"/>
  <c r="T9" i="114"/>
  <c r="BA12" i="113"/>
  <c r="V18" i="111"/>
  <c r="BC66" i="111"/>
  <c r="Z9" i="114"/>
  <c r="AM65" i="113"/>
  <c r="AY79" i="109"/>
  <c r="BI68" i="108"/>
  <c r="AT79" i="113"/>
  <c r="AO57" i="112"/>
  <c r="AV63" i="110"/>
  <c r="BC64" i="111"/>
  <c r="AJ18" i="111"/>
  <c r="AX78" i="114"/>
  <c r="BF52" i="111"/>
  <c r="AE80" i="111"/>
  <c r="BA63" i="113"/>
  <c r="AU18" i="113"/>
  <c r="BB67" i="114"/>
  <c r="BE69" i="114"/>
  <c r="BJ9" i="112"/>
  <c r="AB64" i="109"/>
  <c r="AG79" i="112"/>
  <c r="AH79" i="113"/>
  <c r="BH18" i="108"/>
  <c r="AS66" i="112"/>
  <c r="AY80" i="114"/>
  <c r="AZ73" i="113"/>
  <c r="BO65" i="113"/>
  <c r="BD73" i="112"/>
  <c r="AY9" i="110"/>
  <c r="AE65" i="112"/>
  <c r="AM65" i="111"/>
  <c r="AB68" i="111"/>
  <c r="AB78" i="111"/>
  <c r="BB68" i="109"/>
  <c r="AV78" i="108"/>
  <c r="AP78" i="113"/>
  <c r="AU9" i="111"/>
  <c r="BN12" i="111"/>
  <c r="BH62" i="111"/>
  <c r="AV74" i="114"/>
  <c r="AN21" i="112"/>
  <c r="AA79" i="113"/>
  <c r="BF65" i="110"/>
  <c r="BH73" i="112"/>
  <c r="AJ68" i="113"/>
  <c r="AW78" i="113"/>
  <c r="AI18" i="110"/>
  <c r="BF52" i="113"/>
  <c r="AJ74" i="108"/>
  <c r="AS66" i="108"/>
  <c r="AO57" i="108"/>
  <c r="AN52" i="109"/>
  <c r="AH67" i="113"/>
  <c r="BK74" i="108"/>
  <c r="AD52" i="114"/>
  <c r="AN21" i="108"/>
  <c r="T12" i="108"/>
  <c r="AU66" i="110"/>
  <c r="BD78" i="112"/>
  <c r="BG52" i="111"/>
  <c r="BC80" i="110"/>
  <c r="AY67" i="114"/>
  <c r="BJ68" i="109"/>
  <c r="BN80" i="113"/>
  <c r="AH52" i="113"/>
  <c r="BJ78" i="112"/>
  <c r="AT62" i="114"/>
  <c r="BB64" i="113"/>
  <c r="BN79" i="113"/>
  <c r="T18" i="111"/>
  <c r="AY66" i="110"/>
  <c r="AO66" i="108"/>
  <c r="P18" i="114"/>
  <c r="BN74" i="112"/>
  <c r="BH67" i="110"/>
  <c r="BA62" i="108"/>
  <c r="AX18" i="108"/>
  <c r="BI63" i="114"/>
  <c r="M9" i="108"/>
  <c r="Y73" i="112"/>
  <c r="AZ52" i="111"/>
  <c r="AD9" i="114"/>
  <c r="AD65" i="108"/>
  <c r="AB62" i="110"/>
  <c r="AM62" i="111"/>
  <c r="AL106" i="112"/>
  <c r="BN79" i="111"/>
  <c r="AT9" i="110"/>
  <c r="BH106" i="112"/>
  <c r="Y69" i="113"/>
  <c r="BH79" i="109"/>
  <c r="BK12" i="114"/>
  <c r="BF63" i="110"/>
  <c r="O9" i="109"/>
  <c r="BI74" i="114"/>
  <c r="AE80" i="113"/>
  <c r="AM68" i="109"/>
  <c r="AY63" i="112"/>
  <c r="BB68" i="108"/>
  <c r="AS64" i="110"/>
  <c r="AG64" i="113"/>
  <c r="AM66" i="110"/>
  <c r="AM12" i="108"/>
  <c r="BO62" i="110"/>
  <c r="P24" i="111"/>
  <c r="BH57" i="108"/>
  <c r="AK74" i="114"/>
  <c r="BB66" i="113"/>
  <c r="BH12" i="111"/>
  <c r="AG18" i="113"/>
  <c r="BC52" i="108"/>
  <c r="BF73" i="109"/>
  <c r="AF21" i="114"/>
  <c r="AA24" i="113"/>
  <c r="AT12" i="108"/>
  <c r="AD74" i="111"/>
  <c r="BB79" i="113"/>
  <c r="AX80" i="110"/>
  <c r="AD80" i="113"/>
  <c r="AS18" i="111"/>
  <c r="BC62" i="109"/>
  <c r="AE73" i="108"/>
  <c r="AP106" i="109"/>
  <c r="AE64" i="114"/>
  <c r="N18" i="114"/>
  <c r="AW9" i="109"/>
  <c r="AF12" i="109"/>
  <c r="AN12" i="113"/>
  <c r="BI57" i="111"/>
  <c r="AA78" i="111"/>
  <c r="AP67" i="109"/>
  <c r="BI9" i="110"/>
  <c r="BJ80" i="108"/>
  <c r="BJ62" i="113"/>
  <c r="Q9" i="111"/>
  <c r="BF106" i="114"/>
  <c r="AO78" i="109"/>
  <c r="BN12" i="114"/>
  <c r="AD21" i="114"/>
  <c r="BF67" i="108"/>
  <c r="AI21" i="110"/>
  <c r="AH63" i="108"/>
  <c r="Z18" i="113"/>
  <c r="BJ57" i="114"/>
  <c r="AX52" i="110"/>
  <c r="BI79" i="112"/>
  <c r="BA68" i="111"/>
  <c r="AD12" i="108"/>
  <c r="AJ18" i="108"/>
  <c r="AN68" i="112"/>
  <c r="AB64" i="108"/>
  <c r="AB66" i="112"/>
  <c r="BE9" i="109"/>
  <c r="AP66" i="112"/>
  <c r="AM106" i="110"/>
  <c r="AJ52" i="110"/>
  <c r="S9" i="108"/>
  <c r="BE9" i="110"/>
  <c r="AA78" i="113"/>
  <c r="AW73" i="114"/>
  <c r="AE67" i="108"/>
  <c r="BC79" i="113"/>
  <c r="AG65" i="109"/>
  <c r="AW66" i="112"/>
  <c r="AI52" i="114"/>
  <c r="AI52" i="111"/>
  <c r="AL21" i="110"/>
  <c r="BO62" i="113"/>
  <c r="AA106" i="109"/>
  <c r="AK57" i="108"/>
  <c r="BI9" i="112"/>
  <c r="BF57" i="112"/>
  <c r="AI106" i="110"/>
  <c r="AF64" i="113"/>
  <c r="BJ66" i="114"/>
  <c r="AM78" i="114"/>
  <c r="BK62" i="110"/>
  <c r="O12" i="113"/>
  <c r="BJ57" i="112"/>
  <c r="AB74" i="112"/>
  <c r="AZ74" i="108"/>
  <c r="AC78" i="111"/>
  <c r="BI68" i="111"/>
  <c r="AE9" i="109"/>
  <c r="AC106" i="109"/>
  <c r="AH69" i="110"/>
  <c r="AV66" i="112"/>
  <c r="BF65" i="111"/>
  <c r="AF9" i="114"/>
  <c r="BI106" i="108"/>
  <c r="AK21" i="110"/>
  <c r="AZ57" i="110"/>
  <c r="AG74" i="108"/>
  <c r="AG62" i="112"/>
  <c r="AW80" i="112"/>
  <c r="AF106" i="112"/>
  <c r="BJ68" i="108"/>
  <c r="AG62" i="113"/>
  <c r="AP9" i="114"/>
  <c r="AH80" i="108"/>
  <c r="AU68" i="109"/>
  <c r="AF74" i="113"/>
  <c r="AG62" i="110"/>
  <c r="BC80" i="109"/>
  <c r="AK18" i="112"/>
  <c r="AH66" i="111"/>
  <c r="BB80" i="111"/>
  <c r="BO18" i="109"/>
  <c r="BK66" i="109"/>
  <c r="AJ106" i="110"/>
  <c r="AV65" i="110"/>
  <c r="S21" i="111"/>
  <c r="AY74" i="109"/>
  <c r="AC73" i="109"/>
  <c r="AG74" i="114"/>
  <c r="AV79" i="108"/>
  <c r="AX52" i="111"/>
  <c r="AJ12" i="110"/>
  <c r="AW73" i="111"/>
  <c r="AV64" i="108"/>
  <c r="BI52" i="112"/>
  <c r="BB64" i="111"/>
  <c r="AT74" i="112"/>
  <c r="AE106" i="111"/>
  <c r="BO62" i="111"/>
  <c r="AM18" i="108"/>
  <c r="BB78" i="110"/>
  <c r="AZ9" i="111"/>
  <c r="AG68" i="113"/>
  <c r="AF18" i="112"/>
  <c r="BE73" i="112"/>
  <c r="AX69" i="112"/>
  <c r="AE64" i="109"/>
  <c r="AK21" i="108"/>
  <c r="AO65" i="113"/>
  <c r="AZ12" i="109"/>
  <c r="BK106" i="113"/>
  <c r="AV68" i="108"/>
  <c r="AN68" i="109"/>
  <c r="AZ80" i="112"/>
  <c r="AC78" i="108"/>
  <c r="BE9" i="111"/>
  <c r="BF52" i="109"/>
  <c r="BD63" i="114"/>
  <c r="AS57" i="113"/>
  <c r="AI12" i="109"/>
  <c r="AP12" i="109"/>
  <c r="BJ52" i="108"/>
  <c r="AW12" i="110"/>
  <c r="AU79" i="112"/>
  <c r="AX69" i="114"/>
  <c r="AW63" i="114"/>
  <c r="BB62" i="108"/>
  <c r="M21" i="112"/>
  <c r="BE106" i="108"/>
  <c r="Y62" i="113"/>
  <c r="AJ24" i="108"/>
  <c r="BD12" i="109"/>
  <c r="AY74" i="112"/>
  <c r="AP63" i="111"/>
  <c r="AK62" i="108"/>
  <c r="AC68" i="109"/>
  <c r="AK21" i="112"/>
  <c r="BB80" i="113"/>
  <c r="AA21" i="111"/>
  <c r="AS78" i="109"/>
  <c r="AJ52" i="111"/>
  <c r="AJ79" i="113"/>
  <c r="BE64" i="112"/>
  <c r="Y106" i="114"/>
  <c r="BI52" i="108"/>
  <c r="BO73" i="114"/>
  <c r="AM9" i="113"/>
  <c r="AP68" i="110"/>
  <c r="AZ74" i="109"/>
  <c r="AH67" i="110"/>
  <c r="U9" i="110"/>
  <c r="AF79" i="114"/>
  <c r="BF78" i="114"/>
  <c r="AO67" i="108"/>
  <c r="AX79" i="112"/>
  <c r="AH62" i="109"/>
  <c r="AY74" i="108"/>
  <c r="AN9" i="112"/>
  <c r="BJ79" i="113"/>
  <c r="BN18" i="113"/>
  <c r="AD57" i="111"/>
  <c r="Z18" i="111"/>
  <c r="AL106" i="110"/>
  <c r="AC65" i="110"/>
  <c r="AS73" i="111"/>
  <c r="AO18" i="109"/>
  <c r="BC62" i="111"/>
  <c r="BN24" i="114"/>
  <c r="BC106" i="112"/>
  <c r="BF52" i="110"/>
  <c r="BI74" i="111"/>
  <c r="AY79" i="114"/>
  <c r="AS65" i="110"/>
  <c r="AH21" i="110"/>
  <c r="AY80" i="109"/>
  <c r="AA12" i="109"/>
  <c r="AH64" i="114"/>
  <c r="BI63" i="111"/>
  <c r="AA12" i="114"/>
  <c r="AO21" i="108"/>
  <c r="Q9" i="113"/>
  <c r="BK73" i="112"/>
  <c r="M12" i="112"/>
  <c r="AL62" i="111"/>
  <c r="BI57" i="108"/>
  <c r="BE64" i="108"/>
  <c r="BA62" i="111"/>
  <c r="M21" i="110"/>
  <c r="AY78" i="111"/>
  <c r="BJ78" i="114"/>
  <c r="AF24" i="112"/>
  <c r="AL66" i="110"/>
  <c r="BD80" i="112"/>
  <c r="BE63" i="109"/>
  <c r="BH68" i="110"/>
  <c r="AJ78" i="109"/>
  <c r="BE80" i="114"/>
  <c r="AA68" i="114"/>
  <c r="AD79" i="108"/>
  <c r="AT78" i="110"/>
  <c r="AB80" i="114"/>
  <c r="AO73" i="114"/>
  <c r="AS78" i="110"/>
  <c r="BA66" i="111"/>
  <c r="BK74" i="109"/>
  <c r="BO64" i="111"/>
  <c r="BJ80" i="109"/>
  <c r="BD57" i="111"/>
  <c r="AG21" i="108"/>
  <c r="R24" i="112"/>
  <c r="BD106" i="108"/>
  <c r="AP12" i="108"/>
  <c r="BE52" i="114"/>
  <c r="P9" i="114"/>
  <c r="AM64" i="110"/>
  <c r="AM106" i="108"/>
  <c r="AV12" i="112"/>
  <c r="BC79" i="108"/>
  <c r="AO63" i="108"/>
  <c r="BF80" i="113"/>
  <c r="BH78" i="111"/>
  <c r="AF62" i="112"/>
  <c r="P9" i="111"/>
  <c r="AY52" i="108"/>
  <c r="BE69" i="110"/>
  <c r="AP74" i="113"/>
  <c r="BB68" i="114"/>
  <c r="Y79" i="110"/>
  <c r="AA63" i="110"/>
  <c r="AH65" i="113"/>
  <c r="AG106" i="109"/>
  <c r="AU80" i="114"/>
  <c r="AM67" i="114"/>
  <c r="AX106" i="109"/>
  <c r="AB65" i="109"/>
  <c r="BB18" i="108"/>
  <c r="AV12" i="114"/>
  <c r="AK64" i="109"/>
  <c r="P12" i="108"/>
  <c r="AF9" i="109"/>
  <c r="AV57" i="111"/>
  <c r="BJ67" i="114"/>
  <c r="AP79" i="112"/>
  <c r="Y69" i="108"/>
  <c r="BO63" i="112"/>
  <c r="BG62" i="114"/>
  <c r="AW73" i="109"/>
  <c r="AK18" i="113"/>
  <c r="AK18" i="108"/>
  <c r="AX62" i="108"/>
  <c r="BN78" i="111"/>
  <c r="AP12" i="112"/>
  <c r="BG106" i="111"/>
  <c r="Y79" i="113"/>
  <c r="AX73" i="113"/>
  <c r="AW74" i="108"/>
  <c r="BB52" i="114"/>
  <c r="R12" i="114"/>
  <c r="AI68" i="112"/>
  <c r="AS62" i="109"/>
  <c r="AW74" i="113"/>
  <c r="BE67" i="113"/>
  <c r="AU63" i="112"/>
  <c r="BN12" i="108"/>
  <c r="BJ18" i="113"/>
  <c r="BI78" i="113"/>
  <c r="BD68" i="108"/>
  <c r="AL65" i="109"/>
  <c r="BB106" i="113"/>
  <c r="BA78" i="111"/>
  <c r="BN24" i="113"/>
  <c r="BE79" i="109"/>
  <c r="AZ74" i="114"/>
  <c r="AI12" i="113"/>
  <c r="BK65" i="111"/>
  <c r="M24" i="112"/>
  <c r="AK69" i="110"/>
  <c r="BG68" i="113"/>
  <c r="BO78" i="108"/>
  <c r="AD24" i="114"/>
  <c r="AI68" i="114"/>
  <c r="AN9" i="110"/>
  <c r="AH65" i="108"/>
  <c r="AW18" i="109"/>
  <c r="AA63" i="111"/>
  <c r="BJ69" i="108"/>
  <c r="AX18" i="112"/>
  <c r="AC80" i="111"/>
  <c r="AK12" i="108"/>
  <c r="AX9" i="110"/>
  <c r="BI57" i="114"/>
  <c r="AM62" i="112"/>
  <c r="AN80" i="114"/>
  <c r="AE63" i="108"/>
  <c r="AF69" i="111"/>
  <c r="BI80" i="113"/>
  <c r="AM52" i="112"/>
  <c r="BD73" i="108"/>
  <c r="BH78" i="113"/>
  <c r="AE52" i="110"/>
  <c r="BA69" i="111"/>
  <c r="AW66" i="113"/>
  <c r="BJ52" i="110"/>
  <c r="BA52" i="113"/>
  <c r="AE65" i="108"/>
  <c r="AH68" i="108"/>
  <c r="AE66" i="114"/>
  <c r="AE52" i="113"/>
  <c r="BJ80" i="110"/>
  <c r="AP66" i="114"/>
  <c r="AW62" i="109"/>
  <c r="AF80" i="109"/>
  <c r="AM79" i="111"/>
  <c r="AF68" i="111"/>
  <c r="AC78" i="109"/>
  <c r="AY67" i="108"/>
  <c r="BD80" i="113"/>
  <c r="AJ9" i="109"/>
  <c r="AO62" i="111"/>
  <c r="AE63" i="110"/>
  <c r="AJ57" i="109"/>
  <c r="AY63" i="109"/>
  <c r="AD24" i="110"/>
  <c r="AV65" i="111"/>
  <c r="AI63" i="110"/>
  <c r="AT62" i="109"/>
  <c r="AH64" i="112"/>
  <c r="BD69" i="109"/>
  <c r="AJ52" i="113"/>
  <c r="AH21" i="114"/>
  <c r="BF67" i="111"/>
  <c r="Y67" i="114"/>
  <c r="BO79" i="113"/>
  <c r="BG64" i="114"/>
  <c r="BB106" i="112"/>
  <c r="BA66" i="114"/>
  <c r="BJ80" i="114"/>
  <c r="AT80" i="111"/>
  <c r="BE78" i="111"/>
  <c r="N12" i="114"/>
  <c r="AM12" i="111"/>
  <c r="Z9" i="112"/>
  <c r="BK68" i="108"/>
  <c r="AO57" i="109"/>
  <c r="AI24" i="108"/>
  <c r="AV67" i="110"/>
  <c r="AL74" i="114"/>
  <c r="AZ65" i="111"/>
  <c r="AP69" i="113"/>
  <c r="AJ69" i="111"/>
  <c r="AT57" i="114"/>
  <c r="M12" i="109"/>
  <c r="AN57" i="109"/>
  <c r="AX18" i="109"/>
  <c r="AK57" i="109"/>
  <c r="P12" i="112"/>
  <c r="AU78" i="112"/>
  <c r="AN62" i="112"/>
  <c r="AC21" i="108"/>
  <c r="AP74" i="109"/>
  <c r="BB74" i="112"/>
  <c r="BJ12" i="108"/>
  <c r="AA106" i="108"/>
  <c r="AP65" i="114"/>
  <c r="AI18" i="111"/>
  <c r="AT57" i="109"/>
  <c r="AD52" i="111"/>
  <c r="AM64" i="112"/>
  <c r="BE52" i="113"/>
  <c r="BI18" i="111"/>
  <c r="AA68" i="113"/>
  <c r="AH64" i="110"/>
  <c r="AF57" i="109"/>
  <c r="AO12" i="113"/>
  <c r="AI62" i="111"/>
  <c r="AK62" i="114"/>
  <c r="BE67" i="111"/>
  <c r="BF57" i="109"/>
  <c r="BB69" i="113"/>
  <c r="BK74" i="112"/>
  <c r="BK57" i="108"/>
  <c r="AZ12" i="108"/>
  <c r="AY67" i="109"/>
  <c r="AK69" i="109"/>
  <c r="BK64" i="109"/>
  <c r="BG62" i="112"/>
  <c r="P18" i="111"/>
  <c r="AX73" i="109"/>
  <c r="R9" i="109"/>
  <c r="AL68" i="114"/>
  <c r="AU62" i="114"/>
  <c r="BK52" i="113"/>
  <c r="BE80" i="109"/>
  <c r="BN66" i="114"/>
  <c r="O18" i="113"/>
  <c r="AU69" i="112"/>
  <c r="AU64" i="111"/>
  <c r="AH78" i="109"/>
  <c r="AZ52" i="114"/>
  <c r="BN63" i="110"/>
  <c r="AM74" i="113"/>
  <c r="BA80" i="114"/>
  <c r="BA66" i="110"/>
  <c r="BA65" i="114"/>
  <c r="AN73" i="112"/>
  <c r="S21" i="112"/>
  <c r="AE18" i="112"/>
  <c r="BB12" i="113"/>
  <c r="AD106" i="109"/>
  <c r="AG69" i="113"/>
  <c r="BJ80" i="112"/>
  <c r="AM24" i="114"/>
  <c r="Y66" i="110"/>
  <c r="AW73" i="112"/>
  <c r="AT12" i="112"/>
  <c r="AE78" i="111"/>
  <c r="AB63" i="113"/>
  <c r="AY67" i="113"/>
  <c r="N12" i="112"/>
  <c r="BC106" i="113"/>
  <c r="AY79" i="112"/>
  <c r="AA106" i="112"/>
  <c r="AA80" i="111"/>
  <c r="V21" i="109"/>
  <c r="AV65" i="113"/>
  <c r="AJ63" i="110"/>
  <c r="BK67" i="113"/>
  <c r="AX106" i="110"/>
  <c r="Y57" i="114"/>
  <c r="S12" i="111"/>
  <c r="BG63" i="112"/>
  <c r="BJ65" i="108"/>
  <c r="BK80" i="110"/>
  <c r="AF68" i="110"/>
  <c r="AB78" i="112"/>
  <c r="AB66" i="114"/>
  <c r="AI62" i="112"/>
  <c r="AD73" i="109"/>
  <c r="BE68" i="108"/>
  <c r="BG69" i="111"/>
  <c r="BO74" i="110"/>
  <c r="AZ80" i="113"/>
  <c r="AF68" i="113"/>
  <c r="N24" i="114"/>
  <c r="AO68" i="114"/>
  <c r="AD78" i="109"/>
  <c r="BG62" i="113"/>
  <c r="AA74" i="114"/>
  <c r="BA69" i="114"/>
  <c r="AV62" i="111"/>
  <c r="P18" i="108"/>
  <c r="AT69" i="109"/>
  <c r="AH67" i="112"/>
  <c r="BN9" i="114"/>
  <c r="AE73" i="114"/>
  <c r="AL57" i="108"/>
  <c r="BG65" i="113"/>
  <c r="AL62" i="112"/>
  <c r="AG80" i="108"/>
  <c r="S12" i="114"/>
  <c r="AE57" i="110"/>
  <c r="AA65" i="108"/>
  <c r="AX74" i="113"/>
  <c r="BA12" i="109"/>
  <c r="AH24" i="113"/>
  <c r="AK106" i="111"/>
  <c r="AG64" i="108"/>
  <c r="AK66" i="112"/>
  <c r="AF24" i="114"/>
  <c r="AS52" i="112"/>
  <c r="AS106" i="110"/>
  <c r="AB64" i="110"/>
  <c r="AO67" i="114"/>
  <c r="R24" i="111"/>
  <c r="AK74" i="108"/>
  <c r="BF9" i="114"/>
  <c r="BG78" i="109"/>
  <c r="AU106" i="111"/>
  <c r="S21" i="114"/>
  <c r="AC65" i="109"/>
  <c r="BA79" i="113"/>
  <c r="AT73" i="112"/>
  <c r="BE73" i="113"/>
  <c r="BB106" i="111"/>
  <c r="AT69" i="113"/>
  <c r="AP63" i="112"/>
  <c r="AS62" i="110"/>
  <c r="AD21" i="111"/>
  <c r="G18" i="114"/>
  <c r="BE9" i="112"/>
  <c r="AA57" i="108"/>
  <c r="AM106" i="114"/>
  <c r="AF65" i="108"/>
  <c r="BC78" i="111"/>
  <c r="AF65" i="111"/>
  <c r="AB63" i="108"/>
  <c r="AJ63" i="109"/>
  <c r="BJ52" i="109"/>
  <c r="AJ68" i="108"/>
  <c r="AU79" i="108"/>
  <c r="BI67" i="109"/>
  <c r="AC21" i="113"/>
  <c r="AM74" i="111"/>
  <c r="AK21" i="113"/>
  <c r="AJ9" i="113"/>
  <c r="AG106" i="110"/>
  <c r="AU67" i="109"/>
  <c r="AG80" i="109"/>
  <c r="V21" i="111"/>
  <c r="Y62" i="111"/>
  <c r="BJ64" i="113"/>
  <c r="R12" i="111"/>
  <c r="AG69" i="111"/>
  <c r="AN79" i="109"/>
  <c r="AO12" i="108"/>
  <c r="BN12" i="110"/>
  <c r="AM69" i="112"/>
  <c r="AU66" i="114"/>
  <c r="AI78" i="111"/>
  <c r="BH68" i="109"/>
  <c r="AU18" i="112"/>
  <c r="BB67" i="111"/>
  <c r="AY12" i="109"/>
  <c r="BB64" i="108"/>
  <c r="BA64" i="110"/>
  <c r="BD68" i="114"/>
  <c r="AJ64" i="112"/>
  <c r="AI64" i="111"/>
  <c r="BE63" i="112"/>
  <c r="BO12" i="114"/>
  <c r="AD18" i="114"/>
  <c r="BK67" i="112"/>
  <c r="BB64" i="110"/>
  <c r="R12" i="113"/>
  <c r="AN63" i="110"/>
  <c r="BO66" i="113"/>
  <c r="AJ69" i="110"/>
  <c r="AL57" i="111"/>
  <c r="AY80" i="113"/>
  <c r="AG73" i="112"/>
  <c r="AL24" i="112"/>
  <c r="BE78" i="114"/>
  <c r="O9" i="108"/>
  <c r="AS74" i="109"/>
  <c r="AG9" i="113"/>
  <c r="AD52" i="112"/>
  <c r="BH62" i="109"/>
  <c r="AA63" i="112"/>
  <c r="BI9" i="113"/>
  <c r="AC69" i="114"/>
  <c r="AI18" i="114"/>
  <c r="AY74" i="111"/>
  <c r="O12" i="114"/>
  <c r="AG24" i="112"/>
  <c r="BG65" i="110"/>
  <c r="AS67" i="108"/>
  <c r="BN62" i="112"/>
  <c r="AW64" i="111"/>
  <c r="AE69" i="109"/>
  <c r="BJ12" i="112"/>
  <c r="Q24" i="112"/>
  <c r="AT63" i="111"/>
  <c r="BI67" i="114"/>
  <c r="AA62" i="108"/>
  <c r="BC65" i="111"/>
  <c r="BD18" i="114"/>
  <c r="AM63" i="108"/>
  <c r="AN24" i="111"/>
  <c r="AL63" i="108"/>
  <c r="AE21" i="114"/>
  <c r="BN66" i="108"/>
  <c r="AL68" i="112"/>
  <c r="AK66" i="111"/>
  <c r="AY69" i="108"/>
  <c r="AN12" i="111"/>
  <c r="AS63" i="111"/>
  <c r="AX67" i="109"/>
  <c r="AZ52" i="109"/>
  <c r="BO24" i="110"/>
  <c r="BG63" i="108"/>
  <c r="AK24" i="112"/>
  <c r="AO74" i="108"/>
  <c r="AG66" i="114"/>
  <c r="BD18" i="108"/>
  <c r="AH78" i="113"/>
  <c r="AI57" i="109"/>
  <c r="AW79" i="109"/>
  <c r="BE62" i="111"/>
  <c r="BN62" i="114"/>
  <c r="AZ63" i="113"/>
  <c r="AI73" i="108"/>
  <c r="AZ65" i="110"/>
  <c r="BJ63" i="113"/>
  <c r="V9" i="112"/>
  <c r="AA66" i="113"/>
  <c r="BB9" i="113"/>
  <c r="AF52" i="111"/>
  <c r="AF24" i="108"/>
  <c r="BJ66" i="112"/>
  <c r="AV9" i="109"/>
  <c r="AP64" i="113"/>
  <c r="AH21" i="112"/>
  <c r="BK80" i="111"/>
  <c r="AZ78" i="110"/>
  <c r="AV106" i="109"/>
  <c r="AO78" i="110"/>
  <c r="BN78" i="112"/>
  <c r="AE80" i="108"/>
  <c r="AD78" i="110"/>
  <c r="AK67" i="111"/>
  <c r="BN63" i="114"/>
  <c r="AN65" i="108"/>
  <c r="BD67" i="114"/>
  <c r="AE69" i="113"/>
  <c r="AG106" i="114"/>
  <c r="BJ80" i="111"/>
  <c r="AG57" i="110"/>
  <c r="AK79" i="109"/>
  <c r="AK9" i="114"/>
  <c r="BK67" i="114"/>
  <c r="AV79" i="112"/>
  <c r="AY73" i="113"/>
  <c r="AI79" i="113"/>
  <c r="BB62" i="114"/>
  <c r="Y63" i="110"/>
  <c r="AN78" i="109"/>
  <c r="AA62" i="114"/>
  <c r="BK69" i="113"/>
  <c r="AP106" i="111"/>
  <c r="BJ12" i="114"/>
  <c r="AE65" i="111"/>
  <c r="AT9" i="111"/>
  <c r="BG73" i="110"/>
  <c r="AL67" i="114"/>
  <c r="AZ67" i="111"/>
  <c r="BE78" i="109"/>
  <c r="BA67" i="109"/>
  <c r="AW67" i="111"/>
  <c r="BF68" i="113"/>
  <c r="BJ74" i="113"/>
  <c r="AG64" i="114"/>
  <c r="AB64" i="111"/>
  <c r="BF80" i="114"/>
  <c r="AC68" i="108"/>
  <c r="AO80" i="111"/>
  <c r="AX68" i="108"/>
  <c r="AY73" i="111"/>
  <c r="BD69" i="111"/>
  <c r="BH9" i="108"/>
  <c r="AW64" i="110"/>
  <c r="BK18" i="110"/>
  <c r="AS52" i="111"/>
  <c r="V21" i="113"/>
  <c r="AO74" i="114"/>
  <c r="AZ62" i="108"/>
  <c r="AC65" i="112"/>
  <c r="AB73" i="112"/>
  <c r="Y65" i="113"/>
  <c r="BG64" i="113"/>
  <c r="Y68" i="113"/>
  <c r="BD68" i="112"/>
  <c r="BG9" i="108"/>
  <c r="Z12" i="111"/>
  <c r="BJ67" i="110"/>
  <c r="Y106" i="110"/>
  <c r="AD74" i="114"/>
  <c r="AO57" i="113"/>
  <c r="AX74" i="109"/>
  <c r="AD73" i="111"/>
  <c r="V9" i="108"/>
  <c r="AN24" i="110"/>
  <c r="Q18" i="113"/>
  <c r="AU74" i="113"/>
  <c r="AS73" i="112"/>
  <c r="BG78" i="113"/>
  <c r="AF67" i="111"/>
  <c r="BJ18" i="110"/>
  <c r="AL66" i="111"/>
  <c r="BG73" i="111"/>
  <c r="AI12" i="110"/>
  <c r="V18" i="110"/>
  <c r="Y69" i="110"/>
  <c r="AX68" i="109"/>
  <c r="AZ67" i="109"/>
  <c r="AD69" i="109"/>
  <c r="BB12" i="111"/>
  <c r="BK106" i="108"/>
  <c r="BE80" i="108"/>
  <c r="AY73" i="108"/>
  <c r="AE9" i="113"/>
  <c r="AO73" i="109"/>
  <c r="BD52" i="111"/>
  <c r="AN79" i="114"/>
  <c r="T21" i="110"/>
  <c r="BN80" i="108"/>
  <c r="AF68" i="112"/>
  <c r="AL73" i="112"/>
  <c r="AO74" i="111"/>
  <c r="AO63" i="112"/>
  <c r="AD80" i="112"/>
  <c r="BA9" i="112"/>
  <c r="AB73" i="111"/>
  <c r="AW106" i="108"/>
  <c r="AC67" i="112"/>
  <c r="AM9" i="111"/>
  <c r="AI65" i="108"/>
  <c r="BE12" i="108"/>
  <c r="BF74" i="114"/>
  <c r="AT106" i="111"/>
  <c r="AX12" i="108"/>
  <c r="BO68" i="114"/>
  <c r="AZ52" i="108"/>
  <c r="AN66" i="112"/>
  <c r="N12" i="110"/>
  <c r="AW18" i="110"/>
  <c r="AT18" i="110"/>
  <c r="Y74" i="109"/>
  <c r="N9" i="109"/>
  <c r="R9" i="114"/>
  <c r="BD63" i="112"/>
  <c r="AC62" i="113"/>
  <c r="BB18" i="112"/>
  <c r="AW9" i="111"/>
  <c r="AO18" i="110"/>
  <c r="BJ65" i="110"/>
  <c r="BE79" i="114"/>
  <c r="AM67" i="112"/>
  <c r="AZ80" i="108"/>
  <c r="BC106" i="108"/>
  <c r="AI64" i="114"/>
  <c r="Q24" i="108"/>
  <c r="AW18" i="112"/>
  <c r="AJ78" i="112"/>
  <c r="AI21" i="109"/>
  <c r="AZ57" i="108"/>
  <c r="AZ62" i="113"/>
  <c r="BJ64" i="114"/>
  <c r="AN24" i="113"/>
  <c r="AC24" i="109"/>
  <c r="BB63" i="112"/>
  <c r="AE68" i="111"/>
  <c r="AO80" i="110"/>
  <c r="AX79" i="111"/>
  <c r="BJ68" i="114"/>
  <c r="AT62" i="113"/>
  <c r="AU74" i="111"/>
  <c r="BF57" i="110"/>
  <c r="BC69" i="111"/>
  <c r="AG21" i="112"/>
  <c r="AU106" i="109"/>
  <c r="S9" i="110"/>
  <c r="AY68" i="113"/>
  <c r="AK67" i="112"/>
  <c r="BN18" i="110"/>
  <c r="AB67" i="108"/>
  <c r="BI78" i="111"/>
  <c r="AW9" i="108"/>
  <c r="AA80" i="109"/>
  <c r="AZ79" i="110"/>
  <c r="AZ64" i="110"/>
  <c r="AG57" i="113"/>
  <c r="AI67" i="112"/>
  <c r="AV106" i="110"/>
  <c r="BE18" i="110"/>
  <c r="AV106" i="111"/>
  <c r="AI63" i="109"/>
  <c r="AP66" i="108"/>
  <c r="BK68" i="111"/>
  <c r="BG80" i="110"/>
  <c r="AF63" i="111"/>
  <c r="AV67" i="113"/>
  <c r="AX67" i="110"/>
  <c r="AN67" i="111"/>
  <c r="BN73" i="110"/>
  <c r="BC62" i="113"/>
  <c r="BG18" i="108"/>
  <c r="AA80" i="113"/>
  <c r="AC24" i="110"/>
  <c r="BF74" i="109"/>
  <c r="BF9" i="109"/>
  <c r="N12" i="113"/>
  <c r="AN66" i="110"/>
  <c r="AO12" i="109"/>
  <c r="AD80" i="114"/>
  <c r="AK52" i="110"/>
  <c r="AD66" i="108"/>
  <c r="AN24" i="108"/>
  <c r="AD62" i="109"/>
  <c r="AE68" i="108"/>
  <c r="BF63" i="113"/>
  <c r="AE64" i="111"/>
  <c r="AE18" i="109"/>
  <c r="AF21" i="112"/>
  <c r="AE9" i="112"/>
  <c r="AJ65" i="110"/>
  <c r="BJ64" i="112"/>
  <c r="BO78" i="109"/>
  <c r="U9" i="114"/>
  <c r="AD18" i="108"/>
  <c r="AY67" i="112"/>
  <c r="BG69" i="110"/>
  <c r="AO24" i="112"/>
  <c r="BG73" i="113"/>
  <c r="AT12" i="114"/>
  <c r="AH106" i="111"/>
  <c r="AW79" i="113"/>
  <c r="AE78" i="110"/>
  <c r="AK106" i="113"/>
  <c r="AW106" i="109"/>
  <c r="BJ69" i="110"/>
  <c r="AP57" i="113"/>
  <c r="AM68" i="108"/>
  <c r="AW80" i="110"/>
  <c r="AG79" i="113"/>
  <c r="AX80" i="112"/>
  <c r="AT106" i="108"/>
  <c r="BB73" i="113"/>
  <c r="AC66" i="110"/>
  <c r="AS62" i="111"/>
  <c r="AS67" i="112"/>
  <c r="Z68" i="110"/>
  <c r="Y79" i="111"/>
  <c r="BH78" i="114"/>
  <c r="AX12" i="113"/>
  <c r="BO80" i="111"/>
  <c r="BD18" i="111"/>
  <c r="BA80" i="112"/>
  <c r="AB80" i="109"/>
  <c r="AV57" i="109"/>
  <c r="BK63" i="108"/>
  <c r="AO63" i="111"/>
  <c r="AK80" i="108"/>
  <c r="AE63" i="114"/>
  <c r="AY12" i="113"/>
  <c r="AY106" i="114"/>
  <c r="BI9" i="109"/>
  <c r="BE67" i="112"/>
  <c r="BD78" i="113"/>
  <c r="G21" i="111"/>
  <c r="AG67" i="113"/>
  <c r="M12" i="110"/>
  <c r="AZ73" i="111"/>
  <c r="AG62" i="109"/>
  <c r="AG64" i="111"/>
  <c r="BA18" i="108"/>
  <c r="AJ18" i="114"/>
  <c r="AS63" i="108"/>
  <c r="BK18" i="109"/>
  <c r="M21" i="113"/>
  <c r="AM18" i="113"/>
  <c r="AJ63" i="112"/>
  <c r="AS74" i="110"/>
  <c r="AP63" i="109"/>
  <c r="BO80" i="112"/>
  <c r="AH63" i="113"/>
  <c r="R9" i="110"/>
  <c r="AS9" i="114"/>
  <c r="BG80" i="109"/>
  <c r="BD80" i="111"/>
  <c r="BI106" i="111"/>
  <c r="BF74" i="111"/>
  <c r="BO74" i="108"/>
  <c r="Z106" i="112"/>
  <c r="AB62" i="108"/>
  <c r="BH106" i="108"/>
  <c r="AM69" i="108"/>
  <c r="BA78" i="109"/>
  <c r="BC78" i="113"/>
  <c r="BD79" i="111"/>
  <c r="BD106" i="114"/>
  <c r="BG18" i="111"/>
  <c r="AV12" i="110"/>
  <c r="BD78" i="111"/>
  <c r="AN80" i="112"/>
  <c r="AA64" i="110"/>
  <c r="AM80" i="114"/>
  <c r="BA74" i="110"/>
  <c r="AT52" i="113"/>
  <c r="AM79" i="108"/>
  <c r="U21" i="111"/>
  <c r="AJ106" i="112"/>
  <c r="AZ57" i="112"/>
  <c r="AL79" i="108"/>
  <c r="BJ79" i="112"/>
  <c r="V12" i="110"/>
  <c r="AS57" i="111"/>
  <c r="AN68" i="113"/>
  <c r="AF18" i="111"/>
  <c r="BG9" i="112"/>
  <c r="BN64" i="112"/>
  <c r="AS67" i="113"/>
  <c r="AT63" i="113"/>
  <c r="BG106" i="114"/>
  <c r="AC62" i="108"/>
  <c r="BA79" i="109"/>
  <c r="AX52" i="113"/>
  <c r="O9" i="110"/>
  <c r="AK69" i="111"/>
  <c r="AN64" i="110"/>
  <c r="BB74" i="108"/>
  <c r="Y65" i="112"/>
  <c r="AT66" i="108"/>
  <c r="BB78" i="111"/>
  <c r="AW64" i="109"/>
  <c r="AO57" i="110"/>
  <c r="AX63" i="110"/>
  <c r="AB67" i="114"/>
  <c r="AB74" i="113"/>
  <c r="AM106" i="109"/>
  <c r="BE69" i="113"/>
  <c r="AD62" i="113"/>
  <c r="AH74" i="111"/>
  <c r="AS74" i="108"/>
  <c r="AT79" i="110"/>
  <c r="AW9" i="112"/>
  <c r="AH62" i="112"/>
  <c r="AN9" i="114"/>
  <c r="AH21" i="111"/>
  <c r="BC80" i="112"/>
  <c r="AS52" i="109"/>
  <c r="AA66" i="110"/>
  <c r="BJ67" i="111"/>
  <c r="AN69" i="109"/>
  <c r="AH12" i="110"/>
  <c r="AK74" i="113"/>
  <c r="BJ67" i="109"/>
  <c r="AE79" i="110"/>
  <c r="AK106" i="110"/>
  <c r="BK62" i="112"/>
  <c r="BJ63" i="110"/>
  <c r="BG69" i="108"/>
  <c r="BA80" i="111"/>
  <c r="AP67" i="110"/>
  <c r="BH12" i="113"/>
  <c r="Y79" i="114"/>
  <c r="AS57" i="110"/>
  <c r="BK74" i="113"/>
  <c r="AZ79" i="112"/>
  <c r="AM79" i="110"/>
  <c r="BI62" i="113"/>
  <c r="AU67" i="114"/>
  <c r="BB67" i="112"/>
  <c r="N9" i="114"/>
  <c r="N9" i="113"/>
  <c r="U21" i="114"/>
  <c r="BF12" i="114"/>
  <c r="R12" i="110"/>
  <c r="AD66" i="110"/>
  <c r="AC57" i="109"/>
  <c r="AA68" i="110"/>
  <c r="AY79" i="110"/>
  <c r="AX69" i="113"/>
  <c r="AC65" i="114"/>
  <c r="AN67" i="113"/>
  <c r="BC67" i="111"/>
  <c r="AK68" i="114"/>
  <c r="BI79" i="110"/>
  <c r="AT12" i="111"/>
  <c r="AG65" i="110"/>
  <c r="M21" i="111"/>
  <c r="AY64" i="109"/>
  <c r="AF64" i="111"/>
  <c r="BD73" i="111"/>
  <c r="AL65" i="112"/>
  <c r="AG80" i="114"/>
  <c r="AW79" i="111"/>
  <c r="V12" i="112"/>
  <c r="AE64" i="113"/>
  <c r="AY106" i="112"/>
  <c r="AM73" i="113"/>
  <c r="AT69" i="111"/>
  <c r="S21" i="109"/>
  <c r="AC78" i="112"/>
  <c r="BH106" i="113"/>
  <c r="AD80" i="109"/>
  <c r="BC78" i="112"/>
  <c r="AL68" i="110"/>
  <c r="AA68" i="111"/>
  <c r="AF21" i="109"/>
  <c r="BF52" i="112"/>
  <c r="AG64" i="109"/>
  <c r="AE69" i="108"/>
  <c r="AC64" i="110"/>
  <c r="BC78" i="109"/>
  <c r="BG80" i="111"/>
  <c r="Y52" i="109"/>
  <c r="AP62" i="113"/>
  <c r="BC78" i="108"/>
  <c r="AM65" i="109"/>
  <c r="BB67" i="113"/>
  <c r="BN12" i="109"/>
  <c r="Y64" i="114"/>
  <c r="AE78" i="108"/>
  <c r="AN79" i="110"/>
  <c r="AS57" i="109"/>
  <c r="AI12" i="114"/>
  <c r="AO68" i="110"/>
  <c r="BE65" i="112"/>
  <c r="Q12" i="109"/>
  <c r="BH67" i="113"/>
  <c r="BB73" i="108"/>
  <c r="BK65" i="109"/>
  <c r="BC63" i="109"/>
  <c r="AU106" i="110"/>
  <c r="BC67" i="110"/>
  <c r="AK66" i="110"/>
  <c r="AX52" i="114"/>
  <c r="AU52" i="110"/>
  <c r="AG52" i="113"/>
  <c r="AG66" i="108"/>
  <c r="BB73" i="114"/>
  <c r="BD9" i="114"/>
  <c r="AH74" i="108"/>
  <c r="BE18" i="112"/>
  <c r="AD79" i="112"/>
  <c r="AW73" i="108"/>
  <c r="BO79" i="110"/>
  <c r="BO64" i="114"/>
  <c r="AA63" i="109"/>
  <c r="AJ106" i="111"/>
  <c r="BJ68" i="112"/>
  <c r="AK64" i="108"/>
  <c r="AL74" i="113"/>
  <c r="AB73" i="110"/>
  <c r="BN21" i="111"/>
  <c r="AA62" i="110"/>
  <c r="AC21" i="112"/>
  <c r="R12" i="108"/>
  <c r="AN68" i="110"/>
  <c r="AU62" i="113"/>
  <c r="AO18" i="113"/>
  <c r="AP65" i="110"/>
  <c r="BG78" i="112"/>
  <c r="AE74" i="108"/>
  <c r="N18" i="112"/>
  <c r="AT52" i="114"/>
  <c r="AM21" i="108"/>
  <c r="AK79" i="108"/>
  <c r="AV52" i="114"/>
  <c r="AE68" i="113"/>
  <c r="AE79" i="113"/>
  <c r="AG74" i="109"/>
  <c r="Z21" i="109"/>
  <c r="BE68" i="111"/>
  <c r="AH62" i="113"/>
  <c r="BK12" i="111"/>
  <c r="BI74" i="108"/>
  <c r="AJ67" i="109"/>
  <c r="AP79" i="108"/>
  <c r="Y24" i="114"/>
  <c r="AU64" i="108"/>
  <c r="N18" i="111"/>
  <c r="BO68" i="112"/>
  <c r="BF68" i="110"/>
  <c r="BK67" i="109"/>
  <c r="AG73" i="109"/>
  <c r="AP106" i="108"/>
  <c r="AO78" i="114"/>
  <c r="AB80" i="111"/>
  <c r="AH62" i="114"/>
  <c r="AN69" i="112"/>
  <c r="AC106" i="110"/>
  <c r="BN12" i="113"/>
  <c r="AZ64" i="109"/>
  <c r="BI12" i="114"/>
  <c r="BD18" i="110"/>
  <c r="BB79" i="108"/>
  <c r="AO63" i="110"/>
  <c r="AN62" i="108"/>
  <c r="AW68" i="112"/>
  <c r="BA69" i="108"/>
  <c r="BJ106" i="112"/>
  <c r="BH73" i="113"/>
  <c r="AW18" i="108"/>
  <c r="BI106" i="113"/>
  <c r="AN52" i="114"/>
  <c r="AF21" i="113"/>
  <c r="AP78" i="108"/>
  <c r="AH66" i="112"/>
  <c r="BG68" i="111"/>
  <c r="BK12" i="108"/>
  <c r="AF57" i="114"/>
  <c r="AG24" i="113"/>
  <c r="AW62" i="111"/>
  <c r="AA73" i="110"/>
  <c r="BJ73" i="112"/>
  <c r="U12" i="113"/>
  <c r="Y64" i="112"/>
  <c r="BA65" i="109"/>
  <c r="AU73" i="109"/>
  <c r="BH68" i="111"/>
  <c r="AS52" i="108"/>
  <c r="AP18" i="114"/>
  <c r="AH73" i="111"/>
  <c r="AP12" i="114"/>
  <c r="AG24" i="111"/>
  <c r="BF78" i="111"/>
  <c r="AV66" i="110"/>
  <c r="AE18" i="110"/>
  <c r="BF65" i="114"/>
  <c r="AX65" i="113"/>
  <c r="AY79" i="111"/>
  <c r="BK63" i="109"/>
  <c r="AG18" i="110"/>
  <c r="BN74" i="109"/>
  <c r="AY79" i="113"/>
  <c r="AD64" i="110"/>
  <c r="BI68" i="109"/>
  <c r="AS73" i="113"/>
  <c r="AX18" i="110"/>
  <c r="BO67" i="114"/>
  <c r="AU65" i="114"/>
  <c r="AF69" i="114"/>
  <c r="BF12" i="113"/>
  <c r="AH73" i="110"/>
  <c r="AV69" i="112"/>
  <c r="BF69" i="112"/>
  <c r="BD12" i="111"/>
  <c r="AN62" i="111"/>
  <c r="V9" i="110"/>
  <c r="BE73" i="111"/>
  <c r="BG73" i="114"/>
  <c r="BF69" i="109"/>
  <c r="AI67" i="113"/>
  <c r="AM68" i="111"/>
  <c r="BO66" i="114"/>
  <c r="AO65" i="111"/>
  <c r="AD9" i="109"/>
  <c r="AS69" i="111"/>
  <c r="AL73" i="113"/>
  <c r="AI66" i="110"/>
  <c r="AY65" i="113"/>
  <c r="AI24" i="112"/>
  <c r="BH69" i="113"/>
  <c r="AA24" i="109"/>
  <c r="AP12" i="113"/>
  <c r="AJ52" i="109"/>
  <c r="BN63" i="113"/>
  <c r="AZ78" i="112"/>
  <c r="AH80" i="111"/>
  <c r="BE68" i="109"/>
  <c r="AB66" i="111"/>
  <c r="AZ12" i="111"/>
  <c r="BG9" i="109"/>
  <c r="AL106" i="109"/>
  <c r="AH24" i="111"/>
  <c r="AU79" i="114"/>
  <c r="AB63" i="109"/>
  <c r="AE63" i="111"/>
  <c r="AV69" i="114"/>
  <c r="AC106" i="113"/>
  <c r="AW67" i="109"/>
  <c r="BJ106" i="114"/>
  <c r="AS74" i="111"/>
  <c r="BC63" i="113"/>
  <c r="AW66" i="111"/>
  <c r="AH67" i="114"/>
  <c r="AV65" i="109"/>
  <c r="AX67" i="111"/>
  <c r="BH62" i="108"/>
  <c r="AF52" i="113"/>
  <c r="AS9" i="112"/>
  <c r="AF66" i="108"/>
  <c r="BH79" i="114"/>
  <c r="BJ79" i="111"/>
  <c r="AC68" i="110"/>
  <c r="AP65" i="111"/>
  <c r="AX106" i="108"/>
  <c r="AM62" i="113"/>
  <c r="BF80" i="108"/>
  <c r="AE73" i="110"/>
  <c r="AE67" i="112"/>
  <c r="BD67" i="113"/>
  <c r="AV66" i="113"/>
  <c r="AX79" i="113"/>
  <c r="Y74" i="112"/>
  <c r="AI65" i="111"/>
  <c r="Y106" i="108"/>
  <c r="AG73" i="111"/>
  <c r="AJ57" i="111"/>
  <c r="AE52" i="112"/>
  <c r="BJ66" i="111"/>
  <c r="AC69" i="108"/>
  <c r="BG64" i="110"/>
  <c r="AN73" i="110"/>
  <c r="AK69" i="114"/>
  <c r="AI12" i="111"/>
  <c r="AZ65" i="108"/>
  <c r="Y65" i="108"/>
  <c r="AM80" i="111"/>
  <c r="AV73" i="114"/>
  <c r="AU12" i="108"/>
  <c r="AF78" i="108"/>
  <c r="AU67" i="112"/>
  <c r="BH62" i="112"/>
  <c r="AF52" i="114"/>
  <c r="S9" i="111"/>
  <c r="AN63" i="114"/>
  <c r="AG74" i="113"/>
  <c r="AY69" i="112"/>
  <c r="AD18" i="111"/>
  <c r="AL21" i="109"/>
  <c r="AW68" i="114"/>
  <c r="BI78" i="114"/>
  <c r="AK64" i="111"/>
  <c r="AE9" i="108"/>
  <c r="BD63" i="109"/>
  <c r="AP79" i="110"/>
  <c r="AF62" i="108"/>
  <c r="BE79" i="112"/>
  <c r="Y64" i="109"/>
  <c r="AW9" i="110"/>
  <c r="BJ68" i="113"/>
  <c r="AM67" i="108"/>
  <c r="BI80" i="114"/>
  <c r="AE74" i="110"/>
  <c r="AD78" i="108"/>
  <c r="AW78" i="112"/>
  <c r="BB74" i="111"/>
  <c r="AF9" i="111"/>
  <c r="AG52" i="111"/>
  <c r="BD18" i="113"/>
  <c r="AW63" i="110"/>
  <c r="AU73" i="111"/>
  <c r="BD64" i="111"/>
  <c r="AX9" i="113"/>
  <c r="AH12" i="109"/>
  <c r="AE52" i="109"/>
  <c r="AM79" i="112"/>
  <c r="AP74" i="110"/>
  <c r="AB62" i="112"/>
  <c r="AC73" i="110"/>
  <c r="AS69" i="114"/>
  <c r="BA57" i="113"/>
  <c r="BD63" i="108"/>
  <c r="AV66" i="109"/>
  <c r="AY78" i="108"/>
  <c r="AZ78" i="114"/>
  <c r="AE66" i="108"/>
  <c r="Q12" i="113"/>
  <c r="P24" i="113"/>
  <c r="AH57" i="111"/>
  <c r="AS9" i="109"/>
  <c r="AJ73" i="112"/>
  <c r="AY106" i="110"/>
  <c r="BE74" i="108"/>
  <c r="BK18" i="111"/>
  <c r="AC24" i="108"/>
  <c r="AZ79" i="109"/>
  <c r="AC80" i="110"/>
  <c r="BD68" i="109"/>
  <c r="AO12" i="112"/>
  <c r="AC66" i="108"/>
  <c r="Y80" i="108"/>
  <c r="AO69" i="112"/>
  <c r="AK80" i="111"/>
  <c r="AL63" i="110"/>
  <c r="AO66" i="109"/>
  <c r="AN9" i="109"/>
  <c r="AH52" i="114"/>
  <c r="AC79" i="108"/>
  <c r="AM18" i="110"/>
  <c r="AC64" i="111"/>
  <c r="AL18" i="108"/>
  <c r="AG67" i="109"/>
  <c r="AD21" i="112"/>
  <c r="BK52" i="109"/>
  <c r="BC79" i="112"/>
  <c r="AN74" i="110"/>
  <c r="BO18" i="114"/>
  <c r="BN62" i="110"/>
  <c r="AU106" i="113"/>
  <c r="AW65" i="110"/>
  <c r="T21" i="112"/>
  <c r="AX79" i="108"/>
  <c r="AE12" i="114"/>
  <c r="AM62" i="114"/>
  <c r="BG68" i="109"/>
  <c r="AF106" i="110"/>
  <c r="BI57" i="113"/>
  <c r="AH57" i="110"/>
  <c r="BK62" i="113"/>
  <c r="AA63" i="113"/>
  <c r="AE106" i="112"/>
  <c r="AO66" i="111"/>
  <c r="AK73" i="109"/>
  <c r="BH62" i="110"/>
  <c r="AU52" i="109"/>
  <c r="Y106" i="112"/>
  <c r="BE65" i="113"/>
  <c r="AG21" i="111"/>
  <c r="AK63" i="108"/>
  <c r="AW12" i="113"/>
  <c r="AU9" i="109"/>
  <c r="BK80" i="114"/>
  <c r="U21" i="108"/>
  <c r="AL63" i="114"/>
  <c r="AP52" i="108"/>
  <c r="AN9" i="108"/>
  <c r="BK69" i="112"/>
  <c r="AZ79" i="114"/>
  <c r="BJ66" i="113"/>
  <c r="BI74" i="109"/>
  <c r="BI66" i="110"/>
  <c r="AB67" i="112"/>
  <c r="AJ9" i="112"/>
  <c r="AO68" i="111"/>
  <c r="AG69" i="112"/>
  <c r="AD68" i="110"/>
  <c r="AW9" i="114"/>
  <c r="BA62" i="114"/>
  <c r="AJ21" i="109"/>
  <c r="AY57" i="108"/>
  <c r="AT73" i="109"/>
  <c r="AO24" i="110"/>
  <c r="BO18" i="108"/>
  <c r="AB79" i="108"/>
  <c r="BF64" i="111"/>
  <c r="AE74" i="114"/>
  <c r="AH106" i="108"/>
  <c r="O18" i="111"/>
  <c r="BF9" i="113"/>
  <c r="AI74" i="114"/>
  <c r="BE52" i="111"/>
  <c r="AW67" i="110"/>
  <c r="AK24" i="111"/>
  <c r="AT67" i="112"/>
  <c r="AN66" i="109"/>
  <c r="AN64" i="109"/>
  <c r="BO78" i="113"/>
  <c r="BI65" i="111"/>
  <c r="Y63" i="111"/>
  <c r="AJ74" i="109"/>
  <c r="AV64" i="109"/>
  <c r="AI69" i="112"/>
  <c r="Y79" i="112"/>
  <c r="AX12" i="111"/>
  <c r="BN21" i="114"/>
  <c r="Q18" i="109"/>
  <c r="BO80" i="110"/>
  <c r="AO80" i="114"/>
  <c r="AH57" i="109"/>
  <c r="BD64" i="108"/>
  <c r="AI18" i="108"/>
  <c r="AN79" i="111"/>
  <c r="BK57" i="114"/>
  <c r="AI64" i="110"/>
  <c r="AF66" i="113"/>
  <c r="AH79" i="110"/>
  <c r="AH80" i="110"/>
  <c r="AD65" i="109"/>
  <c r="BC64" i="110"/>
  <c r="AC63" i="110"/>
  <c r="BI12" i="111"/>
  <c r="AV63" i="113"/>
  <c r="BB12" i="114"/>
  <c r="BO78" i="112"/>
  <c r="AO18" i="114"/>
  <c r="AF63" i="108"/>
  <c r="AW64" i="113"/>
  <c r="AT68" i="113"/>
  <c r="AC80" i="112"/>
  <c r="AD78" i="113"/>
  <c r="BD12" i="112"/>
  <c r="V18" i="114"/>
  <c r="BC63" i="111"/>
  <c r="BD69" i="113"/>
  <c r="AD74" i="108"/>
  <c r="BG65" i="108"/>
  <c r="AF73" i="113"/>
  <c r="AD67" i="110"/>
  <c r="AY66" i="109"/>
  <c r="AK18" i="110"/>
  <c r="Y73" i="114"/>
  <c r="BB66" i="109"/>
  <c r="BG52" i="112"/>
  <c r="BE80" i="110"/>
  <c r="BE74" i="109"/>
  <c r="AK9" i="109"/>
  <c r="AX9" i="109"/>
  <c r="BG73" i="112"/>
  <c r="AM62" i="109"/>
  <c r="AC64" i="108"/>
  <c r="AY62" i="110"/>
  <c r="AJ24" i="109"/>
  <c r="BG64" i="111"/>
  <c r="BA74" i="112"/>
  <c r="AJ9" i="108"/>
  <c r="AD80" i="111"/>
  <c r="AS69" i="109"/>
  <c r="AF12" i="108"/>
  <c r="BB66" i="114"/>
  <c r="BD79" i="112"/>
  <c r="AE68" i="114"/>
  <c r="Z24" i="112"/>
  <c r="AF62" i="110"/>
  <c r="AE63" i="109"/>
  <c r="AM68" i="114"/>
  <c r="AG12" i="109"/>
  <c r="BG69" i="109"/>
  <c r="AY78" i="110"/>
  <c r="AP9" i="110"/>
  <c r="AH9" i="110"/>
  <c r="BK66" i="108"/>
  <c r="P9" i="112"/>
  <c r="Y66" i="109"/>
  <c r="AK67" i="114"/>
  <c r="BA12" i="102"/>
  <c r="AT80" i="109"/>
  <c r="AA67" i="112"/>
  <c r="BG106" i="109"/>
  <c r="AN63" i="111"/>
  <c r="BF62" i="109"/>
  <c r="AP62" i="114"/>
  <c r="AO18" i="111"/>
  <c r="BO74" i="113"/>
  <c r="AI67" i="111"/>
  <c r="BE57" i="109"/>
  <c r="BB78" i="112"/>
  <c r="AD78" i="112"/>
  <c r="BE62" i="108"/>
  <c r="Y52" i="110"/>
  <c r="AO73" i="112"/>
  <c r="AY9" i="113"/>
  <c r="BA68" i="114"/>
  <c r="T9" i="113"/>
  <c r="AE57" i="108"/>
  <c r="AB106" i="108"/>
  <c r="AJ57" i="114"/>
  <c r="AW9" i="113"/>
  <c r="BO67" i="112"/>
  <c r="BA52" i="110"/>
  <c r="AN12" i="109"/>
  <c r="AJ79" i="108"/>
  <c r="BH74" i="110"/>
  <c r="Z9" i="109"/>
  <c r="AD12" i="112"/>
  <c r="AH80" i="112"/>
  <c r="Y78" i="109"/>
  <c r="AO9" i="114"/>
  <c r="Y68" i="108"/>
  <c r="AO24" i="114"/>
  <c r="AA66" i="111"/>
  <c r="AH66" i="110"/>
  <c r="AF18" i="109"/>
  <c r="BH67" i="111"/>
  <c r="AV68" i="114"/>
  <c r="AS18" i="112"/>
  <c r="AL78" i="108"/>
  <c r="AP74" i="108"/>
  <c r="AS64" i="112"/>
  <c r="AX57" i="112"/>
  <c r="AJ79" i="114"/>
  <c r="AA9" i="109"/>
  <c r="BK65" i="108"/>
  <c r="AE66" i="111"/>
  <c r="BJ106" i="111"/>
  <c r="BD79" i="109"/>
  <c r="AC64" i="113"/>
  <c r="AI12" i="108"/>
  <c r="BA65" i="113"/>
  <c r="BC74" i="114"/>
  <c r="AN52" i="113"/>
  <c r="AZ18" i="112"/>
  <c r="AN74" i="111"/>
  <c r="AO63" i="113"/>
  <c r="BJ106" i="110"/>
  <c r="AG21" i="114"/>
  <c r="BF57" i="113"/>
  <c r="AP9" i="109"/>
  <c r="BI52" i="110"/>
  <c r="AB64" i="113"/>
  <c r="BF62" i="111"/>
  <c r="BF69" i="114"/>
  <c r="AE18" i="108"/>
  <c r="AJ65" i="112"/>
  <c r="T18" i="110"/>
  <c r="BO24" i="111"/>
  <c r="BH52" i="108"/>
  <c r="AE63" i="112"/>
  <c r="AL62" i="110"/>
  <c r="AY12" i="114"/>
  <c r="BI65" i="113"/>
  <c r="BG74" i="114"/>
  <c r="BH80" i="109"/>
  <c r="AB106" i="113"/>
  <c r="AP63" i="110"/>
  <c r="O9" i="113"/>
  <c r="AL66" i="113"/>
  <c r="AU65" i="110"/>
  <c r="BE68" i="114"/>
  <c r="AS78" i="111"/>
  <c r="AW52" i="113"/>
  <c r="BJ78" i="108"/>
  <c r="AV52" i="110"/>
  <c r="AK73" i="114"/>
  <c r="AT106" i="113"/>
  <c r="AY62" i="113"/>
  <c r="AO73" i="110"/>
  <c r="BN64" i="110"/>
  <c r="AG78" i="109"/>
  <c r="AS66" i="114"/>
  <c r="AH79" i="112"/>
  <c r="AS65" i="111"/>
  <c r="P18" i="110"/>
  <c r="AG106" i="111"/>
  <c r="AT73" i="110"/>
  <c r="AZ9" i="112"/>
  <c r="BN80" i="114"/>
  <c r="AP78" i="114"/>
  <c r="AB62" i="109"/>
  <c r="N9" i="108"/>
  <c r="BK106" i="112"/>
  <c r="AI66" i="111"/>
  <c r="AV64" i="111"/>
  <c r="U12" i="110"/>
  <c r="AJ9" i="111"/>
  <c r="BB74" i="109"/>
  <c r="AH24" i="112"/>
  <c r="BI73" i="111"/>
  <c r="AP63" i="108"/>
  <c r="BE57" i="113"/>
  <c r="AH62" i="108"/>
  <c r="AG63" i="111"/>
  <c r="BD78" i="109"/>
  <c r="AK9" i="110"/>
  <c r="BC79" i="110"/>
  <c r="AM78" i="112"/>
  <c r="AK65" i="109"/>
  <c r="AJ74" i="111"/>
  <c r="AC65" i="113"/>
  <c r="AF66" i="112"/>
  <c r="BA67" i="108"/>
  <c r="BF18" i="114"/>
  <c r="G21" i="114"/>
  <c r="AE106" i="109"/>
  <c r="AU52" i="111"/>
  <c r="AA78" i="108"/>
  <c r="R24" i="114"/>
  <c r="AF57" i="112"/>
  <c r="AI67" i="114"/>
  <c r="AC106" i="111"/>
  <c r="AV66" i="114"/>
  <c r="AZ69" i="111"/>
  <c r="AI9" i="108"/>
  <c r="AK80" i="113"/>
  <c r="AJ80" i="113"/>
  <c r="AA78" i="109"/>
  <c r="AY68" i="114"/>
  <c r="G21" i="109"/>
  <c r="AP73" i="111"/>
  <c r="BJ106" i="108"/>
  <c r="BG79" i="108"/>
  <c r="Y64" i="108"/>
  <c r="BE63" i="108"/>
  <c r="AE68" i="109"/>
  <c r="AN21" i="114"/>
  <c r="BG78" i="110"/>
  <c r="AH68" i="114"/>
  <c r="AZ63" i="111"/>
  <c r="AE52" i="108"/>
  <c r="AU63" i="109"/>
  <c r="BE65" i="114"/>
  <c r="AK24" i="110"/>
  <c r="M9" i="113"/>
  <c r="AE78" i="112"/>
  <c r="AP64" i="108"/>
  <c r="AM69" i="109"/>
  <c r="BB52" i="109"/>
  <c r="AI68" i="109"/>
  <c r="BE57" i="111"/>
  <c r="BI73" i="113"/>
  <c r="BH52" i="113"/>
  <c r="BH52" i="109"/>
  <c r="BB18" i="113"/>
  <c r="AP80" i="108"/>
  <c r="BG12" i="113"/>
  <c r="AV12" i="102"/>
  <c r="BJ74" i="112"/>
  <c r="Y62" i="114"/>
  <c r="AE68" i="110"/>
  <c r="AA106" i="113"/>
  <c r="AD69" i="114"/>
  <c r="AN74" i="113"/>
  <c r="AL24" i="113"/>
  <c r="AX57" i="110"/>
  <c r="AW63" i="112"/>
  <c r="AE65" i="110"/>
  <c r="AK24" i="109"/>
  <c r="AF12" i="111"/>
  <c r="AH106" i="114"/>
  <c r="AJ24" i="112"/>
  <c r="AM62" i="110"/>
  <c r="BK67" i="108"/>
  <c r="AY68" i="109"/>
  <c r="AU57" i="114"/>
  <c r="AZ64" i="113"/>
  <c r="S18" i="112"/>
  <c r="BN62" i="108"/>
  <c r="BD9" i="109"/>
  <c r="AP65" i="108"/>
  <c r="AS79" i="111"/>
  <c r="AD69" i="108"/>
  <c r="AT12" i="110"/>
  <c r="AF62" i="111"/>
  <c r="AM52" i="110"/>
  <c r="AJ67" i="114"/>
  <c r="AY12" i="110"/>
  <c r="AV78" i="114"/>
  <c r="AX65" i="111"/>
  <c r="AP9" i="108"/>
  <c r="AW73" i="113"/>
  <c r="BO12" i="113"/>
  <c r="BN66" i="111"/>
  <c r="AK78" i="112"/>
  <c r="BI63" i="109"/>
  <c r="AC63" i="109"/>
  <c r="AK18" i="114"/>
  <c r="AC106" i="114"/>
  <c r="AU12" i="111"/>
  <c r="BI73" i="112"/>
  <c r="BB80" i="114"/>
  <c r="AY69" i="114"/>
  <c r="AP68" i="111"/>
  <c r="BJ73" i="113"/>
  <c r="AK52" i="108"/>
  <c r="AF21" i="108"/>
  <c r="R18" i="112"/>
  <c r="BH69" i="111"/>
  <c r="BC78" i="114"/>
  <c r="AN64" i="111"/>
  <c r="BN66" i="113"/>
  <c r="U21" i="109"/>
  <c r="AZ18" i="114"/>
  <c r="AT74" i="111"/>
  <c r="AJ52" i="114"/>
  <c r="BI62" i="112"/>
  <c r="AH80" i="109"/>
  <c r="BE63" i="111"/>
  <c r="AS66" i="111"/>
  <c r="AD106" i="110"/>
  <c r="BK69" i="111"/>
  <c r="AW64" i="112"/>
  <c r="AM12" i="114"/>
  <c r="AZ68" i="112"/>
  <c r="BG12" i="108"/>
  <c r="AB106" i="111"/>
  <c r="BO64" i="113"/>
  <c r="AL106" i="114"/>
  <c r="AT69" i="114"/>
  <c r="M24" i="111"/>
  <c r="V24" i="110"/>
  <c r="BH9" i="110"/>
  <c r="BK74" i="110"/>
  <c r="AT68" i="109"/>
  <c r="AX106" i="114"/>
  <c r="BE78" i="108"/>
  <c r="AL62" i="108"/>
  <c r="AY57" i="114"/>
  <c r="AX66" i="111"/>
  <c r="AK78" i="113"/>
  <c r="AW69" i="111"/>
  <c r="AE65" i="113"/>
  <c r="AA80" i="112"/>
  <c r="BK66" i="110"/>
  <c r="AA63" i="108"/>
  <c r="BB69" i="110"/>
  <c r="AS63" i="109"/>
  <c r="AA62" i="109"/>
  <c r="Q12" i="108"/>
  <c r="AM63" i="109"/>
  <c r="AW69" i="108"/>
  <c r="Q18" i="114"/>
  <c r="R12" i="112"/>
  <c r="AF62" i="113"/>
  <c r="BJ63" i="111"/>
  <c r="AX65" i="109"/>
  <c r="BI12" i="108"/>
  <c r="BC69" i="109"/>
  <c r="AJ66" i="110"/>
  <c r="BB65" i="108"/>
  <c r="AC67" i="108"/>
  <c r="AO69" i="113"/>
  <c r="AT68" i="114"/>
  <c r="AI79" i="110"/>
  <c r="O18" i="114"/>
  <c r="AS63" i="114"/>
  <c r="AX52" i="112"/>
  <c r="BK74" i="114"/>
  <c r="BD80" i="108"/>
  <c r="AC69" i="110"/>
  <c r="AE73" i="111"/>
  <c r="BE64" i="111"/>
  <c r="AT57" i="108"/>
  <c r="BG57" i="112"/>
  <c r="AX66" i="114"/>
  <c r="BE79" i="108"/>
  <c r="AH68" i="112"/>
  <c r="AN52" i="108"/>
  <c r="AF79" i="109"/>
  <c r="BD106" i="110"/>
  <c r="BE106" i="114"/>
  <c r="T18" i="113"/>
  <c r="S9" i="112"/>
  <c r="BF12" i="111"/>
  <c r="AW78" i="114"/>
  <c r="BD66" i="110"/>
  <c r="BH67" i="112"/>
  <c r="AA65" i="113"/>
  <c r="AC57" i="110"/>
  <c r="AS9" i="108"/>
  <c r="AD74" i="110"/>
  <c r="AA79" i="112"/>
  <c r="R18" i="109"/>
  <c r="AL57" i="113"/>
  <c r="BN64" i="109"/>
  <c r="AF74" i="112"/>
  <c r="AZ74" i="113"/>
  <c r="AT66" i="110"/>
  <c r="AG52" i="114"/>
  <c r="BA106" i="109"/>
  <c r="BO67" i="110"/>
  <c r="AJ68" i="111"/>
  <c r="T12" i="112"/>
  <c r="BA63" i="114"/>
  <c r="Z106" i="108"/>
  <c r="AN65" i="114"/>
  <c r="AS80" i="110"/>
  <c r="AE65" i="109"/>
  <c r="G18" i="111"/>
  <c r="AU79" i="109"/>
  <c r="AY52" i="110"/>
  <c r="AO63" i="114"/>
  <c r="AV73" i="110"/>
  <c r="BA69" i="109"/>
  <c r="AT79" i="111"/>
  <c r="S12" i="109"/>
  <c r="AN18" i="109"/>
  <c r="BN62" i="109"/>
  <c r="BN63" i="109"/>
  <c r="AA67" i="108"/>
  <c r="AI106" i="112"/>
  <c r="AX65" i="114"/>
  <c r="AD62" i="114"/>
  <c r="AZ80" i="110"/>
  <c r="AJ24" i="114"/>
  <c r="BG12" i="112"/>
  <c r="BB78" i="108"/>
  <c r="R18" i="110"/>
  <c r="AN12" i="112"/>
  <c r="AW106" i="113"/>
  <c r="BI68" i="114"/>
  <c r="BC62" i="110"/>
  <c r="AJ68" i="109"/>
  <c r="AW79" i="112"/>
  <c r="AU12" i="109"/>
  <c r="BG57" i="110"/>
  <c r="BC74" i="110"/>
  <c r="T18" i="108"/>
  <c r="AF74" i="111"/>
  <c r="BG18" i="110"/>
  <c r="AT65" i="111"/>
  <c r="BK66" i="113"/>
  <c r="BO12" i="112"/>
  <c r="AE12" i="113"/>
  <c r="BO80" i="113"/>
  <c r="AT64" i="108"/>
  <c r="AH24" i="114"/>
  <c r="BB66" i="108"/>
  <c r="AG73" i="114"/>
  <c r="BD52" i="112"/>
  <c r="BN66" i="109"/>
  <c r="BB68" i="110"/>
  <c r="BK18" i="108"/>
  <c r="AP68" i="113"/>
  <c r="AL18" i="114"/>
  <c r="T12" i="113"/>
  <c r="BF69" i="110"/>
  <c r="AM74" i="114"/>
  <c r="BF12" i="109"/>
  <c r="BF18" i="109"/>
  <c r="AZ106" i="108"/>
  <c r="AS66" i="110"/>
  <c r="AK64" i="110"/>
  <c r="AE67" i="111"/>
  <c r="BN62" i="113"/>
  <c r="AN73" i="111"/>
  <c r="BK63" i="111"/>
  <c r="AE9" i="110"/>
  <c r="AU80" i="111"/>
  <c r="BN78" i="110"/>
  <c r="AH64" i="111"/>
  <c r="BJ57" i="109"/>
  <c r="BA52" i="112"/>
  <c r="Y63" i="112"/>
  <c r="AZ62" i="110"/>
  <c r="AL65" i="108"/>
  <c r="AC24" i="114"/>
  <c r="AO64" i="113"/>
  <c r="AS52" i="114"/>
  <c r="AS79" i="114"/>
  <c r="BA80" i="108"/>
  <c r="AL66" i="114"/>
  <c r="AX57" i="111"/>
  <c r="AA57" i="112"/>
  <c r="AG64" i="112"/>
  <c r="AJ64" i="110"/>
  <c r="Q21" i="114"/>
  <c r="AO68" i="108"/>
  <c r="AE24" i="112"/>
  <c r="O24" i="114"/>
  <c r="BD79" i="114"/>
  <c r="AB106" i="112"/>
  <c r="AU66" i="112"/>
  <c r="AA57" i="113"/>
  <c r="AA74" i="108"/>
  <c r="AO78" i="111"/>
  <c r="AC74" i="109"/>
  <c r="AL106" i="111"/>
  <c r="AK106" i="109"/>
  <c r="AF64" i="110"/>
  <c r="BE74" i="113"/>
  <c r="BA12" i="112"/>
  <c r="BG106" i="112"/>
  <c r="AL73" i="111"/>
  <c r="AT64" i="111"/>
  <c r="BD9" i="108"/>
  <c r="AF65" i="110"/>
  <c r="AC80" i="113"/>
  <c r="AG73" i="110"/>
  <c r="BK57" i="109"/>
  <c r="Y68" i="112"/>
  <c r="BO78" i="114"/>
  <c r="BB9" i="114"/>
  <c r="R9" i="111"/>
  <c r="BJ62" i="108"/>
  <c r="AD79" i="109"/>
  <c r="AO106" i="109"/>
  <c r="BD69" i="110"/>
  <c r="Z106" i="111"/>
  <c r="AS69" i="113"/>
  <c r="BD65" i="113"/>
  <c r="AY52" i="109"/>
  <c r="AS65" i="113"/>
  <c r="AS9" i="110"/>
  <c r="AF66" i="109"/>
  <c r="AH65" i="110"/>
  <c r="N24" i="113"/>
  <c r="BB18" i="111"/>
  <c r="AU52" i="114"/>
  <c r="BD67" i="108"/>
  <c r="G24" i="112"/>
  <c r="AM57" i="113"/>
  <c r="BA18" i="111"/>
  <c r="AB79" i="111"/>
  <c r="AU12" i="110"/>
  <c r="AH65" i="109"/>
  <c r="AU64" i="112"/>
  <c r="BJ73" i="108"/>
  <c r="AA57" i="114"/>
  <c r="BK68" i="112"/>
  <c r="AY18" i="112"/>
  <c r="AF79" i="110"/>
  <c r="AE106" i="108"/>
  <c r="AB67" i="110"/>
  <c r="AD68" i="113"/>
  <c r="BI73" i="110"/>
  <c r="AJ69" i="112"/>
  <c r="AD65" i="113"/>
  <c r="AA57" i="109"/>
  <c r="BB80" i="110"/>
  <c r="Y69" i="109"/>
  <c r="AH63" i="111"/>
  <c r="AP52" i="111"/>
  <c r="AP80" i="109"/>
  <c r="BI64" i="114"/>
  <c r="BO63" i="113"/>
  <c r="AF57" i="111"/>
  <c r="BA66" i="108"/>
  <c r="BO67" i="109"/>
  <c r="U24" i="113"/>
  <c r="BK65" i="114"/>
  <c r="AM63" i="113"/>
  <c r="Y78" i="114"/>
  <c r="AI79" i="108"/>
  <c r="BO21" i="110"/>
  <c r="AI62" i="114"/>
  <c r="BE62" i="110"/>
  <c r="AA9" i="114"/>
  <c r="AY69" i="109"/>
  <c r="AJ68" i="110"/>
  <c r="AE21" i="113"/>
  <c r="AW62" i="112"/>
  <c r="AF73" i="111"/>
  <c r="AC74" i="110"/>
  <c r="AL74" i="110"/>
  <c r="AN57" i="112"/>
  <c r="BC52" i="109"/>
  <c r="V12" i="113"/>
  <c r="AH62" i="110"/>
  <c r="BH73" i="108"/>
  <c r="BG69" i="113"/>
  <c r="AP18" i="113"/>
  <c r="T18" i="114"/>
  <c r="AF78" i="114"/>
  <c r="BD57" i="112"/>
  <c r="AB80" i="113"/>
  <c r="AX74" i="114"/>
  <c r="BO79" i="108"/>
  <c r="AU57" i="111"/>
  <c r="AI74" i="109"/>
  <c r="AM73" i="111"/>
  <c r="AL74" i="108"/>
  <c r="Y18" i="114"/>
  <c r="AT63" i="108"/>
  <c r="AA65" i="110"/>
  <c r="BD12" i="113"/>
  <c r="AH69" i="111"/>
  <c r="AB57" i="110"/>
  <c r="AW68" i="110"/>
  <c r="AT62" i="112"/>
  <c r="AT67" i="110"/>
  <c r="AU69" i="108"/>
  <c r="AI21" i="113"/>
  <c r="BO65" i="114"/>
  <c r="AH9" i="113"/>
  <c r="AG66" i="112"/>
  <c r="BO18" i="113"/>
  <c r="Z80" i="108"/>
  <c r="Y78" i="113"/>
  <c r="AO67" i="110"/>
  <c r="AV69" i="111"/>
  <c r="AD64" i="111"/>
  <c r="BB68" i="113"/>
  <c r="Y78" i="110"/>
  <c r="BI67" i="110"/>
  <c r="BO68" i="110"/>
  <c r="AY57" i="112"/>
  <c r="U9" i="111"/>
  <c r="AA78" i="110"/>
  <c r="AS9" i="113"/>
  <c r="BE79" i="113"/>
  <c r="AF78" i="111"/>
  <c r="AW57" i="109"/>
  <c r="AB78" i="114"/>
  <c r="AF79" i="111"/>
  <c r="AF67" i="114"/>
  <c r="BI68" i="112"/>
  <c r="AV57" i="112"/>
  <c r="AN74" i="109"/>
  <c r="BK18" i="113"/>
  <c r="BF9" i="110"/>
  <c r="AJ106" i="109"/>
  <c r="AY67" i="110"/>
  <c r="AY12" i="112"/>
  <c r="BF69" i="113"/>
  <c r="AM73" i="110"/>
  <c r="AN79" i="113"/>
  <c r="O18" i="112"/>
  <c r="N9" i="111"/>
  <c r="AS69" i="110"/>
  <c r="BB80" i="108"/>
  <c r="AE78" i="113"/>
  <c r="AS57" i="114"/>
  <c r="BK52" i="111"/>
  <c r="AP65" i="113"/>
  <c r="BI106" i="112"/>
  <c r="AK69" i="112"/>
  <c r="AK69" i="108"/>
  <c r="AJ57" i="112"/>
  <c r="BA80" i="110"/>
  <c r="BA63" i="112"/>
  <c r="AI68" i="111"/>
  <c r="BC65" i="108"/>
  <c r="AA67" i="109"/>
  <c r="BG12" i="110"/>
  <c r="BF64" i="114"/>
  <c r="AW79" i="110"/>
  <c r="AT69" i="112"/>
  <c r="BC64" i="109"/>
  <c r="AW63" i="108"/>
  <c r="AJ24" i="111"/>
  <c r="BB9" i="110"/>
  <c r="AD57" i="109"/>
  <c r="BA57" i="114"/>
  <c r="AU106" i="114"/>
  <c r="AY12" i="111"/>
  <c r="AX66" i="108"/>
  <c r="AK68" i="111"/>
  <c r="AV79" i="111"/>
  <c r="BG78" i="108"/>
  <c r="BJ73" i="109"/>
  <c r="BB79" i="109"/>
  <c r="AY78" i="112"/>
  <c r="AD106" i="112"/>
  <c r="AO9" i="113"/>
  <c r="Z9" i="113"/>
  <c r="AG62" i="111"/>
  <c r="AK24" i="108"/>
  <c r="AF78" i="113"/>
  <c r="AW12" i="108"/>
  <c r="BF18" i="110"/>
  <c r="BJ69" i="113"/>
  <c r="AW78" i="111"/>
  <c r="AZ57" i="113"/>
  <c r="AM18" i="109"/>
  <c r="AU79" i="111"/>
  <c r="BA73" i="109"/>
  <c r="BD52" i="109"/>
  <c r="AJ21" i="114"/>
  <c r="AW66" i="109"/>
  <c r="AJ64" i="109"/>
  <c r="BJ69" i="109"/>
  <c r="BN9" i="110"/>
  <c r="AO64" i="108"/>
  <c r="AH68" i="109"/>
  <c r="T18" i="109"/>
  <c r="O24" i="110"/>
  <c r="AG79" i="109"/>
  <c r="AT78" i="114"/>
  <c r="BN80" i="110"/>
  <c r="AT74" i="108"/>
  <c r="Y52" i="111"/>
  <c r="AF78" i="110"/>
  <c r="AX68" i="114"/>
  <c r="AW74" i="109"/>
  <c r="AX80" i="108"/>
  <c r="BE79" i="111"/>
  <c r="V21" i="112"/>
  <c r="AE64" i="108"/>
  <c r="AC106" i="112"/>
  <c r="AO64" i="111"/>
  <c r="BA52" i="109"/>
  <c r="BD63" i="111"/>
  <c r="Q24" i="114"/>
  <c r="AB74" i="109"/>
  <c r="BB52" i="110"/>
  <c r="AO62" i="113"/>
  <c r="P24" i="108"/>
  <c r="G21" i="113"/>
  <c r="BJ9" i="109"/>
  <c r="AT73" i="108"/>
  <c r="AC21" i="111"/>
  <c r="BI67" i="113"/>
  <c r="AL57" i="114"/>
  <c r="AW78" i="109"/>
  <c r="AI52" i="110"/>
  <c r="AN18" i="111"/>
  <c r="AA73" i="112"/>
  <c r="AC66" i="113"/>
  <c r="AA79" i="114"/>
  <c r="BC64" i="112"/>
  <c r="BH69" i="109"/>
  <c r="AK63" i="112"/>
  <c r="AP68" i="108"/>
  <c r="AV9" i="110"/>
  <c r="AV62" i="110"/>
  <c r="AN12" i="114"/>
  <c r="Z24" i="114"/>
  <c r="AA12" i="108"/>
  <c r="AM73" i="109"/>
  <c r="AI21" i="111"/>
  <c r="AB57" i="114"/>
  <c r="AA65" i="109"/>
  <c r="BE67" i="110"/>
  <c r="AS63" i="112"/>
  <c r="AT9" i="113"/>
  <c r="BJ74" i="108"/>
  <c r="BH67" i="109"/>
  <c r="Z18" i="114"/>
  <c r="BO62" i="109"/>
  <c r="AP79" i="111"/>
  <c r="AX74" i="110"/>
  <c r="AJ21" i="111"/>
  <c r="O9" i="112"/>
  <c r="AE80" i="112"/>
  <c r="BE67" i="114"/>
  <c r="BC52" i="111"/>
  <c r="AF57" i="113"/>
  <c r="AE24" i="109"/>
  <c r="BD67" i="109"/>
  <c r="AI78" i="113"/>
  <c r="AT9" i="114"/>
  <c r="BG52" i="108"/>
  <c r="V9" i="113"/>
  <c r="BB73" i="109"/>
  <c r="AW106" i="110"/>
  <c r="AX63" i="112"/>
  <c r="AE62" i="114"/>
  <c r="AZ9" i="110"/>
  <c r="AF64" i="112"/>
  <c r="S18" i="110"/>
  <c r="AE12" i="111"/>
  <c r="BC64" i="114"/>
  <c r="Y66" i="114"/>
  <c r="BI79" i="109"/>
  <c r="AH57" i="113"/>
  <c r="AO67" i="112"/>
  <c r="BA68" i="110"/>
  <c r="BI52" i="113"/>
  <c r="AV63" i="109"/>
  <c r="BH79" i="110"/>
  <c r="BN78" i="114"/>
  <c r="AW79" i="108"/>
  <c r="AO106" i="112"/>
  <c r="AJ67" i="113"/>
  <c r="AV57" i="108"/>
  <c r="AL21" i="111"/>
  <c r="AV63" i="112"/>
  <c r="AI80" i="109"/>
  <c r="BO79" i="109"/>
  <c r="BI79" i="113"/>
  <c r="AJ69" i="113"/>
  <c r="AL73" i="110"/>
  <c r="AP18" i="111"/>
  <c r="AH69" i="109"/>
  <c r="BC66" i="110"/>
  <c r="AH79" i="108"/>
  <c r="BB68" i="112"/>
  <c r="AW66" i="108"/>
  <c r="AG79" i="108"/>
  <c r="AK79" i="112"/>
  <c r="BO64" i="112"/>
  <c r="AU66" i="109"/>
  <c r="AL64" i="109"/>
  <c r="AY68" i="112"/>
  <c r="BJ78" i="113"/>
  <c r="AN73" i="113"/>
  <c r="AD24" i="112"/>
  <c r="AF106" i="108"/>
  <c r="AU18" i="114"/>
  <c r="BK78" i="113"/>
  <c r="BO63" i="114"/>
  <c r="BB57" i="109"/>
  <c r="AX106" i="113"/>
  <c r="AT80" i="110"/>
  <c r="BF68" i="112"/>
  <c r="AO106" i="110"/>
  <c r="AD24" i="109"/>
  <c r="BI74" i="110"/>
  <c r="AI52" i="113"/>
  <c r="BO66" i="111"/>
  <c r="AU69" i="113"/>
  <c r="BB65" i="111"/>
  <c r="AE18" i="113"/>
  <c r="BD18" i="112"/>
  <c r="AW65" i="114"/>
  <c r="BH64" i="110"/>
  <c r="AL57" i="110"/>
  <c r="BG65" i="111"/>
  <c r="AX66" i="113"/>
  <c r="BF106" i="108"/>
  <c r="AC67" i="109"/>
  <c r="AZ106" i="113"/>
  <c r="BD74" i="114"/>
  <c r="AL24" i="110"/>
  <c r="AX68" i="111"/>
  <c r="M18" i="114"/>
  <c r="AH57" i="114"/>
  <c r="AF73" i="112"/>
  <c r="AL21" i="112"/>
  <c r="S24" i="109"/>
  <c r="AX74" i="108"/>
  <c r="AV62" i="109"/>
  <c r="AO65" i="114"/>
  <c r="AV62" i="108"/>
  <c r="BH80" i="110"/>
  <c r="BA57" i="112"/>
  <c r="AT65" i="110"/>
  <c r="AG66" i="113"/>
  <c r="AF73" i="109"/>
  <c r="AM21" i="111"/>
  <c r="U12" i="109"/>
  <c r="AE73" i="109"/>
  <c r="U9" i="108"/>
  <c r="BO73" i="112"/>
  <c r="AW52" i="110"/>
  <c r="BF79" i="112"/>
  <c r="AB65" i="110"/>
  <c r="AW12" i="111"/>
  <c r="BA65" i="110"/>
  <c r="AS68" i="114"/>
  <c r="AL74" i="111"/>
  <c r="BD78" i="108"/>
  <c r="G18" i="112"/>
  <c r="AF21" i="111"/>
  <c r="BB9" i="111"/>
  <c r="P24" i="114"/>
  <c r="BI106" i="109"/>
  <c r="AO106" i="113"/>
  <c r="AV63" i="108"/>
  <c r="AF79" i="112"/>
  <c r="AD52" i="113"/>
  <c r="AI66" i="113"/>
  <c r="AC69" i="109"/>
  <c r="AC62" i="109"/>
  <c r="AE69" i="111"/>
  <c r="Y57" i="108"/>
  <c r="AX64" i="110"/>
  <c r="BE68" i="112"/>
  <c r="BF57" i="108"/>
  <c r="BN65" i="112"/>
  <c r="BB63" i="114"/>
  <c r="BE63" i="114"/>
  <c r="AU57" i="108"/>
  <c r="AE67" i="114"/>
  <c r="AC63" i="113"/>
  <c r="BJ79" i="109"/>
  <c r="BJ57" i="113"/>
  <c r="AU74" i="108"/>
  <c r="BO68" i="113"/>
  <c r="AV18" i="112"/>
  <c r="AI9" i="109"/>
  <c r="AF63" i="113"/>
  <c r="AM9" i="109"/>
  <c r="AX18" i="111"/>
  <c r="AS65" i="114"/>
  <c r="AA106" i="114"/>
  <c r="AG69" i="110"/>
  <c r="AO79" i="112"/>
  <c r="AO69" i="109"/>
  <c r="P18" i="109"/>
  <c r="AX68" i="113"/>
  <c r="BE73" i="114"/>
  <c r="AU57" i="110"/>
  <c r="T18" i="112"/>
  <c r="AY64" i="111"/>
  <c r="AE73" i="113"/>
  <c r="BK62" i="111"/>
  <c r="AO64" i="114"/>
  <c r="AI66" i="114"/>
  <c r="BO73" i="113"/>
  <c r="AA64" i="114"/>
  <c r="O24" i="108"/>
  <c r="BJ74" i="111"/>
  <c r="AH79" i="109"/>
  <c r="AU9" i="110"/>
  <c r="BH67" i="108"/>
  <c r="AP79" i="109"/>
  <c r="AS66" i="102"/>
  <c r="BA63" i="108"/>
  <c r="AO64" i="110"/>
  <c r="AI67" i="108"/>
  <c r="AI62" i="109"/>
  <c r="AU68" i="112"/>
  <c r="BE12" i="110"/>
  <c r="AN74" i="114"/>
  <c r="AF63" i="112"/>
  <c r="AG68" i="112"/>
  <c r="AN52" i="112"/>
  <c r="AE74" i="111"/>
  <c r="S9" i="114"/>
  <c r="AF9" i="112"/>
  <c r="BB18" i="110"/>
  <c r="AS65" i="112"/>
  <c r="BN9" i="111"/>
  <c r="AS74" i="113"/>
  <c r="AG78" i="113"/>
  <c r="BF68" i="111"/>
  <c r="Y67" i="109"/>
  <c r="AY18" i="114"/>
  <c r="AL67" i="109"/>
  <c r="AO9" i="112"/>
  <c r="AT106" i="109"/>
  <c r="T12" i="109"/>
  <c r="AL67" i="111"/>
  <c r="BE78" i="112"/>
  <c r="BJ69" i="112"/>
  <c r="AB64" i="112"/>
  <c r="BD69" i="114"/>
  <c r="AF69" i="109"/>
  <c r="AZ12" i="113"/>
  <c r="AV68" i="111"/>
  <c r="AP62" i="108"/>
  <c r="AG79" i="111"/>
  <c r="AZ9" i="113"/>
  <c r="G24" i="108"/>
  <c r="AW12" i="102"/>
  <c r="Z68" i="113"/>
  <c r="AK106" i="108"/>
  <c r="AA74" i="112"/>
  <c r="AD57" i="114"/>
  <c r="AX69" i="111"/>
  <c r="AS62" i="112"/>
  <c r="AA73" i="109"/>
  <c r="BN12" i="112"/>
  <c r="BB12" i="112"/>
  <c r="O18" i="108"/>
  <c r="AU64" i="109"/>
  <c r="AF80" i="111"/>
  <c r="BO79" i="112"/>
  <c r="AN64" i="114"/>
  <c r="AT63" i="112"/>
  <c r="AU78" i="114"/>
  <c r="AX57" i="109"/>
  <c r="AM73" i="112"/>
  <c r="BI80" i="109"/>
  <c r="AG12" i="110"/>
  <c r="AD57" i="112"/>
  <c r="AA69" i="110"/>
  <c r="AK74" i="111"/>
  <c r="Y67" i="112"/>
  <c r="AD9" i="111"/>
  <c r="AH106" i="112"/>
  <c r="AX79" i="114"/>
  <c r="AK79" i="113"/>
  <c r="AU80" i="112"/>
  <c r="AK65" i="108"/>
  <c r="BG66" i="110"/>
  <c r="BG79" i="113"/>
  <c r="AF66" i="111"/>
  <c r="AV67" i="114"/>
  <c r="AJ9" i="110"/>
  <c r="Y74" i="110"/>
  <c r="AS78" i="113"/>
  <c r="AZ73" i="114"/>
  <c r="AO12" i="110"/>
  <c r="AP18" i="110"/>
  <c r="AD67" i="112"/>
  <c r="U18" i="114"/>
  <c r="AV18" i="108"/>
  <c r="AI73" i="110"/>
  <c r="AZ68" i="109"/>
  <c r="AF12" i="110"/>
  <c r="AU78" i="109"/>
  <c r="AY80" i="108"/>
  <c r="AX9" i="111"/>
  <c r="BG79" i="111"/>
  <c r="AW80" i="108"/>
  <c r="AT68" i="111"/>
  <c r="BC57" i="108"/>
  <c r="AJ18" i="110"/>
  <c r="AC74" i="113"/>
  <c r="AO52" i="114"/>
  <c r="BG69" i="112"/>
  <c r="AP66" i="110"/>
  <c r="Y106" i="113"/>
  <c r="AA73" i="111"/>
  <c r="AO63" i="109"/>
  <c r="AZ62" i="109"/>
  <c r="Y65" i="114"/>
  <c r="T21" i="114"/>
  <c r="BI65" i="110"/>
  <c r="AF74" i="114"/>
  <c r="AX78" i="109"/>
  <c r="AM64" i="109"/>
  <c r="AJ106" i="114"/>
  <c r="AI24" i="110"/>
  <c r="BK73" i="109"/>
  <c r="AU63" i="111"/>
  <c r="AN65" i="113"/>
  <c r="BH74" i="112"/>
  <c r="AP64" i="109"/>
  <c r="BD66" i="111"/>
  <c r="P24" i="110"/>
  <c r="BG80" i="114"/>
  <c r="AH12" i="108"/>
  <c r="AW80" i="109"/>
  <c r="BA74" i="111"/>
  <c r="BH52" i="114"/>
  <c r="AK68" i="109"/>
  <c r="AT68" i="112"/>
  <c r="BB73" i="110"/>
  <c r="BC106" i="114"/>
  <c r="AX80" i="114"/>
  <c r="AB69" i="109"/>
  <c r="Y68" i="114"/>
  <c r="BA9" i="111"/>
  <c r="V12" i="114"/>
  <c r="AE24" i="113"/>
  <c r="AN80" i="109"/>
  <c r="BF68" i="109"/>
  <c r="AI64" i="113"/>
  <c r="AY64" i="110"/>
  <c r="BH66" i="112"/>
  <c r="AT57" i="112"/>
  <c r="BJ9" i="113"/>
  <c r="AE52" i="111"/>
  <c r="AP64" i="111"/>
  <c r="AJ78" i="108"/>
  <c r="AT69" i="110"/>
  <c r="AA57" i="111"/>
  <c r="AT66" i="112"/>
  <c r="N21" i="109"/>
  <c r="AZ69" i="110"/>
  <c r="P24" i="109"/>
  <c r="AG24" i="108"/>
  <c r="Q9" i="112"/>
  <c r="BB74" i="110"/>
  <c r="BH73" i="114"/>
  <c r="AI69" i="111"/>
  <c r="AE79" i="109"/>
  <c r="AW64" i="108"/>
  <c r="AI68" i="108"/>
  <c r="AK66" i="113"/>
  <c r="M24" i="109"/>
  <c r="BD66" i="109"/>
  <c r="AH74" i="110"/>
  <c r="AI66" i="108"/>
  <c r="AN69" i="111"/>
  <c r="AV18" i="110"/>
  <c r="Q9" i="110"/>
  <c r="AN65" i="110"/>
  <c r="AZ65" i="112"/>
  <c r="P12" i="114"/>
  <c r="BB9" i="108"/>
  <c r="AL24" i="111"/>
  <c r="BA52" i="114"/>
  <c r="AT78" i="113"/>
  <c r="Z9" i="108"/>
  <c r="AF21" i="110"/>
  <c r="AA18" i="108"/>
  <c r="AW67" i="114"/>
  <c r="BB66" i="110"/>
  <c r="AZ66" i="110"/>
  <c r="O12" i="112"/>
  <c r="AO9" i="110"/>
  <c r="AK65" i="112"/>
  <c r="BN24" i="108"/>
  <c r="AJ57" i="108"/>
  <c r="AM52" i="114"/>
  <c r="Y18" i="110"/>
  <c r="Z79" i="108"/>
  <c r="BE12" i="111"/>
  <c r="AS79" i="112"/>
  <c r="BE80" i="112"/>
  <c r="BF74" i="110"/>
  <c r="BN79" i="114"/>
  <c r="BK18" i="114"/>
  <c r="AF12" i="112"/>
  <c r="AL63" i="112"/>
  <c r="AY66" i="114"/>
  <c r="BH66" i="113"/>
  <c r="AO21" i="110"/>
  <c r="BH69" i="108"/>
  <c r="AP12" i="111"/>
  <c r="AJ66" i="114"/>
  <c r="AN74" i="112"/>
  <c r="AW63" i="109"/>
  <c r="AL78" i="114"/>
  <c r="Y80" i="113"/>
  <c r="AM64" i="108"/>
  <c r="AM80" i="109"/>
  <c r="BH9" i="112"/>
  <c r="BC67" i="114"/>
  <c r="AP67" i="114"/>
  <c r="AY64" i="112"/>
  <c r="AH9" i="112"/>
  <c r="Y67" i="108"/>
  <c r="AI63" i="111"/>
  <c r="O24" i="109"/>
  <c r="BA74" i="108"/>
  <c r="BC9" i="109"/>
  <c r="AN67" i="112"/>
  <c r="BD65" i="112"/>
  <c r="Q18" i="108"/>
  <c r="AI9" i="113"/>
  <c r="AX64" i="109"/>
  <c r="AD67" i="114"/>
  <c r="L9" i="110"/>
  <c r="AZ12" i="110"/>
  <c r="H9" i="110"/>
  <c r="AN63" i="102"/>
  <c r="BG71" i="102"/>
  <c r="BD62" i="110"/>
  <c r="AT74" i="109"/>
  <c r="AO62" i="110"/>
  <c r="AF63" i="114"/>
  <c r="BG12" i="114"/>
  <c r="AW69" i="110"/>
  <c r="AV73" i="108"/>
  <c r="AZ57" i="111"/>
  <c r="AN63" i="108"/>
  <c r="Z80" i="111"/>
  <c r="AB65" i="112"/>
  <c r="BA18" i="110"/>
  <c r="L9" i="114"/>
  <c r="AU63" i="108"/>
  <c r="Z66" i="102"/>
  <c r="G21" i="102"/>
  <c r="AG9" i="110"/>
  <c r="BO73" i="110"/>
  <c r="AB21" i="108"/>
  <c r="G12" i="112"/>
  <c r="BN68" i="108"/>
  <c r="AN18" i="112"/>
  <c r="AB73" i="113"/>
  <c r="BH18" i="113"/>
  <c r="BC79" i="114"/>
  <c r="BF67" i="110"/>
  <c r="P24" i="112"/>
  <c r="BC67" i="109"/>
  <c r="R9" i="112"/>
  <c r="BC106" i="109"/>
  <c r="AG76" i="102"/>
  <c r="BI52" i="102"/>
  <c r="K9" i="108"/>
  <c r="AL67" i="108"/>
  <c r="AJ80" i="108"/>
  <c r="AF66" i="110"/>
  <c r="AO74" i="110"/>
  <c r="AM78" i="111"/>
  <c r="BA62" i="109"/>
  <c r="AC12" i="108"/>
  <c r="BI78" i="109"/>
  <c r="AA66" i="114"/>
  <c r="S24" i="110"/>
  <c r="AL65" i="110"/>
  <c r="AS78" i="112"/>
  <c r="AB66" i="109"/>
  <c r="BG79" i="109"/>
  <c r="BE9" i="108"/>
  <c r="BA67" i="110"/>
  <c r="BN9" i="113"/>
  <c r="AI73" i="114"/>
  <c r="AV68" i="112"/>
  <c r="AX65" i="108"/>
  <c r="AJ62" i="114"/>
  <c r="AU73" i="113"/>
  <c r="BG57" i="111"/>
  <c r="AZ62" i="114"/>
  <c r="AV52" i="112"/>
  <c r="BO21" i="108"/>
  <c r="BH62" i="114"/>
  <c r="AN106" i="114"/>
  <c r="Y63" i="109"/>
  <c r="BJ68" i="110"/>
  <c r="AI79" i="112"/>
  <c r="AN69" i="113"/>
  <c r="AH69" i="114"/>
  <c r="AY57" i="110"/>
  <c r="AN78" i="113"/>
  <c r="AH18" i="108"/>
  <c r="BG63" i="111"/>
  <c r="AZ18" i="113"/>
  <c r="AC18" i="111"/>
  <c r="AM79" i="113"/>
  <c r="AV106" i="108"/>
  <c r="AP21" i="109"/>
  <c r="Q12" i="111"/>
  <c r="J9" i="111"/>
  <c r="AT73" i="113"/>
  <c r="AS69" i="112"/>
  <c r="AJ21" i="112"/>
  <c r="AE62" i="110"/>
  <c r="BE65" i="109"/>
  <c r="AX68" i="110"/>
  <c r="AS106" i="113"/>
  <c r="AZ79" i="113"/>
  <c r="AC12" i="111"/>
  <c r="AL63" i="111"/>
  <c r="N12" i="109"/>
  <c r="AO78" i="113"/>
  <c r="AJ73" i="113"/>
  <c r="AB57" i="109"/>
  <c r="AL69" i="108"/>
  <c r="O18" i="109"/>
  <c r="BK64" i="113"/>
  <c r="BD79" i="113"/>
  <c r="AO80" i="112"/>
  <c r="M24" i="114"/>
  <c r="AJ65" i="108"/>
  <c r="AJ24" i="113"/>
  <c r="AZ12" i="112"/>
  <c r="AL69" i="109"/>
  <c r="AP12" i="110"/>
  <c r="BJ64" i="110"/>
  <c r="AF57" i="110"/>
  <c r="M9" i="114"/>
  <c r="BA67" i="114"/>
  <c r="BK12" i="110"/>
  <c r="AI80" i="108"/>
  <c r="AI18" i="109"/>
  <c r="AB12" i="109"/>
  <c r="AP67" i="108"/>
  <c r="BK79" i="111"/>
  <c r="P9" i="108"/>
  <c r="Z106" i="113"/>
  <c r="BE52" i="110"/>
  <c r="BK80" i="113"/>
  <c r="BI106" i="110"/>
  <c r="Y74" i="108"/>
  <c r="AF18" i="108"/>
  <c r="AM67" i="113"/>
  <c r="M18" i="112"/>
  <c r="AL52" i="111"/>
  <c r="S18" i="111"/>
  <c r="AO79" i="110"/>
  <c r="AZ67" i="113"/>
  <c r="BC12" i="109"/>
  <c r="BE12" i="114"/>
  <c r="AW52" i="108"/>
  <c r="AC66" i="114"/>
  <c r="Y52" i="112"/>
  <c r="AX79" i="110"/>
  <c r="AM64" i="111"/>
  <c r="T9" i="109"/>
  <c r="BI62" i="111"/>
  <c r="BD61" i="102"/>
  <c r="AZ65" i="109"/>
  <c r="AE57" i="112"/>
  <c r="AD64" i="109"/>
  <c r="AB63" i="112"/>
  <c r="BH63" i="112"/>
  <c r="AJ78" i="111"/>
  <c r="AW18" i="113"/>
  <c r="AP80" i="113"/>
  <c r="Z62" i="111"/>
  <c r="AO12" i="114"/>
  <c r="BI79" i="108"/>
  <c r="AI63" i="112"/>
  <c r="Y12" i="110"/>
  <c r="BN65" i="108"/>
  <c r="AI74" i="111"/>
  <c r="BE77" i="102"/>
  <c r="AI69" i="109"/>
  <c r="AT52" i="111"/>
  <c r="BE66" i="109"/>
  <c r="AL69" i="112"/>
  <c r="AI64" i="112"/>
  <c r="AJ74" i="112"/>
  <c r="AD63" i="110"/>
  <c r="Y24" i="112"/>
  <c r="AT65" i="114"/>
  <c r="AN69" i="114"/>
  <c r="AE106" i="110"/>
  <c r="AV18" i="109"/>
  <c r="AP67" i="111"/>
  <c r="AC24" i="113"/>
  <c r="BI69" i="112"/>
  <c r="AF69" i="112"/>
  <c r="AX57" i="108"/>
  <c r="BF79" i="111"/>
  <c r="AJ80" i="111"/>
  <c r="U18" i="110"/>
  <c r="AB79" i="109"/>
  <c r="AB57" i="112"/>
  <c r="AD52" i="108"/>
  <c r="AZ66" i="111"/>
  <c r="S18" i="113"/>
  <c r="AE79" i="108"/>
  <c r="BD106" i="113"/>
  <c r="BJ9" i="114"/>
  <c r="BD74" i="108"/>
  <c r="BH79" i="112"/>
  <c r="BJ106" i="113"/>
  <c r="O12" i="108"/>
  <c r="U12" i="108"/>
  <c r="AY64" i="113"/>
  <c r="BE67" i="108"/>
  <c r="AI65" i="110"/>
  <c r="BG63" i="113"/>
  <c r="BN24" i="110"/>
  <c r="AS74" i="114"/>
  <c r="BN9" i="112"/>
  <c r="AK65" i="111"/>
  <c r="AV64" i="110"/>
  <c r="BG67" i="114"/>
  <c r="BB18" i="114"/>
  <c r="BB52" i="108"/>
  <c r="BA57" i="109"/>
  <c r="BN73" i="111"/>
  <c r="BA68" i="113"/>
  <c r="BG63" i="109"/>
  <c r="AZ80" i="111"/>
  <c r="BH18" i="114"/>
  <c r="BD57" i="110"/>
  <c r="AS63" i="110"/>
  <c r="AU65" i="112"/>
  <c r="BO62" i="108"/>
  <c r="AF106" i="113"/>
  <c r="Y66" i="112"/>
  <c r="AG21" i="113"/>
  <c r="AJ62" i="111"/>
  <c r="AL79" i="110"/>
  <c r="AA74" i="110"/>
  <c r="BH73" i="109"/>
  <c r="BN73" i="112"/>
  <c r="BH80" i="111"/>
  <c r="BC69" i="108"/>
  <c r="AU79" i="110"/>
  <c r="BD9" i="112"/>
  <c r="AM52" i="109"/>
  <c r="I9" i="112"/>
  <c r="AN80" i="113"/>
  <c r="AJ69" i="114"/>
  <c r="AP67" i="113"/>
  <c r="AP24" i="110"/>
  <c r="BH69" i="114"/>
  <c r="BJ57" i="111"/>
  <c r="BF78" i="109"/>
  <c r="AV18" i="114"/>
  <c r="AH57" i="108"/>
  <c r="AJ64" i="108"/>
  <c r="BN57" i="112"/>
  <c r="AN68" i="111"/>
  <c r="AK66" i="108"/>
  <c r="BH73" i="111"/>
  <c r="AL78" i="109"/>
  <c r="BC80" i="113"/>
  <c r="AI79" i="109"/>
  <c r="BN67" i="113"/>
  <c r="AG66" i="110"/>
  <c r="AH63" i="109"/>
  <c r="AI80" i="110"/>
  <c r="BN21" i="110"/>
  <c r="AA12" i="110"/>
  <c r="AJ67" i="110"/>
  <c r="AH73" i="113"/>
  <c r="AO12" i="102"/>
  <c r="AG74" i="112"/>
  <c r="T24" i="102"/>
  <c r="AG9" i="102"/>
  <c r="S18" i="108"/>
  <c r="AD63" i="111"/>
  <c r="AU62" i="111"/>
  <c r="Z69" i="109"/>
  <c r="AU79" i="113"/>
  <c r="T9" i="110"/>
  <c r="AK63" i="109"/>
  <c r="AX67" i="108"/>
  <c r="AE57" i="111"/>
  <c r="AA73" i="114"/>
  <c r="AU65" i="111"/>
  <c r="AP78" i="111"/>
  <c r="Z21" i="102"/>
  <c r="AY80" i="112"/>
  <c r="BF62" i="102"/>
  <c r="BF70" i="102"/>
  <c r="BK9" i="110"/>
  <c r="AE12" i="108"/>
  <c r="AT62" i="108"/>
  <c r="AH64" i="102"/>
  <c r="AI78" i="108"/>
  <c r="AF63" i="110"/>
  <c r="AP80" i="111"/>
  <c r="AM24" i="110"/>
  <c r="AC61" i="102"/>
  <c r="BB79" i="111"/>
  <c r="Y79" i="109"/>
  <c r="AX57" i="114"/>
  <c r="BE66" i="112"/>
  <c r="AS12" i="112"/>
  <c r="BE61" i="102"/>
  <c r="AJ69" i="108"/>
  <c r="AL74" i="109"/>
  <c r="BG63" i="114"/>
  <c r="V24" i="113"/>
  <c r="AA21" i="102"/>
  <c r="AF67" i="109"/>
  <c r="AI73" i="109"/>
  <c r="AL64" i="112"/>
  <c r="I9" i="110"/>
  <c r="AK62" i="109"/>
  <c r="BH62" i="113"/>
  <c r="BD68" i="111"/>
  <c r="AH21" i="113"/>
  <c r="AW69" i="114"/>
  <c r="BF62" i="112"/>
  <c r="AA21" i="109"/>
  <c r="BA18" i="112"/>
  <c r="AW74" i="111"/>
  <c r="U9" i="112"/>
  <c r="AA74" i="111"/>
  <c r="AA68" i="109"/>
  <c r="AJ80" i="114"/>
  <c r="BA62" i="112"/>
  <c r="AK63" i="113"/>
  <c r="BC64" i="108"/>
  <c r="AN65" i="111"/>
  <c r="AW62" i="108"/>
  <c r="BE63" i="110"/>
  <c r="AJ66" i="112"/>
  <c r="AI65" i="114"/>
  <c r="AI12" i="112"/>
  <c r="BI66" i="114"/>
  <c r="BD66" i="113"/>
  <c r="BF79" i="114"/>
  <c r="AG73" i="113"/>
  <c r="AZ106" i="112"/>
  <c r="AA79" i="111"/>
  <c r="R24" i="108"/>
  <c r="AP69" i="111"/>
  <c r="L9" i="109"/>
  <c r="Z106" i="110"/>
  <c r="BG68" i="114"/>
  <c r="AC67" i="111"/>
  <c r="Y68" i="109"/>
  <c r="AO21" i="114"/>
  <c r="AW57" i="110"/>
  <c r="AX9" i="112"/>
  <c r="BJ65" i="112"/>
  <c r="AO52" i="109"/>
  <c r="BE106" i="109"/>
  <c r="AZ66" i="109"/>
  <c r="BA65" i="108"/>
  <c r="BJ18" i="111"/>
  <c r="AU63" i="114"/>
  <c r="AK9" i="111"/>
  <c r="BJ18" i="109"/>
  <c r="AI52" i="108"/>
  <c r="AX62" i="110"/>
  <c r="AC74" i="114"/>
  <c r="AD9" i="108"/>
  <c r="P18" i="113"/>
  <c r="BJ9" i="108"/>
  <c r="AJ68" i="114"/>
  <c r="BO67" i="113"/>
  <c r="BI57" i="112"/>
  <c r="AN106" i="111"/>
  <c r="BE106" i="110"/>
  <c r="AV73" i="112"/>
  <c r="AG63" i="109"/>
  <c r="BI18" i="113"/>
  <c r="V18" i="112"/>
  <c r="BG57" i="108"/>
  <c r="BC79" i="109"/>
  <c r="BD64" i="114"/>
  <c r="BF68" i="114"/>
  <c r="K9" i="109"/>
  <c r="BE66" i="111"/>
  <c r="AZ106" i="110"/>
  <c r="AP68" i="109"/>
  <c r="Y66" i="113"/>
  <c r="AN78" i="110"/>
  <c r="BK106" i="110"/>
  <c r="AY73" i="110"/>
  <c r="BJ66" i="110"/>
  <c r="AT78" i="111"/>
  <c r="Q24" i="111"/>
  <c r="BE66" i="114"/>
  <c r="AW63" i="102"/>
  <c r="BC80" i="114"/>
  <c r="AX70" i="102"/>
  <c r="BK79" i="113"/>
  <c r="AZ67" i="108"/>
  <c r="BG106" i="108"/>
  <c r="BF80" i="110"/>
  <c r="G18" i="108"/>
  <c r="AY68" i="108"/>
  <c r="BH78" i="112"/>
  <c r="Z62" i="108"/>
  <c r="AN18" i="108"/>
  <c r="BD64" i="113"/>
  <c r="G12" i="111"/>
  <c r="AX63" i="108"/>
  <c r="AY65" i="110"/>
  <c r="AO80" i="109"/>
  <c r="AE62" i="113"/>
  <c r="AP78" i="112"/>
  <c r="J9" i="108"/>
  <c r="R21" i="110"/>
  <c r="AB18" i="109"/>
  <c r="BA80" i="113"/>
  <c r="AJ52" i="108"/>
  <c r="AP78" i="109"/>
  <c r="AG18" i="111"/>
  <c r="AM57" i="111"/>
  <c r="AW106" i="111"/>
  <c r="AG12" i="113"/>
  <c r="AN67" i="108"/>
  <c r="AB18" i="111"/>
  <c r="BA9" i="109"/>
  <c r="BE70" i="102"/>
  <c r="Z80" i="114"/>
  <c r="BD68" i="113"/>
  <c r="AC73" i="112"/>
  <c r="AO9" i="111"/>
  <c r="AN62" i="113"/>
  <c r="AL79" i="113"/>
  <c r="AK78" i="108"/>
  <c r="AE66" i="112"/>
  <c r="BD106" i="111"/>
  <c r="AX12" i="112"/>
  <c r="Z67" i="109"/>
  <c r="AA18" i="113"/>
  <c r="AJ65" i="111"/>
  <c r="AA18" i="114"/>
  <c r="BN67" i="108"/>
  <c r="Z24" i="109"/>
  <c r="AI74" i="108"/>
  <c r="AH12" i="112"/>
  <c r="AO52" i="113"/>
  <c r="AU68" i="111"/>
  <c r="AZ69" i="108"/>
  <c r="AN62" i="110"/>
  <c r="AE21" i="110"/>
  <c r="AM69" i="110"/>
  <c r="BE74" i="112"/>
  <c r="BA80" i="109"/>
  <c r="T21" i="109"/>
  <c r="AL67" i="113"/>
  <c r="AG57" i="108"/>
  <c r="AX69" i="109"/>
  <c r="BN79" i="108"/>
  <c r="AM66" i="113"/>
  <c r="AA106" i="111"/>
  <c r="BJ62" i="110"/>
  <c r="BK69" i="114"/>
  <c r="BG62" i="110"/>
  <c r="AK12" i="111"/>
  <c r="P9" i="113"/>
  <c r="AJ80" i="109"/>
  <c r="AY80" i="110"/>
  <c r="AV73" i="113"/>
  <c r="AB78" i="109"/>
  <c r="AV69" i="108"/>
  <c r="BE64" i="114"/>
  <c r="AH12" i="111"/>
  <c r="AN69" i="110"/>
  <c r="AU12" i="114"/>
  <c r="AW80" i="111"/>
  <c r="AV78" i="113"/>
  <c r="BE18" i="113"/>
  <c r="BF80" i="112"/>
  <c r="BG74" i="108"/>
  <c r="AG68" i="111"/>
  <c r="AX65" i="112"/>
  <c r="Y73" i="108"/>
  <c r="AZ9" i="109"/>
  <c r="AH9" i="111"/>
  <c r="BB62" i="110"/>
  <c r="AL24" i="108"/>
  <c r="Z21" i="110"/>
  <c r="BH66" i="109"/>
  <c r="AG65" i="108"/>
  <c r="AS18" i="108"/>
  <c r="P12" i="109"/>
  <c r="AZ80" i="114"/>
  <c r="AA24" i="108"/>
  <c r="BG67" i="112"/>
  <c r="BI66" i="113"/>
  <c r="BH12" i="112"/>
  <c r="BB52" i="113"/>
  <c r="AL68" i="111"/>
  <c r="AF74" i="109"/>
  <c r="BO24" i="113"/>
  <c r="AD12" i="113"/>
  <c r="AL79" i="111"/>
  <c r="AN63" i="113"/>
  <c r="AM21" i="109"/>
  <c r="BB57" i="112"/>
  <c r="AV52" i="108"/>
  <c r="BJ12" i="102"/>
  <c r="AL66" i="109"/>
  <c r="BF64" i="112"/>
  <c r="AU69" i="109"/>
  <c r="AJ64" i="114"/>
  <c r="AE69" i="110"/>
  <c r="BE79" i="110"/>
  <c r="AP74" i="114"/>
  <c r="AM80" i="108"/>
  <c r="AA62" i="113"/>
  <c r="AV63" i="114"/>
  <c r="AA66" i="108"/>
  <c r="Z68" i="112"/>
  <c r="AF9" i="110"/>
  <c r="BK73" i="114"/>
  <c r="AM65" i="112"/>
  <c r="AG62" i="108"/>
  <c r="Z18" i="102"/>
  <c r="AN80" i="111"/>
  <c r="AD21" i="109"/>
  <c r="BA9" i="108"/>
  <c r="BA79" i="110"/>
  <c r="BC18" i="114"/>
  <c r="BH80" i="113"/>
  <c r="BB63" i="113"/>
  <c r="AP57" i="110"/>
  <c r="BF57" i="114"/>
  <c r="AK67" i="113"/>
  <c r="AY73" i="114"/>
  <c r="BE18" i="114"/>
  <c r="BH64" i="112"/>
  <c r="V24" i="111"/>
  <c r="AH18" i="109"/>
  <c r="Z65" i="102"/>
  <c r="AM63" i="114"/>
  <c r="BH68" i="113"/>
  <c r="AI66" i="112"/>
  <c r="Z9" i="111"/>
  <c r="AG21" i="110"/>
  <c r="AU67" i="113"/>
  <c r="AF67" i="112"/>
  <c r="AG65" i="114"/>
  <c r="BD74" i="112"/>
  <c r="AU73" i="110"/>
  <c r="BK73" i="110"/>
  <c r="M12" i="111"/>
  <c r="BB106" i="109"/>
  <c r="AI79" i="111"/>
  <c r="BK79" i="114"/>
  <c r="I9" i="114"/>
  <c r="AL12" i="111"/>
  <c r="BD9" i="110"/>
  <c r="AP80" i="114"/>
  <c r="I12" i="108"/>
  <c r="AB12" i="111"/>
  <c r="BF63" i="112"/>
  <c r="AN57" i="108"/>
  <c r="AV12" i="113"/>
  <c r="N12" i="108"/>
  <c r="BF66" i="110"/>
  <c r="AK21" i="109"/>
  <c r="H12" i="110"/>
  <c r="AD18" i="109"/>
  <c r="BF106" i="113"/>
  <c r="AM73" i="114"/>
  <c r="AP62" i="111"/>
  <c r="AX69" i="108"/>
  <c r="BD73" i="114"/>
  <c r="AK65" i="113"/>
  <c r="AN73" i="109"/>
  <c r="AC18" i="109"/>
  <c r="AB79" i="112"/>
  <c r="BC12" i="108"/>
  <c r="BK9" i="114"/>
  <c r="AF67" i="108"/>
  <c r="AU74" i="112"/>
  <c r="AN24" i="112"/>
  <c r="V24" i="108"/>
  <c r="AY78" i="114"/>
  <c r="AJ74" i="114"/>
  <c r="M24" i="113"/>
  <c r="BF12" i="102"/>
  <c r="AN74" i="108"/>
  <c r="AJ73" i="110"/>
  <c r="AJ67" i="108"/>
  <c r="O12" i="111"/>
  <c r="AY63" i="114"/>
  <c r="AK12" i="112"/>
  <c r="BG18" i="109"/>
  <c r="BG106" i="113"/>
  <c r="AB79" i="110"/>
  <c r="BC18" i="109"/>
  <c r="BG65" i="112"/>
  <c r="AI65" i="113"/>
  <c r="AN12" i="110"/>
  <c r="AA66" i="112"/>
  <c r="BE74" i="110"/>
  <c r="AN78" i="114"/>
  <c r="N24" i="111"/>
  <c r="BA12" i="110"/>
  <c r="BH57" i="112"/>
  <c r="AS12" i="110"/>
  <c r="AZ66" i="113"/>
  <c r="Y65" i="110"/>
  <c r="AJ79" i="112"/>
  <c r="AH78" i="108"/>
  <c r="AE66" i="113"/>
  <c r="AW62" i="113"/>
  <c r="BJ67" i="108"/>
  <c r="AS78" i="114"/>
  <c r="BA74" i="114"/>
  <c r="AX18" i="114"/>
  <c r="BC65" i="113"/>
  <c r="AX65" i="110"/>
  <c r="AG78" i="110"/>
  <c r="BO24" i="114"/>
  <c r="AC69" i="111"/>
  <c r="Z64" i="108"/>
  <c r="AZ18" i="109"/>
  <c r="AK63" i="110"/>
  <c r="AW57" i="112"/>
  <c r="H12" i="111"/>
  <c r="AZ65" i="114"/>
  <c r="AO79" i="113"/>
  <c r="BO62" i="112"/>
  <c r="AT9" i="112"/>
  <c r="AS9" i="111"/>
  <c r="AM68" i="112"/>
  <c r="AZ106" i="109"/>
  <c r="AZ18" i="111"/>
  <c r="AM63" i="110"/>
  <c r="BG12" i="109"/>
  <c r="AV80" i="114"/>
  <c r="AC62" i="112"/>
  <c r="AD65" i="112"/>
  <c r="BO78" i="110"/>
  <c r="Y12" i="108"/>
  <c r="AH66" i="109"/>
  <c r="AC63" i="111"/>
  <c r="AE62" i="108"/>
  <c r="AD69" i="111"/>
  <c r="BC73" i="113"/>
  <c r="BN79" i="112"/>
  <c r="AU69" i="114"/>
  <c r="AK73" i="108"/>
  <c r="AG63" i="113"/>
  <c r="AS106" i="109"/>
  <c r="AI9" i="110"/>
  <c r="AL74" i="112"/>
  <c r="AT79" i="109"/>
  <c r="AH106" i="110"/>
  <c r="AY65" i="112"/>
  <c r="BC66" i="113"/>
  <c r="AB21" i="109"/>
  <c r="O18" i="110"/>
  <c r="BH106" i="114"/>
  <c r="AP80" i="110"/>
  <c r="AA67" i="111"/>
  <c r="AY57" i="111"/>
  <c r="AK62" i="112"/>
  <c r="BK80" i="109"/>
  <c r="AK12" i="113"/>
  <c r="AI62" i="113"/>
  <c r="BH63" i="108"/>
  <c r="BC68" i="111"/>
  <c r="Z12" i="110"/>
  <c r="BA9" i="113"/>
  <c r="AA24" i="111"/>
  <c r="BO64" i="109"/>
  <c r="K12" i="110"/>
  <c r="AL65" i="111"/>
  <c r="BK9" i="112"/>
  <c r="BK66" i="111"/>
  <c r="AD64" i="113"/>
  <c r="AX67" i="112"/>
  <c r="BJ74" i="109"/>
  <c r="AB9" i="102"/>
  <c r="BD78" i="114"/>
  <c r="AT18" i="113"/>
  <c r="Z63" i="108"/>
  <c r="AK65" i="110"/>
  <c r="AI69" i="113"/>
  <c r="BO66" i="108"/>
  <c r="BK63" i="114"/>
  <c r="BN68" i="111"/>
  <c r="AP73" i="112"/>
  <c r="AD24" i="108"/>
  <c r="AY106" i="109"/>
  <c r="T21" i="108"/>
  <c r="K9" i="113"/>
  <c r="AP65" i="112"/>
  <c r="AO79" i="114"/>
  <c r="AV65" i="114"/>
  <c r="BN67" i="110"/>
  <c r="AJ66" i="108"/>
  <c r="AN106" i="113"/>
  <c r="BB69" i="112"/>
  <c r="AB65" i="108"/>
  <c r="AJ80" i="112"/>
  <c r="AT9" i="108"/>
  <c r="AW12" i="112"/>
  <c r="AK80" i="114"/>
  <c r="AN67" i="110"/>
  <c r="AO69" i="114"/>
  <c r="AO18" i="108"/>
  <c r="AG69" i="114"/>
  <c r="Y52" i="113"/>
  <c r="AT74" i="113"/>
  <c r="BF12" i="108"/>
  <c r="BF66" i="112"/>
  <c r="AU52" i="113"/>
  <c r="BA67" i="113"/>
  <c r="AM63" i="111"/>
  <c r="S12" i="110"/>
  <c r="BI63" i="110"/>
  <c r="AP9" i="112"/>
  <c r="AF65" i="114"/>
  <c r="BA63" i="109"/>
  <c r="BH52" i="112"/>
  <c r="AT18" i="111"/>
  <c r="AP106" i="110"/>
  <c r="BK78" i="108"/>
  <c r="AH67" i="109"/>
  <c r="O9" i="111"/>
  <c r="AL64" i="108"/>
  <c r="AI66" i="109"/>
  <c r="BF65" i="109"/>
  <c r="AO79" i="109"/>
  <c r="AF12" i="114"/>
  <c r="BG62" i="109"/>
  <c r="AM18" i="111"/>
  <c r="AT78" i="108"/>
  <c r="BE52" i="108"/>
  <c r="AA21" i="113"/>
  <c r="AP106" i="112"/>
  <c r="BG18" i="112"/>
  <c r="AC57" i="111"/>
  <c r="AC62" i="110"/>
  <c r="AO21" i="109"/>
  <c r="BO57" i="112"/>
  <c r="AC106" i="108"/>
  <c r="BC69" i="113"/>
  <c r="AI73" i="113"/>
  <c r="AJ78" i="113"/>
  <c r="M12" i="114"/>
  <c r="BE69" i="111"/>
  <c r="P9" i="109"/>
  <c r="O24" i="113"/>
  <c r="AN68" i="108"/>
  <c r="AC66" i="109"/>
  <c r="AO78" i="112"/>
  <c r="BI67" i="112"/>
  <c r="BK52" i="108"/>
  <c r="AO74" i="109"/>
  <c r="AC79" i="111"/>
  <c r="AW67" i="113"/>
  <c r="AT62" i="111"/>
  <c r="BJ69" i="114"/>
  <c r="AX78" i="110"/>
  <c r="AN65" i="109"/>
  <c r="BJ79" i="108"/>
  <c r="BF73" i="108"/>
  <c r="AZ63" i="110"/>
  <c r="BO65" i="111"/>
  <c r="BJ65" i="109"/>
  <c r="AI57" i="114"/>
  <c r="AK79" i="110"/>
  <c r="AD62" i="110"/>
  <c r="BO18" i="112"/>
  <c r="BC62" i="114"/>
  <c r="BG18" i="113"/>
  <c r="BI66" i="102"/>
  <c r="Z67" i="111"/>
  <c r="AL73" i="109"/>
  <c r="Y74" i="114"/>
  <c r="AA66" i="109"/>
  <c r="AU73" i="114"/>
  <c r="V12" i="108"/>
  <c r="AB69" i="110"/>
  <c r="AE74" i="113"/>
  <c r="BE68" i="113"/>
  <c r="AI64" i="108"/>
  <c r="AJ73" i="114"/>
  <c r="AK52" i="113"/>
  <c r="BE64" i="109"/>
  <c r="AF62" i="114"/>
  <c r="O21" i="110"/>
  <c r="AN64" i="102"/>
  <c r="BH66" i="111"/>
  <c r="BC9" i="112"/>
  <c r="AN62" i="114"/>
  <c r="Y67" i="111"/>
  <c r="AD106" i="111"/>
  <c r="AX73" i="108"/>
  <c r="AD24" i="111"/>
  <c r="BK62" i="109"/>
  <c r="Q24" i="110"/>
  <c r="AT80" i="108"/>
  <c r="AM74" i="109"/>
  <c r="BI67" i="108"/>
  <c r="AC68" i="111"/>
  <c r="AK78" i="114"/>
  <c r="AC9" i="108"/>
  <c r="BF76" i="102"/>
  <c r="AD78" i="114"/>
  <c r="AO73" i="113"/>
  <c r="BJ63" i="108"/>
  <c r="AH67" i="111"/>
  <c r="BK66" i="114"/>
  <c r="BB57" i="114"/>
  <c r="BJ62" i="112"/>
  <c r="Z78" i="109"/>
  <c r="AP69" i="112"/>
  <c r="AT64" i="109"/>
  <c r="AP63" i="114"/>
  <c r="BK73" i="111"/>
  <c r="BC69" i="112"/>
  <c r="BI63" i="113"/>
  <c r="AC80" i="108"/>
  <c r="AZ9" i="102"/>
  <c r="V18" i="113"/>
  <c r="AY12" i="108"/>
  <c r="BO21" i="111"/>
  <c r="AC66" i="111"/>
  <c r="BE57" i="114"/>
  <c r="AY69" i="110"/>
  <c r="AE12" i="109"/>
  <c r="BG52" i="109"/>
  <c r="P12" i="111"/>
  <c r="BH57" i="109"/>
  <c r="AY78" i="109"/>
  <c r="AT73" i="111"/>
  <c r="AB67" i="111"/>
  <c r="AA64" i="112"/>
  <c r="AW66" i="114"/>
  <c r="AV106" i="113"/>
  <c r="BK9" i="111"/>
  <c r="AZ63" i="112"/>
  <c r="Z79" i="113"/>
  <c r="AW68" i="113"/>
  <c r="AS68" i="112"/>
  <c r="AK68" i="108"/>
  <c r="AL24" i="114"/>
  <c r="BN68" i="113"/>
  <c r="AM78" i="108"/>
  <c r="T24" i="114"/>
  <c r="BH106" i="111"/>
  <c r="AL80" i="112"/>
  <c r="AW57" i="114"/>
  <c r="AC73" i="111"/>
  <c r="AW57" i="113"/>
  <c r="AL62" i="114"/>
  <c r="BH65" i="108"/>
  <c r="AU66" i="111"/>
  <c r="BB65" i="110"/>
  <c r="AG106" i="108"/>
  <c r="BF9" i="102"/>
  <c r="AP66" i="102"/>
  <c r="AI69" i="110"/>
  <c r="AP57" i="109"/>
  <c r="BC73" i="114"/>
  <c r="BF73" i="111"/>
  <c r="AV62" i="114"/>
  <c r="AE62" i="112"/>
  <c r="BF67" i="109"/>
  <c r="BB106" i="110"/>
  <c r="AK73" i="111"/>
  <c r="BJ67" i="113"/>
  <c r="BG68" i="110"/>
  <c r="Z73" i="113"/>
  <c r="P21" i="110"/>
  <c r="AZ62" i="111"/>
  <c r="AY66" i="112"/>
  <c r="BF18" i="102"/>
  <c r="BI63" i="108"/>
  <c r="AZ74" i="110"/>
  <c r="AJ65" i="114"/>
  <c r="AF68" i="109"/>
  <c r="Y24" i="110"/>
  <c r="BI18" i="112"/>
  <c r="Z74" i="112"/>
  <c r="V18" i="108"/>
  <c r="AT106" i="114"/>
  <c r="AM66" i="111"/>
  <c r="AY74" i="114"/>
  <c r="BH69" i="112"/>
  <c r="T24" i="109"/>
  <c r="AW65" i="109"/>
  <c r="BH18" i="112"/>
  <c r="BA57" i="110"/>
  <c r="BA67" i="111"/>
  <c r="R18" i="108"/>
  <c r="AW80" i="113"/>
  <c r="AT52" i="110"/>
  <c r="BN80" i="112"/>
  <c r="AN65" i="112"/>
  <c r="AV68" i="110"/>
  <c r="Y106" i="109"/>
  <c r="BI74" i="112"/>
  <c r="Y62" i="108"/>
  <c r="AX73" i="111"/>
  <c r="BK78" i="114"/>
  <c r="BE12" i="112"/>
  <c r="AW69" i="112"/>
  <c r="AK62" i="111"/>
  <c r="AU78" i="108"/>
  <c r="AP18" i="109"/>
  <c r="AE69" i="114"/>
  <c r="BG73" i="109"/>
  <c r="BC67" i="112"/>
  <c r="Y67" i="110"/>
  <c r="BC62" i="112"/>
  <c r="AE64" i="110"/>
  <c r="AT66" i="109"/>
  <c r="Z12" i="113"/>
  <c r="AL65" i="113"/>
  <c r="BC52" i="112"/>
  <c r="AM21" i="113"/>
  <c r="AB73" i="108"/>
  <c r="AM106" i="112"/>
  <c r="BB9" i="109"/>
  <c r="BO78" i="111"/>
  <c r="AC57" i="112"/>
  <c r="AF24" i="111"/>
  <c r="AD106" i="113"/>
  <c r="AI68" i="110"/>
  <c r="AC65" i="111"/>
  <c r="AD73" i="114"/>
  <c r="AP69" i="110"/>
  <c r="S12" i="112"/>
  <c r="M18" i="111"/>
  <c r="Z73" i="109"/>
  <c r="AX18" i="113"/>
  <c r="BN79" i="109"/>
  <c r="AV64" i="112"/>
  <c r="AG9" i="112"/>
  <c r="BJ79" i="110"/>
  <c r="BK78" i="109"/>
  <c r="AK21" i="114"/>
  <c r="AV18" i="113"/>
  <c r="BF64" i="109"/>
  <c r="BC67" i="108"/>
  <c r="AD79" i="113"/>
  <c r="BG57" i="113"/>
  <c r="Y18" i="113"/>
  <c r="AP52" i="110"/>
  <c r="BJ52" i="112"/>
  <c r="AB66" i="113"/>
  <c r="BN65" i="110"/>
  <c r="AX52" i="108"/>
  <c r="AC67" i="110"/>
  <c r="AG24" i="109"/>
  <c r="AM78" i="113"/>
  <c r="BF63" i="111"/>
  <c r="AH62" i="111"/>
  <c r="AO24" i="111"/>
  <c r="AK68" i="113"/>
  <c r="AG57" i="109"/>
  <c r="AD24" i="113"/>
  <c r="BA79" i="114"/>
  <c r="AN57" i="110"/>
  <c r="AT79" i="108"/>
  <c r="AI80" i="114"/>
  <c r="I12" i="110"/>
  <c r="BO24" i="108"/>
  <c r="AG80" i="113"/>
  <c r="AI73" i="112"/>
  <c r="BJ64" i="111"/>
  <c r="Z68" i="109"/>
  <c r="BK52" i="114"/>
  <c r="AU67" i="111"/>
  <c r="AM21" i="110"/>
  <c r="AM74" i="110"/>
  <c r="BJ66" i="108"/>
  <c r="AT18" i="108"/>
  <c r="AG106" i="112"/>
  <c r="AH78" i="112"/>
  <c r="BA71" i="102"/>
  <c r="AM61" i="102"/>
  <c r="AO78" i="108"/>
  <c r="AJ79" i="109"/>
  <c r="AT80" i="113"/>
  <c r="BG9" i="114"/>
  <c r="I9" i="109"/>
  <c r="BI67" i="111"/>
  <c r="AO74" i="112"/>
  <c r="BI80" i="110"/>
  <c r="Z57" i="113"/>
  <c r="BO18" i="110"/>
  <c r="AS62" i="108"/>
  <c r="AH21" i="108"/>
  <c r="BO9" i="109"/>
  <c r="AW12" i="109"/>
  <c r="AD70" i="102"/>
  <c r="AB24" i="110"/>
  <c r="K9" i="111"/>
  <c r="BK80" i="108"/>
  <c r="AH68" i="110"/>
  <c r="AZ66" i="108"/>
  <c r="AY63" i="113"/>
  <c r="AG69" i="109"/>
  <c r="AL12" i="110"/>
  <c r="AB18" i="108"/>
  <c r="AD63" i="113"/>
  <c r="BH64" i="114"/>
  <c r="AG63" i="114"/>
  <c r="AB57" i="111"/>
  <c r="AD79" i="111"/>
  <c r="BF78" i="113"/>
  <c r="AO60" i="102"/>
  <c r="BF69" i="111"/>
  <c r="AC12" i="110"/>
  <c r="AY74" i="110"/>
  <c r="BH79" i="113"/>
  <c r="AN52" i="110"/>
  <c r="Y79" i="108"/>
  <c r="AM57" i="109"/>
  <c r="V18" i="109"/>
  <c r="BF67" i="112"/>
  <c r="K9" i="114"/>
  <c r="AS80" i="111"/>
  <c r="AV63" i="102"/>
  <c r="BH12" i="110"/>
  <c r="AS52" i="110"/>
  <c r="AX64" i="108"/>
  <c r="AO67" i="113"/>
  <c r="M12" i="108"/>
  <c r="AO80" i="113"/>
  <c r="AK68" i="110"/>
  <c r="Q24" i="109"/>
  <c r="AJ52" i="102"/>
  <c r="AJ73" i="109"/>
  <c r="AL64" i="102"/>
  <c r="T9" i="112"/>
  <c r="BH64" i="109"/>
  <c r="AT12" i="113"/>
  <c r="Q9" i="109"/>
  <c r="AE75" i="102"/>
  <c r="AE66" i="109"/>
  <c r="AY62" i="112"/>
  <c r="AV78" i="109"/>
  <c r="AT65" i="108"/>
  <c r="AJ65" i="102"/>
  <c r="AE24" i="110"/>
  <c r="BK68" i="109"/>
  <c r="BI66" i="108"/>
  <c r="AG12" i="108"/>
  <c r="BO21" i="114"/>
  <c r="AJ63" i="102"/>
  <c r="AB76" i="102"/>
  <c r="AO62" i="108"/>
  <c r="AI106" i="113"/>
  <c r="AI78" i="109"/>
  <c r="BB66" i="102"/>
  <c r="AA21" i="112"/>
  <c r="Z66" i="109"/>
  <c r="BJ18" i="108"/>
  <c r="AT74" i="114"/>
  <c r="AW52" i="102"/>
  <c r="AP57" i="108"/>
  <c r="Y63" i="113"/>
  <c r="AV12" i="108"/>
  <c r="AV62" i="113"/>
  <c r="BK52" i="110"/>
  <c r="AS67" i="114"/>
  <c r="AX9" i="114"/>
  <c r="AV65" i="108"/>
  <c r="AJ80" i="110"/>
  <c r="BE65" i="110"/>
  <c r="AJ62" i="110"/>
  <c r="AV69" i="110"/>
  <c r="AD21" i="108"/>
  <c r="BB74" i="113"/>
  <c r="AD66" i="113"/>
  <c r="AC62" i="114"/>
  <c r="AZ65" i="113"/>
  <c r="AD66" i="109"/>
  <c r="AM106" i="111"/>
  <c r="BD12" i="110"/>
  <c r="AZ69" i="112"/>
  <c r="Z74" i="114"/>
  <c r="O21" i="108"/>
  <c r="R18" i="111"/>
  <c r="AJ63" i="114"/>
  <c r="Y73" i="109"/>
  <c r="AA57" i="110"/>
  <c r="AS18" i="114"/>
  <c r="AJ74" i="113"/>
  <c r="BJ66" i="109"/>
  <c r="BF65" i="113"/>
  <c r="AZ66" i="112"/>
  <c r="BG74" i="109"/>
  <c r="Z62" i="112"/>
  <c r="AA21" i="108"/>
  <c r="AE77" i="102"/>
  <c r="AT70" i="102"/>
  <c r="AW65" i="112"/>
  <c r="Y80" i="110"/>
  <c r="BB79" i="114"/>
  <c r="Y62" i="110"/>
  <c r="AE9" i="114"/>
  <c r="BI65" i="108"/>
  <c r="AV66" i="108"/>
  <c r="AU18" i="108"/>
  <c r="AK65" i="114"/>
  <c r="AL18" i="110"/>
  <c r="AT67" i="111"/>
  <c r="BB67" i="108"/>
  <c r="BB63" i="108"/>
  <c r="AM18" i="114"/>
  <c r="AJ12" i="102"/>
  <c r="BJ18" i="102"/>
  <c r="AK78" i="109"/>
  <c r="BO73" i="111"/>
  <c r="BN64" i="114"/>
  <c r="AL18" i="111"/>
  <c r="AN106" i="112"/>
  <c r="Z74" i="110"/>
  <c r="BH79" i="108"/>
  <c r="AS79" i="113"/>
  <c r="BH9" i="114"/>
  <c r="AP52" i="109"/>
  <c r="AM12" i="113"/>
  <c r="AZ73" i="110"/>
  <c r="AB18" i="114"/>
  <c r="H12" i="109"/>
  <c r="Y71" i="102"/>
  <c r="AK12" i="102"/>
  <c r="AI78" i="112"/>
  <c r="AB74" i="110"/>
  <c r="BE12" i="113"/>
  <c r="AG74" i="110"/>
  <c r="AM79" i="114"/>
  <c r="BE18" i="111"/>
  <c r="AZ80" i="109"/>
  <c r="AK74" i="112"/>
  <c r="AC64" i="109"/>
  <c r="AI62" i="110"/>
  <c r="Y69" i="114"/>
  <c r="BK78" i="112"/>
  <c r="BJ78" i="110"/>
  <c r="BD67" i="110"/>
  <c r="AE24" i="114"/>
  <c r="BI65" i="114"/>
  <c r="T12" i="111"/>
  <c r="AH68" i="111"/>
  <c r="AM24" i="109"/>
  <c r="BF64" i="108"/>
  <c r="AX66" i="112"/>
  <c r="AH79" i="114"/>
  <c r="AE12" i="112"/>
  <c r="AO79" i="108"/>
  <c r="BD68" i="110"/>
  <c r="AT62" i="110"/>
  <c r="AY9" i="114"/>
  <c r="AH78" i="114"/>
  <c r="AU80" i="113"/>
  <c r="BI18" i="114"/>
  <c r="BG79" i="110"/>
  <c r="BI12" i="112"/>
  <c r="AX73" i="112"/>
  <c r="AP24" i="108"/>
  <c r="AG78" i="112"/>
  <c r="AO9" i="109"/>
  <c r="BO21" i="113"/>
  <c r="BA73" i="108"/>
  <c r="AN79" i="112"/>
  <c r="AO80" i="108"/>
  <c r="BA68" i="108"/>
  <c r="J9" i="109"/>
  <c r="Y73" i="113"/>
  <c r="AA18" i="102"/>
  <c r="AY62" i="102"/>
  <c r="AF78" i="109"/>
  <c r="BD65" i="108"/>
  <c r="BC78" i="110"/>
  <c r="AB24" i="111"/>
  <c r="AG78" i="111"/>
  <c r="R21" i="109"/>
  <c r="Z62" i="110"/>
  <c r="AX63" i="109"/>
  <c r="Z62" i="113"/>
  <c r="Q18" i="110"/>
  <c r="BI18" i="108"/>
  <c r="AM57" i="112"/>
  <c r="AL73" i="108"/>
  <c r="AU78" i="113"/>
  <c r="AI63" i="102"/>
  <c r="BA78" i="114"/>
  <c r="AJ63" i="113"/>
  <c r="BG66" i="109"/>
  <c r="Z67" i="110"/>
  <c r="S24" i="111"/>
  <c r="BH18" i="111"/>
  <c r="AL69" i="113"/>
  <c r="BD80" i="110"/>
  <c r="Q21" i="113"/>
  <c r="U24" i="110"/>
  <c r="BI74" i="113"/>
  <c r="Y74" i="111"/>
  <c r="BD52" i="110"/>
  <c r="AC73" i="113"/>
  <c r="BH63" i="109"/>
  <c r="AL9" i="102"/>
  <c r="AN24" i="109"/>
  <c r="AS64" i="108"/>
  <c r="BN79" i="110"/>
  <c r="BK64" i="112"/>
  <c r="L12" i="110"/>
  <c r="AU18" i="110"/>
  <c r="AP24" i="112"/>
  <c r="BC73" i="109"/>
  <c r="AI67" i="110"/>
  <c r="AA73" i="113"/>
  <c r="AU52" i="112"/>
  <c r="AZ78" i="113"/>
  <c r="Z73" i="112"/>
  <c r="BF18" i="111"/>
  <c r="BH65" i="111"/>
  <c r="BA65" i="112"/>
  <c r="AF69" i="113"/>
  <c r="BO9" i="108"/>
  <c r="BN57" i="110"/>
  <c r="AY79" i="108"/>
  <c r="AH63" i="114"/>
  <c r="N9" i="110"/>
  <c r="AC9" i="102"/>
  <c r="BN63" i="108"/>
  <c r="AS64" i="109"/>
  <c r="BJ73" i="111"/>
  <c r="BO63" i="111"/>
  <c r="BO66" i="112"/>
  <c r="AJ12" i="109"/>
  <c r="BA78" i="113"/>
  <c r="Y57" i="109"/>
  <c r="AC79" i="109"/>
  <c r="R24" i="109"/>
  <c r="AM64" i="114"/>
  <c r="AL64" i="113"/>
  <c r="BG18" i="114"/>
  <c r="AW73" i="110"/>
  <c r="BG63" i="110"/>
  <c r="BO12" i="111"/>
  <c r="AZ68" i="111"/>
  <c r="AZ69" i="114"/>
  <c r="Y67" i="113"/>
  <c r="V12" i="111"/>
  <c r="AH18" i="113"/>
  <c r="AX78" i="111"/>
  <c r="BB80" i="109"/>
  <c r="Z73" i="111"/>
  <c r="Z63" i="111"/>
  <c r="Z63" i="114"/>
  <c r="AW52" i="114"/>
  <c r="AH52" i="110"/>
  <c r="AZ78" i="108"/>
  <c r="AT78" i="109"/>
  <c r="AU52" i="108"/>
  <c r="Y69" i="111"/>
  <c r="AO106" i="114"/>
  <c r="Y62" i="112"/>
  <c r="AH64" i="113"/>
  <c r="BH74" i="108"/>
  <c r="AJ74" i="110"/>
  <c r="AT65" i="113"/>
  <c r="AX63" i="114"/>
  <c r="U18" i="108"/>
  <c r="AV80" i="112"/>
  <c r="AZ106" i="114"/>
  <c r="AY69" i="113"/>
  <c r="AJ63" i="108"/>
  <c r="BE62" i="114"/>
  <c r="AI63" i="113"/>
  <c r="BC66" i="109"/>
  <c r="AC65" i="108"/>
  <c r="AM66" i="114"/>
  <c r="L9" i="113"/>
  <c r="AV69" i="113"/>
  <c r="BO65" i="108"/>
  <c r="BG74" i="111"/>
  <c r="AD67" i="108"/>
  <c r="AD57" i="108"/>
  <c r="AP74" i="112"/>
  <c r="BH68" i="114"/>
  <c r="Z63" i="113"/>
  <c r="AZ52" i="112"/>
  <c r="BB63" i="111"/>
  <c r="BA12" i="111"/>
  <c r="O9" i="114"/>
  <c r="BF74" i="113"/>
  <c r="AF64" i="109"/>
  <c r="AH65" i="114"/>
  <c r="G12" i="108"/>
  <c r="AV80" i="111"/>
  <c r="AO65" i="108"/>
  <c r="AJ62" i="108"/>
  <c r="Q12" i="102"/>
  <c r="Z69" i="108"/>
  <c r="BD65" i="109"/>
  <c r="BJ62" i="102"/>
  <c r="AJ78" i="114"/>
  <c r="AA64" i="108"/>
  <c r="AX106" i="112"/>
  <c r="Q12" i="110"/>
  <c r="BC12" i="114"/>
  <c r="AK67" i="108"/>
  <c r="AM57" i="114"/>
  <c r="BE78" i="110"/>
  <c r="AP69" i="109"/>
  <c r="Z66" i="114"/>
  <c r="BN18" i="111"/>
  <c r="AO65" i="110"/>
  <c r="AW9" i="102"/>
  <c r="AT74" i="110"/>
  <c r="BB57" i="108"/>
  <c r="AD65" i="102"/>
  <c r="BN78" i="109"/>
  <c r="AU57" i="112"/>
  <c r="BF12" i="110"/>
  <c r="AT79" i="114"/>
  <c r="V24" i="109"/>
  <c r="AW65" i="113"/>
  <c r="M18" i="108"/>
  <c r="BF66" i="108"/>
  <c r="BH74" i="114"/>
  <c r="Z18" i="112"/>
  <c r="BD9" i="113"/>
  <c r="BH65" i="113"/>
  <c r="AU65" i="102"/>
  <c r="AW52" i="111"/>
  <c r="AD24" i="102"/>
  <c r="AP65" i="102"/>
  <c r="AD79" i="114"/>
  <c r="AY65" i="109"/>
  <c r="BG79" i="112"/>
  <c r="Y12" i="112"/>
  <c r="AB12" i="112"/>
  <c r="BC74" i="111"/>
  <c r="AC12" i="114"/>
  <c r="BN63" i="111"/>
  <c r="J9" i="114"/>
  <c r="BO57" i="113"/>
  <c r="J9" i="112"/>
  <c r="AW12" i="114"/>
  <c r="BK106" i="109"/>
  <c r="BH57" i="114"/>
  <c r="BN64" i="108"/>
  <c r="BA106" i="112"/>
  <c r="BI69" i="113"/>
  <c r="AF18" i="114"/>
  <c r="AM80" i="110"/>
  <c r="AN64" i="108"/>
  <c r="AG65" i="113"/>
  <c r="Q21" i="109"/>
  <c r="AC79" i="112"/>
  <c r="AB12" i="113"/>
  <c r="BD73" i="110"/>
  <c r="AH52" i="111"/>
  <c r="AA65" i="111"/>
  <c r="AA62" i="111"/>
  <c r="Z80" i="109"/>
  <c r="BO80" i="108"/>
  <c r="BA64" i="113"/>
  <c r="BB67" i="109"/>
  <c r="AP73" i="110"/>
  <c r="BO57" i="111"/>
  <c r="N12" i="111"/>
  <c r="AE106" i="114"/>
  <c r="L9" i="111"/>
  <c r="BA66" i="102"/>
  <c r="O21" i="109"/>
  <c r="Z78" i="112"/>
  <c r="AL52" i="113"/>
  <c r="H9" i="111"/>
  <c r="AS106" i="112"/>
  <c r="BC68" i="112"/>
  <c r="AI9" i="114"/>
  <c r="AL64" i="114"/>
  <c r="BN73" i="108"/>
  <c r="BF9" i="111"/>
  <c r="BI12" i="113"/>
  <c r="BD106" i="112"/>
  <c r="BA73" i="112"/>
  <c r="AL62" i="113"/>
  <c r="AV9" i="114"/>
  <c r="BH9" i="113"/>
  <c r="BC74" i="113"/>
  <c r="AD63" i="108"/>
  <c r="BH63" i="110"/>
  <c r="BH9" i="109"/>
  <c r="AF52" i="112"/>
  <c r="N18" i="109"/>
  <c r="AH78" i="110"/>
  <c r="AM12" i="109"/>
  <c r="AS80" i="109"/>
  <c r="AV12" i="109"/>
  <c r="AV63" i="111"/>
  <c r="R21" i="113"/>
  <c r="BD79" i="108"/>
  <c r="AB9" i="109"/>
  <c r="AG62" i="114"/>
  <c r="AV57" i="114"/>
  <c r="O24" i="111"/>
  <c r="BO67" i="108"/>
  <c r="L12" i="113"/>
  <c r="BH9" i="111"/>
  <c r="AA18" i="109"/>
  <c r="BF69" i="108"/>
  <c r="AB78" i="113"/>
  <c r="AL73" i="114"/>
  <c r="AB77" i="102"/>
  <c r="AN66" i="111"/>
  <c r="G18" i="109"/>
  <c r="BF57" i="111"/>
  <c r="AD12" i="114"/>
  <c r="BD63" i="102"/>
  <c r="AH63" i="112"/>
  <c r="BB78" i="113"/>
  <c r="AZ69" i="109"/>
  <c r="BN65" i="111"/>
  <c r="AC76" i="102"/>
  <c r="AF69" i="108"/>
  <c r="AM65" i="114"/>
  <c r="BG64" i="112"/>
  <c r="BA70" i="102"/>
  <c r="AB67" i="113"/>
  <c r="K12" i="102"/>
  <c r="AT9" i="102"/>
  <c r="AY18" i="108"/>
  <c r="BN67" i="111"/>
  <c r="AB68" i="108"/>
  <c r="AU12" i="102"/>
  <c r="BN65" i="113"/>
  <c r="BH78" i="108"/>
  <c r="Z74" i="108"/>
  <c r="I9" i="111"/>
  <c r="BF9" i="108"/>
  <c r="BE18" i="109"/>
  <c r="AY18" i="111"/>
  <c r="AG67" i="111"/>
  <c r="AJ60" i="102"/>
  <c r="AA78" i="114"/>
  <c r="BI77" i="102"/>
  <c r="BI66" i="112"/>
  <c r="BN18" i="108"/>
  <c r="AC63" i="114"/>
  <c r="G12" i="110"/>
  <c r="AY66" i="108"/>
  <c r="AO62" i="114"/>
  <c r="BE67" i="109"/>
  <c r="G18" i="113"/>
  <c r="AH65" i="112"/>
  <c r="AF80" i="114"/>
  <c r="AU80" i="108"/>
  <c r="AX69" i="110"/>
  <c r="AP67" i="112"/>
  <c r="AJ12" i="108"/>
  <c r="BC9" i="114"/>
  <c r="AX62" i="114"/>
  <c r="AB80" i="112"/>
  <c r="AI80" i="113"/>
  <c r="AC74" i="112"/>
  <c r="AV78" i="112"/>
  <c r="BJ73" i="110"/>
  <c r="AY52" i="112"/>
  <c r="P18" i="102"/>
  <c r="AG67" i="108"/>
  <c r="AZ78" i="111"/>
  <c r="AH52" i="112"/>
  <c r="R21" i="108"/>
  <c r="AW18" i="111"/>
  <c r="AG52" i="108"/>
  <c r="O12" i="110"/>
  <c r="AH80" i="114"/>
  <c r="AI9" i="111"/>
  <c r="AZ9" i="114"/>
  <c r="BI52" i="109"/>
  <c r="AE80" i="114"/>
  <c r="AL69" i="110"/>
  <c r="AK62" i="113"/>
  <c r="K9" i="102"/>
  <c r="AE12" i="102"/>
  <c r="AG73" i="108"/>
  <c r="BC65" i="114"/>
  <c r="BK9" i="108"/>
  <c r="Z65" i="113"/>
  <c r="AZ62" i="112"/>
  <c r="AB24" i="113"/>
  <c r="BI65" i="109"/>
  <c r="AD69" i="110"/>
  <c r="AJ57" i="113"/>
  <c r="AK57" i="113"/>
  <c r="M21" i="109"/>
  <c r="AB68" i="109"/>
  <c r="Y64" i="111"/>
  <c r="BI106" i="114"/>
  <c r="BF63" i="102"/>
  <c r="BE66" i="102"/>
  <c r="BI69" i="110"/>
  <c r="H9" i="112"/>
  <c r="BF18" i="113"/>
  <c r="S21" i="113"/>
  <c r="AY9" i="111"/>
  <c r="BE62" i="109"/>
  <c r="AY106" i="111"/>
  <c r="AV67" i="109"/>
  <c r="AE57" i="113"/>
  <c r="U24" i="112"/>
  <c r="AK63" i="114"/>
  <c r="BK62" i="108"/>
  <c r="AM24" i="108"/>
  <c r="AD52" i="110"/>
  <c r="BI73" i="109"/>
  <c r="BC63" i="114"/>
  <c r="AH73" i="108"/>
  <c r="AA9" i="111"/>
  <c r="AV73" i="109"/>
  <c r="AH69" i="113"/>
  <c r="AE69" i="112"/>
  <c r="T12" i="114"/>
  <c r="Y24" i="113"/>
  <c r="BI62" i="108"/>
  <c r="BF63" i="108"/>
  <c r="BG80" i="108"/>
  <c r="AC73" i="114"/>
  <c r="AL80" i="111"/>
  <c r="AY12" i="102"/>
  <c r="AB63" i="114"/>
  <c r="BB71" i="102"/>
  <c r="Z66" i="111"/>
  <c r="BA79" i="108"/>
  <c r="AL21" i="114"/>
  <c r="V9" i="111"/>
  <c r="AZ73" i="108"/>
  <c r="AG18" i="114"/>
  <c r="AT67" i="109"/>
  <c r="BO24" i="112"/>
  <c r="AO64" i="109"/>
  <c r="BH80" i="112"/>
  <c r="BC73" i="112"/>
  <c r="BA78" i="110"/>
  <c r="BA106" i="110"/>
  <c r="AO24" i="109"/>
  <c r="AB63" i="110"/>
  <c r="BB65" i="112"/>
  <c r="AW69" i="109"/>
  <c r="BD52" i="102"/>
  <c r="J12" i="108"/>
  <c r="AV65" i="112"/>
  <c r="AG18" i="108"/>
  <c r="AE24" i="108"/>
  <c r="BN73" i="113"/>
  <c r="M18" i="113"/>
  <c r="AJ21" i="110"/>
  <c r="BF64" i="110"/>
  <c r="BF73" i="112"/>
  <c r="AM106" i="113"/>
  <c r="BO79" i="111"/>
  <c r="AI57" i="108"/>
  <c r="Z57" i="108"/>
  <c r="BG62" i="108"/>
  <c r="BD62" i="109"/>
  <c r="AS64" i="102"/>
  <c r="AX74" i="111"/>
  <c r="AU65" i="108"/>
  <c r="AO73" i="111"/>
  <c r="AD57" i="110"/>
  <c r="AK106" i="114"/>
  <c r="AG79" i="114"/>
  <c r="BN67" i="112"/>
  <c r="AV9" i="108"/>
  <c r="BH52" i="111"/>
  <c r="BF62" i="114"/>
  <c r="N24" i="109"/>
  <c r="BJ52" i="111"/>
  <c r="BJ18" i="112"/>
  <c r="BN21" i="113"/>
  <c r="BK12" i="113"/>
  <c r="G18" i="110"/>
  <c r="BN57" i="111"/>
  <c r="BE12" i="109"/>
  <c r="AL106" i="113"/>
  <c r="BG67" i="113"/>
  <c r="AP64" i="110"/>
  <c r="AF71" i="102"/>
  <c r="BK62" i="102"/>
  <c r="AL12" i="112"/>
  <c r="AF66" i="114"/>
  <c r="Z24" i="108"/>
  <c r="AC57" i="114"/>
  <c r="BN73" i="109"/>
  <c r="BC57" i="110"/>
  <c r="AO66" i="113"/>
  <c r="AF65" i="112"/>
  <c r="M12" i="113"/>
  <c r="BI62" i="109"/>
  <c r="AU63" i="113"/>
  <c r="BB79" i="112"/>
  <c r="AC24" i="111"/>
  <c r="AM65" i="108"/>
  <c r="T21" i="113"/>
  <c r="BN77" i="102"/>
  <c r="BE18" i="108"/>
  <c r="AP68" i="112"/>
  <c r="AX64" i="111"/>
  <c r="Y68" i="110"/>
  <c r="U12" i="111"/>
  <c r="Y24" i="111"/>
  <c r="AH24" i="109"/>
  <c r="BJ78" i="111"/>
  <c r="P21" i="114"/>
  <c r="BC12" i="111"/>
  <c r="AN79" i="108"/>
  <c r="AJ73" i="111"/>
  <c r="BC73" i="110"/>
  <c r="AS78" i="108"/>
  <c r="BN67" i="109"/>
  <c r="AY63" i="111"/>
  <c r="AK57" i="112"/>
  <c r="AU69" i="111"/>
  <c r="AZ12" i="114"/>
  <c r="BN18" i="114"/>
  <c r="AW18" i="114"/>
  <c r="AH66" i="108"/>
  <c r="U12" i="114"/>
  <c r="BO21" i="112"/>
  <c r="BJ9" i="110"/>
  <c r="AN21" i="111"/>
  <c r="AG18" i="112"/>
  <c r="BI18" i="109"/>
  <c r="N24" i="108"/>
  <c r="AC18" i="110"/>
  <c r="Z65" i="110"/>
  <c r="AS67" i="109"/>
  <c r="AG68" i="114"/>
  <c r="BI68" i="113"/>
  <c r="V24" i="114"/>
  <c r="U24" i="108"/>
  <c r="AY64" i="108"/>
  <c r="BO12" i="110"/>
  <c r="AO52" i="111"/>
  <c r="BB69" i="108"/>
  <c r="AI65" i="109"/>
  <c r="BD65" i="110"/>
  <c r="AE73" i="112"/>
  <c r="AE18" i="114"/>
  <c r="AL12" i="109"/>
  <c r="AK69" i="113"/>
  <c r="Z74" i="109"/>
  <c r="BE68" i="110"/>
  <c r="AM52" i="113"/>
  <c r="AE21" i="109"/>
  <c r="BN57" i="114"/>
  <c r="Z79" i="110"/>
  <c r="BG67" i="110"/>
  <c r="Y21" i="108"/>
  <c r="I12" i="114"/>
  <c r="AH21" i="109"/>
  <c r="BD80" i="109"/>
  <c r="AZ12" i="102"/>
  <c r="AY52" i="114"/>
  <c r="Z65" i="111"/>
  <c r="BG67" i="108"/>
  <c r="AK9" i="108"/>
  <c r="Y21" i="109"/>
  <c r="BN57" i="108"/>
  <c r="AF62" i="109"/>
  <c r="AE80" i="109"/>
  <c r="AG9" i="114"/>
  <c r="V21" i="114"/>
  <c r="AA18" i="110"/>
  <c r="H9" i="113"/>
  <c r="AS12" i="109"/>
  <c r="AV9" i="113"/>
  <c r="M9" i="111"/>
  <c r="BC57" i="109"/>
  <c r="AP79" i="113"/>
  <c r="AF67" i="113"/>
  <c r="AP52" i="114"/>
  <c r="Z65" i="108"/>
  <c r="BO65" i="109"/>
  <c r="BK78" i="111"/>
  <c r="Y63" i="108"/>
  <c r="BB65" i="114"/>
  <c r="BO74" i="111"/>
  <c r="S24" i="108"/>
  <c r="BI80" i="111"/>
  <c r="P18" i="112"/>
  <c r="BH78" i="109"/>
  <c r="BH65" i="114"/>
  <c r="BB74" i="114"/>
  <c r="AV64" i="113"/>
  <c r="AJ57" i="110"/>
  <c r="AP106" i="113"/>
  <c r="AX78" i="112"/>
  <c r="AA68" i="108"/>
  <c r="BF79" i="110"/>
  <c r="BJ18" i="114"/>
  <c r="BD80" i="114"/>
  <c r="AD74" i="113"/>
  <c r="AH62" i="102"/>
  <c r="BG77" i="102"/>
  <c r="AJ106" i="108"/>
  <c r="AJ9" i="114"/>
  <c r="AN52" i="111"/>
  <c r="AD73" i="110"/>
  <c r="BG52" i="110"/>
  <c r="AX12" i="109"/>
  <c r="AE79" i="111"/>
  <c r="AO69" i="111"/>
  <c r="AY106" i="108"/>
  <c r="BJ64" i="108"/>
  <c r="BA57" i="108"/>
  <c r="BA18" i="114"/>
  <c r="AU74" i="110"/>
  <c r="AN24" i="114"/>
  <c r="BN64" i="102"/>
  <c r="BF66" i="102"/>
  <c r="BK12" i="102"/>
  <c r="AW78" i="110"/>
  <c r="BI80" i="112"/>
  <c r="Z21" i="114"/>
  <c r="AI78" i="114"/>
  <c r="BH64" i="113"/>
  <c r="BA78" i="112"/>
  <c r="AD106" i="114"/>
  <c r="Z18" i="108"/>
  <c r="P12" i="113"/>
  <c r="BI73" i="108"/>
  <c r="M21" i="108"/>
  <c r="AS106" i="108"/>
  <c r="J12" i="109"/>
  <c r="AB71" i="102"/>
  <c r="BA76" i="102"/>
  <c r="J12" i="113"/>
  <c r="BF106" i="111"/>
  <c r="AM74" i="112"/>
  <c r="AA21" i="110"/>
  <c r="AH78" i="111"/>
  <c r="AX63" i="113"/>
  <c r="AS52" i="113"/>
  <c r="BC62" i="108"/>
  <c r="AT18" i="109"/>
  <c r="BC52" i="110"/>
  <c r="BD57" i="114"/>
  <c r="AD62" i="108"/>
  <c r="AO67" i="109"/>
  <c r="BB62" i="113"/>
  <c r="R24" i="113"/>
  <c r="S24" i="112"/>
  <c r="BH78" i="110"/>
  <c r="Y66" i="111"/>
  <c r="BO74" i="109"/>
  <c r="AS80" i="114"/>
  <c r="AS73" i="110"/>
  <c r="AL65" i="114"/>
  <c r="AX73" i="110"/>
  <c r="Z106" i="114"/>
  <c r="BB67" i="110"/>
  <c r="BN68" i="109"/>
  <c r="AK12" i="109"/>
  <c r="AO64" i="112"/>
  <c r="AY62" i="111"/>
  <c r="AJ18" i="109"/>
  <c r="J12" i="110"/>
  <c r="BH63" i="111"/>
  <c r="T24" i="112"/>
  <c r="AL62" i="109"/>
  <c r="AG52" i="112"/>
  <c r="AW79" i="114"/>
  <c r="AN18" i="110"/>
  <c r="AC69" i="112"/>
  <c r="AM66" i="109"/>
  <c r="AF61" i="102"/>
  <c r="BD12" i="102"/>
  <c r="BN68" i="112"/>
  <c r="BH63" i="114"/>
  <c r="BI57" i="109"/>
  <c r="BB57" i="111"/>
  <c r="BJ74" i="114"/>
  <c r="AN80" i="110"/>
  <c r="I12" i="112"/>
  <c r="BD64" i="112"/>
  <c r="Z79" i="112"/>
  <c r="AE79" i="112"/>
  <c r="BN64" i="113"/>
  <c r="BN65" i="109"/>
  <c r="AF24" i="109"/>
  <c r="BF73" i="110"/>
  <c r="Q9" i="102"/>
  <c r="AY78" i="113"/>
  <c r="AV67" i="112"/>
  <c r="BO57" i="109"/>
  <c r="G21" i="108"/>
  <c r="AE67" i="109"/>
  <c r="BA74" i="109"/>
  <c r="I9" i="113"/>
  <c r="AL12" i="113"/>
  <c r="BC12" i="110"/>
  <c r="BO74" i="114"/>
  <c r="AJ52" i="112"/>
  <c r="BI64" i="108"/>
  <c r="AG9" i="108"/>
  <c r="AJ62" i="112"/>
  <c r="BE52" i="109"/>
  <c r="H9" i="102"/>
  <c r="AB80" i="110"/>
  <c r="BI80" i="108"/>
  <c r="BJ78" i="109"/>
  <c r="BA64" i="111"/>
  <c r="AH66" i="114"/>
  <c r="AC80" i="109"/>
  <c r="Z69" i="110"/>
  <c r="AJ62" i="113"/>
  <c r="G21" i="112"/>
  <c r="BO64" i="108"/>
  <c r="BD57" i="109"/>
  <c r="BH12" i="102"/>
  <c r="AK12" i="114"/>
  <c r="AW80" i="114"/>
  <c r="AH66" i="113"/>
  <c r="BF79" i="108"/>
  <c r="AO66" i="110"/>
  <c r="AS74" i="112"/>
  <c r="BI79" i="111"/>
  <c r="AP61" i="102"/>
  <c r="AM18" i="112"/>
  <c r="AG80" i="111"/>
  <c r="AD65" i="111"/>
  <c r="AZ52" i="110"/>
  <c r="AP62" i="110"/>
  <c r="BC18" i="110"/>
  <c r="AS62" i="114"/>
  <c r="AL52" i="108"/>
  <c r="AS69" i="108"/>
  <c r="AN80" i="108"/>
  <c r="BA68" i="109"/>
  <c r="Z80" i="112"/>
  <c r="AN106" i="109"/>
  <c r="AC79" i="110"/>
  <c r="AY52" i="111"/>
  <c r="BF60" i="102"/>
  <c r="AU63" i="110"/>
  <c r="BK106" i="111"/>
  <c r="AW66" i="110"/>
  <c r="AE66" i="110"/>
  <c r="BI52" i="114"/>
  <c r="AJ63" i="111"/>
  <c r="BB73" i="112"/>
  <c r="AT63" i="109"/>
  <c r="AB12" i="110"/>
  <c r="AK52" i="109"/>
  <c r="AY62" i="108"/>
  <c r="L12" i="109"/>
  <c r="AD68" i="109"/>
  <c r="AS64" i="114"/>
  <c r="AK12" i="110"/>
  <c r="BG70" i="102"/>
  <c r="Z78" i="108"/>
  <c r="BC57" i="112"/>
  <c r="Y21" i="110"/>
  <c r="AC64" i="112"/>
  <c r="AW52" i="109"/>
  <c r="AU18" i="111"/>
  <c r="AN69" i="108"/>
  <c r="Z64" i="112"/>
  <c r="AL66" i="108"/>
  <c r="AK52" i="114"/>
  <c r="BI69" i="114"/>
  <c r="AA70" i="102"/>
  <c r="BA63" i="111"/>
  <c r="AP52" i="113"/>
  <c r="AL78" i="111"/>
  <c r="AV80" i="113"/>
  <c r="BC106" i="111"/>
  <c r="BG66" i="114"/>
  <c r="AX12" i="110"/>
  <c r="AE78" i="109"/>
  <c r="J12" i="114"/>
  <c r="AG68" i="110"/>
  <c r="AV57" i="113"/>
  <c r="BO61" i="102"/>
  <c r="BI64" i="109"/>
  <c r="BC9" i="108"/>
  <c r="AC12" i="112"/>
  <c r="AA78" i="112"/>
  <c r="BE65" i="108"/>
  <c r="G24" i="109"/>
  <c r="Z65" i="112"/>
  <c r="BJ61" i="102"/>
  <c r="AY57" i="113"/>
  <c r="AB64" i="102"/>
  <c r="BD18" i="102"/>
  <c r="BE76" i="102"/>
  <c r="BH12" i="109"/>
  <c r="AV9" i="102"/>
  <c r="AE18" i="102"/>
  <c r="AM57" i="110"/>
  <c r="AJ12" i="114"/>
  <c r="BG62" i="102"/>
  <c r="AL60" i="102"/>
  <c r="BG78" i="114"/>
  <c r="AB65" i="102"/>
  <c r="BG64" i="102"/>
  <c r="N9" i="112"/>
  <c r="AF65" i="109"/>
  <c r="AP63" i="102"/>
  <c r="AK67" i="110"/>
  <c r="AA65" i="102"/>
  <c r="BN60" i="102"/>
  <c r="AL52" i="102"/>
  <c r="Z74" i="113"/>
  <c r="AF12" i="113"/>
  <c r="AI80" i="112"/>
  <c r="BA79" i="111"/>
  <c r="AS62" i="102"/>
  <c r="AH63" i="102"/>
  <c r="G9" i="113"/>
  <c r="Y65" i="109"/>
  <c r="AB65" i="113"/>
  <c r="BK80" i="112"/>
  <c r="AE62" i="109"/>
  <c r="BC9" i="102"/>
  <c r="AV64" i="102"/>
  <c r="BI65" i="112"/>
  <c r="BC9" i="110"/>
  <c r="BC63" i="108"/>
  <c r="AZ63" i="102"/>
  <c r="AB9" i="108"/>
  <c r="Y9" i="110"/>
  <c r="V9" i="102"/>
  <c r="Y75" i="102"/>
  <c r="AS57" i="112"/>
  <c r="BH60" i="102"/>
  <c r="AL75" i="102"/>
  <c r="L12" i="108"/>
  <c r="BO66" i="102"/>
  <c r="BO21" i="102"/>
  <c r="M24" i="102"/>
  <c r="AK9" i="112"/>
  <c r="Q21" i="112"/>
  <c r="BJ65" i="102"/>
  <c r="AB9" i="114"/>
  <c r="Q24" i="102"/>
  <c r="BO76" i="102"/>
  <c r="AF75" i="102"/>
  <c r="T9" i="102"/>
  <c r="AK78" i="110"/>
  <c r="BG67" i="109"/>
  <c r="Y62" i="102"/>
  <c r="BB66" i="111"/>
  <c r="AO21" i="111"/>
  <c r="Z18" i="109"/>
  <c r="BI73" i="114"/>
  <c r="Y80" i="112"/>
  <c r="BA106" i="113"/>
  <c r="BC74" i="108"/>
  <c r="AA74" i="109"/>
  <c r="BI9" i="108"/>
  <c r="AO65" i="112"/>
  <c r="AE21" i="111"/>
  <c r="AN68" i="114"/>
  <c r="AP24" i="114"/>
  <c r="AV57" i="110"/>
  <c r="BB62" i="112"/>
  <c r="AS80" i="108"/>
  <c r="BE52" i="112"/>
  <c r="AF69" i="110"/>
  <c r="AF106" i="109"/>
  <c r="AO65" i="109"/>
  <c r="AK74" i="109"/>
  <c r="BA62" i="110"/>
  <c r="BI18" i="110"/>
  <c r="AY62" i="114"/>
  <c r="AK21" i="111"/>
  <c r="BD64" i="110"/>
  <c r="BJ80" i="113"/>
  <c r="BH64" i="108"/>
  <c r="AP57" i="112"/>
  <c r="BA78" i="108"/>
  <c r="BG67" i="111"/>
  <c r="AX12" i="114"/>
  <c r="AA79" i="110"/>
  <c r="AO62" i="109"/>
  <c r="AY66" i="113"/>
  <c r="AW78" i="108"/>
  <c r="BO9" i="114"/>
  <c r="AL52" i="112"/>
  <c r="Y68" i="111"/>
  <c r="BN80" i="109"/>
  <c r="BG65" i="114"/>
  <c r="AX78" i="113"/>
  <c r="BA9" i="110"/>
  <c r="BK79" i="112"/>
  <c r="AV52" i="113"/>
  <c r="AU106" i="108"/>
  <c r="N24" i="102"/>
  <c r="AZ67" i="110"/>
  <c r="BJ63" i="114"/>
  <c r="AE18" i="111"/>
  <c r="AG65" i="111"/>
  <c r="BD18" i="109"/>
  <c r="AI64" i="109"/>
  <c r="T21" i="111"/>
  <c r="BH57" i="111"/>
  <c r="BH52" i="110"/>
  <c r="AB79" i="114"/>
  <c r="BE69" i="109"/>
  <c r="AD18" i="102"/>
  <c r="AX75" i="102"/>
  <c r="AI106" i="108"/>
  <c r="AB65" i="111"/>
  <c r="AN106" i="110"/>
  <c r="BF74" i="112"/>
  <c r="AS52" i="102"/>
  <c r="AN52" i="102"/>
  <c r="AV52" i="102"/>
  <c r="BC64" i="113"/>
  <c r="BO71" i="102"/>
  <c r="AB9" i="111"/>
  <c r="O24" i="112"/>
  <c r="N21" i="102"/>
  <c r="Z62" i="102"/>
  <c r="AY73" i="112"/>
  <c r="AH12" i="113"/>
  <c r="AN21" i="109"/>
  <c r="BB66" i="112"/>
  <c r="AA24" i="102"/>
  <c r="Z77" i="102"/>
  <c r="N21" i="112"/>
  <c r="BB77" i="102"/>
  <c r="BK63" i="102"/>
  <c r="AS12" i="108"/>
  <c r="AD67" i="111"/>
  <c r="BO9" i="102"/>
  <c r="BJ63" i="102"/>
  <c r="AL79" i="112"/>
  <c r="BN63" i="102"/>
  <c r="U18" i="102"/>
  <c r="AD9" i="113"/>
  <c r="AK57" i="111"/>
  <c r="AE9" i="102"/>
  <c r="BB52" i="102"/>
  <c r="AK79" i="114"/>
  <c r="AL9" i="114"/>
  <c r="AD12" i="110"/>
  <c r="AY68" i="110"/>
  <c r="AS12" i="114"/>
  <c r="G12" i="102"/>
  <c r="AO75" i="102"/>
  <c r="N18" i="102"/>
  <c r="AC63" i="112"/>
  <c r="BC73" i="108"/>
  <c r="AW68" i="109"/>
  <c r="AI24" i="102"/>
  <c r="BG66" i="102"/>
  <c r="T18" i="102"/>
  <c r="BO70" i="102"/>
  <c r="AU64" i="102"/>
  <c r="AO67" i="111"/>
  <c r="BC68" i="108"/>
  <c r="AT52" i="102"/>
  <c r="AE61" i="102"/>
  <c r="BE64" i="102"/>
  <c r="BC12" i="102"/>
  <c r="O21" i="111"/>
  <c r="AN63" i="109"/>
  <c r="G18" i="102"/>
  <c r="AI76" i="102"/>
  <c r="AO70" i="102"/>
  <c r="AN21" i="102"/>
  <c r="AE21" i="102"/>
  <c r="Z9" i="110"/>
  <c r="AM21" i="102"/>
  <c r="BK64" i="108"/>
  <c r="Y70" i="102"/>
  <c r="BI64" i="111"/>
  <c r="AV62" i="112"/>
  <c r="AX66" i="109"/>
  <c r="BO57" i="110"/>
  <c r="AU9" i="108"/>
  <c r="AZ79" i="108"/>
  <c r="BI62" i="102"/>
  <c r="BD62" i="108"/>
  <c r="BK9" i="113"/>
  <c r="AI79" i="114"/>
  <c r="AY74" i="113"/>
  <c r="BI66" i="111"/>
  <c r="AE24" i="111"/>
  <c r="AX74" i="112"/>
  <c r="AA65" i="112"/>
  <c r="AB79" i="113"/>
  <c r="BB12" i="109"/>
  <c r="AJ66" i="111"/>
  <c r="BK78" i="110"/>
  <c r="BC63" i="112"/>
  <c r="AG52" i="110"/>
  <c r="BD62" i="111"/>
  <c r="BH77" i="102"/>
  <c r="AI74" i="110"/>
  <c r="BI12" i="110"/>
  <c r="AD12" i="111"/>
  <c r="AZ106" i="111"/>
  <c r="AW52" i="112"/>
  <c r="AL52" i="110"/>
  <c r="AL52" i="109"/>
  <c r="BG57" i="109"/>
  <c r="BB78" i="109"/>
  <c r="AC67" i="113"/>
  <c r="AA69" i="112"/>
  <c r="BF66" i="111"/>
  <c r="AC12" i="113"/>
  <c r="BB9" i="112"/>
  <c r="AV68" i="113"/>
  <c r="AA75" i="102"/>
  <c r="AY65" i="111"/>
  <c r="AD9" i="110"/>
  <c r="BH18" i="109"/>
  <c r="BJ62" i="114"/>
  <c r="AZ69" i="113"/>
  <c r="AO69" i="108"/>
  <c r="AU68" i="114"/>
  <c r="Z24" i="110"/>
  <c r="Y64" i="113"/>
  <c r="AK73" i="112"/>
  <c r="AS68" i="109"/>
  <c r="AO66" i="114"/>
  <c r="AD9" i="112"/>
  <c r="T9" i="108"/>
  <c r="AF24" i="113"/>
  <c r="BH68" i="112"/>
  <c r="BI64" i="112"/>
  <c r="AU57" i="109"/>
  <c r="N18" i="108"/>
  <c r="AM12" i="112"/>
  <c r="AL21" i="113"/>
  <c r="BD63" i="113"/>
  <c r="AG71" i="102"/>
  <c r="BF80" i="111"/>
  <c r="BE106" i="111"/>
  <c r="AH73" i="109"/>
  <c r="BO21" i="109"/>
  <c r="V24" i="112"/>
  <c r="R12" i="102"/>
  <c r="AY65" i="102"/>
  <c r="BO12" i="102"/>
  <c r="AB73" i="109"/>
  <c r="BE12" i="102"/>
  <c r="BO24" i="102"/>
  <c r="AP21" i="111"/>
  <c r="AE63" i="102"/>
  <c r="BN71" i="102"/>
  <c r="AG62" i="102"/>
  <c r="T24" i="111"/>
  <c r="AE57" i="109"/>
  <c r="AY76" i="102"/>
  <c r="BE9" i="102"/>
  <c r="AZ9" i="108"/>
  <c r="AI9" i="102"/>
  <c r="AI69" i="114"/>
  <c r="AS61" i="102"/>
  <c r="BB63" i="109"/>
  <c r="AK66" i="102"/>
  <c r="AH60" i="102"/>
  <c r="R9" i="102"/>
  <c r="AE66" i="102"/>
  <c r="BB65" i="109"/>
  <c r="M9" i="109"/>
  <c r="AO21" i="113"/>
  <c r="AO76" i="102"/>
  <c r="AC57" i="108"/>
  <c r="BN61" i="102"/>
  <c r="BK65" i="102"/>
  <c r="AU68" i="108"/>
  <c r="Z68" i="111"/>
  <c r="G12" i="113"/>
  <c r="BG75" i="102"/>
  <c r="AE62" i="102"/>
  <c r="Y21" i="102"/>
  <c r="BN24" i="102"/>
  <c r="AY66" i="111"/>
  <c r="AT65" i="102"/>
  <c r="BF71" i="102"/>
  <c r="AC70" i="102"/>
  <c r="BC18" i="102"/>
  <c r="BG63" i="102"/>
  <c r="BF74" i="108"/>
  <c r="AW61" i="102"/>
  <c r="AK80" i="110"/>
  <c r="AE24" i="102"/>
  <c r="Z63" i="102"/>
  <c r="AC62" i="102"/>
  <c r="AM76" i="102"/>
  <c r="AU68" i="113"/>
  <c r="AN60" i="102"/>
  <c r="AP62" i="109"/>
  <c r="AG66" i="111"/>
  <c r="AN66" i="102"/>
  <c r="AU60" i="102"/>
  <c r="BA52" i="102"/>
  <c r="Y21" i="111"/>
  <c r="AK24" i="102"/>
  <c r="AT68" i="110"/>
  <c r="AP68" i="114"/>
  <c r="AM9" i="110"/>
  <c r="J12" i="102"/>
  <c r="AI57" i="112"/>
  <c r="Y24" i="109"/>
  <c r="BG9" i="110"/>
  <c r="AA24" i="114"/>
  <c r="AD52" i="102"/>
  <c r="BN24" i="112"/>
  <c r="Z69" i="111"/>
  <c r="G21" i="110"/>
  <c r="AD18" i="110"/>
  <c r="T24" i="110"/>
  <c r="BD74" i="109"/>
  <c r="AM68" i="110"/>
  <c r="AD65" i="110"/>
  <c r="P21" i="108"/>
  <c r="BE66" i="110"/>
  <c r="AT64" i="114"/>
  <c r="AD64" i="114"/>
  <c r="AH68" i="113"/>
  <c r="AO21" i="112"/>
  <c r="AH73" i="114"/>
  <c r="AO18" i="102"/>
  <c r="AP21" i="110"/>
  <c r="BF62" i="110"/>
  <c r="R24" i="110"/>
  <c r="BK79" i="109"/>
  <c r="AL18" i="113"/>
  <c r="AJ106" i="113"/>
  <c r="AP73" i="114"/>
  <c r="AO68" i="113"/>
  <c r="Z65" i="114"/>
  <c r="AM68" i="113"/>
  <c r="BF79" i="113"/>
  <c r="AF106" i="111"/>
  <c r="AI24" i="113"/>
  <c r="AB12" i="108"/>
  <c r="BN9" i="109"/>
  <c r="H9" i="109"/>
  <c r="O18" i="102"/>
  <c r="AV74" i="113"/>
  <c r="BB68" i="111"/>
  <c r="L9" i="112"/>
  <c r="AT106" i="112"/>
  <c r="AF68" i="114"/>
  <c r="G24" i="110"/>
  <c r="AD63" i="114"/>
  <c r="AN9" i="111"/>
  <c r="J12" i="111"/>
  <c r="I12" i="109"/>
  <c r="AM21" i="112"/>
  <c r="BI68" i="110"/>
  <c r="AV73" i="111"/>
  <c r="AF73" i="110"/>
  <c r="AL12" i="114"/>
  <c r="AG69" i="108"/>
  <c r="AS18" i="110"/>
  <c r="AH74" i="112"/>
  <c r="BD74" i="110"/>
  <c r="AU52" i="102"/>
  <c r="AL106" i="108"/>
  <c r="AC63" i="102"/>
  <c r="AC77" i="102"/>
  <c r="R18" i="113"/>
  <c r="AB69" i="108"/>
  <c r="BJ57" i="108"/>
  <c r="AP57" i="111"/>
  <c r="AP75" i="102"/>
  <c r="BN68" i="110"/>
  <c r="AB9" i="112"/>
  <c r="AN66" i="108"/>
  <c r="BH66" i="102"/>
  <c r="AZ75" i="102"/>
  <c r="AA76" i="102"/>
  <c r="Y65" i="102"/>
  <c r="AT18" i="102"/>
  <c r="BF65" i="108"/>
  <c r="BF66" i="114"/>
  <c r="AT75" i="102"/>
  <c r="I12" i="111"/>
  <c r="AY18" i="102"/>
  <c r="Y63" i="102"/>
  <c r="AL24" i="102"/>
  <c r="AE52" i="102"/>
  <c r="BD64" i="109"/>
  <c r="BE73" i="109"/>
  <c r="Y76" i="102"/>
  <c r="BC70" i="102"/>
  <c r="BJ9" i="111"/>
  <c r="AJ75" i="102"/>
  <c r="AO65" i="102"/>
  <c r="BH61" i="102"/>
  <c r="AU64" i="113"/>
  <c r="BK18" i="102"/>
  <c r="AG70" i="102"/>
  <c r="Z78" i="114"/>
  <c r="Z67" i="114"/>
  <c r="BI62" i="110"/>
  <c r="AF68" i="108"/>
  <c r="AS12" i="102"/>
  <c r="Q9" i="108"/>
  <c r="AM65" i="102"/>
  <c r="AS79" i="108"/>
  <c r="T24" i="108"/>
  <c r="BB64" i="112"/>
  <c r="BG74" i="110"/>
  <c r="BI76" i="102"/>
  <c r="AZ62" i="102"/>
  <c r="M18" i="102"/>
  <c r="AG63" i="102"/>
  <c r="BH71" i="102"/>
  <c r="K12" i="108"/>
  <c r="G24" i="111"/>
  <c r="AU9" i="102"/>
  <c r="O21" i="102"/>
  <c r="Z69" i="114"/>
  <c r="BK71" i="102"/>
  <c r="AH52" i="102"/>
  <c r="BF52" i="102"/>
  <c r="BN64" i="111"/>
  <c r="BI70" i="102"/>
  <c r="AL21" i="102"/>
  <c r="BI62" i="114"/>
  <c r="BJ77" i="102"/>
  <c r="R18" i="102"/>
  <c r="Y12" i="109"/>
  <c r="AY18" i="109"/>
  <c r="AH18" i="112"/>
  <c r="BH73" i="110"/>
  <c r="AN77" i="102"/>
  <c r="U9" i="109"/>
  <c r="AH52" i="109"/>
  <c r="BF106" i="112"/>
  <c r="N21" i="108"/>
  <c r="AL66" i="102"/>
  <c r="AJ70" i="102"/>
  <c r="AB66" i="108"/>
  <c r="P9" i="110"/>
  <c r="BG68" i="112"/>
  <c r="M24" i="108"/>
  <c r="AJ67" i="112"/>
  <c r="BB64" i="109"/>
  <c r="AK24" i="114"/>
  <c r="BF79" i="109"/>
  <c r="BN65" i="114"/>
  <c r="AX62" i="109"/>
  <c r="AA9" i="113"/>
  <c r="H12" i="108"/>
  <c r="AA24" i="110"/>
  <c r="BO62" i="114"/>
  <c r="BD75" i="102"/>
  <c r="AU70" i="102"/>
  <c r="BA106" i="108"/>
  <c r="AX12" i="102"/>
  <c r="AS68" i="108"/>
  <c r="AV78" i="110"/>
  <c r="AB68" i="113"/>
  <c r="AU67" i="110"/>
  <c r="Q9" i="114"/>
  <c r="AA69" i="108"/>
  <c r="AZ74" i="112"/>
  <c r="BN21" i="112"/>
  <c r="AB106" i="110"/>
  <c r="AF64" i="108"/>
  <c r="Z57" i="110"/>
  <c r="L9" i="108"/>
  <c r="AS76" i="102"/>
  <c r="BJ64" i="102"/>
  <c r="AM63" i="112"/>
  <c r="V9" i="109"/>
  <c r="AS80" i="112"/>
  <c r="BK67" i="110"/>
  <c r="AZ18" i="108"/>
  <c r="BC79" i="111"/>
  <c r="G24" i="114"/>
  <c r="U12" i="112"/>
  <c r="Z57" i="114"/>
  <c r="AX64" i="114"/>
  <c r="BC52" i="113"/>
  <c r="BE74" i="111"/>
  <c r="BC63" i="110"/>
  <c r="AA69" i="111"/>
  <c r="AK73" i="113"/>
  <c r="AV74" i="112"/>
  <c r="BA9" i="114"/>
  <c r="J12" i="112"/>
  <c r="N12" i="102"/>
  <c r="AZ73" i="109"/>
  <c r="AK70" i="102"/>
  <c r="V24" i="102"/>
  <c r="Z73" i="110"/>
  <c r="P21" i="109"/>
  <c r="BG52" i="114"/>
  <c r="AM9" i="108"/>
  <c r="AX61" i="102"/>
  <c r="AL77" i="102"/>
  <c r="BJ68" i="111"/>
  <c r="Q18" i="112"/>
  <c r="BE71" i="102"/>
  <c r="AC21" i="102"/>
  <c r="AK64" i="113"/>
  <c r="AB21" i="111"/>
  <c r="AU77" i="102"/>
  <c r="BA75" i="102"/>
  <c r="Z68" i="108"/>
  <c r="S24" i="102"/>
  <c r="AG21" i="102"/>
  <c r="AW66" i="102"/>
  <c r="BO57" i="108"/>
  <c r="BK9" i="102"/>
  <c r="BI69" i="108"/>
  <c r="BD106" i="109"/>
  <c r="BF65" i="112"/>
  <c r="BK65" i="112"/>
  <c r="Y9" i="108"/>
  <c r="AZ61" i="102"/>
  <c r="AL9" i="112"/>
  <c r="BI71" i="102"/>
  <c r="AC18" i="114"/>
  <c r="AC21" i="109"/>
  <c r="AT63" i="102"/>
  <c r="AP80" i="112"/>
  <c r="AN24" i="102"/>
  <c r="AP76" i="102"/>
  <c r="BN57" i="113"/>
  <c r="BI12" i="109"/>
  <c r="Q24" i="113"/>
  <c r="AP78" i="110"/>
  <c r="BI64" i="102"/>
  <c r="AH75" i="102"/>
  <c r="AT76" i="102"/>
  <c r="AM73" i="108"/>
  <c r="BB61" i="102"/>
  <c r="AT77" i="102"/>
  <c r="AC24" i="112"/>
  <c r="AK52" i="111"/>
  <c r="AC9" i="112"/>
  <c r="BC77" i="102"/>
  <c r="AM74" i="108"/>
  <c r="BD9" i="111"/>
  <c r="BA18" i="113"/>
  <c r="AH65" i="102"/>
  <c r="AV77" i="102"/>
  <c r="Y9" i="112"/>
  <c r="AK64" i="102"/>
  <c r="AA64" i="102"/>
  <c r="AN18" i="113"/>
  <c r="BB57" i="110"/>
  <c r="AW74" i="110"/>
  <c r="AZ52" i="102"/>
  <c r="AI77" i="102"/>
  <c r="AJ77" i="102"/>
  <c r="BH62" i="102"/>
  <c r="Z67" i="112"/>
  <c r="AT80" i="114"/>
  <c r="Y9" i="102"/>
  <c r="AA61" i="102"/>
  <c r="AG24" i="114"/>
  <c r="AL63" i="113"/>
  <c r="AB12" i="114"/>
  <c r="BK106" i="114"/>
  <c r="AA62" i="102"/>
  <c r="R21" i="114"/>
  <c r="AC68" i="114"/>
  <c r="AG64" i="110"/>
  <c r="Z21" i="113"/>
  <c r="BH79" i="111"/>
  <c r="BF68" i="108"/>
  <c r="AS79" i="109"/>
  <c r="AF57" i="108"/>
  <c r="AL79" i="109"/>
  <c r="BC9" i="113"/>
  <c r="BH57" i="113"/>
  <c r="AT79" i="112"/>
  <c r="BN66" i="110"/>
  <c r="BA66" i="112"/>
  <c r="Z78" i="113"/>
  <c r="AC9" i="111"/>
  <c r="AP21" i="108"/>
  <c r="Y18" i="108"/>
  <c r="AG9" i="109"/>
  <c r="BO57" i="114"/>
  <c r="AA79" i="109"/>
  <c r="T24" i="113"/>
  <c r="L12" i="112"/>
  <c r="BG66" i="113"/>
  <c r="AX57" i="113"/>
  <c r="AN67" i="114"/>
  <c r="AH9" i="108"/>
  <c r="BJ79" i="114"/>
  <c r="BG9" i="113"/>
  <c r="S12" i="102"/>
  <c r="AP64" i="114"/>
  <c r="AC63" i="108"/>
  <c r="Z78" i="110"/>
  <c r="AW68" i="111"/>
  <c r="AT66" i="113"/>
  <c r="BK64" i="114"/>
  <c r="AH64" i="109"/>
  <c r="AV74" i="109"/>
  <c r="AW68" i="108"/>
  <c r="Z64" i="109"/>
  <c r="AD62" i="111"/>
  <c r="Z70" i="102"/>
  <c r="AD69" i="113"/>
  <c r="AP73" i="108"/>
  <c r="BD69" i="112"/>
  <c r="BE80" i="113"/>
  <c r="BJ57" i="110"/>
  <c r="AN66" i="113"/>
  <c r="AJ78" i="110"/>
  <c r="AL80" i="113"/>
  <c r="AI57" i="113"/>
  <c r="AD67" i="109"/>
  <c r="AV79" i="114"/>
  <c r="Q21" i="110"/>
  <c r="AT62" i="102"/>
  <c r="U12" i="102"/>
  <c r="AA79" i="108"/>
  <c r="AN106" i="108"/>
  <c r="AB80" i="108"/>
  <c r="AF21" i="102"/>
  <c r="G9" i="108"/>
  <c r="AP24" i="111"/>
  <c r="AC74" i="111"/>
  <c r="AP69" i="114"/>
  <c r="AE74" i="109"/>
  <c r="AH24" i="102"/>
  <c r="AI71" i="102"/>
  <c r="AL9" i="111"/>
  <c r="BE18" i="102"/>
  <c r="BN66" i="112"/>
  <c r="BN21" i="108"/>
  <c r="AK18" i="102"/>
  <c r="BF80" i="109"/>
  <c r="AD71" i="102"/>
  <c r="AF60" i="102"/>
  <c r="AW77" i="102"/>
  <c r="AU63" i="102"/>
  <c r="AH80" i="113"/>
  <c r="BE74" i="114"/>
  <c r="Y18" i="102"/>
  <c r="BK76" i="102"/>
  <c r="AN12" i="108"/>
  <c r="Z62" i="114"/>
  <c r="P12" i="102"/>
  <c r="AO77" i="102"/>
  <c r="BE57" i="112"/>
  <c r="AD66" i="102"/>
  <c r="AM24" i="102"/>
  <c r="AC18" i="102"/>
  <c r="BH65" i="109"/>
  <c r="AA73" i="108"/>
  <c r="BF18" i="112"/>
  <c r="BG12" i="111"/>
  <c r="K12" i="112"/>
  <c r="AY70" i="102"/>
  <c r="BF52" i="114"/>
  <c r="AG61" i="102"/>
  <c r="BE80" i="111"/>
  <c r="AV66" i="111"/>
  <c r="BH63" i="113"/>
  <c r="AF66" i="102"/>
  <c r="BF75" i="102"/>
  <c r="BD9" i="102"/>
  <c r="AK71" i="102"/>
  <c r="AT67" i="108"/>
  <c r="BB57" i="113"/>
  <c r="AH70" i="102"/>
  <c r="AL9" i="109"/>
  <c r="AC65" i="102"/>
  <c r="AO66" i="102"/>
  <c r="K12" i="111"/>
  <c r="AF24" i="102"/>
  <c r="Z12" i="109"/>
  <c r="AN61" i="102"/>
  <c r="BH64" i="102"/>
  <c r="AA63" i="102"/>
  <c r="AB70" i="102"/>
  <c r="AK65" i="102"/>
  <c r="AO68" i="109"/>
  <c r="P21" i="111"/>
  <c r="J9" i="102"/>
  <c r="BJ76" i="102"/>
  <c r="Y9" i="113"/>
  <c r="AZ68" i="110"/>
  <c r="Z12" i="108"/>
  <c r="AO9" i="102"/>
  <c r="AH18" i="110"/>
  <c r="BA64" i="112"/>
  <c r="BK77" i="102"/>
  <c r="BA69" i="112"/>
  <c r="AG68" i="109"/>
  <c r="AM67" i="111"/>
  <c r="AS12" i="113"/>
  <c r="AS106" i="111"/>
  <c r="AF73" i="114"/>
  <c r="BK65" i="113"/>
  <c r="BG78" i="111"/>
  <c r="BH80" i="108"/>
  <c r="BF62" i="108"/>
  <c r="K9" i="110"/>
  <c r="AI24" i="114"/>
  <c r="AE76" i="102"/>
  <c r="AB18" i="113"/>
  <c r="AY52" i="102"/>
  <c r="AI60" i="102"/>
  <c r="AD79" i="110"/>
  <c r="BI66" i="109"/>
  <c r="AE64" i="112"/>
  <c r="AA80" i="114"/>
  <c r="AF79" i="113"/>
  <c r="R21" i="111"/>
  <c r="AB69" i="112"/>
  <c r="AF52" i="110"/>
  <c r="BD73" i="109"/>
  <c r="AV52" i="111"/>
  <c r="AT18" i="112"/>
  <c r="AJ65" i="109"/>
  <c r="BH65" i="102"/>
  <c r="AK80" i="112"/>
  <c r="BI9" i="102"/>
  <c r="BK70" i="102"/>
  <c r="AJ12" i="113"/>
  <c r="AZ63" i="114"/>
  <c r="R21" i="112"/>
  <c r="AX9" i="108"/>
  <c r="N21" i="110"/>
  <c r="BE66" i="113"/>
  <c r="AB57" i="108"/>
  <c r="AX9" i="102"/>
  <c r="Z69" i="112"/>
  <c r="AC62" i="111"/>
  <c r="AF9" i="102"/>
  <c r="Q21" i="111"/>
  <c r="BH18" i="110"/>
  <c r="AJ62" i="109"/>
  <c r="AO52" i="112"/>
  <c r="AW65" i="108"/>
  <c r="AA64" i="111"/>
  <c r="P12" i="110"/>
  <c r="BB64" i="114"/>
  <c r="AZ66" i="114"/>
  <c r="AD80" i="108"/>
  <c r="AC64" i="102"/>
  <c r="P21" i="112"/>
  <c r="BJ12" i="110"/>
  <c r="BK66" i="112"/>
  <c r="BC75" i="102"/>
  <c r="T12" i="102"/>
  <c r="AH12" i="102"/>
  <c r="AY106" i="113"/>
  <c r="BH64" i="111"/>
  <c r="AN65" i="102"/>
  <c r="AC9" i="114"/>
  <c r="BI78" i="108"/>
  <c r="AS73" i="108"/>
  <c r="AM64" i="102"/>
  <c r="AA71" i="102"/>
  <c r="AG67" i="112"/>
  <c r="BD60" i="102"/>
  <c r="BB70" i="102"/>
  <c r="Y24" i="102"/>
  <c r="AI9" i="112"/>
  <c r="AE65" i="102"/>
  <c r="BD66" i="108"/>
  <c r="AE57" i="114"/>
  <c r="BE65" i="102"/>
  <c r="AM69" i="111"/>
  <c r="AW65" i="102"/>
  <c r="BA18" i="102"/>
  <c r="O9" i="102"/>
  <c r="BC57" i="114"/>
  <c r="AM18" i="102"/>
  <c r="AH74" i="114"/>
  <c r="BO75" i="102"/>
  <c r="AB18" i="112"/>
  <c r="AV66" i="102"/>
  <c r="AO63" i="102"/>
  <c r="AS80" i="113"/>
  <c r="T9" i="111"/>
  <c r="AU62" i="112"/>
  <c r="AZ18" i="110"/>
  <c r="BB75" i="102"/>
  <c r="AE52" i="114"/>
  <c r="AT61" i="102"/>
  <c r="M21" i="114"/>
  <c r="Y12" i="102"/>
  <c r="BK64" i="102"/>
  <c r="AO18" i="112"/>
  <c r="AA60" i="102"/>
  <c r="BB18" i="102"/>
  <c r="S21" i="102"/>
  <c r="AS79" i="110"/>
  <c r="Z76" i="102"/>
  <c r="AM66" i="102"/>
  <c r="BB9" i="102"/>
  <c r="AF18" i="102"/>
  <c r="AK76" i="102"/>
  <c r="AM63" i="102"/>
  <c r="AL9" i="110"/>
  <c r="AI80" i="111"/>
  <c r="AF79" i="108"/>
  <c r="BA60" i="102"/>
  <c r="AF9" i="113"/>
  <c r="BH9" i="102"/>
  <c r="Y52" i="108"/>
  <c r="AT60" i="102"/>
  <c r="AC18" i="112"/>
  <c r="BJ60" i="102"/>
  <c r="AP21" i="102"/>
  <c r="AP21" i="113"/>
  <c r="BF78" i="108"/>
  <c r="K12" i="114"/>
  <c r="Y12" i="114"/>
  <c r="AG66" i="109"/>
  <c r="AW18" i="102"/>
  <c r="AU73" i="108"/>
  <c r="Y80" i="109"/>
  <c r="M18" i="110"/>
  <c r="AA62" i="112"/>
  <c r="AS65" i="108"/>
  <c r="BK9" i="109"/>
  <c r="AP65" i="109"/>
  <c r="AI65" i="112"/>
  <c r="AG52" i="109"/>
  <c r="BF66" i="113"/>
  <c r="BD62" i="112"/>
  <c r="AH57" i="112"/>
  <c r="AS18" i="109"/>
  <c r="Z64" i="102"/>
  <c r="AB24" i="114"/>
  <c r="S9" i="102"/>
  <c r="AU80" i="110"/>
  <c r="BC12" i="112"/>
  <c r="BN68" i="114"/>
  <c r="AT67" i="114"/>
  <c r="BB69" i="111"/>
  <c r="BA79" i="112"/>
  <c r="AN67" i="109"/>
  <c r="AN9" i="113"/>
  <c r="AA68" i="112"/>
  <c r="AF9" i="108"/>
  <c r="Q21" i="108"/>
  <c r="AK78" i="111"/>
  <c r="AB24" i="109"/>
  <c r="BD73" i="113"/>
  <c r="AB66" i="110"/>
  <c r="AW106" i="112"/>
  <c r="AB64" i="114"/>
  <c r="BJ65" i="111"/>
  <c r="Z63" i="109"/>
  <c r="BC67" i="113"/>
  <c r="AA69" i="114"/>
  <c r="BG9" i="102"/>
  <c r="AG12" i="111"/>
  <c r="AT68" i="108"/>
  <c r="BE57" i="108"/>
  <c r="BN62" i="111"/>
  <c r="Z57" i="109"/>
  <c r="AM52" i="111"/>
  <c r="BO66" i="110"/>
  <c r="Z62" i="109"/>
  <c r="AM64" i="113"/>
  <c r="Z64" i="110"/>
  <c r="AL18" i="109"/>
  <c r="AT52" i="108"/>
  <c r="AP70" i="102"/>
  <c r="Z66" i="112"/>
  <c r="AL65" i="102"/>
  <c r="AC80" i="114"/>
  <c r="K12" i="109"/>
  <c r="AB21" i="110"/>
  <c r="AL63" i="102"/>
  <c r="AY67" i="111"/>
  <c r="AJ73" i="108"/>
  <c r="AW62" i="102"/>
  <c r="BF64" i="102"/>
  <c r="AF52" i="102"/>
  <c r="AB63" i="102"/>
  <c r="BA64" i="102"/>
  <c r="AL80" i="114"/>
  <c r="AC24" i="102"/>
  <c r="AL78" i="112"/>
  <c r="AH9" i="102"/>
  <c r="AS64" i="111"/>
  <c r="AI21" i="102"/>
  <c r="Y60" i="102"/>
  <c r="BC64" i="102"/>
  <c r="Z75" i="102"/>
  <c r="AP9" i="113"/>
  <c r="AF62" i="102"/>
  <c r="AW64" i="102"/>
  <c r="AP12" i="102"/>
  <c r="Y74" i="113"/>
  <c r="BA9" i="102"/>
  <c r="BG76" i="102"/>
  <c r="Y18" i="111"/>
  <c r="AU74" i="109"/>
  <c r="BF65" i="102"/>
  <c r="BC63" i="102"/>
  <c r="AD21" i="110"/>
  <c r="Q21" i="102"/>
  <c r="Z21" i="112"/>
  <c r="AY64" i="114"/>
  <c r="Z57" i="111"/>
  <c r="AT57" i="111"/>
  <c r="AM12" i="102"/>
  <c r="AO71" i="102"/>
  <c r="Y9" i="109"/>
  <c r="AI106" i="114"/>
  <c r="AT65" i="109"/>
  <c r="AF70" i="102"/>
  <c r="BO63" i="110"/>
  <c r="AB12" i="102"/>
  <c r="AD52" i="109"/>
  <c r="AI18" i="102"/>
  <c r="BJ63" i="112"/>
  <c r="BG65" i="102"/>
  <c r="AO21" i="102"/>
  <c r="AB62" i="102"/>
  <c r="AX60" i="102"/>
  <c r="AC9" i="113"/>
  <c r="BC66" i="102"/>
  <c r="BK63" i="113"/>
  <c r="AU57" i="113"/>
  <c r="BC68" i="110"/>
  <c r="Z71" i="102"/>
  <c r="AA77" i="102"/>
  <c r="G9" i="109"/>
  <c r="AW76" i="102"/>
  <c r="AG66" i="102"/>
  <c r="AG21" i="109"/>
  <c r="AM52" i="102"/>
  <c r="AU71" i="102"/>
  <c r="AE106" i="113"/>
  <c r="BI69" i="111"/>
  <c r="S24" i="114"/>
  <c r="AK18" i="109"/>
  <c r="J9" i="113"/>
  <c r="AG60" i="102"/>
  <c r="AJ65" i="113"/>
  <c r="AV64" i="114"/>
  <c r="AV52" i="109"/>
  <c r="P21" i="113"/>
  <c r="AA64" i="109"/>
  <c r="U21" i="110"/>
  <c r="BN73" i="114"/>
  <c r="BO64" i="110"/>
  <c r="AA9" i="108"/>
  <c r="R12" i="109"/>
  <c r="AT67" i="113"/>
  <c r="BN63" i="112"/>
  <c r="AL80" i="108"/>
  <c r="AF52" i="108"/>
  <c r="BD74" i="111"/>
  <c r="AY71" i="102"/>
  <c r="AK79" i="111"/>
  <c r="AW74" i="112"/>
  <c r="AC78" i="114"/>
  <c r="AI62" i="108"/>
  <c r="AV12" i="111"/>
  <c r="BG74" i="113"/>
  <c r="Y18" i="112"/>
  <c r="BN74" i="110"/>
  <c r="BG65" i="109"/>
  <c r="AK57" i="114"/>
  <c r="BN80" i="111"/>
  <c r="BE78" i="113"/>
  <c r="Y52" i="114"/>
  <c r="AW57" i="108"/>
  <c r="BC106" i="110"/>
  <c r="Y61" i="102"/>
  <c r="BN67" i="114"/>
  <c r="AS68" i="111"/>
  <c r="AD73" i="108"/>
  <c r="AC66" i="112"/>
  <c r="Z65" i="109"/>
  <c r="U18" i="111"/>
  <c r="BN24" i="109"/>
  <c r="U24" i="111"/>
  <c r="BA64" i="114"/>
  <c r="AJ64" i="111"/>
  <c r="BI9" i="114"/>
  <c r="BK68" i="113"/>
  <c r="AS68" i="110"/>
  <c r="AY18" i="110"/>
  <c r="AY62" i="109"/>
  <c r="AU62" i="102"/>
  <c r="Y64" i="102"/>
  <c r="AE21" i="108"/>
  <c r="AH63" i="110"/>
  <c r="AU69" i="110"/>
  <c r="Z69" i="113"/>
  <c r="AV60" i="102"/>
  <c r="AL78" i="113"/>
  <c r="BH66" i="108"/>
  <c r="BF73" i="114"/>
  <c r="Z66" i="110"/>
  <c r="AX52" i="102"/>
  <c r="AH71" i="102"/>
  <c r="M9" i="102"/>
  <c r="AJ64" i="102"/>
  <c r="P9" i="102"/>
  <c r="BD77" i="102"/>
  <c r="AE9" i="111"/>
  <c r="BH69" i="110"/>
  <c r="AH77" i="102"/>
  <c r="AI63" i="108"/>
  <c r="AF64" i="102"/>
  <c r="Z61" i="102"/>
  <c r="U21" i="102"/>
  <c r="Z79" i="111"/>
  <c r="AM9" i="102"/>
  <c r="BN62" i="102"/>
  <c r="AI78" i="110"/>
  <c r="BF62" i="113"/>
  <c r="AB9" i="113"/>
  <c r="AF12" i="102"/>
  <c r="BB62" i="109"/>
  <c r="Z78" i="111"/>
  <c r="AA69" i="109"/>
  <c r="AN70" i="102"/>
  <c r="U9" i="102"/>
  <c r="G9" i="110"/>
  <c r="BK12" i="109"/>
  <c r="AA80" i="110"/>
  <c r="AL64" i="111"/>
  <c r="AT66" i="111"/>
  <c r="AK52" i="102"/>
  <c r="AK77" i="102"/>
  <c r="AB62" i="113"/>
  <c r="AV106" i="112"/>
  <c r="AB66" i="102"/>
  <c r="N9" i="102"/>
  <c r="Z67" i="113"/>
  <c r="BB63" i="102"/>
  <c r="AK62" i="102"/>
  <c r="BO77" i="102"/>
  <c r="Z63" i="110"/>
  <c r="AP24" i="102"/>
  <c r="BE63" i="102"/>
  <c r="H9" i="114"/>
  <c r="J9" i="110"/>
  <c r="AU61" i="102"/>
  <c r="AD57" i="113"/>
  <c r="AX64" i="112"/>
  <c r="AO66" i="112"/>
  <c r="BO12" i="109"/>
  <c r="AE70" i="102"/>
  <c r="BE75" i="102"/>
  <c r="G9" i="112"/>
  <c r="AU80" i="109"/>
  <c r="AY64" i="102"/>
  <c r="AA63" i="114"/>
  <c r="AI74" i="113"/>
  <c r="AP60" i="102"/>
  <c r="AL61" i="102"/>
  <c r="AL76" i="102"/>
  <c r="AG52" i="102"/>
  <c r="AL57" i="109"/>
  <c r="AF77" i="102"/>
  <c r="AN73" i="108"/>
  <c r="BG66" i="108"/>
  <c r="AY73" i="109"/>
  <c r="Z66" i="108"/>
  <c r="BJ62" i="111"/>
  <c r="AN78" i="111"/>
  <c r="AP62" i="112"/>
  <c r="AP74" i="111"/>
  <c r="BO74" i="112"/>
  <c r="BK69" i="110"/>
  <c r="BH65" i="110"/>
  <c r="AE79" i="114"/>
  <c r="BK66" i="102"/>
  <c r="BN70" i="102"/>
  <c r="BI78" i="112"/>
  <c r="AD63" i="112"/>
  <c r="BO73" i="108"/>
  <c r="AC21" i="110"/>
  <c r="AW60" i="102"/>
  <c r="AX62" i="102"/>
  <c r="I9" i="102"/>
  <c r="Y18" i="109"/>
  <c r="AJ61" i="102"/>
  <c r="AY77" i="102"/>
  <c r="U24" i="109"/>
  <c r="AI67" i="109"/>
  <c r="AP64" i="102"/>
  <c r="AI52" i="102"/>
  <c r="BK18" i="112"/>
  <c r="BB63" i="110"/>
  <c r="G9" i="102"/>
  <c r="AE60" i="102"/>
  <c r="AN62" i="102"/>
  <c r="AM70" i="102"/>
  <c r="U18" i="112"/>
  <c r="BN21" i="102"/>
  <c r="AM78" i="109"/>
  <c r="BF78" i="110"/>
  <c r="U24" i="114"/>
  <c r="AM60" i="102"/>
  <c r="AV75" i="102"/>
  <c r="AH76" i="102"/>
  <c r="AZ77" i="102"/>
  <c r="AJ64" i="113"/>
  <c r="BC66" i="114"/>
  <c r="BE62" i="102"/>
  <c r="N21" i="111"/>
  <c r="BB76" i="102"/>
  <c r="Y21" i="112"/>
  <c r="BC9" i="111"/>
  <c r="AM12" i="110"/>
  <c r="AU66" i="108"/>
  <c r="AP18" i="108"/>
  <c r="BJ71" i="102"/>
  <c r="I12" i="113"/>
  <c r="Q12" i="112"/>
  <c r="BO67" i="111"/>
  <c r="BG12" i="102"/>
  <c r="BG60" i="102"/>
  <c r="BH76" i="102"/>
  <c r="O21" i="112"/>
  <c r="Y73" i="110"/>
  <c r="AM66" i="112"/>
  <c r="BN78" i="108"/>
  <c r="AV79" i="110"/>
  <c r="BC18" i="112"/>
  <c r="BB65" i="102"/>
  <c r="AH18" i="102"/>
  <c r="AP77" i="102"/>
  <c r="BO62" i="102"/>
  <c r="AF80" i="112"/>
  <c r="AK66" i="109"/>
  <c r="P21" i="102"/>
  <c r="V12" i="102"/>
  <c r="AD67" i="113"/>
  <c r="Y57" i="111"/>
  <c r="AJ76" i="102"/>
  <c r="AM62" i="102"/>
  <c r="BD71" i="102"/>
  <c r="BC65" i="102"/>
  <c r="V21" i="102"/>
  <c r="O21" i="113"/>
  <c r="AM57" i="108"/>
  <c r="BE66" i="108"/>
  <c r="AZ68" i="114"/>
  <c r="AN64" i="112"/>
  <c r="V9" i="114"/>
  <c r="BO80" i="109"/>
  <c r="AK74" i="110"/>
  <c r="BF18" i="108"/>
  <c r="AI52" i="112"/>
  <c r="Y62" i="109"/>
  <c r="BK67" i="111"/>
  <c r="AS67" i="110"/>
  <c r="AM77" i="102"/>
  <c r="BH63" i="102"/>
  <c r="BJ12" i="109"/>
  <c r="AB24" i="108"/>
  <c r="Y65" i="111"/>
  <c r="K12" i="113"/>
  <c r="V18" i="102"/>
  <c r="BF67" i="113"/>
  <c r="BF106" i="109"/>
  <c r="BG64" i="108"/>
  <c r="AL12" i="108"/>
  <c r="AO106" i="111"/>
  <c r="O12" i="102"/>
  <c r="L12" i="114"/>
  <c r="AU18" i="102"/>
  <c r="AY61" i="102"/>
  <c r="AT18" i="114"/>
  <c r="BJ12" i="113"/>
  <c r="Y80" i="114"/>
  <c r="AV76" i="102"/>
  <c r="AP9" i="102"/>
  <c r="AL9" i="113"/>
  <c r="AB74" i="114"/>
  <c r="AW75" i="102"/>
  <c r="BA73" i="111"/>
  <c r="AS65" i="102"/>
  <c r="H12" i="102"/>
  <c r="BI9" i="111"/>
  <c r="BC52" i="102"/>
  <c r="AN9" i="102"/>
  <c r="BK60" i="102"/>
  <c r="BC74" i="109"/>
  <c r="AD60" i="102"/>
  <c r="AS71" i="102"/>
  <c r="BC76" i="102"/>
  <c r="S18" i="102"/>
  <c r="Y9" i="111"/>
  <c r="H12" i="114"/>
  <c r="AI18" i="112"/>
  <c r="Y52" i="102"/>
  <c r="Z73" i="108"/>
  <c r="AV71" i="102"/>
  <c r="BN65" i="102"/>
  <c r="AY57" i="109"/>
  <c r="AA24" i="112"/>
  <c r="BH52" i="102"/>
  <c r="AJ9" i="102"/>
  <c r="AH24" i="110"/>
  <c r="BK79" i="110"/>
  <c r="BD70" i="102"/>
  <c r="AX18" i="102"/>
  <c r="AK9" i="113"/>
  <c r="AT64" i="102"/>
  <c r="AL18" i="102"/>
  <c r="AB78" i="110"/>
  <c r="AH79" i="111"/>
  <c r="BH65" i="112"/>
  <c r="BB52" i="112"/>
  <c r="BK63" i="110"/>
  <c r="BC68" i="113"/>
  <c r="AU67" i="108"/>
  <c r="AK63" i="102"/>
  <c r="BD62" i="102"/>
  <c r="AK61" i="102"/>
  <c r="AS106" i="114"/>
  <c r="AT71" i="102"/>
  <c r="BD57" i="108"/>
  <c r="G12" i="109"/>
  <c r="BH18" i="102"/>
  <c r="G12" i="114"/>
  <c r="Z79" i="114"/>
  <c r="BF63" i="114"/>
  <c r="AL18" i="112"/>
  <c r="AO57" i="114"/>
  <c r="AU66" i="113"/>
  <c r="AA67" i="114"/>
  <c r="H12" i="112"/>
  <c r="AM52" i="108"/>
  <c r="BA12" i="108"/>
  <c r="AC71" i="102"/>
  <c r="BJ67" i="112"/>
  <c r="AG12" i="112"/>
  <c r="Z79" i="109"/>
  <c r="BK64" i="110"/>
  <c r="BI12" i="102"/>
  <c r="BC18" i="111"/>
  <c r="AA18" i="111"/>
  <c r="AI70" i="102"/>
  <c r="AD75" i="102"/>
  <c r="BN75" i="102"/>
  <c r="BF78" i="112"/>
  <c r="BO18" i="102"/>
  <c r="AK21" i="102"/>
  <c r="BK63" i="112"/>
  <c r="AG74" i="111"/>
  <c r="BA65" i="102"/>
  <c r="Y12" i="113"/>
  <c r="BA67" i="112"/>
  <c r="BB12" i="102"/>
  <c r="AD77" i="102"/>
  <c r="BA68" i="112"/>
  <c r="AO24" i="102"/>
  <c r="AX71" i="102"/>
  <c r="BA52" i="111"/>
  <c r="BJ9" i="102"/>
  <c r="BC65" i="110"/>
  <c r="AM80" i="113"/>
  <c r="AH61" i="102"/>
  <c r="AL9" i="108"/>
  <c r="Z9" i="102"/>
  <c r="BE63" i="113"/>
  <c r="AC9" i="109"/>
  <c r="AX62" i="111"/>
  <c r="AH18" i="111"/>
  <c r="AD64" i="102"/>
  <c r="AI65" i="102"/>
  <c r="AN75" i="102"/>
  <c r="Z64" i="114"/>
  <c r="BG80" i="112"/>
  <c r="Z106" i="109"/>
  <c r="AZ18" i="102"/>
  <c r="BF77" i="102"/>
  <c r="AF52" i="109"/>
  <c r="AX78" i="108"/>
  <c r="BC69" i="114"/>
  <c r="BE60" i="102"/>
  <c r="BD62" i="113"/>
  <c r="AP62" i="102"/>
  <c r="AD9" i="102"/>
  <c r="P24" i="102"/>
  <c r="BG106" i="110"/>
  <c r="AC9" i="110"/>
  <c r="AF18" i="110"/>
  <c r="AV18" i="102"/>
  <c r="AH52" i="108"/>
  <c r="AW70" i="102"/>
  <c r="BJ66" i="102"/>
  <c r="AF65" i="102"/>
  <c r="BN12" i="102"/>
  <c r="Y66" i="102"/>
  <c r="AL70" i="102"/>
  <c r="AZ66" i="102"/>
  <c r="BD65" i="111"/>
  <c r="Z63" i="112"/>
  <c r="AJ66" i="102"/>
  <c r="BJ75" i="102"/>
  <c r="AS73" i="109"/>
  <c r="AK80" i="109"/>
  <c r="AD76" i="102"/>
  <c r="AI61" i="102"/>
  <c r="AP52" i="112"/>
  <c r="BF61" i="102"/>
  <c r="AS63" i="102"/>
  <c r="AC60" i="102"/>
  <c r="BI52" i="111"/>
  <c r="AF76" i="102"/>
  <c r="R24" i="102"/>
  <c r="AU9" i="113"/>
  <c r="AM66" i="108"/>
  <c r="AM71" i="102"/>
  <c r="AG75" i="102"/>
  <c r="AG65" i="112"/>
  <c r="AU9" i="114"/>
  <c r="AV74" i="111"/>
  <c r="AL69" i="114"/>
  <c r="AL68" i="108"/>
  <c r="AB63" i="111"/>
  <c r="T21" i="102"/>
  <c r="BA64" i="109"/>
  <c r="AD64" i="108"/>
  <c r="BE57" i="110"/>
  <c r="M21" i="102"/>
  <c r="BC65" i="112"/>
  <c r="BI65" i="102"/>
  <c r="BI18" i="102"/>
  <c r="BD62" i="114"/>
  <c r="AP24" i="109"/>
  <c r="AB24" i="112"/>
  <c r="AI63" i="114"/>
  <c r="AS18" i="102"/>
  <c r="Z57" i="112"/>
  <c r="AU66" i="102"/>
  <c r="AO74" i="113"/>
  <c r="AY18" i="113"/>
  <c r="BE64" i="110"/>
  <c r="AI64" i="102"/>
  <c r="BE52" i="102"/>
  <c r="BA64" i="108"/>
  <c r="BG69" i="114"/>
  <c r="BH66" i="110"/>
  <c r="AD63" i="102"/>
  <c r="G24" i="102"/>
  <c r="AD61" i="102"/>
  <c r="AB9" i="110"/>
  <c r="AJ71" i="102"/>
  <c r="BN18" i="102"/>
  <c r="Y64" i="110"/>
  <c r="AI24" i="109"/>
  <c r="AI12" i="102"/>
  <c r="AO64" i="102"/>
  <c r="Z80" i="113"/>
  <c r="BJ52" i="102"/>
  <c r="AV62" i="102"/>
  <c r="AP18" i="102"/>
  <c r="BO68" i="111"/>
  <c r="BK75" i="102"/>
  <c r="BI63" i="102"/>
  <c r="BE106" i="113"/>
  <c r="BB62" i="102"/>
  <c r="AS64" i="113"/>
  <c r="T12" i="110"/>
  <c r="AM62" i="108"/>
  <c r="AL80" i="110"/>
  <c r="AB106" i="109"/>
  <c r="Q18" i="102"/>
  <c r="AB60" i="102"/>
  <c r="AG24" i="110"/>
  <c r="AS9" i="102"/>
  <c r="AW71" i="102"/>
  <c r="BD76" i="102"/>
  <c r="AT64" i="112"/>
  <c r="BG61" i="102"/>
  <c r="BK52" i="102"/>
  <c r="BC68" i="114"/>
  <c r="BD63" i="110"/>
  <c r="AV61" i="102"/>
  <c r="Z12" i="102"/>
  <c r="AD66" i="114"/>
  <c r="AH66" i="102"/>
  <c r="Z12" i="112"/>
  <c r="BC69" i="110"/>
  <c r="BD78" i="110"/>
  <c r="BC18" i="113"/>
  <c r="BC73" i="111"/>
  <c r="AF63" i="102"/>
  <c r="AB75" i="102"/>
  <c r="AT52" i="112"/>
  <c r="AC66" i="102"/>
  <c r="AT65" i="112"/>
  <c r="BG68" i="108"/>
  <c r="BC60" i="102"/>
  <c r="G9" i="111"/>
  <c r="BN9" i="102"/>
  <c r="BC71" i="102"/>
  <c r="AB21" i="112"/>
  <c r="AB21" i="102"/>
  <c r="AG78" i="108"/>
  <c r="AD106" i="108"/>
  <c r="BK68" i="114"/>
  <c r="AH64" i="108"/>
  <c r="U18" i="109"/>
  <c r="G24" i="113"/>
  <c r="BI64" i="110"/>
  <c r="BD66" i="114"/>
  <c r="R9" i="113"/>
  <c r="BB106" i="108"/>
  <c r="AC18" i="108"/>
  <c r="S21" i="110"/>
  <c r="AU78" i="110"/>
  <c r="BG18" i="102"/>
  <c r="BO63" i="109"/>
  <c r="AX62" i="112"/>
  <c r="BH68" i="108"/>
  <c r="AL57" i="112"/>
  <c r="AJ21" i="102"/>
  <c r="AX64" i="102"/>
  <c r="AX80" i="111"/>
  <c r="Y106" i="111"/>
  <c r="AI66" i="102"/>
  <c r="BK61" i="102"/>
  <c r="AE68" i="112"/>
  <c r="BA61" i="102"/>
  <c r="AN18" i="102"/>
  <c r="AO61" i="102"/>
  <c r="S18" i="114"/>
  <c r="AS77" i="102"/>
  <c r="AI62" i="102"/>
  <c r="AO57" i="111"/>
  <c r="AC12" i="109"/>
  <c r="Z73" i="114"/>
  <c r="AA66" i="102"/>
  <c r="AA9" i="112"/>
  <c r="BC66" i="108"/>
  <c r="BK12" i="112"/>
  <c r="AD62" i="102"/>
  <c r="M12" i="102"/>
  <c r="AI75" i="102"/>
  <c r="BG52" i="102"/>
  <c r="AT66" i="102"/>
  <c r="AI57" i="110"/>
  <c r="AG12" i="114"/>
  <c r="Z66" i="113"/>
  <c r="AZ60" i="102"/>
  <c r="AK75" i="102"/>
  <c r="AI18" i="113"/>
  <c r="BO9" i="110"/>
  <c r="AK57" i="110"/>
  <c r="AX80" i="109"/>
  <c r="AH106" i="113"/>
  <c r="AG65" i="102"/>
  <c r="BN57" i="109"/>
  <c r="AG68" i="108"/>
  <c r="AN76" i="102"/>
  <c r="AO12" i="111"/>
  <c r="AY66" i="102"/>
  <c r="AX65" i="102"/>
  <c r="AD21" i="113"/>
  <c r="AZ64" i="102"/>
  <c r="AI106" i="111"/>
  <c r="BF9" i="112"/>
  <c r="Z68" i="114"/>
  <c r="AC75" i="102"/>
  <c r="AJ24" i="102"/>
  <c r="Y9" i="114"/>
  <c r="AU76" i="102"/>
  <c r="BO64" i="102"/>
  <c r="AX52" i="109"/>
  <c r="AY60" i="102"/>
  <c r="L9" i="102"/>
  <c r="AG12" i="102"/>
  <c r="AJ79" i="111"/>
  <c r="BC62" i="102"/>
  <c r="BA63" i="102"/>
  <c r="Z64" i="113"/>
  <c r="AX77" i="102"/>
  <c r="G9" i="114"/>
  <c r="Z67" i="108"/>
  <c r="S9" i="109"/>
  <c r="AY65" i="114"/>
  <c r="AU12" i="112"/>
  <c r="AJ67" i="111"/>
  <c r="BO18" i="111"/>
  <c r="V21" i="110"/>
  <c r="AU78" i="111"/>
  <c r="AA65" i="114"/>
  <c r="BI69" i="109"/>
  <c r="AF74" i="108"/>
  <c r="AS65" i="109"/>
  <c r="I9" i="108"/>
  <c r="AP24" i="113"/>
  <c r="AC12" i="102"/>
  <c r="AN73" i="114"/>
  <c r="AG57" i="114"/>
  <c r="M9" i="112"/>
  <c r="BO65" i="102"/>
  <c r="BH12" i="114"/>
  <c r="AG24" i="102"/>
  <c r="BK64" i="111"/>
  <c r="S9" i="113"/>
  <c r="K9" i="112"/>
  <c r="AZ76" i="102"/>
  <c r="O24" i="102"/>
  <c r="BH75" i="102"/>
  <c r="Y80" i="111"/>
  <c r="AE64" i="102"/>
  <c r="S18" i="109"/>
  <c r="BK79" i="108"/>
  <c r="AO106" i="108"/>
  <c r="AG77" i="102"/>
  <c r="AX76" i="102"/>
  <c r="AX66" i="102"/>
  <c r="BH70" i="102"/>
  <c r="BF63" i="109"/>
  <c r="H12" i="113"/>
  <c r="AG18" i="102"/>
  <c r="Y24" i="108"/>
  <c r="BD64" i="102"/>
  <c r="Z24" i="102"/>
  <c r="AC18" i="113"/>
  <c r="AP71" i="102"/>
  <c r="Z74" i="111"/>
  <c r="BB60" i="102"/>
  <c r="BD66" i="102"/>
  <c r="AA18" i="112"/>
  <c r="BC61" i="102"/>
  <c r="BO12" i="108"/>
  <c r="AB62" i="111"/>
  <c r="AU65" i="113"/>
  <c r="BI57" i="110"/>
  <c r="AF65" i="113"/>
  <c r="I12" i="102"/>
  <c r="R21" i="102"/>
  <c r="AB67" i="109"/>
  <c r="AX63" i="102"/>
  <c r="AE71" i="102"/>
  <c r="BD65" i="102"/>
  <c r="AL80" i="109"/>
  <c r="AA12" i="102"/>
  <c r="AY9" i="102"/>
  <c r="BC52" i="114"/>
  <c r="AV9" i="112"/>
  <c r="AS75" i="102"/>
  <c r="AO62" i="102"/>
  <c r="Y77" i="102"/>
  <c r="AS70" i="102"/>
  <c r="BO24" i="109"/>
  <c r="AK60" i="102"/>
  <c r="BE69" i="112"/>
  <c r="AO52" i="102"/>
  <c r="Z80" i="110"/>
  <c r="AJ62" i="102"/>
  <c r="AH21" i="102"/>
  <c r="BC80" i="111"/>
  <c r="AX66" i="110"/>
  <c r="BD52" i="108"/>
  <c r="AY63" i="102"/>
  <c r="BJ70" i="102"/>
  <c r="N21" i="113"/>
  <c r="U21" i="113"/>
  <c r="AB18" i="110"/>
  <c r="BD79" i="110"/>
  <c r="AF24" i="110"/>
  <c r="BJ52" i="113"/>
  <c r="BC18" i="108"/>
  <c r="BC68" i="109"/>
  <c r="S24" i="113"/>
  <c r="AH67" i="108"/>
  <c r="BC12" i="113"/>
  <c r="AY65" i="108"/>
  <c r="AG67" i="114"/>
  <c r="AL67" i="112"/>
  <c r="AA12" i="113"/>
  <c r="AA21" i="114"/>
  <c r="BK57" i="113"/>
  <c r="AL12" i="102"/>
  <c r="H9" i="108"/>
  <c r="AU75" i="102"/>
  <c r="AL71" i="102"/>
  <c r="AM9" i="112"/>
  <c r="BK57" i="112"/>
  <c r="AB24" i="102"/>
  <c r="BO79" i="114"/>
  <c r="BO60" i="102"/>
  <c r="AY75" i="102"/>
  <c r="BJ64" i="109"/>
  <c r="AD12" i="102"/>
  <c r="AW69" i="113"/>
  <c r="AZ70" i="102"/>
  <c r="AN12" i="102"/>
  <c r="M18" i="109"/>
  <c r="AN71" i="102"/>
  <c r="BC66" i="112"/>
  <c r="L12" i="111"/>
  <c r="AW65" i="111"/>
  <c r="U24" i="102"/>
  <c r="BI75" i="102"/>
  <c r="AB18" i="102"/>
  <c r="AZ65" i="102"/>
  <c r="BA62" i="102"/>
  <c r="AJ18" i="102"/>
  <c r="AP21" i="112"/>
  <c r="AH74" i="113"/>
  <c r="AL52" i="114"/>
  <c r="AS60" i="102"/>
  <c r="AN18" i="114"/>
  <c r="BI60" i="102"/>
  <c r="BD69" i="108"/>
  <c r="AC57" i="113"/>
  <c r="BO65" i="112"/>
  <c r="Y12" i="111"/>
  <c r="BD74" i="113"/>
  <c r="AA106" i="110"/>
  <c r="AV70" i="102"/>
  <c r="AM79" i="109"/>
  <c r="AB61" i="102"/>
  <c r="AM9" i="114"/>
  <c r="BI61" i="102"/>
  <c r="AL62" i="102"/>
  <c r="BE9" i="114"/>
  <c r="AI24" i="111"/>
  <c r="BJ74" i="110"/>
  <c r="AV106" i="114"/>
  <c r="AH9" i="114"/>
  <c r="BO63" i="102"/>
  <c r="BA77" i="102"/>
  <c r="AM75" i="102"/>
  <c r="Z60" i="102"/>
  <c r="AD68" i="114"/>
  <c r="BF66" i="109"/>
  <c r="AZ71" i="102"/>
  <c r="BN66" i="102"/>
  <c r="AA69" i="113"/>
  <c r="AV65" i="102"/>
  <c r="AK9" i="102"/>
  <c r="L12" i="102"/>
  <c r="AD64" i="112"/>
  <c r="AP52" i="102"/>
  <c r="AA9" i="102"/>
  <c r="AM67" i="110"/>
  <c r="BI63" i="112"/>
  <c r="AD21" i="102"/>
  <c r="BB64" i="102"/>
  <c r="Y21" i="113"/>
  <c r="BH74" i="111"/>
  <c r="AG64" i="102"/>
  <c r="BN76" i="102"/>
  <c r="BO63" i="108"/>
  <c r="AH69" i="112"/>
  <c r="Z64" i="111"/>
  <c r="AB68" i="110"/>
  <c r="AB21" i="113"/>
  <c r="BP76" i="102" l="1"/>
  <c r="Y27" i="113"/>
  <c r="AD27" i="102"/>
  <c r="AA15" i="102"/>
  <c r="AP54" i="102"/>
  <c r="AK15" i="102"/>
  <c r="BP66" i="102"/>
  <c r="Z67" i="102"/>
  <c r="AM79" i="102"/>
  <c r="AH15" i="114"/>
  <c r="AV107" i="114"/>
  <c r="BE15" i="114"/>
  <c r="AM15" i="114"/>
  <c r="AV73" i="102"/>
  <c r="AA107" i="110"/>
  <c r="AQ12" i="111"/>
  <c r="AC59" i="113"/>
  <c r="BI67" i="102"/>
  <c r="AN19" i="114"/>
  <c r="AS67" i="102"/>
  <c r="BL60" i="102"/>
  <c r="AL54" i="114"/>
  <c r="AP27" i="112"/>
  <c r="AJ19" i="102"/>
  <c r="AB19" i="102"/>
  <c r="BI79" i="102"/>
  <c r="M19" i="109"/>
  <c r="AZ73" i="102"/>
  <c r="AY79" i="102"/>
  <c r="BO67" i="102"/>
  <c r="BK59" i="112"/>
  <c r="AM15" i="112"/>
  <c r="AU79" i="102"/>
  <c r="H15" i="108"/>
  <c r="H36" i="108" s="1"/>
  <c r="H115" i="108" s="1"/>
  <c r="BK59" i="113"/>
  <c r="AA27" i="114"/>
  <c r="BC19" i="108"/>
  <c r="BJ54" i="113"/>
  <c r="AB19" i="110"/>
  <c r="U27" i="113"/>
  <c r="N27" i="113"/>
  <c r="BJ73" i="102"/>
  <c r="BD54" i="108"/>
  <c r="AH27" i="102"/>
  <c r="AO54" i="102"/>
  <c r="AK67" i="102"/>
  <c r="BO27" i="109"/>
  <c r="BL70" i="102"/>
  <c r="AS73" i="102"/>
  <c r="AQ77" i="102"/>
  <c r="BL75" i="102"/>
  <c r="AS79" i="102"/>
  <c r="AV15" i="112"/>
  <c r="BC54" i="114"/>
  <c r="AY15" i="102"/>
  <c r="R27" i="102"/>
  <c r="BI59" i="110"/>
  <c r="AB70" i="111"/>
  <c r="AA19" i="112"/>
  <c r="BB67" i="102"/>
  <c r="AC19" i="113"/>
  <c r="AQ24" i="108"/>
  <c r="AG19" i="102"/>
  <c r="BH73" i="102"/>
  <c r="AO107" i="108"/>
  <c r="S19" i="109"/>
  <c r="AQ80" i="111"/>
  <c r="BH79" i="102"/>
  <c r="K15" i="112"/>
  <c r="K36" i="112" s="1"/>
  <c r="K115" i="112" s="1"/>
  <c r="S15" i="113"/>
  <c r="M15" i="112"/>
  <c r="AG59" i="114"/>
  <c r="AN76" i="114"/>
  <c r="I15" i="108"/>
  <c r="I36" i="108" s="1"/>
  <c r="I115" i="108" s="1"/>
  <c r="BL65" i="109"/>
  <c r="AU82" i="111"/>
  <c r="V27" i="110"/>
  <c r="BO19" i="111"/>
  <c r="S15" i="109"/>
  <c r="G15" i="114"/>
  <c r="W9" i="114"/>
  <c r="L15" i="102"/>
  <c r="L36" i="102" s="1"/>
  <c r="L105" i="102" s="1"/>
  <c r="AY67" i="102"/>
  <c r="AX54" i="109"/>
  <c r="Y15" i="114"/>
  <c r="AQ9" i="114"/>
  <c r="AC79" i="102"/>
  <c r="BF15" i="112"/>
  <c r="AI107" i="111"/>
  <c r="AD27" i="113"/>
  <c r="BN59" i="109"/>
  <c r="BP57" i="109"/>
  <c r="AH107" i="113"/>
  <c r="AK59" i="110"/>
  <c r="BO15" i="110"/>
  <c r="AI19" i="113"/>
  <c r="AK79" i="102"/>
  <c r="AZ67" i="102"/>
  <c r="AI59" i="110"/>
  <c r="BG54" i="102"/>
  <c r="AI79" i="102"/>
  <c r="AA15" i="112"/>
  <c r="Z76" i="114"/>
  <c r="AO59" i="111"/>
  <c r="BL77" i="102"/>
  <c r="S19" i="114"/>
  <c r="AN19" i="102"/>
  <c r="Y107" i="111"/>
  <c r="AQ106" i="111"/>
  <c r="AQ107" i="111" s="1"/>
  <c r="AJ27" i="102"/>
  <c r="AL59" i="112"/>
  <c r="AX70" i="112"/>
  <c r="BG19" i="102"/>
  <c r="AU82" i="110"/>
  <c r="S27" i="110"/>
  <c r="AC19" i="108"/>
  <c r="BB107" i="108"/>
  <c r="R15" i="113"/>
  <c r="W24" i="113"/>
  <c r="U19" i="109"/>
  <c r="AD107" i="108"/>
  <c r="AG82" i="108"/>
  <c r="AB27" i="102"/>
  <c r="AB27" i="112"/>
  <c r="BN15" i="102"/>
  <c r="BP9" i="102"/>
  <c r="W9" i="111"/>
  <c r="G15" i="111"/>
  <c r="BC67" i="102"/>
  <c r="AT54" i="112"/>
  <c r="AB79" i="102"/>
  <c r="BC76" i="111"/>
  <c r="BC19" i="113"/>
  <c r="BD82" i="110"/>
  <c r="BK54" i="102"/>
  <c r="BL9" i="102"/>
  <c r="AS15" i="102"/>
  <c r="AB67" i="102"/>
  <c r="Q19" i="102"/>
  <c r="AB107" i="109"/>
  <c r="AM70" i="108"/>
  <c r="BL64" i="113"/>
  <c r="BE107" i="113"/>
  <c r="BK79" i="102"/>
  <c r="AP19" i="102"/>
  <c r="BJ54" i="102"/>
  <c r="AQ64" i="110"/>
  <c r="BP18" i="102"/>
  <c r="BN19" i="102"/>
  <c r="AB15" i="110"/>
  <c r="W24" i="102"/>
  <c r="BE54" i="102"/>
  <c r="AY19" i="113"/>
  <c r="Z59" i="112"/>
  <c r="BL18" i="102"/>
  <c r="BL19" i="102" s="1"/>
  <c r="AS19" i="102"/>
  <c r="BD70" i="114"/>
  <c r="BI19" i="102"/>
  <c r="M27" i="102"/>
  <c r="BE59" i="110"/>
  <c r="T27" i="102"/>
  <c r="AU15" i="114"/>
  <c r="AG79" i="102"/>
  <c r="AU15" i="113"/>
  <c r="BI54" i="111"/>
  <c r="AC67" i="102"/>
  <c r="BL63" i="102"/>
  <c r="AP54" i="112"/>
  <c r="BL73" i="109"/>
  <c r="AS76" i="109"/>
  <c r="BJ79" i="102"/>
  <c r="AL73" i="102"/>
  <c r="AQ66" i="102"/>
  <c r="BP12" i="102"/>
  <c r="AW73" i="102"/>
  <c r="AH54" i="108"/>
  <c r="AV19" i="102"/>
  <c r="AF19" i="110"/>
  <c r="AC15" i="110"/>
  <c r="BG107" i="110"/>
  <c r="AD15" i="102"/>
  <c r="BD70" i="113"/>
  <c r="BE67" i="102"/>
  <c r="AX82" i="108"/>
  <c r="AF54" i="109"/>
  <c r="AZ19" i="102"/>
  <c r="Z107" i="109"/>
  <c r="AN79" i="102"/>
  <c r="AH19" i="111"/>
  <c r="AX70" i="111"/>
  <c r="AC15" i="109"/>
  <c r="Z15" i="102"/>
  <c r="AL15" i="108"/>
  <c r="BJ15" i="102"/>
  <c r="BA54" i="111"/>
  <c r="AQ12" i="113"/>
  <c r="AK27" i="102"/>
  <c r="BO19" i="102"/>
  <c r="BF82" i="112"/>
  <c r="BN79" i="102"/>
  <c r="BP75" i="102"/>
  <c r="AD79" i="102"/>
  <c r="AI73" i="102"/>
  <c r="AA19" i="111"/>
  <c r="BC19" i="111"/>
  <c r="AM54" i="108"/>
  <c r="AO59" i="114"/>
  <c r="AL19" i="112"/>
  <c r="W12" i="114"/>
  <c r="BH19" i="102"/>
  <c r="W12" i="109"/>
  <c r="BD59" i="108"/>
  <c r="AS107" i="114"/>
  <c r="BL106" i="114"/>
  <c r="BL107" i="114" s="1"/>
  <c r="BB54" i="112"/>
  <c r="AB82" i="110"/>
  <c r="AL19" i="102"/>
  <c r="AK15" i="113"/>
  <c r="AX19" i="102"/>
  <c r="BD73" i="102"/>
  <c r="AJ15" i="102"/>
  <c r="BH54" i="102"/>
  <c r="AY59" i="109"/>
  <c r="BP65" i="102"/>
  <c r="Z76" i="108"/>
  <c r="Y54" i="102"/>
  <c r="AI19" i="112"/>
  <c r="AQ9" i="111"/>
  <c r="Y15" i="111"/>
  <c r="S19" i="102"/>
  <c r="BL71" i="102"/>
  <c r="AD67" i="102"/>
  <c r="BK67" i="102"/>
  <c r="AN15" i="102"/>
  <c r="BC54" i="102"/>
  <c r="BI15" i="111"/>
  <c r="BL65" i="102"/>
  <c r="BA76" i="111"/>
  <c r="AW79" i="102"/>
  <c r="AL15" i="113"/>
  <c r="AP15" i="102"/>
  <c r="AQ80" i="114"/>
  <c r="AT19" i="114"/>
  <c r="AU19" i="102"/>
  <c r="AO107" i="111"/>
  <c r="BF107" i="109"/>
  <c r="V19" i="102"/>
  <c r="AQ65" i="111"/>
  <c r="BL67" i="110"/>
  <c r="Y70" i="109"/>
  <c r="AQ62" i="109"/>
  <c r="AI54" i="112"/>
  <c r="BF19" i="108"/>
  <c r="V15" i="114"/>
  <c r="AM59" i="108"/>
  <c r="O27" i="113"/>
  <c r="V27" i="102"/>
  <c r="AQ57" i="111"/>
  <c r="Y59" i="111"/>
  <c r="P27" i="102"/>
  <c r="AH19" i="102"/>
  <c r="BC19" i="112"/>
  <c r="BP78" i="108"/>
  <c r="BN82" i="108"/>
  <c r="Y76" i="110"/>
  <c r="AQ73" i="110"/>
  <c r="O27" i="112"/>
  <c r="BG67" i="102"/>
  <c r="AP19" i="108"/>
  <c r="BC15" i="111"/>
  <c r="AQ21" i="112"/>
  <c r="Y27" i="112"/>
  <c r="N27" i="111"/>
  <c r="AV79" i="102"/>
  <c r="AM67" i="102"/>
  <c r="BF82" i="110"/>
  <c r="AM82" i="109"/>
  <c r="BP21" i="102"/>
  <c r="U19" i="112"/>
  <c r="AM73" i="102"/>
  <c r="AE67" i="102"/>
  <c r="W9" i="102"/>
  <c r="G15" i="102"/>
  <c r="BK19" i="112"/>
  <c r="AI54" i="102"/>
  <c r="AQ18" i="109"/>
  <c r="Y19" i="109"/>
  <c r="I15" i="102"/>
  <c r="I36" i="102" s="1"/>
  <c r="I105" i="102" s="1"/>
  <c r="AW67" i="102"/>
  <c r="AC27" i="110"/>
  <c r="BO76" i="108"/>
  <c r="BI82" i="112"/>
  <c r="BP70" i="102"/>
  <c r="BN73" i="102"/>
  <c r="AP70" i="112"/>
  <c r="AN82" i="111"/>
  <c r="BJ70" i="111"/>
  <c r="AY76" i="109"/>
  <c r="AN76" i="108"/>
  <c r="AL59" i="109"/>
  <c r="AG54" i="102"/>
  <c r="AP67" i="102"/>
  <c r="W9" i="112"/>
  <c r="G15" i="112"/>
  <c r="BE79" i="102"/>
  <c r="AE73" i="102"/>
  <c r="AD59" i="113"/>
  <c r="J15" i="110"/>
  <c r="J36" i="110" s="1"/>
  <c r="J115" i="110" s="1"/>
  <c r="H15" i="114"/>
  <c r="H36" i="114" s="1"/>
  <c r="H115" i="114" s="1"/>
  <c r="N15" i="102"/>
  <c r="AV107" i="112"/>
  <c r="AB70" i="113"/>
  <c r="AK54" i="102"/>
  <c r="W9" i="110"/>
  <c r="G15" i="110"/>
  <c r="U15" i="102"/>
  <c r="AN73" i="102"/>
  <c r="Z82" i="111"/>
  <c r="BB70" i="109"/>
  <c r="AB15" i="113"/>
  <c r="BF70" i="113"/>
  <c r="AI82" i="110"/>
  <c r="BP62" i="102"/>
  <c r="AM15" i="102"/>
  <c r="U27" i="102"/>
  <c r="AE15" i="111"/>
  <c r="P15" i="102"/>
  <c r="M15" i="102"/>
  <c r="AX54" i="102"/>
  <c r="BF76" i="114"/>
  <c r="AL82" i="113"/>
  <c r="AV67" i="102"/>
  <c r="AE27" i="108"/>
  <c r="AQ64" i="102"/>
  <c r="AY70" i="109"/>
  <c r="AY19" i="110"/>
  <c r="BL68" i="110"/>
  <c r="BI15" i="114"/>
  <c r="BP24" i="109"/>
  <c r="BN27" i="109"/>
  <c r="BP27" i="109" s="1"/>
  <c r="U19" i="111"/>
  <c r="AD76" i="108"/>
  <c r="BL68" i="111"/>
  <c r="BP67" i="114"/>
  <c r="AQ61" i="102"/>
  <c r="BC107" i="110"/>
  <c r="AW59" i="108"/>
  <c r="Y54" i="114"/>
  <c r="BE82" i="113"/>
  <c r="BP80" i="111"/>
  <c r="AK59" i="114"/>
  <c r="BP74" i="110"/>
  <c r="AQ18" i="112"/>
  <c r="Y19" i="112"/>
  <c r="AI70" i="108"/>
  <c r="AC82" i="114"/>
  <c r="AF54" i="108"/>
  <c r="BP63" i="112"/>
  <c r="AA15" i="108"/>
  <c r="BP73" i="114"/>
  <c r="BN76" i="114"/>
  <c r="U27" i="110"/>
  <c r="P27" i="113"/>
  <c r="AV54" i="109"/>
  <c r="AG67" i="102"/>
  <c r="J15" i="113"/>
  <c r="J36" i="113" s="1"/>
  <c r="J115" i="113" s="1"/>
  <c r="AK19" i="109"/>
  <c r="AE107" i="113"/>
  <c r="AM54" i="102"/>
  <c r="AG27" i="109"/>
  <c r="G15" i="109"/>
  <c r="W9" i="109"/>
  <c r="AU59" i="113"/>
  <c r="AC15" i="113"/>
  <c r="AX67" i="102"/>
  <c r="AO27" i="102"/>
  <c r="AI19" i="102"/>
  <c r="AD54" i="109"/>
  <c r="AF73" i="102"/>
  <c r="AI107" i="114"/>
  <c r="Y15" i="109"/>
  <c r="AQ9" i="109"/>
  <c r="AT59" i="111"/>
  <c r="Z59" i="111"/>
  <c r="Z27" i="112"/>
  <c r="Q27" i="102"/>
  <c r="AD27" i="110"/>
  <c r="AQ18" i="111"/>
  <c r="Y19" i="111"/>
  <c r="BA15" i="102"/>
  <c r="AQ74" i="113"/>
  <c r="AP15" i="113"/>
  <c r="Z79" i="102"/>
  <c r="AQ60" i="102"/>
  <c r="Y67" i="102"/>
  <c r="AI27" i="102"/>
  <c r="BL64" i="111"/>
  <c r="AH15" i="102"/>
  <c r="AL82" i="112"/>
  <c r="AF54" i="102"/>
  <c r="AJ76" i="108"/>
  <c r="AB27" i="110"/>
  <c r="AB36" i="110" s="1"/>
  <c r="AP73" i="102"/>
  <c r="AT54" i="108"/>
  <c r="AL19" i="109"/>
  <c r="Z70" i="109"/>
  <c r="AM54" i="111"/>
  <c r="Z59" i="109"/>
  <c r="BN70" i="111"/>
  <c r="BP62" i="111"/>
  <c r="BE59" i="108"/>
  <c r="BG15" i="102"/>
  <c r="BG36" i="102" s="1"/>
  <c r="AW107" i="112"/>
  <c r="BD76" i="113"/>
  <c r="AK82" i="111"/>
  <c r="Q27" i="108"/>
  <c r="AF15" i="108"/>
  <c r="AN15" i="113"/>
  <c r="BP68" i="114"/>
  <c r="S15" i="102"/>
  <c r="AS19" i="109"/>
  <c r="BL18" i="109"/>
  <c r="BL19" i="109" s="1"/>
  <c r="AH59" i="112"/>
  <c r="BD70" i="112"/>
  <c r="AG54" i="109"/>
  <c r="BK15" i="109"/>
  <c r="BL65" i="108"/>
  <c r="AA70" i="112"/>
  <c r="M19" i="110"/>
  <c r="AQ80" i="109"/>
  <c r="AU76" i="108"/>
  <c r="AW19" i="102"/>
  <c r="AQ12" i="114"/>
  <c r="BF82" i="108"/>
  <c r="AP27" i="113"/>
  <c r="AP27" i="102"/>
  <c r="BJ67" i="102"/>
  <c r="AC19" i="112"/>
  <c r="AT67" i="102"/>
  <c r="Y54" i="108"/>
  <c r="BH15" i="102"/>
  <c r="BH36" i="102" s="1"/>
  <c r="AF15" i="113"/>
  <c r="BA67" i="102"/>
  <c r="AL15" i="110"/>
  <c r="AF19" i="102"/>
  <c r="BB15" i="102"/>
  <c r="BL79" i="110"/>
  <c r="S27" i="102"/>
  <c r="S36" i="102" s="1"/>
  <c r="S105" i="102" s="1"/>
  <c r="BB19" i="102"/>
  <c r="AA67" i="102"/>
  <c r="AO19" i="112"/>
  <c r="AQ12" i="102"/>
  <c r="M27" i="114"/>
  <c r="AE54" i="114"/>
  <c r="BB79" i="102"/>
  <c r="AZ19" i="110"/>
  <c r="AU70" i="112"/>
  <c r="T15" i="111"/>
  <c r="BL80" i="113"/>
  <c r="AB19" i="112"/>
  <c r="BO79" i="102"/>
  <c r="AM19" i="102"/>
  <c r="BC59" i="114"/>
  <c r="O15" i="102"/>
  <c r="BA19" i="102"/>
  <c r="AE59" i="114"/>
  <c r="AI15" i="112"/>
  <c r="AQ24" i="102"/>
  <c r="BB73" i="102"/>
  <c r="BD67" i="102"/>
  <c r="BL73" i="108"/>
  <c r="AS76" i="108"/>
  <c r="BI82" i="108"/>
  <c r="AC15" i="114"/>
  <c r="AY107" i="113"/>
  <c r="BC79" i="102"/>
  <c r="P27" i="112"/>
  <c r="AO54" i="112"/>
  <c r="AJ70" i="109"/>
  <c r="BH19" i="110"/>
  <c r="Q27" i="111"/>
  <c r="AF15" i="102"/>
  <c r="AC70" i="111"/>
  <c r="AX15" i="102"/>
  <c r="AB59" i="108"/>
  <c r="N27" i="110"/>
  <c r="AX15" i="108"/>
  <c r="R27" i="112"/>
  <c r="BK73" i="102"/>
  <c r="BI15" i="102"/>
  <c r="AT19" i="112"/>
  <c r="AV54" i="111"/>
  <c r="BD76" i="109"/>
  <c r="AF54" i="110"/>
  <c r="R27" i="111"/>
  <c r="AI67" i="102"/>
  <c r="AI89" i="102" s="1"/>
  <c r="AY54" i="102"/>
  <c r="AB19" i="113"/>
  <c r="K15" i="110"/>
  <c r="K36" i="110" s="1"/>
  <c r="K115" i="110" s="1"/>
  <c r="BF70" i="108"/>
  <c r="BG82" i="111"/>
  <c r="AF76" i="114"/>
  <c r="AS107" i="111"/>
  <c r="BL106" i="111"/>
  <c r="BL107" i="111" s="1"/>
  <c r="BL12" i="113"/>
  <c r="AH19" i="110"/>
  <c r="AO15" i="102"/>
  <c r="AQ9" i="113"/>
  <c r="Y15" i="113"/>
  <c r="J15" i="102"/>
  <c r="J36" i="102" s="1"/>
  <c r="J105" i="102" s="1"/>
  <c r="P27" i="111"/>
  <c r="AB73" i="102"/>
  <c r="AL15" i="109"/>
  <c r="AH73" i="102"/>
  <c r="BB59" i="113"/>
  <c r="BD15" i="102"/>
  <c r="BF79" i="102"/>
  <c r="BF54" i="114"/>
  <c r="AY73" i="102"/>
  <c r="BF19" i="112"/>
  <c r="AA76" i="108"/>
  <c r="AC19" i="102"/>
  <c r="BE59" i="112"/>
  <c r="Z70" i="114"/>
  <c r="Y19" i="102"/>
  <c r="AQ18" i="102"/>
  <c r="AF67" i="102"/>
  <c r="AK19" i="102"/>
  <c r="BP21" i="108"/>
  <c r="BP66" i="112"/>
  <c r="BE19" i="102"/>
  <c r="AL15" i="111"/>
  <c r="W9" i="108"/>
  <c r="G15" i="108"/>
  <c r="AF27" i="102"/>
  <c r="AN107" i="108"/>
  <c r="Q27" i="110"/>
  <c r="AI59" i="113"/>
  <c r="AJ82" i="110"/>
  <c r="BJ59" i="110"/>
  <c r="AP76" i="108"/>
  <c r="Z73" i="102"/>
  <c r="AD70" i="111"/>
  <c r="Z82" i="110"/>
  <c r="BG15" i="113"/>
  <c r="AH15" i="108"/>
  <c r="AX59" i="113"/>
  <c r="BO59" i="114"/>
  <c r="AG15" i="109"/>
  <c r="AQ18" i="108"/>
  <c r="Y19" i="108"/>
  <c r="AP27" i="108"/>
  <c r="AC15" i="111"/>
  <c r="Z82" i="113"/>
  <c r="BP66" i="110"/>
  <c r="BH59" i="113"/>
  <c r="BC15" i="113"/>
  <c r="AF59" i="108"/>
  <c r="BL79" i="109"/>
  <c r="Z27" i="113"/>
  <c r="R27" i="114"/>
  <c r="BK107" i="114"/>
  <c r="Y15" i="102"/>
  <c r="AQ9" i="102"/>
  <c r="AZ54" i="102"/>
  <c r="BB59" i="110"/>
  <c r="AN19" i="113"/>
  <c r="AQ9" i="112"/>
  <c r="Y15" i="112"/>
  <c r="BA19" i="113"/>
  <c r="BD15" i="111"/>
  <c r="AC15" i="112"/>
  <c r="AK54" i="111"/>
  <c r="AM76" i="108"/>
  <c r="AH79" i="102"/>
  <c r="AP82" i="110"/>
  <c r="BN59" i="113"/>
  <c r="BP57" i="113"/>
  <c r="AC27" i="109"/>
  <c r="AC19" i="114"/>
  <c r="AL15" i="112"/>
  <c r="AQ9" i="108"/>
  <c r="Y15" i="108"/>
  <c r="BD107" i="109"/>
  <c r="BK15" i="102"/>
  <c r="BO59" i="108"/>
  <c r="AG27" i="102"/>
  <c r="BA79" i="102"/>
  <c r="AB27" i="111"/>
  <c r="AC27" i="102"/>
  <c r="Q19" i="112"/>
  <c r="AM15" i="108"/>
  <c r="BG54" i="114"/>
  <c r="P27" i="109"/>
  <c r="Z76" i="110"/>
  <c r="AK73" i="102"/>
  <c r="AZ76" i="109"/>
  <c r="BA15" i="114"/>
  <c r="AK76" i="113"/>
  <c r="BC54" i="113"/>
  <c r="Z59" i="114"/>
  <c r="W24" i="114"/>
  <c r="AZ19" i="108"/>
  <c r="BL80" i="112"/>
  <c r="V15" i="109"/>
  <c r="BL76" i="102"/>
  <c r="L15" i="108"/>
  <c r="L36" i="108" s="1"/>
  <c r="L115" i="108" s="1"/>
  <c r="Z59" i="110"/>
  <c r="AB107" i="110"/>
  <c r="BP21" i="112"/>
  <c r="Q15" i="114"/>
  <c r="AV82" i="110"/>
  <c r="BL68" i="108"/>
  <c r="BA107" i="108"/>
  <c r="AU73" i="102"/>
  <c r="BD79" i="102"/>
  <c r="BO70" i="114"/>
  <c r="AA15" i="113"/>
  <c r="AX70" i="109"/>
  <c r="BP65" i="114"/>
  <c r="P15" i="110"/>
  <c r="AJ73" i="102"/>
  <c r="N27" i="108"/>
  <c r="BF107" i="112"/>
  <c r="AH54" i="109"/>
  <c r="U15" i="109"/>
  <c r="BH76" i="110"/>
  <c r="AH19" i="112"/>
  <c r="AY19" i="109"/>
  <c r="AQ12" i="109"/>
  <c r="R19" i="102"/>
  <c r="BI70" i="114"/>
  <c r="AL27" i="102"/>
  <c r="BI73" i="102"/>
  <c r="BP64" i="111"/>
  <c r="BF54" i="102"/>
  <c r="AH54" i="102"/>
  <c r="O27" i="102"/>
  <c r="AU15" i="102"/>
  <c r="AU36" i="102" s="1"/>
  <c r="W24" i="111"/>
  <c r="M19" i="102"/>
  <c r="BL79" i="108"/>
  <c r="Q15" i="108"/>
  <c r="BL12" i="102"/>
  <c r="BI70" i="110"/>
  <c r="Z82" i="114"/>
  <c r="AG73" i="102"/>
  <c r="BK19" i="102"/>
  <c r="AJ79" i="102"/>
  <c r="BJ15" i="111"/>
  <c r="BC73" i="102"/>
  <c r="AQ76" i="102"/>
  <c r="BE76" i="109"/>
  <c r="AE54" i="102"/>
  <c r="AQ63" i="102"/>
  <c r="AY19" i="102"/>
  <c r="AT79" i="102"/>
  <c r="AT19" i="102"/>
  <c r="AQ65" i="102"/>
  <c r="AZ79" i="102"/>
  <c r="AB15" i="112"/>
  <c r="BP68" i="110"/>
  <c r="AP79" i="102"/>
  <c r="AP59" i="111"/>
  <c r="BJ59" i="108"/>
  <c r="R19" i="113"/>
  <c r="AL107" i="108"/>
  <c r="AU54" i="102"/>
  <c r="AS19" i="110"/>
  <c r="BL18" i="110"/>
  <c r="BL19" i="110" s="1"/>
  <c r="AF76" i="110"/>
  <c r="AV76" i="111"/>
  <c r="AM27" i="112"/>
  <c r="AN15" i="111"/>
  <c r="W24" i="110"/>
  <c r="AT107" i="112"/>
  <c r="L15" i="112"/>
  <c r="L36" i="112" s="1"/>
  <c r="L115" i="112" s="1"/>
  <c r="O19" i="102"/>
  <c r="H15" i="109"/>
  <c r="H36" i="109" s="1"/>
  <c r="H115" i="109" s="1"/>
  <c r="BN15" i="109"/>
  <c r="BP9" i="109"/>
  <c r="AF107" i="111"/>
  <c r="AP76" i="114"/>
  <c r="AJ107" i="113"/>
  <c r="AL19" i="113"/>
  <c r="BF70" i="110"/>
  <c r="AP27" i="110"/>
  <c r="AO19" i="102"/>
  <c r="AH76" i="114"/>
  <c r="AO27" i="112"/>
  <c r="P27" i="108"/>
  <c r="AD19" i="110"/>
  <c r="G27" i="110"/>
  <c r="W21" i="110"/>
  <c r="BP24" i="112"/>
  <c r="BN27" i="112"/>
  <c r="AD54" i="102"/>
  <c r="BG15" i="110"/>
  <c r="AQ24" i="109"/>
  <c r="AI59" i="112"/>
  <c r="AM15" i="110"/>
  <c r="AQ21" i="111"/>
  <c r="Y27" i="111"/>
  <c r="BA54" i="102"/>
  <c r="AU67" i="102"/>
  <c r="AP70" i="109"/>
  <c r="AN67" i="102"/>
  <c r="BC19" i="102"/>
  <c r="AC73" i="102"/>
  <c r="BN27" i="102"/>
  <c r="BN36" i="102" s="1"/>
  <c r="BP24" i="102"/>
  <c r="Y27" i="102"/>
  <c r="AQ21" i="102"/>
  <c r="BG79" i="102"/>
  <c r="W12" i="113"/>
  <c r="BP61" i="102"/>
  <c r="AC59" i="108"/>
  <c r="AO27" i="113"/>
  <c r="M15" i="109"/>
  <c r="R15" i="102"/>
  <c r="AH67" i="102"/>
  <c r="BL61" i="102"/>
  <c r="BR61" i="102" s="1"/>
  <c r="AI15" i="102"/>
  <c r="AZ15" i="108"/>
  <c r="BE15" i="102"/>
  <c r="AE59" i="109"/>
  <c r="BP71" i="102"/>
  <c r="AP27" i="111"/>
  <c r="BO27" i="102"/>
  <c r="AB76" i="109"/>
  <c r="AH76" i="109"/>
  <c r="BE107" i="111"/>
  <c r="AL27" i="113"/>
  <c r="N19" i="108"/>
  <c r="AU59" i="109"/>
  <c r="T15" i="108"/>
  <c r="AD15" i="112"/>
  <c r="BL68" i="109"/>
  <c r="AK76" i="112"/>
  <c r="AQ64" i="113"/>
  <c r="BJ70" i="114"/>
  <c r="BH19" i="109"/>
  <c r="AD15" i="110"/>
  <c r="AA79" i="102"/>
  <c r="BB15" i="112"/>
  <c r="BB82" i="109"/>
  <c r="BG59" i="109"/>
  <c r="AL54" i="109"/>
  <c r="AL54" i="110"/>
  <c r="AW54" i="112"/>
  <c r="AZ107" i="111"/>
  <c r="BD70" i="111"/>
  <c r="AG54" i="110"/>
  <c r="BK82" i="110"/>
  <c r="BK15" i="113"/>
  <c r="BD70" i="108"/>
  <c r="AU15" i="108"/>
  <c r="BO59" i="110"/>
  <c r="AV70" i="112"/>
  <c r="AQ70" i="102"/>
  <c r="BR70" i="102" s="1"/>
  <c r="Y73" i="102"/>
  <c r="AM27" i="102"/>
  <c r="AM36" i="102" s="1"/>
  <c r="Z15" i="110"/>
  <c r="AE27" i="102"/>
  <c r="AN27" i="102"/>
  <c r="AO73" i="102"/>
  <c r="W18" i="102"/>
  <c r="BR18" i="102" s="1"/>
  <c r="G19" i="102"/>
  <c r="O27" i="111"/>
  <c r="AT54" i="102"/>
  <c r="BO73" i="102"/>
  <c r="T19" i="102"/>
  <c r="BC76" i="108"/>
  <c r="N19" i="102"/>
  <c r="AO79" i="102"/>
  <c r="W12" i="102"/>
  <c r="BR12" i="102" s="1"/>
  <c r="BL12" i="114"/>
  <c r="AL15" i="114"/>
  <c r="BB54" i="102"/>
  <c r="AE15" i="102"/>
  <c r="AK59" i="111"/>
  <c r="AD15" i="113"/>
  <c r="U19" i="102"/>
  <c r="BP63" i="102"/>
  <c r="BR63" i="102" s="1"/>
  <c r="BO15" i="102"/>
  <c r="BL12" i="108"/>
  <c r="N27" i="112"/>
  <c r="AN27" i="109"/>
  <c r="AY76" i="112"/>
  <c r="N27" i="102"/>
  <c r="AB15" i="111"/>
  <c r="AV54" i="102"/>
  <c r="AN54" i="102"/>
  <c r="AS54" i="102"/>
  <c r="AS89" i="102" s="1"/>
  <c r="BL52" i="102"/>
  <c r="AN107" i="110"/>
  <c r="AI107" i="108"/>
  <c r="AX79" i="102"/>
  <c r="AD19" i="102"/>
  <c r="BH54" i="110"/>
  <c r="BH59" i="111"/>
  <c r="T27" i="111"/>
  <c r="BD19" i="109"/>
  <c r="AE19" i="111"/>
  <c r="AU107" i="108"/>
  <c r="AV54" i="113"/>
  <c r="BA15" i="110"/>
  <c r="AX82" i="113"/>
  <c r="BP80" i="109"/>
  <c r="AQ68" i="111"/>
  <c r="AL54" i="112"/>
  <c r="BO15" i="114"/>
  <c r="AW82" i="108"/>
  <c r="AO70" i="109"/>
  <c r="BA82" i="108"/>
  <c r="AP59" i="112"/>
  <c r="AK27" i="111"/>
  <c r="AY70" i="114"/>
  <c r="BI19" i="110"/>
  <c r="BA70" i="110"/>
  <c r="AF107" i="109"/>
  <c r="BE54" i="112"/>
  <c r="BL80" i="108"/>
  <c r="BB70" i="112"/>
  <c r="AV59" i="110"/>
  <c r="AE27" i="111"/>
  <c r="AE36" i="111" s="1"/>
  <c r="BI15" i="108"/>
  <c r="BA107" i="113"/>
  <c r="AQ80" i="112"/>
  <c r="BI76" i="114"/>
  <c r="Z19" i="109"/>
  <c r="AO27" i="111"/>
  <c r="AQ62" i="102"/>
  <c r="AK82" i="110"/>
  <c r="T15" i="102"/>
  <c r="AF79" i="102"/>
  <c r="AB15" i="114"/>
  <c r="Q27" i="112"/>
  <c r="AK15" i="112"/>
  <c r="AL79" i="102"/>
  <c r="BH67" i="102"/>
  <c r="AS59" i="112"/>
  <c r="BL57" i="112"/>
  <c r="AQ75" i="102"/>
  <c r="Y79" i="102"/>
  <c r="V15" i="102"/>
  <c r="V36" i="102" s="1"/>
  <c r="V105" i="102" s="1"/>
  <c r="AQ9" i="110"/>
  <c r="Y15" i="110"/>
  <c r="AB15" i="108"/>
  <c r="BC15" i="110"/>
  <c r="BC15" i="102"/>
  <c r="AE70" i="109"/>
  <c r="AQ65" i="109"/>
  <c r="W9" i="113"/>
  <c r="G15" i="113"/>
  <c r="BL62" i="102"/>
  <c r="AL54" i="102"/>
  <c r="BN67" i="102"/>
  <c r="BP67" i="102" s="1"/>
  <c r="BP60" i="102"/>
  <c r="N15" i="112"/>
  <c r="BG82" i="114"/>
  <c r="AL67" i="102"/>
  <c r="AM59" i="110"/>
  <c r="AE19" i="102"/>
  <c r="AV15" i="102"/>
  <c r="AV36" i="102" s="1"/>
  <c r="BD19" i="102"/>
  <c r="BD36" i="102" s="1"/>
  <c r="AY59" i="113"/>
  <c r="W24" i="109"/>
  <c r="AA82" i="112"/>
  <c r="BC15" i="108"/>
  <c r="BC36" i="108" s="1"/>
  <c r="AV59" i="113"/>
  <c r="AE82" i="109"/>
  <c r="BC107" i="111"/>
  <c r="AL82" i="111"/>
  <c r="AP54" i="113"/>
  <c r="AA73" i="102"/>
  <c r="AK54" i="114"/>
  <c r="AU19" i="111"/>
  <c r="AW54" i="109"/>
  <c r="AQ21" i="110"/>
  <c r="Y27" i="110"/>
  <c r="BC59" i="112"/>
  <c r="Z82" i="108"/>
  <c r="BG73" i="102"/>
  <c r="BL64" i="114"/>
  <c r="AY70" i="108"/>
  <c r="AK54" i="109"/>
  <c r="BB76" i="112"/>
  <c r="BI54" i="114"/>
  <c r="BK107" i="111"/>
  <c r="BF67" i="102"/>
  <c r="AY54" i="111"/>
  <c r="AN107" i="109"/>
  <c r="BL69" i="108"/>
  <c r="AL54" i="108"/>
  <c r="BL62" i="114"/>
  <c r="AS70" i="114"/>
  <c r="BC19" i="110"/>
  <c r="AP70" i="110"/>
  <c r="AZ54" i="110"/>
  <c r="AM19" i="112"/>
  <c r="BL74" i="112"/>
  <c r="BD59" i="109"/>
  <c r="W21" i="112"/>
  <c r="G27" i="112"/>
  <c r="AJ70" i="113"/>
  <c r="BJ82" i="109"/>
  <c r="H15" i="102"/>
  <c r="H36" i="102" s="1"/>
  <c r="H105" i="102" s="1"/>
  <c r="BE54" i="109"/>
  <c r="AJ70" i="112"/>
  <c r="AG15" i="108"/>
  <c r="AJ54" i="112"/>
  <c r="I15" i="113"/>
  <c r="I36" i="113" s="1"/>
  <c r="I115" i="113" s="1"/>
  <c r="G27" i="108"/>
  <c r="W21" i="108"/>
  <c r="BO59" i="109"/>
  <c r="AY82" i="113"/>
  <c r="Q15" i="102"/>
  <c r="Q36" i="102" s="1"/>
  <c r="Q105" i="102" s="1"/>
  <c r="BF76" i="110"/>
  <c r="BP65" i="109"/>
  <c r="BR65" i="109" s="1"/>
  <c r="BP64" i="113"/>
  <c r="BB59" i="111"/>
  <c r="BI59" i="109"/>
  <c r="BP68" i="112"/>
  <c r="AN19" i="110"/>
  <c r="AG54" i="112"/>
  <c r="AL70" i="109"/>
  <c r="AJ19" i="109"/>
  <c r="AY70" i="111"/>
  <c r="BP68" i="109"/>
  <c r="Z107" i="114"/>
  <c r="AX76" i="110"/>
  <c r="BL73" i="110"/>
  <c r="AS76" i="110"/>
  <c r="BL80" i="114"/>
  <c r="AQ66" i="111"/>
  <c r="BH82" i="110"/>
  <c r="BB70" i="113"/>
  <c r="AD70" i="108"/>
  <c r="BD59" i="114"/>
  <c r="BC54" i="110"/>
  <c r="AT19" i="109"/>
  <c r="BC70" i="108"/>
  <c r="BL52" i="113"/>
  <c r="AS54" i="113"/>
  <c r="AH82" i="111"/>
  <c r="AA27" i="110"/>
  <c r="BF107" i="111"/>
  <c r="BL106" i="108"/>
  <c r="BL107" i="108" s="1"/>
  <c r="AS107" i="108"/>
  <c r="M27" i="108"/>
  <c r="BI76" i="108"/>
  <c r="Z19" i="108"/>
  <c r="AD107" i="114"/>
  <c r="BA82" i="112"/>
  <c r="AI82" i="114"/>
  <c r="Z27" i="114"/>
  <c r="AW82" i="110"/>
  <c r="BP64" i="102"/>
  <c r="BA19" i="114"/>
  <c r="BA36" i="114" s="1"/>
  <c r="BA59" i="108"/>
  <c r="AY107" i="108"/>
  <c r="BG54" i="110"/>
  <c r="AD76" i="110"/>
  <c r="AN54" i="111"/>
  <c r="AJ15" i="114"/>
  <c r="AJ107" i="108"/>
  <c r="BJ19" i="114"/>
  <c r="AX82" i="112"/>
  <c r="AP107" i="113"/>
  <c r="AJ59" i="110"/>
  <c r="BH82" i="109"/>
  <c r="P19" i="112"/>
  <c r="AQ63" i="108"/>
  <c r="BK82" i="111"/>
  <c r="AP54" i="114"/>
  <c r="BC59" i="109"/>
  <c r="M15" i="111"/>
  <c r="AV15" i="113"/>
  <c r="BL12" i="109"/>
  <c r="H15" i="113"/>
  <c r="H36" i="113" s="1"/>
  <c r="H115" i="113" s="1"/>
  <c r="AA19" i="110"/>
  <c r="V27" i="114"/>
  <c r="AG15" i="114"/>
  <c r="AF70" i="109"/>
  <c r="BN59" i="108"/>
  <c r="BP59" i="108" s="1"/>
  <c r="BP57" i="108"/>
  <c r="Y27" i="109"/>
  <c r="Y36" i="109" s="1"/>
  <c r="AQ21" i="109"/>
  <c r="AK15" i="108"/>
  <c r="AY54" i="114"/>
  <c r="AH27" i="109"/>
  <c r="Y27" i="108"/>
  <c r="AQ21" i="108"/>
  <c r="BR21" i="108" s="1"/>
  <c r="BP57" i="114"/>
  <c r="BN59" i="114"/>
  <c r="AE27" i="109"/>
  <c r="AM54" i="113"/>
  <c r="AE19" i="114"/>
  <c r="AE76" i="112"/>
  <c r="AO54" i="111"/>
  <c r="BL67" i="109"/>
  <c r="AC19" i="110"/>
  <c r="BI19" i="109"/>
  <c r="AG19" i="112"/>
  <c r="AN27" i="111"/>
  <c r="BJ15" i="110"/>
  <c r="AW19" i="114"/>
  <c r="BP18" i="114"/>
  <c r="BN19" i="114"/>
  <c r="AK59" i="112"/>
  <c r="BP67" i="109"/>
  <c r="BL78" i="108"/>
  <c r="BL82" i="108" s="1"/>
  <c r="AS82" i="108"/>
  <c r="BC76" i="110"/>
  <c r="AJ76" i="111"/>
  <c r="P27" i="114"/>
  <c r="BJ82" i="111"/>
  <c r="AQ24" i="111"/>
  <c r="AQ68" i="110"/>
  <c r="BR68" i="110" s="1"/>
  <c r="BE19" i="108"/>
  <c r="BP77" i="102"/>
  <c r="T27" i="113"/>
  <c r="BI70" i="109"/>
  <c r="BC59" i="110"/>
  <c r="BN76" i="109"/>
  <c r="BP73" i="109"/>
  <c r="AC59" i="114"/>
  <c r="AL107" i="113"/>
  <c r="BN59" i="111"/>
  <c r="BP57" i="111"/>
  <c r="G19" i="110"/>
  <c r="W18" i="110"/>
  <c r="BP21" i="113"/>
  <c r="BJ19" i="112"/>
  <c r="BJ54" i="111"/>
  <c r="BF70" i="114"/>
  <c r="BH54" i="111"/>
  <c r="AV15" i="108"/>
  <c r="BP67" i="112"/>
  <c r="AK107" i="114"/>
  <c r="AD59" i="110"/>
  <c r="AO76" i="111"/>
  <c r="BL64" i="102"/>
  <c r="BD70" i="109"/>
  <c r="BG70" i="108"/>
  <c r="Z59" i="108"/>
  <c r="AI59" i="108"/>
  <c r="AM107" i="113"/>
  <c r="BF76" i="112"/>
  <c r="AJ27" i="110"/>
  <c r="M19" i="113"/>
  <c r="BN76" i="113"/>
  <c r="BP73" i="113"/>
  <c r="AG19" i="108"/>
  <c r="BD54" i="102"/>
  <c r="BD89" i="102" s="1"/>
  <c r="BA107" i="110"/>
  <c r="BA82" i="110"/>
  <c r="BC76" i="112"/>
  <c r="BO27" i="112"/>
  <c r="AG19" i="114"/>
  <c r="AZ76" i="108"/>
  <c r="V15" i="111"/>
  <c r="AL27" i="114"/>
  <c r="AC76" i="114"/>
  <c r="BI70" i="108"/>
  <c r="AQ24" i="113"/>
  <c r="AV76" i="109"/>
  <c r="AA15" i="111"/>
  <c r="AH76" i="108"/>
  <c r="BI76" i="109"/>
  <c r="AD54" i="110"/>
  <c r="BK70" i="108"/>
  <c r="AE59" i="113"/>
  <c r="AY107" i="111"/>
  <c r="BE70" i="109"/>
  <c r="AY15" i="111"/>
  <c r="S27" i="113"/>
  <c r="BF19" i="113"/>
  <c r="H15" i="112"/>
  <c r="H36" i="112" s="1"/>
  <c r="H115" i="112" s="1"/>
  <c r="BI107" i="114"/>
  <c r="AQ64" i="111"/>
  <c r="BR64" i="111" s="1"/>
  <c r="M27" i="109"/>
  <c r="AK59" i="113"/>
  <c r="AJ59" i="113"/>
  <c r="AZ70" i="112"/>
  <c r="BK15" i="108"/>
  <c r="AG76" i="108"/>
  <c r="K15" i="102"/>
  <c r="K36" i="102" s="1"/>
  <c r="K105" i="102" s="1"/>
  <c r="AK70" i="113"/>
  <c r="BI54" i="109"/>
  <c r="AZ15" i="114"/>
  <c r="AI15" i="111"/>
  <c r="AG54" i="108"/>
  <c r="AW19" i="111"/>
  <c r="R27" i="108"/>
  <c r="AH54" i="112"/>
  <c r="AZ82" i="111"/>
  <c r="P19" i="102"/>
  <c r="AY54" i="112"/>
  <c r="BJ76" i="110"/>
  <c r="AV82" i="112"/>
  <c r="AX70" i="114"/>
  <c r="BC15" i="114"/>
  <c r="G19" i="113"/>
  <c r="W18" i="113"/>
  <c r="AO70" i="114"/>
  <c r="W12" i="110"/>
  <c r="BN19" i="108"/>
  <c r="BP18" i="108"/>
  <c r="AA82" i="114"/>
  <c r="AJ67" i="102"/>
  <c r="AY19" i="111"/>
  <c r="BE19" i="109"/>
  <c r="BF15" i="108"/>
  <c r="BF36" i="108" s="1"/>
  <c r="I15" i="111"/>
  <c r="I36" i="111" s="1"/>
  <c r="I115" i="111" s="1"/>
  <c r="BH82" i="108"/>
  <c r="BP65" i="113"/>
  <c r="BP67" i="111"/>
  <c r="AY19" i="108"/>
  <c r="AT15" i="102"/>
  <c r="BA73" i="102"/>
  <c r="BP65" i="111"/>
  <c r="BB82" i="113"/>
  <c r="BF59" i="111"/>
  <c r="G19" i="109"/>
  <c r="W18" i="109"/>
  <c r="AL76" i="114"/>
  <c r="AB82" i="113"/>
  <c r="AA19" i="109"/>
  <c r="BH15" i="111"/>
  <c r="AV59" i="114"/>
  <c r="AG70" i="114"/>
  <c r="AB15" i="109"/>
  <c r="R27" i="113"/>
  <c r="BL80" i="109"/>
  <c r="BR80" i="109" s="1"/>
  <c r="AH82" i="110"/>
  <c r="N19" i="109"/>
  <c r="AF54" i="112"/>
  <c r="BH15" i="109"/>
  <c r="BH36" i="109" s="1"/>
  <c r="BH15" i="113"/>
  <c r="AV15" i="114"/>
  <c r="AL70" i="113"/>
  <c r="BA76" i="112"/>
  <c r="BD107" i="112"/>
  <c r="BF15" i="111"/>
  <c r="BN76" i="108"/>
  <c r="BP73" i="108"/>
  <c r="AI15" i="114"/>
  <c r="BL106" i="112"/>
  <c r="AS107" i="112"/>
  <c r="H15" i="111"/>
  <c r="H36" i="111" s="1"/>
  <c r="H115" i="111" s="1"/>
  <c r="AL54" i="113"/>
  <c r="Z82" i="112"/>
  <c r="O27" i="109"/>
  <c r="L15" i="111"/>
  <c r="L36" i="111" s="1"/>
  <c r="L115" i="111" s="1"/>
  <c r="AE107" i="114"/>
  <c r="BO59" i="111"/>
  <c r="AP76" i="110"/>
  <c r="AA70" i="111"/>
  <c r="AH54" i="111"/>
  <c r="BD76" i="110"/>
  <c r="Q27" i="109"/>
  <c r="AF19" i="114"/>
  <c r="BA107" i="112"/>
  <c r="BP64" i="108"/>
  <c r="BH59" i="114"/>
  <c r="BK107" i="109"/>
  <c r="J15" i="112"/>
  <c r="J36" i="112" s="1"/>
  <c r="J115" i="112" s="1"/>
  <c r="BO59" i="113"/>
  <c r="BP59" i="113" s="1"/>
  <c r="J15" i="114"/>
  <c r="J36" i="114" s="1"/>
  <c r="J115" i="114" s="1"/>
  <c r="BP63" i="111"/>
  <c r="AQ12" i="112"/>
  <c r="AW54" i="111"/>
  <c r="BD15" i="113"/>
  <c r="Z19" i="112"/>
  <c r="M19" i="108"/>
  <c r="AU59" i="112"/>
  <c r="BN82" i="109"/>
  <c r="BP78" i="109"/>
  <c r="BB59" i="108"/>
  <c r="AW15" i="102"/>
  <c r="BN19" i="111"/>
  <c r="BP18" i="111"/>
  <c r="BE82" i="110"/>
  <c r="AM59" i="114"/>
  <c r="AX107" i="112"/>
  <c r="AJ82" i="114"/>
  <c r="AJ70" i="108"/>
  <c r="W12" i="108"/>
  <c r="O15" i="114"/>
  <c r="AZ54" i="112"/>
  <c r="AD59" i="108"/>
  <c r="L15" i="113"/>
  <c r="L36" i="113" s="1"/>
  <c r="L115" i="113" s="1"/>
  <c r="BE70" i="114"/>
  <c r="AZ107" i="114"/>
  <c r="U19" i="108"/>
  <c r="AQ62" i="112"/>
  <c r="Y70" i="112"/>
  <c r="AO107" i="114"/>
  <c r="AQ69" i="111"/>
  <c r="AU54" i="108"/>
  <c r="AT82" i="109"/>
  <c r="AZ82" i="108"/>
  <c r="AH54" i="110"/>
  <c r="AW54" i="114"/>
  <c r="Z76" i="111"/>
  <c r="AX82" i="111"/>
  <c r="AH19" i="113"/>
  <c r="AQ67" i="113"/>
  <c r="AW76" i="110"/>
  <c r="BG19" i="114"/>
  <c r="Y59" i="109"/>
  <c r="AQ57" i="109"/>
  <c r="BA82" i="113"/>
  <c r="BJ76" i="111"/>
  <c r="BL64" i="109"/>
  <c r="BP63" i="108"/>
  <c r="AC15" i="102"/>
  <c r="N15" i="110"/>
  <c r="BN59" i="110"/>
  <c r="BP59" i="110" s="1"/>
  <c r="BP57" i="110"/>
  <c r="BO15" i="108"/>
  <c r="BF19" i="111"/>
  <c r="Z76" i="112"/>
  <c r="AZ82" i="113"/>
  <c r="AU54" i="112"/>
  <c r="AA76" i="113"/>
  <c r="BC76" i="109"/>
  <c r="AU19" i="110"/>
  <c r="BP79" i="110"/>
  <c r="BL64" i="108"/>
  <c r="AL15" i="102"/>
  <c r="AC76" i="113"/>
  <c r="BD54" i="110"/>
  <c r="AQ74" i="111"/>
  <c r="Q27" i="113"/>
  <c r="BH19" i="111"/>
  <c r="BA82" i="114"/>
  <c r="AU82" i="113"/>
  <c r="AL76" i="108"/>
  <c r="AM59" i="112"/>
  <c r="BI19" i="108"/>
  <c r="Q19" i="110"/>
  <c r="Z70" i="113"/>
  <c r="Z70" i="110"/>
  <c r="R27" i="109"/>
  <c r="AG82" i="111"/>
  <c r="BC82" i="110"/>
  <c r="AF82" i="109"/>
  <c r="AA19" i="102"/>
  <c r="AQ73" i="113"/>
  <c r="Y76" i="113"/>
  <c r="J15" i="109"/>
  <c r="J36" i="109" s="1"/>
  <c r="J115" i="109" s="1"/>
  <c r="BA76" i="108"/>
  <c r="AO15" i="109"/>
  <c r="AG82" i="112"/>
  <c r="AX76" i="112"/>
  <c r="BI19" i="114"/>
  <c r="AH82" i="114"/>
  <c r="AY15" i="114"/>
  <c r="AT70" i="110"/>
  <c r="BJ82" i="110"/>
  <c r="BK82" i="112"/>
  <c r="AQ69" i="114"/>
  <c r="AI70" i="110"/>
  <c r="BE19" i="111"/>
  <c r="AI82" i="112"/>
  <c r="AQ71" i="102"/>
  <c r="AB19" i="114"/>
  <c r="AZ76" i="110"/>
  <c r="AP54" i="109"/>
  <c r="BH15" i="114"/>
  <c r="BL79" i="113"/>
  <c r="AN107" i="112"/>
  <c r="AL19" i="111"/>
  <c r="BP64" i="114"/>
  <c r="BO76" i="111"/>
  <c r="AK82" i="109"/>
  <c r="BJ19" i="102"/>
  <c r="AM19" i="114"/>
  <c r="AL19" i="110"/>
  <c r="AU19" i="108"/>
  <c r="AE15" i="114"/>
  <c r="Y70" i="110"/>
  <c r="AQ62" i="110"/>
  <c r="AQ80" i="110"/>
  <c r="AT73" i="102"/>
  <c r="AA27" i="108"/>
  <c r="Z70" i="112"/>
  <c r="BL18" i="114"/>
  <c r="BL19" i="114" s="1"/>
  <c r="AS19" i="114"/>
  <c r="AA59" i="110"/>
  <c r="AQ73" i="109"/>
  <c r="Y76" i="109"/>
  <c r="R19" i="111"/>
  <c r="O27" i="108"/>
  <c r="AM107" i="111"/>
  <c r="AC70" i="114"/>
  <c r="AD27" i="108"/>
  <c r="AJ70" i="110"/>
  <c r="AX15" i="114"/>
  <c r="BL67" i="114"/>
  <c r="BK54" i="110"/>
  <c r="AV70" i="113"/>
  <c r="AQ63" i="113"/>
  <c r="AP59" i="108"/>
  <c r="AW54" i="102"/>
  <c r="BJ19" i="108"/>
  <c r="AA27" i="112"/>
  <c r="AA36" i="112" s="1"/>
  <c r="AI82" i="109"/>
  <c r="AI107" i="113"/>
  <c r="AO70" i="108"/>
  <c r="AV82" i="109"/>
  <c r="AY70" i="112"/>
  <c r="AE79" i="102"/>
  <c r="Q15" i="109"/>
  <c r="T15" i="112"/>
  <c r="AJ76" i="109"/>
  <c r="AJ54" i="102"/>
  <c r="AJ89" i="102" s="1"/>
  <c r="BL52" i="110"/>
  <c r="AS54" i="110"/>
  <c r="BL80" i="111"/>
  <c r="K15" i="114"/>
  <c r="K36" i="114" s="1"/>
  <c r="K115" i="114" s="1"/>
  <c r="V19" i="109"/>
  <c r="AM59" i="109"/>
  <c r="AQ79" i="108"/>
  <c r="AN54" i="110"/>
  <c r="AO67" i="102"/>
  <c r="BF82" i="113"/>
  <c r="AB59" i="111"/>
  <c r="AB19" i="108"/>
  <c r="K15" i="111"/>
  <c r="K36" i="111" s="1"/>
  <c r="K115" i="111" s="1"/>
  <c r="AD73" i="102"/>
  <c r="BO15" i="109"/>
  <c r="AH27" i="108"/>
  <c r="BL62" i="108"/>
  <c r="AS70" i="108"/>
  <c r="BO19" i="110"/>
  <c r="Z59" i="113"/>
  <c r="I15" i="109"/>
  <c r="I36" i="109" s="1"/>
  <c r="I115" i="109" s="1"/>
  <c r="BG15" i="114"/>
  <c r="AO82" i="108"/>
  <c r="AH82" i="112"/>
  <c r="AG107" i="112"/>
  <c r="AT19" i="108"/>
  <c r="AM27" i="110"/>
  <c r="BK54" i="114"/>
  <c r="AI76" i="112"/>
  <c r="BO27" i="108"/>
  <c r="AN59" i="110"/>
  <c r="AG59" i="109"/>
  <c r="AH70" i="111"/>
  <c r="AM82" i="113"/>
  <c r="AX54" i="108"/>
  <c r="BP65" i="110"/>
  <c r="BJ54" i="112"/>
  <c r="AP54" i="110"/>
  <c r="AQ18" i="113"/>
  <c r="Y19" i="113"/>
  <c r="Y36" i="113" s="1"/>
  <c r="BG59" i="113"/>
  <c r="AV19" i="113"/>
  <c r="AV36" i="113" s="1"/>
  <c r="AK27" i="114"/>
  <c r="BK82" i="109"/>
  <c r="AG15" i="112"/>
  <c r="BP79" i="109"/>
  <c r="AX19" i="113"/>
  <c r="Z76" i="109"/>
  <c r="M19" i="111"/>
  <c r="AD76" i="114"/>
  <c r="AD107" i="113"/>
  <c r="AC59" i="112"/>
  <c r="BO82" i="111"/>
  <c r="BB15" i="109"/>
  <c r="AM107" i="112"/>
  <c r="AB76" i="108"/>
  <c r="AM27" i="113"/>
  <c r="BC54" i="112"/>
  <c r="BC70" i="112"/>
  <c r="AQ67" i="110"/>
  <c r="BG76" i="109"/>
  <c r="AP19" i="109"/>
  <c r="AU82" i="108"/>
  <c r="AK70" i="111"/>
  <c r="BK82" i="114"/>
  <c r="AX76" i="111"/>
  <c r="Y70" i="108"/>
  <c r="AQ62" i="108"/>
  <c r="AQ106" i="109"/>
  <c r="Y107" i="109"/>
  <c r="BP80" i="112"/>
  <c r="AT54" i="110"/>
  <c r="R19" i="108"/>
  <c r="BA59" i="110"/>
  <c r="BH19" i="112"/>
  <c r="AT107" i="114"/>
  <c r="V19" i="108"/>
  <c r="BI19" i="112"/>
  <c r="AQ24" i="110"/>
  <c r="BF19" i="102"/>
  <c r="AZ70" i="111"/>
  <c r="P27" i="110"/>
  <c r="Z76" i="113"/>
  <c r="AK76" i="111"/>
  <c r="BB107" i="110"/>
  <c r="AE70" i="112"/>
  <c r="AV70" i="114"/>
  <c r="BF76" i="111"/>
  <c r="BC76" i="114"/>
  <c r="AP59" i="109"/>
  <c r="BF15" i="102"/>
  <c r="AG107" i="108"/>
  <c r="AL70" i="114"/>
  <c r="AW59" i="113"/>
  <c r="AC76" i="111"/>
  <c r="AW59" i="114"/>
  <c r="BH107" i="111"/>
  <c r="AM82" i="108"/>
  <c r="AM92" i="108" s="1"/>
  <c r="BP68" i="113"/>
  <c r="BL68" i="112"/>
  <c r="BK15" i="111"/>
  <c r="AV107" i="113"/>
  <c r="AT76" i="111"/>
  <c r="AY82" i="109"/>
  <c r="BH59" i="109"/>
  <c r="BG54" i="109"/>
  <c r="BE59" i="114"/>
  <c r="V19" i="113"/>
  <c r="AZ15" i="102"/>
  <c r="BK76" i="111"/>
  <c r="Z82" i="109"/>
  <c r="BJ70" i="112"/>
  <c r="BB59" i="114"/>
  <c r="AO76" i="113"/>
  <c r="AD82" i="114"/>
  <c r="AC15" i="108"/>
  <c r="AK82" i="114"/>
  <c r="BK70" i="109"/>
  <c r="AX76" i="108"/>
  <c r="AD107" i="111"/>
  <c r="AQ67" i="111"/>
  <c r="AN70" i="114"/>
  <c r="BC15" i="112"/>
  <c r="O27" i="110"/>
  <c r="AF70" i="114"/>
  <c r="AK54" i="113"/>
  <c r="AJ76" i="114"/>
  <c r="AU76" i="114"/>
  <c r="AQ74" i="114"/>
  <c r="AL76" i="109"/>
  <c r="BG19" i="113"/>
  <c r="BC70" i="114"/>
  <c r="BO19" i="112"/>
  <c r="AD70" i="110"/>
  <c r="AI59" i="114"/>
  <c r="BF76" i="108"/>
  <c r="AX82" i="110"/>
  <c r="AT70" i="111"/>
  <c r="BK54" i="108"/>
  <c r="AO82" i="112"/>
  <c r="P15" i="109"/>
  <c r="AJ82" i="113"/>
  <c r="AI76" i="113"/>
  <c r="AC107" i="108"/>
  <c r="BO59" i="112"/>
  <c r="AO27" i="109"/>
  <c r="AC70" i="110"/>
  <c r="AC59" i="111"/>
  <c r="BG19" i="112"/>
  <c r="AP107" i="112"/>
  <c r="AA27" i="113"/>
  <c r="BE54" i="108"/>
  <c r="AT82" i="108"/>
  <c r="AM19" i="111"/>
  <c r="BG70" i="109"/>
  <c r="O15" i="111"/>
  <c r="BK82" i="108"/>
  <c r="AP107" i="110"/>
  <c r="AT19" i="111"/>
  <c r="BH54" i="112"/>
  <c r="AP15" i="112"/>
  <c r="AU54" i="113"/>
  <c r="Y54" i="113"/>
  <c r="AO19" i="108"/>
  <c r="AT15" i="108"/>
  <c r="AN107" i="113"/>
  <c r="BP67" i="110"/>
  <c r="K15" i="113"/>
  <c r="K36" i="113" s="1"/>
  <c r="K115" i="113" s="1"/>
  <c r="T27" i="108"/>
  <c r="AY107" i="109"/>
  <c r="AP76" i="112"/>
  <c r="BP68" i="111"/>
  <c r="AT19" i="113"/>
  <c r="BD82" i="114"/>
  <c r="AB15" i="102"/>
  <c r="BK15" i="112"/>
  <c r="BK36" i="112" s="1"/>
  <c r="BA15" i="113"/>
  <c r="BA36" i="113" s="1"/>
  <c r="AI70" i="113"/>
  <c r="AK70" i="112"/>
  <c r="AY59" i="111"/>
  <c r="BH107" i="114"/>
  <c r="O19" i="110"/>
  <c r="AB27" i="109"/>
  <c r="AH107" i="110"/>
  <c r="AI15" i="110"/>
  <c r="BL106" i="109"/>
  <c r="BL107" i="109" s="1"/>
  <c r="AS107" i="109"/>
  <c r="AK76" i="108"/>
  <c r="BP79" i="112"/>
  <c r="BC76" i="113"/>
  <c r="AE70" i="108"/>
  <c r="AQ12" i="108"/>
  <c r="BO82" i="110"/>
  <c r="AC70" i="112"/>
  <c r="AZ19" i="111"/>
  <c r="AZ107" i="109"/>
  <c r="AS15" i="111"/>
  <c r="BL9" i="111"/>
  <c r="AT15" i="112"/>
  <c r="BO70" i="112"/>
  <c r="AW59" i="112"/>
  <c r="AZ19" i="109"/>
  <c r="BO27" i="114"/>
  <c r="AG82" i="110"/>
  <c r="AX19" i="114"/>
  <c r="AS82" i="114"/>
  <c r="BL78" i="114"/>
  <c r="AW70" i="113"/>
  <c r="AH82" i="108"/>
  <c r="AQ65" i="110"/>
  <c r="BL12" i="110"/>
  <c r="BH59" i="112"/>
  <c r="AN82" i="114"/>
  <c r="BC19" i="109"/>
  <c r="BG107" i="113"/>
  <c r="BG19" i="109"/>
  <c r="AJ76" i="110"/>
  <c r="AY82" i="114"/>
  <c r="BK15" i="114"/>
  <c r="AC19" i="109"/>
  <c r="AN76" i="109"/>
  <c r="BD76" i="114"/>
  <c r="AP70" i="111"/>
  <c r="AM76" i="114"/>
  <c r="BF107" i="113"/>
  <c r="AD19" i="109"/>
  <c r="AK27" i="109"/>
  <c r="AN59" i="108"/>
  <c r="BD15" i="110"/>
  <c r="I15" i="114"/>
  <c r="I36" i="114" s="1"/>
  <c r="I115" i="114" s="1"/>
  <c r="BB107" i="109"/>
  <c r="BK76" i="110"/>
  <c r="AU76" i="110"/>
  <c r="AG27" i="110"/>
  <c r="Z15" i="111"/>
  <c r="AH19" i="109"/>
  <c r="BE19" i="114"/>
  <c r="AY76" i="114"/>
  <c r="BF59" i="114"/>
  <c r="AP59" i="110"/>
  <c r="AP92" i="110" s="1"/>
  <c r="BC19" i="114"/>
  <c r="BA15" i="108"/>
  <c r="AD27" i="109"/>
  <c r="Z19" i="102"/>
  <c r="AG70" i="108"/>
  <c r="BK76" i="114"/>
  <c r="AF15" i="110"/>
  <c r="AA70" i="113"/>
  <c r="AV54" i="108"/>
  <c r="BB59" i="112"/>
  <c r="AM27" i="109"/>
  <c r="BO27" i="113"/>
  <c r="BB54" i="113"/>
  <c r="BL18" i="108"/>
  <c r="BL19" i="108" s="1"/>
  <c r="AS19" i="108"/>
  <c r="Z27" i="110"/>
  <c r="BB70" i="110"/>
  <c r="AH15" i="111"/>
  <c r="AZ15" i="109"/>
  <c r="Y76" i="108"/>
  <c r="AQ73" i="108"/>
  <c r="BE19" i="113"/>
  <c r="AV82" i="113"/>
  <c r="AB82" i="109"/>
  <c r="AV76" i="113"/>
  <c r="P15" i="113"/>
  <c r="BG70" i="110"/>
  <c r="BJ70" i="110"/>
  <c r="AA107" i="111"/>
  <c r="BP79" i="108"/>
  <c r="AG59" i="108"/>
  <c r="T27" i="109"/>
  <c r="AE27" i="110"/>
  <c r="AN70" i="110"/>
  <c r="AO54" i="113"/>
  <c r="BP67" i="108"/>
  <c r="AA19" i="114"/>
  <c r="AA19" i="113"/>
  <c r="BD107" i="111"/>
  <c r="AK82" i="108"/>
  <c r="AN70" i="113"/>
  <c r="AO15" i="111"/>
  <c r="AC76" i="112"/>
  <c r="BE73" i="102"/>
  <c r="BA15" i="109"/>
  <c r="AB19" i="111"/>
  <c r="AW107" i="111"/>
  <c r="AM59" i="111"/>
  <c r="AG19" i="111"/>
  <c r="AP82" i="109"/>
  <c r="AJ54" i="108"/>
  <c r="AB19" i="109"/>
  <c r="R27" i="110"/>
  <c r="J15" i="108"/>
  <c r="J36" i="108" s="1"/>
  <c r="J115" i="108" s="1"/>
  <c r="AP82" i="112"/>
  <c r="AE70" i="113"/>
  <c r="W12" i="111"/>
  <c r="AN19" i="108"/>
  <c r="Z70" i="108"/>
  <c r="BH82" i="112"/>
  <c r="G19" i="108"/>
  <c r="W18" i="108"/>
  <c r="BR18" i="108" s="1"/>
  <c r="BG107" i="108"/>
  <c r="AX73" i="102"/>
  <c r="AX89" i="102" s="1"/>
  <c r="AT82" i="111"/>
  <c r="AY76" i="110"/>
  <c r="BK107" i="110"/>
  <c r="AN82" i="110"/>
  <c r="AQ66" i="113"/>
  <c r="AZ107" i="110"/>
  <c r="K15" i="109"/>
  <c r="K36" i="109" s="1"/>
  <c r="K115" i="109" s="1"/>
  <c r="BG59" i="108"/>
  <c r="V19" i="112"/>
  <c r="BI19" i="113"/>
  <c r="AV76" i="112"/>
  <c r="BE107" i="110"/>
  <c r="AN107" i="111"/>
  <c r="BI59" i="112"/>
  <c r="BJ15" i="108"/>
  <c r="BJ36" i="108" s="1"/>
  <c r="P19" i="113"/>
  <c r="AD15" i="108"/>
  <c r="AX70" i="110"/>
  <c r="AI54" i="108"/>
  <c r="BJ19" i="109"/>
  <c r="AK15" i="111"/>
  <c r="BJ19" i="111"/>
  <c r="BE107" i="109"/>
  <c r="AO54" i="109"/>
  <c r="AX15" i="112"/>
  <c r="AW59" i="110"/>
  <c r="AO27" i="114"/>
  <c r="AQ68" i="109"/>
  <c r="Z107" i="110"/>
  <c r="L15" i="109"/>
  <c r="L36" i="109" s="1"/>
  <c r="L115" i="109" s="1"/>
  <c r="AZ107" i="112"/>
  <c r="AG76" i="113"/>
  <c r="AW70" i="108"/>
  <c r="BA70" i="112"/>
  <c r="U15" i="112"/>
  <c r="BA19" i="112"/>
  <c r="AA27" i="109"/>
  <c r="BF70" i="112"/>
  <c r="AH27" i="113"/>
  <c r="BH70" i="113"/>
  <c r="AK70" i="109"/>
  <c r="I15" i="110"/>
  <c r="I36" i="110" s="1"/>
  <c r="I115" i="110" s="1"/>
  <c r="AI76" i="109"/>
  <c r="AA27" i="102"/>
  <c r="BL12" i="112"/>
  <c r="AX59" i="114"/>
  <c r="AQ79" i="109"/>
  <c r="BR79" i="109" s="1"/>
  <c r="AI82" i="108"/>
  <c r="AT70" i="108"/>
  <c r="BK15" i="110"/>
  <c r="BF73" i="102"/>
  <c r="Z27" i="102"/>
  <c r="AP82" i="111"/>
  <c r="AA76" i="114"/>
  <c r="AE59" i="111"/>
  <c r="T15" i="110"/>
  <c r="AU70" i="111"/>
  <c r="S19" i="108"/>
  <c r="AG15" i="102"/>
  <c r="AH76" i="113"/>
  <c r="BP21" i="110"/>
  <c r="BP67" i="113"/>
  <c r="AL82" i="109"/>
  <c r="BH76" i="111"/>
  <c r="BN59" i="112"/>
  <c r="BP57" i="112"/>
  <c r="AH59" i="108"/>
  <c r="AV19" i="114"/>
  <c r="BF82" i="109"/>
  <c r="BJ59" i="111"/>
  <c r="I15" i="112"/>
  <c r="I36" i="112" s="1"/>
  <c r="I115" i="112" s="1"/>
  <c r="AM54" i="109"/>
  <c r="BD15" i="112"/>
  <c r="BP73" i="112"/>
  <c r="BN76" i="112"/>
  <c r="BH76" i="109"/>
  <c r="AJ70" i="111"/>
  <c r="AG27" i="113"/>
  <c r="AQ66" i="112"/>
  <c r="AF107" i="113"/>
  <c r="BO70" i="108"/>
  <c r="BL63" i="110"/>
  <c r="BD59" i="110"/>
  <c r="BH19" i="114"/>
  <c r="BP73" i="111"/>
  <c r="BN76" i="111"/>
  <c r="BA59" i="109"/>
  <c r="BB54" i="108"/>
  <c r="BB19" i="114"/>
  <c r="BN15" i="112"/>
  <c r="BP9" i="112"/>
  <c r="BL74" i="114"/>
  <c r="BP24" i="110"/>
  <c r="BN27" i="110"/>
  <c r="BJ107" i="113"/>
  <c r="BJ15" i="114"/>
  <c r="BD107" i="113"/>
  <c r="S19" i="113"/>
  <c r="AD54" i="108"/>
  <c r="AB59" i="112"/>
  <c r="U19" i="110"/>
  <c r="AX59" i="108"/>
  <c r="AV19" i="109"/>
  <c r="AE107" i="110"/>
  <c r="AQ24" i="112"/>
  <c r="AT54" i="111"/>
  <c r="AT92" i="111" s="1"/>
  <c r="BP65" i="108"/>
  <c r="AQ12" i="110"/>
  <c r="Z70" i="111"/>
  <c r="AW19" i="113"/>
  <c r="AJ82" i="111"/>
  <c r="AE59" i="112"/>
  <c r="BI70" i="111"/>
  <c r="T15" i="109"/>
  <c r="Y54" i="112"/>
  <c r="AW54" i="108"/>
  <c r="S19" i="111"/>
  <c r="AL54" i="111"/>
  <c r="M19" i="112"/>
  <c r="AF19" i="108"/>
  <c r="AQ74" i="108"/>
  <c r="BI107" i="110"/>
  <c r="BE54" i="110"/>
  <c r="Z107" i="113"/>
  <c r="P15" i="108"/>
  <c r="AI19" i="109"/>
  <c r="M15" i="114"/>
  <c r="AF59" i="110"/>
  <c r="O19" i="109"/>
  <c r="AB59" i="109"/>
  <c r="AJ76" i="113"/>
  <c r="AO82" i="113"/>
  <c r="AS107" i="113"/>
  <c r="BL106" i="113"/>
  <c r="BL107" i="113" s="1"/>
  <c r="AE70" i="110"/>
  <c r="AJ27" i="112"/>
  <c r="BL69" i="112"/>
  <c r="AT76" i="113"/>
  <c r="J15" i="111"/>
  <c r="AP27" i="109"/>
  <c r="AV107" i="108"/>
  <c r="AC19" i="111"/>
  <c r="AZ19" i="113"/>
  <c r="AH19" i="108"/>
  <c r="AN82" i="113"/>
  <c r="AY59" i="110"/>
  <c r="AQ63" i="109"/>
  <c r="AN107" i="114"/>
  <c r="BH70" i="114"/>
  <c r="AV54" i="112"/>
  <c r="AZ70" i="114"/>
  <c r="BG59" i="111"/>
  <c r="AU76" i="113"/>
  <c r="AJ70" i="114"/>
  <c r="AI76" i="114"/>
  <c r="BN15" i="113"/>
  <c r="BP9" i="113"/>
  <c r="BE15" i="108"/>
  <c r="BE36" i="108" s="1"/>
  <c r="BL78" i="112"/>
  <c r="AS82" i="112"/>
  <c r="BI82" i="109"/>
  <c r="BA70" i="109"/>
  <c r="AM82" i="111"/>
  <c r="K15" i="108"/>
  <c r="K36" i="108" s="1"/>
  <c r="K115" i="108" s="1"/>
  <c r="BI54" i="102"/>
  <c r="BC107" i="109"/>
  <c r="R15" i="112"/>
  <c r="BH19" i="113"/>
  <c r="BH36" i="113" s="1"/>
  <c r="AB76" i="113"/>
  <c r="AN19" i="112"/>
  <c r="BP68" i="108"/>
  <c r="W12" i="112"/>
  <c r="AB27" i="108"/>
  <c r="BO76" i="110"/>
  <c r="AG15" i="110"/>
  <c r="W21" i="102"/>
  <c r="BR21" i="102" s="1"/>
  <c r="G27" i="102"/>
  <c r="L15" i="114"/>
  <c r="L36" i="114" s="1"/>
  <c r="L115" i="114" s="1"/>
  <c r="BA19" i="110"/>
  <c r="AZ59" i="111"/>
  <c r="AV76" i="108"/>
  <c r="AO70" i="110"/>
  <c r="BD70" i="110"/>
  <c r="H15" i="110"/>
  <c r="H36" i="110" s="1"/>
  <c r="H115" i="110" s="1"/>
  <c r="L15" i="110"/>
  <c r="AI15" i="113"/>
  <c r="Q19" i="108"/>
  <c r="BC15" i="109"/>
  <c r="AQ67" i="108"/>
  <c r="AH15" i="112"/>
  <c r="BH15" i="112"/>
  <c r="AQ80" i="113"/>
  <c r="AL82" i="114"/>
  <c r="AO27" i="110"/>
  <c r="BK19" i="114"/>
  <c r="BP79" i="114"/>
  <c r="BL79" i="112"/>
  <c r="AQ18" i="110"/>
  <c r="Y19" i="110"/>
  <c r="AM54" i="114"/>
  <c r="AJ59" i="108"/>
  <c r="BP24" i="108"/>
  <c r="BN27" i="108"/>
  <c r="AO15" i="110"/>
  <c r="AA19" i="108"/>
  <c r="AF27" i="110"/>
  <c r="Z15" i="108"/>
  <c r="AT82" i="113"/>
  <c r="BA54" i="114"/>
  <c r="BB15" i="108"/>
  <c r="Q15" i="110"/>
  <c r="AV19" i="110"/>
  <c r="BH76" i="114"/>
  <c r="Q15" i="112"/>
  <c r="N27" i="109"/>
  <c r="AA59" i="111"/>
  <c r="AJ82" i="108"/>
  <c r="AE54" i="111"/>
  <c r="BJ15" i="113"/>
  <c r="AT59" i="112"/>
  <c r="BA15" i="111"/>
  <c r="AQ68" i="114"/>
  <c r="BC107" i="114"/>
  <c r="BB76" i="110"/>
  <c r="BH54" i="114"/>
  <c r="BK76" i="109"/>
  <c r="AJ107" i="114"/>
  <c r="AX82" i="109"/>
  <c r="T27" i="114"/>
  <c r="AQ65" i="114"/>
  <c r="AZ70" i="109"/>
  <c r="AA76" i="111"/>
  <c r="AQ106" i="113"/>
  <c r="Y107" i="113"/>
  <c r="AO54" i="114"/>
  <c r="AJ19" i="110"/>
  <c r="BC59" i="108"/>
  <c r="AX15" i="111"/>
  <c r="AU82" i="109"/>
  <c r="AI76" i="110"/>
  <c r="AV19" i="108"/>
  <c r="U19" i="114"/>
  <c r="AP19" i="110"/>
  <c r="AZ76" i="114"/>
  <c r="BL78" i="113"/>
  <c r="AS82" i="113"/>
  <c r="AQ74" i="110"/>
  <c r="AJ15" i="110"/>
  <c r="AH107" i="112"/>
  <c r="AD15" i="111"/>
  <c r="AQ67" i="112"/>
  <c r="AD59" i="112"/>
  <c r="AM76" i="112"/>
  <c r="AX59" i="109"/>
  <c r="AU82" i="114"/>
  <c r="O19" i="108"/>
  <c r="BP12" i="112"/>
  <c r="AA76" i="109"/>
  <c r="BL62" i="112"/>
  <c r="AS70" i="112"/>
  <c r="AD59" i="114"/>
  <c r="AK107" i="108"/>
  <c r="W24" i="108"/>
  <c r="AZ15" i="113"/>
  <c r="AZ36" i="113" s="1"/>
  <c r="AP70" i="108"/>
  <c r="BE82" i="112"/>
  <c r="AT107" i="109"/>
  <c r="AO15" i="112"/>
  <c r="AY19" i="114"/>
  <c r="AQ67" i="109"/>
  <c r="AG82" i="113"/>
  <c r="BL74" i="113"/>
  <c r="BN15" i="111"/>
  <c r="BP9" i="111"/>
  <c r="BR9" i="111" s="1"/>
  <c r="BL65" i="112"/>
  <c r="BB19" i="110"/>
  <c r="AF15" i="112"/>
  <c r="S15" i="114"/>
  <c r="AN54" i="112"/>
  <c r="AI70" i="109"/>
  <c r="BL66" i="102"/>
  <c r="AU15" i="110"/>
  <c r="AU36" i="110" s="1"/>
  <c r="BO76" i="113"/>
  <c r="BP76" i="113" s="1"/>
  <c r="BK70" i="111"/>
  <c r="AE76" i="113"/>
  <c r="T19" i="112"/>
  <c r="AU59" i="110"/>
  <c r="BE76" i="114"/>
  <c r="P19" i="109"/>
  <c r="AA107" i="114"/>
  <c r="BL65" i="114"/>
  <c r="AX19" i="111"/>
  <c r="AM15" i="109"/>
  <c r="AI15" i="109"/>
  <c r="AV19" i="112"/>
  <c r="BJ59" i="113"/>
  <c r="AU59" i="108"/>
  <c r="BP65" i="112"/>
  <c r="BF59" i="108"/>
  <c r="AQ57" i="108"/>
  <c r="Y59" i="108"/>
  <c r="AC70" i="109"/>
  <c r="AD54" i="113"/>
  <c r="AO107" i="113"/>
  <c r="BI107" i="109"/>
  <c r="BB15" i="111"/>
  <c r="AF27" i="111"/>
  <c r="W18" i="112"/>
  <c r="G19" i="112"/>
  <c r="BD82" i="108"/>
  <c r="BL68" i="114"/>
  <c r="AW54" i="110"/>
  <c r="BO76" i="112"/>
  <c r="U15" i="108"/>
  <c r="AE76" i="109"/>
  <c r="AM27" i="111"/>
  <c r="AF76" i="109"/>
  <c r="BA59" i="112"/>
  <c r="AV70" i="108"/>
  <c r="AV70" i="109"/>
  <c r="AL27" i="112"/>
  <c r="AF76" i="112"/>
  <c r="AH59" i="114"/>
  <c r="M19" i="114"/>
  <c r="AZ107" i="113"/>
  <c r="BF107" i="108"/>
  <c r="AL59" i="110"/>
  <c r="BD19" i="112"/>
  <c r="BD36" i="112" s="1"/>
  <c r="AE19" i="113"/>
  <c r="AI54" i="113"/>
  <c r="AO107" i="110"/>
  <c r="AX107" i="113"/>
  <c r="BB59" i="109"/>
  <c r="BK82" i="113"/>
  <c r="AU19" i="114"/>
  <c r="AF107" i="108"/>
  <c r="AN76" i="113"/>
  <c r="BJ82" i="113"/>
  <c r="AP19" i="111"/>
  <c r="AL76" i="110"/>
  <c r="AL27" i="111"/>
  <c r="AV59" i="108"/>
  <c r="AO107" i="112"/>
  <c r="BP78" i="114"/>
  <c r="BN82" i="114"/>
  <c r="BI54" i="113"/>
  <c r="AH59" i="113"/>
  <c r="AQ66" i="114"/>
  <c r="S19" i="110"/>
  <c r="AZ15" i="110"/>
  <c r="AE70" i="114"/>
  <c r="AW107" i="110"/>
  <c r="BB76" i="109"/>
  <c r="V15" i="113"/>
  <c r="BG54" i="108"/>
  <c r="AT15" i="114"/>
  <c r="AT36" i="114" s="1"/>
  <c r="AI82" i="113"/>
  <c r="AF59" i="113"/>
  <c r="BC54" i="111"/>
  <c r="O15" i="112"/>
  <c r="AJ27" i="111"/>
  <c r="BO70" i="109"/>
  <c r="Z19" i="114"/>
  <c r="AT15" i="113"/>
  <c r="BL63" i="112"/>
  <c r="AB59" i="114"/>
  <c r="AI27" i="111"/>
  <c r="AM76" i="109"/>
  <c r="AV70" i="110"/>
  <c r="AV15" i="110"/>
  <c r="AV36" i="110" s="1"/>
  <c r="AA76" i="112"/>
  <c r="AN19" i="111"/>
  <c r="AI54" i="110"/>
  <c r="AW82" i="109"/>
  <c r="AL59" i="114"/>
  <c r="AC27" i="111"/>
  <c r="AC36" i="111" s="1"/>
  <c r="AT76" i="108"/>
  <c r="BJ15" i="109"/>
  <c r="BJ36" i="109" s="1"/>
  <c r="W21" i="113"/>
  <c r="G27" i="113"/>
  <c r="AO70" i="113"/>
  <c r="BB54" i="110"/>
  <c r="BA54" i="109"/>
  <c r="AC107" i="112"/>
  <c r="V27" i="112"/>
  <c r="AF82" i="110"/>
  <c r="Y54" i="111"/>
  <c r="BP80" i="110"/>
  <c r="AT82" i="114"/>
  <c r="T19" i="109"/>
  <c r="BN15" i="110"/>
  <c r="BP9" i="110"/>
  <c r="AJ27" i="114"/>
  <c r="BD54" i="109"/>
  <c r="BA76" i="109"/>
  <c r="AM19" i="109"/>
  <c r="AZ59" i="113"/>
  <c r="AW82" i="111"/>
  <c r="BF19" i="110"/>
  <c r="AF82" i="113"/>
  <c r="AG70" i="111"/>
  <c r="Z15" i="113"/>
  <c r="AO15" i="113"/>
  <c r="AD107" i="112"/>
  <c r="AY82" i="112"/>
  <c r="BJ76" i="109"/>
  <c r="BG82" i="108"/>
  <c r="AU107" i="114"/>
  <c r="BA59" i="114"/>
  <c r="AD59" i="109"/>
  <c r="BB15" i="110"/>
  <c r="AJ59" i="112"/>
  <c r="BI107" i="112"/>
  <c r="BK54" i="111"/>
  <c r="BL57" i="114"/>
  <c r="AS59" i="114"/>
  <c r="AE82" i="113"/>
  <c r="BL69" i="110"/>
  <c r="N15" i="111"/>
  <c r="O19" i="112"/>
  <c r="AM76" i="110"/>
  <c r="AJ107" i="109"/>
  <c r="BF15" i="110"/>
  <c r="BK19" i="113"/>
  <c r="BK36" i="113" s="1"/>
  <c r="AV59" i="112"/>
  <c r="AB82" i="114"/>
  <c r="AW59" i="109"/>
  <c r="AF82" i="111"/>
  <c r="AS15" i="113"/>
  <c r="BL9" i="113"/>
  <c r="AA82" i="110"/>
  <c r="U15" i="111"/>
  <c r="AY59" i="112"/>
  <c r="Y82" i="110"/>
  <c r="AQ78" i="110"/>
  <c r="AQ78" i="113"/>
  <c r="Y82" i="113"/>
  <c r="BO19" i="113"/>
  <c r="AH15" i="113"/>
  <c r="AI27" i="113"/>
  <c r="AT70" i="112"/>
  <c r="AB59" i="110"/>
  <c r="Y19" i="114"/>
  <c r="AQ18" i="114"/>
  <c r="AM76" i="111"/>
  <c r="AU59" i="111"/>
  <c r="BD59" i="112"/>
  <c r="AF82" i="114"/>
  <c r="T19" i="114"/>
  <c r="AP19" i="113"/>
  <c r="BH76" i="108"/>
  <c r="AH70" i="110"/>
  <c r="BC54" i="109"/>
  <c r="AN59" i="112"/>
  <c r="AF76" i="111"/>
  <c r="AW70" i="112"/>
  <c r="AE27" i="113"/>
  <c r="AA15" i="114"/>
  <c r="AA36" i="114" s="1"/>
  <c r="BE70" i="110"/>
  <c r="AI70" i="114"/>
  <c r="AQ78" i="114"/>
  <c r="Y82" i="114"/>
  <c r="AF59" i="111"/>
  <c r="AP54" i="111"/>
  <c r="AQ69" i="109"/>
  <c r="AA59" i="109"/>
  <c r="BI76" i="110"/>
  <c r="AE107" i="108"/>
  <c r="AY19" i="112"/>
  <c r="AA59" i="114"/>
  <c r="BJ76" i="108"/>
  <c r="BA19" i="111"/>
  <c r="BA36" i="111" s="1"/>
  <c r="AM59" i="113"/>
  <c r="W24" i="112"/>
  <c r="BR24" i="112" s="1"/>
  <c r="AU54" i="114"/>
  <c r="BB19" i="111"/>
  <c r="AS15" i="110"/>
  <c r="BL9" i="110"/>
  <c r="BL65" i="113"/>
  <c r="AY54" i="109"/>
  <c r="BL69" i="113"/>
  <c r="Z107" i="111"/>
  <c r="AO107" i="109"/>
  <c r="BJ70" i="108"/>
  <c r="R15" i="111"/>
  <c r="BB15" i="114"/>
  <c r="BO82" i="114"/>
  <c r="AQ68" i="112"/>
  <c r="BR68" i="112" s="1"/>
  <c r="BK59" i="109"/>
  <c r="AG76" i="110"/>
  <c r="BD15" i="108"/>
  <c r="AL76" i="111"/>
  <c r="BG107" i="112"/>
  <c r="AK107" i="109"/>
  <c r="AL107" i="111"/>
  <c r="AO82" i="111"/>
  <c r="AA59" i="113"/>
  <c r="AB107" i="112"/>
  <c r="Q27" i="114"/>
  <c r="AA59" i="112"/>
  <c r="AX59" i="111"/>
  <c r="BL79" i="114"/>
  <c r="BL52" i="114"/>
  <c r="AS54" i="114"/>
  <c r="AZ70" i="110"/>
  <c r="AQ63" i="112"/>
  <c r="BR63" i="112" s="1"/>
  <c r="BA54" i="112"/>
  <c r="BJ59" i="109"/>
  <c r="BN82" i="110"/>
  <c r="BP78" i="110"/>
  <c r="AE15" i="110"/>
  <c r="AN76" i="111"/>
  <c r="BP62" i="113"/>
  <c r="BN70" i="113"/>
  <c r="BL66" i="110"/>
  <c r="AZ107" i="108"/>
  <c r="BF19" i="109"/>
  <c r="AL19" i="114"/>
  <c r="BK19" i="108"/>
  <c r="BP66" i="109"/>
  <c r="BD54" i="112"/>
  <c r="AG76" i="114"/>
  <c r="BG19" i="110"/>
  <c r="T19" i="108"/>
  <c r="BG59" i="110"/>
  <c r="BC70" i="110"/>
  <c r="AW107" i="113"/>
  <c r="R19" i="110"/>
  <c r="BB82" i="108"/>
  <c r="AD70" i="114"/>
  <c r="AI107" i="112"/>
  <c r="BP63" i="109"/>
  <c r="BN70" i="109"/>
  <c r="BP62" i="109"/>
  <c r="AN19" i="109"/>
  <c r="AV76" i="110"/>
  <c r="AY54" i="110"/>
  <c r="G19" i="111"/>
  <c r="W18" i="111"/>
  <c r="BL80" i="110"/>
  <c r="Z107" i="108"/>
  <c r="BA107" i="109"/>
  <c r="AG54" i="114"/>
  <c r="BP64" i="109"/>
  <c r="AL59" i="113"/>
  <c r="R19" i="109"/>
  <c r="AS15" i="108"/>
  <c r="BL9" i="108"/>
  <c r="AC59" i="110"/>
  <c r="AW82" i="114"/>
  <c r="S15" i="112"/>
  <c r="T19" i="113"/>
  <c r="BE107" i="114"/>
  <c r="BD107" i="110"/>
  <c r="AN54" i="108"/>
  <c r="BG59" i="112"/>
  <c r="AT59" i="108"/>
  <c r="AE76" i="111"/>
  <c r="AX54" i="112"/>
  <c r="BL63" i="114"/>
  <c r="O19" i="114"/>
  <c r="AF70" i="113"/>
  <c r="Q19" i="114"/>
  <c r="AA70" i="109"/>
  <c r="BL63" i="109"/>
  <c r="AK82" i="113"/>
  <c r="AY59" i="114"/>
  <c r="AL70" i="108"/>
  <c r="BE82" i="108"/>
  <c r="AX107" i="114"/>
  <c r="BH15" i="110"/>
  <c r="AL107" i="114"/>
  <c r="AB107" i="111"/>
  <c r="AD107" i="110"/>
  <c r="BL66" i="111"/>
  <c r="BI70" i="112"/>
  <c r="AJ54" i="114"/>
  <c r="AZ19" i="114"/>
  <c r="AZ36" i="114" s="1"/>
  <c r="U27" i="109"/>
  <c r="BP66" i="113"/>
  <c r="BC82" i="114"/>
  <c r="R19" i="112"/>
  <c r="AF27" i="108"/>
  <c r="AK54" i="108"/>
  <c r="BJ76" i="113"/>
  <c r="BI76" i="112"/>
  <c r="AC107" i="114"/>
  <c r="AK19" i="114"/>
  <c r="AK82" i="112"/>
  <c r="BP66" i="111"/>
  <c r="AW76" i="113"/>
  <c r="AP15" i="108"/>
  <c r="AV82" i="114"/>
  <c r="AM54" i="110"/>
  <c r="AF70" i="111"/>
  <c r="BL79" i="111"/>
  <c r="BD15" i="109"/>
  <c r="BN70" i="108"/>
  <c r="BP70" i="108" s="1"/>
  <c r="BP62" i="108"/>
  <c r="S19" i="112"/>
  <c r="AU59" i="114"/>
  <c r="AM70" i="110"/>
  <c r="AH107" i="114"/>
  <c r="AX59" i="110"/>
  <c r="AA107" i="113"/>
  <c r="AQ62" i="114"/>
  <c r="Y70" i="114"/>
  <c r="BB19" i="113"/>
  <c r="BH54" i="109"/>
  <c r="BH54" i="113"/>
  <c r="BI76" i="113"/>
  <c r="BE59" i="111"/>
  <c r="BB54" i="109"/>
  <c r="AE82" i="112"/>
  <c r="M15" i="113"/>
  <c r="AE54" i="108"/>
  <c r="BG82" i="110"/>
  <c r="AN27" i="114"/>
  <c r="AQ64" i="108"/>
  <c r="BJ107" i="108"/>
  <c r="AP76" i="111"/>
  <c r="G27" i="109"/>
  <c r="W21" i="109"/>
  <c r="AA82" i="109"/>
  <c r="AI15" i="108"/>
  <c r="AC107" i="111"/>
  <c r="AF59" i="112"/>
  <c r="AA82" i="108"/>
  <c r="AU54" i="111"/>
  <c r="AE107" i="109"/>
  <c r="G27" i="114"/>
  <c r="BF19" i="114"/>
  <c r="AM82" i="112"/>
  <c r="AK15" i="110"/>
  <c r="BD82" i="109"/>
  <c r="AH70" i="108"/>
  <c r="BE59" i="113"/>
  <c r="BI76" i="111"/>
  <c r="AJ15" i="111"/>
  <c r="BK107" i="112"/>
  <c r="N15" i="108"/>
  <c r="AB70" i="109"/>
  <c r="AP82" i="114"/>
  <c r="BP80" i="114"/>
  <c r="AZ15" i="112"/>
  <c r="AT76" i="110"/>
  <c r="AG107" i="111"/>
  <c r="P19" i="110"/>
  <c r="BL65" i="111"/>
  <c r="BL66" i="114"/>
  <c r="AG82" i="109"/>
  <c r="BP64" i="110"/>
  <c r="AO76" i="110"/>
  <c r="AY70" i="113"/>
  <c r="AT107" i="113"/>
  <c r="AK76" i="114"/>
  <c r="AV54" i="110"/>
  <c r="BJ82" i="108"/>
  <c r="AW54" i="113"/>
  <c r="AS82" i="111"/>
  <c r="BL78" i="111"/>
  <c r="O15" i="113"/>
  <c r="AB107" i="113"/>
  <c r="AL70" i="110"/>
  <c r="BH54" i="108"/>
  <c r="BO27" i="111"/>
  <c r="T19" i="110"/>
  <c r="AE19" i="108"/>
  <c r="BF70" i="111"/>
  <c r="BI54" i="110"/>
  <c r="AP15" i="109"/>
  <c r="BF59" i="113"/>
  <c r="AG27" i="114"/>
  <c r="BJ107" i="110"/>
  <c r="AZ19" i="112"/>
  <c r="AN54" i="113"/>
  <c r="BJ107" i="111"/>
  <c r="AA15" i="109"/>
  <c r="AX59" i="112"/>
  <c r="BL64" i="112"/>
  <c r="AL82" i="108"/>
  <c r="AS19" i="112"/>
  <c r="BL18" i="112"/>
  <c r="BL19" i="112" s="1"/>
  <c r="AF19" i="109"/>
  <c r="AQ68" i="108"/>
  <c r="AO15" i="114"/>
  <c r="Y82" i="109"/>
  <c r="AQ78" i="109"/>
  <c r="Z15" i="109"/>
  <c r="BA54" i="110"/>
  <c r="AW15" i="113"/>
  <c r="AJ59" i="114"/>
  <c r="AB107" i="108"/>
  <c r="AE59" i="108"/>
  <c r="T15" i="113"/>
  <c r="AY15" i="113"/>
  <c r="AY36" i="113" s="1"/>
  <c r="AO76" i="112"/>
  <c r="Y54" i="110"/>
  <c r="BE70" i="108"/>
  <c r="AD82" i="112"/>
  <c r="BB82" i="112"/>
  <c r="BE59" i="109"/>
  <c r="AO19" i="111"/>
  <c r="AP70" i="114"/>
  <c r="BF70" i="109"/>
  <c r="BG107" i="109"/>
  <c r="AQ66" i="109"/>
  <c r="P15" i="112"/>
  <c r="AH15" i="110"/>
  <c r="AP15" i="110"/>
  <c r="AY82" i="110"/>
  <c r="AF70" i="110"/>
  <c r="BL69" i="109"/>
  <c r="AJ15" i="108"/>
  <c r="AY70" i="110"/>
  <c r="AM70" i="109"/>
  <c r="BG76" i="112"/>
  <c r="AX15" i="109"/>
  <c r="AK15" i="109"/>
  <c r="BG54" i="112"/>
  <c r="Y76" i="114"/>
  <c r="AQ73" i="114"/>
  <c r="AK19" i="110"/>
  <c r="AF76" i="113"/>
  <c r="V19" i="114"/>
  <c r="AD82" i="113"/>
  <c r="AO19" i="114"/>
  <c r="BO82" i="112"/>
  <c r="BK59" i="114"/>
  <c r="AI19" i="108"/>
  <c r="AH59" i="109"/>
  <c r="Q19" i="109"/>
  <c r="BP21" i="114"/>
  <c r="AQ79" i="112"/>
  <c r="AQ63" i="111"/>
  <c r="BO82" i="113"/>
  <c r="BE54" i="111"/>
  <c r="BF15" i="113"/>
  <c r="BF36" i="113" s="1"/>
  <c r="O19" i="111"/>
  <c r="O36" i="111" s="1"/>
  <c r="O115" i="111" s="1"/>
  <c r="AH107" i="108"/>
  <c r="BO19" i="108"/>
  <c r="BP19" i="108" s="1"/>
  <c r="AT76" i="109"/>
  <c r="AY59" i="108"/>
  <c r="AJ27" i="109"/>
  <c r="BA70" i="114"/>
  <c r="AW15" i="114"/>
  <c r="AJ15" i="112"/>
  <c r="AN15" i="108"/>
  <c r="AP54" i="108"/>
  <c r="U27" i="108"/>
  <c r="AU15" i="109"/>
  <c r="AG27" i="111"/>
  <c r="Y107" i="112"/>
  <c r="AQ106" i="112"/>
  <c r="AQ107" i="112" s="1"/>
  <c r="AU54" i="109"/>
  <c r="BH70" i="110"/>
  <c r="AK76" i="109"/>
  <c r="AE107" i="112"/>
  <c r="BK70" i="113"/>
  <c r="AH59" i="110"/>
  <c r="BI59" i="113"/>
  <c r="AF107" i="110"/>
  <c r="AM70" i="114"/>
  <c r="T27" i="112"/>
  <c r="AU107" i="113"/>
  <c r="BN70" i="110"/>
  <c r="BP62" i="110"/>
  <c r="BO19" i="114"/>
  <c r="BK54" i="109"/>
  <c r="AD27" i="112"/>
  <c r="AL19" i="108"/>
  <c r="AM19" i="110"/>
  <c r="AH54" i="114"/>
  <c r="AN15" i="109"/>
  <c r="AQ80" i="108"/>
  <c r="BK19" i="111"/>
  <c r="BK36" i="111" s="1"/>
  <c r="AY107" i="110"/>
  <c r="AJ76" i="112"/>
  <c r="AS15" i="109"/>
  <c r="AS36" i="109" s="1"/>
  <c r="BL9" i="109"/>
  <c r="AH59" i="111"/>
  <c r="AZ82" i="114"/>
  <c r="AY82" i="108"/>
  <c r="BA59" i="113"/>
  <c r="BL69" i="114"/>
  <c r="BR69" i="114" s="1"/>
  <c r="AC76" i="110"/>
  <c r="AB70" i="112"/>
  <c r="AE54" i="109"/>
  <c r="AX15" i="113"/>
  <c r="AU76" i="111"/>
  <c r="BD19" i="113"/>
  <c r="AG54" i="111"/>
  <c r="AF15" i="111"/>
  <c r="AW82" i="112"/>
  <c r="AD82" i="108"/>
  <c r="AW15" i="110"/>
  <c r="AQ64" i="109"/>
  <c r="AF70" i="108"/>
  <c r="AE15" i="108"/>
  <c r="BI82" i="114"/>
  <c r="AL27" i="109"/>
  <c r="AD19" i="111"/>
  <c r="S15" i="111"/>
  <c r="AF54" i="114"/>
  <c r="BH70" i="112"/>
  <c r="AF82" i="108"/>
  <c r="AV76" i="114"/>
  <c r="AQ65" i="108"/>
  <c r="BR65" i="108" s="1"/>
  <c r="AN76" i="110"/>
  <c r="AE54" i="112"/>
  <c r="AJ59" i="111"/>
  <c r="AG76" i="111"/>
  <c r="AQ106" i="108"/>
  <c r="Y107" i="108"/>
  <c r="AQ74" i="112"/>
  <c r="AE76" i="110"/>
  <c r="AM70" i="113"/>
  <c r="AX107" i="108"/>
  <c r="BL9" i="112"/>
  <c r="AS15" i="112"/>
  <c r="AF54" i="113"/>
  <c r="BH70" i="108"/>
  <c r="BL74" i="111"/>
  <c r="BJ107" i="114"/>
  <c r="AC107" i="113"/>
  <c r="AL107" i="109"/>
  <c r="BG15" i="109"/>
  <c r="AZ82" i="112"/>
  <c r="BP63" i="113"/>
  <c r="AJ54" i="109"/>
  <c r="AL76" i="113"/>
  <c r="BL69" i="111"/>
  <c r="BR69" i="111" s="1"/>
  <c r="AD15" i="109"/>
  <c r="BG76" i="114"/>
  <c r="BE76" i="111"/>
  <c r="V15" i="110"/>
  <c r="AN70" i="111"/>
  <c r="AH76" i="110"/>
  <c r="AX19" i="110"/>
  <c r="BL73" i="113"/>
  <c r="BR73" i="113" s="1"/>
  <c r="AS76" i="113"/>
  <c r="BP74" i="109"/>
  <c r="AG19" i="110"/>
  <c r="AE19" i="110"/>
  <c r="BF82" i="111"/>
  <c r="AH76" i="111"/>
  <c r="AP19" i="114"/>
  <c r="BL52" i="108"/>
  <c r="AS54" i="108"/>
  <c r="AU76" i="109"/>
  <c r="AQ64" i="112"/>
  <c r="BJ76" i="112"/>
  <c r="AA76" i="110"/>
  <c r="AW70" i="111"/>
  <c r="AF59" i="114"/>
  <c r="AP82" i="108"/>
  <c r="AF27" i="113"/>
  <c r="AN54" i="114"/>
  <c r="BI107" i="113"/>
  <c r="AW19" i="108"/>
  <c r="BH76" i="113"/>
  <c r="BJ107" i="112"/>
  <c r="AN70" i="108"/>
  <c r="BD19" i="110"/>
  <c r="BD36" i="110" s="1"/>
  <c r="BP12" i="113"/>
  <c r="AC107" i="110"/>
  <c r="AH70" i="114"/>
  <c r="AO82" i="114"/>
  <c r="AP107" i="108"/>
  <c r="AG76" i="109"/>
  <c r="N19" i="111"/>
  <c r="AQ24" i="114"/>
  <c r="AH70" i="113"/>
  <c r="Z27" i="109"/>
  <c r="Z36" i="109" s="1"/>
  <c r="AV54" i="114"/>
  <c r="AM27" i="108"/>
  <c r="AT54" i="114"/>
  <c r="N19" i="112"/>
  <c r="BG82" i="112"/>
  <c r="AO19" i="113"/>
  <c r="AO36" i="113" s="1"/>
  <c r="AU70" i="113"/>
  <c r="AC27" i="112"/>
  <c r="AC36" i="112" s="1"/>
  <c r="AA70" i="110"/>
  <c r="BP21" i="111"/>
  <c r="AB76" i="110"/>
  <c r="AJ107" i="111"/>
  <c r="AW76" i="108"/>
  <c r="BE19" i="112"/>
  <c r="BD15" i="114"/>
  <c r="BB76" i="114"/>
  <c r="AG54" i="113"/>
  <c r="AU54" i="110"/>
  <c r="AX54" i="114"/>
  <c r="AU107" i="110"/>
  <c r="BB76" i="108"/>
  <c r="BL57" i="109"/>
  <c r="AS59" i="109"/>
  <c r="AE82" i="108"/>
  <c r="AQ64" i="114"/>
  <c r="BP12" i="109"/>
  <c r="BC82" i="108"/>
  <c r="AP70" i="113"/>
  <c r="Y54" i="109"/>
  <c r="BC82" i="109"/>
  <c r="BF54" i="112"/>
  <c r="AF27" i="109"/>
  <c r="BC82" i="112"/>
  <c r="BH107" i="113"/>
  <c r="AC82" i="112"/>
  <c r="S27" i="109"/>
  <c r="S36" i="109" s="1"/>
  <c r="S115" i="109" s="1"/>
  <c r="AM76" i="113"/>
  <c r="AY107" i="112"/>
  <c r="BD76" i="111"/>
  <c r="M27" i="111"/>
  <c r="AC59" i="109"/>
  <c r="U27" i="114"/>
  <c r="N15" i="113"/>
  <c r="N15" i="114"/>
  <c r="BI70" i="113"/>
  <c r="AS59" i="110"/>
  <c r="BL57" i="110"/>
  <c r="AQ79" i="114"/>
  <c r="BR79" i="114" s="1"/>
  <c r="BK70" i="112"/>
  <c r="AK107" i="110"/>
  <c r="AS54" i="109"/>
  <c r="BL52" i="109"/>
  <c r="AH27" i="111"/>
  <c r="AN15" i="114"/>
  <c r="AH70" i="112"/>
  <c r="AW15" i="112"/>
  <c r="BL74" i="108"/>
  <c r="AD70" i="113"/>
  <c r="AM107" i="109"/>
  <c r="AO59" i="110"/>
  <c r="BB82" i="111"/>
  <c r="AQ65" i="112"/>
  <c r="O15" i="110"/>
  <c r="AX54" i="113"/>
  <c r="AC70" i="108"/>
  <c r="BG107" i="114"/>
  <c r="BL67" i="113"/>
  <c r="BP64" i="112"/>
  <c r="BG15" i="112"/>
  <c r="BG36" i="112" s="1"/>
  <c r="AF19" i="111"/>
  <c r="BL57" i="111"/>
  <c r="AS59" i="111"/>
  <c r="AZ59" i="112"/>
  <c r="AJ107" i="112"/>
  <c r="U27" i="111"/>
  <c r="AT54" i="113"/>
  <c r="BD82" i="111"/>
  <c r="BG19" i="111"/>
  <c r="BD107" i="114"/>
  <c r="BC82" i="113"/>
  <c r="BA82" i="109"/>
  <c r="BH107" i="108"/>
  <c r="AB70" i="108"/>
  <c r="Z107" i="112"/>
  <c r="BI107" i="111"/>
  <c r="BL9" i="114"/>
  <c r="AS15" i="114"/>
  <c r="R15" i="110"/>
  <c r="R36" i="110" s="1"/>
  <c r="R115" i="110" s="1"/>
  <c r="BL74" i="110"/>
  <c r="AM19" i="113"/>
  <c r="M27" i="113"/>
  <c r="BK19" i="109"/>
  <c r="BL63" i="108"/>
  <c r="AJ19" i="114"/>
  <c r="AJ36" i="114" s="1"/>
  <c r="BA19" i="108"/>
  <c r="AG70" i="109"/>
  <c r="AZ76" i="111"/>
  <c r="W21" i="111"/>
  <c r="BR21" i="111" s="1"/>
  <c r="G27" i="111"/>
  <c r="BD82" i="113"/>
  <c r="BI15" i="109"/>
  <c r="BI36" i="109" s="1"/>
  <c r="AY107" i="114"/>
  <c r="AV59" i="109"/>
  <c r="BD19" i="111"/>
  <c r="BD36" i="111" s="1"/>
  <c r="BH82" i="114"/>
  <c r="AQ79" i="111"/>
  <c r="BL67" i="112"/>
  <c r="BL62" i="111"/>
  <c r="AS70" i="111"/>
  <c r="BB76" i="113"/>
  <c r="AT107" i="108"/>
  <c r="AP59" i="113"/>
  <c r="AW107" i="109"/>
  <c r="AK107" i="113"/>
  <c r="AE82" i="110"/>
  <c r="AH107" i="111"/>
  <c r="BG76" i="113"/>
  <c r="AD19" i="108"/>
  <c r="U15" i="114"/>
  <c r="BO82" i="109"/>
  <c r="AE15" i="112"/>
  <c r="AF27" i="112"/>
  <c r="AE19" i="109"/>
  <c r="AD70" i="109"/>
  <c r="AK54" i="110"/>
  <c r="BF15" i="109"/>
  <c r="BF36" i="109" s="1"/>
  <c r="BG19" i="108"/>
  <c r="BC70" i="113"/>
  <c r="BP73" i="110"/>
  <c r="BN76" i="110"/>
  <c r="AV107" i="111"/>
  <c r="BE19" i="110"/>
  <c r="AV107" i="110"/>
  <c r="AG59" i="113"/>
  <c r="AW15" i="108"/>
  <c r="BI82" i="111"/>
  <c r="BP18" i="110"/>
  <c r="BN19" i="110"/>
  <c r="S15" i="110"/>
  <c r="AU107" i="109"/>
  <c r="AG27" i="112"/>
  <c r="AG36" i="112" s="1"/>
  <c r="BF59" i="110"/>
  <c r="AT70" i="113"/>
  <c r="AZ70" i="113"/>
  <c r="AZ59" i="108"/>
  <c r="AI27" i="109"/>
  <c r="AJ82" i="112"/>
  <c r="AW19" i="112"/>
  <c r="BC107" i="108"/>
  <c r="AO19" i="110"/>
  <c r="AW15" i="111"/>
  <c r="AW36" i="111" s="1"/>
  <c r="BB19" i="112"/>
  <c r="BB36" i="112" s="1"/>
  <c r="AC70" i="113"/>
  <c r="R15" i="114"/>
  <c r="N15" i="109"/>
  <c r="AQ74" i="109"/>
  <c r="AT19" i="110"/>
  <c r="AW19" i="110"/>
  <c r="AW36" i="110" s="1"/>
  <c r="AZ54" i="108"/>
  <c r="AT107" i="111"/>
  <c r="AM15" i="111"/>
  <c r="AW107" i="108"/>
  <c r="AB76" i="111"/>
  <c r="BA15" i="112"/>
  <c r="AL76" i="112"/>
  <c r="BP80" i="108"/>
  <c r="BR80" i="108" s="1"/>
  <c r="T27" i="110"/>
  <c r="BD54" i="111"/>
  <c r="AO76" i="109"/>
  <c r="AE15" i="113"/>
  <c r="AY76" i="108"/>
  <c r="BK107" i="108"/>
  <c r="AQ69" i="110"/>
  <c r="V19" i="110"/>
  <c r="BG76" i="111"/>
  <c r="BJ19" i="110"/>
  <c r="BG82" i="113"/>
  <c r="AS76" i="112"/>
  <c r="BL73" i="112"/>
  <c r="Q19" i="113"/>
  <c r="V15" i="108"/>
  <c r="AD76" i="111"/>
  <c r="AO59" i="113"/>
  <c r="Y107" i="110"/>
  <c r="AQ106" i="110"/>
  <c r="AQ107" i="110" s="1"/>
  <c r="BG15" i="108"/>
  <c r="AQ68" i="113"/>
  <c r="AQ65" i="113"/>
  <c r="AB76" i="112"/>
  <c r="AZ70" i="108"/>
  <c r="V27" i="113"/>
  <c r="AS54" i="111"/>
  <c r="BL52" i="111"/>
  <c r="BK19" i="110"/>
  <c r="BH15" i="108"/>
  <c r="AY76" i="111"/>
  <c r="BE82" i="109"/>
  <c r="BG76" i="110"/>
  <c r="BG92" i="110" s="1"/>
  <c r="AT15" i="111"/>
  <c r="AP107" i="111"/>
  <c r="AA70" i="114"/>
  <c r="AN82" i="109"/>
  <c r="AQ63" i="110"/>
  <c r="BB70" i="114"/>
  <c r="AY76" i="113"/>
  <c r="AK15" i="114"/>
  <c r="AK36" i="114" s="1"/>
  <c r="AG59" i="110"/>
  <c r="AG107" i="114"/>
  <c r="BP63" i="114"/>
  <c r="AD82" i="110"/>
  <c r="BN82" i="112"/>
  <c r="BP78" i="112"/>
  <c r="AO82" i="110"/>
  <c r="AV107" i="109"/>
  <c r="AZ82" i="110"/>
  <c r="AH27" i="112"/>
  <c r="AH36" i="112" s="1"/>
  <c r="AV15" i="109"/>
  <c r="AF54" i="111"/>
  <c r="BB15" i="113"/>
  <c r="V15" i="112"/>
  <c r="AI76" i="108"/>
  <c r="BN70" i="114"/>
  <c r="BP70" i="114" s="1"/>
  <c r="BP62" i="114"/>
  <c r="BE70" i="111"/>
  <c r="AI59" i="109"/>
  <c r="AH82" i="113"/>
  <c r="BD19" i="108"/>
  <c r="BO27" i="110"/>
  <c r="AZ54" i="109"/>
  <c r="BL63" i="111"/>
  <c r="BR63" i="111" s="1"/>
  <c r="BP66" i="108"/>
  <c r="AE27" i="114"/>
  <c r="AE36" i="114" s="1"/>
  <c r="BD19" i="114"/>
  <c r="AA70" i="108"/>
  <c r="BN70" i="112"/>
  <c r="BP62" i="112"/>
  <c r="BL67" i="108"/>
  <c r="AI19" i="114"/>
  <c r="BI15" i="113"/>
  <c r="BH70" i="109"/>
  <c r="BH92" i="109" s="1"/>
  <c r="AD54" i="112"/>
  <c r="AG15" i="113"/>
  <c r="BL74" i="109"/>
  <c r="O15" i="108"/>
  <c r="BE82" i="114"/>
  <c r="AG76" i="112"/>
  <c r="AL59" i="111"/>
  <c r="AD19" i="114"/>
  <c r="AU19" i="112"/>
  <c r="AI82" i="111"/>
  <c r="BP12" i="110"/>
  <c r="Y70" i="111"/>
  <c r="AQ62" i="111"/>
  <c r="V27" i="111"/>
  <c r="AG107" i="110"/>
  <c r="AJ15" i="113"/>
  <c r="AK27" i="113"/>
  <c r="AC27" i="113"/>
  <c r="BJ54" i="109"/>
  <c r="BC82" i="111"/>
  <c r="AM107" i="114"/>
  <c r="AA59" i="108"/>
  <c r="BE15" i="112"/>
  <c r="W18" i="114"/>
  <c r="BR18" i="114" s="1"/>
  <c r="G19" i="114"/>
  <c r="AD27" i="111"/>
  <c r="BL62" i="110"/>
  <c r="AS70" i="110"/>
  <c r="BB107" i="111"/>
  <c r="BE76" i="113"/>
  <c r="AT76" i="112"/>
  <c r="S27" i="114"/>
  <c r="S36" i="114" s="1"/>
  <c r="S115" i="114" s="1"/>
  <c r="AU107" i="111"/>
  <c r="BG82" i="109"/>
  <c r="BF15" i="114"/>
  <c r="BL106" i="110"/>
  <c r="BL107" i="110" s="1"/>
  <c r="AS107" i="110"/>
  <c r="BL52" i="112"/>
  <c r="AS54" i="112"/>
  <c r="AK107" i="111"/>
  <c r="AE59" i="110"/>
  <c r="AL70" i="112"/>
  <c r="AL59" i="108"/>
  <c r="AE76" i="114"/>
  <c r="BP9" i="114"/>
  <c r="BN15" i="114"/>
  <c r="BP15" i="114" s="1"/>
  <c r="P19" i="108"/>
  <c r="AV70" i="111"/>
  <c r="BG70" i="113"/>
  <c r="AD82" i="109"/>
  <c r="AD76" i="109"/>
  <c r="AI70" i="112"/>
  <c r="AB82" i="112"/>
  <c r="AQ57" i="114"/>
  <c r="BR57" i="114" s="1"/>
  <c r="Y59" i="114"/>
  <c r="AX107" i="110"/>
  <c r="V27" i="109"/>
  <c r="AA107" i="112"/>
  <c r="BC107" i="113"/>
  <c r="AE82" i="111"/>
  <c r="AW76" i="112"/>
  <c r="AQ66" i="110"/>
  <c r="BR66" i="110" s="1"/>
  <c r="AD107" i="109"/>
  <c r="AE19" i="112"/>
  <c r="S27" i="112"/>
  <c r="AN76" i="112"/>
  <c r="BP63" i="110"/>
  <c r="AZ54" i="114"/>
  <c r="AH82" i="109"/>
  <c r="O19" i="113"/>
  <c r="BP66" i="114"/>
  <c r="BK54" i="113"/>
  <c r="AU70" i="114"/>
  <c r="R15" i="109"/>
  <c r="AX76" i="109"/>
  <c r="P19" i="111"/>
  <c r="BG70" i="112"/>
  <c r="BK59" i="108"/>
  <c r="BF59" i="109"/>
  <c r="AK70" i="114"/>
  <c r="AK92" i="114" s="1"/>
  <c r="AI70" i="111"/>
  <c r="AF59" i="109"/>
  <c r="BI19" i="111"/>
  <c r="BI36" i="111" s="1"/>
  <c r="BE54" i="113"/>
  <c r="AD54" i="111"/>
  <c r="AT59" i="109"/>
  <c r="AI19" i="111"/>
  <c r="AA107" i="108"/>
  <c r="AC27" i="108"/>
  <c r="AN70" i="112"/>
  <c r="AU82" i="112"/>
  <c r="AK59" i="109"/>
  <c r="AX19" i="109"/>
  <c r="AN59" i="109"/>
  <c r="AT59" i="114"/>
  <c r="AO59" i="109"/>
  <c r="Z15" i="112"/>
  <c r="BE82" i="111"/>
  <c r="BB107" i="112"/>
  <c r="AQ67" i="114"/>
  <c r="AH27" i="114"/>
  <c r="AJ54" i="113"/>
  <c r="AT70" i="109"/>
  <c r="AJ59" i="109"/>
  <c r="AJ92" i="109" s="1"/>
  <c r="AO70" i="111"/>
  <c r="AJ15" i="109"/>
  <c r="AC82" i="109"/>
  <c r="AW70" i="109"/>
  <c r="AE54" i="113"/>
  <c r="BA54" i="113"/>
  <c r="BJ54" i="110"/>
  <c r="AE54" i="110"/>
  <c r="BH82" i="113"/>
  <c r="BD76" i="108"/>
  <c r="AM54" i="112"/>
  <c r="AM70" i="112"/>
  <c r="BI59" i="114"/>
  <c r="AX15" i="110"/>
  <c r="AX36" i="110" s="1"/>
  <c r="AX19" i="112"/>
  <c r="AW19" i="109"/>
  <c r="AN15" i="110"/>
  <c r="BO82" i="108"/>
  <c r="BP24" i="113"/>
  <c r="BN27" i="113"/>
  <c r="BA82" i="111"/>
  <c r="BB107" i="113"/>
  <c r="BI82" i="113"/>
  <c r="BJ19" i="113"/>
  <c r="BJ36" i="113" s="1"/>
  <c r="BP12" i="108"/>
  <c r="BL62" i="109"/>
  <c r="AS70" i="109"/>
  <c r="BB54" i="114"/>
  <c r="AX76" i="113"/>
  <c r="AQ79" i="113"/>
  <c r="AQ82" i="113" s="1"/>
  <c r="BG107" i="111"/>
  <c r="BN82" i="111"/>
  <c r="BP78" i="111"/>
  <c r="AX70" i="108"/>
  <c r="AK19" i="108"/>
  <c r="AK19" i="113"/>
  <c r="AW76" i="109"/>
  <c r="BG70" i="114"/>
  <c r="AQ69" i="108"/>
  <c r="BR69" i="108" s="1"/>
  <c r="AV59" i="111"/>
  <c r="AF15" i="109"/>
  <c r="BB19" i="108"/>
  <c r="AX107" i="109"/>
  <c r="AG107" i="109"/>
  <c r="AQ79" i="110"/>
  <c r="AQ82" i="110" s="1"/>
  <c r="AY54" i="108"/>
  <c r="AY92" i="108" s="1"/>
  <c r="P15" i="111"/>
  <c r="AF70" i="112"/>
  <c r="BH82" i="111"/>
  <c r="AM107" i="108"/>
  <c r="P15" i="114"/>
  <c r="BE54" i="114"/>
  <c r="BD107" i="108"/>
  <c r="AG27" i="108"/>
  <c r="AG36" i="108" s="1"/>
  <c r="BD59" i="111"/>
  <c r="BL78" i="110"/>
  <c r="BR78" i="110" s="1"/>
  <c r="AS82" i="110"/>
  <c r="AO76" i="114"/>
  <c r="AT82" i="110"/>
  <c r="AJ82" i="109"/>
  <c r="BJ82" i="114"/>
  <c r="AY82" i="111"/>
  <c r="AY92" i="111" s="1"/>
  <c r="M27" i="110"/>
  <c r="BA70" i="111"/>
  <c r="BI59" i="108"/>
  <c r="AL70" i="111"/>
  <c r="BK76" i="112"/>
  <c r="Q15" i="113"/>
  <c r="AO27" i="108"/>
  <c r="AH27" i="110"/>
  <c r="AH36" i="110" s="1"/>
  <c r="BL65" i="110"/>
  <c r="BF54" i="110"/>
  <c r="BC107" i="112"/>
  <c r="BP24" i="114"/>
  <c r="BN27" i="114"/>
  <c r="BC70" i="111"/>
  <c r="AO19" i="109"/>
  <c r="AS76" i="111"/>
  <c r="BL73" i="111"/>
  <c r="AL107" i="110"/>
  <c r="Z19" i="111"/>
  <c r="AD59" i="111"/>
  <c r="BN19" i="113"/>
  <c r="BP19" i="113" s="1"/>
  <c r="BP18" i="113"/>
  <c r="AN15" i="112"/>
  <c r="AH70" i="109"/>
  <c r="BF82" i="114"/>
  <c r="U15" i="110"/>
  <c r="U36" i="110" s="1"/>
  <c r="U115" i="110" s="1"/>
  <c r="AM15" i="113"/>
  <c r="BO76" i="114"/>
  <c r="BI54" i="108"/>
  <c r="Y107" i="114"/>
  <c r="AQ106" i="114"/>
  <c r="AJ54" i="111"/>
  <c r="AJ92" i="111" s="1"/>
  <c r="BL78" i="109"/>
  <c r="AS82" i="109"/>
  <c r="AS92" i="109" s="1"/>
  <c r="AS115" i="109" s="1"/>
  <c r="AA27" i="111"/>
  <c r="AK27" i="112"/>
  <c r="AK70" i="108"/>
  <c r="AQ62" i="113"/>
  <c r="Y70" i="113"/>
  <c r="BE107" i="108"/>
  <c r="M27" i="112"/>
  <c r="BB70" i="108"/>
  <c r="BB92" i="108" s="1"/>
  <c r="BJ54" i="108"/>
  <c r="AS59" i="113"/>
  <c r="BL57" i="113"/>
  <c r="BF54" i="109"/>
  <c r="BE15" i="111"/>
  <c r="AC82" i="108"/>
  <c r="BK107" i="113"/>
  <c r="AK27" i="108"/>
  <c r="AK36" i="108" s="1"/>
  <c r="BE76" i="112"/>
  <c r="AF19" i="112"/>
  <c r="AZ15" i="111"/>
  <c r="AZ36" i="111" s="1"/>
  <c r="BB82" i="110"/>
  <c r="AM19" i="108"/>
  <c r="BO70" i="111"/>
  <c r="BP70" i="111" s="1"/>
  <c r="AE107" i="111"/>
  <c r="BI54" i="112"/>
  <c r="BI92" i="112" s="1"/>
  <c r="AW76" i="111"/>
  <c r="AX54" i="111"/>
  <c r="AC76" i="109"/>
  <c r="S27" i="111"/>
  <c r="AJ107" i="110"/>
  <c r="BO19" i="109"/>
  <c r="BO36" i="109" s="1"/>
  <c r="AK19" i="112"/>
  <c r="AG70" i="110"/>
  <c r="AQ70" i="110" s="1"/>
  <c r="AP15" i="114"/>
  <c r="AG70" i="113"/>
  <c r="AF107" i="112"/>
  <c r="AG70" i="112"/>
  <c r="AZ59" i="110"/>
  <c r="AK27" i="110"/>
  <c r="BI107" i="108"/>
  <c r="AF15" i="114"/>
  <c r="AC107" i="109"/>
  <c r="AE15" i="109"/>
  <c r="AC82" i="111"/>
  <c r="BJ59" i="112"/>
  <c r="BK70" i="110"/>
  <c r="AM82" i="114"/>
  <c r="AI107" i="110"/>
  <c r="BF59" i="112"/>
  <c r="BF92" i="112" s="1"/>
  <c r="BI15" i="112"/>
  <c r="AK59" i="108"/>
  <c r="AA107" i="109"/>
  <c r="BO70" i="113"/>
  <c r="AL27" i="110"/>
  <c r="AI54" i="111"/>
  <c r="AI54" i="114"/>
  <c r="AW76" i="114"/>
  <c r="AA82" i="113"/>
  <c r="BE15" i="110"/>
  <c r="S15" i="108"/>
  <c r="AJ54" i="110"/>
  <c r="AM107" i="110"/>
  <c r="BE15" i="109"/>
  <c r="AJ19" i="108"/>
  <c r="AX54" i="110"/>
  <c r="AX92" i="110" s="1"/>
  <c r="BJ59" i="114"/>
  <c r="Z19" i="113"/>
  <c r="AI27" i="110"/>
  <c r="AD27" i="114"/>
  <c r="BP12" i="114"/>
  <c r="AO82" i="109"/>
  <c r="BF107" i="114"/>
  <c r="Q15" i="111"/>
  <c r="BJ70" i="113"/>
  <c r="BI15" i="110"/>
  <c r="BI36" i="110" s="1"/>
  <c r="AA82" i="111"/>
  <c r="BI59" i="111"/>
  <c r="AW15" i="109"/>
  <c r="N19" i="114"/>
  <c r="AP107" i="109"/>
  <c r="AE76" i="108"/>
  <c r="BC70" i="109"/>
  <c r="AS19" i="111"/>
  <c r="BL18" i="111"/>
  <c r="BL19" i="111" s="1"/>
  <c r="AF27" i="114"/>
  <c r="BF76" i="109"/>
  <c r="BC54" i="108"/>
  <c r="BC92" i="108" s="1"/>
  <c r="BC115" i="108" s="1"/>
  <c r="AG19" i="113"/>
  <c r="BH59" i="108"/>
  <c r="BH92" i="108" s="1"/>
  <c r="BO70" i="110"/>
  <c r="BP70" i="110" s="1"/>
  <c r="BL64" i="110"/>
  <c r="O15" i="109"/>
  <c r="AQ69" i="113"/>
  <c r="BH107" i="112"/>
  <c r="AT15" i="110"/>
  <c r="AT36" i="110" s="1"/>
  <c r="BP79" i="111"/>
  <c r="AL107" i="112"/>
  <c r="AM70" i="111"/>
  <c r="AB70" i="110"/>
  <c r="AD15" i="114"/>
  <c r="AZ54" i="111"/>
  <c r="Y76" i="112"/>
  <c r="AQ73" i="112"/>
  <c r="M15" i="108"/>
  <c r="AX19" i="108"/>
  <c r="AX36" i="108" s="1"/>
  <c r="BA70" i="108"/>
  <c r="BP74" i="112"/>
  <c r="P19" i="114"/>
  <c r="T19" i="111"/>
  <c r="BP79" i="113"/>
  <c r="AT70" i="114"/>
  <c r="BJ82" i="112"/>
  <c r="AH54" i="113"/>
  <c r="AH92" i="113" s="1"/>
  <c r="BP80" i="113"/>
  <c r="BG54" i="111"/>
  <c r="BD82" i="112"/>
  <c r="AN27" i="108"/>
  <c r="AD54" i="114"/>
  <c r="AN54" i="109"/>
  <c r="AN92" i="109" s="1"/>
  <c r="AO59" i="108"/>
  <c r="BL66" i="108"/>
  <c r="BF54" i="113"/>
  <c r="AI19" i="110"/>
  <c r="AW82" i="113"/>
  <c r="BH76" i="112"/>
  <c r="AN27" i="112"/>
  <c r="BH70" i="111"/>
  <c r="BP12" i="111"/>
  <c r="AU15" i="111"/>
  <c r="AU36" i="111" s="1"/>
  <c r="AP82" i="113"/>
  <c r="AV82" i="108"/>
  <c r="AB82" i="111"/>
  <c r="AY15" i="110"/>
  <c r="BD76" i="112"/>
  <c r="AZ76" i="113"/>
  <c r="BL66" i="112"/>
  <c r="BR66" i="112" s="1"/>
  <c r="BH19" i="108"/>
  <c r="BH36" i="108" s="1"/>
  <c r="BJ15" i="112"/>
  <c r="BJ36" i="112" s="1"/>
  <c r="AU19" i="113"/>
  <c r="BF54" i="111"/>
  <c r="AX82" i="114"/>
  <c r="AJ19" i="111"/>
  <c r="AO59" i="112"/>
  <c r="AO92" i="112" s="1"/>
  <c r="Z15" i="114"/>
  <c r="V19" i="111"/>
  <c r="T15" i="114"/>
  <c r="AF107" i="114"/>
  <c r="AK76" i="110"/>
  <c r="R19" i="114"/>
  <c r="R36" i="114" s="1"/>
  <c r="R115" i="114" s="1"/>
  <c r="AO76" i="108"/>
  <c r="AO54" i="110"/>
  <c r="AO92" i="110" s="1"/>
  <c r="BP74" i="113"/>
  <c r="U15" i="113"/>
  <c r="BK70" i="114"/>
  <c r="AT59" i="113"/>
  <c r="V27" i="108"/>
  <c r="AU76" i="112"/>
  <c r="AK19" i="111"/>
  <c r="BD59" i="113"/>
  <c r="BD92" i="113" s="1"/>
  <c r="BK54" i="112"/>
  <c r="AU70" i="109"/>
  <c r="AW59" i="111"/>
  <c r="AG59" i="112"/>
  <c r="BA19" i="109"/>
  <c r="AT107" i="110"/>
  <c r="BN82" i="113"/>
  <c r="BP78" i="113"/>
  <c r="BR78" i="113" s="1"/>
  <c r="M15" i="110"/>
  <c r="AJ19" i="112"/>
  <c r="AE27" i="112"/>
  <c r="AK107" i="112"/>
  <c r="AK70" i="110"/>
  <c r="BH107" i="109"/>
  <c r="BE70" i="112"/>
  <c r="R15" i="108"/>
  <c r="Z27" i="108"/>
  <c r="Z36" i="108" s="1"/>
  <c r="BP24" i="111"/>
  <c r="BN27" i="111"/>
  <c r="AE82" i="114"/>
  <c r="AN70" i="109"/>
  <c r="AP15" i="111"/>
  <c r="AZ59" i="114"/>
  <c r="BG59" i="114"/>
  <c r="AH19" i="114"/>
  <c r="BP74" i="114"/>
  <c r="BR74" i="114" s="1"/>
  <c r="Q19" i="111"/>
  <c r="AI27" i="114"/>
  <c r="AF19" i="113"/>
  <c r="AI27" i="112"/>
  <c r="AI36" i="112" s="1"/>
  <c r="AJ27" i="108"/>
  <c r="AE70" i="111"/>
  <c r="BG70" i="111"/>
  <c r="N19" i="113"/>
  <c r="AI54" i="109"/>
  <c r="AB76" i="114"/>
  <c r="AV19" i="111"/>
  <c r="BJ54" i="114"/>
  <c r="BD54" i="114"/>
  <c r="Y59" i="112"/>
  <c r="AQ57" i="112"/>
  <c r="AQ63" i="114"/>
  <c r="AU70" i="110"/>
  <c r="AJ27" i="113"/>
  <c r="AP59" i="114"/>
  <c r="AY15" i="109"/>
  <c r="AY36" i="109" s="1"/>
  <c r="AL27" i="108"/>
  <c r="BE107" i="112"/>
  <c r="Z27" i="111"/>
  <c r="AI27" i="108"/>
  <c r="AI36" i="108" s="1"/>
  <c r="AT59" i="110"/>
  <c r="BJ70" i="109"/>
  <c r="AU19" i="109"/>
  <c r="AN59" i="113"/>
  <c r="AK54" i="112"/>
  <c r="AZ76" i="112"/>
  <c r="AZ92" i="112" s="1"/>
  <c r="BC59" i="111"/>
  <c r="AP107" i="114"/>
  <c r="AT76" i="114"/>
  <c r="AO70" i="112"/>
  <c r="Y59" i="113"/>
  <c r="AQ57" i="113"/>
  <c r="AM82" i="110"/>
  <c r="AD76" i="113"/>
  <c r="AQ69" i="112"/>
  <c r="BR69" i="112" s="1"/>
  <c r="BA76" i="113"/>
  <c r="BA92" i="113" s="1"/>
  <c r="BA115" i="113" s="1"/>
  <c r="BA59" i="111"/>
  <c r="AY15" i="112"/>
  <c r="AN59" i="114"/>
  <c r="AT15" i="109"/>
  <c r="AD70" i="112"/>
  <c r="AL82" i="110"/>
  <c r="AW107" i="114"/>
  <c r="AD19" i="112"/>
  <c r="AC76" i="108"/>
  <c r="Y59" i="110"/>
  <c r="AQ57" i="110"/>
  <c r="BK59" i="110"/>
  <c r="AB70" i="114"/>
  <c r="AH15" i="109"/>
  <c r="AH36" i="109" s="1"/>
  <c r="U19" i="113"/>
  <c r="S27" i="108"/>
  <c r="AO15" i="108"/>
  <c r="BA70" i="113"/>
  <c r="AC27" i="114"/>
  <c r="AG15" i="111"/>
  <c r="AG82" i="114"/>
  <c r="AX76" i="114"/>
  <c r="AX92" i="114" s="1"/>
  <c r="BA107" i="111"/>
  <c r="Y76" i="111"/>
  <c r="AQ73" i="111"/>
  <c r="AC82" i="110"/>
  <c r="BO76" i="109"/>
  <c r="BI82" i="110"/>
  <c r="BL67" i="111"/>
  <c r="BA107" i="114"/>
  <c r="AH107" i="109"/>
  <c r="AT54" i="109"/>
  <c r="BF54" i="108"/>
  <c r="AB82" i="108"/>
  <c r="BO15" i="113"/>
  <c r="BL62" i="113"/>
  <c r="AS70" i="113"/>
  <c r="AU107" i="112"/>
  <c r="BN15" i="108"/>
  <c r="BP15" i="108" s="1"/>
  <c r="BP9" i="108"/>
  <c r="BR9" i="108" s="1"/>
  <c r="AB59" i="113"/>
  <c r="AD82" i="111"/>
  <c r="BC59" i="113"/>
  <c r="N19" i="110"/>
  <c r="BJ76" i="114"/>
  <c r="AP76" i="109"/>
  <c r="BH107" i="110"/>
  <c r="BN19" i="109"/>
  <c r="BN36" i="109" s="1"/>
  <c r="BP18" i="109"/>
  <c r="BH59" i="110"/>
  <c r="AT82" i="112"/>
  <c r="BO15" i="111"/>
  <c r="BP15" i="111" s="1"/>
  <c r="BK59" i="111"/>
  <c r="BE76" i="108"/>
  <c r="BP74" i="108"/>
  <c r="AI107" i="109"/>
  <c r="BA76" i="110"/>
  <c r="AZ54" i="113"/>
  <c r="BB70" i="111"/>
  <c r="U27" i="112"/>
  <c r="BA76" i="114"/>
  <c r="BG15" i="111"/>
  <c r="BP74" i="111"/>
  <c r="BR74" i="111" s="1"/>
  <c r="AU70" i="108"/>
  <c r="AO54" i="108"/>
  <c r="AV15" i="111"/>
  <c r="AY54" i="113"/>
  <c r="BA54" i="108"/>
  <c r="AN27" i="110"/>
  <c r="Y82" i="112"/>
  <c r="AQ78" i="112"/>
  <c r="BK76" i="113"/>
  <c r="BD54" i="113"/>
  <c r="BL63" i="113"/>
  <c r="BB19" i="109"/>
  <c r="AB107" i="114"/>
  <c r="BL73" i="114"/>
  <c r="AS76" i="114"/>
  <c r="AF82" i="112"/>
  <c r="AG19" i="109"/>
  <c r="AG36" i="109" s="1"/>
  <c r="AN59" i="111"/>
  <c r="AS19" i="113"/>
  <c r="BL18" i="113"/>
  <c r="BL19" i="113" s="1"/>
  <c r="AF76" i="108"/>
  <c r="BP21" i="109"/>
  <c r="AI59" i="111"/>
  <c r="AD76" i="112"/>
  <c r="AV82" i="111"/>
  <c r="AA15" i="110"/>
  <c r="BB76" i="111"/>
  <c r="AZ82" i="109"/>
  <c r="BE70" i="113"/>
  <c r="AU15" i="112"/>
  <c r="AU36" i="112" s="1"/>
  <c r="BG76" i="108"/>
  <c r="Z19" i="110"/>
  <c r="BL66" i="113"/>
  <c r="BR66" i="113" s="1"/>
  <c r="AZ59" i="109"/>
  <c r="AD19" i="113"/>
  <c r="AQ78" i="108"/>
  <c r="Y82" i="108"/>
  <c r="BE15" i="113"/>
  <c r="BE36" i="113" s="1"/>
  <c r="BB54" i="111"/>
  <c r="BL68" i="113"/>
  <c r="Y82" i="111"/>
  <c r="AQ78" i="111"/>
  <c r="AP19" i="112"/>
  <c r="AN82" i="108"/>
  <c r="BG54" i="113"/>
  <c r="BF76" i="113"/>
  <c r="AJ19" i="113"/>
  <c r="BL12" i="111"/>
  <c r="BB107" i="114"/>
  <c r="AX107" i="111"/>
  <c r="BB82" i="114"/>
  <c r="AY15" i="108"/>
  <c r="BK76" i="108"/>
  <c r="AX70" i="113"/>
  <c r="BP18" i="112"/>
  <c r="BR18" i="112" s="1"/>
  <c r="BN19" i="112"/>
  <c r="AQ66" i="108"/>
  <c r="BR66" i="108" s="1"/>
  <c r="AS59" i="108"/>
  <c r="BL57" i="108"/>
  <c r="BF107" i="110"/>
  <c r="AW70" i="110"/>
  <c r="AH76" i="112"/>
  <c r="AN27" i="113"/>
  <c r="AN36" i="113" s="1"/>
  <c r="BL66" i="109"/>
  <c r="AG107" i="113"/>
  <c r="AW70" i="114"/>
  <c r="BO15" i="112"/>
  <c r="AN82" i="112"/>
  <c r="AM27" i="114"/>
  <c r="BJ107" i="109"/>
  <c r="AP76" i="113"/>
  <c r="AC82" i="113"/>
  <c r="AG59" i="111"/>
  <c r="BE76" i="110"/>
  <c r="AI76" i="111"/>
  <c r="BP82" i="111"/>
  <c r="BH92" i="114"/>
  <c r="BI36" i="102"/>
  <c r="AH36" i="113"/>
  <c r="AL92" i="109"/>
  <c r="BA36" i="102"/>
  <c r="N36" i="102"/>
  <c r="N105" i="102" s="1"/>
  <c r="AU36" i="108"/>
  <c r="AT36" i="112"/>
  <c r="AD92" i="108"/>
  <c r="G36" i="102"/>
  <c r="G105" i="102" s="1"/>
  <c r="AD36" i="102"/>
  <c r="AN92" i="108"/>
  <c r="BR69" i="109"/>
  <c r="BP76" i="112"/>
  <c r="BC92" i="110"/>
  <c r="BA92" i="108"/>
  <c r="AV92" i="113"/>
  <c r="AT92" i="108"/>
  <c r="P36" i="109"/>
  <c r="P115" i="109" s="1"/>
  <c r="BE36" i="102"/>
  <c r="AE92" i="114"/>
  <c r="BB89" i="102"/>
  <c r="BR79" i="108"/>
  <c r="BP27" i="102"/>
  <c r="AQ79" i="102"/>
  <c r="AI92" i="112"/>
  <c r="AI115" i="112" s="1"/>
  <c r="P36" i="110"/>
  <c r="P115" i="110" s="1"/>
  <c r="BR64" i="102"/>
  <c r="BP79" i="102"/>
  <c r="AM36" i="112"/>
  <c r="M36" i="102"/>
  <c r="M105" i="102" s="1"/>
  <c r="AP36" i="102"/>
  <c r="BR60" i="102"/>
  <c r="U36" i="102"/>
  <c r="U105" i="102" s="1"/>
  <c r="AL36" i="102"/>
  <c r="BR66" i="102"/>
  <c r="AH36" i="102"/>
  <c r="BD92" i="108"/>
  <c r="AT36" i="109"/>
  <c r="P36" i="114"/>
  <c r="P115" i="114" s="1"/>
  <c r="Z36" i="112"/>
  <c r="BF92" i="109"/>
  <c r="AA36" i="111"/>
  <c r="AU36" i="113"/>
  <c r="BP15" i="113"/>
  <c r="AC36" i="113"/>
  <c r="BR12" i="109"/>
  <c r="BR64" i="114"/>
  <c r="AT36" i="111"/>
  <c r="AY92" i="112"/>
  <c r="BR9" i="113"/>
  <c r="AS36" i="110"/>
  <c r="AZ36" i="112"/>
  <c r="AU36" i="114"/>
  <c r="BP15" i="110"/>
  <c r="AE36" i="113"/>
  <c r="Q36" i="110"/>
  <c r="Q115" i="110" s="1"/>
  <c r="BB36" i="111"/>
  <c r="BG36" i="113"/>
  <c r="O36" i="110"/>
  <c r="O115" i="110" s="1"/>
  <c r="BI89" i="102"/>
  <c r="AA36" i="102"/>
  <c r="V36" i="108"/>
  <c r="V115" i="108" s="1"/>
  <c r="AZ36" i="102"/>
  <c r="AC36" i="109"/>
  <c r="AA36" i="108"/>
  <c r="G36" i="109"/>
  <c r="G115" i="109" s="1"/>
  <c r="BP19" i="111"/>
  <c r="AL36" i="111"/>
  <c r="AO89" i="102"/>
  <c r="BP82" i="110"/>
  <c r="BR12" i="112"/>
  <c r="V36" i="109"/>
  <c r="V115" i="109" s="1"/>
  <c r="BR21" i="112"/>
  <c r="BR57" i="111"/>
  <c r="BR67" i="113"/>
  <c r="Z36" i="114"/>
  <c r="BR64" i="113"/>
  <c r="AX36" i="102"/>
  <c r="AA36" i="110"/>
  <c r="BR24" i="109"/>
  <c r="AN89" i="102"/>
  <c r="AV89" i="102"/>
  <c r="AV105" i="102" s="1"/>
  <c r="AE89" i="102"/>
  <c r="BE92" i="109"/>
  <c r="BP15" i="102"/>
  <c r="Y36" i="108"/>
  <c r="M36" i="109"/>
  <c r="M115" i="109" s="1"/>
  <c r="BR62" i="102"/>
  <c r="BR57" i="113"/>
  <c r="AH89" i="102"/>
  <c r="BC36" i="102"/>
  <c r="BB36" i="102"/>
  <c r="AF36" i="102"/>
  <c r="BF89" i="102"/>
  <c r="AU89" i="102"/>
  <c r="AU105" i="102" s="1"/>
  <c r="AZ89" i="102"/>
  <c r="AN36" i="102"/>
  <c r="U36" i="109"/>
  <c r="U115" i="109" s="1"/>
  <c r="BR80" i="112"/>
  <c r="BI36" i="108"/>
  <c r="BR76" i="102"/>
  <c r="BK89" i="102"/>
  <c r="AD36" i="110"/>
  <c r="BR24" i="113"/>
  <c r="T36" i="102"/>
  <c r="T105" i="102" s="1"/>
  <c r="BP76" i="108"/>
  <c r="BP19" i="102"/>
  <c r="BE89" i="102"/>
  <c r="BR77" i="102"/>
  <c r="BR80" i="114"/>
  <c r="AM89" i="102"/>
  <c r="BR65" i="102"/>
  <c r="BC89" i="102"/>
  <c r="BR71" i="102"/>
  <c r="Y36" i="112"/>
  <c r="Y89" i="102"/>
  <c r="AK89" i="102"/>
  <c r="AV36" i="112"/>
  <c r="BR75" i="102"/>
  <c r="BC36" i="112"/>
  <c r="AY89" i="102"/>
  <c r="AB36" i="102"/>
  <c r="AB36" i="112"/>
  <c r="BR78" i="111"/>
  <c r="AQ82" i="108"/>
  <c r="BR78" i="108"/>
  <c r="BR107" i="110"/>
  <c r="AF36" i="112"/>
  <c r="U36" i="111"/>
  <c r="U115" i="111" s="1"/>
  <c r="BL82" i="111"/>
  <c r="AL92" i="111"/>
  <c r="AV92" i="112"/>
  <c r="Y92" i="113"/>
  <c r="BN36" i="110"/>
  <c r="AI92" i="108"/>
  <c r="AN36" i="111"/>
  <c r="AM36" i="110"/>
  <c r="BR24" i="110"/>
  <c r="BL107" i="112"/>
  <c r="AZ36" i="108"/>
  <c r="V36" i="114"/>
  <c r="V115" i="114" s="1"/>
  <c r="BR62" i="109"/>
  <c r="BR18" i="109"/>
  <c r="BR106" i="111"/>
  <c r="P36" i="102"/>
  <c r="P105" i="102" s="1"/>
  <c r="BR9" i="102"/>
  <c r="BR64" i="110"/>
  <c r="BC36" i="111"/>
  <c r="AW89" i="102"/>
  <c r="BR73" i="109"/>
  <c r="BL79" i="102"/>
  <c r="BL67" i="102"/>
  <c r="Z36" i="102"/>
  <c r="BP27" i="114"/>
  <c r="BR106" i="110"/>
  <c r="W15" i="102"/>
  <c r="BR74" i="112"/>
  <c r="BL82" i="110"/>
  <c r="BE92" i="110"/>
  <c r="BR78" i="112"/>
  <c r="M36" i="110"/>
  <c r="M115" i="110" s="1"/>
  <c r="AN36" i="110"/>
  <c r="BA36" i="109"/>
  <c r="BO36" i="112"/>
  <c r="AW92" i="111"/>
  <c r="AW115" i="111" s="1"/>
  <c r="AK36" i="111"/>
  <c r="BA92" i="114"/>
  <c r="BR79" i="110"/>
  <c r="AC36" i="108"/>
  <c r="BE36" i="111"/>
  <c r="AK92" i="112"/>
  <c r="BK92" i="111"/>
  <c r="T36" i="114"/>
  <c r="T115" i="114" s="1"/>
  <c r="M36" i="112"/>
  <c r="M115" i="112" s="1"/>
  <c r="BG92" i="113"/>
  <c r="AP36" i="112"/>
  <c r="BR12" i="114"/>
  <c r="AI36" i="110"/>
  <c r="AZ92" i="114"/>
  <c r="BD92" i="114"/>
  <c r="AZ92" i="109"/>
  <c r="AJ92" i="110"/>
  <c r="AX36" i="112"/>
  <c r="AO36" i="108"/>
  <c r="Q36" i="113"/>
  <c r="Q115" i="113" s="1"/>
  <c r="AZ92" i="110"/>
  <c r="P36" i="108"/>
  <c r="P115" i="108" s="1"/>
  <c r="AH92" i="114"/>
  <c r="BR12" i="113"/>
  <c r="BD36" i="108"/>
  <c r="BD115" i="108" s="1"/>
  <c r="BO36" i="108"/>
  <c r="AZ92" i="108"/>
  <c r="AV36" i="109"/>
  <c r="BP82" i="112"/>
  <c r="BC92" i="112"/>
  <c r="BR79" i="112"/>
  <c r="AU92" i="111"/>
  <c r="Y92" i="109"/>
  <c r="Y115" i="109" s="1"/>
  <c r="H17" i="41" s="1"/>
  <c r="S36" i="110"/>
  <c r="S115" i="110" s="1"/>
  <c r="BR12" i="110"/>
  <c r="AL92" i="113"/>
  <c r="AW92" i="108"/>
  <c r="AK36" i="109"/>
  <c r="BR73" i="110"/>
  <c r="BR65" i="113"/>
  <c r="BR67" i="108"/>
  <c r="BR62" i="112"/>
  <c r="P36" i="112"/>
  <c r="P115" i="112" s="1"/>
  <c r="BL82" i="113"/>
  <c r="BR68" i="108"/>
  <c r="AM36" i="109"/>
  <c r="AJ92" i="108"/>
  <c r="BR67" i="109"/>
  <c r="Q36" i="112"/>
  <c r="Q115" i="112" s="1"/>
  <c r="AF36" i="108"/>
  <c r="BR65" i="111"/>
  <c r="N36" i="108"/>
  <c r="N115" i="108" s="1"/>
  <c r="BK36" i="108"/>
  <c r="AL36" i="112"/>
  <c r="BL82" i="112"/>
  <c r="W27" i="102"/>
  <c r="AB36" i="108"/>
  <c r="AB36" i="111"/>
  <c r="AX36" i="114"/>
  <c r="BH36" i="114"/>
  <c r="BH115" i="114" s="1"/>
  <c r="BR73" i="108"/>
  <c r="AS92" i="108"/>
  <c r="AB36" i="109"/>
  <c r="AW92" i="109"/>
  <c r="BG36" i="108"/>
  <c r="AP36" i="111"/>
  <c r="AJ36" i="111"/>
  <c r="AI36" i="109"/>
  <c r="S36" i="111"/>
  <c r="S115" i="111" s="1"/>
  <c r="BR67" i="111"/>
  <c r="BI36" i="112"/>
  <c r="BL82" i="114"/>
  <c r="Z36" i="111"/>
  <c r="N36" i="110"/>
  <c r="N115" i="110" s="1"/>
  <c r="BJ92" i="114"/>
  <c r="AS92" i="113"/>
  <c r="BR62" i="111"/>
  <c r="AE36" i="108"/>
  <c r="BP27" i="108"/>
  <c r="BN36" i="108"/>
  <c r="AH92" i="108"/>
  <c r="AG36" i="102"/>
  <c r="AQ15" i="102"/>
  <c r="AX92" i="108"/>
  <c r="AE36" i="110"/>
  <c r="AP36" i="109"/>
  <c r="J36" i="111"/>
  <c r="J115" i="111" s="1"/>
  <c r="AQ82" i="112"/>
  <c r="BE92" i="113"/>
  <c r="BE115" i="113" s="1"/>
  <c r="AF36" i="113"/>
  <c r="AM36" i="113"/>
  <c r="BJ92" i="109"/>
  <c r="BE36" i="110"/>
  <c r="AK36" i="110"/>
  <c r="W27" i="113"/>
  <c r="AX36" i="109"/>
  <c r="BR68" i="113"/>
  <c r="AD92" i="112"/>
  <c r="AV92" i="114"/>
  <c r="AI36" i="111"/>
  <c r="BF92" i="108"/>
  <c r="BF115" i="108" s="1"/>
  <c r="BI92" i="110"/>
  <c r="AM92" i="110"/>
  <c r="AN92" i="112"/>
  <c r="BB36" i="110"/>
  <c r="BF36" i="110"/>
  <c r="BR63" i="109"/>
  <c r="BR57" i="112"/>
  <c r="AY92" i="109"/>
  <c r="BC92" i="114"/>
  <c r="R36" i="112"/>
  <c r="R115" i="112" s="1"/>
  <c r="AN92" i="113"/>
  <c r="BR9" i="112"/>
  <c r="BD92" i="110"/>
  <c r="AA36" i="113"/>
  <c r="BP19" i="110"/>
  <c r="BR62" i="108"/>
  <c r="BL15" i="102"/>
  <c r="AG36" i="114"/>
  <c r="AN36" i="109"/>
  <c r="M36" i="114"/>
  <c r="M115" i="114" s="1"/>
  <c r="BJ89" i="102"/>
  <c r="BO36" i="110"/>
  <c r="BP27" i="110"/>
  <c r="Q36" i="109"/>
  <c r="Q115" i="109" s="1"/>
  <c r="BK92" i="114"/>
  <c r="BR63" i="110"/>
  <c r="BR74" i="108"/>
  <c r="AQ107" i="108"/>
  <c r="BR107" i="108" s="1"/>
  <c r="BR106" i="108"/>
  <c r="N36" i="111"/>
  <c r="N115" i="111" s="1"/>
  <c r="BR66" i="114"/>
  <c r="BR18" i="111"/>
  <c r="BD92" i="112"/>
  <c r="BR18" i="110"/>
  <c r="BL54" i="114"/>
  <c r="L36" i="110"/>
  <c r="L115" i="110" s="1"/>
  <c r="BR12" i="111"/>
  <c r="AQ70" i="108"/>
  <c r="AG36" i="113"/>
  <c r="W27" i="112"/>
  <c r="G36" i="111"/>
  <c r="G115" i="111" s="1"/>
  <c r="BL82" i="109"/>
  <c r="BN36" i="113"/>
  <c r="AS36" i="114"/>
  <c r="BP19" i="112"/>
  <c r="AN92" i="111"/>
  <c r="AF92" i="108"/>
  <c r="U36" i="112"/>
  <c r="U115" i="112" s="1"/>
  <c r="AD36" i="113"/>
  <c r="BB36" i="109"/>
  <c r="AO92" i="114"/>
  <c r="AH36" i="114"/>
  <c r="M36" i="108"/>
  <c r="M115" i="108" s="1"/>
  <c r="AQ15" i="112"/>
  <c r="AO92" i="108"/>
  <c r="P36" i="111"/>
  <c r="P115" i="111" s="1"/>
  <c r="AH92" i="112"/>
  <c r="AK92" i="109"/>
  <c r="BR57" i="108"/>
  <c r="AS36" i="111"/>
  <c r="BH92" i="110"/>
  <c r="BR62" i="113"/>
  <c r="AQ82" i="111"/>
  <c r="BP27" i="113"/>
  <c r="BI92" i="108"/>
  <c r="BO36" i="113"/>
  <c r="BR73" i="111"/>
  <c r="AI92" i="114"/>
  <c r="Y92" i="114"/>
  <c r="BR57" i="110"/>
  <c r="AL92" i="112"/>
  <c r="BA36" i="112"/>
  <c r="AF92" i="111"/>
  <c r="BR74" i="110"/>
  <c r="AX36" i="113"/>
  <c r="AO36" i="114"/>
  <c r="BP76" i="110"/>
  <c r="AT36" i="113"/>
  <c r="AS36" i="108"/>
  <c r="BR80" i="110"/>
  <c r="BR68" i="114"/>
  <c r="BH36" i="110"/>
  <c r="BH36" i="112"/>
  <c r="BP59" i="112"/>
  <c r="BC36" i="109"/>
  <c r="AT36" i="108"/>
  <c r="BP76" i="111"/>
  <c r="BP59" i="114"/>
  <c r="AL36" i="113"/>
  <c r="AI36" i="102"/>
  <c r="Y36" i="111"/>
  <c r="BC36" i="113"/>
  <c r="AT92" i="112"/>
  <c r="AL36" i="108"/>
  <c r="Y92" i="108"/>
  <c r="Y115" i="108" s="1"/>
  <c r="G17" i="41" s="1"/>
  <c r="G260" i="41" s="1"/>
  <c r="G302" i="41" s="1"/>
  <c r="G305" i="41" s="1"/>
  <c r="AI92" i="109"/>
  <c r="BR67" i="114"/>
  <c r="BH92" i="112"/>
  <c r="O36" i="109"/>
  <c r="O115" i="109" s="1"/>
  <c r="BD36" i="113"/>
  <c r="AC36" i="114"/>
  <c r="AK36" i="112"/>
  <c r="BN36" i="111"/>
  <c r="BR79" i="111"/>
  <c r="AU36" i="109"/>
  <c r="M36" i="113"/>
  <c r="M115" i="113" s="1"/>
  <c r="BC92" i="111"/>
  <c r="AX92" i="109"/>
  <c r="BJ92" i="110"/>
  <c r="AY92" i="113"/>
  <c r="AY115" i="113" s="1"/>
  <c r="AM36" i="114"/>
  <c r="BR69" i="113"/>
  <c r="AY36" i="112"/>
  <c r="AY36" i="108"/>
  <c r="AK36" i="113"/>
  <c r="AN36" i="108"/>
  <c r="AN115" i="108" s="1"/>
  <c r="AW36" i="108"/>
  <c r="V36" i="112"/>
  <c r="V115" i="112" s="1"/>
  <c r="AL36" i="109"/>
  <c r="BR9" i="109"/>
  <c r="AW36" i="113"/>
  <c r="AV36" i="108"/>
  <c r="BR65" i="114"/>
  <c r="BB36" i="114"/>
  <c r="BD36" i="109"/>
  <c r="AF36" i="110"/>
  <c r="BG36" i="114"/>
  <c r="AT36" i="102"/>
  <c r="BK36" i="102"/>
  <c r="AS36" i="113"/>
  <c r="AQ107" i="113"/>
  <c r="BR107" i="113" s="1"/>
  <c r="BR106" i="113"/>
  <c r="BR21" i="109"/>
  <c r="AV92" i="108"/>
  <c r="BR67" i="110"/>
  <c r="AY36" i="114"/>
  <c r="T36" i="112"/>
  <c r="T115" i="112" s="1"/>
  <c r="BP76" i="109"/>
  <c r="AC36" i="102"/>
  <c r="BF92" i="114"/>
  <c r="BP15" i="109"/>
  <c r="AK36" i="102"/>
  <c r="BR80" i="111"/>
  <c r="BR24" i="102"/>
  <c r="AS36" i="102"/>
  <c r="AQ107" i="114"/>
  <c r="BR107" i="114" s="1"/>
  <c r="BR106" i="114"/>
  <c r="AU92" i="110"/>
  <c r="AM36" i="108"/>
  <c r="Y92" i="111"/>
  <c r="BR80" i="113"/>
  <c r="AQ107" i="109"/>
  <c r="BJ92" i="112"/>
  <c r="BJ115" i="112" s="1"/>
  <c r="AE36" i="109"/>
  <c r="AH92" i="110"/>
  <c r="N36" i="112"/>
  <c r="N115" i="112" s="1"/>
  <c r="BP76" i="114"/>
  <c r="AP36" i="110"/>
  <c r="R36" i="113"/>
  <c r="R115" i="113" s="1"/>
  <c r="BP73" i="102"/>
  <c r="BO36" i="102"/>
  <c r="BP36" i="102" s="1"/>
  <c r="BP59" i="109"/>
  <c r="AP89" i="102"/>
  <c r="BR79" i="102"/>
  <c r="L563" i="51"/>
  <c r="L594" i="51" s="1"/>
  <c r="L562" i="51"/>
  <c r="L593" i="51" s="1"/>
  <c r="AB27" i="113"/>
  <c r="AB36" i="113" s="1"/>
  <c r="AQ21" i="113"/>
  <c r="M314" i="51"/>
  <c r="M315" i="51"/>
  <c r="AD215" i="73"/>
  <c r="AD264" i="73" s="1"/>
  <c r="AC216" i="73"/>
  <c r="AC265" i="73" s="1"/>
  <c r="AC267" i="73" s="1"/>
  <c r="AC275" i="73" s="1"/>
  <c r="AC279" i="73" s="1"/>
  <c r="AC284" i="73" s="1"/>
  <c r="AB265" i="73"/>
  <c r="AB267" i="73" s="1"/>
  <c r="AB275" i="73" s="1"/>
  <c r="AB279" i="73" s="1"/>
  <c r="AB284" i="73" s="1"/>
  <c r="J39" i="76" s="1"/>
  <c r="J102" i="76" s="1"/>
  <c r="J195" i="47" s="1"/>
  <c r="W29" i="47" s="1"/>
  <c r="W59" i="47" s="1"/>
  <c r="AB217" i="73"/>
  <c r="AB218" i="73" s="1"/>
  <c r="AB219" i="73" s="1"/>
  <c r="AE163" i="73"/>
  <c r="AE164" i="73" s="1"/>
  <c r="AE177" i="73" s="1"/>
  <c r="AE178" i="73" s="1"/>
  <c r="AE179" i="73" s="1"/>
  <c r="AE180" i="73" s="1"/>
  <c r="AE182" i="73" s="1"/>
  <c r="AB255" i="74"/>
  <c r="AC240" i="74"/>
  <c r="M465" i="51"/>
  <c r="M450" i="51"/>
  <c r="M532" i="51" s="1"/>
  <c r="M576" i="51" s="1"/>
  <c r="M462" i="51"/>
  <c r="M485" i="51"/>
  <c r="M463" i="51"/>
  <c r="M487" i="51"/>
  <c r="M473" i="51"/>
  <c r="M488" i="51"/>
  <c r="M486" i="51"/>
  <c r="M472" i="51"/>
  <c r="M466" i="51"/>
  <c r="M494" i="51"/>
  <c r="M467" i="51"/>
  <c r="M496" i="51"/>
  <c r="M479" i="51"/>
  <c r="M497" i="51"/>
  <c r="M461" i="51"/>
  <c r="M449" i="51"/>
  <c r="M531" i="51" s="1"/>
  <c r="M478" i="51"/>
  <c r="M495" i="51"/>
  <c r="M516" i="51"/>
  <c r="M526" i="51" s="1"/>
  <c r="M582" i="51" s="1"/>
  <c r="AF157" i="73"/>
  <c r="AF161" i="73"/>
  <c r="AG162" i="73"/>
  <c r="AG158" i="73"/>
  <c r="AF156" i="73"/>
  <c r="AF160" i="73"/>
  <c r="L10" i="47"/>
  <c r="F12" i="47"/>
  <c r="K11" i="47"/>
  <c r="I18" i="47"/>
  <c r="F21" i="47"/>
  <c r="M23" i="47"/>
  <c r="F17" i="47"/>
  <c r="H82" i="47"/>
  <c r="J8" i="47"/>
  <c r="G37" i="47"/>
  <c r="L19" i="47"/>
  <c r="F8" i="47"/>
  <c r="G9" i="47"/>
  <c r="G10" i="47"/>
  <c r="F13" i="47"/>
  <c r="L13" i="47"/>
  <c r="I10" i="47"/>
  <c r="M13" i="47"/>
  <c r="F54" i="47"/>
  <c r="I16" i="47"/>
  <c r="I14" i="47"/>
  <c r="G17" i="47"/>
  <c r="G40" i="47"/>
  <c r="L39" i="47"/>
  <c r="G109" i="47"/>
  <c r="I12" i="47"/>
  <c r="M11" i="47"/>
  <c r="J16" i="47"/>
  <c r="I17" i="47"/>
  <c r="F20" i="47"/>
  <c r="G23" i="47"/>
  <c r="I20" i="47"/>
  <c r="L53" i="47"/>
  <c r="H49" i="47"/>
  <c r="H18" i="47"/>
  <c r="G82" i="47"/>
  <c r="K23" i="47"/>
  <c r="G69" i="47"/>
  <c r="K15" i="47"/>
  <c r="I11" i="47"/>
  <c r="F9" i="47"/>
  <c r="J10" i="47"/>
  <c r="J13" i="47"/>
  <c r="M12" i="47"/>
  <c r="G12" i="47"/>
  <c r="F14" i="47"/>
  <c r="H23" i="47"/>
  <c r="J22" i="47"/>
  <c r="J43" i="47"/>
  <c r="K17" i="47"/>
  <c r="H16" i="47"/>
  <c r="H8" i="47"/>
  <c r="K21" i="47"/>
  <c r="AP21" i="114"/>
  <c r="K12" i="47"/>
  <c r="M9" i="47"/>
  <c r="K13" i="47"/>
  <c r="L9" i="47"/>
  <c r="J12" i="47"/>
  <c r="H10" i="47"/>
  <c r="F22" i="47"/>
  <c r="M17" i="47"/>
  <c r="L18" i="47"/>
  <c r="J11" i="47"/>
  <c r="K19" i="47"/>
  <c r="J15" i="47"/>
  <c r="M42" i="47"/>
  <c r="L11" i="47"/>
  <c r="F11" i="47"/>
  <c r="F23" i="47"/>
  <c r="F18" i="47"/>
  <c r="H11" i="47"/>
  <c r="M10" i="47"/>
  <c r="G11" i="47"/>
  <c r="H13" i="47"/>
  <c r="H20" i="47"/>
  <c r="M19" i="47"/>
  <c r="H17" i="47"/>
  <c r="H14" i="47"/>
  <c r="G15" i="47"/>
  <c r="M21" i="47"/>
  <c r="K18" i="47"/>
  <c r="J20" i="47"/>
  <c r="M14" i="47"/>
  <c r="I13" i="47"/>
  <c r="G14" i="47"/>
  <c r="L14" i="47"/>
  <c r="G13" i="47"/>
  <c r="H9" i="47"/>
  <c r="H12" i="47"/>
  <c r="K10" i="47"/>
  <c r="F15" i="47"/>
  <c r="M20" i="47"/>
  <c r="K14" i="47"/>
  <c r="I15" i="47"/>
  <c r="K22" i="47"/>
  <c r="J17" i="47"/>
  <c r="L48" i="47"/>
  <c r="F10" i="47"/>
  <c r="K9" i="47"/>
  <c r="J9" i="47"/>
  <c r="L12" i="47"/>
  <c r="I9" i="47"/>
  <c r="I22" i="47"/>
  <c r="F47" i="47"/>
  <c r="H22" i="47"/>
  <c r="H109" i="47"/>
  <c r="G38" i="47"/>
  <c r="I19" i="47"/>
  <c r="K46" i="47"/>
  <c r="K64" i="47"/>
  <c r="O21" i="114"/>
  <c r="BA92" i="111" l="1"/>
  <c r="AE36" i="112"/>
  <c r="AD36" i="114"/>
  <c r="BH115" i="109"/>
  <c r="BE92" i="111"/>
  <c r="AW36" i="112"/>
  <c r="AF36" i="109"/>
  <c r="BR74" i="109"/>
  <c r="AD36" i="111"/>
  <c r="AJ92" i="112"/>
  <c r="AS36" i="112"/>
  <c r="BD92" i="109"/>
  <c r="BP70" i="109"/>
  <c r="AI92" i="113"/>
  <c r="BR24" i="108"/>
  <c r="AZ36" i="109"/>
  <c r="AL115" i="111"/>
  <c r="BK92" i="113"/>
  <c r="AE115" i="114"/>
  <c r="BC92" i="113"/>
  <c r="AX92" i="113"/>
  <c r="BB92" i="114"/>
  <c r="AN92" i="114"/>
  <c r="BL76" i="109"/>
  <c r="AD36" i="112"/>
  <c r="BR73" i="114"/>
  <c r="AJ36" i="108"/>
  <c r="Y92" i="110"/>
  <c r="BA92" i="110"/>
  <c r="BP27" i="111"/>
  <c r="BJ92" i="108"/>
  <c r="BJ115" i="108" s="1"/>
  <c r="R36" i="109"/>
  <c r="R115" i="109" s="1"/>
  <c r="AG92" i="114"/>
  <c r="BP70" i="113"/>
  <c r="AG92" i="110"/>
  <c r="AD92" i="109"/>
  <c r="AQ15" i="113"/>
  <c r="V36" i="113"/>
  <c r="V115" i="113" s="1"/>
  <c r="BI92" i="113"/>
  <c r="AF92" i="112"/>
  <c r="U36" i="108"/>
  <c r="U115" i="108" s="1"/>
  <c r="BE92" i="112"/>
  <c r="AQ15" i="111"/>
  <c r="BK92" i="109"/>
  <c r="BB36" i="108"/>
  <c r="AN36" i="112"/>
  <c r="BA92" i="109"/>
  <c r="BA115" i="109" s="1"/>
  <c r="AJ92" i="114"/>
  <c r="AY92" i="110"/>
  <c r="W15" i="109"/>
  <c r="AT115" i="111"/>
  <c r="BP15" i="112"/>
  <c r="S36" i="108"/>
  <c r="S115" i="108" s="1"/>
  <c r="BK36" i="110"/>
  <c r="BL70" i="110"/>
  <c r="BI36" i="113"/>
  <c r="AO36" i="111"/>
  <c r="AN92" i="110"/>
  <c r="AN115" i="110" s="1"/>
  <c r="AH36" i="111"/>
  <c r="BB92" i="112"/>
  <c r="BL15" i="108"/>
  <c r="AG36" i="110"/>
  <c r="AD36" i="109"/>
  <c r="BR65" i="110"/>
  <c r="AM36" i="111"/>
  <c r="AO92" i="113"/>
  <c r="BG92" i="109"/>
  <c r="W27" i="110"/>
  <c r="AX92" i="111"/>
  <c r="AD92" i="114"/>
  <c r="AM92" i="113"/>
  <c r="BF92" i="113"/>
  <c r="BF115" i="113" s="1"/>
  <c r="BR63" i="113"/>
  <c r="AQ70" i="112"/>
  <c r="AL36" i="110"/>
  <c r="AX92" i="112"/>
  <c r="AF92" i="109"/>
  <c r="AM92" i="112"/>
  <c r="AM115" i="112" s="1"/>
  <c r="BR63" i="108"/>
  <c r="AU92" i="108"/>
  <c r="AQ59" i="114"/>
  <c r="AU92" i="112"/>
  <c r="N36" i="109"/>
  <c r="N115" i="109" s="1"/>
  <c r="AA36" i="109"/>
  <c r="AZ92" i="111"/>
  <c r="AZ115" i="111" s="1"/>
  <c r="AK92" i="113"/>
  <c r="M36" i="111"/>
  <c r="M115" i="111" s="1"/>
  <c r="AH92" i="111"/>
  <c r="G36" i="108"/>
  <c r="G115" i="108" s="1"/>
  <c r="BC36" i="110"/>
  <c r="BL59" i="112"/>
  <c r="AK92" i="110"/>
  <c r="BR68" i="111"/>
  <c r="T36" i="111"/>
  <c r="T115" i="111" s="1"/>
  <c r="BB92" i="109"/>
  <c r="BR68" i="109"/>
  <c r="BG89" i="102"/>
  <c r="BG105" i="102" s="1"/>
  <c r="BG36" i="110"/>
  <c r="AO36" i="112"/>
  <c r="AK115" i="110"/>
  <c r="W19" i="109"/>
  <c r="AX115" i="108"/>
  <c r="BO36" i="111"/>
  <c r="AZ115" i="114"/>
  <c r="BR106" i="112"/>
  <c r="AP92" i="113"/>
  <c r="AJ36" i="113"/>
  <c r="BL54" i="111"/>
  <c r="BL76" i="114"/>
  <c r="BL15" i="111"/>
  <c r="AZ115" i="112"/>
  <c r="AE92" i="111"/>
  <c r="AE115" i="111" s="1"/>
  <c r="BG92" i="114"/>
  <c r="W15" i="108"/>
  <c r="BL76" i="113"/>
  <c r="BL70" i="111"/>
  <c r="BR73" i="112"/>
  <c r="W19" i="114"/>
  <c r="BE36" i="109"/>
  <c r="AQ70" i="109"/>
  <c r="AS92" i="111"/>
  <c r="AJ92" i="113"/>
  <c r="BB92" i="113"/>
  <c r="BR65" i="112"/>
  <c r="AN36" i="114"/>
  <c r="BP19" i="114"/>
  <c r="AI36" i="113"/>
  <c r="P36" i="113"/>
  <c r="P115" i="113" s="1"/>
  <c r="AT89" i="102"/>
  <c r="BR107" i="109"/>
  <c r="BJ115" i="109"/>
  <c r="AQ82" i="114"/>
  <c r="AU92" i="109"/>
  <c r="Z36" i="113"/>
  <c r="BR107" i="112"/>
  <c r="BR69" i="110"/>
  <c r="AV115" i="112"/>
  <c r="AF36" i="114"/>
  <c r="BI92" i="111"/>
  <c r="BI115" i="111" s="1"/>
  <c r="AQ27" i="108"/>
  <c r="AQ27" i="112"/>
  <c r="W15" i="114"/>
  <c r="AU115" i="111"/>
  <c r="BR21" i="113"/>
  <c r="AS105" i="102"/>
  <c r="W15" i="113"/>
  <c r="AY115" i="109"/>
  <c r="BR106" i="109"/>
  <c r="AH115" i="112"/>
  <c r="BI115" i="110"/>
  <c r="AQ19" i="109"/>
  <c r="AI115" i="108"/>
  <c r="AM105" i="102"/>
  <c r="AZ105" i="102"/>
  <c r="U36" i="114"/>
  <c r="U115" i="114" s="1"/>
  <c r="BA36" i="108"/>
  <c r="BA115" i="108" s="1"/>
  <c r="BL70" i="114"/>
  <c r="BL59" i="109"/>
  <c r="W19" i="113"/>
  <c r="AQ59" i="108"/>
  <c r="W27" i="111"/>
  <c r="BR9" i="114"/>
  <c r="BF36" i="102"/>
  <c r="AQ76" i="113"/>
  <c r="BL54" i="113"/>
  <c r="BK92" i="108"/>
  <c r="BK115" i="108" s="1"/>
  <c r="AG92" i="112"/>
  <c r="AG115" i="112" s="1"/>
  <c r="AQ19" i="114"/>
  <c r="BL70" i="108"/>
  <c r="AD92" i="111"/>
  <c r="AD115" i="111" s="1"/>
  <c r="AQ19" i="110"/>
  <c r="BF92" i="110"/>
  <c r="BF115" i="110" s="1"/>
  <c r="AQ59" i="113"/>
  <c r="BF115" i="109"/>
  <c r="AQ19" i="108"/>
  <c r="AQ19" i="111"/>
  <c r="AS92" i="110"/>
  <c r="BC92" i="109"/>
  <c r="BE36" i="112"/>
  <c r="BR24" i="114"/>
  <c r="AE92" i="110"/>
  <c r="BI92" i="114"/>
  <c r="AJ36" i="109"/>
  <c r="AJ115" i="109" s="1"/>
  <c r="BR64" i="112"/>
  <c r="W19" i="112"/>
  <c r="T36" i="113"/>
  <c r="T115" i="113" s="1"/>
  <c r="BR64" i="109"/>
  <c r="AV92" i="110"/>
  <c r="AP92" i="111"/>
  <c r="AP115" i="111" s="1"/>
  <c r="AF92" i="114"/>
  <c r="BR9" i="110"/>
  <c r="BR78" i="114"/>
  <c r="AI92" i="110"/>
  <c r="AK92" i="111"/>
  <c r="AL115" i="113"/>
  <c r="BP36" i="110"/>
  <c r="AD115" i="109"/>
  <c r="BL76" i="108"/>
  <c r="Y92" i="112"/>
  <c r="AI92" i="111"/>
  <c r="AG92" i="111"/>
  <c r="BL59" i="113"/>
  <c r="AG36" i="111"/>
  <c r="BL54" i="112"/>
  <c r="AQ70" i="114"/>
  <c r="BR70" i="114" s="1"/>
  <c r="BR78" i="109"/>
  <c r="AL92" i="110"/>
  <c r="AL115" i="110" s="1"/>
  <c r="AQ76" i="114"/>
  <c r="AE92" i="108"/>
  <c r="AE115" i="108" s="1"/>
  <c r="BB36" i="113"/>
  <c r="AK92" i="108"/>
  <c r="AK115" i="108" s="1"/>
  <c r="AL92" i="108"/>
  <c r="BR63" i="114"/>
  <c r="AS92" i="114"/>
  <c r="AO92" i="111"/>
  <c r="BL54" i="109"/>
  <c r="AW92" i="112"/>
  <c r="AF92" i="113"/>
  <c r="W15" i="112"/>
  <c r="BL59" i="114"/>
  <c r="BI105" i="102"/>
  <c r="AW36" i="109"/>
  <c r="AW115" i="109" s="1"/>
  <c r="R36" i="108"/>
  <c r="R115" i="108" s="1"/>
  <c r="BC115" i="111"/>
  <c r="AH105" i="102"/>
  <c r="AV36" i="111"/>
  <c r="BL76" i="111"/>
  <c r="AH115" i="114"/>
  <c r="O36" i="113"/>
  <c r="O115" i="113" s="1"/>
  <c r="AV92" i="109"/>
  <c r="AV115" i="109" s="1"/>
  <c r="AW92" i="110"/>
  <c r="AW115" i="110" s="1"/>
  <c r="BJ92" i="113"/>
  <c r="BR74" i="113"/>
  <c r="W19" i="108"/>
  <c r="AQ15" i="110"/>
  <c r="AQ76" i="111"/>
  <c r="BB92" i="110"/>
  <c r="AQ59" i="111"/>
  <c r="AT92" i="113"/>
  <c r="AM92" i="114"/>
  <c r="AS92" i="112"/>
  <c r="BG92" i="111"/>
  <c r="AJ36" i="112"/>
  <c r="AF92" i="110"/>
  <c r="AE92" i="112"/>
  <c r="BL15" i="114"/>
  <c r="AM92" i="109"/>
  <c r="BH92" i="111"/>
  <c r="T36" i="110"/>
  <c r="T115" i="110" s="1"/>
  <c r="BH92" i="113"/>
  <c r="AO92" i="109"/>
  <c r="BG92" i="108"/>
  <c r="AX105" i="102"/>
  <c r="AM92" i="111"/>
  <c r="W27" i="109"/>
  <c r="Z36" i="110"/>
  <c r="AQ70" i="113"/>
  <c r="BL70" i="113"/>
  <c r="BP70" i="112"/>
  <c r="BR12" i="108"/>
  <c r="AU92" i="114"/>
  <c r="AW92" i="114"/>
  <c r="BF92" i="111"/>
  <c r="BL54" i="110"/>
  <c r="AQ76" i="108"/>
  <c r="AQ76" i="109"/>
  <c r="AG92" i="109"/>
  <c r="AH36" i="108"/>
  <c r="BK92" i="110"/>
  <c r="BK115" i="110" s="1"/>
  <c r="R36" i="111"/>
  <c r="R115" i="111" s="1"/>
  <c r="AP92" i="109"/>
  <c r="AP115" i="109" s="1"/>
  <c r="BK92" i="112"/>
  <c r="BK115" i="112" s="1"/>
  <c r="AU92" i="113"/>
  <c r="AU115" i="113" s="1"/>
  <c r="BJ92" i="111"/>
  <c r="AQ19" i="112"/>
  <c r="AQ70" i="111"/>
  <c r="BA92" i="112"/>
  <c r="BA115" i="112" s="1"/>
  <c r="AL92" i="114"/>
  <c r="AQ67" i="102"/>
  <c r="BR67" i="102" s="1"/>
  <c r="W27" i="108"/>
  <c r="AG92" i="108"/>
  <c r="AG115" i="108" s="1"/>
  <c r="AD92" i="110"/>
  <c r="AL36" i="114"/>
  <c r="BR67" i="112"/>
  <c r="W19" i="110"/>
  <c r="BI92" i="109"/>
  <c r="BI115" i="109" s="1"/>
  <c r="AQ76" i="112"/>
  <c r="AQ27" i="109"/>
  <c r="AP92" i="114"/>
  <c r="BA115" i="114"/>
  <c r="BR66" i="111"/>
  <c r="BR62" i="114"/>
  <c r="BR21" i="110"/>
  <c r="AE92" i="109"/>
  <c r="AE115" i="109" s="1"/>
  <c r="AQ19" i="102"/>
  <c r="Y36" i="110"/>
  <c r="Y115" i="110" s="1"/>
  <c r="I17" i="41" s="1"/>
  <c r="I260" i="41" s="1"/>
  <c r="I302" i="41" s="1"/>
  <c r="I305" i="41" s="1"/>
  <c r="AL89" i="102"/>
  <c r="AL105" i="102" s="1"/>
  <c r="W19" i="102"/>
  <c r="BD92" i="111"/>
  <c r="T36" i="108"/>
  <c r="T115" i="108" s="1"/>
  <c r="AQ27" i="102"/>
  <c r="BA89" i="102"/>
  <c r="BA105" i="102" s="1"/>
  <c r="BP27" i="112"/>
  <c r="AV92" i="111"/>
  <c r="AQ15" i="108"/>
  <c r="BR15" i="108" s="1"/>
  <c r="AP36" i="108"/>
  <c r="AQ73" i="102"/>
  <c r="O36" i="102"/>
  <c r="O105" i="102" s="1"/>
  <c r="AW36" i="102"/>
  <c r="AW105" i="102" s="1"/>
  <c r="AO36" i="102"/>
  <c r="AO105" i="102" s="1"/>
  <c r="G36" i="112"/>
  <c r="G115" i="112" s="1"/>
  <c r="AP92" i="112"/>
  <c r="AP115" i="112" s="1"/>
  <c r="G36" i="114"/>
  <c r="G115" i="114" s="1"/>
  <c r="BH89" i="102"/>
  <c r="BH105" i="102" s="1"/>
  <c r="AJ115" i="113"/>
  <c r="AJ36" i="110"/>
  <c r="AG92" i="113"/>
  <c r="BL59" i="111"/>
  <c r="AQ59" i="109"/>
  <c r="BL70" i="112"/>
  <c r="BL15" i="113"/>
  <c r="BB92" i="111"/>
  <c r="BB115" i="111" s="1"/>
  <c r="AD36" i="108"/>
  <c r="AD115" i="108" s="1"/>
  <c r="AQ59" i="110"/>
  <c r="BN36" i="112"/>
  <c r="BP36" i="112" s="1"/>
  <c r="AE36" i="102"/>
  <c r="AE105" i="102" s="1"/>
  <c r="BJ36" i="114"/>
  <c r="BJ115" i="114" s="1"/>
  <c r="T36" i="109"/>
  <c r="T115" i="109" s="1"/>
  <c r="AO36" i="110"/>
  <c r="AO115" i="110" s="1"/>
  <c r="AO36" i="109"/>
  <c r="AE92" i="113"/>
  <c r="AE115" i="113" s="1"/>
  <c r="BE92" i="108"/>
  <c r="BE115" i="108" s="1"/>
  <c r="AQ82" i="109"/>
  <c r="BL15" i="109"/>
  <c r="AH92" i="109"/>
  <c r="AT92" i="110"/>
  <c r="AT115" i="110" s="1"/>
  <c r="BL73" i="102"/>
  <c r="BL59" i="110"/>
  <c r="AQ59" i="112"/>
  <c r="AI36" i="114"/>
  <c r="BL59" i="108"/>
  <c r="Y36" i="102"/>
  <c r="AY36" i="110"/>
  <c r="AY115" i="110" s="1"/>
  <c r="BE92" i="114"/>
  <c r="AZ36" i="110"/>
  <c r="AZ115" i="110" s="1"/>
  <c r="AX36" i="111"/>
  <c r="AX115" i="111" s="1"/>
  <c r="AT92" i="114"/>
  <c r="AT115" i="114" s="1"/>
  <c r="AT105" i="102"/>
  <c r="BG36" i="111"/>
  <c r="BL76" i="110"/>
  <c r="S36" i="112"/>
  <c r="S115" i="112" s="1"/>
  <c r="AD92" i="113"/>
  <c r="AW92" i="113"/>
  <c r="W19" i="111"/>
  <c r="G36" i="110"/>
  <c r="G115" i="110" s="1"/>
  <c r="BN36" i="114"/>
  <c r="BF36" i="114"/>
  <c r="BF115" i="114" s="1"/>
  <c r="BR62" i="110"/>
  <c r="AQ15" i="114"/>
  <c r="BG92" i="112"/>
  <c r="BG115" i="112" s="1"/>
  <c r="W15" i="110"/>
  <c r="BL54" i="108"/>
  <c r="BL15" i="112"/>
  <c r="BL76" i="112"/>
  <c r="BR79" i="113"/>
  <c r="BK115" i="111"/>
  <c r="AU115" i="112"/>
  <c r="AP115" i="110"/>
  <c r="BG115" i="110"/>
  <c r="BP36" i="109"/>
  <c r="AQ19" i="113"/>
  <c r="BR19" i="113" s="1"/>
  <c r="BO36" i="114"/>
  <c r="BP82" i="113"/>
  <c r="BR82" i="113" s="1"/>
  <c r="O36" i="108"/>
  <c r="O115" i="108" s="1"/>
  <c r="BD105" i="102"/>
  <c r="BG36" i="109"/>
  <c r="BG115" i="109" s="1"/>
  <c r="BR64" i="108"/>
  <c r="Q36" i="108"/>
  <c r="Q115" i="108" s="1"/>
  <c r="AQ15" i="109"/>
  <c r="AZ92" i="113"/>
  <c r="AZ115" i="113" s="1"/>
  <c r="BP19" i="109"/>
  <c r="BA115" i="111"/>
  <c r="W15" i="111"/>
  <c r="BR15" i="111" s="1"/>
  <c r="AQ27" i="111"/>
  <c r="AT92" i="109"/>
  <c r="AT115" i="109" s="1"/>
  <c r="BR24" i="111"/>
  <c r="V36" i="111"/>
  <c r="V115" i="111" s="1"/>
  <c r="AW36" i="114"/>
  <c r="BF36" i="111"/>
  <c r="AQ76" i="110"/>
  <c r="AY115" i="108"/>
  <c r="BK115" i="113"/>
  <c r="BL70" i="109"/>
  <c r="BR70" i="109" s="1"/>
  <c r="AT115" i="108"/>
  <c r="BD115" i="110"/>
  <c r="AQ27" i="110"/>
  <c r="BR27" i="110" s="1"/>
  <c r="BL15" i="110"/>
  <c r="BR15" i="110" s="1"/>
  <c r="BR66" i="109"/>
  <c r="BC36" i="114"/>
  <c r="BC115" i="114" s="1"/>
  <c r="O36" i="112"/>
  <c r="O115" i="112" s="1"/>
  <c r="BP82" i="114"/>
  <c r="BR82" i="114" s="1"/>
  <c r="R36" i="102"/>
  <c r="R105" i="102" s="1"/>
  <c r="AF89" i="102"/>
  <c r="AF105" i="102" s="1"/>
  <c r="BF36" i="112"/>
  <c r="BF115" i="112" s="1"/>
  <c r="BJ36" i="110"/>
  <c r="BJ115" i="110" s="1"/>
  <c r="AY92" i="114"/>
  <c r="AY115" i="114" s="1"/>
  <c r="G36" i="113"/>
  <c r="G115" i="113" s="1"/>
  <c r="BA36" i="110"/>
  <c r="BA115" i="110" s="1"/>
  <c r="BP82" i="108"/>
  <c r="BR82" i="108" s="1"/>
  <c r="AY36" i="102"/>
  <c r="AY105" i="102" s="1"/>
  <c r="BR57" i="109"/>
  <c r="AV36" i="114"/>
  <c r="AV115" i="114" s="1"/>
  <c r="BP59" i="111"/>
  <c r="AJ36" i="102"/>
  <c r="AJ105" i="102" s="1"/>
  <c r="S36" i="113"/>
  <c r="S115" i="113" s="1"/>
  <c r="N36" i="113"/>
  <c r="N115" i="113" s="1"/>
  <c r="AP92" i="108"/>
  <c r="AY36" i="111"/>
  <c r="AY115" i="111" s="1"/>
  <c r="AG89" i="102"/>
  <c r="AG105" i="102" s="1"/>
  <c r="BR107" i="111"/>
  <c r="V36" i="110"/>
  <c r="V115" i="110" s="1"/>
  <c r="BP82" i="109"/>
  <c r="BE36" i="114"/>
  <c r="AJ115" i="114"/>
  <c r="Q36" i="114"/>
  <c r="Q115" i="114" s="1"/>
  <c r="AF36" i="111"/>
  <c r="AF115" i="111" s="1"/>
  <c r="BK36" i="114"/>
  <c r="BK115" i="114" s="1"/>
  <c r="BH36" i="111"/>
  <c r="AP36" i="113"/>
  <c r="AP115" i="113" s="1"/>
  <c r="U36" i="113"/>
  <c r="U115" i="113" s="1"/>
  <c r="Q36" i="111"/>
  <c r="Q115" i="111" s="1"/>
  <c r="BR18" i="113"/>
  <c r="BL54" i="102"/>
  <c r="BL89" i="102" s="1"/>
  <c r="BJ36" i="111"/>
  <c r="BK36" i="109"/>
  <c r="BK115" i="109" s="1"/>
  <c r="BI36" i="114"/>
  <c r="BI115" i="114" s="1"/>
  <c r="AC36" i="110"/>
  <c r="BJ36" i="102"/>
  <c r="BJ105" i="102" s="1"/>
  <c r="BD36" i="114"/>
  <c r="BD115" i="114" s="1"/>
  <c r="AD89" i="102"/>
  <c r="AD105" i="102" s="1"/>
  <c r="BR27" i="102"/>
  <c r="AV115" i="110"/>
  <c r="BB115" i="108"/>
  <c r="AK105" i="102"/>
  <c r="BK105" i="102"/>
  <c r="BG115" i="114"/>
  <c r="BB115" i="114"/>
  <c r="AY115" i="112"/>
  <c r="AK115" i="112"/>
  <c r="AL115" i="108"/>
  <c r="AS115" i="108"/>
  <c r="AH115" i="111"/>
  <c r="AX115" i="113"/>
  <c r="BR82" i="111"/>
  <c r="AK115" i="109"/>
  <c r="AS115" i="110"/>
  <c r="AH115" i="113"/>
  <c r="AG115" i="111"/>
  <c r="AI115" i="110"/>
  <c r="AD115" i="114"/>
  <c r="AW115" i="112"/>
  <c r="BJ115" i="113"/>
  <c r="AU115" i="114"/>
  <c r="AU115" i="108"/>
  <c r="BE115" i="112"/>
  <c r="AX115" i="114"/>
  <c r="Y115" i="112"/>
  <c r="BR82" i="112"/>
  <c r="AE115" i="110"/>
  <c r="AH115" i="108"/>
  <c r="BP36" i="108"/>
  <c r="BI115" i="112"/>
  <c r="AZ115" i="108"/>
  <c r="BG115" i="113"/>
  <c r="AE115" i="112"/>
  <c r="AG115" i="110"/>
  <c r="AK115" i="114"/>
  <c r="Y105" i="102"/>
  <c r="AT115" i="112"/>
  <c r="AS115" i="111"/>
  <c r="BB115" i="112"/>
  <c r="AM115" i="113"/>
  <c r="AK115" i="111"/>
  <c r="BE105" i="102"/>
  <c r="AL115" i="109"/>
  <c r="AM115" i="114"/>
  <c r="BL92" i="114"/>
  <c r="BF105" i="102"/>
  <c r="BB105" i="102"/>
  <c r="AV115" i="113"/>
  <c r="BC115" i="110"/>
  <c r="AP105" i="102"/>
  <c r="AU115" i="109"/>
  <c r="BD115" i="113"/>
  <c r="AI105" i="102"/>
  <c r="AN105" i="102"/>
  <c r="AL115" i="112"/>
  <c r="BC105" i="102"/>
  <c r="BL36" i="108"/>
  <c r="BE115" i="109"/>
  <c r="F29" i="47"/>
  <c r="AD5" i="47" s="1"/>
  <c r="BB115" i="110"/>
  <c r="BR76" i="113"/>
  <c r="AF115" i="109"/>
  <c r="BC115" i="112"/>
  <c r="BR82" i="110"/>
  <c r="AL115" i="114"/>
  <c r="H29" i="47"/>
  <c r="AF5" i="47" s="1"/>
  <c r="AX115" i="109"/>
  <c r="BR27" i="112"/>
  <c r="AU115" i="110"/>
  <c r="AN115" i="112"/>
  <c r="BD115" i="109"/>
  <c r="BR19" i="108"/>
  <c r="BP36" i="111"/>
  <c r="BC115" i="109"/>
  <c r="BI115" i="113"/>
  <c r="BI115" i="108"/>
  <c r="AN115" i="109"/>
  <c r="AO115" i="108"/>
  <c r="AF115" i="108"/>
  <c r="AN115" i="111"/>
  <c r="BR70" i="110"/>
  <c r="BD115" i="112"/>
  <c r="BE115" i="111"/>
  <c r="AJ115" i="112"/>
  <c r="AI115" i="111"/>
  <c r="AN115" i="114"/>
  <c r="AG115" i="109"/>
  <c r="AJ115" i="108"/>
  <c r="AX115" i="112"/>
  <c r="Y115" i="113"/>
  <c r="L17" i="41" s="1"/>
  <c r="L260" i="41" s="1"/>
  <c r="L302" i="41" s="1"/>
  <c r="L305" i="41" s="1"/>
  <c r="AO115" i="113"/>
  <c r="AD115" i="110"/>
  <c r="BH115" i="108"/>
  <c r="K29" i="47"/>
  <c r="AI5" i="47" s="1"/>
  <c r="I29" i="47"/>
  <c r="AG5" i="47" s="1"/>
  <c r="BD115" i="111"/>
  <c r="BL92" i="113"/>
  <c r="BR59" i="108"/>
  <c r="AF115" i="110"/>
  <c r="AW115" i="108"/>
  <c r="AZ115" i="109"/>
  <c r="AJ115" i="110"/>
  <c r="AI115" i="114"/>
  <c r="AF115" i="112"/>
  <c r="BB115" i="113"/>
  <c r="AM115" i="110"/>
  <c r="BE115" i="110"/>
  <c r="AX115" i="110"/>
  <c r="AM115" i="109"/>
  <c r="AM115" i="111"/>
  <c r="BR19" i="114"/>
  <c r="BR15" i="113"/>
  <c r="BR73" i="102"/>
  <c r="BR70" i="113"/>
  <c r="Y115" i="111"/>
  <c r="J17" i="41" s="1"/>
  <c r="J260" i="41" s="1"/>
  <c r="J302" i="41" s="1"/>
  <c r="J305" i="41" s="1"/>
  <c r="J306" i="41" s="1"/>
  <c r="J125" i="47" s="1"/>
  <c r="AS4" i="47" s="1"/>
  <c r="AI115" i="113"/>
  <c r="AN115" i="113"/>
  <c r="AI115" i="109"/>
  <c r="BR70" i="108"/>
  <c r="AG115" i="113"/>
  <c r="AJ115" i="111"/>
  <c r="BC115" i="113"/>
  <c r="BL92" i="112"/>
  <c r="BR76" i="114"/>
  <c r="BR15" i="102"/>
  <c r="BR59" i="109"/>
  <c r="BR27" i="108"/>
  <c r="BB115" i="109"/>
  <c r="AW115" i="113"/>
  <c r="BR70" i="111"/>
  <c r="BR27" i="111"/>
  <c r="BR59" i="112"/>
  <c r="AS115" i="114"/>
  <c r="BH115" i="113"/>
  <c r="BG115" i="108"/>
  <c r="AD115" i="112"/>
  <c r="BL92" i="111"/>
  <c r="W36" i="110"/>
  <c r="W115" i="110" s="1"/>
  <c r="AQ36" i="109"/>
  <c r="AQ36" i="112"/>
  <c r="AH115" i="110"/>
  <c r="BR59" i="113"/>
  <c r="AO115" i="112"/>
  <c r="BR59" i="114"/>
  <c r="BR76" i="111"/>
  <c r="BR19" i="112"/>
  <c r="AF115" i="113"/>
  <c r="AH115" i="109"/>
  <c r="BR19" i="110"/>
  <c r="AQ36" i="108"/>
  <c r="BR76" i="109"/>
  <c r="BL36" i="113"/>
  <c r="AV115" i="108"/>
  <c r="BH115" i="112"/>
  <c r="BR15" i="112"/>
  <c r="AG115" i="114"/>
  <c r="BB4" i="47"/>
  <c r="M29" i="47"/>
  <c r="AK5" i="47" s="1"/>
  <c r="BR19" i="109"/>
  <c r="G29" i="47"/>
  <c r="AE5" i="47" s="1"/>
  <c r="T5" i="47"/>
  <c r="T6" i="47"/>
  <c r="J28" i="47"/>
  <c r="AH4" i="47" s="1"/>
  <c r="AT115" i="113"/>
  <c r="AO115" i="114"/>
  <c r="AS115" i="112"/>
  <c r="BH115" i="110"/>
  <c r="BP36" i="113"/>
  <c r="AD115" i="113"/>
  <c r="G306" i="41"/>
  <c r="G125" i="47" s="1"/>
  <c r="AP4" i="47" s="1"/>
  <c r="G308" i="41"/>
  <c r="G127" i="47" s="1"/>
  <c r="AP6" i="47" s="1"/>
  <c r="AP23" i="47" s="1"/>
  <c r="G307" i="41"/>
  <c r="G126" i="47" s="1"/>
  <c r="AP5" i="47" s="1"/>
  <c r="BA4" i="47"/>
  <c r="L29" i="47"/>
  <c r="AJ5" i="47" s="1"/>
  <c r="AK115" i="113"/>
  <c r="AS115" i="113"/>
  <c r="AM115" i="108"/>
  <c r="Z10" i="47"/>
  <c r="F28" i="47"/>
  <c r="AD4" i="47" s="1"/>
  <c r="H28" i="47"/>
  <c r="L565" i="51"/>
  <c r="L595" i="51" s="1"/>
  <c r="L200" i="47" s="1"/>
  <c r="Y34" i="47" s="1"/>
  <c r="AQ27" i="113"/>
  <c r="BR27" i="113" s="1"/>
  <c r="M322" i="51"/>
  <c r="O320" i="51" s="1"/>
  <c r="AP27" i="114"/>
  <c r="AP36" i="114" s="1"/>
  <c r="AP115" i="114" s="1"/>
  <c r="O27" i="114"/>
  <c r="O36" i="114" s="1"/>
  <c r="O115" i="114" s="1"/>
  <c r="AF163" i="73"/>
  <c r="AF164" i="73" s="1"/>
  <c r="AF177" i="73" s="1"/>
  <c r="AF178" i="73" s="1"/>
  <c r="AF179" i="73" s="1"/>
  <c r="AF180" i="73" s="1"/>
  <c r="AF182" i="73" s="1"/>
  <c r="AD216" i="73"/>
  <c r="AD217" i="73" s="1"/>
  <c r="AD218" i="73" s="1"/>
  <c r="AD219" i="73" s="1"/>
  <c r="AC217" i="73"/>
  <c r="AC218" i="73" s="1"/>
  <c r="AC219" i="73" s="1"/>
  <c r="AE215" i="73"/>
  <c r="AE264" i="73" s="1"/>
  <c r="AD240" i="74"/>
  <c r="AC255" i="74"/>
  <c r="M513" i="51"/>
  <c r="M523" i="51" s="1"/>
  <c r="M515" i="51"/>
  <c r="M525" i="51" s="1"/>
  <c r="M581" i="51" s="1"/>
  <c r="M536" i="51"/>
  <c r="M575" i="51"/>
  <c r="M514" i="51"/>
  <c r="M524" i="51" s="1"/>
  <c r="AG157" i="73"/>
  <c r="AG161" i="73"/>
  <c r="AH158" i="73"/>
  <c r="AH162" i="73"/>
  <c r="AG160" i="73"/>
  <c r="AG156" i="73"/>
  <c r="J67" i="47"/>
  <c r="H42" i="47"/>
  <c r="I69" i="47"/>
  <c r="M60" i="47"/>
  <c r="J50" i="47"/>
  <c r="H15" i="47"/>
  <c r="G20" i="47"/>
  <c r="J51" i="47"/>
  <c r="L23" i="47"/>
  <c r="K68" i="47"/>
  <c r="J21" i="47"/>
  <c r="G46" i="47"/>
  <c r="H53" i="47"/>
  <c r="J14" i="47"/>
  <c r="H19" i="47"/>
  <c r="L40" i="47"/>
  <c r="G22" i="47"/>
  <c r="G8" i="47"/>
  <c r="F41" i="47"/>
  <c r="I66" i="47"/>
  <c r="H48" i="47"/>
  <c r="M22" i="47"/>
  <c r="G52" i="47"/>
  <c r="K63" i="47"/>
  <c r="K51" i="47"/>
  <c r="I44" i="47"/>
  <c r="M51" i="47"/>
  <c r="J60" i="47"/>
  <c r="L17" i="47"/>
  <c r="J54" i="47"/>
  <c r="K47" i="47"/>
  <c r="G64" i="47"/>
  <c r="F49" i="47"/>
  <c r="F68" i="47"/>
  <c r="H46" i="47"/>
  <c r="J44" i="47"/>
  <c r="F51" i="47"/>
  <c r="G53" i="47"/>
  <c r="H59" i="47"/>
  <c r="G45" i="47"/>
  <c r="H40" i="47"/>
  <c r="K62" i="47"/>
  <c r="L21" i="47"/>
  <c r="L67" i="47"/>
  <c r="I21" i="47"/>
  <c r="L54" i="47"/>
  <c r="F67" i="47"/>
  <c r="M8" i="47"/>
  <c r="M53" i="47"/>
  <c r="F42" i="47"/>
  <c r="M63" i="47"/>
  <c r="I67" i="47"/>
  <c r="F44" i="47"/>
  <c r="G21" i="47"/>
  <c r="F16" i="47"/>
  <c r="L16" i="47"/>
  <c r="F52" i="47"/>
  <c r="I45" i="47"/>
  <c r="J71" i="47"/>
  <c r="G19" i="47"/>
  <c r="H47" i="47"/>
  <c r="J19" i="47"/>
  <c r="H44" i="47"/>
  <c r="J37" i="47"/>
  <c r="K8" i="47"/>
  <c r="H65" i="47"/>
  <c r="G66" i="47"/>
  <c r="F63" i="47"/>
  <c r="H43" i="47"/>
  <c r="L65" i="47"/>
  <c r="F50" i="47"/>
  <c r="I8" i="47"/>
  <c r="I41" i="47"/>
  <c r="G60" i="47"/>
  <c r="G48" i="47"/>
  <c r="I43" i="47"/>
  <c r="I109" i="47"/>
  <c r="I82" i="47"/>
  <c r="L60" i="47"/>
  <c r="G18" i="47"/>
  <c r="L45" i="47"/>
  <c r="G39" i="47"/>
  <c r="H71" i="47"/>
  <c r="K20" i="47"/>
  <c r="J45" i="47"/>
  <c r="G50" i="47"/>
  <c r="K71" i="47"/>
  <c r="K54" i="47"/>
  <c r="J23" i="47"/>
  <c r="J52" i="47"/>
  <c r="K45" i="47"/>
  <c r="I40" i="47"/>
  <c r="H60" i="47"/>
  <c r="K41" i="47"/>
  <c r="G16" i="47"/>
  <c r="I48" i="47"/>
  <c r="G62" i="47"/>
  <c r="H21" i="47"/>
  <c r="F43" i="47"/>
  <c r="I71" i="47"/>
  <c r="F38" i="47"/>
  <c r="J53" i="47"/>
  <c r="I38" i="47"/>
  <c r="I50" i="47"/>
  <c r="M50" i="47"/>
  <c r="M46" i="47"/>
  <c r="J59" i="47"/>
  <c r="H41" i="47"/>
  <c r="I70" i="47"/>
  <c r="I51" i="47"/>
  <c r="M40" i="47"/>
  <c r="M37" i="47"/>
  <c r="L15" i="47"/>
  <c r="M45" i="47"/>
  <c r="G49" i="47"/>
  <c r="G63" i="47"/>
  <c r="G67" i="47"/>
  <c r="M52" i="47"/>
  <c r="F82" i="47"/>
  <c r="F53" i="47"/>
  <c r="H54" i="47"/>
  <c r="L51" i="47"/>
  <c r="G61" i="47"/>
  <c r="H37" i="47"/>
  <c r="L109" i="47"/>
  <c r="H68" i="47"/>
  <c r="J109" i="47"/>
  <c r="G41" i="47"/>
  <c r="G47" i="47"/>
  <c r="L50" i="47"/>
  <c r="K16" i="47"/>
  <c r="K40" i="47"/>
  <c r="I53" i="47"/>
  <c r="L52" i="47"/>
  <c r="K44" i="47"/>
  <c r="J63" i="47"/>
  <c r="K109" i="47"/>
  <c r="K50" i="47"/>
  <c r="F64" i="47"/>
  <c r="K37" i="47"/>
  <c r="J39" i="47"/>
  <c r="G44" i="47"/>
  <c r="L82" i="47"/>
  <c r="G43" i="47"/>
  <c r="L69" i="47"/>
  <c r="L43" i="47"/>
  <c r="K42" i="47"/>
  <c r="L49" i="47"/>
  <c r="G68" i="47"/>
  <c r="H64" i="47"/>
  <c r="M65" i="47"/>
  <c r="L71" i="47"/>
  <c r="F62" i="47"/>
  <c r="I49" i="47"/>
  <c r="L41" i="47"/>
  <c r="K53" i="47"/>
  <c r="K82" i="47"/>
  <c r="J49" i="47"/>
  <c r="F60" i="47"/>
  <c r="F69" i="47"/>
  <c r="M67" i="47"/>
  <c r="K65" i="47"/>
  <c r="G70" i="47"/>
  <c r="I59" i="47"/>
  <c r="I65" i="47"/>
  <c r="L64" i="47"/>
  <c r="L42" i="47"/>
  <c r="M62" i="47"/>
  <c r="K61" i="47"/>
  <c r="F19" i="47"/>
  <c r="L8" i="47"/>
  <c r="F61" i="47"/>
  <c r="J62" i="47"/>
  <c r="I62" i="47"/>
  <c r="H66" i="47"/>
  <c r="I60" i="47"/>
  <c r="L68" i="47"/>
  <c r="L47" i="47"/>
  <c r="K67" i="47"/>
  <c r="H52" i="47"/>
  <c r="H62" i="47"/>
  <c r="J69" i="47"/>
  <c r="J38" i="47"/>
  <c r="K59" i="47"/>
  <c r="L20" i="47"/>
  <c r="G59" i="47"/>
  <c r="M59" i="47"/>
  <c r="M66" i="47"/>
  <c r="L63" i="47"/>
  <c r="G51" i="47"/>
  <c r="J66" i="47"/>
  <c r="F40" i="47"/>
  <c r="F37" i="47"/>
  <c r="I54" i="47"/>
  <c r="K52" i="47"/>
  <c r="K38" i="47"/>
  <c r="I61" i="47"/>
  <c r="I68" i="47"/>
  <c r="L62" i="47"/>
  <c r="I63" i="47"/>
  <c r="K49" i="47"/>
  <c r="M16" i="47"/>
  <c r="N21" i="114"/>
  <c r="L22" i="47"/>
  <c r="I47" i="47"/>
  <c r="L46" i="47"/>
  <c r="F66" i="47"/>
  <c r="I64" i="47"/>
  <c r="K60" i="47"/>
  <c r="F39" i="47"/>
  <c r="I37" i="47"/>
  <c r="H39" i="47"/>
  <c r="H38" i="47"/>
  <c r="L70" i="47"/>
  <c r="J64" i="47"/>
  <c r="H51" i="47"/>
  <c r="I52" i="47"/>
  <c r="L37" i="47"/>
  <c r="K70" i="47"/>
  <c r="M70" i="47"/>
  <c r="M71" i="47"/>
  <c r="F48" i="47"/>
  <c r="I23" i="47"/>
  <c r="M18" i="47"/>
  <c r="J18" i="47"/>
  <c r="M48" i="47"/>
  <c r="F45" i="47"/>
  <c r="G54" i="47"/>
  <c r="M41" i="47"/>
  <c r="K43" i="47"/>
  <c r="H50" i="47"/>
  <c r="H67" i="47"/>
  <c r="F71" i="47"/>
  <c r="H61" i="47"/>
  <c r="L44" i="47"/>
  <c r="G42" i="47"/>
  <c r="M69" i="47"/>
  <c r="M64" i="47"/>
  <c r="J68" i="47"/>
  <c r="J65" i="47"/>
  <c r="H63" i="47"/>
  <c r="I42" i="47"/>
  <c r="Y21" i="114"/>
  <c r="I46" i="47"/>
  <c r="K66" i="47"/>
  <c r="K39" i="47"/>
  <c r="K48" i="47"/>
  <c r="M54" i="47"/>
  <c r="F109" i="47"/>
  <c r="M68" i="47"/>
  <c r="L38" i="47"/>
  <c r="F70" i="47"/>
  <c r="H69" i="47"/>
  <c r="K69" i="47"/>
  <c r="G65" i="47"/>
  <c r="I39" i="47"/>
  <c r="J82" i="47"/>
  <c r="M49" i="47"/>
  <c r="L61" i="47"/>
  <c r="L59" i="47"/>
  <c r="L66" i="47"/>
  <c r="M44" i="47"/>
  <c r="M38" i="47"/>
  <c r="F46" i="47"/>
  <c r="F59" i="47"/>
  <c r="J48" i="47"/>
  <c r="M47" i="47"/>
  <c r="J61" i="47"/>
  <c r="F65" i="47"/>
  <c r="H45" i="47"/>
  <c r="U10" i="47" l="1"/>
  <c r="W15" i="47"/>
  <c r="AO115" i="111"/>
  <c r="AF115" i="114"/>
  <c r="S9" i="47"/>
  <c r="G28" i="47"/>
  <c r="Y7" i="47"/>
  <c r="J29" i="47"/>
  <c r="BR15" i="114"/>
  <c r="BR70" i="112"/>
  <c r="BH115" i="111"/>
  <c r="BR76" i="112"/>
  <c r="BR15" i="109"/>
  <c r="W36" i="109"/>
  <c r="W115" i="109" s="1"/>
  <c r="BL36" i="102"/>
  <c r="BL105" i="102" s="1"/>
  <c r="W36" i="112"/>
  <c r="W115" i="112" s="1"/>
  <c r="BR76" i="108"/>
  <c r="AQ36" i="110"/>
  <c r="AQ36" i="111"/>
  <c r="BL36" i="112"/>
  <c r="BL36" i="109"/>
  <c r="W36" i="108"/>
  <c r="W115" i="108" s="1"/>
  <c r="AQ36" i="113"/>
  <c r="BR59" i="111"/>
  <c r="BF115" i="111"/>
  <c r="BR76" i="110"/>
  <c r="BJ115" i="111"/>
  <c r="BG115" i="111"/>
  <c r="BL92" i="110"/>
  <c r="W36" i="113"/>
  <c r="W115" i="113" s="1"/>
  <c r="AW115" i="114"/>
  <c r="BR82" i="109"/>
  <c r="BL92" i="108"/>
  <c r="BL115" i="108" s="1"/>
  <c r="AO115" i="109"/>
  <c r="BR19" i="111"/>
  <c r="Y15" i="47"/>
  <c r="T11" i="47"/>
  <c r="BL36" i="111"/>
  <c r="BL115" i="111" s="1"/>
  <c r="W36" i="102"/>
  <c r="W105" i="102" s="1"/>
  <c r="BR59" i="110"/>
  <c r="BR27" i="109"/>
  <c r="BP36" i="114"/>
  <c r="BL92" i="109"/>
  <c r="BR19" i="102"/>
  <c r="K28" i="47"/>
  <c r="AI4" i="47" s="1"/>
  <c r="W5" i="47"/>
  <c r="V11" i="47"/>
  <c r="V15" i="47"/>
  <c r="S10" i="47"/>
  <c r="M28" i="47"/>
  <c r="AK4" i="47" s="1"/>
  <c r="S15" i="47"/>
  <c r="BL36" i="110"/>
  <c r="W36" i="111"/>
  <c r="W115" i="111" s="1"/>
  <c r="AV115" i="111"/>
  <c r="AP115" i="108"/>
  <c r="Z5" i="47"/>
  <c r="U9" i="47"/>
  <c r="V6" i="47"/>
  <c r="S6" i="47"/>
  <c r="H25" i="47"/>
  <c r="H30" i="47"/>
  <c r="AF6" i="47" s="1"/>
  <c r="G30" i="47"/>
  <c r="AE6" i="47" s="1"/>
  <c r="G25" i="47"/>
  <c r="X9" i="47"/>
  <c r="X11" i="47"/>
  <c r="W11" i="47"/>
  <c r="T7" i="47"/>
  <c r="Y11" i="47"/>
  <c r="BC4" i="47"/>
  <c r="V9" i="47"/>
  <c r="I28" i="47"/>
  <c r="AG4" i="47" s="1"/>
  <c r="AQ36" i="102"/>
  <c r="BE115" i="114"/>
  <c r="BL36" i="114"/>
  <c r="BL115" i="114" s="1"/>
  <c r="U11" i="47"/>
  <c r="Z6" i="47"/>
  <c r="J30" i="47"/>
  <c r="AH6" i="47" s="1"/>
  <c r="J25" i="47"/>
  <c r="I30" i="47"/>
  <c r="AG6" i="47" s="1"/>
  <c r="I25" i="47"/>
  <c r="L28" i="47"/>
  <c r="AJ4" i="47" s="1"/>
  <c r="L25" i="47"/>
  <c r="F30" i="47"/>
  <c r="AD6" i="47" s="1"/>
  <c r="AD8" i="47" s="1"/>
  <c r="AD12" i="47" s="1"/>
  <c r="F25" i="47"/>
  <c r="K30" i="47"/>
  <c r="AI6" i="47" s="1"/>
  <c r="K25" i="47"/>
  <c r="Z11" i="47"/>
  <c r="L30" i="47"/>
  <c r="AJ6" i="47" s="1"/>
  <c r="AZ4" i="47"/>
  <c r="BE4" i="47"/>
  <c r="T15" i="47"/>
  <c r="Z9" i="47"/>
  <c r="Y9" i="47"/>
  <c r="X7" i="47"/>
  <c r="S11" i="47"/>
  <c r="F17" i="41"/>
  <c r="F260" i="41" s="1"/>
  <c r="F302" i="41" s="1"/>
  <c r="F305" i="41" s="1"/>
  <c r="K17" i="41"/>
  <c r="K260" i="41" s="1"/>
  <c r="K302" i="41" s="1"/>
  <c r="K305" i="41" s="1"/>
  <c r="BL115" i="113"/>
  <c r="U15" i="47"/>
  <c r="V5" i="47"/>
  <c r="S7" i="47"/>
  <c r="Y6" i="47"/>
  <c r="X15" i="47"/>
  <c r="S5" i="47"/>
  <c r="U7" i="47"/>
  <c r="Z15" i="47"/>
  <c r="X5" i="47"/>
  <c r="BF4" i="47"/>
  <c r="X6" i="47"/>
  <c r="U5" i="47"/>
  <c r="T10" i="47"/>
  <c r="U6" i="47"/>
  <c r="V7" i="47"/>
  <c r="W6" i="47"/>
  <c r="G312" i="41"/>
  <c r="G313" i="41" s="1"/>
  <c r="G314" i="41" s="1"/>
  <c r="BD4" i="47"/>
  <c r="G322" i="41"/>
  <c r="G323" i="41" s="1"/>
  <c r="G324" i="41" s="1"/>
  <c r="Y5" i="47"/>
  <c r="Y10" i="47"/>
  <c r="T9" i="47"/>
  <c r="G499" i="41"/>
  <c r="X10" i="47"/>
  <c r="G332" i="41"/>
  <c r="G333" i="41" s="1"/>
  <c r="G334" i="41" s="1"/>
  <c r="J308" i="41"/>
  <c r="J127" i="47" s="1"/>
  <c r="J307" i="41"/>
  <c r="J126" i="47" s="1"/>
  <c r="AS5" i="47" s="1"/>
  <c r="V10" i="47"/>
  <c r="I307" i="41"/>
  <c r="I308" i="41"/>
  <c r="I306" i="41"/>
  <c r="AP21" i="47"/>
  <c r="G140" i="47"/>
  <c r="AF4" i="47"/>
  <c r="AH5" i="47"/>
  <c r="AE4" i="47"/>
  <c r="AD265" i="73"/>
  <c r="AD267" i="73" s="1"/>
  <c r="AD275" i="73" s="1"/>
  <c r="AD279" i="73" s="1"/>
  <c r="AD284" i="73" s="1"/>
  <c r="AF215" i="73"/>
  <c r="AF264" i="73" s="1"/>
  <c r="AP24" i="47"/>
  <c r="N27" i="114"/>
  <c r="W21" i="114"/>
  <c r="Y27" i="114"/>
  <c r="L307" i="41"/>
  <c r="L308" i="41"/>
  <c r="L306" i="41"/>
  <c r="L125" i="47" s="1"/>
  <c r="AU4" i="47" s="1"/>
  <c r="AE216" i="73"/>
  <c r="AE240" i="74"/>
  <c r="AD255" i="74"/>
  <c r="AG163" i="73"/>
  <c r="AG164" i="73" s="1"/>
  <c r="AG177" i="73" s="1"/>
  <c r="AG178" i="73" s="1"/>
  <c r="AG179" i="73" s="1"/>
  <c r="AG180" i="73" s="1"/>
  <c r="AG182" i="73" s="1"/>
  <c r="M528" i="51"/>
  <c r="M556" i="51"/>
  <c r="M544" i="51"/>
  <c r="M550" i="51"/>
  <c r="M580" i="51"/>
  <c r="M518" i="51"/>
  <c r="M557" i="51"/>
  <c r="M545" i="51"/>
  <c r="M551" i="51"/>
  <c r="AH161" i="73"/>
  <c r="AH157" i="73"/>
  <c r="AI162" i="73"/>
  <c r="AI158" i="73"/>
  <c r="J312" i="41"/>
  <c r="AH156" i="73"/>
  <c r="AH160" i="73"/>
  <c r="J70" i="47"/>
  <c r="M61" i="47"/>
  <c r="J42" i="47"/>
  <c r="J40" i="47"/>
  <c r="J46" i="47"/>
  <c r="J41" i="47"/>
  <c r="M43" i="47"/>
  <c r="H70" i="47"/>
  <c r="J47" i="47"/>
  <c r="G71" i="47"/>
  <c r="M39" i="47"/>
  <c r="AB21" i="114"/>
  <c r="Z52" i="108"/>
  <c r="W10" i="47" l="1"/>
  <c r="BR36" i="112"/>
  <c r="BR36" i="109"/>
  <c r="BR36" i="110"/>
  <c r="BL115" i="109"/>
  <c r="BL115" i="112"/>
  <c r="BR36" i="108"/>
  <c r="W7" i="47"/>
  <c r="W9" i="47"/>
  <c r="BL115" i="110"/>
  <c r="G397" i="41"/>
  <c r="G416" i="41" s="1"/>
  <c r="J31" i="47"/>
  <c r="BR36" i="113"/>
  <c r="AG8" i="47"/>
  <c r="AG12" i="47" s="1"/>
  <c r="AC16" i="47" s="1"/>
  <c r="F33" i="15" s="1"/>
  <c r="F31" i="47"/>
  <c r="AH8" i="47"/>
  <c r="AH12" i="47" s="1"/>
  <c r="K31" i="47"/>
  <c r="H31" i="47"/>
  <c r="BR36" i="102"/>
  <c r="AF8" i="47"/>
  <c r="AF12" i="47" s="1"/>
  <c r="AI8" i="47"/>
  <c r="AI12" i="47" s="1"/>
  <c r="AE8" i="47"/>
  <c r="AE12" i="47" s="1"/>
  <c r="BR36" i="111"/>
  <c r="I31" i="47"/>
  <c r="G31" i="47"/>
  <c r="Z7" i="47"/>
  <c r="L31" i="47"/>
  <c r="G396" i="41"/>
  <c r="G413" i="41" s="1"/>
  <c r="F308" i="41"/>
  <c r="F306" i="41"/>
  <c r="F307" i="41"/>
  <c r="K306" i="41"/>
  <c r="K308" i="41"/>
  <c r="K307" i="41"/>
  <c r="J322" i="41"/>
  <c r="J396" i="41" s="1"/>
  <c r="J412" i="41" s="1"/>
  <c r="G395" i="41"/>
  <c r="J332" i="41"/>
  <c r="J397" i="41" s="1"/>
  <c r="J414" i="41" s="1"/>
  <c r="Z54" i="108"/>
  <c r="Z92" i="108" s="1"/>
  <c r="Z115" i="108" s="1"/>
  <c r="J499" i="41"/>
  <c r="I332" i="41"/>
  <c r="I127" i="47"/>
  <c r="AR6" i="47" s="1"/>
  <c r="AR23" i="47" s="1"/>
  <c r="I125" i="47"/>
  <c r="AR4" i="47" s="1"/>
  <c r="I499" i="41"/>
  <c r="I312" i="41"/>
  <c r="I322" i="41"/>
  <c r="I126" i="47"/>
  <c r="AR5" i="47" s="1"/>
  <c r="G327" i="41"/>
  <c r="G329" i="41" s="1"/>
  <c r="G344" i="41" s="1"/>
  <c r="G326" i="41"/>
  <c r="G317" i="41"/>
  <c r="G319" i="41" s="1"/>
  <c r="G343" i="41" s="1"/>
  <c r="G316" i="41"/>
  <c r="G505" i="41"/>
  <c r="G336" i="41"/>
  <c r="G337" i="41"/>
  <c r="G339" i="41" s="1"/>
  <c r="G345" i="41" s="1"/>
  <c r="AS6" i="47"/>
  <c r="AS23" i="47" s="1"/>
  <c r="L322" i="41"/>
  <c r="L396" i="41" s="1"/>
  <c r="L126" i="47"/>
  <c r="AU5" i="47" s="1"/>
  <c r="L332" i="41"/>
  <c r="L397" i="41" s="1"/>
  <c r="L127" i="47"/>
  <c r="AF216" i="73"/>
  <c r="AF217" i="73" s="1"/>
  <c r="AF218" i="73" s="1"/>
  <c r="AF219" i="73" s="1"/>
  <c r="AJ8" i="47"/>
  <c r="AP27" i="47"/>
  <c r="AG215" i="73"/>
  <c r="AG264" i="73" s="1"/>
  <c r="AP28" i="47"/>
  <c r="AB27" i="114"/>
  <c r="AB36" i="114" s="1"/>
  <c r="AQ21" i="114"/>
  <c r="BR21" i="114" s="1"/>
  <c r="L499" i="41"/>
  <c r="L312" i="41"/>
  <c r="Y36" i="114"/>
  <c r="W27" i="114"/>
  <c r="N36" i="114"/>
  <c r="AE217" i="73"/>
  <c r="AE218" i="73" s="1"/>
  <c r="AE219" i="73" s="1"/>
  <c r="AE265" i="73"/>
  <c r="AE267" i="73" s="1"/>
  <c r="AE275" i="73" s="1"/>
  <c r="AE279" i="73" s="1"/>
  <c r="AE284" i="73" s="1"/>
  <c r="M562" i="51"/>
  <c r="M593" i="51" s="1"/>
  <c r="AH163" i="73"/>
  <c r="AH164" i="73" s="1"/>
  <c r="AH177" i="73" s="1"/>
  <c r="AH178" i="73" s="1"/>
  <c r="AH179" i="73" s="1"/>
  <c r="AH180" i="73" s="1"/>
  <c r="AH182" i="73" s="1"/>
  <c r="AE255" i="74"/>
  <c r="AF240" i="74"/>
  <c r="M561" i="51"/>
  <c r="M592" i="51" s="1"/>
  <c r="M563" i="51"/>
  <c r="M594" i="51" s="1"/>
  <c r="M583" i="51"/>
  <c r="AJ162" i="73"/>
  <c r="AJ158" i="73"/>
  <c r="AI157" i="73"/>
  <c r="AI161" i="73"/>
  <c r="J313" i="41"/>
  <c r="J314" i="41" s="1"/>
  <c r="J317" i="41" s="1"/>
  <c r="J395" i="41"/>
  <c r="AI160" i="73"/>
  <c r="AI156" i="73"/>
  <c r="Z52" i="113"/>
  <c r="G83" i="47"/>
  <c r="Z52" i="111"/>
  <c r="G110" i="47"/>
  <c r="Z52" i="110"/>
  <c r="BO52" i="108"/>
  <c r="G414" i="41" l="1"/>
  <c r="G415" i="41"/>
  <c r="G398" i="41"/>
  <c r="G391" i="41" s="1"/>
  <c r="J413" i="41"/>
  <c r="J415" i="41"/>
  <c r="J416" i="41"/>
  <c r="J333" i="41"/>
  <c r="J334" i="41" s="1"/>
  <c r="J337" i="41" s="1"/>
  <c r="J339" i="41" s="1"/>
  <c r="J345" i="41" s="1"/>
  <c r="G409" i="41"/>
  <c r="G412" i="41"/>
  <c r="G411" i="41"/>
  <c r="K322" i="41"/>
  <c r="K126" i="47"/>
  <c r="AT5" i="47" s="1"/>
  <c r="K125" i="47"/>
  <c r="K312" i="41"/>
  <c r="K499" i="41"/>
  <c r="F125" i="47"/>
  <c r="F499" i="41"/>
  <c r="F312" i="41"/>
  <c r="K127" i="47"/>
  <c r="AT6" i="47" s="1"/>
  <c r="AT23" i="47" s="1"/>
  <c r="K332" i="41"/>
  <c r="F126" i="47"/>
  <c r="AO5" i="47" s="1"/>
  <c r="F322" i="41"/>
  <c r="F127" i="47"/>
  <c r="AO6" i="47" s="1"/>
  <c r="AO23" i="47" s="1"/>
  <c r="F332" i="41"/>
  <c r="J323" i="41"/>
  <c r="J324" i="41" s="1"/>
  <c r="J326" i="41" s="1"/>
  <c r="J501" i="41" s="1"/>
  <c r="G410" i="41"/>
  <c r="I140" i="47"/>
  <c r="Z54" i="111"/>
  <c r="Z92" i="111" s="1"/>
  <c r="Z115" i="111" s="1"/>
  <c r="G111" i="47"/>
  <c r="BA8" i="47" s="1"/>
  <c r="L333" i="41"/>
  <c r="L334" i="41" s="1"/>
  <c r="L336" i="41" s="1"/>
  <c r="L502" i="41" s="1"/>
  <c r="Z54" i="110"/>
  <c r="Z92" i="110" s="1"/>
  <c r="Z115" i="110" s="1"/>
  <c r="I396" i="41"/>
  <c r="I323" i="41"/>
  <c r="I324" i="41" s="1"/>
  <c r="I395" i="41"/>
  <c r="I313" i="41"/>
  <c r="I314" i="41" s="1"/>
  <c r="I333" i="41"/>
  <c r="I334" i="41" s="1"/>
  <c r="I397" i="41"/>
  <c r="BO54" i="108"/>
  <c r="BO92" i="108" s="1"/>
  <c r="BO115" i="108" s="1"/>
  <c r="G502" i="41"/>
  <c r="G403" i="41"/>
  <c r="G503" i="41"/>
  <c r="G401" i="41"/>
  <c r="G504" i="41"/>
  <c r="G346" i="41"/>
  <c r="G145" i="47" s="1"/>
  <c r="G159" i="47" s="1"/>
  <c r="G501" i="41"/>
  <c r="G402" i="41"/>
  <c r="L323" i="41"/>
  <c r="L324" i="41" s="1"/>
  <c r="L327" i="41" s="1"/>
  <c r="L329" i="41" s="1"/>
  <c r="L344" i="41" s="1"/>
  <c r="AS21" i="47"/>
  <c r="AU6" i="47"/>
  <c r="AU23" i="47" s="1"/>
  <c r="AF265" i="73"/>
  <c r="AF267" i="73" s="1"/>
  <c r="AF275" i="73" s="1"/>
  <c r="AF279" i="73" s="1"/>
  <c r="AF284" i="73" s="1"/>
  <c r="AP39" i="47"/>
  <c r="AJ12" i="47"/>
  <c r="AR21" i="47"/>
  <c r="AR24" i="47"/>
  <c r="AG216" i="73"/>
  <c r="AG265" i="73" s="1"/>
  <c r="AG267" i="73" s="1"/>
  <c r="AG275" i="73" s="1"/>
  <c r="AG279" i="73" s="1"/>
  <c r="AG284" i="73" s="1"/>
  <c r="K39" i="76" s="1"/>
  <c r="K102" i="76" s="1"/>
  <c r="K195" i="47" s="1"/>
  <c r="X29" i="47" s="1"/>
  <c r="X59" i="47" s="1"/>
  <c r="AQ27" i="114"/>
  <c r="BR27" i="114" s="1"/>
  <c r="Z54" i="113"/>
  <c r="Z92" i="113" s="1"/>
  <c r="Z115" i="113" s="1"/>
  <c r="L313" i="41"/>
  <c r="L314" i="41" s="1"/>
  <c r="L317" i="41" s="1"/>
  <c r="L395" i="41"/>
  <c r="L412" i="41"/>
  <c r="L413" i="41"/>
  <c r="L416" i="41"/>
  <c r="L415" i="41"/>
  <c r="L414" i="41"/>
  <c r="Y115" i="114"/>
  <c r="AQ36" i="114"/>
  <c r="N115" i="114"/>
  <c r="W36" i="114"/>
  <c r="AH215" i="73"/>
  <c r="AH264" i="73" s="1"/>
  <c r="AF255" i="74"/>
  <c r="AG240" i="74"/>
  <c r="M565" i="51"/>
  <c r="M595" i="51" s="1"/>
  <c r="M200" i="47" s="1"/>
  <c r="Z34" i="47" s="1"/>
  <c r="AI163" i="73"/>
  <c r="AI164" i="73" s="1"/>
  <c r="AI177" i="73" s="1"/>
  <c r="AI178" i="73" s="1"/>
  <c r="AI179" i="73" s="1"/>
  <c r="AI180" i="73" s="1"/>
  <c r="AI182" i="73" s="1"/>
  <c r="AJ161" i="73"/>
  <c r="AJ157" i="73"/>
  <c r="AK158" i="73"/>
  <c r="AK162" i="73"/>
  <c r="J410" i="41"/>
  <c r="J409" i="41"/>
  <c r="J411" i="41"/>
  <c r="J398" i="41"/>
  <c r="J391" i="41" s="1"/>
  <c r="J140" i="47"/>
  <c r="J316" i="41"/>
  <c r="AJ160" i="73"/>
  <c r="AJ156" i="73"/>
  <c r="G77" i="47"/>
  <c r="BN52" i="108"/>
  <c r="AA52" i="111"/>
  <c r="I110" i="47"/>
  <c r="M15" i="47"/>
  <c r="AB52" i="113"/>
  <c r="I83" i="47"/>
  <c r="L83" i="47"/>
  <c r="G114" i="47"/>
  <c r="J110" i="47"/>
  <c r="M109" i="47"/>
  <c r="AB52" i="108"/>
  <c r="AA52" i="108"/>
  <c r="L110" i="47"/>
  <c r="Z52" i="102"/>
  <c r="J83" i="47"/>
  <c r="AC52" i="108"/>
  <c r="Z52" i="112"/>
  <c r="M82" i="47"/>
  <c r="J336" i="41" l="1"/>
  <c r="J403" i="41" s="1"/>
  <c r="J426" i="41" s="1"/>
  <c r="J505" i="41"/>
  <c r="J402" i="41"/>
  <c r="J425" i="41" s="1"/>
  <c r="J451" i="41" s="1"/>
  <c r="G417" i="41"/>
  <c r="J327" i="41"/>
  <c r="J329" i="41" s="1"/>
  <c r="J344" i="41" s="1"/>
  <c r="Z54" i="102"/>
  <c r="Z89" i="102" s="1"/>
  <c r="Z105" i="102" s="1"/>
  <c r="Z54" i="112"/>
  <c r="Z92" i="112" s="1"/>
  <c r="Z115" i="112" s="1"/>
  <c r="F397" i="41"/>
  <c r="F333" i="41"/>
  <c r="F334" i="41" s="1"/>
  <c r="F323" i="41"/>
  <c r="F324" i="41" s="1"/>
  <c r="F396" i="41"/>
  <c r="K397" i="41"/>
  <c r="K333" i="41"/>
  <c r="K334" i="41" s="1"/>
  <c r="F313" i="41"/>
  <c r="F314" i="41" s="1"/>
  <c r="F395" i="41"/>
  <c r="AO4" i="47"/>
  <c r="F140" i="47"/>
  <c r="K395" i="41"/>
  <c r="K313" i="41"/>
  <c r="K314" i="41" s="1"/>
  <c r="AT4" i="47"/>
  <c r="AT24" i="47" s="1"/>
  <c r="K140" i="47"/>
  <c r="K323" i="41"/>
  <c r="K324" i="41" s="1"/>
  <c r="K396" i="41"/>
  <c r="AA54" i="111"/>
  <c r="AA92" i="111" s="1"/>
  <c r="AA115" i="111" s="1"/>
  <c r="L337" i="41"/>
  <c r="L339" i="41" s="1"/>
  <c r="L345" i="41" s="1"/>
  <c r="I111" i="47"/>
  <c r="BC8" i="47" s="1"/>
  <c r="S33" i="15" s="1"/>
  <c r="I336" i="41"/>
  <c r="I337" i="41"/>
  <c r="I339" i="41" s="1"/>
  <c r="I345" i="41" s="1"/>
  <c r="I398" i="41"/>
  <c r="I391" i="41" s="1"/>
  <c r="I411" i="41"/>
  <c r="I410" i="41"/>
  <c r="I409" i="41"/>
  <c r="I412" i="41"/>
  <c r="I413" i="41"/>
  <c r="I416" i="41"/>
  <c r="I414" i="41"/>
  <c r="I415" i="41"/>
  <c r="I317" i="41"/>
  <c r="I319" i="41" s="1"/>
  <c r="I343" i="41" s="1"/>
  <c r="I505" i="41"/>
  <c r="I316" i="41"/>
  <c r="I327" i="41"/>
  <c r="I329" i="41" s="1"/>
  <c r="I344" i="41" s="1"/>
  <c r="I326" i="41"/>
  <c r="L326" i="41"/>
  <c r="L501" i="41" s="1"/>
  <c r="AA54" i="108"/>
  <c r="AQ52" i="108"/>
  <c r="BN54" i="108"/>
  <c r="BP52" i="108"/>
  <c r="AC54" i="108"/>
  <c r="AC92" i="108" s="1"/>
  <c r="AC115" i="108" s="1"/>
  <c r="AB54" i="108"/>
  <c r="AB92" i="108" s="1"/>
  <c r="AB115" i="108" s="1"/>
  <c r="G506" i="41"/>
  <c r="G425" i="41"/>
  <c r="G424" i="41"/>
  <c r="G404" i="41"/>
  <c r="G423" i="41"/>
  <c r="G421" i="41"/>
  <c r="G422" i="41"/>
  <c r="G428" i="41"/>
  <c r="G427" i="41"/>
  <c r="G426" i="41"/>
  <c r="AU21" i="47"/>
  <c r="L403" i="41"/>
  <c r="L427" i="41" s="1"/>
  <c r="AR28" i="47"/>
  <c r="AR27" i="47"/>
  <c r="AG217" i="73"/>
  <c r="AG218" i="73" s="1"/>
  <c r="AG219" i="73" s="1"/>
  <c r="AS24" i="47"/>
  <c r="BG4" i="47"/>
  <c r="AB54" i="113"/>
  <c r="AB92" i="113" s="1"/>
  <c r="AB115" i="113" s="1"/>
  <c r="L111" i="47"/>
  <c r="BF8" i="47" s="1"/>
  <c r="L398" i="41"/>
  <c r="L391" i="41" s="1"/>
  <c r="L410" i="41"/>
  <c r="L409" i="41"/>
  <c r="L411" i="41"/>
  <c r="L140" i="47"/>
  <c r="M17" i="41"/>
  <c r="M260" i="41" s="1"/>
  <c r="M302" i="41" s="1"/>
  <c r="M305" i="41" s="1"/>
  <c r="L505" i="41"/>
  <c r="L316" i="41"/>
  <c r="W115" i="114"/>
  <c r="BR36" i="114"/>
  <c r="AH216" i="73"/>
  <c r="AH217" i="73" s="1"/>
  <c r="AH218" i="73" s="1"/>
  <c r="AH219" i="73" s="1"/>
  <c r="AJ163" i="73"/>
  <c r="AJ164" i="73" s="1"/>
  <c r="AJ177" i="73" s="1"/>
  <c r="AJ178" i="73" s="1"/>
  <c r="AJ179" i="73" s="1"/>
  <c r="AJ180" i="73" s="1"/>
  <c r="AJ182" i="73" s="1"/>
  <c r="AG255" i="74"/>
  <c r="AH240" i="74"/>
  <c r="M25" i="47"/>
  <c r="M30" i="47"/>
  <c r="AI215" i="73"/>
  <c r="AL158" i="73"/>
  <c r="AL162" i="73"/>
  <c r="AK157" i="73"/>
  <c r="AK161" i="73"/>
  <c r="J111" i="47"/>
  <c r="BD8" i="47" s="1"/>
  <c r="J319" i="41"/>
  <c r="J343" i="41" s="1"/>
  <c r="J401" i="41"/>
  <c r="J503" i="41"/>
  <c r="J417" i="41"/>
  <c r="J441" i="41"/>
  <c r="J452" i="41"/>
  <c r="J442" i="41"/>
  <c r="J462" i="41"/>
  <c r="AK160" i="73"/>
  <c r="AK156" i="73"/>
  <c r="K83" i="47"/>
  <c r="G17" i="105"/>
  <c r="L57" i="47"/>
  <c r="BO52" i="110"/>
  <c r="G16" i="105"/>
  <c r="G58" i="47"/>
  <c r="BO52" i="111"/>
  <c r="AA52" i="113"/>
  <c r="BO52" i="113"/>
  <c r="F83" i="47"/>
  <c r="F110" i="47"/>
  <c r="L16" i="105"/>
  <c r="G57" i="47"/>
  <c r="J56" i="47"/>
  <c r="K110" i="47"/>
  <c r="AC52" i="111"/>
  <c r="J15" i="105"/>
  <c r="J504" i="41" l="1"/>
  <c r="J461" i="41"/>
  <c r="J346" i="41"/>
  <c r="J145" i="47" s="1"/>
  <c r="J159" i="47" s="1"/>
  <c r="J502" i="41"/>
  <c r="J427" i="41"/>
  <c r="J424" i="41"/>
  <c r="J440" i="41" s="1"/>
  <c r="J428" i="41"/>
  <c r="J444" i="41" s="1"/>
  <c r="BO54" i="111"/>
  <c r="BO92" i="111" s="1"/>
  <c r="BO115" i="111" s="1"/>
  <c r="AT21" i="47"/>
  <c r="AT28" i="47" s="1"/>
  <c r="K111" i="47"/>
  <c r="BE8" i="47" s="1"/>
  <c r="F111" i="47"/>
  <c r="AZ8" i="47" s="1"/>
  <c r="K326" i="41"/>
  <c r="K327" i="41"/>
  <c r="K329" i="41" s="1"/>
  <c r="K344" i="41" s="1"/>
  <c r="K317" i="41"/>
  <c r="K319" i="41" s="1"/>
  <c r="K343" i="41" s="1"/>
  <c r="K316" i="41"/>
  <c r="K505" i="41"/>
  <c r="F409" i="41"/>
  <c r="F411" i="41"/>
  <c r="F398" i="41"/>
  <c r="F391" i="41" s="1"/>
  <c r="F410" i="41"/>
  <c r="K337" i="41"/>
  <c r="K339" i="41" s="1"/>
  <c r="K345" i="41" s="1"/>
  <c r="K336" i="41"/>
  <c r="F413" i="41"/>
  <c r="F412" i="41"/>
  <c r="F336" i="41"/>
  <c r="F337" i="41"/>
  <c r="F339" i="41" s="1"/>
  <c r="F345" i="41" s="1"/>
  <c r="K412" i="41"/>
  <c r="K413" i="41"/>
  <c r="K409" i="41"/>
  <c r="K411" i="41"/>
  <c r="K410" i="41"/>
  <c r="K398" i="41"/>
  <c r="K391" i="41" s="1"/>
  <c r="AO24" i="47"/>
  <c r="AO21" i="47"/>
  <c r="AO27" i="47" s="1"/>
  <c r="F505" i="41"/>
  <c r="F317" i="41"/>
  <c r="F319" i="41" s="1"/>
  <c r="F343" i="41" s="1"/>
  <c r="F316" i="41"/>
  <c r="K416" i="41"/>
  <c r="K415" i="41"/>
  <c r="K414" i="41"/>
  <c r="F326" i="41"/>
  <c r="F327" i="41"/>
  <c r="F329" i="41" s="1"/>
  <c r="F344" i="41" s="1"/>
  <c r="F415" i="41"/>
  <c r="F414" i="41"/>
  <c r="F416" i="41"/>
  <c r="W12" i="47"/>
  <c r="J443" i="41"/>
  <c r="J464" i="41"/>
  <c r="L402" i="41"/>
  <c r="L425" i="41" s="1"/>
  <c r="L451" i="41" s="1"/>
  <c r="I346" i="41"/>
  <c r="I145" i="47" s="1"/>
  <c r="I159" i="47" s="1"/>
  <c r="I417" i="41"/>
  <c r="BO54" i="110"/>
  <c r="BO92" i="110" s="1"/>
  <c r="BO115" i="110" s="1"/>
  <c r="I403" i="41"/>
  <c r="I502" i="41"/>
  <c r="I501" i="41"/>
  <c r="I402" i="41"/>
  <c r="I503" i="41"/>
  <c r="I504" i="41"/>
  <c r="I401" i="41"/>
  <c r="AA54" i="113"/>
  <c r="AA92" i="113" s="1"/>
  <c r="AA115" i="113" s="1"/>
  <c r="T13" i="47"/>
  <c r="T14" i="47"/>
  <c r="G452" i="41"/>
  <c r="G442" i="41"/>
  <c r="G462" i="41"/>
  <c r="G454" i="41"/>
  <c r="G464" i="41"/>
  <c r="G444" i="41"/>
  <c r="G437" i="41"/>
  <c r="G447" i="41"/>
  <c r="G429" i="41"/>
  <c r="G457" i="41"/>
  <c r="G451" i="41"/>
  <c r="G441" i="41"/>
  <c r="G461" i="41"/>
  <c r="BR52" i="108"/>
  <c r="G463" i="41"/>
  <c r="G453" i="41"/>
  <c r="G443" i="41"/>
  <c r="G438" i="41"/>
  <c r="G448" i="41"/>
  <c r="G458" i="41"/>
  <c r="G459" i="41"/>
  <c r="G439" i="41"/>
  <c r="G449" i="41"/>
  <c r="G460" i="41"/>
  <c r="G440" i="41"/>
  <c r="G450" i="41"/>
  <c r="BN92" i="108"/>
  <c r="BN115" i="108" s="1"/>
  <c r="BP54" i="108"/>
  <c r="BP92" i="108" s="1"/>
  <c r="BP115" i="108" s="1"/>
  <c r="AA92" i="108"/>
  <c r="AA115" i="108" s="1"/>
  <c r="AQ54" i="108"/>
  <c r="AR39" i="47"/>
  <c r="N33" i="15" s="1"/>
  <c r="J460" i="41"/>
  <c r="L428" i="41"/>
  <c r="L444" i="41" s="1"/>
  <c r="J450" i="41"/>
  <c r="L426" i="41"/>
  <c r="L442" i="41" s="1"/>
  <c r="AS27" i="47"/>
  <c r="AN31" i="47" s="1"/>
  <c r="AS28" i="47"/>
  <c r="AU24" i="47"/>
  <c r="BO54" i="113"/>
  <c r="BO92" i="113" s="1"/>
  <c r="BO115" i="113" s="1"/>
  <c r="Y13" i="47"/>
  <c r="L441" i="41"/>
  <c r="L461" i="41"/>
  <c r="L401" i="41"/>
  <c r="L504" i="41"/>
  <c r="L319" i="41"/>
  <c r="L343" i="41" s="1"/>
  <c r="L346" i="41" s="1"/>
  <c r="L145" i="47" s="1"/>
  <c r="L503" i="41"/>
  <c r="M306" i="41"/>
  <c r="M125" i="47" s="1"/>
  <c r="AV4" i="47" s="1"/>
  <c r="M307" i="41"/>
  <c r="M308" i="41"/>
  <c r="L417" i="41"/>
  <c r="L463" i="41"/>
  <c r="L443" i="41"/>
  <c r="L453" i="41"/>
  <c r="AC54" i="111"/>
  <c r="AJ215" i="73"/>
  <c r="AJ264" i="73" s="1"/>
  <c r="AH265" i="73"/>
  <c r="AH267" i="73" s="1"/>
  <c r="AH275" i="73" s="1"/>
  <c r="AH279" i="73" s="1"/>
  <c r="AH284" i="73" s="1"/>
  <c r="AI240" i="74"/>
  <c r="AH255" i="74"/>
  <c r="AK6" i="47"/>
  <c r="M31" i="47"/>
  <c r="AI264" i="73"/>
  <c r="AI216" i="73"/>
  <c r="AK163" i="73"/>
  <c r="AK164" i="73" s="1"/>
  <c r="AK215" i="73" s="1"/>
  <c r="AK264" i="73" s="1"/>
  <c r="AM158" i="73"/>
  <c r="AM162" i="73"/>
  <c r="AL157" i="73"/>
  <c r="AL161" i="73"/>
  <c r="J506" i="41"/>
  <c r="J422" i="41"/>
  <c r="J421" i="41"/>
  <c r="J423" i="41"/>
  <c r="J404" i="41"/>
  <c r="AL160" i="73"/>
  <c r="AL156" i="73"/>
  <c r="BN52" i="111"/>
  <c r="AB52" i="111"/>
  <c r="BN52" i="110"/>
  <c r="AA52" i="110"/>
  <c r="BO52" i="102"/>
  <c r="L56" i="47"/>
  <c r="BN52" i="113"/>
  <c r="I114" i="47"/>
  <c r="G15" i="105"/>
  <c r="AC52" i="113"/>
  <c r="J114" i="47"/>
  <c r="L77" i="47"/>
  <c r="BO52" i="112"/>
  <c r="L114" i="47"/>
  <c r="J77" i="47"/>
  <c r="I77" i="47"/>
  <c r="L15" i="105"/>
  <c r="G56" i="47"/>
  <c r="G76" i="47"/>
  <c r="AC52" i="110"/>
  <c r="AB52" i="110"/>
  <c r="G113" i="47"/>
  <c r="BN54" i="111" l="1"/>
  <c r="BN92" i="111" s="1"/>
  <c r="BN115" i="111" s="1"/>
  <c r="BP52" i="111"/>
  <c r="AB54" i="111"/>
  <c r="AB92" i="111" s="1"/>
  <c r="AB115" i="111" s="1"/>
  <c r="AQ52" i="111"/>
  <c r="J453" i="41"/>
  <c r="J463" i="41"/>
  <c r="AT27" i="47"/>
  <c r="J454" i="41"/>
  <c r="L424" i="41"/>
  <c r="L440" i="41" s="1"/>
  <c r="AT39" i="47"/>
  <c r="AO28" i="47"/>
  <c r="BO54" i="112"/>
  <c r="BO92" i="112" s="1"/>
  <c r="BO115" i="112" s="1"/>
  <c r="BO54" i="102"/>
  <c r="BO89" i="102" s="1"/>
  <c r="BO105" i="102" s="1"/>
  <c r="F346" i="41"/>
  <c r="F145" i="47" s="1"/>
  <c r="F159" i="47" s="1"/>
  <c r="K417" i="41"/>
  <c r="K502" i="41"/>
  <c r="K403" i="41"/>
  <c r="K346" i="41"/>
  <c r="K145" i="47" s="1"/>
  <c r="K159" i="47" s="1"/>
  <c r="F501" i="41"/>
  <c r="F402" i="41"/>
  <c r="F401" i="41"/>
  <c r="F504" i="41"/>
  <c r="F503" i="41"/>
  <c r="F502" i="41"/>
  <c r="F403" i="41"/>
  <c r="F417" i="41"/>
  <c r="K401" i="41"/>
  <c r="K504" i="41"/>
  <c r="K503" i="41"/>
  <c r="K501" i="41"/>
  <c r="K402" i="41"/>
  <c r="I506" i="41"/>
  <c r="AC54" i="110"/>
  <c r="AC92" i="110" s="1"/>
  <c r="AC115" i="110" s="1"/>
  <c r="AA54" i="110"/>
  <c r="AQ52" i="110"/>
  <c r="BN54" i="110"/>
  <c r="BP52" i="110"/>
  <c r="AB54" i="110"/>
  <c r="AB92" i="110" s="1"/>
  <c r="AB115" i="110" s="1"/>
  <c r="I422" i="41"/>
  <c r="I423" i="41"/>
  <c r="I421" i="41"/>
  <c r="I404" i="41"/>
  <c r="I428" i="41"/>
  <c r="I427" i="41"/>
  <c r="I426" i="41"/>
  <c r="I424" i="41"/>
  <c r="I425" i="41"/>
  <c r="Y12" i="47"/>
  <c r="T12" i="47"/>
  <c r="T19" i="47" s="1"/>
  <c r="T23" i="47" s="1"/>
  <c r="G73" i="47"/>
  <c r="G80" i="47" s="1"/>
  <c r="G85" i="47" s="1"/>
  <c r="G117" i="105"/>
  <c r="G127" i="105" s="1"/>
  <c r="G202" i="47" s="1"/>
  <c r="T33" i="47" s="1"/>
  <c r="G78" i="47"/>
  <c r="G115" i="47"/>
  <c r="AQ92" i="108"/>
  <c r="BR54" i="108"/>
  <c r="G470" i="41"/>
  <c r="G517" i="41" s="1"/>
  <c r="G469" i="41"/>
  <c r="G516" i="41" s="1"/>
  <c r="G468" i="41"/>
  <c r="M322" i="41"/>
  <c r="M323" i="41" s="1"/>
  <c r="M324" i="41" s="1"/>
  <c r="M126" i="47"/>
  <c r="AV5" i="47" s="1"/>
  <c r="M332" i="41"/>
  <c r="M333" i="41" s="1"/>
  <c r="M334" i="41" s="1"/>
  <c r="M127" i="47"/>
  <c r="AS39" i="47"/>
  <c r="L450" i="41"/>
  <c r="L454" i="41"/>
  <c r="L464" i="41"/>
  <c r="L452" i="41"/>
  <c r="L462" i="41"/>
  <c r="AK8" i="47"/>
  <c r="AU27" i="47"/>
  <c r="AU28" i="47"/>
  <c r="AQ52" i="113"/>
  <c r="AC54" i="113"/>
  <c r="BP52" i="113"/>
  <c r="BN54" i="113"/>
  <c r="L506" i="41"/>
  <c r="L404" i="41"/>
  <c r="L423" i="41"/>
  <c r="L421" i="41"/>
  <c r="L422" i="41"/>
  <c r="M499" i="41"/>
  <c r="M312" i="41"/>
  <c r="L159" i="47"/>
  <c r="AC92" i="111"/>
  <c r="AC115" i="111" s="1"/>
  <c r="BP54" i="111"/>
  <c r="BP92" i="111" s="1"/>
  <c r="BP115" i="111" s="1"/>
  <c r="L117" i="105"/>
  <c r="L127" i="105" s="1"/>
  <c r="L202" i="47" s="1"/>
  <c r="AJ216" i="73"/>
  <c r="AJ265" i="73" s="1"/>
  <c r="AJ267" i="73" s="1"/>
  <c r="AJ275" i="73" s="1"/>
  <c r="AJ279" i="73" s="1"/>
  <c r="AJ284" i="73" s="1"/>
  <c r="AK177" i="73"/>
  <c r="AK178" i="73" s="1"/>
  <c r="AK179" i="73" s="1"/>
  <c r="AK180" i="73" s="1"/>
  <c r="AK182" i="73" s="1"/>
  <c r="AL163" i="73"/>
  <c r="AL164" i="73" s="1"/>
  <c r="AL177" i="73" s="1"/>
  <c r="AL178" i="73" s="1"/>
  <c r="AL179" i="73" s="1"/>
  <c r="AL180" i="73" s="1"/>
  <c r="AL182" i="73" s="1"/>
  <c r="AJ240" i="74"/>
  <c r="AI255" i="74"/>
  <c r="AM157" i="73"/>
  <c r="AM161" i="73"/>
  <c r="AN162" i="73"/>
  <c r="AN158" i="73"/>
  <c r="AI265" i="73"/>
  <c r="AI267" i="73" s="1"/>
  <c r="AI275" i="73" s="1"/>
  <c r="AI279" i="73" s="1"/>
  <c r="AI284" i="73" s="1"/>
  <c r="AI217" i="73"/>
  <c r="AI218" i="73" s="1"/>
  <c r="AI219" i="73" s="1"/>
  <c r="J429" i="41"/>
  <c r="J447" i="41"/>
  <c r="J457" i="41"/>
  <c r="J437" i="41"/>
  <c r="J439" i="41"/>
  <c r="J459" i="41"/>
  <c r="J449" i="41"/>
  <c r="J438" i="41"/>
  <c r="J448" i="41"/>
  <c r="J458" i="41"/>
  <c r="AK216" i="73"/>
  <c r="AM156" i="73"/>
  <c r="AM160" i="73"/>
  <c r="J57" i="47"/>
  <c r="J16" i="105"/>
  <c r="AB52" i="112"/>
  <c r="AC52" i="102"/>
  <c r="J113" i="47"/>
  <c r="BN52" i="102"/>
  <c r="AC52" i="112"/>
  <c r="Z52" i="114"/>
  <c r="AB52" i="102"/>
  <c r="BN52" i="112"/>
  <c r="I58" i="47"/>
  <c r="AA52" i="112"/>
  <c r="I57" i="47"/>
  <c r="F114" i="47"/>
  <c r="I16" i="105"/>
  <c r="K77" i="47"/>
  <c r="F77" i="47"/>
  <c r="J76" i="47"/>
  <c r="K114" i="47"/>
  <c r="AA52" i="102"/>
  <c r="J58" i="47"/>
  <c r="I17" i="105"/>
  <c r="J17" i="105"/>
  <c r="BR52" i="111" l="1"/>
  <c r="AQ54" i="111"/>
  <c r="W13" i="47"/>
  <c r="L460" i="41"/>
  <c r="AC54" i="112"/>
  <c r="AC92" i="112" s="1"/>
  <c r="AC115" i="112" s="1"/>
  <c r="AC54" i="102"/>
  <c r="AC89" i="102" s="1"/>
  <c r="AC105" i="102" s="1"/>
  <c r="AQ52" i="102"/>
  <c r="AA54" i="102"/>
  <c r="AA54" i="112"/>
  <c r="AQ52" i="112"/>
  <c r="BN54" i="112"/>
  <c r="BP52" i="112"/>
  <c r="AB54" i="102"/>
  <c r="AB89" i="102" s="1"/>
  <c r="AB105" i="102" s="1"/>
  <c r="BN54" i="102"/>
  <c r="BP52" i="102"/>
  <c r="AB54" i="112"/>
  <c r="AB92" i="112" s="1"/>
  <c r="AB115" i="112" s="1"/>
  <c r="K425" i="41"/>
  <c r="K424" i="41"/>
  <c r="K423" i="41"/>
  <c r="K404" i="41"/>
  <c r="K422" i="41"/>
  <c r="K421" i="41"/>
  <c r="F428" i="41"/>
  <c r="F427" i="41"/>
  <c r="F426" i="41"/>
  <c r="F421" i="41"/>
  <c r="F423" i="41"/>
  <c r="F422" i="41"/>
  <c r="F404" i="41"/>
  <c r="F506" i="41"/>
  <c r="K428" i="41"/>
  <c r="K427" i="41"/>
  <c r="K426" i="41"/>
  <c r="K506" i="41"/>
  <c r="F425" i="41"/>
  <c r="F424" i="41"/>
  <c r="V13" i="47"/>
  <c r="V14" i="47"/>
  <c r="I460" i="41"/>
  <c r="I450" i="41"/>
  <c r="I440" i="41"/>
  <c r="I463" i="41"/>
  <c r="I443" i="41"/>
  <c r="I453" i="41"/>
  <c r="I439" i="41"/>
  <c r="I459" i="41"/>
  <c r="I449" i="41"/>
  <c r="BP54" i="110"/>
  <c r="BP92" i="110" s="1"/>
  <c r="BP115" i="110" s="1"/>
  <c r="BN92" i="110"/>
  <c r="BN115" i="110" s="1"/>
  <c r="AA92" i="110"/>
  <c r="AA115" i="110" s="1"/>
  <c r="AQ54" i="110"/>
  <c r="I451" i="41"/>
  <c r="I441" i="41"/>
  <c r="I461" i="41"/>
  <c r="I442" i="41"/>
  <c r="I452" i="41"/>
  <c r="I462" i="41"/>
  <c r="I454" i="41"/>
  <c r="I464" i="41"/>
  <c r="I444" i="41"/>
  <c r="I457" i="41"/>
  <c r="I437" i="41"/>
  <c r="I429" i="41"/>
  <c r="I447" i="41"/>
  <c r="I438" i="41"/>
  <c r="I448" i="41"/>
  <c r="I458" i="41"/>
  <c r="BR52" i="110"/>
  <c r="G120" i="47"/>
  <c r="G515" i="41"/>
  <c r="G518" i="41" s="1"/>
  <c r="G185" i="47" s="1"/>
  <c r="G472" i="41"/>
  <c r="BR92" i="108"/>
  <c r="BR115" i="108" s="1"/>
  <c r="AQ115" i="108"/>
  <c r="M396" i="41"/>
  <c r="M412" i="41" s="1"/>
  <c r="M397" i="41"/>
  <c r="M414" i="41" s="1"/>
  <c r="AV6" i="47"/>
  <c r="AV23" i="47" s="1"/>
  <c r="AU39" i="47"/>
  <c r="AK12" i="47"/>
  <c r="AD16" i="47" s="1"/>
  <c r="H33" i="15" s="1"/>
  <c r="M336" i="41"/>
  <c r="M403" i="41" s="1"/>
  <c r="M337" i="41"/>
  <c r="M339" i="41" s="1"/>
  <c r="M345" i="41" s="1"/>
  <c r="M326" i="41"/>
  <c r="M402" i="41" s="1"/>
  <c r="M327" i="41"/>
  <c r="M329" i="41" s="1"/>
  <c r="M344" i="41" s="1"/>
  <c r="AJ217" i="73"/>
  <c r="AJ218" i="73" s="1"/>
  <c r="AJ219" i="73" s="1"/>
  <c r="BR52" i="113"/>
  <c r="Z54" i="114"/>
  <c r="Z92" i="114" s="1"/>
  <c r="Z115" i="114" s="1"/>
  <c r="L437" i="41"/>
  <c r="L457" i="41"/>
  <c r="L429" i="41"/>
  <c r="L447" i="41"/>
  <c r="M413" i="41"/>
  <c r="BP54" i="113"/>
  <c r="BP92" i="113" s="1"/>
  <c r="BP115" i="113" s="1"/>
  <c r="BN92" i="113"/>
  <c r="BN115" i="113" s="1"/>
  <c r="M395" i="41"/>
  <c r="M313" i="41"/>
  <c r="M314" i="41" s="1"/>
  <c r="M317" i="41" s="1"/>
  <c r="L449" i="41"/>
  <c r="L439" i="41"/>
  <c r="L459" i="41"/>
  <c r="AQ54" i="113"/>
  <c r="AC92" i="113"/>
  <c r="AC115" i="113" s="1"/>
  <c r="L438" i="41"/>
  <c r="L458" i="41"/>
  <c r="L448" i="41"/>
  <c r="AQ92" i="111"/>
  <c r="BR54" i="111"/>
  <c r="Y33" i="47"/>
  <c r="J117" i="105"/>
  <c r="J127" i="105" s="1"/>
  <c r="J202" i="47" s="1"/>
  <c r="AL215" i="73"/>
  <c r="AL264" i="73" s="1"/>
  <c r="AM163" i="73"/>
  <c r="AM164" i="73" s="1"/>
  <c r="AM177" i="73" s="1"/>
  <c r="AM178" i="73" s="1"/>
  <c r="AM179" i="73" s="1"/>
  <c r="AM180" i="73" s="1"/>
  <c r="AM182" i="73" s="1"/>
  <c r="AJ255" i="74"/>
  <c r="AK240" i="74"/>
  <c r="AN157" i="73"/>
  <c r="AN161" i="73"/>
  <c r="AO158" i="73"/>
  <c r="AO162" i="73"/>
  <c r="J469" i="41"/>
  <c r="J516" i="41" s="1"/>
  <c r="J78" i="47"/>
  <c r="J115" i="47"/>
  <c r="W14" i="47"/>
  <c r="J73" i="47"/>
  <c r="J80" i="47" s="1"/>
  <c r="J85" i="47" s="1"/>
  <c r="J468" i="41"/>
  <c r="J470" i="41"/>
  <c r="J517" i="41" s="1"/>
  <c r="AK265" i="73"/>
  <c r="AK267" i="73" s="1"/>
  <c r="AK275" i="73" s="1"/>
  <c r="AK279" i="73" s="1"/>
  <c r="AK284" i="73" s="1"/>
  <c r="AK217" i="73"/>
  <c r="AK218" i="73" s="1"/>
  <c r="AK219" i="73" s="1"/>
  <c r="AN160" i="73"/>
  <c r="AN156" i="73"/>
  <c r="F17" i="105"/>
  <c r="L58" i="47"/>
  <c r="L17" i="105"/>
  <c r="M110" i="47"/>
  <c r="M83" i="47"/>
  <c r="K16" i="105"/>
  <c r="L76" i="47"/>
  <c r="K17" i="105"/>
  <c r="I76" i="47"/>
  <c r="F16" i="105"/>
  <c r="I56" i="47"/>
  <c r="K57" i="47"/>
  <c r="L113" i="47"/>
  <c r="K58" i="47"/>
  <c r="I113" i="47"/>
  <c r="F57" i="47"/>
  <c r="I15" i="105"/>
  <c r="F58" i="47"/>
  <c r="M415" i="41" l="1"/>
  <c r="X13" i="47"/>
  <c r="K84" i="105"/>
  <c r="K101" i="105" s="1"/>
  <c r="K110" i="105" s="1"/>
  <c r="S14" i="47"/>
  <c r="F85" i="105"/>
  <c r="F102" i="105" s="1"/>
  <c r="F111" i="105" s="1"/>
  <c r="G85" i="105"/>
  <c r="G102" i="105" s="1"/>
  <c r="G111" i="105" s="1"/>
  <c r="I85" i="105"/>
  <c r="I102" i="105" s="1"/>
  <c r="I111" i="105" s="1"/>
  <c r="J85" i="105"/>
  <c r="J102" i="105" s="1"/>
  <c r="J111" i="105" s="1"/>
  <c r="S13" i="47"/>
  <c r="F84" i="105"/>
  <c r="F101" i="105" s="1"/>
  <c r="F110" i="105" s="1"/>
  <c r="J84" i="105"/>
  <c r="J101" i="105" s="1"/>
  <c r="J110" i="105" s="1"/>
  <c r="G84" i="105"/>
  <c r="G101" i="105" s="1"/>
  <c r="G110" i="105" s="1"/>
  <c r="L84" i="105"/>
  <c r="L101" i="105" s="1"/>
  <c r="L110" i="105" s="1"/>
  <c r="I84" i="105"/>
  <c r="I101" i="105" s="1"/>
  <c r="I110" i="105" s="1"/>
  <c r="X14" i="47"/>
  <c r="K85" i="105"/>
  <c r="K102" i="105" s="1"/>
  <c r="K111" i="105" s="1"/>
  <c r="F440" i="41"/>
  <c r="F460" i="41"/>
  <c r="F450" i="41"/>
  <c r="K453" i="41"/>
  <c r="K443" i="41"/>
  <c r="K463" i="41"/>
  <c r="F448" i="41"/>
  <c r="F438" i="41"/>
  <c r="F458" i="41"/>
  <c r="F447" i="41"/>
  <c r="F429" i="41"/>
  <c r="F457" i="41"/>
  <c r="F437" i="41"/>
  <c r="F453" i="41"/>
  <c r="F463" i="41"/>
  <c r="F443" i="41"/>
  <c r="K437" i="41"/>
  <c r="K447" i="41"/>
  <c r="K457" i="41"/>
  <c r="K429" i="41"/>
  <c r="K440" i="41"/>
  <c r="K460" i="41"/>
  <c r="K450" i="41"/>
  <c r="BN89" i="102"/>
  <c r="BN105" i="102" s="1"/>
  <c r="BP54" i="102"/>
  <c r="BP89" i="102" s="1"/>
  <c r="BP105" i="102" s="1"/>
  <c r="BR52" i="112"/>
  <c r="AA89" i="102"/>
  <c r="AA105" i="102" s="1"/>
  <c r="AQ54" i="102"/>
  <c r="F451" i="41"/>
  <c r="F441" i="41"/>
  <c r="F461" i="41"/>
  <c r="K442" i="41"/>
  <c r="K452" i="41"/>
  <c r="K462" i="41"/>
  <c r="K454" i="41"/>
  <c r="K464" i="41"/>
  <c r="K444" i="41"/>
  <c r="F439" i="41"/>
  <c r="F449" i="41"/>
  <c r="F459" i="41"/>
  <c r="F452" i="41"/>
  <c r="F442" i="41"/>
  <c r="F462" i="41"/>
  <c r="F464" i="41"/>
  <c r="F454" i="41"/>
  <c r="F444" i="41"/>
  <c r="K438" i="41"/>
  <c r="K458" i="41"/>
  <c r="K448" i="41"/>
  <c r="K439" i="41"/>
  <c r="K449" i="41"/>
  <c r="K459" i="41"/>
  <c r="K461" i="41"/>
  <c r="K451" i="41"/>
  <c r="K441" i="41"/>
  <c r="BN92" i="112"/>
  <c r="BN115" i="112" s="1"/>
  <c r="BP54" i="112"/>
  <c r="BP92" i="112" s="1"/>
  <c r="BP115" i="112" s="1"/>
  <c r="AA92" i="112"/>
  <c r="AA115" i="112" s="1"/>
  <c r="AQ54" i="112"/>
  <c r="BR52" i="102"/>
  <c r="I469" i="41"/>
  <c r="I516" i="41" s="1"/>
  <c r="I468" i="41"/>
  <c r="I470" i="41"/>
  <c r="I517" i="41" s="1"/>
  <c r="I117" i="105"/>
  <c r="I127" i="105" s="1"/>
  <c r="I202" i="47" s="1"/>
  <c r="V33" i="47" s="1"/>
  <c r="V12" i="47"/>
  <c r="V19" i="47" s="1"/>
  <c r="V23" i="47" s="1"/>
  <c r="I73" i="47"/>
  <c r="I80" i="47" s="1"/>
  <c r="I85" i="47" s="1"/>
  <c r="I115" i="47"/>
  <c r="I78" i="47"/>
  <c r="AQ92" i="110"/>
  <c r="BR54" i="110"/>
  <c r="G204" i="47"/>
  <c r="T28" i="47"/>
  <c r="M416" i="41"/>
  <c r="M501" i="41"/>
  <c r="AV21" i="47"/>
  <c r="M502" i="41"/>
  <c r="W19" i="47"/>
  <c r="AL216" i="73"/>
  <c r="L85" i="105"/>
  <c r="L102" i="105" s="1"/>
  <c r="L111" i="105" s="1"/>
  <c r="L73" i="47"/>
  <c r="L80" i="47" s="1"/>
  <c r="L85" i="47" s="1"/>
  <c r="Y14" i="47"/>
  <c r="L115" i="47"/>
  <c r="L78" i="47"/>
  <c r="P82" i="47"/>
  <c r="M111" i="47"/>
  <c r="BG8" i="47" s="1"/>
  <c r="U33" i="15" s="1"/>
  <c r="M424" i="41"/>
  <c r="M425" i="41"/>
  <c r="M316" i="41"/>
  <c r="M505" i="41"/>
  <c r="L470" i="41"/>
  <c r="L517" i="41" s="1"/>
  <c r="M409" i="41"/>
  <c r="M411" i="41"/>
  <c r="M398" i="41"/>
  <c r="M391" i="41" s="1"/>
  <c r="M410" i="41"/>
  <c r="L468" i="41"/>
  <c r="M428" i="41"/>
  <c r="M426" i="41"/>
  <c r="M427" i="41"/>
  <c r="AQ92" i="113"/>
  <c r="BR54" i="113"/>
  <c r="M140" i="47"/>
  <c r="L469" i="41"/>
  <c r="L516" i="41" s="1"/>
  <c r="AQ115" i="111"/>
  <c r="BR92" i="111"/>
  <c r="BR115" i="111" s="1"/>
  <c r="W33" i="47"/>
  <c r="AM215" i="73"/>
  <c r="AM264" i="73" s="1"/>
  <c r="AN163" i="73"/>
  <c r="AN164" i="73" s="1"/>
  <c r="AN177" i="73" s="1"/>
  <c r="AN178" i="73" s="1"/>
  <c r="AN179" i="73" s="1"/>
  <c r="AN180" i="73" s="1"/>
  <c r="AN182" i="73" s="1"/>
  <c r="AK255" i="74"/>
  <c r="AL240" i="74"/>
  <c r="J120" i="47"/>
  <c r="AP158" i="73"/>
  <c r="AP162" i="73"/>
  <c r="AO157" i="73"/>
  <c r="AO161" i="73"/>
  <c r="J472" i="41"/>
  <c r="J515" i="41"/>
  <c r="J518" i="41" s="1"/>
  <c r="J185" i="47" s="1"/>
  <c r="AO156" i="73"/>
  <c r="AO160" i="73"/>
  <c r="K113" i="47"/>
  <c r="K15" i="105"/>
  <c r="K56" i="47"/>
  <c r="F113" i="47"/>
  <c r="BO52" i="114"/>
  <c r="F56" i="47"/>
  <c r="AA52" i="114"/>
  <c r="F76" i="47"/>
  <c r="K76" i="47"/>
  <c r="AB52" i="114"/>
  <c r="F15" i="105"/>
  <c r="X12" i="47" l="1"/>
  <c r="X19" i="47" s="1"/>
  <c r="X23" i="47" s="1"/>
  <c r="K73" i="47"/>
  <c r="K80" i="47" s="1"/>
  <c r="K85" i="47" s="1"/>
  <c r="K117" i="105"/>
  <c r="K127" i="105" s="1"/>
  <c r="K202" i="47" s="1"/>
  <c r="X33" i="47" s="1"/>
  <c r="K83" i="105"/>
  <c r="K100" i="105" s="1"/>
  <c r="K109" i="105" s="1"/>
  <c r="S12" i="47"/>
  <c r="S19" i="47" s="1"/>
  <c r="S23" i="47" s="1"/>
  <c r="F73" i="47"/>
  <c r="F80" i="47" s="1"/>
  <c r="F85" i="47" s="1"/>
  <c r="F83" i="105"/>
  <c r="F100" i="105" s="1"/>
  <c r="F109" i="105" s="1"/>
  <c r="G83" i="105"/>
  <c r="G100" i="105" s="1"/>
  <c r="G109" i="105" s="1"/>
  <c r="J83" i="105"/>
  <c r="J100" i="105" s="1"/>
  <c r="J109" i="105" s="1"/>
  <c r="L83" i="105"/>
  <c r="L100" i="105" s="1"/>
  <c r="L109" i="105" s="1"/>
  <c r="I83" i="105"/>
  <c r="I100" i="105" s="1"/>
  <c r="I109" i="105" s="1"/>
  <c r="K115" i="47"/>
  <c r="K78" i="47"/>
  <c r="F78" i="47"/>
  <c r="F115" i="47"/>
  <c r="AQ92" i="112"/>
  <c r="BR54" i="112"/>
  <c r="K470" i="41"/>
  <c r="K517" i="41" s="1"/>
  <c r="K468" i="41"/>
  <c r="F468" i="41"/>
  <c r="BR54" i="102"/>
  <c r="AQ89" i="102"/>
  <c r="K469" i="41"/>
  <c r="K516" i="41" s="1"/>
  <c r="F470" i="41"/>
  <c r="F517" i="41" s="1"/>
  <c r="F469" i="41"/>
  <c r="F516" i="41" s="1"/>
  <c r="I120" i="47"/>
  <c r="I515" i="41"/>
  <c r="I518" i="41" s="1"/>
  <c r="I185" i="47" s="1"/>
  <c r="I472" i="41"/>
  <c r="BR92" i="110"/>
  <c r="BR115" i="110" s="1"/>
  <c r="AQ115" i="110"/>
  <c r="T58" i="47"/>
  <c r="T37" i="47"/>
  <c r="AA54" i="114"/>
  <c r="AA92" i="114" s="1"/>
  <c r="AA115" i="114" s="1"/>
  <c r="J204" i="47"/>
  <c r="W28" i="47"/>
  <c r="D37" i="15"/>
  <c r="AX21" i="47"/>
  <c r="Y19" i="47"/>
  <c r="Y23" i="47" s="1"/>
  <c r="AB54" i="114"/>
  <c r="AB92" i="114" s="1"/>
  <c r="AB115" i="114" s="1"/>
  <c r="W23" i="47"/>
  <c r="AV24" i="47"/>
  <c r="AL217" i="73"/>
  <c r="AL218" i="73" s="1"/>
  <c r="AL219" i="73" s="1"/>
  <c r="AL265" i="73"/>
  <c r="AL267" i="73" s="1"/>
  <c r="AL275" i="73" s="1"/>
  <c r="AL279" i="73" s="1"/>
  <c r="AL284" i="73" s="1"/>
  <c r="L39" i="76" s="1"/>
  <c r="L102" i="76" s="1"/>
  <c r="L195" i="47" s="1"/>
  <c r="Y29" i="47" s="1"/>
  <c r="Y59" i="47" s="1"/>
  <c r="BO54" i="114"/>
  <c r="BO92" i="114" s="1"/>
  <c r="BO115" i="114" s="1"/>
  <c r="M464" i="41"/>
  <c r="M454" i="41"/>
  <c r="M444" i="41"/>
  <c r="M503" i="41"/>
  <c r="M401" i="41"/>
  <c r="M504" i="41"/>
  <c r="M319" i="41"/>
  <c r="M343" i="41" s="1"/>
  <c r="M346" i="41" s="1"/>
  <c r="M145" i="47" s="1"/>
  <c r="BR92" i="113"/>
  <c r="BR115" i="113" s="1"/>
  <c r="AQ115" i="113"/>
  <c r="L515" i="41"/>
  <c r="L518" i="41" s="1"/>
  <c r="L185" i="47" s="1"/>
  <c r="Y28" i="47" s="1"/>
  <c r="L472" i="41"/>
  <c r="M417" i="41"/>
  <c r="M451" i="41"/>
  <c r="M441" i="41"/>
  <c r="M461" i="41"/>
  <c r="L120" i="47"/>
  <c r="M443" i="41"/>
  <c r="M463" i="41"/>
  <c r="M453" i="41"/>
  <c r="M440" i="41"/>
  <c r="M450" i="41"/>
  <c r="M460" i="41"/>
  <c r="M442" i="41"/>
  <c r="M452" i="41"/>
  <c r="M462" i="41"/>
  <c r="AN215" i="73"/>
  <c r="AN264" i="73" s="1"/>
  <c r="AM216" i="73"/>
  <c r="AM217" i="73" s="1"/>
  <c r="AM218" i="73" s="1"/>
  <c r="AM219" i="73" s="1"/>
  <c r="AO163" i="73"/>
  <c r="AO164" i="73" s="1"/>
  <c r="AO215" i="73" s="1"/>
  <c r="AO264" i="73" s="1"/>
  <c r="AL255" i="74"/>
  <c r="AM240" i="74"/>
  <c r="AP157" i="73"/>
  <c r="AP161" i="73"/>
  <c r="AQ158" i="73"/>
  <c r="AQ162" i="73"/>
  <c r="AP156" i="73"/>
  <c r="AP160" i="73"/>
  <c r="BN52" i="114"/>
  <c r="M56" i="47"/>
  <c r="M57" i="47"/>
  <c r="M15" i="105"/>
  <c r="M77" i="47"/>
  <c r="M16" i="105"/>
  <c r="AC52" i="114"/>
  <c r="M114" i="47"/>
  <c r="AQ105" i="102" l="1"/>
  <c r="BR89" i="102"/>
  <c r="BR105" i="102" s="1"/>
  <c r="F472" i="41"/>
  <c r="F515" i="41"/>
  <c r="F518" i="41" s="1"/>
  <c r="F185" i="47" s="1"/>
  <c r="AQ115" i="112"/>
  <c r="BR92" i="112"/>
  <c r="BR115" i="112" s="1"/>
  <c r="F120" i="47"/>
  <c r="K120" i="47"/>
  <c r="K472" i="41"/>
  <c r="K515" i="41"/>
  <c r="K518" i="41" s="1"/>
  <c r="K185" i="47" s="1"/>
  <c r="V28" i="47"/>
  <c r="I204" i="47"/>
  <c r="T42" i="47"/>
  <c r="T41" i="47"/>
  <c r="U47" i="47"/>
  <c r="Z12" i="47"/>
  <c r="M83" i="105"/>
  <c r="M100" i="105" s="1"/>
  <c r="M109" i="105" s="1"/>
  <c r="M84" i="105"/>
  <c r="M101" i="105" s="1"/>
  <c r="M110" i="105" s="1"/>
  <c r="Z13" i="47"/>
  <c r="L204" i="47"/>
  <c r="AV27" i="47"/>
  <c r="AO31" i="47" s="1"/>
  <c r="AV28" i="47"/>
  <c r="AO177" i="73"/>
  <c r="AO178" i="73" s="1"/>
  <c r="AO179" i="73" s="1"/>
  <c r="AO180" i="73" s="1"/>
  <c r="AO182" i="73" s="1"/>
  <c r="W37" i="47"/>
  <c r="W58" i="47"/>
  <c r="BN54" i="114"/>
  <c r="BP52" i="114"/>
  <c r="AQ52" i="114"/>
  <c r="AC54" i="114"/>
  <c r="M159" i="47"/>
  <c r="M422" i="41"/>
  <c r="M404" i="41"/>
  <c r="M423" i="41"/>
  <c r="M421" i="41"/>
  <c r="M506" i="41"/>
  <c r="M117" i="105"/>
  <c r="M127" i="105" s="1"/>
  <c r="M202" i="47" s="1"/>
  <c r="AN216" i="73"/>
  <c r="AN217" i="73" s="1"/>
  <c r="AN218" i="73" s="1"/>
  <c r="AN219" i="73" s="1"/>
  <c r="AM265" i="73"/>
  <c r="AM267" i="73" s="1"/>
  <c r="AM275" i="73" s="1"/>
  <c r="AM279" i="73" s="1"/>
  <c r="AM284" i="73" s="1"/>
  <c r="AP163" i="73"/>
  <c r="AP164" i="73" s="1"/>
  <c r="AP215" i="73" s="1"/>
  <c r="AP264" i="73" s="1"/>
  <c r="AO216" i="73"/>
  <c r="AO265" i="73" s="1"/>
  <c r="AO267" i="73" s="1"/>
  <c r="AO275" i="73" s="1"/>
  <c r="AO279" i="73" s="1"/>
  <c r="AO284" i="73" s="1"/>
  <c r="AN240" i="74"/>
  <c r="AM255" i="74"/>
  <c r="AQ157" i="73"/>
  <c r="AQ161" i="73"/>
  <c r="AQ156" i="73"/>
  <c r="AQ160" i="73"/>
  <c r="X28" i="47" l="1"/>
  <c r="K204" i="47"/>
  <c r="F204" i="47"/>
  <c r="S28" i="47"/>
  <c r="V37" i="47"/>
  <c r="V58" i="47"/>
  <c r="U45" i="47"/>
  <c r="T72" i="47"/>
  <c r="AV39" i="47"/>
  <c r="P33" i="15" s="1"/>
  <c r="AO39" i="47"/>
  <c r="O28" i="15" s="1"/>
  <c r="AN265" i="73"/>
  <c r="AN267" i="73" s="1"/>
  <c r="AN275" i="73" s="1"/>
  <c r="AN279" i="73" s="1"/>
  <c r="AN284" i="73" s="1"/>
  <c r="X47" i="47"/>
  <c r="W41" i="47"/>
  <c r="W42" i="47"/>
  <c r="Y37" i="47"/>
  <c r="Y58" i="47"/>
  <c r="BR52" i="114"/>
  <c r="AC92" i="114"/>
  <c r="AC115" i="114" s="1"/>
  <c r="AQ54" i="114"/>
  <c r="M438" i="41"/>
  <c r="M448" i="41"/>
  <c r="M458" i="41"/>
  <c r="M439" i="41"/>
  <c r="M459" i="41"/>
  <c r="M449" i="41"/>
  <c r="BP54" i="114"/>
  <c r="BP92" i="114" s="1"/>
  <c r="BP115" i="114" s="1"/>
  <c r="BN92" i="114"/>
  <c r="BN115" i="114" s="1"/>
  <c r="M437" i="41"/>
  <c r="M429" i="41"/>
  <c r="M447" i="41"/>
  <c r="M457" i="41"/>
  <c r="Z33" i="47"/>
  <c r="AP177" i="73"/>
  <c r="AP178" i="73" s="1"/>
  <c r="AP179" i="73" s="1"/>
  <c r="AP180" i="73" s="1"/>
  <c r="AP182" i="73" s="1"/>
  <c r="AO217" i="73"/>
  <c r="AO218" i="73" s="1"/>
  <c r="AO219" i="73" s="1"/>
  <c r="AQ163" i="73"/>
  <c r="AQ164" i="73" s="1"/>
  <c r="AQ177" i="73" s="1"/>
  <c r="AQ178" i="73" s="1"/>
  <c r="AQ179" i="73" s="1"/>
  <c r="AQ180" i="73" s="1"/>
  <c r="AQ182" i="73" s="1"/>
  <c r="AP216" i="73"/>
  <c r="AP217" i="73" s="1"/>
  <c r="AP218" i="73" s="1"/>
  <c r="AP219" i="73" s="1"/>
  <c r="AN255" i="74"/>
  <c r="AO240" i="74"/>
  <c r="M76" i="47"/>
  <c r="M58" i="47"/>
  <c r="M113" i="47"/>
  <c r="M17" i="105"/>
  <c r="S58" i="47" l="1"/>
  <c r="S37" i="47"/>
  <c r="X58" i="47"/>
  <c r="X37" i="47"/>
  <c r="W47" i="47"/>
  <c r="V42" i="47"/>
  <c r="V41" i="47"/>
  <c r="AC35" i="47" s="1"/>
  <c r="J33" i="15" s="1"/>
  <c r="Y42" i="47"/>
  <c r="X45" i="47"/>
  <c r="W72" i="47"/>
  <c r="Z47" i="47"/>
  <c r="Y41" i="47"/>
  <c r="M468" i="41"/>
  <c r="M515" i="41" s="1"/>
  <c r="AQ215" i="73"/>
  <c r="AQ264" i="73" s="1"/>
  <c r="M115" i="47"/>
  <c r="M78" i="47"/>
  <c r="M85" i="105"/>
  <c r="M102" i="105" s="1"/>
  <c r="M111" i="105" s="1"/>
  <c r="Z14" i="47"/>
  <c r="M73" i="47"/>
  <c r="M80" i="47" s="1"/>
  <c r="M85" i="47" s="1"/>
  <c r="M470" i="41"/>
  <c r="M517" i="41" s="1"/>
  <c r="BR54" i="114"/>
  <c r="AQ92" i="114"/>
  <c r="M469" i="41"/>
  <c r="AP265" i="73"/>
  <c r="AP267" i="73" s="1"/>
  <c r="AP275" i="73" s="1"/>
  <c r="AP279" i="73" s="1"/>
  <c r="AP284" i="73" s="1"/>
  <c r="AO255" i="74"/>
  <c r="AP240" i="74"/>
  <c r="X42" i="47" l="1"/>
  <c r="X41" i="47"/>
  <c r="Y47" i="47"/>
  <c r="S41" i="47"/>
  <c r="T47" i="47"/>
  <c r="S42" i="47"/>
  <c r="V56" i="47" s="1"/>
  <c r="W45" i="47"/>
  <c r="V72" i="47"/>
  <c r="M120" i="47"/>
  <c r="Y72" i="47"/>
  <c r="Z45" i="47"/>
  <c r="Z19" i="47"/>
  <c r="AQ216" i="73"/>
  <c r="AQ265" i="73" s="1"/>
  <c r="AQ267" i="73" s="1"/>
  <c r="AQ275" i="73" s="1"/>
  <c r="AQ279" i="73" s="1"/>
  <c r="AQ284" i="73" s="1"/>
  <c r="M39" i="76" s="1"/>
  <c r="M102" i="76" s="1"/>
  <c r="M195" i="47" s="1"/>
  <c r="Z29" i="47" s="1"/>
  <c r="Z59" i="47" s="1"/>
  <c r="M516" i="41"/>
  <c r="M472" i="41"/>
  <c r="AQ115" i="114"/>
  <c r="BR92" i="114"/>
  <c r="BR115" i="114" s="1"/>
  <c r="AQ240" i="74"/>
  <c r="AQ255" i="74" s="1"/>
  <c r="AP255" i="74"/>
  <c r="S56" i="47" l="1"/>
  <c r="T45" i="47"/>
  <c r="W56" i="47"/>
  <c r="S72" i="47"/>
  <c r="S74" i="47" s="1"/>
  <c r="T56" i="47"/>
  <c r="Y56" i="47"/>
  <c r="Y45" i="47"/>
  <c r="X72" i="47"/>
  <c r="X56" i="47"/>
  <c r="M518" i="41"/>
  <c r="M185" i="47" s="1"/>
  <c r="Z23" i="47"/>
  <c r="AQ217" i="73"/>
  <c r="AQ218" i="73" s="1"/>
  <c r="AQ219" i="73" s="1"/>
  <c r="Z28" i="47" l="1"/>
  <c r="Z58" i="47" s="1"/>
  <c r="M204" i="47"/>
  <c r="H260" i="41"/>
  <c r="H302" i="41" s="1"/>
  <c r="H305" i="41" s="1"/>
  <c r="Z37" i="47" l="1"/>
  <c r="Z41" i="47" s="1"/>
  <c r="AD35" i="47" s="1"/>
  <c r="K33" i="15" s="1"/>
  <c r="H308" i="41"/>
  <c r="H307" i="41"/>
  <c r="H306" i="41"/>
  <c r="H125" i="47" s="1"/>
  <c r="AQ4" i="47" s="1"/>
  <c r="AA46" i="47" l="1"/>
  <c r="Z42" i="47"/>
  <c r="Z56" i="47" s="1"/>
  <c r="H332" i="41"/>
  <c r="H397" i="41" s="1"/>
  <c r="H127" i="47"/>
  <c r="H322" i="41"/>
  <c r="H323" i="41" s="1"/>
  <c r="H324" i="41" s="1"/>
  <c r="H126" i="47"/>
  <c r="AQ5" i="47" s="1"/>
  <c r="H499" i="41"/>
  <c r="H312" i="41"/>
  <c r="Z52" i="109"/>
  <c r="Z72" i="47" l="1"/>
  <c r="AA44" i="47"/>
  <c r="H396" i="41"/>
  <c r="H412" i="41" s="1"/>
  <c r="AQ6" i="47"/>
  <c r="AQ23" i="47" s="1"/>
  <c r="H333" i="41"/>
  <c r="H334" i="41" s="1"/>
  <c r="H337" i="41" s="1"/>
  <c r="H339" i="41" s="1"/>
  <c r="H345" i="41" s="1"/>
  <c r="H326" i="41"/>
  <c r="H402" i="41" s="1"/>
  <c r="H327" i="41"/>
  <c r="H329" i="41" s="1"/>
  <c r="H344" i="41" s="1"/>
  <c r="Z54" i="109"/>
  <c r="H414" i="41"/>
  <c r="H416" i="41"/>
  <c r="H415" i="41"/>
  <c r="H313" i="41"/>
  <c r="H314" i="41" s="1"/>
  <c r="H317" i="41" s="1"/>
  <c r="H395" i="41"/>
  <c r="H413" i="41"/>
  <c r="H336" i="41" l="1"/>
  <c r="H403" i="41" s="1"/>
  <c r="H427" i="41" s="1"/>
  <c r="AQ24" i="47"/>
  <c r="AQ21" i="47"/>
  <c r="H501" i="41"/>
  <c r="H505" i="41"/>
  <c r="H316" i="41"/>
  <c r="H140" i="47"/>
  <c r="H424" i="41"/>
  <c r="H425" i="41"/>
  <c r="Z92" i="109"/>
  <c r="Z115" i="109" s="1"/>
  <c r="H411" i="41"/>
  <c r="H398" i="41"/>
  <c r="H391" i="41" s="1"/>
  <c r="H410" i="41"/>
  <c r="H409" i="41"/>
  <c r="BO52" i="109"/>
  <c r="AA52" i="109"/>
  <c r="H83" i="47"/>
  <c r="H110" i="47"/>
  <c r="H426" i="41" l="1"/>
  <c r="H452" i="41" s="1"/>
  <c r="H428" i="41"/>
  <c r="H454" i="41" s="1"/>
  <c r="H502" i="41"/>
  <c r="AA54" i="109"/>
  <c r="AA92" i="109" s="1"/>
  <c r="AA115" i="109" s="1"/>
  <c r="H417" i="41"/>
  <c r="BO54" i="109"/>
  <c r="BO92" i="109" s="1"/>
  <c r="BO115" i="109" s="1"/>
  <c r="H111" i="47"/>
  <c r="BB8" i="47" s="1"/>
  <c r="H461" i="41"/>
  <c r="H441" i="41"/>
  <c r="H451" i="41"/>
  <c r="H440" i="41"/>
  <c r="H460" i="41"/>
  <c r="H450" i="41"/>
  <c r="H453" i="41"/>
  <c r="H463" i="41"/>
  <c r="H443" i="41"/>
  <c r="H319" i="41"/>
  <c r="H343" i="41" s="1"/>
  <c r="H346" i="41" s="1"/>
  <c r="H145" i="47" s="1"/>
  <c r="H504" i="41"/>
  <c r="H503" i="41"/>
  <c r="H401" i="41"/>
  <c r="H77" i="47"/>
  <c r="AC52" i="109"/>
  <c r="H56" i="47"/>
  <c r="AB52" i="109"/>
  <c r="BN52" i="109"/>
  <c r="H114" i="47"/>
  <c r="H15" i="105"/>
  <c r="H464" i="41" l="1"/>
  <c r="H444" i="41"/>
  <c r="H442" i="41"/>
  <c r="H462" i="41"/>
  <c r="AB54" i="109"/>
  <c r="AB92" i="109" s="1"/>
  <c r="AB115" i="109" s="1"/>
  <c r="H117" i="105"/>
  <c r="H127" i="105" s="1"/>
  <c r="H202" i="47" s="1"/>
  <c r="U33" i="47" s="1"/>
  <c r="H83" i="105"/>
  <c r="H100" i="105" s="1"/>
  <c r="H109" i="105" s="1"/>
  <c r="U12" i="47"/>
  <c r="AQ27" i="47"/>
  <c r="AQ28" i="47"/>
  <c r="AC54" i="109"/>
  <c r="AQ52" i="109"/>
  <c r="BP52" i="109"/>
  <c r="BN54" i="109"/>
  <c r="H404" i="41"/>
  <c r="H422" i="41"/>
  <c r="H423" i="41"/>
  <c r="H421" i="41"/>
  <c r="H506" i="41"/>
  <c r="H159" i="47"/>
  <c r="H57" i="47"/>
  <c r="H16" i="105"/>
  <c r="U13" i="47" l="1"/>
  <c r="H84" i="105"/>
  <c r="H101" i="105" s="1"/>
  <c r="H110" i="105" s="1"/>
  <c r="AQ39" i="47"/>
  <c r="BR52" i="109"/>
  <c r="H447" i="41"/>
  <c r="H429" i="41"/>
  <c r="H457" i="41"/>
  <c r="H437" i="41"/>
  <c r="H439" i="41"/>
  <c r="H449" i="41"/>
  <c r="H459" i="41"/>
  <c r="BP54" i="109"/>
  <c r="BP92" i="109" s="1"/>
  <c r="BP115" i="109" s="1"/>
  <c r="BN92" i="109"/>
  <c r="BN115" i="109" s="1"/>
  <c r="H448" i="41"/>
  <c r="H438" i="41"/>
  <c r="H458" i="41"/>
  <c r="AC92" i="109"/>
  <c r="AC115" i="109" s="1"/>
  <c r="AQ54" i="109"/>
  <c r="H113" i="47"/>
  <c r="H76" i="47"/>
  <c r="H58" i="47"/>
  <c r="H17" i="105"/>
  <c r="H85" i="105" l="1"/>
  <c r="H102" i="105" s="1"/>
  <c r="H111" i="105" s="1"/>
  <c r="U14" i="47"/>
  <c r="H73" i="47"/>
  <c r="H80" i="47" s="1"/>
  <c r="H85" i="47" s="1"/>
  <c r="H115" i="47"/>
  <c r="H78" i="47"/>
  <c r="H468" i="41"/>
  <c r="H470" i="41"/>
  <c r="H517" i="41" s="1"/>
  <c r="BR54" i="109"/>
  <c r="AQ92" i="109"/>
  <c r="H469" i="41"/>
  <c r="H516" i="41" s="1"/>
  <c r="U19" i="47" l="1"/>
  <c r="H120" i="47"/>
  <c r="H472" i="41"/>
  <c r="H515" i="41"/>
  <c r="H518" i="41" s="1"/>
  <c r="H185" i="47" s="1"/>
  <c r="BR92" i="109"/>
  <c r="BR115" i="109" s="1"/>
  <c r="AQ115" i="109"/>
  <c r="H204" i="47" l="1"/>
  <c r="U28" i="47"/>
  <c r="U23" i="47"/>
  <c r="U37" i="47" l="1"/>
  <c r="U58" i="47"/>
  <c r="U42" i="47" l="1"/>
  <c r="U56" i="47" s="1"/>
  <c r="V47" i="47"/>
  <c r="U41" i="47"/>
  <c r="V45" i="47" l="1"/>
  <c r="U72" i="47"/>
</calcChain>
</file>

<file path=xl/comments1.xml><?xml version="1.0" encoding="utf-8"?>
<comments xmlns="http://schemas.openxmlformats.org/spreadsheetml/2006/main">
  <authors>
    <author>Autor</author>
  </authors>
  <commentList>
    <comment ref="B99" authorId="0">
      <text>
        <r>
          <rPr>
            <b/>
            <sz val="8"/>
            <color indexed="81"/>
            <rFont val="Tahoma"/>
            <family val="2"/>
          </rPr>
          <t>Autor:</t>
        </r>
        <r>
          <rPr>
            <sz val="8"/>
            <color indexed="81"/>
            <rFont val="Tahoma"/>
            <family val="2"/>
          </rPr>
          <t xml:space="preserve">
Mirar estos factores</t>
        </r>
      </text>
    </comment>
  </commentList>
</comments>
</file>

<file path=xl/sharedStrings.xml><?xml version="1.0" encoding="utf-8"?>
<sst xmlns="http://schemas.openxmlformats.org/spreadsheetml/2006/main" count="13510" uniqueCount="2459">
  <si>
    <t>A.a</t>
  </si>
  <si>
    <t>Elección de trayectoria</t>
  </si>
  <si>
    <t>Componente</t>
  </si>
  <si>
    <t>Trayectoria</t>
  </si>
  <si>
    <t>Crecimiento poblacional</t>
  </si>
  <si>
    <t>Crecimiento económico</t>
  </si>
  <si>
    <t>Supuestos de la trayectoria</t>
  </si>
  <si>
    <t>Descripción</t>
  </si>
  <si>
    <t>Notas</t>
  </si>
  <si>
    <t>Elegida</t>
  </si>
  <si>
    <t>Crecimiento de la economía</t>
  </si>
  <si>
    <t>Notas:</t>
  </si>
  <si>
    <t>[1]</t>
  </si>
  <si>
    <t>Supuestos fijos</t>
  </si>
  <si>
    <t>Salida</t>
  </si>
  <si>
    <t>Variable</t>
  </si>
  <si>
    <t>2015</t>
  </si>
  <si>
    <t>2020</t>
  </si>
  <si>
    <t>2025</t>
  </si>
  <si>
    <t>2030</t>
  </si>
  <si>
    <t>2035</t>
  </si>
  <si>
    <t>2040</t>
  </si>
  <si>
    <t>2045</t>
  </si>
  <si>
    <t>2050</t>
  </si>
  <si>
    <t>Población</t>
  </si>
  <si>
    <t>PIB per cápita</t>
  </si>
  <si>
    <t>Year</t>
  </si>
  <si>
    <t>Año</t>
  </si>
  <si>
    <t>Fixed assumptions</t>
  </si>
  <si>
    <t>Assumption</t>
  </si>
  <si>
    <t>Units</t>
  </si>
  <si>
    <t>Value</t>
  </si>
  <si>
    <t>UK incident solar energy, annual average</t>
  </si>
  <si>
    <t>UK incident solar energy, south-facing roof</t>
  </si>
  <si>
    <t>Discounting</t>
  </si>
  <si>
    <t>Discount rate (User Defined)</t>
  </si>
  <si>
    <t>Discount factor</t>
  </si>
  <si>
    <t>Financing costs for different sectors</t>
  </si>
  <si>
    <t>Low</t>
  </si>
  <si>
    <t>High</t>
  </si>
  <si>
    <t>Sector</t>
  </si>
  <si>
    <t>Rate</t>
  </si>
  <si>
    <t>Years</t>
  </si>
  <si>
    <t>Note:</t>
  </si>
  <si>
    <t>Default, unless specified below</t>
  </si>
  <si>
    <t>To work properly, years should be a multiple of 5</t>
  </si>
  <si>
    <t>I.a</t>
  </si>
  <si>
    <t>Conventional thermal plant</t>
  </si>
  <si>
    <t>I.b</t>
  </si>
  <si>
    <t>Combustion + CCS</t>
  </si>
  <si>
    <t>II.a</t>
  </si>
  <si>
    <t>Nuclear power</t>
  </si>
  <si>
    <t>III.a.1</t>
  </si>
  <si>
    <t>Onshore wind</t>
  </si>
  <si>
    <t>III.a.2</t>
  </si>
  <si>
    <t>Offshore wind</t>
  </si>
  <si>
    <t>III.b</t>
  </si>
  <si>
    <t>Hydroelectric</t>
  </si>
  <si>
    <t>III.c</t>
  </si>
  <si>
    <t>Wave and Tidal</t>
  </si>
  <si>
    <t>III.d</t>
  </si>
  <si>
    <t>Geothermal</t>
  </si>
  <si>
    <t>IV.a</t>
  </si>
  <si>
    <t>Distributed solar PV</t>
  </si>
  <si>
    <t>IV.b</t>
  </si>
  <si>
    <t>Distributed solar thermal</t>
  </si>
  <si>
    <t>IV.c</t>
  </si>
  <si>
    <t>Micro wind</t>
  </si>
  <si>
    <t>V.a</t>
  </si>
  <si>
    <t>Biomatter to fuel conversion</t>
  </si>
  <si>
    <t>VI.b.Bioenergy</t>
  </si>
  <si>
    <t>Energy from waste</t>
  </si>
  <si>
    <t>VI.b.Waste</t>
  </si>
  <si>
    <t>Waste arising</t>
  </si>
  <si>
    <t>VII.b</t>
  </si>
  <si>
    <t>Electricity grid distribution</t>
  </si>
  <si>
    <t>VII.c</t>
  </si>
  <si>
    <t>Storage, demand shifting, backup</t>
  </si>
  <si>
    <t>VIII.a</t>
  </si>
  <si>
    <t>H2 Production</t>
  </si>
  <si>
    <t>IX.a.Heating</t>
  </si>
  <si>
    <t>Domestic heating</t>
  </si>
  <si>
    <t>IX.a.Insulation</t>
  </si>
  <si>
    <t>Domestic insulation</t>
  </si>
  <si>
    <t>IX.c</t>
  </si>
  <si>
    <t>Commercial heating and cooling</t>
  </si>
  <si>
    <t>X.a</t>
  </si>
  <si>
    <t>Domestic lighting, appliances, and cooking</t>
  </si>
  <si>
    <t>XII.a.ICE</t>
  </si>
  <si>
    <t>Conventional cars and buses</t>
  </si>
  <si>
    <t>XII.a.HEV</t>
  </si>
  <si>
    <t>Hybrid cars and buses</t>
  </si>
  <si>
    <t>XII.a.EV</t>
  </si>
  <si>
    <t>Electric cars and buses</t>
  </si>
  <si>
    <t>XII.a.FCV</t>
  </si>
  <si>
    <t>Fuel cell cars and buses</t>
  </si>
  <si>
    <t>XII.a.Bike</t>
  </si>
  <si>
    <t>Bikes</t>
  </si>
  <si>
    <t>XII.a.Rail</t>
  </si>
  <si>
    <t>Rail</t>
  </si>
  <si>
    <t>XII.a.Air</t>
  </si>
  <si>
    <t>Domestic aviation</t>
  </si>
  <si>
    <t>XII.b</t>
  </si>
  <si>
    <t>Domestic freight</t>
  </si>
  <si>
    <t>XII.c</t>
  </si>
  <si>
    <t>International aviation</t>
  </si>
  <si>
    <t>XII.e</t>
  </si>
  <si>
    <t>International shipping (maritime bunkers)</t>
  </si>
  <si>
    <t>XV.a</t>
  </si>
  <si>
    <t>Petroleum refineries</t>
  </si>
  <si>
    <t>XVI.a</t>
  </si>
  <si>
    <t>Fossil fuel transfers</t>
  </si>
  <si>
    <t>XVII.a</t>
  </si>
  <si>
    <t>District heating effective demand</t>
  </si>
  <si>
    <t>XVIII.a</t>
  </si>
  <si>
    <t>Storage of captured CO2</t>
  </si>
  <si>
    <t>NB: Interest rates are REAL</t>
  </si>
  <si>
    <t>PIB</t>
  </si>
  <si>
    <t>Total</t>
  </si>
  <si>
    <t>Supuestos globales para todos los sectores</t>
  </si>
  <si>
    <t>Viviendas</t>
  </si>
  <si>
    <t>Variación PIB %</t>
  </si>
  <si>
    <t>Variación Población %</t>
  </si>
  <si>
    <t>Escenario Bajo</t>
  </si>
  <si>
    <t>Escenario Medio</t>
  </si>
  <si>
    <t>Escenario Alto</t>
  </si>
  <si>
    <t>Variación Viviendas %</t>
  </si>
  <si>
    <t>Escenario Base Modelo de Demanda</t>
  </si>
  <si>
    <t>Escenario Bajo (MAPS, Fase 2)</t>
  </si>
  <si>
    <t>Escenario Medio (MAPS, Fase 2)</t>
  </si>
  <si>
    <t>Escenario Alto (MAPS, Fase 2)</t>
  </si>
  <si>
    <t>PIB (2003 MM CLP)</t>
  </si>
  <si>
    <t>Detalle Escenario base</t>
  </si>
  <si>
    <t>[2]</t>
  </si>
  <si>
    <t>Población, Proyección Anual</t>
  </si>
  <si>
    <t>Modelo de Demanda, División de Prospectiva y Política Energética, Ministerio de Energía, Chile.</t>
  </si>
  <si>
    <t>[3]</t>
  </si>
  <si>
    <t>Habitantes por vivienda</t>
  </si>
  <si>
    <t>Número de viviendas</t>
  </si>
  <si>
    <t>PIB Real (MM CLP 2013)</t>
  </si>
  <si>
    <t>Tasa Crecimiento PIB, Proyección Anual</t>
  </si>
  <si>
    <t>Detalles Trayetorias Población y Crecimiento PIB</t>
  </si>
  <si>
    <t>Personas por Vivienda</t>
  </si>
  <si>
    <t>* Tabla completada desde trayectoria elegida en sector A.a.</t>
  </si>
  <si>
    <t>Elección de Trayectoria</t>
  </si>
  <si>
    <t>Tecnología</t>
  </si>
  <si>
    <t>Vector</t>
  </si>
  <si>
    <t>Name</t>
  </si>
  <si>
    <t>Notes</t>
  </si>
  <si>
    <t>V.01</t>
  </si>
  <si>
    <t>V.02</t>
  </si>
  <si>
    <t>Supuestos de Trayectoria</t>
  </si>
  <si>
    <t>GW</t>
  </si>
  <si>
    <t>Selección</t>
  </si>
  <si>
    <t>Requerimiento de uso propio (porcentaje de electricidad generada)</t>
  </si>
  <si>
    <t>Combustible</t>
  </si>
  <si>
    <t>Tipo de planta</t>
  </si>
  <si>
    <t>N.01</t>
  </si>
  <si>
    <t>Fisión nuclear</t>
  </si>
  <si>
    <t>Eficiencia térmica (basada en poder calorífico superior)</t>
  </si>
  <si>
    <t>Factor de Planta</t>
  </si>
  <si>
    <t>Implicancias</t>
  </si>
  <si>
    <t>GWpeak</t>
  </si>
  <si>
    <t>Cost assumptions</t>
  </si>
  <si>
    <t>Delta</t>
  </si>
  <si>
    <t>High estimate</t>
  </si>
  <si>
    <t>Point estimate</t>
  </si>
  <si>
    <t>Low estimate</t>
  </si>
  <si>
    <t>Supuestos Derivados</t>
  </si>
  <si>
    <t>Capacidad Instalada</t>
  </si>
  <si>
    <t>Nuclear</t>
  </si>
  <si>
    <t>TWh</t>
  </si>
  <si>
    <t>#</t>
  </si>
  <si>
    <t>#/yr</t>
  </si>
  <si>
    <t>High estimate of costs</t>
  </si>
  <si>
    <t>Capital costs</t>
  </si>
  <si>
    <t>£m</t>
  </si>
  <si>
    <t>Operating costs</t>
  </si>
  <si>
    <t>Total costs</t>
  </si>
  <si>
    <t>Point estimate of costs</t>
  </si>
  <si>
    <t>Low estimate of costs</t>
  </si>
  <si>
    <t>Salidas</t>
  </si>
  <si>
    <t>Energy produced and required</t>
  </si>
  <si>
    <t>Nuclear fission</t>
  </si>
  <si>
    <t>X.01</t>
  </si>
  <si>
    <t>X.02</t>
  </si>
  <si>
    <t>Información</t>
  </si>
  <si>
    <t>Information summary</t>
  </si>
  <si>
    <t>B.02</t>
  </si>
  <si>
    <t>B.07</t>
  </si>
  <si>
    <t>%</t>
  </si>
  <si>
    <t>B.03</t>
  </si>
  <si>
    <t>Costs</t>
  </si>
  <si>
    <t>Costs of this physical change</t>
  </si>
  <si>
    <t>C1.High</t>
  </si>
  <si>
    <t>High estimate of capital costs</t>
  </si>
  <si>
    <t>C2.High</t>
  </si>
  <si>
    <t>High estimate of operating costs</t>
  </si>
  <si>
    <t>C1.Point</t>
  </si>
  <si>
    <t>Point estimate of capital costs</t>
  </si>
  <si>
    <t>C2.Point</t>
  </si>
  <si>
    <t>Point estimate of operating costs</t>
  </si>
  <si>
    <t>C1.Low</t>
  </si>
  <si>
    <t>Low estimate of capital costs</t>
  </si>
  <si>
    <t>C2.Low</t>
  </si>
  <si>
    <t>Low estimate of operating costs</t>
  </si>
  <si>
    <t>III</t>
  </si>
  <si>
    <t>Energia Renovable en Matriz Eléctrica</t>
  </si>
  <si>
    <t>III.a</t>
  </si>
  <si>
    <t>Eólica</t>
  </si>
  <si>
    <t>Generación Eólica, capacidad instalada</t>
  </si>
  <si>
    <t>Según variación porcentual 2014-2015 desde Anuario Estadístico de Energía 2015, CNE</t>
  </si>
  <si>
    <t>http://energiaabierta.cne.cl/reportes/</t>
  </si>
  <si>
    <t>De acuerdo a MESA ERNC, escenario 10</t>
  </si>
  <si>
    <t>Energías Renovables en Chile, El Potencial eólico, solar e hidroeléctrico de Arica a Chiloe</t>
  </si>
  <si>
    <t>http://www.minenergia.cl/archivos_bajar/Estudios/Potencial_ER_en_Chile_AC.pdf</t>
  </si>
  <si>
    <t>Supuestos Fijos</t>
  </si>
  <si>
    <t>factor de planta [1]</t>
  </si>
  <si>
    <t>R.02</t>
  </si>
  <si>
    <t>Unit</t>
  </si>
  <si>
    <t>Típico tamaño de turbina</t>
  </si>
  <si>
    <t>Energía/unidad de área</t>
  </si>
  <si>
    <t>TWh/km^2</t>
  </si>
  <si>
    <t>De acuerdo a MESA ERNC</t>
  </si>
  <si>
    <t>Asume un potencial minihídro de 10 GW en Chile</t>
  </si>
  <si>
    <t>http://www.revistaei.cl/2013/06/26/en-chile-se-estima-potencial-minihidro-en-10-000-mw/#</t>
  </si>
  <si>
    <t>Capital cost of a 0,0025 GW wind turbine</t>
  </si>
  <si>
    <t>£m/turbine</t>
  </si>
  <si>
    <t>Operating cost of a 0,0025 GW wind turbine</t>
  </si>
  <si>
    <t>Metodología</t>
  </si>
  <si>
    <t>Proporcionar toda la oferta disponible</t>
  </si>
  <si>
    <t>Generación Eólica</t>
  </si>
  <si>
    <t>×</t>
  </si>
  <si>
    <t>Factor de planta</t>
  </si>
  <si>
    <t>=</t>
  </si>
  <si>
    <t>Capacidad disponible</t>
  </si>
  <si>
    <t>Generación</t>
  </si>
  <si>
    <t>Para información:</t>
  </si>
  <si>
    <t>Tasa de Construcción aproximada</t>
  </si>
  <si>
    <t>-</t>
  </si>
  <si>
    <t>km^2</t>
  </si>
  <si>
    <t>Energía producida y requerida</t>
  </si>
  <si>
    <t>Nombre</t>
  </si>
  <si>
    <t>Electricidad (suministrada a la red)</t>
  </si>
  <si>
    <t>Information</t>
  </si>
  <si>
    <t>B.01</t>
  </si>
  <si>
    <t>III.b.1</t>
  </si>
  <si>
    <t>Mini Hidráulica de Pasada</t>
  </si>
  <si>
    <t>Generación Mini Hidráulica de Pasada, capacidad instalada</t>
  </si>
  <si>
    <t>R.06</t>
  </si>
  <si>
    <t>Tamaño referencial proyecto Mini Hidro</t>
  </si>
  <si>
    <t>A partir de MESA ERNC, promedio factor de planta SIC Centro, SIC CentroSur Ancoa, SIC CentroSur Charrúa, SIC Sur</t>
  </si>
  <si>
    <t>En revisión. Según ley, menor a 20 MW es mini hidro.</t>
  </si>
  <si>
    <t>Capital cost of a 0.1 GW hydro plant</t>
  </si>
  <si>
    <t>Operating cost of a 0.1 GW hydro plant</t>
  </si>
  <si>
    <t>factor de planta</t>
  </si>
  <si>
    <t>Tipo de información</t>
  </si>
  <si>
    <t>Capacidad instalada peak</t>
  </si>
  <si>
    <t>III.b.2</t>
  </si>
  <si>
    <t>Hidráulica de Pasada</t>
  </si>
  <si>
    <t>Generación Hidráulica de Pasada, capacidad instalada</t>
  </si>
  <si>
    <t>Según variación similar a mini hidro 2014-2015 desde Anuario Estadístico de Energía 2015, CNE</t>
  </si>
  <si>
    <t>A partir de "Energías Renovables en Chile, El Potencial eólico, solar e hidroeléctrico de Arica a Chiloe, 2014"</t>
  </si>
  <si>
    <t>Tamaño referencial proyecto Hidro Pasada</t>
  </si>
  <si>
    <t>En revisión. Según ley, menor a 20 MW es mini hidro. 50 MW se ajusta a hidro de pasada</t>
  </si>
  <si>
    <t>Número aproximado de plantas 50 MW</t>
  </si>
  <si>
    <t>Retirement rate</t>
  </si>
  <si>
    <t>III.b.3</t>
  </si>
  <si>
    <t>Hidráulica de Embalse</t>
  </si>
  <si>
    <t>Generación Hidráulica de Embalse, capacidad instalada</t>
  </si>
  <si>
    <t>Tamaño referencial proyecto Hidro Embalse</t>
  </si>
  <si>
    <t>PeakCapacity/unit of catchment area</t>
  </si>
  <si>
    <t>GWpeak/km^2</t>
  </si>
  <si>
    <t>En revisión</t>
  </si>
  <si>
    <t>En revisión. Referencia Embalse Colbun 474 MW,  en 46 km2</t>
  </si>
  <si>
    <t>Mareomotriz</t>
  </si>
  <si>
    <t>Undimotriz</t>
  </si>
  <si>
    <t>Generación Mareomotriz, capacidad instalada</t>
  </si>
  <si>
    <t>Sin Estrategia</t>
  </si>
  <si>
    <t>Estrategia de Implementación Plus</t>
  </si>
  <si>
    <t>Estrategia de Desarrollo</t>
  </si>
  <si>
    <t>Estrategia de Desarrollo acelerado</t>
  </si>
  <si>
    <t>Generación Undimotriz, capacidad instalada</t>
  </si>
  <si>
    <t xml:space="preserve">Trayectorias a partir de </t>
  </si>
  <si>
    <t>Recomendaciones para la Estrategia de Energía Marina  de Chile: un plande acción para su desarrollo, Aquatera, 2014.</t>
  </si>
  <si>
    <t>R.03</t>
  </si>
  <si>
    <t>R.04</t>
  </si>
  <si>
    <t>Disponibilidad</t>
  </si>
  <si>
    <t>Mareomotriz: Tamaño ilustrativo granja 15MW</t>
  </si>
  <si>
    <t>Undimotriz: Tamaño ilustrativo 2 veces Pelamis en Portugal</t>
  </si>
  <si>
    <t>Fuente: El doble capacidad de   http://www.pelamiswave.com/wp-content/uploads/2010/08/pelamisbrochure.pdf       http://www.power-technology.com/projects/pelamis/</t>
  </si>
  <si>
    <t>Wave</t>
  </si>
  <si>
    <t>Generación Mareomotríz</t>
  </si>
  <si>
    <t>Generación Undimotriz</t>
  </si>
  <si>
    <t>Número aproximado de granjas mareomotriz 15 MW</t>
  </si>
  <si>
    <t>Retiros</t>
  </si>
  <si>
    <t>Tasa de Construcción</t>
  </si>
  <si>
    <t>Número aproximado de granjas undimotriz 4,5 MW</t>
  </si>
  <si>
    <t>Energía producida y requerida - Total Mareomotriz &amp; Undimotriz</t>
  </si>
  <si>
    <t>Capacidad instalada [1]</t>
  </si>
  <si>
    <t>Toma como referencia construcción de proyecto Cerro Pabellón</t>
  </si>
  <si>
    <t>Potencial útil para generación eléctrica, SERNAGEOMIN</t>
  </si>
  <si>
    <t>R.05</t>
  </si>
  <si>
    <t>Geotérmica</t>
  </si>
  <si>
    <t>Implicaciones</t>
  </si>
  <si>
    <t>Unidad</t>
  </si>
  <si>
    <t>Tamaños ilustrativo de estación</t>
  </si>
  <si>
    <t>Generación Geotérmica</t>
  </si>
  <si>
    <t>Generación disponible</t>
  </si>
  <si>
    <t>Número aproximado de plantas geotérmicas de 100 MW</t>
  </si>
  <si>
    <t>Tipo de Información</t>
  </si>
  <si>
    <t>III.e</t>
  </si>
  <si>
    <t>Toma como referencia variación porcentual 2014-2015 desde Anuario Estadístico de Energía 2015, CNE</t>
  </si>
  <si>
    <t>A partir de Programa Estratégico Nacional en Industria Solar (PES), Fundación Chile</t>
  </si>
  <si>
    <t>factor de planta [4]</t>
  </si>
  <si>
    <t>R.01</t>
  </si>
  <si>
    <t>Solar</t>
  </si>
  <si>
    <t>[4]</t>
  </si>
  <si>
    <t>Considera un factor de planta tipo Solar Fotovoltaico SING Norte, según Mesa ERNC</t>
  </si>
  <si>
    <t>[5]</t>
  </si>
  <si>
    <t>Tamaño ilustrativo considerado 13 MW, mediana de proyectos instalados en SING</t>
  </si>
  <si>
    <t>Generación Eléctrica Solar</t>
  </si>
  <si>
    <t>I</t>
  </si>
  <si>
    <t>Entradas</t>
  </si>
  <si>
    <t>(i) Capacidad instalada en Biomasa</t>
  </si>
  <si>
    <t>Trajectoria</t>
  </si>
  <si>
    <t>Supuesto de potencial Biomasa en Chile de 2 GW adicional</t>
  </si>
  <si>
    <t>(ii) Capacidad instalada en Gas</t>
  </si>
  <si>
    <t>(iii) Capacidad instalada en Diesel</t>
  </si>
  <si>
    <t>(iv) Capacidad instalada en Carbón</t>
  </si>
  <si>
    <t>V.03</t>
  </si>
  <si>
    <t>Biomasa</t>
  </si>
  <si>
    <t>Gas</t>
  </si>
  <si>
    <t>V.04</t>
  </si>
  <si>
    <t>Diesel</t>
  </si>
  <si>
    <t>V.05</t>
  </si>
  <si>
    <t>Carbon</t>
  </si>
  <si>
    <t>Implications</t>
  </si>
  <si>
    <t>Illustrative station size</t>
  </si>
  <si>
    <t xml:space="preserve">Coal </t>
  </si>
  <si>
    <t>Oil</t>
  </si>
  <si>
    <t>Biomass</t>
  </si>
  <si>
    <t>PM10 emission factors</t>
  </si>
  <si>
    <t>Kte/TWh</t>
  </si>
  <si>
    <t>Fuel</t>
  </si>
  <si>
    <t>Solid hydrocarbons (coal)</t>
  </si>
  <si>
    <t>Solid hydrocarbons (biomass)</t>
  </si>
  <si>
    <t>Liquid hydrocarbons</t>
  </si>
  <si>
    <t>Gaseous hydrocarbons</t>
  </si>
  <si>
    <t>NOX emission factors</t>
  </si>
  <si>
    <t>SO2 emission factors</t>
  </si>
  <si>
    <t>NMVOC emission factors</t>
  </si>
  <si>
    <t>Source for 2007 data: DUKES 2009, Tables 5.7 and 5.10</t>
  </si>
  <si>
    <t>Notes:</t>
  </si>
  <si>
    <t>Estimated based on actual generation figures</t>
  </si>
  <si>
    <t>Includes CCGT, gas turbines, and oil engines</t>
  </si>
  <si>
    <t>Source: DECC, Delivering secure low carbon electricity, A call for evidence, Table 3.1, which is taken to imply that all oil-fuelled generation will be closed by end 2015.</t>
  </si>
  <si>
    <t xml:space="preserve">Closure rates for coal 2010-2025 are taken from summer 2010 UEP projections from DECC applied to 2010 figures (assumed to be DUKES figure for 2009). </t>
  </si>
  <si>
    <t>The annual closure rate between 2025 to 2030 is taken as the average UEP closure rate between 2010-2025</t>
  </si>
  <si>
    <t>Major Power Producers only</t>
  </si>
  <si>
    <t>Capital cost of a power plant</t>
  </si>
  <si>
    <t>£m/ 2GW plant</t>
  </si>
  <si>
    <t>2GW</t>
  </si>
  <si>
    <t>Coal</t>
  </si>
  <si>
    <t xml:space="preserve">Gas </t>
  </si>
  <si>
    <t>£m/ 0,5GW plant</t>
  </si>
  <si>
    <t>Solid biomass</t>
  </si>
  <si>
    <t>0,5GW</t>
  </si>
  <si>
    <t>Operating cost of a powerplant</t>
  </si>
  <si>
    <t>Supuestos derivados</t>
  </si>
  <si>
    <t>Transmission entry capacity (GW)</t>
  </si>
  <si>
    <t>Plant type</t>
  </si>
  <si>
    <t>Coal and Biomass</t>
  </si>
  <si>
    <t>Oil-fired</t>
  </si>
  <si>
    <t>CCGT and turbines</t>
  </si>
  <si>
    <t>na</t>
  </si>
  <si>
    <t>Average implied load factor for solid hydrocarbons</t>
  </si>
  <si>
    <t>% of peak</t>
  </si>
  <si>
    <t>|</t>
  </si>
  <si>
    <t>Capacidad instalada</t>
  </si>
  <si>
    <t>+</t>
  </si>
  <si>
    <t>Requerimiento de uso propio</t>
  </si>
  <si>
    <t>Generación Total</t>
  </si>
  <si>
    <t>÷</t>
  </si>
  <si>
    <t>Eficiencia térmica</t>
  </si>
  <si>
    <t>Combustible requerido</t>
  </si>
  <si>
    <t>Generación actual</t>
  </si>
  <si>
    <t>Carbón</t>
  </si>
  <si>
    <t>Gas new build</t>
  </si>
  <si>
    <t>Gas retirement</t>
  </si>
  <si>
    <t>Approximate total 2 GW locations</t>
  </si>
  <si>
    <t>Number of new builds required per 5 year period</t>
  </si>
  <si>
    <t>Number of 2 GW locations per year</t>
  </si>
  <si>
    <t>Energia producida y requerida</t>
  </si>
  <si>
    <t>Greenhouse gases</t>
  </si>
  <si>
    <t>Mt CO2e/yr</t>
  </si>
  <si>
    <t>GHG</t>
  </si>
  <si>
    <t>IPCC Sector</t>
  </si>
  <si>
    <t>CO2</t>
  </si>
  <si>
    <t>1A</t>
  </si>
  <si>
    <t>CH4</t>
  </si>
  <si>
    <t>N2O</t>
  </si>
  <si>
    <t>Demanda Eléctrica</t>
  </si>
  <si>
    <t>Escenario</t>
  </si>
  <si>
    <t>Oferta</t>
  </si>
  <si>
    <t>Demanda</t>
  </si>
  <si>
    <t>Escenarios Socioeconómicos</t>
  </si>
  <si>
    <t>Generación Marina</t>
  </si>
  <si>
    <t>Hidráulica</t>
  </si>
  <si>
    <t>Termoelectricidad</t>
  </si>
  <si>
    <t>Generación distribuida</t>
  </si>
  <si>
    <t>Techos Solares</t>
  </si>
  <si>
    <t>Sector Residuos</t>
  </si>
  <si>
    <t>VI.a</t>
  </si>
  <si>
    <t>Código</t>
  </si>
  <si>
    <t>Detalle</t>
  </si>
  <si>
    <t>Variables Socioeconómicas</t>
  </si>
  <si>
    <t>Nucleares</t>
  </si>
  <si>
    <t>Dispinibilidad según UK Calculator 90%</t>
  </si>
  <si>
    <t>Desde modelo de Demanda, según escenarios socioeconómicos</t>
  </si>
  <si>
    <t>Transporte</t>
  </si>
  <si>
    <t>XII.a</t>
  </si>
  <si>
    <t>Transporte de Carga</t>
  </si>
  <si>
    <t>Industria y Mineria</t>
  </si>
  <si>
    <t>Comercial, Público y Residencial</t>
  </si>
  <si>
    <t>XI.a</t>
  </si>
  <si>
    <t>Procesos Industriales</t>
  </si>
  <si>
    <t>Reducción de emisiones</t>
  </si>
  <si>
    <t>IX.a</t>
  </si>
  <si>
    <t>Climatización</t>
  </si>
  <si>
    <t>Fomento al Transporte Público</t>
  </si>
  <si>
    <t>Cambio modal transporte de carga</t>
  </si>
  <si>
    <t>Fomento de EE en camiones</t>
  </si>
  <si>
    <t>Población Base</t>
  </si>
  <si>
    <t>Emisiones</t>
  </si>
  <si>
    <t>GWP</t>
  </si>
  <si>
    <t>Natural gas</t>
  </si>
  <si>
    <t>Blast furnace gas</t>
  </si>
  <si>
    <t>HFCs</t>
  </si>
  <si>
    <t>140 to 11,700</t>
  </si>
  <si>
    <t>PFCs</t>
  </si>
  <si>
    <t>6,500 to 9,200</t>
  </si>
  <si>
    <t>Solid</t>
  </si>
  <si>
    <t>Liquid</t>
  </si>
  <si>
    <t>Description</t>
  </si>
  <si>
    <t>CO2e</t>
  </si>
  <si>
    <t>Z.01</t>
  </si>
  <si>
    <t>T.01</t>
  </si>
  <si>
    <t>T.02</t>
  </si>
  <si>
    <t>T.03</t>
  </si>
  <si>
    <t>T.04</t>
  </si>
  <si>
    <t>T.05</t>
  </si>
  <si>
    <t>T.06</t>
  </si>
  <si>
    <t>I.01</t>
  </si>
  <si>
    <t>H.01</t>
  </si>
  <si>
    <t>R.07</t>
  </si>
  <si>
    <t>A.01</t>
  </si>
  <si>
    <t>W.01</t>
  </si>
  <si>
    <t>Y.01</t>
  </si>
  <si>
    <t>Y.02</t>
  </si>
  <si>
    <t>Y.03</t>
  </si>
  <si>
    <t>Y.04</t>
  </si>
  <si>
    <t>Y.05</t>
  </si>
  <si>
    <t>Y.06</t>
  </si>
  <si>
    <t>Q.01</t>
  </si>
  <si>
    <t>Q.02</t>
  </si>
  <si>
    <t>Q.03</t>
  </si>
  <si>
    <t>C.01</t>
  </si>
  <si>
    <t>C.02</t>
  </si>
  <si>
    <t>C.03</t>
  </si>
  <si>
    <t>V.06</t>
  </si>
  <si>
    <t>V.07</t>
  </si>
  <si>
    <t>V.08</t>
  </si>
  <si>
    <t>V.09</t>
  </si>
  <si>
    <t>V.10</t>
  </si>
  <si>
    <t>V.11</t>
  </si>
  <si>
    <t>TOTAL</t>
  </si>
  <si>
    <t>Silvoagropecuario y Forestal</t>
  </si>
  <si>
    <t>X</t>
  </si>
  <si>
    <t>Residencial</t>
  </si>
  <si>
    <t>Casas</t>
  </si>
  <si>
    <t>Departamentos</t>
  </si>
  <si>
    <t>Viviendas totales</t>
  </si>
  <si>
    <t>Comentarios</t>
  </si>
  <si>
    <t>Casas nuevas</t>
  </si>
  <si>
    <t>Casas existentes</t>
  </si>
  <si>
    <t>Departamentos nuevos</t>
  </si>
  <si>
    <t>Departamentos existentes</t>
  </si>
  <si>
    <t>Subsector</t>
  </si>
  <si>
    <t>Comercial</t>
  </si>
  <si>
    <t>Público</t>
  </si>
  <si>
    <t>Gas Natural</t>
  </si>
  <si>
    <t>Petróleo Diesel</t>
  </si>
  <si>
    <t>Petróleo Combustible</t>
  </si>
  <si>
    <t>Kerosene</t>
  </si>
  <si>
    <t>Gas Licuado</t>
  </si>
  <si>
    <t>Gasolina de Aviación</t>
  </si>
  <si>
    <t>Kerosene de Aviación</t>
  </si>
  <si>
    <t>Electricidad</t>
  </si>
  <si>
    <t>Gas Corriente</t>
  </si>
  <si>
    <t>Uso</t>
  </si>
  <si>
    <t>Calefacción</t>
  </si>
  <si>
    <t>ACS</t>
  </si>
  <si>
    <t>Cocción</t>
  </si>
  <si>
    <t>Refrigeración</t>
  </si>
  <si>
    <t>Iluminación</t>
  </si>
  <si>
    <t>Otros artefacos Electricos</t>
  </si>
  <si>
    <t>Región</t>
  </si>
  <si>
    <t>Departamento</t>
  </si>
  <si>
    <t>Leña</t>
  </si>
  <si>
    <t>GLP</t>
  </si>
  <si>
    <t>GN</t>
  </si>
  <si>
    <t>Casa</t>
  </si>
  <si>
    <t>Region</t>
  </si>
  <si>
    <t>viviendas</t>
  </si>
  <si>
    <t>Número de casas</t>
  </si>
  <si>
    <t>Casas nuevas en 5 años</t>
  </si>
  <si>
    <t>Casas nuevas acumuladas</t>
  </si>
  <si>
    <t>Número de departamentos</t>
  </si>
  <si>
    <t>Departamentos nuevos en 5 años</t>
  </si>
  <si>
    <t>Departamentos nuevos acumulados</t>
  </si>
  <si>
    <t>Tipo</t>
  </si>
  <si>
    <t>Viendas</t>
  </si>
  <si>
    <t>(i) Factor de mejora viviendas nuevas</t>
  </si>
  <si>
    <t>Cálculo de impacto medidas</t>
  </si>
  <si>
    <t>Cálculo de emisiones</t>
  </si>
  <si>
    <t>casas</t>
  </si>
  <si>
    <t>departamentos</t>
  </si>
  <si>
    <t>Mejoras en envolvente térmica en edificaciones</t>
  </si>
  <si>
    <t>Ahorros generados</t>
  </si>
  <si>
    <t>Consumo neto</t>
  </si>
  <si>
    <t>Energético</t>
  </si>
  <si>
    <t>Petróleos</t>
  </si>
  <si>
    <t xml:space="preserve">Electricicidad  </t>
  </si>
  <si>
    <t>Mt CO2e</t>
  </si>
  <si>
    <t>Solid hydrocarbons</t>
  </si>
  <si>
    <t>Motriz</t>
  </si>
  <si>
    <t>Térmico</t>
  </si>
  <si>
    <t>Industry</t>
  </si>
  <si>
    <t>Lighting &amp; appliances</t>
  </si>
  <si>
    <t>Wind</t>
  </si>
  <si>
    <t>Tidal</t>
  </si>
  <si>
    <t>Hydro</t>
  </si>
  <si>
    <t>Environmental heat</t>
  </si>
  <si>
    <t>Agriculture</t>
  </si>
  <si>
    <t>Waste</t>
  </si>
  <si>
    <t>Electricity oversupply (imports)</t>
  </si>
  <si>
    <t>Coal and fossil waste</t>
  </si>
  <si>
    <t>Oil and petroleum products</t>
  </si>
  <si>
    <t>Heat transport</t>
  </si>
  <si>
    <t>Edible biomass</t>
  </si>
  <si>
    <t>Dry biomass and waste</t>
  </si>
  <si>
    <t>Wet biomass and waste</t>
  </si>
  <si>
    <t>Domestic solar thermal</t>
  </si>
  <si>
    <t>X.b</t>
  </si>
  <si>
    <t>(i) Demanda total del sector Comercial</t>
  </si>
  <si>
    <t>Comercial y Público</t>
  </si>
  <si>
    <t>Industria y Minería</t>
  </si>
  <si>
    <t>Cemento</t>
  </si>
  <si>
    <t>Petroquímica</t>
  </si>
  <si>
    <t>Hierro</t>
  </si>
  <si>
    <t>Salitre</t>
  </si>
  <si>
    <t>Cobre</t>
  </si>
  <si>
    <t>Pesca</t>
  </si>
  <si>
    <t>Azúcar</t>
  </si>
  <si>
    <t>Papel y Celulosa</t>
  </si>
  <si>
    <t>Industrias Varias</t>
  </si>
  <si>
    <t>Minas Varias</t>
  </si>
  <si>
    <t>Siderúrgica</t>
  </si>
  <si>
    <t>Petroleo no remplazado</t>
  </si>
  <si>
    <t>Nuevo consumo de Gas</t>
  </si>
  <si>
    <t>Ahorro térmico</t>
  </si>
  <si>
    <t>Ahorro motriz</t>
  </si>
  <si>
    <t>Otros Usos Eléctricos</t>
  </si>
  <si>
    <t>Indexado al 2015</t>
  </si>
  <si>
    <t>Siderurgica</t>
  </si>
  <si>
    <t>Remplazo por Energía Solar</t>
  </si>
  <si>
    <t>Eficiencia</t>
  </si>
  <si>
    <t>XI</t>
  </si>
  <si>
    <t>XII</t>
  </si>
  <si>
    <t>Vehículos Privados</t>
  </si>
  <si>
    <t>pasajero / vehiculo-km</t>
  </si>
  <si>
    <t xml:space="preserve">Gasolina </t>
  </si>
  <si>
    <t>Híbrido (gasolina)</t>
  </si>
  <si>
    <t>Híbrido (diesel)</t>
  </si>
  <si>
    <t>Híbrido Plug-in Gasolina</t>
  </si>
  <si>
    <t>Híbrido Plug-in Diesel</t>
  </si>
  <si>
    <t>Eléctrico</t>
  </si>
  <si>
    <t xml:space="preserve">Celda de Combustible Hidrógeno </t>
  </si>
  <si>
    <t>Transporte Público</t>
  </si>
  <si>
    <t>Buses eléctricos (EV)</t>
  </si>
  <si>
    <t>Buses híbridos (HEV)</t>
  </si>
  <si>
    <t>Buses a celda de combustible (FCV)</t>
  </si>
  <si>
    <t>Buses a combustión interna (ICE)</t>
  </si>
  <si>
    <t>Otros medios</t>
  </si>
  <si>
    <t>Bus</t>
  </si>
  <si>
    <t>Metro</t>
  </si>
  <si>
    <t>Taxi</t>
  </si>
  <si>
    <t>Parametro</t>
  </si>
  <si>
    <t>% pkm urbano</t>
  </si>
  <si>
    <t>% pkm interurbano</t>
  </si>
  <si>
    <t>Porcentaje</t>
  </si>
  <si>
    <t>Auto</t>
  </si>
  <si>
    <t>Tren</t>
  </si>
  <si>
    <t>Modo</t>
  </si>
  <si>
    <t>Nota</t>
  </si>
  <si>
    <t>Bicicleta</t>
  </si>
  <si>
    <t>Metro/Tren</t>
  </si>
  <si>
    <t>TWh/ bn vehículo-km</t>
  </si>
  <si>
    <t>Gasolina</t>
  </si>
  <si>
    <t>Híbrido</t>
  </si>
  <si>
    <t>TWh / bn vehicle-km</t>
  </si>
  <si>
    <t>Hidrógeno</t>
  </si>
  <si>
    <t>Uso de Electricidad</t>
  </si>
  <si>
    <t>Hibrido</t>
  </si>
  <si>
    <t>Auto / Taxi</t>
  </si>
  <si>
    <t>Celda de Combustible Hidrógeno  (FCV)</t>
  </si>
  <si>
    <t>Cálculo de Demanda de ENERGÍA</t>
  </si>
  <si>
    <t>Cálculo de Emisiones</t>
  </si>
  <si>
    <t>1.1</t>
  </si>
  <si>
    <t>Urbano</t>
  </si>
  <si>
    <t>1.2</t>
  </si>
  <si>
    <t>Interurbano</t>
  </si>
  <si>
    <t>2.1</t>
  </si>
  <si>
    <t>2.2</t>
  </si>
  <si>
    <t>3.1</t>
  </si>
  <si>
    <t>3.2</t>
  </si>
  <si>
    <t>4.1</t>
  </si>
  <si>
    <t>4.2</t>
  </si>
  <si>
    <t>Por Energético</t>
  </si>
  <si>
    <t>V.12</t>
  </si>
  <si>
    <t>tkm por año</t>
  </si>
  <si>
    <t>Caminero   [% tkm]</t>
  </si>
  <si>
    <t>Ferrocarril  [% tkm]</t>
  </si>
  <si>
    <t>Marítimo    [% tkm]</t>
  </si>
  <si>
    <t>Trayectoria 1</t>
  </si>
  <si>
    <t>Trayectoria 2</t>
  </si>
  <si>
    <t>Trayectoria 3</t>
  </si>
  <si>
    <t>Trayectoria 4</t>
  </si>
  <si>
    <t>% tkm urbano</t>
  </si>
  <si>
    <t>% tkm interurbano</t>
  </si>
  <si>
    <t>Liviano</t>
  </si>
  <si>
    <t>Mediano</t>
  </si>
  <si>
    <t>Pesado</t>
  </si>
  <si>
    <t>toneladas/vehículo</t>
  </si>
  <si>
    <t>(iv) Intensidad Energética: Consumo de Combustible 2015</t>
  </si>
  <si>
    <t>km/lt</t>
  </si>
  <si>
    <t>Terrestre - Camiones</t>
  </si>
  <si>
    <t>Ferroviario</t>
  </si>
  <si>
    <t>Tren Diesel</t>
  </si>
  <si>
    <t>M Cal / tkm</t>
  </si>
  <si>
    <t>Marítimo</t>
  </si>
  <si>
    <t>Ton/m3</t>
  </si>
  <si>
    <t>Ton/Lt</t>
  </si>
  <si>
    <t>KCal/Kg</t>
  </si>
  <si>
    <t>Tcal/Ton</t>
  </si>
  <si>
    <t>Tcal</t>
  </si>
  <si>
    <t>Cálculo de TKM por MODO</t>
  </si>
  <si>
    <t>Cálculo de VEHICULO-KM por MODO Caminero</t>
  </si>
  <si>
    <t>tkm total</t>
  </si>
  <si>
    <t>tkm</t>
  </si>
  <si>
    <t>tkm Caminero</t>
  </si>
  <si>
    <t>tkm Urbano</t>
  </si>
  <si>
    <t>tkm Interurbano</t>
  </si>
  <si>
    <t>tkm Urbano - Liviano</t>
  </si>
  <si>
    <t>tkm Urbano - Mediano</t>
  </si>
  <si>
    <t>tkm Urbano - Pesado</t>
  </si>
  <si>
    <t>tkm Interurbano - Liviano</t>
  </si>
  <si>
    <t>tkm Interurbano - Mediano</t>
  </si>
  <si>
    <t>tkm Interurbano - Pesado</t>
  </si>
  <si>
    <t>tkm Ferreo</t>
  </si>
  <si>
    <t>tkm Marítimo</t>
  </si>
  <si>
    <t>Cálculo de VEHICULO-KM por MODO</t>
  </si>
  <si>
    <t>Veh-km Caminero</t>
  </si>
  <si>
    <t>Veh-km Urbano - Liviano</t>
  </si>
  <si>
    <t xml:space="preserve">Veh-km </t>
  </si>
  <si>
    <t>Veh-km Urbano - Mediano</t>
  </si>
  <si>
    <t>Veh-km Urbano - Pesado</t>
  </si>
  <si>
    <t>Veh-km Ferro</t>
  </si>
  <si>
    <t>3.1.a</t>
  </si>
  <si>
    <t>Lt Caminero</t>
  </si>
  <si>
    <t>Lt Urbano</t>
  </si>
  <si>
    <t>Lt Liviano</t>
  </si>
  <si>
    <t>Lt</t>
  </si>
  <si>
    <t>Lt Mediano</t>
  </si>
  <si>
    <t>Lt Pesado</t>
  </si>
  <si>
    <t>3.1.b</t>
  </si>
  <si>
    <t>Energía - Caminero</t>
  </si>
  <si>
    <t>Energía Urbano</t>
  </si>
  <si>
    <t>Energía Liviano</t>
  </si>
  <si>
    <t>Energía Mediano</t>
  </si>
  <si>
    <t>Energía Pesado</t>
  </si>
  <si>
    <t>Energía Interurbano</t>
  </si>
  <si>
    <t>Energía Ferro</t>
  </si>
  <si>
    <t>3.3</t>
  </si>
  <si>
    <t>Energía Marítimo</t>
  </si>
  <si>
    <t>Resumen</t>
  </si>
  <si>
    <t>Elasticidad Habitantes por vivienda respecto a PIB</t>
  </si>
  <si>
    <t>Elasticidad</t>
  </si>
  <si>
    <t>Proyección Porcentaje Casa/Viviendas Totales</t>
  </si>
  <si>
    <t>Proyección de Habitantes por vivienda</t>
  </si>
  <si>
    <t>1.</t>
  </si>
  <si>
    <t>2.</t>
  </si>
  <si>
    <t>3.</t>
  </si>
  <si>
    <t>4.</t>
  </si>
  <si>
    <t>TWh / year</t>
  </si>
  <si>
    <t>Transport</t>
  </si>
  <si>
    <t>Supply / demand not accounted for</t>
  </si>
  <si>
    <t>H2</t>
  </si>
  <si>
    <t>V.13</t>
  </si>
  <si>
    <t>Energy crops (second generation)</t>
  </si>
  <si>
    <t>Total unaccounted supply / demand</t>
  </si>
  <si>
    <t>Supply, Demand, and Unaccounted supply</t>
  </si>
  <si>
    <t>Biomass/Coal power stations</t>
  </si>
  <si>
    <t>Domestic space heating and hot water</t>
  </si>
  <si>
    <t>CCS Power</t>
  </si>
  <si>
    <t>VII.a</t>
  </si>
  <si>
    <t>Electricity imports</t>
  </si>
  <si>
    <t>Total generation</t>
  </si>
  <si>
    <t>Emissions as % of base year, adjusted so that 2007 matches actuals</t>
  </si>
  <si>
    <t>Fuel Combustion</t>
  </si>
  <si>
    <t>1B</t>
  </si>
  <si>
    <t>Fugitive Emissions from Fuels</t>
  </si>
  <si>
    <t>Industrial Processes</t>
  </si>
  <si>
    <t>Solvent and Other Product Use</t>
  </si>
  <si>
    <t>LULUCF</t>
  </si>
  <si>
    <t>Other</t>
  </si>
  <si>
    <t>X1</t>
  </si>
  <si>
    <t>Int'l Aviation &amp; Shipping</t>
  </si>
  <si>
    <t>X2</t>
  </si>
  <si>
    <t>Bioenergy credit</t>
  </si>
  <si>
    <t>X3</t>
  </si>
  <si>
    <t>Carbon capture</t>
  </si>
  <si>
    <t>Excluding international bunkers</t>
  </si>
  <si>
    <t>Adjustment factor:</t>
  </si>
  <si>
    <t>% reduction 1990-2050</t>
  </si>
  <si>
    <t>IV</t>
  </si>
  <si>
    <t>V</t>
  </si>
  <si>
    <t>Bioenergy</t>
  </si>
  <si>
    <t>VII</t>
  </si>
  <si>
    <t>VIII</t>
  </si>
  <si>
    <t>IX</t>
  </si>
  <si>
    <t>Heating</t>
  </si>
  <si>
    <t>XIV</t>
  </si>
  <si>
    <t>Geosequestration</t>
  </si>
  <si>
    <t>XV</t>
  </si>
  <si>
    <t>XVII</t>
  </si>
  <si>
    <t>REFERENCED - All costs</t>
  </si>
  <si>
    <t>Modelled emissions</t>
  </si>
  <si>
    <t xml:space="preserve">Please note: emissions by sector need to account for bio-energy, which is accounted for separately (in V). </t>
  </si>
  <si>
    <t>Cumulative emissions are estimates based on a linear trajectory between the 5 year time periods</t>
  </si>
  <si>
    <t>Targets</t>
  </si>
  <si>
    <t>2050 target</t>
  </si>
  <si>
    <t>2020 target</t>
  </si>
  <si>
    <t>Actuals, as % of 2007, modelled</t>
  </si>
  <si>
    <t>% of 2007</t>
  </si>
  <si>
    <t>Kyoto agreed sectors</t>
  </si>
  <si>
    <t>International bunkers (CO2 only)</t>
  </si>
  <si>
    <t>Target, for chart</t>
  </si>
  <si>
    <t>Dummy, for chart</t>
  </si>
  <si>
    <t>Bio-energy - Production and Use</t>
  </si>
  <si>
    <t>Production</t>
  </si>
  <si>
    <t>Domestic</t>
  </si>
  <si>
    <t>Imports</t>
  </si>
  <si>
    <t>V.b</t>
  </si>
  <si>
    <t>Hydro-carbon use by sector and Bio-energy share</t>
  </si>
  <si>
    <t>Solid Hydrocarbon consumption</t>
  </si>
  <si>
    <t>Share of solid biomass to total solid hydrocarbon consumption</t>
  </si>
  <si>
    <t>Liquid Hydrocarbon consumption</t>
  </si>
  <si>
    <t>Share of Bioliquids to total liquid hydrocarbon consumption</t>
  </si>
  <si>
    <t>Gaseous Hydrocarbon consumption</t>
  </si>
  <si>
    <t>Share of Biogas to total gaseous hydrocarbon consumption</t>
  </si>
  <si>
    <t>Bio type</t>
  </si>
  <si>
    <t>Column1</t>
  </si>
  <si>
    <t>Electricity Generation Emissions</t>
  </si>
  <si>
    <t>Emissions from Electricity Generation, excluding CHP</t>
  </si>
  <si>
    <t>Power Generation</t>
  </si>
  <si>
    <t>CCS in Power</t>
  </si>
  <si>
    <t>Bioenergy in Gas Power</t>
  </si>
  <si>
    <t>Bioenergy in Solid BM Power</t>
  </si>
  <si>
    <t>Bioenergy in Solid HC CCS Power</t>
  </si>
  <si>
    <t>Bioenergy in Gas CCS Power</t>
  </si>
  <si>
    <t>Total Emissions from Power</t>
  </si>
  <si>
    <t>Emissions reclassified</t>
  </si>
  <si>
    <t>Emissions intensity</t>
  </si>
  <si>
    <t>MtCO2e/TWh</t>
  </si>
  <si>
    <t>gCO2e/KWh</t>
  </si>
  <si>
    <t>Note: Emissions from CHP are excluded, while emissions from district heating are included.</t>
  </si>
  <si>
    <t>Primary supply, format for web-based interface</t>
  </si>
  <si>
    <t>Total used in UK</t>
  </si>
  <si>
    <t>Imported energy</t>
  </si>
  <si>
    <t>% imported</t>
  </si>
  <si>
    <t>Primary demand</t>
  </si>
  <si>
    <t>Electricity, format for web-based interface</t>
  </si>
  <si>
    <t>H2 Production for Transport</t>
  </si>
  <si>
    <t>Agriculture and land use</t>
  </si>
  <si>
    <t>Solar thermal</t>
  </si>
  <si>
    <t>Commercial lighting, appliances, and catering</t>
  </si>
  <si>
    <t>Industrial processes</t>
  </si>
  <si>
    <t>Domestic passenger transport</t>
  </si>
  <si>
    <t>XIV.a</t>
  </si>
  <si>
    <t>XV.b</t>
  </si>
  <si>
    <t>Indigenous fossil-fuel production</t>
  </si>
  <si>
    <t>Heating and cooling</t>
  </si>
  <si>
    <t>V.14</t>
  </si>
  <si>
    <t>V.15</t>
  </si>
  <si>
    <t>F</t>
  </si>
  <si>
    <t>Subtotal.VIII.a</t>
  </si>
  <si>
    <t>Total supply (demand) to this point</t>
  </si>
  <si>
    <t>Subtotal.XVII.a</t>
  </si>
  <si>
    <t>Total heatsupply (demand) to this point</t>
  </si>
  <si>
    <t>Subtotal.VII.b</t>
  </si>
  <si>
    <t>Total electricity supply (demand) prior to generation</t>
  </si>
  <si>
    <t>Storage, demand shifting, interconnection</t>
  </si>
  <si>
    <t>Total supply / (demand) to this point</t>
  </si>
  <si>
    <t>Subtotal.XVI.a</t>
  </si>
  <si>
    <t>*</t>
  </si>
  <si>
    <t>XVI.b</t>
  </si>
  <si>
    <t>Balancing imports</t>
  </si>
  <si>
    <t>Industria y minería</t>
  </si>
  <si>
    <r>
      <t>H</t>
    </r>
    <r>
      <rPr>
        <vertAlign val="subscript"/>
        <sz val="10"/>
        <color theme="1"/>
        <rFont val="Calibri"/>
        <family val="1"/>
        <scheme val="minor"/>
      </rPr>
      <t>2</t>
    </r>
  </si>
  <si>
    <t>B.04</t>
  </si>
  <si>
    <t>B.05</t>
  </si>
  <si>
    <t>B.06</t>
  </si>
  <si>
    <t>B.12</t>
  </si>
  <si>
    <t>B.08</t>
  </si>
  <si>
    <t>B.09</t>
  </si>
  <si>
    <t>B.10</t>
  </si>
  <si>
    <t>B.11</t>
  </si>
  <si>
    <t>Flujos</t>
  </si>
  <si>
    <t>Modulos</t>
  </si>
  <si>
    <t>Vectores de energía</t>
  </si>
  <si>
    <t>F Código</t>
  </si>
  <si>
    <t>Categoría</t>
  </si>
  <si>
    <t>Subcategoría</t>
  </si>
  <si>
    <t>Supuestos Globales</t>
  </si>
  <si>
    <t>Generación por Termoelectricidad</t>
  </si>
  <si>
    <t>Escenarios Socio-economicos</t>
  </si>
  <si>
    <t>Tipo de Planta</t>
  </si>
  <si>
    <t>Eficiencia de Conversión, incidencia de luz de Electricidad</t>
  </si>
  <si>
    <t>Proyecto tipo</t>
  </si>
  <si>
    <t>kW</t>
  </si>
  <si>
    <t>Generación Solar Distribuida PV</t>
  </si>
  <si>
    <t>Para referencia</t>
  </si>
  <si>
    <t>Input de Potencia Solar</t>
  </si>
  <si>
    <t>Intencidad de Incidencia Solar</t>
  </si>
  <si>
    <t>W / m2</t>
  </si>
  <si>
    <t>Total area</t>
  </si>
  <si>
    <t>m2</t>
  </si>
  <si>
    <t>km2</t>
  </si>
  <si>
    <t>Personas</t>
  </si>
  <si>
    <t>m2/personas</t>
  </si>
  <si>
    <t>W/vivienda</t>
  </si>
  <si>
    <t>Area / Viviendas</t>
  </si>
  <si>
    <t>Area / persona</t>
  </si>
  <si>
    <t>Viento</t>
  </si>
  <si>
    <t>Capital cost of a 0,000005 GW wind turbine</t>
  </si>
  <si>
    <t>Operating cost of a 0,000005 GW wind turbine</t>
  </si>
  <si>
    <t>New build</t>
  </si>
  <si>
    <t>Replacement build</t>
  </si>
  <si>
    <t>Total build rate</t>
  </si>
  <si>
    <t>Resumen de Información</t>
  </si>
  <si>
    <t>Producción de H2</t>
  </si>
  <si>
    <t>Producción de Combustibles Fósiles</t>
  </si>
  <si>
    <t>Generación Distribuida</t>
  </si>
  <si>
    <t>Residuos</t>
  </si>
  <si>
    <t>Forestal</t>
  </si>
  <si>
    <t>Comercial y Púbico</t>
  </si>
  <si>
    <t>Transporte de carga</t>
  </si>
  <si>
    <t>Balance</t>
  </si>
  <si>
    <t>Perdidas</t>
  </si>
  <si>
    <t>Fuente primaria</t>
  </si>
  <si>
    <t>Renovables</t>
  </si>
  <si>
    <t>Importaciones neta</t>
  </si>
  <si>
    <t>Reservas</t>
  </si>
  <si>
    <t>Combustibles fósiles</t>
  </si>
  <si>
    <t>Combustibles basados en carbón</t>
  </si>
  <si>
    <t>Calor</t>
  </si>
  <si>
    <t>Hdrógeno</t>
  </si>
  <si>
    <t>Área</t>
  </si>
  <si>
    <t>Largo</t>
  </si>
  <si>
    <t>Sin asignar</t>
  </si>
  <si>
    <t>Perdidas por conversión</t>
  </si>
  <si>
    <t>Perdidas por distribución y uso propio</t>
  </si>
  <si>
    <t>Shipping international</t>
  </si>
  <si>
    <t>Hidro</t>
  </si>
  <si>
    <t>Geotermia</t>
  </si>
  <si>
    <t>Biomasa sobreoferta  (importada)</t>
  </si>
  <si>
    <t>Electricidad sobreoferta  (importada)</t>
  </si>
  <si>
    <t xml:space="preserve">Dervidados del Petroleo sobreoferta </t>
  </si>
  <si>
    <t>Carbón sobreoferta  (importada)</t>
  </si>
  <si>
    <t>Reservas de Carbón</t>
  </si>
  <si>
    <t>Reservas de Petroleo</t>
  </si>
  <si>
    <t>Reservas de Gas</t>
  </si>
  <si>
    <t>Carbón y  residuos fósiles</t>
  </si>
  <si>
    <t>Derivados del petróleo</t>
  </si>
  <si>
    <t>Biomasa comestible</t>
  </si>
  <si>
    <t>Biomasa seca y residuos</t>
  </si>
  <si>
    <t>Residuos gaseosos</t>
  </si>
  <si>
    <t>Solar para uso térmico domestico</t>
  </si>
  <si>
    <t>Cultivos para Energía (segunda generación)</t>
  </si>
  <si>
    <t>Cultivos para Energía (primera generación)</t>
  </si>
  <si>
    <t>Área de suelos</t>
  </si>
  <si>
    <t>Área de mar</t>
  </si>
  <si>
    <t>Área en extereor</t>
  </si>
  <si>
    <t>Largo del frente de onda</t>
  </si>
  <si>
    <t>Numero de unidades</t>
  </si>
  <si>
    <t>Capacidad usada balanceada</t>
  </si>
  <si>
    <t>Demanda de Electricidad desplazable</t>
  </si>
  <si>
    <t>Electricidad adicional en peak</t>
  </si>
  <si>
    <t>Temperatura relacionada a la demanda de electricidad adicional</t>
  </si>
  <si>
    <t>Capacidad de interconección</t>
  </si>
  <si>
    <t>Usos</t>
  </si>
  <si>
    <t>Fuentes Secundarias</t>
  </si>
  <si>
    <t>Fuentes Primarias</t>
  </si>
  <si>
    <t>Ajustes</t>
  </si>
  <si>
    <t>Total Demanda</t>
  </si>
  <si>
    <t>Total Oferta</t>
  </si>
  <si>
    <t>Emisiones (Mt CO2e)</t>
  </si>
  <si>
    <t>Eólica de menor escala</t>
  </si>
  <si>
    <t>Transporte Urbano de Pasajeros</t>
  </si>
  <si>
    <t>Penetración de vehículos baja emisión</t>
  </si>
  <si>
    <t>Mejoras a rendimiento del parque vehicular</t>
  </si>
  <si>
    <t xml:space="preserve">Nuevas tecnologías en Buses Público </t>
  </si>
  <si>
    <t>Aumento al Uso bicicleta</t>
  </si>
  <si>
    <t>Carpooling</t>
  </si>
  <si>
    <t>Reemplazo de diesel y petróleo por Gas Natural</t>
  </si>
  <si>
    <t>Fomento a sistemas motrices eficientes (MEPS)</t>
  </si>
  <si>
    <t>Recuperación de calor en procesos</t>
  </si>
  <si>
    <t>Fomentos a sistemas solares térmicos</t>
  </si>
  <si>
    <t>Sistemas fotovoltaicos (PV) de techo</t>
  </si>
  <si>
    <t>Utilización de biomasa de mejor calidad</t>
  </si>
  <si>
    <t>Mejoras en EE en equipos y sistemas de iluminación</t>
  </si>
  <si>
    <t>Demanda del Sector</t>
  </si>
  <si>
    <t>Conservador</t>
  </si>
  <si>
    <t>Industria</t>
  </si>
  <si>
    <t>Minería</t>
  </si>
  <si>
    <t>Consumo Propio</t>
  </si>
  <si>
    <t>Optimista</t>
  </si>
  <si>
    <t>Demanda Energética total por Escenario y sector (Tcal)</t>
  </si>
  <si>
    <t>Nota: No considera bunker</t>
  </si>
  <si>
    <t>ID Escenario</t>
  </si>
  <si>
    <t>Consolidado proyecciones demanda energética</t>
  </si>
  <si>
    <t>Descripcion</t>
  </si>
  <si>
    <t>CNE</t>
  </si>
  <si>
    <t>Informe Precio Nudo Abril 2016</t>
  </si>
  <si>
    <t>CDEC - base</t>
  </si>
  <si>
    <t>Escenario base de estudio de proyecciones CDEC-SIC</t>
  </si>
  <si>
    <t>CDEC - esc</t>
  </si>
  <si>
    <t>Escenario alternativo de estudio de proyecciones CDEC-SIC</t>
  </si>
  <si>
    <t>Escenario con crecimiento económico "conservador", determinado por la UAEE al 17/10</t>
  </si>
  <si>
    <t>Escenario con crecimiento económico "optimista", determinado por la UAEE al 17/10</t>
  </si>
  <si>
    <t>Fuentes de Energía / Uso para Diagramas</t>
  </si>
  <si>
    <t>SF6</t>
  </si>
  <si>
    <t>Aumento de Reciclaje</t>
  </si>
  <si>
    <t>Otros Sectores</t>
  </si>
  <si>
    <t>CPR</t>
  </si>
  <si>
    <t>Tasa de Crecimiento</t>
  </si>
  <si>
    <t>Escenario Pesimista</t>
  </si>
  <si>
    <t>Escenario Conservador</t>
  </si>
  <si>
    <t>PIB indexado a 2015</t>
  </si>
  <si>
    <t>Tasa anual</t>
  </si>
  <si>
    <t>Factor de Crecimiento, indexado a PIB 2015</t>
  </si>
  <si>
    <t>PIB 2015</t>
  </si>
  <si>
    <t>Habitantes/Viviendas</t>
  </si>
  <si>
    <t>Escenarios de crecimiento económico a partir de análisis de División de Prospectiva y Política Energética, del Ministerio de Energía</t>
  </si>
  <si>
    <t>Demanda Total de Energía</t>
  </si>
  <si>
    <t>Escenario 1</t>
  </si>
  <si>
    <t>Demanda Total de Energía por sector</t>
  </si>
  <si>
    <t>Demanda Industria</t>
  </si>
  <si>
    <t>Demanda Minería</t>
  </si>
  <si>
    <t>Demanda Transporte</t>
  </si>
  <si>
    <t>Demanda Residencial</t>
  </si>
  <si>
    <t>Demanda Comercial</t>
  </si>
  <si>
    <t>Demanda Público</t>
  </si>
  <si>
    <t>Demanda Consumo Propio</t>
  </si>
  <si>
    <t>Total Fuentes Secundarias</t>
  </si>
  <si>
    <t>Total Fuentes Primarias</t>
  </si>
  <si>
    <t>Total ajustes</t>
  </si>
  <si>
    <t>Energía producida y requerida  - Transporte Urbano de pasajeros</t>
  </si>
  <si>
    <t>Transporte pasajeros caminero Urbano</t>
  </si>
  <si>
    <t>Transporte pasajeros ferroviario Urbano</t>
  </si>
  <si>
    <t>Transporte pasajeros ferroviario Interurbano</t>
  </si>
  <si>
    <t>Transporte pasajeros Aéreo Interurbano</t>
  </si>
  <si>
    <t>T.07</t>
  </si>
  <si>
    <t>T.08</t>
  </si>
  <si>
    <t>T.09</t>
  </si>
  <si>
    <t>Transporte de carga caminero Urbano</t>
  </si>
  <si>
    <t>Transporte de carga caminero Interurbano</t>
  </si>
  <si>
    <t>Transporte de carga ferroviario</t>
  </si>
  <si>
    <t>Transporte de carga maritimo</t>
  </si>
  <si>
    <t>T.10</t>
  </si>
  <si>
    <t>Transporte pasajeros caminero Interurbano</t>
  </si>
  <si>
    <t>Transporte de pasajeros</t>
  </si>
  <si>
    <t>Hidrocarburo Líquido</t>
  </si>
  <si>
    <t>Hidrocarburo Sólido</t>
  </si>
  <si>
    <t>Hidrocarburo Gaseoso</t>
  </si>
  <si>
    <t>% kWh/viv</t>
  </si>
  <si>
    <t xml:space="preserve">TWh  </t>
  </si>
  <si>
    <t>Biomasa (Leña)</t>
  </si>
  <si>
    <t>Pellet</t>
  </si>
  <si>
    <t>Biomasa (Leña) - Permanece</t>
  </si>
  <si>
    <t xml:space="preserve">Calefactor </t>
  </si>
  <si>
    <t>Biomasa (Pellet) - nuevo</t>
  </si>
  <si>
    <t>Biomasa (Leña + Pellet)</t>
  </si>
  <si>
    <t>Leña + Pellet</t>
  </si>
  <si>
    <t>Ahorro</t>
  </si>
  <si>
    <t>H.02</t>
  </si>
  <si>
    <t>H.03</t>
  </si>
  <si>
    <t>H.04</t>
  </si>
  <si>
    <t>H.05</t>
  </si>
  <si>
    <t>H.06</t>
  </si>
  <si>
    <t>Otros Electrodomésticos</t>
  </si>
  <si>
    <t>Otros</t>
  </si>
  <si>
    <t>Proporcionar  la oferta disponible</t>
  </si>
  <si>
    <t>Asume para 2030 y 2050 se utiliza el 0,05% y 1% respesctivamente del potencial solar estimado por Ministerio de Energía y GIZ.</t>
  </si>
  <si>
    <t>Nivel 4</t>
  </si>
  <si>
    <t>Check suma cero</t>
  </si>
  <si>
    <t>Plantas Solares</t>
  </si>
  <si>
    <t>Biodigestores en agricultura</t>
  </si>
  <si>
    <t>Residuos Sólidos Urbanos</t>
  </si>
  <si>
    <t>Selección de Niveles de Medidas</t>
  </si>
  <si>
    <t>Medida</t>
  </si>
  <si>
    <t>Nivel</t>
  </si>
  <si>
    <t>Aumento de Captura y Quema de Biogás en Antorchas</t>
  </si>
  <si>
    <t>Generación Eléctrica con biogás de Rellenos Sanitarios</t>
  </si>
  <si>
    <t>Waste to Energy</t>
  </si>
  <si>
    <t xml:space="preserve">Trayectorias de las Medidas </t>
  </si>
  <si>
    <t>(i)  Aumento de Reciclaje</t>
  </si>
  <si>
    <t xml:space="preserve">Unidad </t>
  </si>
  <si>
    <t>Reciclaje Papeles y Cartón</t>
  </si>
  <si>
    <t>[%]</t>
  </si>
  <si>
    <t>Nivel Seleccionado</t>
  </si>
  <si>
    <t>Reciclaje Otros Residuos</t>
  </si>
  <si>
    <t>(ii)   Aumento de Captura y Quema de Biogás en Antorchas</t>
  </si>
  <si>
    <t>(iii)   Generación Eléctrica con biogás de Rellenos Sanitarios</t>
  </si>
  <si>
    <t>Porcentaje del volumen de Biogás para Generación Eléctrica</t>
  </si>
  <si>
    <r>
      <t>[m</t>
    </r>
    <r>
      <rPr>
        <vertAlign val="superscript"/>
        <sz val="8"/>
        <color theme="1"/>
        <rFont val="Calibri"/>
        <family val="2"/>
        <scheme val="minor"/>
      </rPr>
      <t>3</t>
    </r>
    <r>
      <rPr>
        <sz val="8"/>
        <color theme="1"/>
        <rFont val="Calibri"/>
        <family val="2"/>
        <scheme val="minor"/>
      </rPr>
      <t xml:space="preserve"> biogás/h]</t>
    </r>
  </si>
  <si>
    <t>[17]</t>
  </si>
  <si>
    <t>[18]</t>
  </si>
  <si>
    <t>[19]</t>
  </si>
  <si>
    <t>[20]</t>
  </si>
  <si>
    <t>[m3 biogás/h]</t>
  </si>
  <si>
    <t>(iv)   Waste to Energy</t>
  </si>
  <si>
    <t>Supone la operación de la plantas Loma los Colorados y Santa Marta y sus planes de expansión, sin el ingreso de nuevas centrales</t>
  </si>
  <si>
    <t>Al escenario anterior se suma el ingreso de operación de central Los Molles en 2020</t>
  </si>
  <si>
    <t>Escenario sigue trayectoria de nivel 2 hasta 2025, posterior a esto se considera un 75% del biogás capturado es utilizado para generación eléctrica (escenarios de menor nivel de generación y nivel 3 captura)</t>
  </si>
  <si>
    <t>Escenario sigue trayectoria de nivel 2 hasta 2020, posterior a esto se considera un 100% del biogás capturado es utilizado para generación eléctrica (escenarios de menor nivel de generación y nivel 4 captura)</t>
  </si>
  <si>
    <t xml:space="preserve">Supuestos Fijos </t>
  </si>
  <si>
    <t>(i)   Proyección población nacional</t>
  </si>
  <si>
    <t>[hab]</t>
  </si>
  <si>
    <t>(ii)   Proyección generación RSU per cápita nacional</t>
  </si>
  <si>
    <t>[Ton RSU/hab]</t>
  </si>
  <si>
    <t>(iii)   Composición ponderada de los RSU a nivel nacional</t>
  </si>
  <si>
    <t>Alimentos</t>
  </si>
  <si>
    <t xml:space="preserve">Papel/Cartón </t>
  </si>
  <si>
    <t>Textiles</t>
  </si>
  <si>
    <t>Otros residuos</t>
  </si>
  <si>
    <t xml:space="preserve">Total </t>
  </si>
  <si>
    <t>(iv)   Factor de corrección descomposición del metano (CH4) a nivel nacional</t>
  </si>
  <si>
    <t>MCF</t>
  </si>
  <si>
    <t>[-]</t>
  </si>
  <si>
    <t>(v)   Factor de oxidación del metano</t>
  </si>
  <si>
    <t>Factor de oxidación del Metano</t>
  </si>
  <si>
    <t>(vi)   Otros supuestos</t>
  </si>
  <si>
    <t>Densidad del Metano</t>
  </si>
  <si>
    <t>[kg/m3]</t>
  </si>
  <si>
    <t>[6]</t>
  </si>
  <si>
    <t>Contenido Energético del biogás</t>
  </si>
  <si>
    <t>[KWh/m3]</t>
  </si>
  <si>
    <t>Factor de Planta -  Central Biogás</t>
  </si>
  <si>
    <t>Fracción de Metano en Biogás</t>
  </si>
  <si>
    <t>Potencial de calentamiento CH4</t>
  </si>
  <si>
    <t>[7]</t>
  </si>
  <si>
    <t>(vii)   Factor de emisión del SIC</t>
  </si>
  <si>
    <t>Factor de Emisión</t>
  </si>
  <si>
    <t>[tCO2/MWh]</t>
  </si>
  <si>
    <t>[9]</t>
  </si>
  <si>
    <t>(viii)   Parámetros de conversión waste to energy</t>
  </si>
  <si>
    <t xml:space="preserve">PCI </t>
  </si>
  <si>
    <t>Materia Orgánica</t>
  </si>
  <si>
    <t>[kcal/kg]</t>
  </si>
  <si>
    <t>Papeles y Cartones</t>
  </si>
  <si>
    <t>Plástico</t>
  </si>
  <si>
    <t>Factor de Planta Instalaciones WTE</t>
  </si>
  <si>
    <t>Factor de Emisión por incineración de RSU</t>
  </si>
  <si>
    <t>[tCO2e/ton RSU]</t>
  </si>
  <si>
    <t>[8]</t>
  </si>
  <si>
    <t>Eficiencia de conversión a Energía Eléctrica</t>
  </si>
  <si>
    <t>Instituto Nacional de Estadísticas – INE (2016).  Proyecciones y Estimaciones de Población. Disponible en: http://palma.ine.cl/demografia/SELECCION.aspx</t>
  </si>
  <si>
    <t xml:space="preserve">Valor calculado de acuerdo ponderación por cantidad de habitantes a nivel regional. Valores regionales extraidos de:  MAPS Chile (2014). Proyección Escenario Línea Base 2013 y Escenarios de Mitigación del Sector Residuos Antrópicos. GreenLabUC Gestión y Política Ambiental DICTUC S.A. Enero 2014. </t>
  </si>
  <si>
    <t xml:space="preserve">La proyección de la composición de los RSU es obtenida de la ponderación de composición de la Región Metropolitana y Otras Regiones del escenario de referencia MAPS Chile (2014). Proyección Escenario Línea Base 2013 y Escenarios de Mitigación del Sector Residuos Antrópicos. GreenLabUC Gestión y Política Ambiental DICTUC S.A. Enero 2014. </t>
  </si>
  <si>
    <t xml:space="preserve">Factor de corrección de descomposición del metano (MCF) en condiciones anaeróbicas fue obtenido mediante la ponderación de la dispoción de RSU en los dferentes tipos de SEDS (rellenos sanitarios, vertederos y basurales) y sus respectivos factores.  MAPS Chile (2014). Proyección Escenario Línea Base 2013 y Escenarios de Mitigación del Sector Residuos Antrópicos. GreenLabUC Gestión y Política Ambiental DICTUC S.A. Enero 2014.   </t>
  </si>
  <si>
    <t xml:space="preserve">Se supone igual a cero en todo el horizonte de evaluación.  MAPS Chile (2014). Proyección Escenario Línea Base 2013 y Escenarios de Mitigación del Sector Residuos Antrópicos. GreenLabUC Gestión y Política Ambiental DICTUC S.A. Enero 2014. </t>
  </si>
  <si>
    <t>Valores extraídos de MAPS Chile (2014). Proyección Escenario Línea Base 2013 y Escenarios de Mitigación del Sector Residuos Antrópicos. GreenLabUC Gestión y Política</t>
  </si>
  <si>
    <t>IPCC 2006</t>
  </si>
  <si>
    <t>Valor obtenido de: [6] Martínez-Blanco, J., Colón, J., Gabarrell, X., Font, X., Sánchez, A., Artola, A., and Rieradevall, J. (2010). The use of life cycle assessment for the comparison of biowaste composting at home and full scale. Waste management (New York, N.Y.). 2010</t>
  </si>
  <si>
    <t>(i)   Valoración de residuos</t>
  </si>
  <si>
    <t>Compostaje</t>
  </si>
  <si>
    <t>(ii)   Generación de RSU</t>
  </si>
  <si>
    <t>Cantidad de RSU generados</t>
  </si>
  <si>
    <t>[Miles Ton]</t>
  </si>
  <si>
    <t>Catindad de RSU valorizados</t>
  </si>
  <si>
    <t>Cantidad de RSU para Waste to Energy</t>
  </si>
  <si>
    <t>Cantidad de RSU a disposición</t>
  </si>
  <si>
    <t xml:space="preserve">Metodología </t>
  </si>
  <si>
    <t>Cálculo de generación de metano RSU</t>
  </si>
  <si>
    <t>Cálculo de generación eléctrica a partir de biogás</t>
  </si>
  <si>
    <t>Cáluclo de la generación eléctrica a partir WTE</t>
  </si>
  <si>
    <t>Cálculo de emisiones GEI del sector RSM</t>
  </si>
  <si>
    <t>DDOM(m) acumulado en los SEDS al final del año T</t>
  </si>
  <si>
    <t>DDOM(m)</t>
  </si>
  <si>
    <t>[Gg]</t>
  </si>
  <si>
    <t>[10]</t>
  </si>
  <si>
    <t>Papel y Cartón</t>
  </si>
  <si>
    <t>[11]</t>
  </si>
  <si>
    <t>Textil</t>
  </si>
  <si>
    <t>[12]</t>
  </si>
  <si>
    <r>
      <t>DDOM(ma</t>
    </r>
    <r>
      <rPr>
        <vertAlign val="subscript"/>
        <sz val="8"/>
        <color theme="1"/>
        <rFont val="Calibri"/>
        <family val="2"/>
        <scheme val="minor"/>
      </rPr>
      <t>T</t>
    </r>
    <r>
      <rPr>
        <sz val="8"/>
        <color theme="1"/>
        <rFont val="Calibri"/>
        <family val="2"/>
        <scheme val="minor"/>
      </rPr>
      <t>)</t>
    </r>
  </si>
  <si>
    <t>[13] [14]</t>
  </si>
  <si>
    <t>[13] [15]</t>
  </si>
  <si>
    <t>DDOM(m) descompuesto en los SEDS en el año T</t>
  </si>
  <si>
    <r>
      <t xml:space="preserve">DDOM(m </t>
    </r>
    <r>
      <rPr>
        <vertAlign val="subscript"/>
        <sz val="8"/>
        <color theme="1"/>
        <rFont val="Calibri"/>
        <family val="2"/>
        <scheme val="minor"/>
      </rPr>
      <t>descompuesto T</t>
    </r>
    <r>
      <rPr>
        <sz val="8"/>
        <color theme="1"/>
        <rFont val="Calibri"/>
        <family val="2"/>
        <scheme val="minor"/>
      </rPr>
      <t>)</t>
    </r>
  </si>
  <si>
    <t>[13]</t>
  </si>
  <si>
    <t>[14]</t>
  </si>
  <si>
    <t>[15]</t>
  </si>
  <si>
    <t>Metano generado a partir de DDOCm en descomp.</t>
  </si>
  <si>
    <r>
      <t>CH</t>
    </r>
    <r>
      <rPr>
        <b/>
        <vertAlign val="subscript"/>
        <sz val="8"/>
        <color theme="1"/>
        <rFont val="Calibri"/>
        <family val="2"/>
        <scheme val="minor"/>
      </rPr>
      <t xml:space="preserve">4 </t>
    </r>
    <r>
      <rPr>
        <b/>
        <sz val="8"/>
        <color theme="1"/>
        <rFont val="Calibri"/>
        <family val="2"/>
        <scheme val="minor"/>
      </rPr>
      <t>generado</t>
    </r>
  </si>
  <si>
    <t>[16]</t>
  </si>
  <si>
    <t>Valores por defecto del porcentaje de carbono orgánico degradable (DOC) alimentos = 15% y fracción del DDOCm que puede descomponerse (DOCf) = 50%. Recomendados por IPCC 2006</t>
  </si>
  <si>
    <t>Valores por defecto del porcentaje de carbono orgánico degradable (DOC) Papeles y Cartón = 40% y fracción del DDOCm que puede descomponerse (DOCf) = 50%. Recomendados por IPCC 2006</t>
  </si>
  <si>
    <t>Valores por defecto del porcentaje de carbono orgánico degradable (DOC) téxtiles = 24% y fracción del DDOCm que puede descomponerse (DOCf) = 50%. Recomendados por IPCC 2006</t>
  </si>
  <si>
    <t xml:space="preserve">Valores acumulados para el año 2013 obtenidos de escenario de referencia. MAPS Chile (2014). Proyección Escenario Línea Base 2013 y Escenarios de Mitigación del Sector Residuos Antrópicos. GreenLabUC Gestión y Política </t>
  </si>
  <si>
    <t>Valor de constante de reacción (k) ponderado por k regionales y niveles de producción de Residuos alimentarios</t>
  </si>
  <si>
    <t>Valor de constante de reacción (k) ponderado por k regionales y niveles de producción de Residuos Papel y cartón</t>
  </si>
  <si>
    <t>Valorfracción de metano en vertedero/relleno F= 0,5. IPCC 2006</t>
  </si>
  <si>
    <t>Flujo de Metano total generado</t>
  </si>
  <si>
    <t>[kg/año]</t>
  </si>
  <si>
    <r>
      <t>[m</t>
    </r>
    <r>
      <rPr>
        <vertAlign val="superscript"/>
        <sz val="8"/>
        <color theme="1"/>
        <rFont val="Calibri"/>
        <family val="2"/>
        <scheme val="minor"/>
      </rPr>
      <t>3</t>
    </r>
    <r>
      <rPr>
        <sz val="8"/>
        <color theme="1"/>
        <rFont val="Calibri"/>
        <family val="2"/>
        <scheme val="minor"/>
      </rPr>
      <t>/año]</t>
    </r>
  </si>
  <si>
    <t>Flujo de Metano Total Producido</t>
  </si>
  <si>
    <r>
      <t>[m</t>
    </r>
    <r>
      <rPr>
        <vertAlign val="superscript"/>
        <sz val="10"/>
        <color theme="1"/>
        <rFont val="Calibri"/>
        <family val="2"/>
        <scheme val="minor"/>
      </rPr>
      <t>3</t>
    </r>
    <r>
      <rPr>
        <sz val="8"/>
        <color theme="1"/>
        <rFont val="Calibri"/>
        <family val="2"/>
        <scheme val="minor"/>
      </rPr>
      <t>/h]</t>
    </r>
  </si>
  <si>
    <t>Flujo de Biogás Total producido</t>
  </si>
  <si>
    <t xml:space="preserve">Biogás capturado para quema </t>
  </si>
  <si>
    <t>Generación Eléctrica a partir de biogás de RRSS</t>
  </si>
  <si>
    <t>[MWh]</t>
  </si>
  <si>
    <t>Potencia Instalada</t>
  </si>
  <si>
    <t>[MW]</t>
  </si>
  <si>
    <t>Composición de RSU despues de valorización</t>
  </si>
  <si>
    <t>Papeles y Cartón</t>
  </si>
  <si>
    <t>Téxtiles</t>
  </si>
  <si>
    <t>Otros Residuos</t>
  </si>
  <si>
    <t>Flujo de RSU a WTE</t>
  </si>
  <si>
    <t>[GWh]</t>
  </si>
  <si>
    <t>Generación Eléctrica a partir de WTE</t>
  </si>
  <si>
    <t xml:space="preserve">Potencia Instalada </t>
  </si>
  <si>
    <t xml:space="preserve">Metano capturado </t>
  </si>
  <si>
    <t>CH4 capturado</t>
  </si>
  <si>
    <t>Metano emitido a partir de DDOCm en descomp.</t>
  </si>
  <si>
    <t>CH4 emitido</t>
  </si>
  <si>
    <t>Emisiones de CO2 Equivalente</t>
  </si>
  <si>
    <t>[Gg CO2eq]</t>
  </si>
  <si>
    <t>[MM ton CO2eq]</t>
  </si>
  <si>
    <t>Emisiones asociadas a la producción y quema de metano</t>
  </si>
  <si>
    <t>[MM tCO2eq]</t>
  </si>
  <si>
    <t>Emisiones por incineración de RSU</t>
  </si>
  <si>
    <t>[tCO2e]</t>
  </si>
  <si>
    <t>[MM tCO2e]</t>
  </si>
  <si>
    <t>Reducción de emisiones por  desplazamiento de GE</t>
  </si>
  <si>
    <t>(i) Demanda de Energía</t>
  </si>
  <si>
    <t>Petróleo diesel</t>
  </si>
  <si>
    <t>[Tcal]</t>
  </si>
  <si>
    <t>Petróleos combustibles</t>
  </si>
  <si>
    <t>Gasolina motor</t>
  </si>
  <si>
    <t>Gasolina Aviación</t>
  </si>
  <si>
    <t>Kerosene aviación</t>
  </si>
  <si>
    <t>Nafta</t>
  </si>
  <si>
    <t>Gas de refinería</t>
  </si>
  <si>
    <t>Coque de Petróleo</t>
  </si>
  <si>
    <t>D.Indust. del Petróleo</t>
  </si>
  <si>
    <t>Electricicidad</t>
  </si>
  <si>
    <t>Coque Mineral</t>
  </si>
  <si>
    <t>Alquitrán</t>
  </si>
  <si>
    <t>Gas de Coque</t>
  </si>
  <si>
    <t>(ii) Demanda Eléctrica</t>
  </si>
  <si>
    <t>Demanda de electricidad</t>
  </si>
  <si>
    <t>(iii) Generación Eléctrica</t>
  </si>
  <si>
    <t>Generación de Electricidad</t>
  </si>
  <si>
    <t>(i) Emisiones directas subsector</t>
  </si>
  <si>
    <t>(ii) Emisiones indirectas (demanda eléctrica)</t>
  </si>
  <si>
    <t>(iii) Emisiones totales (directas e indirectas)</t>
  </si>
  <si>
    <t>(iv) Emisiones otales sector residuos</t>
  </si>
  <si>
    <t>Resiudos Sólidos Municipales</t>
  </si>
  <si>
    <t>Residuos Líquidos Domiciliarios</t>
  </si>
  <si>
    <t>[21]</t>
  </si>
  <si>
    <t>Residuos Líquidos Industriales</t>
  </si>
  <si>
    <t>Incineración de Residuos Hospitarios</t>
  </si>
  <si>
    <t>Excretas humanas</t>
  </si>
  <si>
    <t>Total Sector</t>
  </si>
  <si>
    <t xml:space="preserve">Valores obtenidos del Escenario de Referencia MAPS Chile 2014. Proyección Escenario Línea Base 2013 y Escenarios de Mitigación del Sector Residuos Antrópicos. GreenLabUC Gestión y Política </t>
  </si>
  <si>
    <t>Biocumbustible</t>
  </si>
  <si>
    <t>Consumo de Energía modo ferroviario</t>
  </si>
  <si>
    <t xml:space="preserve">Electricidad </t>
  </si>
  <si>
    <t>Consumo de Energéticos - Transporte regional de carga</t>
  </si>
  <si>
    <t>[L]</t>
  </si>
  <si>
    <t>[KWh]</t>
  </si>
  <si>
    <t>[kg]</t>
  </si>
  <si>
    <t>Consumo de Energía - Modo Caminero [Tcal]</t>
  </si>
  <si>
    <t>Consumo de Energía - Modo Ferroviario [Tcal]</t>
  </si>
  <si>
    <t>1. Uso energético de raleos provenientes del manejo del bosque nativo</t>
  </si>
  <si>
    <t>2. Reforestación y manejo de bosque nativo</t>
  </si>
  <si>
    <t>Medida 1</t>
  </si>
  <si>
    <t>(i.1 ) Superficie Bosque Nativo  Manejado</t>
  </si>
  <si>
    <t>Nivel 1</t>
  </si>
  <si>
    <t>[Ha]</t>
  </si>
  <si>
    <t>Nivel 2</t>
  </si>
  <si>
    <t>[1,2]</t>
  </si>
  <si>
    <t>Nivel 3</t>
  </si>
  <si>
    <t>Elección</t>
  </si>
  <si>
    <r>
      <t xml:space="preserve">(i.1) Porcentaje bosque nativo </t>
    </r>
    <r>
      <rPr>
        <b/>
        <sz val="8"/>
        <rFont val="Calibri"/>
        <family val="2"/>
        <scheme val="minor"/>
      </rPr>
      <t>manejado</t>
    </r>
    <r>
      <rPr>
        <b/>
        <sz val="8"/>
        <color theme="1"/>
        <rFont val="Calibri"/>
        <family val="2"/>
        <scheme val="minor"/>
      </rPr>
      <t xml:space="preserve"> destinado a la producción de energía [%]</t>
    </r>
  </si>
  <si>
    <t>Medida 2</t>
  </si>
  <si>
    <t>(ii) Superficie de aumento de bosque nativo [%]</t>
  </si>
  <si>
    <t>El valor de superficie manejada de bosque nativo proviene de CONAF y se refiere a la superficie bajo plan de manejo de la Ley 20.283. En el año 2014 esta superficie fue de 23166,4 Ha. Los niveles expresan porcentajes de aumento respecto a esta superficie.</t>
  </si>
  <si>
    <t>Los niveles reflejan los objetivos de manejo en enunciados en las fichas (escenario sin manejo; escenario MAPS-CHILE; escenario ENERGÍA 2050; escenario Estrategia Cambio Climático y Recursos Forestales)</t>
  </si>
  <si>
    <t>(i) Superficie bosque Nativo</t>
  </si>
  <si>
    <t>Bosque adulto y achaparrado</t>
  </si>
  <si>
    <t xml:space="preserve">[Ha] </t>
  </si>
  <si>
    <t>Renovales</t>
  </si>
  <si>
    <t>Bosque Nativo incendiado</t>
  </si>
  <si>
    <t>Bosque Nativo Manejado</t>
  </si>
  <si>
    <t>Incendios bosque nativo</t>
  </si>
  <si>
    <t>Leña Bosque Nativo</t>
  </si>
  <si>
    <t>m3</t>
  </si>
  <si>
    <t xml:space="preserve">(ii) Superficie plantaciones exógenas </t>
  </si>
  <si>
    <t>Pinus radiata</t>
  </si>
  <si>
    <t>[5,6]</t>
  </si>
  <si>
    <t>Eucalyptus globulus</t>
  </si>
  <si>
    <t>Eucalyptus nitens</t>
  </si>
  <si>
    <t>Prosopis chilensis y Prosopis tamarugo</t>
  </si>
  <si>
    <t>Pseudotsuga menziensii</t>
  </si>
  <si>
    <t>Populus spp.</t>
  </si>
  <si>
    <t>Otras especies</t>
  </si>
  <si>
    <t>(iii) Cosechas</t>
  </si>
  <si>
    <t>Trozas P. radiata</t>
  </si>
  <si>
    <t>[m3]</t>
  </si>
  <si>
    <t>Trozas Eucalyptus spp.</t>
  </si>
  <si>
    <t>Trozas otras exóticas</t>
  </si>
  <si>
    <t>Trozas especies nativas</t>
  </si>
  <si>
    <t>(iv) Otros plantaciones</t>
  </si>
  <si>
    <t>Plantaciones forestales incendiadas</t>
  </si>
  <si>
    <t>Total substitución-restitución</t>
  </si>
  <si>
    <t>Substitución</t>
  </si>
  <si>
    <t>Restitución</t>
  </si>
  <si>
    <t>Total tierras convertidas</t>
  </si>
  <si>
    <t>Tierras de cultivo convertidas en tierras forestales</t>
  </si>
  <si>
    <t>Pastizales convertidos en tierras forestales</t>
  </si>
  <si>
    <t>Humedales convertidos en tierras forestales</t>
  </si>
  <si>
    <t>Asentamientos convertidos en tierras forestales</t>
  </si>
  <si>
    <t>(v) Tasa de crecimiento</t>
  </si>
  <si>
    <t>[m3/ha/año]</t>
  </si>
  <si>
    <t>Bosque nativo incendiado</t>
  </si>
  <si>
    <t>Bosque nativo manejado</t>
  </si>
  <si>
    <t>Pino</t>
  </si>
  <si>
    <t>P ponderosa</t>
  </si>
  <si>
    <t>(vi) Densidad</t>
  </si>
  <si>
    <t>[t/m3]</t>
  </si>
  <si>
    <t xml:space="preserve">Leña </t>
  </si>
  <si>
    <t>[t/Ha]</t>
  </si>
  <si>
    <t>(vii) Factor de expansión a biomasa éerea</t>
  </si>
  <si>
    <t>Eucalyptus</t>
  </si>
  <si>
    <t>(viii) Proporción raices</t>
  </si>
  <si>
    <t>(ix) Fracción de carbono</t>
  </si>
  <si>
    <t xml:space="preserve">Leña  </t>
  </si>
  <si>
    <t>(x) Tasa de conversión</t>
  </si>
  <si>
    <t>CO2/C</t>
  </si>
  <si>
    <t>(xi) Factor de emisión del sector eléctrico</t>
  </si>
  <si>
    <t xml:space="preserve">Factor de emisión sector eléctrico </t>
  </si>
  <si>
    <t>Fuente: Superficies Catastros Usos de Suelos y Recursos Vegetacionales.
Departamento de Monitoreo de Ecosistemas Forestales
CONAF, Enero 201</t>
  </si>
  <si>
    <t>Se asume que la superficie se mantiene constante desde 2015</t>
  </si>
  <si>
    <t>Fuene: MAPS-CHILE, fase 2,"informe Final Proyección Escenario Línea Tendencial 2013 y Escenarios de Mitigación del Sector Silvoagropecuario y Cambio de Uso de Suelo", INIA-INFOR, 2014.</t>
  </si>
  <si>
    <t>Se asume cosntante desde 2015, en base a datos INDC Chile</t>
  </si>
  <si>
    <t>Los datos de 2014 provienen de la Base de datos en línea de INFOR</t>
  </si>
  <si>
    <t>La proyección se basa en las Proyecciones de Forestación con Renovación de DL 701
Escenario 701, del documento "Disponibilidad de madera de plantaciones de pino radiata y eucalipto (2010 – 2040)", INFOR 2014</t>
  </si>
  <si>
    <t>Promedio de la categoría "otras especies" por región, de MAPS-Chile</t>
  </si>
  <si>
    <t>Se consideraron los valores de la VIII región, por se la más representativa de estas plantaciones en el modelo analizado por MAPS-CHILE</t>
  </si>
  <si>
    <t xml:space="preserve">Basado en el modelo de proyecciones de leñas de MAPS-Chile </t>
  </si>
  <si>
    <t>(i) Superfice bosque nativo manejado</t>
  </si>
  <si>
    <t>(ii) Capturas bosque nativo (renoval)</t>
  </si>
  <si>
    <t>Renoval</t>
  </si>
  <si>
    <t xml:space="preserve">[GgCO2eq] </t>
  </si>
  <si>
    <t xml:space="preserve">(iii) Capturas  bosque nativo incendiado </t>
  </si>
  <si>
    <t xml:space="preserve">(iv) Capturas Plantaciones exóticas </t>
  </si>
  <si>
    <t>Eucaplyptus globolus</t>
  </si>
  <si>
    <t>Eucaplyptus nitens</t>
  </si>
  <si>
    <t>(v) Capturas tierras en transición</t>
  </si>
  <si>
    <t>Tierras convertidas en forestales</t>
  </si>
  <si>
    <t>Substitución-</t>
  </si>
  <si>
    <t>(vi) Emisiones por Incendios</t>
  </si>
  <si>
    <t>Bosque nativo</t>
  </si>
  <si>
    <t>Plantaciones</t>
  </si>
  <si>
    <t>(vii) Emisiones por Leña</t>
  </si>
  <si>
    <t xml:space="preserve">(viii) Emisiones por trozas </t>
  </si>
  <si>
    <t xml:space="preserve">Se asume que el manejo se incrementa porcentualmente desde el valor de 2014 </t>
  </si>
  <si>
    <t>Se asume que las reforestación y el cambio de uso de suelo se lleva a cabo con la especie Eucalyptus Globulus</t>
  </si>
  <si>
    <t xml:space="preserve">Capturas  bosque nativo manejado </t>
  </si>
  <si>
    <t>Cálculo Biomasa Potencial para uso eléctrico</t>
  </si>
  <si>
    <t xml:space="preserve">Superficie de bosque destinado a producción eléctrica </t>
  </si>
  <si>
    <t>[miles Ha]</t>
  </si>
  <si>
    <t>Superficie adicional incorporada</t>
  </si>
  <si>
    <t>Superficie con ciclos de poda cada 10 años</t>
  </si>
  <si>
    <t>Tasa de crecimiento</t>
  </si>
  <si>
    <t>Densidad</t>
  </si>
  <si>
    <t>Duración ciclo raleo</t>
  </si>
  <si>
    <t>[años]</t>
  </si>
  <si>
    <t>Factor de expansión a biomasa area</t>
  </si>
  <si>
    <t>Biomasa potencial para uso</t>
  </si>
  <si>
    <t>[miles de t]</t>
  </si>
  <si>
    <t>Factor de Ajuste</t>
  </si>
  <si>
    <t>Biomasa técnicamente aprovechable</t>
  </si>
  <si>
    <t>Poder calorífico</t>
  </si>
  <si>
    <t>[kCal/kg]</t>
  </si>
  <si>
    <t>Eficiencia eléctrica</t>
  </si>
  <si>
    <t>Constante</t>
  </si>
  <si>
    <t>[MWh/TCal]</t>
  </si>
  <si>
    <t xml:space="preserve">Energía eléctrica </t>
  </si>
  <si>
    <t>[%)</t>
  </si>
  <si>
    <t>Potencia</t>
  </si>
  <si>
    <t>2.3</t>
  </si>
  <si>
    <t xml:space="preserve">Reducción de emisiones sector energía  </t>
  </si>
  <si>
    <t>GgCO2</t>
  </si>
  <si>
    <t>Fuente: MAPS-CHILE, fase 2,"informe Final Proyección Escenario Línea Tendencial 2013 y Escenarios de Mitigación del Sector Silvoagropecuario y Cambio de Uso de Suelo", INIA-INFOR, 2014.</t>
  </si>
  <si>
    <t>Poder calorífico a 50% de humedad. Fuente: Loaiza, 2015. MODELO DE GENERACIÓN DE ENERGIA A PARTIR DE BIOMASA FORESTAL. Universidad de Chile</t>
  </si>
  <si>
    <t>La superficie de aumento considera una fracción del un total de aumento de 2000000 Ha</t>
  </si>
  <si>
    <t>(ii) Generación Eléctrica</t>
  </si>
  <si>
    <t>Generación eléctrica</t>
  </si>
  <si>
    <t>Potencia instalada</t>
  </si>
  <si>
    <t>(i) Capturas de CO2eq por componente</t>
  </si>
  <si>
    <t xml:space="preserve">Bosque nativo manejado </t>
  </si>
  <si>
    <t>Plantaciones forestales</t>
  </si>
  <si>
    <t>(ii) Plantaciones forestales: absorciones de CO2 por especie</t>
  </si>
  <si>
    <t>(iii) Cosecha: emisión de CO2 por especie</t>
  </si>
  <si>
    <t>(iv) Tierras forestales que permanecen como tales: emisiones y absorsiones</t>
  </si>
  <si>
    <t>Incremento en biomasa con política pública</t>
  </si>
  <si>
    <t>Tierras en transición</t>
  </si>
  <si>
    <t>Cosecha</t>
  </si>
  <si>
    <t>Incendios forestales</t>
  </si>
  <si>
    <t>(i) Emisiones directas</t>
  </si>
  <si>
    <t>(ii) Emisiones indirectas sector energía</t>
  </si>
  <si>
    <t>CO2eq</t>
  </si>
  <si>
    <t>(iv) Emisiones biomasa</t>
  </si>
  <si>
    <t>Agropecuario</t>
  </si>
  <si>
    <t xml:space="preserve">1. Utilización de biodigestores para el manejo de residuos de la agricultura y la producción de biogás </t>
  </si>
  <si>
    <t>2. Utilización de energías renovables no convencionales (ERNC) en agricultura de riego</t>
  </si>
  <si>
    <t>(i)   Porcentaje de purines de cerdo estabulados a Biodigestores [%]</t>
  </si>
  <si>
    <t>(ii)    Porcentaje de purines de vacuno estabulados que se van a biodegestores [%]</t>
  </si>
  <si>
    <t>(iii)    Porcentaje de estiercol de aves que se van a biodegestores [%]</t>
  </si>
  <si>
    <t>(i)   Porcentaje de Ha de pequeños agricultores regadas con energía fotovoltaica [%]</t>
  </si>
  <si>
    <t>(ii)   Porcentaje de Ha de medianos agricultores regadas con energía fotovoltaica [%]</t>
  </si>
  <si>
    <t>(iii)    Porcentaje de Ha de grandes agricultores regadas con energía fotovoltaica [%]</t>
  </si>
  <si>
    <t>[1] El porcentaje de purines de cerdo enviado a digestores corresponde sólo al producido por aquellos animales estabulados</t>
  </si>
  <si>
    <t>[2] El porcentaje de purines de vacuno enviado a digestores corresponde sólo al producido por vacas destinadas a la producción de leche estabuladas</t>
  </si>
  <si>
    <t>[3] El porcentaje de estiercoles de aves enviado a digestores corresponde a una fracción del total, asumiendo que todas las aves se encuentran bajo un tipo de manejo del estiercol (MAPS)</t>
  </si>
  <si>
    <t>[4] El porcentaje se plantea respecto al tamaño de la industria, asumiendo que la medida se desarrolla como consecuencia de políticas públicas específicas y de incoporación voluntaria de nuevas tecnológías. Bajo este punto de vista, los niveles interactuan asumiendo las perspectivas de trabajo de INDAP y criterios de costo-eficiencia y mercados internacionales.</t>
  </si>
  <si>
    <t>Datos de actividad</t>
  </si>
  <si>
    <t xml:space="preserve">(i)   Proyección Población Animal  </t>
  </si>
  <si>
    <t>Ganado vacuno</t>
  </si>
  <si>
    <t xml:space="preserve">[Cabezas] </t>
  </si>
  <si>
    <t>Vacas lecheras</t>
  </si>
  <si>
    <t>Vacas carne</t>
  </si>
  <si>
    <t>Vaquillas</t>
  </si>
  <si>
    <t>Adultos carne (novillos &gt;2 años, toros y torunos, bueyes)</t>
  </si>
  <si>
    <t>Jóvenes carne (novillo 1-2 años)</t>
  </si>
  <si>
    <t>Terneros</t>
  </si>
  <si>
    <t>Caprinos</t>
  </si>
  <si>
    <t>Equinos</t>
  </si>
  <si>
    <t>Mulares</t>
  </si>
  <si>
    <t>Llamas y Alpacas</t>
  </si>
  <si>
    <t>Ovinos</t>
  </si>
  <si>
    <t>Porcinos</t>
  </si>
  <si>
    <t>Marranas</t>
  </si>
  <si>
    <t>Verracos</t>
  </si>
  <si>
    <t>Juveniles</t>
  </si>
  <si>
    <t>Aves de corral</t>
  </si>
  <si>
    <t xml:space="preserve">(ii)   Proyección Cultivos </t>
  </si>
  <si>
    <t>Arroz</t>
  </si>
  <si>
    <t xml:space="preserve">[Miles de Ha] </t>
  </si>
  <si>
    <t>Suelo Arable</t>
  </si>
  <si>
    <t>Pradera Natural</t>
  </si>
  <si>
    <t>Constantes y Factores</t>
  </si>
  <si>
    <t xml:space="preserve">(iii)  Factor de emisión por fermentación entérica </t>
  </si>
  <si>
    <t>A. Fermentación enterica</t>
  </si>
  <si>
    <t xml:space="preserve">[kg de CH4/ Mil Cabezas] </t>
  </si>
  <si>
    <t>B. Cultivos de Arroz</t>
  </si>
  <si>
    <t xml:space="preserve">(iv)   Factor de emisión cultivos de arroz </t>
  </si>
  <si>
    <t>De regadío</t>
  </si>
  <si>
    <t>[kg de CH4/ha]</t>
  </si>
  <si>
    <t>De secano</t>
  </si>
  <si>
    <t>Aguas profundas</t>
  </si>
  <si>
    <t>C. Suelos agrícolas</t>
  </si>
  <si>
    <t>Emisiones directas</t>
  </si>
  <si>
    <t xml:space="preserve">(v) Proyección del Consumo Unitario de Fertilizante Sintético </t>
  </si>
  <si>
    <t>C.1 Fertilizantes</t>
  </si>
  <si>
    <t>Consumo Unitario</t>
  </si>
  <si>
    <t>[kg de N/ ha]</t>
  </si>
  <si>
    <t>C.2 Estiércol animal</t>
  </si>
  <si>
    <t>(vi) Fracción población destinada a pastoreo</t>
  </si>
  <si>
    <t xml:space="preserve">Bovinos en leche </t>
  </si>
  <si>
    <t>Bovinos Carne</t>
  </si>
  <si>
    <t>Jóvenes carne (novillos 1-2 años)</t>
  </si>
  <si>
    <t>Cabras</t>
  </si>
  <si>
    <t>Mulas y Asnos</t>
  </si>
  <si>
    <t>Alpacas y Llamas</t>
  </si>
  <si>
    <t>Oveja</t>
  </si>
  <si>
    <t>Porcino Marrana</t>
  </si>
  <si>
    <t>Porcino Verraco</t>
  </si>
  <si>
    <t>Porcino Juveniles</t>
  </si>
  <si>
    <t>Aves de Corral</t>
  </si>
  <si>
    <t>(vii) Fracción población destinada a SME</t>
  </si>
  <si>
    <t>Porcino Verracos</t>
  </si>
  <si>
    <t>(viii) Excreción Nitrógeno por animal por año</t>
  </si>
  <si>
    <t>[Kg N animal/ año]</t>
  </si>
  <si>
    <t>(ix) Factores de Emisión: Emisiones Directas de N2O en los Suelos Gestionados</t>
  </si>
  <si>
    <t xml:space="preserve">Factores de Emisión. </t>
  </si>
  <si>
    <t xml:space="preserve">Valor </t>
  </si>
  <si>
    <t>Fuente</t>
  </si>
  <si>
    <r>
      <t>Factor de Emisión (FE</t>
    </r>
    <r>
      <rPr>
        <vertAlign val="subscript"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1"/>
        <scheme val="minor"/>
      </rPr>
      <t xml:space="preserve">) </t>
    </r>
  </si>
  <si>
    <t>[Kg N-N2O/kg N]</t>
  </si>
  <si>
    <t>Table 11.1 IPCC 2006</t>
  </si>
  <si>
    <r>
      <t>Factor de Emisión (FE</t>
    </r>
    <r>
      <rPr>
        <vertAlign val="subscript"/>
        <sz val="10"/>
        <color theme="1"/>
        <rFont val="Calibri"/>
        <family val="2"/>
        <scheme val="minor"/>
      </rPr>
      <t>1FR</t>
    </r>
    <r>
      <rPr>
        <sz val="10"/>
        <color theme="1"/>
        <rFont val="Calibri"/>
        <family val="1"/>
        <scheme val="minor"/>
      </rPr>
      <t>). Arrozales Inundados</t>
    </r>
  </si>
  <si>
    <t>Factor de Emisión (FE 3PRP,CPP). Vacunos, aves y porcinos</t>
  </si>
  <si>
    <t>Factor de Emisión (FE 3PRP, SO). Ovinos y otros animales</t>
  </si>
  <si>
    <t>(x) Factores de Emisión. Volatización y Lixiviación para Emisiones Indirectas de N2O al Suelo</t>
  </si>
  <si>
    <r>
      <t>Factor de Emisión (FE</t>
    </r>
    <r>
      <rPr>
        <vertAlign val="subscript"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1"/>
        <scheme val="minor"/>
      </rPr>
      <t xml:space="preserve">) </t>
    </r>
  </si>
  <si>
    <t xml:space="preserve"> Kg N-N2O/kg N vol y redep</t>
  </si>
  <si>
    <t>Tabla 11.3 IPCC 2006</t>
  </si>
  <si>
    <r>
      <t>Factor de Emisión (FE</t>
    </r>
    <r>
      <rPr>
        <vertAlign val="subscript"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1"/>
        <scheme val="minor"/>
      </rPr>
      <t xml:space="preserve">) </t>
    </r>
  </si>
  <si>
    <t>Kg N-N2O/kg N lix y escurrimiento</t>
  </si>
  <si>
    <r>
      <t>Fracción de Gasificación (Frac</t>
    </r>
    <r>
      <rPr>
        <vertAlign val="subscript"/>
        <sz val="10"/>
        <color theme="1"/>
        <rFont val="Calibri"/>
        <family val="2"/>
        <scheme val="minor"/>
      </rPr>
      <t>GASF</t>
    </r>
    <r>
      <rPr>
        <sz val="10"/>
        <color theme="1"/>
        <rFont val="Calibri"/>
        <family val="1"/>
        <scheme val="minor"/>
      </rPr>
      <t>) - Vol. Fertilizantes sintéticos</t>
    </r>
  </si>
  <si>
    <r>
      <t>Fraccion de Volatilización (Frac</t>
    </r>
    <r>
      <rPr>
        <vertAlign val="subscript"/>
        <sz val="10"/>
        <color theme="1"/>
        <rFont val="Calibri"/>
        <family val="2"/>
        <scheme val="minor"/>
      </rPr>
      <t>GASM</t>
    </r>
    <r>
      <rPr>
        <sz val="10"/>
        <color theme="1"/>
        <rFont val="Calibri"/>
        <family val="1"/>
        <scheme val="minor"/>
      </rPr>
      <t>) - Vol. Otros</t>
    </r>
  </si>
  <si>
    <r>
      <t>Fraccion de Lixiviación (Frac</t>
    </r>
    <r>
      <rPr>
        <vertAlign val="subscript"/>
        <sz val="10"/>
        <color theme="1"/>
        <rFont val="Calibri"/>
        <family val="2"/>
        <scheme val="minor"/>
      </rPr>
      <t>Lix</t>
    </r>
    <r>
      <rPr>
        <sz val="10"/>
        <color theme="1"/>
        <rFont val="Calibri"/>
        <family val="1"/>
        <scheme val="minor"/>
      </rPr>
      <t>) - Fracción</t>
    </r>
  </si>
  <si>
    <t xml:space="preserve">Factor de emisión de N2O </t>
  </si>
  <si>
    <t xml:space="preserve"> [ton de N2O/ ton Mineral N consumido]</t>
  </si>
  <si>
    <t>Pérdida de N por volatilización - Fracción</t>
  </si>
  <si>
    <t>Tabla 10.22 IPCC 2006</t>
  </si>
  <si>
    <t>(xii) Factores de Conversión</t>
  </si>
  <si>
    <t>Factores de Conversión</t>
  </si>
  <si>
    <r>
      <t>Factor de Conversión N a N</t>
    </r>
    <r>
      <rPr>
        <vertAlign val="subscript"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1"/>
        <scheme val="minor"/>
      </rPr>
      <t xml:space="preserve">O (FC </t>
    </r>
    <r>
      <rPr>
        <vertAlign val="subscript"/>
        <sz val="10"/>
        <color theme="1"/>
        <rFont val="Calibri"/>
        <family val="2"/>
        <scheme val="minor"/>
      </rPr>
      <t>N-N2O</t>
    </r>
    <r>
      <rPr>
        <sz val="10"/>
        <color theme="1"/>
        <rFont val="Calibri"/>
        <family val="1"/>
        <scheme val="minor"/>
      </rPr>
      <t xml:space="preserve">) </t>
    </r>
  </si>
  <si>
    <r>
      <t>Factor de Conversión C a CH</t>
    </r>
    <r>
      <rPr>
        <vertAlign val="subscript"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1"/>
        <scheme val="minor"/>
      </rPr>
      <t xml:space="preserve"> (FC </t>
    </r>
    <r>
      <rPr>
        <vertAlign val="subscript"/>
        <sz val="10"/>
        <color theme="1"/>
        <rFont val="Calibri"/>
        <family val="2"/>
        <scheme val="minor"/>
      </rPr>
      <t>C-CH4</t>
    </r>
    <r>
      <rPr>
        <sz val="10"/>
        <color theme="1"/>
        <rFont val="Calibri"/>
        <family val="1"/>
        <scheme val="minor"/>
      </rPr>
      <t xml:space="preserve">) </t>
    </r>
  </si>
  <si>
    <r>
      <t xml:space="preserve">Factor de Conversión C a CO2 (FC </t>
    </r>
    <r>
      <rPr>
        <vertAlign val="subscript"/>
        <sz val="10"/>
        <color theme="1"/>
        <rFont val="Calibri"/>
        <family val="2"/>
        <scheme val="minor"/>
      </rPr>
      <t>C-CO2</t>
    </r>
    <r>
      <rPr>
        <sz val="10"/>
        <color theme="1"/>
        <rFont val="Calibri"/>
        <family val="1"/>
        <scheme val="minor"/>
      </rPr>
      <t xml:space="preserve">) </t>
    </r>
  </si>
  <si>
    <t>C.3 Residuos agrícolas</t>
  </si>
  <si>
    <t xml:space="preserve">(xiii) Línea de base emisiones residuos </t>
  </si>
  <si>
    <t>[Gg de CO2]</t>
  </si>
  <si>
    <t>D. Gestión de Estiércol</t>
  </si>
  <si>
    <t>(xiv)   Factor de emisión asociada a la gestión de estiércol de CH4</t>
  </si>
  <si>
    <t xml:space="preserve">[kg de CH4/ Mil de Cabezas] </t>
  </si>
  <si>
    <t>Mulas y asnos</t>
  </si>
  <si>
    <t>Camélidos (llamas y alpacas)</t>
  </si>
  <si>
    <r>
      <t xml:space="preserve"> (xv) Factor de Emisión de N</t>
    </r>
    <r>
      <rPr>
        <b/>
        <vertAlign val="subscript"/>
        <sz val="10"/>
        <rFont val="Calibri"/>
        <family val="2"/>
      </rPr>
      <t>2</t>
    </r>
    <r>
      <rPr>
        <sz val="10"/>
        <rFont val="Calibri"/>
        <family val="2"/>
      </rPr>
      <t xml:space="preserve">O desde SME </t>
    </r>
  </si>
  <si>
    <t xml:space="preserve">Sistema de Manejo del Estiércol (SME) </t>
  </si>
  <si>
    <t>FE</t>
  </si>
  <si>
    <t>Laguna anaeróbica</t>
  </si>
  <si>
    <t>[kg N-N2O kg N excretado-1]</t>
  </si>
  <si>
    <t>Sistema de tipo líquido</t>
  </si>
  <si>
    <t>Abono diario</t>
  </si>
  <si>
    <t>Almacenamiento sólido y parcelas secas</t>
  </si>
  <si>
    <t>Praderas y pastizales (pastoreo directo)</t>
  </si>
  <si>
    <t>Corral de engorda</t>
  </si>
  <si>
    <t>Lagunas anaeróbicas con compostaje (porcinos)</t>
  </si>
  <si>
    <t>Otros Sistemas</t>
  </si>
  <si>
    <t xml:space="preserve">(xvi) Fracción de volatilización de N desde SME </t>
  </si>
  <si>
    <t xml:space="preserve">Fracción de volatilización de N desde SME </t>
  </si>
  <si>
    <t>Valor</t>
  </si>
  <si>
    <t>Lagunas anaeróbicas cubiertas (vacunos)</t>
  </si>
  <si>
    <t>Table 10.22</t>
  </si>
  <si>
    <t>Corral de engorda (vacunos)</t>
  </si>
  <si>
    <t>Almacenamiento sólido (porcinos)</t>
  </si>
  <si>
    <t>Guano de aves</t>
  </si>
  <si>
    <t>E. Quema de residuos</t>
  </si>
  <si>
    <t>(xvii) Línea de base Quema de Residuos</t>
  </si>
  <si>
    <t>[Kg de CH4]</t>
  </si>
  <si>
    <t>F. Supuestos producción biogas</t>
  </si>
  <si>
    <t>(xviii) Supuestos de Producción de Biogás en Biodigestores</t>
  </si>
  <si>
    <t>Producción de biogás por cabeza de Cerdo</t>
  </si>
  <si>
    <t>[m3/cabeza*día]</t>
  </si>
  <si>
    <t>Producción de biogás por cabeza de Vacuno</t>
  </si>
  <si>
    <t>Producción de biogás por cabeza de ave</t>
  </si>
  <si>
    <t>Contenido de Metano Biogás cerdos</t>
  </si>
  <si>
    <t>Contenido de Metano Biogás Vacunos</t>
  </si>
  <si>
    <t>Contenido de Metano Biogás Aves</t>
  </si>
  <si>
    <t xml:space="preserve">Generación eléctrica por m3 de metano </t>
  </si>
  <si>
    <t>[kWh/m3]</t>
  </si>
  <si>
    <t>E. Supuestos Tamaño Agricultores</t>
  </si>
  <si>
    <t>(xviii) Fracción agricultores (tamaño producción)</t>
  </si>
  <si>
    <t>Pequeño</t>
  </si>
  <si>
    <t>Grande</t>
  </si>
  <si>
    <t>Fuente: MAPS-CHILE, en Base a Modelo de Proyecciones AGRIMED</t>
  </si>
  <si>
    <t>Suelo Arable= Frutales Caducos + Frutales Perennes + Viñas + Chacras + Cultivos Industriales + Frutales Menores + Cereales + Arroz + Maíz + Hortalizas + Praderas Establecidas</t>
  </si>
  <si>
    <t>Inventario de GEI 1990/2010</t>
  </si>
  <si>
    <t>Manual de Biogas, FAO, 2012</t>
  </si>
  <si>
    <t>Potencial de Biogas: identificación y clasificación de los distintos tipos de biomasa disponibles en Chile para la generación de Biogas, GTZ, 2007.</t>
  </si>
  <si>
    <t>Fuente "Agricultura Chilena: rubros según tipo de productor y localización geográfica,Serie Indap, 2000". En base a los resultados expuestos por esta publicación, se obtuvieron los porcentajes de las superficies por cada tipo de productor en relación a la superficie cultivada nacional (MAPS-CHILE). Los agricultores de subsistencia se fusionaron con la categoría pequeños, por estar estos incluidos en el Programa de Riego Fotovoltaico de INDAP.</t>
  </si>
  <si>
    <t>Se asume que el 100% de las emisiones de residuos emiten carbono</t>
  </si>
  <si>
    <t xml:space="preserve">(i)   Población de animales estabulados  </t>
  </si>
  <si>
    <t>Población x SME</t>
  </si>
  <si>
    <t>(ii)  Cantidad de porcinos cuyos purines son enviados a biodigestores</t>
  </si>
  <si>
    <t>Población porcino x nivel elegido</t>
  </si>
  <si>
    <t xml:space="preserve">[ Cabezas] </t>
  </si>
  <si>
    <t xml:space="preserve">(iii)  Cantidad de vacunos cuyos purines son enviados a biodigestores </t>
  </si>
  <si>
    <t>Población vacunos x nivel elegido</t>
  </si>
  <si>
    <t xml:space="preserve">(iv)  Cantidad de aves cuyo estiércol es enviados a biodigestores </t>
  </si>
  <si>
    <t>Población aviares x nivel elegido</t>
  </si>
  <si>
    <t xml:space="preserve">[Miles de Cabezas] </t>
  </si>
  <si>
    <t xml:space="preserve">(v) Población de cerdos sobre las cuales se calculan las emisiones de metano por manejo de estiércol  </t>
  </si>
  <si>
    <t xml:space="preserve">(vi) Población de bovinos sobre las cuales se calculan las emisiones de metano por manejo de estiércol  </t>
  </si>
  <si>
    <t xml:space="preserve">(vii) Población de aviares sobre las cuales se calculan las emisiones de metano por manejo de estiércol  </t>
  </si>
  <si>
    <t>(viii) Superficie según tamaño del agricultor</t>
  </si>
  <si>
    <t>Cálculo de emisiones de metano por fermentación entérica</t>
  </si>
  <si>
    <t xml:space="preserve">Número de cabeza animales X Factor emisión CH4 de Fermentación entérica= emisiones de metano </t>
  </si>
  <si>
    <t xml:space="preserve">[kg de CH4] </t>
  </si>
  <si>
    <t>Cálculo emisiones de metano por cultivo de arroz</t>
  </si>
  <si>
    <t>Superficie arroz X Factor emisión CH4 arroz= emisiones CH4 arroz</t>
  </si>
  <si>
    <t>Cálculo emisiones suelos agrícolas</t>
  </si>
  <si>
    <t>Cálculo de emisiones fertilizantes</t>
  </si>
  <si>
    <t>Emisiones por fertilizantes</t>
  </si>
  <si>
    <t xml:space="preserve"> [kg de N2O]  </t>
  </si>
  <si>
    <t>Cálculo emisiones N20 por pastoreo (directo)</t>
  </si>
  <si>
    <t>Número de cabeza X Excreción N año X Fracción Pastoreo X Factor emisión directa (animal) X factor conversión N a N20= emisiones N20 pastoreo (directo)</t>
  </si>
  <si>
    <t>Cálculo emisiones N20 por pastoreo (indirecto) volatilización</t>
  </si>
  <si>
    <t>Número de cabeza X Excreción N año X Fracción Pastoreo X Fracción de volatilización X Factor emisión N volatizado  X Factor de conversión N20= emisiones N20 pastoreo (directo)</t>
  </si>
  <si>
    <t>3.4</t>
  </si>
  <si>
    <t>Cálculo emisiones N20 por pastoreo (indirecto) Lixiviación</t>
  </si>
  <si>
    <t>Número de cabeza X Excreción N año X Fracción Pastoreo X Factor emisión directa (animal) X  factor conversión N a N20= emisiones N20 pastoreo (directo)</t>
  </si>
  <si>
    <t>3.5</t>
  </si>
  <si>
    <t>Emisiones directas de N aplicadas al suelo (directas)</t>
  </si>
  <si>
    <t xml:space="preserve">Población animal X Excreción N X Fracción población SME X Factor emision Kc N X Factor conversion N a N2o= emisiones directas de N
</t>
  </si>
  <si>
    <t>3.6</t>
  </si>
  <si>
    <t>Emisiones directas de N aplicadas al suelo (indirectas volatilización)</t>
  </si>
  <si>
    <t>Población animal X Excreción N X Fracción población SME X Factor emisión vol X Fracción vol X Factor conversión N a N2O= emisiones volatilización</t>
  </si>
  <si>
    <t xml:space="preserve">  [kg de N2O]   </t>
  </si>
  <si>
    <t>3.7</t>
  </si>
  <si>
    <t>Emisiones directas de N aplicadas al suelo (indirectas lixiviación)</t>
  </si>
  <si>
    <t>Población animal  X Excreción N X Fracción población SME X Factor emisión lix X Fracción lix X Factor conversión N a N2O= emisiones lixiviación</t>
  </si>
  <si>
    <t>Emisiones por gestión del estiércol</t>
  </si>
  <si>
    <t>Cálculo emisiones CH4</t>
  </si>
  <si>
    <t xml:space="preserve">[kg de CH4 ] </t>
  </si>
  <si>
    <t>Cálculo emisiones N2O</t>
  </si>
  <si>
    <t>4.2.1</t>
  </si>
  <si>
    <t>Emisiones directas por manejo del estiércol</t>
  </si>
  <si>
    <t>Población X N X Fracción SME X Factor sistema manejo X Factor conversión N en N20= emisiones directas</t>
  </si>
  <si>
    <t>Emisiones indirectas por manejo del estiércol (volatilización)</t>
  </si>
  <si>
    <t>4.2.2</t>
  </si>
  <si>
    <t>Población animal X Fracción Vol X Excreción N X Fracción vol desde SME X Factor conversión N a N20=emIsiones volatilización</t>
  </si>
  <si>
    <t>Cálculo de Generación eléctrica por quema de biogás de digestores:</t>
  </si>
  <si>
    <t>5.1</t>
  </si>
  <si>
    <t>Producción de Biogás Purines de Cerdo</t>
  </si>
  <si>
    <t xml:space="preserve">Población Nivel X Factor Biogás </t>
  </si>
  <si>
    <t>Producción de Biogás Purines de Vacuno</t>
  </si>
  <si>
    <t>Producción de Biogas estiercol aves</t>
  </si>
  <si>
    <t>Biogas total X Factor Metano</t>
  </si>
  <si>
    <t>Metano Producido en biodigestores</t>
  </si>
  <si>
    <t>Densidad Metano</t>
  </si>
  <si>
    <t>[Gg de CH4]</t>
  </si>
  <si>
    <t>Poder calorífico Gas Natural</t>
  </si>
  <si>
    <t xml:space="preserve"> [kCal/m3]</t>
  </si>
  <si>
    <t>Energía metano</t>
  </si>
  <si>
    <t>[TCal]</t>
  </si>
  <si>
    <t>[TJ]</t>
  </si>
  <si>
    <t xml:space="preserve">Factor de emisión </t>
  </si>
  <si>
    <t>kgCO2/TJ</t>
  </si>
  <si>
    <t>Emisiones de CO2 por combustión del Metano</t>
  </si>
  <si>
    <t>Generación Eléctrica a partir de biogás</t>
  </si>
  <si>
    <t>Cálculo de Capacidad Instalada</t>
  </si>
  <si>
    <t>Reducción de Emisione por generación con Biogás</t>
  </si>
  <si>
    <t>[Gg CO2]</t>
  </si>
  <si>
    <t>Cálculo de Generación eléctrica por sistema de bombeo fotovoltaico:</t>
  </si>
  <si>
    <t xml:space="preserve">Superficie destinada a riego fotovoltaico </t>
  </si>
  <si>
    <t>6.1</t>
  </si>
  <si>
    <t>Superficie cultivo X Nivel X Fracción Productor</t>
  </si>
  <si>
    <t>Pequeños agricultores</t>
  </si>
  <si>
    <t>[Miles de Ha]</t>
  </si>
  <si>
    <t>Medianos agricultores</t>
  </si>
  <si>
    <t>Grandes agricultores</t>
  </si>
  <si>
    <t>6.2</t>
  </si>
  <si>
    <t>Potencia por panel</t>
  </si>
  <si>
    <t>Wp</t>
  </si>
  <si>
    <t>Ha regada panel</t>
  </si>
  <si>
    <t>Ha</t>
  </si>
  <si>
    <t>Horas sol</t>
  </si>
  <si>
    <t>Hr</t>
  </si>
  <si>
    <t>Factor de uso durante horas de sol</t>
  </si>
  <si>
    <t>Generación eléctrica por riego fotovoltaico</t>
  </si>
  <si>
    <t>MWh</t>
  </si>
  <si>
    <t>6.3</t>
  </si>
  <si>
    <t>Reducción de Emisiones por geneación eléctrica</t>
  </si>
  <si>
    <t>[1] Se asumen paneles de alta eficiencia, con una efectiidad de 15%, como los paneles tipo SolarWorld SW 260 Poly Sunmodule Plus.</t>
  </si>
  <si>
    <t>[2] Indap, programa de riego fotovoltaico</t>
  </si>
  <si>
    <t>[3]Se asume un promedio de horas de sol a lo largo de todo Chile</t>
  </si>
  <si>
    <t>GWh</t>
  </si>
  <si>
    <t>Biogas, Paneles</t>
  </si>
  <si>
    <t>MW</t>
  </si>
  <si>
    <t>(i) Emisiones de Metano por Subsector</t>
  </si>
  <si>
    <t>Fermentación Entérica</t>
  </si>
  <si>
    <t>[Gg CH4]</t>
  </si>
  <si>
    <t>Cultivo de Arroz</t>
  </si>
  <si>
    <t>Suelos agricolas</t>
  </si>
  <si>
    <t>Fertilizante sintético</t>
  </si>
  <si>
    <t>Estiércol animal, compost, lodos y otros</t>
  </si>
  <si>
    <t>Residuos de cosechas</t>
  </si>
  <si>
    <t>Orina y estiércol depositado en pastizales, prados y praderas</t>
  </si>
  <si>
    <t xml:space="preserve">Emisiones indirectas </t>
  </si>
  <si>
    <t>Volatilización</t>
  </si>
  <si>
    <t>Lixiviación</t>
  </si>
  <si>
    <t>Gestión del Estiercol</t>
  </si>
  <si>
    <t>Quemas agrícolas</t>
  </si>
  <si>
    <t>(ii) Emisiones de N2O por Subsector</t>
  </si>
  <si>
    <t>[Gg N2O]</t>
  </si>
  <si>
    <t>(ii) Emisiones de CO2 por Subsector</t>
  </si>
  <si>
    <t>(i) Emisiones por subsector</t>
  </si>
  <si>
    <t>Suelos Cultivados</t>
  </si>
  <si>
    <t>Gestión del Estiércol</t>
  </si>
  <si>
    <t>Emisiones nivel 1</t>
  </si>
  <si>
    <t>V.c</t>
  </si>
  <si>
    <t>Incineración</t>
  </si>
  <si>
    <t>Mt CO2eq</t>
  </si>
  <si>
    <t>Electricidad (consumo final)</t>
  </si>
  <si>
    <t>Fuentes primarias</t>
  </si>
  <si>
    <t>Perdidas por conversión, distribución y uso propio</t>
  </si>
  <si>
    <t>Demanda Total</t>
  </si>
  <si>
    <t>Oferta Total</t>
  </si>
  <si>
    <t>Sobre Oferta</t>
  </si>
  <si>
    <t>Balance neto (debe ser cero!)</t>
  </si>
  <si>
    <t>Fuentes Primaria -  Demanda =</t>
  </si>
  <si>
    <t>Emisiones por sector</t>
  </si>
  <si>
    <t>Electricidad suminstrada a la red (neto después de perdidas)</t>
  </si>
  <si>
    <t>Electricidad sumistrada a la red</t>
  </si>
  <si>
    <t>Factor</t>
  </si>
  <si>
    <t>Electricidad demandada</t>
  </si>
  <si>
    <t>Según información CNE 2014 - 2015</t>
  </si>
  <si>
    <t>De acuerdo a  Escenario 10 mesa ERNC</t>
  </si>
  <si>
    <t>Demanda de Energía por sector</t>
  </si>
  <si>
    <t>Base (Nivel 1)</t>
  </si>
  <si>
    <t>Almacenamiento</t>
  </si>
  <si>
    <t>Reducción</t>
  </si>
  <si>
    <t>D.a</t>
  </si>
  <si>
    <t>Otros sectores</t>
  </si>
  <si>
    <t>Escenario Base</t>
  </si>
  <si>
    <t>Políticas</t>
  </si>
  <si>
    <t>Políticas 2.0</t>
  </si>
  <si>
    <t>Max. Teórico</t>
  </si>
  <si>
    <t>Número aproximado de Proyectos de 5 kW</t>
  </si>
  <si>
    <t>http://www.earthquakesreport.com/information/magnitude-scale.html</t>
  </si>
  <si>
    <t>50 megatons</t>
  </si>
  <si>
    <t>210 PJ</t>
  </si>
  <si>
    <t>Tsar Bomba—Largest thermonuclear weapon ever tested. Most of the energy was dissipated in the atmosphere. The seismic shock was estimated at 5.0–5.2</t>
  </si>
  <si>
    <t>800 megatons</t>
  </si>
  <si>
    <t>Toba eruption 75,000 years ago; among the largest known volcanic events.</t>
  </si>
  <si>
    <t>3300 PJ</t>
  </si>
  <si>
    <t>PJ</t>
  </si>
  <si>
    <t>TJ</t>
  </si>
  <si>
    <t>1 cal</t>
  </si>
  <si>
    <t>J</t>
  </si>
  <si>
    <t>Energía Renovable</t>
  </si>
  <si>
    <t>Generación por Combustibles Fósiles - Proporción entre Gas, Carbón y Diesel</t>
  </si>
  <si>
    <t>Generación por Combustibles Fósiles - Proporción entre Gas, Carbón y Diesel al 2050</t>
  </si>
  <si>
    <t>Escenario Base de acuerdo a Estadísticas CNE</t>
  </si>
  <si>
    <t>Escenario de preferencia a Gas Natural</t>
  </si>
  <si>
    <t>Escenario de generación a Carbón</t>
  </si>
  <si>
    <t>Escenario de igual proporción Gas/Carbón/Diesel</t>
  </si>
  <si>
    <t>Estimaciones</t>
  </si>
  <si>
    <t>Se aplica a la generación por Gas, Carbón y Diesel. Elaboración propia.</t>
  </si>
  <si>
    <t>Remanente a Generar por Comustibles Fósiles</t>
  </si>
  <si>
    <t xml:space="preserve">Inyectando a la red </t>
  </si>
  <si>
    <t>Capacidad Disponible Requerida</t>
  </si>
  <si>
    <t>Capacidad Instalada Requerida</t>
  </si>
  <si>
    <t>Borrar en Futuro*</t>
  </si>
  <si>
    <t>Termoelectricidad por combustibles fósiles</t>
  </si>
  <si>
    <t>Termoelectricidad por Biomasa</t>
  </si>
  <si>
    <t>A</t>
  </si>
  <si>
    <t>B</t>
  </si>
  <si>
    <t>C</t>
  </si>
  <si>
    <t>D</t>
  </si>
  <si>
    <t>Demanda antes de medida</t>
  </si>
  <si>
    <t>Ahorros (%)</t>
  </si>
  <si>
    <t>Ahorro por Sistemas de Gestión de Energía</t>
  </si>
  <si>
    <t>Petróleo Crudo</t>
  </si>
  <si>
    <t xml:space="preserve">Biomasa </t>
  </si>
  <si>
    <t>Biogas</t>
  </si>
  <si>
    <t>Gasolina de Motor</t>
  </si>
  <si>
    <t>Gas de Refinería</t>
  </si>
  <si>
    <t>D.I. de Petróleo</t>
  </si>
  <si>
    <t>Gas Coque</t>
  </si>
  <si>
    <t>Gas de Altos Hornos</t>
  </si>
  <si>
    <t>Metanol</t>
  </si>
  <si>
    <t>kg gas /TJ</t>
  </si>
  <si>
    <t>Todo terreno</t>
  </si>
  <si>
    <t>Automóviles y Camiones ligeros catalíticos</t>
  </si>
  <si>
    <t>Automóviles y Camiones ligeros no catalíticos y Camiones y Buses</t>
  </si>
  <si>
    <t>Motocicletas</t>
  </si>
  <si>
    <t>Ferrocarriles</t>
  </si>
  <si>
    <t xml:space="preserve">De acuerdo a: </t>
  </si>
  <si>
    <t>Elaborado en base a Directrices del IPCC 2006</t>
  </si>
  <si>
    <t>Inventario sectorial del GEI de Energía, serie temporal 1990-2013. División de  Prospesctiva y Política Energética. 2016</t>
  </si>
  <si>
    <t>Detalle de sector Transporte</t>
  </si>
  <si>
    <t>FE   kg gas /TJ</t>
  </si>
  <si>
    <t>Factores de Emisión (FE)</t>
  </si>
  <si>
    <t>Demanda Eléctrica Total</t>
  </si>
  <si>
    <t>Electricidad (suministrada a la red por otros sectores)</t>
  </si>
  <si>
    <t>Termoelectricidad demandada</t>
  </si>
  <si>
    <t>Electricidad demandada por Termoelectricidad</t>
  </si>
  <si>
    <t>Generación por Biomasa</t>
  </si>
  <si>
    <t>Detalle Termoelectricidad Combustibles Fósiles</t>
  </si>
  <si>
    <t>Generación por Gas</t>
  </si>
  <si>
    <t>Generación por Carbón</t>
  </si>
  <si>
    <t>Generación por Diesel</t>
  </si>
  <si>
    <t>Generación por Combustibles fósiles</t>
  </si>
  <si>
    <t>FE CH4</t>
  </si>
  <si>
    <t>Coke de Petroleo</t>
  </si>
  <si>
    <t>De acuerdo a Balance Nacional de Energía 2015</t>
  </si>
  <si>
    <t>Consumos de Energéticos para Electricidad - Proporción de acuerdo a Consumo Final [1]</t>
  </si>
  <si>
    <t>Resumen General</t>
  </si>
  <si>
    <t>Detalle por Energéticos según Balance Nacional de Energía</t>
  </si>
  <si>
    <t>V.031</t>
  </si>
  <si>
    <t>V.032</t>
  </si>
  <si>
    <t>V.033</t>
  </si>
  <si>
    <t>V.041</t>
  </si>
  <si>
    <t>V.042</t>
  </si>
  <si>
    <t>V.043</t>
  </si>
  <si>
    <t>V.044</t>
  </si>
  <si>
    <t>V.045</t>
  </si>
  <si>
    <t>V.046</t>
  </si>
  <si>
    <t>V.047</t>
  </si>
  <si>
    <t>V.048</t>
  </si>
  <si>
    <t>V.049</t>
  </si>
  <si>
    <t>V.051</t>
  </si>
  <si>
    <t>V.0410</t>
  </si>
  <si>
    <t>V.0411</t>
  </si>
  <si>
    <t>V.052</t>
  </si>
  <si>
    <t>V.053</t>
  </si>
  <si>
    <t>V.054</t>
  </si>
  <si>
    <t>V.055</t>
  </si>
  <si>
    <t>V.056</t>
  </si>
  <si>
    <t>V.057</t>
  </si>
  <si>
    <t>V.058</t>
  </si>
  <si>
    <t>FE   kg CO2 eq /TJ</t>
  </si>
  <si>
    <t>Potencial de Calentamiento Global (GWP)</t>
  </si>
  <si>
    <t>Name in formulae</t>
  </si>
  <si>
    <t>Joules</t>
  </si>
  <si>
    <t>Petajoules</t>
  </si>
  <si>
    <t>Unit.PJ</t>
  </si>
  <si>
    <t>Terajoules</t>
  </si>
  <si>
    <t>Unit.TJ</t>
  </si>
  <si>
    <t>GJ</t>
  </si>
  <si>
    <t>Gigajoules</t>
  </si>
  <si>
    <t>Unit.GJ</t>
  </si>
  <si>
    <t>Unit.J</t>
  </si>
  <si>
    <t>MJ</t>
  </si>
  <si>
    <t>Megajoules</t>
  </si>
  <si>
    <t>Unit.MJ</t>
  </si>
  <si>
    <t>kWh</t>
  </si>
  <si>
    <t>Kilowatt-hours</t>
  </si>
  <si>
    <t>Unit.kWh</t>
  </si>
  <si>
    <t>kWh/p/d (UK)</t>
  </si>
  <si>
    <t>Kilowatt-hours per person per day</t>
  </si>
  <si>
    <t>Unit.kWh.p.d</t>
  </si>
  <si>
    <t>Terawatt-hours</t>
  </si>
  <si>
    <t>Unit.TWh</t>
  </si>
  <si>
    <t>Gigawatt-hours</t>
  </si>
  <si>
    <t>Unit.GWh</t>
  </si>
  <si>
    <t>Megawatt-hours</t>
  </si>
  <si>
    <t>Unit.MWh</t>
  </si>
  <si>
    <t>boe</t>
  </si>
  <si>
    <t>Barrel of oil equivalent</t>
  </si>
  <si>
    <t>Unit.boe</t>
  </si>
  <si>
    <t>Mboe</t>
  </si>
  <si>
    <t>Million barrels of oil equivalent</t>
  </si>
  <si>
    <t>Unit.Mboe</t>
  </si>
  <si>
    <t>toe</t>
  </si>
  <si>
    <t>Tonnes of oil equivalent</t>
  </si>
  <si>
    <t>Unit.toe</t>
  </si>
  <si>
    <t>ktoe</t>
  </si>
  <si>
    <t>Kilotonnes of oil equivalent</t>
  </si>
  <si>
    <t>Unit.ktoe</t>
  </si>
  <si>
    <t>Mtoe</t>
  </si>
  <si>
    <t>Megatonnes of oil equivalent</t>
  </si>
  <si>
    <t>Unit.Mtoe</t>
  </si>
  <si>
    <t>therm</t>
  </si>
  <si>
    <t>Therms</t>
  </si>
  <si>
    <t>Unit.therm</t>
  </si>
  <si>
    <t>Btu</t>
  </si>
  <si>
    <t>British Thermal Unit</t>
  </si>
  <si>
    <t>Unit.Btu</t>
  </si>
  <si>
    <t>calorie</t>
  </si>
  <si>
    <t>Calorie (NOT food calorie)</t>
  </si>
  <si>
    <t>Unit.calorie</t>
  </si>
  <si>
    <t>GW y</t>
  </si>
  <si>
    <t>Gigawatt-years</t>
  </si>
  <si>
    <t>Unit.GWyear</t>
  </si>
  <si>
    <t>bcm</t>
  </si>
  <si>
    <t>Billion Cubic Metres (Gas)</t>
  </si>
  <si>
    <t>unit.bcm</t>
  </si>
  <si>
    <t>Power conversions</t>
  </si>
  <si>
    <t>Watts</t>
  </si>
  <si>
    <t>Gigawatts</t>
  </si>
  <si>
    <t>Unit.GW</t>
  </si>
  <si>
    <t>Megawatts</t>
  </si>
  <si>
    <t>Unit.MW</t>
  </si>
  <si>
    <t>Kilowatts</t>
  </si>
  <si>
    <t>Unit.kW</t>
  </si>
  <si>
    <t>W</t>
  </si>
  <si>
    <t>Unit.W</t>
  </si>
  <si>
    <t>mcm/d</t>
  </si>
  <si>
    <t>mcm/d natural gas</t>
  </si>
  <si>
    <t>Unit.mcm.d</t>
  </si>
  <si>
    <t>Mtoe/y</t>
  </si>
  <si>
    <t>Mtoe per year</t>
  </si>
  <si>
    <t>Unit.Mtoe.y</t>
  </si>
  <si>
    <t>Time conversions</t>
  </si>
  <si>
    <t>Seconds</t>
  </si>
  <si>
    <t>y</t>
  </si>
  <si>
    <t>Unit.year</t>
  </si>
  <si>
    <t>d</t>
  </si>
  <si>
    <t>Days</t>
  </si>
  <si>
    <t>Unit.day</t>
  </si>
  <si>
    <t>h</t>
  </si>
  <si>
    <t>Hours</t>
  </si>
  <si>
    <t>Unit.hour</t>
  </si>
  <si>
    <t>m</t>
  </si>
  <si>
    <t>Minutes</t>
  </si>
  <si>
    <t>Unit.minute</t>
  </si>
  <si>
    <t>Area conversions</t>
  </si>
  <si>
    <t>m^2</t>
  </si>
  <si>
    <t>ha</t>
  </si>
  <si>
    <t>Hectares</t>
  </si>
  <si>
    <t>Unit.ha</t>
  </si>
  <si>
    <t>M ha</t>
  </si>
  <si>
    <t>Million hectares</t>
  </si>
  <si>
    <t>Unit.Mha</t>
  </si>
  <si>
    <t>acres</t>
  </si>
  <si>
    <t>Acres</t>
  </si>
  <si>
    <t>Unit.acre</t>
  </si>
  <si>
    <t>Square kilometres</t>
  </si>
  <si>
    <t>Unit.km2</t>
  </si>
  <si>
    <t>Square metres</t>
  </si>
  <si>
    <t>Unit.m2</t>
  </si>
  <si>
    <t>Wales</t>
  </si>
  <si>
    <t>Unit.Wales</t>
  </si>
  <si>
    <t>Power to energy conversion</t>
  </si>
  <si>
    <t>From unit</t>
  </si>
  <si>
    <t>To unit</t>
  </si>
  <si>
    <t>Average power for given energy</t>
  </si>
  <si>
    <t>Conversion.to.average.power</t>
  </si>
  <si>
    <t>Annual energy for given power</t>
  </si>
  <si>
    <t>Conversion.to.annual.energy</t>
  </si>
  <si>
    <t>Energy per second for given power</t>
  </si>
  <si>
    <t>Conversion.to.energy.per.second</t>
  </si>
  <si>
    <t>TWh/s</t>
  </si>
  <si>
    <t>Volume conversions</t>
  </si>
  <si>
    <t>UK Gallon</t>
  </si>
  <si>
    <t>Litres per UK gallon</t>
  </si>
  <si>
    <t>Conversion.UKgallons.to.litres</t>
  </si>
  <si>
    <t>Litres</t>
  </si>
  <si>
    <t>US Gallon</t>
  </si>
  <si>
    <t>Litres per US gallon</t>
  </si>
  <si>
    <t>Conversion.USgallons.to.litres</t>
  </si>
  <si>
    <t>Cost conversions</t>
  </si>
  <si>
    <t>£</t>
  </si>
  <si>
    <t>£trn</t>
  </si>
  <si>
    <t>2010 trillion british pounds</t>
  </si>
  <si>
    <t>TGBP</t>
  </si>
  <si>
    <t>£bn</t>
  </si>
  <si>
    <t>2010 billion british pounds</t>
  </si>
  <si>
    <t>GGBP</t>
  </si>
  <si>
    <t>2010 million british pounds</t>
  </si>
  <si>
    <t>MGBP</t>
  </si>
  <si>
    <t>£k</t>
  </si>
  <si>
    <t>2010 thousand british pounds</t>
  </si>
  <si>
    <t>kGBP</t>
  </si>
  <si>
    <t>Euro2002</t>
  </si>
  <si>
    <t>2002 Euros</t>
  </si>
  <si>
    <t>Euro2002_</t>
  </si>
  <si>
    <t>2009 US dollars</t>
  </si>
  <si>
    <t>USD2009_</t>
  </si>
  <si>
    <t>2010 US dollars</t>
  </si>
  <si>
    <t>USD2010_</t>
  </si>
  <si>
    <t>2010 british pounds</t>
  </si>
  <si>
    <t>GBP</t>
  </si>
  <si>
    <t>GDP Deflator</t>
  </si>
  <si>
    <t>Calendar year 2010 = 100</t>
  </si>
  <si>
    <t xml:space="preserve">Source: http://www.hm-treasury.gov.uk/data_gdp_fig.htm </t>
  </si>
  <si>
    <t>Nombre de Formula</t>
  </si>
  <si>
    <t>Cal</t>
  </si>
  <si>
    <t>Calorias</t>
  </si>
  <si>
    <t>Teracalorias</t>
  </si>
  <si>
    <t>FE   MMt CO2 eq /TWh</t>
  </si>
  <si>
    <t>Código_ID</t>
  </si>
  <si>
    <t>Sector:</t>
  </si>
  <si>
    <t xml:space="preserve">MMt CO2 eq </t>
  </si>
  <si>
    <t>Remanente - Proporción combustibles fósiles al 2050</t>
  </si>
  <si>
    <t>16% Gas, 80% Carbón, 4% Diésel</t>
  </si>
  <si>
    <t>t CO2e</t>
  </si>
  <si>
    <t>index</t>
  </si>
  <si>
    <t>Energía</t>
  </si>
  <si>
    <t>Mejoras en envolvente edificaciones nuevas</t>
  </si>
  <si>
    <t>Mejoras en envolvente edificaciones existentes</t>
  </si>
  <si>
    <t>Demanda total del sector Residencial</t>
  </si>
  <si>
    <t>Demanda total del sector Comercial</t>
  </si>
  <si>
    <t>Demanda total del sector Público</t>
  </si>
  <si>
    <t>(ii) Demanda total del sector Público</t>
  </si>
  <si>
    <t>Demanda total del Industria y Minería</t>
  </si>
  <si>
    <t>Trayectorias detalladas para Cobre</t>
  </si>
  <si>
    <t>Recuperación de calor - Mejora en Eficiencia - Proceso Calor - Diesel, Gas licuado, petróleo combustible y gas natural</t>
  </si>
  <si>
    <t>Remplazo por Gas Natural</t>
  </si>
  <si>
    <t>% Ahorro de Energía</t>
  </si>
  <si>
    <t>Partición entre Transporte Pasajeros y Transporte de Carga</t>
  </si>
  <si>
    <t>Transporte de Pasajeros</t>
  </si>
  <si>
    <t>Tipo de Transporte</t>
  </si>
  <si>
    <t>Terrestre</t>
  </si>
  <si>
    <t>Aéreo</t>
  </si>
  <si>
    <t>Distribución Transporte de Pasajero según Modo</t>
  </si>
  <si>
    <t>% de pkm</t>
  </si>
  <si>
    <t>PKM  Terrestre Urbano</t>
  </si>
  <si>
    <t>pkm</t>
  </si>
  <si>
    <t>bn Vehículo-km</t>
  </si>
  <si>
    <t>Bicicleta tradicional</t>
  </si>
  <si>
    <t>Metro Eléctrico</t>
  </si>
  <si>
    <t>Demanda Energética total por Escenario (Tcal)</t>
  </si>
  <si>
    <t>A - EE</t>
  </si>
  <si>
    <t>B - EE</t>
  </si>
  <si>
    <t>Demanda Eléctrica total por Escenario (Tcal)</t>
  </si>
  <si>
    <t>Nota: Incluye auto-consumo, CNE y CDEC no lo lo incluyen</t>
  </si>
  <si>
    <t>Modelo de Demana 30 Dic 2016</t>
  </si>
  <si>
    <t>A:</t>
  </si>
  <si>
    <t>B:</t>
  </si>
  <si>
    <t>Escenario 2 en Calculadora, Pesimista</t>
  </si>
  <si>
    <t>Escenario 1 en Calculadora, Conservador</t>
  </si>
  <si>
    <t>Escenario 1 - Conservador</t>
  </si>
  <si>
    <t>Escenario 2 - Pesimista</t>
  </si>
  <si>
    <t>Demanda Electrica</t>
  </si>
  <si>
    <t>PKM  Terrestre Interurbano</t>
  </si>
  <si>
    <t>1. Separación por Modo Terrestre - Urbano</t>
  </si>
  <si>
    <t>1. Separación por Modo Terrestre - Interurbano</t>
  </si>
  <si>
    <t>Tren Eléctrico</t>
  </si>
  <si>
    <t>A.</t>
  </si>
  <si>
    <t>Transporte Terrestre - Interurbano</t>
  </si>
  <si>
    <t>B.</t>
  </si>
  <si>
    <t>C.</t>
  </si>
  <si>
    <t>Demanda Gasolina</t>
  </si>
  <si>
    <t>Demanda Diesel</t>
  </si>
  <si>
    <t>Demanda Electricidad</t>
  </si>
  <si>
    <t>Demanda Hidrógeno</t>
  </si>
  <si>
    <t>Vectores</t>
  </si>
  <si>
    <t>Demanda Kerosene de Aviación</t>
  </si>
  <si>
    <t>Demanda Sector Transporte de Pasajeros Escenario Base</t>
  </si>
  <si>
    <t>Densidad promedio Diesel</t>
  </si>
  <si>
    <t>Poder Calorífico Bruto promedio - Diesel</t>
  </si>
  <si>
    <t>Veh-km Interurbano - Liviano</t>
  </si>
  <si>
    <t>Veh-km Interurbano - Mediano</t>
  </si>
  <si>
    <t>Veh-km Interurbano - Pesado</t>
  </si>
  <si>
    <t>Energía Solar</t>
  </si>
  <si>
    <t>GW Capacidad Instalada</t>
  </si>
  <si>
    <t>Solar Fotovoltaica</t>
  </si>
  <si>
    <t>CSP</t>
  </si>
  <si>
    <t>Capacidad instalada Total</t>
  </si>
  <si>
    <t>Capacidad Instalada, Paneles Solares en Techos</t>
  </si>
  <si>
    <t>Fomento de calefacción con pellet</t>
  </si>
  <si>
    <t>Eficiencia energética (MEPS) en artefactos</t>
  </si>
  <si>
    <t>Eficiencia energética (MEPS) en Iluminación</t>
  </si>
  <si>
    <t>Energía solar para agua caliente sanitaria (ACS)</t>
  </si>
  <si>
    <t>(i)</t>
  </si>
  <si>
    <t>(ii)</t>
  </si>
  <si>
    <t>(iii)</t>
  </si>
  <si>
    <t>(iv)</t>
  </si>
  <si>
    <t>(v)</t>
  </si>
  <si>
    <t>(vi)</t>
  </si>
  <si>
    <t>(vii)</t>
  </si>
  <si>
    <t xml:space="preserve">Casas nuevas </t>
  </si>
  <si>
    <t xml:space="preserve">Porcentajes en reducción de demanda energética por parámetro [kWh/m2/año] </t>
  </si>
  <si>
    <t>indexado a su proyección en trayectoria 1 asumiendo linealidad con consumo en calefacción,</t>
  </si>
  <si>
    <t xml:space="preserve">% en [kWh/m2/año] </t>
  </si>
  <si>
    <t>Modelo de proyección de demanda energética, sector residencial</t>
  </si>
  <si>
    <t>División de Prospectiva y Política Energética, Ministerio de Energía, Chile.</t>
  </si>
  <si>
    <t>elaboración propia ajustando para viviendas antiguas a  partir de insumos del Centro de Energía, Universidad de Chile para viviendas nuevas.</t>
  </si>
  <si>
    <t>elaborado a partir de insumos del Centro de Energía, Universidad de Chile.</t>
  </si>
  <si>
    <t>Fomento de calefacción con electricidad</t>
  </si>
  <si>
    <t>Porcentaje de sustitución de calefacción no eléctrica por calefacción eléctrica</t>
  </si>
  <si>
    <t>elaboración propia a partir de escenarios de electrificación, División de Prospectiva y Política Energética, Ministerio de Energía, Chile.</t>
  </si>
  <si>
    <t>Participación de cada energético en uso para Agua Caliente Sanitaria</t>
  </si>
  <si>
    <t>Factor de ajuste representa dificultad de mejoras en viendas existentes comparado con viviendas nuevas</t>
  </si>
  <si>
    <t xml:space="preserve">A partir de Modelo de proyección de demanda energética en sector residencial, División de Prospectiva y Política Energética, Ministerio de Energía, Chile. </t>
  </si>
  <si>
    <t xml:space="preserve">Supuestos tomados desde "Curva de Conservación de la Energía del Sector Residencial”, (CDT, 2010) </t>
  </si>
  <si>
    <t>Trayectoria base para definición de mejoras</t>
  </si>
  <si>
    <t>elaboración propia a partir de escenarios de Eficiencia Energética</t>
  </si>
  <si>
    <t>Distribución de consumos energéticos por uso</t>
  </si>
  <si>
    <t>Distribución viviendas por region</t>
  </si>
  <si>
    <t>Elaboración propia a partir de escenarios de Eficiencia Energética, considerando 5% mayor ambición que trayectoria 2</t>
  </si>
  <si>
    <t>Elaboración propia a partir de escenarios de Eficiencia Energética, considerando 10% mayor ambición que trayectoria 2</t>
  </si>
  <si>
    <t>Supuestos tomados desde "Curva de Conservación de la Energía del Sector Residencial”, (CDT, 2010), mantenido constante al 2050</t>
  </si>
  <si>
    <t>Notas:  [16]</t>
  </si>
  <si>
    <t xml:space="preserve">Supuestos derivados desde  MAPS Fase 2 en el documento "Parámetros transversales y criterios comunes a ser utilizados en estudios de Línea Base 2012 adjudicados bajo el proyecto MAPS-Chile Mayo 2013". </t>
  </si>
  <si>
    <t>Distribución por energético según demanda de Calefacción por Vivienda</t>
  </si>
  <si>
    <t>Tipo de Vivienda</t>
  </si>
  <si>
    <t>Notas:  [17]</t>
  </si>
  <si>
    <t>Supuestos derivados desde estudio “Medición del Consumo Nacional de Leña y otros Combustibles Sólidos derivados de la madera”, (Minenergía, 2015).</t>
  </si>
  <si>
    <t>Distribución de consumo de calefacción por región</t>
  </si>
  <si>
    <t>Elaboración propia a partir de proyección de calefacción en Modelo de proyección de demanda energética en sector residencial, División de Prospectiva y Política Energética, Ministerio de Energía.</t>
  </si>
  <si>
    <t xml:space="preserve">Elaboración propia a partir de portal Calefacción Sustentable, </t>
  </si>
  <si>
    <t>Ministerio de Medio Ambiente, www.calefaccionsustentable.cl</t>
  </si>
  <si>
    <t>Proyección de viviendas nacional</t>
  </si>
  <si>
    <t>Demanda sector Residencial</t>
  </si>
  <si>
    <t>Proyección de casas</t>
  </si>
  <si>
    <t>Supuestos derivados son obtenidos desde supuestos de trayectoria y supuestos fijos</t>
  </si>
  <si>
    <t>Proyección de departamentos</t>
  </si>
  <si>
    <t>Proyección de viviendas regional</t>
  </si>
  <si>
    <t>Distribución de uso de Agua Caliente Sanitaria</t>
  </si>
  <si>
    <t>Eficiencias [20]</t>
  </si>
  <si>
    <t>Elaboración propia a partir de proyección de uso de ACS en Modelo de proyección de demanda energética en sector residencial, División de Prospectiva y Política Energética, Ministerio de Energía.</t>
  </si>
  <si>
    <t>Razón demanda de calefacción de una Casa sobre Departamento según región</t>
  </si>
  <si>
    <t>Casa/Depto   [18]</t>
  </si>
  <si>
    <t xml:space="preserve">Elaboración propia a partir de Modelo de proyección de demanda energética en sector residencial, División de Prospectiva y Política Energética, Ministerio de Energía, Chile. </t>
  </si>
  <si>
    <t>1.3</t>
  </si>
  <si>
    <t>1.4</t>
  </si>
  <si>
    <t>1.5</t>
  </si>
  <si>
    <t>1.6</t>
  </si>
  <si>
    <t>1.1 Calefacción</t>
  </si>
  <si>
    <t>1.2 ACS</t>
  </si>
  <si>
    <t>ACS por Región</t>
  </si>
  <si>
    <t>ACS por Energético</t>
  </si>
  <si>
    <t>1.3 Cocción</t>
  </si>
  <si>
    <t>1.4 Refrigeración</t>
  </si>
  <si>
    <t>1.5 Iluminación</t>
  </si>
  <si>
    <t>1.6 Otros artefactos eléctricos</t>
  </si>
  <si>
    <t>Distribución de uso de energético para uso cocción según región</t>
  </si>
  <si>
    <t>[22]</t>
  </si>
  <si>
    <t>Elaboración propia a partir de uso para cocción  en Modelo de proyección de demanda energética en sector residencial, División de Prospectiva y Política Energética, Ministerio de Energía.</t>
  </si>
  <si>
    <t>Cocción por Energético</t>
  </si>
  <si>
    <t>Cocción por Región</t>
  </si>
  <si>
    <t>Consumos por Calefacción luego de implementar Mejoras en Envolvente Térmico</t>
  </si>
  <si>
    <t>Consumos por Calefacción luego de implementar Mejoras en Envolvente Térmico por energético</t>
  </si>
  <si>
    <t>Impacto Medida Pellet</t>
  </si>
  <si>
    <t>Calefacción luego de Medida Pellet</t>
  </si>
  <si>
    <t>Impacto Medida Electrificación</t>
  </si>
  <si>
    <t>Biomasa (Pellet)</t>
  </si>
  <si>
    <t>Permanecen</t>
  </si>
  <si>
    <t>Nueva Electricidad</t>
  </si>
  <si>
    <t>Electricidad remplaza a</t>
  </si>
  <si>
    <t>Calefacción luego de Medida Electrificación</t>
  </si>
  <si>
    <t xml:space="preserve">Impacto medida ACS </t>
  </si>
  <si>
    <t>Aumento en E. Solar</t>
  </si>
  <si>
    <t>Impacto medida MEPS artefactos Eléctricos</t>
  </si>
  <si>
    <t>Nuevo Consumo Eléctrico</t>
  </si>
  <si>
    <t>Vivienda</t>
  </si>
  <si>
    <t>Impacto medida MEPS Iluminación</t>
  </si>
  <si>
    <t>Otros Electrodomesticos</t>
  </si>
  <si>
    <t>Otros Artefactos Electricos</t>
  </si>
  <si>
    <t>Resumen por USO</t>
  </si>
  <si>
    <t>Resumen por Energético</t>
  </si>
  <si>
    <t>Escenario Base (Sin Pollítica Energética) Demanda Proyectada</t>
  </si>
  <si>
    <t>Elaboración propia a partir de escenarios de Eficiencia Energética, considerando 30% mayor en ambición que trayectoria 2</t>
  </si>
  <si>
    <t>Elaboración propia a partir de escenarios de Eficiencia Energética, considerando 60% mayor en ambición  que trayectoria 2</t>
  </si>
  <si>
    <t>Resumen consumos por Calefacción por Energético previo luego de i y ii</t>
  </si>
  <si>
    <t>1 significa que es posible realizar medida en viviendas existentes de la misma forma que viviendas nuevas</t>
  </si>
  <si>
    <t xml:space="preserve">0 significa que es no posible hacer reacondicionamiento </t>
  </si>
  <si>
    <t>(i) y (ii)</t>
  </si>
  <si>
    <t>Impacto de Medida Envolvente térmica en edificaciones Nuevas (i)  y Existentes (ii)</t>
  </si>
  <si>
    <t>Cálculo de consumo por uso y energético</t>
  </si>
  <si>
    <t>Cálculo de demanda base</t>
  </si>
  <si>
    <t xml:space="preserve">A partir de Modelo de proyección de demanda energética en sector Comercial y Público, División de Prospectiva y Política Energética, Ministerio de Energía, Chile. </t>
  </si>
  <si>
    <t>% kWh/m^2</t>
  </si>
  <si>
    <t>Kerosene Aviación</t>
  </si>
  <si>
    <t>Petroleo combustible</t>
  </si>
  <si>
    <t>Distribución de consumos energéticos por Uso - Sector Comercial</t>
  </si>
  <si>
    <t>Distribución de consumos energéticos por Uso - Sector Público</t>
  </si>
  <si>
    <t>Distribución de consumos energéticos por Energético - Sector Comercial</t>
  </si>
  <si>
    <t>Distribución de consumos energéticos por Energético - Sector Público</t>
  </si>
  <si>
    <t>Bombas y ventiladores</t>
  </si>
  <si>
    <t>Equipos de oficina</t>
  </si>
  <si>
    <t>Lavandería</t>
  </si>
  <si>
    <t>Artefactos Eléctricos</t>
  </si>
  <si>
    <t>Eficiencia energética (MEPS) en artefactos electricos</t>
  </si>
  <si>
    <t>Consumos - Sector Comercial para Escenario Base</t>
  </si>
  <si>
    <t>Consumos - Sector Publico para Escenario Base</t>
  </si>
  <si>
    <t>Ahorro medida</t>
  </si>
  <si>
    <t>Energetico</t>
  </si>
  <si>
    <t>Usos - Ampleado</t>
  </si>
  <si>
    <t>Usos - para Medidas</t>
  </si>
  <si>
    <t>Notas [5]</t>
  </si>
  <si>
    <t>elaborado a partir de Balance de Energía versiones 2014 y anteriores</t>
  </si>
  <si>
    <t>Implementación de sistemas de gestión de energía</t>
  </si>
  <si>
    <t>Reemplazo de diesel y petróleo por gas natural</t>
  </si>
  <si>
    <t>Fomento de sistemas solares térmicos</t>
  </si>
  <si>
    <t>Fomento de sistemas de recuperación de calor</t>
  </si>
  <si>
    <t xml:space="preserve">Fomento de sistemas motrices eficientes (MEPS) </t>
  </si>
  <si>
    <t>Demanda total del sector Industrial y Minería</t>
  </si>
  <si>
    <t>Sistemas motrices eficientes (MEPS motores) - Eficiencia Motríz - Energético Electricidad</t>
  </si>
  <si>
    <t>Mejoras en eficiencia en para motores eléctricos, MEPS</t>
  </si>
  <si>
    <t>Notas [2]</t>
  </si>
  <si>
    <t>Modelo de proyección de demanda energética, sector Industrial y Minería</t>
  </si>
  <si>
    <t>Notas [3]</t>
  </si>
  <si>
    <t>Fomento de sistemas motrices eficientes (MEPS) - Eficiencia motríz sobre electricidad</t>
  </si>
  <si>
    <t>Fomento de sistemas de recuperación de calor- Eficiencia motríz sobre procesos de calor - Diesel, Gas licuado, petróleo combustible y gas natural</t>
  </si>
  <si>
    <t>Trayectorias detalladas para industria del Cobre</t>
  </si>
  <si>
    <t>Distribución de consumo de energéticos para industria del Cobre</t>
  </si>
  <si>
    <t>Potenciales de recuperación de calor en industria del Cobre</t>
  </si>
  <si>
    <t>Notas [4]</t>
  </si>
  <si>
    <t>Ministerio de Energía Gobierno de Chile. «Informe Balance Nacional de Energía 2015». (1a. ed.), Santiago de Chile</t>
  </si>
  <si>
    <t>[Tcal]  BNE 2015</t>
  </si>
  <si>
    <t>Potencial de recuperación de Calor</t>
  </si>
  <si>
    <t>Potenciales de remplazo por energía solar para procesos de calor</t>
  </si>
  <si>
    <t>Fomento de sistemas solares térmicos - remplazo de Proceso Calor - Diesel, Gas licuado, petróleo combustible y gas natural</t>
  </si>
  <si>
    <t>Implementando Sistemas de Gestión de Energía</t>
  </si>
  <si>
    <t>Notas [6]</t>
  </si>
  <si>
    <t>Potenciales de remplazo por Gas Natural</t>
  </si>
  <si>
    <t>Elaboración propia a partir de ISO50001 en Chile, Achee</t>
  </si>
  <si>
    <t xml:space="preserve">y su guía de implementación elaboradad por la Agencia Chilena de Eficiencia Energética, disponible en </t>
  </si>
  <si>
    <t>http://www.gestionaenergia.cl/pdf/ISO50001.pdf</t>
  </si>
  <si>
    <t>Notas [7]</t>
  </si>
  <si>
    <t>Notas [8]</t>
  </si>
  <si>
    <t>Notas [9]</t>
  </si>
  <si>
    <t>Elaboración propia a partir de los insumos del Modelo de proyección de demanda energética, sector Industrial y Minería</t>
  </si>
  <si>
    <t>Ministerio de Energía, Gobierno de Chile. «Informe Balance Nacional de Energía 2015». (1a. ed.), Santiago de Chile</t>
  </si>
  <si>
    <t>Tipo de uso por subsector</t>
  </si>
  <si>
    <t>Distribución de energéticos por subsector</t>
  </si>
  <si>
    <t>Notas [10]</t>
  </si>
  <si>
    <t>Eficiencia motriz</t>
  </si>
  <si>
    <t>Eficiencia motiz</t>
  </si>
  <si>
    <t>Sistemas solares térmicos - Nivel de actividad</t>
  </si>
  <si>
    <t xml:space="preserve">Factores de Intensidad Energética, como producto de la selección </t>
  </si>
  <si>
    <t>Tasa de ocupación vehículos privados</t>
  </si>
  <si>
    <t>Rendimiento del parque de vehículos indexado año 2015</t>
  </si>
  <si>
    <t>Uso bicicleta</t>
  </si>
  <si>
    <t>Consumo</t>
  </si>
  <si>
    <t>Participación de consumo por subsector</t>
  </si>
  <si>
    <t>http://www.induambiente.com/destacamos/el-valor-de-la-gestion</t>
  </si>
  <si>
    <t>Eficiencia energética (MEPS) en artefactos eléctricos</t>
  </si>
  <si>
    <t xml:space="preserve">Para esta modelación Artefactos Eléctricos son considerados los siguientes Usos: </t>
  </si>
  <si>
    <t>Bombas y ventiladores; Equipos de Oficina; Lavandería, Refrigeración y Otros</t>
  </si>
  <si>
    <t>Notas [5] y [6]</t>
  </si>
  <si>
    <t>Supuestos de trayectoria elaborados a partir de insumos del Centro de Energía, Universidad de Chile.</t>
  </si>
  <si>
    <t>Notas [1]</t>
  </si>
  <si>
    <t>Participación modal interurbana</t>
  </si>
  <si>
    <t>Eficiencias para Automóviles</t>
  </si>
  <si>
    <t>Partición modal Urbana</t>
  </si>
  <si>
    <t>Tasa de ocupación</t>
  </si>
  <si>
    <t>Pasajero-kilómetro Terrestre Urbano</t>
  </si>
  <si>
    <t>Porcentaje pkm urbano o interurbano de pkm terrestre</t>
  </si>
  <si>
    <t>Supuesto de uso de porcentaje de uso de electricidad para vehículo híbrido</t>
  </si>
  <si>
    <t>Modelo de proyección de demanda energética, sector Transporte</t>
  </si>
  <si>
    <t>[3a]</t>
  </si>
  <si>
    <t>Elaborado a partir de insumos del Centro de Energía, Universidad de Chile.</t>
  </si>
  <si>
    <t>Twh/asiento-km  considerando que un tren posee 105, 8 asientos, según modelo en UK</t>
  </si>
  <si>
    <t>Tomando supuestos similares a modelación en Transporte en modelo UK</t>
  </si>
  <si>
    <t>Factor respecto Trayectoria 1 en porcentaje</t>
  </si>
  <si>
    <t>mejora en % de km/LGE respecto 2015</t>
  </si>
  <si>
    <t>Pasajero-kilómetro Terrestre Interurbano</t>
  </si>
  <si>
    <t>Partición Modal Transporte Público Urbano</t>
  </si>
  <si>
    <t>Eficiencias por Tecnonología para Buses y Tren</t>
  </si>
  <si>
    <t>Eficiencia Tecnológica - Electricidad - Bus y Tren</t>
  </si>
  <si>
    <t>Eficiencia Tecnológica - Combustibles Líquidos - Bus y Tren</t>
  </si>
  <si>
    <t>Eficiencia Tecnológica - Hidrógeno - Bus</t>
  </si>
  <si>
    <t>Cálculo de demanda Transporte Terrestre - Urbano por modo y tecnología     [bn vehículo-km]</t>
  </si>
  <si>
    <t>Cálculo de demanda Transporte Terrestre  - Urbano por modo y tecnología     [TWh]</t>
  </si>
  <si>
    <t>Cálculo de demanda Transporte Terrestre - Interurbano    [pkm]</t>
  </si>
  <si>
    <t>Cálculo de demanda Transporte Terrestre - Interurbano por modo y tecnología     [bn vehículo-km]</t>
  </si>
  <si>
    <t xml:space="preserve">3. </t>
  </si>
  <si>
    <t>Supuesto de PKM</t>
  </si>
  <si>
    <t>Separación por Modo Terrestre y Tecnología - Urbano</t>
  </si>
  <si>
    <t>Energía - Separación por Modo Terrestre y Tecnología - Urbano</t>
  </si>
  <si>
    <t>Separación por Modo Terrestre y Tecnología</t>
  </si>
  <si>
    <t>Energía - Separación por Modo Terrestre y Tecnología</t>
  </si>
  <si>
    <t>Cálculo de demanda Transporte Terrestre  - Interurbano Energía    [TWh]</t>
  </si>
  <si>
    <t>Suma demanda Transporte Terrestre Urbano + Interurbano</t>
  </si>
  <si>
    <t xml:space="preserve">4. </t>
  </si>
  <si>
    <t>Suma demanda Transporte Terrestre Urbano + Interurbano  [TWh]</t>
  </si>
  <si>
    <t>Cálculo de demanda por Energético  [TWh]</t>
  </si>
  <si>
    <t>Cálculo de Emisiones  [MMt CO2 eq]</t>
  </si>
  <si>
    <t xml:space="preserve">5. </t>
  </si>
  <si>
    <t>Ajustando modelo de demanda  [TWh]</t>
  </si>
  <si>
    <t>Factor de ajuste</t>
  </si>
  <si>
    <t>6.</t>
  </si>
  <si>
    <t xml:space="preserve">Cálculo de demanda Transporte Terrestre - Urbano </t>
  </si>
  <si>
    <t>Cálculo de demanda Transporte Terrestre - Interurbano</t>
  </si>
  <si>
    <t>Fomento al uso de la bicicleta</t>
  </si>
  <si>
    <t xml:space="preserve">Nuevas tecnologías en buses transporte público </t>
  </si>
  <si>
    <t>Fomento a compartir el auto por carpooling</t>
  </si>
  <si>
    <t>Mejoras en rendimientos del parque vehicular</t>
  </si>
  <si>
    <t>Fomento al Transporte Público.  Tasa transporte público / trasporte privado</t>
  </si>
  <si>
    <t>Demanda total de transporte de carga tkm</t>
  </si>
  <si>
    <t>Cambio modal transporte de Carga</t>
  </si>
  <si>
    <t>Mejoras al rendimiento de camiones (indexado año 2015)</t>
  </si>
  <si>
    <t>Razón porcentaje pkm urbano / interurbano</t>
  </si>
  <si>
    <t>Eficiencias por Tecnonología</t>
  </si>
  <si>
    <t>Participación tkm Urbana - Camiones</t>
  </si>
  <si>
    <t>Participación tkm Interurbana - Camiones</t>
  </si>
  <si>
    <t>Toneladas de carga por Vehículo</t>
  </si>
  <si>
    <t>Intensidad Energética: Consumo de Combustible 2015</t>
  </si>
  <si>
    <t>Fomento de Eficiencia Energética en camiones</t>
  </si>
  <si>
    <t>Millones CLP 2011</t>
  </si>
  <si>
    <t>Penetración de vehículos baja emisión (ventas)</t>
  </si>
  <si>
    <t>Proyección del Parque Automotriz, Ingresos y Salidas</t>
  </si>
  <si>
    <t>Número de vehículos del Parque Automotriz</t>
  </si>
  <si>
    <t>Número de vehículos que salen del Parque</t>
  </si>
  <si>
    <t>Número de vehículos que ingresan al Parque</t>
  </si>
  <si>
    <t>En periodo de 5 años, entre año actual y futuro</t>
  </si>
  <si>
    <t>Número de vehículos</t>
  </si>
  <si>
    <t>Composición parque</t>
  </si>
  <si>
    <t>Parque</t>
  </si>
  <si>
    <t>Salen</t>
  </si>
  <si>
    <t>Entran</t>
  </si>
  <si>
    <t>Nuevo Parque</t>
  </si>
  <si>
    <t>Distribución del Parque Automotriz según Tecnología año 2015</t>
  </si>
  <si>
    <t>Año 2015</t>
  </si>
  <si>
    <t>Millones CLP/Persona</t>
  </si>
  <si>
    <t>Número de Viviendas</t>
  </si>
  <si>
    <t>Numero de Viviendas Escenario Económico Conservador y Población proyectada por OCDE</t>
  </si>
  <si>
    <t>Proyección de viviendas base</t>
  </si>
  <si>
    <t>Proyección de viviendas seleccionada</t>
  </si>
  <si>
    <t>Numero de Viviendas Escenario seleccionado por ususario</t>
  </si>
  <si>
    <t>Factor disminución demanda</t>
  </si>
  <si>
    <t>Supuesto de relación lineal entre número de viviendas y demanda total sector residencial</t>
  </si>
  <si>
    <t>Total usos</t>
  </si>
  <si>
    <t>Consumo promedio de una cada ubicada en Zona Térmica B de 150 kWh/m^2</t>
  </si>
  <si>
    <t>elaborado a partir de insumos del Centro de Energía, Universidad de Chile. Consumo promedio de una cada ubicada en Zona Térmica B de 150 kWh/m^2</t>
  </si>
  <si>
    <t>Solar Fotovoltaica (FV)</t>
  </si>
  <si>
    <t>Termosolar de Concentración (CSP)</t>
  </si>
  <si>
    <t>Almacenamiento e Interconección</t>
  </si>
  <si>
    <t>Modulo</t>
  </si>
  <si>
    <t>Solar de menor escala (GD)</t>
  </si>
  <si>
    <t>Eólico de menor escala (GD)</t>
  </si>
  <si>
    <t>Plantas Eólicas</t>
  </si>
  <si>
    <t>Solo plantas fotovoltaicas</t>
  </si>
  <si>
    <t>Factores de Planta</t>
  </si>
  <si>
    <t>Fision nuclear</t>
  </si>
  <si>
    <t>Fotovoltaica</t>
  </si>
  <si>
    <t>Captura de Carbono</t>
  </si>
  <si>
    <t>http://www.ccsassociation.org/what-is-ccs/</t>
  </si>
  <si>
    <t>Entrada</t>
  </si>
  <si>
    <t>Energia eléctrica producida por Termoelectricidad</t>
  </si>
  <si>
    <t>Emisiones por Termoelectricidad</t>
  </si>
  <si>
    <t>Porcentaje en Captura de CO2 por unidad de Energía generada</t>
  </si>
  <si>
    <t>Emisiones sobre energía eléctrica generada</t>
  </si>
  <si>
    <t>Mt CO2 / TWh</t>
  </si>
  <si>
    <t>Emisiones capturadas</t>
  </si>
  <si>
    <t>Mt CO2</t>
  </si>
  <si>
    <t>Oferta Total de Energía</t>
  </si>
  <si>
    <t>Producción Bruta</t>
  </si>
  <si>
    <t>Importación</t>
  </si>
  <si>
    <t>Exportación</t>
  </si>
  <si>
    <t>Var. Stock</t>
  </si>
  <si>
    <t>Consumo Bruto</t>
  </si>
  <si>
    <t>Fomento de calefacción con pellet - Participacion de calefaccion a pellets en calefaccion con biomasa</t>
  </si>
  <si>
    <t>Porcentaje de Participacion de calefaccion a pellets en calefaccion con biomasa</t>
  </si>
  <si>
    <t>Factor de seguridad de suministro eléctrico</t>
  </si>
  <si>
    <t>Recurso solar</t>
  </si>
  <si>
    <t>Eficiencia sugerida para electricidad producidada por geotérmia, según la IEA Statistics 2015</t>
  </si>
  <si>
    <t>Eficiencia sugerida para electricidad producidada por energía térmica solar, según la IEA Statistics 2015</t>
  </si>
  <si>
    <t>Eficiencia energética (MEPS) en artefactos - aumento respecto a caso base</t>
  </si>
  <si>
    <t>Eficiencia energética (MEPS) en Iluminación - aumento respecto a caso base</t>
  </si>
  <si>
    <t>Supuestos de trayectaria elaborados División de Prospectiva y Política Energética, Ministerio de Energía, Chile, para escenarios de electrificación  a partir de  Bloomber New Energy Finance (2016)</t>
  </si>
  <si>
    <t>Trajectory</t>
  </si>
  <si>
    <t>Central Case</t>
  </si>
  <si>
    <t>Low Production case</t>
  </si>
  <si>
    <t>Very low production case</t>
  </si>
  <si>
    <t>Chosen</t>
  </si>
  <si>
    <t>Petroleo crudo</t>
  </si>
  <si>
    <t>Matriz Primaria 2015</t>
  </si>
  <si>
    <t>Consumo Bruto de combustibles fósiles crece de igual forma que demanda de combustibles fósiles</t>
  </si>
  <si>
    <t>Oferta desde Hojas Balances</t>
  </si>
  <si>
    <t>Total de combustibles fosiles demandado</t>
  </si>
  <si>
    <t>Crecimiento de Demanda combustibles fósiles</t>
  </si>
  <si>
    <t>Indice</t>
  </si>
  <si>
    <t>Produción bruta</t>
  </si>
  <si>
    <t>Indice respecto a 2015</t>
  </si>
  <si>
    <t>Producción bruta</t>
  </si>
  <si>
    <t>Producción bruta / Consumo bruto</t>
  </si>
  <si>
    <t>Fugitive emissions from production</t>
  </si>
  <si>
    <t>1B1a</t>
  </si>
  <si>
    <t>Methane from coal mining</t>
  </si>
  <si>
    <t>1B2</t>
  </si>
  <si>
    <t>Oil and Natural Gas</t>
  </si>
  <si>
    <t>Emisiones fugitivas sobre producción bruta</t>
  </si>
  <si>
    <t xml:space="preserve"> Mt de CH4 por TWh</t>
  </si>
  <si>
    <t xml:space="preserve"> Mt de CO2 por TWh</t>
  </si>
  <si>
    <t>Emisiones fugitivas de metano y CO2 desde por unidad de energía según Inventario UK 2009. Fuente: GHG Inventory 2009, Table 1.</t>
  </si>
  <si>
    <t>Pretroleo y Gas</t>
  </si>
  <si>
    <t>Calefacción Distrital (no implementado)</t>
  </si>
  <si>
    <t>Proyección a partir de supuesto []</t>
  </si>
  <si>
    <t>[]</t>
  </si>
  <si>
    <t>Conversiones de Energía utilizadas en primera versión de Calculadora</t>
  </si>
  <si>
    <t>Otras conversiones de Energía (no utilizadas)</t>
  </si>
  <si>
    <t>Palanca</t>
  </si>
  <si>
    <t>Descripción de cada nivel o trayectoria</t>
  </si>
  <si>
    <t>Reducción emisiones</t>
  </si>
  <si>
    <t>Grafico 1</t>
  </si>
  <si>
    <t>Grafico 2</t>
  </si>
  <si>
    <t>Grafico 3</t>
  </si>
  <si>
    <t xml:space="preserve"> </t>
  </si>
  <si>
    <t>reducción al 2030</t>
  </si>
  <si>
    <t>reducción al 2050</t>
  </si>
  <si>
    <t>Oferta Eléctrica</t>
  </si>
  <si>
    <t>Baja en Emisiones</t>
  </si>
  <si>
    <t>A partir de MESA ERNC, promedio factor de planta SIC Centro, SIC CentroSur Ancoa, SIC CentroSur Charrúa, SIC Sur. Ajustado conservador 35%</t>
  </si>
  <si>
    <t>renovables al 2050</t>
  </si>
  <si>
    <t>Intermitentes</t>
  </si>
  <si>
    <t>GDP. Millones CLP 2011</t>
  </si>
  <si>
    <t>Crecimiento Emisiones</t>
  </si>
  <si>
    <t>Crecimiento PIB</t>
  </si>
  <si>
    <t>BASE</t>
  </si>
  <si>
    <t>Todo 1</t>
  </si>
  <si>
    <t>100% Gas</t>
  </si>
  <si>
    <t>75% Gas, 23% Carbón, 2% Diésel</t>
  </si>
  <si>
    <t>Sin desarrollo</t>
  </si>
  <si>
    <t>Tasa de ocupación de 1,72 al 2050</t>
  </si>
  <si>
    <t>Tasa de ocupación de 1,89 al 2050</t>
  </si>
  <si>
    <t>Tasa de ocupación de 2,06 al 2050</t>
  </si>
  <si>
    <t>Tasa de ocupación de 2,28 al 2050</t>
  </si>
  <si>
    <t>Penetración nuevas tecnologías en Buses Transporte Público - Parque</t>
  </si>
  <si>
    <t>3% en ahorro al 2050</t>
  </si>
  <si>
    <t>7% en ahorro al 2050</t>
  </si>
  <si>
    <t>10% en ahorro al 2050</t>
  </si>
  <si>
    <t>renovables al 2035</t>
  </si>
  <si>
    <t>.</t>
  </si>
  <si>
    <t>Todo</t>
  </si>
  <si>
    <t>Grafico 4</t>
  </si>
  <si>
    <t>Escenarios. Primeros resultados en validación.</t>
  </si>
  <si>
    <t>Se</t>
  </si>
  <si>
    <t>Fomento al transporte público</t>
  </si>
  <si>
    <t>Demanda Sector Transporte - Escenario Base</t>
  </si>
  <si>
    <t xml:space="preserve">Porcentaje de Energía Renovable intermitente al 2050 (Solar + Eólico) </t>
  </si>
  <si>
    <t>27% Gas, 68% Carbón, 5% Diésel</t>
  </si>
  <si>
    <t>MW de carbón</t>
  </si>
  <si>
    <t>GWh  de carbón</t>
  </si>
  <si>
    <t>GWh de carbón</t>
  </si>
  <si>
    <t>Factor de planta [1]</t>
  </si>
  <si>
    <t>Mejoras en envolvente edificaciones nuevas y existentes</t>
  </si>
  <si>
    <t>Eficiencia Energética</t>
  </si>
  <si>
    <t>Desarrollo de Energías Renovables</t>
  </si>
  <si>
    <t>Alto Eléctrico+ Energía Renovable</t>
  </si>
  <si>
    <t>Todo en Nivel 1</t>
  </si>
  <si>
    <t>Proyección realizada por el INE</t>
  </si>
  <si>
    <t>Capacidad instalada al 2050 de 2,7 GW</t>
  </si>
  <si>
    <t>Capacidad instalada al 2050 de 5 GW</t>
  </si>
  <si>
    <t xml:space="preserve">Capacidad instalada al 2050 de 7 GW </t>
  </si>
  <si>
    <t xml:space="preserve">Capacidad instalada al 2050 de 9,5 GW </t>
  </si>
  <si>
    <t xml:space="preserve">Capacidad instalada al 2050 de 8 GW </t>
  </si>
  <si>
    <t>Capacidad instalada al 2050 de 11 GW</t>
  </si>
  <si>
    <t xml:space="preserve">Capacidad instalada al 2050 de 0,5 GW </t>
  </si>
  <si>
    <t xml:space="preserve">Capacidad instalada al 2050 de 1,7 GW </t>
  </si>
  <si>
    <t xml:space="preserve">Capacidad instalada al 2050 de 0,4 GW </t>
  </si>
  <si>
    <t>Capacidad instalada al 2050 de  5 GW</t>
  </si>
  <si>
    <t>Capacidad instalada al 2050 de  7 GW</t>
  </si>
  <si>
    <t xml:space="preserve">Capacidad instalada al 2050 de  9 GW </t>
  </si>
  <si>
    <t xml:space="preserve"> Capacidad instalada al 2050 de 3,7 GW </t>
  </si>
  <si>
    <t>Capacidad instalada al 2050 de  5,6 GW (1% potencial ERNC)</t>
  </si>
  <si>
    <t xml:space="preserve">Capacidad instalada al 2050 de 1 GW </t>
  </si>
  <si>
    <t>Capacidad instalada al 2050 de 2 GW</t>
  </si>
  <si>
    <t xml:space="preserve">Capacidad instalada al 2050 de 2,8 GW </t>
  </si>
  <si>
    <t>Capacidad instalada al 2050 de  0,3 GW  (Sin política)</t>
  </si>
  <si>
    <t>No existen sistema de recuperación de calor</t>
  </si>
  <si>
    <t>Al 2050 se logran mejoras en eficiencia del 13%</t>
  </si>
  <si>
    <t>Al 2050 se logran mejoras en eficiencia del 17%</t>
  </si>
  <si>
    <t>Al 2050 se logran mejoras en eficiencia del 22%</t>
  </si>
  <si>
    <t>al 2050, se remplaza el 25% de calefacción de biomasa por electricidad</t>
  </si>
  <si>
    <t>al 2050, se remplaza el 45% de calefacción de biomasa por electricidad</t>
  </si>
  <si>
    <t>al 2050, se remplaza el 65% de calefacción de biomasa por electricidad</t>
  </si>
  <si>
    <t>Al 2050, se reduce 25% en calefacción por m2</t>
  </si>
  <si>
    <t>Al 2050, se reduce 40% en calefacción por m2</t>
  </si>
  <si>
    <t>Al 2050, se reduce 75% en calefacción por m2</t>
  </si>
  <si>
    <t>Participación de Gas, Diésel y Carbón</t>
  </si>
  <si>
    <t>Fomento a compartir el auto mediante carpooling</t>
  </si>
  <si>
    <t>Venta de vehículos de baja emisión</t>
  </si>
  <si>
    <t>Uso de ERNC para Riego</t>
  </si>
  <si>
    <t>N° de habitantes</t>
  </si>
  <si>
    <t>Demanda de Energía</t>
  </si>
  <si>
    <t>Proyección de crecimiento de la población proyectado según el INE, elaborado por División de Prospectiva y Política Energética, Ministerio de Energía, Chile.</t>
  </si>
  <si>
    <t>Escenario de crecimiento de la población menor al proyectado por le INE, 10% menor al año 2050. Elaboración propia.</t>
  </si>
  <si>
    <t>Proyección 10% menor al 2050 respecto a la realizada por el INE</t>
  </si>
  <si>
    <t>Crecimiento Económico</t>
  </si>
  <si>
    <t>Crecimiento Poblacional</t>
  </si>
  <si>
    <t>De acuerdo a MESA ERNC, Escenario N° 10</t>
  </si>
  <si>
    <t>Generación Eléctrica</t>
  </si>
  <si>
    <t xml:space="preserve">Comercial y Público </t>
  </si>
  <si>
    <t>La recuperación de calor y el remplazo de energía térmica por energía solar es del 2,2% al 2050</t>
  </si>
  <si>
    <t>La recuperación de calor y el remplazo de energía térmica por energía solar es del 6,5% al 2050</t>
  </si>
  <si>
    <t>La recuperación de calor y el remplazo de energía térmica por energía solar es del 9,5% al 2050</t>
  </si>
  <si>
    <t>Fomento de sistemas de recuperación de calor y sistemas solares térmicos</t>
  </si>
  <si>
    <t>Alto Eléctrico+ Energía Renovable + Eficiencia Energética</t>
  </si>
  <si>
    <t>Considera los 1,6  MW de generación eléctrica mediante biodigestores ya existentes al 2050</t>
  </si>
  <si>
    <t>40% de los pequeños agricultores ocupan sistema de bombeo de agua basado en energía fotovoltaica en 2050.</t>
  </si>
  <si>
    <t>100% de los pequeños agricultores utilizan paneles fotovoltaicos en 2050. los medianos agricultores alcanzan 50% en el 2050 y los grandes alcanzan el 100% en 2040</t>
  </si>
  <si>
    <t>100% de los pequeños agricultores utilizan paneles fotovoltaicos en 2050. los medianos agricultores alcanzan 80% en el 2050 y los grandes alcanzan el 100% en 2030.</t>
  </si>
  <si>
    <t>Ventas de vehículos eléctricos al 2050  menor al 1%</t>
  </si>
  <si>
    <t>Ventas de vehículos eléctricos al 2050 del 23%</t>
  </si>
  <si>
    <t xml:space="preserve"> Industria y Minería</t>
  </si>
  <si>
    <t>Al 2050, se remplaza del 29,7% de diésel y petróleo por gas natural</t>
  </si>
  <si>
    <t>Al 2050, se remplaza del 59,4% de diésel y petróleo por gas natural</t>
  </si>
  <si>
    <t>Al 2050, se remplaza del 89,1% de diésel y petróleo por gas natural</t>
  </si>
  <si>
    <t>Producción nacional combustibles fósiles</t>
  </si>
  <si>
    <t>Reservas combustibles fósiles</t>
  </si>
  <si>
    <t>Flujo de Biogás a generación eléctrica</t>
  </si>
  <si>
    <t>Eólico</t>
  </si>
  <si>
    <t>Petróleo</t>
  </si>
  <si>
    <t>Según variación porcentual 2015-2016 desde Anuario Estadístico de Energía 2016, CNE</t>
  </si>
  <si>
    <t>Al 2050, la relación entre el transporte publico y privado cae de 0,51 a 0,38.</t>
  </si>
  <si>
    <t>Combustible Liquido</t>
  </si>
  <si>
    <t>Combustible Sólido</t>
  </si>
  <si>
    <t>Combustible Gaseoso</t>
  </si>
  <si>
    <t>Renovación natural del parque. 2% mejor que en 2015 (km/LGE)</t>
  </si>
  <si>
    <t>Renovación natural del parque. 1,61% mejor que en 2015 (km/LGE)</t>
  </si>
  <si>
    <t>Renovación natural del parque. 2,5% mejor que en 2015 (km/LGE)</t>
  </si>
  <si>
    <t>Renovación natural del parque. 3,05% mejor que en 2015 (km/LGE)</t>
  </si>
  <si>
    <t>Ventas de vehículos eléctricos al  2050 del 14%</t>
  </si>
  <si>
    <t>Al 2050, la relación entre el transporte publico y privado cae de 0,51 a 0,44.</t>
  </si>
  <si>
    <t>Al 2050, la relación entre el transporte publico y privado cae de 0,51 a 0,46.</t>
  </si>
  <si>
    <t>Al 2050, la relación entre el transporte publico y privado sube de 0,51 a 0,53.</t>
  </si>
  <si>
    <t>Según información CNE 2015 - 2016</t>
  </si>
  <si>
    <r>
      <t xml:space="preserve">Según variación porcentual  en la capacidad instalada entre 2015-2016 según la </t>
    </r>
    <r>
      <rPr>
        <sz val="16"/>
        <rFont val="Cambria"/>
        <family val="1"/>
        <scheme val="major"/>
      </rPr>
      <t>CNE</t>
    </r>
  </si>
  <si>
    <t>1,71 GW adicionales al 2050</t>
  </si>
  <si>
    <t>2,4 GW adicionales al 2050</t>
  </si>
  <si>
    <t>15 GW  al 2050, 40% de Potencial teórico</t>
  </si>
  <si>
    <t>De acuerdo a las licitaciones eléctricas del año 2016</t>
  </si>
  <si>
    <t xml:space="preserve">Capacidad instalada al 2050 de 9,4 GW </t>
  </si>
  <si>
    <t>Capacidad instalada al 2050 de 6 GW</t>
  </si>
  <si>
    <t xml:space="preserve">Capacidad instalada al 2050 de 11,1 GW </t>
  </si>
  <si>
    <t>Reemplazo de diésel y petróleo combustible por gas natural</t>
  </si>
  <si>
    <t>Considera solo la operación de proyecto Cerro Pabellón (50 MW)</t>
  </si>
  <si>
    <t xml:space="preserve">Capacidad instalada al 2050 de 1,4 GW </t>
  </si>
  <si>
    <t xml:space="preserve">Capacidad instalada al 2050 de 2,2 GW </t>
  </si>
  <si>
    <t xml:space="preserve">Transporte </t>
  </si>
  <si>
    <t xml:space="preserve">Solar </t>
  </si>
  <si>
    <t>Hidroelectricidad</t>
  </si>
  <si>
    <t>Escenario Optimista</t>
  </si>
  <si>
    <t>Centrales a Biomasa</t>
  </si>
  <si>
    <t>Centrales Eólicas</t>
  </si>
  <si>
    <t>Centrales de Hidráulica de Embalse</t>
  </si>
  <si>
    <t>Centrales de  Hidráulica de Pasada</t>
  </si>
  <si>
    <t>Centrales  de Mini Hidráulica de Pasada</t>
  </si>
  <si>
    <t>Centrales Mareomotriz</t>
  </si>
  <si>
    <t>Centrales  Undimotriz</t>
  </si>
  <si>
    <t>Centrales Geotérmicas</t>
  </si>
  <si>
    <t>Centrales Solares Fotovoltaicas (FV)</t>
  </si>
  <si>
    <t>Centrales  Termosolares de Concentración (CSP)</t>
  </si>
  <si>
    <t>Techos Solares a nivel residencial</t>
  </si>
  <si>
    <t>Quema en antorchas, generación eléctrica y captura de biogás</t>
  </si>
  <si>
    <t>Estándares  de eficiencia  en artefactos eléctricos e iluminación</t>
  </si>
  <si>
    <t>Implementación de sistemas de gestión de energía (ISO 50001)</t>
  </si>
  <si>
    <t>Sin desarrollo hasta el 2030, alcanzando una capacidad instalada de 0,1 GW al 2050</t>
  </si>
  <si>
    <t>Sin desarrollo hasta el 2030, alcalzando una capacidad instalada de 0,03 GW al 2050</t>
  </si>
  <si>
    <t xml:space="preserve">Capacidad instalada al 2050 de 0,2 GW </t>
  </si>
  <si>
    <t xml:space="preserve">Capacidad instalada al 2050 de 0,9 GW </t>
  </si>
  <si>
    <t>Implimentación en estándares eficiencia en artefactos eléctricos e iluminación</t>
  </si>
  <si>
    <t>Mareomotriz y Undimotriz</t>
  </si>
  <si>
    <t>Petróleo Diésel</t>
  </si>
  <si>
    <t>Supone la operación de la plantas Loma los Colorados y Santa Marta, junto con sus planes de expansión, sin el ingreso de nuevas centrales</t>
  </si>
  <si>
    <t xml:space="preserve"> Mantiene la trayectoria del nivel 2 hasta el 2020, posterior a esto se considera un 100% del biogás capturado es utilizado para generación eléctrica.</t>
  </si>
  <si>
    <t>Mantiene la trayecotria del nivel 2 hasta el 2025, posterior a esto se considera un 75% del biogás capturado es utilizado para generación eléctrica.</t>
  </si>
  <si>
    <t>En 2050 los desechos de aves, cerdos y vacas lecheras son destinados para un uso en biodigestores con fines energéticos en 5%,  80% y 90%, respectivamente.</t>
  </si>
  <si>
    <t xml:space="preserve">Al  2050,  la población de cerdos  y vacas lecheras  producen energía a través de biodigestores en 70% y 30%, respectivamente. </t>
  </si>
  <si>
    <t>Desarrollo de biodigestores que para el 2050, el 30% de los desechos de cerdo se utilizan en la producción de energía.</t>
  </si>
  <si>
    <t>30% y 40 % de los medianos y pequeños agricultores, respectivamente, utilizan sistema de bombeo de agua basado en energía fotovoltaica al 2050</t>
  </si>
  <si>
    <t>Ventas de vehículos eléctricos al 2050 del 40%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</si>
</sst>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8">
    <numFmt numFmtId="164" formatCode="&quot;$&quot;\ #,##0;[Red]\-&quot;$&quot;\ #,##0"/>
    <numFmt numFmtId="165" formatCode="_-&quot;$&quot;\ * #,##0.00_-;\-&quot;$&quot;\ * #,##0.00_-;_-&quot;$&quot;\ * &quot;-&quot;??_-;_-@_-"/>
    <numFmt numFmtId="166" formatCode="_-* #,##0.00_-;\-* #,##0.00_-;_-* &quot;-&quot;??_-;_-@_-"/>
    <numFmt numFmtId="167" formatCode="#,##0.00_);\(#,##0.00\);&quot;-&quot;_);@"/>
    <numFmt numFmtId="168" formatCode="#,##0_);\(#,##0\);&quot;-&quot;_);@"/>
    <numFmt numFmtId="169" formatCode="#,##0.0_);\(#,##0.0\);&quot;-&quot;_);@"/>
    <numFmt numFmtId="170" formatCode="0%;\ \(0%\);\ \-"/>
    <numFmt numFmtId="171" formatCode="0.00%;\ \(0.00%\);\ \-"/>
    <numFmt numFmtId="172" formatCode="#,##0.0_);\(#,##0.0\);&quot;-&quot;;@"/>
    <numFmt numFmtId="173" formatCode="0.0%"/>
    <numFmt numFmtId="174" formatCode="General_)"/>
    <numFmt numFmtId="175" formatCode="0.0"/>
    <numFmt numFmtId="176" formatCode="0.0%;\ \(0.0%\);\ \-"/>
    <numFmt numFmtId="177" formatCode="_-* #,##0_-;\-* #,##0_-;_-* &quot;-&quot;??_-;_-@_-"/>
    <numFmt numFmtId="178" formatCode="#,##0.0"/>
    <numFmt numFmtId="179" formatCode="#,##0.000_);\(#,##0.000\);&quot;-&quot;_);@"/>
    <numFmt numFmtId="180" formatCode="_(* #,##0.00_);_(* \(#,##0.00\);_(* &quot;-&quot;??_);_(@_)"/>
    <numFmt numFmtId="181" formatCode="#,##0.000"/>
    <numFmt numFmtId="182" formatCode="&quot;£&quot;#,##0.00"/>
    <numFmt numFmtId="183" formatCode="0.000"/>
    <numFmt numFmtId="184" formatCode="#,##0.00000"/>
    <numFmt numFmtId="185" formatCode="0.00000"/>
    <numFmt numFmtId="186" formatCode="0.000000"/>
    <numFmt numFmtId="187" formatCode="#,##0.0000"/>
    <numFmt numFmtId="188" formatCode="#,##0.00000000000"/>
    <numFmt numFmtId="189" formatCode="_-* #,##0.0000_-;\-* #,##0.0000_-;_-* &quot;-&quot;??_-;_-@_-"/>
    <numFmt numFmtId="190" formatCode="#,##0.0000_);\(#,##0.0000\);&quot;-&quot;_);@"/>
    <numFmt numFmtId="191" formatCode="0.000%;\ \(0.000%\);\ \-"/>
    <numFmt numFmtId="192" formatCode="#,##0.00000_);\(#,##0.00000\);&quot;-&quot;_);@"/>
    <numFmt numFmtId="193" formatCode="[$£-809]#,##0.00;[Red]&quot;-&quot;[$£-809]#,##0.00"/>
    <numFmt numFmtId="194" formatCode="[$£-809]#,##0.0000;[Red]&quot;-&quot;[$£-809]#,##0.0000"/>
    <numFmt numFmtId="195" formatCode="[$£-809]#,##0;[Red]&quot;-&quot;[$£-809]#,##0"/>
    <numFmt numFmtId="196" formatCode="_ * #,##0_ ;_ * \-#,##0_ ;_ * &quot;-&quot;_ ;_ @_ "/>
    <numFmt numFmtId="197" formatCode="_-* #,##0.0_-;\-* #,##0.0_-;_-* &quot;-&quot;??_-;_-@_-"/>
    <numFmt numFmtId="198" formatCode="_-* #,##0.000_-;\-* #,##0.000_-;_-* &quot;-&quot;??_-;_-@_-"/>
    <numFmt numFmtId="199" formatCode="_-* #,##0.00000_-;\-* #,##0.00000_-;_-* &quot;-&quot;??_-;_-@_-"/>
    <numFmt numFmtId="200" formatCode="_ * #,##0.0_ ;_ * \-#,##0.0_ ;_ * &quot;-&quot;_ ;_ @_ "/>
    <numFmt numFmtId="201" formatCode="_ * #,##0.00_ ;_ * \-#,##0.00_ ;_ * &quot;-&quot;_ ;_ @_ "/>
    <numFmt numFmtId="202" formatCode="_ * #,##0.00000000_ ;_ * \-#,##0.00000000_ ;_ * &quot;-&quot;_ ;_ @_ "/>
    <numFmt numFmtId="203" formatCode="_ * #,##0.0000_ ;_ * \-#,##0.0000_ ;_ * &quot;-&quot;????_ ;_ @_ "/>
    <numFmt numFmtId="204" formatCode="[$£-809]#,##0.0;[Red]&quot;-&quot;[$£-809]#,##0.0"/>
    <numFmt numFmtId="205" formatCode="_-* #,##0.000000_-;\-* #,##0.000000_-;_-* &quot;-&quot;??_-;_-@_-"/>
    <numFmt numFmtId="206" formatCode="#,##0.000000_);\(#,##0.000000\);&quot;-&quot;_);@"/>
    <numFmt numFmtId="207" formatCode="#,##0.000000"/>
    <numFmt numFmtId="208" formatCode="0.00000000"/>
    <numFmt numFmtId="209" formatCode="#,##0.0000000"/>
    <numFmt numFmtId="210" formatCode="#,##0.00000000"/>
    <numFmt numFmtId="211" formatCode="0.0000"/>
  </numFmts>
  <fonts count="258" x14ac:knownFonts="1">
    <font>
      <sz val="10"/>
      <color theme="1"/>
      <name val="Calibri"/>
      <family val="1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1"/>
      <scheme val="minor"/>
    </font>
    <font>
      <sz val="10"/>
      <color theme="1"/>
      <name val="Cambria"/>
      <family val="1"/>
    </font>
    <font>
      <b/>
      <sz val="10"/>
      <color theme="1"/>
      <name val="Cambria"/>
      <family val="1"/>
    </font>
    <font>
      <sz val="12"/>
      <color rgb="FF000000"/>
      <name val="Calibri"/>
      <family val="2"/>
    </font>
    <font>
      <u/>
      <sz val="8.5"/>
      <color theme="10"/>
      <name val="Cambria"/>
      <family val="1"/>
    </font>
    <font>
      <sz val="18"/>
      <color rgb="FF000000"/>
      <name val="Cambria"/>
      <family val="1"/>
    </font>
    <font>
      <b/>
      <sz val="12"/>
      <color rgb="FF000000"/>
      <name val="Calibri"/>
      <family val="2"/>
    </font>
    <font>
      <b/>
      <sz val="10"/>
      <color theme="1"/>
      <name val="Calibri"/>
      <family val="1"/>
      <scheme val="minor"/>
    </font>
    <font>
      <sz val="12"/>
      <color rgb="FF000000"/>
      <name val="Cambria"/>
      <family val="2"/>
    </font>
    <font>
      <b/>
      <sz val="10"/>
      <color rgb="FF000000"/>
      <name val="Cambria"/>
      <family val="1"/>
    </font>
    <font>
      <sz val="10"/>
      <color rgb="FF000000"/>
      <name val="Cambria"/>
      <family val="1"/>
    </font>
    <font>
      <b/>
      <sz val="10"/>
      <color rgb="FF000000"/>
      <name val="Calibri"/>
      <family val="2"/>
    </font>
    <font>
      <sz val="10"/>
      <color rgb="FF3366FF"/>
      <name val="Cambria"/>
      <family val="1"/>
    </font>
    <font>
      <sz val="12"/>
      <color theme="1"/>
      <name val="Arial"/>
      <family val="2"/>
    </font>
    <font>
      <sz val="8"/>
      <name val="Calibri"/>
      <family val="1"/>
      <scheme val="minor"/>
    </font>
    <font>
      <sz val="8"/>
      <name val="Cambria"/>
      <family val="1"/>
    </font>
    <font>
      <sz val="10"/>
      <name val="Arial"/>
      <family val="2"/>
    </font>
    <font>
      <sz val="10"/>
      <color theme="1"/>
      <name val="Arial"/>
      <family val="2"/>
    </font>
    <font>
      <sz val="10"/>
      <color indexed="8"/>
      <name val="Calibri"/>
      <family val="1"/>
    </font>
    <font>
      <u/>
      <sz val="10"/>
      <color theme="10"/>
      <name val="Calibri"/>
      <family val="1"/>
      <scheme val="minor"/>
    </font>
    <font>
      <sz val="11"/>
      <color theme="1"/>
      <name val="Calibri"/>
      <family val="1"/>
      <scheme val="minor"/>
    </font>
    <font>
      <sz val="14"/>
      <color theme="1"/>
      <name val="Cambria"/>
      <family val="2"/>
      <scheme val="major"/>
    </font>
    <font>
      <sz val="12"/>
      <color theme="1"/>
      <name val="Calibri"/>
      <family val="1"/>
      <scheme val="minor"/>
    </font>
    <font>
      <sz val="10"/>
      <color theme="0" tint="-0.499984740745262"/>
      <name val="Calibri"/>
      <family val="1"/>
      <scheme val="minor"/>
    </font>
    <font>
      <b/>
      <sz val="10"/>
      <color theme="0" tint="-0.499984740745262"/>
      <name val="Calibri"/>
      <family val="1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mbria"/>
      <family val="2"/>
      <scheme val="major"/>
    </font>
    <font>
      <b/>
      <sz val="16"/>
      <color indexed="8"/>
      <name val="Cambria"/>
      <family val="2"/>
      <scheme val="major"/>
    </font>
    <font>
      <sz val="10"/>
      <color rgb="FF3F3F76"/>
      <name val="Arial"/>
      <family val="2"/>
    </font>
    <font>
      <sz val="11"/>
      <name val="Calibri"/>
      <family val="2"/>
      <scheme val="minor"/>
    </font>
    <font>
      <sz val="10"/>
      <color theme="3"/>
      <name val="Calibri"/>
      <family val="2"/>
      <scheme val="minor"/>
    </font>
    <font>
      <sz val="10"/>
      <color theme="1" tint="0.249977111117893"/>
      <name val="Cambria"/>
      <family val="1"/>
    </font>
    <font>
      <b/>
      <sz val="16"/>
      <color theme="1"/>
      <name val="Cambria"/>
      <family val="2"/>
      <scheme val="major"/>
    </font>
    <font>
      <sz val="12"/>
      <color theme="1"/>
      <name val="Cambria"/>
      <family val="2"/>
      <scheme val="major"/>
    </font>
    <font>
      <sz val="18"/>
      <color theme="1"/>
      <name val="Calibri"/>
      <family val="1"/>
      <scheme val="minor"/>
    </font>
    <font>
      <sz val="10"/>
      <color theme="1"/>
      <name val="Cambria"/>
      <family val="2"/>
      <scheme val="major"/>
    </font>
    <font>
      <b/>
      <sz val="10"/>
      <color theme="1"/>
      <name val="Cambria"/>
      <family val="2"/>
      <scheme val="major"/>
    </font>
    <font>
      <sz val="10"/>
      <name val="Calibri"/>
      <family val="1"/>
      <scheme val="minor"/>
    </font>
    <font>
      <i/>
      <sz val="10"/>
      <color theme="1"/>
      <name val="Calibri"/>
      <family val="1"/>
      <scheme val="minor"/>
    </font>
    <font>
      <sz val="10"/>
      <name val="Cambria"/>
      <family val="2"/>
      <scheme val="major"/>
    </font>
    <font>
      <b/>
      <sz val="10"/>
      <name val="Cambria"/>
      <family val="1"/>
      <scheme val="major"/>
    </font>
    <font>
      <sz val="10"/>
      <color theme="1"/>
      <name val="Calibri"/>
      <family val="2"/>
    </font>
    <font>
      <sz val="12"/>
      <name val="Calibri"/>
      <family val="1"/>
      <scheme val="minor"/>
    </font>
    <font>
      <sz val="10"/>
      <color theme="1"/>
      <name val="Cambria"/>
      <family val="1"/>
      <scheme val="major"/>
    </font>
    <font>
      <b/>
      <sz val="10"/>
      <name val="Cambria"/>
      <family val="2"/>
      <scheme val="maj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0"/>
      <name val="Calibri"/>
      <family val="1"/>
      <scheme val="minor"/>
    </font>
    <font>
      <b/>
      <sz val="14"/>
      <color theme="1"/>
      <name val="Calibri"/>
      <family val="2"/>
      <scheme val="minor"/>
    </font>
    <font>
      <b/>
      <sz val="24"/>
      <color theme="1"/>
      <name val="Cambria"/>
      <family val="2"/>
      <scheme val="major"/>
    </font>
    <font>
      <sz val="16"/>
      <color theme="1"/>
      <name val="Calibri"/>
      <family val="1"/>
      <scheme val="minor"/>
    </font>
    <font>
      <b/>
      <sz val="16"/>
      <color theme="1"/>
      <name val="Calibri"/>
      <family val="1"/>
      <scheme val="minor"/>
    </font>
    <font>
      <sz val="10"/>
      <color theme="1" tint="0.499984740745262"/>
      <name val="Calibri"/>
      <family val="1"/>
      <scheme val="minor"/>
    </font>
    <font>
      <sz val="11"/>
      <color theme="1" tint="0.49998474074526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8"/>
      <color theme="9" tint="-0.249977111117893"/>
      <name val="Calibri"/>
      <family val="1"/>
      <scheme val="minor"/>
    </font>
    <font>
      <vertAlign val="subscript"/>
      <sz val="10"/>
      <color theme="1"/>
      <name val="Calibri"/>
      <family val="1"/>
      <scheme val="minor"/>
    </font>
    <font>
      <sz val="14"/>
      <color theme="1"/>
      <name val="Calibri"/>
      <family val="1"/>
      <scheme val="minor"/>
    </font>
    <font>
      <sz val="10"/>
      <color theme="4"/>
      <name val="Calibri"/>
      <family val="1"/>
      <scheme val="minor"/>
    </font>
    <font>
      <b/>
      <sz val="10"/>
      <color rgb="FF000000"/>
      <name val="Calibri"/>
      <family val="1"/>
    </font>
    <font>
      <sz val="10"/>
      <color rgb="FF000000"/>
      <name val="Calibri"/>
      <family val="2"/>
    </font>
    <font>
      <sz val="9"/>
      <color indexed="8"/>
      <name val="Calibri"/>
      <family val="2"/>
    </font>
    <font>
      <sz val="34"/>
      <color theme="1" tint="0.24994659260841701"/>
      <name val="Cambria"/>
      <family val="2"/>
      <scheme val="major"/>
    </font>
    <font>
      <b/>
      <sz val="9"/>
      <color indexed="8"/>
      <name val="Calibri"/>
      <family val="2"/>
    </font>
    <font>
      <sz val="16"/>
      <color theme="1" tint="0.499984740745262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color theme="1"/>
      <name val="Calibri"/>
      <family val="1"/>
      <scheme val="minor"/>
    </font>
    <font>
      <b/>
      <sz val="14"/>
      <color theme="1"/>
      <name val="Calibri"/>
      <family val="1"/>
      <scheme val="minor"/>
    </font>
    <font>
      <b/>
      <sz val="8"/>
      <color theme="1"/>
      <name val="Calibri"/>
      <family val="1"/>
      <scheme val="minor"/>
    </font>
    <font>
      <i/>
      <sz val="8"/>
      <color theme="1"/>
      <name val="Calibri"/>
      <family val="1"/>
      <scheme val="minor"/>
    </font>
    <font>
      <sz val="10"/>
      <color theme="0" tint="-0.34998626667073579"/>
      <name val="Calibri"/>
      <family val="1"/>
      <scheme val="minor"/>
    </font>
    <font>
      <b/>
      <i/>
      <sz val="10"/>
      <color theme="1"/>
      <name val="Calibri"/>
      <family val="1"/>
      <scheme val="minor"/>
    </font>
    <font>
      <b/>
      <sz val="10"/>
      <name val="Arial"/>
      <family val="2"/>
    </font>
    <font>
      <i/>
      <sz val="10"/>
      <name val="Calibri"/>
      <family val="1"/>
      <scheme val="minor"/>
    </font>
    <font>
      <b/>
      <i/>
      <sz val="12"/>
      <color theme="1"/>
      <name val="Cambria"/>
      <family val="2"/>
      <scheme val="major"/>
    </font>
    <font>
      <b/>
      <sz val="18"/>
      <color theme="1"/>
      <name val="Cambria"/>
      <family val="2"/>
      <scheme val="major"/>
    </font>
    <font>
      <b/>
      <sz val="18"/>
      <name val="Cambria"/>
      <family val="2"/>
      <scheme val="major"/>
    </font>
    <font>
      <sz val="8"/>
      <color theme="1"/>
      <name val="Cambria"/>
      <family val="2"/>
      <scheme val="major"/>
    </font>
    <font>
      <b/>
      <sz val="8"/>
      <color theme="1"/>
      <name val="Cambria"/>
      <family val="2"/>
      <scheme val="major"/>
    </font>
    <font>
      <sz val="10"/>
      <color theme="3" tint="0.79998168889431442"/>
      <name val="Calibri"/>
      <family val="1"/>
      <scheme val="minor"/>
    </font>
    <font>
      <sz val="10"/>
      <color theme="3" tint="0.79998168889431442"/>
      <name val="Cambria"/>
      <family val="2"/>
      <scheme val="major"/>
    </font>
    <font>
      <sz val="12"/>
      <name val="Cambria"/>
      <family val="2"/>
      <scheme val="major"/>
    </font>
    <font>
      <sz val="8"/>
      <color theme="4" tint="-0.249977111117893"/>
      <name val="Calibri"/>
      <family val="1"/>
      <scheme val="minor"/>
    </font>
    <font>
      <i/>
      <sz val="8"/>
      <name val="Calibri"/>
      <family val="1"/>
      <scheme val="minor"/>
    </font>
    <font>
      <b/>
      <sz val="12"/>
      <name val="Cambria"/>
      <family val="2"/>
      <scheme val="major"/>
    </font>
    <font>
      <sz val="11"/>
      <color theme="1"/>
      <name val="Cambria"/>
      <family val="2"/>
      <scheme val="major"/>
    </font>
    <font>
      <b/>
      <sz val="10"/>
      <color theme="1" tint="0.499984740745262"/>
      <name val="Calibri"/>
      <family val="1"/>
      <scheme val="minor"/>
    </font>
    <font>
      <sz val="12"/>
      <color theme="1" tint="0.499984740745262"/>
      <name val="Calibri"/>
      <family val="1"/>
      <scheme val="minor"/>
    </font>
    <font>
      <i/>
      <sz val="12"/>
      <color theme="1" tint="0.499984740745262"/>
      <name val="Calibri"/>
      <family val="1"/>
      <scheme val="minor"/>
    </font>
    <font>
      <b/>
      <sz val="20"/>
      <name val="Calibri"/>
      <family val="1"/>
      <scheme val="minor"/>
    </font>
    <font>
      <b/>
      <sz val="12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0"/>
      <color theme="1"/>
      <name val="Cambria"/>
      <family val="2"/>
      <scheme val="major"/>
    </font>
    <font>
      <sz val="20"/>
      <color theme="1"/>
      <name val="Calibri"/>
      <family val="1"/>
      <scheme val="minor"/>
    </font>
    <font>
      <b/>
      <sz val="16"/>
      <name val="Arial"/>
      <family val="2"/>
    </font>
    <font>
      <i/>
      <sz val="20"/>
      <color theme="1"/>
      <name val="Calibri"/>
      <family val="1"/>
      <scheme val="minor"/>
    </font>
    <font>
      <i/>
      <sz val="20"/>
      <color theme="1" tint="0.499984740745262"/>
      <name val="Calibri"/>
      <family val="1"/>
      <scheme val="minor"/>
    </font>
    <font>
      <sz val="20"/>
      <name val="Calibri"/>
      <family val="1"/>
      <scheme val="minor"/>
    </font>
    <font>
      <sz val="20"/>
      <color theme="0" tint="-0.499984740745262"/>
      <name val="Calibri"/>
      <family val="1"/>
      <scheme val="minor"/>
    </font>
    <font>
      <sz val="1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vertAlign val="superscript"/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1"/>
      <name val="Calibri"/>
      <family val="1"/>
      <scheme val="minor"/>
    </font>
    <font>
      <b/>
      <u/>
      <sz val="9"/>
      <color theme="1"/>
      <name val="Calibri"/>
      <family val="2"/>
      <scheme val="minor"/>
    </font>
    <font>
      <vertAlign val="subscript"/>
      <sz val="8"/>
      <color theme="1"/>
      <name val="Calibri"/>
      <family val="2"/>
      <scheme val="minor"/>
    </font>
    <font>
      <b/>
      <vertAlign val="subscript"/>
      <sz val="8"/>
      <color theme="1"/>
      <name val="Calibri"/>
      <family val="2"/>
      <scheme val="minor"/>
    </font>
    <font>
      <b/>
      <u/>
      <sz val="9"/>
      <color theme="1"/>
      <name val="Calibri"/>
      <family val="1"/>
      <scheme val="minor"/>
    </font>
    <font>
      <vertAlign val="superscript"/>
      <sz val="10"/>
      <color theme="1"/>
      <name val="Calibri"/>
      <family val="2"/>
      <scheme val="minor"/>
    </font>
    <font>
      <b/>
      <sz val="8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rgb="FF000000"/>
      <name val="Cambria"/>
      <family val="2"/>
    </font>
    <font>
      <b/>
      <sz val="8"/>
      <color rgb="FF000000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1"/>
      <scheme val="minor"/>
    </font>
    <font>
      <sz val="8"/>
      <name val="Arial"/>
      <family val="2"/>
    </font>
    <font>
      <b/>
      <sz val="8"/>
      <color rgb="FF000000"/>
      <name val="Cambria"/>
      <family val="2"/>
    </font>
    <font>
      <b/>
      <sz val="9"/>
      <color theme="1"/>
      <name val="Cambria"/>
      <family val="2"/>
      <scheme val="major"/>
    </font>
    <font>
      <vertAlign val="subscript"/>
      <sz val="10"/>
      <color theme="1"/>
      <name val="Calibri"/>
      <family val="2"/>
      <scheme val="minor"/>
    </font>
    <font>
      <b/>
      <vertAlign val="subscript"/>
      <sz val="10"/>
      <name val="Calibri"/>
      <family val="2"/>
    </font>
    <font>
      <sz val="10"/>
      <name val="Calibri"/>
      <family val="2"/>
    </font>
    <font>
      <b/>
      <sz val="8"/>
      <color rgb="FF000000"/>
      <name val="Calibri Light"/>
      <family val="2"/>
    </font>
    <font>
      <sz val="9"/>
      <color theme="1"/>
      <name val="Cambria"/>
      <family val="2"/>
      <scheme val="major"/>
    </font>
    <font>
      <b/>
      <sz val="20"/>
      <color theme="0"/>
      <name val="Cambria"/>
      <family val="2"/>
      <scheme val="major"/>
    </font>
    <font>
      <b/>
      <sz val="18"/>
      <name val="Calibri"/>
      <family val="1"/>
      <scheme val="minor"/>
    </font>
    <font>
      <b/>
      <sz val="16"/>
      <name val="Calibri"/>
      <family val="1"/>
      <scheme val="minor"/>
    </font>
    <font>
      <sz val="16"/>
      <name val="Calibri"/>
      <family val="1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color theme="1"/>
      <name val="Cambria"/>
      <family val="1"/>
      <scheme val="major"/>
    </font>
    <font>
      <b/>
      <sz val="16"/>
      <color rgb="FF000000"/>
      <name val="Cambria"/>
      <family val="2"/>
    </font>
    <font>
      <sz val="11"/>
      <color rgb="FF000000"/>
      <name val="Calibri"/>
      <family val="2"/>
    </font>
    <font>
      <u/>
      <sz val="8.5"/>
      <color rgb="FF0000FF"/>
      <name val="Cambria"/>
      <family val="1"/>
    </font>
    <font>
      <sz val="18"/>
      <color rgb="FF000000"/>
      <name val="Calibri"/>
      <family val="1"/>
    </font>
    <font>
      <b/>
      <sz val="12"/>
      <color rgb="FF000000"/>
      <name val="Cambria"/>
      <family val="2"/>
    </font>
    <font>
      <sz val="12"/>
      <color rgb="FF000000"/>
      <name val="Calibri"/>
      <family val="1"/>
    </font>
    <font>
      <b/>
      <sz val="11"/>
      <color rgb="FF000000"/>
      <name val="Calibri"/>
      <family val="2"/>
    </font>
    <font>
      <b/>
      <sz val="10"/>
      <color rgb="FF000000"/>
      <name val="Cambria"/>
      <family val="2"/>
    </font>
    <font>
      <sz val="10"/>
      <name val="Calibri"/>
      <family val="2"/>
      <scheme val="minor"/>
    </font>
    <font>
      <b/>
      <sz val="10"/>
      <color theme="4"/>
      <name val="Calibri"/>
      <family val="2"/>
      <scheme val="minor"/>
    </font>
    <font>
      <sz val="10"/>
      <name val="Cambria"/>
      <family val="1"/>
      <scheme val="major"/>
    </font>
    <font>
      <sz val="10"/>
      <color theme="1" tint="0.499984740745262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4"/>
      <name val="Cambria"/>
      <family val="1"/>
      <scheme val="major"/>
    </font>
    <font>
      <b/>
      <sz val="14"/>
      <name val="Cambria"/>
      <family val="1"/>
      <scheme val="major"/>
    </font>
    <font>
      <b/>
      <sz val="14"/>
      <color theme="0"/>
      <name val="Cambria"/>
      <family val="2"/>
      <scheme val="major"/>
    </font>
    <font>
      <b/>
      <sz val="14"/>
      <color theme="1"/>
      <name val="Cambria"/>
      <family val="2"/>
      <scheme val="major"/>
    </font>
    <font>
      <b/>
      <sz val="16"/>
      <color theme="0" tint="-0.34998626667073579"/>
      <name val="Calibri"/>
      <family val="2"/>
      <scheme val="minor"/>
    </font>
    <font>
      <b/>
      <sz val="24"/>
      <color theme="0" tint="-0.34998626667073579"/>
      <name val="Calibri"/>
      <family val="2"/>
      <scheme val="minor"/>
    </font>
    <font>
      <sz val="16"/>
      <name val="Cambria"/>
      <family val="1"/>
      <scheme val="major"/>
    </font>
    <font>
      <sz val="11"/>
      <color theme="1"/>
      <name val="Calibri"/>
      <family val="2"/>
      <scheme val="minor"/>
    </font>
  </fonts>
  <fills count="58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rgb="FFC4D79B"/>
        <bgColor rgb="FF000000"/>
      </patternFill>
    </fill>
    <fill>
      <patternFill patternType="solid">
        <fgColor rgb="FFEBF1DE"/>
        <bgColor rgb="FF000000"/>
      </patternFill>
    </fill>
    <fill>
      <patternFill patternType="solid">
        <fgColor rgb="FFFABF8F"/>
        <bgColor rgb="FF000000"/>
      </patternFill>
    </fill>
    <fill>
      <patternFill patternType="solid">
        <fgColor rgb="FFFDE9D9"/>
        <bgColor rgb="FF000000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E9EFF7"/>
        <bgColor indexed="64"/>
      </patternFill>
    </fill>
    <fill>
      <patternFill patternType="solid">
        <fgColor rgb="FFFFCC99"/>
      </patternFill>
    </fill>
    <fill>
      <patternFill patternType="solid">
        <fgColor theme="6" tint="0.79998168889431442"/>
        <bgColor rgb="FF000000"/>
      </patternFill>
    </fill>
    <fill>
      <patternFill patternType="solid">
        <fgColor theme="6" tint="0.39997558519241921"/>
        <bgColor rgb="FF000000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rgb="FF000000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/>
        <bgColor rgb="FF000000"/>
      </patternFill>
    </fill>
    <fill>
      <patternFill patternType="solid">
        <fgColor theme="7" tint="0.79998168889431442"/>
        <bgColor rgb="FF000000"/>
      </patternFill>
    </fill>
    <fill>
      <patternFill patternType="solid">
        <fgColor theme="2"/>
        <bgColor indexed="64"/>
      </patternFill>
    </fill>
    <fill>
      <patternFill patternType="solid">
        <fgColor rgb="FFC4D79B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ABF8F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CCC0DA"/>
        <bgColor indexed="64"/>
      </patternFill>
    </fill>
    <fill>
      <patternFill patternType="solid">
        <fgColor rgb="FFE4DFEC"/>
        <bgColor indexed="64"/>
      </patternFill>
    </fill>
    <fill>
      <patternFill patternType="solid">
        <fgColor rgb="FFCCC0DA"/>
        <bgColor rgb="FF000000"/>
      </patternFill>
    </fill>
    <fill>
      <patternFill patternType="solid">
        <fgColor rgb="FFE4DFEC"/>
        <bgColor rgb="FF000000"/>
      </patternFill>
    </fill>
  </fills>
  <borders count="101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/>
      <right/>
      <top style="thin">
        <color theme="1" tint="4.9989318521683403E-2"/>
      </top>
      <bottom style="thin">
        <color theme="0" tint="-0.34998626667073579"/>
      </bottom>
      <diagonal/>
    </border>
    <border>
      <left/>
      <right/>
      <top/>
      <bottom style="thin">
        <color auto="1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n">
        <color theme="0" tint="-0.34998626667073579"/>
      </right>
      <top style="thin">
        <color theme="1" tint="4.9989318521683403E-2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/>
      <bottom/>
      <diagonal/>
    </border>
    <border>
      <left/>
      <right/>
      <top/>
      <bottom style="thin">
        <color theme="1" tint="4.9989318521683403E-2"/>
      </bottom>
      <diagonal/>
    </border>
    <border>
      <left/>
      <right style="thin">
        <color theme="0" tint="-0.34998626667073579"/>
      </right>
      <top/>
      <bottom style="thin">
        <color theme="1" tint="4.9989318521683403E-2"/>
      </bottom>
      <diagonal/>
    </border>
    <border>
      <left/>
      <right/>
      <top style="thin">
        <color theme="1" tint="4.9989318521683403E-2"/>
      </top>
      <bottom style="thin">
        <color auto="1"/>
      </bottom>
      <diagonal/>
    </border>
    <border>
      <left/>
      <right/>
      <top style="thin">
        <color theme="0" tint="-0.34998626667073579"/>
      </top>
      <bottom style="thin">
        <color auto="1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auto="1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 tint="-0.34998626667073579"/>
      </left>
      <right/>
      <top style="thin">
        <color theme="1" tint="4.9989318521683403E-2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auto="1"/>
      </bottom>
      <diagonal/>
    </border>
    <border>
      <left/>
      <right/>
      <top style="thin">
        <color auto="1"/>
      </top>
      <bottom style="thin">
        <color theme="0" tint="-0.2499465926084170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theme="0" tint="-0.34998626667073579"/>
      </left>
      <right/>
      <top/>
      <bottom/>
      <diagonal/>
    </border>
    <border>
      <left style="thin">
        <color theme="0" tint="-0.34998626667073579"/>
      </left>
      <right/>
      <top/>
      <bottom style="thin">
        <color theme="1" tint="4.9989318521683403E-2"/>
      </bottom>
      <diagonal/>
    </border>
    <border>
      <left/>
      <right/>
      <top style="thin">
        <color auto="1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auto="1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/>
      <bottom style="thin">
        <color auto="1"/>
      </bottom>
      <diagonal/>
    </border>
    <border>
      <left/>
      <right/>
      <top/>
      <bottom style="thin">
        <color theme="0" tint="-0.34998626667073579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 style="thin">
        <color theme="1" tint="0.499984740745262"/>
      </right>
      <top/>
      <bottom style="thin">
        <color auto="1"/>
      </bottom>
      <diagonal/>
    </border>
    <border>
      <left/>
      <right style="thin">
        <color theme="0" tint="-0.34998626667073579"/>
      </right>
      <top/>
      <bottom style="thin">
        <color auto="1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 style="thin">
        <color rgb="FF0D0D0D"/>
      </top>
      <bottom style="thin">
        <color rgb="FFA6A6A6"/>
      </bottom>
      <diagonal/>
    </border>
    <border>
      <left style="thin">
        <color indexed="64"/>
      </left>
      <right/>
      <top style="thin">
        <color indexed="64"/>
      </top>
      <bottom style="thin">
        <color theme="0" tint="-0.34998626667073579"/>
      </bottom>
      <diagonal/>
    </border>
    <border>
      <left/>
      <right style="thin">
        <color indexed="64"/>
      </right>
      <top style="thin">
        <color indexed="64"/>
      </top>
      <bottom style="thin">
        <color theme="0" tint="-0.34998626667073579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n">
        <color rgb="FFBFBFBF"/>
      </bottom>
      <diagonal/>
    </border>
    <border>
      <left style="thin">
        <color indexed="64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1" tint="4.9989318521683403E-2"/>
      </top>
      <bottom style="thin">
        <color indexed="64"/>
      </bottom>
      <diagonal/>
    </border>
    <border>
      <left style="thin">
        <color theme="0" tint="-0.34998626667073579"/>
      </left>
      <right/>
      <top style="thin">
        <color auto="1"/>
      </top>
      <bottom/>
      <diagonal/>
    </border>
    <border>
      <left/>
      <right/>
      <top style="thin">
        <color theme="0"/>
      </top>
      <bottom style="thin">
        <color auto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 tint="-0.34998626667073579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 tint="-0.34998626667073579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theme="1"/>
      </top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auto="1"/>
      </top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theme="0"/>
      </left>
      <right style="thin">
        <color theme="0"/>
      </right>
      <top style="medium">
        <color theme="1"/>
      </top>
      <bottom style="medium">
        <color theme="1"/>
      </bottom>
      <diagonal/>
    </border>
    <border>
      <left style="thin">
        <color theme="0"/>
      </left>
      <right style="thin">
        <color theme="0"/>
      </right>
      <top style="medium">
        <color auto="1"/>
      </top>
      <bottom style="medium">
        <color auto="1"/>
      </bottom>
      <diagonal/>
    </border>
    <border>
      <left/>
      <right/>
      <top style="thin">
        <color theme="1" tint="4.9989318521683403E-2"/>
      </top>
      <bottom/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 style="thin">
        <color theme="0" tint="-0.34998626667073579"/>
      </right>
      <top style="thin">
        <color auto="1"/>
      </top>
      <bottom style="thin">
        <color theme="0" tint="-0.34998626667073579"/>
      </bottom>
      <diagonal/>
    </border>
    <border>
      <left style="thin">
        <color theme="0"/>
      </left>
      <right/>
      <top style="thin">
        <color auto="1"/>
      </top>
      <bottom style="thin">
        <color auto="1"/>
      </bottom>
      <diagonal/>
    </border>
    <border>
      <left/>
      <right style="thin">
        <color theme="0"/>
      </right>
      <top style="thin">
        <color indexed="64"/>
      </top>
      <bottom style="thin">
        <color auto="1"/>
      </bottom>
      <diagonal/>
    </border>
    <border>
      <left style="thin">
        <color theme="0"/>
      </left>
      <right/>
      <top/>
      <bottom style="thin">
        <color auto="1"/>
      </bottom>
      <diagonal/>
    </border>
    <border>
      <left style="thin">
        <color theme="0"/>
      </left>
      <right style="thin">
        <color theme="0"/>
      </right>
      <top style="thin">
        <color theme="0" tint="-0.34998626667073579"/>
      </top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/>
      <right style="thin">
        <color rgb="FFA6A6A6"/>
      </right>
      <top style="thin">
        <color auto="1"/>
      </top>
      <bottom style="thin">
        <color rgb="FFA6A6A6"/>
      </bottom>
      <diagonal/>
    </border>
    <border>
      <left/>
      <right style="thin">
        <color theme="0" tint="-0.34998626667073579"/>
      </right>
      <top style="thin">
        <color auto="1"/>
      </top>
      <bottom/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theme="0" tint="-0.34998626667073579"/>
      </right>
      <top style="thin">
        <color indexed="64"/>
      </top>
      <bottom/>
      <diagonal/>
    </border>
    <border>
      <left style="thin">
        <color indexed="64"/>
      </left>
      <right/>
      <top style="thin">
        <color theme="1" tint="4.9989318521683403E-2"/>
      </top>
      <bottom style="thin">
        <color auto="1"/>
      </bottom>
      <diagonal/>
    </border>
    <border>
      <left style="thin">
        <color indexed="64"/>
      </left>
      <right/>
      <top style="thin">
        <color theme="1" tint="4.9989318521683403E-2"/>
      </top>
      <bottom style="thin">
        <color theme="0" tint="-0.34998626667073579"/>
      </bottom>
      <diagonal/>
    </border>
    <border>
      <left/>
      <right style="thin">
        <color indexed="64"/>
      </right>
      <top style="thin">
        <color theme="0" tint="-0.34998626667073579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 tint="-0.34998626667073579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/>
      <top style="thin">
        <color rgb="FFFFFFFF"/>
      </top>
      <bottom style="thin">
        <color rgb="FFFFFFFF"/>
      </bottom>
      <diagonal/>
    </border>
    <border>
      <left style="thin">
        <color rgb="FFFFFFFF"/>
      </left>
      <right/>
      <top/>
      <bottom/>
      <diagonal/>
    </border>
    <border>
      <left/>
      <right/>
      <top style="thin">
        <color rgb="FFA6A6A6"/>
      </top>
      <bottom/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/>
      <top style="thin">
        <color rgb="FFFFFFFF"/>
      </top>
      <bottom/>
      <diagonal/>
    </border>
    <border>
      <left/>
      <right/>
      <top style="thin">
        <color rgb="FFFFFFFF"/>
      </top>
      <bottom/>
      <diagonal/>
    </border>
    <border>
      <left/>
      <right style="thin">
        <color rgb="FFFFFFFF"/>
      </right>
      <top style="thin">
        <color rgb="FFFFFFFF"/>
      </top>
      <bottom/>
      <diagonal/>
    </border>
    <border>
      <left/>
      <right style="thin">
        <color rgb="FFFFFFFF"/>
      </right>
      <top/>
      <bottom/>
      <diagonal/>
    </border>
    <border>
      <left/>
      <right/>
      <top/>
      <bottom style="thin">
        <color rgb="FFA6A6A6"/>
      </bottom>
      <diagonal/>
    </border>
  </borders>
  <cellStyleXfs count="270">
    <xf numFmtId="0" fontId="0" fillId="0" borderId="0"/>
    <xf numFmtId="169" fontId="94" fillId="0" borderId="0" applyFont="0" applyFill="0" applyBorder="0" applyAlignment="0" applyProtection="0"/>
    <xf numFmtId="170" fontId="107" fillId="0" borderId="0" applyFont="0" applyFill="0" applyBorder="0" applyAlignment="0" applyProtection="0"/>
    <xf numFmtId="0" fontId="98" fillId="0" borderId="0" applyNumberFormat="0" applyFill="0" applyBorder="0" applyAlignment="0" applyProtection="0">
      <alignment vertical="top"/>
      <protection locked="0"/>
    </xf>
    <xf numFmtId="172" fontId="108" fillId="0" borderId="0" applyNumberFormat="0" applyFill="0" applyBorder="0" applyAlignment="0" applyProtection="0"/>
    <xf numFmtId="174" fontId="110" fillId="0" borderId="0"/>
    <xf numFmtId="0" fontId="111" fillId="3" borderId="0" applyNumberFormat="0" applyBorder="0" applyAlignment="0" applyProtection="0"/>
    <xf numFmtId="0" fontId="111" fillId="3" borderId="0" applyNumberFormat="0" applyBorder="0" applyAlignment="0" applyProtection="0"/>
    <xf numFmtId="0" fontId="111" fillId="3" borderId="0" applyNumberFormat="0" applyBorder="0" applyAlignment="0" applyProtection="0"/>
    <xf numFmtId="0" fontId="111" fillId="3" borderId="0" applyNumberFormat="0" applyBorder="0" applyAlignment="0" applyProtection="0"/>
    <xf numFmtId="0" fontId="111" fillId="5" borderId="0" applyNumberFormat="0" applyBorder="0" applyAlignment="0" applyProtection="0"/>
    <xf numFmtId="0" fontId="111" fillId="5" borderId="0" applyNumberFormat="0" applyBorder="0" applyAlignment="0" applyProtection="0"/>
    <xf numFmtId="0" fontId="111" fillId="7" borderId="0" applyNumberFormat="0" applyBorder="0" applyAlignment="0" applyProtection="0"/>
    <xf numFmtId="0" fontId="111" fillId="7" borderId="0" applyNumberFormat="0" applyBorder="0" applyAlignment="0" applyProtection="0"/>
    <xf numFmtId="0" fontId="111" fillId="9" borderId="0" applyNumberFormat="0" applyBorder="0" applyAlignment="0" applyProtection="0"/>
    <xf numFmtId="0" fontId="111" fillId="9" borderId="0" applyNumberFormat="0" applyBorder="0" applyAlignment="0" applyProtection="0"/>
    <xf numFmtId="0" fontId="111" fillId="11" borderId="0" applyNumberFormat="0" applyBorder="0" applyAlignment="0" applyProtection="0"/>
    <xf numFmtId="0" fontId="111" fillId="11" borderId="0" applyNumberFormat="0" applyBorder="0" applyAlignment="0" applyProtection="0"/>
    <xf numFmtId="0" fontId="111" fillId="13" borderId="0" applyNumberFormat="0" applyBorder="0" applyAlignment="0" applyProtection="0"/>
    <xf numFmtId="0" fontId="111" fillId="13" borderId="0" applyNumberFormat="0" applyBorder="0" applyAlignment="0" applyProtection="0"/>
    <xf numFmtId="0" fontId="111" fillId="13" borderId="0" applyNumberFormat="0" applyBorder="0" applyAlignment="0" applyProtection="0"/>
    <xf numFmtId="0" fontId="111" fillId="13" borderId="0" applyNumberFormat="0" applyBorder="0" applyAlignment="0" applyProtection="0"/>
    <xf numFmtId="0" fontId="111" fillId="13" borderId="0" applyNumberFormat="0" applyBorder="0" applyAlignment="0" applyProtection="0"/>
    <xf numFmtId="0" fontId="111" fillId="13" borderId="0" applyNumberFormat="0" applyBorder="0" applyAlignment="0" applyProtection="0"/>
    <xf numFmtId="0" fontId="111" fillId="13" borderId="0" applyNumberFormat="0" applyBorder="0" applyAlignment="0" applyProtection="0"/>
    <xf numFmtId="0" fontId="111" fillId="13" borderId="0" applyNumberFormat="0" applyBorder="0" applyAlignment="0" applyProtection="0"/>
    <xf numFmtId="0" fontId="111" fillId="4" borderId="0" applyNumberFormat="0" applyBorder="0" applyAlignment="0" applyProtection="0"/>
    <xf numFmtId="0" fontId="111" fillId="4" borderId="0" applyNumberFormat="0" applyBorder="0" applyAlignment="0" applyProtection="0"/>
    <xf numFmtId="0" fontId="111" fillId="6" borderId="0" applyNumberFormat="0" applyBorder="0" applyAlignment="0" applyProtection="0"/>
    <xf numFmtId="0" fontId="111" fillId="6" borderId="0" applyNumberFormat="0" applyBorder="0" applyAlignment="0" applyProtection="0"/>
    <xf numFmtId="0" fontId="111" fillId="8" borderId="0" applyNumberFormat="0" applyBorder="0" applyAlignment="0" applyProtection="0"/>
    <xf numFmtId="0" fontId="111" fillId="8" borderId="0" applyNumberFormat="0" applyBorder="0" applyAlignment="0" applyProtection="0"/>
    <xf numFmtId="0" fontId="111" fillId="10" borderId="0" applyNumberFormat="0" applyBorder="0" applyAlignment="0" applyProtection="0"/>
    <xf numFmtId="0" fontId="111" fillId="10" borderId="0" applyNumberFormat="0" applyBorder="0" applyAlignment="0" applyProtection="0"/>
    <xf numFmtId="0" fontId="111" fillId="12" borderId="0" applyNumberFormat="0" applyBorder="0" applyAlignment="0" applyProtection="0"/>
    <xf numFmtId="0" fontId="111" fillId="12" borderId="0" applyNumberFormat="0" applyBorder="0" applyAlignment="0" applyProtection="0"/>
    <xf numFmtId="0" fontId="111" fillId="14" borderId="0" applyNumberFormat="0" applyBorder="0" applyAlignment="0" applyProtection="0"/>
    <xf numFmtId="0" fontId="111" fillId="14" borderId="0" applyNumberFormat="0" applyBorder="0" applyAlignment="0" applyProtection="0"/>
    <xf numFmtId="166" fontId="111" fillId="0" borderId="0" applyFont="0" applyFill="0" applyBorder="0" applyAlignment="0" applyProtection="0"/>
    <xf numFmtId="169" fontId="94" fillId="0" borderId="0" applyFont="0" applyFill="0" applyBorder="0" applyAlignment="0" applyProtection="0"/>
    <xf numFmtId="0" fontId="112" fillId="0" borderId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169" fontId="94" fillId="0" borderId="0" applyFont="0" applyFill="0" applyBorder="0" applyAlignment="0" applyProtection="0"/>
    <xf numFmtId="0" fontId="114" fillId="0" borderId="0"/>
    <xf numFmtId="0" fontId="114" fillId="0" borderId="0"/>
    <xf numFmtId="0" fontId="110" fillId="0" borderId="0"/>
    <xf numFmtId="0" fontId="111" fillId="0" borderId="0"/>
    <xf numFmtId="0" fontId="111" fillId="0" borderId="0"/>
    <xf numFmtId="0" fontId="94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93" fillId="0" borderId="0"/>
    <xf numFmtId="0" fontId="114" fillId="0" borderId="0"/>
    <xf numFmtId="0" fontId="114" fillId="0" borderId="0"/>
    <xf numFmtId="0" fontId="111" fillId="2" borderId="1" applyNumberFormat="0" applyFont="0" applyAlignment="0" applyProtection="0"/>
    <xf numFmtId="0" fontId="111" fillId="2" borderId="1" applyNumberFormat="0" applyFont="0" applyAlignment="0" applyProtection="0"/>
    <xf numFmtId="0" fontId="111" fillId="2" borderId="1" applyNumberFormat="0" applyFont="0" applyAlignment="0" applyProtection="0"/>
    <xf numFmtId="170" fontId="107" fillId="0" borderId="0" applyFont="0" applyFill="0" applyBorder="0" applyAlignment="0" applyProtection="0"/>
    <xf numFmtId="9" fontId="114" fillId="0" borderId="0" applyFont="0" applyFill="0" applyBorder="0" applyAlignment="0" applyProtection="0"/>
    <xf numFmtId="9" fontId="114" fillId="0" borderId="0" applyFont="0" applyFill="0" applyBorder="0" applyAlignment="0" applyProtection="0"/>
    <xf numFmtId="9" fontId="114" fillId="0" borderId="0" applyFont="0" applyFill="0" applyBorder="0" applyAlignment="0" applyProtection="0"/>
    <xf numFmtId="0" fontId="101" fillId="0" borderId="25" applyNumberFormat="0">
      <alignment horizontal="left" vertical="center"/>
    </xf>
    <xf numFmtId="9" fontId="93" fillId="0" borderId="0" applyFont="0" applyFill="0" applyBorder="0" applyAlignment="0" applyProtection="0"/>
    <xf numFmtId="0" fontId="93" fillId="0" borderId="0"/>
    <xf numFmtId="0" fontId="92" fillId="0" borderId="0"/>
    <xf numFmtId="166" fontId="92" fillId="0" borderId="0" applyFont="0" applyFill="0" applyBorder="0" applyAlignment="0" applyProtection="0"/>
    <xf numFmtId="9" fontId="92" fillId="0" borderId="0" applyFont="0" applyFill="0" applyBorder="0" applyAlignment="0" applyProtection="0"/>
    <xf numFmtId="0" fontId="91" fillId="0" borderId="0"/>
    <xf numFmtId="9" fontId="91" fillId="0" borderId="0" applyFont="0" applyFill="0" applyBorder="0" applyAlignment="0" applyProtection="0"/>
    <xf numFmtId="170" fontId="107" fillId="0" borderId="0" applyFont="0" applyFill="0" applyBorder="0" applyAlignment="0" applyProtection="0"/>
    <xf numFmtId="0" fontId="124" fillId="23" borderId="33" applyNumberFormat="0" applyAlignment="0" applyProtection="0"/>
    <xf numFmtId="0" fontId="90" fillId="0" borderId="0"/>
    <xf numFmtId="9" fontId="90" fillId="0" borderId="0" applyFont="0" applyFill="0" applyBorder="0" applyAlignment="0" applyProtection="0"/>
    <xf numFmtId="166" fontId="90" fillId="0" borderId="0" applyFont="0" applyFill="0" applyBorder="0" applyAlignment="0" applyProtection="0"/>
    <xf numFmtId="0" fontId="89" fillId="0" borderId="0"/>
    <xf numFmtId="166" fontId="89" fillId="0" borderId="0" applyFont="0" applyFill="0" applyBorder="0" applyAlignment="0" applyProtection="0"/>
    <xf numFmtId="166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180" fontId="89" fillId="0" borderId="0" applyFont="0" applyFill="0" applyBorder="0" applyAlignment="0" applyProtection="0"/>
    <xf numFmtId="0" fontId="113" fillId="0" borderId="0" applyNumberFormat="0" applyFill="0" applyBorder="0" applyAlignment="0" applyProtection="0"/>
    <xf numFmtId="0" fontId="89" fillId="0" borderId="0"/>
    <xf numFmtId="0" fontId="94" fillId="0" borderId="0"/>
    <xf numFmtId="0" fontId="137" fillId="0" borderId="0"/>
    <xf numFmtId="9" fontId="94" fillId="0" borderId="0" applyFont="0" applyFill="0" applyBorder="0" applyAlignment="0" applyProtection="0"/>
    <xf numFmtId="9" fontId="137" fillId="0" borderId="0" applyFont="0" applyFill="0" applyBorder="0" applyAlignment="0" applyProtection="0"/>
    <xf numFmtId="0" fontId="98" fillId="0" borderId="0" applyNumberFormat="0" applyFill="0" applyBorder="0" applyAlignment="0" applyProtection="0">
      <alignment vertical="top"/>
      <protection locked="0"/>
    </xf>
    <xf numFmtId="0" fontId="113" fillId="0" borderId="0" applyNumberFormat="0" applyFill="0" applyBorder="0" applyAlignment="0" applyProtection="0"/>
    <xf numFmtId="0" fontId="88" fillId="0" borderId="0"/>
    <xf numFmtId="166" fontId="88" fillId="0" borderId="0" applyFont="0" applyFill="0" applyBorder="0" applyAlignment="0" applyProtection="0"/>
    <xf numFmtId="0" fontId="88" fillId="0" borderId="0"/>
    <xf numFmtId="9" fontId="88" fillId="0" borderId="0" applyFont="0" applyFill="0" applyBorder="0" applyAlignment="0" applyProtection="0"/>
    <xf numFmtId="0" fontId="88" fillId="13" borderId="0" applyNumberFormat="0" applyBorder="0" applyAlignment="0" applyProtection="0"/>
    <xf numFmtId="0" fontId="87" fillId="0" borderId="0"/>
    <xf numFmtId="166" fontId="87" fillId="0" borderId="0" applyFont="0" applyFill="0" applyBorder="0" applyAlignment="0" applyProtection="0"/>
    <xf numFmtId="0" fontId="83" fillId="0" borderId="0"/>
    <xf numFmtId="166" fontId="83" fillId="0" borderId="0" applyFont="0" applyFill="0" applyBorder="0" applyAlignment="0" applyProtection="0"/>
    <xf numFmtId="0" fontId="83" fillId="0" borderId="0"/>
    <xf numFmtId="0" fontId="83" fillId="0" borderId="0"/>
    <xf numFmtId="9" fontId="83" fillId="0" borderId="0" applyFont="0" applyFill="0" applyBorder="0" applyAlignment="0" applyProtection="0"/>
    <xf numFmtId="0" fontId="83" fillId="35" borderId="0" applyNumberFormat="0" applyBorder="0" applyAlignment="0" applyProtection="0"/>
    <xf numFmtId="0" fontId="83" fillId="36" borderId="0" applyNumberFormat="0" applyBorder="0" applyAlignment="0" applyProtection="0"/>
    <xf numFmtId="0" fontId="159" fillId="0" borderId="49" applyNumberFormat="0" applyFont="0" applyProtection="0">
      <alignment wrapText="1"/>
    </xf>
    <xf numFmtId="0" fontId="160" fillId="37" borderId="0" applyNumberFormat="0" applyProtection="0">
      <alignment horizontal="center" vertical="center"/>
    </xf>
    <xf numFmtId="0" fontId="110" fillId="0" borderId="0"/>
    <xf numFmtId="0" fontId="161" fillId="0" borderId="50" applyNumberFormat="0" applyProtection="0">
      <alignment wrapText="1"/>
    </xf>
    <xf numFmtId="0" fontId="162" fillId="0" borderId="0" applyNumberFormat="0" applyFill="0" applyProtection="0">
      <alignment horizontal="center" vertical="center"/>
    </xf>
    <xf numFmtId="0" fontId="82" fillId="0" borderId="0"/>
    <xf numFmtId="166" fontId="82" fillId="0" borderId="0" applyFont="0" applyFill="0" applyBorder="0" applyAlignment="0" applyProtection="0"/>
    <xf numFmtId="0" fontId="82" fillId="0" borderId="0"/>
    <xf numFmtId="0" fontId="82" fillId="0" borderId="0"/>
    <xf numFmtId="9" fontId="82" fillId="0" borderId="0" applyFont="0" applyFill="0" applyBorder="0" applyAlignment="0" applyProtection="0"/>
    <xf numFmtId="0" fontId="81" fillId="0" borderId="0"/>
    <xf numFmtId="166" fontId="81" fillId="0" borderId="0" applyFont="0" applyFill="0" applyBorder="0" applyAlignment="0" applyProtection="0"/>
    <xf numFmtId="0" fontId="81" fillId="0" borderId="0"/>
    <xf numFmtId="0" fontId="81" fillId="0" borderId="0"/>
    <xf numFmtId="9" fontId="81" fillId="0" borderId="0" applyFont="0" applyFill="0" applyBorder="0" applyAlignment="0" applyProtection="0"/>
    <xf numFmtId="0" fontId="80" fillId="0" borderId="0"/>
    <xf numFmtId="0" fontId="80" fillId="0" borderId="0"/>
    <xf numFmtId="0" fontId="80" fillId="0" borderId="0"/>
    <xf numFmtId="166" fontId="80" fillId="0" borderId="0" applyFont="0" applyFill="0" applyBorder="0" applyAlignment="0" applyProtection="0"/>
    <xf numFmtId="9" fontId="80" fillId="0" borderId="0" applyFont="0" applyFill="0" applyBorder="0" applyAlignment="0" applyProtection="0"/>
    <xf numFmtId="0" fontId="79" fillId="3" borderId="0" applyNumberFormat="0" applyBorder="0" applyAlignment="0" applyProtection="0"/>
    <xf numFmtId="0" fontId="78" fillId="0" borderId="0"/>
    <xf numFmtId="166" fontId="78" fillId="0" borderId="0" applyFont="0" applyFill="0" applyBorder="0" applyAlignment="0" applyProtection="0"/>
    <xf numFmtId="9" fontId="78" fillId="0" borderId="0" applyFont="0" applyFill="0" applyBorder="0" applyAlignment="0" applyProtection="0"/>
    <xf numFmtId="0" fontId="78" fillId="13" borderId="0" applyNumberFormat="0" applyBorder="0" applyAlignment="0" applyProtection="0"/>
    <xf numFmtId="0" fontId="77" fillId="0" borderId="0"/>
    <xf numFmtId="166" fontId="77" fillId="0" borderId="0" applyFont="0" applyFill="0" applyBorder="0" applyAlignment="0" applyProtection="0"/>
    <xf numFmtId="0" fontId="75" fillId="0" borderId="0"/>
    <xf numFmtId="193" fontId="94" fillId="0" borderId="0"/>
    <xf numFmtId="169" fontId="94" fillId="0" borderId="0" applyFont="0" applyFill="0" applyBorder="0" applyAlignment="0" applyProtection="0"/>
    <xf numFmtId="193" fontId="67" fillId="0" borderId="0"/>
    <xf numFmtId="0" fontId="67" fillId="0" borderId="0"/>
    <xf numFmtId="193" fontId="119" fillId="0" borderId="0"/>
    <xf numFmtId="166" fontId="110" fillId="0" borderId="0" applyFont="0" applyFill="0" applyBorder="0" applyAlignment="0" applyProtection="0"/>
    <xf numFmtId="196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180" fontId="67" fillId="0" borderId="0" applyFont="0" applyFill="0" applyBorder="0" applyAlignment="0" applyProtection="0"/>
    <xf numFmtId="4" fontId="110" fillId="0" borderId="0"/>
    <xf numFmtId="169" fontId="94" fillId="0" borderId="0" applyFont="0" applyFill="0" applyBorder="0" applyAlignment="0" applyProtection="0"/>
    <xf numFmtId="166" fontId="67" fillId="0" borderId="0" applyFont="0" applyFill="0" applyBorder="0" applyAlignment="0" applyProtection="0"/>
    <xf numFmtId="0" fontId="56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2" fillId="0" borderId="0"/>
    <xf numFmtId="0" fontId="22" fillId="0" borderId="0"/>
    <xf numFmtId="166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165" fontId="94" fillId="0" borderId="0" applyFont="0" applyFill="0" applyBorder="0" applyAlignment="0" applyProtection="0"/>
    <xf numFmtId="0" fontId="16" fillId="13" borderId="0" applyNumberFormat="0" applyBorder="0" applyAlignment="0" applyProtection="0"/>
    <xf numFmtId="0" fontId="7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</cellStyleXfs>
  <cellXfs count="3616">
    <xf numFmtId="0" fontId="0" fillId="0" borderId="0" xfId="0"/>
    <xf numFmtId="0" fontId="95" fillId="0" borderId="0" xfId="0" applyFont="1" applyFill="1"/>
    <xf numFmtId="0" fontId="97" fillId="0" borderId="0" xfId="0" applyFont="1" applyFill="1" applyAlignment="1">
      <alignment vertical="center"/>
    </xf>
    <xf numFmtId="0" fontId="95" fillId="0" borderId="0" xfId="0" applyFont="1" applyFill="1" applyAlignment="1">
      <alignment vertical="center"/>
    </xf>
    <xf numFmtId="0" fontId="99" fillId="0" borderId="0" xfId="0" applyFont="1" applyFill="1"/>
    <xf numFmtId="0" fontId="100" fillId="15" borderId="2" xfId="0" applyFont="1" applyFill="1" applyBorder="1" applyAlignment="1">
      <alignment horizontal="left" vertical="center" indent="1"/>
    </xf>
    <xf numFmtId="0" fontId="100" fillId="15" borderId="3" xfId="0" applyFont="1" applyFill="1" applyBorder="1" applyAlignment="1">
      <alignment vertical="center"/>
    </xf>
    <xf numFmtId="0" fontId="95" fillId="15" borderId="3" xfId="0" applyFont="1" applyFill="1" applyBorder="1"/>
    <xf numFmtId="0" fontId="95" fillId="15" borderId="3" xfId="0" applyFont="1" applyFill="1" applyBorder="1" applyAlignment="1">
      <alignment horizontal="right"/>
    </xf>
    <xf numFmtId="0" fontId="95" fillId="15" borderId="4" xfId="0" applyFont="1" applyFill="1" applyBorder="1"/>
    <xf numFmtId="0" fontId="95" fillId="16" borderId="5" xfId="0" applyFont="1" applyFill="1" applyBorder="1" applyAlignment="1">
      <alignment horizontal="left" indent="1"/>
    </xf>
    <xf numFmtId="0" fontId="95" fillId="16" borderId="0" xfId="0" applyFont="1" applyFill="1" applyBorder="1"/>
    <xf numFmtId="0" fontId="95" fillId="16" borderId="0" xfId="0" applyFont="1" applyFill="1" applyBorder="1" applyAlignment="1">
      <alignment horizontal="right"/>
    </xf>
    <xf numFmtId="0" fontId="95" fillId="16" borderId="6" xfId="0" applyFont="1" applyFill="1" applyBorder="1"/>
    <xf numFmtId="0" fontId="0" fillId="0" borderId="0" xfId="0" applyAlignment="1">
      <alignment vertical="center"/>
    </xf>
    <xf numFmtId="0" fontId="102" fillId="16" borderId="5" xfId="0" applyFont="1" applyFill="1" applyBorder="1" applyAlignment="1">
      <alignment horizontal="left" indent="1"/>
    </xf>
    <xf numFmtId="0" fontId="103" fillId="16" borderId="7" xfId="0" applyFont="1" applyFill="1" applyBorder="1" applyAlignment="1">
      <alignment vertical="center"/>
    </xf>
    <xf numFmtId="0" fontId="104" fillId="16" borderId="0" xfId="0" applyFont="1" applyFill="1" applyBorder="1" applyAlignment="1">
      <alignment vertical="center"/>
    </xf>
    <xf numFmtId="0" fontId="95" fillId="16" borderId="8" xfId="0" applyFont="1" applyFill="1" applyBorder="1" applyAlignment="1">
      <alignment vertical="center"/>
    </xf>
    <xf numFmtId="0" fontId="102" fillId="16" borderId="9" xfId="0" applyFont="1" applyFill="1" applyBorder="1" applyAlignment="1">
      <alignment horizontal="left" indent="1"/>
    </xf>
    <xf numFmtId="0" fontId="95" fillId="16" borderId="10" xfId="0" applyFont="1" applyFill="1" applyBorder="1" applyAlignment="1">
      <alignment vertical="center"/>
    </xf>
    <xf numFmtId="0" fontId="95" fillId="16" borderId="10" xfId="0" applyFont="1" applyFill="1" applyBorder="1"/>
    <xf numFmtId="0" fontId="95" fillId="16" borderId="11" xfId="0" applyFont="1" applyFill="1" applyBorder="1"/>
    <xf numFmtId="0" fontId="100" fillId="17" borderId="2" xfId="0" applyFont="1" applyFill="1" applyBorder="1" applyAlignment="1">
      <alignment horizontal="left" vertical="center" indent="1"/>
    </xf>
    <xf numFmtId="0" fontId="100" fillId="17" borderId="3" xfId="0" applyFont="1" applyFill="1" applyBorder="1" applyAlignment="1">
      <alignment vertical="center"/>
    </xf>
    <xf numFmtId="0" fontId="95" fillId="17" borderId="3" xfId="0" applyFont="1" applyFill="1" applyBorder="1" applyAlignment="1">
      <alignment vertical="center"/>
    </xf>
    <xf numFmtId="0" fontId="95" fillId="17" borderId="4" xfId="0" applyFont="1" applyFill="1" applyBorder="1" applyAlignment="1">
      <alignment vertical="center"/>
    </xf>
    <xf numFmtId="0" fontId="95" fillId="18" borderId="5" xfId="0" applyFont="1" applyFill="1" applyBorder="1" applyAlignment="1">
      <alignment horizontal="left" indent="1"/>
    </xf>
    <xf numFmtId="0" fontId="95" fillId="18" borderId="0" xfId="0" applyFont="1" applyFill="1" applyBorder="1"/>
    <xf numFmtId="0" fontId="95" fillId="18" borderId="6" xfId="0" applyFont="1" applyFill="1" applyBorder="1"/>
    <xf numFmtId="0" fontId="103" fillId="18" borderId="0" xfId="0" applyFont="1" applyFill="1" applyBorder="1"/>
    <xf numFmtId="0" fontId="95" fillId="18" borderId="0" xfId="0" applyFont="1" applyFill="1" applyBorder="1" applyAlignment="1">
      <alignment horizontal="right"/>
    </xf>
    <xf numFmtId="0" fontId="102" fillId="18" borderId="5" xfId="0" applyFont="1" applyFill="1" applyBorder="1" applyAlignment="1">
      <alignment horizontal="left" indent="1"/>
    </xf>
    <xf numFmtId="0" fontId="105" fillId="18" borderId="7" xfId="0" applyFont="1" applyFill="1" applyBorder="1" applyAlignment="1">
      <alignment vertical="center"/>
    </xf>
    <xf numFmtId="0" fontId="105" fillId="18" borderId="12" xfId="0" applyNumberFormat="1" applyFont="1" applyFill="1" applyBorder="1" applyAlignment="1">
      <alignment horizontal="right" vertical="center"/>
    </xf>
    <xf numFmtId="1" fontId="105" fillId="18" borderId="7" xfId="0" applyNumberFormat="1" applyFont="1" applyFill="1" applyBorder="1" applyAlignment="1">
      <alignment horizontal="right" vertical="center"/>
    </xf>
    <xf numFmtId="0" fontId="95" fillId="18" borderId="0" xfId="0" applyNumberFormat="1" applyFont="1" applyFill="1" applyBorder="1" applyAlignment="1">
      <alignment vertical="center"/>
    </xf>
    <xf numFmtId="0" fontId="95" fillId="18" borderId="0" xfId="0" applyFont="1" applyFill="1" applyBorder="1" applyAlignment="1">
      <alignment vertical="center"/>
    </xf>
    <xf numFmtId="0" fontId="95" fillId="18" borderId="13" xfId="0" applyFont="1" applyFill="1" applyBorder="1" applyAlignment="1">
      <alignment vertical="center"/>
    </xf>
    <xf numFmtId="169" fontId="95" fillId="18" borderId="14" xfId="1" applyFont="1" applyFill="1" applyBorder="1" applyAlignment="1">
      <alignment vertical="center"/>
    </xf>
    <xf numFmtId="0" fontId="102" fillId="18" borderId="5" xfId="0" applyFont="1" applyFill="1" applyBorder="1"/>
    <xf numFmtId="0" fontId="95" fillId="18" borderId="17" xfId="0" applyNumberFormat="1" applyFont="1" applyFill="1" applyBorder="1" applyAlignment="1">
      <alignment horizontal="center" vertical="center"/>
    </xf>
    <xf numFmtId="0" fontId="95" fillId="18" borderId="17" xfId="0" applyFont="1" applyFill="1" applyBorder="1" applyAlignment="1">
      <alignment vertical="center"/>
    </xf>
    <xf numFmtId="167" fontId="95" fillId="18" borderId="17" xfId="1" applyNumberFormat="1" applyFont="1" applyFill="1" applyBorder="1" applyAlignment="1">
      <alignment vertical="center"/>
    </xf>
    <xf numFmtId="168" fontId="95" fillId="18" borderId="17" xfId="1" applyNumberFormat="1" applyFont="1" applyFill="1" applyBorder="1" applyAlignment="1">
      <alignment vertical="center"/>
    </xf>
    <xf numFmtId="0" fontId="95" fillId="18" borderId="0" xfId="0" applyNumberFormat="1" applyFont="1" applyFill="1" applyBorder="1" applyAlignment="1">
      <alignment horizontal="center" vertical="center"/>
    </xf>
    <xf numFmtId="167" fontId="95" fillId="18" borderId="0" xfId="1" applyNumberFormat="1" applyFont="1" applyFill="1" applyBorder="1" applyAlignment="1">
      <alignment vertical="center"/>
    </xf>
    <xf numFmtId="171" fontId="95" fillId="18" borderId="17" xfId="2" applyNumberFormat="1" applyFont="1" applyFill="1" applyBorder="1" applyAlignment="1">
      <alignment vertical="center"/>
    </xf>
    <xf numFmtId="0" fontId="109" fillId="18" borderId="0" xfId="4" applyNumberFormat="1" applyFont="1" applyFill="1" applyBorder="1" applyAlignment="1">
      <alignment horizontal="right"/>
    </xf>
    <xf numFmtId="0" fontId="109" fillId="18" borderId="0" xfId="4" applyNumberFormat="1" applyFont="1" applyFill="1" applyBorder="1"/>
    <xf numFmtId="0" fontId="95" fillId="18" borderId="18" xfId="0" applyNumberFormat="1" applyFont="1" applyFill="1" applyBorder="1" applyAlignment="1">
      <alignment vertical="center"/>
    </xf>
    <xf numFmtId="0" fontId="95" fillId="18" borderId="18" xfId="0" applyFont="1" applyFill="1" applyBorder="1" applyAlignment="1">
      <alignment vertical="center"/>
    </xf>
    <xf numFmtId="169" fontId="95" fillId="18" borderId="19" xfId="1" applyFont="1" applyFill="1" applyBorder="1" applyAlignment="1">
      <alignment vertical="center"/>
    </xf>
    <xf numFmtId="0" fontId="105" fillId="18" borderId="7" xfId="0" applyFont="1" applyFill="1" applyBorder="1" applyAlignment="1">
      <alignment horizontal="right" vertical="center"/>
    </xf>
    <xf numFmtId="173" fontId="95" fillId="18" borderId="18" xfId="2" applyNumberFormat="1" applyFont="1" applyFill="1" applyBorder="1" applyAlignment="1">
      <alignment vertical="center"/>
    </xf>
    <xf numFmtId="0" fontId="115" fillId="0" borderId="0" xfId="0" applyFont="1"/>
    <xf numFmtId="0" fontId="0" fillId="0" borderId="0" xfId="0" applyBorder="1" applyAlignment="1">
      <alignment vertical="center"/>
    </xf>
    <xf numFmtId="0" fontId="117" fillId="0" borderId="0" xfId="0" applyFont="1"/>
    <xf numFmtId="0" fontId="117" fillId="0" borderId="0" xfId="0" applyFont="1" applyBorder="1"/>
    <xf numFmtId="3" fontId="0" fillId="0" borderId="0" xfId="0" applyNumberFormat="1"/>
    <xf numFmtId="168" fontId="119" fillId="0" borderId="0" xfId="0" applyNumberFormat="1" applyFont="1" applyBorder="1" applyAlignment="1">
      <alignment vertical="center"/>
    </xf>
    <xf numFmtId="0" fontId="120" fillId="0" borderId="26" xfId="0" applyFont="1" applyBorder="1" applyAlignment="1">
      <alignment horizontal="center" vertical="center"/>
    </xf>
    <xf numFmtId="175" fontId="0" fillId="0" borderId="0" xfId="0" applyNumberFormat="1" applyBorder="1" applyAlignment="1">
      <alignment vertical="center"/>
    </xf>
    <xf numFmtId="0" fontId="96" fillId="18" borderId="0" xfId="0" applyFont="1" applyFill="1" applyBorder="1" applyAlignment="1">
      <alignment horizontal="right"/>
    </xf>
    <xf numFmtId="0" fontId="96" fillId="18" borderId="0" xfId="0" applyFont="1" applyFill="1" applyBorder="1"/>
    <xf numFmtId="0" fontId="105" fillId="18" borderId="23" xfId="0" applyFont="1" applyFill="1" applyBorder="1" applyAlignment="1">
      <alignment horizontal="center" vertical="center"/>
    </xf>
    <xf numFmtId="0" fontId="118" fillId="0" borderId="0" xfId="0" applyFont="1"/>
    <xf numFmtId="0" fontId="118" fillId="0" borderId="0" xfId="0" applyFont="1" applyAlignment="1">
      <alignment vertical="center"/>
    </xf>
    <xf numFmtId="0" fontId="117" fillId="0" borderId="0" xfId="0" applyFont="1" applyAlignment="1">
      <alignment vertical="center"/>
    </xf>
    <xf numFmtId="0" fontId="0" fillId="0" borderId="0" xfId="0" applyFont="1"/>
    <xf numFmtId="0" fontId="91" fillId="0" borderId="0" xfId="180"/>
    <xf numFmtId="170" fontId="95" fillId="18" borderId="0" xfId="2" applyFont="1" applyFill="1" applyBorder="1"/>
    <xf numFmtId="0" fontId="123" fillId="0" borderId="26" xfId="157" applyFont="1" applyBorder="1"/>
    <xf numFmtId="0" fontId="0" fillId="21" borderId="0" xfId="0" applyFill="1" applyBorder="1" applyAlignment="1">
      <alignment vertical="center"/>
    </xf>
    <xf numFmtId="0" fontId="0" fillId="0" borderId="0" xfId="0" applyAlignment="1">
      <alignment horizontal="center"/>
    </xf>
    <xf numFmtId="0" fontId="121" fillId="0" borderId="0" xfId="0" applyFont="1"/>
    <xf numFmtId="9" fontId="0" fillId="0" borderId="0" xfId="0" applyNumberFormat="1" applyFont="1"/>
    <xf numFmtId="2" fontId="0" fillId="0" borderId="0" xfId="0" applyNumberFormat="1"/>
    <xf numFmtId="177" fontId="0" fillId="0" borderId="0" xfId="0" applyNumberFormat="1"/>
    <xf numFmtId="0" fontId="98" fillId="0" borderId="0" xfId="3" applyAlignment="1" applyProtection="1"/>
    <xf numFmtId="0" fontId="120" fillId="0" borderId="0" xfId="0" applyFont="1"/>
    <xf numFmtId="175" fontId="0" fillId="0" borderId="0" xfId="0" applyNumberFormat="1"/>
    <xf numFmtId="171" fontId="0" fillId="0" borderId="0" xfId="2" applyNumberFormat="1" applyFont="1"/>
    <xf numFmtId="168" fontId="120" fillId="0" borderId="26" xfId="0" applyNumberFormat="1" applyFont="1" applyBorder="1" applyAlignment="1">
      <alignment horizontal="center" vertical="center"/>
    </xf>
    <xf numFmtId="3" fontId="0" fillId="0" borderId="0" xfId="0" applyNumberFormat="1" applyBorder="1"/>
    <xf numFmtId="0" fontId="0" fillId="0" borderId="8" xfId="0" applyBorder="1" applyAlignment="1">
      <alignment vertical="center"/>
    </xf>
    <xf numFmtId="3" fontId="0" fillId="0" borderId="8" xfId="0" applyNumberFormat="1" applyBorder="1"/>
    <xf numFmtId="168" fontId="119" fillId="0" borderId="8" xfId="0" applyNumberFormat="1" applyFont="1" applyBorder="1" applyAlignment="1">
      <alignment vertical="center"/>
    </xf>
    <xf numFmtId="3" fontId="126" fillId="0" borderId="0" xfId="0" applyNumberFormat="1" applyFont="1"/>
    <xf numFmtId="2" fontId="126" fillId="0" borderId="0" xfId="0" applyNumberFormat="1" applyFont="1"/>
    <xf numFmtId="169" fontId="95" fillId="18" borderId="0" xfId="1" applyFont="1" applyFill="1" applyBorder="1" applyAlignment="1">
      <alignment vertical="center"/>
    </xf>
    <xf numFmtId="169" fontId="106" fillId="18" borderId="0" xfId="1" applyFont="1" applyFill="1" applyBorder="1" applyAlignment="1">
      <alignment vertical="center"/>
    </xf>
    <xf numFmtId="175" fontId="0" fillId="0" borderId="8" xfId="0" applyNumberFormat="1" applyBorder="1"/>
    <xf numFmtId="167" fontId="106" fillId="18" borderId="0" xfId="1" applyNumberFormat="1" applyFont="1" applyFill="1" applyBorder="1" applyAlignment="1">
      <alignment vertical="center"/>
    </xf>
    <xf numFmtId="168" fontId="127" fillId="18" borderId="0" xfId="1" applyNumberFormat="1" applyFont="1" applyFill="1" applyBorder="1" applyAlignment="1">
      <alignment vertical="center"/>
    </xf>
    <xf numFmtId="171" fontId="127" fillId="18" borderId="0" xfId="2" applyNumberFormat="1" applyFont="1" applyFill="1" applyBorder="1" applyAlignment="1">
      <alignment vertical="center"/>
    </xf>
    <xf numFmtId="167" fontId="127" fillId="18" borderId="18" xfId="1" applyNumberFormat="1" applyFont="1" applyFill="1" applyBorder="1" applyAlignment="1">
      <alignment vertical="center"/>
    </xf>
    <xf numFmtId="0" fontId="102" fillId="24" borderId="5" xfId="0" applyFont="1" applyFill="1" applyBorder="1" applyAlignment="1">
      <alignment horizontal="left" indent="1"/>
    </xf>
    <xf numFmtId="0" fontId="95" fillId="24" borderId="20" xfId="0" applyFont="1" applyFill="1" applyBorder="1"/>
    <xf numFmtId="0" fontId="95" fillId="24" borderId="21" xfId="0" applyFont="1" applyFill="1" applyBorder="1"/>
    <xf numFmtId="0" fontId="95" fillId="24" borderId="22" xfId="0" applyFont="1" applyFill="1" applyBorder="1"/>
    <xf numFmtId="0" fontId="95" fillId="24" borderId="5" xfId="0" applyFont="1" applyFill="1" applyBorder="1"/>
    <xf numFmtId="0" fontId="103" fillId="24" borderId="0" xfId="0" applyFont="1" applyFill="1" applyBorder="1"/>
    <xf numFmtId="0" fontId="95" fillId="24" borderId="0" xfId="0" applyFont="1" applyFill="1" applyBorder="1"/>
    <xf numFmtId="0" fontId="95" fillId="24" borderId="0" xfId="0" applyFont="1" applyFill="1" applyBorder="1" applyAlignment="1">
      <alignment horizontal="right"/>
    </xf>
    <xf numFmtId="0" fontId="95" fillId="24" borderId="6" xfId="0" applyFont="1" applyFill="1" applyBorder="1"/>
    <xf numFmtId="0" fontId="102" fillId="24" borderId="5" xfId="0" applyFont="1" applyFill="1" applyBorder="1"/>
    <xf numFmtId="0" fontId="105" fillId="24" borderId="7" xfId="0" applyFont="1" applyFill="1" applyBorder="1" applyAlignment="1">
      <alignment vertical="center"/>
    </xf>
    <xf numFmtId="0" fontId="105" fillId="24" borderId="7" xfId="0" applyFont="1" applyFill="1" applyBorder="1" applyAlignment="1">
      <alignment horizontal="right" vertical="center"/>
    </xf>
    <xf numFmtId="0" fontId="95" fillId="24" borderId="18" xfId="0" applyFont="1" applyFill="1" applyBorder="1" applyAlignment="1">
      <alignment vertical="center"/>
    </xf>
    <xf numFmtId="0" fontId="103" fillId="24" borderId="18" xfId="0" applyFont="1" applyFill="1" applyBorder="1" applyAlignment="1">
      <alignment vertical="center"/>
    </xf>
    <xf numFmtId="173" fontId="95" fillId="24" borderId="18" xfId="2" applyNumberFormat="1" applyFont="1" applyFill="1" applyBorder="1" applyAlignment="1">
      <alignment horizontal="right" vertical="center"/>
    </xf>
    <xf numFmtId="168" fontId="127" fillId="24" borderId="18" xfId="1" applyNumberFormat="1" applyFont="1" applyFill="1" applyBorder="1" applyAlignment="1">
      <alignment vertical="center"/>
    </xf>
    <xf numFmtId="0" fontId="102" fillId="24" borderId="5" xfId="0" applyFont="1" applyFill="1" applyBorder="1" applyAlignment="1">
      <alignment vertical="center"/>
    </xf>
    <xf numFmtId="0" fontId="95" fillId="24" borderId="18" xfId="0" applyNumberFormat="1" applyFont="1" applyFill="1" applyBorder="1" applyAlignment="1">
      <alignment vertical="center"/>
    </xf>
    <xf numFmtId="173" fontId="95" fillId="24" borderId="18" xfId="2" applyNumberFormat="1" applyFont="1" applyFill="1" applyBorder="1" applyAlignment="1">
      <alignment vertical="center"/>
    </xf>
    <xf numFmtId="0" fontId="95" fillId="24" borderId="6" xfId="0" applyFont="1" applyFill="1" applyBorder="1" applyAlignment="1">
      <alignment vertical="center"/>
    </xf>
    <xf numFmtId="0" fontId="100" fillId="25" borderId="2" xfId="0" applyFont="1" applyFill="1" applyBorder="1" applyAlignment="1">
      <alignment horizontal="left" vertical="center" indent="1"/>
    </xf>
    <xf numFmtId="0" fontId="95" fillId="25" borderId="3" xfId="0" applyFont="1" applyFill="1" applyBorder="1" applyAlignment="1">
      <alignment vertical="center"/>
    </xf>
    <xf numFmtId="0" fontId="95" fillId="25" borderId="4" xfId="0" applyFont="1" applyFill="1" applyBorder="1" applyAlignment="1">
      <alignment vertical="center"/>
    </xf>
    <xf numFmtId="168" fontId="120" fillId="0" borderId="0" xfId="0" applyNumberFormat="1" applyFont="1" applyFill="1" applyBorder="1" applyAlignment="1">
      <alignment horizontal="left" vertical="center"/>
    </xf>
    <xf numFmtId="175" fontId="0" fillId="0" borderId="0" xfId="0" applyNumberFormat="1" applyBorder="1"/>
    <xf numFmtId="0" fontId="0" fillId="0" borderId="27" xfId="0" applyBorder="1"/>
    <xf numFmtId="0" fontId="128" fillId="0" borderId="0" xfId="187" applyFont="1"/>
    <xf numFmtId="0" fontId="89" fillId="0" borderId="0" xfId="187"/>
    <xf numFmtId="0" fontId="129" fillId="0" borderId="0" xfId="187" applyFont="1" applyAlignment="1">
      <alignment vertical="center"/>
    </xf>
    <xf numFmtId="0" fontId="89" fillId="0" borderId="0" xfId="187" applyAlignment="1">
      <alignment vertical="center"/>
    </xf>
    <xf numFmtId="0" fontId="130" fillId="0" borderId="0" xfId="187" applyFont="1"/>
    <xf numFmtId="0" fontId="122" fillId="19" borderId="2" xfId="187" applyFont="1" applyFill="1" applyBorder="1" applyAlignment="1">
      <alignment horizontal="left" vertical="center" indent="1"/>
    </xf>
    <xf numFmtId="0" fontId="89" fillId="19" borderId="3" xfId="187" applyFill="1" applyBorder="1"/>
    <xf numFmtId="0" fontId="89" fillId="19" borderId="4" xfId="187" applyFill="1" applyBorder="1"/>
    <xf numFmtId="0" fontId="89" fillId="21" borderId="5" xfId="187" applyFill="1" applyBorder="1"/>
    <xf numFmtId="0" fontId="89" fillId="21" borderId="0" xfId="187" applyFill="1" applyBorder="1"/>
    <xf numFmtId="0" fontId="89" fillId="21" borderId="6" xfId="187" applyFill="1" applyBorder="1"/>
    <xf numFmtId="0" fontId="116" fillId="21" borderId="5" xfId="187" applyFont="1" applyFill="1" applyBorder="1"/>
    <xf numFmtId="0" fontId="101" fillId="21" borderId="7" xfId="187" applyFont="1" applyFill="1" applyBorder="1" applyAlignment="1">
      <alignment vertical="center"/>
    </xf>
    <xf numFmtId="0" fontId="89" fillId="21" borderId="18" xfId="187" applyFill="1" applyBorder="1" applyAlignment="1">
      <alignment vertical="center"/>
    </xf>
    <xf numFmtId="0" fontId="116" fillId="21" borderId="9" xfId="187" applyFont="1" applyFill="1" applyBorder="1"/>
    <xf numFmtId="0" fontId="89" fillId="21" borderId="10" xfId="187" applyFill="1" applyBorder="1" applyAlignment="1">
      <alignment vertical="center"/>
    </xf>
    <xf numFmtId="0" fontId="89" fillId="21" borderId="10" xfId="187" applyFill="1" applyBorder="1"/>
    <xf numFmtId="0" fontId="89" fillId="21" borderId="11" xfId="187" applyFill="1" applyBorder="1"/>
    <xf numFmtId="0" fontId="101" fillId="21" borderId="0" xfId="187" applyFont="1" applyFill="1" applyBorder="1"/>
    <xf numFmtId="0" fontId="89" fillId="21" borderId="0" xfId="187" applyFill="1" applyBorder="1" applyAlignment="1">
      <alignment horizontal="right"/>
    </xf>
    <xf numFmtId="0" fontId="89" fillId="21" borderId="0" xfId="187" applyFont="1" applyFill="1" applyBorder="1"/>
    <xf numFmtId="166" fontId="0" fillId="21" borderId="0" xfId="188" applyFont="1" applyFill="1" applyBorder="1" applyAlignment="1">
      <alignment vertical="center"/>
    </xf>
    <xf numFmtId="0" fontId="122" fillId="26" borderId="2" xfId="187" applyFont="1" applyFill="1" applyBorder="1" applyAlignment="1">
      <alignment horizontal="left" vertical="center" indent="1"/>
    </xf>
    <xf numFmtId="0" fontId="89" fillId="26" borderId="3" xfId="187" applyFill="1" applyBorder="1" applyAlignment="1">
      <alignment vertical="center"/>
    </xf>
    <xf numFmtId="0" fontId="89" fillId="26" borderId="4" xfId="187" applyFill="1" applyBorder="1" applyAlignment="1">
      <alignment vertical="center"/>
    </xf>
    <xf numFmtId="0" fontId="89" fillId="27" borderId="5" xfId="187" applyFill="1" applyBorder="1"/>
    <xf numFmtId="0" fontId="89" fillId="27" borderId="0" xfId="187" applyFill="1" applyBorder="1"/>
    <xf numFmtId="0" fontId="89" fillId="27" borderId="21" xfId="187" applyFill="1" applyBorder="1"/>
    <xf numFmtId="0" fontId="101" fillId="27" borderId="0" xfId="187" applyFont="1" applyFill="1" applyBorder="1"/>
    <xf numFmtId="0" fontId="89" fillId="27" borderId="0" xfId="187" applyFill="1" applyBorder="1" applyAlignment="1">
      <alignment horizontal="right"/>
    </xf>
    <xf numFmtId="0" fontId="89" fillId="27" borderId="6" xfId="187" applyFill="1" applyBorder="1"/>
    <xf numFmtId="0" fontId="132" fillId="27" borderId="7" xfId="187" applyFont="1" applyFill="1" applyBorder="1" applyAlignment="1">
      <alignment vertical="center"/>
    </xf>
    <xf numFmtId="0" fontId="132" fillId="27" borderId="7" xfId="187" applyNumberFormat="1" applyFont="1" applyFill="1" applyBorder="1" applyAlignment="1">
      <alignment horizontal="right" vertical="center"/>
    </xf>
    <xf numFmtId="0" fontId="132" fillId="27" borderId="23" xfId="187" applyNumberFormat="1" applyFont="1" applyFill="1" applyBorder="1" applyAlignment="1">
      <alignment horizontal="right" vertical="center"/>
    </xf>
    <xf numFmtId="0" fontId="89" fillId="27" borderId="0" xfId="187" applyNumberFormat="1" applyFill="1" applyBorder="1" applyAlignment="1">
      <alignment vertical="center"/>
    </xf>
    <xf numFmtId="0" fontId="89" fillId="27" borderId="0" xfId="187" applyFill="1" applyBorder="1" applyAlignment="1">
      <alignment vertical="center"/>
    </xf>
    <xf numFmtId="0" fontId="89" fillId="27" borderId="13" xfId="187" applyFill="1" applyBorder="1" applyAlignment="1">
      <alignment vertical="center"/>
    </xf>
    <xf numFmtId="167" fontId="0" fillId="27" borderId="0" xfId="189" applyNumberFormat="1" applyFont="1" applyFill="1" applyBorder="1" applyAlignment="1">
      <alignment vertical="center"/>
    </xf>
    <xf numFmtId="167" fontId="0" fillId="27" borderId="34" xfId="189" applyNumberFormat="1" applyFont="1" applyFill="1" applyBorder="1" applyAlignment="1">
      <alignment vertical="center"/>
    </xf>
    <xf numFmtId="167" fontId="0" fillId="27" borderId="0" xfId="188" applyNumberFormat="1" applyFont="1" applyFill="1" applyBorder="1" applyAlignment="1">
      <alignment vertical="center"/>
    </xf>
    <xf numFmtId="0" fontId="89" fillId="27" borderId="6" xfId="187" applyFill="1" applyBorder="1" applyAlignment="1">
      <alignment vertical="center"/>
    </xf>
    <xf numFmtId="167" fontId="0" fillId="27" borderId="34" xfId="189" applyNumberFormat="1" applyFont="1" applyFill="1" applyBorder="1" applyAlignment="1">
      <alignment horizontal="right" vertical="center"/>
    </xf>
    <xf numFmtId="167" fontId="0" fillId="27" borderId="0" xfId="189" applyNumberFormat="1" applyFont="1" applyFill="1" applyBorder="1" applyAlignment="1">
      <alignment horizontal="right" vertical="center"/>
    </xf>
    <xf numFmtId="167" fontId="0" fillId="27" borderId="0" xfId="188" applyNumberFormat="1" applyFont="1" applyFill="1" applyBorder="1" applyAlignment="1">
      <alignment horizontal="right" vertical="center"/>
    </xf>
    <xf numFmtId="0" fontId="89" fillId="27" borderId="15" xfId="187" applyNumberFormat="1" applyFill="1" applyBorder="1" applyAlignment="1">
      <alignment vertical="center"/>
    </xf>
    <xf numFmtId="0" fontId="89" fillId="27" borderId="15" xfId="187" applyFill="1" applyBorder="1" applyAlignment="1">
      <alignment vertical="center"/>
    </xf>
    <xf numFmtId="167" fontId="0" fillId="27" borderId="15" xfId="189" applyNumberFormat="1" applyFont="1" applyFill="1" applyBorder="1" applyAlignment="1">
      <alignment vertical="center"/>
    </xf>
    <xf numFmtId="167" fontId="0" fillId="27" borderId="35" xfId="189" applyNumberFormat="1" applyFont="1" applyFill="1" applyBorder="1" applyAlignment="1">
      <alignment horizontal="right" vertical="center"/>
    </xf>
    <xf numFmtId="167" fontId="0" fillId="27" borderId="15" xfId="189" applyNumberFormat="1" applyFont="1" applyFill="1" applyBorder="1" applyAlignment="1">
      <alignment horizontal="right" vertical="center"/>
    </xf>
    <xf numFmtId="167" fontId="0" fillId="27" borderId="15" xfId="188" applyNumberFormat="1" applyFont="1" applyFill="1" applyBorder="1" applyAlignment="1">
      <alignment horizontal="right" vertical="center"/>
    </xf>
    <xf numFmtId="0" fontId="116" fillId="27" borderId="5" xfId="187" applyFont="1" applyFill="1" applyBorder="1"/>
    <xf numFmtId="0" fontId="89" fillId="27" borderId="17" xfId="187" applyNumberFormat="1" applyFill="1" applyBorder="1" applyAlignment="1">
      <alignment horizontal="center" vertical="center"/>
    </xf>
    <xf numFmtId="0" fontId="89" fillId="27" borderId="17" xfId="187" applyFill="1" applyBorder="1" applyAlignment="1">
      <alignment vertical="center"/>
    </xf>
    <xf numFmtId="167" fontId="0" fillId="27" borderId="17" xfId="151" applyNumberFormat="1" applyFont="1" applyFill="1" applyBorder="1" applyAlignment="1">
      <alignment vertical="center"/>
    </xf>
    <xf numFmtId="0" fontId="89" fillId="27" borderId="0" xfId="187" applyNumberFormat="1" applyFill="1" applyBorder="1" applyAlignment="1">
      <alignment horizontal="center" vertical="center"/>
    </xf>
    <xf numFmtId="167" fontId="0" fillId="27" borderId="0" xfId="151" applyNumberFormat="1" applyFont="1" applyFill="1" applyBorder="1" applyAlignment="1">
      <alignment vertical="center"/>
    </xf>
    <xf numFmtId="0" fontId="89" fillId="27" borderId="0" xfId="187" applyNumberFormat="1" applyFill="1" applyBorder="1"/>
    <xf numFmtId="0" fontId="130" fillId="0" borderId="0" xfId="187" applyFont="1" applyAlignment="1">
      <alignment vertical="center"/>
    </xf>
    <xf numFmtId="0" fontId="131" fillId="27" borderId="18" xfId="187" applyFont="1" applyFill="1" applyBorder="1" applyAlignment="1">
      <alignment vertical="center"/>
    </xf>
    <xf numFmtId="0" fontId="132" fillId="27" borderId="18" xfId="187" applyFont="1" applyFill="1" applyBorder="1" applyAlignment="1">
      <alignment vertical="center"/>
    </xf>
    <xf numFmtId="9" fontId="0" fillId="27" borderId="24" xfId="190" applyFont="1" applyFill="1" applyBorder="1" applyAlignment="1">
      <alignment vertical="center"/>
    </xf>
    <xf numFmtId="9" fontId="0" fillId="27" borderId="18" xfId="190" applyFont="1" applyFill="1" applyBorder="1" applyAlignment="1">
      <alignment vertical="center"/>
    </xf>
    <xf numFmtId="0" fontId="132" fillId="27" borderId="7" xfId="187" applyNumberFormat="1" applyFont="1" applyFill="1" applyBorder="1" applyAlignment="1">
      <alignment horizontal="left" vertical="center"/>
    </xf>
    <xf numFmtId="0" fontId="132" fillId="27" borderId="0" xfId="187" applyNumberFormat="1" applyFont="1" applyFill="1" applyBorder="1" applyAlignment="1">
      <alignment horizontal="right" vertical="center"/>
    </xf>
    <xf numFmtId="0" fontId="132" fillId="27" borderId="0" xfId="187" applyFont="1" applyFill="1" applyBorder="1" applyAlignment="1">
      <alignment vertical="center"/>
    </xf>
    <xf numFmtId="0" fontId="131" fillId="27" borderId="0" xfId="187" applyFont="1" applyFill="1" applyBorder="1" applyAlignment="1">
      <alignment vertical="center"/>
    </xf>
    <xf numFmtId="0" fontId="89" fillId="27" borderId="8" xfId="187" applyNumberFormat="1" applyFill="1" applyBorder="1" applyAlignment="1">
      <alignment vertical="center"/>
    </xf>
    <xf numFmtId="0" fontId="89" fillId="27" borderId="8" xfId="187" applyFill="1" applyBorder="1" applyAlignment="1">
      <alignment vertical="center"/>
    </xf>
    <xf numFmtId="169" fontId="0" fillId="27" borderId="0" xfId="188" applyNumberFormat="1" applyFont="1" applyFill="1" applyBorder="1" applyAlignment="1">
      <alignment vertical="center"/>
    </xf>
    <xf numFmtId="0" fontId="108" fillId="0" borderId="0" xfId="4" applyNumberFormat="1"/>
    <xf numFmtId="0" fontId="133" fillId="27" borderId="0" xfId="4" applyNumberFormat="1" applyFont="1" applyFill="1" applyBorder="1" applyAlignment="1">
      <alignment horizontal="right"/>
    </xf>
    <xf numFmtId="0" fontId="133" fillId="27" borderId="0" xfId="4" applyNumberFormat="1" applyFont="1" applyFill="1" applyBorder="1" applyAlignment="1">
      <alignment horizontal="left"/>
    </xf>
    <xf numFmtId="0" fontId="108" fillId="27" borderId="0" xfId="4" applyNumberFormat="1" applyFill="1" applyBorder="1"/>
    <xf numFmtId="0" fontId="108" fillId="27" borderId="6" xfId="4" applyNumberFormat="1" applyFill="1" applyBorder="1"/>
    <xf numFmtId="0" fontId="89" fillId="0" borderId="0" xfId="187" applyBorder="1"/>
    <xf numFmtId="0" fontId="89" fillId="27" borderId="0" xfId="187" applyFill="1"/>
    <xf numFmtId="0" fontId="131" fillId="27" borderId="0" xfId="187" applyFont="1" applyFill="1" applyBorder="1" applyAlignment="1">
      <alignment horizontal="right" vertical="center"/>
    </xf>
    <xf numFmtId="168" fontId="131" fillId="27" borderId="0" xfId="188" applyNumberFormat="1" applyFont="1" applyFill="1" applyBorder="1" applyAlignment="1">
      <alignment horizontal="right" vertical="center"/>
    </xf>
    <xf numFmtId="0" fontId="89" fillId="27" borderId="0" xfId="187" applyFill="1" applyBorder="1" applyAlignment="1">
      <alignment horizontal="left"/>
    </xf>
    <xf numFmtId="0" fontId="101" fillId="27" borderId="0" xfId="187" applyFont="1" applyFill="1" applyBorder="1" applyAlignment="1">
      <alignment horizontal="right"/>
    </xf>
    <xf numFmtId="1" fontId="132" fillId="27" borderId="36" xfId="187" applyNumberFormat="1" applyFont="1" applyFill="1" applyBorder="1" applyAlignment="1">
      <alignment horizontal="right" vertical="center"/>
    </xf>
    <xf numFmtId="0" fontId="89" fillId="27" borderId="0" xfId="187" applyNumberFormat="1" applyFill="1" applyBorder="1" applyAlignment="1">
      <alignment horizontal="left" vertical="center"/>
    </xf>
    <xf numFmtId="166" fontId="131" fillId="27" borderId="0" xfId="188" applyFont="1" applyFill="1" applyBorder="1" applyAlignment="1">
      <alignment horizontal="right" vertical="center"/>
    </xf>
    <xf numFmtId="0" fontId="89" fillId="27" borderId="8" xfId="187" applyNumberFormat="1" applyFill="1" applyBorder="1" applyAlignment="1">
      <alignment horizontal="left" vertical="center"/>
    </xf>
    <xf numFmtId="0" fontId="131" fillId="27" borderId="8" xfId="187" applyFont="1" applyFill="1" applyBorder="1" applyAlignment="1">
      <alignment vertical="center"/>
    </xf>
    <xf numFmtId="166" fontId="131" fillId="27" borderId="8" xfId="188" applyFont="1" applyFill="1" applyBorder="1" applyAlignment="1">
      <alignment horizontal="right" vertical="center"/>
    </xf>
    <xf numFmtId="0" fontId="89" fillId="27" borderId="29" xfId="187" applyNumberFormat="1" applyFill="1" applyBorder="1" applyAlignment="1">
      <alignment vertical="center"/>
    </xf>
    <xf numFmtId="166" fontId="131" fillId="27" borderId="26" xfId="188" applyFont="1" applyFill="1" applyBorder="1" applyAlignment="1">
      <alignment horizontal="right" vertical="center"/>
    </xf>
    <xf numFmtId="168" fontId="131" fillId="27" borderId="26" xfId="188" applyNumberFormat="1" applyFont="1" applyFill="1" applyBorder="1" applyAlignment="1">
      <alignment horizontal="right" vertical="center"/>
    </xf>
    <xf numFmtId="168" fontId="131" fillId="27" borderId="8" xfId="188" applyNumberFormat="1" applyFont="1" applyFill="1" applyBorder="1" applyAlignment="1">
      <alignment horizontal="right" vertical="center"/>
    </xf>
    <xf numFmtId="1" fontId="132" fillId="27" borderId="26" xfId="187" applyNumberFormat="1" applyFont="1" applyFill="1" applyBorder="1" applyAlignment="1">
      <alignment horizontal="right" vertical="center"/>
    </xf>
    <xf numFmtId="0" fontId="116" fillId="27" borderId="5" xfId="187" applyFont="1" applyFill="1" applyBorder="1" applyAlignment="1">
      <alignment vertical="center"/>
    </xf>
    <xf numFmtId="0" fontId="89" fillId="27" borderId="26" xfId="187" applyNumberFormat="1" applyFill="1" applyBorder="1" applyAlignment="1">
      <alignment horizontal="left" vertical="center"/>
    </xf>
    <xf numFmtId="0" fontId="89" fillId="27" borderId="5" xfId="187" applyFont="1" applyFill="1" applyBorder="1"/>
    <xf numFmtId="0" fontId="89" fillId="27" borderId="0" xfId="187" applyFont="1" applyFill="1" applyBorder="1"/>
    <xf numFmtId="0" fontId="131" fillId="27" borderId="26" xfId="187" applyFont="1" applyFill="1" applyBorder="1" applyAlignment="1">
      <alignment horizontal="right" vertical="center"/>
    </xf>
    <xf numFmtId="0" fontId="132" fillId="27" borderId="26" xfId="187" applyNumberFormat="1" applyFont="1" applyFill="1" applyBorder="1" applyAlignment="1">
      <alignment horizontal="right" vertical="center"/>
    </xf>
    <xf numFmtId="0" fontId="89" fillId="27" borderId="20" xfId="187" applyFill="1" applyBorder="1" applyAlignment="1">
      <alignment horizontal="left" indent="1"/>
    </xf>
    <xf numFmtId="0" fontId="89" fillId="27" borderId="18" xfId="187" applyNumberFormat="1" applyFill="1" applyBorder="1" applyAlignment="1">
      <alignment vertical="center"/>
    </xf>
    <xf numFmtId="0" fontId="89" fillId="27" borderId="18" xfId="187" applyFill="1" applyBorder="1" applyAlignment="1">
      <alignment vertical="center"/>
    </xf>
    <xf numFmtId="0" fontId="101" fillId="0" borderId="0" xfId="187" quotePrefix="1" applyFont="1"/>
    <xf numFmtId="0" fontId="101" fillId="0" borderId="0" xfId="187" applyFont="1"/>
    <xf numFmtId="166" fontId="0" fillId="0" borderId="0" xfId="188" applyFont="1"/>
    <xf numFmtId="9" fontId="0" fillId="0" borderId="0" xfId="190" applyFont="1"/>
    <xf numFmtId="166" fontId="101" fillId="0" borderId="0" xfId="188" applyFont="1"/>
    <xf numFmtId="0" fontId="89" fillId="0" borderId="0" xfId="187" quotePrefix="1"/>
    <xf numFmtId="166" fontId="94" fillId="0" borderId="0" xfId="188" applyFont="1"/>
    <xf numFmtId="168" fontId="94" fillId="0" borderId="0" xfId="188" applyNumberFormat="1" applyFont="1"/>
    <xf numFmtId="168" fontId="89" fillId="0" borderId="0" xfId="187" applyNumberFormat="1"/>
    <xf numFmtId="0" fontId="89" fillId="0" borderId="0" xfId="187" applyFont="1"/>
    <xf numFmtId="0" fontId="89" fillId="21" borderId="0" xfId="187" applyFill="1" applyBorder="1" applyAlignment="1">
      <alignment vertical="center"/>
    </xf>
    <xf numFmtId="0" fontId="116" fillId="0" borderId="0" xfId="187" applyFont="1"/>
    <xf numFmtId="0" fontId="122" fillId="28" borderId="2" xfId="187" applyFont="1" applyFill="1" applyBorder="1" applyAlignment="1">
      <alignment horizontal="left" vertical="center" indent="1"/>
    </xf>
    <xf numFmtId="0" fontId="122" fillId="28" borderId="3" xfId="187" applyFont="1" applyFill="1" applyBorder="1" applyAlignment="1">
      <alignment vertical="center"/>
    </xf>
    <xf numFmtId="0" fontId="89" fillId="28" borderId="3" xfId="187" applyFill="1" applyBorder="1"/>
    <xf numFmtId="0" fontId="89" fillId="28" borderId="4" xfId="187" applyFill="1" applyBorder="1"/>
    <xf numFmtId="0" fontId="89" fillId="29" borderId="20" xfId="187" applyFill="1" applyBorder="1"/>
    <xf numFmtId="0" fontId="89" fillId="29" borderId="21" xfId="187" applyFill="1" applyBorder="1"/>
    <xf numFmtId="0" fontId="89" fillId="29" borderId="22" xfId="187" applyFill="1" applyBorder="1"/>
    <xf numFmtId="0" fontId="89" fillId="29" borderId="5" xfId="187" applyFill="1" applyBorder="1"/>
    <xf numFmtId="0" fontId="101" fillId="29" borderId="0" xfId="187" applyFont="1" applyFill="1" applyBorder="1"/>
    <xf numFmtId="0" fontId="89" fillId="29" borderId="0" xfId="187" applyFill="1" applyBorder="1"/>
    <xf numFmtId="0" fontId="89" fillId="29" borderId="0" xfId="187" applyFill="1" applyBorder="1" applyAlignment="1">
      <alignment horizontal="right"/>
    </xf>
    <xf numFmtId="0" fontId="89" fillId="29" borderId="6" xfId="187" applyFill="1" applyBorder="1"/>
    <xf numFmtId="0" fontId="116" fillId="29" borderId="5" xfId="187" applyFont="1" applyFill="1" applyBorder="1"/>
    <xf numFmtId="0" fontId="132" fillId="29" borderId="39" xfId="187" applyFont="1" applyFill="1" applyBorder="1" applyAlignment="1">
      <alignment vertical="center"/>
    </xf>
    <xf numFmtId="0" fontId="89" fillId="29" borderId="0" xfId="187" applyFill="1" applyBorder="1" applyAlignment="1">
      <alignment vertical="center"/>
    </xf>
    <xf numFmtId="0" fontId="89" fillId="29" borderId="0" xfId="187" applyFont="1" applyFill="1" applyBorder="1" applyAlignment="1">
      <alignment vertical="center"/>
    </xf>
    <xf numFmtId="0" fontId="116" fillId="29" borderId="9" xfId="187" applyFont="1" applyFill="1" applyBorder="1"/>
    <xf numFmtId="0" fontId="89" fillId="29" borderId="10" xfId="187" applyFill="1" applyBorder="1"/>
    <xf numFmtId="0" fontId="89" fillId="29" borderId="11" xfId="187" applyFill="1" applyBorder="1"/>
    <xf numFmtId="0" fontId="101" fillId="29" borderId="0" xfId="187" applyFont="1" applyFill="1"/>
    <xf numFmtId="0" fontId="89" fillId="29" borderId="0" xfId="187" applyFill="1"/>
    <xf numFmtId="0" fontId="114" fillId="29" borderId="5" xfId="187" applyFont="1" applyFill="1" applyBorder="1"/>
    <xf numFmtId="0" fontId="114" fillId="29" borderId="9" xfId="187" applyFont="1" applyFill="1" applyBorder="1"/>
    <xf numFmtId="178" fontId="89" fillId="29" borderId="11" xfId="187" applyNumberFormat="1" applyFill="1" applyBorder="1" applyAlignment="1">
      <alignment vertical="center"/>
    </xf>
    <xf numFmtId="0" fontId="98" fillId="0" borderId="0" xfId="3" applyAlignment="1" applyProtection="1">
      <alignment vertical="center"/>
    </xf>
    <xf numFmtId="0" fontId="101" fillId="19" borderId="3" xfId="187" applyFont="1" applyFill="1" applyBorder="1"/>
    <xf numFmtId="0" fontId="89" fillId="19" borderId="3" xfId="187" applyFill="1" applyBorder="1" applyAlignment="1">
      <alignment horizontal="right"/>
    </xf>
    <xf numFmtId="167" fontId="0" fillId="27" borderId="34" xfId="188" applyNumberFormat="1" applyFont="1" applyFill="1" applyBorder="1" applyAlignment="1">
      <alignment vertical="center"/>
    </xf>
    <xf numFmtId="167" fontId="0" fillId="27" borderId="34" xfId="188" applyNumberFormat="1" applyFont="1" applyFill="1" applyBorder="1" applyAlignment="1">
      <alignment horizontal="right" vertical="center"/>
    </xf>
    <xf numFmtId="167" fontId="0" fillId="27" borderId="35" xfId="188" applyNumberFormat="1" applyFont="1" applyFill="1" applyBorder="1" applyAlignment="1">
      <alignment horizontal="right" vertical="center"/>
    </xf>
    <xf numFmtId="173" fontId="0" fillId="27" borderId="8" xfId="190" applyNumberFormat="1" applyFont="1" applyFill="1" applyBorder="1" applyAlignment="1">
      <alignment vertical="center"/>
    </xf>
    <xf numFmtId="9" fontId="0" fillId="27" borderId="8" xfId="190" applyFont="1" applyFill="1" applyBorder="1" applyAlignment="1">
      <alignment vertical="center"/>
    </xf>
    <xf numFmtId="173" fontId="0" fillId="27" borderId="0" xfId="190" applyNumberFormat="1" applyFont="1" applyFill="1" applyBorder="1" applyAlignment="1">
      <alignment vertical="center"/>
    </xf>
    <xf numFmtId="9" fontId="0" fillId="27" borderId="0" xfId="190" applyFont="1" applyFill="1" applyBorder="1" applyAlignment="1">
      <alignment vertical="center"/>
    </xf>
    <xf numFmtId="0" fontId="131" fillId="27" borderId="0" xfId="187" applyNumberFormat="1" applyFont="1" applyFill="1" applyBorder="1" applyAlignment="1">
      <alignment horizontal="right" vertical="center"/>
    </xf>
    <xf numFmtId="0" fontId="131" fillId="27" borderId="13" xfId="187" applyNumberFormat="1" applyFont="1" applyFill="1" applyBorder="1" applyAlignment="1">
      <alignment horizontal="left" vertical="center"/>
    </xf>
    <xf numFmtId="0" fontId="132" fillId="27" borderId="13" xfId="187" applyNumberFormat="1" applyFont="1" applyFill="1" applyBorder="1" applyAlignment="1">
      <alignment horizontal="left" vertical="center"/>
    </xf>
    <xf numFmtId="179" fontId="0" fillId="27" borderId="8" xfId="188" applyNumberFormat="1" applyFont="1" applyFill="1" applyBorder="1" applyAlignment="1">
      <alignment vertical="center"/>
    </xf>
    <xf numFmtId="0" fontId="89" fillId="27" borderId="8" xfId="187" applyFill="1" applyBorder="1" applyAlignment="1">
      <alignment horizontal="left"/>
    </xf>
    <xf numFmtId="179" fontId="0" fillId="27" borderId="0" xfId="188" applyNumberFormat="1" applyFont="1" applyFill="1" applyBorder="1" applyAlignment="1">
      <alignment vertical="center"/>
    </xf>
    <xf numFmtId="0" fontId="89" fillId="0" borderId="0" xfId="187" applyBorder="1" applyAlignment="1"/>
    <xf numFmtId="0" fontId="120" fillId="0" borderId="0" xfId="187" applyFont="1" applyBorder="1"/>
    <xf numFmtId="0" fontId="98" fillId="27" borderId="0" xfId="3" applyFill="1" applyBorder="1" applyAlignment="1" applyProtection="1"/>
    <xf numFmtId="0" fontId="98" fillId="0" borderId="0" xfId="3" applyBorder="1" applyAlignment="1" applyProtection="1"/>
    <xf numFmtId="0" fontId="108" fillId="27" borderId="5" xfId="4" applyNumberFormat="1" applyFill="1" applyBorder="1"/>
    <xf numFmtId="0" fontId="108" fillId="27" borderId="0" xfId="4" applyNumberFormat="1" applyFill="1" applyBorder="1" applyAlignment="1">
      <alignment horizontal="right"/>
    </xf>
    <xf numFmtId="0" fontId="89" fillId="0" borderId="0" xfId="187" applyFill="1" applyBorder="1"/>
    <xf numFmtId="0" fontId="131" fillId="27" borderId="26" xfId="187" applyFont="1" applyFill="1" applyBorder="1" applyAlignment="1">
      <alignment vertical="center"/>
    </xf>
    <xf numFmtId="167" fontId="131" fillId="13" borderId="0" xfId="188" applyNumberFormat="1" applyFont="1" applyFill="1" applyBorder="1"/>
    <xf numFmtId="0" fontId="122" fillId="0" borderId="0" xfId="187" applyFont="1"/>
    <xf numFmtId="0" fontId="119" fillId="0" borderId="0" xfId="187" applyFont="1"/>
    <xf numFmtId="168" fontId="94" fillId="0" borderId="0" xfId="151" applyNumberFormat="1" applyFont="1" applyBorder="1"/>
    <xf numFmtId="0" fontId="101" fillId="21" borderId="0" xfId="187" applyFont="1" applyFill="1" applyBorder="1" applyAlignment="1">
      <alignment horizontal="right"/>
    </xf>
    <xf numFmtId="0" fontId="135" fillId="21" borderId="0" xfId="187" applyFont="1" applyFill="1" applyBorder="1" applyAlignment="1">
      <alignment vertical="center"/>
    </xf>
    <xf numFmtId="0" fontId="135" fillId="21" borderId="0" xfId="187" applyFont="1" applyFill="1" applyBorder="1" applyAlignment="1">
      <alignment horizontal="center" vertical="center"/>
    </xf>
    <xf numFmtId="169" fontId="0" fillId="21" borderId="40" xfId="151" applyNumberFormat="1" applyFont="1" applyFill="1" applyBorder="1" applyAlignment="1">
      <alignment vertical="center"/>
    </xf>
    <xf numFmtId="169" fontId="94" fillId="21" borderId="0" xfId="187" applyNumberFormat="1" applyFont="1" applyFill="1" applyBorder="1" applyAlignment="1">
      <alignment vertical="center"/>
    </xf>
    <xf numFmtId="0" fontId="131" fillId="29" borderId="6" xfId="187" applyFont="1" applyFill="1" applyBorder="1" applyAlignment="1">
      <alignment vertical="center"/>
    </xf>
    <xf numFmtId="178" fontId="89" fillId="29" borderId="6" xfId="187" applyNumberFormat="1" applyFill="1" applyBorder="1" applyAlignment="1">
      <alignment vertical="center"/>
    </xf>
    <xf numFmtId="0" fontId="89" fillId="21" borderId="9" xfId="187" applyFill="1" applyBorder="1"/>
    <xf numFmtId="9" fontId="0" fillId="27" borderId="0" xfId="190" applyFont="1" applyFill="1" applyBorder="1"/>
    <xf numFmtId="0" fontId="89" fillId="27" borderId="11" xfId="187" applyFill="1" applyBorder="1"/>
    <xf numFmtId="9" fontId="0" fillId="27" borderId="18" xfId="190" applyNumberFormat="1" applyFont="1" applyFill="1" applyBorder="1" applyAlignment="1">
      <alignment vertical="center"/>
    </xf>
    <xf numFmtId="9" fontId="0" fillId="27" borderId="0" xfId="190" applyNumberFormat="1" applyFont="1" applyFill="1" applyBorder="1" applyAlignment="1">
      <alignment vertical="center"/>
    </xf>
    <xf numFmtId="0" fontId="131" fillId="27" borderId="18" xfId="187" applyNumberFormat="1" applyFont="1" applyFill="1" applyBorder="1" applyAlignment="1">
      <alignment horizontal="right" vertical="center"/>
    </xf>
    <xf numFmtId="0" fontId="131" fillId="27" borderId="18" xfId="187" applyNumberFormat="1" applyFont="1" applyFill="1" applyBorder="1" applyAlignment="1">
      <alignment horizontal="left" vertical="center"/>
    </xf>
    <xf numFmtId="0" fontId="132" fillId="27" borderId="18" xfId="187" applyNumberFormat="1" applyFont="1" applyFill="1" applyBorder="1" applyAlignment="1">
      <alignment horizontal="left" vertical="center"/>
    </xf>
    <xf numFmtId="0" fontId="89" fillId="27" borderId="0" xfId="187" applyFill="1" applyBorder="1" applyAlignment="1">
      <alignment horizontal="right" vertical="center"/>
    </xf>
    <xf numFmtId="0" fontId="89" fillId="27" borderId="10" xfId="187" applyFill="1" applyBorder="1"/>
    <xf numFmtId="0" fontId="89" fillId="0" borderId="0" xfId="187" applyFill="1" applyBorder="1" applyAlignment="1"/>
    <xf numFmtId="0" fontId="89" fillId="0" borderId="0" xfId="187" applyFill="1" applyBorder="1" applyAlignment="1">
      <alignment vertical="center"/>
    </xf>
    <xf numFmtId="168" fontId="131" fillId="27" borderId="0" xfId="191" applyNumberFormat="1" applyFont="1" applyFill="1" applyBorder="1" applyAlignment="1">
      <alignment horizontal="right" vertical="center"/>
    </xf>
    <xf numFmtId="0" fontId="89" fillId="27" borderId="26" xfId="187" applyNumberFormat="1" applyFill="1" applyBorder="1" applyAlignment="1">
      <alignment vertical="center"/>
    </xf>
    <xf numFmtId="0" fontId="89" fillId="0" borderId="0" xfId="187" applyFill="1" applyBorder="1" applyAlignment="1">
      <alignment horizontal="justify" textRotation="180"/>
    </xf>
    <xf numFmtId="180" fontId="131" fillId="27" borderId="26" xfId="191" applyFont="1" applyFill="1" applyBorder="1" applyAlignment="1">
      <alignment horizontal="right" vertical="center"/>
    </xf>
    <xf numFmtId="168" fontId="131" fillId="27" borderId="26" xfId="191" applyNumberFormat="1" applyFont="1" applyFill="1" applyBorder="1" applyAlignment="1">
      <alignment horizontal="right" vertical="center"/>
    </xf>
    <xf numFmtId="180" fontId="131" fillId="27" borderId="0" xfId="191" applyFont="1" applyFill="1" applyBorder="1" applyAlignment="1">
      <alignment horizontal="right" vertical="center"/>
    </xf>
    <xf numFmtId="180" fontId="131" fillId="27" borderId="8" xfId="191" applyFont="1" applyFill="1" applyBorder="1" applyAlignment="1">
      <alignment horizontal="right" vertical="center"/>
    </xf>
    <xf numFmtId="168" fontId="131" fillId="27" borderId="8" xfId="191" applyNumberFormat="1" applyFont="1" applyFill="1" applyBorder="1" applyAlignment="1">
      <alignment horizontal="right" vertical="center"/>
    </xf>
    <xf numFmtId="167" fontId="131" fillId="13" borderId="0" xfId="191" applyNumberFormat="1" applyFont="1" applyFill="1" applyBorder="1"/>
    <xf numFmtId="0" fontId="89" fillId="0" borderId="5" xfId="187" applyFill="1" applyBorder="1"/>
    <xf numFmtId="0" fontId="89" fillId="0" borderId="6" xfId="187" applyFill="1" applyBorder="1"/>
    <xf numFmtId="169" fontId="0" fillId="27" borderId="18" xfId="191" applyNumberFormat="1" applyFont="1" applyFill="1" applyBorder="1" applyAlignment="1">
      <alignment vertical="center"/>
    </xf>
    <xf numFmtId="169" fontId="0" fillId="27" borderId="24" xfId="191" applyNumberFormat="1" applyFont="1" applyFill="1" applyBorder="1" applyAlignment="1">
      <alignment vertical="center"/>
    </xf>
    <xf numFmtId="0" fontId="89" fillId="27" borderId="9" xfId="187" applyFont="1" applyFill="1" applyBorder="1"/>
    <xf numFmtId="0" fontId="89" fillId="27" borderId="10" xfId="187" applyNumberFormat="1" applyFill="1" applyBorder="1" applyAlignment="1">
      <alignment vertical="center"/>
    </xf>
    <xf numFmtId="0" fontId="89" fillId="27" borderId="10" xfId="187" applyFill="1" applyBorder="1" applyAlignment="1">
      <alignment vertical="center"/>
    </xf>
    <xf numFmtId="168" fontId="0" fillId="27" borderId="10" xfId="191" applyNumberFormat="1" applyFont="1" applyFill="1" applyBorder="1" applyAlignment="1">
      <alignment vertical="center"/>
    </xf>
    <xf numFmtId="168" fontId="0" fillId="27" borderId="10" xfId="191" applyNumberFormat="1" applyFont="1" applyFill="1" applyBorder="1" applyAlignment="1">
      <alignment horizontal="right" vertical="center"/>
    </xf>
    <xf numFmtId="180" fontId="0" fillId="0" borderId="0" xfId="191" applyFont="1"/>
    <xf numFmtId="180" fontId="101" fillId="0" borderId="0" xfId="191" applyFont="1"/>
    <xf numFmtId="168" fontId="94" fillId="0" borderId="0" xfId="191" applyNumberFormat="1" applyFont="1"/>
    <xf numFmtId="0" fontId="136" fillId="21" borderId="0" xfId="187" applyFont="1" applyFill="1" applyBorder="1" applyAlignment="1">
      <alignment vertical="center"/>
    </xf>
    <xf numFmtId="180" fontId="0" fillId="21" borderId="0" xfId="191" applyFont="1" applyFill="1" applyBorder="1" applyAlignment="1">
      <alignment vertical="center"/>
    </xf>
    <xf numFmtId="178" fontId="89" fillId="21" borderId="0" xfId="187" applyNumberFormat="1" applyFill="1" applyBorder="1" applyAlignment="1">
      <alignment vertical="center"/>
    </xf>
    <xf numFmtId="0" fontId="132" fillId="29" borderId="39" xfId="187" applyFont="1" applyFill="1" applyBorder="1" applyAlignment="1">
      <alignment horizontal="right" vertical="center"/>
    </xf>
    <xf numFmtId="169" fontId="0" fillId="29" borderId="0" xfId="191" applyNumberFormat="1" applyFont="1" applyFill="1" applyBorder="1" applyAlignment="1">
      <alignment vertical="center"/>
    </xf>
    <xf numFmtId="168" fontId="0" fillId="29" borderId="0" xfId="191" applyNumberFormat="1" applyFont="1" applyFill="1" applyBorder="1" applyAlignment="1">
      <alignment vertical="center"/>
    </xf>
    <xf numFmtId="180" fontId="0" fillId="29" borderId="0" xfId="191" applyFont="1" applyFill="1" applyBorder="1" applyAlignment="1">
      <alignment vertical="center"/>
    </xf>
    <xf numFmtId="175" fontId="0" fillId="27" borderId="0" xfId="189" applyNumberFormat="1" applyFont="1" applyFill="1" applyBorder="1" applyAlignment="1">
      <alignment vertical="center"/>
    </xf>
    <xf numFmtId="175" fontId="0" fillId="27" borderId="34" xfId="189" applyNumberFormat="1" applyFont="1" applyFill="1" applyBorder="1" applyAlignment="1">
      <alignment vertical="center"/>
    </xf>
    <xf numFmtId="175" fontId="0" fillId="27" borderId="34" xfId="189" applyNumberFormat="1" applyFont="1" applyFill="1" applyBorder="1" applyAlignment="1">
      <alignment horizontal="right" vertical="center"/>
    </xf>
    <xf numFmtId="175" fontId="0" fillId="27" borderId="0" xfId="189" applyNumberFormat="1" applyFont="1" applyFill="1" applyBorder="1" applyAlignment="1">
      <alignment horizontal="right" vertical="center"/>
    </xf>
    <xf numFmtId="175" fontId="0" fillId="27" borderId="15" xfId="189" applyNumberFormat="1" applyFont="1" applyFill="1" applyBorder="1" applyAlignment="1">
      <alignment vertical="center"/>
    </xf>
    <xf numFmtId="175" fontId="0" fillId="27" borderId="35" xfId="189" applyNumberFormat="1" applyFont="1" applyFill="1" applyBorder="1" applyAlignment="1">
      <alignment horizontal="right" vertical="center"/>
    </xf>
    <xf numFmtId="175" fontId="0" fillId="27" borderId="15" xfId="189" applyNumberFormat="1" applyFont="1" applyFill="1" applyBorder="1" applyAlignment="1">
      <alignment horizontal="right" vertical="center"/>
    </xf>
    <xf numFmtId="2" fontId="0" fillId="27" borderId="0" xfId="189" applyNumberFormat="1" applyFont="1" applyFill="1" applyBorder="1" applyAlignment="1">
      <alignment vertical="center"/>
    </xf>
    <xf numFmtId="2" fontId="0" fillId="27" borderId="34" xfId="189" applyNumberFormat="1" applyFont="1" applyFill="1" applyBorder="1" applyAlignment="1">
      <alignment vertical="center"/>
    </xf>
    <xf numFmtId="2" fontId="0" fillId="27" borderId="34" xfId="189" applyNumberFormat="1" applyFont="1" applyFill="1" applyBorder="1" applyAlignment="1">
      <alignment horizontal="right" vertical="center"/>
    </xf>
    <xf numFmtId="2" fontId="0" fillId="27" borderId="0" xfId="189" applyNumberFormat="1" applyFont="1" applyFill="1" applyBorder="1" applyAlignment="1">
      <alignment horizontal="right" vertical="center"/>
    </xf>
    <xf numFmtId="2" fontId="0" fillId="27" borderId="15" xfId="189" applyNumberFormat="1" applyFont="1" applyFill="1" applyBorder="1" applyAlignment="1">
      <alignment vertical="center"/>
    </xf>
    <xf numFmtId="2" fontId="0" fillId="27" borderId="35" xfId="189" applyNumberFormat="1" applyFont="1" applyFill="1" applyBorder="1" applyAlignment="1">
      <alignment horizontal="right" vertical="center"/>
    </xf>
    <xf numFmtId="2" fontId="0" fillId="27" borderId="15" xfId="189" applyNumberFormat="1" applyFont="1" applyFill="1" applyBorder="1" applyAlignment="1">
      <alignment horizontal="right" vertical="center"/>
    </xf>
    <xf numFmtId="0" fontId="132" fillId="27" borderId="0" xfId="187" applyNumberFormat="1" applyFont="1" applyFill="1" applyBorder="1" applyAlignment="1">
      <alignment horizontal="left" vertical="center"/>
    </xf>
    <xf numFmtId="0" fontId="128" fillId="0" borderId="0" xfId="0" applyFont="1"/>
    <xf numFmtId="0" fontId="129" fillId="0" borderId="0" xfId="0" applyFont="1" applyAlignment="1">
      <alignment vertical="center"/>
    </xf>
    <xf numFmtId="0" fontId="98" fillId="0" borderId="0" xfId="198" applyAlignment="1" applyProtection="1">
      <alignment vertical="center"/>
    </xf>
    <xf numFmtId="0" fontId="130" fillId="0" borderId="0" xfId="0" applyFont="1"/>
    <xf numFmtId="0" fontId="122" fillId="19" borderId="2" xfId="0" applyFont="1" applyFill="1" applyBorder="1" applyAlignment="1">
      <alignment horizontal="left" vertical="center" indent="1"/>
    </xf>
    <xf numFmtId="0" fontId="101" fillId="19" borderId="3" xfId="0" applyFont="1" applyFill="1" applyBorder="1"/>
    <xf numFmtId="0" fontId="0" fillId="19" borderId="3" xfId="0" applyFill="1" applyBorder="1"/>
    <xf numFmtId="0" fontId="0" fillId="19" borderId="3" xfId="0" applyFill="1" applyBorder="1" applyAlignment="1">
      <alignment horizontal="right"/>
    </xf>
    <xf numFmtId="0" fontId="0" fillId="19" borderId="4" xfId="0" applyFill="1" applyBorder="1"/>
    <xf numFmtId="0" fontId="0" fillId="21" borderId="5" xfId="0" applyFill="1" applyBorder="1"/>
    <xf numFmtId="0" fontId="0" fillId="21" borderId="0" xfId="0" applyFont="1" applyFill="1" applyBorder="1"/>
    <xf numFmtId="0" fontId="0" fillId="21" borderId="0" xfId="0" applyFill="1" applyBorder="1"/>
    <xf numFmtId="0" fontId="0" fillId="21" borderId="0" xfId="0" applyFill="1" applyBorder="1" applyAlignment="1">
      <alignment horizontal="right"/>
    </xf>
    <xf numFmtId="0" fontId="0" fillId="21" borderId="6" xfId="0" applyFill="1" applyBorder="1"/>
    <xf numFmtId="0" fontId="116" fillId="21" borderId="5" xfId="0" applyFont="1" applyFill="1" applyBorder="1"/>
    <xf numFmtId="0" fontId="101" fillId="21" borderId="7" xfId="0" applyFont="1" applyFill="1" applyBorder="1" applyAlignment="1">
      <alignment vertical="center"/>
    </xf>
    <xf numFmtId="0" fontId="0" fillId="21" borderId="0" xfId="0" applyFont="1" applyFill="1" applyBorder="1" applyAlignment="1">
      <alignment vertical="center"/>
    </xf>
    <xf numFmtId="0" fontId="0" fillId="21" borderId="8" xfId="0" applyFill="1" applyBorder="1" applyAlignment="1">
      <alignment vertical="center"/>
    </xf>
    <xf numFmtId="0" fontId="116" fillId="21" borderId="9" xfId="0" applyFont="1" applyFill="1" applyBorder="1"/>
    <xf numFmtId="0" fontId="0" fillId="21" borderId="10" xfId="0" applyFill="1" applyBorder="1" applyAlignment="1">
      <alignment vertical="center"/>
    </xf>
    <xf numFmtId="0" fontId="0" fillId="21" borderId="10" xfId="0" applyFill="1" applyBorder="1"/>
    <xf numFmtId="0" fontId="0" fillId="21" borderId="11" xfId="0" applyFill="1" applyBorder="1"/>
    <xf numFmtId="0" fontId="122" fillId="26" borderId="2" xfId="0" applyFont="1" applyFill="1" applyBorder="1" applyAlignment="1">
      <alignment horizontal="left" vertical="center" indent="1"/>
    </xf>
    <xf numFmtId="0" fontId="0" fillId="26" borderId="3" xfId="0" applyFill="1" applyBorder="1" applyAlignment="1">
      <alignment vertical="center"/>
    </xf>
    <xf numFmtId="0" fontId="0" fillId="26" borderId="4" xfId="0" applyFill="1" applyBorder="1" applyAlignment="1">
      <alignment vertical="center"/>
    </xf>
    <xf numFmtId="0" fontId="0" fillId="27" borderId="5" xfId="0" applyFill="1" applyBorder="1"/>
    <xf numFmtId="0" fontId="0" fillId="27" borderId="0" xfId="0" applyFill="1" applyBorder="1"/>
    <xf numFmtId="0" fontId="0" fillId="27" borderId="6" xfId="0" applyFill="1" applyBorder="1"/>
    <xf numFmtId="0" fontId="101" fillId="27" borderId="0" xfId="0" applyFont="1" applyFill="1" applyBorder="1"/>
    <xf numFmtId="0" fontId="0" fillId="27" borderId="0" xfId="0" applyFill="1" applyBorder="1" applyAlignment="1">
      <alignment horizontal="right"/>
    </xf>
    <xf numFmtId="0" fontId="116" fillId="27" borderId="5" xfId="0" applyFont="1" applyFill="1" applyBorder="1"/>
    <xf numFmtId="0" fontId="132" fillId="27" borderId="7" xfId="0" applyFont="1" applyFill="1" applyBorder="1" applyAlignment="1">
      <alignment vertical="center"/>
    </xf>
    <xf numFmtId="0" fontId="132" fillId="27" borderId="7" xfId="0" applyNumberFormat="1" applyFont="1" applyFill="1" applyBorder="1" applyAlignment="1">
      <alignment horizontal="right" vertical="center"/>
    </xf>
    <xf numFmtId="0" fontId="132" fillId="27" borderId="23" xfId="0" applyNumberFormat="1" applyFont="1" applyFill="1" applyBorder="1" applyAlignment="1">
      <alignment horizontal="right" vertical="center"/>
    </xf>
    <xf numFmtId="0" fontId="116" fillId="27" borderId="5" xfId="0" applyFont="1" applyFill="1" applyBorder="1" applyAlignment="1">
      <alignment vertical="center"/>
    </xf>
    <xf numFmtId="0" fontId="0" fillId="27" borderId="0" xfId="0" applyNumberFormat="1" applyFill="1" applyBorder="1" applyAlignment="1">
      <alignment vertical="center"/>
    </xf>
    <xf numFmtId="0" fontId="0" fillId="27" borderId="0" xfId="0" applyFill="1" applyBorder="1" applyAlignment="1">
      <alignment vertical="center"/>
    </xf>
    <xf numFmtId="0" fontId="0" fillId="27" borderId="13" xfId="0" applyFill="1" applyBorder="1" applyAlignment="1">
      <alignment horizontal="center" vertical="center"/>
    </xf>
    <xf numFmtId="169" fontId="0" fillId="27" borderId="0" xfId="151" applyFont="1" applyFill="1" applyBorder="1" applyAlignment="1">
      <alignment vertical="center"/>
    </xf>
    <xf numFmtId="169" fontId="0" fillId="27" borderId="34" xfId="151" applyFont="1" applyFill="1" applyBorder="1" applyAlignment="1">
      <alignment vertical="center"/>
    </xf>
    <xf numFmtId="0" fontId="0" fillId="27" borderId="6" xfId="0" applyFill="1" applyBorder="1" applyAlignment="1">
      <alignment vertical="center"/>
    </xf>
    <xf numFmtId="0" fontId="0" fillId="27" borderId="0" xfId="0" applyFill="1" applyBorder="1" applyAlignment="1">
      <alignment horizontal="center" vertical="center"/>
    </xf>
    <xf numFmtId="169" fontId="0" fillId="27" borderId="34" xfId="151" applyFont="1" applyFill="1" applyBorder="1" applyAlignment="1">
      <alignment horizontal="right" vertical="center"/>
    </xf>
    <xf numFmtId="169" fontId="0" fillId="27" borderId="0" xfId="151" applyFont="1" applyFill="1" applyBorder="1" applyAlignment="1">
      <alignment horizontal="right" vertical="center"/>
    </xf>
    <xf numFmtId="0" fontId="0" fillId="27" borderId="15" xfId="0" applyNumberFormat="1" applyFill="1" applyBorder="1" applyAlignment="1">
      <alignment vertical="center"/>
    </xf>
    <xf numFmtId="0" fontId="0" fillId="27" borderId="15" xfId="0" applyFill="1" applyBorder="1" applyAlignment="1">
      <alignment vertical="center"/>
    </xf>
    <xf numFmtId="0" fontId="0" fillId="27" borderId="15" xfId="0" applyFill="1" applyBorder="1" applyAlignment="1">
      <alignment horizontal="center" vertical="center"/>
    </xf>
    <xf numFmtId="169" fontId="0" fillId="27" borderId="15" xfId="151" applyFont="1" applyFill="1" applyBorder="1" applyAlignment="1">
      <alignment vertical="center"/>
    </xf>
    <xf numFmtId="169" fontId="0" fillId="27" borderId="35" xfId="151" applyFont="1" applyFill="1" applyBorder="1" applyAlignment="1">
      <alignment horizontal="right" vertical="center"/>
    </xf>
    <xf numFmtId="169" fontId="0" fillId="27" borderId="15" xfId="151" applyFont="1" applyFill="1" applyBorder="1" applyAlignment="1">
      <alignment horizontal="right" vertical="center"/>
    </xf>
    <xf numFmtId="0" fontId="0" fillId="27" borderId="17" xfId="0" applyNumberFormat="1" applyFill="1" applyBorder="1" applyAlignment="1">
      <alignment horizontal="center" vertical="center"/>
    </xf>
    <xf numFmtId="0" fontId="0" fillId="27" borderId="17" xfId="0" applyFill="1" applyBorder="1" applyAlignment="1">
      <alignment vertical="center"/>
    </xf>
    <xf numFmtId="169" fontId="0" fillId="27" borderId="17" xfId="151" applyNumberFormat="1" applyFont="1" applyFill="1" applyBorder="1" applyAlignment="1">
      <alignment vertical="center"/>
    </xf>
    <xf numFmtId="0" fontId="0" fillId="27" borderId="20" xfId="0" applyFont="1" applyFill="1" applyBorder="1"/>
    <xf numFmtId="0" fontId="0" fillId="27" borderId="21" xfId="0" applyNumberFormat="1" applyFill="1" applyBorder="1" applyAlignment="1">
      <alignment vertical="center"/>
    </xf>
    <xf numFmtId="0" fontId="0" fillId="27" borderId="21" xfId="0" applyFill="1" applyBorder="1" applyAlignment="1">
      <alignment vertical="center"/>
    </xf>
    <xf numFmtId="168" fontId="0" fillId="27" borderId="21" xfId="151" applyNumberFormat="1" applyFont="1" applyFill="1" applyBorder="1" applyAlignment="1">
      <alignment vertical="center"/>
    </xf>
    <xf numFmtId="168" fontId="0" fillId="27" borderId="21" xfId="151" applyNumberFormat="1" applyFont="1" applyFill="1" applyBorder="1" applyAlignment="1">
      <alignment horizontal="right" vertical="center"/>
    </xf>
    <xf numFmtId="0" fontId="0" fillId="27" borderId="22" xfId="0" applyFill="1" applyBorder="1"/>
    <xf numFmtId="0" fontId="0" fillId="27" borderId="5" xfId="0" applyFont="1" applyFill="1" applyBorder="1"/>
    <xf numFmtId="0" fontId="0" fillId="27" borderId="13" xfId="0" applyFill="1" applyBorder="1" applyAlignment="1">
      <alignment vertical="center"/>
    </xf>
    <xf numFmtId="169" fontId="0" fillId="27" borderId="0" xfId="151" applyNumberFormat="1" applyFont="1" applyFill="1" applyBorder="1" applyAlignment="1">
      <alignment vertical="center"/>
    </xf>
    <xf numFmtId="0" fontId="0" fillId="27" borderId="0" xfId="0" applyNumberFormat="1" applyFill="1" applyBorder="1"/>
    <xf numFmtId="0" fontId="130" fillId="0" borderId="0" xfId="0" applyFont="1" applyAlignment="1">
      <alignment vertical="center"/>
    </xf>
    <xf numFmtId="0" fontId="0" fillId="27" borderId="13" xfId="0" applyNumberFormat="1" applyFill="1" applyBorder="1" applyAlignment="1">
      <alignment vertical="center"/>
    </xf>
    <xf numFmtId="9" fontId="0" fillId="27" borderId="41" xfId="182" applyNumberFormat="1" applyFont="1" applyFill="1" applyBorder="1" applyAlignment="1">
      <alignment vertical="center"/>
    </xf>
    <xf numFmtId="170" fontId="0" fillId="27" borderId="42" xfId="182" applyFont="1" applyFill="1" applyBorder="1" applyAlignment="1">
      <alignment vertical="center"/>
    </xf>
    <xf numFmtId="170" fontId="0" fillId="27" borderId="13" xfId="182" applyFont="1" applyFill="1" applyBorder="1" applyAlignment="1">
      <alignment vertical="center"/>
    </xf>
    <xf numFmtId="0" fontId="0" fillId="27" borderId="8" xfId="0" applyNumberFormat="1" applyFill="1" applyBorder="1" applyAlignment="1">
      <alignment vertical="center"/>
    </xf>
    <xf numFmtId="0" fontId="0" fillId="27" borderId="8" xfId="0" applyFill="1" applyBorder="1" applyAlignment="1">
      <alignment vertical="center"/>
    </xf>
    <xf numFmtId="9" fontId="0" fillId="27" borderId="43" xfId="182" applyNumberFormat="1" applyFont="1" applyFill="1" applyBorder="1" applyAlignment="1">
      <alignment vertical="center"/>
    </xf>
    <xf numFmtId="170" fontId="0" fillId="27" borderId="8" xfId="182" applyFont="1" applyFill="1" applyBorder="1" applyAlignment="1">
      <alignment vertical="center"/>
    </xf>
    <xf numFmtId="0" fontId="138" fillId="27" borderId="5" xfId="4" applyNumberFormat="1" applyFont="1" applyFill="1" applyBorder="1"/>
    <xf numFmtId="170" fontId="0" fillId="27" borderId="41" xfId="182" applyFont="1" applyFill="1" applyBorder="1" applyAlignment="1">
      <alignment vertical="center"/>
    </xf>
    <xf numFmtId="170" fontId="0" fillId="27" borderId="44" xfId="182" applyFont="1" applyFill="1" applyBorder="1" applyAlignment="1">
      <alignment vertical="center"/>
    </xf>
    <xf numFmtId="170" fontId="0" fillId="27" borderId="38" xfId="182" applyFont="1" applyFill="1" applyBorder="1" applyAlignment="1">
      <alignment vertical="center"/>
    </xf>
    <xf numFmtId="170" fontId="0" fillId="27" borderId="0" xfId="182" applyFont="1" applyFill="1" applyBorder="1" applyAlignment="1">
      <alignment vertical="center"/>
    </xf>
    <xf numFmtId="9" fontId="0" fillId="27" borderId="0" xfId="182" applyNumberFormat="1" applyFont="1" applyFill="1" applyBorder="1" applyAlignment="1">
      <alignment vertical="center"/>
    </xf>
    <xf numFmtId="0" fontId="120" fillId="27" borderId="0" xfId="0" applyFont="1" applyFill="1" applyBorder="1"/>
    <xf numFmtId="0" fontId="132" fillId="27" borderId="7" xfId="0" applyNumberFormat="1" applyFont="1" applyFill="1" applyBorder="1" applyAlignment="1">
      <alignment horizontal="left" vertical="center"/>
    </xf>
    <xf numFmtId="0" fontId="132" fillId="27" borderId="0" xfId="0" applyFont="1" applyFill="1" applyBorder="1" applyAlignment="1">
      <alignment vertical="center"/>
    </xf>
    <xf numFmtId="0" fontId="131" fillId="27" borderId="0" xfId="0" applyFont="1" applyFill="1" applyBorder="1" applyAlignment="1">
      <alignment vertical="center"/>
    </xf>
    <xf numFmtId="0" fontId="131" fillId="27" borderId="0" xfId="0" applyNumberFormat="1" applyFont="1" applyFill="1" applyBorder="1" applyAlignment="1">
      <alignment horizontal="right" vertical="center"/>
    </xf>
    <xf numFmtId="0" fontId="131" fillId="27" borderId="13" xfId="0" applyNumberFormat="1" applyFont="1" applyFill="1" applyBorder="1" applyAlignment="1">
      <alignment horizontal="left" vertical="center"/>
    </xf>
    <xf numFmtId="2" fontId="0" fillId="27" borderId="0" xfId="182" applyNumberFormat="1" applyFont="1" applyFill="1" applyBorder="1" applyAlignment="1">
      <alignment vertical="center"/>
    </xf>
    <xf numFmtId="0" fontId="139" fillId="27" borderId="8" xfId="0" applyFont="1" applyFill="1" applyBorder="1" applyAlignment="1">
      <alignment vertical="center"/>
    </xf>
    <xf numFmtId="179" fontId="0" fillId="27" borderId="8" xfId="151" applyNumberFormat="1" applyFont="1" applyFill="1" applyBorder="1" applyAlignment="1">
      <alignment vertical="center"/>
    </xf>
    <xf numFmtId="0" fontId="0" fillId="27" borderId="8" xfId="0" applyFill="1" applyBorder="1" applyAlignment="1">
      <alignment horizontal="left"/>
    </xf>
    <xf numFmtId="2" fontId="113" fillId="27" borderId="0" xfId="199" applyNumberFormat="1" applyFill="1" applyBorder="1" applyAlignment="1">
      <alignment vertical="center"/>
    </xf>
    <xf numFmtId="0" fontId="0" fillId="27" borderId="0" xfId="0" applyFill="1" applyBorder="1" applyAlignment="1">
      <alignment horizontal="right" vertical="center"/>
    </xf>
    <xf numFmtId="0" fontId="0" fillId="27" borderId="9" xfId="0" applyFill="1" applyBorder="1"/>
    <xf numFmtId="0" fontId="0" fillId="27" borderId="10" xfId="0" applyFill="1" applyBorder="1"/>
    <xf numFmtId="0" fontId="0" fillId="27" borderId="11" xfId="0" applyFill="1" applyBorder="1"/>
    <xf numFmtId="0" fontId="0" fillId="27" borderId="0" xfId="0" applyFill="1" applyBorder="1" applyAlignment="1">
      <alignment horizontal="left"/>
    </xf>
    <xf numFmtId="0" fontId="0" fillId="0" borderId="0" xfId="0" applyFill="1" applyBorder="1"/>
    <xf numFmtId="0" fontId="0" fillId="0" borderId="5" xfId="0" applyFill="1" applyBorder="1"/>
    <xf numFmtId="0" fontId="0" fillId="0" borderId="0" xfId="0" applyFill="1"/>
    <xf numFmtId="0" fontId="122" fillId="0" borderId="0" xfId="0" applyFont="1"/>
    <xf numFmtId="0" fontId="101" fillId="0" borderId="0" xfId="0" applyFont="1"/>
    <xf numFmtId="169" fontId="119" fillId="0" borderId="0" xfId="151" applyFont="1"/>
    <xf numFmtId="0" fontId="134" fillId="0" borderId="0" xfId="0" applyFont="1"/>
    <xf numFmtId="170" fontId="134" fillId="0" borderId="0" xfId="182" applyFont="1"/>
    <xf numFmtId="0" fontId="101" fillId="0" borderId="0" xfId="0" quotePrefix="1" applyFont="1"/>
    <xf numFmtId="169" fontId="101" fillId="0" borderId="0" xfId="151" applyFont="1"/>
    <xf numFmtId="0" fontId="0" fillId="0" borderId="0" xfId="0" applyBorder="1"/>
    <xf numFmtId="0" fontId="0" fillId="0" borderId="0" xfId="0" applyFont="1" applyBorder="1"/>
    <xf numFmtId="168" fontId="94" fillId="0" borderId="0" xfId="151" applyNumberFormat="1" applyFont="1"/>
    <xf numFmtId="0" fontId="116" fillId="0" borderId="0" xfId="0" applyFont="1"/>
    <xf numFmtId="0" fontId="101" fillId="21" borderId="0" xfId="0" applyFont="1" applyFill="1" applyBorder="1"/>
    <xf numFmtId="0" fontId="136" fillId="21" borderId="0" xfId="0" applyFont="1" applyFill="1" applyBorder="1" applyAlignment="1">
      <alignment vertical="center"/>
    </xf>
    <xf numFmtId="169" fontId="0" fillId="21" borderId="0" xfId="151" applyFont="1" applyFill="1" applyBorder="1" applyAlignment="1">
      <alignment vertical="center"/>
    </xf>
    <xf numFmtId="0" fontId="0" fillId="21" borderId="0" xfId="0" applyFill="1" applyAlignment="1">
      <alignment vertical="center"/>
    </xf>
    <xf numFmtId="0" fontId="116" fillId="21" borderId="0" xfId="0" applyFont="1" applyFill="1" applyBorder="1"/>
    <xf numFmtId="0" fontId="113" fillId="0" borderId="0" xfId="199" applyAlignment="1" applyProtection="1">
      <alignment vertical="center"/>
    </xf>
    <xf numFmtId="0" fontId="0" fillId="21" borderId="18" xfId="0" applyFill="1" applyBorder="1" applyAlignment="1">
      <alignment vertical="center"/>
    </xf>
    <xf numFmtId="0" fontId="0" fillId="21" borderId="9" xfId="0" applyFill="1" applyBorder="1"/>
    <xf numFmtId="170" fontId="0" fillId="27" borderId="0" xfId="182" applyFont="1" applyFill="1" applyBorder="1"/>
    <xf numFmtId="0" fontId="0" fillId="27" borderId="0" xfId="0" applyFont="1" applyFill="1" applyBorder="1"/>
    <xf numFmtId="0" fontId="0" fillId="27" borderId="18" xfId="0" applyNumberFormat="1" applyFill="1" applyBorder="1" applyAlignment="1">
      <alignment vertical="center"/>
    </xf>
    <xf numFmtId="0" fontId="0" fillId="27" borderId="18" xfId="0" applyFill="1" applyBorder="1" applyAlignment="1">
      <alignment vertical="center"/>
    </xf>
    <xf numFmtId="9" fontId="0" fillId="27" borderId="18" xfId="182" applyNumberFormat="1" applyFont="1" applyFill="1" applyBorder="1" applyAlignment="1">
      <alignment vertical="center"/>
    </xf>
    <xf numFmtId="170" fontId="0" fillId="27" borderId="18" xfId="182" applyFont="1" applyFill="1" applyBorder="1" applyAlignment="1">
      <alignment vertical="center"/>
    </xf>
    <xf numFmtId="0" fontId="0" fillId="27" borderId="5" xfId="0" applyFill="1" applyBorder="1" applyAlignment="1">
      <alignment horizontal="left" indent="1"/>
    </xf>
    <xf numFmtId="0" fontId="132" fillId="27" borderId="0" xfId="0" applyNumberFormat="1" applyFont="1" applyFill="1" applyBorder="1" applyAlignment="1">
      <alignment horizontal="right" vertical="center"/>
    </xf>
    <xf numFmtId="167" fontId="0" fillId="27" borderId="8" xfId="151" applyNumberFormat="1" applyFont="1" applyFill="1" applyBorder="1" applyAlignment="1">
      <alignment vertical="center"/>
    </xf>
    <xf numFmtId="169" fontId="0" fillId="27" borderId="18" xfId="151" applyNumberFormat="1" applyFont="1" applyFill="1" applyBorder="1" applyAlignment="1">
      <alignment vertical="center"/>
    </xf>
    <xf numFmtId="168" fontId="0" fillId="27" borderId="0" xfId="151" applyNumberFormat="1" applyFont="1" applyFill="1" applyBorder="1" applyAlignment="1">
      <alignment vertical="center"/>
    </xf>
    <xf numFmtId="168" fontId="0" fillId="27" borderId="0" xfId="151" applyNumberFormat="1" applyFont="1" applyFill="1" applyBorder="1" applyAlignment="1">
      <alignment horizontal="right" vertical="center"/>
    </xf>
    <xf numFmtId="169" fontId="0" fillId="0" borderId="0" xfId="151" applyFont="1"/>
    <xf numFmtId="0" fontId="0" fillId="0" borderId="0" xfId="0" quotePrefix="1"/>
    <xf numFmtId="170" fontId="0" fillId="0" borderId="0" xfId="182" applyFont="1"/>
    <xf numFmtId="169" fontId="101" fillId="0" borderId="0" xfId="151" applyNumberFormat="1" applyFont="1"/>
    <xf numFmtId="0" fontId="135" fillId="21" borderId="0" xfId="0" applyFont="1" applyFill="1" applyBorder="1" applyAlignment="1">
      <alignment vertical="center"/>
    </xf>
    <xf numFmtId="0" fontId="133" fillId="21" borderId="0" xfId="0" applyFont="1" applyFill="1" applyBorder="1" applyAlignment="1">
      <alignment vertical="center"/>
    </xf>
    <xf numFmtId="169" fontId="133" fillId="21" borderId="0" xfId="151" applyNumberFormat="1" applyFont="1" applyFill="1" applyBorder="1" applyAlignment="1">
      <alignment vertical="center"/>
    </xf>
    <xf numFmtId="0" fontId="0" fillId="27" borderId="0" xfId="0" applyFill="1" applyBorder="1" applyAlignment="1">
      <alignment horizontal="center"/>
    </xf>
    <xf numFmtId="0" fontId="0" fillId="27" borderId="18" xfId="0" applyFill="1" applyBorder="1" applyAlignment="1">
      <alignment horizontal="center"/>
    </xf>
    <xf numFmtId="0" fontId="123" fillId="0" borderId="0" xfId="200" applyFont="1"/>
    <xf numFmtId="0" fontId="88" fillId="0" borderId="0" xfId="200"/>
    <xf numFmtId="0" fontId="129" fillId="0" borderId="0" xfId="200" applyFont="1" applyAlignment="1">
      <alignment vertical="center"/>
    </xf>
    <xf numFmtId="0" fontId="88" fillId="0" borderId="0" xfId="200" applyAlignment="1">
      <alignment vertical="center"/>
    </xf>
    <xf numFmtId="0" fontId="130" fillId="0" borderId="0" xfId="200" applyFont="1"/>
    <xf numFmtId="0" fontId="122" fillId="19" borderId="2" xfId="200" applyFont="1" applyFill="1" applyBorder="1" applyAlignment="1">
      <alignment horizontal="left" vertical="center" indent="1"/>
    </xf>
    <xf numFmtId="0" fontId="122" fillId="19" borderId="3" xfId="200" applyFont="1" applyFill="1" applyBorder="1" applyAlignment="1">
      <alignment vertical="center"/>
    </xf>
    <xf numFmtId="0" fontId="88" fillId="19" borderId="3" xfId="200" applyFill="1" applyBorder="1"/>
    <xf numFmtId="0" fontId="88" fillId="19" borderId="3" xfId="200" applyFill="1" applyBorder="1" applyAlignment="1">
      <alignment horizontal="right"/>
    </xf>
    <xf numFmtId="0" fontId="88" fillId="19" borderId="4" xfId="200" applyFill="1" applyBorder="1"/>
    <xf numFmtId="0" fontId="88" fillId="21" borderId="5" xfId="200" applyFill="1" applyBorder="1" applyAlignment="1">
      <alignment horizontal="left" indent="1"/>
    </xf>
    <xf numFmtId="0" fontId="88" fillId="21" borderId="0" xfId="200" applyFont="1" applyFill="1" applyBorder="1"/>
    <xf numFmtId="0" fontId="88" fillId="21" borderId="0" xfId="200" applyFill="1" applyBorder="1"/>
    <xf numFmtId="0" fontId="88" fillId="21" borderId="0" xfId="200" applyFill="1" applyBorder="1" applyAlignment="1">
      <alignment horizontal="right"/>
    </xf>
    <xf numFmtId="0" fontId="88" fillId="21" borderId="6" xfId="200" applyFill="1" applyBorder="1"/>
    <xf numFmtId="0" fontId="116" fillId="21" borderId="5" xfId="200" applyFont="1" applyFill="1" applyBorder="1" applyAlignment="1">
      <alignment horizontal="left" indent="1"/>
    </xf>
    <xf numFmtId="0" fontId="103" fillId="16" borderId="7" xfId="200" applyFont="1" applyFill="1" applyBorder="1" applyAlignment="1">
      <alignment vertical="center"/>
    </xf>
    <xf numFmtId="0" fontId="116" fillId="21" borderId="9" xfId="200" applyFont="1" applyFill="1" applyBorder="1" applyAlignment="1">
      <alignment horizontal="left" indent="1"/>
    </xf>
    <xf numFmtId="0" fontId="88" fillId="21" borderId="10" xfId="200" applyFill="1" applyBorder="1" applyAlignment="1">
      <alignment vertical="center"/>
    </xf>
    <xf numFmtId="0" fontId="88" fillId="21" borderId="10" xfId="200" applyFill="1" applyBorder="1"/>
    <xf numFmtId="0" fontId="88" fillId="21" borderId="11" xfId="200" applyFill="1" applyBorder="1"/>
    <xf numFmtId="0" fontId="88" fillId="21" borderId="5" xfId="200" applyFill="1" applyBorder="1"/>
    <xf numFmtId="0" fontId="101" fillId="21" borderId="0" xfId="200" applyFont="1" applyFill="1" applyBorder="1"/>
    <xf numFmtId="0" fontId="116" fillId="21" borderId="5" xfId="200" applyFont="1" applyFill="1" applyBorder="1" applyAlignment="1">
      <alignment vertical="center"/>
    </xf>
    <xf numFmtId="0" fontId="131" fillId="21" borderId="6" xfId="200" applyFont="1" applyFill="1" applyBorder="1" applyAlignment="1">
      <alignment vertical="center"/>
    </xf>
    <xf numFmtId="0" fontId="131" fillId="21" borderId="0" xfId="200" applyFont="1" applyFill="1" applyBorder="1" applyAlignment="1">
      <alignment vertical="center"/>
    </xf>
    <xf numFmtId="0" fontId="88" fillId="21" borderId="0" xfId="200" applyFill="1" applyBorder="1" applyAlignment="1">
      <alignment vertical="center"/>
    </xf>
    <xf numFmtId="0" fontId="88" fillId="21" borderId="6" xfId="200" applyFill="1" applyBorder="1" applyAlignment="1">
      <alignment vertical="center"/>
    </xf>
    <xf numFmtId="0" fontId="88" fillId="21" borderId="9" xfId="200" applyFill="1" applyBorder="1"/>
    <xf numFmtId="0" fontId="100" fillId="17" borderId="2" xfId="200" applyFont="1" applyFill="1" applyBorder="1" applyAlignment="1">
      <alignment horizontal="left" vertical="center" indent="1"/>
    </xf>
    <xf numFmtId="0" fontId="122" fillId="26" borderId="3" xfId="200" applyFont="1" applyFill="1" applyBorder="1" applyAlignment="1">
      <alignment vertical="center"/>
    </xf>
    <xf numFmtId="0" fontId="88" fillId="26" borderId="3" xfId="200" applyFill="1" applyBorder="1" applyAlignment="1">
      <alignment vertical="center"/>
    </xf>
    <xf numFmtId="0" fontId="88" fillId="26" borderId="4" xfId="200" applyFill="1" applyBorder="1" applyAlignment="1">
      <alignment vertical="center"/>
    </xf>
    <xf numFmtId="0" fontId="88" fillId="27" borderId="5" xfId="200" applyFill="1" applyBorder="1" applyAlignment="1">
      <alignment horizontal="left" indent="1"/>
    </xf>
    <xf numFmtId="0" fontId="88" fillId="27" borderId="0" xfId="200" applyFill="1" applyBorder="1"/>
    <xf numFmtId="0" fontId="88" fillId="27" borderId="6" xfId="200" applyFill="1" applyBorder="1"/>
    <xf numFmtId="0" fontId="101" fillId="27" borderId="0" xfId="200" applyFont="1" applyFill="1" applyBorder="1"/>
    <xf numFmtId="0" fontId="132" fillId="27" borderId="7" xfId="200" applyFont="1" applyFill="1" applyBorder="1" applyAlignment="1">
      <alignment vertical="center"/>
    </xf>
    <xf numFmtId="0" fontId="132" fillId="27" borderId="12" xfId="200" applyNumberFormat="1" applyFont="1" applyFill="1" applyBorder="1" applyAlignment="1">
      <alignment horizontal="right" vertical="center"/>
    </xf>
    <xf numFmtId="1" fontId="132" fillId="27" borderId="7" xfId="200" applyNumberFormat="1" applyFont="1" applyFill="1" applyBorder="1" applyAlignment="1">
      <alignment horizontal="right" vertical="center"/>
    </xf>
    <xf numFmtId="0" fontId="88" fillId="27" borderId="0" xfId="200" applyNumberFormat="1" applyFill="1" applyBorder="1" applyAlignment="1">
      <alignment vertical="center"/>
    </xf>
    <xf numFmtId="0" fontId="88" fillId="27" borderId="0" xfId="200" applyFill="1" applyBorder="1" applyAlignment="1">
      <alignment vertical="center"/>
    </xf>
    <xf numFmtId="0" fontId="88" fillId="27" borderId="13" xfId="200" applyFill="1" applyBorder="1" applyAlignment="1">
      <alignment vertical="center"/>
    </xf>
    <xf numFmtId="166" fontId="0" fillId="27" borderId="14" xfId="201" applyFont="1" applyFill="1" applyBorder="1" applyAlignment="1">
      <alignment vertical="center"/>
    </xf>
    <xf numFmtId="166" fontId="0" fillId="27" borderId="0" xfId="201" applyFont="1" applyFill="1" applyBorder="1" applyAlignment="1">
      <alignment vertical="center"/>
    </xf>
    <xf numFmtId="0" fontId="88" fillId="27" borderId="15" xfId="200" applyNumberFormat="1" applyFill="1" applyBorder="1" applyAlignment="1">
      <alignment vertical="center"/>
    </xf>
    <xf numFmtId="0" fontId="88" fillId="27" borderId="15" xfId="200" applyFill="1" applyBorder="1" applyAlignment="1">
      <alignment vertical="center"/>
    </xf>
    <xf numFmtId="166" fontId="0" fillId="27" borderId="16" xfId="201" applyFont="1" applyFill="1" applyBorder="1" applyAlignment="1">
      <alignment vertical="center"/>
    </xf>
    <xf numFmtId="166" fontId="0" fillId="27" borderId="8" xfId="201" applyFont="1" applyFill="1" applyBorder="1" applyAlignment="1">
      <alignment vertical="center"/>
    </xf>
    <xf numFmtId="0" fontId="88" fillId="27" borderId="17" xfId="202" applyNumberFormat="1" applyFill="1" applyBorder="1" applyAlignment="1">
      <alignment horizontal="center" vertical="center"/>
    </xf>
    <xf numFmtId="0" fontId="88" fillId="27" borderId="17" xfId="200" applyFill="1" applyBorder="1" applyAlignment="1">
      <alignment vertical="center"/>
    </xf>
    <xf numFmtId="0" fontId="88" fillId="27" borderId="0" xfId="202" applyFill="1" applyBorder="1"/>
    <xf numFmtId="0" fontId="0" fillId="27" borderId="0" xfId="202" applyFont="1" applyFill="1" applyBorder="1"/>
    <xf numFmtId="0" fontId="122" fillId="26" borderId="2" xfId="200" applyFont="1" applyFill="1" applyBorder="1" applyAlignment="1">
      <alignment horizontal="left" vertical="center" indent="1"/>
    </xf>
    <xf numFmtId="0" fontId="88" fillId="27" borderId="20" xfId="200" applyFill="1" applyBorder="1"/>
    <xf numFmtId="0" fontId="88" fillId="27" borderId="21" xfId="200" applyFill="1" applyBorder="1"/>
    <xf numFmtId="0" fontId="88" fillId="27" borderId="22" xfId="200" applyFill="1" applyBorder="1"/>
    <xf numFmtId="0" fontId="88" fillId="27" borderId="5" xfId="200" applyFill="1" applyBorder="1"/>
    <xf numFmtId="0" fontId="88" fillId="27" borderId="0" xfId="200" applyFill="1" applyBorder="1" applyAlignment="1">
      <alignment horizontal="right"/>
    </xf>
    <xf numFmtId="0" fontId="116" fillId="27" borderId="5" xfId="200" applyFont="1" applyFill="1" applyBorder="1"/>
    <xf numFmtId="0" fontId="132" fillId="27" borderId="7" xfId="200" applyFont="1" applyFill="1" applyBorder="1" applyAlignment="1">
      <alignment horizontal="right" vertical="center"/>
    </xf>
    <xf numFmtId="0" fontId="132" fillId="27" borderId="23" xfId="200" applyFont="1" applyFill="1" applyBorder="1" applyAlignment="1">
      <alignment horizontal="right" vertical="center"/>
    </xf>
    <xf numFmtId="0" fontId="88" fillId="27" borderId="0" xfId="200" applyFont="1" applyFill="1" applyBorder="1" applyAlignment="1">
      <alignment vertical="center"/>
    </xf>
    <xf numFmtId="0" fontId="132" fillId="27" borderId="0" xfId="200" applyFont="1" applyFill="1" applyBorder="1" applyAlignment="1">
      <alignment vertical="center"/>
    </xf>
    <xf numFmtId="173" fontId="0" fillId="27" borderId="0" xfId="203" applyNumberFormat="1" applyFont="1" applyFill="1" applyBorder="1" applyAlignment="1">
      <alignment vertical="center"/>
    </xf>
    <xf numFmtId="9" fontId="0" fillId="27" borderId="34" xfId="203" applyFont="1" applyFill="1" applyBorder="1" applyAlignment="1">
      <alignment vertical="center"/>
    </xf>
    <xf numFmtId="9" fontId="0" fillId="27" borderId="0" xfId="203" applyFont="1" applyFill="1" applyBorder="1" applyAlignment="1">
      <alignment vertical="center"/>
    </xf>
    <xf numFmtId="0" fontId="101" fillId="27" borderId="0" xfId="200" applyFont="1" applyFill="1" applyBorder="1" applyAlignment="1">
      <alignment vertical="center"/>
    </xf>
    <xf numFmtId="173" fontId="0" fillId="27" borderId="0" xfId="203" applyNumberFormat="1" applyFont="1" applyFill="1" applyBorder="1" applyAlignment="1">
      <alignment horizontal="right" vertical="center"/>
    </xf>
    <xf numFmtId="9" fontId="88" fillId="27" borderId="34" xfId="200" applyNumberFormat="1" applyFont="1" applyFill="1" applyBorder="1" applyAlignment="1">
      <alignment horizontal="right" vertical="center"/>
    </xf>
    <xf numFmtId="9" fontId="0" fillId="27" borderId="0" xfId="203" applyNumberFormat="1" applyFont="1" applyFill="1" applyBorder="1" applyAlignment="1">
      <alignment horizontal="right" vertical="center"/>
    </xf>
    <xf numFmtId="0" fontId="88" fillId="27" borderId="15" xfId="200" applyNumberFormat="1" applyFont="1" applyFill="1" applyBorder="1" applyAlignment="1">
      <alignment vertical="center"/>
    </xf>
    <xf numFmtId="0" fontId="88" fillId="27" borderId="15" xfId="200" applyFont="1" applyFill="1" applyBorder="1" applyAlignment="1">
      <alignment vertical="center"/>
    </xf>
    <xf numFmtId="173" fontId="0" fillId="27" borderId="15" xfId="203" applyNumberFormat="1" applyFont="1" applyFill="1" applyBorder="1" applyAlignment="1">
      <alignment vertical="center"/>
    </xf>
    <xf numFmtId="9" fontId="88" fillId="27" borderId="35" xfId="200" applyNumberFormat="1" applyFont="1" applyFill="1" applyBorder="1" applyAlignment="1">
      <alignment vertical="center"/>
    </xf>
    <xf numFmtId="9" fontId="0" fillId="27" borderId="15" xfId="203" applyNumberFormat="1" applyFont="1" applyFill="1" applyBorder="1" applyAlignment="1">
      <alignment vertical="center"/>
    </xf>
    <xf numFmtId="0" fontId="101" fillId="27" borderId="5" xfId="200" applyFont="1" applyFill="1" applyBorder="1"/>
    <xf numFmtId="0" fontId="116" fillId="27" borderId="5" xfId="200" applyFont="1" applyFill="1" applyBorder="1" applyAlignment="1">
      <alignment vertical="center"/>
    </xf>
    <xf numFmtId="0" fontId="88" fillId="27" borderId="6" xfId="200" applyFill="1" applyBorder="1" applyAlignment="1">
      <alignment vertical="center"/>
    </xf>
    <xf numFmtId="9" fontId="0" fillId="27" borderId="35" xfId="203" applyFont="1" applyFill="1" applyBorder="1" applyAlignment="1">
      <alignment vertical="center"/>
    </xf>
    <xf numFmtId="9" fontId="0" fillId="27" borderId="15" xfId="203" applyFont="1" applyFill="1" applyBorder="1" applyAlignment="1">
      <alignment vertical="center"/>
    </xf>
    <xf numFmtId="0" fontId="88" fillId="27" borderId="8" xfId="200" applyFont="1" applyFill="1" applyBorder="1" applyAlignment="1">
      <alignment vertical="center"/>
    </xf>
    <xf numFmtId="173" fontId="0" fillId="27" borderId="8" xfId="203" applyNumberFormat="1" applyFont="1" applyFill="1" applyBorder="1" applyAlignment="1">
      <alignment vertical="center"/>
    </xf>
    <xf numFmtId="9" fontId="0" fillId="27" borderId="38" xfId="203" applyFont="1" applyFill="1" applyBorder="1" applyAlignment="1">
      <alignment vertical="center"/>
    </xf>
    <xf numFmtId="9" fontId="0" fillId="27" borderId="8" xfId="203" applyFont="1" applyFill="1" applyBorder="1" applyAlignment="1">
      <alignment vertical="center"/>
    </xf>
    <xf numFmtId="0" fontId="88" fillId="27" borderId="0" xfId="200" applyNumberFormat="1" applyFont="1" applyFill="1" applyBorder="1" applyAlignment="1">
      <alignment vertical="center"/>
    </xf>
    <xf numFmtId="0" fontId="132" fillId="27" borderId="26" xfId="200" applyFont="1" applyFill="1" applyBorder="1" applyAlignment="1">
      <alignment vertical="center"/>
    </xf>
    <xf numFmtId="0" fontId="101" fillId="27" borderId="26" xfId="200" applyFont="1" applyFill="1" applyBorder="1" applyAlignment="1">
      <alignment vertical="center"/>
    </xf>
    <xf numFmtId="0" fontId="101" fillId="27" borderId="26" xfId="200" applyFont="1" applyFill="1" applyBorder="1" applyAlignment="1">
      <alignment horizontal="right"/>
    </xf>
    <xf numFmtId="0" fontId="132" fillId="27" borderId="0" xfId="200" applyNumberFormat="1" applyFont="1" applyFill="1" applyBorder="1" applyAlignment="1">
      <alignment horizontal="left" vertical="center"/>
    </xf>
    <xf numFmtId="0" fontId="132" fillId="27" borderId="0" xfId="200" applyNumberFormat="1" applyFont="1" applyFill="1" applyBorder="1" applyAlignment="1">
      <alignment horizontal="right" vertical="center"/>
    </xf>
    <xf numFmtId="0" fontId="88" fillId="27" borderId="26" xfId="200" applyNumberFormat="1" applyFill="1" applyBorder="1" applyAlignment="1">
      <alignment vertical="center"/>
    </xf>
    <xf numFmtId="0" fontId="88" fillId="27" borderId="26" xfId="200" applyFill="1" applyBorder="1"/>
    <xf numFmtId="0" fontId="88" fillId="27" borderId="26" xfId="200" applyFill="1" applyBorder="1" applyAlignment="1">
      <alignment vertical="center"/>
    </xf>
    <xf numFmtId="168" fontId="0" fillId="27" borderId="26" xfId="201" applyNumberFormat="1" applyFont="1" applyFill="1" applyBorder="1" applyAlignment="1">
      <alignment horizontal="right" vertical="center"/>
    </xf>
    <xf numFmtId="0" fontId="88" fillId="27" borderId="0" xfId="200" applyFill="1" applyBorder="1" applyAlignment="1">
      <alignment horizontal="left"/>
    </xf>
    <xf numFmtId="169" fontId="0" fillId="27" borderId="0" xfId="201" applyNumberFormat="1" applyFont="1" applyFill="1" applyBorder="1" applyAlignment="1">
      <alignment vertical="center"/>
    </xf>
    <xf numFmtId="168" fontId="0" fillId="27" borderId="0" xfId="201" applyNumberFormat="1" applyFont="1" applyFill="1" applyBorder="1" applyAlignment="1">
      <alignment horizontal="right" vertical="center"/>
    </xf>
    <xf numFmtId="0" fontId="88" fillId="27" borderId="8" xfId="200" applyNumberFormat="1" applyFill="1" applyBorder="1" applyAlignment="1">
      <alignment vertical="center"/>
    </xf>
    <xf numFmtId="0" fontId="88" fillId="27" borderId="8" xfId="200" applyFill="1" applyBorder="1" applyAlignment="1">
      <alignment vertical="center"/>
    </xf>
    <xf numFmtId="178" fontId="0" fillId="27" borderId="8" xfId="201" applyNumberFormat="1" applyFont="1" applyFill="1" applyBorder="1" applyAlignment="1">
      <alignment horizontal="right" vertical="center"/>
    </xf>
    <xf numFmtId="168" fontId="0" fillId="27" borderId="0" xfId="201" applyNumberFormat="1" applyFont="1" applyFill="1" applyBorder="1" applyAlignment="1">
      <alignment vertical="center"/>
    </xf>
    <xf numFmtId="0" fontId="101" fillId="27" borderId="0" xfId="200" applyNumberFormat="1" applyFont="1" applyFill="1" applyBorder="1" applyAlignment="1">
      <alignment vertical="center"/>
    </xf>
    <xf numFmtId="169" fontId="101" fillId="27" borderId="0" xfId="201" applyNumberFormat="1" applyFont="1" applyFill="1" applyBorder="1" applyAlignment="1">
      <alignment horizontal="right" vertical="center"/>
    </xf>
    <xf numFmtId="179" fontId="0" fillId="27" borderId="0" xfId="201" applyNumberFormat="1" applyFont="1" applyFill="1" applyBorder="1" applyAlignment="1">
      <alignment horizontal="right" vertical="center"/>
    </xf>
    <xf numFmtId="179" fontId="0" fillId="27" borderId="42" xfId="201" applyNumberFormat="1" applyFont="1" applyFill="1" applyBorder="1" applyAlignment="1">
      <alignment horizontal="right" vertical="center"/>
    </xf>
    <xf numFmtId="0" fontId="133" fillId="27" borderId="0" xfId="200" applyNumberFormat="1" applyFont="1" applyFill="1" applyBorder="1" applyAlignment="1">
      <alignment vertical="center"/>
    </xf>
    <xf numFmtId="0" fontId="133" fillId="27" borderId="0" xfId="200" applyFont="1" applyFill="1" applyBorder="1" applyAlignment="1">
      <alignment vertical="center"/>
    </xf>
    <xf numFmtId="179" fontId="133" fillId="27" borderId="0" xfId="201" applyNumberFormat="1" applyFont="1" applyFill="1" applyBorder="1" applyAlignment="1">
      <alignment horizontal="right" vertical="center"/>
    </xf>
    <xf numFmtId="179" fontId="133" fillId="27" borderId="34" xfId="201" applyNumberFormat="1" applyFont="1" applyFill="1" applyBorder="1" applyAlignment="1">
      <alignment horizontal="right" vertical="center"/>
    </xf>
    <xf numFmtId="179" fontId="133" fillId="27" borderId="0" xfId="200" applyNumberFormat="1" applyFont="1" applyFill="1" applyBorder="1" applyAlignment="1">
      <alignment horizontal="right" vertical="center"/>
    </xf>
    <xf numFmtId="0" fontId="133" fillId="27" borderId="8" xfId="200" applyNumberFormat="1" applyFont="1" applyFill="1" applyBorder="1" applyAlignment="1">
      <alignment vertical="center"/>
    </xf>
    <xf numFmtId="0" fontId="133" fillId="27" borderId="8" xfId="200" applyFont="1" applyFill="1" applyBorder="1" applyAlignment="1">
      <alignment vertical="center"/>
    </xf>
    <xf numFmtId="179" fontId="133" fillId="27" borderId="8" xfId="201" applyNumberFormat="1" applyFont="1" applyFill="1" applyBorder="1" applyAlignment="1">
      <alignment horizontal="right" vertical="center"/>
    </xf>
    <xf numFmtId="179" fontId="133" fillId="27" borderId="38" xfId="201" applyNumberFormat="1" applyFont="1" applyFill="1" applyBorder="1" applyAlignment="1">
      <alignment horizontal="right" vertical="center"/>
    </xf>
    <xf numFmtId="179" fontId="133" fillId="27" borderId="8" xfId="200" applyNumberFormat="1" applyFont="1" applyFill="1" applyBorder="1" applyAlignment="1">
      <alignment horizontal="right" vertical="center"/>
    </xf>
    <xf numFmtId="166" fontId="0" fillId="27" borderId="0" xfId="201" applyFont="1" applyFill="1" applyBorder="1" applyAlignment="1">
      <alignment horizontal="right" vertical="center"/>
    </xf>
    <xf numFmtId="0" fontId="145" fillId="27" borderId="0" xfId="200" applyNumberFormat="1" applyFont="1" applyFill="1" applyBorder="1" applyAlignment="1">
      <alignment vertical="center"/>
    </xf>
    <xf numFmtId="0" fontId="145" fillId="27" borderId="0" xfId="200" applyFont="1" applyFill="1" applyBorder="1" applyAlignment="1">
      <alignment vertical="center"/>
    </xf>
    <xf numFmtId="168" fontId="145" fillId="27" borderId="0" xfId="200" applyNumberFormat="1" applyFont="1" applyFill="1" applyBorder="1" applyAlignment="1">
      <alignment vertical="center"/>
    </xf>
    <xf numFmtId="179" fontId="145" fillId="27" borderId="0" xfId="200" applyNumberFormat="1" applyFont="1" applyFill="1" applyBorder="1" applyAlignment="1">
      <alignment horizontal="right" vertical="center"/>
    </xf>
    <xf numFmtId="0" fontId="88" fillId="27" borderId="5" xfId="200" applyFont="1" applyFill="1" applyBorder="1"/>
    <xf numFmtId="0" fontId="88" fillId="27" borderId="0" xfId="200" applyNumberFormat="1" applyFill="1" applyBorder="1"/>
    <xf numFmtId="0" fontId="88" fillId="27" borderId="9" xfId="200" applyFill="1" applyBorder="1"/>
    <xf numFmtId="0" fontId="88" fillId="27" borderId="10" xfId="200" applyFill="1" applyBorder="1"/>
    <xf numFmtId="0" fontId="88" fillId="27" borderId="11" xfId="200" applyFill="1" applyBorder="1"/>
    <xf numFmtId="0" fontId="88" fillId="0" borderId="0" xfId="200" applyAlignment="1">
      <alignment horizontal="left" indent="1"/>
    </xf>
    <xf numFmtId="0" fontId="122" fillId="26" borderId="20" xfId="200" applyFont="1" applyFill="1" applyBorder="1" applyAlignment="1">
      <alignment horizontal="left" vertical="center" indent="1"/>
    </xf>
    <xf numFmtId="0" fontId="88" fillId="26" borderId="21" xfId="200" applyFill="1" applyBorder="1" applyAlignment="1">
      <alignment vertical="center"/>
    </xf>
    <xf numFmtId="0" fontId="88" fillId="26" borderId="22" xfId="200" applyFill="1" applyBorder="1" applyAlignment="1">
      <alignment vertical="center"/>
    </xf>
    <xf numFmtId="0" fontId="111" fillId="13" borderId="0" xfId="204" applyFont="1" applyBorder="1" applyAlignment="1">
      <alignment horizontal="left" vertical="center" indent="1"/>
    </xf>
    <xf numFmtId="0" fontId="94" fillId="13" borderId="0" xfId="204" applyFont="1" applyBorder="1" applyAlignment="1">
      <alignment vertical="center"/>
    </xf>
    <xf numFmtId="0" fontId="111" fillId="13" borderId="0" xfId="204" applyFont="1" applyBorder="1" applyAlignment="1">
      <alignment vertical="center"/>
    </xf>
    <xf numFmtId="0" fontId="88" fillId="0" borderId="0" xfId="200" applyFill="1" applyBorder="1" applyAlignment="1"/>
    <xf numFmtId="0" fontId="131" fillId="27" borderId="0" xfId="200" applyFont="1" applyFill="1" applyBorder="1" applyAlignment="1">
      <alignment vertical="center"/>
    </xf>
    <xf numFmtId="0" fontId="131" fillId="27" borderId="0" xfId="200" applyFont="1" applyFill="1" applyBorder="1" applyAlignment="1">
      <alignment horizontal="right" vertical="center"/>
    </xf>
    <xf numFmtId="168" fontId="131" fillId="27" borderId="0" xfId="201" applyNumberFormat="1" applyFont="1" applyFill="1" applyBorder="1" applyAlignment="1">
      <alignment horizontal="right" vertical="center"/>
    </xf>
    <xf numFmtId="0" fontId="101" fillId="27" borderId="0" xfId="200" applyFont="1" applyFill="1" applyBorder="1" applyAlignment="1">
      <alignment horizontal="right"/>
    </xf>
    <xf numFmtId="0" fontId="88" fillId="27" borderId="0" xfId="200" applyNumberFormat="1" applyFill="1" applyBorder="1" applyAlignment="1">
      <alignment horizontal="center" vertical="center"/>
    </xf>
    <xf numFmtId="0" fontId="101" fillId="27" borderId="26" xfId="200" applyNumberFormat="1" applyFont="1" applyFill="1" applyBorder="1" applyAlignment="1">
      <alignment vertical="center"/>
    </xf>
    <xf numFmtId="0" fontId="131" fillId="27" borderId="26" xfId="200" applyFont="1" applyFill="1" applyBorder="1" applyAlignment="1">
      <alignment vertical="center"/>
    </xf>
    <xf numFmtId="0" fontId="131" fillId="27" borderId="26" xfId="200" applyFont="1" applyFill="1" applyBorder="1" applyAlignment="1">
      <alignment horizontal="right" vertical="center"/>
    </xf>
    <xf numFmtId="1" fontId="132" fillId="27" borderId="26" xfId="200" applyNumberFormat="1" applyFont="1" applyFill="1" applyBorder="1" applyAlignment="1">
      <alignment horizontal="right" vertical="center"/>
    </xf>
    <xf numFmtId="0" fontId="88" fillId="27" borderId="26" xfId="200" applyNumberFormat="1" applyFill="1" applyBorder="1" applyAlignment="1">
      <alignment horizontal="left" vertical="center"/>
    </xf>
    <xf numFmtId="166" fontId="131" fillId="27" borderId="26" xfId="201" applyFont="1" applyFill="1" applyBorder="1" applyAlignment="1">
      <alignment horizontal="right" vertical="center"/>
    </xf>
    <xf numFmtId="178" fontId="131" fillId="27" borderId="26" xfId="201" applyNumberFormat="1" applyFont="1" applyFill="1" applyBorder="1" applyAlignment="1">
      <alignment horizontal="right" vertical="center"/>
    </xf>
    <xf numFmtId="0" fontId="88" fillId="27" borderId="0" xfId="200" applyNumberFormat="1" applyFill="1" applyBorder="1" applyAlignment="1">
      <alignment horizontal="left" vertical="center"/>
    </xf>
    <xf numFmtId="166" fontId="131" fillId="27" borderId="0" xfId="201" applyFont="1" applyFill="1" applyBorder="1" applyAlignment="1">
      <alignment horizontal="right" vertical="center"/>
    </xf>
    <xf numFmtId="178" fontId="131" fillId="27" borderId="0" xfId="201" applyNumberFormat="1" applyFont="1" applyFill="1" applyBorder="1" applyAlignment="1">
      <alignment horizontal="right" vertical="center"/>
    </xf>
    <xf numFmtId="0" fontId="88" fillId="27" borderId="8" xfId="200" applyNumberFormat="1" applyFill="1" applyBorder="1" applyAlignment="1">
      <alignment horizontal="left" vertical="center"/>
    </xf>
    <xf numFmtId="0" fontId="131" fillId="27" borderId="8" xfId="200" applyFont="1" applyFill="1" applyBorder="1" applyAlignment="1">
      <alignment vertical="center"/>
    </xf>
    <xf numFmtId="166" fontId="131" fillId="27" borderId="8" xfId="201" applyFont="1" applyFill="1" applyBorder="1" applyAlignment="1">
      <alignment horizontal="right" vertical="center"/>
    </xf>
    <xf numFmtId="178" fontId="131" fillId="27" borderId="8" xfId="201" applyNumberFormat="1" applyFont="1" applyFill="1" applyBorder="1" applyAlignment="1">
      <alignment horizontal="right" vertical="center"/>
    </xf>
    <xf numFmtId="0" fontId="88" fillId="27" borderId="0" xfId="200" applyFill="1" applyAlignment="1">
      <alignment vertical="center"/>
    </xf>
    <xf numFmtId="0" fontId="88" fillId="0" borderId="0" xfId="200" applyBorder="1"/>
    <xf numFmtId="0" fontId="131" fillId="13" borderId="0" xfId="204" applyFont="1" applyBorder="1" applyAlignment="1">
      <alignment horizontal="left" vertical="center" indent="1"/>
    </xf>
    <xf numFmtId="0" fontId="131" fillId="27" borderId="0" xfId="200" applyFont="1" applyFill="1" applyBorder="1"/>
    <xf numFmtId="0" fontId="131" fillId="27" borderId="5" xfId="200" applyFont="1" applyFill="1" applyBorder="1"/>
    <xf numFmtId="0" fontId="88" fillId="27" borderId="0" xfId="200" applyFill="1"/>
    <xf numFmtId="0" fontId="101" fillId="27" borderId="29" xfId="200" applyNumberFormat="1" applyFont="1" applyFill="1" applyBorder="1" applyAlignment="1">
      <alignment horizontal="left" vertical="center"/>
    </xf>
    <xf numFmtId="0" fontId="111" fillId="13" borderId="0" xfId="204" applyFont="1" applyBorder="1"/>
    <xf numFmtId="0" fontId="129" fillId="27" borderId="5" xfId="200" applyFont="1" applyFill="1" applyBorder="1"/>
    <xf numFmtId="0" fontId="129" fillId="27" borderId="5" xfId="200" applyFont="1" applyFill="1" applyBorder="1" applyAlignment="1">
      <alignment vertical="center"/>
    </xf>
    <xf numFmtId="0" fontId="94" fillId="27" borderId="0" xfId="200" applyNumberFormat="1" applyFont="1" applyFill="1" applyBorder="1" applyAlignment="1">
      <alignment horizontal="center" vertical="center"/>
    </xf>
    <xf numFmtId="0" fontId="94" fillId="27" borderId="0" xfId="200" applyFont="1" applyFill="1" applyBorder="1" applyAlignment="1">
      <alignment vertical="center"/>
    </xf>
    <xf numFmtId="0" fontId="94" fillId="27" borderId="0" xfId="200" applyFont="1" applyFill="1" applyBorder="1" applyAlignment="1">
      <alignment horizontal="right" vertical="center"/>
    </xf>
    <xf numFmtId="168" fontId="94" fillId="27" borderId="0" xfId="201" applyNumberFormat="1" applyFont="1" applyFill="1" applyBorder="1" applyAlignment="1">
      <alignment horizontal="right" vertical="center"/>
    </xf>
    <xf numFmtId="0" fontId="94" fillId="27" borderId="0" xfId="200" applyFont="1" applyFill="1" applyBorder="1" applyAlignment="1">
      <alignment horizontal="left"/>
    </xf>
    <xf numFmtId="0" fontId="94" fillId="27" borderId="0" xfId="200" applyFont="1" applyFill="1" applyBorder="1"/>
    <xf numFmtId="0" fontId="88" fillId="26" borderId="3" xfId="200" applyFill="1" applyBorder="1"/>
    <xf numFmtId="0" fontId="88" fillId="26" borderId="4" xfId="200" applyFill="1" applyBorder="1"/>
    <xf numFmtId="169" fontId="0" fillId="27" borderId="41" xfId="201" applyNumberFormat="1" applyFont="1" applyFill="1" applyBorder="1" applyAlignment="1">
      <alignment vertical="center"/>
    </xf>
    <xf numFmtId="169" fontId="0" fillId="27" borderId="42" xfId="201" applyNumberFormat="1" applyFont="1" applyFill="1" applyBorder="1" applyAlignment="1">
      <alignment vertical="center"/>
    </xf>
    <xf numFmtId="169" fontId="0" fillId="27" borderId="34" xfId="201" applyNumberFormat="1" applyFont="1" applyFill="1" applyBorder="1" applyAlignment="1">
      <alignment vertical="center"/>
    </xf>
    <xf numFmtId="169" fontId="0" fillId="27" borderId="38" xfId="201" applyNumberFormat="1" applyFont="1" applyFill="1" applyBorder="1" applyAlignment="1">
      <alignment horizontal="right" vertical="center"/>
    </xf>
    <xf numFmtId="169" fontId="0" fillId="27" borderId="8" xfId="201" applyNumberFormat="1" applyFont="1" applyFill="1" applyBorder="1" applyAlignment="1">
      <alignment horizontal="right" vertical="center"/>
    </xf>
    <xf numFmtId="169" fontId="0" fillId="27" borderId="13" xfId="201" applyNumberFormat="1" applyFont="1" applyFill="1" applyBorder="1" applyAlignment="1">
      <alignment vertical="center"/>
    </xf>
    <xf numFmtId="169" fontId="0" fillId="27" borderId="34" xfId="201" applyNumberFormat="1" applyFont="1" applyFill="1" applyBorder="1" applyAlignment="1">
      <alignment horizontal="right" vertical="center"/>
    </xf>
    <xf numFmtId="169" fontId="0" fillId="27" borderId="0" xfId="201" applyNumberFormat="1" applyFont="1" applyFill="1" applyBorder="1" applyAlignment="1">
      <alignment horizontal="right" vertical="center"/>
    </xf>
    <xf numFmtId="166" fontId="0" fillId="27" borderId="15" xfId="201" applyFont="1" applyFill="1" applyBorder="1" applyAlignment="1">
      <alignment vertical="center"/>
    </xf>
    <xf numFmtId="169" fontId="0" fillId="27" borderId="35" xfId="201" applyNumberFormat="1" applyFont="1" applyFill="1" applyBorder="1" applyAlignment="1">
      <alignment horizontal="right" vertical="center"/>
    </xf>
    <xf numFmtId="169" fontId="0" fillId="27" borderId="15" xfId="201" applyNumberFormat="1" applyFont="1" applyFill="1" applyBorder="1" applyAlignment="1">
      <alignment horizontal="right" vertical="center"/>
    </xf>
    <xf numFmtId="0" fontId="101" fillId="27" borderId="0" xfId="200" applyFont="1" applyFill="1" applyBorder="1" applyAlignment="1">
      <alignment horizontal="left"/>
    </xf>
    <xf numFmtId="0" fontId="88" fillId="27" borderId="18" xfId="200" applyNumberFormat="1" applyFill="1" applyBorder="1" applyAlignment="1">
      <alignment vertical="center"/>
    </xf>
    <xf numFmtId="0" fontId="88" fillId="27" borderId="18" xfId="200" applyFill="1" applyBorder="1" applyAlignment="1">
      <alignment vertical="center"/>
    </xf>
    <xf numFmtId="9" fontId="0" fillId="27" borderId="19" xfId="203" applyFont="1" applyFill="1" applyBorder="1" applyAlignment="1">
      <alignment vertical="center"/>
    </xf>
    <xf numFmtId="9" fontId="0" fillId="27" borderId="24" xfId="203" applyFont="1" applyFill="1" applyBorder="1" applyAlignment="1">
      <alignment vertical="center"/>
    </xf>
    <xf numFmtId="181" fontId="88" fillId="0" borderId="0" xfId="200" applyNumberFormat="1"/>
    <xf numFmtId="0" fontId="121" fillId="0" borderId="0" xfId="200" applyFont="1"/>
    <xf numFmtId="0" fontId="132" fillId="0" borderId="29" xfId="200" applyFont="1" applyBorder="1" applyAlignment="1">
      <alignment vertical="center"/>
    </xf>
    <xf numFmtId="169" fontId="88" fillId="0" borderId="0" xfId="200" applyNumberFormat="1"/>
    <xf numFmtId="173" fontId="88" fillId="0" borderId="0" xfId="200" applyNumberFormat="1"/>
    <xf numFmtId="175" fontId="88" fillId="0" borderId="0" xfId="200" applyNumberFormat="1"/>
    <xf numFmtId="0" fontId="146" fillId="0" borderId="0" xfId="200" applyFont="1"/>
    <xf numFmtId="175" fontId="146" fillId="0" borderId="0" xfId="200" applyNumberFormat="1" applyFont="1"/>
    <xf numFmtId="0" fontId="95" fillId="0" borderId="0" xfId="200" applyFont="1" applyAlignment="1">
      <alignment vertical="center"/>
    </xf>
    <xf numFmtId="166" fontId="88" fillId="0" borderId="0" xfId="200" applyNumberFormat="1"/>
    <xf numFmtId="0" fontId="101" fillId="0" borderId="0" xfId="200" applyFont="1"/>
    <xf numFmtId="0" fontId="131" fillId="0" borderId="0" xfId="200" applyFont="1" applyBorder="1" applyAlignment="1">
      <alignment vertical="center"/>
    </xf>
    <xf numFmtId="0" fontId="88" fillId="0" borderId="0" xfId="200" applyFill="1"/>
    <xf numFmtId="166" fontId="94" fillId="0" borderId="0" xfId="201" applyFont="1"/>
    <xf numFmtId="168" fontId="94" fillId="0" borderId="0" xfId="201" applyNumberFormat="1" applyFont="1"/>
    <xf numFmtId="169" fontId="94" fillId="0" borderId="0" xfId="201" applyNumberFormat="1" applyFont="1"/>
    <xf numFmtId="0" fontId="88" fillId="0" borderId="0" xfId="200" applyFill="1" applyBorder="1" applyAlignment="1">
      <alignment vertical="center"/>
    </xf>
    <xf numFmtId="0" fontId="88" fillId="0" borderId="0" xfId="200" applyFill="1" applyBorder="1"/>
    <xf numFmtId="182" fontId="88" fillId="0" borderId="0" xfId="200" applyNumberFormat="1"/>
    <xf numFmtId="0" fontId="116" fillId="21" borderId="5" xfId="200" applyFont="1" applyFill="1" applyBorder="1"/>
    <xf numFmtId="0" fontId="140" fillId="21" borderId="7" xfId="200" applyFont="1" applyFill="1" applyBorder="1" applyAlignment="1">
      <alignment vertical="center"/>
    </xf>
    <xf numFmtId="0" fontId="114" fillId="21" borderId="5" xfId="200" applyFont="1" applyFill="1" applyBorder="1"/>
    <xf numFmtId="0" fontId="88" fillId="21" borderId="0" xfId="200" applyFont="1" applyFill="1" applyBorder="1" applyAlignment="1">
      <alignment vertical="center"/>
    </xf>
    <xf numFmtId="166" fontId="0" fillId="21" borderId="0" xfId="201" applyFont="1" applyFill="1" applyBorder="1" applyAlignment="1">
      <alignment vertical="center"/>
    </xf>
    <xf numFmtId="178" fontId="88" fillId="21" borderId="6" xfId="200" applyNumberFormat="1" applyFill="1" applyBorder="1" applyAlignment="1">
      <alignment vertical="center"/>
    </xf>
    <xf numFmtId="169" fontId="0" fillId="21" borderId="0" xfId="201" applyNumberFormat="1" applyFont="1" applyFill="1" applyBorder="1" applyAlignment="1">
      <alignment vertical="center"/>
    </xf>
    <xf numFmtId="0" fontId="114" fillId="21" borderId="9" xfId="200" applyFont="1" applyFill="1" applyBorder="1"/>
    <xf numFmtId="178" fontId="88" fillId="21" borderId="11" xfId="200" applyNumberFormat="1" applyFill="1" applyBorder="1" applyAlignment="1">
      <alignment vertical="center"/>
    </xf>
    <xf numFmtId="0" fontId="122" fillId="30" borderId="2" xfId="200" applyFont="1" applyFill="1" applyBorder="1" applyAlignment="1">
      <alignment horizontal="left" vertical="center" indent="1"/>
    </xf>
    <xf numFmtId="0" fontId="88" fillId="30" borderId="4" xfId="200" applyFill="1" applyBorder="1"/>
    <xf numFmtId="0" fontId="88" fillId="31" borderId="20" xfId="200" applyFill="1" applyBorder="1"/>
    <xf numFmtId="0" fontId="122" fillId="30" borderId="3" xfId="200" applyFont="1" applyFill="1" applyBorder="1" applyAlignment="1">
      <alignment vertical="center"/>
    </xf>
    <xf numFmtId="0" fontId="88" fillId="30" borderId="3" xfId="200" applyFill="1" applyBorder="1"/>
    <xf numFmtId="0" fontId="88" fillId="31" borderId="22" xfId="200" applyFill="1" applyBorder="1"/>
    <xf numFmtId="0" fontId="88" fillId="31" borderId="5" xfId="200" applyFill="1" applyBorder="1"/>
    <xf numFmtId="0" fontId="88" fillId="31" borderId="21" xfId="200" applyFill="1" applyBorder="1"/>
    <xf numFmtId="0" fontId="88" fillId="31" borderId="6" xfId="200" applyFill="1" applyBorder="1"/>
    <xf numFmtId="0" fontId="101" fillId="31" borderId="0" xfId="200" applyFont="1" applyFill="1" applyBorder="1"/>
    <xf numFmtId="0" fontId="88" fillId="31" borderId="0" xfId="200" applyFill="1" applyBorder="1"/>
    <xf numFmtId="0" fontId="88" fillId="31" borderId="0" xfId="200" applyFill="1" applyBorder="1" applyAlignment="1">
      <alignment horizontal="right"/>
    </xf>
    <xf numFmtId="0" fontId="101" fillId="31" borderId="0" xfId="200" applyFont="1" applyFill="1" applyBorder="1" applyAlignment="1">
      <alignment horizontal="right"/>
    </xf>
    <xf numFmtId="0" fontId="116" fillId="31" borderId="5" xfId="200" applyFont="1" applyFill="1" applyBorder="1"/>
    <xf numFmtId="0" fontId="132" fillId="31" borderId="39" xfId="200" applyFont="1" applyFill="1" applyBorder="1" applyAlignment="1">
      <alignment vertical="center"/>
    </xf>
    <xf numFmtId="0" fontId="132" fillId="31" borderId="39" xfId="200" applyFont="1" applyFill="1" applyBorder="1" applyAlignment="1">
      <alignment horizontal="right" vertical="center"/>
    </xf>
    <xf numFmtId="0" fontId="88" fillId="31" borderId="0" xfId="200" applyFill="1" applyBorder="1" applyAlignment="1">
      <alignment vertical="center"/>
    </xf>
    <xf numFmtId="0" fontId="88" fillId="31" borderId="0" xfId="200" applyNumberFormat="1" applyFill="1" applyBorder="1" applyAlignment="1">
      <alignment vertical="center"/>
    </xf>
    <xf numFmtId="169" fontId="0" fillId="31" borderId="0" xfId="201" applyNumberFormat="1" applyFont="1" applyFill="1" applyBorder="1" applyAlignment="1">
      <alignment vertical="center"/>
    </xf>
    <xf numFmtId="0" fontId="88" fillId="31" borderId="0" xfId="200" applyFill="1"/>
    <xf numFmtId="169" fontId="88" fillId="31" borderId="0" xfId="200" applyNumberFormat="1" applyFont="1" applyFill="1" applyBorder="1" applyAlignment="1">
      <alignment vertical="center"/>
    </xf>
    <xf numFmtId="0" fontId="87" fillId="0" borderId="0" xfId="205"/>
    <xf numFmtId="0" fontId="87" fillId="27" borderId="0" xfId="205" applyFill="1" applyBorder="1"/>
    <xf numFmtId="0" fontId="87" fillId="27" borderId="6" xfId="205" applyFill="1" applyBorder="1"/>
    <xf numFmtId="0" fontId="101" fillId="27" borderId="0" xfId="205" applyFont="1" applyFill="1" applyBorder="1"/>
    <xf numFmtId="0" fontId="87" fillId="27" borderId="0" xfId="205" applyFill="1" applyBorder="1" applyAlignment="1">
      <alignment horizontal="right"/>
    </xf>
    <xf numFmtId="0" fontId="87" fillId="27" borderId="0" xfId="205" applyFont="1" applyFill="1" applyBorder="1"/>
    <xf numFmtId="0" fontId="103" fillId="32" borderId="7" xfId="205" applyFont="1" applyFill="1" applyBorder="1" applyAlignment="1">
      <alignment vertical="center"/>
    </xf>
    <xf numFmtId="0" fontId="131" fillId="27" borderId="6" xfId="205" applyFont="1" applyFill="1" applyBorder="1" applyAlignment="1">
      <alignment vertical="center"/>
    </xf>
    <xf numFmtId="0" fontId="131" fillId="27" borderId="0" xfId="205" applyFont="1" applyFill="1" applyBorder="1" applyAlignment="1">
      <alignment horizontal="center" vertical="center"/>
    </xf>
    <xf numFmtId="169" fontId="131" fillId="27" borderId="0" xfId="206" applyNumberFormat="1" applyFont="1" applyFill="1" applyBorder="1" applyAlignment="1">
      <alignment vertical="center"/>
    </xf>
    <xf numFmtId="0" fontId="87" fillId="27" borderId="6" xfId="205" applyFill="1" applyBorder="1" applyAlignment="1">
      <alignment vertical="center"/>
    </xf>
    <xf numFmtId="0" fontId="131" fillId="27" borderId="0" xfId="205" applyFont="1" applyFill="1" applyBorder="1" applyAlignment="1">
      <alignment vertical="center"/>
    </xf>
    <xf numFmtId="0" fontId="87" fillId="27" borderId="0" xfId="205" applyFill="1" applyBorder="1" applyAlignment="1">
      <alignment vertical="center"/>
    </xf>
    <xf numFmtId="166" fontId="131" fillId="27" borderId="0" xfId="206" applyFont="1" applyFill="1" applyBorder="1" applyAlignment="1">
      <alignment vertical="center"/>
    </xf>
    <xf numFmtId="0" fontId="153" fillId="0" borderId="0" xfId="0" applyFont="1" applyAlignment="1">
      <alignment horizontal="left" vertical="center"/>
    </xf>
    <xf numFmtId="0" fontId="87" fillId="21" borderId="0" xfId="205" applyFill="1"/>
    <xf numFmtId="0" fontId="103" fillId="24" borderId="7" xfId="205" applyFont="1" applyFill="1" applyBorder="1" applyAlignment="1">
      <alignment vertical="center"/>
    </xf>
    <xf numFmtId="0" fontId="86" fillId="21" borderId="0" xfId="205" applyFont="1" applyFill="1" applyAlignment="1">
      <alignment horizontal="right"/>
    </xf>
    <xf numFmtId="169" fontId="87" fillId="21" borderId="0" xfId="205" applyNumberFormat="1" applyFill="1"/>
    <xf numFmtId="0" fontId="103" fillId="24" borderId="7" xfId="205" applyFont="1" applyFill="1" applyBorder="1" applyAlignment="1">
      <alignment horizontal="center" vertical="center"/>
    </xf>
    <xf numFmtId="0" fontId="95" fillId="24" borderId="0" xfId="0" applyFont="1" applyFill="1" applyBorder="1" applyAlignment="1">
      <alignment vertical="center"/>
    </xf>
    <xf numFmtId="168" fontId="127" fillId="24" borderId="0" xfId="1" applyNumberFormat="1" applyFont="1" applyFill="1" applyBorder="1" applyAlignment="1">
      <alignment vertical="center"/>
    </xf>
    <xf numFmtId="0" fontId="85" fillId="21" borderId="0" xfId="205" applyFont="1" applyFill="1" applyAlignment="1">
      <alignment horizontal="right"/>
    </xf>
    <xf numFmtId="0" fontId="0" fillId="0" borderId="0" xfId="0" applyAlignment="1">
      <alignment horizontal="right"/>
    </xf>
    <xf numFmtId="0" fontId="0" fillId="0" borderId="0" xfId="0" applyFill="1" applyBorder="1" applyAlignment="1">
      <alignment vertical="center"/>
    </xf>
    <xf numFmtId="0" fontId="155" fillId="0" borderId="0" xfId="0" applyFont="1"/>
    <xf numFmtId="169" fontId="0" fillId="0" borderId="0" xfId="1" applyFont="1" applyAlignment="1">
      <alignment vertical="center"/>
    </xf>
    <xf numFmtId="0" fontId="84" fillId="0" borderId="0" xfId="200" applyFont="1"/>
    <xf numFmtId="0" fontId="152" fillId="0" borderId="0" xfId="207" applyFont="1"/>
    <xf numFmtId="0" fontId="83" fillId="0" borderId="0" xfId="207"/>
    <xf numFmtId="0" fontId="122" fillId="19" borderId="2" xfId="207" applyFont="1" applyFill="1" applyBorder="1" applyAlignment="1">
      <alignment horizontal="left" vertical="center" indent="1"/>
    </xf>
    <xf numFmtId="0" fontId="83" fillId="19" borderId="3" xfId="207" applyFill="1" applyBorder="1"/>
    <xf numFmtId="0" fontId="83" fillId="21" borderId="5" xfId="207" applyFill="1" applyBorder="1"/>
    <xf numFmtId="0" fontId="83" fillId="21" borderId="0" xfId="207" applyFill="1" applyBorder="1"/>
    <xf numFmtId="0" fontId="157" fillId="16" borderId="46" xfId="207" applyFont="1" applyFill="1" applyBorder="1" applyAlignment="1">
      <alignment vertical="center"/>
    </xf>
    <xf numFmtId="0" fontId="144" fillId="21" borderId="0" xfId="207" applyFont="1" applyFill="1" applyBorder="1"/>
    <xf numFmtId="0" fontId="100" fillId="15" borderId="2" xfId="207" applyFont="1" applyFill="1" applyBorder="1" applyAlignment="1">
      <alignment horizontal="left" vertical="center" indent="1"/>
    </xf>
    <xf numFmtId="0" fontId="100" fillId="15" borderId="3" xfId="207" applyFont="1" applyFill="1" applyBorder="1" applyAlignment="1">
      <alignment vertical="center"/>
    </xf>
    <xf numFmtId="0" fontId="95" fillId="15" borderId="3" xfId="207" applyFont="1" applyFill="1" applyBorder="1"/>
    <xf numFmtId="0" fontId="95" fillId="15" borderId="3" xfId="207" applyFont="1" applyFill="1" applyBorder="1" applyAlignment="1">
      <alignment horizontal="right"/>
    </xf>
    <xf numFmtId="0" fontId="102" fillId="16" borderId="0" xfId="207" applyFont="1" applyFill="1" applyBorder="1" applyAlignment="1">
      <alignment horizontal="left" indent="1"/>
    </xf>
    <xf numFmtId="0" fontId="95" fillId="16" borderId="0" xfId="207" applyFont="1" applyFill="1" applyBorder="1" applyAlignment="1">
      <alignment vertical="center"/>
    </xf>
    <xf numFmtId="0" fontId="95" fillId="16" borderId="0" xfId="207" applyFont="1" applyFill="1" applyBorder="1"/>
    <xf numFmtId="0" fontId="102" fillId="24" borderId="0" xfId="207" applyFont="1" applyFill="1" applyBorder="1"/>
    <xf numFmtId="0" fontId="103" fillId="24" borderId="0" xfId="207" applyFont="1" applyFill="1" applyBorder="1"/>
    <xf numFmtId="0" fontId="103" fillId="24" borderId="0" xfId="207" applyFont="1" applyFill="1" applyBorder="1" applyAlignment="1">
      <alignment vertical="center"/>
    </xf>
    <xf numFmtId="0" fontId="95" fillId="24" borderId="0" xfId="207" applyFont="1" applyFill="1" applyBorder="1"/>
    <xf numFmtId="0" fontId="105" fillId="24" borderId="7" xfId="207" applyFont="1" applyFill="1" applyBorder="1" applyAlignment="1">
      <alignment vertical="center"/>
    </xf>
    <xf numFmtId="0" fontId="105" fillId="24" borderId="7" xfId="207" applyFont="1" applyFill="1" applyBorder="1" applyAlignment="1">
      <alignment horizontal="right" vertical="center"/>
    </xf>
    <xf numFmtId="0" fontId="95" fillId="24" borderId="18" xfId="207" applyFont="1" applyFill="1" applyBorder="1" applyAlignment="1">
      <alignment vertical="center"/>
    </xf>
    <xf numFmtId="0" fontId="103" fillId="24" borderId="18" xfId="207" applyFont="1" applyFill="1" applyBorder="1" applyAlignment="1">
      <alignment vertical="center"/>
    </xf>
    <xf numFmtId="173" fontId="95" fillId="24" borderId="18" xfId="182" applyNumberFormat="1" applyFont="1" applyFill="1" applyBorder="1" applyAlignment="1">
      <alignment horizontal="right" vertical="center"/>
    </xf>
    <xf numFmtId="168" fontId="127" fillId="24" borderId="18" xfId="151" applyNumberFormat="1" applyFont="1" applyFill="1" applyBorder="1" applyAlignment="1">
      <alignment vertical="center"/>
    </xf>
    <xf numFmtId="168" fontId="158" fillId="24" borderId="0" xfId="207" applyNumberFormat="1" applyFont="1" applyFill="1" applyBorder="1" applyAlignment="1">
      <alignment vertical="center"/>
    </xf>
    <xf numFmtId="0" fontId="158" fillId="24" borderId="0" xfId="207" applyFont="1" applyFill="1" applyBorder="1" applyAlignment="1">
      <alignment vertical="center"/>
    </xf>
    <xf numFmtId="0" fontId="158" fillId="24" borderId="0" xfId="207" applyFont="1" applyFill="1" applyBorder="1" applyAlignment="1">
      <alignment horizontal="right" vertical="center"/>
    </xf>
    <xf numFmtId="168" fontId="158" fillId="24" borderId="0" xfId="207" applyNumberFormat="1" applyFont="1" applyFill="1" applyBorder="1" applyAlignment="1">
      <alignment horizontal="right" vertical="center"/>
    </xf>
    <xf numFmtId="0" fontId="95" fillId="24" borderId="0" xfId="207" applyFont="1" applyFill="1" applyBorder="1" applyAlignment="1">
      <alignment vertical="center"/>
    </xf>
    <xf numFmtId="0" fontId="122" fillId="26" borderId="2" xfId="209" applyFont="1" applyFill="1" applyBorder="1" applyAlignment="1">
      <alignment horizontal="left" vertical="center" indent="1"/>
    </xf>
    <xf numFmtId="0" fontId="83" fillId="26" borderId="3" xfId="209" applyFill="1" applyBorder="1" applyAlignment="1">
      <alignment vertical="center"/>
    </xf>
    <xf numFmtId="0" fontId="83" fillId="26" borderId="3" xfId="210" applyFill="1" applyBorder="1" applyAlignment="1">
      <alignment vertical="center"/>
    </xf>
    <xf numFmtId="0" fontId="83" fillId="27" borderId="5" xfId="207" applyFill="1" applyBorder="1"/>
    <xf numFmtId="0" fontId="83" fillId="27" borderId="0" xfId="207" applyFill="1" applyBorder="1"/>
    <xf numFmtId="0" fontId="101" fillId="27" borderId="0" xfId="207" applyFont="1" applyFill="1" applyBorder="1"/>
    <xf numFmtId="0" fontId="83" fillId="27" borderId="0" xfId="207" applyFill="1" applyBorder="1" applyAlignment="1">
      <alignment horizontal="right"/>
    </xf>
    <xf numFmtId="0" fontId="132" fillId="27" borderId="7" xfId="207" applyFont="1" applyFill="1" applyBorder="1" applyAlignment="1">
      <alignment vertical="center"/>
    </xf>
    <xf numFmtId="0" fontId="132" fillId="27" borderId="7" xfId="207" applyNumberFormat="1" applyFont="1" applyFill="1" applyBorder="1" applyAlignment="1">
      <alignment horizontal="right" vertical="center"/>
    </xf>
    <xf numFmtId="0" fontId="132" fillId="27" borderId="23" xfId="207" applyNumberFormat="1" applyFont="1" applyFill="1" applyBorder="1" applyAlignment="1">
      <alignment horizontal="right" vertical="center"/>
    </xf>
    <xf numFmtId="0" fontId="83" fillId="27" borderId="0" xfId="207" applyNumberFormat="1" applyFill="1" applyBorder="1" applyAlignment="1">
      <alignment vertical="center"/>
    </xf>
    <xf numFmtId="0" fontId="83" fillId="27" borderId="0" xfId="207" applyFill="1" applyBorder="1" applyAlignment="1">
      <alignment vertical="center"/>
    </xf>
    <xf numFmtId="9" fontId="83" fillId="27" borderId="0" xfId="207" applyNumberFormat="1" applyFill="1" applyBorder="1" applyAlignment="1">
      <alignment vertical="center"/>
    </xf>
    <xf numFmtId="169" fontId="133" fillId="27" borderId="34" xfId="208" applyNumberFormat="1" applyFont="1" applyFill="1" applyBorder="1" applyAlignment="1">
      <alignment vertical="center"/>
    </xf>
    <xf numFmtId="169" fontId="133" fillId="27" borderId="0" xfId="208" applyNumberFormat="1" applyFont="1" applyFill="1" applyBorder="1" applyAlignment="1">
      <alignment vertical="center"/>
    </xf>
    <xf numFmtId="169" fontId="133" fillId="27" borderId="34" xfId="208" applyNumberFormat="1" applyFont="1" applyFill="1" applyBorder="1" applyAlignment="1">
      <alignment horizontal="right" vertical="center"/>
    </xf>
    <xf numFmtId="0" fontId="83" fillId="27" borderId="15" xfId="207" applyNumberFormat="1" applyFill="1" applyBorder="1" applyAlignment="1">
      <alignment vertical="center"/>
    </xf>
    <xf numFmtId="0" fontId="83" fillId="27" borderId="15" xfId="207" applyFill="1" applyBorder="1" applyAlignment="1">
      <alignment vertical="center"/>
    </xf>
    <xf numFmtId="0" fontId="83" fillId="27" borderId="17" xfId="207" applyNumberFormat="1" applyFill="1" applyBorder="1" applyAlignment="1">
      <alignment horizontal="center" vertical="center"/>
    </xf>
    <xf numFmtId="0" fontId="83" fillId="27" borderId="17" xfId="207" applyFill="1" applyBorder="1" applyAlignment="1">
      <alignment vertical="center"/>
    </xf>
    <xf numFmtId="0" fontId="83" fillId="27" borderId="0" xfId="207" applyNumberFormat="1" applyFill="1" applyBorder="1" applyAlignment="1">
      <alignment horizontal="center" vertical="center"/>
    </xf>
    <xf numFmtId="0" fontId="83" fillId="27" borderId="0" xfId="207" applyNumberFormat="1" applyFill="1" applyBorder="1" applyAlignment="1">
      <alignment horizontal="left" vertical="center"/>
    </xf>
    <xf numFmtId="179" fontId="0" fillId="27" borderId="17" xfId="151" applyNumberFormat="1" applyFont="1" applyFill="1" applyBorder="1" applyAlignment="1">
      <alignment vertical="center"/>
    </xf>
    <xf numFmtId="173" fontId="0" fillId="27" borderId="27" xfId="211" applyNumberFormat="1" applyFont="1" applyFill="1" applyBorder="1" applyAlignment="1">
      <alignment horizontal="right"/>
    </xf>
    <xf numFmtId="173" fontId="0" fillId="27" borderId="28" xfId="211" applyNumberFormat="1" applyFont="1" applyFill="1" applyBorder="1" applyAlignment="1">
      <alignment horizontal="right"/>
    </xf>
    <xf numFmtId="173" fontId="83" fillId="27" borderId="0" xfId="207" applyNumberFormat="1" applyFill="1" applyBorder="1" applyAlignment="1">
      <alignment horizontal="right" vertical="center"/>
    </xf>
    <xf numFmtId="0" fontId="83" fillId="27" borderId="8" xfId="207" applyNumberFormat="1" applyFill="1" applyBorder="1" applyAlignment="1">
      <alignment vertical="center"/>
    </xf>
    <xf numFmtId="0" fontId="83" fillId="27" borderId="8" xfId="207" applyFill="1" applyBorder="1" applyAlignment="1">
      <alignment vertical="center"/>
    </xf>
    <xf numFmtId="0" fontId="121" fillId="27" borderId="0" xfId="207" applyNumberFormat="1" applyFont="1" applyFill="1" applyBorder="1" applyAlignment="1">
      <alignment horizontal="left" vertical="center"/>
    </xf>
    <xf numFmtId="173" fontId="83" fillId="27" borderId="13" xfId="207" applyNumberFormat="1" applyFill="1" applyBorder="1" applyAlignment="1">
      <alignment horizontal="left" vertical="center"/>
    </xf>
    <xf numFmtId="0" fontId="83" fillId="27" borderId="13" xfId="207" applyFill="1" applyBorder="1" applyAlignment="1">
      <alignment horizontal="left" vertical="center"/>
    </xf>
    <xf numFmtId="167" fontId="0" fillId="27" borderId="13" xfId="151" applyNumberFormat="1" applyFont="1" applyFill="1" applyBorder="1" applyAlignment="1">
      <alignment vertical="center"/>
    </xf>
    <xf numFmtId="173" fontId="83" fillId="27" borderId="0" xfId="207" applyNumberFormat="1" applyFill="1" applyBorder="1" applyAlignment="1">
      <alignment horizontal="left" vertical="center"/>
    </xf>
    <xf numFmtId="0" fontId="83" fillId="27" borderId="0" xfId="207" applyFill="1" applyBorder="1" applyAlignment="1">
      <alignment horizontal="left" vertical="center"/>
    </xf>
    <xf numFmtId="0" fontId="83" fillId="27" borderId="8" xfId="207" applyNumberFormat="1" applyFill="1" applyBorder="1" applyAlignment="1">
      <alignment horizontal="center" vertical="center"/>
    </xf>
    <xf numFmtId="173" fontId="83" fillId="27" borderId="8" xfId="207" applyNumberFormat="1" applyFill="1" applyBorder="1" applyAlignment="1">
      <alignment horizontal="left" vertical="center"/>
    </xf>
    <xf numFmtId="0" fontId="83" fillId="27" borderId="8" xfId="207" applyFill="1" applyBorder="1" applyAlignment="1">
      <alignment horizontal="left" vertical="center"/>
    </xf>
    <xf numFmtId="173" fontId="83" fillId="27" borderId="26" xfId="207" applyNumberFormat="1" applyFill="1" applyBorder="1" applyAlignment="1">
      <alignment horizontal="left" vertical="center"/>
    </xf>
    <xf numFmtId="0" fontId="83" fillId="27" borderId="26" xfId="207" applyFill="1" applyBorder="1" applyAlignment="1">
      <alignment horizontal="left" vertical="center"/>
    </xf>
    <xf numFmtId="167" fontId="0" fillId="27" borderId="26" xfId="151" applyNumberFormat="1" applyFont="1" applyFill="1" applyBorder="1" applyAlignment="1">
      <alignment vertical="center"/>
    </xf>
    <xf numFmtId="1" fontId="83" fillId="0" borderId="0" xfId="207" applyNumberFormat="1"/>
    <xf numFmtId="0" fontId="132" fillId="27" borderId="47" xfId="207" applyFont="1" applyFill="1" applyBorder="1" applyAlignment="1">
      <alignment horizontal="center" vertical="center"/>
    </xf>
    <xf numFmtId="0" fontId="132" fillId="27" borderId="36" xfId="207" applyFont="1" applyFill="1" applyBorder="1" applyAlignment="1">
      <alignment horizontal="center" vertical="center"/>
    </xf>
    <xf numFmtId="0" fontId="83" fillId="27" borderId="27" xfId="207" applyNumberFormat="1" applyFill="1" applyBorder="1" applyAlignment="1">
      <alignment horizontal="center" vertical="center"/>
    </xf>
    <xf numFmtId="1" fontId="83" fillId="27" borderId="0" xfId="207" applyNumberFormat="1" applyFill="1" applyBorder="1" applyAlignment="1">
      <alignment vertical="center"/>
    </xf>
    <xf numFmtId="0" fontId="83" fillId="27" borderId="28" xfId="207" applyNumberFormat="1" applyFill="1" applyBorder="1" applyAlignment="1">
      <alignment horizontal="center" vertical="center"/>
    </xf>
    <xf numFmtId="1" fontId="83" fillId="27" borderId="8" xfId="207" applyNumberFormat="1" applyFill="1" applyBorder="1" applyAlignment="1">
      <alignment vertical="center"/>
    </xf>
    <xf numFmtId="167" fontId="0" fillId="27" borderId="0" xfId="151" applyNumberFormat="1" applyFont="1" applyFill="1" applyBorder="1" applyAlignment="1">
      <alignment horizontal="right" vertical="center"/>
    </xf>
    <xf numFmtId="0" fontId="132" fillId="27" borderId="36" xfId="207" applyNumberFormat="1" applyFont="1" applyFill="1" applyBorder="1" applyAlignment="1">
      <alignment horizontal="right" vertical="center"/>
    </xf>
    <xf numFmtId="0" fontId="132" fillId="27" borderId="37" xfId="207" applyNumberFormat="1" applyFont="1" applyFill="1" applyBorder="1" applyAlignment="1">
      <alignment horizontal="right" vertical="center"/>
    </xf>
    <xf numFmtId="0" fontId="132" fillId="27" borderId="48" xfId="207" applyNumberFormat="1" applyFont="1" applyFill="1" applyBorder="1" applyAlignment="1">
      <alignment horizontal="right" vertical="center"/>
    </xf>
    <xf numFmtId="167" fontId="0" fillId="27" borderId="31" xfId="151" applyNumberFormat="1" applyFont="1" applyFill="1" applyBorder="1" applyAlignment="1">
      <alignment vertical="center"/>
    </xf>
    <xf numFmtId="167" fontId="0" fillId="27" borderId="32" xfId="151" applyNumberFormat="1" applyFont="1" applyFill="1" applyBorder="1" applyAlignment="1">
      <alignment vertical="center"/>
    </xf>
    <xf numFmtId="173" fontId="0" fillId="27" borderId="0" xfId="211" applyNumberFormat="1" applyFont="1" applyFill="1" applyBorder="1" applyAlignment="1">
      <alignment vertical="center"/>
    </xf>
    <xf numFmtId="173" fontId="0" fillId="27" borderId="31" xfId="211" applyNumberFormat="1" applyFont="1" applyFill="1" applyBorder="1" applyAlignment="1">
      <alignment vertical="center"/>
    </xf>
    <xf numFmtId="173" fontId="0" fillId="27" borderId="8" xfId="211" applyNumberFormat="1" applyFont="1" applyFill="1" applyBorder="1" applyAlignment="1">
      <alignment vertical="center"/>
    </xf>
    <xf numFmtId="173" fontId="0" fillId="27" borderId="32" xfId="211" applyNumberFormat="1" applyFont="1" applyFill="1" applyBorder="1" applyAlignment="1">
      <alignment vertical="center"/>
    </xf>
    <xf numFmtId="0" fontId="83" fillId="27" borderId="8" xfId="207" applyNumberFormat="1" applyFill="1" applyBorder="1" applyAlignment="1">
      <alignment horizontal="left" vertical="center"/>
    </xf>
    <xf numFmtId="168" fontId="0" fillId="27" borderId="8" xfId="151" applyNumberFormat="1" applyFont="1" applyFill="1" applyBorder="1" applyAlignment="1">
      <alignment vertical="center"/>
    </xf>
    <xf numFmtId="9" fontId="83" fillId="27" borderId="8" xfId="207" applyNumberFormat="1" applyFill="1" applyBorder="1" applyAlignment="1">
      <alignment vertical="center"/>
    </xf>
    <xf numFmtId="169" fontId="133" fillId="27" borderId="8" xfId="208" applyNumberFormat="1" applyFont="1" applyFill="1" applyBorder="1" applyAlignment="1">
      <alignment vertical="center"/>
    </xf>
    <xf numFmtId="169" fontId="133" fillId="27" borderId="0" xfId="208" applyNumberFormat="1" applyFont="1" applyFill="1" applyBorder="1" applyAlignment="1">
      <alignment horizontal="right" vertical="center"/>
    </xf>
    <xf numFmtId="0" fontId="83" fillId="27" borderId="26" xfId="207" applyNumberFormat="1" applyFill="1" applyBorder="1" applyAlignment="1">
      <alignment horizontal="left" vertical="center"/>
    </xf>
    <xf numFmtId="0" fontId="83" fillId="27" borderId="26" xfId="207" applyFill="1" applyBorder="1" applyAlignment="1">
      <alignment vertical="center"/>
    </xf>
    <xf numFmtId="168" fontId="0" fillId="27" borderId="26" xfId="151" applyNumberFormat="1" applyFont="1" applyFill="1" applyBorder="1" applyAlignment="1">
      <alignment vertical="center"/>
    </xf>
    <xf numFmtId="0" fontId="83" fillId="27" borderId="13" xfId="207" applyNumberFormat="1" applyFill="1" applyBorder="1" applyAlignment="1">
      <alignment horizontal="left" vertical="center"/>
    </xf>
    <xf numFmtId="0" fontId="83" fillId="27" borderId="13" xfId="207" applyFill="1" applyBorder="1" applyAlignment="1">
      <alignment vertical="center"/>
    </xf>
    <xf numFmtId="168" fontId="0" fillId="27" borderId="13" xfId="151" applyNumberFormat="1" applyFont="1" applyFill="1" applyBorder="1" applyAlignment="1">
      <alignment horizontal="center" vertical="center"/>
    </xf>
    <xf numFmtId="179" fontId="0" fillId="27" borderId="13" xfId="151" applyNumberFormat="1" applyFont="1" applyFill="1" applyBorder="1" applyAlignment="1">
      <alignment vertical="center"/>
    </xf>
    <xf numFmtId="168" fontId="0" fillId="27" borderId="8" xfId="151" applyNumberFormat="1" applyFont="1" applyFill="1" applyBorder="1" applyAlignment="1">
      <alignment horizontal="center" vertical="center"/>
    </xf>
    <xf numFmtId="179" fontId="0" fillId="27" borderId="0" xfId="151" applyNumberFormat="1" applyFont="1" applyFill="1" applyBorder="1" applyAlignment="1">
      <alignment vertical="center"/>
    </xf>
    <xf numFmtId="0" fontId="152" fillId="0" borderId="0" xfId="207" applyFont="1" applyBorder="1"/>
    <xf numFmtId="0" fontId="83" fillId="0" borderId="0" xfId="207" applyBorder="1"/>
    <xf numFmtId="0" fontId="121" fillId="0" borderId="0" xfId="207" applyFont="1" applyBorder="1"/>
    <xf numFmtId="0" fontId="83" fillId="0" borderId="0" xfId="207" applyAlignment="1">
      <alignment horizontal="right"/>
    </xf>
    <xf numFmtId="0" fontId="83" fillId="0" borderId="0" xfId="207" applyAlignment="1">
      <alignment horizontal="left"/>
    </xf>
    <xf numFmtId="0" fontId="83" fillId="0" borderId="0" xfId="207" applyFont="1"/>
    <xf numFmtId="0" fontId="121" fillId="0" borderId="0" xfId="207" applyFont="1" applyAlignment="1">
      <alignment horizontal="center"/>
    </xf>
    <xf numFmtId="175" fontId="83" fillId="0" borderId="0" xfId="207" applyNumberFormat="1"/>
    <xf numFmtId="2" fontId="83" fillId="0" borderId="0" xfId="207" applyNumberFormat="1"/>
    <xf numFmtId="0" fontId="83" fillId="0" borderId="26" xfId="207" applyBorder="1"/>
    <xf numFmtId="2" fontId="83" fillId="0" borderId="26" xfId="207" applyNumberFormat="1" applyBorder="1"/>
    <xf numFmtId="2" fontId="83" fillId="0" borderId="0" xfId="207" applyNumberFormat="1" applyBorder="1"/>
    <xf numFmtId="0" fontId="83" fillId="0" borderId="8" xfId="207" applyBorder="1"/>
    <xf numFmtId="2" fontId="83" fillId="0" borderId="8" xfId="207" applyNumberFormat="1" applyBorder="1"/>
    <xf numFmtId="0" fontId="121" fillId="0" borderId="0" xfId="207" applyFont="1"/>
    <xf numFmtId="0" fontId="121" fillId="0" borderId="8" xfId="207" applyFont="1" applyBorder="1" applyAlignment="1">
      <alignment horizontal="center"/>
    </xf>
    <xf numFmtId="183" fontId="83" fillId="0" borderId="0" xfId="207" applyNumberFormat="1"/>
    <xf numFmtId="183" fontId="83" fillId="0" borderId="8" xfId="207" applyNumberFormat="1" applyBorder="1"/>
    <xf numFmtId="183" fontId="83" fillId="0" borderId="0" xfId="207" applyNumberFormat="1" applyBorder="1"/>
    <xf numFmtId="175" fontId="83" fillId="0" borderId="0" xfId="207" applyNumberFormat="1" applyBorder="1"/>
    <xf numFmtId="175" fontId="83" fillId="0" borderId="8" xfId="207" applyNumberFormat="1" applyBorder="1"/>
    <xf numFmtId="0" fontId="83" fillId="0" borderId="0" xfId="207" applyFill="1" applyBorder="1"/>
    <xf numFmtId="0" fontId="101" fillId="0" borderId="0" xfId="207" applyFont="1"/>
    <xf numFmtId="169" fontId="83" fillId="0" borderId="0" xfId="207" applyNumberFormat="1"/>
    <xf numFmtId="175" fontId="121" fillId="0" borderId="0" xfId="207" applyNumberFormat="1" applyFont="1"/>
    <xf numFmtId="0" fontId="83" fillId="19" borderId="4" xfId="207" applyFill="1" applyBorder="1"/>
    <xf numFmtId="0" fontId="83" fillId="21" borderId="6" xfId="207" applyFill="1" applyBorder="1"/>
    <xf numFmtId="0" fontId="101" fillId="21" borderId="0" xfId="207" applyFont="1" applyFill="1" applyBorder="1"/>
    <xf numFmtId="0" fontId="83" fillId="21" borderId="0" xfId="207" applyFill="1" applyBorder="1" applyAlignment="1">
      <alignment horizontal="right"/>
    </xf>
    <xf numFmtId="0" fontId="116" fillId="21" borderId="5" xfId="207" applyFont="1" applyFill="1" applyBorder="1"/>
    <xf numFmtId="0" fontId="131" fillId="21" borderId="0" xfId="207" applyFont="1" applyFill="1" applyBorder="1" applyAlignment="1">
      <alignment vertical="center"/>
    </xf>
    <xf numFmtId="0" fontId="83" fillId="21" borderId="0" xfId="207" applyFont="1" applyFill="1" applyBorder="1" applyAlignment="1">
      <alignment vertical="center"/>
    </xf>
    <xf numFmtId="169" fontId="131" fillId="21" borderId="0" xfId="151" applyFont="1" applyFill="1" applyBorder="1" applyAlignment="1">
      <alignment vertical="center"/>
    </xf>
    <xf numFmtId="0" fontId="83" fillId="21" borderId="0" xfId="207" applyFill="1" applyBorder="1" applyAlignment="1">
      <alignment vertical="center"/>
    </xf>
    <xf numFmtId="169" fontId="83" fillId="21" borderId="0" xfId="207" applyNumberFormat="1" applyFont="1" applyFill="1" applyBorder="1" applyAlignment="1">
      <alignment vertical="center"/>
    </xf>
    <xf numFmtId="179" fontId="83" fillId="0" borderId="0" xfId="207" applyNumberFormat="1"/>
    <xf numFmtId="0" fontId="152" fillId="0" borderId="0" xfId="219" applyFont="1"/>
    <xf numFmtId="0" fontId="82" fillId="0" borderId="0" xfId="219"/>
    <xf numFmtId="0" fontId="122" fillId="19" borderId="2" xfId="219" applyFont="1" applyFill="1" applyBorder="1" applyAlignment="1">
      <alignment horizontal="left" vertical="center" indent="1"/>
    </xf>
    <xf numFmtId="0" fontId="82" fillId="19" borderId="3" xfId="219" applyFill="1" applyBorder="1"/>
    <xf numFmtId="0" fontId="82" fillId="21" borderId="5" xfId="219" applyFill="1" applyBorder="1"/>
    <xf numFmtId="0" fontId="82" fillId="21" borderId="0" xfId="219" applyFill="1" applyBorder="1"/>
    <xf numFmtId="0" fontId="157" fillId="16" borderId="46" xfId="219" applyFont="1" applyFill="1" applyBorder="1" applyAlignment="1">
      <alignment vertical="center"/>
    </xf>
    <xf numFmtId="0" fontId="144" fillId="21" borderId="0" xfId="219" applyFont="1" applyFill="1" applyBorder="1"/>
    <xf numFmtId="0" fontId="100" fillId="15" borderId="2" xfId="219" applyFont="1" applyFill="1" applyBorder="1" applyAlignment="1">
      <alignment horizontal="left" vertical="center" indent="1"/>
    </xf>
    <xf numFmtId="0" fontId="100" fillId="15" borderId="3" xfId="219" applyFont="1" applyFill="1" applyBorder="1" applyAlignment="1">
      <alignment vertical="center"/>
    </xf>
    <xf numFmtId="0" fontId="95" fillId="15" borderId="3" xfId="219" applyFont="1" applyFill="1" applyBorder="1"/>
    <xf numFmtId="0" fontId="95" fillId="15" borderId="3" xfId="219" applyFont="1" applyFill="1" applyBorder="1" applyAlignment="1">
      <alignment horizontal="right"/>
    </xf>
    <xf numFmtId="0" fontId="102" fillId="16" borderId="0" xfId="219" applyFont="1" applyFill="1" applyBorder="1" applyAlignment="1">
      <alignment horizontal="left" indent="1"/>
    </xf>
    <xf numFmtId="0" fontId="95" fillId="16" borderId="0" xfId="219" applyFont="1" applyFill="1" applyBorder="1" applyAlignment="1">
      <alignment vertical="center"/>
    </xf>
    <xf numFmtId="0" fontId="95" fillId="16" borderId="0" xfId="219" applyFont="1" applyFill="1" applyBorder="1"/>
    <xf numFmtId="0" fontId="102" fillId="24" borderId="0" xfId="219" applyFont="1" applyFill="1" applyBorder="1"/>
    <xf numFmtId="0" fontId="103" fillId="24" borderId="0" xfId="219" applyFont="1" applyFill="1" applyBorder="1" applyAlignment="1">
      <alignment vertical="center"/>
    </xf>
    <xf numFmtId="0" fontId="95" fillId="24" borderId="0" xfId="219" applyFont="1" applyFill="1" applyBorder="1" applyAlignment="1">
      <alignment vertical="center"/>
    </xf>
    <xf numFmtId="0" fontId="122" fillId="26" borderId="2" xfId="221" applyFont="1" applyFill="1" applyBorder="1" applyAlignment="1">
      <alignment horizontal="left" vertical="center" indent="1"/>
    </xf>
    <xf numFmtId="0" fontId="82" fillId="26" borderId="3" xfId="221" applyFill="1" applyBorder="1" applyAlignment="1">
      <alignment vertical="center"/>
    </xf>
    <xf numFmtId="0" fontId="82" fillId="26" borderId="3" xfId="222" applyFill="1" applyBorder="1" applyAlignment="1">
      <alignment vertical="center"/>
    </xf>
    <xf numFmtId="0" fontId="82" fillId="27" borderId="5" xfId="219" applyFill="1" applyBorder="1"/>
    <xf numFmtId="0" fontId="82" fillId="27" borderId="0" xfId="219" applyFill="1" applyBorder="1"/>
    <xf numFmtId="0" fontId="101" fillId="27" borderId="0" xfId="219" applyFont="1" applyFill="1" applyBorder="1"/>
    <xf numFmtId="0" fontId="82" fillId="27" borderId="0" xfId="219" applyFill="1" applyBorder="1" applyAlignment="1">
      <alignment horizontal="right"/>
    </xf>
    <xf numFmtId="0" fontId="132" fillId="27" borderId="7" xfId="219" applyFont="1" applyFill="1" applyBorder="1" applyAlignment="1">
      <alignment vertical="center"/>
    </xf>
    <xf numFmtId="0" fontId="132" fillId="27" borderId="7" xfId="219" applyNumberFormat="1" applyFont="1" applyFill="1" applyBorder="1" applyAlignment="1">
      <alignment horizontal="right" vertical="center"/>
    </xf>
    <xf numFmtId="0" fontId="132" fillId="27" borderId="23" xfId="219" applyNumberFormat="1" applyFont="1" applyFill="1" applyBorder="1" applyAlignment="1">
      <alignment horizontal="right" vertical="center"/>
    </xf>
    <xf numFmtId="0" fontId="82" fillId="27" borderId="0" xfId="219" applyNumberFormat="1" applyFill="1" applyBorder="1" applyAlignment="1">
      <alignment vertical="center"/>
    </xf>
    <xf numFmtId="0" fontId="82" fillId="27" borderId="0" xfId="219" applyFill="1" applyBorder="1" applyAlignment="1">
      <alignment vertical="center"/>
    </xf>
    <xf numFmtId="9" fontId="82" fillId="27" borderId="0" xfId="219" applyNumberFormat="1" applyFill="1" applyBorder="1" applyAlignment="1">
      <alignment vertical="center"/>
    </xf>
    <xf numFmtId="169" fontId="156" fillId="27" borderId="0" xfId="220" applyNumberFormat="1" applyFont="1" applyFill="1" applyBorder="1" applyAlignment="1">
      <alignment vertical="center"/>
    </xf>
    <xf numFmtId="169" fontId="133" fillId="27" borderId="0" xfId="220" applyNumberFormat="1" applyFont="1" applyFill="1" applyBorder="1" applyAlignment="1">
      <alignment vertical="center"/>
    </xf>
    <xf numFmtId="0" fontId="82" fillId="27" borderId="15" xfId="219" applyNumberFormat="1" applyFill="1" applyBorder="1" applyAlignment="1">
      <alignment vertical="center"/>
    </xf>
    <xf numFmtId="0" fontId="82" fillId="27" borderId="15" xfId="219" applyFill="1" applyBorder="1" applyAlignment="1">
      <alignment vertical="center"/>
    </xf>
    <xf numFmtId="0" fontId="82" fillId="27" borderId="17" xfId="219" applyNumberFormat="1" applyFill="1" applyBorder="1" applyAlignment="1">
      <alignment horizontal="center" vertical="center"/>
    </xf>
    <xf numFmtId="0" fontId="82" fillId="27" borderId="17" xfId="219" applyFill="1" applyBorder="1" applyAlignment="1">
      <alignment vertical="center"/>
    </xf>
    <xf numFmtId="0" fontId="82" fillId="27" borderId="0" xfId="219" applyNumberFormat="1" applyFill="1" applyBorder="1" applyAlignment="1">
      <alignment horizontal="center" vertical="center"/>
    </xf>
    <xf numFmtId="0" fontId="82" fillId="27" borderId="8" xfId="219" applyFill="1" applyBorder="1" applyAlignment="1">
      <alignment vertical="center"/>
    </xf>
    <xf numFmtId="9" fontId="82" fillId="27" borderId="8" xfId="219" applyNumberFormat="1" applyFill="1" applyBorder="1" applyAlignment="1">
      <alignment vertical="center"/>
    </xf>
    <xf numFmtId="169" fontId="133" fillId="27" borderId="8" xfId="220" applyNumberFormat="1" applyFont="1" applyFill="1" applyBorder="1" applyAlignment="1">
      <alignment vertical="center"/>
    </xf>
    <xf numFmtId="0" fontId="82" fillId="0" borderId="0" xfId="221"/>
    <xf numFmtId="169" fontId="82" fillId="0" borderId="0" xfId="221" applyNumberFormat="1"/>
    <xf numFmtId="178" fontId="82" fillId="0" borderId="0" xfId="221" applyNumberFormat="1"/>
    <xf numFmtId="10" fontId="82" fillId="0" borderId="0" xfId="221" applyNumberFormat="1"/>
    <xf numFmtId="170" fontId="82" fillId="0" borderId="0" xfId="221" applyNumberFormat="1"/>
    <xf numFmtId="1" fontId="82" fillId="0" borderId="0" xfId="221" applyNumberFormat="1"/>
    <xf numFmtId="168" fontId="82" fillId="0" borderId="0" xfId="221" applyNumberFormat="1"/>
    <xf numFmtId="175" fontId="82" fillId="0" borderId="0" xfId="221" applyNumberFormat="1"/>
    <xf numFmtId="176" fontId="82" fillId="0" borderId="0" xfId="221" applyNumberFormat="1"/>
    <xf numFmtId="167" fontId="82" fillId="0" borderId="0" xfId="221" applyNumberFormat="1"/>
    <xf numFmtId="9" fontId="82" fillId="0" borderId="0" xfId="221" applyNumberFormat="1"/>
    <xf numFmtId="173" fontId="82" fillId="0" borderId="0" xfId="221" applyNumberFormat="1"/>
    <xf numFmtId="179" fontId="82" fillId="0" borderId="0" xfId="221" applyNumberFormat="1"/>
    <xf numFmtId="0" fontId="101" fillId="0" borderId="0" xfId="221" applyFont="1"/>
    <xf numFmtId="0" fontId="134" fillId="0" borderId="0" xfId="221" applyFont="1"/>
    <xf numFmtId="0" fontId="82" fillId="21" borderId="6" xfId="221" applyFill="1" applyBorder="1"/>
    <xf numFmtId="169" fontId="82" fillId="21" borderId="0" xfId="221" applyNumberFormat="1" applyFont="1" applyFill="1" applyBorder="1" applyAlignment="1">
      <alignment vertical="center"/>
    </xf>
    <xf numFmtId="0" fontId="82" fillId="21" borderId="0" xfId="221" applyFill="1" applyBorder="1" applyAlignment="1">
      <alignment vertical="center"/>
    </xf>
    <xf numFmtId="0" fontId="116" fillId="21" borderId="5" xfId="221" applyFont="1" applyFill="1" applyBorder="1"/>
    <xf numFmtId="0" fontId="131" fillId="21" borderId="0" xfId="221" applyFont="1" applyFill="1" applyBorder="1" applyAlignment="1">
      <alignment vertical="center"/>
    </xf>
    <xf numFmtId="0" fontId="82" fillId="21" borderId="0" xfId="221" applyFill="1" applyBorder="1"/>
    <xf numFmtId="0" fontId="82" fillId="21" borderId="5" xfId="221" applyFill="1" applyBorder="1"/>
    <xf numFmtId="0" fontId="82" fillId="21" borderId="0" xfId="221" applyFill="1" applyBorder="1" applyAlignment="1">
      <alignment horizontal="right"/>
    </xf>
    <xf numFmtId="0" fontId="101" fillId="21" borderId="0" xfId="221" applyFont="1" applyFill="1" applyBorder="1"/>
    <xf numFmtId="0" fontId="82" fillId="19" borderId="4" xfId="221" applyFill="1" applyBorder="1"/>
    <xf numFmtId="0" fontId="82" fillId="19" borderId="3" xfId="221" applyFill="1" applyBorder="1"/>
    <xf numFmtId="0" fontId="122" fillId="19" borderId="2" xfId="221" applyFont="1" applyFill="1" applyBorder="1" applyAlignment="1">
      <alignment horizontal="left" vertical="center" indent="1"/>
    </xf>
    <xf numFmtId="0" fontId="82" fillId="0" borderId="0" xfId="221" applyFont="1"/>
    <xf numFmtId="0" fontId="82" fillId="0" borderId="0" xfId="221" applyAlignment="1">
      <alignment horizontal="right"/>
    </xf>
    <xf numFmtId="0" fontId="82" fillId="0" borderId="0" xfId="221" applyAlignment="1">
      <alignment horizontal="left"/>
    </xf>
    <xf numFmtId="175" fontId="121" fillId="0" borderId="0" xfId="221" applyNumberFormat="1" applyFont="1"/>
    <xf numFmtId="4" fontId="121" fillId="0" borderId="0" xfId="221" applyNumberFormat="1" applyFont="1"/>
    <xf numFmtId="0" fontId="120" fillId="0" borderId="0" xfId="221" applyFont="1"/>
    <xf numFmtId="0" fontId="121" fillId="0" borderId="0" xfId="221" applyFont="1" applyAlignment="1">
      <alignment horizontal="right"/>
    </xf>
    <xf numFmtId="4" fontId="82" fillId="0" borderId="0" xfId="221" applyNumberFormat="1"/>
    <xf numFmtId="0" fontId="121" fillId="0" borderId="0" xfId="221" applyFont="1" applyBorder="1"/>
    <xf numFmtId="184" fontId="82" fillId="0" borderId="0" xfId="221" applyNumberFormat="1" applyFont="1"/>
    <xf numFmtId="184" fontId="82" fillId="0" borderId="0" xfId="221" applyNumberFormat="1"/>
    <xf numFmtId="185" fontId="121" fillId="0" borderId="0" xfId="221" applyNumberFormat="1" applyFont="1" applyBorder="1"/>
    <xf numFmtId="0" fontId="121" fillId="0" borderId="0" xfId="221" applyFont="1" applyBorder="1" applyAlignment="1">
      <alignment horizontal="right"/>
    </xf>
    <xf numFmtId="0" fontId="82" fillId="0" borderId="0" xfId="221" applyBorder="1" applyAlignment="1">
      <alignment horizontal="left"/>
    </xf>
    <xf numFmtId="0" fontId="82" fillId="0" borderId="0" xfId="221" applyBorder="1"/>
    <xf numFmtId="185" fontId="82" fillId="0" borderId="0" xfId="221" applyNumberFormat="1"/>
    <xf numFmtId="0" fontId="121" fillId="0" borderId="0" xfId="221" applyFont="1"/>
    <xf numFmtId="185" fontId="121" fillId="0" borderId="0" xfId="221" applyNumberFormat="1" applyFont="1"/>
    <xf numFmtId="183" fontId="82" fillId="0" borderId="0" xfId="221" applyNumberFormat="1"/>
    <xf numFmtId="0" fontId="121" fillId="0" borderId="0" xfId="221" applyFont="1" applyAlignment="1">
      <alignment horizontal="center"/>
    </xf>
    <xf numFmtId="169" fontId="82" fillId="0" borderId="0" xfId="221" applyNumberFormat="1" applyAlignment="1">
      <alignment horizontal="left"/>
    </xf>
    <xf numFmtId="169" fontId="121" fillId="0" borderId="0" xfId="221" applyNumberFormat="1" applyFont="1"/>
    <xf numFmtId="0" fontId="82" fillId="27" borderId="0" xfId="221" applyFill="1" applyBorder="1"/>
    <xf numFmtId="0" fontId="82" fillId="27" borderId="8" xfId="221" applyFill="1" applyBorder="1" applyAlignment="1"/>
    <xf numFmtId="0" fontId="82" fillId="27" borderId="8" xfId="221" applyFill="1" applyBorder="1" applyAlignment="1">
      <alignment horizontal="center"/>
    </xf>
    <xf numFmtId="0" fontId="82" fillId="27" borderId="8" xfId="221" applyFill="1" applyBorder="1"/>
    <xf numFmtId="0" fontId="82" fillId="27" borderId="0" xfId="221" applyFill="1" applyBorder="1" applyAlignment="1"/>
    <xf numFmtId="0" fontId="82" fillId="27" borderId="0" xfId="221" applyFill="1" applyBorder="1" applyAlignment="1">
      <alignment horizontal="center"/>
    </xf>
    <xf numFmtId="0" fontId="132" fillId="27" borderId="7" xfId="221" applyNumberFormat="1" applyFont="1" applyFill="1" applyBorder="1" applyAlignment="1">
      <alignment horizontal="right" vertical="center"/>
    </xf>
    <xf numFmtId="0" fontId="132" fillId="27" borderId="23" xfId="221" applyNumberFormat="1" applyFont="1" applyFill="1" applyBorder="1" applyAlignment="1">
      <alignment horizontal="right" vertical="center"/>
    </xf>
    <xf numFmtId="0" fontId="132" fillId="27" borderId="7" xfId="221" applyFont="1" applyFill="1" applyBorder="1" applyAlignment="1">
      <alignment vertical="center"/>
    </xf>
    <xf numFmtId="0" fontId="101" fillId="27" borderId="0" xfId="221" applyFont="1" applyFill="1" applyBorder="1"/>
    <xf numFmtId="0" fontId="121" fillId="27" borderId="0" xfId="221" applyFont="1" applyFill="1" applyBorder="1"/>
    <xf numFmtId="0" fontId="82" fillId="27" borderId="8" xfId="221" applyNumberFormat="1" applyFill="1" applyBorder="1" applyAlignment="1">
      <alignment vertical="center"/>
    </xf>
    <xf numFmtId="179" fontId="133" fillId="27" borderId="0" xfId="220" applyNumberFormat="1" applyFont="1" applyFill="1" applyBorder="1" applyAlignment="1">
      <alignment vertical="center"/>
    </xf>
    <xf numFmtId="179" fontId="156" fillId="27" borderId="0" xfId="220" applyNumberFormat="1" applyFont="1" applyFill="1" applyBorder="1" applyAlignment="1">
      <alignment vertical="center"/>
    </xf>
    <xf numFmtId="0" fontId="82" fillId="27" borderId="0" xfId="221" applyNumberFormat="1" applyFill="1" applyBorder="1" applyAlignment="1">
      <alignment vertical="center"/>
    </xf>
    <xf numFmtId="0" fontId="82" fillId="27" borderId="5" xfId="221" applyFill="1" applyBorder="1"/>
    <xf numFmtId="173" fontId="0" fillId="27" borderId="0" xfId="223" applyNumberFormat="1" applyFont="1" applyFill="1" applyBorder="1" applyAlignment="1">
      <alignment horizontal="center"/>
    </xf>
    <xf numFmtId="173" fontId="0" fillId="27" borderId="8" xfId="223" applyNumberFormat="1" applyFont="1" applyFill="1" applyBorder="1" applyAlignment="1">
      <alignment horizontal="center"/>
    </xf>
    <xf numFmtId="173" fontId="0" fillId="27" borderId="28" xfId="223" applyNumberFormat="1" applyFont="1" applyFill="1" applyBorder="1" applyAlignment="1">
      <alignment horizontal="center"/>
    </xf>
    <xf numFmtId="173" fontId="0" fillId="27" borderId="27" xfId="223" applyNumberFormat="1" applyFont="1" applyFill="1" applyBorder="1" applyAlignment="1">
      <alignment horizontal="center"/>
    </xf>
    <xf numFmtId="173" fontId="0" fillId="27" borderId="51" xfId="223" applyNumberFormat="1" applyFont="1" applyFill="1" applyBorder="1" applyAlignment="1">
      <alignment horizontal="center"/>
    </xf>
    <xf numFmtId="0" fontId="132" fillId="27" borderId="7" xfId="221" applyFont="1" applyFill="1" applyBorder="1" applyAlignment="1">
      <alignment horizontal="center" vertical="center"/>
    </xf>
    <xf numFmtId="0" fontId="132" fillId="27" borderId="7" xfId="221" applyNumberFormat="1" applyFont="1" applyFill="1" applyBorder="1" applyAlignment="1">
      <alignment horizontal="center" vertical="center"/>
    </xf>
    <xf numFmtId="168" fontId="156" fillId="27" borderId="0" xfId="220" applyNumberFormat="1" applyFont="1" applyFill="1" applyBorder="1" applyAlignment="1">
      <alignment vertical="center"/>
    </xf>
    <xf numFmtId="0" fontId="82" fillId="27" borderId="0" xfId="221" applyFill="1" applyBorder="1" applyAlignment="1">
      <alignment horizontal="right"/>
    </xf>
    <xf numFmtId="0" fontId="82" fillId="27" borderId="0" xfId="221" applyFill="1" applyBorder="1" applyAlignment="1">
      <alignment horizontal="left"/>
    </xf>
    <xf numFmtId="0" fontId="82" fillId="27" borderId="17" xfId="221" applyFill="1" applyBorder="1" applyAlignment="1">
      <alignment vertical="center"/>
    </xf>
    <xf numFmtId="0" fontId="82" fillId="27" borderId="17" xfId="221" applyNumberFormat="1" applyFill="1" applyBorder="1" applyAlignment="1">
      <alignment horizontal="center" vertical="center"/>
    </xf>
    <xf numFmtId="0" fontId="144" fillId="21" borderId="0" xfId="221" applyFont="1" applyFill="1" applyBorder="1"/>
    <xf numFmtId="0" fontId="157" fillId="16" borderId="46" xfId="221" applyFont="1" applyFill="1" applyBorder="1" applyAlignment="1">
      <alignment vertical="center"/>
    </xf>
    <xf numFmtId="0" fontId="152" fillId="0" borderId="0" xfId="221" applyFont="1"/>
    <xf numFmtId="0" fontId="123" fillId="0" borderId="0" xfId="224" applyFont="1"/>
    <xf numFmtId="0" fontId="81" fillId="0" borderId="0" xfId="224"/>
    <xf numFmtId="0" fontId="129" fillId="0" borderId="0" xfId="224" applyFont="1" applyAlignment="1">
      <alignment vertical="center"/>
    </xf>
    <xf numFmtId="0" fontId="81" fillId="0" borderId="0" xfId="224" applyAlignment="1">
      <alignment vertical="center"/>
    </xf>
    <xf numFmtId="2" fontId="81" fillId="0" borderId="0" xfId="224" applyNumberFormat="1"/>
    <xf numFmtId="0" fontId="130" fillId="0" borderId="0" xfId="224" applyFont="1"/>
    <xf numFmtId="0" fontId="122" fillId="19" borderId="2" xfId="224" applyFont="1" applyFill="1" applyBorder="1" applyAlignment="1">
      <alignment horizontal="left" vertical="center" indent="1"/>
    </xf>
    <xf numFmtId="0" fontId="81" fillId="19" borderId="3" xfId="224" applyFill="1" applyBorder="1"/>
    <xf numFmtId="0" fontId="81" fillId="21" borderId="5" xfId="224" applyFill="1" applyBorder="1"/>
    <xf numFmtId="0" fontId="81" fillId="21" borderId="0" xfId="224" applyFill="1" applyBorder="1"/>
    <xf numFmtId="0" fontId="81" fillId="21" borderId="0" xfId="224" applyFont="1" applyFill="1" applyBorder="1"/>
    <xf numFmtId="0" fontId="81" fillId="21" borderId="0" xfId="224" applyFill="1" applyBorder="1" applyAlignment="1">
      <alignment horizontal="right"/>
    </xf>
    <xf numFmtId="0" fontId="116" fillId="21" borderId="5" xfId="224" applyFont="1" applyFill="1" applyBorder="1"/>
    <xf numFmtId="0" fontId="101" fillId="21" borderId="7" xfId="224" applyFont="1" applyFill="1" applyBorder="1" applyAlignment="1">
      <alignment vertical="center"/>
    </xf>
    <xf numFmtId="0" fontId="81" fillId="21" borderId="0" xfId="224" applyFill="1" applyBorder="1" applyAlignment="1">
      <alignment vertical="center"/>
    </xf>
    <xf numFmtId="0" fontId="95" fillId="0" borderId="0" xfId="224" applyFont="1" applyFill="1"/>
    <xf numFmtId="0" fontId="100" fillId="15" borderId="2" xfId="224" applyFont="1" applyFill="1" applyBorder="1" applyAlignment="1">
      <alignment horizontal="left" vertical="center" indent="1"/>
    </xf>
    <xf numFmtId="0" fontId="100" fillId="15" borderId="3" xfId="224" applyFont="1" applyFill="1" applyBorder="1" applyAlignment="1">
      <alignment vertical="center"/>
    </xf>
    <xf numFmtId="0" fontId="95" fillId="15" borderId="3" xfId="224" applyFont="1" applyFill="1" applyBorder="1"/>
    <xf numFmtId="0" fontId="95" fillId="15" borderId="3" xfId="224" applyFont="1" applyFill="1" applyBorder="1" applyAlignment="1">
      <alignment horizontal="right"/>
    </xf>
    <xf numFmtId="0" fontId="118" fillId="0" borderId="0" xfId="224" applyFont="1" applyAlignment="1">
      <alignment vertical="center"/>
    </xf>
    <xf numFmtId="0" fontId="117" fillId="0" borderId="0" xfId="224" applyFont="1" applyAlignment="1">
      <alignment vertical="center"/>
    </xf>
    <xf numFmtId="167" fontId="117" fillId="0" borderId="0" xfId="224" applyNumberFormat="1" applyFont="1" applyAlignment="1">
      <alignment vertical="center"/>
    </xf>
    <xf numFmtId="0" fontId="102" fillId="16" borderId="0" xfId="224" applyFont="1" applyFill="1" applyBorder="1" applyAlignment="1">
      <alignment horizontal="left" indent="1"/>
    </xf>
    <xf numFmtId="0" fontId="95" fillId="16" borderId="0" xfId="224" applyFont="1" applyFill="1" applyBorder="1" applyAlignment="1">
      <alignment vertical="center"/>
    </xf>
    <xf numFmtId="0" fontId="95" fillId="16" borderId="0" xfId="224" applyFont="1" applyFill="1" applyBorder="1"/>
    <xf numFmtId="0" fontId="103" fillId="24" borderId="0" xfId="224" applyFont="1" applyFill="1" applyBorder="1"/>
    <xf numFmtId="0" fontId="95" fillId="24" borderId="0" xfId="224" applyFont="1" applyFill="1" applyBorder="1"/>
    <xf numFmtId="0" fontId="105" fillId="24" borderId="7" xfId="224" applyFont="1" applyFill="1" applyBorder="1" applyAlignment="1">
      <alignment vertical="center"/>
    </xf>
    <xf numFmtId="0" fontId="105" fillId="24" borderId="7" xfId="224" applyFont="1" applyFill="1" applyBorder="1" applyAlignment="1">
      <alignment horizontal="right" vertical="center"/>
    </xf>
    <xf numFmtId="0" fontId="95" fillId="24" borderId="18" xfId="224" applyFont="1" applyFill="1" applyBorder="1" applyAlignment="1">
      <alignment vertical="center"/>
    </xf>
    <xf numFmtId="0" fontId="103" fillId="24" borderId="18" xfId="224" applyFont="1" applyFill="1" applyBorder="1" applyAlignment="1">
      <alignment vertical="center"/>
    </xf>
    <xf numFmtId="0" fontId="102" fillId="24" borderId="0" xfId="224" applyFont="1" applyFill="1" applyBorder="1"/>
    <xf numFmtId="0" fontId="95" fillId="24" borderId="0" xfId="224" applyFont="1" applyFill="1" applyBorder="1" applyAlignment="1">
      <alignment vertical="center"/>
    </xf>
    <xf numFmtId="0" fontId="103" fillId="24" borderId="0" xfId="224" applyFont="1" applyFill="1" applyBorder="1" applyAlignment="1">
      <alignment vertical="center"/>
    </xf>
    <xf numFmtId="168" fontId="127" fillId="24" borderId="0" xfId="225" applyNumberFormat="1" applyFont="1" applyFill="1" applyBorder="1" applyAlignment="1">
      <alignment vertical="center"/>
    </xf>
    <xf numFmtId="0" fontId="81" fillId="0" borderId="0" xfId="226"/>
    <xf numFmtId="0" fontId="122" fillId="26" borderId="2" xfId="227" applyFont="1" applyFill="1" applyBorder="1" applyAlignment="1">
      <alignment horizontal="left" vertical="center" indent="1"/>
    </xf>
    <xf numFmtId="0" fontId="81" fillId="26" borderId="3" xfId="227" applyFill="1" applyBorder="1" applyAlignment="1">
      <alignment vertical="center"/>
    </xf>
    <xf numFmtId="0" fontId="81" fillId="26" borderId="3" xfId="226" applyFill="1" applyBorder="1" applyAlignment="1">
      <alignment vertical="center"/>
    </xf>
    <xf numFmtId="0" fontId="81" fillId="27" borderId="5" xfId="224" applyFill="1" applyBorder="1"/>
    <xf numFmtId="0" fontId="81" fillId="27" borderId="0" xfId="224" applyFill="1" applyBorder="1"/>
    <xf numFmtId="0" fontId="101" fillId="27" borderId="0" xfId="224" applyFont="1" applyFill="1" applyBorder="1"/>
    <xf numFmtId="0" fontId="81" fillId="27" borderId="0" xfId="224" applyFill="1" applyBorder="1" applyAlignment="1">
      <alignment horizontal="right"/>
    </xf>
    <xf numFmtId="0" fontId="132" fillId="27" borderId="7" xfId="224" applyFont="1" applyFill="1" applyBorder="1" applyAlignment="1">
      <alignment vertical="center"/>
    </xf>
    <xf numFmtId="0" fontId="132" fillId="27" borderId="7" xfId="224" applyNumberFormat="1" applyFont="1" applyFill="1" applyBorder="1" applyAlignment="1">
      <alignment horizontal="right" vertical="center"/>
    </xf>
    <xf numFmtId="0" fontId="81" fillId="27" borderId="0" xfId="224" applyNumberFormat="1" applyFill="1" applyBorder="1" applyAlignment="1">
      <alignment vertical="center"/>
    </xf>
    <xf numFmtId="0" fontId="81" fillId="27" borderId="0" xfId="224" applyFill="1" applyBorder="1" applyAlignment="1">
      <alignment vertical="center"/>
    </xf>
    <xf numFmtId="9" fontId="81" fillId="27" borderId="0" xfId="224" applyNumberFormat="1" applyFill="1" applyBorder="1" applyAlignment="1">
      <alignment vertical="center"/>
    </xf>
    <xf numFmtId="0" fontId="81" fillId="27" borderId="17" xfId="224" applyNumberFormat="1" applyFill="1" applyBorder="1" applyAlignment="1">
      <alignment horizontal="center" vertical="center"/>
    </xf>
    <xf numFmtId="0" fontId="81" fillId="27" borderId="17" xfId="224" applyFill="1" applyBorder="1" applyAlignment="1">
      <alignment vertical="center"/>
    </xf>
    <xf numFmtId="0" fontId="121" fillId="27" borderId="0" xfId="224" applyFont="1" applyFill="1" applyBorder="1"/>
    <xf numFmtId="0" fontId="116" fillId="27" borderId="5" xfId="224" applyFont="1" applyFill="1" applyBorder="1"/>
    <xf numFmtId="167" fontId="156" fillId="27" borderId="0" xfId="225" applyNumberFormat="1" applyFont="1" applyFill="1" applyBorder="1" applyAlignment="1">
      <alignment vertical="center"/>
    </xf>
    <xf numFmtId="167" fontId="133" fillId="27" borderId="0" xfId="225" applyNumberFormat="1" applyFont="1" applyFill="1" applyBorder="1" applyAlignment="1">
      <alignment vertical="center"/>
    </xf>
    <xf numFmtId="167" fontId="133" fillId="27" borderId="0" xfId="225" applyNumberFormat="1" applyFont="1" applyFill="1" applyBorder="1" applyAlignment="1">
      <alignment horizontal="right" vertical="center"/>
    </xf>
    <xf numFmtId="0" fontId="81" fillId="27" borderId="8" xfId="224" applyNumberFormat="1" applyFill="1" applyBorder="1" applyAlignment="1">
      <alignment vertical="center"/>
    </xf>
    <xf numFmtId="0" fontId="81" fillId="27" borderId="8" xfId="224" applyFill="1" applyBorder="1" applyAlignment="1">
      <alignment vertical="center"/>
    </xf>
    <xf numFmtId="167" fontId="156" fillId="27" borderId="8" xfId="225" applyNumberFormat="1" applyFont="1" applyFill="1" applyBorder="1" applyAlignment="1">
      <alignment vertical="center"/>
    </xf>
    <xf numFmtId="167" fontId="133" fillId="27" borderId="8" xfId="225" applyNumberFormat="1" applyFont="1" applyFill="1" applyBorder="1" applyAlignment="1">
      <alignment horizontal="right" vertical="center"/>
    </xf>
    <xf numFmtId="0" fontId="81" fillId="27" borderId="26" xfId="224" applyNumberFormat="1" applyFill="1" applyBorder="1" applyAlignment="1">
      <alignment vertical="center"/>
    </xf>
    <xf numFmtId="0" fontId="81" fillId="27" borderId="26" xfId="224" applyFill="1" applyBorder="1" applyAlignment="1">
      <alignment vertical="center"/>
    </xf>
    <xf numFmtId="167" fontId="156" fillId="27" borderId="26" xfId="225" applyNumberFormat="1" applyFont="1" applyFill="1" applyBorder="1" applyAlignment="1">
      <alignment vertical="center"/>
    </xf>
    <xf numFmtId="179" fontId="156" fillId="27" borderId="0" xfId="225" applyNumberFormat="1" applyFont="1" applyFill="1" applyBorder="1" applyAlignment="1">
      <alignment vertical="center"/>
    </xf>
    <xf numFmtId="179" fontId="133" fillId="27" borderId="0" xfId="225" applyNumberFormat="1" applyFont="1" applyFill="1" applyBorder="1" applyAlignment="1">
      <alignment vertical="center"/>
    </xf>
    <xf numFmtId="179" fontId="133" fillId="27" borderId="0" xfId="225" applyNumberFormat="1" applyFont="1" applyFill="1" applyBorder="1" applyAlignment="1">
      <alignment horizontal="right" vertical="center"/>
    </xf>
    <xf numFmtId="179" fontId="156" fillId="27" borderId="8" xfId="225" applyNumberFormat="1" applyFont="1" applyFill="1" applyBorder="1" applyAlignment="1">
      <alignment vertical="center"/>
    </xf>
    <xf numFmtId="179" fontId="133" fillId="27" borderId="8" xfId="225" applyNumberFormat="1" applyFont="1" applyFill="1" applyBorder="1" applyAlignment="1">
      <alignment horizontal="right" vertical="center"/>
    </xf>
    <xf numFmtId="0" fontId="81" fillId="27" borderId="29" xfId="224" applyFill="1" applyBorder="1"/>
    <xf numFmtId="0" fontId="132" fillId="27" borderId="0" xfId="224" applyFont="1" applyFill="1" applyBorder="1" applyAlignment="1">
      <alignment vertical="center"/>
    </xf>
    <xf numFmtId="9" fontId="133" fillId="27" borderId="0" xfId="228" applyFont="1" applyFill="1" applyBorder="1" applyAlignment="1">
      <alignment vertical="center"/>
    </xf>
    <xf numFmtId="0" fontId="132" fillId="27" borderId="8" xfId="224" applyFont="1" applyFill="1" applyBorder="1" applyAlignment="1">
      <alignment vertical="center"/>
    </xf>
    <xf numFmtId="0" fontId="81" fillId="27" borderId="8" xfId="224" applyFill="1" applyBorder="1"/>
    <xf numFmtId="9" fontId="133" fillId="27" borderId="8" xfId="228" applyFont="1" applyFill="1" applyBorder="1" applyAlignment="1">
      <alignment horizontal="right" vertical="center"/>
    </xf>
    <xf numFmtId="9" fontId="133" fillId="27" borderId="8" xfId="228" applyFont="1" applyFill="1" applyBorder="1" applyAlignment="1">
      <alignment vertical="center"/>
    </xf>
    <xf numFmtId="0" fontId="81" fillId="27" borderId="13" xfId="224" applyFill="1" applyBorder="1" applyAlignment="1">
      <alignment vertical="center"/>
    </xf>
    <xf numFmtId="9" fontId="133" fillId="27" borderId="13" xfId="228" applyFont="1" applyFill="1" applyBorder="1" applyAlignment="1">
      <alignment vertical="center"/>
    </xf>
    <xf numFmtId="0" fontId="132" fillId="27" borderId="13" xfId="224" applyFont="1" applyFill="1" applyBorder="1" applyAlignment="1">
      <alignment vertical="center"/>
    </xf>
    <xf numFmtId="9" fontId="133" fillId="27" borderId="0" xfId="228" applyFont="1" applyFill="1" applyBorder="1" applyAlignment="1">
      <alignment horizontal="center" vertical="center"/>
    </xf>
    <xf numFmtId="9" fontId="133" fillId="27" borderId="0" xfId="228" applyFont="1" applyFill="1" applyBorder="1" applyAlignment="1">
      <alignment horizontal="right" vertical="center"/>
    </xf>
    <xf numFmtId="168" fontId="139" fillId="27" borderId="8" xfId="224" applyNumberFormat="1" applyFont="1" applyFill="1" applyBorder="1" applyAlignment="1">
      <alignment vertical="center"/>
    </xf>
    <xf numFmtId="2" fontId="133" fillId="27" borderId="0" xfId="228" applyNumberFormat="1" applyFont="1" applyFill="1" applyBorder="1" applyAlignment="1">
      <alignment horizontal="center" vertical="center"/>
    </xf>
    <xf numFmtId="2" fontId="81" fillId="27" borderId="0" xfId="224" applyNumberFormat="1" applyFill="1" applyBorder="1"/>
    <xf numFmtId="2" fontId="133" fillId="27" borderId="8" xfId="228" applyNumberFormat="1" applyFont="1" applyFill="1" applyBorder="1" applyAlignment="1">
      <alignment horizontal="center" vertical="center"/>
    </xf>
    <xf numFmtId="0" fontId="121" fillId="27" borderId="0" xfId="224" applyNumberFormat="1" applyFont="1" applyFill="1" applyBorder="1" applyAlignment="1">
      <alignment vertical="center"/>
    </xf>
    <xf numFmtId="2" fontId="81" fillId="27" borderId="8" xfId="224" applyNumberFormat="1" applyFill="1" applyBorder="1"/>
    <xf numFmtId="0" fontId="81" fillId="27" borderId="0" xfId="224" applyNumberFormat="1" applyFill="1" applyBorder="1" applyAlignment="1">
      <alignment horizontal="left" vertical="center"/>
    </xf>
    <xf numFmtId="0" fontId="81" fillId="27" borderId="8" xfId="224" applyNumberFormat="1" applyFill="1" applyBorder="1" applyAlignment="1">
      <alignment horizontal="left" vertical="center"/>
    </xf>
    <xf numFmtId="9" fontId="133" fillId="27" borderId="0" xfId="228" applyFont="1" applyFill="1" applyBorder="1" applyAlignment="1">
      <alignment horizontal="left" vertical="center"/>
    </xf>
    <xf numFmtId="0" fontId="122" fillId="26" borderId="2" xfId="224" applyFont="1" applyFill="1" applyBorder="1" applyAlignment="1">
      <alignment horizontal="left" vertical="center" indent="1"/>
    </xf>
    <xf numFmtId="0" fontId="81" fillId="26" borderId="3" xfId="224" applyFill="1" applyBorder="1" applyAlignment="1">
      <alignment vertical="center"/>
    </xf>
    <xf numFmtId="0" fontId="81" fillId="26" borderId="4" xfId="224" applyFill="1" applyBorder="1" applyAlignment="1">
      <alignment vertical="center"/>
    </xf>
    <xf numFmtId="0" fontId="81" fillId="27" borderId="6" xfId="224" applyFill="1" applyBorder="1"/>
    <xf numFmtId="167" fontId="133" fillId="27" borderId="13" xfId="225" applyNumberFormat="1" applyFont="1" applyFill="1" applyBorder="1" applyAlignment="1">
      <alignment horizontal="right" vertical="center"/>
    </xf>
    <xf numFmtId="0" fontId="116" fillId="27" borderId="5" xfId="224" applyFont="1" applyFill="1" applyBorder="1" applyAlignment="1">
      <alignment vertical="center"/>
    </xf>
    <xf numFmtId="0" fontId="81" fillId="0" borderId="0" xfId="224" applyFill="1" applyBorder="1"/>
    <xf numFmtId="168" fontId="139" fillId="27" borderId="0" xfId="224" applyNumberFormat="1" applyFont="1" applyFill="1" applyBorder="1" applyAlignment="1">
      <alignment horizontal="right" vertical="center"/>
    </xf>
    <xf numFmtId="168" fontId="139" fillId="27" borderId="0" xfId="224" applyNumberFormat="1" applyFont="1" applyFill="1" applyBorder="1" applyAlignment="1">
      <alignment vertical="center"/>
    </xf>
    <xf numFmtId="167" fontId="139" fillId="27" borderId="0" xfId="224" applyNumberFormat="1" applyFont="1" applyFill="1" applyBorder="1" applyAlignment="1">
      <alignment horizontal="right" vertical="center"/>
    </xf>
    <xf numFmtId="168" fontId="139" fillId="27" borderId="8" xfId="224" applyNumberFormat="1" applyFont="1" applyFill="1" applyBorder="1" applyAlignment="1">
      <alignment horizontal="right" vertical="center"/>
    </xf>
    <xf numFmtId="167" fontId="139" fillId="27" borderId="8" xfId="224" applyNumberFormat="1" applyFont="1" applyFill="1" applyBorder="1" applyAlignment="1">
      <alignment horizontal="right" vertical="center"/>
    </xf>
    <xf numFmtId="0" fontId="81" fillId="0" borderId="0" xfId="224" applyBorder="1"/>
    <xf numFmtId="0" fontId="121" fillId="0" borderId="0" xfId="224" applyFont="1" applyBorder="1"/>
    <xf numFmtId="0" fontId="81" fillId="0" borderId="8" xfId="224" applyBorder="1"/>
    <xf numFmtId="0" fontId="121" fillId="0" borderId="0" xfId="224" applyFont="1"/>
    <xf numFmtId="4" fontId="81" fillId="0" borderId="0" xfId="224" applyNumberFormat="1"/>
    <xf numFmtId="3" fontId="81" fillId="0" borderId="8" xfId="224" applyNumberFormat="1" applyBorder="1"/>
    <xf numFmtId="2" fontId="121" fillId="0" borderId="0" xfId="224" applyNumberFormat="1" applyFont="1"/>
    <xf numFmtId="0" fontId="123" fillId="0" borderId="0" xfId="229" applyFont="1"/>
    <xf numFmtId="0" fontId="80" fillId="0" borderId="0" xfId="229"/>
    <xf numFmtId="0" fontId="129" fillId="0" borderId="0" xfId="229" applyFont="1" applyAlignment="1">
      <alignment vertical="center"/>
    </xf>
    <xf numFmtId="0" fontId="80" fillId="0" borderId="0" xfId="229" applyAlignment="1">
      <alignment vertical="center"/>
    </xf>
    <xf numFmtId="0" fontId="130" fillId="0" borderId="0" xfId="229" applyFont="1"/>
    <xf numFmtId="0" fontId="122" fillId="19" borderId="2" xfId="229" applyFont="1" applyFill="1" applyBorder="1" applyAlignment="1">
      <alignment horizontal="left" vertical="center" indent="1"/>
    </xf>
    <xf numFmtId="0" fontId="80" fillId="19" borderId="3" xfId="229" applyFill="1" applyBorder="1"/>
    <xf numFmtId="0" fontId="80" fillId="21" borderId="5" xfId="229" applyFill="1" applyBorder="1"/>
    <xf numFmtId="0" fontId="80" fillId="21" borderId="0" xfId="229" applyFill="1" applyBorder="1"/>
    <xf numFmtId="0" fontId="80" fillId="21" borderId="0" xfId="229" applyFont="1" applyFill="1" applyBorder="1"/>
    <xf numFmtId="0" fontId="80" fillId="21" borderId="0" xfId="229" applyFill="1" applyBorder="1" applyAlignment="1">
      <alignment horizontal="right"/>
    </xf>
    <xf numFmtId="0" fontId="116" fillId="21" borderId="5" xfId="229" applyFont="1" applyFill="1" applyBorder="1"/>
    <xf numFmtId="0" fontId="101" fillId="21" borderId="7" xfId="229" applyFont="1" applyFill="1" applyBorder="1" applyAlignment="1">
      <alignment vertical="center"/>
    </xf>
    <xf numFmtId="0" fontId="80" fillId="21" borderId="0" xfId="229" applyFill="1" applyBorder="1" applyAlignment="1">
      <alignment vertical="center"/>
    </xf>
    <xf numFmtId="0" fontId="95" fillId="0" borderId="0" xfId="229" applyFont="1" applyFill="1"/>
    <xf numFmtId="0" fontId="118" fillId="0" borderId="0" xfId="229" applyFont="1" applyAlignment="1">
      <alignment vertical="center"/>
    </xf>
    <xf numFmtId="0" fontId="117" fillId="0" borderId="0" xfId="229" applyFont="1" applyAlignment="1">
      <alignment vertical="center"/>
    </xf>
    <xf numFmtId="167" fontId="117" fillId="0" borderId="0" xfId="229" applyNumberFormat="1" applyFont="1" applyAlignment="1">
      <alignment vertical="center"/>
    </xf>
    <xf numFmtId="0" fontId="80" fillId="0" borderId="0" xfId="230"/>
    <xf numFmtId="0" fontId="122" fillId="26" borderId="2" xfId="231" applyFont="1" applyFill="1" applyBorder="1" applyAlignment="1">
      <alignment horizontal="left" vertical="center" indent="1"/>
    </xf>
    <xf numFmtId="0" fontId="80" fillId="26" borderId="3" xfId="231" applyFill="1" applyBorder="1" applyAlignment="1">
      <alignment vertical="center"/>
    </xf>
    <xf numFmtId="0" fontId="80" fillId="26" borderId="3" xfId="230" applyFill="1" applyBorder="1" applyAlignment="1">
      <alignment vertical="center"/>
    </xf>
    <xf numFmtId="0" fontId="80" fillId="27" borderId="5" xfId="229" applyFill="1" applyBorder="1"/>
    <xf numFmtId="0" fontId="80" fillId="27" borderId="0" xfId="229" applyFill="1" applyBorder="1"/>
    <xf numFmtId="0" fontId="101" fillId="27" borderId="0" xfId="229" applyFont="1" applyFill="1" applyBorder="1"/>
    <xf numFmtId="0" fontId="80" fillId="27" borderId="0" xfId="229" applyFill="1" applyBorder="1" applyAlignment="1">
      <alignment horizontal="right"/>
    </xf>
    <xf numFmtId="0" fontId="132" fillId="27" borderId="7" xfId="229" applyFont="1" applyFill="1" applyBorder="1" applyAlignment="1">
      <alignment vertical="center"/>
    </xf>
    <xf numFmtId="0" fontId="132" fillId="27" borderId="7" xfId="229" applyNumberFormat="1" applyFont="1" applyFill="1" applyBorder="1" applyAlignment="1">
      <alignment horizontal="right" vertical="center"/>
    </xf>
    <xf numFmtId="0" fontId="132" fillId="27" borderId="23" xfId="229" applyNumberFormat="1" applyFont="1" applyFill="1" applyBorder="1" applyAlignment="1">
      <alignment horizontal="right" vertical="center"/>
    </xf>
    <xf numFmtId="0" fontId="80" fillId="27" borderId="0" xfId="229" applyNumberFormat="1" applyFill="1" applyBorder="1" applyAlignment="1">
      <alignment vertical="center"/>
    </xf>
    <xf numFmtId="0" fontId="80" fillId="27" borderId="0" xfId="229" applyFill="1" applyBorder="1" applyAlignment="1">
      <alignment vertical="center"/>
    </xf>
    <xf numFmtId="9" fontId="80" fillId="27" borderId="0" xfId="229" applyNumberFormat="1" applyFill="1" applyBorder="1" applyAlignment="1">
      <alignment vertical="center"/>
    </xf>
    <xf numFmtId="0" fontId="80" fillId="27" borderId="17" xfId="229" applyNumberFormat="1" applyFill="1" applyBorder="1" applyAlignment="1">
      <alignment horizontal="center" vertical="center"/>
    </xf>
    <xf numFmtId="0" fontId="80" fillId="27" borderId="17" xfId="229" applyFill="1" applyBorder="1" applyAlignment="1">
      <alignment vertical="center"/>
    </xf>
    <xf numFmtId="167" fontId="156" fillId="27" borderId="0" xfId="232" applyNumberFormat="1" applyFont="1" applyFill="1" applyBorder="1" applyAlignment="1">
      <alignment vertical="center"/>
    </xf>
    <xf numFmtId="167" fontId="133" fillId="27" borderId="0" xfId="232" applyNumberFormat="1" applyFont="1" applyFill="1" applyBorder="1" applyAlignment="1">
      <alignment horizontal="right" vertical="center"/>
    </xf>
    <xf numFmtId="167" fontId="133" fillId="27" borderId="34" xfId="232" applyNumberFormat="1" applyFont="1" applyFill="1" applyBorder="1" applyAlignment="1">
      <alignment vertical="center"/>
    </xf>
    <xf numFmtId="167" fontId="133" fillId="27" borderId="0" xfId="232" applyNumberFormat="1" applyFont="1" applyFill="1" applyBorder="1" applyAlignment="1">
      <alignment vertical="center"/>
    </xf>
    <xf numFmtId="167" fontId="133" fillId="27" borderId="34" xfId="232" applyNumberFormat="1" applyFont="1" applyFill="1" applyBorder="1" applyAlignment="1">
      <alignment horizontal="right" vertical="center"/>
    </xf>
    <xf numFmtId="0" fontId="80" fillId="27" borderId="8" xfId="229" applyNumberFormat="1" applyFill="1" applyBorder="1" applyAlignment="1">
      <alignment vertical="center"/>
    </xf>
    <xf numFmtId="0" fontId="80" fillId="27" borderId="8" xfId="229" applyFill="1" applyBorder="1" applyAlignment="1">
      <alignment vertical="center"/>
    </xf>
    <xf numFmtId="167" fontId="156" fillId="27" borderId="8" xfId="232" applyNumberFormat="1" applyFont="1" applyFill="1" applyBorder="1" applyAlignment="1">
      <alignment vertical="center"/>
    </xf>
    <xf numFmtId="167" fontId="133" fillId="27" borderId="38" xfId="232" applyNumberFormat="1" applyFont="1" applyFill="1" applyBorder="1" applyAlignment="1">
      <alignment horizontal="right" vertical="center"/>
    </xf>
    <xf numFmtId="167" fontId="133" fillId="27" borderId="8" xfId="232" applyNumberFormat="1" applyFont="1" applyFill="1" applyBorder="1" applyAlignment="1">
      <alignment horizontal="right" vertical="center"/>
    </xf>
    <xf numFmtId="0" fontId="80" fillId="27" borderId="26" xfId="229" applyNumberFormat="1" applyFill="1" applyBorder="1" applyAlignment="1">
      <alignment vertical="center"/>
    </xf>
    <xf numFmtId="0" fontId="80" fillId="27" borderId="26" xfId="229" applyFill="1" applyBorder="1" applyAlignment="1">
      <alignment vertical="center"/>
    </xf>
    <xf numFmtId="9" fontId="80" fillId="27" borderId="26" xfId="229" applyNumberFormat="1" applyFill="1" applyBorder="1" applyAlignment="1">
      <alignment vertical="center"/>
    </xf>
    <xf numFmtId="167" fontId="156" fillId="27" borderId="26" xfId="232" applyNumberFormat="1" applyFont="1" applyFill="1" applyBorder="1" applyAlignment="1">
      <alignment vertical="center"/>
    </xf>
    <xf numFmtId="167" fontId="133" fillId="27" borderId="53" xfId="232" applyNumberFormat="1" applyFont="1" applyFill="1" applyBorder="1" applyAlignment="1">
      <alignment vertical="center"/>
    </xf>
    <xf numFmtId="167" fontId="133" fillId="27" borderId="26" xfId="232" applyNumberFormat="1" applyFont="1" applyFill="1" applyBorder="1" applyAlignment="1">
      <alignment vertical="center"/>
    </xf>
    <xf numFmtId="9" fontId="80" fillId="27" borderId="8" xfId="229" applyNumberFormat="1" applyFill="1" applyBorder="1" applyAlignment="1">
      <alignment vertical="center"/>
    </xf>
    <xf numFmtId="0" fontId="80" fillId="27" borderId="13" xfId="229" applyNumberFormat="1" applyFill="1" applyBorder="1" applyAlignment="1">
      <alignment vertical="center"/>
    </xf>
    <xf numFmtId="0" fontId="80" fillId="27" borderId="13" xfId="229" applyFill="1" applyBorder="1" applyAlignment="1">
      <alignment vertical="center"/>
    </xf>
    <xf numFmtId="9" fontId="80" fillId="27" borderId="13" xfId="229" applyNumberFormat="1" applyFill="1" applyBorder="1" applyAlignment="1">
      <alignment vertical="center"/>
    </xf>
    <xf numFmtId="167" fontId="133" fillId="27" borderId="38" xfId="232" applyNumberFormat="1" applyFont="1" applyFill="1" applyBorder="1" applyAlignment="1">
      <alignment vertical="center"/>
    </xf>
    <xf numFmtId="167" fontId="133" fillId="27" borderId="8" xfId="232" applyNumberFormat="1" applyFont="1" applyFill="1" applyBorder="1" applyAlignment="1">
      <alignment vertical="center"/>
    </xf>
    <xf numFmtId="0" fontId="116" fillId="27" borderId="5" xfId="229" applyFont="1" applyFill="1" applyBorder="1"/>
    <xf numFmtId="9" fontId="133" fillId="27" borderId="13" xfId="233" applyFont="1" applyFill="1" applyBorder="1" applyAlignment="1">
      <alignment vertical="center"/>
    </xf>
    <xf numFmtId="173" fontId="133" fillId="27" borderId="13" xfId="233" applyNumberFormat="1" applyFont="1" applyFill="1" applyBorder="1" applyAlignment="1">
      <alignment vertical="center"/>
    </xf>
    <xf numFmtId="9" fontId="133" fillId="27" borderId="8" xfId="233" applyFont="1" applyFill="1" applyBorder="1" applyAlignment="1">
      <alignment horizontal="right" vertical="center"/>
    </xf>
    <xf numFmtId="173" fontId="133" fillId="27" borderId="8" xfId="233" applyNumberFormat="1" applyFont="1" applyFill="1" applyBorder="1" applyAlignment="1">
      <alignment horizontal="right" vertical="center"/>
    </xf>
    <xf numFmtId="9" fontId="133" fillId="27" borderId="0" xfId="233" applyFont="1" applyFill="1" applyBorder="1" applyAlignment="1">
      <alignment horizontal="right" vertical="center"/>
    </xf>
    <xf numFmtId="173" fontId="133" fillId="27" borderId="0" xfId="233" applyNumberFormat="1" applyFont="1" applyFill="1" applyBorder="1" applyAlignment="1">
      <alignment horizontal="right" vertical="center"/>
    </xf>
    <xf numFmtId="0" fontId="121" fillId="27" borderId="0" xfId="229" applyNumberFormat="1" applyFont="1" applyFill="1" applyBorder="1" applyAlignment="1">
      <alignment vertical="center"/>
    </xf>
    <xf numFmtId="168" fontId="139" fillId="27" borderId="0" xfId="229" applyNumberFormat="1" applyFont="1" applyFill="1" applyBorder="1" applyAlignment="1">
      <alignment vertical="center"/>
    </xf>
    <xf numFmtId="168" fontId="139" fillId="27" borderId="0" xfId="229" applyNumberFormat="1" applyFont="1" applyFill="1" applyBorder="1" applyAlignment="1">
      <alignment horizontal="right" vertical="center"/>
    </xf>
    <xf numFmtId="2" fontId="133" fillId="27" borderId="0" xfId="233" applyNumberFormat="1" applyFont="1" applyFill="1" applyBorder="1" applyAlignment="1">
      <alignment horizontal="right" vertical="center"/>
    </xf>
    <xf numFmtId="0" fontId="132" fillId="27" borderId="0" xfId="229" applyFont="1" applyFill="1" applyBorder="1" applyAlignment="1">
      <alignment vertical="center"/>
    </xf>
    <xf numFmtId="0" fontId="132" fillId="27" borderId="8" xfId="229" applyFont="1" applyFill="1" applyBorder="1" applyAlignment="1">
      <alignment vertical="center"/>
    </xf>
    <xf numFmtId="0" fontId="132" fillId="27" borderId="39" xfId="229" applyFont="1" applyFill="1" applyBorder="1" applyAlignment="1">
      <alignment vertical="center"/>
    </xf>
    <xf numFmtId="0" fontId="132" fillId="27" borderId="13" xfId="229" applyFont="1" applyFill="1" applyBorder="1" applyAlignment="1">
      <alignment vertical="center"/>
    </xf>
    <xf numFmtId="9" fontId="133" fillId="27" borderId="13" xfId="233" applyFont="1" applyFill="1" applyBorder="1" applyAlignment="1">
      <alignment horizontal="center" vertical="center"/>
    </xf>
    <xf numFmtId="9" fontId="133" fillId="27" borderId="0" xfId="233" applyFont="1" applyFill="1" applyBorder="1" applyAlignment="1">
      <alignment vertical="center"/>
    </xf>
    <xf numFmtId="9" fontId="133" fillId="27" borderId="0" xfId="233" applyFont="1" applyFill="1" applyBorder="1" applyAlignment="1">
      <alignment horizontal="center" vertical="center"/>
    </xf>
    <xf numFmtId="9" fontId="133" fillId="27" borderId="8" xfId="233" applyFont="1" applyFill="1" applyBorder="1" applyAlignment="1">
      <alignment horizontal="center" vertical="center"/>
    </xf>
    <xf numFmtId="0" fontId="132" fillId="27" borderId="36" xfId="229" applyFont="1" applyFill="1" applyBorder="1" applyAlignment="1">
      <alignment vertical="center"/>
    </xf>
    <xf numFmtId="175" fontId="133" fillId="27" borderId="13" xfId="233" applyNumberFormat="1" applyFont="1" applyFill="1" applyBorder="1" applyAlignment="1">
      <alignment horizontal="center" vertical="center"/>
    </xf>
    <xf numFmtId="175" fontId="133" fillId="27" borderId="0" xfId="233" applyNumberFormat="1" applyFont="1" applyFill="1" applyBorder="1" applyAlignment="1">
      <alignment horizontal="center" vertical="center"/>
    </xf>
    <xf numFmtId="0" fontId="101" fillId="27" borderId="5" xfId="229" applyFont="1" applyFill="1" applyBorder="1"/>
    <xf numFmtId="0" fontId="132" fillId="27" borderId="7" xfId="229" applyFont="1" applyFill="1" applyBorder="1" applyAlignment="1">
      <alignment horizontal="left" vertical="center"/>
    </xf>
    <xf numFmtId="0" fontId="132" fillId="27" borderId="7" xfId="229" applyNumberFormat="1" applyFont="1" applyFill="1" applyBorder="1" applyAlignment="1">
      <alignment horizontal="center" vertical="center"/>
    </xf>
    <xf numFmtId="167" fontId="133" fillId="27" borderId="0" xfId="151" applyNumberFormat="1" applyFont="1" applyFill="1" applyBorder="1" applyAlignment="1">
      <alignment horizontal="center" vertical="center"/>
    </xf>
    <xf numFmtId="167" fontId="133" fillId="27" borderId="8" xfId="151" applyNumberFormat="1" applyFont="1" applyFill="1" applyBorder="1" applyAlignment="1">
      <alignment horizontal="center" vertical="center"/>
    </xf>
    <xf numFmtId="168" fontId="133" fillId="27" borderId="0" xfId="151" applyNumberFormat="1" applyFont="1" applyFill="1" applyBorder="1" applyAlignment="1">
      <alignment horizontal="center" vertical="center"/>
    </xf>
    <xf numFmtId="0" fontId="132" fillId="27" borderId="18" xfId="229" applyFont="1" applyFill="1" applyBorder="1" applyAlignment="1">
      <alignment vertical="center"/>
    </xf>
    <xf numFmtId="2" fontId="133" fillId="27" borderId="8" xfId="233" applyNumberFormat="1" applyFont="1" applyFill="1" applyBorder="1" applyAlignment="1">
      <alignment horizontal="center" vertical="center"/>
    </xf>
    <xf numFmtId="2" fontId="133" fillId="27" borderId="0" xfId="233" applyNumberFormat="1" applyFont="1" applyFill="1" applyBorder="1" applyAlignment="1">
      <alignment horizontal="center" vertical="center"/>
    </xf>
    <xf numFmtId="0" fontId="139" fillId="27" borderId="0" xfId="229" applyFont="1" applyFill="1" applyBorder="1" applyAlignment="1">
      <alignment vertical="center"/>
    </xf>
    <xf numFmtId="181" fontId="80" fillId="27" borderId="0" xfId="229" applyNumberFormat="1" applyFill="1" applyBorder="1" applyAlignment="1">
      <alignment vertical="center"/>
    </xf>
    <xf numFmtId="3" fontId="80" fillId="27" borderId="0" xfId="229" applyNumberFormat="1" applyFill="1" applyBorder="1" applyAlignment="1">
      <alignment vertical="center"/>
    </xf>
    <xf numFmtId="0" fontId="122" fillId="26" borderId="2" xfId="229" applyFont="1" applyFill="1" applyBorder="1" applyAlignment="1">
      <alignment horizontal="left" vertical="center" indent="1"/>
    </xf>
    <xf numFmtId="0" fontId="80" fillId="26" borderId="3" xfId="229" applyFill="1" applyBorder="1" applyAlignment="1">
      <alignment vertical="center"/>
    </xf>
    <xf numFmtId="0" fontId="80" fillId="26" borderId="4" xfId="229" applyFill="1" applyBorder="1" applyAlignment="1">
      <alignment vertical="center"/>
    </xf>
    <xf numFmtId="0" fontId="80" fillId="27" borderId="6" xfId="229" applyFill="1" applyBorder="1"/>
    <xf numFmtId="0" fontId="116" fillId="27" borderId="5" xfId="229" applyFont="1" applyFill="1" applyBorder="1" applyAlignment="1">
      <alignment vertical="center"/>
    </xf>
    <xf numFmtId="0" fontId="80" fillId="0" borderId="0" xfId="229" applyFill="1" applyBorder="1"/>
    <xf numFmtId="0" fontId="152" fillId="0" borderId="0" xfId="229" applyFont="1" applyBorder="1"/>
    <xf numFmtId="0" fontId="80" fillId="0" borderId="0" xfId="229" applyBorder="1"/>
    <xf numFmtId="183" fontId="80" fillId="0" borderId="0" xfId="229" applyNumberFormat="1" applyBorder="1"/>
    <xf numFmtId="0" fontId="121" fillId="0" borderId="0" xfId="229" applyFont="1" applyBorder="1"/>
    <xf numFmtId="0" fontId="80" fillId="0" borderId="8" xfId="229" applyBorder="1"/>
    <xf numFmtId="0" fontId="121" fillId="0" borderId="0" xfId="229" applyFont="1"/>
    <xf numFmtId="0" fontId="121" fillId="0" borderId="0" xfId="229" applyFont="1" applyAlignment="1">
      <alignment horizontal="right"/>
    </xf>
    <xf numFmtId="0" fontId="80" fillId="0" borderId="0" xfId="229" applyAlignment="1">
      <alignment horizontal="right"/>
    </xf>
    <xf numFmtId="3" fontId="80" fillId="0" borderId="0" xfId="229" applyNumberFormat="1"/>
    <xf numFmtId="0" fontId="80" fillId="0" borderId="0" xfId="229" applyFont="1" applyBorder="1"/>
    <xf numFmtId="0" fontId="121" fillId="0" borderId="0" xfId="229" applyFont="1" applyFill="1" applyBorder="1"/>
    <xf numFmtId="0" fontId="80" fillId="0" borderId="0" xfId="229" applyFont="1" applyFill="1" applyBorder="1"/>
    <xf numFmtId="181" fontId="80" fillId="0" borderId="0" xfId="229" applyNumberFormat="1"/>
    <xf numFmtId="4" fontId="80" fillId="0" borderId="0" xfId="229" applyNumberFormat="1"/>
    <xf numFmtId="188" fontId="80" fillId="0" borderId="0" xfId="229" applyNumberFormat="1"/>
    <xf numFmtId="0" fontId="101" fillId="0" borderId="0" xfId="229" applyFont="1"/>
    <xf numFmtId="1" fontId="105" fillId="18" borderId="7" xfId="0" applyNumberFormat="1" applyFont="1" applyFill="1" applyBorder="1" applyAlignment="1">
      <alignment horizontal="center" vertical="center"/>
    </xf>
    <xf numFmtId="167" fontId="127" fillId="18" borderId="18" xfId="1" applyNumberFormat="1" applyFont="1" applyFill="1" applyBorder="1" applyAlignment="1">
      <alignment horizontal="center" vertical="center"/>
    </xf>
    <xf numFmtId="167" fontId="127" fillId="18" borderId="0" xfId="1" applyNumberFormat="1" applyFont="1" applyFill="1" applyBorder="1" applyAlignment="1">
      <alignment horizontal="center" vertical="center"/>
    </xf>
    <xf numFmtId="0" fontId="102" fillId="18" borderId="0" xfId="0" applyFont="1" applyFill="1" applyBorder="1"/>
    <xf numFmtId="0" fontId="105" fillId="18" borderId="0" xfId="0" applyFont="1" applyFill="1" applyBorder="1" applyAlignment="1">
      <alignment vertical="center"/>
    </xf>
    <xf numFmtId="0" fontId="105" fillId="18" borderId="14" xfId="0" applyNumberFormat="1" applyFont="1" applyFill="1" applyBorder="1" applyAlignment="1">
      <alignment horizontal="right" vertical="center"/>
    </xf>
    <xf numFmtId="168" fontId="127" fillId="18" borderId="18" xfId="1" applyNumberFormat="1" applyFont="1" applyFill="1" applyBorder="1" applyAlignment="1">
      <alignment vertical="center"/>
    </xf>
    <xf numFmtId="0" fontId="105" fillId="24" borderId="0" xfId="0" applyFont="1" applyFill="1" applyBorder="1" applyAlignment="1">
      <alignment vertical="center"/>
    </xf>
    <xf numFmtId="168" fontId="158" fillId="24" borderId="0" xfId="0" applyNumberFormat="1" applyFont="1" applyFill="1" applyBorder="1" applyAlignment="1">
      <alignment vertical="center"/>
    </xf>
    <xf numFmtId="0" fontId="158" fillId="24" borderId="0" xfId="0" applyFont="1" applyFill="1" applyBorder="1" applyAlignment="1">
      <alignment vertical="center"/>
    </xf>
    <xf numFmtId="0" fontId="158" fillId="24" borderId="0" xfId="0" applyFont="1" applyFill="1" applyBorder="1" applyAlignment="1">
      <alignment horizontal="right" vertical="center"/>
    </xf>
    <xf numFmtId="168" fontId="158" fillId="24" borderId="0" xfId="0" applyNumberFormat="1" applyFont="1" applyFill="1" applyBorder="1" applyAlignment="1">
      <alignment horizontal="right" vertical="center"/>
    </xf>
    <xf numFmtId="0" fontId="135" fillId="21" borderId="0" xfId="207" applyFont="1" applyFill="1" applyBorder="1" applyAlignment="1">
      <alignment vertical="center"/>
    </xf>
    <xf numFmtId="169" fontId="119" fillId="21" borderId="0" xfId="0" applyNumberFormat="1" applyFont="1" applyFill="1" applyAlignment="1">
      <alignment vertical="center"/>
    </xf>
    <xf numFmtId="0" fontId="0" fillId="21" borderId="54" xfId="0" applyFill="1" applyBorder="1"/>
    <xf numFmtId="0" fontId="0" fillId="21" borderId="54" xfId="0" applyFill="1" applyBorder="1" applyAlignment="1">
      <alignment vertical="center"/>
    </xf>
    <xf numFmtId="0" fontId="0" fillId="21" borderId="6" xfId="0" applyFill="1" applyBorder="1" applyAlignment="1">
      <alignment vertical="center"/>
    </xf>
    <xf numFmtId="0" fontId="0" fillId="21" borderId="36" xfId="0" applyFill="1" applyBorder="1" applyAlignment="1">
      <alignment horizontal="left" vertical="center"/>
    </xf>
    <xf numFmtId="0" fontId="132" fillId="21" borderId="36" xfId="0" applyFont="1" applyFill="1" applyBorder="1" applyAlignment="1">
      <alignment vertical="center"/>
    </xf>
    <xf numFmtId="0" fontId="108" fillId="21" borderId="5" xfId="4" applyNumberFormat="1" applyFill="1" applyBorder="1"/>
    <xf numFmtId="0" fontId="145" fillId="21" borderId="0" xfId="4" applyNumberFormat="1" applyFont="1" applyFill="1" applyBorder="1"/>
    <xf numFmtId="0" fontId="108" fillId="21" borderId="0" xfId="4" applyNumberFormat="1" applyFill="1" applyBorder="1"/>
    <xf numFmtId="169" fontId="108" fillId="21" borderId="0" xfId="4" applyNumberFormat="1" applyFill="1" applyBorder="1"/>
    <xf numFmtId="169" fontId="108" fillId="21" borderId="6" xfId="4" applyNumberFormat="1" applyFill="1" applyBorder="1"/>
    <xf numFmtId="169" fontId="108" fillId="0" borderId="0" xfId="4" applyNumberFormat="1"/>
    <xf numFmtId="169" fontId="0" fillId="21" borderId="0" xfId="1" applyFont="1" applyFill="1" applyBorder="1"/>
    <xf numFmtId="169" fontId="0" fillId="21" borderId="6" xfId="1" applyFont="1" applyFill="1" applyBorder="1"/>
    <xf numFmtId="169" fontId="0" fillId="0" borderId="0" xfId="1" applyFont="1"/>
    <xf numFmtId="0" fontId="164" fillId="21" borderId="0" xfId="0" applyFont="1" applyFill="1" applyBorder="1"/>
    <xf numFmtId="0" fontId="101" fillId="0" borderId="0" xfId="0" applyFont="1" applyAlignment="1">
      <alignment vertical="center"/>
    </xf>
    <xf numFmtId="0" fontId="165" fillId="21" borderId="5" xfId="0" applyFont="1" applyFill="1" applyBorder="1" applyAlignment="1">
      <alignment vertical="center"/>
    </xf>
    <xf numFmtId="0" fontId="166" fillId="21" borderId="0" xfId="0" applyFont="1" applyFill="1" applyBorder="1" applyAlignment="1">
      <alignment vertical="center"/>
    </xf>
    <xf numFmtId="0" fontId="101" fillId="21" borderId="13" xfId="0" applyFont="1" applyFill="1" applyBorder="1" applyAlignment="1">
      <alignment vertical="center"/>
    </xf>
    <xf numFmtId="169" fontId="101" fillId="21" borderId="13" xfId="1" applyFont="1" applyFill="1" applyBorder="1" applyAlignment="1">
      <alignment vertical="center"/>
    </xf>
    <xf numFmtId="169" fontId="101" fillId="21" borderId="0" xfId="1" applyFont="1" applyFill="1" applyBorder="1" applyAlignment="1">
      <alignment vertical="center"/>
    </xf>
    <xf numFmtId="169" fontId="101" fillId="21" borderId="6" xfId="1" applyFont="1" applyFill="1" applyBorder="1" applyAlignment="1">
      <alignment vertical="center"/>
    </xf>
    <xf numFmtId="169" fontId="101" fillId="0" borderId="0" xfId="1" applyFont="1" applyAlignment="1">
      <alignment vertical="center"/>
    </xf>
    <xf numFmtId="0" fontId="101" fillId="21" borderId="5" xfId="0" applyFont="1" applyFill="1" applyBorder="1"/>
    <xf numFmtId="0" fontId="166" fillId="21" borderId="0" xfId="0" applyFont="1" applyFill="1" applyBorder="1"/>
    <xf numFmtId="169" fontId="101" fillId="21" borderId="6" xfId="1" applyFont="1" applyFill="1" applyBorder="1"/>
    <xf numFmtId="169" fontId="101" fillId="0" borderId="0" xfId="1" applyFont="1"/>
    <xf numFmtId="0" fontId="134" fillId="21" borderId="5" xfId="0" applyFont="1" applyFill="1" applyBorder="1"/>
    <xf numFmtId="0" fontId="167" fillId="21" borderId="0" xfId="0" applyFont="1" applyFill="1" applyBorder="1"/>
    <xf numFmtId="0" fontId="134" fillId="21" borderId="0" xfId="0" applyFont="1" applyFill="1" applyBorder="1"/>
    <xf numFmtId="169" fontId="134" fillId="21" borderId="0" xfId="1" applyFont="1" applyFill="1" applyBorder="1"/>
    <xf numFmtId="169" fontId="134" fillId="21" borderId="6" xfId="1" applyFont="1" applyFill="1" applyBorder="1"/>
    <xf numFmtId="169" fontId="134" fillId="0" borderId="0" xfId="1" applyFont="1"/>
    <xf numFmtId="0" fontId="108" fillId="21" borderId="0" xfId="4" applyNumberFormat="1" applyFont="1" applyFill="1" applyBorder="1"/>
    <xf numFmtId="0" fontId="101" fillId="21" borderId="0" xfId="0" applyFont="1" applyFill="1" applyBorder="1" applyAlignment="1">
      <alignment vertical="center"/>
    </xf>
    <xf numFmtId="0" fontId="155" fillId="21" borderId="5" xfId="0" applyFont="1" applyFill="1" applyBorder="1" applyAlignment="1">
      <alignment vertical="center"/>
    </xf>
    <xf numFmtId="169" fontId="0" fillId="21" borderId="6" xfId="1" applyFont="1" applyFill="1" applyBorder="1" applyAlignment="1">
      <alignment vertical="center"/>
    </xf>
    <xf numFmtId="0" fontId="165" fillId="0" borderId="0" xfId="0" applyFont="1" applyAlignment="1">
      <alignment vertical="center"/>
    </xf>
    <xf numFmtId="0" fontId="101" fillId="0" borderId="0" xfId="0" applyFont="1" applyBorder="1" applyAlignment="1">
      <alignment vertical="center"/>
    </xf>
    <xf numFmtId="169" fontId="101" fillId="0" borderId="0" xfId="1" applyFont="1" applyBorder="1" applyAlignment="1">
      <alignment vertical="center"/>
    </xf>
    <xf numFmtId="0" fontId="122" fillId="20" borderId="2" xfId="0" applyFont="1" applyFill="1" applyBorder="1" applyAlignment="1">
      <alignment horizontal="left" vertical="center" indent="1"/>
    </xf>
    <xf numFmtId="0" fontId="0" fillId="20" borderId="3" xfId="0" applyFill="1" applyBorder="1"/>
    <xf numFmtId="169" fontId="0" fillId="20" borderId="3" xfId="1" applyFont="1" applyFill="1" applyBorder="1"/>
    <xf numFmtId="169" fontId="0" fillId="20" borderId="4" xfId="1" applyFont="1" applyFill="1" applyBorder="1"/>
    <xf numFmtId="0" fontId="0" fillId="34" borderId="20" xfId="0" applyFill="1" applyBorder="1"/>
    <xf numFmtId="0" fontId="0" fillId="34" borderId="21" xfId="0" applyFill="1" applyBorder="1"/>
    <xf numFmtId="169" fontId="0" fillId="34" borderId="21" xfId="1" applyFont="1" applyFill="1" applyBorder="1"/>
    <xf numFmtId="169" fontId="0" fillId="34" borderId="22" xfId="1" applyFont="1" applyFill="1" applyBorder="1"/>
    <xf numFmtId="0" fontId="0" fillId="34" borderId="5" xfId="0" applyFill="1" applyBorder="1"/>
    <xf numFmtId="0" fontId="0" fillId="34" borderId="0" xfId="0" applyFill="1" applyBorder="1"/>
    <xf numFmtId="169" fontId="0" fillId="34" borderId="0" xfId="1" applyFont="1" applyFill="1" applyBorder="1"/>
    <xf numFmtId="169" fontId="0" fillId="34" borderId="6" xfId="1" applyFont="1" applyFill="1" applyBorder="1"/>
    <xf numFmtId="0" fontId="155" fillId="34" borderId="5" xfId="0" applyFont="1" applyFill="1" applyBorder="1" applyAlignment="1">
      <alignment vertical="center"/>
    </xf>
    <xf numFmtId="0" fontId="0" fillId="34" borderId="0" xfId="0" applyFill="1" applyBorder="1" applyAlignment="1">
      <alignment vertical="center"/>
    </xf>
    <xf numFmtId="0" fontId="101" fillId="34" borderId="13" xfId="0" applyFont="1" applyFill="1" applyBorder="1" applyAlignment="1">
      <alignment vertical="center"/>
    </xf>
    <xf numFmtId="169" fontId="101" fillId="34" borderId="13" xfId="1" applyFont="1" applyFill="1" applyBorder="1" applyAlignment="1">
      <alignment vertical="center"/>
    </xf>
    <xf numFmtId="169" fontId="0" fillId="34" borderId="6" xfId="1" applyFont="1" applyFill="1" applyBorder="1" applyAlignment="1">
      <alignment vertical="center"/>
    </xf>
    <xf numFmtId="0" fontId="134" fillId="34" borderId="5" xfId="0" applyFont="1" applyFill="1" applyBorder="1"/>
    <xf numFmtId="0" fontId="134" fillId="34" borderId="0" xfId="0" applyFont="1" applyFill="1" applyBorder="1"/>
    <xf numFmtId="169" fontId="134" fillId="34" borderId="6" xfId="1" applyFont="1" applyFill="1" applyBorder="1"/>
    <xf numFmtId="0" fontId="134" fillId="0" borderId="0" xfId="0" applyFont="1" applyAlignment="1">
      <alignment vertical="center"/>
    </xf>
    <xf numFmtId="0" fontId="134" fillId="34" borderId="5" xfId="0" applyFont="1" applyFill="1" applyBorder="1" applyAlignment="1">
      <alignment vertical="center"/>
    </xf>
    <xf numFmtId="0" fontId="134" fillId="34" borderId="0" xfId="0" applyFont="1" applyFill="1" applyBorder="1" applyAlignment="1">
      <alignment vertical="center"/>
    </xf>
    <xf numFmtId="0" fontId="134" fillId="34" borderId="6" xfId="0" applyFont="1" applyFill="1" applyBorder="1" applyAlignment="1">
      <alignment vertical="center"/>
    </xf>
    <xf numFmtId="0" fontId="0" fillId="34" borderId="5" xfId="0" applyFont="1" applyFill="1" applyBorder="1"/>
    <xf numFmtId="0" fontId="0" fillId="34" borderId="6" xfId="0" applyFill="1" applyBorder="1"/>
    <xf numFmtId="0" fontId="0" fillId="0" borderId="6" xfId="0" applyFill="1" applyBorder="1"/>
    <xf numFmtId="169" fontId="0" fillId="0" borderId="0" xfId="1" applyFont="1" applyFill="1" applyBorder="1"/>
    <xf numFmtId="169" fontId="0" fillId="0" borderId="6" xfId="1" applyFont="1" applyFill="1" applyBorder="1"/>
    <xf numFmtId="0" fontId="155" fillId="0" borderId="5" xfId="0" applyFont="1" applyFill="1" applyBorder="1" applyAlignment="1">
      <alignment vertical="center"/>
    </xf>
    <xf numFmtId="0" fontId="101" fillId="0" borderId="13" xfId="0" applyFont="1" applyFill="1" applyBorder="1" applyAlignment="1">
      <alignment vertical="center"/>
    </xf>
    <xf numFmtId="169" fontId="101" fillId="0" borderId="13" xfId="1" applyFont="1" applyFill="1" applyBorder="1" applyAlignment="1">
      <alignment vertical="center"/>
    </xf>
    <xf numFmtId="0" fontId="0" fillId="0" borderId="0" xfId="0" applyFont="1" applyFill="1"/>
    <xf numFmtId="0" fontId="122" fillId="34" borderId="5" xfId="0" applyFont="1" applyFill="1" applyBorder="1" applyAlignment="1">
      <alignment horizontal="left" vertical="center" indent="1"/>
    </xf>
    <xf numFmtId="0" fontId="0" fillId="34" borderId="36" xfId="0" applyFill="1" applyBorder="1"/>
    <xf numFmtId="0" fontId="132" fillId="34" borderId="36" xfId="0" applyFont="1" applyFill="1" applyBorder="1" applyAlignment="1">
      <alignment horizontal="center" vertical="center"/>
    </xf>
    <xf numFmtId="0" fontId="0" fillId="34" borderId="0" xfId="0" applyFont="1" applyFill="1" applyBorder="1"/>
    <xf numFmtId="0" fontId="108" fillId="34" borderId="5" xfId="4" applyNumberFormat="1" applyFill="1" applyBorder="1"/>
    <xf numFmtId="0" fontId="133" fillId="34" borderId="0" xfId="4" applyNumberFormat="1" applyFont="1" applyFill="1" applyBorder="1"/>
    <xf numFmtId="0" fontId="108" fillId="34" borderId="6" xfId="4" applyNumberFormat="1" applyFill="1" applyBorder="1"/>
    <xf numFmtId="0" fontId="101" fillId="34" borderId="13" xfId="0" applyFont="1" applyFill="1" applyBorder="1"/>
    <xf numFmtId="169" fontId="101" fillId="34" borderId="13" xfId="1" applyFont="1" applyFill="1" applyBorder="1"/>
    <xf numFmtId="169" fontId="101" fillId="34" borderId="0" xfId="1" applyFont="1" applyFill="1" applyBorder="1"/>
    <xf numFmtId="169" fontId="0" fillId="0" borderId="0" xfId="0" applyNumberFormat="1"/>
    <xf numFmtId="0" fontId="101" fillId="34" borderId="0" xfId="0" applyFont="1" applyFill="1" applyBorder="1"/>
    <xf numFmtId="169" fontId="94" fillId="34" borderId="0" xfId="1" applyFont="1" applyFill="1" applyBorder="1"/>
    <xf numFmtId="169" fontId="0" fillId="34" borderId="45" xfId="1" applyFont="1" applyFill="1" applyBorder="1" applyAlignment="1">
      <alignment vertical="center"/>
    </xf>
    <xf numFmtId="0" fontId="122" fillId="38" borderId="2" xfId="0" applyFont="1" applyFill="1" applyBorder="1" applyAlignment="1">
      <alignment horizontal="left" vertical="center" indent="1"/>
    </xf>
    <xf numFmtId="0" fontId="0" fillId="38" borderId="3" xfId="0" applyFill="1" applyBorder="1"/>
    <xf numFmtId="0" fontId="0" fillId="38" borderId="3" xfId="0" applyFill="1" applyBorder="1" applyAlignment="1">
      <alignment horizontal="right"/>
    </xf>
    <xf numFmtId="0" fontId="0" fillId="38" borderId="4" xfId="0" applyFill="1" applyBorder="1"/>
    <xf numFmtId="0" fontId="116" fillId="37" borderId="5" xfId="0" applyFont="1" applyFill="1" applyBorder="1"/>
    <xf numFmtId="0" fontId="0" fillId="37" borderId="0" xfId="0" applyFill="1" applyBorder="1"/>
    <xf numFmtId="0" fontId="0" fillId="37" borderId="0" xfId="0" applyFill="1" applyBorder="1" applyAlignment="1">
      <alignment horizontal="right"/>
    </xf>
    <xf numFmtId="0" fontId="0" fillId="37" borderId="6" xfId="0" applyFill="1" applyBorder="1"/>
    <xf numFmtId="0" fontId="116" fillId="37" borderId="0" xfId="0" applyFont="1" applyFill="1" applyBorder="1"/>
    <xf numFmtId="0" fontId="0" fillId="37" borderId="5" xfId="0" applyFill="1" applyBorder="1"/>
    <xf numFmtId="0" fontId="101" fillId="37" borderId="0" xfId="0" applyFont="1" applyFill="1" applyBorder="1"/>
    <xf numFmtId="0" fontId="108" fillId="37" borderId="5" xfId="4" applyNumberFormat="1" applyFill="1" applyBorder="1"/>
    <xf numFmtId="0" fontId="108" fillId="37" borderId="0" xfId="4" applyNumberFormat="1" applyFill="1" applyBorder="1" applyAlignment="1">
      <alignment horizontal="right"/>
    </xf>
    <xf numFmtId="0" fontId="108" fillId="37" borderId="0" xfId="4" applyNumberFormat="1" applyFill="1" applyBorder="1"/>
    <xf numFmtId="168" fontId="108" fillId="37" borderId="0" xfId="4" applyNumberFormat="1" applyFill="1" applyBorder="1"/>
    <xf numFmtId="168" fontId="0" fillId="37" borderId="0" xfId="0" applyNumberFormat="1" applyFill="1" applyBorder="1"/>
    <xf numFmtId="0" fontId="108" fillId="37" borderId="6" xfId="4" applyNumberFormat="1" applyFill="1" applyBorder="1"/>
    <xf numFmtId="170" fontId="0" fillId="37" borderId="0" xfId="2" applyNumberFormat="1" applyFont="1" applyFill="1" applyBorder="1"/>
    <xf numFmtId="170" fontId="0" fillId="37" borderId="0" xfId="0" applyNumberFormat="1" applyFill="1" applyBorder="1"/>
    <xf numFmtId="170" fontId="101" fillId="37" borderId="0" xfId="2" applyNumberFormat="1" applyFont="1" applyFill="1" applyBorder="1"/>
    <xf numFmtId="176" fontId="101" fillId="0" borderId="0" xfId="2" applyNumberFormat="1" applyFont="1"/>
    <xf numFmtId="0" fontId="134" fillId="37" borderId="5" xfId="0" applyFont="1" applyFill="1" applyBorder="1"/>
    <xf numFmtId="0" fontId="134" fillId="37" borderId="0" xfId="0" applyFont="1" applyFill="1" applyBorder="1"/>
    <xf numFmtId="170" fontId="134" fillId="37" borderId="0" xfId="2" applyNumberFormat="1" applyFont="1" applyFill="1" applyBorder="1"/>
    <xf numFmtId="0" fontId="134" fillId="37" borderId="6" xfId="0" applyFont="1" applyFill="1" applyBorder="1"/>
    <xf numFmtId="0" fontId="0" fillId="37" borderId="5" xfId="0" applyFill="1" applyBorder="1" applyAlignment="1">
      <alignment vertical="center"/>
    </xf>
    <xf numFmtId="0" fontId="0" fillId="37" borderId="0" xfId="0" applyFill="1" applyBorder="1" applyAlignment="1">
      <alignment vertical="center"/>
    </xf>
    <xf numFmtId="0" fontId="101" fillId="37" borderId="0" xfId="0" applyFont="1" applyFill="1" applyBorder="1" applyAlignment="1">
      <alignment horizontal="right" vertical="center"/>
    </xf>
    <xf numFmtId="0" fontId="168" fillId="37" borderId="0" xfId="0" applyFont="1" applyFill="1" applyAlignment="1">
      <alignment vertical="center"/>
    </xf>
    <xf numFmtId="179" fontId="101" fillId="37" borderId="0" xfId="1" applyNumberFormat="1" applyFont="1" applyFill="1" applyBorder="1" applyAlignment="1">
      <alignment vertical="center"/>
    </xf>
    <xf numFmtId="0" fontId="0" fillId="37" borderId="0" xfId="0" applyFill="1" applyBorder="1" applyAlignment="1">
      <alignment horizontal="right" vertical="center"/>
    </xf>
    <xf numFmtId="170" fontId="0" fillId="37" borderId="0" xfId="0" applyNumberFormat="1" applyFill="1" applyBorder="1" applyAlignment="1">
      <alignment vertical="center"/>
    </xf>
    <xf numFmtId="0" fontId="0" fillId="37" borderId="6" xfId="0" applyFill="1" applyBorder="1" applyAlignment="1">
      <alignment vertical="center"/>
    </xf>
    <xf numFmtId="1" fontId="110" fillId="37" borderId="0" xfId="234" applyNumberFormat="1" applyFont="1" applyFill="1" applyAlignment="1">
      <alignment vertical="center"/>
    </xf>
    <xf numFmtId="1" fontId="134" fillId="37" borderId="0" xfId="0" applyNumberFormat="1" applyFont="1" applyFill="1" applyBorder="1"/>
    <xf numFmtId="1" fontId="0" fillId="37" borderId="0" xfId="0" applyNumberFormat="1" applyFill="1" applyBorder="1"/>
    <xf numFmtId="168" fontId="0" fillId="37" borderId="0" xfId="1" applyNumberFormat="1" applyFont="1" applyFill="1" applyBorder="1"/>
    <xf numFmtId="168" fontId="101" fillId="37" borderId="0" xfId="0" applyNumberFormat="1" applyFont="1" applyFill="1" applyBorder="1"/>
    <xf numFmtId="168" fontId="134" fillId="37" borderId="0" xfId="1" applyNumberFormat="1" applyFont="1" applyFill="1" applyBorder="1"/>
    <xf numFmtId="0" fontId="169" fillId="37" borderId="0" xfId="0" applyFont="1" applyFill="1" applyBorder="1"/>
    <xf numFmtId="168" fontId="0" fillId="37" borderId="6" xfId="0" applyNumberFormat="1" applyFill="1" applyBorder="1"/>
    <xf numFmtId="0" fontId="101" fillId="37" borderId="5" xfId="0" applyFont="1" applyFill="1" applyBorder="1"/>
    <xf numFmtId="168" fontId="101" fillId="37" borderId="0" xfId="1" applyNumberFormat="1" applyFont="1" applyFill="1" applyBorder="1"/>
    <xf numFmtId="170" fontId="101" fillId="37" borderId="0" xfId="2" applyFont="1" applyFill="1" applyBorder="1"/>
    <xf numFmtId="0" fontId="101" fillId="37" borderId="6" xfId="0" applyFont="1" applyFill="1" applyBorder="1"/>
    <xf numFmtId="170" fontId="134" fillId="37" borderId="0" xfId="2" applyFont="1" applyFill="1" applyBorder="1"/>
    <xf numFmtId="0" fontId="0" fillId="37" borderId="9" xfId="0" applyFill="1" applyBorder="1"/>
    <xf numFmtId="0" fontId="0" fillId="37" borderId="10" xfId="0" applyFill="1" applyBorder="1"/>
    <xf numFmtId="0" fontId="0" fillId="37" borderId="11" xfId="0" applyFill="1" applyBorder="1"/>
    <xf numFmtId="0" fontId="170" fillId="37" borderId="0" xfId="154" applyFont="1" applyFill="1" applyBorder="1" applyAlignment="1">
      <alignment horizontal="center" vertical="center"/>
    </xf>
    <xf numFmtId="0" fontId="110" fillId="37" borderId="0" xfId="154" applyFont="1" applyFill="1"/>
    <xf numFmtId="0" fontId="133" fillId="37" borderId="0" xfId="0" applyFont="1" applyFill="1" applyBorder="1"/>
    <xf numFmtId="168" fontId="110" fillId="37" borderId="0" xfId="1" applyNumberFormat="1" applyFont="1" applyFill="1"/>
    <xf numFmtId="0" fontId="171" fillId="37" borderId="0" xfId="0" applyFont="1" applyFill="1" applyBorder="1"/>
    <xf numFmtId="0" fontId="145" fillId="37" borderId="0" xfId="0" applyFont="1" applyFill="1" applyBorder="1"/>
    <xf numFmtId="0" fontId="145" fillId="37" borderId="0" xfId="0" applyFont="1" applyFill="1" applyBorder="1" applyAlignment="1">
      <alignment horizontal="left" vertical="center"/>
    </xf>
    <xf numFmtId="168" fontId="145" fillId="37" borderId="0" xfId="1" applyNumberFormat="1" applyFont="1" applyFill="1" applyBorder="1" applyAlignment="1">
      <alignment vertical="center"/>
    </xf>
    <xf numFmtId="0" fontId="171" fillId="37" borderId="0" xfId="0" applyFont="1" applyFill="1" applyBorder="1" applyAlignment="1">
      <alignment horizontal="right" vertical="center"/>
    </xf>
    <xf numFmtId="170" fontId="171" fillId="37" borderId="0" xfId="2" applyFont="1" applyFill="1" applyBorder="1" applyAlignment="1">
      <alignment vertical="center"/>
    </xf>
    <xf numFmtId="0" fontId="133" fillId="37" borderId="0" xfId="0" applyFont="1" applyFill="1" applyBorder="1" applyAlignment="1">
      <alignment horizontal="right" vertical="center"/>
    </xf>
    <xf numFmtId="0" fontId="133" fillId="37" borderId="0" xfId="0" applyFont="1" applyFill="1" applyBorder="1" applyAlignment="1">
      <alignment vertical="center"/>
    </xf>
    <xf numFmtId="1" fontId="171" fillId="37" borderId="0" xfId="2" applyNumberFormat="1" applyFont="1" applyFill="1" applyBorder="1" applyAlignment="1">
      <alignment vertical="center"/>
    </xf>
    <xf numFmtId="0" fontId="171" fillId="37" borderId="0" xfId="0" applyFont="1" applyFill="1" applyBorder="1" applyAlignment="1">
      <alignment vertical="center"/>
    </xf>
    <xf numFmtId="1" fontId="171" fillId="37" borderId="0" xfId="2" applyNumberFormat="1" applyFont="1" applyFill="1" applyBorder="1" applyAlignment="1">
      <alignment horizontal="right" vertical="center"/>
    </xf>
    <xf numFmtId="170" fontId="133" fillId="37" borderId="0" xfId="2" applyNumberFormat="1" applyFont="1" applyFill="1" applyBorder="1" applyAlignment="1">
      <alignment vertical="center"/>
    </xf>
    <xf numFmtId="0" fontId="0" fillId="39" borderId="0" xfId="0" applyFill="1" applyBorder="1"/>
    <xf numFmtId="0" fontId="0" fillId="39" borderId="0" xfId="0" applyFill="1"/>
    <xf numFmtId="0" fontId="101" fillId="37" borderId="0" xfId="0" applyFont="1" applyFill="1" applyBorder="1" applyAlignment="1">
      <alignment vertical="center"/>
    </xf>
    <xf numFmtId="0" fontId="170" fillId="37" borderId="0" xfId="154" applyFont="1" applyFill="1" applyBorder="1" applyAlignment="1">
      <alignment horizontal="right" vertical="center"/>
    </xf>
    <xf numFmtId="0" fontId="0" fillId="37" borderId="0" xfId="0" applyFont="1" applyFill="1" applyBorder="1" applyAlignment="1">
      <alignment horizontal="left" vertical="center"/>
    </xf>
    <xf numFmtId="0" fontId="101" fillId="37" borderId="0" xfId="0" applyFont="1" applyFill="1" applyBorder="1" applyAlignment="1">
      <alignment horizontal="left" vertical="center"/>
    </xf>
    <xf numFmtId="0" fontId="133" fillId="37" borderId="0" xfId="4" applyNumberFormat="1" applyFont="1" applyFill="1" applyBorder="1"/>
    <xf numFmtId="0" fontId="145" fillId="37" borderId="0" xfId="0" applyFont="1" applyFill="1" applyAlignment="1">
      <alignment horizontal="left" vertical="center"/>
    </xf>
    <xf numFmtId="0" fontId="145" fillId="37" borderId="0" xfId="0" applyFont="1" applyFill="1" applyAlignment="1">
      <alignment vertical="center"/>
    </xf>
    <xf numFmtId="0" fontId="133" fillId="37" borderId="0" xfId="0" applyFont="1" applyFill="1" applyAlignment="1">
      <alignment vertical="center"/>
    </xf>
    <xf numFmtId="168" fontId="94" fillId="37" borderId="0" xfId="1" applyNumberFormat="1" applyFont="1" applyFill="1" applyBorder="1" applyAlignment="1">
      <alignment vertical="center"/>
    </xf>
    <xf numFmtId="0" fontId="172" fillId="40" borderId="2" xfId="0" applyFont="1" applyFill="1" applyBorder="1" applyAlignment="1">
      <alignment horizontal="left" vertical="center" indent="1"/>
    </xf>
    <xf numFmtId="0" fontId="134" fillId="40" borderId="3" xfId="0" applyFont="1" applyFill="1" applyBorder="1"/>
    <xf numFmtId="169" fontId="134" fillId="40" borderId="3" xfId="1" applyFont="1" applyFill="1" applyBorder="1"/>
    <xf numFmtId="169" fontId="134" fillId="40" borderId="4" xfId="1" applyFont="1" applyFill="1" applyBorder="1"/>
    <xf numFmtId="0" fontId="172" fillId="41" borderId="20" xfId="0" applyFont="1" applyFill="1" applyBorder="1" applyAlignment="1">
      <alignment horizontal="left" vertical="center" indent="1"/>
    </xf>
    <xf numFmtId="0" fontId="134" fillId="41" borderId="21" xfId="0" applyFont="1" applyFill="1" applyBorder="1"/>
    <xf numFmtId="169" fontId="134" fillId="41" borderId="21" xfId="1" applyFont="1" applyFill="1" applyBorder="1"/>
    <xf numFmtId="169" fontId="134" fillId="41" borderId="22" xfId="1" applyFont="1" applyFill="1" applyBorder="1"/>
    <xf numFmtId="0" fontId="134" fillId="41" borderId="5" xfId="0" applyFont="1" applyFill="1" applyBorder="1"/>
    <xf numFmtId="0" fontId="134" fillId="41" borderId="0" xfId="0" applyFont="1" applyFill="1" applyBorder="1"/>
    <xf numFmtId="168" fontId="134" fillId="41" borderId="0" xfId="1" applyNumberFormat="1" applyFont="1" applyFill="1" applyBorder="1"/>
    <xf numFmtId="0" fontId="134" fillId="41" borderId="6" xfId="0" applyFont="1" applyFill="1" applyBorder="1"/>
    <xf numFmtId="0" fontId="169" fillId="41" borderId="0" xfId="0" applyFont="1" applyFill="1" applyBorder="1"/>
    <xf numFmtId="168" fontId="169" fillId="41" borderId="0" xfId="1" applyNumberFormat="1" applyFont="1" applyFill="1" applyBorder="1"/>
    <xf numFmtId="169" fontId="134" fillId="41" borderId="0" xfId="0" applyNumberFormat="1" applyFont="1" applyFill="1" applyBorder="1"/>
    <xf numFmtId="170" fontId="134" fillId="41" borderId="0" xfId="2" applyFont="1" applyFill="1" applyBorder="1"/>
    <xf numFmtId="0" fontId="170" fillId="41" borderId="0" xfId="154" applyFont="1" applyFill="1"/>
    <xf numFmtId="0" fontId="170" fillId="41" borderId="0" xfId="154" applyNumberFormat="1" applyFont="1" applyFill="1"/>
    <xf numFmtId="0" fontId="101" fillId="41" borderId="0" xfId="0" applyFont="1" applyFill="1" applyBorder="1"/>
    <xf numFmtId="0" fontId="101" fillId="41" borderId="0" xfId="0" applyFont="1" applyFill="1" applyBorder="1" applyAlignment="1">
      <alignment horizontal="right"/>
    </xf>
    <xf numFmtId="0" fontId="110" fillId="41" borderId="0" xfId="154" applyFont="1" applyFill="1"/>
    <xf numFmtId="0" fontId="0" fillId="41" borderId="0" xfId="0" applyFill="1"/>
    <xf numFmtId="168" fontId="110" fillId="41" borderId="0" xfId="1" applyNumberFormat="1" applyFont="1" applyFill="1"/>
    <xf numFmtId="0" fontId="0" fillId="41" borderId="0" xfId="0" applyFill="1" applyBorder="1"/>
    <xf numFmtId="0" fontId="94" fillId="0" borderId="0" xfId="0" applyFont="1" applyFill="1" applyBorder="1" applyAlignment="1">
      <alignment horizontal="center" vertical="center"/>
    </xf>
    <xf numFmtId="0" fontId="94" fillId="0" borderId="0" xfId="0" applyFont="1" applyFill="1" applyBorder="1" applyAlignment="1">
      <alignment vertical="center"/>
    </xf>
    <xf numFmtId="0" fontId="94" fillId="0" borderId="0" xfId="0" applyFont="1" applyFill="1" applyBorder="1" applyAlignment="1">
      <alignment horizontal="center" vertical="center" wrapText="1"/>
    </xf>
    <xf numFmtId="0" fontId="131" fillId="0" borderId="0" xfId="0" applyFont="1" applyFill="1" applyBorder="1" applyAlignment="1">
      <alignment vertical="center"/>
    </xf>
    <xf numFmtId="0" fontId="173" fillId="0" borderId="0" xfId="0" applyFont="1" applyFill="1" applyBorder="1" applyAlignment="1">
      <alignment horizontal="left" vertical="center"/>
    </xf>
    <xf numFmtId="168" fontId="0" fillId="0" borderId="0" xfId="1" applyNumberFormat="1" applyFont="1"/>
    <xf numFmtId="0" fontId="122" fillId="0" borderId="0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131" fillId="0" borderId="0" xfId="0" applyFont="1" applyFill="1" applyBorder="1" applyAlignment="1">
      <alignment horizontal="center" vertical="center" wrapText="1"/>
    </xf>
    <xf numFmtId="0" fontId="129" fillId="0" borderId="0" xfId="0" applyFont="1" applyFill="1" applyBorder="1" applyAlignment="1">
      <alignment horizontal="left" vertical="center"/>
    </xf>
    <xf numFmtId="0" fontId="174" fillId="26" borderId="55" xfId="0" applyFont="1" applyFill="1" applyBorder="1" applyAlignment="1">
      <alignment horizontal="centerContinuous" vertical="center" wrapText="1"/>
    </xf>
    <xf numFmtId="0" fontId="173" fillId="20" borderId="2" xfId="0" applyFont="1" applyFill="1" applyBorder="1" applyAlignment="1">
      <alignment horizontal="centerContinuous" vertical="center" wrapText="1"/>
    </xf>
    <xf numFmtId="0" fontId="122" fillId="20" borderId="3" xfId="0" applyFont="1" applyFill="1" applyBorder="1" applyAlignment="1">
      <alignment horizontal="centerContinuous" vertical="center" wrapText="1"/>
    </xf>
    <xf numFmtId="0" fontId="173" fillId="20" borderId="3" xfId="0" applyFont="1" applyFill="1" applyBorder="1" applyAlignment="1">
      <alignment horizontal="centerContinuous" vertical="center" wrapText="1"/>
    </xf>
    <xf numFmtId="0" fontId="122" fillId="20" borderId="4" xfId="0" applyFont="1" applyFill="1" applyBorder="1" applyAlignment="1">
      <alignment horizontal="centerContinuous" vertical="center" wrapText="1"/>
    </xf>
    <xf numFmtId="0" fontId="173" fillId="19" borderId="3" xfId="0" applyFont="1" applyFill="1" applyBorder="1" applyAlignment="1">
      <alignment horizontal="centerContinuous" vertical="center" wrapText="1"/>
    </xf>
    <xf numFmtId="0" fontId="122" fillId="19" borderId="3" xfId="0" applyFont="1" applyFill="1" applyBorder="1" applyAlignment="1">
      <alignment horizontal="centerContinuous" vertical="center" wrapText="1"/>
    </xf>
    <xf numFmtId="0" fontId="122" fillId="19" borderId="2" xfId="0" applyFont="1" applyFill="1" applyBorder="1" applyAlignment="1">
      <alignment horizontal="centerContinuous" vertical="center" wrapText="1"/>
    </xf>
    <xf numFmtId="0" fontId="122" fillId="19" borderId="4" xfId="0" applyFont="1" applyFill="1" applyBorder="1" applyAlignment="1">
      <alignment horizontal="centerContinuous" vertical="center" wrapText="1"/>
    </xf>
    <xf numFmtId="0" fontId="173" fillId="42" borderId="55" xfId="0" applyFont="1" applyFill="1" applyBorder="1" applyAlignment="1">
      <alignment horizontal="centerContinuous" vertical="center" wrapText="1"/>
    </xf>
    <xf numFmtId="0" fontId="122" fillId="42" borderId="55" xfId="0" applyFont="1" applyFill="1" applyBorder="1" applyAlignment="1">
      <alignment horizontal="centerContinuous" vertical="center" wrapText="1"/>
    </xf>
    <xf numFmtId="0" fontId="132" fillId="0" borderId="0" xfId="0" applyFont="1" applyFill="1" applyBorder="1" applyAlignment="1">
      <alignment horizontal="center" vertical="center" wrapText="1"/>
    </xf>
    <xf numFmtId="0" fontId="173" fillId="38" borderId="2" xfId="0" applyFont="1" applyFill="1" applyBorder="1" applyAlignment="1">
      <alignment horizontal="centerContinuous" vertical="center" wrapText="1"/>
    </xf>
    <xf numFmtId="0" fontId="173" fillId="38" borderId="3" xfId="0" applyFont="1" applyFill="1" applyBorder="1" applyAlignment="1">
      <alignment horizontal="centerContinuous" vertical="center"/>
    </xf>
    <xf numFmtId="0" fontId="0" fillId="38" borderId="10" xfId="0" applyFill="1" applyBorder="1"/>
    <xf numFmtId="0" fontId="164" fillId="0" borderId="0" xfId="0" applyFont="1" applyFill="1" applyBorder="1" applyAlignment="1">
      <alignment horizontal="center" vertical="center" wrapText="1"/>
    </xf>
    <xf numFmtId="0" fontId="175" fillId="43" borderId="45" xfId="0" applyFont="1" applyFill="1" applyBorder="1" applyAlignment="1">
      <alignment horizontal="center" vertical="center" wrapText="1"/>
    </xf>
    <xf numFmtId="0" fontId="175" fillId="44" borderId="45" xfId="0" applyFont="1" applyFill="1" applyBorder="1" applyAlignment="1">
      <alignment horizontal="center" vertical="center" wrapText="1"/>
    </xf>
    <xf numFmtId="0" fontId="175" fillId="45" borderId="45" xfId="0" applyFont="1" applyFill="1" applyBorder="1" applyAlignment="1">
      <alignment horizontal="center" vertical="center" wrapText="1"/>
    </xf>
    <xf numFmtId="0" fontId="175" fillId="30" borderId="45" xfId="0" applyFont="1" applyFill="1" applyBorder="1" applyAlignment="1">
      <alignment horizontal="center" vertical="center" wrapText="1"/>
    </xf>
    <xf numFmtId="0" fontId="176" fillId="0" borderId="0" xfId="0" applyFont="1" applyFill="1" applyBorder="1" applyAlignment="1">
      <alignment horizontal="center" vertical="center" wrapText="1"/>
    </xf>
    <xf numFmtId="0" fontId="0" fillId="46" borderId="20" xfId="0" applyFont="1" applyFill="1" applyBorder="1" applyAlignment="1">
      <alignment horizontal="centerContinuous" vertical="center" wrapText="1"/>
    </xf>
    <xf numFmtId="0" fontId="0" fillId="46" borderId="21" xfId="0" applyFont="1" applyFill="1" applyBorder="1" applyAlignment="1">
      <alignment horizontal="centerContinuous" vertical="center" wrapText="1"/>
    </xf>
    <xf numFmtId="0" fontId="0" fillId="46" borderId="22" xfId="0" applyFont="1" applyFill="1" applyBorder="1" applyAlignment="1">
      <alignment horizontal="centerContinuous" vertical="center" wrapText="1"/>
    </xf>
    <xf numFmtId="0" fontId="101" fillId="0" borderId="0" xfId="0" applyFont="1" applyAlignment="1">
      <alignment horizontal="center" vertical="center"/>
    </xf>
    <xf numFmtId="0" fontId="131" fillId="0" borderId="0" xfId="0" applyFont="1" applyFill="1" applyBorder="1" applyAlignment="1">
      <alignment horizontal="left" vertical="center"/>
    </xf>
    <xf numFmtId="0" fontId="175" fillId="43" borderId="56" xfId="0" applyFont="1" applyFill="1" applyBorder="1" applyAlignment="1">
      <alignment horizontal="center" vertical="center" wrapText="1"/>
    </xf>
    <xf numFmtId="0" fontId="175" fillId="44" borderId="56" xfId="0" applyFont="1" applyFill="1" applyBorder="1" applyAlignment="1">
      <alignment horizontal="center" vertical="center" wrapText="1"/>
    </xf>
    <xf numFmtId="0" fontId="175" fillId="45" borderId="56" xfId="0" applyFont="1" applyFill="1" applyBorder="1" applyAlignment="1">
      <alignment horizontal="center" vertical="center" wrapText="1"/>
    </xf>
    <xf numFmtId="0" fontId="175" fillId="30" borderId="56" xfId="0" applyFont="1" applyFill="1" applyBorder="1" applyAlignment="1">
      <alignment horizontal="center" vertical="center" wrapText="1"/>
    </xf>
    <xf numFmtId="0" fontId="175" fillId="0" borderId="0" xfId="0" applyFont="1" applyFill="1" applyBorder="1" applyAlignment="1">
      <alignment horizontal="center" vertical="center" wrapText="1"/>
    </xf>
    <xf numFmtId="0" fontId="164" fillId="46" borderId="9" xfId="0" applyFont="1" applyFill="1" applyBorder="1" applyAlignment="1">
      <alignment horizontal="centerContinuous" vertical="center"/>
    </xf>
    <xf numFmtId="0" fontId="164" fillId="46" borderId="10" xfId="0" applyFont="1" applyFill="1" applyBorder="1" applyAlignment="1">
      <alignment horizontal="centerContinuous" vertical="center"/>
    </xf>
    <xf numFmtId="0" fontId="164" fillId="46" borderId="11" xfId="0" applyFont="1" applyFill="1" applyBorder="1" applyAlignment="1">
      <alignment horizontal="centerContinuous" vertical="center"/>
    </xf>
    <xf numFmtId="169" fontId="177" fillId="27" borderId="45" xfId="1" applyFont="1" applyFill="1" applyBorder="1" applyAlignment="1">
      <alignment vertical="center"/>
    </xf>
    <xf numFmtId="169" fontId="178" fillId="27" borderId="45" xfId="1" applyFont="1" applyFill="1" applyBorder="1" applyAlignment="1">
      <alignment horizontal="center" vertical="center" wrapText="1"/>
    </xf>
    <xf numFmtId="169" fontId="177" fillId="34" borderId="45" xfId="1" applyFont="1" applyFill="1" applyBorder="1" applyAlignment="1">
      <alignment vertical="center"/>
    </xf>
    <xf numFmtId="169" fontId="177" fillId="21" borderId="45" xfId="1" applyFont="1" applyFill="1" applyBorder="1" applyAlignment="1">
      <alignment vertical="center"/>
    </xf>
    <xf numFmtId="169" fontId="177" fillId="31" borderId="45" xfId="1" applyFont="1" applyFill="1" applyBorder="1" applyAlignment="1">
      <alignment vertical="center"/>
    </xf>
    <xf numFmtId="169" fontId="177" fillId="0" borderId="0" xfId="1" applyFont="1" applyFill="1" applyBorder="1" applyAlignment="1">
      <alignment vertical="center"/>
    </xf>
    <xf numFmtId="0" fontId="0" fillId="46" borderId="55" xfId="0" applyFill="1" applyBorder="1" applyAlignment="1">
      <alignment horizontal="center" vertical="center"/>
    </xf>
    <xf numFmtId="0" fontId="129" fillId="0" borderId="0" xfId="0" applyFont="1" applyFill="1" applyBorder="1" applyAlignment="1">
      <alignment vertical="center"/>
    </xf>
    <xf numFmtId="0" fontId="116" fillId="0" borderId="0" xfId="0" applyFont="1" applyFill="1" applyBorder="1" applyAlignment="1">
      <alignment vertical="center"/>
    </xf>
    <xf numFmtId="169" fontId="179" fillId="27" borderId="45" xfId="1" applyFont="1" applyFill="1" applyBorder="1" applyAlignment="1">
      <alignment vertical="center"/>
    </xf>
    <xf numFmtId="169" fontId="179" fillId="34" borderId="45" xfId="1" applyFont="1" applyFill="1" applyBorder="1" applyAlignment="1">
      <alignment vertical="center"/>
    </xf>
    <xf numFmtId="169" fontId="179" fillId="21" borderId="45" xfId="1" applyFont="1" applyFill="1" applyBorder="1" applyAlignment="1">
      <alignment vertical="center"/>
    </xf>
    <xf numFmtId="169" fontId="179" fillId="31" borderId="45" xfId="1" applyFont="1" applyFill="1" applyBorder="1" applyAlignment="1">
      <alignment vertical="center"/>
    </xf>
    <xf numFmtId="169" fontId="179" fillId="0" borderId="0" xfId="1" applyFont="1" applyFill="1" applyBorder="1" applyAlignment="1">
      <alignment vertical="center"/>
    </xf>
    <xf numFmtId="0" fontId="0" fillId="37" borderId="57" xfId="0" applyFill="1" applyBorder="1"/>
    <xf numFmtId="169" fontId="133" fillId="27" borderId="45" xfId="1" applyFont="1" applyFill="1" applyBorder="1" applyAlignment="1">
      <alignment vertical="center"/>
    </xf>
    <xf numFmtId="169" fontId="135" fillId="27" borderId="45" xfId="1" applyFont="1" applyFill="1" applyBorder="1" applyAlignment="1">
      <alignment horizontal="center" vertical="center" wrapText="1"/>
    </xf>
    <xf numFmtId="169" fontId="133" fillId="34" borderId="45" xfId="1" applyFont="1" applyFill="1" applyBorder="1" applyAlignment="1">
      <alignment vertical="center"/>
    </xf>
    <xf numFmtId="169" fontId="133" fillId="21" borderId="45" xfId="1" applyFont="1" applyFill="1" applyBorder="1" applyAlignment="1">
      <alignment vertical="center"/>
    </xf>
    <xf numFmtId="169" fontId="133" fillId="31" borderId="45" xfId="1" applyFont="1" applyFill="1" applyBorder="1" applyAlignment="1">
      <alignment vertical="center"/>
    </xf>
    <xf numFmtId="169" fontId="133" fillId="0" borderId="0" xfId="1" applyFont="1" applyFill="1" applyBorder="1" applyAlignment="1">
      <alignment vertical="center"/>
    </xf>
    <xf numFmtId="0" fontId="0" fillId="37" borderId="45" xfId="0" applyFill="1" applyBorder="1"/>
    <xf numFmtId="0" fontId="108" fillId="0" borderId="0" xfId="4" applyNumberFormat="1" applyBorder="1" applyAlignment="1">
      <alignment vertical="center"/>
    </xf>
    <xf numFmtId="0" fontId="108" fillId="0" borderId="0" xfId="4" applyNumberFormat="1" applyFill="1" applyBorder="1" applyAlignment="1">
      <alignment horizontal="right" vertical="center"/>
    </xf>
    <xf numFmtId="0" fontId="108" fillId="0" borderId="0" xfId="4" applyNumberFormat="1" applyFill="1" applyBorder="1" applyAlignment="1">
      <alignment vertical="center"/>
    </xf>
    <xf numFmtId="169" fontId="180" fillId="27" borderId="45" xfId="1" applyFont="1" applyFill="1" applyBorder="1" applyAlignment="1">
      <alignment horizontal="right" vertical="center"/>
    </xf>
    <xf numFmtId="169" fontId="108" fillId="27" borderId="45" xfId="1" applyFont="1" applyFill="1" applyBorder="1" applyAlignment="1">
      <alignment horizontal="right" vertical="center"/>
    </xf>
    <xf numFmtId="169" fontId="180" fillId="34" borderId="45" xfId="1" applyFont="1" applyFill="1" applyBorder="1" applyAlignment="1">
      <alignment vertical="center"/>
    </xf>
    <xf numFmtId="169" fontId="108" fillId="34" borderId="45" xfId="1" applyFont="1" applyFill="1" applyBorder="1" applyAlignment="1">
      <alignment vertical="center"/>
    </xf>
    <xf numFmtId="169" fontId="180" fillId="21" borderId="45" xfId="1" applyFont="1" applyFill="1" applyBorder="1" applyAlignment="1">
      <alignment vertical="center"/>
    </xf>
    <xf numFmtId="172" fontId="108" fillId="21" borderId="45" xfId="4" applyFill="1" applyBorder="1" applyAlignment="1">
      <alignment vertical="center"/>
    </xf>
    <xf numFmtId="169" fontId="180" fillId="31" borderId="45" xfId="1" applyFont="1" applyFill="1" applyBorder="1" applyAlignment="1">
      <alignment vertical="center"/>
    </xf>
    <xf numFmtId="169" fontId="108" fillId="31" borderId="45" xfId="1" applyFont="1" applyFill="1" applyBorder="1" applyAlignment="1">
      <alignment vertical="center"/>
    </xf>
    <xf numFmtId="172" fontId="108" fillId="0" borderId="0" xfId="4" applyFill="1" applyBorder="1" applyAlignment="1">
      <alignment vertical="center"/>
    </xf>
    <xf numFmtId="169" fontId="108" fillId="37" borderId="45" xfId="1" applyFont="1" applyFill="1" applyBorder="1" applyAlignment="1">
      <alignment vertical="center"/>
    </xf>
    <xf numFmtId="169" fontId="0" fillId="37" borderId="45" xfId="1" applyFont="1" applyFill="1" applyBorder="1" applyAlignment="1">
      <alignment vertical="center"/>
    </xf>
    <xf numFmtId="169" fontId="0" fillId="0" borderId="0" xfId="0" applyNumberFormat="1" applyAlignment="1">
      <alignment vertical="center"/>
    </xf>
    <xf numFmtId="0" fontId="108" fillId="0" borderId="10" xfId="4" applyNumberFormat="1" applyBorder="1" applyAlignment="1">
      <alignment vertical="center"/>
    </xf>
    <xf numFmtId="0" fontId="108" fillId="0" borderId="10" xfId="4" applyNumberFormat="1" applyFill="1" applyBorder="1" applyAlignment="1">
      <alignment horizontal="right" vertical="center"/>
    </xf>
    <xf numFmtId="0" fontId="108" fillId="0" borderId="10" xfId="4" applyNumberFormat="1" applyFill="1" applyBorder="1" applyAlignment="1">
      <alignment vertical="center"/>
    </xf>
    <xf numFmtId="169" fontId="180" fillId="27" borderId="56" xfId="1" applyFont="1" applyFill="1" applyBorder="1" applyAlignment="1">
      <alignment horizontal="right" vertical="center"/>
    </xf>
    <xf numFmtId="169" fontId="108" fillId="27" borderId="56" xfId="1" applyFont="1" applyFill="1" applyBorder="1" applyAlignment="1">
      <alignment horizontal="right" vertical="center"/>
    </xf>
    <xf numFmtId="169" fontId="180" fillId="34" borderId="56" xfId="1" applyFont="1" applyFill="1" applyBorder="1" applyAlignment="1">
      <alignment vertical="center"/>
    </xf>
    <xf numFmtId="169" fontId="108" fillId="34" borderId="56" xfId="1" applyFont="1" applyFill="1" applyBorder="1" applyAlignment="1">
      <alignment vertical="center"/>
    </xf>
    <xf numFmtId="169" fontId="180" fillId="21" borderId="56" xfId="1" applyFont="1" applyFill="1" applyBorder="1" applyAlignment="1">
      <alignment vertical="center"/>
    </xf>
    <xf numFmtId="172" fontId="108" fillId="21" borderId="56" xfId="4" applyFill="1" applyBorder="1" applyAlignment="1">
      <alignment vertical="center"/>
    </xf>
    <xf numFmtId="169" fontId="180" fillId="31" borderId="56" xfId="1" applyFont="1" applyFill="1" applyBorder="1" applyAlignment="1">
      <alignment vertical="center"/>
    </xf>
    <xf numFmtId="169" fontId="108" fillId="31" borderId="56" xfId="1" applyFont="1" applyFill="1" applyBorder="1" applyAlignment="1">
      <alignment vertical="center"/>
    </xf>
    <xf numFmtId="172" fontId="108" fillId="0" borderId="10" xfId="4" applyFill="1" applyBorder="1" applyAlignment="1">
      <alignment vertical="center"/>
    </xf>
    <xf numFmtId="0" fontId="108" fillId="0" borderId="0" xfId="4" applyNumberFormat="1" applyAlignment="1">
      <alignment vertical="center"/>
    </xf>
    <xf numFmtId="169" fontId="108" fillId="21" borderId="45" xfId="1" applyFont="1" applyFill="1" applyBorder="1" applyAlignment="1">
      <alignment vertical="center"/>
    </xf>
    <xf numFmtId="169" fontId="108" fillId="21" borderId="45" xfId="4" applyNumberFormat="1" applyFill="1" applyBorder="1" applyAlignment="1">
      <alignment vertical="center"/>
    </xf>
    <xf numFmtId="169" fontId="108" fillId="0" borderId="0" xfId="4" applyNumberFormat="1" applyFill="1" applyBorder="1" applyAlignment="1">
      <alignment vertical="center"/>
    </xf>
    <xf numFmtId="0" fontId="108" fillId="0" borderId="39" xfId="4" applyNumberFormat="1" applyFill="1" applyBorder="1" applyAlignment="1">
      <alignment vertical="center"/>
    </xf>
    <xf numFmtId="169" fontId="108" fillId="27" borderId="58" xfId="1" applyFont="1" applyFill="1" applyBorder="1" applyAlignment="1">
      <alignment horizontal="right" vertical="center"/>
    </xf>
    <xf numFmtId="169" fontId="108" fillId="34" borderId="58" xfId="1" applyFont="1" applyFill="1" applyBorder="1" applyAlignment="1">
      <alignment vertical="center"/>
    </xf>
    <xf numFmtId="169" fontId="108" fillId="21" borderId="58" xfId="1" applyFont="1" applyFill="1" applyBorder="1" applyAlignment="1">
      <alignment vertical="center"/>
    </xf>
    <xf numFmtId="169" fontId="108" fillId="21" borderId="58" xfId="4" applyNumberFormat="1" applyFill="1" applyBorder="1" applyAlignment="1">
      <alignment vertical="center"/>
    </xf>
    <xf numFmtId="169" fontId="108" fillId="31" borderId="58" xfId="1" applyFont="1" applyFill="1" applyBorder="1" applyAlignment="1">
      <alignment vertical="center"/>
    </xf>
    <xf numFmtId="169" fontId="108" fillId="37" borderId="58" xfId="1" applyFont="1" applyFill="1" applyBorder="1" applyAlignment="1">
      <alignment vertical="center"/>
    </xf>
    <xf numFmtId="169" fontId="0" fillId="37" borderId="58" xfId="1" applyFont="1" applyFill="1" applyBorder="1" applyAlignment="1">
      <alignment vertical="center"/>
    </xf>
    <xf numFmtId="0" fontId="0" fillId="0" borderId="0" xfId="0" applyFont="1" applyAlignment="1">
      <alignment vertical="center"/>
    </xf>
    <xf numFmtId="0" fontId="116" fillId="0" borderId="0" xfId="0" applyFont="1" applyAlignment="1">
      <alignment vertical="center"/>
    </xf>
    <xf numFmtId="0" fontId="101" fillId="0" borderId="0" xfId="0" applyFont="1" applyFill="1" applyBorder="1" applyAlignment="1">
      <alignment horizontal="right" vertical="center"/>
    </xf>
    <xf numFmtId="0" fontId="101" fillId="0" borderId="0" xfId="0" applyFont="1" applyFill="1" applyBorder="1" applyAlignment="1">
      <alignment vertical="center"/>
    </xf>
    <xf numFmtId="0" fontId="0" fillId="0" borderId="0" xfId="0" applyFont="1" applyFill="1" applyBorder="1" applyAlignment="1">
      <alignment vertical="center"/>
    </xf>
    <xf numFmtId="169" fontId="133" fillId="27" borderId="45" xfId="1" applyFont="1" applyFill="1" applyBorder="1" applyAlignment="1">
      <alignment horizontal="right" vertical="center"/>
    </xf>
    <xf numFmtId="169" fontId="180" fillId="27" borderId="58" xfId="1" applyFont="1" applyFill="1" applyBorder="1" applyAlignment="1">
      <alignment horizontal="right" vertical="center"/>
    </xf>
    <xf numFmtId="169" fontId="180" fillId="34" borderId="58" xfId="1" applyFont="1" applyFill="1" applyBorder="1" applyAlignment="1">
      <alignment vertical="center"/>
    </xf>
    <xf numFmtId="169" fontId="180" fillId="21" borderId="58" xfId="1" applyFont="1" applyFill="1" applyBorder="1" applyAlignment="1">
      <alignment vertical="center"/>
    </xf>
    <xf numFmtId="169" fontId="180" fillId="31" borderId="58" xfId="1" applyFont="1" applyFill="1" applyBorder="1" applyAlignment="1">
      <alignment vertical="center"/>
    </xf>
    <xf numFmtId="0" fontId="0" fillId="0" borderId="0" xfId="0" applyFont="1" applyFill="1" applyBorder="1" applyAlignment="1">
      <alignment horizontal="right" vertical="center"/>
    </xf>
    <xf numFmtId="0" fontId="108" fillId="0" borderId="0" xfId="4" applyNumberFormat="1" applyFill="1" applyBorder="1" applyAlignment="1">
      <alignment horizontal="left" vertical="center"/>
    </xf>
    <xf numFmtId="0" fontId="108" fillId="0" borderId="10" xfId="4" applyNumberFormat="1" applyFill="1" applyBorder="1" applyAlignment="1">
      <alignment horizontal="left" vertical="center"/>
    </xf>
    <xf numFmtId="0" fontId="108" fillId="0" borderId="39" xfId="4" applyNumberFormat="1" applyFill="1" applyBorder="1" applyAlignment="1">
      <alignment horizontal="left" vertical="center"/>
    </xf>
    <xf numFmtId="169" fontId="108" fillId="34" borderId="59" xfId="1" applyFont="1" applyFill="1" applyBorder="1" applyAlignment="1">
      <alignment vertical="center"/>
    </xf>
    <xf numFmtId="169" fontId="108" fillId="21" borderId="59" xfId="1" applyFont="1" applyFill="1" applyBorder="1" applyAlignment="1">
      <alignment vertical="center"/>
    </xf>
    <xf numFmtId="172" fontId="108" fillId="21" borderId="58" xfId="4" applyFill="1" applyBorder="1" applyAlignment="1">
      <alignment vertical="center"/>
    </xf>
    <xf numFmtId="169" fontId="108" fillId="31" borderId="59" xfId="1" applyFont="1" applyFill="1" applyBorder="1" applyAlignment="1">
      <alignment vertical="center"/>
    </xf>
    <xf numFmtId="0" fontId="101" fillId="0" borderId="0" xfId="0" applyFont="1" applyFill="1" applyBorder="1" applyAlignment="1">
      <alignment horizontal="center" vertical="center"/>
    </xf>
    <xf numFmtId="0" fontId="134" fillId="0" borderId="0" xfId="0" applyFont="1" applyFill="1" applyBorder="1" applyAlignment="1">
      <alignment horizontal="right" vertical="center"/>
    </xf>
    <xf numFmtId="0" fontId="101" fillId="0" borderId="60" xfId="0" applyFont="1" applyFill="1" applyBorder="1" applyAlignment="1">
      <alignment vertical="center"/>
    </xf>
    <xf numFmtId="0" fontId="94" fillId="0" borderId="60" xfId="0" applyFont="1" applyFill="1" applyBorder="1" applyAlignment="1">
      <alignment vertical="center"/>
    </xf>
    <xf numFmtId="169" fontId="145" fillId="27" borderId="61" xfId="1" applyFont="1" applyFill="1" applyBorder="1" applyAlignment="1">
      <alignment horizontal="right" vertical="center"/>
    </xf>
    <xf numFmtId="169" fontId="145" fillId="34" borderId="61" xfId="1" applyFont="1" applyFill="1" applyBorder="1" applyAlignment="1">
      <alignment vertical="center"/>
    </xf>
    <xf numFmtId="169" fontId="145" fillId="21" borderId="61" xfId="1" applyFont="1" applyFill="1" applyBorder="1" applyAlignment="1">
      <alignment vertical="center"/>
    </xf>
    <xf numFmtId="169" fontId="145" fillId="31" borderId="61" xfId="1" applyFont="1" applyFill="1" applyBorder="1" applyAlignment="1">
      <alignment vertical="center"/>
    </xf>
    <xf numFmtId="169" fontId="145" fillId="0" borderId="0" xfId="1" applyFont="1" applyFill="1" applyBorder="1" applyAlignment="1">
      <alignment vertical="center"/>
    </xf>
    <xf numFmtId="169" fontId="101" fillId="37" borderId="62" xfId="1" applyFont="1" applyFill="1" applyBorder="1" applyAlignment="1">
      <alignment vertical="center"/>
    </xf>
    <xf numFmtId="169" fontId="101" fillId="0" borderId="0" xfId="0" applyNumberFormat="1" applyFont="1" applyAlignment="1">
      <alignment vertical="center"/>
    </xf>
    <xf numFmtId="169" fontId="133" fillId="27" borderId="45" xfId="1" applyFont="1" applyFill="1" applyBorder="1" applyAlignment="1">
      <alignment horizontal="center" vertical="center" wrapText="1"/>
    </xf>
    <xf numFmtId="0" fontId="181" fillId="0" borderId="3" xfId="4" applyNumberFormat="1" applyFont="1" applyBorder="1" applyAlignment="1">
      <alignment vertical="center"/>
    </xf>
    <xf numFmtId="0" fontId="181" fillId="0" borderId="3" xfId="4" applyNumberFormat="1" applyFont="1" applyFill="1" applyBorder="1" applyAlignment="1">
      <alignment horizontal="right" vertical="center"/>
    </xf>
    <xf numFmtId="0" fontId="181" fillId="0" borderId="3" xfId="4" applyNumberFormat="1" applyFont="1" applyFill="1" applyBorder="1" applyAlignment="1">
      <alignment vertical="center"/>
    </xf>
    <xf numFmtId="0" fontId="0" fillId="0" borderId="3" xfId="0" applyBorder="1" applyAlignment="1">
      <alignment vertical="center"/>
    </xf>
    <xf numFmtId="169" fontId="181" fillId="27" borderId="55" xfId="4" applyNumberFormat="1" applyFont="1" applyFill="1" applyBorder="1" applyAlignment="1">
      <alignment vertical="center"/>
    </xf>
    <xf numFmtId="169" fontId="181" fillId="27" borderId="55" xfId="4" applyNumberFormat="1" applyFont="1" applyFill="1" applyBorder="1" applyAlignment="1">
      <alignment horizontal="center" vertical="center" wrapText="1"/>
    </xf>
    <xf numFmtId="169" fontId="181" fillId="34" borderId="55" xfId="4" applyNumberFormat="1" applyFont="1" applyFill="1" applyBorder="1" applyAlignment="1">
      <alignment vertical="center"/>
    </xf>
    <xf numFmtId="169" fontId="181" fillId="21" borderId="55" xfId="4" applyNumberFormat="1" applyFont="1" applyFill="1" applyBorder="1" applyAlignment="1">
      <alignment vertical="center"/>
    </xf>
    <xf numFmtId="169" fontId="181" fillId="31" borderId="55" xfId="4" applyNumberFormat="1" applyFont="1" applyFill="1" applyBorder="1" applyAlignment="1">
      <alignment vertical="center"/>
    </xf>
    <xf numFmtId="169" fontId="181" fillId="0" borderId="3" xfId="4" applyNumberFormat="1" applyFont="1" applyFill="1" applyBorder="1" applyAlignment="1">
      <alignment vertical="center"/>
    </xf>
    <xf numFmtId="169" fontId="181" fillId="37" borderId="55" xfId="1" applyFont="1" applyFill="1" applyBorder="1" applyAlignment="1">
      <alignment vertical="center"/>
    </xf>
    <xf numFmtId="169" fontId="0" fillId="0" borderId="3" xfId="0" applyNumberFormat="1" applyBorder="1" applyAlignment="1">
      <alignment vertical="center"/>
    </xf>
    <xf numFmtId="0" fontId="0" fillId="0" borderId="39" xfId="0" applyFont="1" applyFill="1" applyBorder="1" applyAlignment="1">
      <alignment vertical="center"/>
    </xf>
    <xf numFmtId="0" fontId="108" fillId="0" borderId="0" xfId="4" applyNumberFormat="1" applyFill="1" applyBorder="1" applyAlignment="1">
      <alignment horizontal="center" vertical="center"/>
    </xf>
    <xf numFmtId="0" fontId="181" fillId="0" borderId="0" xfId="4" applyNumberFormat="1" applyFont="1" applyAlignment="1">
      <alignment vertical="center"/>
    </xf>
    <xf numFmtId="169" fontId="181" fillId="0" borderId="0" xfId="4" applyNumberFormat="1" applyFont="1" applyFill="1" applyBorder="1" applyAlignment="1">
      <alignment vertical="center"/>
    </xf>
    <xf numFmtId="0" fontId="0" fillId="0" borderId="0" xfId="0" applyFill="1" applyBorder="1" applyAlignment="1">
      <alignment horizontal="center" vertical="center"/>
    </xf>
    <xf numFmtId="169" fontId="180" fillId="27" borderId="45" xfId="4" applyNumberFormat="1" applyFont="1" applyFill="1" applyBorder="1" applyAlignment="1">
      <alignment horizontal="right" vertical="center"/>
    </xf>
    <xf numFmtId="169" fontId="180" fillId="27" borderId="45" xfId="4" applyNumberFormat="1" applyFont="1" applyFill="1" applyBorder="1" applyAlignment="1">
      <alignment horizontal="right" vertical="center" wrapText="1"/>
    </xf>
    <xf numFmtId="169" fontId="108" fillId="27" borderId="45" xfId="4" applyNumberFormat="1" applyFill="1" applyBorder="1" applyAlignment="1">
      <alignment vertical="center"/>
    </xf>
    <xf numFmtId="169" fontId="180" fillId="34" borderId="45" xfId="4" applyNumberFormat="1" applyFont="1" applyFill="1" applyBorder="1" applyAlignment="1">
      <alignment vertical="center"/>
    </xf>
    <xf numFmtId="169" fontId="108" fillId="34" borderId="45" xfId="4" applyNumberFormat="1" applyFill="1" applyBorder="1" applyAlignment="1">
      <alignment vertical="center"/>
    </xf>
    <xf numFmtId="169" fontId="180" fillId="21" borderId="45" xfId="4" applyNumberFormat="1" applyFont="1" applyFill="1" applyBorder="1" applyAlignment="1">
      <alignment vertical="center"/>
    </xf>
    <xf numFmtId="169" fontId="180" fillId="31" borderId="45" xfId="4" applyNumberFormat="1" applyFont="1" applyFill="1" applyBorder="1" applyAlignment="1">
      <alignment vertical="center"/>
    </xf>
    <xf numFmtId="169" fontId="108" fillId="31" borderId="45" xfId="4" applyNumberFormat="1" applyFill="1" applyBorder="1" applyAlignment="1">
      <alignment vertical="center"/>
    </xf>
    <xf numFmtId="169" fontId="108" fillId="37" borderId="45" xfId="4" applyNumberFormat="1" applyFill="1" applyBorder="1" applyAlignment="1">
      <alignment vertical="center"/>
    </xf>
    <xf numFmtId="169" fontId="108" fillId="0" borderId="0" xfId="4" applyNumberFormat="1" applyAlignment="1">
      <alignment vertical="center"/>
    </xf>
    <xf numFmtId="0" fontId="181" fillId="0" borderId="0" xfId="4" applyNumberFormat="1" applyFont="1" applyFill="1" applyBorder="1" applyAlignment="1">
      <alignment horizontal="right" vertical="center"/>
    </xf>
    <xf numFmtId="0" fontId="181" fillId="0" borderId="21" xfId="4" applyNumberFormat="1" applyFont="1" applyFill="1" applyBorder="1" applyAlignment="1">
      <alignment vertical="center"/>
    </xf>
    <xf numFmtId="169" fontId="181" fillId="27" borderId="57" xfId="4" applyNumberFormat="1" applyFont="1" applyFill="1" applyBorder="1" applyAlignment="1">
      <alignment vertical="center"/>
    </xf>
    <xf numFmtId="169" fontId="181" fillId="27" borderId="57" xfId="4" applyNumberFormat="1" applyFont="1" applyFill="1" applyBorder="1" applyAlignment="1">
      <alignment horizontal="center" vertical="center" wrapText="1"/>
    </xf>
    <xf numFmtId="169" fontId="181" fillId="37" borderId="45" xfId="1" applyFont="1" applyFill="1" applyBorder="1" applyAlignment="1">
      <alignment vertical="center"/>
    </xf>
    <xf numFmtId="169" fontId="182" fillId="34" borderId="45" xfId="1" applyFont="1" applyFill="1" applyBorder="1" applyAlignment="1">
      <alignment vertical="center"/>
    </xf>
    <xf numFmtId="169" fontId="182" fillId="21" borderId="45" xfId="1" applyFont="1" applyFill="1" applyBorder="1" applyAlignment="1">
      <alignment vertical="center"/>
    </xf>
    <xf numFmtId="169" fontId="182" fillId="31" borderId="45" xfId="1" applyFont="1" applyFill="1" applyBorder="1" applyAlignment="1">
      <alignment vertical="center"/>
    </xf>
    <xf numFmtId="0" fontId="181" fillId="0" borderId="0" xfId="4" applyNumberFormat="1" applyFont="1" applyFill="1" applyBorder="1" applyAlignment="1">
      <alignment horizontal="center" vertical="center"/>
    </xf>
    <xf numFmtId="0" fontId="181" fillId="0" borderId="0" xfId="4" applyNumberFormat="1" applyFont="1" applyFill="1" applyBorder="1" applyAlignment="1">
      <alignment vertical="center"/>
    </xf>
    <xf numFmtId="169" fontId="181" fillId="27" borderId="45" xfId="4" applyNumberFormat="1" applyFont="1" applyFill="1" applyBorder="1" applyAlignment="1">
      <alignment vertical="center"/>
    </xf>
    <xf numFmtId="169" fontId="181" fillId="27" borderId="45" xfId="4" applyNumberFormat="1" applyFont="1" applyFill="1" applyBorder="1" applyAlignment="1">
      <alignment horizontal="center" vertical="center" wrapText="1"/>
    </xf>
    <xf numFmtId="169" fontId="181" fillId="34" borderId="45" xfId="4" applyNumberFormat="1" applyFont="1" applyFill="1" applyBorder="1" applyAlignment="1">
      <alignment vertical="center"/>
    </xf>
    <xf numFmtId="169" fontId="181" fillId="21" borderId="45" xfId="4" applyNumberFormat="1" applyFont="1" applyFill="1" applyBorder="1" applyAlignment="1">
      <alignment vertical="center"/>
    </xf>
    <xf numFmtId="169" fontId="181" fillId="31" borderId="45" xfId="4" applyNumberFormat="1" applyFont="1" applyFill="1" applyBorder="1" applyAlignment="1">
      <alignment vertical="center"/>
    </xf>
    <xf numFmtId="169" fontId="181" fillId="0" borderId="3" xfId="4" applyNumberFormat="1" applyFont="1" applyBorder="1" applyAlignment="1">
      <alignment vertical="center"/>
    </xf>
    <xf numFmtId="169" fontId="181" fillId="37" borderId="55" xfId="4" applyNumberFormat="1" applyFont="1" applyFill="1" applyBorder="1" applyAlignment="1">
      <alignment vertical="center"/>
    </xf>
    <xf numFmtId="0" fontId="108" fillId="0" borderId="3" xfId="4" applyNumberFormat="1" applyBorder="1" applyAlignment="1">
      <alignment vertical="center"/>
    </xf>
    <xf numFmtId="0" fontId="108" fillId="0" borderId="3" xfId="4" applyNumberFormat="1" applyFill="1" applyBorder="1" applyAlignment="1">
      <alignment vertical="center"/>
    </xf>
    <xf numFmtId="169" fontId="180" fillId="27" borderId="55" xfId="1" applyFont="1" applyFill="1" applyBorder="1" applyAlignment="1">
      <alignment horizontal="right" vertical="center"/>
    </xf>
    <xf numFmtId="169" fontId="108" fillId="27" borderId="55" xfId="1" applyFont="1" applyFill="1" applyBorder="1" applyAlignment="1">
      <alignment horizontal="right" vertical="center"/>
    </xf>
    <xf numFmtId="169" fontId="180" fillId="34" borderId="55" xfId="1" applyFont="1" applyFill="1" applyBorder="1" applyAlignment="1">
      <alignment vertical="center"/>
    </xf>
    <xf numFmtId="169" fontId="108" fillId="34" borderId="55" xfId="1" applyFont="1" applyFill="1" applyBorder="1" applyAlignment="1">
      <alignment vertical="center"/>
    </xf>
    <xf numFmtId="169" fontId="180" fillId="21" borderId="55" xfId="1" applyFont="1" applyFill="1" applyBorder="1" applyAlignment="1">
      <alignment vertical="center"/>
    </xf>
    <xf numFmtId="169" fontId="108" fillId="21" borderId="55" xfId="4" applyNumberFormat="1" applyFill="1" applyBorder="1" applyAlignment="1">
      <alignment vertical="center"/>
    </xf>
    <xf numFmtId="169" fontId="180" fillId="31" borderId="55" xfId="1" applyFont="1" applyFill="1" applyBorder="1" applyAlignment="1">
      <alignment vertical="center"/>
    </xf>
    <xf numFmtId="169" fontId="108" fillId="31" borderId="55" xfId="1" applyFont="1" applyFill="1" applyBorder="1" applyAlignment="1">
      <alignment vertical="center"/>
    </xf>
    <xf numFmtId="169" fontId="108" fillId="0" borderId="3" xfId="4" applyNumberFormat="1" applyFill="1" applyBorder="1" applyAlignment="1">
      <alignment vertical="center"/>
    </xf>
    <xf numFmtId="169" fontId="0" fillId="0" borderId="3" xfId="1" applyFont="1" applyBorder="1" applyAlignment="1">
      <alignment vertical="center"/>
    </xf>
    <xf numFmtId="169" fontId="108" fillId="37" borderId="55" xfId="1" applyFont="1" applyFill="1" applyBorder="1" applyAlignment="1">
      <alignment vertical="center"/>
    </xf>
    <xf numFmtId="169" fontId="0" fillId="37" borderId="55" xfId="1" applyFont="1" applyFill="1" applyBorder="1" applyAlignment="1">
      <alignment vertical="center"/>
    </xf>
    <xf numFmtId="169" fontId="181" fillId="27" borderId="55" xfId="4" applyNumberFormat="1" applyFont="1" applyFill="1" applyBorder="1" applyAlignment="1">
      <alignment horizontal="right" vertical="center"/>
    </xf>
    <xf numFmtId="0" fontId="133" fillId="0" borderId="0" xfId="4" applyNumberFormat="1" applyFont="1" applyAlignment="1">
      <alignment vertical="center"/>
    </xf>
    <xf numFmtId="169" fontId="108" fillId="27" borderId="45" xfId="4" applyNumberFormat="1" applyFill="1" applyBorder="1" applyAlignment="1">
      <alignment horizontal="center" vertical="center" wrapText="1"/>
    </xf>
    <xf numFmtId="169" fontId="108" fillId="27" borderId="45" xfId="4" applyNumberFormat="1" applyFill="1" applyBorder="1" applyAlignment="1">
      <alignment horizontal="right" vertical="center"/>
    </xf>
    <xf numFmtId="169" fontId="108" fillId="27" borderId="58" xfId="4" applyNumberFormat="1" applyFill="1" applyBorder="1" applyAlignment="1">
      <alignment vertical="center"/>
    </xf>
    <xf numFmtId="169" fontId="108" fillId="27" borderId="58" xfId="4" applyNumberFormat="1" applyFill="1" applyBorder="1" applyAlignment="1">
      <alignment horizontal="center" vertical="center" wrapText="1"/>
    </xf>
    <xf numFmtId="169" fontId="108" fillId="27" borderId="58" xfId="4" applyNumberFormat="1" applyFill="1" applyBorder="1" applyAlignment="1">
      <alignment horizontal="right" vertical="center"/>
    </xf>
    <xf numFmtId="169" fontId="108" fillId="34" borderId="58" xfId="4" applyNumberFormat="1" applyFill="1" applyBorder="1" applyAlignment="1">
      <alignment vertical="center"/>
    </xf>
    <xf numFmtId="169" fontId="108" fillId="31" borderId="58" xfId="4" applyNumberFormat="1" applyFill="1" applyBorder="1" applyAlignment="1">
      <alignment vertical="center"/>
    </xf>
    <xf numFmtId="0" fontId="129" fillId="0" borderId="63" xfId="0" applyFont="1" applyFill="1" applyBorder="1" applyAlignment="1">
      <alignment vertical="center"/>
    </xf>
    <xf numFmtId="169" fontId="179" fillId="27" borderId="64" xfId="1" applyFont="1" applyFill="1" applyBorder="1" applyAlignment="1">
      <alignment vertical="center"/>
    </xf>
    <xf numFmtId="169" fontId="179" fillId="34" borderId="64" xfId="1" applyFont="1" applyFill="1" applyBorder="1" applyAlignment="1">
      <alignment vertical="center"/>
    </xf>
    <xf numFmtId="169" fontId="179" fillId="21" borderId="64" xfId="1" applyFont="1" applyFill="1" applyBorder="1" applyAlignment="1">
      <alignment vertical="center"/>
    </xf>
    <xf numFmtId="169" fontId="179" fillId="31" borderId="64" xfId="1" applyFont="1" applyFill="1" applyBorder="1" applyAlignment="1">
      <alignment vertical="center"/>
    </xf>
    <xf numFmtId="169" fontId="129" fillId="37" borderId="65" xfId="1" applyFont="1" applyFill="1" applyBorder="1" applyAlignment="1">
      <alignment vertical="center"/>
    </xf>
    <xf numFmtId="169" fontId="133" fillId="27" borderId="56" xfId="1" applyFont="1" applyFill="1" applyBorder="1" applyAlignment="1">
      <alignment vertical="center"/>
    </xf>
    <xf numFmtId="169" fontId="133" fillId="27" borderId="56" xfId="1" applyFont="1" applyFill="1" applyBorder="1" applyAlignment="1">
      <alignment horizontal="center" vertical="center" wrapText="1"/>
    </xf>
    <xf numFmtId="169" fontId="133" fillId="34" borderId="56" xfId="1" applyFont="1" applyFill="1" applyBorder="1" applyAlignment="1">
      <alignment vertical="center"/>
    </xf>
    <xf numFmtId="169" fontId="133" fillId="21" borderId="56" xfId="1" applyFont="1" applyFill="1" applyBorder="1" applyAlignment="1">
      <alignment vertical="center"/>
    </xf>
    <xf numFmtId="169" fontId="133" fillId="31" borderId="56" xfId="1" applyFont="1" applyFill="1" applyBorder="1" applyAlignment="1">
      <alignment vertical="center"/>
    </xf>
    <xf numFmtId="0" fontId="0" fillId="37" borderId="56" xfId="0" applyFill="1" applyBorder="1" applyAlignment="1">
      <alignment vertical="center"/>
    </xf>
    <xf numFmtId="169" fontId="133" fillId="0" borderId="0" xfId="1" applyFont="1" applyFill="1" applyBorder="1" applyAlignment="1">
      <alignment horizontal="center" vertical="center" wrapText="1"/>
    </xf>
    <xf numFmtId="0" fontId="164" fillId="0" borderId="0" xfId="0" applyFont="1"/>
    <xf numFmtId="0" fontId="94" fillId="0" borderId="0" xfId="0" applyFont="1"/>
    <xf numFmtId="0" fontId="116" fillId="0" borderId="0" xfId="0" applyFont="1" applyAlignment="1">
      <alignment horizontal="left" vertical="center" wrapText="1"/>
    </xf>
    <xf numFmtId="0" fontId="122" fillId="0" borderId="0" xfId="0" applyFont="1" applyAlignment="1">
      <alignment vertical="center"/>
    </xf>
    <xf numFmtId="0" fontId="164" fillId="0" borderId="0" xfId="0" applyFont="1" applyAlignment="1">
      <alignment vertical="center"/>
    </xf>
    <xf numFmtId="0" fontId="94" fillId="0" borderId="0" xfId="0" applyFont="1" applyAlignment="1">
      <alignment vertical="center"/>
    </xf>
    <xf numFmtId="0" fontId="94" fillId="0" borderId="0" xfId="0" applyFont="1" applyAlignment="1">
      <alignment horizontal="left" vertical="center" wrapText="1"/>
    </xf>
    <xf numFmtId="0" fontId="155" fillId="0" borderId="0" xfId="0" applyFont="1" applyAlignment="1">
      <alignment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center" vertical="center" wrapText="1"/>
    </xf>
    <xf numFmtId="0" fontId="183" fillId="0" borderId="0" xfId="0" applyFont="1" applyAlignment="1">
      <alignment vertical="center"/>
    </xf>
    <xf numFmtId="0" fontId="116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114" fillId="0" borderId="0" xfId="0" applyFont="1" applyAlignment="1">
      <alignment vertical="center"/>
    </xf>
    <xf numFmtId="0" fontId="0" fillId="0" borderId="0" xfId="0" applyNumberFormat="1" applyAlignment="1">
      <alignment vertical="center"/>
    </xf>
    <xf numFmtId="0" fontId="0" fillId="0" borderId="0" xfId="0" applyFont="1" applyAlignment="1">
      <alignment horizontal="left" vertical="center" wrapText="1"/>
    </xf>
    <xf numFmtId="0" fontId="0" fillId="0" borderId="0" xfId="0" applyNumberFormat="1" applyBorder="1" applyAlignment="1">
      <alignment vertical="center"/>
    </xf>
    <xf numFmtId="0" fontId="0" fillId="0" borderId="0" xfId="0" applyBorder="1" applyAlignment="1">
      <alignment horizontal="left" vertical="center"/>
    </xf>
    <xf numFmtId="0" fontId="114" fillId="0" borderId="0" xfId="0" applyFont="1"/>
    <xf numFmtId="0" fontId="94" fillId="0" borderId="0" xfId="0" applyFont="1" applyBorder="1"/>
    <xf numFmtId="0" fontId="100" fillId="47" borderId="2" xfId="0" applyFont="1" applyFill="1" applyBorder="1" applyAlignment="1">
      <alignment horizontal="left" vertical="center" indent="1"/>
    </xf>
    <xf numFmtId="0" fontId="95" fillId="47" borderId="3" xfId="0" applyFont="1" applyFill="1" applyBorder="1" applyAlignment="1">
      <alignment vertical="center"/>
    </xf>
    <xf numFmtId="0" fontId="95" fillId="47" borderId="4" xfId="0" applyFont="1" applyFill="1" applyBorder="1" applyAlignment="1">
      <alignment vertical="center"/>
    </xf>
    <xf numFmtId="0" fontId="95" fillId="48" borderId="20" xfId="0" applyFont="1" applyFill="1" applyBorder="1"/>
    <xf numFmtId="0" fontId="95" fillId="48" borderId="21" xfId="0" applyFont="1" applyFill="1" applyBorder="1"/>
    <xf numFmtId="0" fontId="95" fillId="48" borderId="22" xfId="0" applyFont="1" applyFill="1" applyBorder="1"/>
    <xf numFmtId="0" fontId="95" fillId="48" borderId="5" xfId="0" applyFont="1" applyFill="1" applyBorder="1"/>
    <xf numFmtId="0" fontId="103" fillId="48" borderId="0" xfId="0" applyFont="1" applyFill="1" applyBorder="1"/>
    <xf numFmtId="0" fontId="95" fillId="48" borderId="0" xfId="0" applyFont="1" applyFill="1" applyBorder="1"/>
    <xf numFmtId="0" fontId="95" fillId="48" borderId="0" xfId="0" applyFont="1" applyFill="1" applyBorder="1" applyAlignment="1">
      <alignment horizontal="right"/>
    </xf>
    <xf numFmtId="0" fontId="95" fillId="48" borderId="6" xfId="0" applyFont="1" applyFill="1" applyBorder="1"/>
    <xf numFmtId="0" fontId="102" fillId="48" borderId="5" xfId="0" applyFont="1" applyFill="1" applyBorder="1"/>
    <xf numFmtId="0" fontId="105" fillId="48" borderId="7" xfId="0" applyFont="1" applyFill="1" applyBorder="1" applyAlignment="1">
      <alignment vertical="center"/>
    </xf>
    <xf numFmtId="0" fontId="105" fillId="48" borderId="7" xfId="0" applyFont="1" applyFill="1" applyBorder="1" applyAlignment="1">
      <alignment horizontal="right" vertical="center"/>
    </xf>
    <xf numFmtId="0" fontId="95" fillId="48" borderId="18" xfId="0" applyFont="1" applyFill="1" applyBorder="1" applyAlignment="1">
      <alignment vertical="center"/>
    </xf>
    <xf numFmtId="0" fontId="103" fillId="48" borderId="18" xfId="0" applyFont="1" applyFill="1" applyBorder="1" applyAlignment="1">
      <alignment vertical="center"/>
    </xf>
    <xf numFmtId="173" fontId="95" fillId="48" borderId="18" xfId="2" applyNumberFormat="1" applyFont="1" applyFill="1" applyBorder="1" applyAlignment="1">
      <alignment horizontal="right" vertical="center"/>
    </xf>
    <xf numFmtId="168" fontId="127" fillId="48" borderId="18" xfId="1" applyNumberFormat="1" applyFont="1" applyFill="1" applyBorder="1" applyAlignment="1">
      <alignment vertical="center"/>
    </xf>
    <xf numFmtId="0" fontId="105" fillId="48" borderId="0" xfId="0" applyFont="1" applyFill="1" applyBorder="1" applyAlignment="1">
      <alignment vertical="center"/>
    </xf>
    <xf numFmtId="168" fontId="158" fillId="48" borderId="0" xfId="0" applyNumberFormat="1" applyFont="1" applyFill="1" applyBorder="1" applyAlignment="1">
      <alignment vertical="center"/>
    </xf>
    <xf numFmtId="0" fontId="158" fillId="48" borderId="0" xfId="0" applyFont="1" applyFill="1" applyBorder="1" applyAlignment="1">
      <alignment vertical="center"/>
    </xf>
    <xf numFmtId="0" fontId="158" fillId="48" borderId="0" xfId="0" applyFont="1" applyFill="1" applyBorder="1" applyAlignment="1">
      <alignment horizontal="right" vertical="center"/>
    </xf>
    <xf numFmtId="168" fontId="158" fillId="48" borderId="0" xfId="0" applyNumberFormat="1" applyFont="1" applyFill="1" applyBorder="1" applyAlignment="1">
      <alignment horizontal="right" vertical="center"/>
    </xf>
    <xf numFmtId="0" fontId="102" fillId="48" borderId="5" xfId="0" applyFont="1" applyFill="1" applyBorder="1" applyAlignment="1">
      <alignment vertical="center"/>
    </xf>
    <xf numFmtId="0" fontId="95" fillId="48" borderId="18" xfId="0" applyNumberFormat="1" applyFont="1" applyFill="1" applyBorder="1" applyAlignment="1">
      <alignment vertical="center"/>
    </xf>
    <xf numFmtId="173" fontId="95" fillId="48" borderId="18" xfId="2" applyNumberFormat="1" applyFont="1" applyFill="1" applyBorder="1" applyAlignment="1">
      <alignment vertical="center"/>
    </xf>
    <xf numFmtId="0" fontId="95" fillId="48" borderId="6" xfId="0" applyFont="1" applyFill="1" applyBorder="1" applyAlignment="1">
      <alignment vertical="center"/>
    </xf>
    <xf numFmtId="169" fontId="127" fillId="48" borderId="18" xfId="1" applyNumberFormat="1" applyFont="1" applyFill="1" applyBorder="1" applyAlignment="1">
      <alignment vertical="center"/>
    </xf>
    <xf numFmtId="0" fontId="0" fillId="31" borderId="0" xfId="0" applyFill="1"/>
    <xf numFmtId="0" fontId="128" fillId="0" borderId="0" xfId="235" applyFont="1"/>
    <xf numFmtId="0" fontId="78" fillId="0" borderId="0" xfId="235"/>
    <xf numFmtId="0" fontId="129" fillId="0" borderId="0" xfId="235" applyFont="1" applyAlignment="1">
      <alignment vertical="center"/>
    </xf>
    <xf numFmtId="0" fontId="78" fillId="0" borderId="0" xfId="235" applyAlignment="1">
      <alignment vertical="center"/>
    </xf>
    <xf numFmtId="0" fontId="130" fillId="0" borderId="0" xfId="235" applyFont="1"/>
    <xf numFmtId="0" fontId="122" fillId="19" borderId="2" xfId="235" applyFont="1" applyFill="1" applyBorder="1" applyAlignment="1">
      <alignment horizontal="left" vertical="center" indent="1"/>
    </xf>
    <xf numFmtId="0" fontId="78" fillId="19" borderId="3" xfId="235" applyFill="1" applyBorder="1"/>
    <xf numFmtId="0" fontId="78" fillId="21" borderId="5" xfId="235" applyFill="1" applyBorder="1"/>
    <xf numFmtId="0" fontId="78" fillId="21" borderId="0" xfId="235" applyFill="1" applyBorder="1"/>
    <xf numFmtId="0" fontId="116" fillId="21" borderId="5" xfId="235" applyFont="1" applyFill="1" applyBorder="1"/>
    <xf numFmtId="0" fontId="101" fillId="21" borderId="7" xfId="235" applyFont="1" applyFill="1" applyBorder="1" applyAlignment="1">
      <alignment vertical="center"/>
    </xf>
    <xf numFmtId="0" fontId="78" fillId="21" borderId="18" xfId="235" applyFill="1" applyBorder="1" applyAlignment="1">
      <alignment vertical="center"/>
    </xf>
    <xf numFmtId="0" fontId="78" fillId="21" borderId="9" xfId="235" applyFill="1" applyBorder="1"/>
    <xf numFmtId="0" fontId="78" fillId="21" borderId="10" xfId="235" applyFill="1" applyBorder="1"/>
    <xf numFmtId="0" fontId="122" fillId="26" borderId="2" xfId="235" applyFont="1" applyFill="1" applyBorder="1" applyAlignment="1">
      <alignment horizontal="left" vertical="center" indent="1"/>
    </xf>
    <xf numFmtId="0" fontId="78" fillId="26" borderId="3" xfId="235" applyFill="1" applyBorder="1" applyAlignment="1">
      <alignment vertical="center"/>
    </xf>
    <xf numFmtId="0" fontId="78" fillId="27" borderId="5" xfId="235" applyFill="1" applyBorder="1"/>
    <xf numFmtId="0" fontId="78" fillId="27" borderId="0" xfId="235" applyFill="1" applyBorder="1"/>
    <xf numFmtId="0" fontId="101" fillId="27" borderId="0" xfId="235" applyFont="1" applyFill="1" applyBorder="1"/>
    <xf numFmtId="0" fontId="78" fillId="27" borderId="0" xfId="235" applyFill="1" applyBorder="1" applyAlignment="1">
      <alignment horizontal="right"/>
    </xf>
    <xf numFmtId="0" fontId="116" fillId="27" borderId="5" xfId="235" applyFont="1" applyFill="1" applyBorder="1"/>
    <xf numFmtId="0" fontId="132" fillId="27" borderId="7" xfId="235" applyFont="1" applyFill="1" applyBorder="1" applyAlignment="1">
      <alignment vertical="center"/>
    </xf>
    <xf numFmtId="0" fontId="132" fillId="27" borderId="7" xfId="235" applyNumberFormat="1" applyFont="1" applyFill="1" applyBorder="1" applyAlignment="1">
      <alignment horizontal="right" vertical="center"/>
    </xf>
    <xf numFmtId="0" fontId="132" fillId="27" borderId="23" xfId="235" applyNumberFormat="1" applyFont="1" applyFill="1" applyBorder="1" applyAlignment="1">
      <alignment horizontal="right" vertical="center"/>
    </xf>
    <xf numFmtId="0" fontId="116" fillId="27" borderId="5" xfId="235" applyFont="1" applyFill="1" applyBorder="1" applyAlignment="1">
      <alignment vertical="center"/>
    </xf>
    <xf numFmtId="0" fontId="78" fillId="27" borderId="0" xfId="235" applyNumberFormat="1" applyFill="1" applyBorder="1" applyAlignment="1">
      <alignment vertical="center"/>
    </xf>
    <xf numFmtId="0" fontId="78" fillId="27" borderId="0" xfId="235" applyFill="1" applyBorder="1" applyAlignment="1">
      <alignment vertical="center"/>
    </xf>
    <xf numFmtId="0" fontId="78" fillId="27" borderId="13" xfId="235" applyFill="1" applyBorder="1" applyAlignment="1">
      <alignment vertical="center"/>
    </xf>
    <xf numFmtId="167" fontId="0" fillId="27" borderId="0" xfId="236" applyNumberFormat="1" applyFont="1" applyFill="1" applyBorder="1" applyAlignment="1">
      <alignment vertical="center"/>
    </xf>
    <xf numFmtId="167" fontId="0" fillId="27" borderId="34" xfId="236" applyNumberFormat="1" applyFont="1" applyFill="1" applyBorder="1" applyAlignment="1">
      <alignment vertical="center"/>
    </xf>
    <xf numFmtId="0" fontId="78" fillId="27" borderId="15" xfId="235" applyNumberFormat="1" applyFill="1" applyBorder="1" applyAlignment="1">
      <alignment vertical="center"/>
    </xf>
    <xf numFmtId="0" fontId="78" fillId="27" borderId="15" xfId="235" applyFill="1" applyBorder="1" applyAlignment="1">
      <alignment vertical="center"/>
    </xf>
    <xf numFmtId="167" fontId="0" fillId="27" borderId="15" xfId="236" applyNumberFormat="1" applyFont="1" applyFill="1" applyBorder="1" applyAlignment="1">
      <alignment vertical="center"/>
    </xf>
    <xf numFmtId="0" fontId="78" fillId="27" borderId="17" xfId="235" applyNumberFormat="1" applyFill="1" applyBorder="1" applyAlignment="1">
      <alignment horizontal="center" vertical="center"/>
    </xf>
    <xf numFmtId="0" fontId="78" fillId="27" borderId="17" xfId="235" applyFill="1" applyBorder="1" applyAlignment="1">
      <alignment vertical="center"/>
    </xf>
    <xf numFmtId="167" fontId="0" fillId="27" borderId="52" xfId="236" applyNumberFormat="1" applyFont="1" applyFill="1" applyBorder="1" applyAlignment="1">
      <alignment vertical="center"/>
    </xf>
    <xf numFmtId="167" fontId="0" fillId="27" borderId="17" xfId="236" applyNumberFormat="1" applyFont="1" applyFill="1" applyBorder="1" applyAlignment="1">
      <alignment vertical="center"/>
    </xf>
    <xf numFmtId="0" fontId="78" fillId="27" borderId="5" xfId="235" applyFont="1" applyFill="1" applyBorder="1"/>
    <xf numFmtId="0" fontId="78" fillId="27" borderId="0" xfId="235" applyNumberFormat="1" applyFill="1" applyBorder="1"/>
    <xf numFmtId="9" fontId="0" fillId="27" borderId="0" xfId="237" applyFont="1" applyFill="1" applyBorder="1"/>
    <xf numFmtId="0" fontId="78" fillId="27" borderId="9" xfId="235" applyFont="1" applyFill="1" applyBorder="1"/>
    <xf numFmtId="0" fontId="78" fillId="27" borderId="10" xfId="235" applyFill="1" applyBorder="1"/>
    <xf numFmtId="0" fontId="78" fillId="27" borderId="10" xfId="235" applyNumberFormat="1" applyFill="1" applyBorder="1"/>
    <xf numFmtId="0" fontId="130" fillId="0" borderId="0" xfId="235" applyFont="1" applyAlignment="1">
      <alignment vertical="center"/>
    </xf>
    <xf numFmtId="0" fontId="78" fillId="27" borderId="18" xfId="235" applyNumberFormat="1" applyFill="1" applyBorder="1" applyAlignment="1">
      <alignment vertical="center"/>
    </xf>
    <xf numFmtId="0" fontId="78" fillId="27" borderId="18" xfId="235" applyFill="1" applyBorder="1" applyAlignment="1">
      <alignment vertical="center"/>
    </xf>
    <xf numFmtId="9" fontId="0" fillId="27" borderId="18" xfId="237" applyNumberFormat="1" applyFont="1" applyFill="1" applyBorder="1" applyAlignment="1">
      <alignment vertical="center"/>
    </xf>
    <xf numFmtId="9" fontId="0" fillId="27" borderId="24" xfId="237" applyFont="1" applyFill="1" applyBorder="1" applyAlignment="1">
      <alignment vertical="center"/>
    </xf>
    <xf numFmtId="9" fontId="0" fillId="27" borderId="18" xfId="237" applyFont="1" applyFill="1" applyBorder="1" applyAlignment="1">
      <alignment vertical="center"/>
    </xf>
    <xf numFmtId="9" fontId="0" fillId="27" borderId="19" xfId="237" applyFont="1" applyFill="1" applyBorder="1" applyAlignment="1">
      <alignment vertical="center"/>
    </xf>
    <xf numFmtId="9" fontId="0" fillId="27" borderId="0" xfId="237" applyFont="1" applyFill="1" applyBorder="1" applyAlignment="1">
      <alignment vertical="center"/>
    </xf>
    <xf numFmtId="186" fontId="78" fillId="27" borderId="0" xfId="235" applyNumberFormat="1" applyFill="1" applyBorder="1" applyAlignment="1">
      <alignment vertical="center"/>
    </xf>
    <xf numFmtId="1" fontId="78" fillId="27" borderId="0" xfId="235" applyNumberFormat="1" applyFill="1" applyBorder="1" applyAlignment="1">
      <alignment vertical="center"/>
    </xf>
    <xf numFmtId="0" fontId="78" fillId="27" borderId="20" xfId="235" applyFill="1" applyBorder="1" applyAlignment="1">
      <alignment horizontal="left" indent="1"/>
    </xf>
    <xf numFmtId="0" fontId="78" fillId="27" borderId="21" xfId="235" applyFill="1" applyBorder="1"/>
    <xf numFmtId="0" fontId="131" fillId="27" borderId="0" xfId="235" applyFont="1" applyFill="1" applyBorder="1" applyAlignment="1">
      <alignment vertical="center"/>
    </xf>
    <xf numFmtId="0" fontId="131" fillId="27" borderId="0" xfId="235" applyFont="1" applyFill="1" applyBorder="1" applyAlignment="1">
      <alignment horizontal="right" vertical="center"/>
    </xf>
    <xf numFmtId="0" fontId="78" fillId="27" borderId="0" xfId="235" applyFill="1" applyBorder="1" applyAlignment="1">
      <alignment horizontal="left"/>
    </xf>
    <xf numFmtId="0" fontId="101" fillId="27" borderId="0" xfId="235" applyFont="1" applyFill="1" applyBorder="1" applyAlignment="1">
      <alignment horizontal="right"/>
    </xf>
    <xf numFmtId="0" fontId="78" fillId="27" borderId="0" xfId="235" applyNumberFormat="1" applyFill="1" applyBorder="1" applyAlignment="1">
      <alignment horizontal="center" vertical="center"/>
    </xf>
    <xf numFmtId="0" fontId="78" fillId="27" borderId="26" xfId="235" applyNumberFormat="1" applyFill="1" applyBorder="1" applyAlignment="1">
      <alignment vertical="center"/>
    </xf>
    <xf numFmtId="0" fontId="131" fillId="27" borderId="26" xfId="235" applyFont="1" applyFill="1" applyBorder="1" applyAlignment="1">
      <alignment vertical="center"/>
    </xf>
    <xf numFmtId="0" fontId="131" fillId="27" borderId="26" xfId="235" applyFont="1" applyFill="1" applyBorder="1" applyAlignment="1">
      <alignment horizontal="right" vertical="center"/>
    </xf>
    <xf numFmtId="1" fontId="132" fillId="27" borderId="26" xfId="235" applyNumberFormat="1" applyFont="1" applyFill="1" applyBorder="1" applyAlignment="1">
      <alignment horizontal="right" vertical="center"/>
    </xf>
    <xf numFmtId="0" fontId="78" fillId="27" borderId="26" xfId="235" applyNumberFormat="1" applyFill="1" applyBorder="1" applyAlignment="1">
      <alignment horizontal="left" vertical="center"/>
    </xf>
    <xf numFmtId="166" fontId="131" fillId="27" borderId="26" xfId="236" applyFont="1" applyFill="1" applyBorder="1" applyAlignment="1">
      <alignment horizontal="right" vertical="center"/>
    </xf>
    <xf numFmtId="178" fontId="131" fillId="27" borderId="26" xfId="236" applyNumberFormat="1" applyFont="1" applyFill="1" applyBorder="1" applyAlignment="1">
      <alignment horizontal="right" vertical="center"/>
    </xf>
    <xf numFmtId="0" fontId="78" fillId="27" borderId="0" xfId="235" applyNumberFormat="1" applyFill="1" applyBorder="1" applyAlignment="1">
      <alignment horizontal="left" vertical="center"/>
    </xf>
    <xf numFmtId="166" fontId="131" fillId="27" borderId="0" xfId="236" applyFont="1" applyFill="1" applyBorder="1" applyAlignment="1">
      <alignment horizontal="right" vertical="center"/>
    </xf>
    <xf numFmtId="178" fontId="131" fillId="27" borderId="0" xfId="236" applyNumberFormat="1" applyFont="1" applyFill="1" applyBorder="1" applyAlignment="1">
      <alignment horizontal="right" vertical="center"/>
    </xf>
    <xf numFmtId="0" fontId="78" fillId="27" borderId="8" xfId="235" applyNumberFormat="1" applyFill="1" applyBorder="1" applyAlignment="1">
      <alignment horizontal="left" vertical="center"/>
    </xf>
    <xf numFmtId="0" fontId="131" fillId="27" borderId="8" xfId="235" applyFont="1" applyFill="1" applyBorder="1" applyAlignment="1">
      <alignment vertical="center"/>
    </xf>
    <xf numFmtId="166" fontId="131" fillId="27" borderId="8" xfId="236" applyFont="1" applyFill="1" applyBorder="1" applyAlignment="1">
      <alignment horizontal="right" vertical="center"/>
    </xf>
    <xf numFmtId="178" fontId="131" fillId="27" borderId="8" xfId="236" applyNumberFormat="1" applyFont="1" applyFill="1" applyBorder="1" applyAlignment="1">
      <alignment horizontal="right" vertical="center"/>
    </xf>
    <xf numFmtId="167" fontId="0" fillId="27" borderId="18" xfId="236" applyNumberFormat="1" applyFont="1" applyFill="1" applyBorder="1" applyAlignment="1">
      <alignment vertical="center"/>
    </xf>
    <xf numFmtId="167" fontId="0" fillId="27" borderId="24" xfId="236" applyNumberFormat="1" applyFont="1" applyFill="1" applyBorder="1" applyAlignment="1">
      <alignment vertical="center"/>
    </xf>
    <xf numFmtId="169" fontId="0" fillId="27" borderId="18" xfId="236" applyNumberFormat="1" applyFont="1" applyFill="1" applyBorder="1" applyAlignment="1">
      <alignment vertical="center"/>
    </xf>
    <xf numFmtId="168" fontId="0" fillId="27" borderId="0" xfId="236" applyNumberFormat="1" applyFont="1" applyFill="1" applyBorder="1" applyAlignment="1">
      <alignment vertical="center"/>
    </xf>
    <xf numFmtId="168" fontId="0" fillId="27" borderId="0" xfId="236" applyNumberFormat="1" applyFont="1" applyFill="1" applyBorder="1" applyAlignment="1">
      <alignment horizontal="right" vertical="center"/>
    </xf>
    <xf numFmtId="0" fontId="101" fillId="0" borderId="0" xfId="235" applyFont="1"/>
    <xf numFmtId="0" fontId="78" fillId="0" borderId="0" xfId="235" applyAlignment="1">
      <alignment horizontal="right"/>
    </xf>
    <xf numFmtId="166" fontId="0" fillId="0" borderId="0" xfId="236" applyFont="1"/>
    <xf numFmtId="9" fontId="0" fillId="0" borderId="0" xfId="237" applyFont="1"/>
    <xf numFmtId="0" fontId="101" fillId="0" borderId="0" xfId="235" quotePrefix="1" applyFont="1"/>
    <xf numFmtId="166" fontId="101" fillId="0" borderId="0" xfId="236" applyNumberFormat="1" applyFont="1"/>
    <xf numFmtId="0" fontId="134" fillId="0" borderId="0" xfId="235" applyFont="1"/>
    <xf numFmtId="0" fontId="101" fillId="0" borderId="0" xfId="235" applyFont="1" applyAlignment="1">
      <alignment horizontal="right"/>
    </xf>
    <xf numFmtId="166" fontId="101" fillId="0" borderId="0" xfId="236" applyFont="1"/>
    <xf numFmtId="0" fontId="95" fillId="0" borderId="0" xfId="235" quotePrefix="1" applyFont="1"/>
    <xf numFmtId="177" fontId="0" fillId="0" borderId="0" xfId="236" applyNumberFormat="1" applyFont="1"/>
    <xf numFmtId="166" fontId="134" fillId="0" borderId="0" xfId="236" applyFont="1"/>
    <xf numFmtId="0" fontId="134" fillId="0" borderId="0" xfId="235" applyFont="1" applyAlignment="1">
      <alignment horizontal="right"/>
    </xf>
    <xf numFmtId="168" fontId="94" fillId="0" borderId="0" xfId="236" applyNumberFormat="1" applyFont="1"/>
    <xf numFmtId="0" fontId="101" fillId="21" borderId="0" xfId="235" applyFont="1" applyFill="1" applyBorder="1"/>
    <xf numFmtId="0" fontId="78" fillId="21" borderId="0" xfId="235" applyFill="1" applyBorder="1" applyAlignment="1">
      <alignment horizontal="right"/>
    </xf>
    <xf numFmtId="0" fontId="78" fillId="21" borderId="0" xfId="235" applyFill="1" applyBorder="1" applyAlignment="1">
      <alignment vertical="center"/>
    </xf>
    <xf numFmtId="0" fontId="133" fillId="21" borderId="40" xfId="235" applyFont="1" applyFill="1" applyBorder="1" applyAlignment="1">
      <alignment vertical="center"/>
    </xf>
    <xf numFmtId="166" fontId="0" fillId="21" borderId="0" xfId="236" applyFont="1" applyFill="1" applyBorder="1" applyAlignment="1">
      <alignment vertical="center"/>
    </xf>
    <xf numFmtId="178" fontId="78" fillId="21" borderId="0" xfId="235" applyNumberFormat="1" applyFill="1" applyBorder="1" applyAlignment="1">
      <alignment vertical="center"/>
    </xf>
    <xf numFmtId="0" fontId="116" fillId="21" borderId="9" xfId="235" applyFont="1" applyFill="1" applyBorder="1"/>
    <xf numFmtId="0" fontId="78" fillId="21" borderId="10" xfId="235" applyFill="1" applyBorder="1" applyAlignment="1">
      <alignment vertical="center"/>
    </xf>
    <xf numFmtId="0" fontId="122" fillId="28" borderId="2" xfId="235" applyFont="1" applyFill="1" applyBorder="1" applyAlignment="1">
      <alignment horizontal="left" vertical="center" indent="1"/>
    </xf>
    <xf numFmtId="0" fontId="122" fillId="28" borderId="3" xfId="235" applyFont="1" applyFill="1" applyBorder="1" applyAlignment="1">
      <alignment vertical="center"/>
    </xf>
    <xf numFmtId="0" fontId="78" fillId="28" borderId="3" xfId="235" applyFill="1" applyBorder="1"/>
    <xf numFmtId="0" fontId="78" fillId="29" borderId="20" xfId="235" applyFill="1" applyBorder="1"/>
    <xf numFmtId="0" fontId="78" fillId="29" borderId="21" xfId="235" applyFill="1" applyBorder="1"/>
    <xf numFmtId="0" fontId="78" fillId="29" borderId="5" xfId="235" applyFill="1" applyBorder="1"/>
    <xf numFmtId="0" fontId="101" fillId="29" borderId="0" xfId="235" applyFont="1" applyFill="1" applyBorder="1"/>
    <xf numFmtId="0" fontId="78" fillId="29" borderId="0" xfId="235" applyFill="1" applyBorder="1"/>
    <xf numFmtId="0" fontId="78" fillId="29" borderId="0" xfId="235" applyFill="1" applyBorder="1" applyAlignment="1">
      <alignment horizontal="right"/>
    </xf>
    <xf numFmtId="0" fontId="116" fillId="29" borderId="5" xfId="235" applyFont="1" applyFill="1" applyBorder="1"/>
    <xf numFmtId="0" fontId="132" fillId="29" borderId="39" xfId="235" applyFont="1" applyFill="1" applyBorder="1" applyAlignment="1">
      <alignment vertical="center"/>
    </xf>
    <xf numFmtId="0" fontId="78" fillId="29" borderId="0" xfId="235" applyFill="1" applyBorder="1" applyAlignment="1">
      <alignment vertical="center"/>
    </xf>
    <xf numFmtId="0" fontId="78" fillId="29" borderId="0" xfId="235" applyFont="1" applyFill="1" applyBorder="1" applyAlignment="1">
      <alignment vertical="center"/>
    </xf>
    <xf numFmtId="0" fontId="116" fillId="29" borderId="9" xfId="235" applyFont="1" applyFill="1" applyBorder="1"/>
    <xf numFmtId="0" fontId="78" fillId="29" borderId="10" xfId="235" applyFill="1" applyBorder="1"/>
    <xf numFmtId="0" fontId="101" fillId="29" borderId="0" xfId="235" applyFont="1" applyFill="1"/>
    <xf numFmtId="0" fontId="78" fillId="29" borderId="0" xfId="235" applyFill="1"/>
    <xf numFmtId="0" fontId="101" fillId="29" borderId="0" xfId="235" applyFont="1" applyFill="1" applyAlignment="1">
      <alignment horizontal="right"/>
    </xf>
    <xf numFmtId="166" fontId="0" fillId="29" borderId="0" xfId="236" applyFont="1" applyFill="1" applyBorder="1" applyAlignment="1">
      <alignment vertical="center"/>
    </xf>
    <xf numFmtId="0" fontId="114" fillId="29" borderId="5" xfId="235" applyFont="1" applyFill="1" applyBorder="1"/>
    <xf numFmtId="0" fontId="114" fillId="29" borderId="9" xfId="235" applyFont="1" applyFill="1" applyBorder="1"/>
    <xf numFmtId="0" fontId="78" fillId="27" borderId="0" xfId="235" applyFont="1" applyFill="1" applyBorder="1"/>
    <xf numFmtId="0" fontId="78" fillId="0" borderId="0" xfId="235" applyFont="1" applyFill="1" applyBorder="1"/>
    <xf numFmtId="0" fontId="78" fillId="0" borderId="0" xfId="235" applyFill="1" applyBorder="1"/>
    <xf numFmtId="0" fontId="78" fillId="0" borderId="0" xfId="235" applyNumberFormat="1" applyFill="1" applyBorder="1"/>
    <xf numFmtId="0" fontId="122" fillId="0" borderId="0" xfId="235" applyFont="1" applyFill="1" applyBorder="1" applyAlignment="1">
      <alignment horizontal="left" vertical="center" indent="1"/>
    </xf>
    <xf numFmtId="0" fontId="0" fillId="0" borderId="0" xfId="238" applyFont="1" applyFill="1" applyBorder="1" applyAlignment="1">
      <alignment horizontal="left" vertical="center" indent="1"/>
    </xf>
    <xf numFmtId="0" fontId="78" fillId="0" borderId="0" xfId="235" applyFill="1" applyBorder="1" applyAlignment="1">
      <alignment vertical="center"/>
    </xf>
    <xf numFmtId="168" fontId="111" fillId="13" borderId="0" xfId="236" applyNumberFormat="1" applyFont="1" applyFill="1" applyBorder="1"/>
    <xf numFmtId="0" fontId="78" fillId="0" borderId="0" xfId="235" applyFill="1"/>
    <xf numFmtId="0" fontId="78" fillId="19" borderId="4" xfId="235" applyFill="1" applyBorder="1"/>
    <xf numFmtId="0" fontId="78" fillId="21" borderId="6" xfId="235" applyFill="1" applyBorder="1"/>
    <xf numFmtId="167" fontId="0" fillId="21" borderId="0" xfId="236" applyNumberFormat="1" applyFont="1" applyFill="1" applyBorder="1" applyAlignment="1">
      <alignment vertical="center"/>
    </xf>
    <xf numFmtId="0" fontId="116" fillId="0" borderId="0" xfId="235" applyFont="1"/>
    <xf numFmtId="0" fontId="78" fillId="21" borderId="11" xfId="235" applyFill="1" applyBorder="1"/>
    <xf numFmtId="0" fontId="78" fillId="28" borderId="4" xfId="235" applyFill="1" applyBorder="1"/>
    <xf numFmtId="0" fontId="78" fillId="29" borderId="22" xfId="235" applyFill="1" applyBorder="1"/>
    <xf numFmtId="0" fontId="78" fillId="29" borderId="6" xfId="235" applyFill="1" applyBorder="1"/>
    <xf numFmtId="169" fontId="0" fillId="29" borderId="0" xfId="236" applyNumberFormat="1" applyFont="1" applyFill="1" applyBorder="1" applyAlignment="1">
      <alignment vertical="center"/>
    </xf>
    <xf numFmtId="168" fontId="0" fillId="29" borderId="0" xfId="236" applyNumberFormat="1" applyFont="1" applyFill="1" applyBorder="1" applyAlignment="1">
      <alignment vertical="center"/>
    </xf>
    <xf numFmtId="0" fontId="78" fillId="29" borderId="11" xfId="235" applyFill="1" applyBorder="1"/>
    <xf numFmtId="0" fontId="131" fillId="29" borderId="0" xfId="235" applyFont="1" applyFill="1" applyBorder="1" applyAlignment="1">
      <alignment vertical="center"/>
    </xf>
    <xf numFmtId="0" fontId="116" fillId="0" borderId="0" xfId="235" applyFont="1" applyFill="1" applyBorder="1"/>
    <xf numFmtId="178" fontId="78" fillId="29" borderId="0" xfId="235" applyNumberFormat="1" applyFill="1" applyBorder="1" applyAlignment="1">
      <alignment vertical="center"/>
    </xf>
    <xf numFmtId="0" fontId="114" fillId="0" borderId="0" xfId="235" applyFont="1" applyFill="1" applyBorder="1"/>
    <xf numFmtId="178" fontId="78" fillId="29" borderId="10" xfId="235" applyNumberFormat="1" applyFill="1" applyBorder="1" applyAlignment="1">
      <alignment vertical="center"/>
    </xf>
    <xf numFmtId="0" fontId="78" fillId="0" borderId="0" xfId="200" applyFont="1"/>
    <xf numFmtId="0" fontId="0" fillId="0" borderId="0" xfId="0" applyFont="1" applyBorder="1" applyAlignment="1">
      <alignment vertical="center"/>
    </xf>
    <xf numFmtId="0" fontId="184" fillId="0" borderId="0" xfId="0" applyFont="1" applyFill="1" applyBorder="1" applyAlignment="1">
      <alignment horizontal="right" vertical="center"/>
    </xf>
    <xf numFmtId="0" fontId="184" fillId="0" borderId="0" xfId="0" applyFont="1" applyFill="1" applyBorder="1" applyAlignment="1">
      <alignment vertical="center"/>
    </xf>
    <xf numFmtId="0" fontId="150" fillId="0" borderId="0" xfId="0" applyFont="1" applyFill="1" applyBorder="1" applyAlignment="1">
      <alignment vertical="center"/>
    </xf>
    <xf numFmtId="0" fontId="150" fillId="0" borderId="0" xfId="0" applyFont="1" applyAlignment="1">
      <alignment horizontal="right" vertical="center"/>
    </xf>
    <xf numFmtId="0" fontId="185" fillId="0" borderId="0" xfId="0" applyFont="1" applyAlignment="1">
      <alignment vertical="center"/>
    </xf>
    <xf numFmtId="0" fontId="186" fillId="0" borderId="0" xfId="4" applyNumberFormat="1" applyFont="1" applyAlignment="1">
      <alignment vertical="center"/>
    </xf>
    <xf numFmtId="0" fontId="121" fillId="0" borderId="0" xfId="239" applyFont="1"/>
    <xf numFmtId="0" fontId="77" fillId="0" borderId="0" xfId="239"/>
    <xf numFmtId="0" fontId="163" fillId="0" borderId="0" xfId="239" applyFont="1"/>
    <xf numFmtId="0" fontId="121" fillId="29" borderId="0" xfId="239" applyFont="1" applyFill="1"/>
    <xf numFmtId="177" fontId="0" fillId="0" borderId="0" xfId="240" applyNumberFormat="1" applyFont="1"/>
    <xf numFmtId="0" fontId="77" fillId="0" borderId="0" xfId="221" applyFont="1"/>
    <xf numFmtId="0" fontId="76" fillId="0" borderId="0" xfId="229" applyFont="1"/>
    <xf numFmtId="167" fontId="127" fillId="18" borderId="0" xfId="1" applyNumberFormat="1" applyFont="1" applyFill="1" applyBorder="1" applyAlignment="1">
      <alignment vertical="center"/>
    </xf>
    <xf numFmtId="0" fontId="95" fillId="18" borderId="0" xfId="0" applyFont="1" applyFill="1" applyBorder="1" applyAlignment="1">
      <alignment horizontal="left"/>
    </xf>
    <xf numFmtId="167" fontId="127" fillId="18" borderId="24" xfId="1" applyNumberFormat="1" applyFont="1" applyFill="1" applyBorder="1" applyAlignment="1">
      <alignment horizontal="center" vertical="center"/>
    </xf>
    <xf numFmtId="167" fontId="127" fillId="18" borderId="29" xfId="1" applyNumberFormat="1" applyFont="1" applyFill="1" applyBorder="1" applyAlignment="1">
      <alignment vertical="center"/>
    </xf>
    <xf numFmtId="0" fontId="96" fillId="24" borderId="0" xfId="0" applyFont="1" applyFill="1" applyBorder="1" applyAlignment="1">
      <alignment horizontal="right"/>
    </xf>
    <xf numFmtId="0" fontId="75" fillId="0" borderId="0" xfId="239" applyFont="1"/>
    <xf numFmtId="0" fontId="95" fillId="24" borderId="0" xfId="0" applyNumberFormat="1" applyFont="1" applyFill="1" applyBorder="1" applyAlignment="1">
      <alignment vertical="center"/>
    </xf>
    <xf numFmtId="173" fontId="95" fillId="24" borderId="0" xfId="2" applyNumberFormat="1" applyFont="1" applyFill="1" applyBorder="1" applyAlignment="1">
      <alignment vertical="center"/>
    </xf>
    <xf numFmtId="175" fontId="77" fillId="0" borderId="0" xfId="239" applyNumberFormat="1"/>
    <xf numFmtId="0" fontId="77" fillId="0" borderId="0" xfId="239" applyBorder="1"/>
    <xf numFmtId="0" fontId="77" fillId="0" borderId="8" xfId="239" applyBorder="1"/>
    <xf numFmtId="175" fontId="77" fillId="0" borderId="8" xfId="239" applyNumberFormat="1" applyBorder="1"/>
    <xf numFmtId="0" fontId="121" fillId="0" borderId="8" xfId="239" applyFont="1" applyBorder="1"/>
    <xf numFmtId="0" fontId="74" fillId="0" borderId="0" xfId="205" applyFont="1"/>
    <xf numFmtId="0" fontId="121" fillId="0" borderId="0" xfId="205" applyFont="1"/>
    <xf numFmtId="169" fontId="87" fillId="21" borderId="18" xfId="205" applyNumberFormat="1" applyFill="1" applyBorder="1"/>
    <xf numFmtId="169" fontId="87" fillId="21" borderId="8" xfId="205" applyNumberFormat="1" applyFill="1" applyBorder="1"/>
    <xf numFmtId="0" fontId="85" fillId="21" borderId="8" xfId="205" applyFont="1" applyFill="1" applyBorder="1" applyAlignment="1">
      <alignment horizontal="right"/>
    </xf>
    <xf numFmtId="0" fontId="86" fillId="21" borderId="8" xfId="205" applyFont="1" applyFill="1" applyBorder="1" applyAlignment="1">
      <alignment horizontal="right"/>
    </xf>
    <xf numFmtId="0" fontId="85" fillId="21" borderId="18" xfId="205" applyFont="1" applyFill="1" applyBorder="1" applyAlignment="1">
      <alignment horizontal="right"/>
    </xf>
    <xf numFmtId="0" fontId="86" fillId="21" borderId="18" xfId="205" applyFont="1" applyFill="1" applyBorder="1" applyAlignment="1">
      <alignment horizontal="right"/>
    </xf>
    <xf numFmtId="0" fontId="121" fillId="21" borderId="0" xfId="187" applyFont="1" applyFill="1" applyBorder="1" applyAlignment="1">
      <alignment horizontal="right"/>
    </xf>
    <xf numFmtId="0" fontId="181" fillId="0" borderId="0" xfId="4" applyNumberFormat="1" applyFont="1" applyBorder="1" applyAlignment="1">
      <alignment vertical="center"/>
    </xf>
    <xf numFmtId="169" fontId="0" fillId="0" borderId="0" xfId="0" applyNumberFormat="1" applyBorder="1" applyAlignment="1">
      <alignment vertical="center"/>
    </xf>
    <xf numFmtId="0" fontId="131" fillId="21" borderId="0" xfId="0" applyFont="1" applyFill="1" applyBorder="1" applyAlignment="1">
      <alignment vertical="center"/>
    </xf>
    <xf numFmtId="169" fontId="0" fillId="21" borderId="0" xfId="1" applyFont="1" applyFill="1" applyBorder="1" applyAlignment="1">
      <alignment vertical="center"/>
    </xf>
    <xf numFmtId="169" fontId="94" fillId="21" borderId="0" xfId="0" applyNumberFormat="1" applyFont="1" applyFill="1" applyBorder="1" applyAlignment="1">
      <alignment vertical="center"/>
    </xf>
    <xf numFmtId="0" fontId="101" fillId="21" borderId="0" xfId="0" applyFont="1" applyFill="1" applyBorder="1" applyAlignment="1">
      <alignment horizontal="right"/>
    </xf>
    <xf numFmtId="0" fontId="190" fillId="0" borderId="0" xfId="0" applyFont="1" applyAlignment="1">
      <alignment vertical="center"/>
    </xf>
    <xf numFmtId="0" fontId="190" fillId="0" borderId="0" xfId="0" applyFont="1"/>
    <xf numFmtId="0" fontId="73" fillId="0" borderId="0" xfId="224" applyFont="1"/>
    <xf numFmtId="2" fontId="81" fillId="0" borderId="0" xfId="224" applyNumberFormat="1" applyBorder="1"/>
    <xf numFmtId="0" fontId="81" fillId="0" borderId="0" xfId="224" applyAlignment="1">
      <alignment horizontal="left"/>
    </xf>
    <xf numFmtId="169" fontId="180" fillId="27" borderId="45" xfId="1" applyNumberFormat="1" applyFont="1" applyFill="1" applyBorder="1" applyAlignment="1">
      <alignment horizontal="right" vertical="center"/>
    </xf>
    <xf numFmtId="167" fontId="180" fillId="27" borderId="45" xfId="1" applyNumberFormat="1" applyFont="1" applyFill="1" applyBorder="1" applyAlignment="1">
      <alignment horizontal="right" vertical="center"/>
    </xf>
    <xf numFmtId="179" fontId="0" fillId="21" borderId="0" xfId="1" applyNumberFormat="1" applyFont="1" applyFill="1" applyBorder="1" applyAlignment="1">
      <alignment vertical="center"/>
    </xf>
    <xf numFmtId="179" fontId="180" fillId="34" borderId="45" xfId="1" applyNumberFormat="1" applyFont="1" applyFill="1" applyBorder="1" applyAlignment="1">
      <alignment vertical="center"/>
    </xf>
    <xf numFmtId="167" fontId="133" fillId="27" borderId="45" xfId="1" applyNumberFormat="1" applyFont="1" applyFill="1" applyBorder="1" applyAlignment="1">
      <alignment horizontal="right" vertical="center"/>
    </xf>
    <xf numFmtId="167" fontId="133" fillId="34" borderId="45" xfId="1" applyNumberFormat="1" applyFont="1" applyFill="1" applyBorder="1" applyAlignment="1">
      <alignment vertical="center"/>
    </xf>
    <xf numFmtId="0" fontId="119" fillId="21" borderId="0" xfId="0" applyFont="1" applyFill="1" applyBorder="1" applyAlignment="1">
      <alignment vertical="center"/>
    </xf>
    <xf numFmtId="0" fontId="135" fillId="21" borderId="0" xfId="221" applyFont="1" applyFill="1" applyBorder="1" applyAlignment="1">
      <alignment vertical="center"/>
    </xf>
    <xf numFmtId="0" fontId="82" fillId="21" borderId="8" xfId="221" applyFill="1" applyBorder="1" applyAlignment="1">
      <alignment vertical="center"/>
    </xf>
    <xf numFmtId="169" fontId="72" fillId="0" borderId="0" xfId="221" applyNumberFormat="1" applyFont="1"/>
    <xf numFmtId="0" fontId="72" fillId="0" borderId="0" xfId="221" applyFont="1" applyAlignment="1">
      <alignment horizontal="right"/>
    </xf>
    <xf numFmtId="179" fontId="131" fillId="21" borderId="0" xfId="151" applyNumberFormat="1" applyFont="1" applyFill="1" applyBorder="1" applyAlignment="1">
      <alignment vertical="center"/>
    </xf>
    <xf numFmtId="179" fontId="0" fillId="21" borderId="0" xfId="151" applyNumberFormat="1" applyFont="1" applyFill="1" applyBorder="1" applyAlignment="1">
      <alignment vertical="center"/>
    </xf>
    <xf numFmtId="0" fontId="72" fillId="21" borderId="8" xfId="221" applyFont="1" applyFill="1" applyBorder="1" applyAlignment="1">
      <alignment vertical="center"/>
    </xf>
    <xf numFmtId="0" fontId="119" fillId="21" borderId="8" xfId="0" applyFont="1" applyFill="1" applyBorder="1" applyAlignment="1">
      <alignment vertical="center"/>
    </xf>
    <xf numFmtId="179" fontId="119" fillId="21" borderId="8" xfId="151" applyNumberFormat="1" applyFont="1" applyFill="1" applyBorder="1" applyAlignment="1">
      <alignment vertical="center"/>
    </xf>
    <xf numFmtId="0" fontId="72" fillId="0" borderId="0" xfId="207" applyFont="1" applyAlignment="1">
      <alignment horizontal="left"/>
    </xf>
    <xf numFmtId="0" fontId="71" fillId="0" borderId="0" xfId="207" applyFont="1"/>
    <xf numFmtId="0" fontId="71" fillId="0" borderId="0" xfId="207" applyFont="1" applyBorder="1"/>
    <xf numFmtId="190" fontId="0" fillId="27" borderId="0" xfId="151" applyNumberFormat="1" applyFont="1" applyFill="1" applyBorder="1" applyAlignment="1">
      <alignment vertical="center"/>
    </xf>
    <xf numFmtId="190" fontId="0" fillId="27" borderId="17" xfId="151" applyNumberFormat="1" applyFont="1" applyFill="1" applyBorder="1" applyAlignment="1">
      <alignment vertical="center"/>
    </xf>
    <xf numFmtId="0" fontId="71" fillId="0" borderId="8" xfId="207" applyFont="1" applyBorder="1"/>
    <xf numFmtId="183" fontId="71" fillId="0" borderId="0" xfId="207" applyNumberFormat="1" applyFont="1" applyBorder="1"/>
    <xf numFmtId="171" fontId="0" fillId="27" borderId="0" xfId="2" applyNumberFormat="1" applyFont="1" applyFill="1" applyBorder="1" applyAlignment="1">
      <alignment vertical="center"/>
    </xf>
    <xf numFmtId="171" fontId="83" fillId="27" borderId="0" xfId="2" applyNumberFormat="1" applyFont="1" applyFill="1" applyBorder="1" applyAlignment="1">
      <alignment vertical="center"/>
    </xf>
    <xf numFmtId="0" fontId="70" fillId="0" borderId="0" xfId="207" applyFont="1"/>
    <xf numFmtId="175" fontId="83" fillId="27" borderId="0" xfId="207" applyNumberFormat="1" applyFill="1" applyBorder="1" applyAlignment="1">
      <alignment horizontal="center" vertical="center"/>
    </xf>
    <xf numFmtId="175" fontId="121" fillId="0" borderId="0" xfId="207" applyNumberFormat="1" applyFont="1" applyBorder="1"/>
    <xf numFmtId="0" fontId="121" fillId="0" borderId="8" xfId="207" applyFont="1" applyBorder="1"/>
    <xf numFmtId="175" fontId="121" fillId="0" borderId="8" xfId="207" applyNumberFormat="1" applyFont="1" applyBorder="1"/>
    <xf numFmtId="0" fontId="119" fillId="0" borderId="0" xfId="0" applyFont="1" applyAlignment="1">
      <alignment vertical="center"/>
    </xf>
    <xf numFmtId="0" fontId="83" fillId="21" borderId="0" xfId="207" applyFill="1" applyAlignment="1">
      <alignment vertical="center"/>
    </xf>
    <xf numFmtId="169" fontId="119" fillId="21" borderId="0" xfId="151" applyFont="1" applyFill="1" applyBorder="1" applyAlignment="1">
      <alignment vertical="center"/>
    </xf>
    <xf numFmtId="175" fontId="131" fillId="21" borderId="0" xfId="207" applyNumberFormat="1" applyFont="1" applyFill="1" applyBorder="1" applyAlignment="1">
      <alignment vertical="center"/>
    </xf>
    <xf numFmtId="175" fontId="83" fillId="21" borderId="0" xfId="207" applyNumberFormat="1" applyFill="1" applyAlignment="1">
      <alignment vertical="center"/>
    </xf>
    <xf numFmtId="175" fontId="83" fillId="21" borderId="0" xfId="207" applyNumberFormat="1" applyFill="1" applyBorder="1" applyAlignment="1">
      <alignment vertical="center"/>
    </xf>
    <xf numFmtId="0" fontId="70" fillId="21" borderId="0" xfId="207" applyFont="1" applyFill="1" applyBorder="1" applyAlignment="1">
      <alignment vertical="center"/>
    </xf>
    <xf numFmtId="169" fontId="83" fillId="21" borderId="5" xfId="207" applyNumberFormat="1" applyFill="1" applyBorder="1"/>
    <xf numFmtId="0" fontId="191" fillId="21" borderId="0" xfId="207" applyFont="1" applyFill="1" applyBorder="1"/>
    <xf numFmtId="0" fontId="191" fillId="21" borderId="5" xfId="207" applyFont="1" applyFill="1" applyBorder="1"/>
    <xf numFmtId="0" fontId="191" fillId="21" borderId="0" xfId="207" applyFont="1" applyFill="1"/>
    <xf numFmtId="167" fontId="145" fillId="27" borderId="61" xfId="1" applyNumberFormat="1" applyFont="1" applyFill="1" applyBorder="1" applyAlignment="1">
      <alignment horizontal="right" vertical="center"/>
    </xf>
    <xf numFmtId="0" fontId="91" fillId="0" borderId="0" xfId="180" applyBorder="1"/>
    <xf numFmtId="0" fontId="70" fillId="27" borderId="8" xfId="187" applyFont="1" applyFill="1" applyBorder="1" applyAlignment="1">
      <alignment vertical="center"/>
    </xf>
    <xf numFmtId="0" fontId="70" fillId="0" borderId="0" xfId="187" applyFont="1"/>
    <xf numFmtId="0" fontId="69" fillId="27" borderId="0" xfId="207" applyFont="1" applyFill="1" applyBorder="1" applyAlignment="1">
      <alignment horizontal="right"/>
    </xf>
    <xf numFmtId="0" fontId="69" fillId="27" borderId="0" xfId="207" applyFont="1" applyFill="1" applyBorder="1" applyAlignment="1">
      <alignment horizontal="right" vertical="center"/>
    </xf>
    <xf numFmtId="190" fontId="0" fillId="21" borderId="0" xfId="1" applyNumberFormat="1" applyFont="1" applyFill="1" applyBorder="1" applyAlignment="1">
      <alignment vertical="center"/>
    </xf>
    <xf numFmtId="185" fontId="83" fillId="0" borderId="0" xfId="207" applyNumberFormat="1"/>
    <xf numFmtId="167" fontId="145" fillId="34" borderId="61" xfId="1" applyNumberFormat="1" applyFont="1" applyFill="1" applyBorder="1" applyAlignment="1">
      <alignment vertical="center"/>
    </xf>
    <xf numFmtId="0" fontId="68" fillId="21" borderId="0" xfId="0" applyNumberFormat="1" applyFont="1" applyFill="1" applyBorder="1" applyAlignment="1" applyProtection="1">
      <alignment vertical="center"/>
    </xf>
    <xf numFmtId="169" fontId="192" fillId="21" borderId="0" xfId="0" applyNumberFormat="1" applyFont="1" applyFill="1" applyBorder="1" applyAlignment="1" applyProtection="1">
      <alignment vertical="center"/>
    </xf>
    <xf numFmtId="169" fontId="143" fillId="21" borderId="57" xfId="4" applyNumberFormat="1" applyFont="1" applyFill="1" applyBorder="1" applyAlignment="1">
      <alignment vertical="center"/>
    </xf>
    <xf numFmtId="169" fontId="143" fillId="31" borderId="57" xfId="4" applyNumberFormat="1" applyFont="1" applyFill="1" applyBorder="1" applyAlignment="1">
      <alignment vertical="center"/>
    </xf>
    <xf numFmtId="0" fontId="140" fillId="21" borderId="67" xfId="235" applyFont="1" applyFill="1" applyBorder="1" applyAlignment="1">
      <alignment vertical="center"/>
    </xf>
    <xf numFmtId="0" fontId="140" fillId="21" borderId="68" xfId="235" applyFont="1" applyFill="1" applyBorder="1" applyAlignment="1">
      <alignment vertical="center"/>
    </xf>
    <xf numFmtId="167" fontId="68" fillId="21" borderId="0" xfId="0" applyNumberFormat="1" applyFont="1" applyFill="1" applyBorder="1" applyAlignment="1" applyProtection="1">
      <alignment vertical="center"/>
    </xf>
    <xf numFmtId="0" fontId="140" fillId="21" borderId="67" xfId="235" applyNumberFormat="1" applyFont="1" applyFill="1" applyBorder="1" applyAlignment="1">
      <alignment vertical="center"/>
    </xf>
    <xf numFmtId="0" fontId="140" fillId="21" borderId="68" xfId="235" applyNumberFormat="1" applyFont="1" applyFill="1" applyBorder="1" applyAlignment="1">
      <alignment vertical="center"/>
    </xf>
    <xf numFmtId="0" fontId="140" fillId="21" borderId="69" xfId="235" applyNumberFormat="1" applyFont="1" applyFill="1" applyBorder="1" applyAlignment="1">
      <alignment vertical="center"/>
    </xf>
    <xf numFmtId="167" fontId="143" fillId="21" borderId="57" xfId="4" applyNumberFormat="1" applyFont="1" applyFill="1" applyBorder="1" applyAlignment="1">
      <alignment vertical="center"/>
    </xf>
    <xf numFmtId="167" fontId="133" fillId="21" borderId="45" xfId="1" applyNumberFormat="1" applyFont="1" applyFill="1" applyBorder="1" applyAlignment="1">
      <alignment vertical="center"/>
    </xf>
    <xf numFmtId="180" fontId="119" fillId="21" borderId="0" xfId="0" applyNumberFormat="1" applyFont="1" applyFill="1" applyAlignment="1">
      <alignment vertical="center"/>
    </xf>
    <xf numFmtId="167" fontId="108" fillId="34" borderId="45" xfId="1" applyNumberFormat="1" applyFont="1" applyFill="1" applyBorder="1" applyAlignment="1">
      <alignment vertical="center"/>
    </xf>
    <xf numFmtId="167" fontId="108" fillId="21" borderId="45" xfId="4" applyNumberFormat="1" applyFill="1" applyBorder="1" applyAlignment="1">
      <alignment vertical="center"/>
    </xf>
    <xf numFmtId="167" fontId="108" fillId="34" borderId="58" xfId="1" applyNumberFormat="1" applyFont="1" applyFill="1" applyBorder="1" applyAlignment="1">
      <alignment vertical="center"/>
    </xf>
    <xf numFmtId="167" fontId="108" fillId="34" borderId="45" xfId="4" applyNumberFormat="1" applyFill="1" applyBorder="1" applyAlignment="1">
      <alignment vertical="center"/>
    </xf>
    <xf numFmtId="167" fontId="181" fillId="34" borderId="55" xfId="4" applyNumberFormat="1" applyFont="1" applyFill="1" applyBorder="1" applyAlignment="1">
      <alignment vertical="center"/>
    </xf>
    <xf numFmtId="169" fontId="177" fillId="0" borderId="0" xfId="1" applyFont="1" applyFill="1" applyBorder="1" applyAlignment="1">
      <alignment horizontal="center" vertical="center"/>
    </xf>
    <xf numFmtId="169" fontId="133" fillId="0" borderId="0" xfId="1" applyFont="1" applyFill="1" applyBorder="1" applyAlignment="1">
      <alignment horizontal="center" vertical="center"/>
    </xf>
    <xf numFmtId="0" fontId="110" fillId="0" borderId="0" xfId="154" applyBorder="1" applyAlignment="1">
      <alignment horizontal="left"/>
    </xf>
    <xf numFmtId="0" fontId="110" fillId="0" borderId="0" xfId="154" applyBorder="1"/>
    <xf numFmtId="0" fontId="147" fillId="20" borderId="0" xfId="0" applyFont="1" applyFill="1" applyBorder="1" applyAlignment="1">
      <alignment horizontal="left"/>
    </xf>
    <xf numFmtId="0" fontId="122" fillId="20" borderId="0" xfId="0" applyFont="1" applyFill="1" applyBorder="1" applyAlignment="1">
      <alignment vertical="center" wrapText="1"/>
    </xf>
    <xf numFmtId="0" fontId="148" fillId="0" borderId="0" xfId="0" applyFont="1" applyBorder="1"/>
    <xf numFmtId="0" fontId="150" fillId="0" borderId="0" xfId="0" applyFont="1" applyBorder="1"/>
    <xf numFmtId="0" fontId="195" fillId="49" borderId="0" xfId="154" applyFont="1" applyFill="1" applyBorder="1"/>
    <xf numFmtId="0" fontId="128" fillId="49" borderId="0" xfId="0" applyNumberFormat="1" applyFont="1" applyFill="1" applyBorder="1" applyAlignment="1">
      <alignment horizontal="center" vertical="center" wrapText="1"/>
    </xf>
    <xf numFmtId="0" fontId="152" fillId="49" borderId="0" xfId="180" applyFont="1" applyFill="1" applyBorder="1"/>
    <xf numFmtId="0" fontId="194" fillId="34" borderId="0" xfId="0" applyFont="1" applyFill="1" applyBorder="1" applyAlignment="1">
      <alignment horizontal="center" vertical="center"/>
    </xf>
    <xf numFmtId="0" fontId="194" fillId="34" borderId="0" xfId="0" applyFont="1" applyFill="1" applyBorder="1" applyAlignment="1">
      <alignment vertical="center"/>
    </xf>
    <xf numFmtId="0" fontId="196" fillId="22" borderId="0" xfId="0" applyFont="1" applyFill="1" applyBorder="1" applyAlignment="1">
      <alignment horizontal="center" vertical="center"/>
    </xf>
    <xf numFmtId="0" fontId="194" fillId="22" borderId="0" xfId="0" applyFont="1" applyFill="1" applyBorder="1" applyAlignment="1">
      <alignment vertical="center"/>
    </xf>
    <xf numFmtId="0" fontId="189" fillId="0" borderId="0" xfId="180" applyFont="1" applyBorder="1" applyAlignment="1">
      <alignment horizontal="center"/>
    </xf>
    <xf numFmtId="0" fontId="189" fillId="0" borderId="0" xfId="180" applyFont="1" applyBorder="1"/>
    <xf numFmtId="0" fontId="193" fillId="20" borderId="0" xfId="0" applyFont="1" applyFill="1" applyBorder="1" applyAlignment="1">
      <alignment horizontal="center" vertical="center" wrapText="1"/>
    </xf>
    <xf numFmtId="0" fontId="193" fillId="20" borderId="0" xfId="0" applyFont="1" applyFill="1" applyBorder="1" applyAlignment="1">
      <alignment vertical="center" wrapText="1"/>
    </xf>
    <xf numFmtId="0" fontId="194" fillId="0" borderId="0" xfId="0" applyFont="1" applyBorder="1" applyAlignment="1">
      <alignment horizontal="center"/>
    </xf>
    <xf numFmtId="0" fontId="194" fillId="0" borderId="0" xfId="0" applyFont="1" applyBorder="1"/>
    <xf numFmtId="0" fontId="197" fillId="22" borderId="0" xfId="0" applyFont="1" applyFill="1" applyBorder="1" applyAlignment="1">
      <alignment horizontal="center" vertical="center"/>
    </xf>
    <xf numFmtId="0" fontId="198" fillId="34" borderId="0" xfId="0" applyFont="1" applyFill="1" applyBorder="1" applyAlignment="1">
      <alignment horizontal="center" vertical="center"/>
    </xf>
    <xf numFmtId="0" fontId="198" fillId="34" borderId="0" xfId="0" applyFont="1" applyFill="1" applyBorder="1" applyAlignment="1">
      <alignment vertical="center"/>
    </xf>
    <xf numFmtId="0" fontId="198" fillId="22" borderId="0" xfId="0" applyFont="1" applyFill="1" applyBorder="1" applyAlignment="1">
      <alignment vertical="center"/>
    </xf>
    <xf numFmtId="0" fontId="199" fillId="22" borderId="0" xfId="0" applyFont="1" applyFill="1" applyBorder="1" applyAlignment="1">
      <alignment vertical="center"/>
    </xf>
    <xf numFmtId="0" fontId="152" fillId="0" borderId="0" xfId="157" applyFont="1"/>
    <xf numFmtId="0" fontId="119" fillId="0" borderId="0" xfId="157" applyFont="1"/>
    <xf numFmtId="193" fontId="119" fillId="0" borderId="0" xfId="242" applyFont="1"/>
    <xf numFmtId="0" fontId="119" fillId="0" borderId="0" xfId="157" applyFont="1" applyAlignment="1">
      <alignment vertical="center"/>
    </xf>
    <xf numFmtId="0" fontId="200" fillId="0" borderId="0" xfId="157" applyFont="1" applyAlignment="1">
      <alignment vertical="center"/>
    </xf>
    <xf numFmtId="193" fontId="119" fillId="0" borderId="0" xfId="242" applyFont="1" applyAlignment="1">
      <alignment vertical="center"/>
    </xf>
    <xf numFmtId="193" fontId="201" fillId="0" borderId="0" xfId="242" applyFont="1"/>
    <xf numFmtId="193" fontId="188" fillId="50" borderId="2" xfId="242" applyFont="1" applyFill="1" applyBorder="1" applyAlignment="1">
      <alignment horizontal="left" vertical="center" indent="1"/>
    </xf>
    <xf numFmtId="0" fontId="119" fillId="50" borderId="3" xfId="157" applyFont="1" applyFill="1" applyBorder="1"/>
    <xf numFmtId="193" fontId="119" fillId="50" borderId="3" xfId="242" applyFont="1" applyFill="1" applyBorder="1"/>
    <xf numFmtId="193" fontId="119" fillId="50" borderId="3" xfId="242" applyFont="1" applyFill="1" applyBorder="1" applyAlignment="1">
      <alignment horizontal="right"/>
    </xf>
    <xf numFmtId="193" fontId="119" fillId="51" borderId="5" xfId="242" applyFont="1" applyFill="1" applyBorder="1"/>
    <xf numFmtId="193" fontId="119" fillId="51" borderId="0" xfId="242" applyFont="1" applyFill="1" applyBorder="1"/>
    <xf numFmtId="193" fontId="119" fillId="51" borderId="0" xfId="242" applyFont="1" applyFill="1" applyBorder="1" applyAlignment="1">
      <alignment horizontal="right"/>
    </xf>
    <xf numFmtId="193" fontId="200" fillId="51" borderId="5" xfId="242" applyFont="1" applyFill="1" applyBorder="1"/>
    <xf numFmtId="193" fontId="202" fillId="51" borderId="7" xfId="242" applyFont="1" applyFill="1" applyBorder="1" applyAlignment="1">
      <alignment vertical="center"/>
    </xf>
    <xf numFmtId="193" fontId="202" fillId="51" borderId="7" xfId="242" applyFont="1" applyFill="1" applyBorder="1" applyAlignment="1">
      <alignment horizontal="center" vertical="center"/>
    </xf>
    <xf numFmtId="168" fontId="119" fillId="0" borderId="0" xfId="243" applyNumberFormat="1" applyFont="1"/>
    <xf numFmtId="193" fontId="203" fillId="51" borderId="0" xfId="242" applyFont="1" applyFill="1" applyBorder="1" applyAlignment="1">
      <alignment horizontal="center" vertical="center"/>
    </xf>
    <xf numFmtId="193" fontId="203" fillId="51" borderId="13" xfId="242" applyFont="1" applyFill="1" applyBorder="1" applyAlignment="1">
      <alignment horizontal="left" vertical="center"/>
    </xf>
    <xf numFmtId="193" fontId="119" fillId="51" borderId="13" xfId="242" applyFont="1" applyFill="1" applyBorder="1" applyAlignment="1">
      <alignment horizontal="left" vertical="center"/>
    </xf>
    <xf numFmtId="168" fontId="202" fillId="51" borderId="0" xfId="243" applyNumberFormat="1" applyFont="1" applyFill="1" applyBorder="1" applyAlignment="1">
      <alignment horizontal="left" indent="5"/>
    </xf>
    <xf numFmtId="193" fontId="203" fillId="51" borderId="0" xfId="242" applyFont="1" applyFill="1" applyBorder="1" applyAlignment="1">
      <alignment horizontal="left" vertical="center"/>
    </xf>
    <xf numFmtId="193" fontId="119" fillId="51" borderId="0" xfId="242" applyFont="1" applyFill="1" applyBorder="1" applyAlignment="1">
      <alignment horizontal="left" vertical="center"/>
    </xf>
    <xf numFmtId="193" fontId="203" fillId="51" borderId="8" xfId="242" applyFont="1" applyFill="1" applyBorder="1" applyAlignment="1">
      <alignment horizontal="left" vertical="center"/>
    </xf>
    <xf numFmtId="193" fontId="119" fillId="51" borderId="8" xfId="242" applyFont="1" applyFill="1" applyBorder="1" applyAlignment="1">
      <alignment horizontal="left" vertical="center"/>
    </xf>
    <xf numFmtId="168" fontId="202" fillId="51" borderId="8" xfId="243" applyNumberFormat="1" applyFont="1" applyFill="1" applyBorder="1" applyAlignment="1">
      <alignment horizontal="left" indent="5"/>
    </xf>
    <xf numFmtId="193" fontId="200" fillId="51" borderId="9" xfId="242" applyFont="1" applyFill="1" applyBorder="1"/>
    <xf numFmtId="193" fontId="119" fillId="51" borderId="10" xfId="242" applyFont="1" applyFill="1" applyBorder="1" applyAlignment="1">
      <alignment vertical="center"/>
    </xf>
    <xf numFmtId="193" fontId="188" fillId="52" borderId="2" xfId="242" applyFont="1" applyFill="1" applyBorder="1" applyAlignment="1">
      <alignment horizontal="left" vertical="center" indent="1"/>
    </xf>
    <xf numFmtId="193" fontId="119" fillId="52" borderId="3" xfId="242" applyFont="1" applyFill="1" applyBorder="1" applyAlignment="1">
      <alignment horizontal="right"/>
    </xf>
    <xf numFmtId="193" fontId="67" fillId="0" borderId="0" xfId="244" applyFont="1"/>
    <xf numFmtId="193" fontId="119" fillId="0" borderId="0" xfId="242" applyFont="1" applyFill="1" applyBorder="1"/>
    <xf numFmtId="193" fontId="119" fillId="0" borderId="0" xfId="242" applyFont="1" applyFill="1"/>
    <xf numFmtId="0" fontId="203" fillId="53" borderId="0" xfId="242" applyNumberFormat="1" applyFont="1" applyFill="1" applyBorder="1" applyAlignment="1">
      <alignment horizontal="center" vertical="center"/>
    </xf>
    <xf numFmtId="0" fontId="202" fillId="53" borderId="0" xfId="242" applyNumberFormat="1" applyFont="1" applyFill="1" applyBorder="1" applyAlignment="1">
      <alignment horizontal="left" vertical="center"/>
    </xf>
    <xf numFmtId="193" fontId="119" fillId="53" borderId="5" xfId="242" applyFont="1" applyFill="1" applyBorder="1" applyAlignment="1">
      <alignment horizontal="left" indent="1"/>
    </xf>
    <xf numFmtId="0" fontId="202" fillId="53" borderId="70" xfId="242" applyNumberFormat="1" applyFont="1" applyFill="1" applyBorder="1" applyAlignment="1">
      <alignment horizontal="center" vertical="center"/>
    </xf>
    <xf numFmtId="0" fontId="203" fillId="53" borderId="0" xfId="242" applyNumberFormat="1" applyFont="1" applyFill="1" applyBorder="1" applyAlignment="1">
      <alignment horizontal="left" vertical="center" indent="1"/>
    </xf>
    <xf numFmtId="0" fontId="202" fillId="53" borderId="0" xfId="242" applyNumberFormat="1" applyFont="1" applyFill="1" applyBorder="1" applyAlignment="1">
      <alignment horizontal="center" vertical="center"/>
    </xf>
    <xf numFmtId="193" fontId="203" fillId="53" borderId="5" xfId="242" applyFont="1" applyFill="1" applyBorder="1" applyAlignment="1">
      <alignment horizontal="center"/>
    </xf>
    <xf numFmtId="176" fontId="203" fillId="53" borderId="0" xfId="243" applyNumberFormat="1" applyFont="1" applyFill="1" applyBorder="1" applyAlignment="1">
      <alignment horizontal="center" vertical="center"/>
    </xf>
    <xf numFmtId="0" fontId="203" fillId="53" borderId="8" xfId="242" applyNumberFormat="1" applyFont="1" applyFill="1" applyBorder="1" applyAlignment="1">
      <alignment horizontal="center" vertical="center"/>
    </xf>
    <xf numFmtId="0" fontId="202" fillId="53" borderId="8" xfId="242" applyNumberFormat="1" applyFont="1" applyFill="1" applyBorder="1" applyAlignment="1">
      <alignment horizontal="center" vertical="center"/>
    </xf>
    <xf numFmtId="193" fontId="202" fillId="53" borderId="71" xfId="242" applyFont="1" applyFill="1" applyBorder="1" applyAlignment="1">
      <alignment horizontal="center"/>
    </xf>
    <xf numFmtId="0" fontId="203" fillId="53" borderId="29" xfId="242" applyNumberFormat="1" applyFont="1" applyFill="1" applyBorder="1" applyAlignment="1">
      <alignment horizontal="center" vertical="center"/>
    </xf>
    <xf numFmtId="0" fontId="203" fillId="53" borderId="72" xfId="242" applyNumberFormat="1" applyFont="1" applyFill="1" applyBorder="1" applyAlignment="1">
      <alignment horizontal="center" vertical="center"/>
    </xf>
    <xf numFmtId="176" fontId="202" fillId="53" borderId="71" xfId="182" applyNumberFormat="1" applyFont="1" applyFill="1" applyBorder="1" applyAlignment="1">
      <alignment horizontal="center"/>
    </xf>
    <xf numFmtId="193" fontId="203" fillId="53" borderId="73" xfId="242" applyFont="1" applyFill="1" applyBorder="1" applyAlignment="1">
      <alignment horizontal="center"/>
    </xf>
    <xf numFmtId="0" fontId="203" fillId="53" borderId="13" xfId="242" applyNumberFormat="1" applyFont="1" applyFill="1" applyBorder="1" applyAlignment="1">
      <alignment horizontal="center" vertical="center"/>
    </xf>
    <xf numFmtId="193" fontId="203" fillId="53" borderId="0" xfId="242" applyFont="1" applyFill="1" applyBorder="1" applyAlignment="1">
      <alignment horizontal="center" vertical="center"/>
    </xf>
    <xf numFmtId="170" fontId="203" fillId="53" borderId="0" xfId="182" applyFont="1" applyFill="1" applyBorder="1" applyAlignment="1">
      <alignment horizontal="center" vertical="center"/>
    </xf>
    <xf numFmtId="0" fontId="202" fillId="53" borderId="72" xfId="242" applyNumberFormat="1" applyFont="1" applyFill="1" applyBorder="1" applyAlignment="1">
      <alignment horizontal="center" vertical="center"/>
    </xf>
    <xf numFmtId="170" fontId="202" fillId="53" borderId="71" xfId="182" applyNumberFormat="1" applyFont="1" applyFill="1" applyBorder="1" applyAlignment="1">
      <alignment horizontal="center"/>
    </xf>
    <xf numFmtId="0" fontId="203" fillId="53" borderId="0" xfId="242" applyNumberFormat="1" applyFont="1" applyFill="1" applyBorder="1" applyAlignment="1">
      <alignment vertical="center"/>
    </xf>
    <xf numFmtId="173" fontId="203" fillId="53" borderId="0" xfId="242" applyNumberFormat="1" applyFont="1" applyFill="1" applyBorder="1" applyAlignment="1">
      <alignment horizontal="center" vertical="center"/>
    </xf>
    <xf numFmtId="168" fontId="203" fillId="53" borderId="0" xfId="243" applyNumberFormat="1" applyFont="1" applyFill="1" applyBorder="1" applyAlignment="1">
      <alignment horizontal="center" vertical="center"/>
    </xf>
    <xf numFmtId="168" fontId="203" fillId="53" borderId="0" xfId="182" applyNumberFormat="1" applyFont="1" applyFill="1" applyBorder="1" applyAlignment="1">
      <alignment horizontal="center" vertical="center"/>
    </xf>
    <xf numFmtId="193" fontId="203" fillId="53" borderId="8" xfId="242" applyFont="1" applyFill="1" applyBorder="1" applyAlignment="1">
      <alignment horizontal="center" vertical="center"/>
    </xf>
    <xf numFmtId="168" fontId="202" fillId="53" borderId="71" xfId="243" applyNumberFormat="1" applyFont="1" applyFill="1" applyBorder="1" applyAlignment="1">
      <alignment horizontal="center"/>
    </xf>
    <xf numFmtId="173" fontId="203" fillId="53" borderId="0" xfId="182" applyNumberFormat="1" applyFont="1" applyFill="1" applyBorder="1" applyAlignment="1">
      <alignment horizontal="center" vertical="center"/>
    </xf>
    <xf numFmtId="169" fontId="203" fillId="53" borderId="0" xfId="182" applyNumberFormat="1" applyFont="1" applyFill="1" applyBorder="1" applyAlignment="1">
      <alignment horizontal="center" vertical="center"/>
    </xf>
    <xf numFmtId="171" fontId="203" fillId="53" borderId="0" xfId="182" applyNumberFormat="1" applyFont="1" applyFill="1" applyBorder="1" applyAlignment="1">
      <alignment horizontal="center" vertical="center"/>
    </xf>
    <xf numFmtId="176" fontId="203" fillId="53" borderId="0" xfId="182" applyNumberFormat="1" applyFont="1" applyFill="1" applyBorder="1" applyAlignment="1">
      <alignment horizontal="center" vertical="center"/>
    </xf>
    <xf numFmtId="0" fontId="203" fillId="53" borderId="0" xfId="242" applyNumberFormat="1" applyFont="1" applyFill="1" applyBorder="1" applyAlignment="1">
      <alignment horizontal="left" vertical="center"/>
    </xf>
    <xf numFmtId="10" fontId="203" fillId="53" borderId="0" xfId="243" applyNumberFormat="1" applyFont="1" applyFill="1" applyBorder="1" applyAlignment="1">
      <alignment horizontal="center" vertical="center"/>
    </xf>
    <xf numFmtId="193" fontId="119" fillId="53" borderId="0" xfId="242" applyFont="1" applyFill="1" applyBorder="1" applyAlignment="1">
      <alignment horizontal="left" indent="1"/>
    </xf>
    <xf numFmtId="173" fontId="203" fillId="53" borderId="0" xfId="182" applyNumberFormat="1" applyFont="1" applyFill="1" applyBorder="1" applyAlignment="1">
      <alignment horizontal="center"/>
    </xf>
    <xf numFmtId="193" fontId="119" fillId="53" borderId="0" xfId="242" applyNumberFormat="1" applyFont="1" applyFill="1" applyBorder="1" applyAlignment="1">
      <alignment horizontal="center"/>
    </xf>
    <xf numFmtId="193" fontId="119" fillId="53" borderId="0" xfId="242" applyFont="1" applyFill="1" applyBorder="1" applyAlignment="1">
      <alignment horizontal="center"/>
    </xf>
    <xf numFmtId="193" fontId="119" fillId="53" borderId="0" xfId="242" applyNumberFormat="1" applyFont="1" applyFill="1" applyBorder="1" applyAlignment="1">
      <alignment horizontal="left" indent="1"/>
    </xf>
    <xf numFmtId="168" fontId="205" fillId="53" borderId="0" xfId="243" applyNumberFormat="1" applyFont="1" applyFill="1" applyBorder="1" applyAlignment="1">
      <alignment horizontal="center"/>
    </xf>
    <xf numFmtId="0" fontId="202" fillId="53" borderId="70" xfId="242" applyNumberFormat="1" applyFont="1" applyFill="1" applyBorder="1" applyAlignment="1">
      <alignment horizontal="left" vertical="center"/>
    </xf>
    <xf numFmtId="0" fontId="202" fillId="53" borderId="8" xfId="242" applyNumberFormat="1" applyFont="1" applyFill="1" applyBorder="1" applyAlignment="1">
      <alignment horizontal="left" vertical="center" indent="3"/>
    </xf>
    <xf numFmtId="193" fontId="202" fillId="53" borderId="74" xfId="242" applyFont="1" applyFill="1" applyBorder="1" applyAlignment="1">
      <alignment horizontal="center"/>
    </xf>
    <xf numFmtId="0" fontId="203" fillId="53" borderId="74" xfId="242" applyNumberFormat="1" applyFont="1" applyFill="1" applyBorder="1" applyAlignment="1">
      <alignment horizontal="center" vertical="center"/>
    </xf>
    <xf numFmtId="193" fontId="119" fillId="53" borderId="73" xfId="242" applyFont="1" applyFill="1" applyBorder="1" applyAlignment="1">
      <alignment horizontal="left" indent="1"/>
    </xf>
    <xf numFmtId="168" fontId="202" fillId="53" borderId="73" xfId="243" applyNumberFormat="1" applyFont="1" applyFill="1" applyBorder="1" applyAlignment="1">
      <alignment horizontal="right" indent="1"/>
    </xf>
    <xf numFmtId="0" fontId="202" fillId="53" borderId="0" xfId="242" applyNumberFormat="1" applyFont="1" applyFill="1" applyBorder="1" applyAlignment="1">
      <alignment horizontal="left" vertical="center" indent="3"/>
    </xf>
    <xf numFmtId="193" fontId="202" fillId="53" borderId="0" xfId="242" applyFont="1" applyFill="1" applyBorder="1" applyAlignment="1">
      <alignment horizontal="center"/>
    </xf>
    <xf numFmtId="168" fontId="202" fillId="53" borderId="0" xfId="243" applyNumberFormat="1" applyFont="1" applyFill="1" applyBorder="1" applyAlignment="1">
      <alignment horizontal="right" indent="1"/>
    </xf>
    <xf numFmtId="179" fontId="202" fillId="53" borderId="73" xfId="243" applyNumberFormat="1" applyFont="1" applyFill="1" applyBorder="1" applyAlignment="1">
      <alignment horizontal="center"/>
    </xf>
    <xf numFmtId="193" fontId="203" fillId="53" borderId="0" xfId="242" applyFont="1" applyFill="1" applyBorder="1" applyAlignment="1">
      <alignment horizontal="left" vertical="center" indent="1"/>
    </xf>
    <xf numFmtId="176" fontId="203" fillId="53" borderId="0" xfId="243" applyNumberFormat="1" applyFont="1" applyFill="1" applyBorder="1" applyAlignment="1">
      <alignment horizontal="center"/>
    </xf>
    <xf numFmtId="193" fontId="203" fillId="53" borderId="8" xfId="242" applyFont="1" applyFill="1" applyBorder="1" applyAlignment="1">
      <alignment horizontal="left" vertical="center" indent="1"/>
    </xf>
    <xf numFmtId="176" fontId="203" fillId="53" borderId="8" xfId="243" applyNumberFormat="1" applyFont="1" applyFill="1" applyBorder="1" applyAlignment="1">
      <alignment horizontal="center"/>
    </xf>
    <xf numFmtId="0" fontId="202" fillId="53" borderId="29" xfId="242" applyNumberFormat="1" applyFont="1" applyFill="1" applyBorder="1" applyAlignment="1">
      <alignment horizontal="left" vertical="center" indent="1"/>
    </xf>
    <xf numFmtId="193" fontId="202" fillId="53" borderId="29" xfId="242" applyFont="1" applyFill="1" applyBorder="1" applyAlignment="1">
      <alignment horizontal="center"/>
    </xf>
    <xf numFmtId="0" fontId="202" fillId="53" borderId="29" xfId="242" applyNumberFormat="1" applyFont="1" applyFill="1" applyBorder="1" applyAlignment="1">
      <alignment horizontal="center" vertical="center"/>
    </xf>
    <xf numFmtId="170" fontId="202" fillId="53" borderId="29" xfId="243" applyNumberFormat="1" applyFont="1" applyFill="1" applyBorder="1" applyAlignment="1">
      <alignment horizontal="center"/>
    </xf>
    <xf numFmtId="170" fontId="119" fillId="0" borderId="0" xfId="182" applyFont="1"/>
    <xf numFmtId="194" fontId="203" fillId="53" borderId="8" xfId="242" applyNumberFormat="1" applyFont="1" applyFill="1" applyBorder="1" applyAlignment="1">
      <alignment horizontal="left" vertical="center" indent="1"/>
    </xf>
    <xf numFmtId="167" fontId="202" fillId="53" borderId="73" xfId="243" applyNumberFormat="1" applyFont="1" applyFill="1" applyBorder="1" applyAlignment="1">
      <alignment horizontal="center"/>
    </xf>
    <xf numFmtId="193" fontId="202" fillId="53" borderId="0" xfId="242" applyFont="1" applyFill="1" applyBorder="1" applyAlignment="1">
      <alignment horizontal="left" indent="1"/>
    </xf>
    <xf numFmtId="193" fontId="120" fillId="53" borderId="0" xfId="242" applyNumberFormat="1" applyFont="1" applyFill="1" applyBorder="1" applyAlignment="1">
      <alignment horizontal="center"/>
    </xf>
    <xf numFmtId="193" fontId="120" fillId="53" borderId="0" xfId="242" applyFont="1" applyFill="1" applyBorder="1" applyAlignment="1">
      <alignment horizontal="center"/>
    </xf>
    <xf numFmtId="193" fontId="120" fillId="53" borderId="0" xfId="242" applyNumberFormat="1" applyFont="1" applyFill="1" applyBorder="1" applyAlignment="1">
      <alignment horizontal="left" indent="1"/>
    </xf>
    <xf numFmtId="168" fontId="206" fillId="53" borderId="0" xfId="243" applyNumberFormat="1" applyFont="1" applyFill="1" applyBorder="1" applyAlignment="1">
      <alignment horizontal="center"/>
    </xf>
    <xf numFmtId="193" fontId="203" fillId="53" borderId="0" xfId="242" applyFont="1" applyFill="1" applyBorder="1" applyAlignment="1">
      <alignment horizontal="center"/>
    </xf>
    <xf numFmtId="9" fontId="202" fillId="53" borderId="0" xfId="242" applyNumberFormat="1" applyFont="1" applyFill="1" applyBorder="1" applyAlignment="1">
      <alignment horizontal="center" vertical="center"/>
    </xf>
    <xf numFmtId="179" fontId="203" fillId="53" borderId="8" xfId="243" applyNumberFormat="1" applyFont="1" applyFill="1" applyBorder="1" applyAlignment="1">
      <alignment horizontal="center"/>
    </xf>
    <xf numFmtId="193" fontId="203" fillId="53" borderId="0" xfId="242" applyFont="1" applyFill="1" applyBorder="1" applyAlignment="1">
      <alignment horizontal="left" vertical="center" indent="2"/>
    </xf>
    <xf numFmtId="168" fontId="202" fillId="53" borderId="0" xfId="243" applyNumberFormat="1" applyFont="1" applyFill="1" applyBorder="1" applyAlignment="1">
      <alignment horizontal="center" vertical="center"/>
    </xf>
    <xf numFmtId="167" fontId="202" fillId="53" borderId="0" xfId="243" applyNumberFormat="1" applyFont="1" applyFill="1" applyBorder="1" applyAlignment="1">
      <alignment horizontal="center" vertical="center"/>
    </xf>
    <xf numFmtId="170" fontId="202" fillId="53" borderId="8" xfId="182" applyFont="1" applyFill="1" applyBorder="1" applyAlignment="1">
      <alignment horizontal="center" vertical="center"/>
    </xf>
    <xf numFmtId="170" fontId="202" fillId="53" borderId="0" xfId="182" applyFont="1" applyFill="1" applyBorder="1" applyAlignment="1">
      <alignment horizontal="center" vertical="center"/>
    </xf>
    <xf numFmtId="176" fontId="203" fillId="53" borderId="0" xfId="182" applyNumberFormat="1" applyFont="1" applyFill="1" applyBorder="1" applyAlignment="1">
      <alignment horizontal="center"/>
    </xf>
    <xf numFmtId="176" fontId="203" fillId="53" borderId="8" xfId="182" applyNumberFormat="1" applyFont="1" applyFill="1" applyBorder="1" applyAlignment="1">
      <alignment horizontal="center"/>
    </xf>
    <xf numFmtId="167" fontId="205" fillId="53" borderId="0" xfId="243" applyNumberFormat="1" applyFont="1" applyFill="1" applyBorder="1" applyAlignment="1">
      <alignment horizontal="center" vertical="center"/>
    </xf>
    <xf numFmtId="193" fontId="203" fillId="53" borderId="75" xfId="242" applyFont="1" applyFill="1" applyBorder="1" applyAlignment="1">
      <alignment horizontal="left" vertical="center" indent="1"/>
    </xf>
    <xf numFmtId="193" fontId="120" fillId="53" borderId="8" xfId="242" applyFont="1" applyFill="1" applyBorder="1" applyAlignment="1">
      <alignment horizontal="center"/>
    </xf>
    <xf numFmtId="168" fontId="203" fillId="53" borderId="8" xfId="243" applyNumberFormat="1" applyFont="1" applyFill="1" applyBorder="1" applyAlignment="1">
      <alignment horizontal="center" vertical="center"/>
    </xf>
    <xf numFmtId="193" fontId="119" fillId="53" borderId="5" xfId="242" applyFont="1" applyFill="1" applyBorder="1" applyAlignment="1">
      <alignment horizontal="center"/>
    </xf>
    <xf numFmtId="170" fontId="205" fillId="53" borderId="5" xfId="182" applyFont="1" applyFill="1" applyBorder="1" applyAlignment="1">
      <alignment horizontal="center"/>
    </xf>
    <xf numFmtId="170" fontId="205" fillId="53" borderId="0" xfId="182" applyFont="1" applyFill="1" applyBorder="1" applyAlignment="1">
      <alignment horizontal="center"/>
    </xf>
    <xf numFmtId="193" fontId="120" fillId="0" borderId="0" xfId="242" applyFont="1"/>
    <xf numFmtId="168" fontId="120" fillId="0" borderId="0" xfId="243" applyNumberFormat="1" applyFont="1" applyAlignment="1">
      <alignment horizontal="left" indent="2"/>
    </xf>
    <xf numFmtId="195" fontId="120" fillId="0" borderId="0" xfId="242" applyNumberFormat="1" applyFont="1" applyAlignment="1">
      <alignment horizontal="left"/>
    </xf>
    <xf numFmtId="193" fontId="119" fillId="0" borderId="0" xfId="242" applyFont="1" applyAlignment="1">
      <alignment horizontal="center"/>
    </xf>
    <xf numFmtId="193" fontId="120" fillId="0" borderId="0" xfId="242" applyFont="1" applyAlignment="1">
      <alignment horizontal="left" indent="3"/>
    </xf>
    <xf numFmtId="193" fontId="119" fillId="0" borderId="0" xfId="242" applyFont="1" applyAlignment="1">
      <alignment horizontal="left" indent="7"/>
    </xf>
    <xf numFmtId="168" fontId="207" fillId="0" borderId="0" xfId="243" applyNumberFormat="1" applyFont="1"/>
    <xf numFmtId="193" fontId="208" fillId="0" borderId="0" xfId="242" applyFont="1"/>
    <xf numFmtId="193" fontId="94" fillId="0" borderId="0" xfId="242"/>
    <xf numFmtId="0" fontId="205" fillId="0" borderId="29" xfId="243" applyNumberFormat="1" applyFont="1" applyBorder="1" applyAlignment="1">
      <alignment horizontal="center"/>
    </xf>
    <xf numFmtId="0" fontId="205" fillId="0" borderId="0" xfId="243" applyNumberFormat="1" applyFont="1" applyBorder="1" applyAlignment="1">
      <alignment horizontal="center"/>
    </xf>
    <xf numFmtId="193" fontId="202" fillId="0" borderId="0" xfId="242" applyFont="1"/>
    <xf numFmtId="193" fontId="203" fillId="0" borderId="0" xfId="242" applyFont="1" applyAlignment="1">
      <alignment horizontal="center"/>
    </xf>
    <xf numFmtId="168" fontId="203" fillId="0" borderId="0" xfId="243" applyNumberFormat="1" applyFont="1" applyAlignment="1">
      <alignment horizontal="center"/>
    </xf>
    <xf numFmtId="193" fontId="203" fillId="0" borderId="0" xfId="242" applyFont="1" applyAlignment="1">
      <alignment horizontal="left" indent="2"/>
    </xf>
    <xf numFmtId="193" fontId="202" fillId="0" borderId="0" xfId="242" applyFont="1" applyAlignment="1">
      <alignment horizontal="left" indent="2"/>
    </xf>
    <xf numFmtId="193" fontId="202" fillId="0" borderId="0" xfId="242" applyFont="1" applyAlignment="1">
      <alignment horizontal="center"/>
    </xf>
    <xf numFmtId="168" fontId="202" fillId="0" borderId="0" xfId="243" applyNumberFormat="1" applyFont="1" applyAlignment="1">
      <alignment horizontal="center"/>
    </xf>
    <xf numFmtId="193" fontId="203" fillId="0" borderId="0" xfId="242" applyFont="1" applyAlignment="1">
      <alignment horizontal="left"/>
    </xf>
    <xf numFmtId="193" fontId="211" fillId="0" borderId="0" xfId="242" applyFont="1"/>
    <xf numFmtId="193" fontId="203" fillId="0" borderId="0" xfId="242" applyFont="1"/>
    <xf numFmtId="193" fontId="203" fillId="0" borderId="0" xfId="242" applyFont="1" applyAlignment="1">
      <alignment horizontal="left" indent="1"/>
    </xf>
    <xf numFmtId="176" fontId="203" fillId="0" borderId="0" xfId="182" applyNumberFormat="1" applyFont="1" applyAlignment="1">
      <alignment horizontal="center"/>
    </xf>
    <xf numFmtId="170" fontId="203" fillId="0" borderId="0" xfId="182" applyFont="1" applyAlignment="1">
      <alignment horizontal="center"/>
    </xf>
    <xf numFmtId="168" fontId="120" fillId="0" borderId="0" xfId="243" applyNumberFormat="1" applyFont="1" applyAlignment="1">
      <alignment horizontal="left"/>
    </xf>
    <xf numFmtId="171" fontId="119" fillId="0" borderId="0" xfId="182" applyNumberFormat="1" applyFont="1"/>
    <xf numFmtId="169" fontId="203" fillId="0" borderId="0" xfId="243" applyNumberFormat="1" applyFont="1" applyAlignment="1">
      <alignment horizontal="center"/>
    </xf>
    <xf numFmtId="168" fontId="203" fillId="0" borderId="0" xfId="243" applyNumberFormat="1" applyFont="1"/>
    <xf numFmtId="193" fontId="119" fillId="39" borderId="0" xfId="242" applyFont="1" applyFill="1"/>
    <xf numFmtId="168" fontId="120" fillId="39" borderId="0" xfId="243" applyNumberFormat="1" applyFont="1" applyFill="1" applyAlignment="1">
      <alignment horizontal="left" indent="2"/>
    </xf>
    <xf numFmtId="167" fontId="203" fillId="0" borderId="0" xfId="243" applyNumberFormat="1" applyFont="1" applyAlignment="1">
      <alignment horizontal="center"/>
    </xf>
    <xf numFmtId="167" fontId="202" fillId="0" borderId="0" xfId="243" applyNumberFormat="1" applyFont="1" applyAlignment="1">
      <alignment horizontal="center"/>
    </xf>
    <xf numFmtId="193" fontId="202" fillId="51" borderId="5" xfId="242" applyFont="1" applyFill="1" applyBorder="1"/>
    <xf numFmtId="0" fontId="202" fillId="51" borderId="70" xfId="242" applyNumberFormat="1" applyFont="1" applyFill="1" applyBorder="1" applyAlignment="1">
      <alignment horizontal="left" vertical="center" indent="1"/>
    </xf>
    <xf numFmtId="0" fontId="202" fillId="51" borderId="70" xfId="242" applyNumberFormat="1" applyFont="1" applyFill="1" applyBorder="1" applyAlignment="1">
      <alignment horizontal="center" vertical="center"/>
    </xf>
    <xf numFmtId="193" fontId="120" fillId="51" borderId="7" xfId="242" applyFont="1" applyFill="1" applyBorder="1" applyAlignment="1">
      <alignment vertical="center"/>
    </xf>
    <xf numFmtId="0" fontId="203" fillId="51" borderId="0" xfId="242" applyNumberFormat="1" applyFont="1" applyFill="1" applyBorder="1" applyAlignment="1">
      <alignment horizontal="left" vertical="center" indent="1"/>
    </xf>
    <xf numFmtId="0" fontId="203" fillId="51" borderId="0" xfId="242" applyNumberFormat="1" applyFont="1" applyFill="1" applyBorder="1" applyAlignment="1">
      <alignment horizontal="center" vertical="center"/>
    </xf>
    <xf numFmtId="0" fontId="202" fillId="51" borderId="0" xfId="242" applyNumberFormat="1" applyFont="1" applyFill="1" applyBorder="1" applyAlignment="1">
      <alignment horizontal="center" vertical="center"/>
    </xf>
    <xf numFmtId="193" fontId="120" fillId="51" borderId="0" xfId="242" applyFont="1" applyFill="1" applyBorder="1" applyAlignment="1">
      <alignment vertical="center"/>
    </xf>
    <xf numFmtId="169" fontId="203" fillId="51" borderId="0" xfId="243" applyFont="1" applyFill="1" applyBorder="1" applyAlignment="1">
      <alignment horizontal="center" vertical="center"/>
    </xf>
    <xf numFmtId="0" fontId="203" fillId="51" borderId="8" xfId="242" applyNumberFormat="1" applyFont="1" applyFill="1" applyBorder="1" applyAlignment="1">
      <alignment horizontal="left" vertical="center" indent="1"/>
    </xf>
    <xf numFmtId="0" fontId="203" fillId="51" borderId="8" xfId="242" applyNumberFormat="1" applyFont="1" applyFill="1" applyBorder="1" applyAlignment="1">
      <alignment horizontal="center" vertical="center"/>
    </xf>
    <xf numFmtId="0" fontId="202" fillId="51" borderId="8" xfId="242" applyNumberFormat="1" applyFont="1" applyFill="1" applyBorder="1" applyAlignment="1">
      <alignment horizontal="center" vertical="center"/>
    </xf>
    <xf numFmtId="193" fontId="120" fillId="51" borderId="8" xfId="242" applyFont="1" applyFill="1" applyBorder="1" applyAlignment="1">
      <alignment vertical="center"/>
    </xf>
    <xf numFmtId="0" fontId="202" fillId="51" borderId="29" xfId="242" applyNumberFormat="1" applyFont="1" applyFill="1" applyBorder="1" applyAlignment="1">
      <alignment horizontal="left" vertical="center" indent="1"/>
    </xf>
    <xf numFmtId="0" fontId="202" fillId="51" borderId="29" xfId="242" applyNumberFormat="1" applyFont="1" applyFill="1" applyBorder="1" applyAlignment="1">
      <alignment horizontal="center" vertical="center"/>
    </xf>
    <xf numFmtId="193" fontId="120" fillId="51" borderId="29" xfId="242" applyFont="1" applyFill="1" applyBorder="1" applyAlignment="1">
      <alignment vertical="center"/>
    </xf>
    <xf numFmtId="169" fontId="202" fillId="51" borderId="29" xfId="242" applyNumberFormat="1" applyFont="1" applyFill="1" applyBorder="1" applyAlignment="1">
      <alignment horizontal="center" vertical="center"/>
    </xf>
    <xf numFmtId="0" fontId="203" fillId="51" borderId="18" xfId="242" applyNumberFormat="1" applyFont="1" applyFill="1" applyBorder="1" applyAlignment="1">
      <alignment horizontal="left" vertical="center" indent="1"/>
    </xf>
    <xf numFmtId="0" fontId="203" fillId="51" borderId="18" xfId="242" applyNumberFormat="1" applyFont="1" applyFill="1" applyBorder="1" applyAlignment="1">
      <alignment horizontal="center" vertical="center"/>
    </xf>
    <xf numFmtId="193" fontId="119" fillId="51" borderId="18" xfId="242" applyFont="1" applyFill="1" applyBorder="1" applyAlignment="1">
      <alignment horizontal="center"/>
    </xf>
    <xf numFmtId="169" fontId="119" fillId="51" borderId="18" xfId="243" applyFont="1" applyFill="1" applyBorder="1" applyAlignment="1">
      <alignment horizontal="center"/>
    </xf>
    <xf numFmtId="193" fontId="119" fillId="51" borderId="0" xfId="242" applyFont="1" applyFill="1" applyBorder="1" applyAlignment="1">
      <alignment horizontal="center"/>
    </xf>
    <xf numFmtId="168" fontId="119" fillId="51" borderId="0" xfId="243" applyNumberFormat="1" applyFont="1" applyFill="1" applyBorder="1" applyAlignment="1">
      <alignment horizontal="right"/>
    </xf>
    <xf numFmtId="193" fontId="188" fillId="54" borderId="0" xfId="242" applyFont="1" applyFill="1"/>
    <xf numFmtId="193" fontId="119" fillId="54" borderId="0" xfId="242" applyFont="1" applyFill="1"/>
    <xf numFmtId="193" fontId="119" fillId="55" borderId="0" xfId="242" applyFont="1" applyFill="1"/>
    <xf numFmtId="193" fontId="202" fillId="55" borderId="5" xfId="242" applyFont="1" applyFill="1" applyBorder="1"/>
    <xf numFmtId="193" fontId="119" fillId="55" borderId="0" xfId="242" applyFont="1" applyFill="1" applyBorder="1"/>
    <xf numFmtId="193" fontId="119" fillId="55" borderId="0" xfId="242" applyFont="1" applyFill="1" applyBorder="1" applyAlignment="1">
      <alignment horizontal="right"/>
    </xf>
    <xf numFmtId="0" fontId="202" fillId="55" borderId="70" xfId="242" applyNumberFormat="1" applyFont="1" applyFill="1" applyBorder="1" applyAlignment="1">
      <alignment horizontal="left" vertical="center" indent="1"/>
    </xf>
    <xf numFmtId="0" fontId="202" fillId="55" borderId="70" xfId="242" applyNumberFormat="1" applyFont="1" applyFill="1" applyBorder="1" applyAlignment="1">
      <alignment horizontal="center" vertical="center"/>
    </xf>
    <xf numFmtId="193" fontId="120" fillId="55" borderId="7" xfId="242" applyFont="1" applyFill="1" applyBorder="1" applyAlignment="1">
      <alignment vertical="center"/>
    </xf>
    <xf numFmtId="0" fontId="203" fillId="55" borderId="0" xfId="242" applyNumberFormat="1" applyFont="1" applyFill="1" applyBorder="1" applyAlignment="1">
      <alignment horizontal="left" vertical="center" indent="1"/>
    </xf>
    <xf numFmtId="0" fontId="203" fillId="55" borderId="0" xfId="242" applyNumberFormat="1" applyFont="1" applyFill="1" applyBorder="1" applyAlignment="1">
      <alignment horizontal="center" vertical="center"/>
    </xf>
    <xf numFmtId="0" fontId="202" fillId="55" borderId="0" xfId="242" applyNumberFormat="1" applyFont="1" applyFill="1" applyBorder="1" applyAlignment="1">
      <alignment horizontal="center" vertical="center"/>
    </xf>
    <xf numFmtId="193" fontId="120" fillId="55" borderId="0" xfId="242" applyFont="1" applyFill="1" applyBorder="1" applyAlignment="1">
      <alignment vertical="center"/>
    </xf>
    <xf numFmtId="179" fontId="203" fillId="55" borderId="0" xfId="243" applyNumberFormat="1" applyFont="1" applyFill="1" applyBorder="1" applyAlignment="1">
      <alignment horizontal="center" vertical="center"/>
    </xf>
    <xf numFmtId="0" fontId="203" fillId="55" borderId="8" xfId="242" applyNumberFormat="1" applyFont="1" applyFill="1" applyBorder="1" applyAlignment="1">
      <alignment horizontal="left" vertical="center" indent="1"/>
    </xf>
    <xf numFmtId="0" fontId="203" fillId="55" borderId="8" xfId="242" applyNumberFormat="1" applyFont="1" applyFill="1" applyBorder="1" applyAlignment="1">
      <alignment horizontal="center" vertical="center"/>
    </xf>
    <xf numFmtId="0" fontId="202" fillId="55" borderId="8" xfId="242" applyNumberFormat="1" applyFont="1" applyFill="1" applyBorder="1" applyAlignment="1">
      <alignment horizontal="center" vertical="center"/>
    </xf>
    <xf numFmtId="193" fontId="120" fillId="55" borderId="8" xfId="242" applyFont="1" applyFill="1" applyBorder="1" applyAlignment="1">
      <alignment vertical="center"/>
    </xf>
    <xf numFmtId="179" fontId="203" fillId="55" borderId="8" xfId="243" applyNumberFormat="1" applyFont="1" applyFill="1" applyBorder="1" applyAlignment="1">
      <alignment horizontal="center" vertical="center"/>
    </xf>
    <xf numFmtId="0" fontId="202" fillId="55" borderId="8" xfId="242" applyNumberFormat="1" applyFont="1" applyFill="1" applyBorder="1" applyAlignment="1">
      <alignment horizontal="left" vertical="center" indent="1"/>
    </xf>
    <xf numFmtId="167" fontId="202" fillId="55" borderId="8" xfId="243" applyNumberFormat="1" applyFont="1" applyFill="1" applyBorder="1" applyAlignment="1">
      <alignment horizontal="center" vertical="center"/>
    </xf>
    <xf numFmtId="0" fontId="202" fillId="55" borderId="0" xfId="242" applyNumberFormat="1" applyFont="1" applyFill="1" applyBorder="1" applyAlignment="1">
      <alignment horizontal="left" vertical="center" indent="1"/>
    </xf>
    <xf numFmtId="0" fontId="203" fillId="55" borderId="18" xfId="242" applyNumberFormat="1" applyFont="1" applyFill="1" applyBorder="1" applyAlignment="1">
      <alignment horizontal="left" vertical="center" indent="1"/>
    </xf>
    <xf numFmtId="0" fontId="203" fillId="55" borderId="18" xfId="242" applyNumberFormat="1" applyFont="1" applyFill="1" applyBorder="1" applyAlignment="1">
      <alignment horizontal="center" vertical="center"/>
    </xf>
    <xf numFmtId="0" fontId="202" fillId="55" borderId="18" xfId="242" applyNumberFormat="1" applyFont="1" applyFill="1" applyBorder="1" applyAlignment="1">
      <alignment horizontal="center" vertical="center"/>
    </xf>
    <xf numFmtId="193" fontId="120" fillId="55" borderId="18" xfId="242" applyFont="1" applyFill="1" applyBorder="1" applyAlignment="1">
      <alignment vertical="center"/>
    </xf>
    <xf numFmtId="179" fontId="202" fillId="55" borderId="18" xfId="243" applyNumberFormat="1" applyFont="1" applyFill="1" applyBorder="1" applyAlignment="1">
      <alignment horizontal="center" vertical="center"/>
    </xf>
    <xf numFmtId="0" fontId="203" fillId="55" borderId="0" xfId="242" applyNumberFormat="1" applyFont="1" applyFill="1" applyBorder="1" applyAlignment="1">
      <alignment horizontal="left" vertical="center" indent="2"/>
    </xf>
    <xf numFmtId="167" fontId="203" fillId="55" borderId="0" xfId="243" applyNumberFormat="1" applyFont="1" applyFill="1" applyBorder="1" applyAlignment="1">
      <alignment horizontal="center" vertical="center"/>
    </xf>
    <xf numFmtId="0" fontId="202" fillId="55" borderId="29" xfId="242" applyNumberFormat="1" applyFont="1" applyFill="1" applyBorder="1" applyAlignment="1">
      <alignment horizontal="left" vertical="center" indent="1"/>
    </xf>
    <xf numFmtId="0" fontId="202" fillId="55" borderId="29" xfId="242" applyNumberFormat="1" applyFont="1" applyFill="1" applyBorder="1" applyAlignment="1">
      <alignment horizontal="center" vertical="center"/>
    </xf>
    <xf numFmtId="193" fontId="120" fillId="55" borderId="29" xfId="242" applyFont="1" applyFill="1" applyBorder="1" applyAlignment="1">
      <alignment vertical="center"/>
    </xf>
    <xf numFmtId="179" fontId="202" fillId="55" borderId="29" xfId="243" applyNumberFormat="1" applyFont="1" applyFill="1" applyBorder="1" applyAlignment="1">
      <alignment horizontal="center" vertical="center"/>
    </xf>
    <xf numFmtId="169" fontId="119" fillId="0" borderId="0" xfId="243" applyFont="1"/>
    <xf numFmtId="167" fontId="119" fillId="0" borderId="0" xfId="243" applyNumberFormat="1" applyFont="1"/>
    <xf numFmtId="193" fontId="120" fillId="51" borderId="5" xfId="242" applyFont="1" applyFill="1" applyBorder="1"/>
    <xf numFmtId="169" fontId="119" fillId="51" borderId="0" xfId="243" applyFont="1" applyFill="1" applyBorder="1" applyAlignment="1">
      <alignment horizontal="right"/>
    </xf>
    <xf numFmtId="193" fontId="119" fillId="51" borderId="73" xfId="242" applyFont="1" applyFill="1" applyBorder="1"/>
    <xf numFmtId="193" fontId="119" fillId="51" borderId="8" xfId="242" applyFont="1" applyFill="1" applyBorder="1"/>
    <xf numFmtId="193" fontId="119" fillId="51" borderId="8" xfId="242" applyFont="1" applyFill="1" applyBorder="1" applyAlignment="1">
      <alignment horizontal="center"/>
    </xf>
    <xf numFmtId="168" fontId="119" fillId="51" borderId="8" xfId="243" applyNumberFormat="1" applyFont="1" applyFill="1" applyBorder="1" applyAlignment="1">
      <alignment horizontal="right"/>
    </xf>
    <xf numFmtId="193" fontId="120" fillId="51" borderId="29" xfId="242" applyFont="1" applyFill="1" applyBorder="1"/>
    <xf numFmtId="193" fontId="120" fillId="51" borderId="29" xfId="242" applyFont="1" applyFill="1" applyBorder="1" applyAlignment="1">
      <alignment horizontal="center"/>
    </xf>
    <xf numFmtId="168" fontId="120" fillId="51" borderId="29" xfId="243" applyNumberFormat="1" applyFont="1" applyFill="1" applyBorder="1" applyAlignment="1">
      <alignment horizontal="right"/>
    </xf>
    <xf numFmtId="167" fontId="119" fillId="51" borderId="0" xfId="243" applyNumberFormat="1" applyFont="1" applyFill="1" applyBorder="1" applyAlignment="1">
      <alignment horizontal="right"/>
    </xf>
    <xf numFmtId="167" fontId="120" fillId="51" borderId="29" xfId="243" applyNumberFormat="1" applyFont="1" applyFill="1" applyBorder="1" applyAlignment="1">
      <alignment horizontal="right"/>
    </xf>
    <xf numFmtId="0" fontId="67" fillId="0" borderId="0" xfId="245"/>
    <xf numFmtId="193" fontId="122" fillId="50" borderId="2" xfId="246" applyFont="1" applyFill="1" applyBorder="1" applyAlignment="1">
      <alignment horizontal="left" vertical="center" indent="1"/>
    </xf>
    <xf numFmtId="0" fontId="110" fillId="50" borderId="3" xfId="154" applyFill="1" applyBorder="1"/>
    <xf numFmtId="193" fontId="119" fillId="50" borderId="3" xfId="246" applyFill="1" applyBorder="1"/>
    <xf numFmtId="193" fontId="119" fillId="50" borderId="3" xfId="246" applyFill="1" applyBorder="1" applyAlignment="1">
      <alignment horizontal="right"/>
    </xf>
    <xf numFmtId="193" fontId="119" fillId="51" borderId="5" xfId="246" applyFill="1" applyBorder="1"/>
    <xf numFmtId="193" fontId="0" fillId="51" borderId="0" xfId="246" applyFont="1" applyFill="1" applyBorder="1"/>
    <xf numFmtId="193" fontId="119" fillId="51" borderId="0" xfId="246" applyFill="1" applyBorder="1"/>
    <xf numFmtId="193" fontId="119" fillId="51" borderId="0" xfId="246" applyFill="1" applyBorder="1" applyAlignment="1">
      <alignment horizontal="right"/>
    </xf>
    <xf numFmtId="193" fontId="200" fillId="51" borderId="5" xfId="246" applyFont="1" applyFill="1" applyBorder="1"/>
    <xf numFmtId="193" fontId="120" fillId="51" borderId="17" xfId="246" applyFont="1" applyFill="1" applyBorder="1" applyAlignment="1">
      <alignment horizontal="center" vertical="center"/>
    </xf>
    <xf numFmtId="168" fontId="120" fillId="51" borderId="0" xfId="247" applyNumberFormat="1" applyFont="1" applyFill="1" applyBorder="1" applyAlignment="1">
      <alignment horizontal="center"/>
    </xf>
    <xf numFmtId="193" fontId="200" fillId="51" borderId="0" xfId="246" applyFont="1" applyFill="1" applyBorder="1"/>
    <xf numFmtId="193" fontId="119" fillId="51" borderId="0" xfId="246" applyFill="1" applyBorder="1" applyAlignment="1">
      <alignment vertical="center"/>
    </xf>
    <xf numFmtId="193" fontId="122" fillId="52" borderId="2" xfId="246" applyFont="1" applyFill="1" applyBorder="1" applyAlignment="1">
      <alignment horizontal="left" vertical="center" indent="1"/>
    </xf>
    <xf numFmtId="193" fontId="119" fillId="52" borderId="3" xfId="246" applyFill="1" applyBorder="1" applyAlignment="1">
      <alignment horizontal="right"/>
    </xf>
    <xf numFmtId="0" fontId="176" fillId="53" borderId="0" xfId="246" applyNumberFormat="1" applyFont="1" applyFill="1" applyBorder="1" applyAlignment="1">
      <alignment horizontal="center" vertical="center"/>
    </xf>
    <xf numFmtId="0" fontId="202" fillId="53" borderId="0" xfId="246" applyNumberFormat="1" applyFont="1" applyFill="1" applyBorder="1" applyAlignment="1">
      <alignment horizontal="center" vertical="center"/>
    </xf>
    <xf numFmtId="193" fontId="0" fillId="53" borderId="5" xfId="246" applyFont="1" applyFill="1" applyBorder="1" applyAlignment="1">
      <alignment horizontal="left" indent="1"/>
    </xf>
    <xf numFmtId="0" fontId="202" fillId="53" borderId="0" xfId="246" applyNumberFormat="1" applyFont="1" applyFill="1" applyBorder="1" applyAlignment="1">
      <alignment horizontal="left" vertical="center"/>
    </xf>
    <xf numFmtId="0" fontId="203" fillId="53" borderId="0" xfId="246" applyNumberFormat="1" applyFont="1" applyFill="1" applyBorder="1" applyAlignment="1">
      <alignment horizontal="left" vertical="center"/>
    </xf>
    <xf numFmtId="0" fontId="202" fillId="53" borderId="70" xfId="246" applyNumberFormat="1" applyFont="1" applyFill="1" applyBorder="1" applyAlignment="1">
      <alignment horizontal="center" vertical="center"/>
    </xf>
    <xf numFmtId="0" fontId="203" fillId="53" borderId="0" xfId="246" applyNumberFormat="1" applyFont="1" applyFill="1" applyBorder="1" applyAlignment="1">
      <alignment horizontal="center" vertical="center"/>
    </xf>
    <xf numFmtId="196" fontId="203" fillId="53" borderId="0" xfId="248" applyFont="1" applyFill="1" applyBorder="1" applyAlignment="1">
      <alignment horizontal="center" vertical="center"/>
    </xf>
    <xf numFmtId="0" fontId="203" fillId="53" borderId="8" xfId="246" applyNumberFormat="1" applyFont="1" applyFill="1" applyBorder="1" applyAlignment="1">
      <alignment horizontal="center" vertical="center"/>
    </xf>
    <xf numFmtId="0" fontId="202" fillId="53" borderId="29" xfId="246" applyNumberFormat="1" applyFont="1" applyFill="1" applyBorder="1" applyAlignment="1">
      <alignment horizontal="center" vertical="center"/>
    </xf>
    <xf numFmtId="0" fontId="203" fillId="53" borderId="29" xfId="246" applyNumberFormat="1" applyFont="1" applyFill="1" applyBorder="1" applyAlignment="1">
      <alignment horizontal="center" vertical="center"/>
    </xf>
    <xf numFmtId="196" fontId="202" fillId="53" borderId="29" xfId="248" applyFont="1" applyFill="1" applyBorder="1" applyAlignment="1">
      <alignment horizontal="center" vertical="center"/>
    </xf>
    <xf numFmtId="193" fontId="67" fillId="53" borderId="5" xfId="246" applyFont="1" applyFill="1" applyBorder="1" applyAlignment="1">
      <alignment horizontal="left" indent="1"/>
    </xf>
    <xf numFmtId="0" fontId="202" fillId="53" borderId="70" xfId="246" applyNumberFormat="1" applyFont="1" applyFill="1" applyBorder="1" applyAlignment="1">
      <alignment horizontal="left" vertical="center"/>
    </xf>
    <xf numFmtId="9" fontId="203" fillId="53" borderId="0" xfId="249" applyFont="1" applyFill="1" applyBorder="1" applyAlignment="1">
      <alignment horizontal="center" vertical="center"/>
    </xf>
    <xf numFmtId="173" fontId="203" fillId="53" borderId="0" xfId="249" applyNumberFormat="1" applyFont="1" applyFill="1" applyBorder="1" applyAlignment="1">
      <alignment horizontal="center" vertical="center"/>
    </xf>
    <xf numFmtId="170" fontId="203" fillId="53" borderId="0" xfId="182" applyNumberFormat="1" applyFont="1" applyFill="1" applyBorder="1" applyAlignment="1">
      <alignment horizontal="center" vertical="center"/>
    </xf>
    <xf numFmtId="9" fontId="202" fillId="53" borderId="29" xfId="249" applyFont="1" applyFill="1" applyBorder="1" applyAlignment="1">
      <alignment horizontal="center" vertical="center"/>
    </xf>
    <xf numFmtId="193" fontId="67" fillId="53" borderId="73" xfId="246" applyFont="1" applyFill="1" applyBorder="1" applyAlignment="1">
      <alignment horizontal="left" indent="1"/>
    </xf>
    <xf numFmtId="0" fontId="203" fillId="53" borderId="72" xfId="246" applyNumberFormat="1" applyFont="1" applyFill="1" applyBorder="1" applyAlignment="1">
      <alignment horizontal="center" vertical="center"/>
    </xf>
    <xf numFmtId="193" fontId="120" fillId="53" borderId="71" xfId="246" applyFont="1" applyFill="1" applyBorder="1" applyAlignment="1">
      <alignment horizontal="left" indent="1"/>
    </xf>
    <xf numFmtId="170" fontId="207" fillId="53" borderId="71" xfId="182" applyNumberFormat="1" applyFont="1" applyFill="1" applyBorder="1" applyAlignment="1">
      <alignment horizontal="center"/>
    </xf>
    <xf numFmtId="196" fontId="207" fillId="53" borderId="71" xfId="248" applyFont="1" applyFill="1" applyBorder="1" applyAlignment="1">
      <alignment horizontal="center"/>
    </xf>
    <xf numFmtId="193" fontId="120" fillId="53" borderId="5" xfId="246" applyFont="1" applyFill="1" applyBorder="1" applyAlignment="1">
      <alignment horizontal="center"/>
    </xf>
    <xf numFmtId="193" fontId="120" fillId="53" borderId="5" xfId="246" applyFont="1" applyFill="1" applyBorder="1" applyAlignment="1">
      <alignment horizontal="left" indent="1"/>
    </xf>
    <xf numFmtId="170" fontId="207" fillId="53" borderId="5" xfId="182" applyNumberFormat="1" applyFont="1" applyFill="1" applyBorder="1" applyAlignment="1">
      <alignment horizontal="center"/>
    </xf>
    <xf numFmtId="0" fontId="203" fillId="53" borderId="0" xfId="246" applyNumberFormat="1" applyFont="1" applyFill="1" applyBorder="1" applyAlignment="1">
      <alignment horizontal="right" vertical="center"/>
    </xf>
    <xf numFmtId="193" fontId="203" fillId="53" borderId="5" xfId="246" applyFont="1" applyFill="1" applyBorder="1" applyAlignment="1">
      <alignment horizontal="left" vertical="top"/>
    </xf>
    <xf numFmtId="0" fontId="175" fillId="53" borderId="0" xfId="246" applyNumberFormat="1" applyFont="1" applyFill="1" applyBorder="1" applyAlignment="1">
      <alignment horizontal="left" vertical="center"/>
    </xf>
    <xf numFmtId="0" fontId="67" fillId="0" borderId="0" xfId="245" applyFont="1"/>
    <xf numFmtId="0" fontId="203" fillId="53" borderId="0" xfId="246" applyNumberFormat="1" applyFont="1" applyFill="1" applyBorder="1" applyAlignment="1">
      <alignment horizontal="left" vertical="center" indent="2"/>
    </xf>
    <xf numFmtId="177" fontId="203" fillId="53" borderId="0" xfId="250" applyNumberFormat="1" applyFont="1" applyFill="1" applyBorder="1" applyAlignment="1">
      <alignment horizontal="center" vertical="center"/>
    </xf>
    <xf numFmtId="0" fontId="214" fillId="18" borderId="0" xfId="245" applyFont="1" applyFill="1" applyBorder="1" applyAlignment="1">
      <alignment horizontal="center" vertical="center"/>
    </xf>
    <xf numFmtId="0" fontId="203" fillId="53" borderId="8" xfId="246" applyNumberFormat="1" applyFont="1" applyFill="1" applyBorder="1" applyAlignment="1">
      <alignment horizontal="left" vertical="center" indent="2"/>
    </xf>
    <xf numFmtId="0" fontId="202" fillId="53" borderId="8" xfId="246" applyNumberFormat="1" applyFont="1" applyFill="1" applyBorder="1" applyAlignment="1">
      <alignment horizontal="center" vertical="center"/>
    </xf>
    <xf numFmtId="177" fontId="203" fillId="53" borderId="8" xfId="250" applyNumberFormat="1" applyFont="1" applyFill="1" applyBorder="1" applyAlignment="1">
      <alignment horizontal="center" vertical="center"/>
    </xf>
    <xf numFmtId="0" fontId="214" fillId="18" borderId="0" xfId="245" applyFont="1" applyFill="1" applyAlignment="1">
      <alignment horizontal="center" vertical="center"/>
    </xf>
    <xf numFmtId="0" fontId="214" fillId="18" borderId="8" xfId="245" applyFont="1" applyFill="1" applyBorder="1" applyAlignment="1">
      <alignment horizontal="center" vertical="center"/>
    </xf>
    <xf numFmtId="0" fontId="175" fillId="53" borderId="0" xfId="246" applyNumberFormat="1" applyFont="1" applyFill="1" applyBorder="1" applyAlignment="1">
      <alignment horizontal="left" vertical="center" indent="2"/>
    </xf>
    <xf numFmtId="0" fontId="215" fillId="18" borderId="0" xfId="245" applyFont="1" applyFill="1" applyAlignment="1">
      <alignment horizontal="center" vertical="center"/>
    </xf>
    <xf numFmtId="177" fontId="175" fillId="53" borderId="0" xfId="250" applyNumberFormat="1" applyFont="1" applyFill="1" applyBorder="1" applyAlignment="1">
      <alignment horizontal="center" vertical="center"/>
    </xf>
    <xf numFmtId="177" fontId="203" fillId="53" borderId="0" xfId="246" applyNumberFormat="1" applyFont="1" applyFill="1" applyBorder="1" applyAlignment="1">
      <alignment horizontal="left" vertical="center"/>
    </xf>
    <xf numFmtId="0" fontId="216" fillId="18" borderId="76" xfId="245" applyFont="1" applyFill="1" applyBorder="1" applyAlignment="1">
      <alignment horizontal="center" vertical="center"/>
    </xf>
    <xf numFmtId="177" fontId="202" fillId="53" borderId="0" xfId="250" applyNumberFormat="1" applyFont="1" applyFill="1" applyBorder="1" applyAlignment="1">
      <alignment horizontal="center" vertical="center"/>
    </xf>
    <xf numFmtId="0" fontId="202" fillId="53" borderId="0" xfId="246" applyNumberFormat="1" applyFont="1" applyFill="1" applyBorder="1" applyAlignment="1">
      <alignment horizontal="left" vertical="center" indent="2"/>
    </xf>
    <xf numFmtId="0" fontId="203" fillId="53" borderId="0" xfId="246" applyNumberFormat="1" applyFont="1" applyFill="1" applyBorder="1" applyAlignment="1">
      <alignment horizontal="left" vertical="center" indent="3"/>
    </xf>
    <xf numFmtId="0" fontId="203" fillId="53" borderId="8" xfId="246" applyNumberFormat="1" applyFont="1" applyFill="1" applyBorder="1" applyAlignment="1">
      <alignment horizontal="left" vertical="center" indent="3"/>
    </xf>
    <xf numFmtId="166" fontId="203" fillId="53" borderId="8" xfId="250" applyNumberFormat="1" applyFont="1" applyFill="1" applyBorder="1" applyAlignment="1">
      <alignment horizontal="center" vertical="center"/>
    </xf>
    <xf numFmtId="197" fontId="203" fillId="53" borderId="0" xfId="250" applyNumberFormat="1" applyFont="1" applyFill="1" applyBorder="1" applyAlignment="1">
      <alignment horizontal="center" vertical="center"/>
    </xf>
    <xf numFmtId="0" fontId="203" fillId="53" borderId="8" xfId="246" applyNumberFormat="1" applyFont="1" applyFill="1" applyBorder="1" applyAlignment="1">
      <alignment horizontal="left" vertical="center"/>
    </xf>
    <xf numFmtId="197" fontId="203" fillId="53" borderId="8" xfId="250" applyNumberFormat="1" applyFont="1" applyFill="1" applyBorder="1" applyAlignment="1">
      <alignment horizontal="center" vertical="center"/>
    </xf>
    <xf numFmtId="0" fontId="67" fillId="0" borderId="0" xfId="245" applyBorder="1"/>
    <xf numFmtId="166" fontId="203" fillId="53" borderId="0" xfId="250" applyNumberFormat="1" applyFont="1" applyFill="1" applyBorder="1" applyAlignment="1">
      <alignment horizontal="center" vertical="center"/>
    </xf>
    <xf numFmtId="193" fontId="67" fillId="53" borderId="5" xfId="246" applyFont="1" applyFill="1" applyBorder="1" applyAlignment="1">
      <alignment horizontal="center"/>
    </xf>
    <xf numFmtId="0" fontId="203" fillId="53" borderId="8" xfId="246" applyNumberFormat="1" applyFont="1" applyFill="1" applyBorder="1" applyAlignment="1">
      <alignment horizontal="left" vertical="center" wrapText="1"/>
    </xf>
    <xf numFmtId="0" fontId="203" fillId="53" borderId="8" xfId="246" applyNumberFormat="1" applyFont="1" applyFill="1" applyBorder="1" applyAlignment="1">
      <alignment horizontal="center" vertical="center" wrapText="1"/>
    </xf>
    <xf numFmtId="0" fontId="202" fillId="53" borderId="8" xfId="246" applyNumberFormat="1" applyFont="1" applyFill="1" applyBorder="1" applyAlignment="1">
      <alignment horizontal="left" vertical="center" wrapText="1"/>
    </xf>
    <xf numFmtId="0" fontId="202" fillId="53" borderId="8" xfId="246" applyNumberFormat="1" applyFont="1" applyFill="1" applyBorder="1" applyAlignment="1">
      <alignment horizontal="center" vertical="center" wrapText="1"/>
    </xf>
    <xf numFmtId="193" fontId="67" fillId="53" borderId="0" xfId="246" applyFont="1" applyFill="1" applyBorder="1" applyAlignment="1">
      <alignment horizontal="center"/>
    </xf>
    <xf numFmtId="193" fontId="119" fillId="53" borderId="5" xfId="246" applyFont="1" applyFill="1" applyBorder="1" applyAlignment="1">
      <alignment horizontal="center" wrapText="1"/>
    </xf>
    <xf numFmtId="0" fontId="203" fillId="53" borderId="18" xfId="246" applyNumberFormat="1" applyFont="1" applyFill="1" applyBorder="1" applyAlignment="1">
      <alignment horizontal="left" vertical="center" indent="2"/>
    </xf>
    <xf numFmtId="0" fontId="203" fillId="53" borderId="18" xfId="246" applyNumberFormat="1" applyFont="1" applyFill="1" applyBorder="1" applyAlignment="1">
      <alignment horizontal="center" vertical="center"/>
    </xf>
    <xf numFmtId="177" fontId="203" fillId="53" borderId="0" xfId="249" applyNumberFormat="1" applyFont="1" applyFill="1" applyBorder="1" applyAlignment="1">
      <alignment horizontal="center" vertical="center"/>
    </xf>
    <xf numFmtId="198" fontId="203" fillId="53" borderId="0" xfId="249" applyNumberFormat="1" applyFont="1" applyFill="1" applyBorder="1" applyAlignment="1">
      <alignment horizontal="center" vertical="center"/>
    </xf>
    <xf numFmtId="166" fontId="214" fillId="18" borderId="0" xfId="245" applyNumberFormat="1" applyFont="1" applyFill="1" applyAlignment="1">
      <alignment horizontal="center" vertical="center" wrapText="1"/>
    </xf>
    <xf numFmtId="166" fontId="214" fillId="18" borderId="0" xfId="245" applyNumberFormat="1" applyFont="1" applyFill="1" applyAlignment="1">
      <alignment horizontal="center" vertical="center"/>
    </xf>
    <xf numFmtId="0" fontId="202" fillId="53" borderId="18" xfId="246" applyNumberFormat="1" applyFont="1" applyFill="1" applyBorder="1" applyAlignment="1">
      <alignment horizontal="center" vertical="center"/>
    </xf>
    <xf numFmtId="177" fontId="203" fillId="53" borderId="18" xfId="250" applyNumberFormat="1" applyFont="1" applyFill="1" applyBorder="1" applyAlignment="1">
      <alignment horizontal="center" vertical="center"/>
    </xf>
    <xf numFmtId="193" fontId="67" fillId="53" borderId="0" xfId="246" applyFont="1" applyFill="1" applyBorder="1" applyAlignment="1">
      <alignment horizontal="left" indent="1"/>
    </xf>
    <xf numFmtId="0" fontId="202" fillId="53" borderId="8" xfId="246" applyNumberFormat="1" applyFont="1" applyFill="1" applyBorder="1" applyAlignment="1">
      <alignment horizontal="left" vertical="center" indent="2"/>
    </xf>
    <xf numFmtId="177" fontId="202" fillId="53" borderId="8" xfId="250" applyNumberFormat="1" applyFont="1" applyFill="1" applyBorder="1" applyAlignment="1">
      <alignment horizontal="center" vertical="center"/>
    </xf>
    <xf numFmtId="0" fontId="214" fillId="18" borderId="0" xfId="245" applyFont="1" applyFill="1" applyAlignment="1">
      <alignment horizontal="left" vertical="center"/>
    </xf>
    <xf numFmtId="0" fontId="216" fillId="18" borderId="76" xfId="245" applyFont="1" applyFill="1" applyBorder="1" applyAlignment="1">
      <alignment horizontal="left" vertical="center"/>
    </xf>
    <xf numFmtId="0" fontId="214" fillId="18" borderId="0" xfId="245" applyFont="1" applyFill="1" applyAlignment="1">
      <alignment horizontal="left" vertical="center" indent="2"/>
    </xf>
    <xf numFmtId="0" fontId="216" fillId="18" borderId="0" xfId="245" applyFont="1" applyFill="1" applyAlignment="1">
      <alignment horizontal="center" vertical="center"/>
    </xf>
    <xf numFmtId="177" fontId="214" fillId="18" borderId="0" xfId="245" applyNumberFormat="1" applyFont="1" applyFill="1" applyAlignment="1">
      <alignment horizontal="center" vertical="center"/>
    </xf>
    <xf numFmtId="177" fontId="202" fillId="53" borderId="8" xfId="248" applyNumberFormat="1" applyFont="1" applyFill="1" applyBorder="1" applyAlignment="1">
      <alignment horizontal="center" vertical="center"/>
    </xf>
    <xf numFmtId="199" fontId="203" fillId="53" borderId="0" xfId="250" applyNumberFormat="1" applyFont="1" applyFill="1" applyBorder="1" applyAlignment="1">
      <alignment horizontal="center" vertical="center"/>
    </xf>
    <xf numFmtId="193" fontId="0" fillId="53" borderId="0" xfId="246" applyFont="1" applyFill="1" applyBorder="1" applyAlignment="1">
      <alignment horizontal="left" indent="1"/>
    </xf>
    <xf numFmtId="0" fontId="175" fillId="53" borderId="0" xfId="246" applyNumberFormat="1" applyFont="1" applyFill="1" applyBorder="1" applyAlignment="1">
      <alignment horizontal="right" vertical="center"/>
    </xf>
    <xf numFmtId="166" fontId="215" fillId="18" borderId="0" xfId="245" applyNumberFormat="1" applyFont="1" applyFill="1" applyAlignment="1">
      <alignment horizontal="center" vertical="center"/>
    </xf>
    <xf numFmtId="0" fontId="203" fillId="0" borderId="0" xfId="245" applyFont="1" applyFill="1"/>
    <xf numFmtId="0" fontId="203" fillId="0" borderId="0" xfId="246" applyNumberFormat="1" applyFont="1" applyFill="1" applyBorder="1" applyAlignment="1">
      <alignment horizontal="left" vertical="center"/>
    </xf>
    <xf numFmtId="193" fontId="0" fillId="0" borderId="5" xfId="246" applyFont="1" applyFill="1" applyBorder="1" applyAlignment="1">
      <alignment horizontal="left" indent="1"/>
    </xf>
    <xf numFmtId="0" fontId="202" fillId="0" borderId="70" xfId="246" applyNumberFormat="1" applyFont="1" applyFill="1" applyBorder="1" applyAlignment="1">
      <alignment horizontal="center" vertical="center"/>
    </xf>
    <xf numFmtId="0" fontId="202" fillId="0" borderId="36" xfId="246" applyNumberFormat="1" applyFont="1" applyFill="1" applyBorder="1" applyAlignment="1">
      <alignment horizontal="center" vertical="center"/>
    </xf>
    <xf numFmtId="0" fontId="202" fillId="0" borderId="77" xfId="246" applyNumberFormat="1" applyFont="1" applyFill="1" applyBorder="1" applyAlignment="1">
      <alignment horizontal="center" vertical="center"/>
    </xf>
    <xf numFmtId="0" fontId="203" fillId="0" borderId="8" xfId="246" applyNumberFormat="1" applyFont="1" applyFill="1" applyBorder="1" applyAlignment="1">
      <alignment horizontal="left" vertical="center" indent="2"/>
    </xf>
    <xf numFmtId="0" fontId="203" fillId="0" borderId="8" xfId="246" applyNumberFormat="1" applyFont="1" applyFill="1" applyBorder="1" applyAlignment="1">
      <alignment horizontal="center" vertical="center"/>
    </xf>
    <xf numFmtId="0" fontId="202" fillId="0" borderId="8" xfId="246" applyNumberFormat="1" applyFont="1" applyFill="1" applyBorder="1" applyAlignment="1">
      <alignment horizontal="center" vertical="center"/>
    </xf>
    <xf numFmtId="177" fontId="214" fillId="0" borderId="8" xfId="245" applyNumberFormat="1" applyFont="1" applyFill="1" applyBorder="1" applyAlignment="1">
      <alignment horizontal="center" vertical="center"/>
    </xf>
    <xf numFmtId="0" fontId="203" fillId="0" borderId="0" xfId="245" applyFont="1"/>
    <xf numFmtId="0" fontId="217" fillId="0" borderId="0" xfId="251" applyNumberFormat="1" applyFont="1" applyFill="1" applyBorder="1" applyAlignment="1">
      <alignment horizontal="left" vertical="center" indent="5"/>
    </xf>
    <xf numFmtId="0" fontId="216" fillId="0" borderId="76" xfId="245" applyFont="1" applyFill="1" applyBorder="1" applyAlignment="1">
      <alignment horizontal="left" vertical="center"/>
    </xf>
    <xf numFmtId="0" fontId="216" fillId="0" borderId="76" xfId="245" applyFont="1" applyFill="1" applyBorder="1" applyAlignment="1">
      <alignment horizontal="center" vertical="center"/>
    </xf>
    <xf numFmtId="4" fontId="217" fillId="0" borderId="0" xfId="251" applyFont="1" applyFill="1" applyBorder="1" applyAlignment="1">
      <alignment horizontal="right" vertical="center"/>
    </xf>
    <xf numFmtId="0" fontId="203" fillId="0" borderId="0" xfId="246" applyNumberFormat="1" applyFont="1" applyFill="1" applyBorder="1" applyAlignment="1">
      <alignment horizontal="left" vertical="center" indent="2"/>
    </xf>
    <xf numFmtId="0" fontId="202" fillId="0" borderId="0" xfId="246" applyNumberFormat="1" applyFont="1" applyFill="1" applyBorder="1" applyAlignment="1">
      <alignment horizontal="center" vertical="center"/>
    </xf>
    <xf numFmtId="0" fontId="214" fillId="0" borderId="0" xfId="245" applyFont="1" applyFill="1" applyBorder="1" applyAlignment="1">
      <alignment horizontal="center" vertical="center"/>
    </xf>
    <xf numFmtId="0" fontId="216" fillId="0" borderId="0" xfId="245" applyFont="1" applyFill="1" applyAlignment="1">
      <alignment horizontal="center" vertical="center"/>
    </xf>
    <xf numFmtId="196" fontId="214" fillId="0" borderId="0" xfId="248" applyNumberFormat="1" applyFont="1" applyFill="1" applyAlignment="1">
      <alignment horizontal="center" vertical="center"/>
    </xf>
    <xf numFmtId="196" fontId="0" fillId="0" borderId="0" xfId="248" applyFont="1"/>
    <xf numFmtId="4" fontId="217" fillId="0" borderId="0" xfId="251" applyFont="1" applyFill="1" applyBorder="1" applyAlignment="1">
      <alignment horizontal="left" vertical="center"/>
    </xf>
    <xf numFmtId="200" fontId="214" fillId="0" borderId="0" xfId="248" applyNumberFormat="1" applyFont="1" applyFill="1" applyAlignment="1">
      <alignment horizontal="center" vertical="center"/>
    </xf>
    <xf numFmtId="201" fontId="214" fillId="0" borderId="0" xfId="248" applyNumberFormat="1" applyFont="1" applyFill="1" applyAlignment="1">
      <alignment horizontal="center" vertical="center"/>
    </xf>
    <xf numFmtId="0" fontId="202" fillId="0" borderId="0" xfId="246" applyNumberFormat="1" applyFont="1" applyFill="1" applyBorder="1" applyAlignment="1">
      <alignment horizontal="left" vertical="center" indent="2"/>
    </xf>
    <xf numFmtId="196" fontId="214" fillId="0" borderId="0" xfId="248" applyFont="1" applyFill="1" applyAlignment="1">
      <alignment horizontal="center" vertical="center"/>
    </xf>
    <xf numFmtId="197" fontId="214" fillId="0" borderId="0" xfId="245" applyNumberFormat="1" applyFont="1" applyFill="1" applyBorder="1" applyAlignment="1">
      <alignment horizontal="center" vertical="center"/>
    </xf>
    <xf numFmtId="166" fontId="214" fillId="0" borderId="0" xfId="245" applyNumberFormat="1" applyFont="1" applyFill="1" applyBorder="1" applyAlignment="1">
      <alignment horizontal="center" vertical="center"/>
    </xf>
    <xf numFmtId="0" fontId="217" fillId="0" borderId="0" xfId="251" applyNumberFormat="1" applyFont="1" applyFill="1" applyBorder="1" applyAlignment="1">
      <alignment horizontal="left" vertical="center"/>
    </xf>
    <xf numFmtId="196" fontId="216" fillId="0" borderId="0" xfId="248" applyFont="1" applyFill="1" applyAlignment="1">
      <alignment horizontal="center" vertical="center"/>
    </xf>
    <xf numFmtId="9" fontId="214" fillId="0" borderId="0" xfId="248" applyNumberFormat="1" applyFont="1" applyFill="1" applyAlignment="1">
      <alignment horizontal="center" vertical="center"/>
    </xf>
    <xf numFmtId="0" fontId="121" fillId="0" borderId="0" xfId="245" applyFont="1"/>
    <xf numFmtId="0" fontId="202" fillId="0" borderId="0" xfId="246" applyNumberFormat="1" applyFont="1" applyFill="1" applyBorder="1" applyAlignment="1">
      <alignment horizontal="right" vertical="center"/>
    </xf>
    <xf numFmtId="4" fontId="143" fillId="0" borderId="0" xfId="251" applyFont="1" applyFill="1" applyBorder="1" applyAlignment="1">
      <alignment horizontal="left" vertical="center"/>
    </xf>
    <xf numFmtId="0" fontId="176" fillId="0" borderId="0" xfId="246" applyNumberFormat="1" applyFont="1" applyFill="1" applyBorder="1" applyAlignment="1">
      <alignment horizontal="right" vertical="center"/>
    </xf>
    <xf numFmtId="0" fontId="67" fillId="0" borderId="0" xfId="245" applyFill="1"/>
    <xf numFmtId="0" fontId="94" fillId="50" borderId="3" xfId="157" applyFill="1" applyBorder="1"/>
    <xf numFmtId="193" fontId="119" fillId="0" borderId="3" xfId="246" applyFill="1" applyBorder="1" applyAlignment="1">
      <alignment horizontal="right"/>
    </xf>
    <xf numFmtId="193" fontId="119" fillId="0" borderId="0" xfId="246" applyFill="1" applyBorder="1" applyAlignment="1">
      <alignment horizontal="right"/>
    </xf>
    <xf numFmtId="193" fontId="119" fillId="21" borderId="5" xfId="246" applyFill="1" applyBorder="1"/>
    <xf numFmtId="193" fontId="94" fillId="51" borderId="0" xfId="246" applyFont="1" applyFill="1" applyBorder="1"/>
    <xf numFmtId="193" fontId="218" fillId="51" borderId="0" xfId="246" applyFont="1" applyFill="1" applyBorder="1"/>
    <xf numFmtId="169" fontId="218" fillId="51" borderId="0" xfId="247" applyNumberFormat="1" applyFont="1" applyFill="1" applyBorder="1" applyAlignment="1">
      <alignment horizontal="right"/>
    </xf>
    <xf numFmtId="193" fontId="202" fillId="51" borderId="5" xfId="246" applyFont="1" applyFill="1" applyBorder="1"/>
    <xf numFmtId="193" fontId="203" fillId="51" borderId="0" xfId="246" applyFont="1" applyFill="1" applyBorder="1"/>
    <xf numFmtId="193" fontId="203" fillId="51" borderId="0" xfId="246" applyFont="1" applyFill="1" applyBorder="1" applyAlignment="1">
      <alignment horizontal="right"/>
    </xf>
    <xf numFmtId="0" fontId="202" fillId="51" borderId="70" xfId="246" applyNumberFormat="1" applyFont="1" applyFill="1" applyBorder="1" applyAlignment="1">
      <alignment horizontal="left" vertical="center" indent="1"/>
    </xf>
    <xf numFmtId="0" fontId="202" fillId="51" borderId="70" xfId="246" applyNumberFormat="1" applyFont="1" applyFill="1" applyBorder="1" applyAlignment="1">
      <alignment horizontal="center" vertical="center"/>
    </xf>
    <xf numFmtId="193" fontId="202" fillId="51" borderId="7" xfId="246" applyFont="1" applyFill="1" applyBorder="1" applyAlignment="1">
      <alignment vertical="center"/>
    </xf>
    <xf numFmtId="193" fontId="203" fillId="51" borderId="0" xfId="246" applyFont="1" applyFill="1" applyBorder="1" applyAlignment="1">
      <alignment horizontal="center"/>
    </xf>
    <xf numFmtId="168" fontId="219" fillId="51" borderId="0" xfId="247" applyNumberFormat="1" applyFont="1" applyFill="1" applyBorder="1" applyAlignment="1">
      <alignment horizontal="right"/>
    </xf>
    <xf numFmtId="193" fontId="203" fillId="51" borderId="8" xfId="246" applyFont="1" applyFill="1" applyBorder="1"/>
    <xf numFmtId="193" fontId="203" fillId="51" borderId="8" xfId="246" applyFont="1" applyFill="1" applyBorder="1" applyAlignment="1">
      <alignment horizontal="center"/>
    </xf>
    <xf numFmtId="168" fontId="219" fillId="51" borderId="8" xfId="247" applyNumberFormat="1" applyFont="1" applyFill="1" applyBorder="1" applyAlignment="1">
      <alignment horizontal="right"/>
    </xf>
    <xf numFmtId="193" fontId="119" fillId="21" borderId="0" xfId="246" applyFill="1"/>
    <xf numFmtId="193" fontId="203" fillId="21" borderId="0" xfId="246" applyFont="1" applyFill="1"/>
    <xf numFmtId="193" fontId="122" fillId="21" borderId="0" xfId="246" applyFont="1" applyFill="1"/>
    <xf numFmtId="0" fontId="215" fillId="24" borderId="0" xfId="245" applyFont="1" applyFill="1" applyBorder="1" applyAlignment="1">
      <alignment horizontal="left" vertical="center" indent="1"/>
    </xf>
    <xf numFmtId="0" fontId="220" fillId="24" borderId="0" xfId="245" applyFont="1" applyFill="1" applyBorder="1" applyAlignment="1">
      <alignment horizontal="left" vertical="center" indent="1"/>
    </xf>
    <xf numFmtId="0" fontId="220" fillId="24" borderId="0" xfId="245" applyFont="1" applyFill="1" applyBorder="1" applyAlignment="1">
      <alignment horizontal="center" vertical="center"/>
    </xf>
    <xf numFmtId="193" fontId="216" fillId="24" borderId="0" xfId="245" applyNumberFormat="1" applyFont="1" applyFill="1" applyBorder="1" applyAlignment="1">
      <alignment vertical="center"/>
    </xf>
    <xf numFmtId="177" fontId="215" fillId="24" borderId="0" xfId="245" applyNumberFormat="1" applyFont="1" applyFill="1" applyBorder="1" applyAlignment="1">
      <alignment horizontal="center" vertical="center"/>
    </xf>
    <xf numFmtId="0" fontId="215" fillId="24" borderId="8" xfId="245" applyFont="1" applyFill="1" applyBorder="1" applyAlignment="1">
      <alignment horizontal="left" vertical="center" indent="1"/>
    </xf>
    <xf numFmtId="0" fontId="220" fillId="24" borderId="8" xfId="245" applyFont="1" applyFill="1" applyBorder="1" applyAlignment="1">
      <alignment horizontal="left" vertical="center" indent="1"/>
    </xf>
    <xf numFmtId="0" fontId="220" fillId="24" borderId="8" xfId="245" applyFont="1" applyFill="1" applyBorder="1" applyAlignment="1">
      <alignment horizontal="center" vertical="center"/>
    </xf>
    <xf numFmtId="193" fontId="216" fillId="24" borderId="8" xfId="245" applyNumberFormat="1" applyFont="1" applyFill="1" applyBorder="1" applyAlignment="1">
      <alignment vertical="center"/>
    </xf>
    <xf numFmtId="177" fontId="215" fillId="24" borderId="8" xfId="245" applyNumberFormat="1" applyFont="1" applyFill="1" applyBorder="1" applyAlignment="1">
      <alignment horizontal="center" vertical="center"/>
    </xf>
    <xf numFmtId="193" fontId="216" fillId="24" borderId="29" xfId="245" applyNumberFormat="1" applyFont="1" applyFill="1" applyBorder="1"/>
    <xf numFmtId="193" fontId="216" fillId="24" borderId="29" xfId="245" applyNumberFormat="1" applyFont="1" applyFill="1" applyBorder="1" applyAlignment="1">
      <alignment horizontal="center"/>
    </xf>
    <xf numFmtId="177" fontId="220" fillId="24" borderId="29" xfId="245" applyNumberFormat="1" applyFont="1" applyFill="1" applyBorder="1" applyAlignment="1">
      <alignment horizontal="center" vertical="center"/>
    </xf>
    <xf numFmtId="193" fontId="188" fillId="54" borderId="0" xfId="246" applyFont="1" applyFill="1"/>
    <xf numFmtId="193" fontId="119" fillId="54" borderId="0" xfId="246" applyFont="1" applyFill="1"/>
    <xf numFmtId="193" fontId="119" fillId="55" borderId="0" xfId="246" applyFont="1" applyFill="1"/>
    <xf numFmtId="193" fontId="202" fillId="55" borderId="0" xfId="246" applyFont="1" applyFill="1"/>
    <xf numFmtId="0" fontId="202" fillId="55" borderId="70" xfId="246" applyNumberFormat="1" applyFont="1" applyFill="1" applyBorder="1" applyAlignment="1">
      <alignment horizontal="left" vertical="center" indent="1"/>
    </xf>
    <xf numFmtId="0" fontId="202" fillId="55" borderId="70" xfId="246" applyNumberFormat="1" applyFont="1" applyFill="1" applyBorder="1" applyAlignment="1">
      <alignment horizontal="center" vertical="center"/>
    </xf>
    <xf numFmtId="193" fontId="120" fillId="55" borderId="7" xfId="246" applyFont="1" applyFill="1" applyBorder="1" applyAlignment="1">
      <alignment vertical="center"/>
    </xf>
    <xf numFmtId="0" fontId="203" fillId="55" borderId="0" xfId="246" applyNumberFormat="1" applyFont="1" applyFill="1" applyBorder="1" applyAlignment="1">
      <alignment horizontal="left" vertical="center" indent="1"/>
    </xf>
    <xf numFmtId="0" fontId="203" fillId="55" borderId="0" xfId="246" applyNumberFormat="1" applyFont="1" applyFill="1" applyBorder="1" applyAlignment="1">
      <alignment horizontal="center" vertical="center"/>
    </xf>
    <xf numFmtId="0" fontId="202" fillId="55" borderId="0" xfId="246" applyNumberFormat="1" applyFont="1" applyFill="1" applyBorder="1" applyAlignment="1">
      <alignment horizontal="center" vertical="center"/>
    </xf>
    <xf numFmtId="193" fontId="120" fillId="55" borderId="0" xfId="246" applyFont="1" applyFill="1" applyBorder="1" applyAlignment="1">
      <alignment vertical="center"/>
    </xf>
    <xf numFmtId="169" fontId="203" fillId="55" borderId="0" xfId="252" applyFont="1" applyFill="1" applyBorder="1" applyAlignment="1">
      <alignment horizontal="center" vertical="center"/>
    </xf>
    <xf numFmtId="0" fontId="203" fillId="55" borderId="8" xfId="246" applyNumberFormat="1" applyFont="1" applyFill="1" applyBorder="1" applyAlignment="1">
      <alignment horizontal="left" vertical="center" indent="1"/>
    </xf>
    <xf numFmtId="0" fontId="203" fillId="55" borderId="8" xfId="246" applyNumberFormat="1" applyFont="1" applyFill="1" applyBorder="1" applyAlignment="1">
      <alignment horizontal="center" vertical="center"/>
    </xf>
    <xf numFmtId="0" fontId="202" fillId="55" borderId="8" xfId="246" applyNumberFormat="1" applyFont="1" applyFill="1" applyBorder="1" applyAlignment="1">
      <alignment horizontal="center" vertical="center"/>
    </xf>
    <xf numFmtId="193" fontId="120" fillId="55" borderId="8" xfId="246" applyFont="1" applyFill="1" applyBorder="1" applyAlignment="1">
      <alignment vertical="center"/>
    </xf>
    <xf numFmtId="169" fontId="203" fillId="55" borderId="8" xfId="252" applyFont="1" applyFill="1" applyBorder="1" applyAlignment="1">
      <alignment horizontal="center" vertical="center"/>
    </xf>
    <xf numFmtId="0" fontId="202" fillId="55" borderId="8" xfId="246" applyNumberFormat="1" applyFont="1" applyFill="1" applyBorder="1" applyAlignment="1">
      <alignment horizontal="left" vertical="center" indent="1"/>
    </xf>
    <xf numFmtId="169" fontId="202" fillId="55" borderId="8" xfId="252" applyNumberFormat="1" applyFont="1" applyFill="1" applyBorder="1" applyAlignment="1">
      <alignment horizontal="center" vertical="center"/>
    </xf>
    <xf numFmtId="0" fontId="202" fillId="55" borderId="0" xfId="246" applyNumberFormat="1" applyFont="1" applyFill="1" applyBorder="1" applyAlignment="1">
      <alignment horizontal="left" vertical="center" indent="1"/>
    </xf>
    <xf numFmtId="0" fontId="203" fillId="55" borderId="18" xfId="246" applyNumberFormat="1" applyFont="1" applyFill="1" applyBorder="1" applyAlignment="1">
      <alignment horizontal="left" vertical="center" indent="1"/>
    </xf>
    <xf numFmtId="0" fontId="203" fillId="55" borderId="18" xfId="246" applyNumberFormat="1" applyFont="1" applyFill="1" applyBorder="1" applyAlignment="1">
      <alignment horizontal="center" vertical="center"/>
    </xf>
    <xf numFmtId="0" fontId="202" fillId="55" borderId="18" xfId="246" applyNumberFormat="1" applyFont="1" applyFill="1" applyBorder="1" applyAlignment="1">
      <alignment horizontal="center" vertical="center"/>
    </xf>
    <xf numFmtId="193" fontId="120" fillId="55" borderId="18" xfId="246" applyFont="1" applyFill="1" applyBorder="1" applyAlignment="1">
      <alignment vertical="center"/>
    </xf>
    <xf numFmtId="179" fontId="202" fillId="55" borderId="18" xfId="252" applyNumberFormat="1" applyFont="1" applyFill="1" applyBorder="1" applyAlignment="1">
      <alignment horizontal="center" vertical="center"/>
    </xf>
    <xf numFmtId="193" fontId="128" fillId="0" borderId="0" xfId="242" applyFont="1"/>
    <xf numFmtId="193" fontId="129" fillId="0" borderId="0" xfId="242" applyFont="1" applyAlignment="1">
      <alignment vertical="center"/>
    </xf>
    <xf numFmtId="193" fontId="94" fillId="0" borderId="0" xfId="242" applyAlignment="1">
      <alignment vertical="center"/>
    </xf>
    <xf numFmtId="193" fontId="130" fillId="0" borderId="0" xfId="242" applyFont="1"/>
    <xf numFmtId="193" fontId="122" fillId="50" borderId="2" xfId="242" applyFont="1" applyFill="1" applyBorder="1" applyAlignment="1">
      <alignment horizontal="left" vertical="center" indent="1"/>
    </xf>
    <xf numFmtId="193" fontId="94" fillId="50" borderId="3" xfId="242" applyFill="1" applyBorder="1"/>
    <xf numFmtId="193" fontId="94" fillId="50" borderId="3" xfId="242" applyFill="1" applyBorder="1" applyAlignment="1">
      <alignment horizontal="right"/>
    </xf>
    <xf numFmtId="193" fontId="94" fillId="51" borderId="5" xfId="242" applyFill="1" applyBorder="1"/>
    <xf numFmtId="193" fontId="0" fillId="51" borderId="0" xfId="242" applyFont="1" applyFill="1" applyBorder="1"/>
    <xf numFmtId="193" fontId="94" fillId="51" borderId="0" xfId="242" applyFill="1" applyBorder="1"/>
    <xf numFmtId="193" fontId="94" fillId="51" borderId="0" xfId="242" applyFill="1" applyBorder="1" applyAlignment="1">
      <alignment horizontal="right"/>
    </xf>
    <xf numFmtId="193" fontId="116" fillId="51" borderId="5" xfId="242" applyFont="1" applyFill="1" applyBorder="1"/>
    <xf numFmtId="193" fontId="101" fillId="51" borderId="7" xfId="242" applyFont="1" applyFill="1" applyBorder="1" applyAlignment="1">
      <alignment horizontal="center" vertical="center"/>
    </xf>
    <xf numFmtId="168" fontId="120" fillId="51" borderId="78" xfId="243" applyNumberFormat="1" applyFont="1" applyFill="1" applyBorder="1" applyAlignment="1">
      <alignment horizontal="left" indent="5"/>
    </xf>
    <xf numFmtId="193" fontId="116" fillId="51" borderId="9" xfId="242" applyFont="1" applyFill="1" applyBorder="1"/>
    <xf numFmtId="168" fontId="120" fillId="51" borderId="8" xfId="243" applyNumberFormat="1" applyFont="1" applyFill="1" applyBorder="1" applyAlignment="1">
      <alignment horizontal="left" indent="5"/>
    </xf>
    <xf numFmtId="193" fontId="94" fillId="51" borderId="10" xfId="242" applyFill="1" applyBorder="1" applyAlignment="1">
      <alignment vertical="center"/>
    </xf>
    <xf numFmtId="168" fontId="94" fillId="0" borderId="0" xfId="243" applyNumberFormat="1"/>
    <xf numFmtId="193" fontId="122" fillId="52" borderId="2" xfId="242" applyFont="1" applyFill="1" applyBorder="1" applyAlignment="1">
      <alignment horizontal="left" vertical="center" indent="1"/>
    </xf>
    <xf numFmtId="193" fontId="94" fillId="52" borderId="3" xfId="242" applyFill="1" applyBorder="1" applyAlignment="1">
      <alignment horizontal="right"/>
    </xf>
    <xf numFmtId="193" fontId="0" fillId="53" borderId="5" xfId="242" applyFont="1" applyFill="1" applyBorder="1" applyAlignment="1">
      <alignment horizontal="left" indent="1"/>
    </xf>
    <xf numFmtId="0" fontId="176" fillId="53" borderId="0" xfId="242" applyNumberFormat="1" applyFont="1" applyFill="1" applyBorder="1" applyAlignment="1">
      <alignment horizontal="center" vertical="center"/>
    </xf>
    <xf numFmtId="0" fontId="176" fillId="53" borderId="0" xfId="242" applyNumberFormat="1" applyFont="1" applyFill="1" applyBorder="1" applyAlignment="1">
      <alignment horizontal="left" vertical="center"/>
    </xf>
    <xf numFmtId="0" fontId="176" fillId="53" borderId="70" xfId="242" applyNumberFormat="1" applyFont="1" applyFill="1" applyBorder="1" applyAlignment="1">
      <alignment horizontal="left" vertical="center"/>
    </xf>
    <xf numFmtId="0" fontId="176" fillId="53" borderId="70" xfId="242" applyNumberFormat="1" applyFont="1" applyFill="1" applyBorder="1" applyAlignment="1">
      <alignment horizontal="center" vertical="center"/>
    </xf>
    <xf numFmtId="0" fontId="175" fillId="53" borderId="0" xfId="242" applyNumberFormat="1" applyFont="1" applyFill="1" applyBorder="1" applyAlignment="1">
      <alignment horizontal="center" vertical="center"/>
    </xf>
    <xf numFmtId="9" fontId="175" fillId="53" borderId="0" xfId="249" applyFont="1" applyFill="1" applyBorder="1" applyAlignment="1">
      <alignment horizontal="center" vertical="center"/>
    </xf>
    <xf numFmtId="170" fontId="175" fillId="53" borderId="0" xfId="182" applyNumberFormat="1" applyFont="1" applyFill="1" applyBorder="1" applyAlignment="1">
      <alignment horizontal="center" vertical="center"/>
    </xf>
    <xf numFmtId="0" fontId="175" fillId="53" borderId="8" xfId="242" applyNumberFormat="1" applyFont="1" applyFill="1" applyBorder="1" applyAlignment="1">
      <alignment horizontal="center" vertical="center"/>
    </xf>
    <xf numFmtId="0" fontId="176" fillId="53" borderId="8" xfId="242" applyNumberFormat="1" applyFont="1" applyFill="1" applyBorder="1" applyAlignment="1">
      <alignment horizontal="center" vertical="center"/>
    </xf>
    <xf numFmtId="9" fontId="176" fillId="53" borderId="8" xfId="249" applyFont="1" applyFill="1" applyBorder="1" applyAlignment="1">
      <alignment horizontal="center" vertical="center"/>
    </xf>
    <xf numFmtId="9" fontId="176" fillId="53" borderId="0" xfId="249" applyFont="1" applyFill="1" applyBorder="1" applyAlignment="1">
      <alignment horizontal="center" vertical="center"/>
    </xf>
    <xf numFmtId="0" fontId="176" fillId="53" borderId="29" xfId="242" applyNumberFormat="1" applyFont="1" applyFill="1" applyBorder="1" applyAlignment="1">
      <alignment horizontal="center" vertical="center"/>
    </xf>
    <xf numFmtId="9" fontId="176" fillId="53" borderId="29" xfId="242" applyNumberFormat="1" applyFont="1" applyFill="1" applyBorder="1" applyAlignment="1">
      <alignment horizontal="center" vertical="center"/>
    </xf>
    <xf numFmtId="193" fontId="0" fillId="53" borderId="73" xfId="242" applyFont="1" applyFill="1" applyBorder="1" applyAlignment="1">
      <alignment horizontal="left" indent="1"/>
    </xf>
    <xf numFmtId="9" fontId="218" fillId="53" borderId="73" xfId="249" applyFont="1" applyFill="1" applyBorder="1" applyAlignment="1">
      <alignment horizontal="center"/>
    </xf>
    <xf numFmtId="193" fontId="0" fillId="53" borderId="71" xfId="242" applyFont="1" applyFill="1" applyBorder="1" applyAlignment="1">
      <alignment horizontal="center"/>
    </xf>
    <xf numFmtId="193" fontId="0" fillId="53" borderId="71" xfId="242" applyFont="1" applyFill="1" applyBorder="1" applyAlignment="1">
      <alignment horizontal="left" indent="1"/>
    </xf>
    <xf numFmtId="193" fontId="0" fillId="53" borderId="0" xfId="242" applyFont="1" applyFill="1" applyBorder="1" applyAlignment="1">
      <alignment horizontal="left" indent="1"/>
    </xf>
    <xf numFmtId="193" fontId="101" fillId="52" borderId="3" xfId="242" applyFont="1" applyFill="1" applyBorder="1" applyAlignment="1">
      <alignment horizontal="left"/>
    </xf>
    <xf numFmtId="0" fontId="175" fillId="53" borderId="0" xfId="242" applyNumberFormat="1" applyFont="1" applyFill="1" applyBorder="1" applyAlignment="1">
      <alignment horizontal="left" vertical="center"/>
    </xf>
    <xf numFmtId="177" fontId="175" fillId="53" borderId="0" xfId="253" applyNumberFormat="1" applyFont="1" applyFill="1" applyBorder="1" applyAlignment="1">
      <alignment horizontal="center" vertical="center"/>
    </xf>
    <xf numFmtId="0" fontId="175" fillId="53" borderId="0" xfId="242" applyNumberFormat="1" applyFont="1" applyFill="1" applyBorder="1" applyAlignment="1">
      <alignment horizontal="left" vertical="center" indent="2"/>
    </xf>
    <xf numFmtId="0" fontId="221" fillId="53" borderId="29" xfId="242" applyNumberFormat="1" applyFont="1" applyFill="1" applyBorder="1" applyAlignment="1">
      <alignment horizontal="left" vertical="center" indent="3"/>
    </xf>
    <xf numFmtId="0" fontId="175" fillId="53" borderId="29" xfId="242" applyNumberFormat="1" applyFont="1" applyFill="1" applyBorder="1" applyAlignment="1">
      <alignment horizontal="center" vertical="center"/>
    </xf>
    <xf numFmtId="196" fontId="175" fillId="53" borderId="29" xfId="248" applyFont="1" applyFill="1" applyBorder="1" applyAlignment="1">
      <alignment horizontal="right" vertical="center"/>
    </xf>
    <xf numFmtId="193" fontId="0" fillId="53" borderId="5" xfId="242" applyFont="1" applyFill="1" applyBorder="1" applyAlignment="1">
      <alignment horizontal="center"/>
    </xf>
    <xf numFmtId="1" fontId="175" fillId="53" borderId="0" xfId="242" applyNumberFormat="1" applyFont="1" applyFill="1" applyBorder="1" applyAlignment="1">
      <alignment horizontal="right" vertical="top"/>
    </xf>
    <xf numFmtId="0" fontId="176" fillId="53" borderId="8" xfId="242" applyNumberFormat="1" applyFont="1" applyFill="1" applyBorder="1" applyAlignment="1">
      <alignment horizontal="left" vertical="center" indent="2"/>
    </xf>
    <xf numFmtId="0" fontId="176" fillId="53" borderId="8" xfId="242" applyNumberFormat="1" applyFont="1" applyFill="1" applyBorder="1" applyAlignment="1">
      <alignment horizontal="right" vertical="center"/>
    </xf>
    <xf numFmtId="1" fontId="176" fillId="53" borderId="8" xfId="242" applyNumberFormat="1" applyFont="1" applyFill="1" applyBorder="1" applyAlignment="1">
      <alignment horizontal="right" vertical="center"/>
    </xf>
    <xf numFmtId="0" fontId="176" fillId="53" borderId="8" xfId="242" applyNumberFormat="1" applyFont="1" applyFill="1" applyBorder="1" applyAlignment="1">
      <alignment horizontal="left" vertical="center"/>
    </xf>
    <xf numFmtId="177" fontId="175" fillId="53" borderId="8" xfId="253" applyNumberFormat="1" applyFont="1" applyFill="1" applyBorder="1" applyAlignment="1">
      <alignment horizontal="center" vertical="center"/>
    </xf>
    <xf numFmtId="0" fontId="176" fillId="53" borderId="0" xfId="242" applyNumberFormat="1" applyFont="1" applyFill="1" applyBorder="1" applyAlignment="1">
      <alignment horizontal="right" vertical="center"/>
    </xf>
    <xf numFmtId="0" fontId="221" fillId="53" borderId="0" xfId="242" applyNumberFormat="1" applyFont="1" applyFill="1" applyBorder="1" applyAlignment="1">
      <alignment horizontal="left" vertical="center" indent="3"/>
    </xf>
    <xf numFmtId="193" fontId="121" fillId="53" borderId="5" xfId="242" applyFont="1" applyFill="1" applyBorder="1" applyAlignment="1">
      <alignment horizontal="left" indent="1"/>
    </xf>
    <xf numFmtId="177" fontId="175" fillId="53" borderId="8" xfId="253" applyNumberFormat="1" applyFont="1" applyFill="1" applyBorder="1" applyAlignment="1">
      <alignment vertical="center"/>
    </xf>
    <xf numFmtId="177" fontId="206" fillId="53" borderId="5" xfId="253" applyNumberFormat="1" applyFont="1" applyFill="1" applyBorder="1" applyAlignment="1">
      <alignment horizontal="left" indent="1"/>
    </xf>
    <xf numFmtId="177" fontId="206" fillId="53" borderId="0" xfId="253" applyNumberFormat="1" applyFont="1" applyFill="1" applyBorder="1" applyAlignment="1">
      <alignment horizontal="left" indent="1"/>
    </xf>
    <xf numFmtId="175" fontId="176" fillId="53" borderId="0" xfId="242" applyNumberFormat="1" applyFont="1" applyFill="1" applyBorder="1" applyAlignment="1">
      <alignment horizontal="center" vertical="center"/>
    </xf>
    <xf numFmtId="193" fontId="0" fillId="53" borderId="8" xfId="242" applyFont="1" applyFill="1" applyBorder="1" applyAlignment="1">
      <alignment horizontal="left" indent="1"/>
    </xf>
    <xf numFmtId="175" fontId="176" fillId="53" borderId="8" xfId="242" applyNumberFormat="1" applyFont="1" applyFill="1" applyBorder="1" applyAlignment="1">
      <alignment horizontal="center" vertical="center"/>
    </xf>
    <xf numFmtId="0" fontId="176" fillId="53" borderId="0" xfId="242" applyNumberFormat="1" applyFont="1" applyFill="1" applyBorder="1" applyAlignment="1">
      <alignment horizontal="left" vertical="center" wrapText="1"/>
    </xf>
    <xf numFmtId="183" fontId="176" fillId="53" borderId="0" xfId="242" applyNumberFormat="1" applyFont="1" applyFill="1" applyBorder="1" applyAlignment="1">
      <alignment horizontal="center" vertical="center"/>
    </xf>
    <xf numFmtId="0" fontId="176" fillId="53" borderId="8" xfId="242" applyNumberFormat="1" applyFont="1" applyFill="1" applyBorder="1" applyAlignment="1">
      <alignment horizontal="left" vertical="center" wrapText="1"/>
    </xf>
    <xf numFmtId="183" fontId="176" fillId="53" borderId="8" xfId="242" applyNumberFormat="1" applyFont="1" applyFill="1" applyBorder="1" applyAlignment="1">
      <alignment horizontal="center" vertical="center"/>
    </xf>
    <xf numFmtId="183" fontId="176" fillId="53" borderId="75" xfId="242" applyNumberFormat="1" applyFont="1" applyFill="1" applyBorder="1" applyAlignment="1">
      <alignment horizontal="center" vertical="center"/>
    </xf>
    <xf numFmtId="0" fontId="176" fillId="53" borderId="13" xfId="242" applyNumberFormat="1" applyFont="1" applyFill="1" applyBorder="1" applyAlignment="1">
      <alignment horizontal="left" vertical="center"/>
    </xf>
    <xf numFmtId="0" fontId="176" fillId="53" borderId="8" xfId="242" applyNumberFormat="1" applyFont="1" applyFill="1" applyBorder="1" applyAlignment="1">
      <alignment horizontal="center" vertical="center" wrapText="1"/>
    </xf>
    <xf numFmtId="0" fontId="176" fillId="53" borderId="36" xfId="242" applyNumberFormat="1" applyFont="1" applyFill="1" applyBorder="1" applyAlignment="1">
      <alignment horizontal="left" vertical="center"/>
    </xf>
    <xf numFmtId="0" fontId="176" fillId="53" borderId="18" xfId="242" applyNumberFormat="1" applyFont="1" applyFill="1" applyBorder="1" applyAlignment="1">
      <alignment horizontal="left" vertical="center"/>
    </xf>
    <xf numFmtId="0" fontId="176" fillId="53" borderId="18" xfId="242" applyNumberFormat="1" applyFont="1" applyFill="1" applyBorder="1" applyAlignment="1">
      <alignment horizontal="center" vertical="center"/>
    </xf>
    <xf numFmtId="189" fontId="175" fillId="53" borderId="18" xfId="253" applyNumberFormat="1" applyFont="1" applyFill="1" applyBorder="1" applyAlignment="1">
      <alignment horizontal="center" vertical="center"/>
    </xf>
    <xf numFmtId="197" fontId="175" fillId="53" borderId="18" xfId="253" applyNumberFormat="1" applyFont="1" applyFill="1" applyBorder="1" applyAlignment="1">
      <alignment horizontal="center" vertical="center"/>
    </xf>
    <xf numFmtId="0" fontId="175" fillId="53" borderId="8" xfId="242" applyNumberFormat="1" applyFont="1" applyFill="1" applyBorder="1" applyAlignment="1">
      <alignment horizontal="left" vertical="center" indent="2"/>
    </xf>
    <xf numFmtId="193" fontId="0" fillId="53" borderId="0" xfId="242" applyFont="1" applyFill="1" applyBorder="1" applyAlignment="1">
      <alignment horizontal="center"/>
    </xf>
    <xf numFmtId="193" fontId="0" fillId="53" borderId="0" xfId="242" applyNumberFormat="1" applyFont="1" applyFill="1" applyBorder="1" applyAlignment="1">
      <alignment horizontal="left" indent="1"/>
    </xf>
    <xf numFmtId="166" fontId="218" fillId="53" borderId="0" xfId="253" applyFont="1" applyFill="1" applyBorder="1" applyAlignment="1">
      <alignment horizontal="center"/>
    </xf>
    <xf numFmtId="196" fontId="175" fillId="53" borderId="8" xfId="248" applyFont="1" applyFill="1" applyBorder="1" applyAlignment="1">
      <alignment horizontal="center" vertical="center"/>
    </xf>
    <xf numFmtId="198" fontId="175" fillId="53" borderId="8" xfId="253" applyNumberFormat="1" applyFont="1" applyFill="1" applyBorder="1" applyAlignment="1">
      <alignment horizontal="center" vertical="center"/>
    </xf>
    <xf numFmtId="166" fontId="218" fillId="53" borderId="0" xfId="253" applyFont="1" applyFill="1" applyBorder="1" applyAlignment="1">
      <alignment horizontal="right" vertical="top"/>
    </xf>
    <xf numFmtId="9" fontId="218" fillId="53" borderId="0" xfId="249" applyFont="1" applyFill="1" applyBorder="1" applyAlignment="1">
      <alignment horizontal="right" vertical="top"/>
    </xf>
    <xf numFmtId="193" fontId="0" fillId="53" borderId="8" xfId="242" applyNumberFormat="1" applyFont="1" applyFill="1" applyBorder="1" applyAlignment="1">
      <alignment horizontal="left" indent="1"/>
    </xf>
    <xf numFmtId="166" fontId="218" fillId="53" borderId="8" xfId="253" applyFont="1" applyFill="1" applyBorder="1" applyAlignment="1">
      <alignment horizontal="right" vertical="top"/>
    </xf>
    <xf numFmtId="0" fontId="225" fillId="18" borderId="0" xfId="245" applyFont="1" applyFill="1" applyAlignment="1">
      <alignment horizontal="center" vertical="center"/>
    </xf>
    <xf numFmtId="9" fontId="225" fillId="18" borderId="0" xfId="249" applyFont="1" applyFill="1" applyAlignment="1">
      <alignment horizontal="center" vertical="center"/>
    </xf>
    <xf numFmtId="0" fontId="225" fillId="18" borderId="8" xfId="245" applyFont="1" applyFill="1" applyBorder="1" applyAlignment="1">
      <alignment horizontal="center" vertical="center"/>
    </xf>
    <xf numFmtId="9" fontId="225" fillId="18" borderId="8" xfId="249" applyFont="1" applyFill="1" applyBorder="1" applyAlignment="1">
      <alignment horizontal="center" vertical="center"/>
    </xf>
    <xf numFmtId="198" fontId="175" fillId="53" borderId="0" xfId="253" applyNumberFormat="1" applyFont="1" applyFill="1" applyBorder="1" applyAlignment="1">
      <alignment horizontal="center" vertical="center"/>
    </xf>
    <xf numFmtId="179" fontId="218" fillId="53" borderId="0" xfId="243" applyNumberFormat="1" applyFont="1" applyFill="1" applyBorder="1" applyAlignment="1">
      <alignment horizontal="center"/>
    </xf>
    <xf numFmtId="168" fontId="218" fillId="53" borderId="0" xfId="243" applyNumberFormat="1" applyFont="1" applyFill="1" applyBorder="1" applyAlignment="1">
      <alignment horizontal="center"/>
    </xf>
    <xf numFmtId="0" fontId="175" fillId="53" borderId="8" xfId="242" applyNumberFormat="1" applyFont="1" applyFill="1" applyBorder="1" applyAlignment="1">
      <alignment horizontal="left" vertical="center"/>
    </xf>
    <xf numFmtId="177" fontId="175" fillId="53" borderId="0" xfId="242" applyNumberFormat="1" applyFont="1" applyFill="1" applyBorder="1" applyAlignment="1">
      <alignment horizontal="center" vertical="center"/>
    </xf>
    <xf numFmtId="0" fontId="175" fillId="53" borderId="18" xfId="242" applyNumberFormat="1" applyFont="1" applyFill="1" applyBorder="1" applyAlignment="1">
      <alignment horizontal="left" vertical="center" indent="2"/>
    </xf>
    <xf numFmtId="0" fontId="175" fillId="53" borderId="18" xfId="242" applyNumberFormat="1" applyFont="1" applyFill="1" applyBorder="1" applyAlignment="1">
      <alignment horizontal="center" vertical="center"/>
    </xf>
    <xf numFmtId="177" fontId="175" fillId="53" borderId="18" xfId="242" applyNumberFormat="1" applyFont="1" applyFill="1" applyBorder="1" applyAlignment="1">
      <alignment horizontal="center" vertical="center"/>
    </xf>
    <xf numFmtId="177" fontId="175" fillId="53" borderId="18" xfId="253" applyNumberFormat="1" applyFont="1" applyFill="1" applyBorder="1" applyAlignment="1">
      <alignment horizontal="center" vertical="center"/>
    </xf>
    <xf numFmtId="1" fontId="94" fillId="0" borderId="0" xfId="242" applyNumberFormat="1"/>
    <xf numFmtId="168" fontId="120" fillId="0" borderId="0" xfId="243" applyNumberFormat="1" applyFont="1" applyFill="1" applyAlignment="1">
      <alignment horizontal="left" indent="2"/>
    </xf>
    <xf numFmtId="0" fontId="176" fillId="0" borderId="0" xfId="242" applyNumberFormat="1" applyFont="1" applyFill="1" applyBorder="1" applyAlignment="1">
      <alignment horizontal="left" vertical="center"/>
    </xf>
    <xf numFmtId="193" fontId="94" fillId="0" borderId="0" xfId="242" applyFill="1"/>
    <xf numFmtId="168" fontId="94" fillId="0" borderId="0" xfId="243" applyNumberFormat="1" applyFill="1"/>
    <xf numFmtId="0" fontId="176" fillId="0" borderId="70" xfId="242" applyNumberFormat="1" applyFont="1" applyFill="1" applyBorder="1" applyAlignment="1">
      <alignment horizontal="center" vertical="center"/>
    </xf>
    <xf numFmtId="0" fontId="175" fillId="0" borderId="0" xfId="242" applyNumberFormat="1" applyFont="1" applyFill="1" applyBorder="1" applyAlignment="1">
      <alignment horizontal="center" vertical="center"/>
    </xf>
    <xf numFmtId="193" fontId="0" fillId="0" borderId="0" xfId="242" applyFont="1" applyFill="1" applyAlignment="1">
      <alignment horizontal="center"/>
    </xf>
    <xf numFmtId="0" fontId="175" fillId="0" borderId="0" xfId="242" applyNumberFormat="1" applyFont="1" applyFill="1" applyBorder="1" applyAlignment="1">
      <alignment horizontal="left" vertical="center" indent="2"/>
    </xf>
    <xf numFmtId="177" fontId="175" fillId="0" borderId="0" xfId="253" applyNumberFormat="1" applyFont="1" applyFill="1" applyBorder="1" applyAlignment="1">
      <alignment horizontal="center" vertical="center"/>
    </xf>
    <xf numFmtId="177" fontId="101" fillId="0" borderId="8" xfId="253" applyNumberFormat="1" applyFont="1" applyFill="1" applyBorder="1"/>
    <xf numFmtId="0" fontId="175" fillId="0" borderId="8" xfId="242" applyNumberFormat="1" applyFont="1" applyFill="1" applyBorder="1" applyAlignment="1">
      <alignment horizontal="center" vertical="center"/>
    </xf>
    <xf numFmtId="193" fontId="101" fillId="0" borderId="8" xfId="242" applyFont="1" applyFill="1" applyBorder="1"/>
    <xf numFmtId="177" fontId="175" fillId="0" borderId="8" xfId="253" applyNumberFormat="1" applyFont="1" applyFill="1" applyBorder="1" applyAlignment="1">
      <alignment horizontal="center" vertical="center"/>
    </xf>
    <xf numFmtId="177" fontId="120" fillId="0" borderId="0" xfId="253" applyNumberFormat="1" applyFont="1" applyFill="1"/>
    <xf numFmtId="177" fontId="120" fillId="0" borderId="0" xfId="253" applyNumberFormat="1" applyFont="1" applyFill="1" applyAlignment="1">
      <alignment horizontal="center"/>
    </xf>
    <xf numFmtId="196" fontId="0" fillId="0" borderId="0" xfId="248" applyFont="1" applyFill="1"/>
    <xf numFmtId="0" fontId="176" fillId="0" borderId="70" xfId="242" applyNumberFormat="1" applyFont="1" applyFill="1" applyBorder="1" applyAlignment="1">
      <alignment horizontal="left" vertical="center"/>
    </xf>
    <xf numFmtId="168" fontId="101" fillId="0" borderId="0" xfId="243" applyNumberFormat="1" applyFont="1" applyFill="1" applyAlignment="1"/>
    <xf numFmtId="0" fontId="176" fillId="0" borderId="8" xfId="242" applyNumberFormat="1" applyFont="1" applyFill="1" applyBorder="1" applyAlignment="1">
      <alignment horizontal="left" vertical="center"/>
    </xf>
    <xf numFmtId="193" fontId="94" fillId="0" borderId="8" xfId="242" applyFill="1" applyBorder="1"/>
    <xf numFmtId="177" fontId="176" fillId="0" borderId="8" xfId="253" applyNumberFormat="1" applyFont="1" applyFill="1" applyBorder="1" applyAlignment="1">
      <alignment horizontal="center" vertical="center"/>
    </xf>
    <xf numFmtId="202" fontId="0" fillId="0" borderId="0" xfId="248" applyNumberFormat="1" applyFont="1" applyFill="1"/>
    <xf numFmtId="177" fontId="101" fillId="0" borderId="0" xfId="253" applyNumberFormat="1" applyFont="1" applyFill="1"/>
    <xf numFmtId="168" fontId="101" fillId="0" borderId="0" xfId="243" applyNumberFormat="1" applyFont="1" applyFill="1" applyAlignment="1">
      <alignment horizontal="left" indent="2"/>
    </xf>
    <xf numFmtId="177" fontId="101" fillId="0" borderId="8" xfId="253" applyNumberFormat="1" applyFont="1" applyFill="1" applyBorder="1" applyAlignment="1">
      <alignment horizontal="center"/>
    </xf>
    <xf numFmtId="0" fontId="176" fillId="0" borderId="36" xfId="242" applyNumberFormat="1" applyFont="1" applyFill="1" applyBorder="1" applyAlignment="1">
      <alignment horizontal="center" vertical="center"/>
    </xf>
    <xf numFmtId="177" fontId="120" fillId="0" borderId="8" xfId="253" applyNumberFormat="1" applyFont="1" applyFill="1" applyBorder="1"/>
    <xf numFmtId="177" fontId="175" fillId="0" borderId="13" xfId="253" applyNumberFormat="1" applyFont="1" applyFill="1" applyBorder="1" applyAlignment="1">
      <alignment horizontal="center" vertical="center"/>
    </xf>
    <xf numFmtId="177" fontId="101" fillId="0" borderId="0" xfId="253" applyNumberFormat="1" applyFont="1" applyFill="1" applyAlignment="1">
      <alignment horizontal="center"/>
    </xf>
    <xf numFmtId="203" fontId="0" fillId="0" borderId="0" xfId="248" applyNumberFormat="1" applyFont="1" applyFill="1"/>
    <xf numFmtId="193" fontId="94" fillId="0" borderId="0" xfId="242" applyFill="1" applyBorder="1"/>
    <xf numFmtId="203" fontId="121" fillId="0" borderId="0" xfId="248" applyNumberFormat="1" applyFont="1" applyFill="1"/>
    <xf numFmtId="195" fontId="120" fillId="0" borderId="0" xfId="242" applyNumberFormat="1" applyFont="1" applyAlignment="1">
      <alignment horizontal="left" indent="3"/>
    </xf>
    <xf numFmtId="193" fontId="0" fillId="0" borderId="0" xfId="242" applyFont="1" applyAlignment="1">
      <alignment horizontal="center"/>
    </xf>
    <xf numFmtId="204" fontId="101" fillId="0" borderId="0" xfId="242" applyNumberFormat="1" applyFont="1" applyAlignment="1">
      <alignment horizontal="left"/>
    </xf>
    <xf numFmtId="169" fontId="101" fillId="0" borderId="0" xfId="243" applyNumberFormat="1" applyFont="1" applyAlignment="1">
      <alignment horizontal="left" indent="2"/>
    </xf>
    <xf numFmtId="169" fontId="101" fillId="0" borderId="0" xfId="243" applyNumberFormat="1" applyFont="1" applyAlignment="1"/>
    <xf numFmtId="177" fontId="176" fillId="0" borderId="0" xfId="253" applyNumberFormat="1" applyFont="1" applyFill="1" applyBorder="1" applyAlignment="1">
      <alignment horizontal="center" vertical="center"/>
    </xf>
    <xf numFmtId="166" fontId="176" fillId="0" borderId="0" xfId="253" applyNumberFormat="1" applyFont="1" applyFill="1" applyBorder="1" applyAlignment="1">
      <alignment horizontal="center" vertical="center"/>
    </xf>
    <xf numFmtId="169" fontId="120" fillId="0" borderId="0" xfId="243" applyNumberFormat="1" applyFont="1" applyAlignment="1">
      <alignment horizontal="left" indent="2"/>
    </xf>
    <xf numFmtId="193" fontId="94" fillId="0" borderId="0" xfId="242" applyAlignment="1">
      <alignment horizontal="center"/>
    </xf>
    <xf numFmtId="197" fontId="175" fillId="0" borderId="0" xfId="253" applyNumberFormat="1" applyFont="1" applyFill="1" applyBorder="1" applyAlignment="1">
      <alignment horizontal="center" vertical="center"/>
    </xf>
    <xf numFmtId="193" fontId="101" fillId="0" borderId="0" xfId="242" applyFont="1"/>
    <xf numFmtId="195" fontId="120" fillId="0" borderId="0" xfId="242" applyNumberFormat="1" applyFont="1" applyFill="1" applyAlignment="1">
      <alignment horizontal="left" indent="3"/>
    </xf>
    <xf numFmtId="193" fontId="94" fillId="0" borderId="0" xfId="242" applyFill="1" applyAlignment="1">
      <alignment horizontal="center"/>
    </xf>
    <xf numFmtId="197" fontId="94" fillId="0" borderId="0" xfId="253" applyNumberFormat="1" applyFont="1" applyFill="1"/>
    <xf numFmtId="193" fontId="101" fillId="0" borderId="8" xfId="242" applyFont="1" applyBorder="1" applyAlignment="1">
      <alignment horizontal="left"/>
    </xf>
    <xf numFmtId="193" fontId="94" fillId="0" borderId="8" xfId="242" applyFill="1" applyBorder="1" applyAlignment="1">
      <alignment horizontal="center"/>
    </xf>
    <xf numFmtId="193" fontId="94" fillId="0" borderId="8" xfId="242" applyBorder="1"/>
    <xf numFmtId="197" fontId="175" fillId="0" borderId="8" xfId="253" applyNumberFormat="1" applyFont="1" applyFill="1" applyBorder="1" applyAlignment="1">
      <alignment horizontal="center" vertical="center"/>
    </xf>
    <xf numFmtId="193" fontId="101" fillId="0" borderId="0" xfId="242" applyFont="1" applyAlignment="1">
      <alignment horizontal="left"/>
    </xf>
    <xf numFmtId="168" fontId="101" fillId="0" borderId="0" xfId="243" applyNumberFormat="1" applyFont="1" applyAlignment="1">
      <alignment horizontal="left"/>
    </xf>
    <xf numFmtId="193" fontId="94" fillId="0" borderId="0" xfId="242" applyFont="1" applyAlignment="1">
      <alignment horizontal="center"/>
    </xf>
    <xf numFmtId="9" fontId="175" fillId="0" borderId="0" xfId="249" applyFont="1" applyFill="1" applyBorder="1" applyAlignment="1">
      <alignment horizontal="right" vertical="center"/>
    </xf>
    <xf numFmtId="193" fontId="94" fillId="0" borderId="8" xfId="242" applyFont="1" applyBorder="1" applyAlignment="1">
      <alignment horizontal="center"/>
    </xf>
    <xf numFmtId="175" fontId="67" fillId="0" borderId="0" xfId="245" applyNumberFormat="1"/>
    <xf numFmtId="204" fontId="120" fillId="0" borderId="0" xfId="242" applyNumberFormat="1" applyFont="1" applyAlignment="1">
      <alignment horizontal="left"/>
    </xf>
    <xf numFmtId="205" fontId="175" fillId="0" borderId="0" xfId="253" applyNumberFormat="1" applyFont="1" applyFill="1" applyBorder="1" applyAlignment="1">
      <alignment horizontal="center" vertical="center"/>
    </xf>
    <xf numFmtId="0" fontId="176" fillId="51" borderId="70" xfId="242" applyNumberFormat="1" applyFont="1" applyFill="1" applyBorder="1" applyAlignment="1">
      <alignment horizontal="center" vertical="center"/>
    </xf>
    <xf numFmtId="193" fontId="218" fillId="51" borderId="0" xfId="242" applyFont="1" applyFill="1" applyBorder="1"/>
    <xf numFmtId="193" fontId="218" fillId="51" borderId="0" xfId="242" applyFont="1" applyFill="1" applyBorder="1" applyAlignment="1">
      <alignment horizontal="center"/>
    </xf>
    <xf numFmtId="169" fontId="218" fillId="51" borderId="0" xfId="243" applyNumberFormat="1" applyFont="1" applyFill="1" applyBorder="1" applyAlignment="1">
      <alignment horizontal="right"/>
    </xf>
    <xf numFmtId="193" fontId="94" fillId="51" borderId="8" xfId="242" applyFill="1" applyBorder="1"/>
    <xf numFmtId="193" fontId="218" fillId="51" borderId="8" xfId="242" applyFont="1" applyFill="1" applyBorder="1"/>
    <xf numFmtId="193" fontId="218" fillId="51" borderId="8" xfId="242" applyFont="1" applyFill="1" applyBorder="1" applyAlignment="1">
      <alignment horizontal="center"/>
    </xf>
    <xf numFmtId="169" fontId="218" fillId="51" borderId="8" xfId="243" applyNumberFormat="1" applyFont="1" applyFill="1" applyBorder="1" applyAlignment="1">
      <alignment horizontal="right"/>
    </xf>
    <xf numFmtId="168" fontId="218" fillId="51" borderId="0" xfId="243" applyNumberFormat="1" applyFont="1" applyFill="1" applyBorder="1" applyAlignment="1">
      <alignment horizontal="right"/>
    </xf>
    <xf numFmtId="0" fontId="176" fillId="51" borderId="70" xfId="242" applyNumberFormat="1" applyFont="1" applyFill="1" applyBorder="1" applyAlignment="1">
      <alignment horizontal="left" vertical="center" indent="1"/>
    </xf>
    <xf numFmtId="193" fontId="101" fillId="51" borderId="7" xfId="242" applyFont="1" applyFill="1" applyBorder="1" applyAlignment="1">
      <alignment vertical="center"/>
    </xf>
    <xf numFmtId="167" fontId="218" fillId="51" borderId="0" xfId="243" applyNumberFormat="1" applyFont="1" applyFill="1" applyBorder="1" applyAlignment="1">
      <alignment horizontal="right"/>
    </xf>
    <xf numFmtId="179" fontId="218" fillId="51" borderId="0" xfId="243" applyNumberFormat="1" applyFont="1" applyFill="1" applyBorder="1" applyAlignment="1">
      <alignment horizontal="right"/>
    </xf>
    <xf numFmtId="190" fontId="218" fillId="51" borderId="0" xfId="243" applyNumberFormat="1" applyFont="1" applyFill="1" applyBorder="1" applyAlignment="1">
      <alignment horizontal="right"/>
    </xf>
    <xf numFmtId="193" fontId="218" fillId="51" borderId="0" xfId="242" applyFont="1" applyFill="1" applyBorder="1" applyAlignment="1">
      <alignment horizontal="left" indent="1"/>
    </xf>
    <xf numFmtId="193" fontId="218" fillId="51" borderId="0" xfId="242" applyFont="1" applyFill="1" applyBorder="1" applyAlignment="1">
      <alignment horizontal="left" indent="2"/>
    </xf>
    <xf numFmtId="169" fontId="218" fillId="51" borderId="8" xfId="243" applyFont="1" applyFill="1" applyBorder="1" applyAlignment="1">
      <alignment horizontal="right"/>
    </xf>
    <xf numFmtId="167" fontId="218" fillId="51" borderId="8" xfId="243" applyNumberFormat="1" applyFont="1" applyFill="1" applyBorder="1" applyAlignment="1">
      <alignment horizontal="right"/>
    </xf>
    <xf numFmtId="193" fontId="207" fillId="51" borderId="29" xfId="242" applyFont="1" applyFill="1" applyBorder="1"/>
    <xf numFmtId="193" fontId="207" fillId="51" borderId="29" xfId="242" applyFont="1" applyFill="1" applyBorder="1" applyAlignment="1">
      <alignment horizontal="center"/>
    </xf>
    <xf numFmtId="168" fontId="207" fillId="51" borderId="29" xfId="243" applyNumberFormat="1" applyFont="1" applyFill="1" applyBorder="1" applyAlignment="1">
      <alignment horizontal="right"/>
    </xf>
    <xf numFmtId="0" fontId="226" fillId="51" borderId="0" xfId="242" applyNumberFormat="1" applyFont="1" applyFill="1" applyBorder="1" applyAlignment="1">
      <alignment horizontal="center" vertical="center"/>
    </xf>
    <xf numFmtId="192" fontId="218" fillId="51" borderId="0" xfId="243" applyNumberFormat="1" applyFont="1" applyFill="1" applyBorder="1" applyAlignment="1">
      <alignment horizontal="right"/>
    </xf>
    <xf numFmtId="193" fontId="120" fillId="51" borderId="0" xfId="242" applyFont="1" applyFill="1" applyBorder="1"/>
    <xf numFmtId="193" fontId="120" fillId="51" borderId="0" xfId="242" applyFont="1" applyFill="1" applyBorder="1" applyAlignment="1">
      <alignment horizontal="center"/>
    </xf>
    <xf numFmtId="168" fontId="120" fillId="51" borderId="0" xfId="243" applyNumberFormat="1" applyFont="1" applyFill="1" applyBorder="1" applyAlignment="1">
      <alignment horizontal="right"/>
    </xf>
    <xf numFmtId="193" fontId="94" fillId="27" borderId="0" xfId="242" applyFill="1"/>
    <xf numFmtId="193" fontId="120" fillId="27" borderId="5" xfId="242" applyFont="1" applyFill="1" applyBorder="1"/>
    <xf numFmtId="193" fontId="94" fillId="27" borderId="0" xfId="242" applyFill="1" applyBorder="1"/>
    <xf numFmtId="193" fontId="94" fillId="27" borderId="0" xfId="242" applyFill="1" applyBorder="1" applyAlignment="1">
      <alignment horizontal="right"/>
    </xf>
    <xf numFmtId="0" fontId="176" fillId="27" borderId="70" xfId="242" applyNumberFormat="1" applyFont="1" applyFill="1" applyBorder="1" applyAlignment="1">
      <alignment horizontal="left" vertical="center" indent="1"/>
    </xf>
    <xf numFmtId="0" fontId="176" fillId="27" borderId="70" xfId="242" applyNumberFormat="1" applyFont="1" applyFill="1" applyBorder="1" applyAlignment="1">
      <alignment horizontal="center" vertical="center"/>
    </xf>
    <xf numFmtId="193" fontId="101" fillId="27" borderId="7" xfId="242" applyFont="1" applyFill="1" applyBorder="1" applyAlignment="1">
      <alignment vertical="center"/>
    </xf>
    <xf numFmtId="193" fontId="94" fillId="27" borderId="5" xfId="242" applyFill="1" applyBorder="1"/>
    <xf numFmtId="193" fontId="218" fillId="27" borderId="5" xfId="242" applyFont="1" applyFill="1" applyBorder="1"/>
    <xf numFmtId="193" fontId="218" fillId="27" borderId="0" xfId="242" applyFont="1" applyFill="1" applyBorder="1"/>
    <xf numFmtId="193" fontId="218" fillId="27" borderId="0" xfId="242" applyFont="1" applyFill="1" applyBorder="1" applyAlignment="1">
      <alignment horizontal="center"/>
    </xf>
    <xf numFmtId="168" fontId="218" fillId="27" borderId="0" xfId="243" applyNumberFormat="1" applyFont="1" applyFill="1" applyBorder="1" applyAlignment="1">
      <alignment horizontal="right"/>
    </xf>
    <xf numFmtId="167" fontId="218" fillId="27" borderId="0" xfId="243" applyNumberFormat="1" applyFont="1" applyFill="1" applyBorder="1" applyAlignment="1">
      <alignment horizontal="right"/>
    </xf>
    <xf numFmtId="177" fontId="218" fillId="27" borderId="0" xfId="253" applyNumberFormat="1" applyFont="1" applyFill="1" applyBorder="1" applyAlignment="1">
      <alignment horizontal="right"/>
    </xf>
    <xf numFmtId="193" fontId="218" fillId="27" borderId="8" xfId="242" applyFont="1" applyFill="1" applyBorder="1"/>
    <xf numFmtId="197" fontId="218" fillId="27" borderId="8" xfId="253" applyNumberFormat="1" applyFont="1" applyFill="1" applyBorder="1" applyAlignment="1">
      <alignment horizontal="right"/>
    </xf>
    <xf numFmtId="177" fontId="218" fillId="27" borderId="8" xfId="253" applyNumberFormat="1" applyFont="1" applyFill="1" applyBorder="1" applyAlignment="1">
      <alignment horizontal="right"/>
    </xf>
    <xf numFmtId="193" fontId="120" fillId="27" borderId="29" xfId="242" applyFont="1" applyFill="1" applyBorder="1"/>
    <xf numFmtId="193" fontId="207" fillId="27" borderId="29" xfId="242" applyFont="1" applyFill="1" applyBorder="1"/>
    <xf numFmtId="193" fontId="207" fillId="27" borderId="29" xfId="242" applyFont="1" applyFill="1" applyBorder="1" applyAlignment="1">
      <alignment horizontal="center"/>
    </xf>
    <xf numFmtId="168" fontId="207" fillId="27" borderId="29" xfId="243" applyNumberFormat="1" applyFont="1" applyFill="1" applyBorder="1" applyAlignment="1">
      <alignment horizontal="right"/>
    </xf>
    <xf numFmtId="168" fontId="94" fillId="27" borderId="0" xfId="243" applyNumberFormat="1" applyFill="1" applyBorder="1" applyAlignment="1">
      <alignment horizontal="right"/>
    </xf>
    <xf numFmtId="193" fontId="202" fillId="55" borderId="0" xfId="242" applyFont="1" applyFill="1"/>
    <xf numFmtId="0" fontId="78" fillId="21" borderId="13" xfId="235" applyFill="1" applyBorder="1" applyAlignment="1">
      <alignment vertical="center"/>
    </xf>
    <xf numFmtId="0" fontId="66" fillId="21" borderId="10" xfId="235" applyFont="1" applyFill="1" applyBorder="1"/>
    <xf numFmtId="0" fontId="66" fillId="21" borderId="0" xfId="235" applyFont="1" applyFill="1" applyBorder="1" applyAlignment="1">
      <alignment vertical="center"/>
    </xf>
    <xf numFmtId="0" fontId="66" fillId="21" borderId="8" xfId="235" applyFont="1" applyFill="1" applyBorder="1" applyAlignment="1">
      <alignment vertical="center"/>
    </xf>
    <xf numFmtId="0" fontId="78" fillId="21" borderId="8" xfId="235" applyFill="1" applyBorder="1" applyAlignment="1">
      <alignment vertical="center"/>
    </xf>
    <xf numFmtId="0" fontId="66" fillId="0" borderId="0" xfId="235" applyFont="1"/>
    <xf numFmtId="175" fontId="78" fillId="0" borderId="0" xfId="235" applyNumberFormat="1"/>
    <xf numFmtId="192" fontId="202" fillId="55" borderId="29" xfId="243" applyNumberFormat="1" applyFont="1" applyFill="1" applyBorder="1" applyAlignment="1">
      <alignment horizontal="center" vertical="center"/>
    </xf>
    <xf numFmtId="0" fontId="65" fillId="21" borderId="13" xfId="235" applyFont="1" applyFill="1" applyBorder="1" applyAlignment="1">
      <alignment vertical="center" wrapText="1"/>
    </xf>
    <xf numFmtId="0" fontId="65" fillId="21" borderId="0" xfId="235" applyFont="1" applyFill="1" applyBorder="1" applyAlignment="1">
      <alignment vertical="center" wrapText="1"/>
    </xf>
    <xf numFmtId="0" fontId="65" fillId="21" borderId="0" xfId="235" applyFont="1" applyFill="1" applyBorder="1"/>
    <xf numFmtId="0" fontId="65" fillId="0" borderId="0" xfId="235" applyFont="1"/>
    <xf numFmtId="167" fontId="108" fillId="21" borderId="0" xfId="4" applyNumberFormat="1" applyFill="1" applyBorder="1"/>
    <xf numFmtId="169" fontId="133" fillId="34" borderId="45" xfId="1" applyNumberFormat="1" applyFont="1" applyFill="1" applyBorder="1" applyAlignment="1">
      <alignment vertical="center"/>
    </xf>
    <xf numFmtId="179" fontId="133" fillId="34" borderId="45" xfId="1" applyNumberFormat="1" applyFont="1" applyFill="1" applyBorder="1" applyAlignment="1">
      <alignment vertical="center"/>
    </xf>
    <xf numFmtId="190" fontId="133" fillId="34" borderId="45" xfId="1" applyNumberFormat="1" applyFont="1" applyFill="1" applyBorder="1" applyAlignment="1">
      <alignment vertical="center"/>
    </xf>
    <xf numFmtId="0" fontId="64" fillId="21" borderId="0" xfId="235" applyFont="1" applyFill="1" applyBorder="1" applyAlignment="1">
      <alignment vertical="center"/>
    </xf>
    <xf numFmtId="0" fontId="64" fillId="21" borderId="0" xfId="0" applyNumberFormat="1" applyFont="1" applyFill="1" applyBorder="1" applyAlignment="1" applyProtection="1">
      <alignment vertical="center"/>
    </xf>
    <xf numFmtId="167" fontId="64" fillId="21" borderId="0" xfId="0" applyNumberFormat="1" applyFont="1" applyFill="1" applyBorder="1" applyAlignment="1" applyProtection="1">
      <alignment vertical="center"/>
    </xf>
    <xf numFmtId="179" fontId="180" fillId="34" borderId="58" xfId="1" applyNumberFormat="1" applyFont="1" applyFill="1" applyBorder="1" applyAlignment="1">
      <alignment vertical="center"/>
    </xf>
    <xf numFmtId="169" fontId="108" fillId="31" borderId="45" xfId="1" applyNumberFormat="1" applyFont="1" applyFill="1" applyBorder="1" applyAlignment="1">
      <alignment vertical="center"/>
    </xf>
    <xf numFmtId="178" fontId="101" fillId="21" borderId="13" xfId="0" applyNumberFormat="1" applyFont="1" applyFill="1" applyBorder="1" applyAlignment="1">
      <alignment vertical="center"/>
    </xf>
    <xf numFmtId="178" fontId="101" fillId="0" borderId="13" xfId="1" applyNumberFormat="1" applyFont="1" applyFill="1" applyBorder="1" applyAlignment="1">
      <alignment vertical="center"/>
    </xf>
    <xf numFmtId="179" fontId="133" fillId="34" borderId="0" xfId="4" applyNumberFormat="1" applyFont="1" applyFill="1" applyBorder="1"/>
    <xf numFmtId="0" fontId="116" fillId="21" borderId="5" xfId="207" applyFont="1" applyFill="1" applyBorder="1" applyAlignment="1">
      <alignment horizontal="right"/>
    </xf>
    <xf numFmtId="0" fontId="132" fillId="49" borderId="36" xfId="0" applyFont="1" applyFill="1" applyBorder="1" applyAlignment="1">
      <alignment horizontal="center" vertical="center"/>
    </xf>
    <xf numFmtId="2" fontId="110" fillId="37" borderId="0" xfId="234" applyNumberFormat="1" applyFont="1" applyFill="1" applyAlignment="1">
      <alignment horizontal="right" vertical="center"/>
    </xf>
    <xf numFmtId="0" fontId="120" fillId="0" borderId="0" xfId="0" applyFont="1" applyAlignment="1">
      <alignment vertical="center"/>
    </xf>
    <xf numFmtId="175" fontId="108" fillId="0" borderId="0" xfId="4" applyNumberFormat="1"/>
    <xf numFmtId="0" fontId="63" fillId="0" borderId="0" xfId="219" applyFont="1"/>
    <xf numFmtId="0" fontId="110" fillId="49" borderId="0" xfId="154" applyFill="1" applyBorder="1"/>
    <xf numFmtId="170" fontId="189" fillId="0" borderId="0" xfId="2" applyFont="1" applyBorder="1" applyAlignment="1">
      <alignment horizontal="center"/>
    </xf>
    <xf numFmtId="0" fontId="227" fillId="33" borderId="0" xfId="0" applyFont="1" applyFill="1" applyBorder="1" applyAlignment="1">
      <alignment horizontal="center" vertical="center"/>
    </xf>
    <xf numFmtId="2" fontId="89" fillId="0" borderId="0" xfId="187" applyNumberFormat="1"/>
    <xf numFmtId="0" fontId="62" fillId="0" borderId="0" xfId="187" applyFont="1"/>
    <xf numFmtId="175" fontId="110" fillId="37" borderId="0" xfId="234" applyNumberFormat="1" applyFont="1" applyFill="1" applyBorder="1" applyAlignment="1">
      <alignment vertical="center"/>
    </xf>
    <xf numFmtId="0" fontId="198" fillId="0" borderId="0" xfId="180" applyFont="1" applyBorder="1"/>
    <xf numFmtId="0" fontId="187" fillId="0" borderId="0" xfId="0" applyFont="1" applyAlignment="1">
      <alignment horizontal="center" vertical="center"/>
    </xf>
    <xf numFmtId="0" fontId="187" fillId="0" borderId="0" xfId="0" applyFont="1" applyAlignment="1">
      <alignment horizontal="left" vertical="center"/>
    </xf>
    <xf numFmtId="176" fontId="228" fillId="0" borderId="0" xfId="2" applyNumberFormat="1" applyFont="1" applyAlignment="1">
      <alignment horizontal="center" vertical="center"/>
    </xf>
    <xf numFmtId="0" fontId="229" fillId="0" borderId="0" xfId="0" applyFont="1" applyAlignment="1">
      <alignment horizontal="right" vertical="center"/>
    </xf>
    <xf numFmtId="0" fontId="230" fillId="0" borderId="0" xfId="180" applyFont="1" applyBorder="1"/>
    <xf numFmtId="0" fontId="61" fillId="0" borderId="0" xfId="235" applyFont="1"/>
    <xf numFmtId="0" fontId="60" fillId="0" borderId="0" xfId="200" applyFont="1"/>
    <xf numFmtId="170" fontId="88" fillId="0" borderId="0" xfId="2" applyFont="1"/>
    <xf numFmtId="170" fontId="88" fillId="27" borderId="0" xfId="2" applyFont="1" applyFill="1" applyBorder="1"/>
    <xf numFmtId="0" fontId="133" fillId="27" borderId="8" xfId="4" applyNumberFormat="1" applyFont="1" applyFill="1" applyBorder="1" applyAlignment="1">
      <alignment horizontal="right"/>
    </xf>
    <xf numFmtId="0" fontId="88" fillId="27" borderId="8" xfId="202" applyFill="1" applyBorder="1"/>
    <xf numFmtId="170" fontId="88" fillId="27" borderId="8" xfId="2" applyFont="1" applyFill="1" applyBorder="1"/>
    <xf numFmtId="2" fontId="88" fillId="0" borderId="0" xfId="200" applyNumberFormat="1"/>
    <xf numFmtId="0" fontId="59" fillId="27" borderId="0" xfId="202" applyFont="1" applyFill="1" applyBorder="1"/>
    <xf numFmtId="170" fontId="88" fillId="27" borderId="27" xfId="2" applyFont="1" applyFill="1" applyBorder="1" applyAlignment="1">
      <alignment horizontal="center"/>
    </xf>
    <xf numFmtId="170" fontId="88" fillId="27" borderId="0" xfId="2" applyFont="1" applyFill="1" applyBorder="1" applyAlignment="1">
      <alignment horizontal="center"/>
    </xf>
    <xf numFmtId="170" fontId="88" fillId="27" borderId="28" xfId="2" applyFont="1" applyFill="1" applyBorder="1" applyAlignment="1">
      <alignment horizontal="center"/>
    </xf>
    <xf numFmtId="170" fontId="88" fillId="27" borderId="8" xfId="2" applyFont="1" applyFill="1" applyBorder="1" applyAlignment="1">
      <alignment horizontal="center"/>
    </xf>
    <xf numFmtId="0" fontId="133" fillId="27" borderId="27" xfId="4" applyNumberFormat="1" applyFont="1" applyFill="1" applyBorder="1" applyAlignment="1">
      <alignment horizontal="center"/>
    </xf>
    <xf numFmtId="0" fontId="133" fillId="27" borderId="28" xfId="4" applyNumberFormat="1" applyFont="1" applyFill="1" applyBorder="1" applyAlignment="1">
      <alignment horizontal="center"/>
    </xf>
    <xf numFmtId="0" fontId="59" fillId="27" borderId="8" xfId="202" applyFont="1" applyFill="1" applyBorder="1"/>
    <xf numFmtId="0" fontId="132" fillId="27" borderId="47" xfId="200" applyFont="1" applyFill="1" applyBorder="1" applyAlignment="1">
      <alignment horizontal="center" vertical="center"/>
    </xf>
    <xf numFmtId="0" fontId="132" fillId="27" borderId="36" xfId="200" applyFont="1" applyFill="1" applyBorder="1" applyAlignment="1">
      <alignment horizontal="center" vertical="center"/>
    </xf>
    <xf numFmtId="0" fontId="132" fillId="27" borderId="48" xfId="200" applyFont="1" applyFill="1" applyBorder="1" applyAlignment="1">
      <alignment horizontal="center" vertical="center"/>
    </xf>
    <xf numFmtId="0" fontId="59" fillId="27" borderId="31" xfId="202" applyFont="1" applyFill="1" applyBorder="1" applyAlignment="1">
      <alignment horizontal="center"/>
    </xf>
    <xf numFmtId="0" fontId="59" fillId="27" borderId="32" xfId="202" applyFont="1" applyFill="1" applyBorder="1" applyAlignment="1">
      <alignment horizontal="center"/>
    </xf>
    <xf numFmtId="1" fontId="132" fillId="27" borderId="82" xfId="200" applyNumberFormat="1" applyFont="1" applyFill="1" applyBorder="1" applyAlignment="1">
      <alignment horizontal="center" vertical="center"/>
    </xf>
    <xf numFmtId="170" fontId="121" fillId="27" borderId="0" xfId="2" applyFont="1" applyFill="1" applyBorder="1"/>
    <xf numFmtId="170" fontId="121" fillId="27" borderId="8" xfId="2" applyFont="1" applyFill="1" applyBorder="1"/>
    <xf numFmtId="0" fontId="59" fillId="27" borderId="0" xfId="200" applyNumberFormat="1" applyFont="1" applyFill="1" applyBorder="1" applyAlignment="1">
      <alignment vertical="center"/>
    </xf>
    <xf numFmtId="9" fontId="88" fillId="27" borderId="0" xfId="200" applyNumberFormat="1" applyFont="1" applyFill="1" applyBorder="1" applyAlignment="1">
      <alignment vertical="center"/>
    </xf>
    <xf numFmtId="0" fontId="59" fillId="27" borderId="0" xfId="200" applyFont="1" applyFill="1" applyBorder="1" applyAlignment="1">
      <alignment vertical="center"/>
    </xf>
    <xf numFmtId="0" fontId="59" fillId="27" borderId="0" xfId="200" applyNumberFormat="1" applyFont="1" applyFill="1" applyBorder="1" applyAlignment="1">
      <alignment horizontal="center" vertical="center"/>
    </xf>
    <xf numFmtId="9" fontId="88" fillId="27" borderId="8" xfId="200" applyNumberFormat="1" applyFont="1" applyFill="1" applyBorder="1" applyAlignment="1">
      <alignment vertical="center"/>
    </xf>
    <xf numFmtId="0" fontId="59" fillId="27" borderId="8" xfId="200" applyFont="1" applyFill="1" applyBorder="1" applyAlignment="1">
      <alignment vertical="center"/>
    </xf>
    <xf numFmtId="0" fontId="59" fillId="0" borderId="0" xfId="200" applyFont="1"/>
    <xf numFmtId="0" fontId="0" fillId="21" borderId="8" xfId="0" applyFill="1" applyBorder="1" applyAlignment="1">
      <alignment horizontal="center" vertical="center"/>
    </xf>
    <xf numFmtId="0" fontId="82" fillId="27" borderId="0" xfId="221" applyNumberFormat="1" applyFill="1" applyBorder="1" applyAlignment="1">
      <alignment horizontal="center" vertical="center"/>
    </xf>
    <xf numFmtId="0" fontId="82" fillId="27" borderId="0" xfId="221" applyFill="1" applyBorder="1" applyAlignment="1">
      <alignment vertical="center"/>
    </xf>
    <xf numFmtId="176" fontId="133" fillId="27" borderId="34" xfId="2" applyNumberFormat="1" applyFont="1" applyFill="1" applyBorder="1" applyAlignment="1">
      <alignment vertical="center"/>
    </xf>
    <xf numFmtId="176" fontId="133" fillId="27" borderId="0" xfId="2" applyNumberFormat="1" applyFont="1" applyFill="1" applyBorder="1" applyAlignment="1">
      <alignment vertical="center"/>
    </xf>
    <xf numFmtId="176" fontId="0" fillId="27" borderId="17" xfId="2" applyNumberFormat="1" applyFont="1" applyFill="1" applyBorder="1" applyAlignment="1">
      <alignment vertical="center"/>
    </xf>
    <xf numFmtId="0" fontId="58" fillId="0" borderId="0" xfId="221" applyFont="1"/>
    <xf numFmtId="176" fontId="82" fillId="0" borderId="0" xfId="2" applyNumberFormat="1" applyFont="1"/>
    <xf numFmtId="0" fontId="58" fillId="0" borderId="0" xfId="221" applyFont="1" applyAlignment="1">
      <alignment horizontal="right"/>
    </xf>
    <xf numFmtId="2" fontId="82" fillId="0" borderId="0" xfId="221" applyNumberFormat="1" applyFont="1"/>
    <xf numFmtId="0" fontId="121" fillId="0" borderId="0" xfId="221" applyFont="1" applyAlignment="1">
      <alignment horizontal="left"/>
    </xf>
    <xf numFmtId="0" fontId="58" fillId="21" borderId="0" xfId="0" applyNumberFormat="1" applyFont="1" applyFill="1" applyBorder="1" applyAlignment="1" applyProtection="1">
      <alignment vertical="center"/>
    </xf>
    <xf numFmtId="183" fontId="58" fillId="21" borderId="0" xfId="0" applyNumberFormat="1" applyFont="1" applyFill="1" applyBorder="1" applyAlignment="1" applyProtection="1">
      <alignment vertical="center"/>
    </xf>
    <xf numFmtId="181" fontId="108" fillId="0" borderId="0" xfId="4" applyNumberFormat="1"/>
    <xf numFmtId="2" fontId="87" fillId="0" borderId="0" xfId="205" applyNumberFormat="1"/>
    <xf numFmtId="0" fontId="0" fillId="21" borderId="0" xfId="0" applyFont="1" applyFill="1" applyBorder="1" applyAlignment="1">
      <alignment horizontal="center" vertical="center"/>
    </xf>
    <xf numFmtId="0" fontId="188" fillId="0" borderId="0" xfId="200" applyFont="1"/>
    <xf numFmtId="175" fontId="188" fillId="0" borderId="0" xfId="200" applyNumberFormat="1" applyFont="1"/>
    <xf numFmtId="0" fontId="59" fillId="0" borderId="0" xfId="200" applyFont="1" applyAlignment="1">
      <alignment horizontal="right"/>
    </xf>
    <xf numFmtId="0" fontId="60" fillId="0" borderId="0" xfId="200" applyFont="1" applyAlignment="1">
      <alignment horizontal="left" indent="2"/>
    </xf>
    <xf numFmtId="0" fontId="59" fillId="0" borderId="0" xfId="200" applyFont="1" applyAlignment="1">
      <alignment horizontal="left" indent="2"/>
    </xf>
    <xf numFmtId="0" fontId="57" fillId="0" borderId="0" xfId="200" applyFont="1"/>
    <xf numFmtId="0" fontId="88" fillId="0" borderId="0" xfId="200" applyAlignment="1">
      <alignment horizontal="right"/>
    </xf>
    <xf numFmtId="0" fontId="95" fillId="0" borderId="0" xfId="200" applyFont="1" applyAlignment="1">
      <alignment horizontal="right" vertical="center"/>
    </xf>
    <xf numFmtId="167" fontId="94" fillId="0" borderId="0" xfId="201" applyNumberFormat="1" applyFont="1"/>
    <xf numFmtId="0" fontId="57" fillId="0" borderId="0" xfId="200" applyFont="1" applyAlignment="1">
      <alignment horizontal="right" indent="2"/>
    </xf>
    <xf numFmtId="169" fontId="94" fillId="0" borderId="8" xfId="201" applyNumberFormat="1" applyFont="1" applyBorder="1"/>
    <xf numFmtId="169" fontId="94" fillId="0" borderId="0" xfId="201" applyNumberFormat="1" applyFont="1" applyBorder="1"/>
    <xf numFmtId="0" fontId="57" fillId="27" borderId="0" xfId="200" applyNumberFormat="1" applyFont="1" applyFill="1" applyBorder="1" applyAlignment="1">
      <alignment vertical="center"/>
    </xf>
    <xf numFmtId="9" fontId="0" fillId="27" borderId="0" xfId="203" applyFont="1" applyFill="1" applyBorder="1" applyAlignment="1">
      <alignment horizontal="center" vertical="center"/>
    </xf>
    <xf numFmtId="175" fontId="88" fillId="27" borderId="0" xfId="200" applyNumberFormat="1" applyFont="1" applyFill="1" applyBorder="1" applyAlignment="1">
      <alignment horizontal="center" vertical="center"/>
    </xf>
    <xf numFmtId="0" fontId="57" fillId="27" borderId="8" xfId="200" applyNumberFormat="1" applyFont="1" applyFill="1" applyBorder="1" applyAlignment="1">
      <alignment vertical="center"/>
    </xf>
    <xf numFmtId="175" fontId="88" fillId="27" borderId="8" xfId="200" applyNumberFormat="1" applyFont="1" applyFill="1" applyBorder="1" applyAlignment="1">
      <alignment horizontal="center" vertical="center"/>
    </xf>
    <xf numFmtId="170" fontId="88" fillId="27" borderId="0" xfId="2" applyFont="1" applyFill="1" applyBorder="1" applyAlignment="1">
      <alignment horizontal="center" vertical="center"/>
    </xf>
    <xf numFmtId="170" fontId="88" fillId="27" borderId="8" xfId="2" applyFont="1" applyFill="1" applyBorder="1" applyAlignment="1">
      <alignment horizontal="center" vertical="center"/>
    </xf>
    <xf numFmtId="9" fontId="0" fillId="27" borderId="8" xfId="203" applyFont="1" applyFill="1" applyBorder="1" applyAlignment="1">
      <alignment horizontal="center" vertical="center"/>
    </xf>
    <xf numFmtId="0" fontId="120" fillId="27" borderId="0" xfId="200" applyFont="1" applyFill="1" applyBorder="1"/>
    <xf numFmtId="0" fontId="121" fillId="27" borderId="0" xfId="200" applyFont="1" applyFill="1" applyBorder="1" applyAlignment="1">
      <alignment horizontal="center" vertical="center"/>
    </xf>
    <xf numFmtId="9" fontId="120" fillId="27" borderId="0" xfId="203" applyFont="1" applyFill="1" applyBorder="1" applyAlignment="1">
      <alignment horizontal="center" vertical="center"/>
    </xf>
    <xf numFmtId="0" fontId="120" fillId="27" borderId="8" xfId="200" applyFont="1" applyFill="1" applyBorder="1"/>
    <xf numFmtId="0" fontId="121" fillId="27" borderId="8" xfId="200" applyFont="1" applyFill="1" applyBorder="1" applyAlignment="1">
      <alignment horizontal="center" vertical="center"/>
    </xf>
    <xf numFmtId="9" fontId="120" fillId="27" borderId="8" xfId="203" applyFont="1" applyFill="1" applyBorder="1" applyAlignment="1">
      <alignment horizontal="center" vertical="center"/>
    </xf>
    <xf numFmtId="0" fontId="57" fillId="27" borderId="0" xfId="200" applyNumberFormat="1" applyFont="1" applyFill="1" applyBorder="1" applyAlignment="1">
      <alignment horizontal="center" vertical="center"/>
    </xf>
    <xf numFmtId="9" fontId="0" fillId="27" borderId="0" xfId="203" applyNumberFormat="1" applyFont="1" applyFill="1" applyBorder="1" applyAlignment="1">
      <alignment horizontal="center" vertical="center"/>
    </xf>
    <xf numFmtId="9" fontId="0" fillId="27" borderId="8" xfId="203" applyNumberFormat="1" applyFont="1" applyFill="1" applyBorder="1" applyAlignment="1">
      <alignment horizontal="center" vertical="center"/>
    </xf>
    <xf numFmtId="0" fontId="132" fillId="0" borderId="0" xfId="200" applyFont="1" applyBorder="1" applyAlignment="1">
      <alignment vertical="center"/>
    </xf>
    <xf numFmtId="0" fontId="56" fillId="0" borderId="0" xfId="254"/>
    <xf numFmtId="11" fontId="56" fillId="0" borderId="0" xfId="254" applyNumberFormat="1"/>
    <xf numFmtId="0" fontId="56" fillId="0" borderId="0" xfId="254" applyAlignment="1">
      <alignment horizontal="center"/>
    </xf>
    <xf numFmtId="0" fontId="56" fillId="0" borderId="8" xfId="254" applyBorder="1"/>
    <xf numFmtId="0" fontId="56" fillId="0" borderId="8" xfId="254" applyBorder="1" applyAlignment="1">
      <alignment horizontal="center"/>
    </xf>
    <xf numFmtId="190" fontId="94" fillId="0" borderId="0" xfId="201" applyNumberFormat="1" applyFont="1"/>
    <xf numFmtId="192" fontId="94" fillId="0" borderId="0" xfId="201" applyNumberFormat="1" applyFont="1"/>
    <xf numFmtId="0" fontId="56" fillId="0" borderId="0" xfId="200" applyFont="1"/>
    <xf numFmtId="169" fontId="120" fillId="0" borderId="0" xfId="201" applyNumberFormat="1" applyFont="1"/>
    <xf numFmtId="0" fontId="132" fillId="27" borderId="0" xfId="200" applyFont="1" applyFill="1" applyBorder="1" applyAlignment="1">
      <alignment horizontal="center" vertical="center"/>
    </xf>
    <xf numFmtId="0" fontId="59" fillId="27" borderId="0" xfId="202" applyFont="1" applyFill="1" applyBorder="1" applyAlignment="1">
      <alignment horizontal="center"/>
    </xf>
    <xf numFmtId="0" fontId="132" fillId="27" borderId="85" xfId="200" applyNumberFormat="1" applyFont="1" applyFill="1" applyBorder="1" applyAlignment="1">
      <alignment horizontal="center" vertical="center"/>
    </xf>
    <xf numFmtId="170" fontId="88" fillId="0" borderId="0" xfId="2" applyFont="1" applyFill="1"/>
    <xf numFmtId="175" fontId="120" fillId="0" borderId="0" xfId="0" applyNumberFormat="1" applyFont="1" applyAlignment="1">
      <alignment vertical="center"/>
    </xf>
    <xf numFmtId="175" fontId="0" fillId="0" borderId="0" xfId="0" applyNumberFormat="1" applyAlignment="1">
      <alignment vertical="center"/>
    </xf>
    <xf numFmtId="183" fontId="153" fillId="0" borderId="0" xfId="0" applyNumberFormat="1" applyFont="1" applyAlignment="1">
      <alignment horizontal="center" vertical="center"/>
    </xf>
    <xf numFmtId="167" fontId="127" fillId="24" borderId="18" xfId="225" applyNumberFormat="1" applyFont="1" applyFill="1" applyBorder="1" applyAlignment="1">
      <alignment vertical="center"/>
    </xf>
    <xf numFmtId="0" fontId="55" fillId="27" borderId="0" xfId="205" applyFont="1" applyFill="1" applyBorder="1" applyAlignment="1">
      <alignment horizontal="right"/>
    </xf>
    <xf numFmtId="0" fontId="95" fillId="24" borderId="0" xfId="224" applyFont="1" applyFill="1" applyBorder="1" applyAlignment="1">
      <alignment horizontal="center"/>
    </xf>
    <xf numFmtId="173" fontId="95" fillId="24" borderId="0" xfId="182" applyNumberFormat="1" applyFont="1" applyFill="1" applyBorder="1" applyAlignment="1">
      <alignment horizontal="right" vertical="center"/>
    </xf>
    <xf numFmtId="168" fontId="127" fillId="24" borderId="0" xfId="151" applyNumberFormat="1" applyFont="1" applyFill="1" applyBorder="1" applyAlignment="1">
      <alignment vertical="center"/>
    </xf>
    <xf numFmtId="167" fontId="127" fillId="24" borderId="0" xfId="225" applyNumberFormat="1" applyFont="1" applyFill="1" applyBorder="1" applyAlignment="1">
      <alignment vertical="center"/>
    </xf>
    <xf numFmtId="175" fontId="82" fillId="27" borderId="0" xfId="221" applyNumberFormat="1" applyFill="1" applyBorder="1" applyAlignment="1">
      <alignment horizontal="center"/>
    </xf>
    <xf numFmtId="0" fontId="54" fillId="27" borderId="0" xfId="221" applyFont="1" applyFill="1" applyBorder="1"/>
    <xf numFmtId="179" fontId="133" fillId="27" borderId="0" xfId="220" applyNumberFormat="1" applyFont="1" applyFill="1" applyBorder="1" applyAlignment="1">
      <alignment horizontal="right" vertical="center"/>
    </xf>
    <xf numFmtId="0" fontId="54" fillId="27" borderId="0" xfId="221" applyFont="1" applyFill="1" applyBorder="1" applyAlignment="1">
      <alignment horizontal="center"/>
    </xf>
    <xf numFmtId="176" fontId="82" fillId="27" borderId="0" xfId="2" applyNumberFormat="1" applyFont="1" applyFill="1" applyBorder="1" applyAlignment="1">
      <alignment horizontal="center"/>
    </xf>
    <xf numFmtId="0" fontId="54" fillId="27" borderId="8" xfId="221" applyFont="1" applyFill="1" applyBorder="1"/>
    <xf numFmtId="175" fontId="82" fillId="27" borderId="8" xfId="221" applyNumberFormat="1" applyFill="1" applyBorder="1" applyAlignment="1">
      <alignment horizontal="center"/>
    </xf>
    <xf numFmtId="176" fontId="82" fillId="27" borderId="8" xfId="2" applyNumberFormat="1" applyFont="1" applyFill="1" applyBorder="1" applyAlignment="1">
      <alignment horizontal="center"/>
    </xf>
    <xf numFmtId="175" fontId="82" fillId="27" borderId="13" xfId="221" applyNumberFormat="1" applyFill="1" applyBorder="1" applyAlignment="1">
      <alignment horizontal="center"/>
    </xf>
    <xf numFmtId="0" fontId="54" fillId="27" borderId="0" xfId="221" applyFont="1" applyFill="1" applyBorder="1" applyAlignment="1">
      <alignment horizontal="left"/>
    </xf>
    <xf numFmtId="0" fontId="54" fillId="27" borderId="0" xfId="221" applyFont="1" applyFill="1" applyBorder="1" applyAlignment="1">
      <alignment horizontal="right"/>
    </xf>
    <xf numFmtId="2" fontId="89" fillId="27" borderId="0" xfId="187" applyNumberFormat="1" applyFill="1" applyBorder="1" applyAlignment="1">
      <alignment vertical="center"/>
    </xf>
    <xf numFmtId="2" fontId="0" fillId="27" borderId="0" xfId="151" applyNumberFormat="1" applyFont="1" applyFill="1" applyBorder="1" applyAlignment="1">
      <alignment vertical="center"/>
    </xf>
    <xf numFmtId="0" fontId="54" fillId="27" borderId="0" xfId="187" applyNumberFormat="1" applyFont="1" applyFill="1" applyBorder="1" applyAlignment="1">
      <alignment horizontal="center" vertical="center"/>
    </xf>
    <xf numFmtId="0" fontId="54" fillId="27" borderId="0" xfId="187" applyNumberFormat="1" applyFont="1" applyFill="1" applyBorder="1" applyAlignment="1">
      <alignment horizontal="left" vertical="center"/>
    </xf>
    <xf numFmtId="0" fontId="89" fillId="27" borderId="8" xfId="187" applyNumberFormat="1" applyFill="1" applyBorder="1" applyAlignment="1">
      <alignment horizontal="center" vertical="center"/>
    </xf>
    <xf numFmtId="0" fontId="54" fillId="27" borderId="8" xfId="187" applyNumberFormat="1" applyFont="1" applyFill="1" applyBorder="1" applyAlignment="1">
      <alignment horizontal="center" vertical="center"/>
    </xf>
    <xf numFmtId="2" fontId="89" fillId="27" borderId="8" xfId="187" applyNumberFormat="1" applyFill="1" applyBorder="1" applyAlignment="1">
      <alignment vertical="center"/>
    </xf>
    <xf numFmtId="2" fontId="0" fillId="27" borderId="8" xfId="151" applyNumberFormat="1" applyFont="1" applyFill="1" applyBorder="1" applyAlignment="1">
      <alignment vertical="center"/>
    </xf>
    <xf numFmtId="0" fontId="121" fillId="27" borderId="0" xfId="187" applyNumberFormat="1" applyFont="1" applyFill="1" applyBorder="1" applyAlignment="1">
      <alignment horizontal="left" vertical="center"/>
    </xf>
    <xf numFmtId="9" fontId="53" fillId="27" borderId="0" xfId="224" applyNumberFormat="1" applyFont="1" applyFill="1" applyBorder="1" applyAlignment="1">
      <alignment vertical="center"/>
    </xf>
    <xf numFmtId="0" fontId="53" fillId="0" borderId="0" xfId="224" applyFont="1"/>
    <xf numFmtId="0" fontId="53" fillId="27" borderId="8" xfId="224" applyFont="1" applyFill="1" applyBorder="1"/>
    <xf numFmtId="0" fontId="52" fillId="0" borderId="0" xfId="224" applyFont="1"/>
    <xf numFmtId="2" fontId="81" fillId="0" borderId="8" xfId="224" applyNumberFormat="1" applyBorder="1"/>
    <xf numFmtId="0" fontId="52" fillId="27" borderId="0" xfId="224" applyFont="1" applyFill="1" applyBorder="1" applyAlignment="1">
      <alignment horizontal="right"/>
    </xf>
    <xf numFmtId="0" fontId="52" fillId="0" borderId="0" xfId="224" applyFont="1" applyAlignment="1">
      <alignment horizontal="left"/>
    </xf>
    <xf numFmtId="0" fontId="52" fillId="0" borderId="0" xfId="224" applyFont="1" applyBorder="1" applyAlignment="1">
      <alignment horizontal="left"/>
    </xf>
    <xf numFmtId="0" fontId="52" fillId="0" borderId="8" xfId="224" applyFont="1" applyBorder="1"/>
    <xf numFmtId="0" fontId="52" fillId="0" borderId="8" xfId="224" applyFont="1" applyBorder="1" applyAlignment="1">
      <alignment horizontal="left"/>
    </xf>
    <xf numFmtId="0" fontId="81" fillId="0" borderId="26" xfId="224" applyBorder="1"/>
    <xf numFmtId="0" fontId="52" fillId="0" borderId="26" xfId="224" applyFont="1" applyBorder="1" applyAlignment="1">
      <alignment horizontal="left"/>
    </xf>
    <xf numFmtId="3" fontId="81" fillId="0" borderId="26" xfId="224" applyNumberFormat="1" applyBorder="1"/>
    <xf numFmtId="3" fontId="81" fillId="0" borderId="0" xfId="224" applyNumberFormat="1" applyBorder="1"/>
    <xf numFmtId="0" fontId="53" fillId="0" borderId="8" xfId="224" applyFont="1" applyBorder="1"/>
    <xf numFmtId="4" fontId="81" fillId="0" borderId="0" xfId="224" applyNumberFormat="1" applyBorder="1"/>
    <xf numFmtId="4" fontId="81" fillId="0" borderId="8" xfId="224" applyNumberFormat="1" applyBorder="1"/>
    <xf numFmtId="0" fontId="121" fillId="0" borderId="8" xfId="224" applyFont="1" applyBorder="1"/>
    <xf numFmtId="0" fontId="52" fillId="0" borderId="26" xfId="224" applyFont="1" applyBorder="1"/>
    <xf numFmtId="4" fontId="81" fillId="0" borderId="26" xfId="224" applyNumberFormat="1" applyBorder="1"/>
    <xf numFmtId="0" fontId="52" fillId="0" borderId="0" xfId="224" applyFont="1" applyBorder="1"/>
    <xf numFmtId="0" fontId="52" fillId="0" borderId="29" xfId="224" applyFont="1" applyBorder="1"/>
    <xf numFmtId="0" fontId="52" fillId="0" borderId="29" xfId="224" applyFont="1" applyBorder="1" applyAlignment="1">
      <alignment horizontal="left"/>
    </xf>
    <xf numFmtId="4" fontId="81" fillId="0" borderId="29" xfId="224" applyNumberFormat="1" applyBorder="1"/>
    <xf numFmtId="0" fontId="163" fillId="0" borderId="0" xfId="0" applyFont="1"/>
    <xf numFmtId="0" fontId="121" fillId="29" borderId="0" xfId="0" applyFont="1" applyFill="1"/>
    <xf numFmtId="177" fontId="0" fillId="0" borderId="0" xfId="1" applyNumberFormat="1" applyFont="1"/>
    <xf numFmtId="0" fontId="0" fillId="0" borderId="8" xfId="0" applyBorder="1"/>
    <xf numFmtId="0" fontId="51" fillId="0" borderId="0" xfId="239" applyFont="1"/>
    <xf numFmtId="166" fontId="0" fillId="0" borderId="0" xfId="0" applyNumberFormat="1"/>
    <xf numFmtId="166" fontId="0" fillId="0" borderId="8" xfId="0" applyNumberFormat="1" applyBorder="1"/>
    <xf numFmtId="166" fontId="0" fillId="0" borderId="26" xfId="0" applyNumberFormat="1" applyBorder="1"/>
    <xf numFmtId="166" fontId="0" fillId="0" borderId="0" xfId="0" applyNumberFormat="1" applyBorder="1"/>
    <xf numFmtId="0" fontId="51" fillId="0" borderId="0" xfId="224" applyFont="1"/>
    <xf numFmtId="3" fontId="51" fillId="0" borderId="0" xfId="224" applyNumberFormat="1" applyFont="1"/>
    <xf numFmtId="0" fontId="53" fillId="0" borderId="26" xfId="224" applyFont="1" applyBorder="1"/>
    <xf numFmtId="2" fontId="81" fillId="0" borderId="26" xfId="224" applyNumberFormat="1" applyBorder="1"/>
    <xf numFmtId="0" fontId="51" fillId="0" borderId="8" xfId="224" applyFont="1" applyBorder="1"/>
    <xf numFmtId="0" fontId="51" fillId="0" borderId="29" xfId="224" applyFont="1" applyBorder="1"/>
    <xf numFmtId="2" fontId="133" fillId="27" borderId="0" xfId="228" applyNumberFormat="1" applyFont="1" applyFill="1" applyBorder="1" applyAlignment="1">
      <alignment horizontal="right" vertical="center"/>
    </xf>
    <xf numFmtId="2" fontId="133" fillId="27" borderId="0" xfId="228" applyNumberFormat="1" applyFont="1" applyFill="1" applyBorder="1" applyAlignment="1">
      <alignment vertical="center"/>
    </xf>
    <xf numFmtId="2" fontId="133" fillId="27" borderId="8" xfId="228" applyNumberFormat="1" applyFont="1" applyFill="1" applyBorder="1" applyAlignment="1">
      <alignment vertical="center"/>
    </xf>
    <xf numFmtId="2" fontId="133" fillId="27" borderId="8" xfId="228" applyNumberFormat="1" applyFont="1" applyFill="1" applyBorder="1" applyAlignment="1">
      <alignment horizontal="right" vertical="center"/>
    </xf>
    <xf numFmtId="9" fontId="133" fillId="27" borderId="13" xfId="228" applyFont="1" applyFill="1" applyBorder="1" applyAlignment="1">
      <alignment horizontal="right" vertical="center"/>
    </xf>
    <xf numFmtId="0" fontId="132" fillId="27" borderId="87" xfId="224" applyNumberFormat="1" applyFont="1" applyFill="1" applyBorder="1" applyAlignment="1">
      <alignment horizontal="right" vertical="center"/>
    </xf>
    <xf numFmtId="2" fontId="133" fillId="27" borderId="27" xfId="228" applyNumberFormat="1" applyFont="1" applyFill="1" applyBorder="1" applyAlignment="1">
      <alignment horizontal="right" vertical="center"/>
    </xf>
    <xf numFmtId="2" fontId="81" fillId="27" borderId="27" xfId="224" applyNumberFormat="1" applyFill="1" applyBorder="1"/>
    <xf numFmtId="2" fontId="81" fillId="27" borderId="28" xfId="224" applyNumberFormat="1" applyFill="1" applyBorder="1"/>
    <xf numFmtId="167" fontId="0" fillId="27" borderId="86" xfId="151" applyNumberFormat="1" applyFont="1" applyFill="1" applyBorder="1" applyAlignment="1">
      <alignment vertical="center"/>
    </xf>
    <xf numFmtId="167" fontId="133" fillId="27" borderId="27" xfId="225" applyNumberFormat="1" applyFont="1" applyFill="1" applyBorder="1" applyAlignment="1">
      <alignment vertical="center"/>
    </xf>
    <xf numFmtId="167" fontId="133" fillId="27" borderId="27" xfId="225" applyNumberFormat="1" applyFont="1" applyFill="1" applyBorder="1" applyAlignment="1">
      <alignment horizontal="right" vertical="center"/>
    </xf>
    <xf numFmtId="167" fontId="133" fillId="27" borderId="28" xfId="225" applyNumberFormat="1" applyFont="1" applyFill="1" applyBorder="1" applyAlignment="1">
      <alignment horizontal="right" vertical="center"/>
    </xf>
    <xf numFmtId="0" fontId="105" fillId="24" borderId="87" xfId="224" applyFont="1" applyFill="1" applyBorder="1" applyAlignment="1">
      <alignment horizontal="right" vertical="center"/>
    </xf>
    <xf numFmtId="167" fontId="156" fillId="27" borderId="84" xfId="225" applyNumberFormat="1" applyFont="1" applyFill="1" applyBorder="1" applyAlignment="1">
      <alignment vertical="center"/>
    </xf>
    <xf numFmtId="167" fontId="156" fillId="27" borderId="27" xfId="225" applyNumberFormat="1" applyFont="1" applyFill="1" applyBorder="1" applyAlignment="1">
      <alignment vertical="center"/>
    </xf>
    <xf numFmtId="167" fontId="156" fillId="27" borderId="28" xfId="225" applyNumberFormat="1" applyFont="1" applyFill="1" applyBorder="1" applyAlignment="1">
      <alignment vertical="center"/>
    </xf>
    <xf numFmtId="179" fontId="133" fillId="27" borderId="27" xfId="225" applyNumberFormat="1" applyFont="1" applyFill="1" applyBorder="1" applyAlignment="1">
      <alignment vertical="center"/>
    </xf>
    <xf numFmtId="179" fontId="133" fillId="27" borderId="27" xfId="225" applyNumberFormat="1" applyFont="1" applyFill="1" applyBorder="1" applyAlignment="1">
      <alignment horizontal="right" vertical="center"/>
    </xf>
    <xf numFmtId="179" fontId="133" fillId="27" borderId="28" xfId="225" applyNumberFormat="1" applyFont="1" applyFill="1" applyBorder="1" applyAlignment="1">
      <alignment horizontal="right" vertical="center"/>
    </xf>
    <xf numFmtId="179" fontId="0" fillId="27" borderId="86" xfId="151" applyNumberFormat="1" applyFont="1" applyFill="1" applyBorder="1" applyAlignment="1">
      <alignment vertical="center"/>
    </xf>
    <xf numFmtId="0" fontId="132" fillId="27" borderId="29" xfId="224" applyNumberFormat="1" applyFont="1" applyFill="1" applyBorder="1" applyAlignment="1">
      <alignment horizontal="right" vertical="center"/>
    </xf>
    <xf numFmtId="9" fontId="133" fillId="27" borderId="27" xfId="228" applyFont="1" applyFill="1" applyBorder="1" applyAlignment="1">
      <alignment vertical="center"/>
    </xf>
    <xf numFmtId="9" fontId="133" fillId="27" borderId="28" xfId="228" applyFont="1" applyFill="1" applyBorder="1" applyAlignment="1">
      <alignment horizontal="right" vertical="center"/>
    </xf>
    <xf numFmtId="9" fontId="133" fillId="27" borderId="51" xfId="228" applyFont="1" applyFill="1" applyBorder="1" applyAlignment="1">
      <alignment horizontal="right" vertical="center"/>
    </xf>
    <xf numFmtId="9" fontId="133" fillId="27" borderId="27" xfId="228" applyFont="1" applyFill="1" applyBorder="1" applyAlignment="1">
      <alignment horizontal="right" vertical="center"/>
    </xf>
    <xf numFmtId="2" fontId="133" fillId="27" borderId="27" xfId="228" applyNumberFormat="1" applyFont="1" applyFill="1" applyBorder="1" applyAlignment="1">
      <alignment horizontal="center" vertical="center"/>
    </xf>
    <xf numFmtId="2" fontId="133" fillId="27" borderId="28" xfId="228" applyNumberFormat="1" applyFont="1" applyFill="1" applyBorder="1" applyAlignment="1">
      <alignment horizontal="center" vertical="center"/>
    </xf>
    <xf numFmtId="167" fontId="133" fillId="27" borderId="51" xfId="225" applyNumberFormat="1" applyFont="1" applyFill="1" applyBorder="1" applyAlignment="1">
      <alignment horizontal="right" vertical="center"/>
    </xf>
    <xf numFmtId="167" fontId="139" fillId="27" borderId="27" xfId="224" applyNumberFormat="1" applyFont="1" applyFill="1" applyBorder="1" applyAlignment="1">
      <alignment horizontal="right" vertical="center"/>
    </xf>
    <xf numFmtId="0" fontId="50" fillId="0" borderId="0" xfId="224" applyFont="1"/>
    <xf numFmtId="0" fontId="53" fillId="0" borderId="0" xfId="224" applyFont="1" applyBorder="1"/>
    <xf numFmtId="0" fontId="50" fillId="0" borderId="8" xfId="224" applyFont="1" applyBorder="1"/>
    <xf numFmtId="183" fontId="0" fillId="0" borderId="0" xfId="0" applyNumberFormat="1"/>
    <xf numFmtId="2" fontId="0" fillId="0" borderId="8" xfId="0" applyNumberFormat="1" applyBorder="1"/>
    <xf numFmtId="2" fontId="0" fillId="0" borderId="0" xfId="0" applyNumberFormat="1" applyBorder="1"/>
    <xf numFmtId="0" fontId="50" fillId="0" borderId="26" xfId="224" applyFont="1" applyBorder="1"/>
    <xf numFmtId="167" fontId="139" fillId="27" borderId="28" xfId="224" applyNumberFormat="1" applyFont="1" applyFill="1" applyBorder="1" applyAlignment="1">
      <alignment horizontal="right" vertical="center"/>
    </xf>
    <xf numFmtId="0" fontId="121" fillId="0" borderId="8" xfId="224" applyFont="1" applyBorder="1" applyAlignment="1">
      <alignment horizontal="center"/>
    </xf>
    <xf numFmtId="0" fontId="49" fillId="0" borderId="0" xfId="224" applyFont="1"/>
    <xf numFmtId="0" fontId="49" fillId="0" borderId="0" xfId="200" applyFont="1"/>
    <xf numFmtId="0" fontId="49" fillId="0" borderId="0" xfId="200" applyFont="1" applyFill="1"/>
    <xf numFmtId="2" fontId="49" fillId="0" borderId="0" xfId="224" applyNumberFormat="1" applyFont="1"/>
    <xf numFmtId="2" fontId="49" fillId="0" borderId="0" xfId="224" applyNumberFormat="1" applyFont="1" applyBorder="1"/>
    <xf numFmtId="167" fontId="156" fillId="27" borderId="29" xfId="225" applyNumberFormat="1" applyFont="1" applyFill="1" applyBorder="1" applyAlignment="1">
      <alignment vertical="center"/>
    </xf>
    <xf numFmtId="0" fontId="48" fillId="27" borderId="29" xfId="224" applyFont="1" applyFill="1" applyBorder="1" applyAlignment="1">
      <alignment horizontal="left" vertical="center"/>
    </xf>
    <xf numFmtId="178" fontId="80" fillId="0" borderId="0" xfId="229" applyNumberFormat="1"/>
    <xf numFmtId="3" fontId="80" fillId="27" borderId="0" xfId="229" applyNumberFormat="1" applyFill="1" applyBorder="1" applyAlignment="1">
      <alignment horizontal="center" vertical="center"/>
    </xf>
    <xf numFmtId="184" fontId="80" fillId="27" borderId="8" xfId="229" applyNumberFormat="1" applyFill="1" applyBorder="1" applyAlignment="1">
      <alignment horizontal="center" vertical="center"/>
    </xf>
    <xf numFmtId="181" fontId="80" fillId="27" borderId="0" xfId="229" applyNumberFormat="1" applyFill="1" applyBorder="1" applyAlignment="1">
      <alignment horizontal="center" vertical="center"/>
    </xf>
    <xf numFmtId="3" fontId="80" fillId="0" borderId="0" xfId="229" applyNumberFormat="1" applyBorder="1"/>
    <xf numFmtId="0" fontId="48" fillId="0" borderId="0" xfId="229" applyFont="1"/>
    <xf numFmtId="187" fontId="80" fillId="0" borderId="0" xfId="229" applyNumberFormat="1" applyBorder="1"/>
    <xf numFmtId="181" fontId="80" fillId="0" borderId="8" xfId="229" applyNumberFormat="1" applyBorder="1"/>
    <xf numFmtId="4" fontId="80" fillId="0" borderId="0" xfId="229" applyNumberFormat="1" applyBorder="1"/>
    <xf numFmtId="4" fontId="80" fillId="0" borderId="8" xfId="229" applyNumberFormat="1" applyBorder="1"/>
    <xf numFmtId="181" fontId="80" fillId="0" borderId="0" xfId="229" applyNumberFormat="1" applyBorder="1"/>
    <xf numFmtId="178" fontId="121" fillId="0" borderId="0" xfId="229" applyNumberFormat="1" applyFont="1"/>
    <xf numFmtId="178" fontId="80" fillId="0" borderId="0" xfId="229" applyNumberFormat="1" applyBorder="1"/>
    <xf numFmtId="176" fontId="0" fillId="27" borderId="0" xfId="2" applyNumberFormat="1" applyFont="1" applyFill="1" applyBorder="1" applyAlignment="1">
      <alignment vertical="center"/>
    </xf>
    <xf numFmtId="176" fontId="0" fillId="27" borderId="8" xfId="2" applyNumberFormat="1" applyFont="1" applyFill="1" applyBorder="1" applyAlignment="1">
      <alignment vertical="center"/>
    </xf>
    <xf numFmtId="0" fontId="46" fillId="0" borderId="0" xfId="200" applyFont="1" applyAlignment="1">
      <alignment horizontal="right"/>
    </xf>
    <xf numFmtId="0" fontId="46" fillId="0" borderId="0" xfId="200" applyFont="1" applyBorder="1"/>
    <xf numFmtId="0" fontId="59" fillId="0" borderId="0" xfId="200" applyFont="1" applyBorder="1"/>
    <xf numFmtId="175" fontId="88" fillId="0" borderId="0" xfId="200" applyNumberFormat="1" applyBorder="1"/>
    <xf numFmtId="0" fontId="46" fillId="0" borderId="8" xfId="200" applyFont="1" applyBorder="1"/>
    <xf numFmtId="0" fontId="59" fillId="0" borderId="8" xfId="200" applyFont="1" applyBorder="1"/>
    <xf numFmtId="175" fontId="88" fillId="0" borderId="8" xfId="200" applyNumberFormat="1" applyBorder="1"/>
    <xf numFmtId="0" fontId="46" fillId="0" borderId="0" xfId="200" applyFont="1" applyAlignment="1">
      <alignment vertical="center"/>
    </xf>
    <xf numFmtId="169" fontId="88" fillId="0" borderId="0" xfId="200" applyNumberFormat="1" applyAlignment="1">
      <alignment vertical="center"/>
    </xf>
    <xf numFmtId="0" fontId="133" fillId="34" borderId="8" xfId="4" applyNumberFormat="1" applyFont="1" applyFill="1" applyBorder="1"/>
    <xf numFmtId="0" fontId="0" fillId="34" borderId="8" xfId="0" applyFont="1" applyFill="1" applyBorder="1"/>
    <xf numFmtId="169" fontId="0" fillId="34" borderId="0" xfId="1" applyNumberFormat="1" applyFont="1" applyFill="1" applyBorder="1"/>
    <xf numFmtId="169" fontId="133" fillId="34" borderId="0" xfId="4" applyNumberFormat="1" applyFont="1" applyFill="1" applyBorder="1"/>
    <xf numFmtId="169" fontId="133" fillId="34" borderId="8" xfId="4" applyNumberFormat="1" applyFont="1" applyFill="1" applyBorder="1"/>
    <xf numFmtId="170" fontId="0" fillId="0" borderId="0" xfId="2" applyFont="1"/>
    <xf numFmtId="0" fontId="139" fillId="27" borderId="0" xfId="0" applyFont="1" applyFill="1" applyBorder="1" applyAlignment="1">
      <alignment vertical="center"/>
    </xf>
    <xf numFmtId="167" fontId="132" fillId="27" borderId="0" xfId="0" applyNumberFormat="1" applyFont="1" applyFill="1" applyBorder="1" applyAlignment="1">
      <alignment horizontal="right" vertical="center"/>
    </xf>
    <xf numFmtId="167" fontId="0" fillId="0" borderId="0" xfId="0" applyNumberFormat="1" applyFont="1"/>
    <xf numFmtId="175" fontId="0" fillId="0" borderId="0" xfId="0" applyNumberFormat="1" applyFont="1"/>
    <xf numFmtId="167" fontId="0" fillId="27" borderId="34" xfId="236" applyNumberFormat="1" applyFont="1" applyFill="1" applyBorder="1" applyAlignment="1">
      <alignment horizontal="right" vertical="center"/>
    </xf>
    <xf numFmtId="167" fontId="0" fillId="27" borderId="0" xfId="236" applyNumberFormat="1" applyFont="1" applyFill="1" applyBorder="1" applyAlignment="1">
      <alignment horizontal="right" vertical="center"/>
    </xf>
    <xf numFmtId="167" fontId="0" fillId="27" borderId="35" xfId="236" applyNumberFormat="1" applyFont="1" applyFill="1" applyBorder="1" applyAlignment="1">
      <alignment horizontal="right" vertical="center"/>
    </xf>
    <xf numFmtId="167" fontId="0" fillId="27" borderId="15" xfId="236" applyNumberFormat="1" applyFont="1" applyFill="1" applyBorder="1" applyAlignment="1">
      <alignment horizontal="right" vertical="center"/>
    </xf>
    <xf numFmtId="0" fontId="45" fillId="21" borderId="0" xfId="235" applyFont="1" applyFill="1" applyBorder="1"/>
    <xf numFmtId="0" fontId="44" fillId="0" borderId="0" xfId="205" applyFont="1"/>
    <xf numFmtId="0" fontId="132" fillId="27" borderId="0" xfId="200" applyFont="1" applyFill="1" applyBorder="1" applyAlignment="1">
      <alignment horizontal="right" vertical="center"/>
    </xf>
    <xf numFmtId="1" fontId="132" fillId="27" borderId="0" xfId="200" applyNumberFormat="1" applyFont="1" applyFill="1" applyBorder="1" applyAlignment="1">
      <alignment horizontal="right" vertical="center"/>
    </xf>
    <xf numFmtId="0" fontId="43" fillId="27" borderId="0" xfId="200" applyFont="1" applyFill="1" applyBorder="1" applyAlignment="1">
      <alignment horizontal="right"/>
    </xf>
    <xf numFmtId="178" fontId="132" fillId="27" borderId="0" xfId="200" applyNumberFormat="1" applyFont="1" applyFill="1" applyBorder="1" applyAlignment="1">
      <alignment horizontal="right" vertical="center"/>
    </xf>
    <xf numFmtId="186" fontId="83" fillId="0" borderId="0" xfId="207" applyNumberFormat="1" applyBorder="1"/>
    <xf numFmtId="208" fontId="83" fillId="0" borderId="0" xfId="207" applyNumberFormat="1"/>
    <xf numFmtId="0" fontId="42" fillId="21" borderId="0" xfId="207" applyFont="1" applyFill="1" applyBorder="1"/>
    <xf numFmtId="0" fontId="103" fillId="24" borderId="0" xfId="207" applyFont="1" applyFill="1" applyBorder="1" applyAlignment="1">
      <alignment horizontal="right"/>
    </xf>
    <xf numFmtId="0" fontId="42" fillId="21" borderId="0" xfId="207" applyFont="1" applyFill="1" applyBorder="1" applyAlignment="1">
      <alignment horizontal="right"/>
    </xf>
    <xf numFmtId="0" fontId="42" fillId="27" borderId="0" xfId="207" applyFont="1" applyFill="1" applyBorder="1"/>
    <xf numFmtId="0" fontId="42" fillId="27" borderId="0" xfId="207" applyFont="1" applyFill="1" applyBorder="1" applyAlignment="1">
      <alignment horizontal="right"/>
    </xf>
    <xf numFmtId="0" fontId="121" fillId="27" borderId="0" xfId="207" applyFont="1" applyFill="1" applyBorder="1" applyAlignment="1">
      <alignment horizontal="right"/>
    </xf>
    <xf numFmtId="0" fontId="42" fillId="27" borderId="31" xfId="202" applyFont="1" applyFill="1" applyBorder="1" applyAlignment="1">
      <alignment horizontal="center"/>
    </xf>
    <xf numFmtId="9" fontId="42" fillId="27" borderId="0" xfId="207" applyNumberFormat="1" applyFont="1" applyFill="1" applyBorder="1" applyAlignment="1">
      <alignment vertical="center"/>
    </xf>
    <xf numFmtId="0" fontId="42" fillId="27" borderId="17" xfId="207" applyFont="1" applyFill="1" applyBorder="1" applyAlignment="1">
      <alignment vertical="center"/>
    </xf>
    <xf numFmtId="0" fontId="42" fillId="27" borderId="0" xfId="207" applyFont="1" applyFill="1" applyBorder="1" applyAlignment="1">
      <alignment vertical="center"/>
    </xf>
    <xf numFmtId="0" fontId="42" fillId="27" borderId="0" xfId="207" applyNumberFormat="1" applyFont="1" applyFill="1" applyBorder="1" applyAlignment="1">
      <alignment horizontal="center" vertical="center"/>
    </xf>
    <xf numFmtId="169" fontId="133" fillId="27" borderId="17" xfId="151" applyNumberFormat="1" applyFont="1" applyFill="1" applyBorder="1" applyAlignment="1">
      <alignment vertical="center"/>
    </xf>
    <xf numFmtId="169" fontId="133" fillId="27" borderId="0" xfId="151" applyNumberFormat="1" applyFont="1" applyFill="1" applyBorder="1" applyAlignment="1">
      <alignment vertical="center"/>
    </xf>
    <xf numFmtId="0" fontId="125" fillId="27" borderId="0" xfId="207" applyFont="1" applyFill="1" applyBorder="1"/>
    <xf numFmtId="0" fontId="140" fillId="27" borderId="7" xfId="207" applyNumberFormat="1" applyFont="1" applyFill="1" applyBorder="1" applyAlignment="1">
      <alignment horizontal="right" vertical="center"/>
    </xf>
    <xf numFmtId="191" fontId="0" fillId="27" borderId="0" xfId="2" applyNumberFormat="1" applyFont="1" applyFill="1" applyBorder="1" applyAlignment="1">
      <alignment vertical="center"/>
    </xf>
    <xf numFmtId="176" fontId="83" fillId="27" borderId="0" xfId="2" applyNumberFormat="1" applyFont="1" applyFill="1" applyBorder="1" applyAlignment="1">
      <alignment vertical="center"/>
    </xf>
    <xf numFmtId="169" fontId="0" fillId="27" borderId="0" xfId="151" applyNumberFormat="1" applyFont="1" applyFill="1" applyBorder="1" applyAlignment="1">
      <alignment horizontal="right" vertical="center"/>
    </xf>
    <xf numFmtId="0" fontId="42" fillId="27" borderId="0" xfId="207" applyNumberFormat="1" applyFont="1" applyFill="1" applyBorder="1" applyAlignment="1">
      <alignment horizontal="left" vertical="center"/>
    </xf>
    <xf numFmtId="0" fontId="42" fillId="27" borderId="8" xfId="207" applyFont="1" applyFill="1" applyBorder="1" applyAlignment="1">
      <alignment vertical="center"/>
    </xf>
    <xf numFmtId="173" fontId="42" fillId="27" borderId="0" xfId="207" applyNumberFormat="1" applyFont="1" applyFill="1" applyBorder="1" applyAlignment="1">
      <alignment vertical="center"/>
    </xf>
    <xf numFmtId="173" fontId="83" fillId="0" borderId="0" xfId="207" applyNumberFormat="1"/>
    <xf numFmtId="0" fontId="83" fillId="27" borderId="29" xfId="207" applyFill="1" applyBorder="1" applyAlignment="1">
      <alignment vertical="center"/>
    </xf>
    <xf numFmtId="167" fontId="0" fillId="27" borderId="29" xfId="151" applyNumberFormat="1" applyFont="1" applyFill="1" applyBorder="1" applyAlignment="1">
      <alignment vertical="center"/>
    </xf>
    <xf numFmtId="173" fontId="83" fillId="27" borderId="29" xfId="207" applyNumberFormat="1" applyFill="1" applyBorder="1" applyAlignment="1">
      <alignment horizontal="center" vertical="center"/>
    </xf>
    <xf numFmtId="173" fontId="42" fillId="27" borderId="0" xfId="207" applyNumberFormat="1" applyFont="1" applyFill="1" applyBorder="1" applyAlignment="1">
      <alignment horizontal="left" vertical="center"/>
    </xf>
    <xf numFmtId="0" fontId="121" fillId="27" borderId="0" xfId="207" applyFont="1" applyFill="1" applyBorder="1" applyAlignment="1">
      <alignment vertical="center"/>
    </xf>
    <xf numFmtId="0" fontId="132" fillId="27" borderId="47" xfId="207" applyNumberFormat="1" applyFont="1" applyFill="1" applyBorder="1" applyAlignment="1">
      <alignment horizontal="center" vertical="center"/>
    </xf>
    <xf numFmtId="0" fontId="132" fillId="27" borderId="36" xfId="207" applyNumberFormat="1" applyFont="1" applyFill="1" applyBorder="1" applyAlignment="1">
      <alignment horizontal="left" vertical="center"/>
    </xf>
    <xf numFmtId="0" fontId="132" fillId="27" borderId="36" xfId="207" applyNumberFormat="1" applyFont="1" applyFill="1" applyBorder="1" applyAlignment="1">
      <alignment horizontal="center" vertical="center"/>
    </xf>
    <xf numFmtId="167" fontId="0" fillId="27" borderId="88" xfId="151" applyNumberFormat="1" applyFont="1" applyFill="1" applyBorder="1" applyAlignment="1">
      <alignment vertical="center"/>
    </xf>
    <xf numFmtId="167" fontId="0" fillId="27" borderId="89" xfId="151" applyNumberFormat="1" applyFont="1" applyFill="1" applyBorder="1" applyAlignment="1">
      <alignment vertical="center"/>
    </xf>
    <xf numFmtId="0" fontId="132" fillId="27" borderId="47" xfId="207" applyFont="1" applyFill="1" applyBorder="1" applyAlignment="1">
      <alignment vertical="center"/>
    </xf>
    <xf numFmtId="0" fontId="83" fillId="27" borderId="27" xfId="207" applyFill="1" applyBorder="1"/>
    <xf numFmtId="0" fontId="83" fillId="27" borderId="28" xfId="207" applyFill="1" applyBorder="1"/>
    <xf numFmtId="173" fontId="83" fillId="27" borderId="8" xfId="207" applyNumberFormat="1" applyFill="1" applyBorder="1" applyAlignment="1">
      <alignment horizontal="right" vertical="center"/>
    </xf>
    <xf numFmtId="0" fontId="132" fillId="27" borderId="47" xfId="207" applyNumberFormat="1" applyFont="1" applyFill="1" applyBorder="1" applyAlignment="1">
      <alignment horizontal="left" vertical="center"/>
    </xf>
    <xf numFmtId="0" fontId="132" fillId="27" borderId="36" xfId="207" applyFont="1" applyFill="1" applyBorder="1" applyAlignment="1">
      <alignment vertical="center"/>
    </xf>
    <xf numFmtId="0" fontId="83" fillId="27" borderId="27" xfId="207" applyNumberFormat="1" applyFill="1" applyBorder="1" applyAlignment="1">
      <alignment vertical="center"/>
    </xf>
    <xf numFmtId="0" fontId="83" fillId="27" borderId="28" xfId="207" applyNumberFormat="1" applyFill="1" applyBorder="1" applyAlignment="1">
      <alignment vertical="center"/>
    </xf>
    <xf numFmtId="0" fontId="83" fillId="27" borderId="81" xfId="207" applyNumberFormat="1" applyFill="1" applyBorder="1" applyAlignment="1">
      <alignment horizontal="center" vertical="center"/>
    </xf>
    <xf numFmtId="167" fontId="0" fillId="27" borderId="30" xfId="151" applyNumberFormat="1" applyFont="1" applyFill="1" applyBorder="1" applyAlignment="1">
      <alignment vertical="center"/>
    </xf>
    <xf numFmtId="0" fontId="101" fillId="27" borderId="81" xfId="207" applyFont="1" applyFill="1" applyBorder="1" applyAlignment="1">
      <alignment horizontal="center"/>
    </xf>
    <xf numFmtId="0" fontId="101" fillId="27" borderId="30" xfId="207" applyFont="1" applyFill="1" applyBorder="1" applyAlignment="1">
      <alignment horizontal="center"/>
    </xf>
    <xf numFmtId="0" fontId="83" fillId="27" borderId="84" xfId="207" applyFill="1" applyBorder="1" applyAlignment="1">
      <alignment horizontal="center" vertical="center"/>
    </xf>
    <xf numFmtId="0" fontId="42" fillId="27" borderId="27" xfId="207" applyFont="1" applyFill="1" applyBorder="1" applyAlignment="1">
      <alignment horizontal="center" vertical="center"/>
    </xf>
    <xf numFmtId="0" fontId="83" fillId="27" borderId="27" xfId="207" applyFill="1" applyBorder="1" applyAlignment="1">
      <alignment horizontal="center" vertical="center"/>
    </xf>
    <xf numFmtId="0" fontId="83" fillId="27" borderId="28" xfId="207" applyFill="1" applyBorder="1" applyAlignment="1">
      <alignment horizontal="center" vertical="center"/>
    </xf>
    <xf numFmtId="1" fontId="42" fillId="27" borderId="0" xfId="207" applyNumberFormat="1" applyFont="1" applyFill="1" applyBorder="1" applyAlignment="1">
      <alignment vertical="center"/>
    </xf>
    <xf numFmtId="2" fontId="83" fillId="27" borderId="89" xfId="207" applyNumberFormat="1" applyFill="1" applyBorder="1" applyAlignment="1">
      <alignment horizontal="center" vertical="center"/>
    </xf>
    <xf numFmtId="2" fontId="83" fillId="27" borderId="31" xfId="207" applyNumberFormat="1" applyFill="1" applyBorder="1" applyAlignment="1">
      <alignment horizontal="center" vertical="center"/>
    </xf>
    <xf numFmtId="2" fontId="83" fillId="27" borderId="32" xfId="207" applyNumberFormat="1" applyFill="1" applyBorder="1" applyAlignment="1">
      <alignment horizontal="center" vertical="center"/>
    </xf>
    <xf numFmtId="175" fontId="83" fillId="27" borderId="79" xfId="207" applyNumberFormat="1" applyFill="1" applyBorder="1" applyAlignment="1">
      <alignment horizontal="center"/>
    </xf>
    <xf numFmtId="175" fontId="83" fillId="27" borderId="80" xfId="207" applyNumberFormat="1" applyFill="1" applyBorder="1" applyAlignment="1">
      <alignment horizontal="center"/>
    </xf>
    <xf numFmtId="0" fontId="132" fillId="27" borderId="90" xfId="207" applyFont="1" applyFill="1" applyBorder="1" applyAlignment="1">
      <alignment horizontal="center" vertical="center"/>
    </xf>
    <xf numFmtId="0" fontId="42" fillId="0" borderId="0" xfId="207" applyFont="1" applyAlignment="1">
      <alignment horizontal="left"/>
    </xf>
    <xf numFmtId="0" fontId="42" fillId="0" borderId="0" xfId="207" applyFont="1"/>
    <xf numFmtId="0" fontId="83" fillId="0" borderId="29" xfId="207" applyBorder="1"/>
    <xf numFmtId="2" fontId="83" fillId="0" borderId="29" xfId="207" applyNumberFormat="1" applyBorder="1"/>
    <xf numFmtId="0" fontId="41" fillId="27" borderId="0" xfId="207" applyNumberFormat="1" applyFont="1" applyFill="1" applyBorder="1" applyAlignment="1">
      <alignment horizontal="center" vertical="center"/>
    </xf>
    <xf numFmtId="0" fontId="41" fillId="27" borderId="0" xfId="207" applyFont="1" applyFill="1" applyBorder="1" applyAlignment="1">
      <alignment vertical="center"/>
    </xf>
    <xf numFmtId="0" fontId="41" fillId="0" borderId="0" xfId="207" applyFont="1"/>
    <xf numFmtId="0" fontId="41" fillId="0" borderId="0" xfId="207" applyFont="1" applyBorder="1"/>
    <xf numFmtId="0" fontId="41" fillId="0" borderId="26" xfId="207" applyFont="1" applyBorder="1" applyAlignment="1">
      <alignment horizontal="left"/>
    </xf>
    <xf numFmtId="0" fontId="41" fillId="0" borderId="0" xfId="207" applyFont="1" applyBorder="1" applyAlignment="1">
      <alignment horizontal="left"/>
    </xf>
    <xf numFmtId="0" fontId="41" fillId="0" borderId="8" xfId="207" applyFont="1" applyBorder="1" applyAlignment="1">
      <alignment horizontal="left"/>
    </xf>
    <xf numFmtId="2" fontId="121" fillId="0" borderId="0" xfId="207" applyNumberFormat="1" applyFont="1"/>
    <xf numFmtId="0" fontId="41" fillId="0" borderId="8" xfId="207" applyFont="1" applyBorder="1"/>
    <xf numFmtId="0" fontId="121" fillId="0" borderId="26" xfId="207" applyFont="1" applyBorder="1"/>
    <xf numFmtId="0" fontId="41" fillId="0" borderId="26" xfId="207" applyFont="1" applyBorder="1"/>
    <xf numFmtId="0" fontId="40" fillId="0" borderId="0" xfId="207" applyFont="1"/>
    <xf numFmtId="0" fontId="39" fillId="27" borderId="17" xfId="207" applyFont="1" applyFill="1" applyBorder="1" applyAlignment="1">
      <alignment vertical="center"/>
    </xf>
    <xf numFmtId="0" fontId="39" fillId="27" borderId="0" xfId="207" applyFont="1" applyFill="1" applyBorder="1" applyAlignment="1">
      <alignment vertical="center"/>
    </xf>
    <xf numFmtId="1" fontId="39" fillId="27" borderId="0" xfId="207" applyNumberFormat="1" applyFont="1" applyFill="1" applyBorder="1" applyAlignment="1">
      <alignment vertical="center"/>
    </xf>
    <xf numFmtId="0" fontId="39" fillId="0" borderId="0" xfId="207" applyFont="1"/>
    <xf numFmtId="169" fontId="231" fillId="21" borderId="0" xfId="151" applyFont="1" applyFill="1" applyBorder="1" applyAlignment="1">
      <alignment vertical="center"/>
    </xf>
    <xf numFmtId="0" fontId="38" fillId="21" borderId="0" xfId="207" applyFont="1" applyFill="1" applyAlignment="1">
      <alignment vertical="center"/>
    </xf>
    <xf numFmtId="167" fontId="108" fillId="0" borderId="0" xfId="4" applyNumberFormat="1"/>
    <xf numFmtId="175" fontId="88" fillId="21" borderId="10" xfId="200" applyNumberFormat="1" applyFill="1" applyBorder="1"/>
    <xf numFmtId="0" fontId="37" fillId="21" borderId="0" xfId="207" applyFont="1" applyFill="1" applyBorder="1" applyAlignment="1">
      <alignment horizontal="right"/>
    </xf>
    <xf numFmtId="0" fontId="72" fillId="0" borderId="0" xfId="207" applyFont="1" applyBorder="1" applyAlignment="1">
      <alignment horizontal="left"/>
    </xf>
    <xf numFmtId="0" fontId="72" fillId="0" borderId="8" xfId="207" applyFont="1" applyBorder="1" applyAlignment="1">
      <alignment horizontal="left"/>
    </xf>
    <xf numFmtId="0" fontId="83" fillId="0" borderId="8" xfId="207" applyFont="1" applyBorder="1"/>
    <xf numFmtId="0" fontId="37" fillId="0" borderId="0" xfId="207" applyFont="1"/>
    <xf numFmtId="0" fontId="36" fillId="27" borderId="0" xfId="207" applyFont="1" applyFill="1" applyBorder="1" applyAlignment="1">
      <alignment vertical="center"/>
    </xf>
    <xf numFmtId="0" fontId="36" fillId="27" borderId="0" xfId="207" applyNumberFormat="1" applyFont="1" applyFill="1" applyBorder="1" applyAlignment="1">
      <alignment horizontal="center" vertical="center"/>
    </xf>
    <xf numFmtId="0" fontId="83" fillId="27" borderId="27" xfId="207" applyFill="1" applyBorder="1" applyAlignment="1">
      <alignment vertical="center"/>
    </xf>
    <xf numFmtId="0" fontId="83" fillId="27" borderId="28" xfId="207" applyFill="1" applyBorder="1" applyAlignment="1">
      <alignment vertical="center"/>
    </xf>
    <xf numFmtId="176" fontId="0" fillId="27" borderId="31" xfId="2" applyNumberFormat="1" applyFont="1" applyFill="1" applyBorder="1" applyAlignment="1">
      <alignment vertical="center"/>
    </xf>
    <xf numFmtId="176" fontId="0" fillId="27" borderId="32" xfId="2" applyNumberFormat="1" applyFont="1" applyFill="1" applyBorder="1" applyAlignment="1">
      <alignment vertical="center"/>
    </xf>
    <xf numFmtId="0" fontId="35" fillId="27" borderId="8" xfId="219" applyNumberFormat="1" applyFont="1" applyFill="1" applyBorder="1" applyAlignment="1">
      <alignment vertical="center"/>
    </xf>
    <xf numFmtId="0" fontId="35" fillId="27" borderId="0" xfId="219" applyNumberFormat="1" applyFont="1" applyFill="1" applyBorder="1" applyAlignment="1">
      <alignment vertical="center"/>
    </xf>
    <xf numFmtId="178" fontId="120" fillId="0" borderId="0" xfId="0" applyNumberFormat="1" applyFont="1"/>
    <xf numFmtId="178" fontId="119" fillId="0" borderId="0" xfId="0" applyNumberFormat="1" applyFont="1"/>
    <xf numFmtId="0" fontId="35" fillId="0" borderId="0" xfId="207" applyFont="1" applyBorder="1" applyAlignment="1">
      <alignment horizontal="right"/>
    </xf>
    <xf numFmtId="0" fontId="35" fillId="0" borderId="0" xfId="207" applyFont="1" applyBorder="1"/>
    <xf numFmtId="178" fontId="119" fillId="0" borderId="8" xfId="0" applyNumberFormat="1" applyFont="1" applyBorder="1"/>
    <xf numFmtId="183" fontId="119" fillId="0" borderId="0" xfId="0" applyNumberFormat="1" applyFont="1"/>
    <xf numFmtId="183" fontId="82" fillId="0" borderId="0" xfId="219" applyNumberFormat="1"/>
    <xf numFmtId="178" fontId="119" fillId="0" borderId="0" xfId="0" applyNumberFormat="1" applyFont="1" applyBorder="1"/>
    <xf numFmtId="0" fontId="35" fillId="27" borderId="0" xfId="207" applyNumberFormat="1" applyFont="1" applyFill="1" applyBorder="1" applyAlignment="1">
      <alignment horizontal="center" vertical="center"/>
    </xf>
    <xf numFmtId="0" fontId="35" fillId="27" borderId="0" xfId="207" applyFont="1" applyFill="1" applyBorder="1" applyAlignment="1">
      <alignment vertical="center"/>
    </xf>
    <xf numFmtId="0" fontId="34" fillId="27" borderId="0" xfId="221" applyFont="1" applyFill="1" applyBorder="1"/>
    <xf numFmtId="0" fontId="121" fillId="27" borderId="0" xfId="221" applyFont="1" applyFill="1" applyBorder="1" applyAlignment="1">
      <alignment horizontal="right"/>
    </xf>
    <xf numFmtId="0" fontId="34" fillId="27" borderId="0" xfId="207" applyNumberFormat="1" applyFont="1" applyFill="1" applyBorder="1" applyAlignment="1">
      <alignment horizontal="center" vertical="center"/>
    </xf>
    <xf numFmtId="0" fontId="34" fillId="27" borderId="0" xfId="207" applyFont="1" applyFill="1" applyBorder="1" applyAlignment="1">
      <alignment vertical="center"/>
    </xf>
    <xf numFmtId="170" fontId="82" fillId="27" borderId="0" xfId="2" applyFont="1" applyFill="1" applyBorder="1" applyAlignment="1">
      <alignment horizontal="right"/>
    </xf>
    <xf numFmtId="0" fontId="34" fillId="27" borderId="17" xfId="221" applyFont="1" applyFill="1" applyBorder="1" applyAlignment="1">
      <alignment horizontal="center" vertical="center"/>
    </xf>
    <xf numFmtId="176" fontId="82" fillId="27" borderId="0" xfId="2" applyNumberFormat="1" applyFont="1" applyFill="1" applyBorder="1" applyAlignment="1">
      <alignment horizontal="right"/>
    </xf>
    <xf numFmtId="176" fontId="82" fillId="27" borderId="8" xfId="2" applyNumberFormat="1" applyFont="1" applyFill="1" applyBorder="1" applyAlignment="1">
      <alignment horizontal="right"/>
    </xf>
    <xf numFmtId="176" fontId="133" fillId="27" borderId="13" xfId="2" applyNumberFormat="1" applyFont="1" applyFill="1" applyBorder="1" applyAlignment="1">
      <alignment vertical="center"/>
    </xf>
    <xf numFmtId="176" fontId="133" fillId="27" borderId="42" xfId="2" applyNumberFormat="1" applyFont="1" applyFill="1" applyBorder="1" applyAlignment="1">
      <alignment vertical="center"/>
    </xf>
    <xf numFmtId="176" fontId="133" fillId="27" borderId="34" xfId="2" applyNumberFormat="1" applyFont="1" applyFill="1" applyBorder="1" applyAlignment="1">
      <alignment horizontal="right" vertical="center"/>
    </xf>
    <xf numFmtId="176" fontId="133" fillId="27" borderId="44" xfId="2" applyNumberFormat="1" applyFont="1" applyFill="1" applyBorder="1" applyAlignment="1">
      <alignment vertical="center"/>
    </xf>
    <xf numFmtId="176" fontId="133" fillId="27" borderId="38" xfId="2" applyNumberFormat="1" applyFont="1" applyFill="1" applyBorder="1" applyAlignment="1">
      <alignment horizontal="right" vertical="center"/>
    </xf>
    <xf numFmtId="176" fontId="133" fillId="27" borderId="8" xfId="2" applyNumberFormat="1" applyFont="1" applyFill="1" applyBorder="1" applyAlignment="1">
      <alignment vertical="center"/>
    </xf>
    <xf numFmtId="176" fontId="82" fillId="27" borderId="26" xfId="2" applyNumberFormat="1" applyFont="1" applyFill="1" applyBorder="1"/>
    <xf numFmtId="176" fontId="82" fillId="27" borderId="0" xfId="2" applyNumberFormat="1" applyFont="1" applyFill="1" applyBorder="1"/>
    <xf numFmtId="176" fontId="82" fillId="27" borderId="8" xfId="2" applyNumberFormat="1" applyFont="1" applyFill="1" applyBorder="1"/>
    <xf numFmtId="176" fontId="133" fillId="27" borderId="14" xfId="2" applyNumberFormat="1" applyFont="1" applyFill="1" applyBorder="1" applyAlignment="1">
      <alignment vertical="center"/>
    </xf>
    <xf numFmtId="0" fontId="119" fillId="27" borderId="0" xfId="221" applyFont="1" applyFill="1" applyBorder="1"/>
    <xf numFmtId="0" fontId="119" fillId="27" borderId="8" xfId="221" applyFont="1" applyFill="1" applyBorder="1"/>
    <xf numFmtId="0" fontId="54" fillId="27" borderId="8" xfId="221" applyFont="1" applyFill="1" applyBorder="1" applyAlignment="1">
      <alignment horizontal="center"/>
    </xf>
    <xf numFmtId="0" fontId="121" fillId="27" borderId="0" xfId="221" applyFont="1" applyFill="1" applyBorder="1" applyAlignment="1">
      <alignment horizontal="center"/>
    </xf>
    <xf numFmtId="170" fontId="34" fillId="27" borderId="0" xfId="2" applyFont="1" applyFill="1" applyBorder="1" applyAlignment="1">
      <alignment horizontal="right"/>
    </xf>
    <xf numFmtId="0" fontId="132" fillId="27" borderId="47" xfId="221" applyFont="1" applyFill="1" applyBorder="1" applyAlignment="1">
      <alignment vertical="center"/>
    </xf>
    <xf numFmtId="0" fontId="132" fillId="27" borderId="48" xfId="221" applyFont="1" applyFill="1" applyBorder="1" applyAlignment="1">
      <alignment horizontal="center" vertical="center"/>
    </xf>
    <xf numFmtId="0" fontId="82" fillId="27" borderId="27" xfId="221" applyFill="1" applyBorder="1"/>
    <xf numFmtId="173" fontId="0" fillId="27" borderId="31" xfId="223" applyNumberFormat="1" applyFont="1" applyFill="1" applyBorder="1" applyAlignment="1">
      <alignment horizontal="center"/>
    </xf>
    <xf numFmtId="0" fontId="82" fillId="27" borderId="28" xfId="221" applyFill="1" applyBorder="1"/>
    <xf numFmtId="173" fontId="0" fillId="27" borderId="32" xfId="223" applyNumberFormat="1" applyFont="1" applyFill="1" applyBorder="1" applyAlignment="1">
      <alignment horizontal="center"/>
    </xf>
    <xf numFmtId="0" fontId="132" fillId="27" borderId="36" xfId="221" applyFont="1" applyFill="1" applyBorder="1" applyAlignment="1">
      <alignment horizontal="center" vertical="center"/>
    </xf>
    <xf numFmtId="0" fontId="132" fillId="27" borderId="47" xfId="221" applyFont="1" applyFill="1" applyBorder="1" applyAlignment="1">
      <alignment horizontal="center" vertical="center"/>
    </xf>
    <xf numFmtId="0" fontId="132" fillId="27" borderId="36" xfId="221" applyNumberFormat="1" applyFont="1" applyFill="1" applyBorder="1" applyAlignment="1">
      <alignment horizontal="center" vertical="center"/>
    </xf>
    <xf numFmtId="0" fontId="132" fillId="27" borderId="48" xfId="221" applyNumberFormat="1" applyFont="1" applyFill="1" applyBorder="1" applyAlignment="1">
      <alignment horizontal="center" vertical="center"/>
    </xf>
    <xf numFmtId="0" fontId="54" fillId="27" borderId="51" xfId="221" applyFont="1" applyFill="1" applyBorder="1"/>
    <xf numFmtId="176" fontId="82" fillId="27" borderId="88" xfId="2" applyNumberFormat="1" applyFont="1" applyFill="1" applyBorder="1" applyAlignment="1">
      <alignment horizontal="center"/>
    </xf>
    <xf numFmtId="0" fontId="54" fillId="27" borderId="27" xfId="221" applyFont="1" applyFill="1" applyBorder="1"/>
    <xf numFmtId="176" fontId="82" fillId="27" borderId="31" xfId="2" applyNumberFormat="1" applyFont="1" applyFill="1" applyBorder="1" applyAlignment="1">
      <alignment horizontal="center"/>
    </xf>
    <xf numFmtId="176" fontId="82" fillId="27" borderId="32" xfId="2" applyNumberFormat="1" applyFont="1" applyFill="1" applyBorder="1" applyAlignment="1">
      <alignment horizontal="center"/>
    </xf>
    <xf numFmtId="169" fontId="127" fillId="24" borderId="18" xfId="225" applyNumberFormat="1" applyFont="1" applyFill="1" applyBorder="1" applyAlignment="1">
      <alignment vertical="center"/>
    </xf>
    <xf numFmtId="176" fontId="133" fillId="27" borderId="38" xfId="2" applyNumberFormat="1" applyFont="1" applyFill="1" applyBorder="1" applyAlignment="1">
      <alignment vertical="center"/>
    </xf>
    <xf numFmtId="171" fontId="133" fillId="27" borderId="0" xfId="2" applyNumberFormat="1" applyFont="1" applyFill="1" applyBorder="1" applyAlignment="1">
      <alignment vertical="center"/>
    </xf>
    <xf numFmtId="0" fontId="34" fillId="27" borderId="0" xfId="221" applyFont="1" applyFill="1" applyBorder="1" applyAlignment="1">
      <alignment horizontal="center"/>
    </xf>
    <xf numFmtId="4" fontId="82" fillId="0" borderId="0" xfId="221" applyNumberFormat="1" applyFont="1"/>
    <xf numFmtId="0" fontId="34" fillId="0" borderId="0" xfId="221" applyFont="1"/>
    <xf numFmtId="0" fontId="34" fillId="0" borderId="0" xfId="221" applyFont="1" applyAlignment="1">
      <alignment horizontal="left"/>
    </xf>
    <xf numFmtId="0" fontId="34" fillId="21" borderId="0" xfId="224" applyFont="1" applyFill="1" applyBorder="1" applyAlignment="1">
      <alignment horizontal="right"/>
    </xf>
    <xf numFmtId="0" fontId="33" fillId="27" borderId="0" xfId="207" applyFont="1" applyFill="1" applyBorder="1" applyAlignment="1">
      <alignment vertical="center"/>
    </xf>
    <xf numFmtId="0" fontId="33" fillId="27" borderId="0" xfId="207" applyNumberFormat="1" applyFont="1" applyFill="1" applyBorder="1" applyAlignment="1">
      <alignment horizontal="center" vertical="center"/>
    </xf>
    <xf numFmtId="192" fontId="0" fillId="21" borderId="0" xfId="151" applyNumberFormat="1" applyFont="1" applyFill="1" applyBorder="1" applyAlignment="1">
      <alignment vertical="center"/>
    </xf>
    <xf numFmtId="192" fontId="0" fillId="21" borderId="0" xfId="0" applyNumberFormat="1" applyFill="1" applyAlignment="1">
      <alignment vertical="center"/>
    </xf>
    <xf numFmtId="0" fontId="232" fillId="21" borderId="0" xfId="0" applyNumberFormat="1" applyFont="1" applyFill="1" applyBorder="1" applyAlignment="1" applyProtection="1">
      <alignment vertical="center"/>
    </xf>
    <xf numFmtId="0" fontId="121" fillId="27" borderId="5" xfId="224" applyFont="1" applyFill="1" applyBorder="1" applyAlignment="1">
      <alignment horizontal="right"/>
    </xf>
    <xf numFmtId="9" fontId="32" fillId="27" borderId="0" xfId="224" applyNumberFormat="1" applyFont="1" applyFill="1" applyBorder="1" applyAlignment="1">
      <alignment vertical="center"/>
    </xf>
    <xf numFmtId="0" fontId="32" fillId="27" borderId="0" xfId="207" applyNumberFormat="1" applyFont="1" applyFill="1" applyBorder="1" applyAlignment="1">
      <alignment horizontal="center" vertical="center"/>
    </xf>
    <xf numFmtId="0" fontId="32" fillId="27" borderId="29" xfId="224" applyNumberFormat="1" applyFont="1" applyFill="1" applyBorder="1" applyAlignment="1">
      <alignment vertical="center"/>
    </xf>
    <xf numFmtId="0" fontId="32" fillId="27" borderId="0" xfId="207" applyFont="1" applyFill="1" applyBorder="1" applyAlignment="1">
      <alignment vertical="center"/>
    </xf>
    <xf numFmtId="0" fontId="116" fillId="27" borderId="0" xfId="224" applyFont="1" applyFill="1" applyBorder="1" applyAlignment="1">
      <alignment vertical="center"/>
    </xf>
    <xf numFmtId="0" fontId="31" fillId="27" borderId="0" xfId="224" applyFont="1" applyFill="1" applyBorder="1"/>
    <xf numFmtId="0" fontId="31" fillId="0" borderId="0" xfId="224" applyFont="1"/>
    <xf numFmtId="178" fontId="81" fillId="27" borderId="0" xfId="224" applyNumberFormat="1" applyFill="1" applyBorder="1"/>
    <xf numFmtId="0" fontId="31" fillId="27" borderId="8" xfId="224" applyFont="1" applyFill="1" applyBorder="1"/>
    <xf numFmtId="178" fontId="81" fillId="27" borderId="8" xfId="224" applyNumberFormat="1" applyFill="1" applyBorder="1"/>
    <xf numFmtId="0" fontId="31" fillId="27" borderId="0" xfId="224" applyFont="1" applyFill="1" applyBorder="1" applyAlignment="1">
      <alignment horizontal="right"/>
    </xf>
    <xf numFmtId="0" fontId="132" fillId="27" borderId="47" xfId="224" applyFont="1" applyFill="1" applyBorder="1" applyAlignment="1">
      <alignment horizontal="left" vertical="center"/>
    </xf>
    <xf numFmtId="0" fontId="132" fillId="27" borderId="36" xfId="224" applyFont="1" applyFill="1" applyBorder="1" applyAlignment="1">
      <alignment horizontal="left" vertical="center"/>
    </xf>
    <xf numFmtId="0" fontId="132" fillId="27" borderId="48" xfId="224" applyFont="1" applyFill="1" applyBorder="1" applyAlignment="1">
      <alignment horizontal="left" vertical="center"/>
    </xf>
    <xf numFmtId="0" fontId="81" fillId="27" borderId="27" xfId="224" applyNumberFormat="1" applyFill="1" applyBorder="1" applyAlignment="1">
      <alignment horizontal="left" vertical="center"/>
    </xf>
    <xf numFmtId="9" fontId="133" fillId="27" borderId="31" xfId="228" applyFont="1" applyFill="1" applyBorder="1" applyAlignment="1">
      <alignment horizontal="center" vertical="center"/>
    </xf>
    <xf numFmtId="0" fontId="81" fillId="27" borderId="28" xfId="224" applyNumberFormat="1" applyFill="1" applyBorder="1" applyAlignment="1">
      <alignment horizontal="left" vertical="center"/>
    </xf>
    <xf numFmtId="9" fontId="133" fillId="27" borderId="32" xfId="228" applyFont="1" applyFill="1" applyBorder="1" applyAlignment="1">
      <alignment horizontal="center" vertical="center"/>
    </xf>
    <xf numFmtId="0" fontId="132" fillId="27" borderId="81" xfId="224" applyFont="1" applyFill="1" applyBorder="1" applyAlignment="1">
      <alignment vertical="center"/>
    </xf>
    <xf numFmtId="0" fontId="132" fillId="27" borderId="29" xfId="224" applyFont="1" applyFill="1" applyBorder="1" applyAlignment="1">
      <alignment vertical="center"/>
    </xf>
    <xf numFmtId="0" fontId="132" fillId="27" borderId="81" xfId="224" applyNumberFormat="1" applyFont="1" applyFill="1" applyBorder="1" applyAlignment="1">
      <alignment horizontal="right" vertical="center"/>
    </xf>
    <xf numFmtId="0" fontId="132" fillId="27" borderId="30" xfId="224" applyNumberFormat="1" applyFont="1" applyFill="1" applyBorder="1" applyAlignment="1">
      <alignment horizontal="right" vertical="center"/>
    </xf>
    <xf numFmtId="0" fontId="132" fillId="27" borderId="51" xfId="224" applyFont="1" applyFill="1" applyBorder="1" applyAlignment="1">
      <alignment vertical="center"/>
    </xf>
    <xf numFmtId="9" fontId="133" fillId="27" borderId="88" xfId="228" applyFont="1" applyFill="1" applyBorder="1" applyAlignment="1">
      <alignment horizontal="right" vertical="center"/>
    </xf>
    <xf numFmtId="0" fontId="132" fillId="27" borderId="27" xfId="224" applyFont="1" applyFill="1" applyBorder="1" applyAlignment="1">
      <alignment vertical="center"/>
    </xf>
    <xf numFmtId="9" fontId="133" fillId="27" borderId="31" xfId="228" applyFont="1" applyFill="1" applyBorder="1" applyAlignment="1">
      <alignment horizontal="right" vertical="center"/>
    </xf>
    <xf numFmtId="0" fontId="132" fillId="27" borderId="28" xfId="224" applyFont="1" applyFill="1" applyBorder="1" applyAlignment="1">
      <alignment vertical="center"/>
    </xf>
    <xf numFmtId="9" fontId="133" fillId="27" borderId="32" xfId="228" applyFont="1" applyFill="1" applyBorder="1" applyAlignment="1">
      <alignment horizontal="right" vertical="center"/>
    </xf>
    <xf numFmtId="0" fontId="132" fillId="27" borderId="47" xfId="224" applyFont="1" applyFill="1" applyBorder="1" applyAlignment="1">
      <alignment vertical="center"/>
    </xf>
    <xf numFmtId="0" fontId="132" fillId="27" borderId="36" xfId="224" applyFont="1" applyFill="1" applyBorder="1" applyAlignment="1">
      <alignment vertical="center"/>
    </xf>
    <xf numFmtId="0" fontId="132" fillId="27" borderId="36" xfId="224" applyNumberFormat="1" applyFont="1" applyFill="1" applyBorder="1" applyAlignment="1">
      <alignment horizontal="right" vertical="center"/>
    </xf>
    <xf numFmtId="0" fontId="132" fillId="27" borderId="47" xfId="224" applyNumberFormat="1" applyFont="1" applyFill="1" applyBorder="1" applyAlignment="1">
      <alignment horizontal="right" vertical="center"/>
    </xf>
    <xf numFmtId="0" fontId="132" fillId="27" borderId="48" xfId="224" applyNumberFormat="1" applyFont="1" applyFill="1" applyBorder="1" applyAlignment="1">
      <alignment horizontal="right" vertical="center"/>
    </xf>
    <xf numFmtId="0" fontId="81" fillId="27" borderId="27" xfId="224" applyNumberFormat="1" applyFill="1" applyBorder="1" applyAlignment="1">
      <alignment vertical="center"/>
    </xf>
    <xf numFmtId="2" fontId="133" fillId="27" borderId="31" xfId="228" applyNumberFormat="1" applyFont="1" applyFill="1" applyBorder="1" applyAlignment="1">
      <alignment horizontal="right" vertical="center"/>
    </xf>
    <xf numFmtId="2" fontId="81" fillId="27" borderId="31" xfId="224" applyNumberFormat="1" applyFill="1" applyBorder="1"/>
    <xf numFmtId="0" fontId="81" fillId="27" borderId="28" xfId="224" applyNumberFormat="1" applyFill="1" applyBorder="1" applyAlignment="1">
      <alignment vertical="center"/>
    </xf>
    <xf numFmtId="2" fontId="81" fillId="27" borderId="32" xfId="224" applyNumberFormat="1" applyFill="1" applyBorder="1"/>
    <xf numFmtId="2" fontId="133" fillId="27" borderId="31" xfId="228" applyNumberFormat="1" applyFont="1" applyFill="1" applyBorder="1" applyAlignment="1">
      <alignment horizontal="center" vertical="center"/>
    </xf>
    <xf numFmtId="2" fontId="133" fillId="27" borderId="32" xfId="228" applyNumberFormat="1" applyFont="1" applyFill="1" applyBorder="1" applyAlignment="1">
      <alignment horizontal="center" vertical="center"/>
    </xf>
    <xf numFmtId="0" fontId="31" fillId="27" borderId="0" xfId="224" applyNumberFormat="1" applyFont="1" applyFill="1" applyBorder="1" applyAlignment="1">
      <alignment vertical="center"/>
    </xf>
    <xf numFmtId="0" fontId="101" fillId="27" borderId="81" xfId="224" applyFont="1" applyFill="1" applyBorder="1"/>
    <xf numFmtId="0" fontId="31" fillId="27" borderId="27" xfId="224" applyFont="1" applyFill="1" applyBorder="1"/>
    <xf numFmtId="178" fontId="81" fillId="27" borderId="31" xfId="224" applyNumberFormat="1" applyFill="1" applyBorder="1"/>
    <xf numFmtId="0" fontId="31" fillId="27" borderId="28" xfId="224" applyFont="1" applyFill="1" applyBorder="1"/>
    <xf numFmtId="178" fontId="81" fillId="27" borderId="32" xfId="224" applyNumberFormat="1" applyFill="1" applyBorder="1"/>
    <xf numFmtId="0" fontId="81" fillId="27" borderId="27" xfId="224" applyFill="1" applyBorder="1"/>
    <xf numFmtId="0" fontId="81" fillId="27" borderId="28" xfId="224" applyFill="1" applyBorder="1"/>
    <xf numFmtId="9" fontId="133" fillId="27" borderId="31" xfId="228" applyFont="1" applyFill="1" applyBorder="1" applyAlignment="1">
      <alignment vertical="center"/>
    </xf>
    <xf numFmtId="9" fontId="133" fillId="27" borderId="32" xfId="228" applyFont="1" applyFill="1" applyBorder="1" applyAlignment="1">
      <alignment vertical="center"/>
    </xf>
    <xf numFmtId="0" fontId="31" fillId="27" borderId="0" xfId="207" applyFont="1" applyFill="1" applyBorder="1" applyAlignment="1">
      <alignment vertical="center"/>
    </xf>
    <xf numFmtId="0" fontId="31" fillId="21" borderId="0" xfId="224" applyFont="1" applyFill="1" applyBorder="1" applyAlignment="1">
      <alignment horizontal="right"/>
    </xf>
    <xf numFmtId="167" fontId="133" fillId="27" borderId="88" xfId="225" applyNumberFormat="1" applyFont="1" applyFill="1" applyBorder="1" applyAlignment="1">
      <alignment horizontal="right" vertical="center"/>
    </xf>
    <xf numFmtId="167" fontId="133" fillId="27" borderId="31" xfId="225" applyNumberFormat="1" applyFont="1" applyFill="1" applyBorder="1" applyAlignment="1">
      <alignment horizontal="right" vertical="center"/>
    </xf>
    <xf numFmtId="167" fontId="133" fillId="27" borderId="32" xfId="225" applyNumberFormat="1" applyFont="1" applyFill="1" applyBorder="1" applyAlignment="1">
      <alignment horizontal="right" vertical="center"/>
    </xf>
    <xf numFmtId="168" fontId="139" fillId="27" borderId="28" xfId="224" applyNumberFormat="1" applyFont="1" applyFill="1" applyBorder="1" applyAlignment="1">
      <alignment horizontal="right" vertical="center"/>
    </xf>
    <xf numFmtId="168" fontId="139" fillId="27" borderId="32" xfId="224" applyNumberFormat="1" applyFont="1" applyFill="1" applyBorder="1" applyAlignment="1">
      <alignment horizontal="right" vertical="center"/>
    </xf>
    <xf numFmtId="168" fontId="139" fillId="27" borderId="27" xfId="224" applyNumberFormat="1" applyFont="1" applyFill="1" applyBorder="1" applyAlignment="1">
      <alignment horizontal="right" vertical="center"/>
    </xf>
    <xf numFmtId="167" fontId="139" fillId="27" borderId="31" xfId="224" applyNumberFormat="1" applyFont="1" applyFill="1" applyBorder="1" applyAlignment="1">
      <alignment horizontal="right" vertical="center"/>
    </xf>
    <xf numFmtId="167" fontId="139" fillId="27" borderId="32" xfId="224" applyNumberFormat="1" applyFont="1" applyFill="1" applyBorder="1" applyAlignment="1">
      <alignment horizontal="right" vertical="center"/>
    </xf>
    <xf numFmtId="9" fontId="234" fillId="27" borderId="0" xfId="228" applyFont="1" applyFill="1" applyBorder="1" applyAlignment="1">
      <alignment horizontal="left" vertical="center"/>
    </xf>
    <xf numFmtId="0" fontId="31" fillId="27" borderId="0" xfId="207" applyNumberFormat="1" applyFont="1" applyFill="1" applyBorder="1" applyAlignment="1">
      <alignment horizontal="center" vertical="center"/>
    </xf>
    <xf numFmtId="0" fontId="31" fillId="27" borderId="29" xfId="224" applyFont="1" applyFill="1" applyBorder="1" applyAlignment="1">
      <alignment horizontal="right" vertical="center"/>
    </xf>
    <xf numFmtId="0" fontId="121" fillId="0" borderId="0" xfId="224" applyFont="1" applyBorder="1" applyAlignment="1">
      <alignment horizontal="center"/>
    </xf>
    <xf numFmtId="0" fontId="51" fillId="0" borderId="0" xfId="224" applyFont="1" applyBorder="1"/>
    <xf numFmtId="0" fontId="31" fillId="0" borderId="0" xfId="200" applyFont="1"/>
    <xf numFmtId="2" fontId="31" fillId="0" borderId="0" xfId="224" applyNumberFormat="1" applyFont="1"/>
    <xf numFmtId="0" fontId="30" fillId="21" borderId="0" xfId="224" applyFont="1" applyFill="1" applyBorder="1" applyAlignment="1">
      <alignment vertical="center"/>
    </xf>
    <xf numFmtId="0" fontId="30" fillId="21" borderId="8" xfId="224" applyFont="1" applyFill="1" applyBorder="1" applyAlignment="1">
      <alignment vertical="center"/>
    </xf>
    <xf numFmtId="0" fontId="30" fillId="21" borderId="0" xfId="229" applyFont="1" applyFill="1" applyBorder="1" applyAlignment="1">
      <alignment vertical="center"/>
    </xf>
    <xf numFmtId="0" fontId="121" fillId="27" borderId="5" xfId="229" applyFont="1" applyFill="1" applyBorder="1" applyAlignment="1">
      <alignment horizontal="right"/>
    </xf>
    <xf numFmtId="168" fontId="121" fillId="0" borderId="0" xfId="229" applyNumberFormat="1" applyFont="1" applyBorder="1"/>
    <xf numFmtId="0" fontId="30" fillId="0" borderId="0" xfId="229" applyFont="1"/>
    <xf numFmtId="0" fontId="30" fillId="0" borderId="0" xfId="229" applyFont="1" applyAlignment="1">
      <alignment horizontal="right"/>
    </xf>
    <xf numFmtId="168" fontId="30" fillId="0" borderId="0" xfId="229" applyNumberFormat="1" applyFont="1" applyBorder="1"/>
    <xf numFmtId="0" fontId="30" fillId="0" borderId="0" xfId="224" applyFont="1" applyBorder="1" applyAlignment="1">
      <alignment horizontal="center"/>
    </xf>
    <xf numFmtId="3" fontId="121" fillId="0" borderId="0" xfId="229" applyNumberFormat="1" applyFont="1" applyBorder="1"/>
    <xf numFmtId="168" fontId="95" fillId="18" borderId="0" xfId="1" applyNumberFormat="1" applyFont="1" applyFill="1" applyBorder="1" applyAlignment="1">
      <alignment vertical="center"/>
    </xf>
    <xf numFmtId="179" fontId="95" fillId="18" borderId="0" xfId="1" applyNumberFormat="1" applyFont="1" applyFill="1" applyBorder="1" applyAlignment="1">
      <alignment vertical="center"/>
    </xf>
    <xf numFmtId="0" fontId="29" fillId="27" borderId="0" xfId="207" applyFont="1" applyFill="1" applyBorder="1" applyAlignment="1">
      <alignment vertical="center"/>
    </xf>
    <xf numFmtId="0" fontId="29" fillId="27" borderId="0" xfId="207" applyNumberFormat="1" applyFont="1" applyFill="1" applyBorder="1" applyAlignment="1">
      <alignment horizontal="center" vertical="center"/>
    </xf>
    <xf numFmtId="0" fontId="28" fillId="0" borderId="0" xfId="224" applyFont="1"/>
    <xf numFmtId="9" fontId="133" fillId="27" borderId="8" xfId="228" applyFont="1" applyFill="1" applyBorder="1" applyAlignment="1">
      <alignment horizontal="center" vertical="center"/>
    </xf>
    <xf numFmtId="0" fontId="28" fillId="27" borderId="27" xfId="224" applyNumberFormat="1" applyFont="1" applyFill="1" applyBorder="1" applyAlignment="1">
      <alignment vertical="center"/>
    </xf>
    <xf numFmtId="0" fontId="28" fillId="27" borderId="28" xfId="224" applyNumberFormat="1" applyFont="1" applyFill="1" applyBorder="1" applyAlignment="1">
      <alignment vertical="center"/>
    </xf>
    <xf numFmtId="0" fontId="28" fillId="27" borderId="0" xfId="224" applyFont="1" applyFill="1" applyBorder="1" applyAlignment="1">
      <alignment horizontal="right" vertical="center"/>
    </xf>
    <xf numFmtId="0" fontId="28" fillId="27" borderId="8" xfId="224" applyFont="1" applyFill="1" applyBorder="1" applyAlignment="1">
      <alignment horizontal="right" vertical="center"/>
    </xf>
    <xf numFmtId="3" fontId="81" fillId="27" borderId="27" xfId="224" applyNumberFormat="1" applyFill="1" applyBorder="1"/>
    <xf numFmtId="3" fontId="81" fillId="27" borderId="0" xfId="224" applyNumberFormat="1" applyFill="1" applyBorder="1"/>
    <xf numFmtId="3" fontId="81" fillId="27" borderId="31" xfId="224" applyNumberFormat="1" applyFill="1" applyBorder="1"/>
    <xf numFmtId="3" fontId="81" fillId="27" borderId="80" xfId="224" applyNumberFormat="1" applyFill="1" applyBorder="1"/>
    <xf numFmtId="3" fontId="81" fillId="27" borderId="28" xfId="224" applyNumberFormat="1" applyFill="1" applyBorder="1"/>
    <xf numFmtId="3" fontId="81" fillId="27" borderId="8" xfId="224" applyNumberFormat="1" applyFill="1" applyBorder="1"/>
    <xf numFmtId="3" fontId="81" fillId="27" borderId="32" xfId="224" applyNumberFormat="1" applyFill="1" applyBorder="1"/>
    <xf numFmtId="1" fontId="0" fillId="0" borderId="0" xfId="0" applyNumberFormat="1"/>
    <xf numFmtId="191" fontId="81" fillId="27" borderId="31" xfId="2" applyNumberFormat="1" applyFont="1" applyFill="1" applyBorder="1" applyAlignment="1">
      <alignment vertical="center"/>
    </xf>
    <xf numFmtId="191" fontId="81" fillId="27" borderId="32" xfId="2" applyNumberFormat="1" applyFont="1" applyFill="1" applyBorder="1" applyAlignment="1">
      <alignment vertical="center"/>
    </xf>
    <xf numFmtId="0" fontId="132" fillId="27" borderId="30" xfId="224" applyFont="1" applyFill="1" applyBorder="1" applyAlignment="1">
      <alignment horizontal="center" vertical="center"/>
    </xf>
    <xf numFmtId="171" fontId="81" fillId="0" borderId="0" xfId="2" applyNumberFormat="1" applyFont="1" applyFill="1" applyBorder="1"/>
    <xf numFmtId="173" fontId="95" fillId="18" borderId="0" xfId="2" applyNumberFormat="1" applyFont="1" applyFill="1" applyBorder="1" applyAlignment="1">
      <alignment vertical="center"/>
    </xf>
    <xf numFmtId="10" fontId="95" fillId="18" borderId="0" xfId="0" applyNumberFormat="1" applyFont="1" applyFill="1" applyBorder="1"/>
    <xf numFmtId="0" fontId="103" fillId="16" borderId="0" xfId="0" applyFont="1" applyFill="1" applyBorder="1" applyAlignment="1">
      <alignment vertical="center"/>
    </xf>
    <xf numFmtId="0" fontId="104" fillId="16" borderId="8" xfId="0" applyFont="1" applyFill="1" applyBorder="1" applyAlignment="1">
      <alignment vertical="center"/>
    </xf>
    <xf numFmtId="168" fontId="131" fillId="27" borderId="0" xfId="206" applyNumberFormat="1" applyFont="1" applyFill="1" applyBorder="1" applyAlignment="1">
      <alignment vertical="center"/>
    </xf>
    <xf numFmtId="167" fontId="131" fillId="27" borderId="0" xfId="206" applyNumberFormat="1" applyFont="1" applyFill="1" applyBorder="1" applyAlignment="1">
      <alignment vertical="center"/>
    </xf>
    <xf numFmtId="0" fontId="27" fillId="27" borderId="0" xfId="207" applyFont="1" applyFill="1" applyBorder="1" applyAlignment="1">
      <alignment vertical="center"/>
    </xf>
    <xf numFmtId="168" fontId="131" fillId="27" borderId="0" xfId="206" applyNumberFormat="1" applyFont="1" applyFill="1" applyBorder="1" applyAlignment="1">
      <alignment horizontal="center" vertical="center"/>
    </xf>
    <xf numFmtId="0" fontId="27" fillId="27" borderId="0" xfId="207" applyNumberFormat="1" applyFont="1" applyFill="1" applyBorder="1" applyAlignment="1">
      <alignment horizontal="center" vertical="center"/>
    </xf>
    <xf numFmtId="0" fontId="187" fillId="0" borderId="0" xfId="0" applyFont="1" applyAlignment="1">
      <alignment horizontal="left" vertical="center" indent="51"/>
    </xf>
    <xf numFmtId="0" fontId="229" fillId="0" borderId="0" xfId="0" applyFont="1" applyAlignment="1">
      <alignment horizontal="left" vertical="center" indent="51"/>
    </xf>
    <xf numFmtId="176" fontId="228" fillId="0" borderId="0" xfId="2" applyNumberFormat="1" applyFont="1" applyAlignment="1">
      <alignment horizontal="left" vertical="center" indent="2"/>
    </xf>
    <xf numFmtId="167" fontId="87" fillId="21" borderId="0" xfId="205" applyNumberFormat="1" applyFill="1"/>
    <xf numFmtId="179" fontId="83" fillId="21" borderId="5" xfId="207" applyNumberFormat="1" applyFill="1" applyBorder="1"/>
    <xf numFmtId="179" fontId="233" fillId="21" borderId="0" xfId="0" applyNumberFormat="1" applyFont="1" applyFill="1" applyAlignment="1">
      <alignment vertical="center"/>
    </xf>
    <xf numFmtId="208" fontId="0" fillId="0" borderId="0" xfId="0" applyNumberFormat="1"/>
    <xf numFmtId="184" fontId="119" fillId="0" borderId="0" xfId="0" applyNumberFormat="1" applyFont="1"/>
    <xf numFmtId="210" fontId="119" fillId="0" borderId="0" xfId="0" applyNumberFormat="1" applyFont="1"/>
    <xf numFmtId="190" fontId="133" fillId="27" borderId="0" xfId="220" applyNumberFormat="1" applyFont="1" applyFill="1" applyBorder="1" applyAlignment="1">
      <alignment vertical="center"/>
    </xf>
    <xf numFmtId="190" fontId="133" fillId="27" borderId="8" xfId="220" applyNumberFormat="1" applyFont="1" applyFill="1" applyBorder="1" applyAlignment="1">
      <alignment vertical="center"/>
    </xf>
    <xf numFmtId="190" fontId="127" fillId="24" borderId="18" xfId="225" applyNumberFormat="1" applyFont="1" applyFill="1" applyBorder="1" applyAlignment="1">
      <alignment vertical="center"/>
    </xf>
    <xf numFmtId="190" fontId="82" fillId="21" borderId="0" xfId="219" applyNumberFormat="1" applyFill="1" applyBorder="1"/>
    <xf numFmtId="0" fontId="83" fillId="21" borderId="45" xfId="207" applyFill="1" applyBorder="1"/>
    <xf numFmtId="169" fontId="83" fillId="21" borderId="45" xfId="207" applyNumberFormat="1" applyFill="1" applyBorder="1"/>
    <xf numFmtId="0" fontId="26" fillId="21" borderId="0" xfId="207" applyFont="1" applyFill="1"/>
    <xf numFmtId="209" fontId="119" fillId="0" borderId="8" xfId="0" applyNumberFormat="1" applyFont="1" applyBorder="1"/>
    <xf numFmtId="179" fontId="145" fillId="21" borderId="61" xfId="1" applyNumberFormat="1" applyFont="1" applyFill="1" applyBorder="1" applyAlignment="1">
      <alignment vertical="center"/>
    </xf>
    <xf numFmtId="179" fontId="133" fillId="21" borderId="45" xfId="1" applyNumberFormat="1" applyFont="1" applyFill="1" applyBorder="1" applyAlignment="1">
      <alignment vertical="center"/>
    </xf>
    <xf numFmtId="175" fontId="133" fillId="0" borderId="0" xfId="1" applyNumberFormat="1" applyFont="1" applyFill="1" applyBorder="1" applyAlignment="1">
      <alignment horizontal="center" vertical="center"/>
    </xf>
    <xf numFmtId="0" fontId="221" fillId="43" borderId="45" xfId="0" applyFont="1" applyFill="1" applyBorder="1" applyAlignment="1">
      <alignment horizontal="center" vertical="center" wrapText="1"/>
    </xf>
    <xf numFmtId="0" fontId="221" fillId="44" borderId="45" xfId="0" applyFont="1" applyFill="1" applyBorder="1" applyAlignment="1">
      <alignment horizontal="center" vertical="center" wrapText="1"/>
    </xf>
    <xf numFmtId="0" fontId="221" fillId="45" borderId="45" xfId="0" applyFont="1" applyFill="1" applyBorder="1" applyAlignment="1">
      <alignment horizontal="center" vertical="center" wrapText="1"/>
    </xf>
    <xf numFmtId="0" fontId="221" fillId="30" borderId="45" xfId="0" applyFont="1" applyFill="1" applyBorder="1" applyAlignment="1">
      <alignment horizontal="center" vertical="center" wrapText="1"/>
    </xf>
    <xf numFmtId="0" fontId="235" fillId="0" borderId="0" xfId="0" applyFont="1" applyFill="1" applyBorder="1" applyAlignment="1">
      <alignment horizontal="center" vertical="center" wrapText="1"/>
    </xf>
    <xf numFmtId="0" fontId="25" fillId="21" borderId="18" xfId="187" applyFont="1" applyFill="1" applyBorder="1" applyAlignment="1">
      <alignment vertical="center"/>
    </xf>
    <xf numFmtId="0" fontId="24" fillId="27" borderId="0" xfId="207" applyFont="1" applyFill="1" applyBorder="1" applyAlignment="1">
      <alignment vertical="center"/>
    </xf>
    <xf numFmtId="167" fontId="133" fillId="27" borderId="0" xfId="208" applyNumberFormat="1" applyFont="1" applyFill="1" applyBorder="1" applyAlignment="1">
      <alignment vertical="center"/>
    </xf>
    <xf numFmtId="167" fontId="133" fillId="27" borderId="34" xfId="208" applyNumberFormat="1" applyFont="1" applyFill="1" applyBorder="1" applyAlignment="1">
      <alignment vertical="center"/>
    </xf>
    <xf numFmtId="167" fontId="133" fillId="27" borderId="34" xfId="208" applyNumberFormat="1" applyFont="1" applyFill="1" applyBorder="1" applyAlignment="1">
      <alignment horizontal="right" vertical="center"/>
    </xf>
    <xf numFmtId="0" fontId="132" fillId="21" borderId="17" xfId="0" applyFont="1" applyFill="1" applyBorder="1" applyAlignment="1">
      <alignment vertical="center"/>
    </xf>
    <xf numFmtId="0" fontId="131" fillId="21" borderId="0" xfId="0" applyNumberFormat="1" applyFont="1" applyFill="1" applyBorder="1" applyAlignment="1">
      <alignment vertical="center"/>
    </xf>
    <xf numFmtId="168" fontId="131" fillId="21" borderId="0" xfId="151" applyNumberFormat="1" applyFont="1" applyFill="1" applyBorder="1" applyAlignment="1">
      <alignment horizontal="left" vertical="center"/>
    </xf>
    <xf numFmtId="168" fontId="131" fillId="21" borderId="8" xfId="151" applyNumberFormat="1" applyFont="1" applyFill="1" applyBorder="1" applyAlignment="1">
      <alignment horizontal="left" vertical="center"/>
    </xf>
    <xf numFmtId="178" fontId="0" fillId="21" borderId="0" xfId="0" applyNumberFormat="1" applyFill="1" applyBorder="1" applyAlignment="1">
      <alignment vertical="center"/>
    </xf>
    <xf numFmtId="0" fontId="131" fillId="21" borderId="8" xfId="0" applyNumberFormat="1" applyFont="1" applyFill="1" applyBorder="1" applyAlignment="1">
      <alignment vertical="center"/>
    </xf>
    <xf numFmtId="0" fontId="131" fillId="21" borderId="8" xfId="0" applyFont="1" applyFill="1" applyBorder="1" applyAlignment="1">
      <alignment vertical="center"/>
    </xf>
    <xf numFmtId="0" fontId="95" fillId="48" borderId="0" xfId="0" applyNumberFormat="1" applyFont="1" applyFill="1" applyBorder="1" applyAlignment="1">
      <alignment vertical="center"/>
    </xf>
    <xf numFmtId="0" fontId="95" fillId="48" borderId="0" xfId="0" applyFont="1" applyFill="1" applyBorder="1" applyAlignment="1">
      <alignment vertical="center"/>
    </xf>
    <xf numFmtId="173" fontId="95" fillId="48" borderId="0" xfId="2" applyNumberFormat="1" applyFont="1" applyFill="1" applyBorder="1" applyAlignment="1">
      <alignment vertical="center"/>
    </xf>
    <xf numFmtId="169" fontId="127" fillId="48" borderId="0" xfId="1" applyNumberFormat="1" applyFont="1" applyFill="1" applyBorder="1" applyAlignment="1">
      <alignment vertical="center"/>
    </xf>
    <xf numFmtId="0" fontId="0" fillId="31" borderId="83" xfId="0" applyFill="1" applyBorder="1"/>
    <xf numFmtId="0" fontId="0" fillId="31" borderId="81" xfId="0" applyFill="1" applyBorder="1"/>
    <xf numFmtId="0" fontId="0" fillId="31" borderId="81" xfId="0" applyFill="1" applyBorder="1" applyAlignment="1">
      <alignment horizontal="center"/>
    </xf>
    <xf numFmtId="0" fontId="0" fillId="31" borderId="83" xfId="0" applyFill="1" applyBorder="1" applyAlignment="1">
      <alignment horizontal="center"/>
    </xf>
    <xf numFmtId="0" fontId="0" fillId="31" borderId="29" xfId="0" applyFill="1" applyBorder="1" applyAlignment="1">
      <alignment horizontal="center"/>
    </xf>
    <xf numFmtId="0" fontId="0" fillId="31" borderId="30" xfId="0" applyFill="1" applyBorder="1" applyAlignment="1">
      <alignment horizontal="center"/>
    </xf>
    <xf numFmtId="0" fontId="0" fillId="31" borderId="84" xfId="0" applyFill="1" applyBorder="1" applyAlignment="1">
      <alignment horizontal="center"/>
    </xf>
    <xf numFmtId="0" fontId="0" fillId="31" borderId="82" xfId="0" applyFill="1" applyBorder="1" applyAlignment="1">
      <alignment horizontal="center"/>
    </xf>
    <xf numFmtId="0" fontId="0" fillId="31" borderId="82" xfId="0" applyFill="1" applyBorder="1"/>
    <xf numFmtId="0" fontId="0" fillId="31" borderId="84" xfId="0" applyFill="1" applyBorder="1"/>
    <xf numFmtId="3" fontId="0" fillId="31" borderId="84" xfId="0" applyNumberFormat="1" applyFill="1" applyBorder="1" applyAlignment="1">
      <alignment horizontal="center"/>
    </xf>
    <xf numFmtId="0" fontId="0" fillId="31" borderId="26" xfId="0" applyFill="1" applyBorder="1" applyAlignment="1">
      <alignment horizontal="center"/>
    </xf>
    <xf numFmtId="3" fontId="0" fillId="31" borderId="82" xfId="0" applyNumberFormat="1" applyFill="1" applyBorder="1" applyAlignment="1">
      <alignment horizontal="center"/>
    </xf>
    <xf numFmtId="3" fontId="0" fillId="31" borderId="26" xfId="0" applyNumberFormat="1" applyFill="1" applyBorder="1" applyAlignment="1">
      <alignment horizontal="center"/>
    </xf>
    <xf numFmtId="4" fontId="0" fillId="31" borderId="82" xfId="0" applyNumberFormat="1" applyFill="1" applyBorder="1" applyAlignment="1">
      <alignment horizontal="center"/>
    </xf>
    <xf numFmtId="207" fontId="0" fillId="31" borderId="82" xfId="0" applyNumberFormat="1" applyFill="1" applyBorder="1" applyAlignment="1">
      <alignment horizontal="center"/>
    </xf>
    <xf numFmtId="0" fontId="0" fillId="31" borderId="79" xfId="0" applyFill="1" applyBorder="1"/>
    <xf numFmtId="0" fontId="0" fillId="31" borderId="27" xfId="0" applyFill="1" applyBorder="1"/>
    <xf numFmtId="3" fontId="0" fillId="31" borderId="27" xfId="0" applyNumberFormat="1" applyFill="1" applyBorder="1" applyAlignment="1">
      <alignment horizontal="center"/>
    </xf>
    <xf numFmtId="0" fontId="0" fillId="31" borderId="79" xfId="0" applyFill="1" applyBorder="1" applyAlignment="1">
      <alignment horizontal="center"/>
    </xf>
    <xf numFmtId="0" fontId="0" fillId="31" borderId="0" xfId="0" applyFill="1" applyBorder="1" applyAlignment="1">
      <alignment horizontal="center"/>
    </xf>
    <xf numFmtId="3" fontId="0" fillId="31" borderId="79" xfId="0" applyNumberFormat="1" applyFill="1" applyBorder="1" applyAlignment="1">
      <alignment horizontal="center"/>
    </xf>
    <xf numFmtId="3" fontId="0" fillId="31" borderId="0" xfId="0" applyNumberFormat="1" applyFill="1" applyBorder="1" applyAlignment="1">
      <alignment horizontal="center"/>
    </xf>
    <xf numFmtId="4" fontId="0" fillId="31" borderId="79" xfId="0" applyNumberFormat="1" applyFill="1" applyBorder="1" applyAlignment="1">
      <alignment horizontal="center"/>
    </xf>
    <xf numFmtId="207" fontId="0" fillId="31" borderId="79" xfId="0" applyNumberFormat="1" applyFill="1" applyBorder="1" applyAlignment="1">
      <alignment horizontal="center"/>
    </xf>
    <xf numFmtId="0" fontId="0" fillId="31" borderId="80" xfId="0" applyFill="1" applyBorder="1"/>
    <xf numFmtId="0" fontId="0" fillId="31" borderId="28" xfId="0" applyFill="1" applyBorder="1"/>
    <xf numFmtId="0" fontId="0" fillId="31" borderId="80" xfId="0" applyFill="1" applyBorder="1" applyAlignment="1">
      <alignment horizontal="center"/>
    </xf>
    <xf numFmtId="0" fontId="0" fillId="31" borderId="8" xfId="0" applyFill="1" applyBorder="1" applyAlignment="1">
      <alignment horizontal="center"/>
    </xf>
    <xf numFmtId="3" fontId="0" fillId="31" borderId="28" xfId="0" applyNumberFormat="1" applyFill="1" applyBorder="1" applyAlignment="1">
      <alignment horizontal="center"/>
    </xf>
    <xf numFmtId="3" fontId="0" fillId="31" borderId="80" xfId="0" applyNumberFormat="1" applyFill="1" applyBorder="1" applyAlignment="1">
      <alignment horizontal="center"/>
    </xf>
    <xf numFmtId="3" fontId="0" fillId="31" borderId="8" xfId="0" applyNumberFormat="1" applyFill="1" applyBorder="1" applyAlignment="1">
      <alignment horizontal="center"/>
    </xf>
    <xf numFmtId="4" fontId="0" fillId="31" borderId="80" xfId="0" applyNumberFormat="1" applyFill="1" applyBorder="1" applyAlignment="1">
      <alignment horizontal="center"/>
    </xf>
    <xf numFmtId="207" fontId="0" fillId="31" borderId="80" xfId="0" applyNumberFormat="1" applyFill="1" applyBorder="1" applyAlignment="1">
      <alignment horizontal="center"/>
    </xf>
    <xf numFmtId="1" fontId="0" fillId="31" borderId="79" xfId="0" applyNumberFormat="1" applyFill="1" applyBorder="1" applyAlignment="1">
      <alignment horizontal="center"/>
    </xf>
    <xf numFmtId="1" fontId="0" fillId="31" borderId="0" xfId="0" applyNumberFormat="1" applyFill="1" applyBorder="1" applyAlignment="1">
      <alignment horizontal="center"/>
    </xf>
    <xf numFmtId="0" fontId="0" fillId="31" borderId="83" xfId="0" applyFill="1" applyBorder="1" applyAlignment="1">
      <alignment horizontal="left"/>
    </xf>
    <xf numFmtId="0" fontId="0" fillId="31" borderId="81" xfId="0" applyFill="1" applyBorder="1" applyAlignment="1">
      <alignment horizontal="left"/>
    </xf>
    <xf numFmtId="3" fontId="0" fillId="31" borderId="83" xfId="0" applyNumberFormat="1" applyFill="1" applyBorder="1" applyAlignment="1">
      <alignment horizontal="center"/>
    </xf>
    <xf numFmtId="0" fontId="0" fillId="31" borderId="82" xfId="0" applyFill="1" applyBorder="1" applyAlignment="1">
      <alignment horizontal="left"/>
    </xf>
    <xf numFmtId="0" fontId="0" fillId="31" borderId="27" xfId="0" applyFill="1" applyBorder="1" applyAlignment="1">
      <alignment horizontal="left"/>
    </xf>
    <xf numFmtId="0" fontId="0" fillId="31" borderId="79" xfId="0" applyFill="1" applyBorder="1" applyAlignment="1">
      <alignment horizontal="left"/>
    </xf>
    <xf numFmtId="207" fontId="0" fillId="31" borderId="83" xfId="0" applyNumberFormat="1" applyFill="1" applyBorder="1" applyAlignment="1">
      <alignment horizontal="center"/>
    </xf>
    <xf numFmtId="0" fontId="0" fillId="31" borderId="28" xfId="0" applyFill="1" applyBorder="1" applyAlignment="1">
      <alignment horizontal="left"/>
    </xf>
    <xf numFmtId="0" fontId="0" fillId="31" borderId="80" xfId="0" applyFill="1" applyBorder="1" applyAlignment="1">
      <alignment horizontal="left"/>
    </xf>
    <xf numFmtId="0" fontId="0" fillId="31" borderId="84" xfId="0" applyFill="1" applyBorder="1" applyAlignment="1">
      <alignment horizontal="left"/>
    </xf>
    <xf numFmtId="0" fontId="120" fillId="31" borderId="83" xfId="0" applyFont="1" applyFill="1" applyBorder="1" applyAlignment="1">
      <alignment horizontal="center"/>
    </xf>
    <xf numFmtId="0" fontId="103" fillId="48" borderId="0" xfId="0" applyFont="1" applyFill="1" applyBorder="1" applyAlignment="1">
      <alignment vertical="center"/>
    </xf>
    <xf numFmtId="173" fontId="95" fillId="48" borderId="0" xfId="2" applyNumberFormat="1" applyFont="1" applyFill="1" applyBorder="1" applyAlignment="1">
      <alignment horizontal="right" vertical="center"/>
    </xf>
    <xf numFmtId="168" fontId="127" fillId="48" borderId="0" xfId="1" applyNumberFormat="1" applyFont="1" applyFill="1" applyBorder="1" applyAlignment="1">
      <alignment vertical="center"/>
    </xf>
    <xf numFmtId="0" fontId="105" fillId="48" borderId="0" xfId="0" applyFont="1" applyFill="1" applyBorder="1" applyAlignment="1">
      <alignment horizontal="right" vertical="center"/>
    </xf>
    <xf numFmtId="2" fontId="105" fillId="48" borderId="0" xfId="0" applyNumberFormat="1" applyFont="1" applyFill="1" applyBorder="1" applyAlignment="1">
      <alignment horizontal="right" vertical="center"/>
    </xf>
    <xf numFmtId="0" fontId="105" fillId="48" borderId="7" xfId="0" applyFont="1" applyFill="1" applyBorder="1" applyAlignment="1">
      <alignment horizontal="center" vertical="center"/>
    </xf>
    <xf numFmtId="0" fontId="105" fillId="48" borderId="0" xfId="0" applyFont="1" applyFill="1" applyBorder="1" applyAlignment="1">
      <alignment horizontal="center" vertical="center"/>
    </xf>
    <xf numFmtId="0" fontId="105" fillId="48" borderId="8" xfId="0" applyFont="1" applyFill="1" applyBorder="1" applyAlignment="1">
      <alignment vertical="center"/>
    </xf>
    <xf numFmtId="0" fontId="105" fillId="48" borderId="8" xfId="0" applyFont="1" applyFill="1" applyBorder="1" applyAlignment="1">
      <alignment horizontal="center" vertical="center"/>
    </xf>
    <xf numFmtId="0" fontId="105" fillId="48" borderId="8" xfId="0" applyFont="1" applyFill="1" applyBorder="1" applyAlignment="1">
      <alignment horizontal="right" vertical="center"/>
    </xf>
    <xf numFmtId="0" fontId="119" fillId="0" borderId="0" xfId="0" applyFont="1"/>
    <xf numFmtId="0" fontId="236" fillId="0" borderId="0" xfId="255" applyFont="1" applyFill="1" applyBorder="1"/>
    <xf numFmtId="0" fontId="237" fillId="0" borderId="0" xfId="255" applyFont="1" applyFill="1" applyBorder="1"/>
    <xf numFmtId="0" fontId="102" fillId="0" borderId="0" xfId="255" applyFont="1" applyFill="1" applyBorder="1" applyAlignment="1">
      <alignment vertical="center"/>
    </xf>
    <xf numFmtId="0" fontId="237" fillId="0" borderId="0" xfId="255" applyFont="1" applyFill="1" applyBorder="1" applyAlignment="1">
      <alignment vertical="center"/>
    </xf>
    <xf numFmtId="0" fontId="238" fillId="0" borderId="0" xfId="3" applyFont="1" applyFill="1" applyBorder="1" applyAlignment="1" applyProtection="1">
      <alignment vertical="center"/>
    </xf>
    <xf numFmtId="0" fontId="239" fillId="0" borderId="0" xfId="255" applyFont="1" applyFill="1" applyBorder="1"/>
    <xf numFmtId="0" fontId="240" fillId="15" borderId="91" xfId="255" applyFont="1" applyFill="1" applyBorder="1" applyAlignment="1">
      <alignment horizontal="left" vertical="center" indent="1"/>
    </xf>
    <xf numFmtId="0" fontId="237" fillId="15" borderId="92" xfId="255" applyFont="1" applyFill="1" applyBorder="1"/>
    <xf numFmtId="0" fontId="237" fillId="16" borderId="93" xfId="255" applyFont="1" applyFill="1" applyBorder="1"/>
    <xf numFmtId="0" fontId="237" fillId="16" borderId="0" xfId="255" applyFont="1" applyFill="1" applyBorder="1"/>
    <xf numFmtId="0" fontId="241" fillId="16" borderId="93" xfId="255" applyFont="1" applyFill="1" applyBorder="1"/>
    <xf numFmtId="0" fontId="157" fillId="16" borderId="46" xfId="255" applyFont="1" applyFill="1" applyBorder="1" applyAlignment="1">
      <alignment vertical="center"/>
    </xf>
    <xf numFmtId="0" fontId="237" fillId="16" borderId="94" xfId="255" applyFont="1" applyFill="1" applyBorder="1" applyAlignment="1">
      <alignment vertical="center" wrapText="1"/>
    </xf>
    <xf numFmtId="0" fontId="237" fillId="16" borderId="94" xfId="255" applyFont="1" applyFill="1" applyBorder="1" applyAlignment="1">
      <alignment vertical="center"/>
    </xf>
    <xf numFmtId="0" fontId="237" fillId="16" borderId="0" xfId="255" applyFont="1" applyFill="1" applyBorder="1" applyAlignment="1">
      <alignment vertical="center" wrapText="1"/>
    </xf>
    <xf numFmtId="0" fontId="237" fillId="16" borderId="0" xfId="255" applyFont="1" applyFill="1" applyBorder="1" applyAlignment="1">
      <alignment vertical="center"/>
    </xf>
    <xf numFmtId="0" fontId="103" fillId="16" borderId="7" xfId="256" applyFont="1" applyFill="1" applyBorder="1" applyAlignment="1">
      <alignment vertical="center"/>
    </xf>
    <xf numFmtId="0" fontId="237" fillId="16" borderId="18" xfId="255" applyFont="1" applyFill="1" applyBorder="1"/>
    <xf numFmtId="175" fontId="237" fillId="16" borderId="18" xfId="255" applyNumberFormat="1" applyFont="1" applyFill="1" applyBorder="1"/>
    <xf numFmtId="175" fontId="237" fillId="16" borderId="0" xfId="255" applyNumberFormat="1" applyFont="1" applyFill="1" applyBorder="1"/>
    <xf numFmtId="1" fontId="237" fillId="16" borderId="0" xfId="255" applyNumberFormat="1" applyFont="1" applyFill="1" applyBorder="1"/>
    <xf numFmtId="0" fontId="240" fillId="17" borderId="91" xfId="255" applyFont="1" applyFill="1" applyBorder="1" applyAlignment="1">
      <alignment horizontal="left" vertical="center" indent="1"/>
    </xf>
    <xf numFmtId="0" fontId="237" fillId="17" borderId="92" xfId="255" applyFont="1" applyFill="1" applyBorder="1" applyAlignment="1">
      <alignment vertical="center"/>
    </xf>
    <xf numFmtId="0" fontId="237" fillId="18" borderId="93" xfId="255" applyFont="1" applyFill="1" applyBorder="1"/>
    <xf numFmtId="0" fontId="237" fillId="18" borderId="0" xfId="255" applyFont="1" applyFill="1" applyBorder="1"/>
    <xf numFmtId="0" fontId="239" fillId="0" borderId="0" xfId="255" applyFont="1" applyFill="1" applyBorder="1" applyAlignment="1">
      <alignment vertical="center"/>
    </xf>
    <xf numFmtId="0" fontId="242" fillId="0" borderId="0" xfId="255" applyFont="1" applyFill="1" applyBorder="1"/>
    <xf numFmtId="183" fontId="237" fillId="0" borderId="0" xfId="255" applyNumberFormat="1" applyFont="1" applyFill="1" applyBorder="1"/>
    <xf numFmtId="9" fontId="237" fillId="0" borderId="0" xfId="258" applyFont="1" applyFill="1" applyBorder="1"/>
    <xf numFmtId="2" fontId="237" fillId="0" borderId="0" xfId="258" applyNumberFormat="1" applyFont="1" applyFill="1" applyBorder="1"/>
    <xf numFmtId="0" fontId="240" fillId="56" borderId="91" xfId="256" applyFont="1" applyFill="1" applyBorder="1" applyAlignment="1">
      <alignment horizontal="left" vertical="center" indent="1"/>
    </xf>
    <xf numFmtId="0" fontId="240" fillId="56" borderId="92" xfId="256" applyFont="1" applyFill="1" applyBorder="1" applyAlignment="1">
      <alignment vertical="center"/>
    </xf>
    <xf numFmtId="0" fontId="237" fillId="56" borderId="92" xfId="256" applyFont="1" applyFill="1" applyBorder="1"/>
    <xf numFmtId="0" fontId="237" fillId="56" borderId="95" xfId="256" applyFont="1" applyFill="1" applyBorder="1"/>
    <xf numFmtId="0" fontId="237" fillId="57" borderId="96" xfId="256" applyFont="1" applyFill="1" applyBorder="1"/>
    <xf numFmtId="0" fontId="237" fillId="57" borderId="97" xfId="256" applyFont="1" applyFill="1" applyBorder="1"/>
    <xf numFmtId="0" fontId="237" fillId="57" borderId="98" xfId="256" applyFont="1" applyFill="1" applyBorder="1"/>
    <xf numFmtId="0" fontId="237" fillId="57" borderId="93" xfId="256" applyFont="1" applyFill="1" applyBorder="1"/>
    <xf numFmtId="0" fontId="157" fillId="57" borderId="0" xfId="256" applyFont="1" applyFill="1" applyBorder="1"/>
    <xf numFmtId="0" fontId="237" fillId="57" borderId="0" xfId="256" applyFont="1" applyFill="1" applyBorder="1"/>
    <xf numFmtId="0" fontId="237" fillId="57" borderId="0" xfId="256" applyFont="1" applyFill="1" applyBorder="1" applyAlignment="1">
      <alignment horizontal="right"/>
    </xf>
    <xf numFmtId="0" fontId="157" fillId="57" borderId="0" xfId="256" applyFont="1" applyFill="1" applyBorder="1" applyAlignment="1">
      <alignment horizontal="right"/>
    </xf>
    <xf numFmtId="0" fontId="237" fillId="57" borderId="99" xfId="256" applyFont="1" applyFill="1" applyBorder="1"/>
    <xf numFmtId="0" fontId="241" fillId="57" borderId="93" xfId="256" applyFont="1" applyFill="1" applyBorder="1"/>
    <xf numFmtId="0" fontId="243" fillId="57" borderId="100" xfId="256" applyFont="1" applyFill="1" applyBorder="1" applyAlignment="1">
      <alignment vertical="center"/>
    </xf>
    <xf numFmtId="0" fontId="243" fillId="57" borderId="100" xfId="256" applyFont="1" applyFill="1" applyBorder="1" applyAlignment="1">
      <alignment horizontal="right" vertical="center"/>
    </xf>
    <xf numFmtId="0" fontId="237" fillId="57" borderId="0" xfId="256" applyFont="1" applyFill="1" applyBorder="1" applyAlignment="1">
      <alignment vertical="center"/>
    </xf>
    <xf numFmtId="169" fontId="237" fillId="57" borderId="0" xfId="256" applyNumberFormat="1" applyFont="1" applyFill="1" applyBorder="1" applyAlignment="1">
      <alignment vertical="center"/>
    </xf>
    <xf numFmtId="0" fontId="232" fillId="21" borderId="0" xfId="200" applyFont="1" applyFill="1" applyAlignment="1">
      <alignment vertical="center"/>
    </xf>
    <xf numFmtId="169" fontId="232" fillId="21" borderId="0" xfId="200" applyNumberFormat="1" applyFont="1" applyFill="1" applyAlignment="1">
      <alignment vertical="center"/>
    </xf>
    <xf numFmtId="0" fontId="21" fillId="21" borderId="0" xfId="207" applyFont="1" applyFill="1" applyBorder="1" applyAlignment="1">
      <alignment horizontal="right"/>
    </xf>
    <xf numFmtId="169" fontId="83" fillId="21" borderId="0" xfId="207" applyNumberFormat="1" applyFill="1" applyBorder="1"/>
    <xf numFmtId="0" fontId="21" fillId="27" borderId="0" xfId="207" applyFont="1" applyFill="1" applyBorder="1" applyAlignment="1">
      <alignment vertical="center"/>
    </xf>
    <xf numFmtId="0" fontId="20" fillId="27" borderId="8" xfId="200" applyNumberFormat="1" applyFont="1" applyFill="1" applyBorder="1" applyAlignment="1">
      <alignment vertical="center"/>
    </xf>
    <xf numFmtId="169" fontId="244" fillId="21" borderId="0" xfId="151" applyNumberFormat="1" applyFont="1" applyFill="1" applyBorder="1" applyAlignment="1">
      <alignment vertical="center"/>
    </xf>
    <xf numFmtId="0" fontId="244" fillId="21" borderId="0" xfId="0" applyFont="1" applyFill="1" applyAlignment="1">
      <alignment vertical="center"/>
    </xf>
    <xf numFmtId="0" fontId="19" fillId="21" borderId="0" xfId="200" applyFont="1" applyFill="1" applyBorder="1" applyAlignment="1">
      <alignment vertical="center"/>
    </xf>
    <xf numFmtId="0" fontId="98" fillId="16" borderId="0" xfId="3" applyFill="1" applyBorder="1" applyAlignment="1" applyProtection="1"/>
    <xf numFmtId="165" fontId="121" fillId="0" borderId="0" xfId="263" applyFont="1" applyBorder="1"/>
    <xf numFmtId="165" fontId="83" fillId="0" borderId="0" xfId="263" applyFont="1"/>
    <xf numFmtId="168" fontId="0" fillId="0" borderId="0" xfId="0" applyNumberFormat="1"/>
    <xf numFmtId="4" fontId="83" fillId="27" borderId="0" xfId="207" applyNumberFormat="1" applyFill="1" applyBorder="1"/>
    <xf numFmtId="169" fontId="82" fillId="0" borderId="0" xfId="219" applyNumberFormat="1"/>
    <xf numFmtId="0" fontId="19" fillId="0" borderId="0" xfId="219" applyFont="1"/>
    <xf numFmtId="10" fontId="0" fillId="27" borderId="0" xfId="0" applyNumberFormat="1" applyFill="1" applyBorder="1"/>
    <xf numFmtId="177" fontId="205" fillId="27" borderId="0" xfId="1" applyNumberFormat="1" applyFont="1" applyFill="1" applyBorder="1" applyAlignment="1">
      <alignment horizontal="center"/>
    </xf>
    <xf numFmtId="1" fontId="0" fillId="27" borderId="0" xfId="0" applyNumberFormat="1" applyFill="1" applyBorder="1"/>
    <xf numFmtId="177" fontId="0" fillId="27" borderId="0" xfId="0" applyNumberFormat="1" applyFill="1" applyBorder="1"/>
    <xf numFmtId="0" fontId="121" fillId="27" borderId="0" xfId="0" applyFont="1" applyFill="1" applyBorder="1" applyAlignment="1">
      <alignment horizontal="right"/>
    </xf>
    <xf numFmtId="0" fontId="132" fillId="27" borderId="84" xfId="224" applyNumberFormat="1" applyFont="1" applyFill="1" applyBorder="1" applyAlignment="1">
      <alignment horizontal="right" vertical="center"/>
    </xf>
    <xf numFmtId="0" fontId="132" fillId="27" borderId="26" xfId="224" applyNumberFormat="1" applyFont="1" applyFill="1" applyBorder="1" applyAlignment="1">
      <alignment horizontal="right" vertical="center"/>
    </xf>
    <xf numFmtId="0" fontId="132" fillId="27" borderId="89" xfId="224" applyNumberFormat="1" applyFont="1" applyFill="1" applyBorder="1" applyAlignment="1">
      <alignment horizontal="right" vertical="center"/>
    </xf>
    <xf numFmtId="0" fontId="0" fillId="27" borderId="84" xfId="0" applyFill="1" applyBorder="1"/>
    <xf numFmtId="168" fontId="139" fillId="27" borderId="26" xfId="224" applyNumberFormat="1" applyFont="1" applyFill="1" applyBorder="1" applyAlignment="1">
      <alignment vertical="center"/>
    </xf>
    <xf numFmtId="0" fontId="81" fillId="27" borderId="26" xfId="224" applyFill="1" applyBorder="1"/>
    <xf numFmtId="10" fontId="0" fillId="27" borderId="26" xfId="0" applyNumberFormat="1" applyFill="1" applyBorder="1"/>
    <xf numFmtId="10" fontId="0" fillId="27" borderId="89" xfId="0" applyNumberFormat="1" applyFill="1" applyBorder="1"/>
    <xf numFmtId="0" fontId="0" fillId="27" borderId="27" xfId="0" applyFill="1" applyBorder="1"/>
    <xf numFmtId="10" fontId="0" fillId="27" borderId="31" xfId="0" applyNumberFormat="1" applyFill="1" applyBorder="1"/>
    <xf numFmtId="0" fontId="0" fillId="27" borderId="28" xfId="0" applyFill="1" applyBorder="1"/>
    <xf numFmtId="10" fontId="0" fillId="27" borderId="8" xfId="0" applyNumberFormat="1" applyFill="1" applyBorder="1"/>
    <xf numFmtId="10" fontId="0" fillId="27" borderId="32" xfId="0" applyNumberFormat="1" applyFill="1" applyBorder="1"/>
    <xf numFmtId="1" fontId="0" fillId="27" borderId="26" xfId="0" applyNumberFormat="1" applyFill="1" applyBorder="1"/>
    <xf numFmtId="1" fontId="0" fillId="27" borderId="89" xfId="0" applyNumberFormat="1" applyFill="1" applyBorder="1"/>
    <xf numFmtId="1" fontId="0" fillId="27" borderId="31" xfId="0" applyNumberFormat="1" applyFill="1" applyBorder="1"/>
    <xf numFmtId="1" fontId="0" fillId="27" borderId="8" xfId="0" applyNumberFormat="1" applyFill="1" applyBorder="1"/>
    <xf numFmtId="1" fontId="0" fillId="27" borderId="32" xfId="0" applyNumberFormat="1" applyFill="1" applyBorder="1"/>
    <xf numFmtId="177" fontId="205" fillId="27" borderId="26" xfId="1" applyNumberFormat="1" applyFont="1" applyFill="1" applyBorder="1" applyAlignment="1">
      <alignment horizontal="center"/>
    </xf>
    <xf numFmtId="177" fontId="205" fillId="27" borderId="89" xfId="1" applyNumberFormat="1" applyFont="1" applyFill="1" applyBorder="1" applyAlignment="1">
      <alignment horizontal="center"/>
    </xf>
    <xf numFmtId="177" fontId="205" fillId="27" borderId="31" xfId="1" applyNumberFormat="1" applyFont="1" applyFill="1" applyBorder="1" applyAlignment="1">
      <alignment horizontal="center"/>
    </xf>
    <xf numFmtId="177" fontId="205" fillId="27" borderId="8" xfId="1" applyNumberFormat="1" applyFont="1" applyFill="1" applyBorder="1" applyAlignment="1">
      <alignment horizontal="center"/>
    </xf>
    <xf numFmtId="177" fontId="205" fillId="27" borderId="32" xfId="1" applyNumberFormat="1" applyFont="1" applyFill="1" applyBorder="1" applyAlignment="1">
      <alignment horizontal="center"/>
    </xf>
    <xf numFmtId="177" fontId="0" fillId="27" borderId="26" xfId="0" applyNumberFormat="1" applyFill="1" applyBorder="1"/>
    <xf numFmtId="177" fontId="0" fillId="27" borderId="31" xfId="0" applyNumberFormat="1" applyFill="1" applyBorder="1"/>
    <xf numFmtId="177" fontId="0" fillId="27" borderId="8" xfId="0" applyNumberFormat="1" applyFill="1" applyBorder="1"/>
    <xf numFmtId="177" fontId="0" fillId="27" borderId="32" xfId="0" applyNumberFormat="1" applyFill="1" applyBorder="1"/>
    <xf numFmtId="9" fontId="18" fillId="27" borderId="0" xfId="224" applyNumberFormat="1" applyFont="1" applyFill="1" applyBorder="1" applyAlignment="1">
      <alignment vertical="center"/>
    </xf>
    <xf numFmtId="167" fontId="245" fillId="27" borderId="0" xfId="225" applyNumberFormat="1" applyFont="1" applyFill="1" applyBorder="1" applyAlignment="1">
      <alignment vertical="center"/>
    </xf>
    <xf numFmtId="167" fontId="234" fillId="27" borderId="27" xfId="225" applyNumberFormat="1" applyFont="1" applyFill="1" applyBorder="1" applyAlignment="1">
      <alignment horizontal="right" vertical="center"/>
    </xf>
    <xf numFmtId="167" fontId="234" fillId="27" borderId="0" xfId="225" applyNumberFormat="1" applyFont="1" applyFill="1" applyBorder="1" applyAlignment="1">
      <alignment horizontal="right" vertical="center"/>
    </xf>
    <xf numFmtId="0" fontId="18" fillId="0" borderId="0" xfId="224" applyFont="1"/>
    <xf numFmtId="167" fontId="81" fillId="0" borderId="0" xfId="224" applyNumberFormat="1"/>
    <xf numFmtId="167" fontId="121" fillId="0" borderId="0" xfId="224" applyNumberFormat="1" applyFont="1"/>
    <xf numFmtId="4" fontId="121" fillId="0" borderId="0" xfId="224" applyNumberFormat="1" applyFont="1"/>
    <xf numFmtId="167" fontId="133" fillId="27" borderId="28" xfId="225" applyNumberFormat="1" applyFont="1" applyFill="1" applyBorder="1" applyAlignment="1">
      <alignment vertical="center"/>
    </xf>
    <xf numFmtId="167" fontId="133" fillId="27" borderId="8" xfId="225" applyNumberFormat="1" applyFont="1" applyFill="1" applyBorder="1" applyAlignment="1">
      <alignment vertical="center"/>
    </xf>
    <xf numFmtId="167" fontId="88" fillId="31" borderId="0" xfId="200" applyNumberFormat="1" applyFont="1" applyFill="1" applyBorder="1" applyAlignment="1">
      <alignment vertical="center"/>
    </xf>
    <xf numFmtId="10" fontId="125" fillId="27" borderId="26" xfId="0" applyNumberFormat="1" applyFont="1" applyFill="1" applyBorder="1"/>
    <xf numFmtId="10" fontId="125" fillId="27" borderId="0" xfId="0" applyNumberFormat="1" applyFont="1" applyFill="1" applyBorder="1"/>
    <xf numFmtId="10" fontId="125" fillId="27" borderId="8" xfId="0" applyNumberFormat="1" applyFont="1" applyFill="1" applyBorder="1"/>
    <xf numFmtId="0" fontId="81" fillId="39" borderId="0" xfId="224" applyFill="1"/>
    <xf numFmtId="0" fontId="51" fillId="39" borderId="0" xfId="224" applyFont="1" applyFill="1"/>
    <xf numFmtId="0" fontId="121" fillId="39" borderId="0" xfId="224" applyFont="1" applyFill="1"/>
    <xf numFmtId="2" fontId="121" fillId="39" borderId="0" xfId="224" applyNumberFormat="1" applyFont="1" applyFill="1"/>
    <xf numFmtId="9" fontId="16" fillId="27" borderId="0" xfId="224" applyNumberFormat="1" applyFont="1" applyFill="1" applyBorder="1" applyAlignment="1">
      <alignment vertical="center"/>
    </xf>
    <xf numFmtId="0" fontId="16" fillId="27" borderId="0" xfId="207" applyNumberFormat="1" applyFont="1" applyFill="1" applyBorder="1" applyAlignment="1">
      <alignment horizontal="center" vertical="center"/>
    </xf>
    <xf numFmtId="0" fontId="16" fillId="27" borderId="0" xfId="224" applyFont="1" applyFill="1" applyBorder="1" applyAlignment="1">
      <alignment vertical="center"/>
    </xf>
    <xf numFmtId="0" fontId="16" fillId="27" borderId="0" xfId="207" applyFont="1" applyFill="1" applyBorder="1" applyAlignment="1">
      <alignment vertical="center"/>
    </xf>
    <xf numFmtId="0" fontId="16" fillId="0" borderId="0" xfId="229" applyFont="1"/>
    <xf numFmtId="11" fontId="121" fillId="0" borderId="0" xfId="254" applyNumberFormat="1" applyFont="1"/>
    <xf numFmtId="0" fontId="121" fillId="0" borderId="8" xfId="254" applyFont="1" applyBorder="1" applyAlignment="1">
      <alignment horizontal="center"/>
    </xf>
    <xf numFmtId="0" fontId="121" fillId="0" borderId="0" xfId="254" applyFont="1"/>
    <xf numFmtId="0" fontId="158" fillId="48" borderId="8" xfId="0" applyFont="1" applyFill="1" applyBorder="1" applyAlignment="1">
      <alignment vertical="center"/>
    </xf>
    <xf numFmtId="0" fontId="158" fillId="48" borderId="8" xfId="0" applyFont="1" applyFill="1" applyBorder="1" applyAlignment="1">
      <alignment horizontal="right" vertical="center"/>
    </xf>
    <xf numFmtId="169" fontId="0" fillId="21" borderId="0" xfId="151" applyNumberFormat="1" applyFont="1" applyFill="1" applyBorder="1" applyAlignment="1">
      <alignment vertical="center"/>
    </xf>
    <xf numFmtId="0" fontId="237" fillId="32" borderId="93" xfId="255" applyFont="1" applyFill="1" applyBorder="1"/>
    <xf numFmtId="0" fontId="237" fillId="32" borderId="0" xfId="255" applyFont="1" applyFill="1" applyBorder="1"/>
    <xf numFmtId="0" fontId="23" fillId="27" borderId="0" xfId="257" applyFill="1" applyBorder="1" applyAlignment="1">
      <alignment vertical="center"/>
    </xf>
    <xf numFmtId="9" fontId="0" fillId="27" borderId="0" xfId="258" applyFont="1" applyFill="1" applyBorder="1" applyAlignment="1">
      <alignment vertical="center"/>
    </xf>
    <xf numFmtId="0" fontId="23" fillId="27" borderId="0" xfId="257" applyNumberFormat="1" applyFill="1" applyBorder="1" applyAlignment="1">
      <alignment horizontal="center" vertical="center"/>
    </xf>
    <xf numFmtId="0" fontId="101" fillId="27" borderId="0" xfId="0" applyFont="1" applyFill="1" applyBorder="1" applyAlignment="1">
      <alignment vertical="center"/>
    </xf>
    <xf numFmtId="0" fontId="0" fillId="27" borderId="8" xfId="0" applyFont="1" applyFill="1" applyBorder="1"/>
    <xf numFmtId="1" fontId="23" fillId="27" borderId="0" xfId="257" applyNumberFormat="1" applyFill="1" applyBorder="1" applyAlignment="1">
      <alignment vertical="center"/>
    </xf>
    <xf numFmtId="1" fontId="0" fillId="27" borderId="0" xfId="258" applyNumberFormat="1" applyFont="1" applyFill="1" applyBorder="1" applyAlignment="1">
      <alignment vertical="center"/>
    </xf>
    <xf numFmtId="0" fontId="23" fillId="27" borderId="8" xfId="257" applyNumberFormat="1" applyFill="1" applyBorder="1" applyAlignment="1">
      <alignment horizontal="center" vertical="center"/>
    </xf>
    <xf numFmtId="0" fontId="23" fillId="27" borderId="8" xfId="257" applyFill="1" applyBorder="1" applyAlignment="1">
      <alignment vertical="center"/>
    </xf>
    <xf numFmtId="9" fontId="0" fillId="27" borderId="8" xfId="258" applyFont="1" applyFill="1" applyBorder="1" applyAlignment="1">
      <alignment vertical="center"/>
    </xf>
    <xf numFmtId="0" fontId="15" fillId="27" borderId="0" xfId="257" applyNumberFormat="1" applyFont="1" applyFill="1" applyBorder="1" applyAlignment="1">
      <alignment horizontal="center" vertical="center"/>
    </xf>
    <xf numFmtId="0" fontId="15" fillId="27" borderId="0" xfId="257" applyNumberFormat="1" applyFont="1" applyFill="1" applyBorder="1" applyAlignment="1">
      <alignment horizontal="left" vertical="center"/>
    </xf>
    <xf numFmtId="170" fontId="23" fillId="27" borderId="0" xfId="2" applyFont="1" applyFill="1" applyBorder="1" applyAlignment="1">
      <alignment vertical="center"/>
    </xf>
    <xf numFmtId="0" fontId="101" fillId="27" borderId="0" xfId="257" applyFont="1" applyFill="1" applyBorder="1"/>
    <xf numFmtId="0" fontId="23" fillId="27" borderId="0" xfId="257" applyFill="1" applyBorder="1"/>
    <xf numFmtId="0" fontId="23" fillId="27" borderId="0" xfId="257" applyFill="1" applyBorder="1" applyAlignment="1">
      <alignment horizontal="right"/>
    </xf>
    <xf numFmtId="0" fontId="0" fillId="27" borderId="0" xfId="257" applyFont="1" applyFill="1" applyBorder="1" applyAlignment="1">
      <alignment horizontal="right"/>
    </xf>
    <xf numFmtId="0" fontId="132" fillId="27" borderId="7" xfId="257" applyFont="1" applyFill="1" applyBorder="1" applyAlignment="1">
      <alignment vertical="center"/>
    </xf>
    <xf numFmtId="0" fontId="132" fillId="27" borderId="7" xfId="257" applyNumberFormat="1" applyFont="1" applyFill="1" applyBorder="1" applyAlignment="1">
      <alignment horizontal="right" vertical="center"/>
    </xf>
    <xf numFmtId="0" fontId="132" fillId="27" borderId="23" xfId="257" applyNumberFormat="1" applyFont="1" applyFill="1" applyBorder="1" applyAlignment="1">
      <alignment horizontal="right" vertical="center"/>
    </xf>
    <xf numFmtId="0" fontId="23" fillId="27" borderId="0" xfId="257" applyNumberFormat="1" applyFill="1" applyBorder="1" applyAlignment="1">
      <alignment vertical="center"/>
    </xf>
    <xf numFmtId="0" fontId="23" fillId="27" borderId="13" xfId="257" applyFill="1" applyBorder="1" applyAlignment="1">
      <alignment vertical="center"/>
    </xf>
    <xf numFmtId="9" fontId="0" fillId="27" borderId="34" xfId="258" applyFont="1" applyFill="1" applyBorder="1" applyAlignment="1">
      <alignment vertical="center"/>
    </xf>
    <xf numFmtId="9" fontId="0" fillId="27" borderId="34" xfId="258" applyFont="1" applyFill="1" applyBorder="1" applyAlignment="1">
      <alignment horizontal="right" vertical="center"/>
    </xf>
    <xf numFmtId="9" fontId="0" fillId="27" borderId="0" xfId="258" applyFont="1" applyFill="1" applyBorder="1" applyAlignment="1">
      <alignment horizontal="right" vertical="center"/>
    </xf>
    <xf numFmtId="0" fontId="23" fillId="27" borderId="15" xfId="257" applyNumberFormat="1" applyFill="1" applyBorder="1" applyAlignment="1">
      <alignment vertical="center"/>
    </xf>
    <xf numFmtId="0" fontId="23" fillId="27" borderId="15" xfId="257" applyFill="1" applyBorder="1" applyAlignment="1">
      <alignment vertical="center"/>
    </xf>
    <xf numFmtId="9" fontId="0" fillId="27" borderId="15" xfId="258" applyFont="1" applyFill="1" applyBorder="1" applyAlignment="1">
      <alignment vertical="center"/>
    </xf>
    <xf numFmtId="9" fontId="0" fillId="27" borderId="35" xfId="258" applyFont="1" applyFill="1" applyBorder="1" applyAlignment="1">
      <alignment horizontal="right" vertical="center"/>
    </xf>
    <xf numFmtId="9" fontId="0" fillId="27" borderId="15" xfId="258" applyFont="1" applyFill="1" applyBorder="1" applyAlignment="1">
      <alignment horizontal="right" vertical="center"/>
    </xf>
    <xf numFmtId="0" fontId="23" fillId="27" borderId="17" xfId="257" applyNumberFormat="1" applyFill="1" applyBorder="1" applyAlignment="1">
      <alignment horizontal="center" vertical="center"/>
    </xf>
    <xf numFmtId="0" fontId="23" fillId="27" borderId="17" xfId="257" applyFill="1" applyBorder="1" applyAlignment="1">
      <alignment vertical="center"/>
    </xf>
    <xf numFmtId="9" fontId="0" fillId="27" borderId="17" xfId="258" applyFont="1" applyFill="1" applyBorder="1" applyAlignment="1">
      <alignment vertical="center"/>
    </xf>
    <xf numFmtId="175" fontId="0" fillId="27" borderId="17" xfId="258" applyNumberFormat="1" applyFont="1" applyFill="1" applyBorder="1" applyAlignment="1">
      <alignment vertical="center"/>
    </xf>
    <xf numFmtId="175" fontId="0" fillId="27" borderId="13" xfId="0" applyNumberFormat="1" applyFill="1" applyBorder="1" applyAlignment="1">
      <alignment vertical="center"/>
    </xf>
    <xf numFmtId="175" fontId="0" fillId="27" borderId="0" xfId="0" applyNumberFormat="1" applyFill="1" applyBorder="1" applyAlignment="1">
      <alignment vertical="center"/>
    </xf>
    <xf numFmtId="175" fontId="0" fillId="27" borderId="8" xfId="0" applyNumberFormat="1" applyFill="1" applyBorder="1" applyAlignment="1">
      <alignment vertical="center"/>
    </xf>
    <xf numFmtId="0" fontId="237" fillId="16" borderId="13" xfId="255" applyFont="1" applyFill="1" applyBorder="1"/>
    <xf numFmtId="175" fontId="237" fillId="16" borderId="13" xfId="255" applyNumberFormat="1" applyFont="1" applyFill="1" applyBorder="1"/>
    <xf numFmtId="0" fontId="237" fillId="16" borderId="8" xfId="255" applyFont="1" applyFill="1" applyBorder="1"/>
    <xf numFmtId="175" fontId="237" fillId="16" borderId="8" xfId="255" applyNumberFormat="1" applyFont="1" applyFill="1" applyBorder="1"/>
    <xf numFmtId="0" fontId="14" fillId="27" borderId="0" xfId="257" applyNumberFormat="1" applyFont="1" applyFill="1" applyBorder="1" applyAlignment="1">
      <alignment horizontal="center" vertical="center"/>
    </xf>
    <xf numFmtId="0" fontId="14" fillId="27" borderId="0" xfId="257" applyNumberFormat="1" applyFont="1" applyFill="1" applyBorder="1" applyAlignment="1">
      <alignment horizontal="left" vertical="center"/>
    </xf>
    <xf numFmtId="0" fontId="23" fillId="27" borderId="0" xfId="257" applyNumberFormat="1" applyFill="1" applyBorder="1" applyAlignment="1">
      <alignment horizontal="left" vertical="center"/>
    </xf>
    <xf numFmtId="2" fontId="0" fillId="27" borderId="0" xfId="2" applyNumberFormat="1" applyFont="1" applyFill="1" applyBorder="1" applyAlignment="1">
      <alignment vertical="center"/>
    </xf>
    <xf numFmtId="2" fontId="237" fillId="0" borderId="0" xfId="255" applyNumberFormat="1" applyFont="1" applyFill="1" applyBorder="1"/>
    <xf numFmtId="1" fontId="237" fillId="0" borderId="0" xfId="255" applyNumberFormat="1" applyFont="1" applyFill="1" applyBorder="1"/>
    <xf numFmtId="173" fontId="0" fillId="27" borderId="0" xfId="258" applyNumberFormat="1" applyFont="1" applyFill="1" applyBorder="1" applyAlignment="1">
      <alignment horizontal="right" vertical="center"/>
    </xf>
    <xf numFmtId="170" fontId="237" fillId="0" borderId="0" xfId="2" applyFont="1" applyFill="1" applyBorder="1"/>
    <xf numFmtId="0" fontId="140" fillId="21" borderId="0" xfId="0" applyFont="1" applyFill="1" applyBorder="1" applyAlignment="1">
      <alignment vertical="center"/>
    </xf>
    <xf numFmtId="1" fontId="0" fillId="21" borderId="0" xfId="0" applyNumberFormat="1" applyFill="1" applyBorder="1" applyAlignment="1">
      <alignment vertical="center"/>
    </xf>
    <xf numFmtId="168" fontId="0" fillId="21" borderId="0" xfId="151" applyNumberFormat="1" applyFont="1" applyFill="1" applyBorder="1" applyAlignment="1">
      <alignment vertical="center"/>
    </xf>
    <xf numFmtId="168" fontId="0" fillId="21" borderId="0" xfId="0" applyNumberFormat="1" applyFill="1" applyBorder="1" applyAlignment="1">
      <alignment vertical="center"/>
    </xf>
    <xf numFmtId="0" fontId="108" fillId="27" borderId="0" xfId="4" applyNumberFormat="1" applyFill="1" applyBorder="1" applyAlignment="1">
      <alignment horizontal="left"/>
    </xf>
    <xf numFmtId="1" fontId="246" fillId="21" borderId="0" xfId="0" applyNumberFormat="1" applyFont="1" applyFill="1" applyBorder="1" applyAlignment="1">
      <alignment vertical="center"/>
    </xf>
    <xf numFmtId="0" fontId="140" fillId="21" borderId="0" xfId="0" applyFont="1" applyFill="1" applyBorder="1" applyAlignment="1">
      <alignment horizontal="center" vertical="center"/>
    </xf>
    <xf numFmtId="211" fontId="0" fillId="27" borderId="0" xfId="258" applyNumberFormat="1" applyFont="1" applyFill="1" applyBorder="1" applyAlignment="1">
      <alignment vertical="center"/>
    </xf>
    <xf numFmtId="0" fontId="143" fillId="21" borderId="0" xfId="0" applyFont="1" applyFill="1" applyAlignment="1">
      <alignment vertical="center"/>
    </xf>
    <xf numFmtId="168" fontId="143" fillId="21" borderId="0" xfId="0" applyNumberFormat="1" applyFont="1" applyFill="1" applyAlignment="1">
      <alignment vertical="center"/>
    </xf>
    <xf numFmtId="169" fontId="179" fillId="39" borderId="64" xfId="1" applyFont="1" applyFill="1" applyBorder="1" applyAlignment="1">
      <alignment horizontal="center" vertical="center"/>
    </xf>
    <xf numFmtId="206" fontId="234" fillId="27" borderId="27" xfId="225" applyNumberFormat="1" applyFont="1" applyFill="1" applyBorder="1" applyAlignment="1">
      <alignment horizontal="right" vertical="center"/>
    </xf>
    <xf numFmtId="206" fontId="234" fillId="27" borderId="0" xfId="225" applyNumberFormat="1" applyFont="1" applyFill="1" applyBorder="1" applyAlignment="1">
      <alignment horizontal="right" vertical="center"/>
    </xf>
    <xf numFmtId="179" fontId="245" fillId="27" borderId="0" xfId="225" applyNumberFormat="1" applyFont="1" applyFill="1" applyBorder="1" applyAlignment="1">
      <alignment vertical="center"/>
    </xf>
    <xf numFmtId="179" fontId="234" fillId="27" borderId="27" xfId="225" applyNumberFormat="1" applyFont="1" applyFill="1" applyBorder="1" applyAlignment="1">
      <alignment vertical="center"/>
    </xf>
    <xf numFmtId="179" fontId="234" fillId="27" borderId="0" xfId="225" applyNumberFormat="1" applyFont="1" applyFill="1" applyBorder="1" applyAlignment="1">
      <alignment vertical="center"/>
    </xf>
    <xf numFmtId="191" fontId="81" fillId="0" borderId="0" xfId="2" applyNumberFormat="1" applyFont="1" applyFill="1" applyBorder="1"/>
    <xf numFmtId="0" fontId="13" fillId="0" borderId="0" xfId="254" applyFont="1"/>
    <xf numFmtId="0" fontId="151" fillId="0" borderId="0" xfId="254" applyFont="1"/>
    <xf numFmtId="0" fontId="151" fillId="0" borderId="0" xfId="254" applyFont="1" applyAlignment="1">
      <alignment horizontal="center"/>
    </xf>
    <xf numFmtId="11" fontId="151" fillId="0" borderId="0" xfId="254" applyNumberFormat="1" applyFont="1"/>
    <xf numFmtId="0" fontId="247" fillId="0" borderId="0" xfId="0" applyFont="1"/>
    <xf numFmtId="3" fontId="151" fillId="0" borderId="0" xfId="254" applyNumberFormat="1" applyFont="1"/>
    <xf numFmtId="164" fontId="151" fillId="0" borderId="0" xfId="254" applyNumberFormat="1" applyFont="1"/>
    <xf numFmtId="0" fontId="147" fillId="20" borderId="0" xfId="0" applyFont="1" applyFill="1" applyBorder="1" applyAlignment="1">
      <alignment horizontal="left" vertical="center"/>
    </xf>
    <xf numFmtId="170" fontId="0" fillId="0" borderId="0" xfId="0" applyNumberFormat="1"/>
    <xf numFmtId="0" fontId="120" fillId="0" borderId="0" xfId="0" applyFont="1" applyAlignment="1">
      <alignment horizontal="right"/>
    </xf>
    <xf numFmtId="0" fontId="0" fillId="0" borderId="84" xfId="0" applyBorder="1"/>
    <xf numFmtId="175" fontId="0" fillId="0" borderId="26" xfId="0" applyNumberFormat="1" applyBorder="1"/>
    <xf numFmtId="175" fontId="0" fillId="0" borderId="31" xfId="0" applyNumberFormat="1" applyBorder="1"/>
    <xf numFmtId="0" fontId="0" fillId="0" borderId="84" xfId="0" applyFont="1" applyBorder="1"/>
    <xf numFmtId="175" fontId="0" fillId="0" borderId="26" xfId="0" applyNumberFormat="1" applyFont="1" applyBorder="1"/>
    <xf numFmtId="175" fontId="0" fillId="0" borderId="89" xfId="0" applyNumberFormat="1" applyFont="1" applyBorder="1"/>
    <xf numFmtId="0" fontId="0" fillId="0" borderId="27" xfId="0" applyFont="1" applyBorder="1"/>
    <xf numFmtId="175" fontId="0" fillId="0" borderId="0" xfId="0" applyNumberFormat="1" applyFont="1" applyBorder="1"/>
    <xf numFmtId="175" fontId="0" fillId="0" borderId="31" xfId="0" applyNumberFormat="1" applyFont="1" applyBorder="1"/>
    <xf numFmtId="0" fontId="133" fillId="0" borderId="27" xfId="4" applyNumberFormat="1" applyFont="1" applyBorder="1"/>
    <xf numFmtId="175" fontId="133" fillId="0" borderId="0" xfId="4" applyNumberFormat="1" applyFont="1" applyBorder="1"/>
    <xf numFmtId="175" fontId="133" fillId="0" borderId="31" xfId="4" applyNumberFormat="1" applyFont="1" applyBorder="1"/>
    <xf numFmtId="0" fontId="133" fillId="0" borderId="28" xfId="4" applyNumberFormat="1" applyFont="1" applyBorder="1"/>
    <xf numFmtId="175" fontId="133" fillId="0" borderId="8" xfId="4" applyNumberFormat="1" applyFont="1" applyBorder="1"/>
    <xf numFmtId="175" fontId="133" fillId="0" borderId="32" xfId="4" applyNumberFormat="1" applyFont="1" applyBorder="1"/>
    <xf numFmtId="0" fontId="0" fillId="0" borderId="28" xfId="0" applyBorder="1"/>
    <xf numFmtId="175" fontId="0" fillId="0" borderId="32" xfId="0" applyNumberFormat="1" applyBorder="1"/>
    <xf numFmtId="0" fontId="119" fillId="0" borderId="0" xfId="0" applyFont="1" applyAlignment="1">
      <alignment horizontal="center" vertical="center"/>
    </xf>
    <xf numFmtId="175" fontId="101" fillId="0" borderId="0" xfId="0" applyNumberFormat="1" applyFont="1" applyAlignment="1">
      <alignment vertical="center"/>
    </xf>
    <xf numFmtId="167" fontId="0" fillId="0" borderId="26" xfId="0" applyNumberFormat="1" applyFont="1" applyBorder="1"/>
    <xf numFmtId="167" fontId="0" fillId="0" borderId="89" xfId="0" applyNumberFormat="1" applyFont="1" applyBorder="1"/>
    <xf numFmtId="167" fontId="0" fillId="0" borderId="0" xfId="0" applyNumberFormat="1" applyFont="1" applyBorder="1"/>
    <xf numFmtId="167" fontId="0" fillId="0" borderId="31" xfId="0" applyNumberFormat="1" applyFont="1" applyBorder="1"/>
    <xf numFmtId="167" fontId="0" fillId="0" borderId="8" xfId="0" applyNumberFormat="1" applyFont="1" applyBorder="1"/>
    <xf numFmtId="167" fontId="0" fillId="0" borderId="32" xfId="0" applyNumberFormat="1" applyFont="1" applyBorder="1"/>
    <xf numFmtId="0" fontId="133" fillId="0" borderId="0" xfId="4" applyNumberFormat="1" applyFont="1"/>
    <xf numFmtId="167" fontId="133" fillId="0" borderId="0" xfId="4" applyNumberFormat="1" applyFont="1"/>
    <xf numFmtId="2" fontId="119" fillId="0" borderId="0" xfId="0" applyNumberFormat="1" applyFont="1" applyAlignment="1">
      <alignment vertical="center"/>
    </xf>
    <xf numFmtId="2" fontId="108" fillId="0" borderId="0" xfId="4" applyNumberFormat="1"/>
    <xf numFmtId="2" fontId="0" fillId="0" borderId="0" xfId="0" applyNumberFormat="1" applyAlignment="1">
      <alignment vertical="center"/>
    </xf>
    <xf numFmtId="0" fontId="248" fillId="21" borderId="0" xfId="0" applyNumberFormat="1" applyFont="1" applyFill="1" applyBorder="1" applyAlignment="1" applyProtection="1"/>
    <xf numFmtId="0" fontId="248" fillId="21" borderId="5" xfId="0" applyNumberFormat="1" applyFont="1" applyFill="1" applyBorder="1" applyAlignment="1" applyProtection="1"/>
    <xf numFmtId="190" fontId="248" fillId="21" borderId="5" xfId="0" applyNumberFormat="1" applyFont="1" applyFill="1" applyBorder="1" applyAlignment="1" applyProtection="1"/>
    <xf numFmtId="171" fontId="0" fillId="0" borderId="0" xfId="2" applyNumberFormat="1" applyFont="1" applyAlignment="1">
      <alignment vertical="center"/>
    </xf>
    <xf numFmtId="176" fontId="108" fillId="0" borderId="0" xfId="4" applyNumberFormat="1"/>
    <xf numFmtId="176" fontId="0" fillId="0" borderId="0" xfId="2" applyNumberFormat="1" applyFont="1"/>
    <xf numFmtId="0" fontId="12" fillId="27" borderId="0" xfId="187" applyNumberFormat="1" applyFont="1" applyFill="1" applyBorder="1"/>
    <xf numFmtId="176" fontId="101" fillId="0" borderId="0" xfId="2" applyNumberFormat="1" applyFont="1" applyAlignment="1">
      <alignment vertical="center"/>
    </xf>
    <xf numFmtId="2" fontId="134" fillId="0" borderId="0" xfId="0" applyNumberFormat="1" applyFont="1"/>
    <xf numFmtId="0" fontId="119" fillId="0" borderId="0" xfId="0" applyFont="1" applyAlignment="1">
      <alignment horizontal="right" vertical="center"/>
    </xf>
    <xf numFmtId="176" fontId="119" fillId="0" borderId="0" xfId="2" applyNumberFormat="1" applyFont="1" applyAlignment="1">
      <alignment vertical="center"/>
    </xf>
    <xf numFmtId="2" fontId="101" fillId="0" borderId="0" xfId="0" applyNumberFormat="1" applyFont="1" applyAlignment="1">
      <alignment vertical="center"/>
    </xf>
    <xf numFmtId="0" fontId="249" fillId="0" borderId="0" xfId="0" applyFont="1" applyBorder="1" applyAlignment="1">
      <alignment horizontal="center"/>
    </xf>
    <xf numFmtId="0" fontId="249" fillId="0" borderId="0" xfId="0" applyFont="1" applyBorder="1"/>
    <xf numFmtId="0" fontId="249" fillId="0" borderId="0" xfId="0" applyFont="1"/>
    <xf numFmtId="2" fontId="249" fillId="0" borderId="0" xfId="0" applyNumberFormat="1" applyFont="1" applyBorder="1" applyAlignment="1">
      <alignment horizontal="center"/>
    </xf>
    <xf numFmtId="170" fontId="119" fillId="0" borderId="0" xfId="2" applyFont="1"/>
    <xf numFmtId="0" fontId="217" fillId="0" borderId="0" xfId="4" applyNumberFormat="1" applyFont="1"/>
    <xf numFmtId="0" fontId="194" fillId="34" borderId="5" xfId="0" applyFont="1" applyFill="1" applyBorder="1" applyAlignment="1">
      <alignment horizontal="center" vertical="center"/>
    </xf>
    <xf numFmtId="0" fontId="196" fillId="22" borderId="5" xfId="0" applyFont="1" applyFill="1" applyBorder="1" applyAlignment="1">
      <alignment horizontal="center" vertical="center"/>
    </xf>
    <xf numFmtId="0" fontId="0" fillId="0" borderId="10" xfId="0" applyBorder="1"/>
    <xf numFmtId="0" fontId="91" fillId="0" borderId="21" xfId="180" applyBorder="1"/>
    <xf numFmtId="0" fontId="149" fillId="49" borderId="0" xfId="0" applyFont="1" applyFill="1" applyBorder="1" applyAlignment="1">
      <alignment horizontal="center" vertical="center"/>
    </xf>
    <xf numFmtId="0" fontId="149" fillId="49" borderId="55" xfId="0" applyFont="1" applyFill="1" applyBorder="1" applyAlignment="1">
      <alignment horizontal="center" vertical="center"/>
    </xf>
    <xf numFmtId="0" fontId="128" fillId="49" borderId="55" xfId="0" applyNumberFormat="1" applyFont="1" applyFill="1" applyBorder="1" applyAlignment="1">
      <alignment horizontal="center" vertical="center" wrapText="1"/>
    </xf>
    <xf numFmtId="2" fontId="249" fillId="0" borderId="0" xfId="0" applyNumberFormat="1" applyFont="1" applyBorder="1"/>
    <xf numFmtId="1" fontId="201" fillId="0" borderId="0" xfId="0" applyNumberFormat="1" applyFont="1" applyBorder="1"/>
    <xf numFmtId="2" fontId="201" fillId="0" borderId="0" xfId="0" applyNumberFormat="1" applyFont="1" applyBorder="1"/>
    <xf numFmtId="0" fontId="249" fillId="0" borderId="0" xfId="0" applyFont="1" applyBorder="1" applyAlignment="1"/>
    <xf numFmtId="1" fontId="201" fillId="0" borderId="0" xfId="0" applyNumberFormat="1" applyFont="1" applyBorder="1" applyAlignment="1">
      <alignment horizontal="left"/>
    </xf>
    <xf numFmtId="1" fontId="249" fillId="0" borderId="0" xfId="0" applyNumberFormat="1" applyFont="1" applyBorder="1" applyAlignment="1">
      <alignment horizontal="left"/>
    </xf>
    <xf numFmtId="2" fontId="201" fillId="0" borderId="0" xfId="0" applyNumberFormat="1" applyFont="1" applyBorder="1" applyAlignment="1">
      <alignment horizontal="left"/>
    </xf>
    <xf numFmtId="2" fontId="249" fillId="0" borderId="0" xfId="0" applyNumberFormat="1" applyFont="1" applyBorder="1" applyAlignment="1">
      <alignment horizontal="left"/>
    </xf>
    <xf numFmtId="170" fontId="108" fillId="0" borderId="0" xfId="2" applyFont="1"/>
    <xf numFmtId="176" fontId="201" fillId="0" borderId="0" xfId="2" applyNumberFormat="1" applyFont="1" applyBorder="1" applyAlignment="1">
      <alignment horizontal="left"/>
    </xf>
    <xf numFmtId="176" fontId="249" fillId="0" borderId="0" xfId="2" applyNumberFormat="1" applyFont="1" applyBorder="1" applyAlignment="1">
      <alignment horizontal="left"/>
    </xf>
    <xf numFmtId="176" fontId="228" fillId="0" borderId="0" xfId="2" applyNumberFormat="1" applyFont="1" applyAlignment="1">
      <alignment horizontal="left" vertical="center"/>
    </xf>
    <xf numFmtId="169" fontId="0" fillId="27" borderId="6" xfId="0" applyNumberFormat="1" applyFill="1" applyBorder="1"/>
    <xf numFmtId="0" fontId="119" fillId="0" borderId="0" xfId="0" applyFont="1" applyBorder="1"/>
    <xf numFmtId="0" fontId="201" fillId="0" borderId="0" xfId="0" applyFont="1" applyBorder="1" applyAlignment="1"/>
    <xf numFmtId="167" fontId="156" fillId="27" borderId="13" xfId="232" applyNumberFormat="1" applyFont="1" applyFill="1" applyBorder="1" applyAlignment="1">
      <alignment vertical="center"/>
    </xf>
    <xf numFmtId="167" fontId="133" fillId="27" borderId="42" xfId="232" applyNumberFormat="1" applyFont="1" applyFill="1" applyBorder="1" applyAlignment="1">
      <alignment vertical="center"/>
    </xf>
    <xf numFmtId="167" fontId="133" fillId="27" borderId="13" xfId="232" applyNumberFormat="1" applyFont="1" applyFill="1" applyBorder="1" applyAlignment="1">
      <alignment vertical="center"/>
    </xf>
    <xf numFmtId="0" fontId="250" fillId="49" borderId="55" xfId="0" applyFont="1" applyFill="1" applyBorder="1" applyAlignment="1">
      <alignment horizontal="center" vertical="center" wrapText="1"/>
    </xf>
    <xf numFmtId="0" fontId="251" fillId="49" borderId="55" xfId="0" applyFont="1" applyFill="1" applyBorder="1" applyAlignment="1">
      <alignment horizontal="center" vertical="center" wrapText="1"/>
    </xf>
    <xf numFmtId="0" fontId="251" fillId="49" borderId="0" xfId="0" applyNumberFormat="1" applyFont="1" applyFill="1" applyBorder="1" applyAlignment="1">
      <alignment horizontal="center" vertical="center" wrapText="1"/>
    </xf>
    <xf numFmtId="0" fontId="251" fillId="49" borderId="57" xfId="0" applyFont="1" applyFill="1" applyBorder="1" applyAlignment="1">
      <alignment horizontal="center" vertical="center" wrapText="1"/>
    </xf>
    <xf numFmtId="0" fontId="252" fillId="33" borderId="0" xfId="0" applyFont="1" applyFill="1" applyBorder="1" applyAlignment="1">
      <alignment horizontal="center" vertical="center"/>
    </xf>
    <xf numFmtId="0" fontId="253" fillId="20" borderId="0" xfId="0" applyFont="1" applyFill="1" applyBorder="1" applyAlignment="1">
      <alignment horizontal="center" vertical="center"/>
    </xf>
    <xf numFmtId="2" fontId="133" fillId="0" borderId="0" xfId="4" applyNumberFormat="1" applyFont="1"/>
    <xf numFmtId="2" fontId="94" fillId="0" borderId="0" xfId="0" applyNumberFormat="1" applyFont="1"/>
    <xf numFmtId="2" fontId="0" fillId="0" borderId="26" xfId="0" applyNumberFormat="1" applyBorder="1"/>
    <xf numFmtId="2" fontId="0" fillId="0" borderId="89" xfId="0" applyNumberFormat="1" applyBorder="1"/>
    <xf numFmtId="2" fontId="0" fillId="0" borderId="31" xfId="0" applyNumberFormat="1" applyBorder="1"/>
    <xf numFmtId="2" fontId="0" fillId="0" borderId="32" xfId="0" applyNumberFormat="1" applyBorder="1"/>
    <xf numFmtId="176" fontId="249" fillId="0" borderId="0" xfId="2" applyNumberFormat="1" applyFont="1" applyBorder="1" applyAlignment="1">
      <alignment horizontal="right"/>
    </xf>
    <xf numFmtId="0" fontId="91" fillId="0" borderId="27" xfId="180" applyBorder="1"/>
    <xf numFmtId="183" fontId="119" fillId="0" borderId="0" xfId="0" applyNumberFormat="1" applyFont="1" applyAlignment="1">
      <alignment vertical="center"/>
    </xf>
    <xf numFmtId="169" fontId="81" fillId="21" borderId="0" xfId="224" applyNumberFormat="1" applyFill="1" applyBorder="1"/>
    <xf numFmtId="0" fontId="11" fillId="21" borderId="0" xfId="224" applyFont="1" applyFill="1" applyBorder="1" applyAlignment="1">
      <alignment horizontal="center"/>
    </xf>
    <xf numFmtId="0" fontId="11" fillId="21" borderId="0" xfId="224" applyFont="1" applyFill="1" applyBorder="1" applyAlignment="1">
      <alignment vertical="center"/>
    </xf>
    <xf numFmtId="4" fontId="81" fillId="21" borderId="0" xfId="224" applyNumberFormat="1" applyFill="1" applyBorder="1"/>
    <xf numFmtId="179" fontId="82" fillId="21" borderId="0" xfId="221" applyNumberFormat="1" applyFill="1" applyBorder="1"/>
    <xf numFmtId="0" fontId="10" fillId="21" borderId="0" xfId="221" applyFont="1" applyFill="1" applyBorder="1"/>
    <xf numFmtId="170" fontId="255" fillId="0" borderId="0" xfId="2" applyFont="1" applyBorder="1" applyAlignment="1">
      <alignment horizontal="left" vertical="center" wrapText="1" indent="4"/>
    </xf>
    <xf numFmtId="0" fontId="56" fillId="27" borderId="84" xfId="202" applyFont="1" applyFill="1" applyBorder="1"/>
    <xf numFmtId="0" fontId="56" fillId="27" borderId="27" xfId="202" applyFont="1" applyFill="1" applyBorder="1"/>
    <xf numFmtId="0" fontId="56" fillId="27" borderId="28" xfId="202" applyFont="1" applyFill="1" applyBorder="1"/>
    <xf numFmtId="170" fontId="88" fillId="27" borderId="89" xfId="2" applyFont="1" applyFill="1" applyBorder="1" applyAlignment="1">
      <alignment horizontal="center"/>
    </xf>
    <xf numFmtId="170" fontId="88" fillId="27" borderId="31" xfId="2" applyFont="1" applyFill="1" applyBorder="1" applyAlignment="1">
      <alignment horizontal="center"/>
    </xf>
    <xf numFmtId="170" fontId="88" fillId="27" borderId="32" xfId="2" applyFont="1" applyFill="1" applyBorder="1" applyAlignment="1">
      <alignment horizontal="center"/>
    </xf>
    <xf numFmtId="1" fontId="132" fillId="27" borderId="26" xfId="200" applyNumberFormat="1" applyFont="1" applyFill="1" applyBorder="1" applyAlignment="1">
      <alignment horizontal="center" vertical="center"/>
    </xf>
    <xf numFmtId="170" fontId="88" fillId="27" borderId="84" xfId="2" applyFont="1" applyFill="1" applyBorder="1" applyAlignment="1">
      <alignment horizontal="center"/>
    </xf>
    <xf numFmtId="170" fontId="88" fillId="27" borderId="26" xfId="2" applyFont="1" applyFill="1" applyBorder="1" applyAlignment="1">
      <alignment horizontal="center"/>
    </xf>
    <xf numFmtId="169" fontId="88" fillId="0" borderId="0" xfId="1" applyFont="1"/>
    <xf numFmtId="168" fontId="88" fillId="0" borderId="0" xfId="1" applyNumberFormat="1" applyFont="1"/>
    <xf numFmtId="0" fontId="9" fillId="0" borderId="0" xfId="200" applyFont="1"/>
    <xf numFmtId="0" fontId="8" fillId="0" borderId="0" xfId="200" applyFont="1"/>
    <xf numFmtId="170" fontId="89" fillId="0" borderId="0" xfId="2" applyFont="1"/>
    <xf numFmtId="0" fontId="250" fillId="49" borderId="55" xfId="0" applyFont="1" applyFill="1" applyBorder="1" applyAlignment="1">
      <alignment horizontal="center" vertical="center"/>
    </xf>
    <xf numFmtId="0" fontId="121" fillId="0" borderId="0" xfId="229" applyFont="1" applyAlignment="1">
      <alignment horizontal="left"/>
    </xf>
    <xf numFmtId="0" fontId="6" fillId="21" borderId="0" xfId="221" applyFont="1" applyFill="1" applyBorder="1" applyAlignment="1">
      <alignment horizontal="right"/>
    </xf>
    <xf numFmtId="166" fontId="88" fillId="27" borderId="0" xfId="202" applyNumberFormat="1" applyFill="1" applyBorder="1"/>
    <xf numFmtId="0" fontId="91" fillId="0" borderId="0" xfId="180" applyBorder="1" applyAlignment="1">
      <alignment horizontal="center"/>
    </xf>
    <xf numFmtId="0" fontId="91" fillId="49" borderId="0" xfId="180" applyFill="1" applyBorder="1" applyAlignment="1">
      <alignment horizontal="center"/>
    </xf>
    <xf numFmtId="0" fontId="5" fillId="27" borderId="0" xfId="207" applyFont="1" applyFill="1" applyBorder="1" applyAlignment="1">
      <alignment vertical="center"/>
    </xf>
    <xf numFmtId="0" fontId="109" fillId="18" borderId="0" xfId="4" applyNumberFormat="1" applyFont="1" applyFill="1" applyBorder="1" applyAlignment="1">
      <alignment horizontal="center"/>
    </xf>
    <xf numFmtId="168" fontId="95" fillId="18" borderId="0" xfId="1" applyNumberFormat="1" applyFont="1" applyFill="1" applyBorder="1"/>
    <xf numFmtId="0" fontId="3" fillId="27" borderId="0" xfId="207" applyFont="1" applyFill="1" applyBorder="1" applyAlignment="1">
      <alignment vertical="center"/>
    </xf>
    <xf numFmtId="0" fontId="2" fillId="27" borderId="0" xfId="207" applyFont="1" applyFill="1" applyBorder="1" applyAlignment="1">
      <alignment vertical="center"/>
    </xf>
    <xf numFmtId="169" fontId="2" fillId="0" borderId="0" xfId="221" applyNumberFormat="1" applyFont="1"/>
    <xf numFmtId="169" fontId="133" fillId="34" borderId="0" xfId="1" applyFont="1" applyFill="1" applyBorder="1"/>
    <xf numFmtId="0" fontId="257" fillId="21" borderId="0" xfId="0" applyNumberFormat="1" applyFont="1" applyFill="1" applyBorder="1" applyAlignment="1" applyProtection="1">
      <alignment vertical="center"/>
    </xf>
    <xf numFmtId="169" fontId="257" fillId="21" borderId="0" xfId="0" applyNumberFormat="1" applyFont="1" applyFill="1" applyBorder="1" applyAlignment="1" applyProtection="1">
      <alignment vertical="center"/>
    </xf>
    <xf numFmtId="0" fontId="17" fillId="21" borderId="13" xfId="224" applyFont="1" applyFill="1" applyBorder="1" applyAlignment="1">
      <alignment vertical="center"/>
    </xf>
    <xf numFmtId="0" fontId="81" fillId="21" borderId="13" xfId="224" applyFill="1" applyBorder="1" applyAlignment="1">
      <alignment vertical="center"/>
    </xf>
    <xf numFmtId="0" fontId="81" fillId="21" borderId="8" xfId="224" applyFill="1" applyBorder="1" applyAlignment="1">
      <alignment vertical="center"/>
    </xf>
    <xf numFmtId="0" fontId="1" fillId="27" borderId="0" xfId="187" applyFont="1" applyFill="1" applyBorder="1"/>
    <xf numFmtId="169" fontId="0" fillId="0" borderId="0" xfId="1" applyFont="1" applyBorder="1"/>
    <xf numFmtId="169" fontId="0" fillId="0" borderId="31" xfId="1" applyFont="1" applyBorder="1"/>
    <xf numFmtId="0" fontId="0" fillId="0" borderId="31" xfId="0" applyBorder="1"/>
    <xf numFmtId="0" fontId="128" fillId="49" borderId="57" xfId="0" applyNumberFormat="1" applyFont="1" applyFill="1" applyBorder="1" applyAlignment="1">
      <alignment horizontal="center" vertical="center" wrapText="1"/>
    </xf>
    <xf numFmtId="0" fontId="128" fillId="49" borderId="45" xfId="0" applyNumberFormat="1" applyFont="1" applyFill="1" applyBorder="1" applyAlignment="1">
      <alignment horizontal="center" vertical="center" wrapText="1"/>
    </xf>
    <xf numFmtId="0" fontId="254" fillId="0" borderId="0" xfId="180" applyFont="1" applyBorder="1" applyAlignment="1">
      <alignment horizontal="center" vertical="center" wrapText="1"/>
    </xf>
    <xf numFmtId="0" fontId="149" fillId="49" borderId="20" xfId="0" applyFont="1" applyFill="1" applyBorder="1" applyAlignment="1">
      <alignment horizontal="center" vertical="center" wrapText="1"/>
    </xf>
    <xf numFmtId="0" fontId="149" fillId="49" borderId="5" xfId="0" applyFont="1" applyFill="1" applyBorder="1" applyAlignment="1">
      <alignment horizontal="center" vertical="center" wrapText="1"/>
    </xf>
    <xf numFmtId="0" fontId="149" fillId="49" borderId="57" xfId="0" applyFont="1" applyFill="1" applyBorder="1" applyAlignment="1">
      <alignment horizontal="center" vertical="center" wrapText="1"/>
    </xf>
    <xf numFmtId="0" fontId="149" fillId="49" borderId="45" xfId="0" applyFont="1" applyFill="1" applyBorder="1" applyAlignment="1">
      <alignment horizontal="center" vertical="center" wrapText="1"/>
    </xf>
    <xf numFmtId="0" fontId="149" fillId="49" borderId="57" xfId="0" applyFont="1" applyFill="1" applyBorder="1" applyAlignment="1">
      <alignment horizontal="center" vertical="center"/>
    </xf>
    <xf numFmtId="0" fontId="149" fillId="49" borderId="45" xfId="0" applyFont="1" applyFill="1" applyBorder="1" applyAlignment="1">
      <alignment horizontal="center" vertical="center"/>
    </xf>
    <xf numFmtId="0" fontId="128" fillId="49" borderId="56" xfId="0" applyNumberFormat="1" applyFont="1" applyFill="1" applyBorder="1" applyAlignment="1">
      <alignment horizontal="center" vertical="center" wrapText="1"/>
    </xf>
    <xf numFmtId="0" fontId="0" fillId="31" borderId="81" xfId="0" applyFill="1" applyBorder="1" applyAlignment="1">
      <alignment horizontal="center" vertical="center"/>
    </xf>
    <xf numFmtId="0" fontId="0" fillId="31" borderId="29" xfId="0" applyFill="1" applyBorder="1" applyAlignment="1">
      <alignment horizontal="center" vertical="center"/>
    </xf>
    <xf numFmtId="0" fontId="0" fillId="31" borderId="30" xfId="0" applyFill="1" applyBorder="1" applyAlignment="1">
      <alignment horizontal="center" vertical="center"/>
    </xf>
    <xf numFmtId="0" fontId="132" fillId="27" borderId="81" xfId="200" applyFont="1" applyFill="1" applyBorder="1" applyAlignment="1">
      <alignment horizontal="center" vertical="center"/>
    </xf>
    <xf numFmtId="0" fontId="132" fillId="27" borderId="29" xfId="200" applyFont="1" applyFill="1" applyBorder="1" applyAlignment="1">
      <alignment horizontal="center" vertical="center"/>
    </xf>
    <xf numFmtId="0" fontId="132" fillId="27" borderId="30" xfId="200" applyFont="1" applyFill="1" applyBorder="1" applyAlignment="1">
      <alignment horizontal="center" vertical="center"/>
    </xf>
    <xf numFmtId="0" fontId="0" fillId="0" borderId="0" xfId="0" applyAlignment="1">
      <alignment horizontal="left" wrapText="1"/>
    </xf>
    <xf numFmtId="0" fontId="121" fillId="27" borderId="26" xfId="207" applyNumberFormat="1" applyFont="1" applyFill="1" applyBorder="1" applyAlignment="1">
      <alignment horizontal="center" vertical="center"/>
    </xf>
    <xf numFmtId="0" fontId="121" fillId="27" borderId="0" xfId="207" applyNumberFormat="1" applyFont="1" applyFill="1" applyBorder="1" applyAlignment="1">
      <alignment horizontal="center" vertical="center"/>
    </xf>
    <xf numFmtId="0" fontId="121" fillId="27" borderId="8" xfId="207" applyNumberFormat="1" applyFont="1" applyFill="1" applyBorder="1" applyAlignment="1">
      <alignment horizontal="center" vertical="center"/>
    </xf>
    <xf numFmtId="0" fontId="47" fillId="27" borderId="13" xfId="207" applyNumberFormat="1" applyFont="1" applyFill="1" applyBorder="1" applyAlignment="1">
      <alignment horizontal="center" vertical="center"/>
    </xf>
    <xf numFmtId="0" fontId="47" fillId="27" borderId="0" xfId="207" applyNumberFormat="1" applyFont="1" applyFill="1" applyBorder="1" applyAlignment="1">
      <alignment horizontal="center" vertical="center"/>
    </xf>
    <xf numFmtId="0" fontId="47" fillId="27" borderId="8" xfId="207" applyNumberFormat="1" applyFont="1" applyFill="1" applyBorder="1" applyAlignment="1">
      <alignment horizontal="center" vertical="center"/>
    </xf>
    <xf numFmtId="0" fontId="47" fillId="27" borderId="26" xfId="207" applyNumberFormat="1" applyFont="1" applyFill="1" applyBorder="1" applyAlignment="1">
      <alignment horizontal="center" vertical="center"/>
    </xf>
    <xf numFmtId="168" fontId="101" fillId="0" borderId="0" xfId="243" applyNumberFormat="1" applyFont="1" applyFill="1" applyAlignment="1">
      <alignment horizontal="center" wrapText="1"/>
    </xf>
    <xf numFmtId="169" fontId="101" fillId="0" borderId="0" xfId="243" applyNumberFormat="1" applyFont="1" applyAlignment="1"/>
    <xf numFmtId="169" fontId="120" fillId="0" borderId="0" xfId="243" applyNumberFormat="1" applyFont="1" applyAlignment="1"/>
    <xf numFmtId="193" fontId="101" fillId="51" borderId="7" xfId="242" applyFont="1" applyFill="1" applyBorder="1" applyAlignment="1">
      <alignment horizontal="center" vertical="center"/>
    </xf>
    <xf numFmtId="193" fontId="0" fillId="51" borderId="78" xfId="242" applyFont="1" applyFill="1" applyBorder="1" applyAlignment="1">
      <alignment horizontal="left" vertical="center"/>
    </xf>
    <xf numFmtId="193" fontId="0" fillId="51" borderId="8" xfId="242" applyFont="1" applyFill="1" applyBorder="1" applyAlignment="1">
      <alignment horizontal="left" vertical="center"/>
    </xf>
    <xf numFmtId="168" fontId="101" fillId="0" borderId="0" xfId="243" applyNumberFormat="1" applyFont="1" applyFill="1" applyAlignment="1">
      <alignment horizontal="left" vertical="top" wrapText="1"/>
    </xf>
    <xf numFmtId="193" fontId="120" fillId="51" borderId="66" xfId="246" applyFont="1" applyFill="1" applyBorder="1" applyAlignment="1">
      <alignment horizontal="center" vertical="center"/>
    </xf>
    <xf numFmtId="193" fontId="0" fillId="51" borderId="26" xfId="246" applyFont="1" applyFill="1" applyBorder="1" applyAlignment="1">
      <alignment horizontal="left" vertical="center" wrapText="1"/>
    </xf>
    <xf numFmtId="193" fontId="0" fillId="51" borderId="0" xfId="246" applyFont="1" applyFill="1" applyBorder="1" applyAlignment="1">
      <alignment horizontal="left" vertical="center" wrapText="1"/>
    </xf>
  </cellXfs>
  <cellStyles count="270">
    <cellStyle name="=C:\WINNT\SYSTEM32\COMMAND.COM" xfId="5"/>
    <cellStyle name="20% - Accent1 2" xfId="6"/>
    <cellStyle name="20% - Accent1 3" xfId="7"/>
    <cellStyle name="20% - Accent1 4" xfId="8"/>
    <cellStyle name="20% - Accent1 5" xfId="9"/>
    <cellStyle name="20% - Accent2 2" xfId="10"/>
    <cellStyle name="20% - Accent2 3" xfId="11"/>
    <cellStyle name="20% - Accent3 2" xfId="12"/>
    <cellStyle name="20% - Accent3 3" xfId="13"/>
    <cellStyle name="20% - Accent4 2" xfId="14"/>
    <cellStyle name="20% - Accent4 3" xfId="15"/>
    <cellStyle name="20% - Accent5 2" xfId="16"/>
    <cellStyle name="20% - Accent5 3" xfId="17"/>
    <cellStyle name="20% - Accent6 2" xfId="18"/>
    <cellStyle name="20% - Accent6 3" xfId="19"/>
    <cellStyle name="20% - Accent6 3 2" xfId="20"/>
    <cellStyle name="20% - Accent6 4" xfId="21"/>
    <cellStyle name="20% - Accent6 5" xfId="22"/>
    <cellStyle name="20% - Accent6 6" xfId="23"/>
    <cellStyle name="20% - Accent6 7" xfId="24"/>
    <cellStyle name="20% - Énfasis1" xfId="234" builtinId="30"/>
    <cellStyle name="20% - Énfasis6 2" xfId="25"/>
    <cellStyle name="20% - Énfasis6 3" xfId="204"/>
    <cellStyle name="20% - Énfasis6 4" xfId="238"/>
    <cellStyle name="20% - Énfasis6 5" xfId="264"/>
    <cellStyle name="40% - Accent1 2" xfId="26"/>
    <cellStyle name="40% - Accent1 3" xfId="27"/>
    <cellStyle name="40% - Accent2 2" xfId="28"/>
    <cellStyle name="40% - Accent2 3" xfId="29"/>
    <cellStyle name="40% - Accent3 2" xfId="30"/>
    <cellStyle name="40% - Accent3 3" xfId="31"/>
    <cellStyle name="40% - Accent4 2" xfId="32"/>
    <cellStyle name="40% - Accent4 3" xfId="33"/>
    <cellStyle name="40% - Accent5 2" xfId="34"/>
    <cellStyle name="40% - Accent5 3" xfId="35"/>
    <cellStyle name="40% - Accent6 2" xfId="36"/>
    <cellStyle name="40% - Accent6 3" xfId="37"/>
    <cellStyle name="60% - Énfasis2 2" xfId="212"/>
    <cellStyle name="60% - Énfasis6 2" xfId="213"/>
    <cellStyle name="Body: normal cell" xfId="214"/>
    <cellStyle name="Comma 2" xfId="38"/>
    <cellStyle name="Comma 2 2" xfId="189"/>
    <cellStyle name="Comma 3" xfId="39"/>
    <cellStyle name="Encabezado 1 2" xfId="215"/>
    <cellStyle name="Entrada 2" xfId="183"/>
    <cellStyle name="Excel Built-in Normal" xfId="40"/>
    <cellStyle name="Hipervínculo" xfId="3" builtinId="8"/>
    <cellStyle name="Hipervínculo 2" xfId="198"/>
    <cellStyle name="Hipervínculo 3" xfId="199"/>
    <cellStyle name="Hyperlink 10" xfId="41"/>
    <cellStyle name="Hyperlink 100" xfId="42"/>
    <cellStyle name="Hyperlink 101" xfId="43"/>
    <cellStyle name="Hyperlink 102" xfId="44"/>
    <cellStyle name="Hyperlink 103" xfId="45"/>
    <cellStyle name="Hyperlink 104" xfId="46"/>
    <cellStyle name="Hyperlink 105" xfId="47"/>
    <cellStyle name="Hyperlink 106" xfId="48"/>
    <cellStyle name="Hyperlink 107" xfId="49"/>
    <cellStyle name="Hyperlink 108" xfId="50"/>
    <cellStyle name="Hyperlink 109" xfId="51"/>
    <cellStyle name="Hyperlink 11" xfId="52"/>
    <cellStyle name="Hyperlink 110" xfId="53"/>
    <cellStyle name="Hyperlink 111" xfId="54"/>
    <cellStyle name="Hyperlink 112" xfId="192"/>
    <cellStyle name="Hyperlink 12" xfId="55"/>
    <cellStyle name="Hyperlink 13" xfId="56"/>
    <cellStyle name="Hyperlink 14" xfId="57"/>
    <cellStyle name="Hyperlink 15" xfId="58"/>
    <cellStyle name="Hyperlink 16" xfId="59"/>
    <cellStyle name="Hyperlink 17" xfId="60"/>
    <cellStyle name="Hyperlink 18" xfId="61"/>
    <cellStyle name="Hyperlink 19" xfId="62"/>
    <cellStyle name="Hyperlink 2" xfId="63"/>
    <cellStyle name="Hyperlink 20" xfId="64"/>
    <cellStyle name="Hyperlink 21" xfId="65"/>
    <cellStyle name="Hyperlink 22" xfId="66"/>
    <cellStyle name="Hyperlink 23" xfId="67"/>
    <cellStyle name="Hyperlink 24" xfId="68"/>
    <cellStyle name="Hyperlink 25" xfId="69"/>
    <cellStyle name="Hyperlink 26" xfId="70"/>
    <cellStyle name="Hyperlink 27" xfId="71"/>
    <cellStyle name="Hyperlink 28" xfId="72"/>
    <cellStyle name="Hyperlink 29" xfId="73"/>
    <cellStyle name="Hyperlink 3" xfId="74"/>
    <cellStyle name="Hyperlink 30" xfId="75"/>
    <cellStyle name="Hyperlink 31" xfId="76"/>
    <cellStyle name="Hyperlink 32" xfId="77"/>
    <cellStyle name="Hyperlink 33" xfId="78"/>
    <cellStyle name="Hyperlink 34" xfId="79"/>
    <cellStyle name="Hyperlink 35" xfId="80"/>
    <cellStyle name="Hyperlink 36" xfId="81"/>
    <cellStyle name="Hyperlink 37" xfId="82"/>
    <cellStyle name="Hyperlink 38" xfId="83"/>
    <cellStyle name="Hyperlink 39" xfId="84"/>
    <cellStyle name="Hyperlink 4" xfId="85"/>
    <cellStyle name="Hyperlink 40" xfId="86"/>
    <cellStyle name="Hyperlink 41" xfId="87"/>
    <cellStyle name="Hyperlink 42" xfId="88"/>
    <cellStyle name="Hyperlink 43" xfId="89"/>
    <cellStyle name="Hyperlink 44" xfId="90"/>
    <cellStyle name="Hyperlink 45" xfId="91"/>
    <cellStyle name="Hyperlink 46" xfId="92"/>
    <cellStyle name="Hyperlink 47" xfId="93"/>
    <cellStyle name="Hyperlink 48" xfId="94"/>
    <cellStyle name="Hyperlink 49" xfId="95"/>
    <cellStyle name="Hyperlink 5" xfId="96"/>
    <cellStyle name="Hyperlink 50" xfId="97"/>
    <cellStyle name="Hyperlink 51" xfId="98"/>
    <cellStyle name="Hyperlink 52" xfId="99"/>
    <cellStyle name="Hyperlink 53" xfId="100"/>
    <cellStyle name="Hyperlink 54" xfId="101"/>
    <cellStyle name="Hyperlink 55" xfId="102"/>
    <cellStyle name="Hyperlink 56" xfId="103"/>
    <cellStyle name="Hyperlink 57" xfId="104"/>
    <cellStyle name="Hyperlink 58" xfId="105"/>
    <cellStyle name="Hyperlink 59" xfId="106"/>
    <cellStyle name="Hyperlink 6" xfId="107"/>
    <cellStyle name="Hyperlink 60" xfId="108"/>
    <cellStyle name="Hyperlink 61" xfId="109"/>
    <cellStyle name="Hyperlink 62" xfId="110"/>
    <cellStyle name="Hyperlink 63" xfId="111"/>
    <cellStyle name="Hyperlink 64" xfId="112"/>
    <cellStyle name="Hyperlink 65" xfId="113"/>
    <cellStyle name="Hyperlink 66" xfId="114"/>
    <cellStyle name="Hyperlink 67" xfId="115"/>
    <cellStyle name="Hyperlink 68" xfId="116"/>
    <cellStyle name="Hyperlink 69" xfId="117"/>
    <cellStyle name="Hyperlink 7" xfId="118"/>
    <cellStyle name="Hyperlink 70" xfId="119"/>
    <cellStyle name="Hyperlink 71" xfId="120"/>
    <cellStyle name="Hyperlink 72" xfId="121"/>
    <cellStyle name="Hyperlink 73" xfId="122"/>
    <cellStyle name="Hyperlink 74" xfId="123"/>
    <cellStyle name="Hyperlink 75" xfId="124"/>
    <cellStyle name="Hyperlink 76" xfId="125"/>
    <cellStyle name="Hyperlink 77" xfId="126"/>
    <cellStyle name="Hyperlink 78" xfId="127"/>
    <cellStyle name="Hyperlink 79" xfId="128"/>
    <cellStyle name="Hyperlink 8" xfId="129"/>
    <cellStyle name="Hyperlink 80" xfId="130"/>
    <cellStyle name="Hyperlink 81" xfId="131"/>
    <cellStyle name="Hyperlink 82" xfId="132"/>
    <cellStyle name="Hyperlink 83" xfId="133"/>
    <cellStyle name="Hyperlink 84" xfId="134"/>
    <cellStyle name="Hyperlink 85" xfId="135"/>
    <cellStyle name="Hyperlink 86" xfId="136"/>
    <cellStyle name="Hyperlink 87" xfId="137"/>
    <cellStyle name="Hyperlink 88" xfId="138"/>
    <cellStyle name="Hyperlink 89" xfId="139"/>
    <cellStyle name="Hyperlink 9" xfId="140"/>
    <cellStyle name="Hyperlink 90" xfId="141"/>
    <cellStyle name="Hyperlink 91" xfId="142"/>
    <cellStyle name="Hyperlink 92" xfId="143"/>
    <cellStyle name="Hyperlink 93" xfId="144"/>
    <cellStyle name="Hyperlink 94" xfId="145"/>
    <cellStyle name="Hyperlink 95" xfId="146"/>
    <cellStyle name="Hyperlink 96" xfId="147"/>
    <cellStyle name="Hyperlink 97" xfId="148"/>
    <cellStyle name="Hyperlink 98" xfId="149"/>
    <cellStyle name="Hyperlink 99" xfId="150"/>
    <cellStyle name="Millares" xfId="1" builtinId="3"/>
    <cellStyle name="Millares [0] 2" xfId="248"/>
    <cellStyle name="Millares 10" xfId="225"/>
    <cellStyle name="Millares 11" xfId="232"/>
    <cellStyle name="Millares 12" xfId="236"/>
    <cellStyle name="Millares 13" xfId="240"/>
    <cellStyle name="Millares 14" xfId="250"/>
    <cellStyle name="Millares 2" xfId="151"/>
    <cellStyle name="Millares 2 3" xfId="247"/>
    <cellStyle name="Millares 2 4" xfId="243"/>
    <cellStyle name="Millares 3" xfId="178"/>
    <cellStyle name="Millares 3 2" xfId="252"/>
    <cellStyle name="Millares 4" xfId="186"/>
    <cellStyle name="Millares 4 2" xfId="253"/>
    <cellStyle name="Millares 5" xfId="188"/>
    <cellStyle name="Millares 6" xfId="191"/>
    <cellStyle name="Millares 7" xfId="201"/>
    <cellStyle name="Millares 7 2" xfId="206"/>
    <cellStyle name="Millares 8" xfId="208"/>
    <cellStyle name="Millares 8 2" xfId="261"/>
    <cellStyle name="Millares 9" xfId="220"/>
    <cellStyle name="Moneda" xfId="263" builtinId="4"/>
    <cellStyle name="Normal" xfId="0" builtinId="0"/>
    <cellStyle name="Normal 10" xfId="180"/>
    <cellStyle name="Normal 10 2" xfId="265"/>
    <cellStyle name="Normal 10 2 2 2 2 2 2 3 2 2 2 2" xfId="152"/>
    <cellStyle name="Normal 10 2 4 2 2 2 4 2 2 2" xfId="153"/>
    <cellStyle name="Normal 11" xfId="184"/>
    <cellStyle name="Normal 12" xfId="187"/>
    <cellStyle name="Normal 12 2" xfId="202"/>
    <cellStyle name="Normal 12 3" xfId="209"/>
    <cellStyle name="Normal 12 4" xfId="221"/>
    <cellStyle name="Normal 12 5" xfId="227"/>
    <cellStyle name="Normal 12 6" xfId="231"/>
    <cellStyle name="Normal 12 7" xfId="257"/>
    <cellStyle name="Normal 12 7 2" xfId="269"/>
    <cellStyle name="Normal 13" xfId="193"/>
    <cellStyle name="Normal 14" xfId="194"/>
    <cellStyle name="Normal 15" xfId="200"/>
    <cellStyle name="Normal 15 2" xfId="205"/>
    <cellStyle name="Normal 15 2 2" xfId="210"/>
    <cellStyle name="Normal 15 2 3" xfId="222"/>
    <cellStyle name="Normal 15 2 4" xfId="226"/>
    <cellStyle name="Normal 15 2 5" xfId="230"/>
    <cellStyle name="Normal 15 3" xfId="256"/>
    <cellStyle name="Normal 15 3 2" xfId="267"/>
    <cellStyle name="Normal 16" xfId="207"/>
    <cellStyle name="Normal 16 2" xfId="260"/>
    <cellStyle name="Normal 17" xfId="219"/>
    <cellStyle name="Normal 18" xfId="224"/>
    <cellStyle name="Normal 19" xfId="229"/>
    <cellStyle name="Normal 2" xfId="154"/>
    <cellStyle name="Normal 2 2" xfId="155"/>
    <cellStyle name="Normal 2 2 2" xfId="156"/>
    <cellStyle name="Normal 2 3" xfId="157"/>
    <cellStyle name="Normal 2 4" xfId="195"/>
    <cellStyle name="Normal 2 5" xfId="216"/>
    <cellStyle name="Normal 20" xfId="235"/>
    <cellStyle name="Normal 20 2" xfId="255"/>
    <cellStyle name="Normal 20 2 2" xfId="266"/>
    <cellStyle name="Normal 21" xfId="239"/>
    <cellStyle name="Normal 22" xfId="176"/>
    <cellStyle name="Normal 23" xfId="241"/>
    <cellStyle name="Normal 24" xfId="245"/>
    <cellStyle name="Normal 25" xfId="254"/>
    <cellStyle name="Normal 26" xfId="259"/>
    <cellStyle name="Normal 3" xfId="158"/>
    <cellStyle name="Normal 3 2" xfId="159"/>
    <cellStyle name="Normal 4" xfId="160"/>
    <cellStyle name="Normal 4 2" xfId="161"/>
    <cellStyle name="Normal 45" xfId="242"/>
    <cellStyle name="Normal 45 2" xfId="246"/>
    <cellStyle name="Normal 5" xfId="162"/>
    <cellStyle name="Normal 6" xfId="163"/>
    <cellStyle name="Normal 7" xfId="164"/>
    <cellStyle name="Normal 8" xfId="177"/>
    <cellStyle name="Normal 9" xfId="165"/>
    <cellStyle name="Normal 9 2 4 2 2 3 2 2 2 2" xfId="166"/>
    <cellStyle name="Normal_CRFReport-template" xfId="251"/>
    <cellStyle name="Normal_VI.b_2" xfId="244"/>
    <cellStyle name="Note 2" xfId="167"/>
    <cellStyle name="Note 3" xfId="168"/>
    <cellStyle name="Note 4" xfId="169"/>
    <cellStyle name="ofwhich" xfId="4"/>
    <cellStyle name="Parent row" xfId="217"/>
    <cellStyle name="Percent 2" xfId="170"/>
    <cellStyle name="Percent 3" xfId="196"/>
    <cellStyle name="Porcentaje" xfId="2"/>
    <cellStyle name="Porcentaje 10" xfId="228"/>
    <cellStyle name="Porcentaje 11" xfId="233"/>
    <cellStyle name="Porcentaje 12" xfId="237"/>
    <cellStyle name="Porcentaje 13" xfId="249"/>
    <cellStyle name="Porcentaje 14" xfId="258"/>
    <cellStyle name="Porcentaje 14 2" xfId="268"/>
    <cellStyle name="Porcentaje 15" xfId="262"/>
    <cellStyle name="Porcentaje 2" xfId="175"/>
    <cellStyle name="Porcentaje 2 2" xfId="182"/>
    <cellStyle name="Porcentaje 2 3" xfId="197"/>
    <cellStyle name="Porcentaje 3" xfId="179"/>
    <cellStyle name="Porcentaje 4" xfId="181"/>
    <cellStyle name="Porcentaje 4 2 2 2 2 3 2 2 2 2" xfId="171"/>
    <cellStyle name="Porcentaje 5" xfId="185"/>
    <cellStyle name="Porcentaje 5 2 2 2 2 2 2 3 2 2 2 2" xfId="172"/>
    <cellStyle name="Porcentaje 5 2 4 2 2 2 4 2 2 2" xfId="173"/>
    <cellStyle name="Porcentaje 6" xfId="190"/>
    <cellStyle name="Porcentaje 7" xfId="203"/>
    <cellStyle name="Porcentaje 8" xfId="211"/>
    <cellStyle name="Porcentaje 9" xfId="223"/>
    <cellStyle name="Table_HeaderRow" xfId="174"/>
    <cellStyle name="Título 2 2" xfId="218"/>
  </cellStyles>
  <dxfs count="3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numFmt numFmtId="168" formatCode="#,##0_);\(#,##0\);&quot;-&quot;_);@"/>
    </dxf>
    <dxf>
      <numFmt numFmtId="168" formatCode="#,##0_);\(#,##0\);&quot;-&quot;_);@"/>
    </dxf>
    <dxf>
      <numFmt numFmtId="168" formatCode="#,##0_);\(#,##0\);&quot;-&quot;_);@"/>
    </dxf>
    <dxf>
      <numFmt numFmtId="168" formatCode="#,##0_);\(#,##0\);&quot;-&quot;_);@"/>
    </dxf>
    <dxf>
      <numFmt numFmtId="168" formatCode="#,##0_);\(#,##0\);&quot;-&quot;_);@"/>
    </dxf>
    <dxf>
      <numFmt numFmtId="168" formatCode="#,##0_);\(#,##0\);&quot;-&quot;_);@"/>
    </dxf>
    <dxf>
      <numFmt numFmtId="168" formatCode="#,##0_);\(#,##0\);&quot;-&quot;_)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ajor"/>
      </font>
      <fill>
        <patternFill patternType="solid">
          <fgColor indexed="64"/>
          <bgColor theme="6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9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9" formatCode="#,##0.000_);\(#,##0.0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9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9" formatCode="#,##0.000_);\(#,##0.0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9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9" formatCode="#,##0.000_);\(#,##0.0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9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9" formatCode="#,##0.000_);\(#,##0.0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9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9" formatCode="#,##0.000_);\(#,##0.0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9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9" formatCode="#,##0.000_);\(#,##0.0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9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9" formatCode="#,##0.000_);\(#,##0.0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9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9" formatCode="#,##0.000_);\(#,##0.0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rgb="FFEBF1DE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9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9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9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9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9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9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9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9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83" formatCode="0.000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9" formatCode="#,##0.000_);\(#,##0.0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83" formatCode="0.000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9" formatCode="#,##0.000_);\(#,##0.0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83" formatCode="0.000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9" formatCode="#,##0.000_);\(#,##0.0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83" formatCode="0.000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9" formatCode="#,##0.000_);\(#,##0.0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83" formatCode="0.000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9" formatCode="#,##0.000_);\(#,##0.0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83" formatCode="0.000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9" formatCode="#,##0.000_);\(#,##0.0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83" formatCode="0.000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9" formatCode="#,##0.000_);\(#,##0.0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83" formatCode="0.000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9" formatCode="#,##0.000_);\(#,##0.0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83" formatCode="0.000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0" formatCode="#,##0.0000_);\(#,##0.0000\);&quot;-&quot;_);@"/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theme="0"/>
        </left>
        <right/>
        <top/>
        <bottom/>
      </border>
      <protection locked="1" hidden="0"/>
    </dxf>
    <dxf>
      <numFmt numFmtId="169" formatCode="#,##0.0_);\(#,##0.0\);&quot;-&quot;_);@"/>
      <fill>
        <patternFill patternType="solid">
          <fgColor indexed="64"/>
          <bgColor theme="6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0" formatCode="#,##0.0000_);\(#,##0.0000\);&quot;-&quot;_);@"/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theme="0"/>
        </left>
        <right/>
        <top/>
        <bottom/>
      </border>
      <protection locked="1" hidden="0"/>
    </dxf>
    <dxf>
      <numFmt numFmtId="169" formatCode="#,##0.0_);\(#,##0.0\);&quot;-&quot;_);@"/>
      <fill>
        <patternFill patternType="solid">
          <fgColor indexed="64"/>
          <bgColor theme="6" tint="0.79998168889431442"/>
        </patternFill>
      </fill>
      <border outline="0">
        <left/>
        <right style="thin">
          <color theme="0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0" formatCode="#,##0.0000_);\(#,##0.0000\);&quot;-&quot;_);@"/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theme="0"/>
        </left>
        <right/>
        <top/>
        <bottom/>
      </border>
      <protection locked="1" hidden="0"/>
    </dxf>
    <dxf>
      <numFmt numFmtId="169" formatCode="#,##0.0_);\(#,##0.0\);&quot;-&quot;_);@"/>
      <fill>
        <patternFill patternType="solid">
          <fgColor indexed="64"/>
          <bgColor theme="6" tint="0.79998168889431442"/>
        </patternFill>
      </fill>
      <border outline="0">
        <left/>
        <right style="thin">
          <color theme="0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0" formatCode="#,##0.0000_);\(#,##0.0000\);&quot;-&quot;_);@"/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theme="0"/>
        </left>
        <right/>
        <top/>
        <bottom/>
      </border>
      <protection locked="1" hidden="0"/>
    </dxf>
    <dxf>
      <numFmt numFmtId="169" formatCode="#,##0.0_);\(#,##0.0\);&quot;-&quot;_);@"/>
      <fill>
        <patternFill patternType="solid">
          <fgColor indexed="64"/>
          <bgColor theme="6" tint="0.79998168889431442"/>
        </patternFill>
      </fill>
      <border outline="0">
        <left/>
        <right style="thin">
          <color theme="0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0" formatCode="#,##0.0000_);\(#,##0.0000\);&quot;-&quot;_);@"/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theme="0"/>
        </left>
        <right/>
        <top/>
        <bottom/>
      </border>
      <protection locked="1" hidden="0"/>
    </dxf>
    <dxf>
      <numFmt numFmtId="169" formatCode="#,##0.0_);\(#,##0.0\);&quot;-&quot;_);@"/>
      <fill>
        <patternFill patternType="solid">
          <fgColor indexed="64"/>
          <bgColor theme="6" tint="0.79998168889431442"/>
        </patternFill>
      </fill>
      <border outline="0">
        <left/>
        <right style="thin">
          <color theme="0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0" formatCode="#,##0.0000_);\(#,##0.0000\);&quot;-&quot;_);@"/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theme="0"/>
        </left>
        <right/>
        <top/>
        <bottom/>
      </border>
      <protection locked="1" hidden="0"/>
    </dxf>
    <dxf>
      <numFmt numFmtId="169" formatCode="#,##0.0_);\(#,##0.0\);&quot;-&quot;_);@"/>
      <fill>
        <patternFill patternType="solid">
          <fgColor indexed="64"/>
          <bgColor theme="6" tint="0.79998168889431442"/>
        </patternFill>
      </fill>
      <border outline="0">
        <left/>
        <right style="thin">
          <color theme="0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0" formatCode="#,##0.0000_);\(#,##0.0000\);&quot;-&quot;_);@"/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theme="0"/>
        </left>
        <right/>
        <top/>
        <bottom/>
      </border>
      <protection locked="1" hidden="0"/>
    </dxf>
    <dxf>
      <numFmt numFmtId="169" formatCode="#,##0.0_);\(#,##0.0\);&quot;-&quot;_);@"/>
      <fill>
        <patternFill patternType="solid">
          <fgColor indexed="64"/>
          <bgColor theme="6" tint="0.79998168889431442"/>
        </patternFill>
      </fill>
      <border outline="0">
        <left/>
        <right style="thin">
          <color theme="0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0" formatCode="#,##0.0000_);\(#,##0.0000\);&quot;-&quot;_);@"/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theme="0"/>
        </left>
        <right/>
        <top/>
        <bottom/>
      </border>
      <protection locked="1" hidden="0"/>
    </dxf>
    <dxf>
      <numFmt numFmtId="169" formatCode="#,##0.0_);\(#,##0.0\);&quot;-&quot;_);@"/>
      <fill>
        <patternFill patternType="solid">
          <fgColor indexed="64"/>
          <bgColor theme="6" tint="0.79998168889431442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theme="0"/>
        </left>
        <right/>
        <top/>
        <bottom/>
      </border>
      <protection locked="1" hidden="0"/>
    </dxf>
    <dxf>
      <fill>
        <patternFill patternType="solid">
          <fgColor indexed="64"/>
          <bgColor theme="6" tint="0.79998168889431442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theme="0"/>
        </left>
        <right/>
        <top/>
        <bottom/>
      </border>
      <protection locked="1" hidden="0"/>
    </dxf>
    <dxf>
      <fill>
        <patternFill patternType="solid">
          <fgColor indexed="64"/>
          <bgColor theme="6" tint="0.79998168889431442"/>
        </patternFill>
      </fill>
      <border diagonalUp="0" diagonalDown="0">
        <left style="thin">
          <color theme="0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ill>
        <patternFill patternType="solid">
          <fgColor indexed="64"/>
          <bgColor theme="6" tint="0.79998168889431442"/>
        </patternFill>
      </fill>
    </dxf>
    <dxf>
      <border outline="0">
        <left style="thin">
          <color theme="0"/>
        </left>
        <right style="thin">
          <color theme="0"/>
        </right>
      </border>
    </dxf>
    <dxf>
      <fill>
        <patternFill patternType="solid">
          <fgColor indexed="64"/>
          <bgColor theme="6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9" formatCode="#,##0.000_);\(#,##0.0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9" formatCode="#,##0.000_);\(#,##0.0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9" formatCode="#,##0.000_);\(#,##0.0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9" formatCode="#,##0.000_);\(#,##0.0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9" formatCode="#,##0.000_);\(#,##0.0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9" formatCode="#,##0.000_);\(#,##0.0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9" formatCode="#,##0.000_);\(#,##0.0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9" formatCode="#,##0.000_);\(#,##0.0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numFmt numFmtId="175" formatCode="0.0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#,##0.00_);\(#,##0.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#,##0.00_);\(#,##0.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#,##0.00_);\(#,##0.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#,##0.00_);\(#,##0.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#,##0.00_);\(#,##0.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#,##0.00_);\(#,##0.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#,##0.00_);\(#,##0.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#,##0.00_);\(#,##0.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numFmt numFmtId="167" formatCode="#,##0.00_);\(#,##0.00\);&quot;-&quot;_)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border outline="0">
        <top style="thin">
          <color rgb="FF95B3D7"/>
        </top>
      </border>
    </dxf>
    <dxf>
      <border outline="0">
        <bottom style="thin">
          <color rgb="FF95B3D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ajor"/>
      </font>
      <numFmt numFmtId="0" formatCode="General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#,##0.00_);\(#,##0.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#,##0.00_);\(#,##0.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#,##0.00_);\(#,##0.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#,##0.00_);\(#,##0.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#,##0.00_);\(#,##0.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#,##0.00_);\(#,##0.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#,##0.00_);\(#,##0.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#,##0.00_);\(#,##0.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numFmt numFmtId="167" formatCode="#,##0.00_);\(#,##0.00\);&quot;-&quot;_)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border outline="0">
        <top style="thin">
          <color rgb="FF95B3D7"/>
        </top>
      </border>
    </dxf>
    <dxf>
      <border outline="0">
        <bottom style="thin">
          <color rgb="FF95B3D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ajor"/>
      </font>
      <numFmt numFmtId="0" formatCode="General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#,##0.00_);\(#,##0.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numFmt numFmtId="166" formatCode="_-* #,##0.00_-;\-* #,##0.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#,##0.00_);\(#,##0.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#,##0.00_);\(#,##0.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#,##0.00_);\(#,##0.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#,##0.00_);\(#,##0.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#,##0.00_);\(#,##0.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#,##0.00_);\(#,##0.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#,##0.00_);\(#,##0.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9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9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9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9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9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9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9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9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9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9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9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9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9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9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9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9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numFmt numFmtId="211" formatCode="0.0000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92" formatCode="#,##0.00000_);\(#,##0.000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92" formatCode="#,##0.00000_);\(#,##0.000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92" formatCode="#,##0.00000_);\(#,##0.000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92" formatCode="#,##0.00000_);\(#,##0.000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92" formatCode="#,##0.00000_);\(#,##0.000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92" formatCode="#,##0.00000_);\(#,##0.000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92" formatCode="#,##0.00000_);\(#,##0.000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92" formatCode="#,##0.00000_);\(#,##0.0000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ajor"/>
      </font>
      <fill>
        <patternFill patternType="solid">
          <fgColor indexed="64"/>
          <bgColor theme="6" tint="0.79998168889431442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80" formatCode="_(* #,##0.00_);_(* \(#,##0.00\);_(* &quot;-&quot;??_);_(@_)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80" formatCode="_(* #,##0.00_);_(* \(#,##0.00\);_(* &quot;-&quot;??_);_(@_)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80" formatCode="_(* #,##0.00_);_(* \(#,##0.00\);_(* &quot;-&quot;??_);_(@_)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80" formatCode="_(* #,##0.00_);_(* \(#,##0.00\);_(* &quot;-&quot;??_);_(@_)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80" formatCode="_(* #,##0.00_);_(* \(#,##0.00\);_(* &quot;-&quot;??_);_(@_)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80" formatCode="_(* #,##0.00_);_(* \(#,##0.00\);_(* &quot;-&quot;??_);_(@_)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80" formatCode="_(* #,##0.00_);_(* \(#,##0.00\);_(* &quot;-&quot;??_);_(@_)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80" formatCode="_(* #,##0.00_);_(* \(#,##0.00\);_(* &quot;-&quot;??_);_(@_)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ajor"/>
      </font>
      <fill>
        <patternFill patternType="solid">
          <fgColor indexed="64"/>
          <bgColor theme="6" tint="0.79998168889431442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80" formatCode="_(* #,##0.00_);_(* \(#,##0.00\);_(* &quot;-&quot;??_);_(@_)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80" formatCode="_(* #,##0.00_);_(* \(#,##0.00\);_(* &quot;-&quot;??_);_(@_)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80" formatCode="_(* #,##0.00_);_(* \(#,##0.00\);_(* &quot;-&quot;??_);_(@_)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80" formatCode="_(* #,##0.00_);_(* \(#,##0.00\);_(* &quot;-&quot;??_);_(@_)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80" formatCode="_(* #,##0.00_);_(* \(#,##0.00\);_(* &quot;-&quot;??_);_(@_)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80" formatCode="_(* #,##0.00_);_(* \(#,##0.00\);_(* &quot;-&quot;??_);_(@_)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80" formatCode="_(* #,##0.00_);_(* \(#,##0.00\);_(* &quot;-&quot;??_);_(@_)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80" formatCode="_(* #,##0.00_);_(* \(#,##0.00\);_(* &quot;-&quot;??_);_(@_)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ajor"/>
      </font>
      <fill>
        <patternFill patternType="solid">
          <fgColor indexed="64"/>
          <bgColor theme="6" tint="0.79998168889431442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80" formatCode="_(* #,##0.00_);_(* \(#,##0.00\);_(* &quot;-&quot;??_);_(@_)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80" formatCode="_(* #,##0.00_);_(* \(#,##0.00\);_(* &quot;-&quot;??_);_(@_)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80" formatCode="_(* #,##0.00_);_(* \(#,##0.00\);_(* &quot;-&quot;??_);_(@_)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80" formatCode="_(* #,##0.00_);_(* \(#,##0.00\);_(* &quot;-&quot;??_);_(@_)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80" formatCode="_(* #,##0.00_);_(* \(#,##0.00\);_(* &quot;-&quot;??_);_(@_)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80" formatCode="_(* #,##0.00_);_(* \(#,##0.00\);_(* &quot;-&quot;??_);_(@_)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80" formatCode="_(* #,##0.00_);_(* \(#,##0.00\);_(* &quot;-&quot;??_);_(@_)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80" formatCode="_(* #,##0.00_);_(* \(#,##0.00\);_(* &quot;-&quot;??_);_(@_)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major"/>
      </font>
      <fill>
        <patternFill patternType="solid">
          <fgColor indexed="64"/>
          <bgColor theme="6" tint="0.79998168889431442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9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9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9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9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9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9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9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9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ajor"/>
      </font>
      <fill>
        <patternFill patternType="solid">
          <fgColor indexed="64"/>
          <bgColor theme="6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9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9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9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9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9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9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9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9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9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9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9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9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9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9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9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9" formatCode="#,##0.0_);\(#,##0.0\);&quot;-&quot;_);@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border outline="0">
        <top style="thin">
          <color theme="1" tint="4.9989318521683403E-2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mbria"/>
        <scheme val="maj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strike val="0"/>
        <outline val="0"/>
        <shadow val="0"/>
        <u val="none"/>
        <vertAlign val="baseline"/>
        <sz val="11"/>
        <color theme="1"/>
        <name val="Cambria"/>
        <scheme val="major"/>
      </font>
      <alignment horizontal="general" vertical="center" textRotation="0" wrapText="0" relativeIndent="0" justifyLastLine="0" shrinkToFit="0" readingOrder="0"/>
    </dxf>
    <dxf>
      <numFmt numFmtId="0" formatCode="General"/>
      <alignment horizontal="general" vertical="center" textRotation="0" wrapText="0" relativeIndent="0" justifyLastLine="0" shrinkToFit="0" readingOrder="0"/>
    </dxf>
    <dxf>
      <numFmt numFmtId="0" formatCode="General"/>
      <alignment horizontal="general" vertical="center" textRotation="0" wrapText="0" relative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center" vertical="center" textRotation="0" wrapText="1" indent="0" justifyLastLine="0" shrinkToFit="0" readingOrder="0"/>
    </dxf>
    <dxf>
      <fill>
        <patternFill>
          <bgColor theme="4" tint="0.79998168889431442"/>
        </patternFill>
      </fill>
    </dxf>
    <dxf>
      <font>
        <b/>
        <i val="0"/>
      </font>
      <border>
        <top style="thin">
          <color auto="1"/>
        </top>
      </border>
    </dxf>
    <dxf>
      <font>
        <b/>
        <i val="0"/>
      </font>
      <fill>
        <patternFill patternType="none">
          <bgColor auto="1"/>
        </patternFill>
      </fill>
      <border>
        <bottom style="thin">
          <color theme="0" tint="-0.34998626667073579"/>
        </bottom>
      </border>
    </dxf>
    <dxf>
      <border>
        <top style="thin">
          <color theme="1" tint="4.9989318521683403E-2"/>
        </top>
        <bottom style="thin">
          <color theme="1" tint="4.9989318521683403E-2"/>
        </bottom>
      </border>
    </dxf>
  </dxfs>
  <tableStyles count="1" defaultTableStyle="TableStyleMedium2" defaultPivotStyle="PivotStyleLight16">
    <tableStyle name="EnergyCalcTables" pivot="0" count="4">
      <tableStyleElement type="wholeTable" dxfId="394"/>
      <tableStyleElement type="headerRow" dxfId="393"/>
      <tableStyleElement type="totalRow" dxfId="392"/>
      <tableStyleElement type="secondRowStripe" dxfId="391"/>
    </tableStyle>
  </tableStyles>
  <colors>
    <mruColors>
      <color rgb="FFFFCC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1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2.xml"/><Relationship Id="rId48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'Resultados Intermedios'!$R$2</c:f>
          <c:strCache>
            <c:ptCount val="1"/>
            <c:pt idx="0">
              <c:v>Oferta Total de Energía</c:v>
            </c:pt>
          </c:strCache>
        </c:strRef>
      </c:tx>
      <c:layout>
        <c:manualLayout>
          <c:xMode val="edge"/>
          <c:yMode val="edge"/>
          <c:x val="0.23688185298076961"/>
          <c:y val="7.9282208621442689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8.9666368244375114E-2"/>
          <c:y val="7.5687694539759667E-2"/>
          <c:w val="0.61903031564077071"/>
          <c:h val="0.76828522914552499"/>
        </c:manualLayout>
      </c:layout>
      <c:areaChart>
        <c:grouping val="stacked"/>
        <c:varyColors val="0"/>
        <c:ser>
          <c:idx val="8"/>
          <c:order val="0"/>
          <c:tx>
            <c:strRef>
              <c:f>'Resultados Intermedios'!$R$12</c:f>
              <c:strCache>
                <c:ptCount val="1"/>
                <c:pt idx="0">
                  <c:v>Carbón</c:v>
                </c:pt>
              </c:strCache>
            </c:strRef>
          </c:tx>
          <c:spPr>
            <a:solidFill>
              <a:schemeClr val="bg2">
                <a:lumMod val="25000"/>
              </a:schemeClr>
            </a:solidFill>
            <a:ln>
              <a:noFill/>
            </a:ln>
            <a:effectLst/>
          </c:spPr>
          <c:cat>
            <c:numRef>
              <c:f>'Resultados Intermedios'!$S$3:$Z$3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'Resultados Intermedios'!$S$12:$Z$12</c:f>
              <c:numCache>
                <c:formatCode>0.0</c:formatCode>
                <c:ptCount val="8"/>
                <c:pt idx="0">
                  <c:v>90.674181997292195</c:v>
                </c:pt>
                <c:pt idx="1">
                  <c:v>101.45929322558089</c:v>
                </c:pt>
                <c:pt idx="2">
                  <c:v>119.46423832489575</c:v>
                </c:pt>
                <c:pt idx="3">
                  <c:v>137.27185779931929</c:v>
                </c:pt>
                <c:pt idx="4">
                  <c:v>159.42441337764467</c:v>
                </c:pt>
                <c:pt idx="5">
                  <c:v>183.48940437287516</c:v>
                </c:pt>
                <c:pt idx="6">
                  <c:v>207.95509258643116</c:v>
                </c:pt>
                <c:pt idx="7">
                  <c:v>230.29484921441994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09F-4B64-8E4F-74EFC50B559E}"/>
            </c:ext>
          </c:extLst>
        </c:ser>
        <c:ser>
          <c:idx val="9"/>
          <c:order val="1"/>
          <c:tx>
            <c:strRef>
              <c:f>'Resultados Intermedios'!$R$13</c:f>
              <c:strCache>
                <c:ptCount val="1"/>
                <c:pt idx="0">
                  <c:v>Petróleo Diésel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cat>
            <c:numRef>
              <c:f>'Resultados Intermedios'!$S$3:$Z$3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'Resultados Intermedios'!$S$13:$Z$13</c:f>
              <c:numCache>
                <c:formatCode>0.0</c:formatCode>
                <c:ptCount val="8"/>
                <c:pt idx="0">
                  <c:v>155.18922878601049</c:v>
                </c:pt>
                <c:pt idx="1">
                  <c:v>171.46290983518537</c:v>
                </c:pt>
                <c:pt idx="2">
                  <c:v>199.7089576630182</c:v>
                </c:pt>
                <c:pt idx="3">
                  <c:v>232.82179625634126</c:v>
                </c:pt>
                <c:pt idx="4">
                  <c:v>264.76231276183898</c:v>
                </c:pt>
                <c:pt idx="5">
                  <c:v>291.4785565871108</c:v>
                </c:pt>
                <c:pt idx="6">
                  <c:v>314.76614030973906</c:v>
                </c:pt>
                <c:pt idx="7">
                  <c:v>335.37561387009015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09F-4B64-8E4F-74EFC50B559E}"/>
            </c:ext>
          </c:extLst>
        </c:ser>
        <c:ser>
          <c:idx val="10"/>
          <c:order val="2"/>
          <c:tx>
            <c:strRef>
              <c:f>'Resultados Intermedios'!$R$14</c:f>
              <c:strCache>
                <c:ptCount val="1"/>
                <c:pt idx="0">
                  <c:v>Gas Natural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cat>
            <c:numRef>
              <c:f>'Resultados Intermedios'!$S$3:$Z$3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'Resultados Intermedios'!$S$14:$Z$14</c:f>
              <c:numCache>
                <c:formatCode>0.0</c:formatCode>
                <c:ptCount val="8"/>
                <c:pt idx="0">
                  <c:v>71.714143547361388</c:v>
                </c:pt>
                <c:pt idx="1">
                  <c:v>82.721467114260918</c:v>
                </c:pt>
                <c:pt idx="2">
                  <c:v>97.548258585664044</c:v>
                </c:pt>
                <c:pt idx="3">
                  <c:v>112.93808741081389</c:v>
                </c:pt>
                <c:pt idx="4">
                  <c:v>131.12397915064165</c:v>
                </c:pt>
                <c:pt idx="5">
                  <c:v>151.83587101940554</c:v>
                </c:pt>
                <c:pt idx="6">
                  <c:v>174.67904222238852</c:v>
                </c:pt>
                <c:pt idx="7">
                  <c:v>196.29094670538313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09F-4B64-8E4F-74EFC50B559E}"/>
            </c:ext>
          </c:extLst>
        </c:ser>
        <c:ser>
          <c:idx val="6"/>
          <c:order val="3"/>
          <c:tx>
            <c:strRef>
              <c:f>'Resultados Intermedios'!$R$10</c:f>
              <c:strCache>
                <c:ptCount val="1"/>
                <c:pt idx="0">
                  <c:v>Hidroelectricidad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numRef>
              <c:f>'Resultados Intermedios'!$S$3:$Z$3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'Resultados Intermedios'!$S$10:$Z$10</c:f>
              <c:numCache>
                <c:formatCode>0.0</c:formatCode>
                <c:ptCount val="8"/>
                <c:pt idx="0">
                  <c:v>22.147299</c:v>
                </c:pt>
                <c:pt idx="1">
                  <c:v>23.153197500000005</c:v>
                </c:pt>
                <c:pt idx="2">
                  <c:v>24.159096000000002</c:v>
                </c:pt>
                <c:pt idx="3">
                  <c:v>25.164994499999999</c:v>
                </c:pt>
                <c:pt idx="4">
                  <c:v>26.122679999999999</c:v>
                </c:pt>
                <c:pt idx="5">
                  <c:v>27.1285785</c:v>
                </c:pt>
                <c:pt idx="6">
                  <c:v>28.134477000000004</c:v>
                </c:pt>
                <c:pt idx="7">
                  <c:v>29.092162499999997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09F-4B64-8E4F-74EFC50B559E}"/>
            </c:ext>
          </c:extLst>
        </c:ser>
        <c:ser>
          <c:idx val="1"/>
          <c:order val="4"/>
          <c:tx>
            <c:strRef>
              <c:f>'Resultados Intermedios'!$R$5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numRef>
              <c:f>'Resultados Intermedios'!$S$3:$Z$3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'Resultados Intermedios'!$S$5:$Z$5</c:f>
              <c:numCache>
                <c:formatCode>0.0</c:formatCode>
                <c:ptCount val="8"/>
                <c:pt idx="0">
                  <c:v>1.6026505617753739</c:v>
                </c:pt>
                <c:pt idx="1">
                  <c:v>5.0224084467316548</c:v>
                </c:pt>
                <c:pt idx="2">
                  <c:v>7.2029760905181748</c:v>
                </c:pt>
                <c:pt idx="3">
                  <c:v>8.3768579476252114</c:v>
                </c:pt>
                <c:pt idx="4">
                  <c:v>9.2967699073392964</c:v>
                </c:pt>
                <c:pt idx="5">
                  <c:v>9.9851748956592505</c:v>
                </c:pt>
                <c:pt idx="6">
                  <c:v>10.461743649769149</c:v>
                </c:pt>
                <c:pt idx="7">
                  <c:v>10.827699474223696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09F-4B64-8E4F-74EFC50B559E}"/>
            </c:ext>
          </c:extLst>
        </c:ser>
        <c:ser>
          <c:idx val="2"/>
          <c:order val="5"/>
          <c:tx>
            <c:strRef>
              <c:f>'Resultados Intermedios'!$R$6</c:f>
              <c:strCache>
                <c:ptCount val="1"/>
                <c:pt idx="0">
                  <c:v>Eólico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numRef>
              <c:f>'Resultados Intermedios'!$S$3:$Z$3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'Resultados Intermedios'!$S$6:$Z$6</c:f>
              <c:numCache>
                <c:formatCode>0.0</c:formatCode>
                <c:ptCount val="8"/>
                <c:pt idx="0">
                  <c:v>2.6604443999999998</c:v>
                </c:pt>
                <c:pt idx="1">
                  <c:v>4.6811183999999999</c:v>
                </c:pt>
                <c:pt idx="2">
                  <c:v>4.9601951999999994</c:v>
                </c:pt>
                <c:pt idx="3">
                  <c:v>5.2392719999999988</c:v>
                </c:pt>
                <c:pt idx="4">
                  <c:v>5.5183487999999992</c:v>
                </c:pt>
                <c:pt idx="5">
                  <c:v>5.7974255999999986</c:v>
                </c:pt>
                <c:pt idx="6">
                  <c:v>6.0765023999999981</c:v>
                </c:pt>
                <c:pt idx="7">
                  <c:v>6.3555791999999975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09F-4B64-8E4F-74EFC50B559E}"/>
            </c:ext>
          </c:extLst>
        </c:ser>
        <c:ser>
          <c:idx val="3"/>
          <c:order val="6"/>
          <c:tx>
            <c:strRef>
              <c:f>'Resultados Intermedios'!$R$7</c:f>
              <c:strCache>
                <c:ptCount val="1"/>
                <c:pt idx="0">
                  <c:v>Mareomotriz y Undimotriz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cat>
            <c:numRef>
              <c:f>'Resultados Intermedios'!$S$3:$Z$3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'Resultados Intermedios'!$S$7:$Z$7</c:f>
              <c:numCache>
                <c:formatCode>0.0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1.341198E-2</c:v>
                </c:pt>
                <c:pt idx="3">
                  <c:v>1.9329030000000001E-2</c:v>
                </c:pt>
                <c:pt idx="4">
                  <c:v>2.8993545000000003E-2</c:v>
                </c:pt>
                <c:pt idx="5">
                  <c:v>8.6483602800000003E-2</c:v>
                </c:pt>
                <c:pt idx="6">
                  <c:v>0.1770854724</c:v>
                </c:pt>
                <c:pt idx="7">
                  <c:v>0.3541709448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09F-4B64-8E4F-74EFC50B559E}"/>
            </c:ext>
          </c:extLst>
        </c:ser>
        <c:ser>
          <c:idx val="5"/>
          <c:order val="7"/>
          <c:tx>
            <c:strRef>
              <c:f>'Resultados Intermedios'!$R$9</c:f>
              <c:strCache>
                <c:ptCount val="1"/>
                <c:pt idx="0">
                  <c:v>Geotermia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'Resultados Intermedios'!$S$3:$Z$3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'Resultados Intermedios'!$S$9:$Z$9</c:f>
              <c:numCache>
                <c:formatCode>0.0</c:formatCode>
                <c:ptCount val="8"/>
                <c:pt idx="0">
                  <c:v>0</c:v>
                </c:pt>
                <c:pt idx="1">
                  <c:v>0.35064000000000006</c:v>
                </c:pt>
                <c:pt idx="2">
                  <c:v>0.35064000000000006</c:v>
                </c:pt>
                <c:pt idx="3">
                  <c:v>0.35064000000000006</c:v>
                </c:pt>
                <c:pt idx="4">
                  <c:v>0.35064000000000006</c:v>
                </c:pt>
                <c:pt idx="5">
                  <c:v>0.35064000000000006</c:v>
                </c:pt>
                <c:pt idx="6">
                  <c:v>0.35064000000000006</c:v>
                </c:pt>
                <c:pt idx="7">
                  <c:v>0.35064000000000006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209F-4B64-8E4F-74EFC50B559E}"/>
            </c:ext>
          </c:extLst>
        </c:ser>
        <c:ser>
          <c:idx val="7"/>
          <c:order val="8"/>
          <c:tx>
            <c:strRef>
              <c:f>'Resultados Intermedios'!$R$11</c:f>
              <c:strCache>
                <c:ptCount val="1"/>
                <c:pt idx="0">
                  <c:v>Residuos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'Resultados Intermedios'!$S$3:$Z$3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'Resultados Intermedios'!$S$11:$Z$11</c:f>
              <c:numCache>
                <c:formatCode>0.0</c:formatCode>
                <c:ptCount val="8"/>
                <c:pt idx="0">
                  <c:v>0.26623890102673253</c:v>
                </c:pt>
                <c:pt idx="1">
                  <c:v>0.35463923560444954</c:v>
                </c:pt>
                <c:pt idx="2">
                  <c:v>0.41667291307003151</c:v>
                </c:pt>
                <c:pt idx="3">
                  <c:v>0.41733218190020505</c:v>
                </c:pt>
                <c:pt idx="4">
                  <c:v>0.41798007633543621</c:v>
                </c:pt>
                <c:pt idx="5">
                  <c:v>0.41862659982364236</c:v>
                </c:pt>
                <c:pt idx="6">
                  <c:v>0.41920354218820921</c:v>
                </c:pt>
                <c:pt idx="7">
                  <c:v>0.41976165596446158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209F-4B64-8E4F-74EFC50B559E}"/>
            </c:ext>
          </c:extLst>
        </c:ser>
        <c:ser>
          <c:idx val="11"/>
          <c:order val="9"/>
          <c:tx>
            <c:strRef>
              <c:f>'Resultados Intermedios'!$R$15</c:f>
              <c:strCache>
                <c:ptCount val="1"/>
                <c:pt idx="0">
                  <c:v>Biomasa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cat>
            <c:numRef>
              <c:f>'Resultados Intermedios'!$S$3:$Z$3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'Resultados Intermedios'!$S$15:$Z$15</c:f>
              <c:numCache>
                <c:formatCode>0.0</c:formatCode>
                <c:ptCount val="8"/>
                <c:pt idx="0">
                  <c:v>15.042851866876788</c:v>
                </c:pt>
                <c:pt idx="1">
                  <c:v>13.473032185258074</c:v>
                </c:pt>
                <c:pt idx="2">
                  <c:v>12.337851148176384</c:v>
                </c:pt>
                <c:pt idx="3">
                  <c:v>11.855724128264164</c:v>
                </c:pt>
                <c:pt idx="4">
                  <c:v>11.889735478123473</c:v>
                </c:pt>
                <c:pt idx="5">
                  <c:v>12.056385936741588</c:v>
                </c:pt>
                <c:pt idx="6">
                  <c:v>12.207848271102581</c:v>
                </c:pt>
                <c:pt idx="7">
                  <c:v>13.07292347760443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B-209F-4B64-8E4F-74EFC50B55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496576"/>
        <c:axId val="161079872"/>
      </c:areaChart>
      <c:lineChart>
        <c:grouping val="standard"/>
        <c:varyColors val="0"/>
        <c:ser>
          <c:idx val="13"/>
          <c:order val="10"/>
          <c:tx>
            <c:strRef>
              <c:f>'Resultados Intermedios'!$R$21</c:f>
              <c:strCache>
                <c:ptCount val="1"/>
                <c:pt idx="0">
                  <c:v>Base (Nivel 1)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'Resultados Intermedios'!$S$21:$Z$21</c:f>
              <c:numCache>
                <c:formatCode>0.00</c:formatCode>
                <c:ptCount val="8"/>
                <c:pt idx="0">
                  <c:v>359.29703906034297</c:v>
                </c:pt>
                <c:pt idx="1">
                  <c:v>402.1824611968587</c:v>
                </c:pt>
                <c:pt idx="2">
                  <c:v>465.68503452110531</c:v>
                </c:pt>
                <c:pt idx="3">
                  <c:v>533.98421062341652</c:v>
                </c:pt>
                <c:pt idx="4">
                  <c:v>608.47785021188122</c:v>
                </c:pt>
                <c:pt idx="5">
                  <c:v>682.10758879049729</c:v>
                </c:pt>
                <c:pt idx="6">
                  <c:v>754.69073194648308</c:v>
                </c:pt>
                <c:pt idx="7">
                  <c:v>821.85650477317733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496576"/>
        <c:axId val="161079872"/>
      </c:lineChart>
      <c:catAx>
        <c:axId val="16149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1079872"/>
        <c:crosses val="autoZero"/>
        <c:auto val="1"/>
        <c:lblAlgn val="ctr"/>
        <c:lblOffset val="100"/>
        <c:noMultiLvlLbl val="0"/>
      </c:catAx>
      <c:valAx>
        <c:axId val="161079872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'Resultados Intermedios'!$R$3</c:f>
              <c:strCache>
                <c:ptCount val="1"/>
                <c:pt idx="0">
                  <c:v>TWh</c:v>
                </c:pt>
              </c:strCache>
            </c:strRef>
          </c:tx>
          <c:layout>
            <c:manualLayout>
              <c:xMode val="edge"/>
              <c:yMode val="edge"/>
              <c:x val="1.8426127263381983E-2"/>
              <c:y val="1.4849368251621684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t" anchorCtr="0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1496576"/>
        <c:crosses val="autoZero"/>
        <c:crossBetween val="midCat"/>
      </c:valAx>
      <c:spPr>
        <a:noFill/>
        <a:ln>
          <a:solidFill>
            <a:schemeClr val="bg1">
              <a:lumMod val="50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0.72546385920695988"/>
          <c:y val="9.9352271287955235E-2"/>
          <c:w val="0.25436536728442199"/>
          <c:h val="0.7289618522412402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'Resultados Intermedios'!$AC$2</c:f>
          <c:strCache>
            <c:ptCount val="1"/>
            <c:pt idx="0">
              <c:v>Demanda de Energía por sector</c:v>
            </c:pt>
          </c:strCache>
        </c:strRef>
      </c:tx>
      <c:layout>
        <c:manualLayout>
          <c:xMode val="edge"/>
          <c:yMode val="edge"/>
          <c:x val="0.18938190080054282"/>
          <c:y val="1.22818656358301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9.2453640212418003E-2"/>
          <c:y val="7.5687694539759667E-2"/>
          <c:w val="0.61311573944629139"/>
          <c:h val="0.76828522914552499"/>
        </c:manualLayout>
      </c:layout>
      <c:areaChart>
        <c:grouping val="stacked"/>
        <c:varyColors val="0"/>
        <c:ser>
          <c:idx val="8"/>
          <c:order val="0"/>
          <c:tx>
            <c:strRef>
              <c:f>'Resultados Intermedios'!$AC$5</c:f>
              <c:strCache>
                <c:ptCount val="1"/>
                <c:pt idx="0">
                  <c:v>Industria y Minería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'Resultados Intermedios'!$AD$3:$AK$3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'Resultados Intermedios'!$AD$5:$AK$5</c:f>
              <c:numCache>
                <c:formatCode>#,##0.00_);\(#,##0.00\);"-"_);@</c:formatCode>
                <c:ptCount val="8"/>
                <c:pt idx="0">
                  <c:v>135.84274834045024</c:v>
                </c:pt>
                <c:pt idx="1">
                  <c:v>158.67044327209996</c:v>
                </c:pt>
                <c:pt idx="2">
                  <c:v>180.06416398976444</c:v>
                </c:pt>
                <c:pt idx="3">
                  <c:v>197.03307251300703</c:v>
                </c:pt>
                <c:pt idx="4">
                  <c:v>218.59381484642964</c:v>
                </c:pt>
                <c:pt idx="5">
                  <c:v>241.06883940080814</c:v>
                </c:pt>
                <c:pt idx="6">
                  <c:v>262.50546954554397</c:v>
                </c:pt>
                <c:pt idx="7">
                  <c:v>282.57731267178247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2D8-49BD-8955-370569FB9EE6}"/>
            </c:ext>
          </c:extLst>
        </c:ser>
        <c:ser>
          <c:idx val="6"/>
          <c:order val="1"/>
          <c:tx>
            <c:strRef>
              <c:f>'Resultados Intermedios'!$AC$6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'Resultados Intermedios'!$AD$3:$AK$3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'Resultados Intermedios'!$AD$6:$AK$6</c:f>
              <c:numCache>
                <c:formatCode>#,##0.00_);\(#,##0.00\);"-"_);@</c:formatCode>
                <c:ptCount val="8"/>
                <c:pt idx="0">
                  <c:v>94.646430672273254</c:v>
                </c:pt>
                <c:pt idx="1">
                  <c:v>101.90184165594128</c:v>
                </c:pt>
                <c:pt idx="2">
                  <c:v>119.5723479137848</c:v>
                </c:pt>
                <c:pt idx="3">
                  <c:v>143.42343267731206</c:v>
                </c:pt>
                <c:pt idx="4">
                  <c:v>163.87690747914812</c:v>
                </c:pt>
                <c:pt idx="5">
                  <c:v>178.49288116463165</c:v>
                </c:pt>
                <c:pt idx="6">
                  <c:v>189.2116773546291</c:v>
                </c:pt>
                <c:pt idx="7">
                  <c:v>198.19344783503647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2D8-49BD-8955-370569FB9EE6}"/>
            </c:ext>
          </c:extLst>
        </c:ser>
        <c:ser>
          <c:idx val="2"/>
          <c:order val="2"/>
          <c:tx>
            <c:strRef>
              <c:f>'Resultados Intermedios'!$AC$4</c:f>
              <c:strCache>
                <c:ptCount val="1"/>
                <c:pt idx="0">
                  <c:v>Comercial, Público y Residencial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cat>
            <c:numRef>
              <c:f>'Resultados Intermedios'!$AD$3:$AK$3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'Resultados Intermedios'!$AD$4:$AK$4</c:f>
              <c:numCache>
                <c:formatCode>#,##0.00_);\(#,##0.00\);"-"_);@</c:formatCode>
                <c:ptCount val="8"/>
                <c:pt idx="0">
                  <c:v>69.732488609722594</c:v>
                </c:pt>
                <c:pt idx="1">
                  <c:v>77.779438139494317</c:v>
                </c:pt>
                <c:pt idx="2">
                  <c:v>89.460347308565986</c:v>
                </c:pt>
                <c:pt idx="3">
                  <c:v>103.32455340139477</c:v>
                </c:pt>
                <c:pt idx="4">
                  <c:v>118.96919895910916</c:v>
                </c:pt>
                <c:pt idx="5">
                  <c:v>137.0678323267025</c:v>
                </c:pt>
                <c:pt idx="6">
                  <c:v>158.362640255516</c:v>
                </c:pt>
                <c:pt idx="7">
                  <c:v>179.14934888905594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12D8-49BD-8955-370569FB9E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225152"/>
        <c:axId val="161085056"/>
      </c:areaChart>
      <c:lineChart>
        <c:grouping val="standard"/>
        <c:varyColors val="0"/>
        <c:ser>
          <c:idx val="0"/>
          <c:order val="3"/>
          <c:tx>
            <c:strRef>
              <c:f>'Resultados Intermedios'!$AC$10</c:f>
              <c:strCache>
                <c:ptCount val="1"/>
                <c:pt idx="0">
                  <c:v>Base (Nivel 1)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val>
            <c:numRef>
              <c:f>'Resultados Intermedios'!$AD$10:$AK$10</c:f>
              <c:numCache>
                <c:formatCode>#,##0.00_);\(#,##0.00\);"-"_);@</c:formatCode>
                <c:ptCount val="8"/>
                <c:pt idx="0">
                  <c:v>300.22166762244609</c:v>
                </c:pt>
                <c:pt idx="1">
                  <c:v>338.35172306753554</c:v>
                </c:pt>
                <c:pt idx="2">
                  <c:v>389.09685921211519</c:v>
                </c:pt>
                <c:pt idx="3">
                  <c:v>443.78105859171387</c:v>
                </c:pt>
                <c:pt idx="4">
                  <c:v>501.43992128468687</c:v>
                </c:pt>
                <c:pt idx="5">
                  <c:v>556.62955289214233</c:v>
                </c:pt>
                <c:pt idx="6">
                  <c:v>610.07978715568902</c:v>
                </c:pt>
                <c:pt idx="7">
                  <c:v>659.92010939587487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225152"/>
        <c:axId val="161085056"/>
      </c:lineChart>
      <c:catAx>
        <c:axId val="138225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1085056"/>
        <c:crosses val="autoZero"/>
        <c:auto val="1"/>
        <c:lblAlgn val="ctr"/>
        <c:lblOffset val="100"/>
        <c:noMultiLvlLbl val="0"/>
      </c:catAx>
      <c:valAx>
        <c:axId val="161085056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'Resultados Intermedios'!$R$3</c:f>
              <c:strCache>
                <c:ptCount val="1"/>
                <c:pt idx="0">
                  <c:v>TWh</c:v>
                </c:pt>
              </c:strCache>
            </c:strRef>
          </c:tx>
          <c:layout>
            <c:manualLayout>
              <c:xMode val="edge"/>
              <c:yMode val="edge"/>
              <c:x val="2.447127742916979E-2"/>
              <c:y val="9.3522239582744023E-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t" anchorCtr="0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8225152"/>
        <c:crosses val="autoZero"/>
        <c:crossBetween val="midCat"/>
      </c:valAx>
      <c:spPr>
        <a:noFill/>
        <a:ln>
          <a:solidFill>
            <a:schemeClr val="bg1">
              <a:lumMod val="50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0.71445797541724887"/>
          <c:y val="0.19809096109109026"/>
          <c:w val="0.17809930972198346"/>
          <c:h val="0.5472810523237862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strRef>
          <c:f>'Resultados Intermedios'!$R$26</c:f>
          <c:strCache>
            <c:ptCount val="1"/>
            <c:pt idx="0">
              <c:v>Emisiones por sector</c:v>
            </c:pt>
          </c:strCache>
        </c:strRef>
      </c:tx>
      <c:layout>
        <c:manualLayout>
          <c:xMode val="edge"/>
          <c:yMode val="edge"/>
          <c:x val="0.2620339448764345"/>
          <c:y val="1.44361076150855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8.3379871895334828E-2"/>
          <c:y val="7.5687694539759667E-2"/>
          <c:w val="0.62531682256625576"/>
          <c:h val="0.76828522914552499"/>
        </c:manualLayout>
      </c:layout>
      <c:areaChart>
        <c:grouping val="stacked"/>
        <c:varyColors val="0"/>
        <c:ser>
          <c:idx val="8"/>
          <c:order val="0"/>
          <c:tx>
            <c:strRef>
              <c:f>'Resultados Intermedios'!$R$28</c:f>
              <c:strCache>
                <c:ptCount val="1"/>
                <c:pt idx="0">
                  <c:v>Termoelectricidad</c:v>
                </c:pt>
              </c:strCache>
            </c:strRef>
          </c:tx>
          <c:spPr>
            <a:solidFill>
              <a:schemeClr val="bg2">
                <a:lumMod val="25000"/>
              </a:schemeClr>
            </a:solidFill>
            <a:ln>
              <a:noFill/>
            </a:ln>
            <a:effectLst/>
          </c:spPr>
          <c:cat>
            <c:numRef>
              <c:f>'Resultados Intermedios'!$S$27:$Z$27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'Resultados Intermedios'!$S$28:$Z$28</c:f>
              <c:numCache>
                <c:formatCode>0.0</c:formatCode>
                <c:ptCount val="8"/>
                <c:pt idx="0">
                  <c:v>28.282873684358243</c:v>
                </c:pt>
                <c:pt idx="1">
                  <c:v>31.0104170487364</c:v>
                </c:pt>
                <c:pt idx="2">
                  <c:v>37.321690649147655</c:v>
                </c:pt>
                <c:pt idx="3">
                  <c:v>44.064470943903444</c:v>
                </c:pt>
                <c:pt idx="4">
                  <c:v>52.398491998647209</c:v>
                </c:pt>
                <c:pt idx="5">
                  <c:v>61.565148868147062</c:v>
                </c:pt>
                <c:pt idx="6">
                  <c:v>71.053220130093464</c:v>
                </c:pt>
                <c:pt idx="7">
                  <c:v>79.657336093181783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F14-415A-B4A1-D7C8D52072C2}"/>
            </c:ext>
          </c:extLst>
        </c:ser>
        <c:ser>
          <c:idx val="1"/>
          <c:order val="1"/>
          <c:tx>
            <c:strRef>
              <c:f>'Resultados Intermedios'!$R$33</c:f>
              <c:strCache>
                <c:ptCount val="1"/>
                <c:pt idx="0">
                  <c:v>Procesos Industriales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'Resultados Intermedios'!$S$27:$Z$27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'Resultados Intermedios'!$S$33:$Z$33</c:f>
              <c:numCache>
                <c:formatCode>0.0</c:formatCode>
                <c:ptCount val="8"/>
                <c:pt idx="0">
                  <c:v>17.84512510239621</c:v>
                </c:pt>
                <c:pt idx="1">
                  <c:v>24.151604186091568</c:v>
                </c:pt>
                <c:pt idx="2">
                  <c:v>27.579673476743537</c:v>
                </c:pt>
                <c:pt idx="3">
                  <c:v>30.438708837580368</c:v>
                </c:pt>
                <c:pt idx="4">
                  <c:v>34.052597792931202</c:v>
                </c:pt>
                <c:pt idx="5">
                  <c:v>37.858358300855876</c:v>
                </c:pt>
                <c:pt idx="6">
                  <c:v>41.548324073480885</c:v>
                </c:pt>
                <c:pt idx="7">
                  <c:v>44.980805967789919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F14-415A-B4A1-D7C8D52072C2}"/>
            </c:ext>
          </c:extLst>
        </c:ser>
        <c:ser>
          <c:idx val="6"/>
          <c:order val="2"/>
          <c:tx>
            <c:strRef>
              <c:f>'Resultados Intermedios'!$R$31</c:f>
              <c:strCache>
                <c:ptCount val="1"/>
                <c:pt idx="0">
                  <c:v>Residencial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numRef>
              <c:f>'Resultados Intermedios'!$S$27:$Z$27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'Resultados Intermedios'!$S$31:$Z$31</c:f>
              <c:numCache>
                <c:formatCode>0.0</c:formatCode>
                <c:ptCount val="8"/>
                <c:pt idx="0">
                  <c:v>6.0821291331635257</c:v>
                </c:pt>
                <c:pt idx="1">
                  <c:v>7.2550418908143497</c:v>
                </c:pt>
                <c:pt idx="2">
                  <c:v>8.6393217415077626</c:v>
                </c:pt>
                <c:pt idx="3">
                  <c:v>10.113707400902864</c:v>
                </c:pt>
                <c:pt idx="4">
                  <c:v>11.713850659765072</c:v>
                </c:pt>
                <c:pt idx="5">
                  <c:v>13.704434327263904</c:v>
                </c:pt>
                <c:pt idx="6">
                  <c:v>16.191002706983969</c:v>
                </c:pt>
                <c:pt idx="7">
                  <c:v>18.752157373267512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F14-415A-B4A1-D7C8D52072C2}"/>
            </c:ext>
          </c:extLst>
        </c:ser>
        <c:ser>
          <c:idx val="0"/>
          <c:order val="3"/>
          <c:tx>
            <c:strRef>
              <c:f>'Resultados Intermedios'!$R$32</c:f>
              <c:strCache>
                <c:ptCount val="1"/>
                <c:pt idx="0">
                  <c:v>Comercial y Púbico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cat>
            <c:numRef>
              <c:f>'Resultados Intermedios'!$S$27:$Z$27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'Resultados Intermedios'!$S$32:$Z$32</c:f>
              <c:numCache>
                <c:formatCode>0.0</c:formatCode>
                <c:ptCount val="8"/>
                <c:pt idx="0">
                  <c:v>2.0068723152158929</c:v>
                </c:pt>
                <c:pt idx="1">
                  <c:v>2.1992460143489043</c:v>
                </c:pt>
                <c:pt idx="2">
                  <c:v>2.5620733079933875</c:v>
                </c:pt>
                <c:pt idx="3">
                  <c:v>2.9902471723562001</c:v>
                </c:pt>
                <c:pt idx="4">
                  <c:v>3.4315698653103319</c:v>
                </c:pt>
                <c:pt idx="5">
                  <c:v>3.8868286697186196</c:v>
                </c:pt>
                <c:pt idx="6">
                  <c:v>4.3672965804939041</c:v>
                </c:pt>
                <c:pt idx="7">
                  <c:v>4.6726950929789259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F14-415A-B4A1-D7C8D52072C2}"/>
            </c:ext>
          </c:extLst>
        </c:ser>
        <c:ser>
          <c:idx val="2"/>
          <c:order val="4"/>
          <c:tx>
            <c:strRef>
              <c:f>'Resultados Intermedios'!$R$34</c:f>
              <c:strCache>
                <c:ptCount val="1"/>
                <c:pt idx="0">
                  <c:v>Transporte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'Resultados Intermedios'!$S$27:$Z$27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'Resultados Intermedios'!$S$34:$Z$34</c:f>
              <c:numCache>
                <c:formatCode>0.0</c:formatCode>
                <c:ptCount val="8"/>
                <c:pt idx="0">
                  <c:v>24.868989353977781</c:v>
                </c:pt>
                <c:pt idx="1">
                  <c:v>26.744439668839334</c:v>
                </c:pt>
                <c:pt idx="2">
                  <c:v>31.339051195684757</c:v>
                </c:pt>
                <c:pt idx="3">
                  <c:v>37.473044454484011</c:v>
                </c:pt>
                <c:pt idx="4">
                  <c:v>42.816327515400786</c:v>
                </c:pt>
                <c:pt idx="5">
                  <c:v>46.577044569806105</c:v>
                </c:pt>
                <c:pt idx="6">
                  <c:v>49.41720544382521</c:v>
                </c:pt>
                <c:pt idx="7">
                  <c:v>51.821516287588963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DF14-415A-B4A1-D7C8D52072C2}"/>
            </c:ext>
          </c:extLst>
        </c:ser>
        <c:ser>
          <c:idx val="9"/>
          <c:order val="5"/>
          <c:tx>
            <c:strRef>
              <c:f>'Resultados Intermedios'!$R$29</c:f>
              <c:strCache>
                <c:ptCount val="1"/>
                <c:pt idx="0">
                  <c:v>Residuos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numRef>
              <c:f>'Resultados Intermedios'!$S$27:$Z$27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'Resultados Intermedios'!$S$29:$Z$29</c:f>
              <c:numCache>
                <c:formatCode>0.0</c:formatCode>
                <c:ptCount val="8"/>
                <c:pt idx="0">
                  <c:v>3.1096431517807348</c:v>
                </c:pt>
                <c:pt idx="1">
                  <c:v>3.7985207352657593</c:v>
                </c:pt>
                <c:pt idx="2">
                  <c:v>4.4703772608361776</c:v>
                </c:pt>
                <c:pt idx="3">
                  <c:v>5.1610897215350429</c:v>
                </c:pt>
                <c:pt idx="4">
                  <c:v>5.8298104378228848</c:v>
                </c:pt>
                <c:pt idx="5">
                  <c:v>6.4941382054423507</c:v>
                </c:pt>
                <c:pt idx="6">
                  <c:v>7.1453790542053239</c:v>
                </c:pt>
                <c:pt idx="7">
                  <c:v>7.7960917135764722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F14-415A-B4A1-D7C8D52072C2}"/>
            </c:ext>
          </c:extLst>
        </c:ser>
        <c:ser>
          <c:idx val="10"/>
          <c:order val="6"/>
          <c:tx>
            <c:strRef>
              <c:f>'Resultados Intermedios'!$R$30</c:f>
              <c:strCache>
                <c:ptCount val="1"/>
                <c:pt idx="0">
                  <c:v>Agropecuario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cat>
            <c:numRef>
              <c:f>'Resultados Intermedios'!$S$27:$Z$27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'Resultados Intermedios'!$S$30:$Z$30</c:f>
              <c:numCache>
                <c:formatCode>0.0</c:formatCode>
                <c:ptCount val="8"/>
                <c:pt idx="0">
                  <c:v>12.816572783657763</c:v>
                </c:pt>
                <c:pt idx="1">
                  <c:v>12.78736097645349</c:v>
                </c:pt>
                <c:pt idx="2">
                  <c:v>12.778526133715729</c:v>
                </c:pt>
                <c:pt idx="3">
                  <c:v>12.913262357995444</c:v>
                </c:pt>
                <c:pt idx="4">
                  <c:v>13.100772485088362</c:v>
                </c:pt>
                <c:pt idx="5">
                  <c:v>13.309006434440434</c:v>
                </c:pt>
                <c:pt idx="6">
                  <c:v>13.522309091729012</c:v>
                </c:pt>
                <c:pt idx="7">
                  <c:v>13.732410206521122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F14-415A-B4A1-D7C8D52072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146816"/>
        <c:axId val="138559488"/>
      </c:areaChart>
      <c:lineChart>
        <c:grouping val="standard"/>
        <c:varyColors val="0"/>
        <c:ser>
          <c:idx val="4"/>
          <c:order val="7"/>
          <c:tx>
            <c:strRef>
              <c:f>'Resultados Intermedios'!$R$40</c:f>
              <c:strCache>
                <c:ptCount val="1"/>
                <c:pt idx="0">
                  <c:v>Base (Nivel 1)</c:v>
                </c:pt>
              </c:strCache>
            </c:strRef>
          </c:tx>
          <c:spPr>
            <a:ln w="28575" cap="rnd">
              <a:solidFill>
                <a:schemeClr val="accent2">
                  <a:tint val="89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tint val="89000"/>
                </a:schemeClr>
              </a:solidFill>
              <a:ln w="9525">
                <a:solidFill>
                  <a:schemeClr val="accent2">
                    <a:tint val="89000"/>
                  </a:schemeClr>
                </a:solidFill>
              </a:ln>
              <a:effectLst/>
            </c:spPr>
          </c:marker>
          <c:val>
            <c:numRef>
              <c:f>'Resultados Intermedios'!$S$40:$Z$40</c:f>
              <c:numCache>
                <c:formatCode>0.00</c:formatCode>
                <c:ptCount val="8"/>
                <c:pt idx="0">
                  <c:v>95.012205524550154</c:v>
                </c:pt>
                <c:pt idx="1">
                  <c:v>107.9466305205498</c:v>
                </c:pt>
                <c:pt idx="2">
                  <c:v>124.69071376562901</c:v>
                </c:pt>
                <c:pt idx="3">
                  <c:v>143.15453088875739</c:v>
                </c:pt>
                <c:pt idx="4">
                  <c:v>163.34342075496585</c:v>
                </c:pt>
                <c:pt idx="5">
                  <c:v>183.39495937567438</c:v>
                </c:pt>
                <c:pt idx="6">
                  <c:v>203.24473708081177</c:v>
                </c:pt>
                <c:pt idx="7">
                  <c:v>221.4130127349047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5E3-4AEC-B759-660D58FAC9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146816"/>
        <c:axId val="138559488"/>
      </c:lineChart>
      <c:catAx>
        <c:axId val="138146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8559488"/>
        <c:crosses val="autoZero"/>
        <c:auto val="1"/>
        <c:lblAlgn val="ctr"/>
        <c:lblOffset val="100"/>
        <c:noMultiLvlLbl val="0"/>
      </c:catAx>
      <c:valAx>
        <c:axId val="138559488"/>
        <c:scaling>
          <c:orientation val="minMax"/>
          <c:max val="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'Resultados Intermedios'!$R$27</c:f>
              <c:strCache>
                <c:ptCount val="1"/>
                <c:pt idx="0">
                  <c:v>Mt CO2e</c:v>
                </c:pt>
              </c:strCache>
            </c:strRef>
          </c:tx>
          <c:layout>
            <c:manualLayout>
              <c:xMode val="edge"/>
              <c:yMode val="edge"/>
              <c:x val="4.6999179336558398E-3"/>
              <c:y val="1.117990978953881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t" anchorCtr="0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8146816"/>
        <c:crosses val="autoZero"/>
        <c:crossBetween val="midCat"/>
        <c:majorUnit val="25"/>
      </c:valAx>
      <c:spPr>
        <a:noFill/>
        <a:ln>
          <a:solidFill>
            <a:schemeClr val="bg1">
              <a:lumMod val="50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0.72418487274022691"/>
          <c:y val="0.11131278977626104"/>
          <c:w val="0.24104352317591801"/>
          <c:h val="0.681500724754866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'Resultados Intermedios'!$AN$2</c:f>
          <c:strCache>
            <c:ptCount val="1"/>
            <c:pt idx="0">
              <c:v>Electricidad sumistrada a la red</c:v>
            </c:pt>
          </c:strCache>
        </c:strRef>
      </c:tx>
      <c:layout>
        <c:manualLayout>
          <c:xMode val="edge"/>
          <c:yMode val="edge"/>
          <c:x val="0.19034169395226438"/>
          <c:y val="7.746727893241866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8.5294509405049401E-2"/>
          <c:y val="7.5687694539759667E-2"/>
          <c:w val="0.57124437986728849"/>
          <c:h val="0.77167890097028224"/>
        </c:manualLayout>
      </c:layout>
      <c:areaChart>
        <c:grouping val="stacked"/>
        <c:varyColors val="0"/>
        <c:ser>
          <c:idx val="7"/>
          <c:order val="0"/>
          <c:tx>
            <c:strRef>
              <c:f>'Resultados Intermedios'!$AN$5</c:f>
              <c:strCache>
                <c:ptCount val="1"/>
                <c:pt idx="0">
                  <c:v>Carbón</c:v>
                </c:pt>
              </c:strCache>
            </c:strRef>
          </c:tx>
          <c:cat>
            <c:numRef>
              <c:f>'Resultados Intermedios'!$AO$3:$AV$3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'Resultados Intermedios'!$AO$5:$AV$5</c:f>
              <c:numCache>
                <c:formatCode>#,##0.0_);\(#,##0.0\);"-"_);@</c:formatCode>
                <c:ptCount val="8"/>
                <c:pt idx="0">
                  <c:v>26.790917154947138</c:v>
                </c:pt>
                <c:pt idx="1">
                  <c:v>29.983401492256657</c:v>
                </c:pt>
                <c:pt idx="2">
                  <c:v>36.085655776396365</c:v>
                </c:pt>
                <c:pt idx="3">
                  <c:v>42.605125941341399</c:v>
                </c:pt>
                <c:pt idx="4">
                  <c:v>50.663137510053431</c:v>
                </c:pt>
                <c:pt idx="5">
                  <c:v>59.526209323244863</c:v>
                </c:pt>
                <c:pt idx="6">
                  <c:v>68.700050796804589</c:v>
                </c:pt>
                <c:pt idx="7">
                  <c:v>77.019212161250763</c:v>
                </c:pt>
              </c:numCache>
            </c:numRef>
          </c:val>
        </c:ser>
        <c:ser>
          <c:idx val="8"/>
          <c:order val="1"/>
          <c:tx>
            <c:strRef>
              <c:f>'Resultados Intermedios'!$AN$4</c:f>
              <c:strCache>
                <c:ptCount val="1"/>
                <c:pt idx="0">
                  <c:v>Gas Natural</c:v>
                </c:pt>
              </c:strCache>
            </c:strRef>
          </c:tx>
          <c:spPr>
            <a:solidFill>
              <a:schemeClr val="bg2">
                <a:lumMod val="25000"/>
              </a:schemeClr>
            </a:solidFill>
            <a:ln>
              <a:noFill/>
            </a:ln>
            <a:effectLst/>
          </c:spPr>
          <c:cat>
            <c:numRef>
              <c:f>'Resultados Intermedios'!$AO$3:$AV$3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'Resultados Intermedios'!$AO$4:$AV$4</c:f>
              <c:numCache>
                <c:formatCode>0.00</c:formatCode>
                <c:ptCount val="8"/>
                <c:pt idx="0">
                  <c:v>10.716366861978855</c:v>
                </c:pt>
                <c:pt idx="1">
                  <c:v>11.993360596902663</c:v>
                </c:pt>
                <c:pt idx="2">
                  <c:v>14.434262310558546</c:v>
                </c:pt>
                <c:pt idx="3">
                  <c:v>17.042050376536562</c:v>
                </c:pt>
                <c:pt idx="4">
                  <c:v>20.265255004021373</c:v>
                </c:pt>
                <c:pt idx="5">
                  <c:v>23.810483729297946</c:v>
                </c:pt>
                <c:pt idx="6">
                  <c:v>27.480020318721834</c:v>
                </c:pt>
                <c:pt idx="7">
                  <c:v>30.807684864500306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D13-43EA-AE67-F11D7088C957}"/>
            </c:ext>
          </c:extLst>
        </c:ser>
        <c:ser>
          <c:idx val="9"/>
          <c:order val="2"/>
          <c:tx>
            <c:strRef>
              <c:f>'Resultados Intermedios'!$AN$6</c:f>
              <c:strCache>
                <c:ptCount val="1"/>
                <c:pt idx="0">
                  <c:v>Petróleo Diésel</c:v>
                </c:pt>
              </c:strCache>
            </c:strRef>
          </c:tx>
          <c:val>
            <c:numRef>
              <c:f>'Resultados Intermedios'!$AO$6:$AV$6</c:f>
              <c:numCache>
                <c:formatCode>0.00</c:formatCode>
                <c:ptCount val="8"/>
                <c:pt idx="0">
                  <c:v>2.0093187866210354</c:v>
                </c:pt>
                <c:pt idx="1">
                  <c:v>2.2487551119192495</c:v>
                </c:pt>
                <c:pt idx="2">
                  <c:v>2.7064241832297276</c:v>
                </c:pt>
                <c:pt idx="3">
                  <c:v>3.1953844456006051</c:v>
                </c:pt>
                <c:pt idx="4">
                  <c:v>3.7997353132540082</c:v>
                </c:pt>
                <c:pt idx="5">
                  <c:v>4.4644656992433651</c:v>
                </c:pt>
                <c:pt idx="6">
                  <c:v>5.1525038097603444</c:v>
                </c:pt>
                <c:pt idx="7">
                  <c:v>5.7764409120938076</c:v>
                </c:pt>
              </c:numCache>
            </c:numRef>
          </c:val>
        </c:ser>
        <c:ser>
          <c:idx val="15"/>
          <c:order val="3"/>
          <c:tx>
            <c:strRef>
              <c:f>'Resultados Intermedios'!$AN$7</c:f>
              <c:strCache>
                <c:ptCount val="1"/>
                <c:pt idx="0">
                  <c:v>Biomasa</c:v>
                </c:pt>
              </c:strCache>
            </c:strRef>
          </c:tx>
          <c:cat>
            <c:numRef>
              <c:f>'Resultados Intermedios'!$AO$3:$AV$3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'Resultados Intermedios'!$AO$7:$AV$7</c:f>
              <c:numCache>
                <c:formatCode>0.00</c:formatCode>
                <c:ptCount val="8"/>
                <c:pt idx="0">
                  <c:v>1.4025600000000003</c:v>
                </c:pt>
                <c:pt idx="1">
                  <c:v>1.4025600000000003</c:v>
                </c:pt>
                <c:pt idx="2">
                  <c:v>1.4025600000000003</c:v>
                </c:pt>
                <c:pt idx="3">
                  <c:v>1.4025600000000003</c:v>
                </c:pt>
                <c:pt idx="4">
                  <c:v>1.4025600000000003</c:v>
                </c:pt>
                <c:pt idx="5">
                  <c:v>1.4025600000000003</c:v>
                </c:pt>
                <c:pt idx="6">
                  <c:v>1.4025600000000003</c:v>
                </c:pt>
                <c:pt idx="7">
                  <c:v>1.4025600000000003</c:v>
                </c:pt>
              </c:numCache>
            </c:numRef>
          </c:val>
        </c:ser>
        <c:ser>
          <c:idx val="6"/>
          <c:order val="4"/>
          <c:tx>
            <c:strRef>
              <c:f>'Resultados Intermedios'!$AN$9</c:f>
              <c:strCache>
                <c:ptCount val="1"/>
                <c:pt idx="0">
                  <c:v>Hidroelectricidad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numRef>
              <c:f>'Resultados Intermedios'!$AO$3:$AV$3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'Resultados Intermedios'!$AO$9:$AV$9</c:f>
              <c:numCache>
                <c:formatCode>0.00</c:formatCode>
                <c:ptCount val="8"/>
                <c:pt idx="0">
                  <c:v>22.147299</c:v>
                </c:pt>
                <c:pt idx="1">
                  <c:v>23.153197500000005</c:v>
                </c:pt>
                <c:pt idx="2">
                  <c:v>24.159096000000002</c:v>
                </c:pt>
                <c:pt idx="3">
                  <c:v>25.164994499999999</c:v>
                </c:pt>
                <c:pt idx="4">
                  <c:v>26.122679999999999</c:v>
                </c:pt>
                <c:pt idx="5">
                  <c:v>27.1285785</c:v>
                </c:pt>
                <c:pt idx="6">
                  <c:v>28.134477000000004</c:v>
                </c:pt>
                <c:pt idx="7">
                  <c:v>29.092162499999997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D13-43EA-AE67-F11D7088C957}"/>
            </c:ext>
          </c:extLst>
        </c:ser>
        <c:ser>
          <c:idx val="2"/>
          <c:order val="5"/>
          <c:tx>
            <c:strRef>
              <c:f>'Resultados Intermedios'!$AN$12</c:f>
              <c:strCache>
                <c:ptCount val="1"/>
                <c:pt idx="0">
                  <c:v>Mareomotriz y Undimotriz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cat>
            <c:numRef>
              <c:f>'Resultados Intermedios'!$AO$3:$AV$3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'Resultados Intermedios'!$AO$12:$AV$12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1.341198E-2</c:v>
                </c:pt>
                <c:pt idx="3">
                  <c:v>1.9329030000000001E-2</c:v>
                </c:pt>
                <c:pt idx="4">
                  <c:v>2.8993545000000003E-2</c:v>
                </c:pt>
                <c:pt idx="5">
                  <c:v>8.6483602800000003E-2</c:v>
                </c:pt>
                <c:pt idx="6">
                  <c:v>0.1770854724</c:v>
                </c:pt>
                <c:pt idx="7">
                  <c:v>0.3541709448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8D13-43EA-AE67-F11D7088C957}"/>
            </c:ext>
          </c:extLst>
        </c:ser>
        <c:ser>
          <c:idx val="10"/>
          <c:order val="6"/>
          <c:tx>
            <c:strRef>
              <c:f>'Resultados Intermedios'!$AN$8</c:f>
              <c:strCache>
                <c:ptCount val="1"/>
                <c:pt idx="0">
                  <c:v>Eólico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cat>
            <c:numRef>
              <c:f>'Resultados Intermedios'!$AO$3:$AV$3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'Resultados Intermedios'!$AO$8:$AV$8</c:f>
              <c:numCache>
                <c:formatCode>0.00</c:formatCode>
                <c:ptCount val="8"/>
                <c:pt idx="0">
                  <c:v>2.6604443999999998</c:v>
                </c:pt>
                <c:pt idx="1">
                  <c:v>4.6811183999999999</c:v>
                </c:pt>
                <c:pt idx="2">
                  <c:v>4.9601951999999994</c:v>
                </c:pt>
                <c:pt idx="3">
                  <c:v>5.2392719999999988</c:v>
                </c:pt>
                <c:pt idx="4">
                  <c:v>5.5183487999999992</c:v>
                </c:pt>
                <c:pt idx="5">
                  <c:v>5.7974255999999986</c:v>
                </c:pt>
                <c:pt idx="6">
                  <c:v>6.0765023999999981</c:v>
                </c:pt>
                <c:pt idx="7">
                  <c:v>6.3555791999999975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8D13-43EA-AE67-F11D7088C957}"/>
            </c:ext>
          </c:extLst>
        </c:ser>
        <c:ser>
          <c:idx val="4"/>
          <c:order val="7"/>
          <c:tx>
            <c:strRef>
              <c:f>'Resultados Intermedios'!$AN$14</c:f>
              <c:strCache>
                <c:ptCount val="1"/>
                <c:pt idx="0">
                  <c:v>Solar 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numRef>
              <c:f>'Resultados Intermedios'!$AO$3:$AV$3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'Resultados Intermedios'!$AO$14:$AV$14</c:f>
              <c:numCache>
                <c:formatCode>0.00</c:formatCode>
                <c:ptCount val="8"/>
                <c:pt idx="0">
                  <c:v>1.5864882119999999</c:v>
                </c:pt>
                <c:pt idx="1">
                  <c:v>4.8118372235470126</c:v>
                </c:pt>
                <c:pt idx="2">
                  <c:v>6.9913260828723587</c:v>
                </c:pt>
                <c:pt idx="3">
                  <c:v>8.1639572827886262</c:v>
                </c:pt>
                <c:pt idx="4">
                  <c:v>9.0826755694185906</c:v>
                </c:pt>
                <c:pt idx="5">
                  <c:v>9.7699392229862205</c:v>
                </c:pt>
                <c:pt idx="6">
                  <c:v>10.245372199181563</c:v>
                </c:pt>
                <c:pt idx="7">
                  <c:v>10.610155680966797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8D13-43EA-AE67-F11D7088C957}"/>
            </c:ext>
          </c:extLst>
        </c:ser>
        <c:ser>
          <c:idx val="3"/>
          <c:order val="8"/>
          <c:tx>
            <c:strRef>
              <c:f>'Resultados Intermedios'!$AN$13</c:f>
              <c:strCache>
                <c:ptCount val="1"/>
                <c:pt idx="0">
                  <c:v>Geotérmica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cat>
            <c:numRef>
              <c:f>'Resultados Intermedios'!$AO$3:$AV$3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'Resultados Intermedios'!$AO$13:$AV$13</c:f>
              <c:numCache>
                <c:formatCode>0.00</c:formatCode>
                <c:ptCount val="8"/>
                <c:pt idx="0">
                  <c:v>0</c:v>
                </c:pt>
                <c:pt idx="1">
                  <c:v>0.35064000000000006</c:v>
                </c:pt>
                <c:pt idx="2">
                  <c:v>0.35064000000000006</c:v>
                </c:pt>
                <c:pt idx="3">
                  <c:v>0.35064000000000006</c:v>
                </c:pt>
                <c:pt idx="4">
                  <c:v>0.35064000000000006</c:v>
                </c:pt>
                <c:pt idx="5">
                  <c:v>0.35064000000000006</c:v>
                </c:pt>
                <c:pt idx="6">
                  <c:v>0.35064000000000006</c:v>
                </c:pt>
                <c:pt idx="7">
                  <c:v>0.35064000000000006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8D13-43EA-AE67-F11D7088C957}"/>
            </c:ext>
          </c:extLst>
        </c:ser>
        <c:ser>
          <c:idx val="11"/>
          <c:order val="9"/>
          <c:tx>
            <c:strRef>
              <c:f>'Resultados Intermedios'!$AN$16</c:f>
              <c:strCache>
                <c:ptCount val="1"/>
                <c:pt idx="0">
                  <c:v>Residuos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cat>
            <c:numRef>
              <c:f>'Resultados Intermedios'!$AO$3:$AV$3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'Resultados Intermedios'!$AO$16:$AV$16</c:f>
              <c:numCache>
                <c:formatCode>0.00</c:formatCode>
                <c:ptCount val="8"/>
                <c:pt idx="0">
                  <c:v>0.26280000000000003</c:v>
                </c:pt>
                <c:pt idx="1">
                  <c:v>0.35039999999999999</c:v>
                </c:pt>
                <c:pt idx="2">
                  <c:v>0.41172000000000003</c:v>
                </c:pt>
                <c:pt idx="3">
                  <c:v>0.41172000000000003</c:v>
                </c:pt>
                <c:pt idx="4">
                  <c:v>0.41172000000000003</c:v>
                </c:pt>
                <c:pt idx="5">
                  <c:v>0.41172000000000003</c:v>
                </c:pt>
                <c:pt idx="6">
                  <c:v>0.41172000000000003</c:v>
                </c:pt>
                <c:pt idx="7">
                  <c:v>0.41172000000000003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B-8D13-43EA-AE67-F11D7088C957}"/>
            </c:ext>
          </c:extLst>
        </c:ser>
        <c:ser>
          <c:idx val="12"/>
          <c:order val="10"/>
          <c:tx>
            <c:strRef>
              <c:f>'Resultados Intermedios'!$AN$17</c:f>
              <c:strCache>
                <c:ptCount val="1"/>
                <c:pt idx="0">
                  <c:v>Agropecuario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numRef>
              <c:f>'Resultados Intermedios'!$AO$3:$AV$3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'Resultados Intermedios'!$AO$17:$AV$17</c:f>
              <c:numCache>
                <c:formatCode>0.00</c:formatCode>
                <c:ptCount val="8"/>
                <c:pt idx="0">
                  <c:v>3.4389010267325154E-3</c:v>
                </c:pt>
                <c:pt idx="1">
                  <c:v>4.2392356044495443E-3</c:v>
                </c:pt>
                <c:pt idx="2">
                  <c:v>4.9529130700314613E-3</c:v>
                </c:pt>
                <c:pt idx="3">
                  <c:v>5.6121819002050294E-3</c:v>
                </c:pt>
                <c:pt idx="4">
                  <c:v>6.2600763354361899E-3</c:v>
                </c:pt>
                <c:pt idx="5">
                  <c:v>6.9065998236423074E-3</c:v>
                </c:pt>
                <c:pt idx="6">
                  <c:v>7.4835421882092018E-3</c:v>
                </c:pt>
                <c:pt idx="7">
                  <c:v>8.0416559644615384E-3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8D13-43EA-AE67-F11D7088C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226688"/>
        <c:axId val="138561792"/>
      </c:areaChart>
      <c:lineChart>
        <c:grouping val="standard"/>
        <c:varyColors val="0"/>
        <c:ser>
          <c:idx val="14"/>
          <c:order val="11"/>
          <c:tx>
            <c:strRef>
              <c:f>'Resultados Intermedios'!$AN$37</c:f>
              <c:strCache>
                <c:ptCount val="1"/>
                <c:pt idx="0">
                  <c:v>Base (Nivel 1)</c:v>
                </c:pt>
              </c:strCache>
            </c:strRef>
          </c:tx>
          <c:marker>
            <c:spPr>
              <a:solidFill>
                <a:schemeClr val="accent1"/>
              </a:solidFill>
            </c:spPr>
          </c:marker>
          <c:cat>
            <c:numRef>
              <c:f>'Resultados Intermedios'!$AO$3:$AV$3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'Resultados Intermedios'!$AO$37:$AV$37</c:f>
              <c:numCache>
                <c:formatCode>0.00</c:formatCode>
                <c:ptCount val="8"/>
                <c:pt idx="0">
                  <c:v>67.579633316573748</c:v>
                </c:pt>
                <c:pt idx="1">
                  <c:v>78.979509560230042</c:v>
                </c:pt>
                <c:pt idx="2">
                  <c:v>91.520244446127023</c:v>
                </c:pt>
                <c:pt idx="3">
                  <c:v>103.60064575816739</c:v>
                </c:pt>
                <c:pt idx="4">
                  <c:v>117.65200581808284</c:v>
                </c:pt>
                <c:pt idx="5">
                  <c:v>132.755412277396</c:v>
                </c:pt>
                <c:pt idx="6">
                  <c:v>148.13841553905652</c:v>
                </c:pt>
                <c:pt idx="7">
                  <c:v>162.18836791957614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226688"/>
        <c:axId val="138561792"/>
      </c:lineChart>
      <c:catAx>
        <c:axId val="138226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8561792"/>
        <c:crosses val="autoZero"/>
        <c:auto val="1"/>
        <c:lblAlgn val="ctr"/>
        <c:lblOffset val="0"/>
        <c:noMultiLvlLbl val="0"/>
      </c:catAx>
      <c:valAx>
        <c:axId val="138561792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'Resultados Intermedios'!$R$3</c:f>
              <c:strCache>
                <c:ptCount val="1"/>
                <c:pt idx="0">
                  <c:v>TWh</c:v>
                </c:pt>
              </c:strCache>
            </c:strRef>
          </c:tx>
          <c:layout>
            <c:manualLayout>
              <c:xMode val="edge"/>
              <c:yMode val="edge"/>
              <c:x val="1.6241769479400748E-2"/>
              <c:y val="9.659096758893225E-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t" anchorCtr="0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8226688"/>
        <c:crosses val="autoZero"/>
        <c:crossBetween val="midCat"/>
        <c:majorUnit val="30"/>
      </c:valAx>
      <c:spPr>
        <a:solidFill>
          <a:schemeClr val="bg1"/>
        </a:solidFill>
        <a:ln>
          <a:solidFill>
            <a:schemeClr val="bg1">
              <a:lumMod val="50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0.6746894145695661"/>
          <c:y val="9.1130856323864098E-2"/>
          <c:w val="0.27007197198968047"/>
          <c:h val="0.6556874817864588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'Resultados Intermedios'!$AY$2</c:f>
          <c:strCache>
            <c:ptCount val="1"/>
            <c:pt idx="0">
              <c:v>Electricidad demandada</c:v>
            </c:pt>
          </c:strCache>
        </c:strRef>
      </c:tx>
      <c:layout>
        <c:manualLayout>
          <c:xMode val="edge"/>
          <c:yMode val="edge"/>
          <c:x val="0.25014628898973496"/>
          <c:y val="1.22030000228579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9.26678437756287E-2"/>
          <c:y val="7.5687694539759667E-2"/>
          <c:w val="0.61602883030099653"/>
          <c:h val="0.76828522914552499"/>
        </c:manualLayout>
      </c:layout>
      <c:areaChart>
        <c:grouping val="stacked"/>
        <c:varyColors val="0"/>
        <c:ser>
          <c:idx val="13"/>
          <c:order val="0"/>
          <c:tx>
            <c:strRef>
              <c:f>'Resultados Intermedios'!$AY$4</c:f>
              <c:strCache>
                <c:ptCount val="1"/>
                <c:pt idx="0">
                  <c:v>Electricidad demandada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'Resultados Intermedios'!$AZ$3:$BG$3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'Resultados Intermedios'!$AZ$4:$BG$4</c:f>
              <c:numCache>
                <c:formatCode>#,##0.0_);\(#,##0.0\);"-"_);@</c:formatCode>
                <c:ptCount val="8"/>
                <c:pt idx="0">
                  <c:v>67.579633316573762</c:v>
                </c:pt>
                <c:pt idx="1">
                  <c:v>78.979509560230042</c:v>
                </c:pt>
                <c:pt idx="2">
                  <c:v>91.520244446127037</c:v>
                </c:pt>
                <c:pt idx="3">
                  <c:v>103.6006457581674</c:v>
                </c:pt>
                <c:pt idx="4">
                  <c:v>117.65200581808284</c:v>
                </c:pt>
                <c:pt idx="5">
                  <c:v>132.75541227739603</c:v>
                </c:pt>
                <c:pt idx="6">
                  <c:v>148.13841553905652</c:v>
                </c:pt>
                <c:pt idx="7">
                  <c:v>162.18836791957614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74C-4A52-A249-A1237BBA0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147840"/>
        <c:axId val="138565248"/>
      </c:areaChart>
      <c:lineChart>
        <c:grouping val="standard"/>
        <c:varyColors val="0"/>
        <c:ser>
          <c:idx val="0"/>
          <c:order val="1"/>
          <c:tx>
            <c:strRef>
              <c:f>'Resultados Intermedios'!$AY$6</c:f>
              <c:strCache>
                <c:ptCount val="1"/>
                <c:pt idx="0">
                  <c:v>Base (Nivel 1)</c:v>
                </c:pt>
              </c:strCache>
            </c:strRef>
          </c:tx>
          <c:cat>
            <c:numRef>
              <c:f>'Resultados Intermedios'!$AZ$3:$BG$3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'Resultados Intermedios'!$AZ$6:$BG$6</c:f>
              <c:numCache>
                <c:formatCode>0.00</c:formatCode>
                <c:ptCount val="8"/>
                <c:pt idx="0">
                  <c:v>67.579633316573762</c:v>
                </c:pt>
                <c:pt idx="1">
                  <c:v>78.979509560230042</c:v>
                </c:pt>
                <c:pt idx="2">
                  <c:v>91.520244446127037</c:v>
                </c:pt>
                <c:pt idx="3">
                  <c:v>103.6006457581674</c:v>
                </c:pt>
                <c:pt idx="4">
                  <c:v>117.65200581808284</c:v>
                </c:pt>
                <c:pt idx="5">
                  <c:v>132.75541227739603</c:v>
                </c:pt>
                <c:pt idx="6">
                  <c:v>148.13841553905652</c:v>
                </c:pt>
                <c:pt idx="7">
                  <c:v>162.18836791957614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147840"/>
        <c:axId val="138565248"/>
      </c:lineChart>
      <c:catAx>
        <c:axId val="138147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8565248"/>
        <c:crosses val="autoZero"/>
        <c:auto val="1"/>
        <c:lblAlgn val="ctr"/>
        <c:lblOffset val="100"/>
        <c:noMultiLvlLbl val="0"/>
      </c:catAx>
      <c:valAx>
        <c:axId val="138565248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'Resultados Intermedios'!$R$3</c:f>
              <c:strCache>
                <c:ptCount val="1"/>
                <c:pt idx="0">
                  <c:v>TWh</c:v>
                </c:pt>
              </c:strCache>
            </c:strRef>
          </c:tx>
          <c:layout>
            <c:manualLayout>
              <c:xMode val="edge"/>
              <c:yMode val="edge"/>
              <c:x val="1.9083025118674029E-2"/>
              <c:y val="5.1706881747573862E-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t" anchorCtr="0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8147840"/>
        <c:crosses val="autoZero"/>
        <c:crossBetween val="midCat"/>
        <c:majorUnit val="30"/>
      </c:valAx>
      <c:spPr>
        <a:noFill/>
        <a:ln>
          <a:solidFill>
            <a:schemeClr val="bg1">
              <a:lumMod val="50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0.74515224680811942"/>
          <c:y val="0.13834810552486848"/>
          <c:w val="0.19396734432398213"/>
          <c:h val="0.239022110076516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400" b="1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'Resultados Intermedios'!$AN$30:$AO$30</c:f>
              <c:strCache>
                <c:ptCount val="2"/>
                <c:pt idx="0">
                  <c:v>renovables al 2035</c:v>
                </c:pt>
                <c:pt idx="1">
                  <c:v>renovables al 2050</c:v>
                </c:pt>
              </c:strCache>
            </c:strRef>
          </c:cat>
          <c:val>
            <c:numRef>
              <c:f>'Resultados Intermedios'!$AN$31:$AO$31</c:f>
              <c:numCache>
                <c:formatCode>0.0%;\ \(0.0%\);\ \-</c:formatCode>
                <c:ptCount val="2"/>
                <c:pt idx="0">
                  <c:v>0.39713401381574004</c:v>
                </c:pt>
                <c:pt idx="1">
                  <c:v>0.3351749055196187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148352"/>
        <c:axId val="160301056"/>
      </c:barChart>
      <c:catAx>
        <c:axId val="138148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0301056"/>
        <c:crosses val="autoZero"/>
        <c:auto val="1"/>
        <c:lblAlgn val="ctr"/>
        <c:lblOffset val="100"/>
        <c:noMultiLvlLbl val="0"/>
      </c:catAx>
      <c:valAx>
        <c:axId val="160301056"/>
        <c:scaling>
          <c:orientation val="minMax"/>
        </c:scaling>
        <c:delete val="1"/>
        <c:axPos val="l"/>
        <c:numFmt formatCode="0.0%;\ \(0.0%\);\ \-" sourceLinked="1"/>
        <c:majorTickMark val="none"/>
        <c:minorTickMark val="none"/>
        <c:tickLblPos val="nextTo"/>
        <c:crossAx val="138148352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'Resultados Intermedios'!$R$43</c:f>
              <c:strCache>
                <c:ptCount val="1"/>
                <c:pt idx="0">
                  <c:v>GDP. Millones CLP 2011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val>
            <c:numRef>
              <c:f>'Resultados Intermedios'!$S$43:$Z$43</c:f>
              <c:numCache>
                <c:formatCode>General</c:formatCode>
                <c:ptCount val="8"/>
                <c:pt idx="0">
                  <c:v>138648398.80557212</c:v>
                </c:pt>
                <c:pt idx="1">
                  <c:v>156941071.94435257</c:v>
                </c:pt>
                <c:pt idx="2">
                  <c:v>185075953.52402893</c:v>
                </c:pt>
                <c:pt idx="3">
                  <c:v>217014325.17373651</c:v>
                </c:pt>
                <c:pt idx="4">
                  <c:v>250366651.2782681</c:v>
                </c:pt>
                <c:pt idx="5">
                  <c:v>284451648.63065863</c:v>
                </c:pt>
                <c:pt idx="6">
                  <c:v>319559337.36585468</c:v>
                </c:pt>
                <c:pt idx="7">
                  <c:v>354797473.50129086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750016"/>
        <c:axId val="160302784"/>
      </c:areaChart>
      <c:catAx>
        <c:axId val="16175001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0302784"/>
        <c:crosses val="autoZero"/>
        <c:auto val="1"/>
        <c:lblAlgn val="ctr"/>
        <c:lblOffset val="100"/>
        <c:noMultiLvlLbl val="0"/>
      </c:catAx>
      <c:valAx>
        <c:axId val="16030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1750016"/>
        <c:crosses val="autoZero"/>
        <c:crossBetween val="midCat"/>
        <c:majorUnit val="110000000"/>
        <c:minorUnit val="20000000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Escenario Conservador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'-&gt; Demanda 171016'!$B$5</c:f>
              <c:strCache>
                <c:ptCount val="1"/>
                <c:pt idx="0">
                  <c:v>Industria</c:v>
                </c:pt>
              </c:strCache>
            </c:strRef>
          </c:tx>
          <c:cat>
            <c:numRef>
              <c:f>'-&gt; Demanda 171016'!$C$4:$AM$4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'-&gt; Demanda 171016'!$C$5:$AM$5</c:f>
              <c:numCache>
                <c:formatCode>_-* #,##0_-;\-* #,##0_-;_-* "-"??_-;_-@_-</c:formatCode>
                <c:ptCount val="37"/>
                <c:pt idx="0">
                  <c:v>72669.29290755617</c:v>
                </c:pt>
                <c:pt idx="1">
                  <c:v>73151.615149116464</c:v>
                </c:pt>
                <c:pt idx="2">
                  <c:v>77571.214979628377</c:v>
                </c:pt>
                <c:pt idx="3">
                  <c:v>78569.403552368123</c:v>
                </c:pt>
                <c:pt idx="4">
                  <c:v>79924.448759647639</c:v>
                </c:pt>
                <c:pt idx="5">
                  <c:v>81188.497709464893</c:v>
                </c:pt>
                <c:pt idx="6">
                  <c:v>82595.423911045014</c:v>
                </c:pt>
                <c:pt idx="7">
                  <c:v>84563.074060596147</c:v>
                </c:pt>
                <c:pt idx="8">
                  <c:v>86276.609961961527</c:v>
                </c:pt>
                <c:pt idx="9">
                  <c:v>87931.851507281215</c:v>
                </c:pt>
                <c:pt idx="10">
                  <c:v>89324.037345923134</c:v>
                </c:pt>
                <c:pt idx="11">
                  <c:v>90994.83520025335</c:v>
                </c:pt>
                <c:pt idx="12">
                  <c:v>92694.634537631311</c:v>
                </c:pt>
                <c:pt idx="13">
                  <c:v>94064.223623924379</c:v>
                </c:pt>
                <c:pt idx="14">
                  <c:v>95944.567767203611</c:v>
                </c:pt>
                <c:pt idx="15">
                  <c:v>97967.720026107869</c:v>
                </c:pt>
                <c:pt idx="16">
                  <c:v>99224.133723818595</c:v>
                </c:pt>
                <c:pt idx="17">
                  <c:v>101404.37462553683</c:v>
                </c:pt>
                <c:pt idx="18">
                  <c:v>103300.5657031638</c:v>
                </c:pt>
                <c:pt idx="19">
                  <c:v>105193.8859697468</c:v>
                </c:pt>
                <c:pt idx="20">
                  <c:v>106620.05621156015</c:v>
                </c:pt>
                <c:pt idx="21">
                  <c:v>108664.06450173324</c:v>
                </c:pt>
                <c:pt idx="22">
                  <c:v>110395.74176437274</c:v>
                </c:pt>
                <c:pt idx="23">
                  <c:v>112345.4621656057</c:v>
                </c:pt>
                <c:pt idx="24">
                  <c:v>114572.33056394846</c:v>
                </c:pt>
                <c:pt idx="25">
                  <c:v>116617.84207754198</c:v>
                </c:pt>
                <c:pt idx="26">
                  <c:v>118572.83197740944</c:v>
                </c:pt>
                <c:pt idx="27">
                  <c:v>120161.27652967788</c:v>
                </c:pt>
                <c:pt idx="28">
                  <c:v>122312.5498945596</c:v>
                </c:pt>
                <c:pt idx="29">
                  <c:v>124550.18519587017</c:v>
                </c:pt>
                <c:pt idx="30">
                  <c:v>126137.08152873574</c:v>
                </c:pt>
                <c:pt idx="31">
                  <c:v>127887.9639293684</c:v>
                </c:pt>
                <c:pt idx="32">
                  <c:v>130369.29065167512</c:v>
                </c:pt>
                <c:pt idx="33">
                  <c:v>131706.59218206222</c:v>
                </c:pt>
                <c:pt idx="34">
                  <c:v>133823.75240172254</c:v>
                </c:pt>
                <c:pt idx="35">
                  <c:v>135806.17036639387</c:v>
                </c:pt>
                <c:pt idx="36">
                  <c:v>137569.69333436419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4CE-4E92-92D2-2BFEE28EBA73}"/>
            </c:ext>
          </c:extLst>
        </c:ser>
        <c:ser>
          <c:idx val="1"/>
          <c:order val="1"/>
          <c:tx>
            <c:strRef>
              <c:f>'-&gt; Demanda 171016'!$B$6</c:f>
              <c:strCache>
                <c:ptCount val="1"/>
                <c:pt idx="0">
                  <c:v>Minería</c:v>
                </c:pt>
              </c:strCache>
            </c:strRef>
          </c:tx>
          <c:spPr>
            <a:ln w="25400">
              <a:noFill/>
            </a:ln>
          </c:spPr>
          <c:cat>
            <c:numRef>
              <c:f>'-&gt; Demanda 171016'!$C$4:$AM$4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'-&gt; Demanda 171016'!$C$6:$AM$6</c:f>
              <c:numCache>
                <c:formatCode>_-* #,##0_-;\-* #,##0_-;_-* "-"??_-;_-@_-</c:formatCode>
                <c:ptCount val="37"/>
                <c:pt idx="0">
                  <c:v>42659.623346950713</c:v>
                </c:pt>
                <c:pt idx="1">
                  <c:v>43652.772011419693</c:v>
                </c:pt>
                <c:pt idx="2">
                  <c:v>44118.284271734934</c:v>
                </c:pt>
                <c:pt idx="3">
                  <c:v>47809.021512653366</c:v>
                </c:pt>
                <c:pt idx="4">
                  <c:v>49635.807585638941</c:v>
                </c:pt>
                <c:pt idx="5">
                  <c:v>52205.678811389604</c:v>
                </c:pt>
                <c:pt idx="6">
                  <c:v>53838.948580380915</c:v>
                </c:pt>
                <c:pt idx="7">
                  <c:v>55400.945249562421</c:v>
                </c:pt>
                <c:pt idx="8">
                  <c:v>59778.192593480308</c:v>
                </c:pt>
                <c:pt idx="9">
                  <c:v>63281.296087621537</c:v>
                </c:pt>
                <c:pt idx="10">
                  <c:v>65270.783433242992</c:v>
                </c:pt>
                <c:pt idx="11">
                  <c:v>63835.178583558562</c:v>
                </c:pt>
                <c:pt idx="12">
                  <c:v>62514.727095468123</c:v>
                </c:pt>
                <c:pt idx="13">
                  <c:v>65168.379233253516</c:v>
                </c:pt>
                <c:pt idx="14">
                  <c:v>66829.627220767128</c:v>
                </c:pt>
                <c:pt idx="15">
                  <c:v>68486.380149056597</c:v>
                </c:pt>
                <c:pt idx="16">
                  <c:v>70196.917001805108</c:v>
                </c:pt>
                <c:pt idx="17">
                  <c:v>71939.230565760256</c:v>
                </c:pt>
                <c:pt idx="18">
                  <c:v>73752.011300507904</c:v>
                </c:pt>
                <c:pt idx="19">
                  <c:v>75590.760961068314</c:v>
                </c:pt>
                <c:pt idx="20">
                  <c:v>77438.272953835287</c:v>
                </c:pt>
                <c:pt idx="21">
                  <c:v>79296.336634240972</c:v>
                </c:pt>
                <c:pt idx="22">
                  <c:v>81164.315520525313</c:v>
                </c:pt>
                <c:pt idx="23">
                  <c:v>83044.672474819206</c:v>
                </c:pt>
                <c:pt idx="24">
                  <c:v>84932.604907766057</c:v>
                </c:pt>
                <c:pt idx="25">
                  <c:v>86822.273170811968</c:v>
                </c:pt>
                <c:pt idx="26">
                  <c:v>88713.046663803398</c:v>
                </c:pt>
                <c:pt idx="27">
                  <c:v>90915.309282405593</c:v>
                </c:pt>
                <c:pt idx="28">
                  <c:v>92507.62001850862</c:v>
                </c:pt>
                <c:pt idx="29">
                  <c:v>94100.540236684392</c:v>
                </c:pt>
                <c:pt idx="30">
                  <c:v>95751.079895921503</c:v>
                </c:pt>
                <c:pt idx="31">
                  <c:v>97830.547205537267</c:v>
                </c:pt>
                <c:pt idx="32">
                  <c:v>99810.170265065841</c:v>
                </c:pt>
                <c:pt idx="33">
                  <c:v>101187.36589954187</c:v>
                </c:pt>
                <c:pt idx="34">
                  <c:v>102608.33993214025</c:v>
                </c:pt>
                <c:pt idx="35">
                  <c:v>104045.87281464945</c:v>
                </c:pt>
                <c:pt idx="36">
                  <c:v>105407.95052811797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4CE-4E92-92D2-2BFEE28EBA73}"/>
            </c:ext>
          </c:extLst>
        </c:ser>
        <c:ser>
          <c:idx val="2"/>
          <c:order val="2"/>
          <c:tx>
            <c:strRef>
              <c:f>'-&gt; Demanda 171016'!$B$7</c:f>
              <c:strCache>
                <c:ptCount val="1"/>
                <c:pt idx="0">
                  <c:v>Transporte</c:v>
                </c:pt>
              </c:strCache>
            </c:strRef>
          </c:tx>
          <c:spPr>
            <a:ln w="25400">
              <a:noFill/>
            </a:ln>
          </c:spPr>
          <c:cat>
            <c:numRef>
              <c:f>'-&gt; Demanda 171016'!$C$4:$AM$4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'-&gt; Demanda 171016'!$C$7:$AM$7</c:f>
              <c:numCache>
                <c:formatCode>_-* #,##0_-;\-* #,##0_-;_-* "-"??_-;_-@_-</c:formatCode>
                <c:ptCount val="37"/>
                <c:pt idx="0">
                  <c:v>80548.468168987427</c:v>
                </c:pt>
                <c:pt idx="1">
                  <c:v>81887.778902469523</c:v>
                </c:pt>
                <c:pt idx="2">
                  <c:v>82411.104326405883</c:v>
                </c:pt>
                <c:pt idx="3">
                  <c:v>83297.122472767835</c:v>
                </c:pt>
                <c:pt idx="4">
                  <c:v>84432.156371434801</c:v>
                </c:pt>
                <c:pt idx="5">
                  <c:v>86074.430679878307</c:v>
                </c:pt>
                <c:pt idx="6">
                  <c:v>87867.668076539121</c:v>
                </c:pt>
                <c:pt idx="7">
                  <c:v>90283.544293125335</c:v>
                </c:pt>
                <c:pt idx="8">
                  <c:v>92988.237481372169</c:v>
                </c:pt>
                <c:pt idx="9">
                  <c:v>96091.623442045355</c:v>
                </c:pt>
                <c:pt idx="10">
                  <c:v>99382.092055773275</c:v>
                </c:pt>
                <c:pt idx="11">
                  <c:v>102816.49342244002</c:v>
                </c:pt>
                <c:pt idx="12">
                  <c:v>106480.85679673945</c:v>
                </c:pt>
                <c:pt idx="13">
                  <c:v>110582.91587107193</c:v>
                </c:pt>
                <c:pt idx="14">
                  <c:v>114800.06718902089</c:v>
                </c:pt>
                <c:pt idx="15">
                  <c:v>119073.48613175617</c:v>
                </c:pt>
                <c:pt idx="16">
                  <c:v>123386.6610892343</c:v>
                </c:pt>
                <c:pt idx="17">
                  <c:v>127667.65141148426</c:v>
                </c:pt>
                <c:pt idx="18">
                  <c:v>131810.57978933078</c:v>
                </c:pt>
                <c:pt idx="19">
                  <c:v>135863.72177229339</c:v>
                </c:pt>
                <c:pt idx="20">
                  <c:v>139806.88820170914</c:v>
                </c:pt>
                <c:pt idx="21">
                  <c:v>143716.66115485108</c:v>
                </c:pt>
                <c:pt idx="22">
                  <c:v>147627.94730568485</c:v>
                </c:pt>
                <c:pt idx="23">
                  <c:v>151541.75026514131</c:v>
                </c:pt>
                <c:pt idx="24">
                  <c:v>155520.3544365491</c:v>
                </c:pt>
                <c:pt idx="25">
                  <c:v>159552.78696634085</c:v>
                </c:pt>
                <c:pt idx="26">
                  <c:v>163686.93779760966</c:v>
                </c:pt>
                <c:pt idx="27">
                  <c:v>167928.03788171694</c:v>
                </c:pt>
                <c:pt idx="28">
                  <c:v>172247.57955820271</c:v>
                </c:pt>
                <c:pt idx="29">
                  <c:v>176670.82439337496</c:v>
                </c:pt>
                <c:pt idx="30">
                  <c:v>181183.57163892905</c:v>
                </c:pt>
                <c:pt idx="31">
                  <c:v>185837.39521077595</c:v>
                </c:pt>
                <c:pt idx="32">
                  <c:v>190607.18682347063</c:v>
                </c:pt>
                <c:pt idx="33">
                  <c:v>195417.92423810216</c:v>
                </c:pt>
                <c:pt idx="34">
                  <c:v>200277.73246323847</c:v>
                </c:pt>
                <c:pt idx="35">
                  <c:v>205236.01699602214</c:v>
                </c:pt>
                <c:pt idx="36">
                  <c:v>210306.08073318869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4CE-4E92-92D2-2BFEE28EBA73}"/>
            </c:ext>
          </c:extLst>
        </c:ser>
        <c:ser>
          <c:idx val="3"/>
          <c:order val="3"/>
          <c:tx>
            <c:strRef>
              <c:f>'-&gt; Demanda 171016'!$B$8</c:f>
              <c:strCache>
                <c:ptCount val="1"/>
                <c:pt idx="0">
                  <c:v>Residencial</c:v>
                </c:pt>
              </c:strCache>
            </c:strRef>
          </c:tx>
          <c:spPr>
            <a:ln w="25400">
              <a:noFill/>
            </a:ln>
          </c:spPr>
          <c:cat>
            <c:numRef>
              <c:f>'-&gt; Demanda 171016'!$C$4:$AM$4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'-&gt; Demanda 171016'!$C$8:$AM$8</c:f>
              <c:numCache>
                <c:formatCode>_-* #,##0_-;\-* #,##0_-;_-* "-"??_-;_-@_-</c:formatCode>
                <c:ptCount val="37"/>
                <c:pt idx="0">
                  <c:v>41923.416089365506</c:v>
                </c:pt>
                <c:pt idx="1">
                  <c:v>42591.07158002942</c:v>
                </c:pt>
                <c:pt idx="2">
                  <c:v>43275.082294628199</c:v>
                </c:pt>
                <c:pt idx="3">
                  <c:v>44004.916977817862</c:v>
                </c:pt>
                <c:pt idx="4">
                  <c:v>44886.100128645659</c:v>
                </c:pt>
                <c:pt idx="5">
                  <c:v>45916.987062371052</c:v>
                </c:pt>
                <c:pt idx="6">
                  <c:v>47112.538851684338</c:v>
                </c:pt>
                <c:pt idx="7">
                  <c:v>48338.13299838794</c:v>
                </c:pt>
                <c:pt idx="8">
                  <c:v>49701.986388675257</c:v>
                </c:pt>
                <c:pt idx="9">
                  <c:v>51126.752870161661</c:v>
                </c:pt>
                <c:pt idx="10">
                  <c:v>52623.931853908376</c:v>
                </c:pt>
                <c:pt idx="11">
                  <c:v>54182.789315571339</c:v>
                </c:pt>
                <c:pt idx="12">
                  <c:v>55759.068055518852</c:v>
                </c:pt>
                <c:pt idx="13">
                  <c:v>57265.377185537422</c:v>
                </c:pt>
                <c:pt idx="14">
                  <c:v>58894.223743050235</c:v>
                </c:pt>
                <c:pt idx="15">
                  <c:v>60597.099708016009</c:v>
                </c:pt>
                <c:pt idx="16">
                  <c:v>62373.739575148953</c:v>
                </c:pt>
                <c:pt idx="17">
                  <c:v>64073.757218874547</c:v>
                </c:pt>
                <c:pt idx="18">
                  <c:v>65792.019895647274</c:v>
                </c:pt>
                <c:pt idx="19">
                  <c:v>67746.081616777476</c:v>
                </c:pt>
                <c:pt idx="20">
                  <c:v>69782.416783666835</c:v>
                </c:pt>
                <c:pt idx="21">
                  <c:v>71849.759262636842</c:v>
                </c:pt>
                <c:pt idx="22">
                  <c:v>73981.950706347867</c:v>
                </c:pt>
                <c:pt idx="23">
                  <c:v>76166.319717428909</c:v>
                </c:pt>
                <c:pt idx="24">
                  <c:v>78382.379559441571</c:v>
                </c:pt>
                <c:pt idx="25">
                  <c:v>80732.322843026646</c:v>
                </c:pt>
                <c:pt idx="26">
                  <c:v>83247.279306053912</c:v>
                </c:pt>
                <c:pt idx="27">
                  <c:v>85838.842333838489</c:v>
                </c:pt>
                <c:pt idx="28">
                  <c:v>88516.530481788403</c:v>
                </c:pt>
                <c:pt idx="29">
                  <c:v>91289.53206262154</c:v>
                </c:pt>
                <c:pt idx="30">
                  <c:v>94171.861200011903</c:v>
                </c:pt>
                <c:pt idx="31">
                  <c:v>97190.522049759398</c:v>
                </c:pt>
                <c:pt idx="32">
                  <c:v>100396.58356913285</c:v>
                </c:pt>
                <c:pt idx="33">
                  <c:v>103918.4634005892</c:v>
                </c:pt>
                <c:pt idx="34">
                  <c:v>108244.18993464566</c:v>
                </c:pt>
                <c:pt idx="35">
                  <c:v>110797.62757584533</c:v>
                </c:pt>
                <c:pt idx="36">
                  <c:v>112024.22759398284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4CE-4E92-92D2-2BFEE28EBA73}"/>
            </c:ext>
          </c:extLst>
        </c:ser>
        <c:ser>
          <c:idx val="4"/>
          <c:order val="4"/>
          <c:tx>
            <c:strRef>
              <c:f>'-&gt; Demanda 171016'!$B$9</c:f>
              <c:strCache>
                <c:ptCount val="1"/>
                <c:pt idx="0">
                  <c:v>Comercial</c:v>
                </c:pt>
              </c:strCache>
            </c:strRef>
          </c:tx>
          <c:spPr>
            <a:ln w="25400">
              <a:noFill/>
            </a:ln>
          </c:spPr>
          <c:cat>
            <c:numRef>
              <c:f>'-&gt; Demanda 171016'!$C$4:$AM$4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'-&gt; Demanda 171016'!$C$9:$AM$9</c:f>
              <c:numCache>
                <c:formatCode>_-* #,##0_-;\-* #,##0_-;_-* "-"??_-;_-@_-</c:formatCode>
                <c:ptCount val="37"/>
                <c:pt idx="0">
                  <c:v>12816.77110064318</c:v>
                </c:pt>
                <c:pt idx="1">
                  <c:v>13733.466693809864</c:v>
                </c:pt>
                <c:pt idx="2">
                  <c:v>13938.398346777576</c:v>
                </c:pt>
                <c:pt idx="3">
                  <c:v>14195.618438931686</c:v>
                </c:pt>
                <c:pt idx="4">
                  <c:v>14549.608802449697</c:v>
                </c:pt>
                <c:pt idx="5">
                  <c:v>14966.774177839163</c:v>
                </c:pt>
                <c:pt idx="6">
                  <c:v>15425.80683942874</c:v>
                </c:pt>
                <c:pt idx="7">
                  <c:v>15933.191709597992</c:v>
                </c:pt>
                <c:pt idx="8">
                  <c:v>16454.391788918248</c:v>
                </c:pt>
                <c:pt idx="9">
                  <c:v>16989.446267338863</c:v>
                </c:pt>
                <c:pt idx="10">
                  <c:v>17538.941048039702</c:v>
                </c:pt>
                <c:pt idx="11">
                  <c:v>18103.181656405293</c:v>
                </c:pt>
                <c:pt idx="12">
                  <c:v>18682.606676416097</c:v>
                </c:pt>
                <c:pt idx="13">
                  <c:v>19277.57628448807</c:v>
                </c:pt>
                <c:pt idx="14">
                  <c:v>19888.674154834262</c:v>
                </c:pt>
                <c:pt idx="15">
                  <c:v>20516.136755940606</c:v>
                </c:pt>
                <c:pt idx="16">
                  <c:v>21160.249549037555</c:v>
                </c:pt>
                <c:pt idx="17">
                  <c:v>21800.289703929666</c:v>
                </c:pt>
                <c:pt idx="18">
                  <c:v>22438.283580439045</c:v>
                </c:pt>
                <c:pt idx="19">
                  <c:v>23076.211384326882</c:v>
                </c:pt>
                <c:pt idx="20">
                  <c:v>23716.183842280461</c:v>
                </c:pt>
                <c:pt idx="21">
                  <c:v>24359.49826708129</c:v>
                </c:pt>
                <c:pt idx="22">
                  <c:v>25008.085032274943</c:v>
                </c:pt>
                <c:pt idx="23">
                  <c:v>25662.91404874541</c:v>
                </c:pt>
                <c:pt idx="24">
                  <c:v>26325.185697035984</c:v>
                </c:pt>
                <c:pt idx="25">
                  <c:v>26995.38130229864</c:v>
                </c:pt>
                <c:pt idx="26">
                  <c:v>27673.811784294652</c:v>
                </c:pt>
                <c:pt idx="27">
                  <c:v>28360.374527226581</c:v>
                </c:pt>
                <c:pt idx="28">
                  <c:v>29054.93679508401</c:v>
                </c:pt>
                <c:pt idx="29">
                  <c:v>29757.646199288309</c:v>
                </c:pt>
                <c:pt idx="30">
                  <c:v>30468.099014605894</c:v>
                </c:pt>
                <c:pt idx="31">
                  <c:v>31185.729342041825</c:v>
                </c:pt>
                <c:pt idx="32">
                  <c:v>31909.637471842045</c:v>
                </c:pt>
                <c:pt idx="33">
                  <c:v>32638.957724849999</c:v>
                </c:pt>
                <c:pt idx="34">
                  <c:v>33373.462698101161</c:v>
                </c:pt>
                <c:pt idx="35">
                  <c:v>33373.462698101161</c:v>
                </c:pt>
                <c:pt idx="36">
                  <c:v>33373.462698101161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84CE-4E92-92D2-2BFEE28EBA73}"/>
            </c:ext>
          </c:extLst>
        </c:ser>
        <c:ser>
          <c:idx val="5"/>
          <c:order val="5"/>
          <c:tx>
            <c:strRef>
              <c:f>'-&gt; Demanda 171016'!$B$10</c:f>
              <c:strCache>
                <c:ptCount val="1"/>
                <c:pt idx="0">
                  <c:v>Público</c:v>
                </c:pt>
              </c:strCache>
            </c:strRef>
          </c:tx>
          <c:spPr>
            <a:ln w="25400">
              <a:noFill/>
            </a:ln>
          </c:spPr>
          <c:cat>
            <c:numRef>
              <c:f>'-&gt; Demanda 171016'!$C$4:$AM$4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'-&gt; Demanda 171016'!$C$10:$AM$10</c:f>
              <c:numCache>
                <c:formatCode>_-* #,##0_-;\-* #,##0_-;_-* "-"??_-;_-@_-</c:formatCode>
                <c:ptCount val="37"/>
                <c:pt idx="0">
                  <c:v>3544.0663348495323</c:v>
                </c:pt>
                <c:pt idx="1">
                  <c:v>3463.0568089939902</c:v>
                </c:pt>
                <c:pt idx="2">
                  <c:v>3455.0840412381831</c:v>
                </c:pt>
                <c:pt idx="3">
                  <c:v>3468.7213199656148</c:v>
                </c:pt>
                <c:pt idx="4">
                  <c:v>3495.1685645743828</c:v>
                </c:pt>
                <c:pt idx="5">
                  <c:v>3529.3403582029277</c:v>
                </c:pt>
                <c:pt idx="6">
                  <c:v>3568.231148650048</c:v>
                </c:pt>
                <c:pt idx="7">
                  <c:v>3611.1456463886557</c:v>
                </c:pt>
                <c:pt idx="8">
                  <c:v>3655.731316104901</c:v>
                </c:pt>
                <c:pt idx="9">
                  <c:v>3701.2054583748891</c:v>
                </c:pt>
                <c:pt idx="10">
                  <c:v>3747.3296449957047</c:v>
                </c:pt>
                <c:pt idx="11">
                  <c:v>3794.062284866724</c:v>
                </c:pt>
                <c:pt idx="12">
                  <c:v>3841.3636312037884</c:v>
                </c:pt>
                <c:pt idx="13">
                  <c:v>3889.231023877905</c:v>
                </c:pt>
                <c:pt idx="14">
                  <c:v>3937.6684509286306</c:v>
                </c:pt>
                <c:pt idx="15">
                  <c:v>3986.6795213155651</c:v>
                </c:pt>
                <c:pt idx="16">
                  <c:v>4036.2704719088592</c:v>
                </c:pt>
                <c:pt idx="17">
                  <c:v>4085.3552125021479</c:v>
                </c:pt>
                <c:pt idx="18">
                  <c:v>4133.712880679278</c:v>
                </c:pt>
                <c:pt idx="19">
                  <c:v>4181.3910616079093</c:v>
                </c:pt>
                <c:pt idx="20">
                  <c:v>4228.5168162510763</c:v>
                </c:pt>
                <c:pt idx="21">
                  <c:v>4275.2258578417895</c:v>
                </c:pt>
                <c:pt idx="22">
                  <c:v>4321.6452690283695</c:v>
                </c:pt>
                <c:pt idx="23">
                  <c:v>4367.8835977987937</c:v>
                </c:pt>
                <c:pt idx="24">
                  <c:v>4414.0239018142656</c:v>
                </c:pt>
                <c:pt idx="25">
                  <c:v>4460.1188896216709</c:v>
                </c:pt>
                <c:pt idx="26">
                  <c:v>4506.1924687274259</c:v>
                </c:pt>
                <c:pt idx="27">
                  <c:v>4552.2521330008576</c:v>
                </c:pt>
                <c:pt idx="28">
                  <c:v>4598.3052653912218</c:v>
                </c:pt>
                <c:pt idx="29">
                  <c:v>4644.3500599999961</c:v>
                </c:pt>
                <c:pt idx="30">
                  <c:v>4690.3672784006876</c:v>
                </c:pt>
                <c:pt idx="31">
                  <c:v>4736.3216869303506</c:v>
                </c:pt>
                <c:pt idx="32">
                  <c:v>4782.1694418744582</c:v>
                </c:pt>
                <c:pt idx="33">
                  <c:v>4827.873109363717</c:v>
                </c:pt>
                <c:pt idx="34">
                  <c:v>4873.3948196044685</c:v>
                </c:pt>
                <c:pt idx="35">
                  <c:v>4926.3800015477191</c:v>
                </c:pt>
                <c:pt idx="36">
                  <c:v>4975.4959707480612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84CE-4E92-92D2-2BFEE28EBA73}"/>
            </c:ext>
          </c:extLst>
        </c:ser>
        <c:ser>
          <c:idx val="6"/>
          <c:order val="6"/>
          <c:tx>
            <c:strRef>
              <c:f>'-&gt; Demanda 171016'!$B$11</c:f>
              <c:strCache>
                <c:ptCount val="1"/>
                <c:pt idx="0">
                  <c:v>Consumo Propio</c:v>
                </c:pt>
              </c:strCache>
            </c:strRef>
          </c:tx>
          <c:spPr>
            <a:ln w="25400">
              <a:noFill/>
            </a:ln>
          </c:spPr>
          <c:cat>
            <c:numRef>
              <c:f>'-&gt; Demanda 171016'!$C$4:$AM$4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'-&gt; Demanda 171016'!$C$11:$AM$11</c:f>
              <c:numCache>
                <c:formatCode>_-* #,##0_-;\-* #,##0_-;_-* "-"??_-;_-@_-</c:formatCode>
                <c:ptCount val="37"/>
                <c:pt idx="0">
                  <c:v>15932.552399999997</c:v>
                </c:pt>
                <c:pt idx="1">
                  <c:v>15917.973129999997</c:v>
                </c:pt>
                <c:pt idx="2">
                  <c:v>16203.201339999989</c:v>
                </c:pt>
                <c:pt idx="3">
                  <c:v>16717.472999999991</c:v>
                </c:pt>
                <c:pt idx="4">
                  <c:v>16777.120519999997</c:v>
                </c:pt>
                <c:pt idx="5">
                  <c:v>16837.960980000003</c:v>
                </c:pt>
                <c:pt idx="6">
                  <c:v>16900.018279999993</c:v>
                </c:pt>
                <c:pt idx="7">
                  <c:v>16963.316699999988</c:v>
                </c:pt>
                <c:pt idx="8">
                  <c:v>17027.881119999991</c:v>
                </c:pt>
                <c:pt idx="9">
                  <c:v>17093.736769999992</c:v>
                </c:pt>
                <c:pt idx="10">
                  <c:v>17160.909589999992</c:v>
                </c:pt>
                <c:pt idx="11">
                  <c:v>17229.425859999996</c:v>
                </c:pt>
                <c:pt idx="12">
                  <c:v>17299.312419999995</c:v>
                </c:pt>
                <c:pt idx="13">
                  <c:v>17370.59673999999</c:v>
                </c:pt>
                <c:pt idx="14">
                  <c:v>17443.30675</c:v>
                </c:pt>
                <c:pt idx="15">
                  <c:v>17517.470939999999</c:v>
                </c:pt>
                <c:pt idx="16">
                  <c:v>17593.118439999991</c:v>
                </c:pt>
                <c:pt idx="17">
                  <c:v>17670.278849999999</c:v>
                </c:pt>
                <c:pt idx="18">
                  <c:v>17748.982479999995</c:v>
                </c:pt>
                <c:pt idx="19">
                  <c:v>17829.260209999997</c:v>
                </c:pt>
                <c:pt idx="20">
                  <c:v>17911.143469999995</c:v>
                </c:pt>
                <c:pt idx="21">
                  <c:v>17994.664379999991</c:v>
                </c:pt>
                <c:pt idx="22">
                  <c:v>18079.855759999995</c:v>
                </c:pt>
                <c:pt idx="23">
                  <c:v>18166.750939999994</c:v>
                </c:pt>
                <c:pt idx="24">
                  <c:v>18255.384029999997</c:v>
                </c:pt>
                <c:pt idx="25">
                  <c:v>18345.789789999995</c:v>
                </c:pt>
                <c:pt idx="26">
                  <c:v>18438.003619999992</c:v>
                </c:pt>
                <c:pt idx="27">
                  <c:v>18532.061760000001</c:v>
                </c:pt>
                <c:pt idx="28">
                  <c:v>18628.001049999999</c:v>
                </c:pt>
                <c:pt idx="29">
                  <c:v>18725.859139999993</c:v>
                </c:pt>
                <c:pt idx="30">
                  <c:v>18825.674399999993</c:v>
                </c:pt>
                <c:pt idx="31">
                  <c:v>18927.485939999991</c:v>
                </c:pt>
                <c:pt idx="32">
                  <c:v>19031.333739999995</c:v>
                </c:pt>
                <c:pt idx="33">
                  <c:v>19137.258469999993</c:v>
                </c:pt>
                <c:pt idx="34">
                  <c:v>19245.301689999993</c:v>
                </c:pt>
                <c:pt idx="35">
                  <c:v>19355.505769999996</c:v>
                </c:pt>
                <c:pt idx="36">
                  <c:v>19467.913979999998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84CE-4E92-92D2-2BFEE28E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73312"/>
        <c:axId val="175136064"/>
      </c:areaChart>
      <c:catAx>
        <c:axId val="157773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5136064"/>
        <c:crosses val="autoZero"/>
        <c:auto val="1"/>
        <c:lblAlgn val="ctr"/>
        <c:lblOffset val="100"/>
        <c:noMultiLvlLbl val="0"/>
      </c:catAx>
      <c:valAx>
        <c:axId val="1751360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Tcal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157773312"/>
        <c:crosses val="autoZero"/>
        <c:crossBetween val="midCat"/>
      </c:valAx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'-&gt; Demanda 171016'!$C$4</c:f>
              <c:strCache>
                <c:ptCount val="1"/>
                <c:pt idx="0">
                  <c:v>2014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'-&gt; Demanda 171016'!$B$5:$B$11</c:f>
              <c:strCache>
                <c:ptCount val="7"/>
                <c:pt idx="0">
                  <c:v>Industria</c:v>
                </c:pt>
                <c:pt idx="1">
                  <c:v>Minería</c:v>
                </c:pt>
                <c:pt idx="2">
                  <c:v>Transporte</c:v>
                </c:pt>
                <c:pt idx="3">
                  <c:v>Residencial</c:v>
                </c:pt>
                <c:pt idx="4">
                  <c:v>Comercial</c:v>
                </c:pt>
                <c:pt idx="5">
                  <c:v>Público</c:v>
                </c:pt>
                <c:pt idx="6">
                  <c:v>Consumo Propio</c:v>
                </c:pt>
              </c:strCache>
            </c:strRef>
          </c:cat>
          <c:val>
            <c:numRef>
              <c:f>'-&gt; Demanda 171016'!$C$5:$C$11</c:f>
              <c:numCache>
                <c:formatCode>_-* #,##0_-;\-* #,##0_-;_-* "-"??_-;_-@_-</c:formatCode>
                <c:ptCount val="7"/>
                <c:pt idx="0">
                  <c:v>72669.29290755617</c:v>
                </c:pt>
                <c:pt idx="1">
                  <c:v>42659.623346950713</c:v>
                </c:pt>
                <c:pt idx="2">
                  <c:v>80548.468168987427</c:v>
                </c:pt>
                <c:pt idx="3">
                  <c:v>41923.416089365506</c:v>
                </c:pt>
                <c:pt idx="4">
                  <c:v>12816.77110064318</c:v>
                </c:pt>
                <c:pt idx="5">
                  <c:v>3544.0663348495323</c:v>
                </c:pt>
                <c:pt idx="6">
                  <c:v>15932.552399999997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CDD-4B51-B8E6-04FF3EBF87A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'-&gt; Demanda 171016'!$AM$4</c:f>
              <c:strCache>
                <c:ptCount val="1"/>
                <c:pt idx="0">
                  <c:v>2050</c:v>
                </c:pt>
              </c:strCache>
            </c:strRef>
          </c:tx>
          <c:dLbls>
            <c:dLbl>
              <c:idx val="6"/>
              <c:layout>
                <c:manualLayout>
                  <c:x val="0.23331127776246025"/>
                  <c:y val="2.96935851584987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0-C746-4CA4-87BB-035D3CCD6AF1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'-&gt; Demanda 171016'!$B$5:$B$11</c:f>
              <c:strCache>
                <c:ptCount val="7"/>
                <c:pt idx="0">
                  <c:v>Industria</c:v>
                </c:pt>
                <c:pt idx="1">
                  <c:v>Minería</c:v>
                </c:pt>
                <c:pt idx="2">
                  <c:v>Transporte</c:v>
                </c:pt>
                <c:pt idx="3">
                  <c:v>Residencial</c:v>
                </c:pt>
                <c:pt idx="4">
                  <c:v>Comercial</c:v>
                </c:pt>
                <c:pt idx="5">
                  <c:v>Público</c:v>
                </c:pt>
                <c:pt idx="6">
                  <c:v>Consumo Propio</c:v>
                </c:pt>
              </c:strCache>
            </c:strRef>
          </c:cat>
          <c:val>
            <c:numRef>
              <c:f>'-&gt; Demanda 171016'!$AM$5:$AM$11</c:f>
              <c:numCache>
                <c:formatCode>_-* #,##0_-;\-* #,##0_-;_-* "-"??_-;_-@_-</c:formatCode>
                <c:ptCount val="7"/>
                <c:pt idx="0">
                  <c:v>137569.69333436419</c:v>
                </c:pt>
                <c:pt idx="1">
                  <c:v>105407.95052811797</c:v>
                </c:pt>
                <c:pt idx="2">
                  <c:v>210306.08073318869</c:v>
                </c:pt>
                <c:pt idx="3">
                  <c:v>112024.22759398284</c:v>
                </c:pt>
                <c:pt idx="4">
                  <c:v>33373.462698101161</c:v>
                </c:pt>
                <c:pt idx="5">
                  <c:v>4975.4959707480612</c:v>
                </c:pt>
                <c:pt idx="6">
                  <c:v>19467.913979999998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746-4CA4-87BB-035D3CCD6AF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Escenario Optimista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'-&gt; Demanda 171016'!$B$12</c:f>
              <c:strCache>
                <c:ptCount val="1"/>
                <c:pt idx="0">
                  <c:v>Industria</c:v>
                </c:pt>
              </c:strCache>
            </c:strRef>
          </c:tx>
          <c:cat>
            <c:numRef>
              <c:f>'-&gt; Demanda 171016'!$C$4:$AM$4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'-&gt; Demanda 171016'!$C$12:$AM$12</c:f>
              <c:numCache>
                <c:formatCode>_-* #,##0_-;\-* #,##0_-;_-* "-"??_-;_-@_-</c:formatCode>
                <c:ptCount val="37"/>
                <c:pt idx="0">
                  <c:v>72669.29290755617</c:v>
                </c:pt>
                <c:pt idx="1">
                  <c:v>73151.615149116464</c:v>
                </c:pt>
                <c:pt idx="2">
                  <c:v>77827.088217080949</c:v>
                </c:pt>
                <c:pt idx="3">
                  <c:v>79090.259026134299</c:v>
                </c:pt>
                <c:pt idx="4">
                  <c:v>80652.177286871694</c:v>
                </c:pt>
                <c:pt idx="5">
                  <c:v>82160.477937540621</c:v>
                </c:pt>
                <c:pt idx="6">
                  <c:v>83916.024229330942</c:v>
                </c:pt>
                <c:pt idx="7">
                  <c:v>86338.76741703476</c:v>
                </c:pt>
                <c:pt idx="8">
                  <c:v>88732.515879097205</c:v>
                </c:pt>
                <c:pt idx="9">
                  <c:v>91000.011350224479</c:v>
                </c:pt>
                <c:pt idx="10">
                  <c:v>92933.238778533851</c:v>
                </c:pt>
                <c:pt idx="11">
                  <c:v>95073.247295908877</c:v>
                </c:pt>
                <c:pt idx="12">
                  <c:v>97171.92609300121</c:v>
                </c:pt>
                <c:pt idx="13">
                  <c:v>98873.067316136949</c:v>
                </c:pt>
                <c:pt idx="14">
                  <c:v>101020.91709337039</c:v>
                </c:pt>
                <c:pt idx="15">
                  <c:v>103251.18955438132</c:v>
                </c:pt>
                <c:pt idx="16">
                  <c:v>104657.95385731013</c:v>
                </c:pt>
                <c:pt idx="17">
                  <c:v>106991.73065313129</c:v>
                </c:pt>
                <c:pt idx="18">
                  <c:v>109044.17581075242</c:v>
                </c:pt>
                <c:pt idx="19">
                  <c:v>111096.07079490229</c:v>
                </c:pt>
                <c:pt idx="20">
                  <c:v>112682.83337791884</c:v>
                </c:pt>
                <c:pt idx="21">
                  <c:v>114889.26652095243</c:v>
                </c:pt>
                <c:pt idx="22">
                  <c:v>116785.51110318571</c:v>
                </c:pt>
                <c:pt idx="23">
                  <c:v>118901.57268542094</c:v>
                </c:pt>
                <c:pt idx="24">
                  <c:v>121296.58008916173</c:v>
                </c:pt>
                <c:pt idx="25">
                  <c:v>123512.16893956567</c:v>
                </c:pt>
                <c:pt idx="26">
                  <c:v>125638.60667319305</c:v>
                </c:pt>
                <c:pt idx="27">
                  <c:v>127400.05607528286</c:v>
                </c:pt>
                <c:pt idx="28">
                  <c:v>129725.33137051015</c:v>
                </c:pt>
                <c:pt idx="29">
                  <c:v>132138.34426941487</c:v>
                </c:pt>
                <c:pt idx="30">
                  <c:v>133901.38389928767</c:v>
                </c:pt>
                <c:pt idx="31">
                  <c:v>135829.14524424105</c:v>
                </c:pt>
                <c:pt idx="32">
                  <c:v>138487.51364199872</c:v>
                </c:pt>
                <c:pt idx="33">
                  <c:v>140002.02312275354</c:v>
                </c:pt>
                <c:pt idx="34">
                  <c:v>142296.12351299668</c:v>
                </c:pt>
                <c:pt idx="35">
                  <c:v>144454.80484536433</c:v>
                </c:pt>
                <c:pt idx="36">
                  <c:v>146393.76504266812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0D1-4B28-8AC0-1E5DA6702362}"/>
            </c:ext>
          </c:extLst>
        </c:ser>
        <c:ser>
          <c:idx val="1"/>
          <c:order val="1"/>
          <c:tx>
            <c:strRef>
              <c:f>'-&gt; Demanda 171016'!$B$13</c:f>
              <c:strCache>
                <c:ptCount val="1"/>
                <c:pt idx="0">
                  <c:v>Minería</c:v>
                </c:pt>
              </c:strCache>
            </c:strRef>
          </c:tx>
          <c:spPr>
            <a:ln w="25400">
              <a:noFill/>
            </a:ln>
          </c:spPr>
          <c:cat>
            <c:numRef>
              <c:f>'-&gt; Demanda 171016'!$C$4:$AM$4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'-&gt; Demanda 171016'!$C$13:$AM$13</c:f>
              <c:numCache>
                <c:formatCode>_-* #,##0_-;\-* #,##0_-;_-* "-"??_-;_-@_-</c:formatCode>
                <c:ptCount val="37"/>
                <c:pt idx="0">
                  <c:v>42659.623346950713</c:v>
                </c:pt>
                <c:pt idx="1">
                  <c:v>43652.772011419693</c:v>
                </c:pt>
                <c:pt idx="2">
                  <c:v>44118.284271734934</c:v>
                </c:pt>
                <c:pt idx="3">
                  <c:v>47809.021512653366</c:v>
                </c:pt>
                <c:pt idx="4">
                  <c:v>49635.807585638941</c:v>
                </c:pt>
                <c:pt idx="5">
                  <c:v>52205.678811389604</c:v>
                </c:pt>
                <c:pt idx="6">
                  <c:v>53838.948580380915</c:v>
                </c:pt>
                <c:pt idx="7">
                  <c:v>55400.945249562421</c:v>
                </c:pt>
                <c:pt idx="8">
                  <c:v>59778.192593480308</c:v>
                </c:pt>
                <c:pt idx="9">
                  <c:v>63281.296087621537</c:v>
                </c:pt>
                <c:pt idx="10">
                  <c:v>65270.783433242992</c:v>
                </c:pt>
                <c:pt idx="11">
                  <c:v>63835.178583558562</c:v>
                </c:pt>
                <c:pt idx="12">
                  <c:v>62514.727095468123</c:v>
                </c:pt>
                <c:pt idx="13">
                  <c:v>65168.379233253516</c:v>
                </c:pt>
                <c:pt idx="14">
                  <c:v>66829.627220767128</c:v>
                </c:pt>
                <c:pt idx="15">
                  <c:v>68486.380149056597</c:v>
                </c:pt>
                <c:pt idx="16">
                  <c:v>70196.917001805108</c:v>
                </c:pt>
                <c:pt idx="17">
                  <c:v>71939.230565760256</c:v>
                </c:pt>
                <c:pt idx="18">
                  <c:v>73752.011300507904</c:v>
                </c:pt>
                <c:pt idx="19">
                  <c:v>75590.760961068314</c:v>
                </c:pt>
                <c:pt idx="20">
                  <c:v>77438.272953835287</c:v>
                </c:pt>
                <c:pt idx="21">
                  <c:v>79296.336634240972</c:v>
                </c:pt>
                <c:pt idx="22">
                  <c:v>81164.315520525313</c:v>
                </c:pt>
                <c:pt idx="23">
                  <c:v>83044.672474819206</c:v>
                </c:pt>
                <c:pt idx="24">
                  <c:v>84932.604907766057</c:v>
                </c:pt>
                <c:pt idx="25">
                  <c:v>86822.273170811968</c:v>
                </c:pt>
                <c:pt idx="26">
                  <c:v>88713.046663803398</c:v>
                </c:pt>
                <c:pt idx="27">
                  <c:v>90915.309282405593</c:v>
                </c:pt>
                <c:pt idx="28">
                  <c:v>92507.62001850862</c:v>
                </c:pt>
                <c:pt idx="29">
                  <c:v>94100.540236684392</c:v>
                </c:pt>
                <c:pt idx="30">
                  <c:v>95751.079895921503</c:v>
                </c:pt>
                <c:pt idx="31">
                  <c:v>97830.547205537267</c:v>
                </c:pt>
                <c:pt idx="32">
                  <c:v>99810.170265065841</c:v>
                </c:pt>
                <c:pt idx="33">
                  <c:v>101187.36589954187</c:v>
                </c:pt>
                <c:pt idx="34">
                  <c:v>102608.33993214025</c:v>
                </c:pt>
                <c:pt idx="35">
                  <c:v>104045.87281464945</c:v>
                </c:pt>
                <c:pt idx="36">
                  <c:v>105407.95052811797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0D1-4B28-8AC0-1E5DA6702362}"/>
            </c:ext>
          </c:extLst>
        </c:ser>
        <c:ser>
          <c:idx val="2"/>
          <c:order val="2"/>
          <c:tx>
            <c:strRef>
              <c:f>'-&gt; Demanda 171016'!$B$14</c:f>
              <c:strCache>
                <c:ptCount val="1"/>
                <c:pt idx="0">
                  <c:v>Transporte</c:v>
                </c:pt>
              </c:strCache>
            </c:strRef>
          </c:tx>
          <c:spPr>
            <a:ln w="25400">
              <a:noFill/>
            </a:ln>
          </c:spPr>
          <c:cat>
            <c:numRef>
              <c:f>'-&gt; Demanda 171016'!$C$4:$AM$4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'-&gt; Demanda 171016'!$C$14:$AM$14</c:f>
              <c:numCache>
                <c:formatCode>_-* #,##0_-;\-* #,##0_-;_-* "-"??_-;_-@_-</c:formatCode>
                <c:ptCount val="37"/>
                <c:pt idx="0">
                  <c:v>80548.468168987427</c:v>
                </c:pt>
                <c:pt idx="1">
                  <c:v>81887.856238419539</c:v>
                </c:pt>
                <c:pt idx="2">
                  <c:v>82744.76978268227</c:v>
                </c:pt>
                <c:pt idx="3">
                  <c:v>84115.895664149954</c:v>
                </c:pt>
                <c:pt idx="4">
                  <c:v>85761.789231174713</c:v>
                </c:pt>
                <c:pt idx="5">
                  <c:v>87992.985219017311</c:v>
                </c:pt>
                <c:pt idx="6">
                  <c:v>90538.572117161631</c:v>
                </c:pt>
                <c:pt idx="7">
                  <c:v>93931.794592551218</c:v>
                </c:pt>
                <c:pt idx="8">
                  <c:v>98023.533818765485</c:v>
                </c:pt>
                <c:pt idx="9">
                  <c:v>102682.66042355773</c:v>
                </c:pt>
                <c:pt idx="10">
                  <c:v>107596.98926887476</c:v>
                </c:pt>
                <c:pt idx="11">
                  <c:v>112642.54194794482</c:v>
                </c:pt>
                <c:pt idx="12">
                  <c:v>117853.42144217438</c:v>
                </c:pt>
                <c:pt idx="13">
                  <c:v>123512.33328777018</c:v>
                </c:pt>
                <c:pt idx="14">
                  <c:v>129236.3797103666</c:v>
                </c:pt>
                <c:pt idx="15">
                  <c:v>134913.58738697832</c:v>
                </c:pt>
                <c:pt idx="16">
                  <c:v>140477.24712672021</c:v>
                </c:pt>
                <c:pt idx="17">
                  <c:v>145871.60529395012</c:v>
                </c:pt>
                <c:pt idx="18">
                  <c:v>150979.50770921601</c:v>
                </c:pt>
                <c:pt idx="19">
                  <c:v>155862.04384308739</c:v>
                </c:pt>
                <c:pt idx="20">
                  <c:v>160515.35068611527</c:v>
                </c:pt>
                <c:pt idx="21">
                  <c:v>165041.60357442347</c:v>
                </c:pt>
                <c:pt idx="22">
                  <c:v>169503.36700582324</c:v>
                </c:pt>
                <c:pt idx="23">
                  <c:v>173920.62454952943</c:v>
                </c:pt>
                <c:pt idx="24">
                  <c:v>178377.25253824957</c:v>
                </c:pt>
                <c:pt idx="25">
                  <c:v>182874.95124472803</c:v>
                </c:pt>
                <c:pt idx="26">
                  <c:v>187473.54743521335</c:v>
                </c:pt>
                <c:pt idx="27">
                  <c:v>192185.0666436748</c:v>
                </c:pt>
                <c:pt idx="28">
                  <c:v>196982.79263576743</c:v>
                </c:pt>
                <c:pt idx="29">
                  <c:v>201895.26019570336</c:v>
                </c:pt>
                <c:pt idx="30">
                  <c:v>206908.45754961821</c:v>
                </c:pt>
                <c:pt idx="31">
                  <c:v>212078.95434156395</c:v>
                </c:pt>
                <c:pt idx="32">
                  <c:v>217380.04298166611</c:v>
                </c:pt>
                <c:pt idx="33">
                  <c:v>222731.29128327532</c:v>
                </c:pt>
                <c:pt idx="34">
                  <c:v>228139.85063461782</c:v>
                </c:pt>
                <c:pt idx="35">
                  <c:v>233660.23235661752</c:v>
                </c:pt>
                <c:pt idx="36">
                  <c:v>239307.68184666848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0D1-4B28-8AC0-1E5DA6702362}"/>
            </c:ext>
          </c:extLst>
        </c:ser>
        <c:ser>
          <c:idx val="3"/>
          <c:order val="3"/>
          <c:tx>
            <c:strRef>
              <c:f>'-&gt; Demanda 171016'!$B$15</c:f>
              <c:strCache>
                <c:ptCount val="1"/>
                <c:pt idx="0">
                  <c:v>Residencial</c:v>
                </c:pt>
              </c:strCache>
            </c:strRef>
          </c:tx>
          <c:spPr>
            <a:ln w="25400">
              <a:noFill/>
            </a:ln>
          </c:spPr>
          <c:cat>
            <c:numRef>
              <c:f>'-&gt; Demanda 171016'!$C$4:$AM$4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'-&gt; Demanda 171016'!$C$15:$AM$15</c:f>
              <c:numCache>
                <c:formatCode>_-* #,##0_-;\-* #,##0_-;_-* "-"??_-;_-@_-</c:formatCode>
                <c:ptCount val="37"/>
                <c:pt idx="0">
                  <c:v>41923.416089365506</c:v>
                </c:pt>
                <c:pt idx="1">
                  <c:v>42591.07158002942</c:v>
                </c:pt>
                <c:pt idx="2">
                  <c:v>43352.027132522162</c:v>
                </c:pt>
                <c:pt idx="3">
                  <c:v>44227.805900068051</c:v>
                </c:pt>
                <c:pt idx="4">
                  <c:v>45244.308493903882</c:v>
                </c:pt>
                <c:pt idx="5">
                  <c:v>46411.737310346602</c:v>
                </c:pt>
                <c:pt idx="6">
                  <c:v>47792.069109666641</c:v>
                </c:pt>
                <c:pt idx="7">
                  <c:v>49270.041124407311</c:v>
                </c:pt>
                <c:pt idx="8">
                  <c:v>51003.221737114676</c:v>
                </c:pt>
                <c:pt idx="9">
                  <c:v>52872.956724308817</c:v>
                </c:pt>
                <c:pt idx="10">
                  <c:v>54796.677755427285</c:v>
                </c:pt>
                <c:pt idx="11">
                  <c:v>56758.956929479544</c:v>
                </c:pt>
                <c:pt idx="12">
                  <c:v>58704.605888536862</c:v>
                </c:pt>
                <c:pt idx="13">
                  <c:v>60532.121354948285</c:v>
                </c:pt>
                <c:pt idx="14">
                  <c:v>62448.504368265712</c:v>
                </c:pt>
                <c:pt idx="15">
                  <c:v>64405.841329559778</c:v>
                </c:pt>
                <c:pt idx="16">
                  <c:v>66404.394451779764</c:v>
                </c:pt>
                <c:pt idx="17">
                  <c:v>68303.371984868849</c:v>
                </c:pt>
                <c:pt idx="18">
                  <c:v>70234.922581809238</c:v>
                </c:pt>
                <c:pt idx="19">
                  <c:v>72431.520022539233</c:v>
                </c:pt>
                <c:pt idx="20">
                  <c:v>74728.206933352951</c:v>
                </c:pt>
                <c:pt idx="21">
                  <c:v>77078.05435560584</c:v>
                </c:pt>
                <c:pt idx="22">
                  <c:v>79525.383761487552</c:v>
                </c:pt>
                <c:pt idx="23">
                  <c:v>82062.876432563993</c:v>
                </c:pt>
                <c:pt idx="24">
                  <c:v>84681.639905682154</c:v>
                </c:pt>
                <c:pt idx="25">
                  <c:v>87508.71860314082</c:v>
                </c:pt>
                <c:pt idx="26">
                  <c:v>90605.128542560386</c:v>
                </c:pt>
                <c:pt idx="27">
                  <c:v>93929.260856666049</c:v>
                </c:pt>
                <c:pt idx="28">
                  <c:v>97596.419086120601</c:v>
                </c:pt>
                <c:pt idx="29">
                  <c:v>101886.44565097033</c:v>
                </c:pt>
                <c:pt idx="30">
                  <c:v>107340.10184775246</c:v>
                </c:pt>
                <c:pt idx="31">
                  <c:v>110496.3600394508</c:v>
                </c:pt>
                <c:pt idx="32">
                  <c:v>111157.8333835035</c:v>
                </c:pt>
                <c:pt idx="33">
                  <c:v>111749.95501324085</c:v>
                </c:pt>
                <c:pt idx="34">
                  <c:v>112324.60764106332</c:v>
                </c:pt>
                <c:pt idx="35">
                  <c:v>112884.58973996197</c:v>
                </c:pt>
                <c:pt idx="36">
                  <c:v>113434.113416188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0D1-4B28-8AC0-1E5DA6702362}"/>
            </c:ext>
          </c:extLst>
        </c:ser>
        <c:ser>
          <c:idx val="4"/>
          <c:order val="4"/>
          <c:tx>
            <c:strRef>
              <c:f>'-&gt; Demanda 171016'!$B$16</c:f>
              <c:strCache>
                <c:ptCount val="1"/>
                <c:pt idx="0">
                  <c:v>Comercial</c:v>
                </c:pt>
              </c:strCache>
            </c:strRef>
          </c:tx>
          <c:spPr>
            <a:ln w="25400">
              <a:noFill/>
            </a:ln>
          </c:spPr>
          <c:cat>
            <c:numRef>
              <c:f>'-&gt; Demanda 171016'!$C$4:$AM$4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'-&gt; Demanda 171016'!$C$16:$AM$16</c:f>
              <c:numCache>
                <c:formatCode>_-* #,##0_-;\-* #,##0_-;_-* "-"??_-;_-@_-</c:formatCode>
                <c:ptCount val="37"/>
                <c:pt idx="0">
                  <c:v>12816.77110064318</c:v>
                </c:pt>
                <c:pt idx="1">
                  <c:v>13733.466693809864</c:v>
                </c:pt>
                <c:pt idx="2">
                  <c:v>14044.699330276126</c:v>
                </c:pt>
                <c:pt idx="3">
                  <c:v>14412.456667710245</c:v>
                </c:pt>
                <c:pt idx="4">
                  <c:v>14853.206300384549</c:v>
                </c:pt>
                <c:pt idx="5">
                  <c:v>15371.752245946987</c:v>
                </c:pt>
                <c:pt idx="6">
                  <c:v>15974.006233547725</c:v>
                </c:pt>
                <c:pt idx="7">
                  <c:v>16667.043911573575</c:v>
                </c:pt>
                <c:pt idx="8">
                  <c:v>17463.045857991896</c:v>
                </c:pt>
                <c:pt idx="9">
                  <c:v>18246.4995135057</c:v>
                </c:pt>
                <c:pt idx="10">
                  <c:v>19015.929321441723</c:v>
                </c:pt>
                <c:pt idx="11">
                  <c:v>19771.002410973058</c:v>
                </c:pt>
                <c:pt idx="12">
                  <c:v>20512.623231233491</c:v>
                </c:pt>
                <c:pt idx="13">
                  <c:v>21241.764065956802</c:v>
                </c:pt>
                <c:pt idx="14">
                  <c:v>21960.301427199029</c:v>
                </c:pt>
                <c:pt idx="15">
                  <c:v>22670.153907046479</c:v>
                </c:pt>
                <c:pt idx="16">
                  <c:v>23373.339719769905</c:v>
                </c:pt>
                <c:pt idx="17">
                  <c:v>24072.036515867938</c:v>
                </c:pt>
                <c:pt idx="18">
                  <c:v>24768.747117084618</c:v>
                </c:pt>
                <c:pt idx="19">
                  <c:v>25465.181377001652</c:v>
                </c:pt>
                <c:pt idx="20">
                  <c:v>26163.60199908986</c:v>
                </c:pt>
                <c:pt idx="21">
                  <c:v>26866.134383874407</c:v>
                </c:pt>
                <c:pt idx="22">
                  <c:v>27574.024381124567</c:v>
                </c:pt>
                <c:pt idx="23">
                  <c:v>28289.072401752273</c:v>
                </c:pt>
                <c:pt idx="24">
                  <c:v>29012.038045300164</c:v>
                </c:pt>
                <c:pt idx="25">
                  <c:v>29743.728886571818</c:v>
                </c:pt>
                <c:pt idx="26">
                  <c:v>30484.160822202637</c:v>
                </c:pt>
                <c:pt idx="27">
                  <c:v>31233.507066459511</c:v>
                </c:pt>
                <c:pt idx="28">
                  <c:v>31992.166659656756</c:v>
                </c:pt>
                <c:pt idx="29">
                  <c:v>32759.240488456657</c:v>
                </c:pt>
                <c:pt idx="30">
                  <c:v>33534.848631129054</c:v>
                </c:pt>
                <c:pt idx="31">
                  <c:v>33534.848631129054</c:v>
                </c:pt>
                <c:pt idx="32">
                  <c:v>33534.848631129054</c:v>
                </c:pt>
                <c:pt idx="33">
                  <c:v>33534.848631129054</c:v>
                </c:pt>
                <c:pt idx="34">
                  <c:v>33534.848631129054</c:v>
                </c:pt>
                <c:pt idx="35">
                  <c:v>33534.848631129054</c:v>
                </c:pt>
                <c:pt idx="36">
                  <c:v>33534.848631129054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0D1-4B28-8AC0-1E5DA6702362}"/>
            </c:ext>
          </c:extLst>
        </c:ser>
        <c:ser>
          <c:idx val="5"/>
          <c:order val="5"/>
          <c:tx>
            <c:strRef>
              <c:f>'-&gt; Demanda 171016'!$B$17</c:f>
              <c:strCache>
                <c:ptCount val="1"/>
                <c:pt idx="0">
                  <c:v>Público</c:v>
                </c:pt>
              </c:strCache>
            </c:strRef>
          </c:tx>
          <c:spPr>
            <a:ln w="25400">
              <a:noFill/>
            </a:ln>
          </c:spPr>
          <c:cat>
            <c:numRef>
              <c:f>'-&gt; Demanda 171016'!$C$4:$AM$4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'-&gt; Demanda 171016'!$C$17:$AM$17</c:f>
              <c:numCache>
                <c:formatCode>_-* #,##0_-;\-* #,##0_-;_-* "-"??_-;_-@_-</c:formatCode>
                <c:ptCount val="37"/>
                <c:pt idx="0">
                  <c:v>3544.0663348495323</c:v>
                </c:pt>
                <c:pt idx="1">
                  <c:v>3463.0568089939902</c:v>
                </c:pt>
                <c:pt idx="2">
                  <c:v>3461.8077529664724</c:v>
                </c:pt>
                <c:pt idx="3">
                  <c:v>3484.4271134221913</c:v>
                </c:pt>
                <c:pt idx="4">
                  <c:v>3518.9467538951062</c:v>
                </c:pt>
                <c:pt idx="5">
                  <c:v>3561.6039468443732</c:v>
                </c:pt>
                <c:pt idx="6">
                  <c:v>3611.4105248839242</c:v>
                </c:pt>
                <c:pt idx="7">
                  <c:v>3668.179846079106</c:v>
                </c:pt>
                <c:pt idx="8">
                  <c:v>3732.2956968443664</c:v>
                </c:pt>
                <c:pt idx="9">
                  <c:v>3797.1584325709377</c:v>
                </c:pt>
                <c:pt idx="10">
                  <c:v>3860.6063985124724</c:v>
                </c:pt>
                <c:pt idx="11">
                  <c:v>3922.0770483834967</c:v>
                </c:pt>
                <c:pt idx="12">
                  <c:v>3981.4404747205494</c:v>
                </c:pt>
                <c:pt idx="13">
                  <c:v>4038.8127173946687</c:v>
                </c:pt>
                <c:pt idx="14">
                  <c:v>4094.3784144454057</c:v>
                </c:pt>
                <c:pt idx="15">
                  <c:v>4148.3433548323328</c:v>
                </c:pt>
                <c:pt idx="16">
                  <c:v>4200.9223554256259</c:v>
                </c:pt>
                <c:pt idx="17">
                  <c:v>4252.3285260189168</c:v>
                </c:pt>
                <c:pt idx="18">
                  <c:v>4302.768244196046</c:v>
                </c:pt>
                <c:pt idx="19">
                  <c:v>4352.4327751246738</c:v>
                </c:pt>
                <c:pt idx="20">
                  <c:v>4401.5002097678425</c:v>
                </c:pt>
                <c:pt idx="21">
                  <c:v>4450.1266713585528</c:v>
                </c:pt>
                <c:pt idx="22">
                  <c:v>4498.4493825451318</c:v>
                </c:pt>
                <c:pt idx="23">
                  <c:v>4546.5827313155578</c:v>
                </c:pt>
                <c:pt idx="24">
                  <c:v>4594.6139253310312</c:v>
                </c:pt>
                <c:pt idx="25">
                  <c:v>4642.5978531384362</c:v>
                </c:pt>
                <c:pt idx="26">
                  <c:v>4690.5593922441894</c:v>
                </c:pt>
                <c:pt idx="27">
                  <c:v>4738.5064565176235</c:v>
                </c:pt>
                <c:pt idx="28">
                  <c:v>4786.4466889079886</c:v>
                </c:pt>
                <c:pt idx="29">
                  <c:v>4834.3782235167691</c:v>
                </c:pt>
                <c:pt idx="30">
                  <c:v>4882.2810519174545</c:v>
                </c:pt>
                <c:pt idx="31">
                  <c:v>4930.1185704471136</c:v>
                </c:pt>
                <c:pt idx="32">
                  <c:v>4977.8449553912242</c:v>
                </c:pt>
                <c:pt idx="33">
                  <c:v>5025.4213828804805</c:v>
                </c:pt>
                <c:pt idx="34">
                  <c:v>5072.8083931212368</c:v>
                </c:pt>
                <c:pt idx="35">
                  <c:v>5119.9688250644831</c:v>
                </c:pt>
                <c:pt idx="36">
                  <c:v>5172.9078242648275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50D1-4B28-8AC0-1E5DA6702362}"/>
            </c:ext>
          </c:extLst>
        </c:ser>
        <c:ser>
          <c:idx val="6"/>
          <c:order val="6"/>
          <c:tx>
            <c:strRef>
              <c:f>'-&gt; Demanda 171016'!$B$18</c:f>
              <c:strCache>
                <c:ptCount val="1"/>
                <c:pt idx="0">
                  <c:v>Consumo Propio</c:v>
                </c:pt>
              </c:strCache>
            </c:strRef>
          </c:tx>
          <c:spPr>
            <a:ln w="25400">
              <a:noFill/>
            </a:ln>
          </c:spPr>
          <c:cat>
            <c:numRef>
              <c:f>'-&gt; Demanda 171016'!$C$4:$AM$4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'-&gt; Demanda 171016'!$C$18:$AM$18</c:f>
              <c:numCache>
                <c:formatCode>_-* #,##0_-;\-* #,##0_-;_-* "-"??_-;_-@_-</c:formatCode>
                <c:ptCount val="37"/>
                <c:pt idx="0">
                  <c:v>15932.552399999997</c:v>
                </c:pt>
                <c:pt idx="1">
                  <c:v>15917.973129999997</c:v>
                </c:pt>
                <c:pt idx="2">
                  <c:v>16203.201339999989</c:v>
                </c:pt>
                <c:pt idx="3">
                  <c:v>16717.472999999991</c:v>
                </c:pt>
                <c:pt idx="4">
                  <c:v>16777.120519999997</c:v>
                </c:pt>
                <c:pt idx="5">
                  <c:v>16837.960980000003</c:v>
                </c:pt>
                <c:pt idx="6">
                  <c:v>16900.018279999993</c:v>
                </c:pt>
                <c:pt idx="7">
                  <c:v>16963.316699999988</c:v>
                </c:pt>
                <c:pt idx="8">
                  <c:v>17027.881119999991</c:v>
                </c:pt>
                <c:pt idx="9">
                  <c:v>17093.736769999992</c:v>
                </c:pt>
                <c:pt idx="10">
                  <c:v>17160.909589999992</c:v>
                </c:pt>
                <c:pt idx="11">
                  <c:v>17229.425859999996</c:v>
                </c:pt>
                <c:pt idx="12">
                  <c:v>17299.312419999995</c:v>
                </c:pt>
                <c:pt idx="13">
                  <c:v>17370.59673999999</c:v>
                </c:pt>
                <c:pt idx="14">
                  <c:v>17443.30675</c:v>
                </c:pt>
                <c:pt idx="15">
                  <c:v>17517.470939999999</c:v>
                </c:pt>
                <c:pt idx="16">
                  <c:v>17593.118439999991</c:v>
                </c:pt>
                <c:pt idx="17">
                  <c:v>17670.278849999999</c:v>
                </c:pt>
                <c:pt idx="18">
                  <c:v>17748.982479999995</c:v>
                </c:pt>
                <c:pt idx="19">
                  <c:v>17829.260209999997</c:v>
                </c:pt>
                <c:pt idx="20">
                  <c:v>17911.143469999995</c:v>
                </c:pt>
                <c:pt idx="21">
                  <c:v>17994.664379999991</c:v>
                </c:pt>
                <c:pt idx="22">
                  <c:v>18079.855759999995</c:v>
                </c:pt>
                <c:pt idx="23">
                  <c:v>18166.750939999994</c:v>
                </c:pt>
                <c:pt idx="24">
                  <c:v>18255.384029999997</c:v>
                </c:pt>
                <c:pt idx="25">
                  <c:v>18345.789789999995</c:v>
                </c:pt>
                <c:pt idx="26">
                  <c:v>18438.003619999992</c:v>
                </c:pt>
                <c:pt idx="27">
                  <c:v>18532.061760000001</c:v>
                </c:pt>
                <c:pt idx="28">
                  <c:v>18628.001049999999</c:v>
                </c:pt>
                <c:pt idx="29">
                  <c:v>18725.859139999993</c:v>
                </c:pt>
                <c:pt idx="30">
                  <c:v>18825.674399999993</c:v>
                </c:pt>
                <c:pt idx="31">
                  <c:v>18927.485939999991</c:v>
                </c:pt>
                <c:pt idx="32">
                  <c:v>19031.333739999995</c:v>
                </c:pt>
                <c:pt idx="33">
                  <c:v>19137.258469999993</c:v>
                </c:pt>
                <c:pt idx="34">
                  <c:v>19245.301689999993</c:v>
                </c:pt>
                <c:pt idx="35">
                  <c:v>19355.505769999996</c:v>
                </c:pt>
                <c:pt idx="36">
                  <c:v>19467.913979999998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50D1-4B28-8AC0-1E5DA67023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819520"/>
        <c:axId val="175140800"/>
      </c:areaChart>
      <c:catAx>
        <c:axId val="203819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5140800"/>
        <c:crosses val="autoZero"/>
        <c:auto val="1"/>
        <c:lblAlgn val="ctr"/>
        <c:lblOffset val="100"/>
        <c:noMultiLvlLbl val="0"/>
      </c:catAx>
      <c:valAx>
        <c:axId val="1751408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Tcal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203819520"/>
        <c:crosses val="autoZero"/>
        <c:crossBetween val="midCat"/>
      </c:valAx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'-&gt; Demanda 171016'!$C$4</c:f>
              <c:strCache>
                <c:ptCount val="1"/>
                <c:pt idx="0">
                  <c:v>2014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'-&gt; Demanda 171016'!$B$12:$B$18</c:f>
              <c:strCache>
                <c:ptCount val="7"/>
                <c:pt idx="0">
                  <c:v>Industria</c:v>
                </c:pt>
                <c:pt idx="1">
                  <c:v>Minería</c:v>
                </c:pt>
                <c:pt idx="2">
                  <c:v>Transporte</c:v>
                </c:pt>
                <c:pt idx="3">
                  <c:v>Residencial</c:v>
                </c:pt>
                <c:pt idx="4">
                  <c:v>Comercial</c:v>
                </c:pt>
                <c:pt idx="5">
                  <c:v>Público</c:v>
                </c:pt>
                <c:pt idx="6">
                  <c:v>Consumo Propio</c:v>
                </c:pt>
              </c:strCache>
            </c:strRef>
          </c:cat>
          <c:val>
            <c:numRef>
              <c:f>'-&gt; Demanda 171016'!$C$12:$C$18</c:f>
              <c:numCache>
                <c:formatCode>_-* #,##0_-;\-* #,##0_-;_-* "-"??_-;_-@_-</c:formatCode>
                <c:ptCount val="7"/>
                <c:pt idx="0">
                  <c:v>72669.29290755617</c:v>
                </c:pt>
                <c:pt idx="1">
                  <c:v>42659.623346950713</c:v>
                </c:pt>
                <c:pt idx="2">
                  <c:v>80548.468168987427</c:v>
                </c:pt>
                <c:pt idx="3">
                  <c:v>41923.416089365506</c:v>
                </c:pt>
                <c:pt idx="4">
                  <c:v>12816.77110064318</c:v>
                </c:pt>
                <c:pt idx="5">
                  <c:v>3544.0663348495323</c:v>
                </c:pt>
                <c:pt idx="6">
                  <c:v>15932.552399999997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4BB-44CD-A22E-696B16F8937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'-&gt; Demanda 171016'!$AM$4</c:f>
              <c:strCache>
                <c:ptCount val="1"/>
                <c:pt idx="0">
                  <c:v>2050</c:v>
                </c:pt>
              </c:strCache>
            </c:strRef>
          </c:tx>
          <c:dLbls>
            <c:dLbl>
              <c:idx val="6"/>
              <c:layout>
                <c:manualLayout>
                  <c:x val="0.23331127776246025"/>
                  <c:y val="2.96935851584987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0-84BB-44BA-90A2-87031E6E5751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'-&gt; Demanda 171016'!$B$12:$B$18</c:f>
              <c:strCache>
                <c:ptCount val="7"/>
                <c:pt idx="0">
                  <c:v>Industria</c:v>
                </c:pt>
                <c:pt idx="1">
                  <c:v>Minería</c:v>
                </c:pt>
                <c:pt idx="2">
                  <c:v>Transporte</c:v>
                </c:pt>
                <c:pt idx="3">
                  <c:v>Residencial</c:v>
                </c:pt>
                <c:pt idx="4">
                  <c:v>Comercial</c:v>
                </c:pt>
                <c:pt idx="5">
                  <c:v>Público</c:v>
                </c:pt>
                <c:pt idx="6">
                  <c:v>Consumo Propio</c:v>
                </c:pt>
              </c:strCache>
            </c:strRef>
          </c:cat>
          <c:val>
            <c:numRef>
              <c:f>'-&gt; Demanda 171016'!$AM$12:$AM$18</c:f>
              <c:numCache>
                <c:formatCode>_-* #,##0_-;\-* #,##0_-;_-* "-"??_-;_-@_-</c:formatCode>
                <c:ptCount val="7"/>
                <c:pt idx="0">
                  <c:v>146393.76504266812</c:v>
                </c:pt>
                <c:pt idx="1">
                  <c:v>105407.95052811797</c:v>
                </c:pt>
                <c:pt idx="2">
                  <c:v>239307.68184666848</c:v>
                </c:pt>
                <c:pt idx="3">
                  <c:v>113434.113416188</c:v>
                </c:pt>
                <c:pt idx="4">
                  <c:v>33534.848631129054</c:v>
                </c:pt>
                <c:pt idx="5">
                  <c:v>5172.9078242648275</c:v>
                </c:pt>
                <c:pt idx="6">
                  <c:v>19467.913979999998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4BB-44BA-90A2-87031E6E575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225112263859388E-2"/>
          <c:y val="3.9549844274868358E-2"/>
          <c:w val="0.89144536769187321"/>
          <c:h val="0.78053165810913172"/>
        </c:manualLayout>
      </c:layout>
      <c:areaChart>
        <c:grouping val="stacked"/>
        <c:varyColors val="0"/>
        <c:ser>
          <c:idx val="0"/>
          <c:order val="0"/>
          <c:tx>
            <c:strRef>
              <c:f>Residuos!$C$279</c:f>
              <c:strCache>
                <c:ptCount val="1"/>
                <c:pt idx="0">
                  <c:v>Resiudos Sólidos Municipales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Residuos!$G$278:$AQ$278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Residuos!$G$279:$AQ$279</c:f>
              <c:numCache>
                <c:formatCode>#,##0.00_);\(#,##0.00\);"-"_);@</c:formatCode>
                <c:ptCount val="37"/>
                <c:pt idx="0">
                  <c:v>2.4214685535564517</c:v>
                </c:pt>
                <c:pt idx="1">
                  <c:v>2.5577334803439324</c:v>
                </c:pt>
                <c:pt idx="2">
                  <c:v>2.6888013223401708</c:v>
                </c:pt>
                <c:pt idx="3">
                  <c:v>2.8165832723260267</c:v>
                </c:pt>
                <c:pt idx="4">
                  <c:v>2.9413511821312679</c:v>
                </c:pt>
                <c:pt idx="5">
                  <c:v>3.0633566952216276</c:v>
                </c:pt>
                <c:pt idx="6">
                  <c:v>3.1525235532624429</c:v>
                </c:pt>
                <c:pt idx="7">
                  <c:v>3.2696870522817529</c:v>
                </c:pt>
                <c:pt idx="8">
                  <c:v>3.388150650543226</c:v>
                </c:pt>
                <c:pt idx="9">
                  <c:v>3.5079672219759734</c:v>
                </c:pt>
                <c:pt idx="10">
                  <c:v>3.6291882261367352</c:v>
                </c:pt>
                <c:pt idx="11">
                  <c:v>3.7306470365486812</c:v>
                </c:pt>
                <c:pt idx="12">
                  <c:v>3.8548259210902622</c:v>
                </c:pt>
                <c:pt idx="13">
                  <c:v>3.9764148626079541</c:v>
                </c:pt>
                <c:pt idx="14">
                  <c:v>4.0956286869630167</c:v>
                </c:pt>
                <c:pt idx="15">
                  <c:v>4.2126664942869301</c:v>
                </c:pt>
                <c:pt idx="16">
                  <c:v>4.3277129554823119</c:v>
                </c:pt>
                <c:pt idx="17">
                  <c:v>4.4409394686708135</c:v>
                </c:pt>
                <c:pt idx="18">
                  <c:v>4.5551097379356431</c:v>
                </c:pt>
                <c:pt idx="19">
                  <c:v>4.670259389856624</c:v>
                </c:pt>
                <c:pt idx="20">
                  <c:v>4.7864228183549438</c:v>
                </c:pt>
                <c:pt idx="21">
                  <c:v>4.9036333977425981</c:v>
                </c:pt>
                <c:pt idx="22">
                  <c:v>5.0219234355501126</c:v>
                </c:pt>
                <c:pt idx="23">
                  <c:v>5.1380833074587686</c:v>
                </c:pt>
                <c:pt idx="24">
                  <c:v>5.2522805734878091</c:v>
                </c:pt>
                <c:pt idx="25">
                  <c:v>5.3646706806459479</c:v>
                </c:pt>
                <c:pt idx="26">
                  <c:v>5.4753979396998824</c:v>
                </c:pt>
                <c:pt idx="27">
                  <c:v>5.584596271124699</c:v>
                </c:pt>
                <c:pt idx="28">
                  <c:v>5.6950780317362284</c:v>
                </c:pt>
                <c:pt idx="29">
                  <c:v>5.8068508201237954</c:v>
                </c:pt>
                <c:pt idx="30">
                  <c:v>5.9199225184835491</c:v>
                </c:pt>
                <c:pt idx="31">
                  <c:v>6.0343011547872427</c:v>
                </c:pt>
                <c:pt idx="32">
                  <c:v>6.1499949562075162</c:v>
                </c:pt>
                <c:pt idx="33">
                  <c:v>6.2635740274944887</c:v>
                </c:pt>
                <c:pt idx="34">
                  <c:v>6.3751610951593607</c:v>
                </c:pt>
                <c:pt idx="35">
                  <c:v>6.4848706055431782</c:v>
                </c:pt>
                <c:pt idx="36">
                  <c:v>6.5928094058210007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852-4A41-92E3-49B095657135}"/>
            </c:ext>
          </c:extLst>
        </c:ser>
        <c:ser>
          <c:idx val="1"/>
          <c:order val="1"/>
          <c:tx>
            <c:strRef>
              <c:f>Residuos!$C$280</c:f>
              <c:strCache>
                <c:ptCount val="1"/>
                <c:pt idx="0">
                  <c:v>Residuos Líquidos Domiciliarios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Residuos!$G$278:$AQ$278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Residuos!$G$280:$AQ$280</c:f>
              <c:numCache>
                <c:formatCode>#,##0.00_);\(#,##0.00\);"-"_);@</c:formatCode>
                <c:ptCount val="37"/>
                <c:pt idx="0">
                  <c:v>4.1775385042491846E-4</c:v>
                </c:pt>
                <c:pt idx="1">
                  <c:v>4.1775385042491846E-4</c:v>
                </c:pt>
                <c:pt idx="2">
                  <c:v>4.2108119422855616E-4</c:v>
                </c:pt>
                <c:pt idx="3">
                  <c:v>4.2440853803219386E-4</c:v>
                </c:pt>
                <c:pt idx="4">
                  <c:v>4.2773588183583157E-4</c:v>
                </c:pt>
                <c:pt idx="5">
                  <c:v>4.3106322563946922E-4</c:v>
                </c:pt>
                <c:pt idx="6">
                  <c:v>4.3439056944310692E-4</c:v>
                </c:pt>
                <c:pt idx="7">
                  <c:v>4.3684584026343066E-4</c:v>
                </c:pt>
                <c:pt idx="8">
                  <c:v>4.3930111108375441E-4</c:v>
                </c:pt>
                <c:pt idx="9">
                  <c:v>4.417563819040782E-4</c:v>
                </c:pt>
                <c:pt idx="10">
                  <c:v>4.44211652724402E-4</c:v>
                </c:pt>
                <c:pt idx="11">
                  <c:v>4.4666692354472574E-4</c:v>
                </c:pt>
                <c:pt idx="12">
                  <c:v>4.4878183742955705E-4</c:v>
                </c:pt>
                <c:pt idx="13">
                  <c:v>4.5089675131438842E-4</c:v>
                </c:pt>
                <c:pt idx="14">
                  <c:v>4.5301166519921973E-4</c:v>
                </c:pt>
                <c:pt idx="15">
                  <c:v>4.5512657908405104E-4</c:v>
                </c:pt>
                <c:pt idx="16">
                  <c:v>4.572414929688824E-4</c:v>
                </c:pt>
                <c:pt idx="17">
                  <c:v>4.5874479449640348E-4</c:v>
                </c:pt>
                <c:pt idx="18">
                  <c:v>4.6024809602392461E-4</c:v>
                </c:pt>
                <c:pt idx="19">
                  <c:v>4.6175139755144569E-4</c:v>
                </c:pt>
                <c:pt idx="20">
                  <c:v>4.6325469907896677E-4</c:v>
                </c:pt>
                <c:pt idx="21">
                  <c:v>4.6475800060648791E-4</c:v>
                </c:pt>
                <c:pt idx="22">
                  <c:v>4.6568181995556619E-4</c:v>
                </c:pt>
                <c:pt idx="23">
                  <c:v>4.6660563930464447E-4</c:v>
                </c:pt>
                <c:pt idx="24">
                  <c:v>4.6752945865372275E-4</c:v>
                </c:pt>
                <c:pt idx="25">
                  <c:v>4.6845327800280098E-4</c:v>
                </c:pt>
                <c:pt idx="26">
                  <c:v>4.6937709735187926E-4</c:v>
                </c:pt>
                <c:pt idx="27">
                  <c:v>4.6974944048381543E-4</c:v>
                </c:pt>
                <c:pt idx="28">
                  <c:v>4.701217836157516E-4</c:v>
                </c:pt>
                <c:pt idx="29">
                  <c:v>4.7049412674768777E-4</c:v>
                </c:pt>
                <c:pt idx="30">
                  <c:v>4.7086646987962394E-4</c:v>
                </c:pt>
                <c:pt idx="31">
                  <c:v>4.7123881301156011E-4</c:v>
                </c:pt>
                <c:pt idx="32">
                  <c:v>4.7128547699740669E-4</c:v>
                </c:pt>
                <c:pt idx="33">
                  <c:v>4.7133214098325326E-4</c:v>
                </c:pt>
                <c:pt idx="34">
                  <c:v>4.7137880496909989E-4</c:v>
                </c:pt>
                <c:pt idx="35">
                  <c:v>4.7142546895494652E-4</c:v>
                </c:pt>
                <c:pt idx="36">
                  <c:v>4.714721329407931E-4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852-4A41-92E3-49B095657135}"/>
            </c:ext>
          </c:extLst>
        </c:ser>
        <c:ser>
          <c:idx val="2"/>
          <c:order val="2"/>
          <c:tx>
            <c:strRef>
              <c:f>Residuos!$C$281</c:f>
              <c:strCache>
                <c:ptCount val="1"/>
                <c:pt idx="0">
                  <c:v>Residuos Líquidos Industriales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Residuos!$G$278:$AQ$278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Residuos!$G$281:$AQ$281</c:f>
              <c:numCache>
                <c:formatCode>#,##0.00_);\(#,##0.00\);"-"_);@</c:formatCode>
                <c:ptCount val="37"/>
                <c:pt idx="0">
                  <c:v>0.50423767307517664</c:v>
                </c:pt>
                <c:pt idx="1">
                  <c:v>0.50423767307517664</c:v>
                </c:pt>
                <c:pt idx="2">
                  <c:v>0.52267380254818341</c:v>
                </c:pt>
                <c:pt idx="3">
                  <c:v>0.54110993202119007</c:v>
                </c:pt>
                <c:pt idx="4">
                  <c:v>0.55954606149419683</c:v>
                </c:pt>
                <c:pt idx="5">
                  <c:v>0.5779821909672036</c:v>
                </c:pt>
                <c:pt idx="6">
                  <c:v>0.59641832044021026</c:v>
                </c:pt>
                <c:pt idx="7">
                  <c:v>0.61485444991321703</c:v>
                </c:pt>
                <c:pt idx="8">
                  <c:v>0.6332905793862238</c:v>
                </c:pt>
                <c:pt idx="9">
                  <c:v>0.65172670885923056</c:v>
                </c:pt>
                <c:pt idx="10">
                  <c:v>0.67016283833223733</c:v>
                </c:pt>
                <c:pt idx="11">
                  <c:v>0.68859896780524399</c:v>
                </c:pt>
                <c:pt idx="12">
                  <c:v>0.70703509727825076</c:v>
                </c:pt>
                <c:pt idx="13">
                  <c:v>0.72547122675125753</c:v>
                </c:pt>
                <c:pt idx="14">
                  <c:v>0.74390735622426418</c:v>
                </c:pt>
                <c:pt idx="15">
                  <c:v>0.76234348569727084</c:v>
                </c:pt>
                <c:pt idx="16">
                  <c:v>0.78077961517027761</c:v>
                </c:pt>
                <c:pt idx="17">
                  <c:v>0.79921574464328438</c:v>
                </c:pt>
                <c:pt idx="18">
                  <c:v>0.81765187411629114</c:v>
                </c:pt>
                <c:pt idx="19">
                  <c:v>0.83608800358929791</c:v>
                </c:pt>
                <c:pt idx="20">
                  <c:v>0.85452413306230457</c:v>
                </c:pt>
                <c:pt idx="21">
                  <c:v>0.87296026253531134</c:v>
                </c:pt>
                <c:pt idx="22">
                  <c:v>0.89139639200831811</c:v>
                </c:pt>
                <c:pt idx="23">
                  <c:v>0.90983252148132487</c:v>
                </c:pt>
                <c:pt idx="24">
                  <c:v>0.92826865095433164</c:v>
                </c:pt>
                <c:pt idx="25">
                  <c:v>0.9467047804273383</c:v>
                </c:pt>
                <c:pt idx="26">
                  <c:v>0.96514090990034507</c:v>
                </c:pt>
                <c:pt idx="27">
                  <c:v>0.98357703937335184</c:v>
                </c:pt>
                <c:pt idx="28">
                  <c:v>1.0020131688463585</c:v>
                </c:pt>
                <c:pt idx="29">
                  <c:v>1.0204492983193652</c:v>
                </c:pt>
                <c:pt idx="30">
                  <c:v>1.0388854277923718</c:v>
                </c:pt>
                <c:pt idx="31">
                  <c:v>1.0573215572653787</c:v>
                </c:pt>
                <c:pt idx="32">
                  <c:v>1.0757576867383853</c:v>
                </c:pt>
                <c:pt idx="33">
                  <c:v>1.094193816211392</c:v>
                </c:pt>
                <c:pt idx="34">
                  <c:v>1.1126299456843989</c:v>
                </c:pt>
                <c:pt idx="35">
                  <c:v>1.1310660751574058</c:v>
                </c:pt>
                <c:pt idx="36">
                  <c:v>1.1495022046304124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852-4A41-92E3-49B095657135}"/>
            </c:ext>
          </c:extLst>
        </c:ser>
        <c:ser>
          <c:idx val="3"/>
          <c:order val="3"/>
          <c:tx>
            <c:strRef>
              <c:f>Residuos!$C$282</c:f>
              <c:strCache>
                <c:ptCount val="1"/>
                <c:pt idx="0">
                  <c:v>Incineración de Residuos Hospitarios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Residuos!$G$278:$AQ$278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Residuos!$G$282:$AQ$282</c:f>
              <c:numCache>
                <c:formatCode>#,##0.00_);\(#,##0.00\);"-"_);@</c:formatCode>
                <c:ptCount val="37"/>
                <c:pt idx="0">
                  <c:v>1.5553645676709566E-2</c:v>
                </c:pt>
                <c:pt idx="1">
                  <c:v>1.5553645676709566E-2</c:v>
                </c:pt>
                <c:pt idx="2">
                  <c:v>1.5554580110435881E-2</c:v>
                </c:pt>
                <c:pt idx="3">
                  <c:v>1.5555514544162196E-2</c:v>
                </c:pt>
                <c:pt idx="4">
                  <c:v>1.555644897788851E-2</c:v>
                </c:pt>
                <c:pt idx="5">
                  <c:v>1.5557383411614827E-2</c:v>
                </c:pt>
                <c:pt idx="6">
                  <c:v>1.5558317845341141E-2</c:v>
                </c:pt>
                <c:pt idx="7">
                  <c:v>1.5559252279067456E-2</c:v>
                </c:pt>
                <c:pt idx="8">
                  <c:v>1.556018671279377E-2</c:v>
                </c:pt>
                <c:pt idx="9">
                  <c:v>1.5561121146520085E-2</c:v>
                </c:pt>
                <c:pt idx="10">
                  <c:v>1.55620555802464E-2</c:v>
                </c:pt>
                <c:pt idx="11">
                  <c:v>1.5562990013972714E-2</c:v>
                </c:pt>
                <c:pt idx="12">
                  <c:v>1.5563924447699027E-2</c:v>
                </c:pt>
                <c:pt idx="13">
                  <c:v>1.556485888142534E-2</c:v>
                </c:pt>
                <c:pt idx="14">
                  <c:v>1.5565793315151654E-2</c:v>
                </c:pt>
                <c:pt idx="15">
                  <c:v>1.5566727748877969E-2</c:v>
                </c:pt>
                <c:pt idx="16">
                  <c:v>1.5567662182604282E-2</c:v>
                </c:pt>
                <c:pt idx="17">
                  <c:v>1.5568596616330598E-2</c:v>
                </c:pt>
                <c:pt idx="18">
                  <c:v>1.5569531050056915E-2</c:v>
                </c:pt>
                <c:pt idx="19">
                  <c:v>1.5570465483783231E-2</c:v>
                </c:pt>
                <c:pt idx="20">
                  <c:v>1.5571399917509547E-2</c:v>
                </c:pt>
                <c:pt idx="21">
                  <c:v>1.5572334351235863E-2</c:v>
                </c:pt>
                <c:pt idx="22">
                  <c:v>1.5573268784962178E-2</c:v>
                </c:pt>
                <c:pt idx="23">
                  <c:v>1.5574203218688493E-2</c:v>
                </c:pt>
                <c:pt idx="24">
                  <c:v>1.5575137652414806E-2</c:v>
                </c:pt>
                <c:pt idx="25">
                  <c:v>1.5576072086141118E-2</c:v>
                </c:pt>
                <c:pt idx="26">
                  <c:v>1.5577006519867433E-2</c:v>
                </c:pt>
                <c:pt idx="27">
                  <c:v>1.5577940953593748E-2</c:v>
                </c:pt>
                <c:pt idx="28">
                  <c:v>1.5578875387320064E-2</c:v>
                </c:pt>
                <c:pt idx="29">
                  <c:v>1.5579809821046378E-2</c:v>
                </c:pt>
                <c:pt idx="30">
                  <c:v>1.5580744254772693E-2</c:v>
                </c:pt>
                <c:pt idx="31">
                  <c:v>1.5581678688499009E-2</c:v>
                </c:pt>
                <c:pt idx="32">
                  <c:v>1.5582613122225324E-2</c:v>
                </c:pt>
                <c:pt idx="33">
                  <c:v>1.5583547555951639E-2</c:v>
                </c:pt>
                <c:pt idx="34">
                  <c:v>1.5584481989677951E-2</c:v>
                </c:pt>
                <c:pt idx="35">
                  <c:v>1.5585416423404264E-2</c:v>
                </c:pt>
                <c:pt idx="36">
                  <c:v>1.5586350857130579E-2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B852-4A41-92E3-49B095657135}"/>
            </c:ext>
          </c:extLst>
        </c:ser>
        <c:ser>
          <c:idx val="4"/>
          <c:order val="4"/>
          <c:tx>
            <c:strRef>
              <c:f>Residuos!$C$283</c:f>
              <c:strCache>
                <c:ptCount val="1"/>
                <c:pt idx="0">
                  <c:v>Excretas humanas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Residuos!$G$278:$AQ$278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Residuos!$G$283:$AQ$283</c:f>
              <c:numCache>
                <c:formatCode>#,##0.00_);\(#,##0.00\);"-"_);@</c:formatCode>
                <c:ptCount val="37"/>
                <c:pt idx="0">
                  <c:v>3.1700598834491202E-2</c:v>
                </c:pt>
                <c:pt idx="1">
                  <c:v>3.1700598834491202E-2</c:v>
                </c:pt>
                <c:pt idx="2">
                  <c:v>3.2077709697257317E-2</c:v>
                </c:pt>
                <c:pt idx="3">
                  <c:v>3.2454820560023433E-2</c:v>
                </c:pt>
                <c:pt idx="4">
                  <c:v>3.2831931422789548E-2</c:v>
                </c:pt>
                <c:pt idx="5">
                  <c:v>3.3209042285555671E-2</c:v>
                </c:pt>
                <c:pt idx="6">
                  <c:v>3.3586153148321786E-2</c:v>
                </c:pt>
                <c:pt idx="7">
                  <c:v>3.3893242427604463E-2</c:v>
                </c:pt>
                <c:pt idx="8">
                  <c:v>3.420033170688714E-2</c:v>
                </c:pt>
                <c:pt idx="9">
                  <c:v>3.4507420986169816E-2</c:v>
                </c:pt>
                <c:pt idx="10">
                  <c:v>3.4814510265452486E-2</c:v>
                </c:pt>
                <c:pt idx="11">
                  <c:v>3.5121599544735163E-2</c:v>
                </c:pt>
                <c:pt idx="12">
                  <c:v>3.5411729077164132E-2</c:v>
                </c:pt>
                <c:pt idx="13">
                  <c:v>3.5701858609593101E-2</c:v>
                </c:pt>
                <c:pt idx="14">
                  <c:v>3.5991988142022063E-2</c:v>
                </c:pt>
                <c:pt idx="15">
                  <c:v>3.6282117674451025E-2</c:v>
                </c:pt>
                <c:pt idx="16">
                  <c:v>3.6572247206879994E-2</c:v>
                </c:pt>
                <c:pt idx="17">
                  <c:v>3.6693734804130483E-2</c:v>
                </c:pt>
                <c:pt idx="18">
                  <c:v>3.6815222401380979E-2</c:v>
                </c:pt>
                <c:pt idx="19">
                  <c:v>3.6936709998631467E-2</c:v>
                </c:pt>
                <c:pt idx="20">
                  <c:v>3.7058197595881956E-2</c:v>
                </c:pt>
                <c:pt idx="21">
                  <c:v>3.7179685193132452E-2</c:v>
                </c:pt>
                <c:pt idx="22">
                  <c:v>3.7254342599486651E-2</c:v>
                </c:pt>
                <c:pt idx="23">
                  <c:v>3.7329000005840857E-2</c:v>
                </c:pt>
                <c:pt idx="24">
                  <c:v>3.7403657412195056E-2</c:v>
                </c:pt>
                <c:pt idx="25">
                  <c:v>3.7478314818549255E-2</c:v>
                </c:pt>
                <c:pt idx="26">
                  <c:v>3.7552972224903461E-2</c:v>
                </c:pt>
                <c:pt idx="27">
                  <c:v>3.758306271016109E-2</c:v>
                </c:pt>
                <c:pt idx="28">
                  <c:v>3.7613153195418719E-2</c:v>
                </c:pt>
                <c:pt idx="29">
                  <c:v>3.7643243680676348E-2</c:v>
                </c:pt>
                <c:pt idx="30">
                  <c:v>3.7673334165933978E-2</c:v>
                </c:pt>
                <c:pt idx="31">
                  <c:v>3.7703424651191614E-2</c:v>
                </c:pt>
                <c:pt idx="32">
                  <c:v>3.7707195747950874E-2</c:v>
                </c:pt>
                <c:pt idx="33">
                  <c:v>3.7710966844710134E-2</c:v>
                </c:pt>
                <c:pt idx="34">
                  <c:v>3.7714737941469401E-2</c:v>
                </c:pt>
                <c:pt idx="35">
                  <c:v>3.7718509038228668E-2</c:v>
                </c:pt>
                <c:pt idx="36">
                  <c:v>3.7722280134987927E-2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B852-4A41-92E3-49B0956571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306432"/>
        <c:axId val="204423744"/>
      </c:areaChart>
      <c:lineChart>
        <c:grouping val="stacked"/>
        <c:varyColors val="0"/>
        <c:ser>
          <c:idx val="5"/>
          <c:order val="5"/>
          <c:tx>
            <c:v>Línea Base</c:v>
          </c:tx>
          <c:spPr>
            <a:ln w="158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Residuos!$G$263:$AQ$263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Residuos!$G$290:$AQ$290</c:f>
              <c:numCache>
                <c:formatCode>#,##0.0_);\(#,##0.0\);"-"_);@</c:formatCode>
                <c:ptCount val="37"/>
                <c:pt idx="0">
                  <c:v>2.9733782249932541</c:v>
                </c:pt>
                <c:pt idx="1">
                  <c:v>3.1096431517807348</c:v>
                </c:pt>
                <c:pt idx="2">
                  <c:v>3.2595284958902759</c:v>
                </c:pt>
                <c:pt idx="3">
                  <c:v>3.4061279479894346</c:v>
                </c:pt>
                <c:pt idx="4">
                  <c:v>3.5497133599079782</c:v>
                </c:pt>
                <c:pt idx="5">
                  <c:v>3.6905363751116411</c:v>
                </c:pt>
                <c:pt idx="6">
                  <c:v>3.7985207352657593</c:v>
                </c:pt>
                <c:pt idx="7">
                  <c:v>3.9344308427419055</c:v>
                </c:pt>
                <c:pt idx="8">
                  <c:v>4.0716410494602142</c:v>
                </c:pt>
                <c:pt idx="9">
                  <c:v>4.2102042293497988</c:v>
                </c:pt>
                <c:pt idx="10">
                  <c:v>4.3501718419673967</c:v>
                </c:pt>
                <c:pt idx="11">
                  <c:v>4.4703772608361776</c:v>
                </c:pt>
                <c:pt idx="12">
                  <c:v>4.6132854537308052</c:v>
                </c:pt>
                <c:pt idx="13">
                  <c:v>4.7536037036015433</c:v>
                </c:pt>
                <c:pt idx="14">
                  <c:v>4.8915468363096535</c:v>
                </c:pt>
                <c:pt idx="15">
                  <c:v>5.0273139519866135</c:v>
                </c:pt>
                <c:pt idx="16">
                  <c:v>5.1610897215350429</c:v>
                </c:pt>
                <c:pt idx="17">
                  <c:v>5.2928762895290546</c:v>
                </c:pt>
                <c:pt idx="18">
                  <c:v>5.4256066135993954</c:v>
                </c:pt>
                <c:pt idx="19">
                  <c:v>5.5593163203258884</c:v>
                </c:pt>
                <c:pt idx="20">
                  <c:v>5.6940398036297184</c:v>
                </c:pt>
                <c:pt idx="21">
                  <c:v>5.8298104378228848</c:v>
                </c:pt>
                <c:pt idx="22">
                  <c:v>5.9666131207628341</c:v>
                </c:pt>
                <c:pt idx="23">
                  <c:v>6.1012856378039269</c:v>
                </c:pt>
                <c:pt idx="24">
                  <c:v>6.233995548965404</c:v>
                </c:pt>
                <c:pt idx="25">
                  <c:v>6.3648983012559786</c:v>
                </c:pt>
                <c:pt idx="26">
                  <c:v>6.4941382054423507</c:v>
                </c:pt>
                <c:pt idx="27">
                  <c:v>6.6218040636022897</c:v>
                </c:pt>
                <c:pt idx="28">
                  <c:v>6.7507533509489424</c:v>
                </c:pt>
                <c:pt idx="29">
                  <c:v>6.8809936660716309</c:v>
                </c:pt>
                <c:pt idx="30">
                  <c:v>7.012532891166507</c:v>
                </c:pt>
                <c:pt idx="31">
                  <c:v>7.1453790542053239</c:v>
                </c:pt>
                <c:pt idx="32">
                  <c:v>7.2795137372930752</c:v>
                </c:pt>
                <c:pt idx="33">
                  <c:v>7.4115336902475253</c:v>
                </c:pt>
                <c:pt idx="34">
                  <c:v>7.5415616395798759</c:v>
                </c:pt>
                <c:pt idx="35">
                  <c:v>7.6697120316311711</c:v>
                </c:pt>
                <c:pt idx="36">
                  <c:v>7.7960917135764722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B852-4A41-92E3-49B0956571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306944"/>
        <c:axId val="204424320"/>
      </c:lineChart>
      <c:catAx>
        <c:axId val="204306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4423744"/>
        <c:crosses val="autoZero"/>
        <c:auto val="1"/>
        <c:lblAlgn val="ctr"/>
        <c:lblOffset val="100"/>
        <c:noMultiLvlLbl val="0"/>
      </c:catAx>
      <c:valAx>
        <c:axId val="204423744"/>
        <c:scaling>
          <c:orientation val="minMax"/>
          <c:max val="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4306432"/>
        <c:crosses val="autoZero"/>
        <c:crossBetween val="between"/>
      </c:valAx>
      <c:valAx>
        <c:axId val="204424320"/>
        <c:scaling>
          <c:orientation val="minMax"/>
          <c:max val="9"/>
          <c:min val="0"/>
        </c:scaling>
        <c:delete val="0"/>
        <c:axPos val="r"/>
        <c:numFmt formatCode="#,##0.0_);\(#,##0.0\);&quot;-&quot;_);@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4306944"/>
        <c:crosses val="max"/>
        <c:crossBetween val="between"/>
      </c:valAx>
      <c:catAx>
        <c:axId val="2043069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44243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458969354362337E-2"/>
          <c:y val="0.89939607176604353"/>
          <c:w val="0.95056505574009831"/>
          <c:h val="8.16777969244575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64741</xdr:colOff>
      <xdr:row>1</xdr:row>
      <xdr:rowOff>88400</xdr:rowOff>
    </xdr:from>
    <xdr:to>
      <xdr:col>3</xdr:col>
      <xdr:colOff>3950312</xdr:colOff>
      <xdr:row>32</xdr:row>
      <xdr:rowOff>186390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xmlns="" id="{E383E62D-3DD4-474D-9605-F708F4DB4B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3824631</xdr:colOff>
      <xdr:row>1</xdr:row>
      <xdr:rowOff>63323</xdr:rowOff>
    </xdr:from>
    <xdr:to>
      <xdr:col>8</xdr:col>
      <xdr:colOff>1298864</xdr:colOff>
      <xdr:row>32</xdr:row>
      <xdr:rowOff>181481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xmlns="" id="{1EB53CC6-8BBD-44A2-9FE3-A2DC2CB51B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1039090</xdr:colOff>
      <xdr:row>0</xdr:row>
      <xdr:rowOff>139680</xdr:rowOff>
    </xdr:from>
    <xdr:to>
      <xdr:col>12</xdr:col>
      <xdr:colOff>41413</xdr:colOff>
      <xdr:row>32</xdr:row>
      <xdr:rowOff>174177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xmlns="" id="{9E782274-8E7A-4F8E-BFB1-492065BCCD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116037</xdr:colOff>
      <xdr:row>1</xdr:row>
      <xdr:rowOff>19207</xdr:rowOff>
    </xdr:from>
    <xdr:to>
      <xdr:col>17</xdr:col>
      <xdr:colOff>207065</xdr:colOff>
      <xdr:row>32</xdr:row>
      <xdr:rowOff>93177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xmlns="" id="{1FC0E51F-3530-4188-B885-E755226AC1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100341</xdr:colOff>
      <xdr:row>1</xdr:row>
      <xdr:rowOff>127477</xdr:rowOff>
    </xdr:from>
    <xdr:to>
      <xdr:col>23</xdr:col>
      <xdr:colOff>687508</xdr:colOff>
      <xdr:row>32</xdr:row>
      <xdr:rowOff>218360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xmlns="" id="{230A472D-ACE0-42C8-9A69-CC73185CDF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462642</xdr:colOff>
      <xdr:row>31</xdr:row>
      <xdr:rowOff>121281</xdr:rowOff>
    </xdr:from>
    <xdr:to>
      <xdr:col>3</xdr:col>
      <xdr:colOff>1868712</xdr:colOff>
      <xdr:row>33</xdr:row>
      <xdr:rowOff>78881</xdr:rowOff>
    </xdr:to>
    <xdr:graphicFrame macro="">
      <xdr:nvGraphicFramePr>
        <xdr:cNvPr id="10" name="Gráfico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oneCellAnchor>
    <xdr:from>
      <xdr:col>8</xdr:col>
      <xdr:colOff>2203363</xdr:colOff>
      <xdr:row>30</xdr:row>
      <xdr:rowOff>173183</xdr:rowOff>
    </xdr:from>
    <xdr:ext cx="2229716" cy="405432"/>
    <xdr:sp macro="" textlink="">
      <xdr:nvSpPr>
        <xdr:cNvPr id="2" name="1 CuadroTexto"/>
        <xdr:cNvSpPr txBox="1"/>
      </xdr:nvSpPr>
      <xdr:spPr>
        <a:xfrm>
          <a:off x="17505483" y="7006335"/>
          <a:ext cx="2229716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s-CL" sz="2000" b="1"/>
            <a:t>Reducción al 2030</a:t>
          </a:r>
        </a:p>
      </xdr:txBody>
    </xdr:sp>
    <xdr:clientData/>
  </xdr:oneCellAnchor>
  <xdr:oneCellAnchor>
    <xdr:from>
      <xdr:col>9</xdr:col>
      <xdr:colOff>2252268</xdr:colOff>
      <xdr:row>30</xdr:row>
      <xdr:rowOff>174047</xdr:rowOff>
    </xdr:from>
    <xdr:ext cx="2229716" cy="405432"/>
    <xdr:sp macro="" textlink="">
      <xdr:nvSpPr>
        <xdr:cNvPr id="12" name="11 CuadroTexto"/>
        <xdr:cNvSpPr txBox="1"/>
      </xdr:nvSpPr>
      <xdr:spPr>
        <a:xfrm>
          <a:off x="21042495" y="6668365"/>
          <a:ext cx="2229716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s-CL" sz="2000" b="1"/>
            <a:t>Reducción al 2050</a:t>
          </a:r>
        </a:p>
      </xdr:txBody>
    </xdr:sp>
    <xdr:clientData/>
  </xdr:oneCellAnchor>
  <xdr:oneCellAnchor>
    <xdr:from>
      <xdr:col>3</xdr:col>
      <xdr:colOff>4784911</xdr:colOff>
      <xdr:row>30</xdr:row>
      <xdr:rowOff>195695</xdr:rowOff>
    </xdr:from>
    <xdr:ext cx="2229716" cy="405432"/>
    <xdr:sp macro="" textlink="">
      <xdr:nvSpPr>
        <xdr:cNvPr id="18" name="17 CuadroTexto"/>
        <xdr:cNvSpPr txBox="1"/>
      </xdr:nvSpPr>
      <xdr:spPr>
        <a:xfrm>
          <a:off x="9893775" y="6690013"/>
          <a:ext cx="2229716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s-CL" sz="2000" b="1"/>
            <a:t>Reducción al 2030</a:t>
          </a:r>
        </a:p>
      </xdr:txBody>
    </xdr:sp>
    <xdr:clientData/>
  </xdr:oneCellAnchor>
  <xdr:oneCellAnchor>
    <xdr:from>
      <xdr:col>7</xdr:col>
      <xdr:colOff>348031</xdr:colOff>
      <xdr:row>30</xdr:row>
      <xdr:rowOff>196559</xdr:rowOff>
    </xdr:from>
    <xdr:ext cx="2229716" cy="405432"/>
    <xdr:sp macro="" textlink="">
      <xdr:nvSpPr>
        <xdr:cNvPr id="19" name="18 CuadroTexto"/>
        <xdr:cNvSpPr txBox="1"/>
      </xdr:nvSpPr>
      <xdr:spPr>
        <a:xfrm>
          <a:off x="13076895" y="6690877"/>
          <a:ext cx="2229716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s-CL" sz="2000" b="1"/>
            <a:t>Reducción al 2050</a:t>
          </a:r>
        </a:p>
      </xdr:txBody>
    </xdr:sp>
    <xdr:clientData/>
  </xdr:oneCellAnchor>
  <xdr:oneCellAnchor>
    <xdr:from>
      <xdr:col>12</xdr:col>
      <xdr:colOff>1045793</xdr:colOff>
      <xdr:row>30</xdr:row>
      <xdr:rowOff>186361</xdr:rowOff>
    </xdr:from>
    <xdr:ext cx="2229716" cy="405432"/>
    <xdr:sp macro="" textlink="">
      <xdr:nvSpPr>
        <xdr:cNvPr id="20" name="19 CuadroTexto"/>
        <xdr:cNvSpPr txBox="1"/>
      </xdr:nvSpPr>
      <xdr:spPr>
        <a:xfrm>
          <a:off x="25562315" y="6812448"/>
          <a:ext cx="2229716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s-CL" sz="2000" b="1"/>
            <a:t>Reducción al 2030</a:t>
          </a:r>
        </a:p>
      </xdr:txBody>
    </xdr:sp>
    <xdr:clientData/>
  </xdr:oneCellAnchor>
  <xdr:oneCellAnchor>
    <xdr:from>
      <xdr:col>14</xdr:col>
      <xdr:colOff>1040135</xdr:colOff>
      <xdr:row>30</xdr:row>
      <xdr:rowOff>166528</xdr:rowOff>
    </xdr:from>
    <xdr:ext cx="2229716" cy="405432"/>
    <xdr:sp macro="" textlink="">
      <xdr:nvSpPr>
        <xdr:cNvPr id="21" name="20 CuadroTexto"/>
        <xdr:cNvSpPr txBox="1"/>
      </xdr:nvSpPr>
      <xdr:spPr>
        <a:xfrm>
          <a:off x="28414157" y="6792615"/>
          <a:ext cx="2229716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s-CL" sz="2000" b="1"/>
            <a:t>Reducción al 2050</a:t>
          </a:r>
        </a:p>
      </xdr:txBody>
    </xdr:sp>
    <xdr:clientData/>
  </xdr:oneCellAnchor>
  <xdr:oneCellAnchor>
    <xdr:from>
      <xdr:col>17</xdr:col>
      <xdr:colOff>962981</xdr:colOff>
      <xdr:row>30</xdr:row>
      <xdr:rowOff>186365</xdr:rowOff>
    </xdr:from>
    <xdr:ext cx="2229716" cy="405432"/>
    <xdr:sp macro="" textlink="">
      <xdr:nvSpPr>
        <xdr:cNvPr id="22" name="21 CuadroTexto"/>
        <xdr:cNvSpPr txBox="1"/>
      </xdr:nvSpPr>
      <xdr:spPr>
        <a:xfrm>
          <a:off x="34693905" y="7019517"/>
          <a:ext cx="2229716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s-CL" sz="2000" b="1"/>
            <a:t>Reducción al 2030</a:t>
          </a:r>
        </a:p>
      </xdr:txBody>
    </xdr:sp>
    <xdr:clientData/>
  </xdr:oneCellAnchor>
  <xdr:oneCellAnchor>
    <xdr:from>
      <xdr:col>19</xdr:col>
      <xdr:colOff>1102254</xdr:colOff>
      <xdr:row>30</xdr:row>
      <xdr:rowOff>187235</xdr:rowOff>
    </xdr:from>
    <xdr:ext cx="2229716" cy="405432"/>
    <xdr:sp macro="" textlink="">
      <xdr:nvSpPr>
        <xdr:cNvPr id="23" name="22 CuadroTexto"/>
        <xdr:cNvSpPr txBox="1"/>
      </xdr:nvSpPr>
      <xdr:spPr>
        <a:xfrm>
          <a:off x="37442200" y="7020387"/>
          <a:ext cx="2229716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s-CL" sz="2000" b="1"/>
            <a:t>Reducción al 2050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486019</xdr:colOff>
      <xdr:row>81</xdr:row>
      <xdr:rowOff>99889</xdr:rowOff>
    </xdr:from>
    <xdr:to>
      <xdr:col>26</xdr:col>
      <xdr:colOff>2442</xdr:colOff>
      <xdr:row>118</xdr:row>
      <xdr:rowOff>22224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221659</xdr:colOff>
      <xdr:row>70</xdr:row>
      <xdr:rowOff>184221</xdr:rowOff>
    </xdr:from>
    <xdr:to>
      <xdr:col>6</xdr:col>
      <xdr:colOff>647483</xdr:colOff>
      <xdr:row>88</xdr:row>
      <xdr:rowOff>86893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1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862034</xdr:colOff>
      <xdr:row>90</xdr:row>
      <xdr:rowOff>9572</xdr:rowOff>
    </xdr:from>
    <xdr:to>
      <xdr:col>5</xdr:col>
      <xdr:colOff>133652</xdr:colOff>
      <xdr:row>106</xdr:row>
      <xdr:rowOff>42070</xdr:rowOff>
    </xdr:to>
    <xdr:graphicFrame macro="">
      <xdr:nvGraphicFramePr>
        <xdr:cNvPr id="3" name="2 Gráfico">
          <a:extLst>
            <a:ext uri="{FF2B5EF4-FFF2-40B4-BE49-F238E27FC236}">
              <a16:creationId xmlns:a16="http://schemas.microsoft.com/office/drawing/2014/main" xmlns="" id="{00000000-0008-0000-1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872420</xdr:colOff>
      <xdr:row>106</xdr:row>
      <xdr:rowOff>139397</xdr:rowOff>
    </xdr:from>
    <xdr:to>
      <xdr:col>5</xdr:col>
      <xdr:colOff>144038</xdr:colOff>
      <xdr:row>122</xdr:row>
      <xdr:rowOff>171893</xdr:rowOff>
    </xdr:to>
    <xdr:graphicFrame macro="">
      <xdr:nvGraphicFramePr>
        <xdr:cNvPr id="4" name="3 Gráfico">
          <a:extLst>
            <a:ext uri="{FF2B5EF4-FFF2-40B4-BE49-F238E27FC236}">
              <a16:creationId xmlns:a16="http://schemas.microsoft.com/office/drawing/2014/main" xmlns="" id="{00000000-0008-0000-1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179021</xdr:colOff>
      <xdr:row>71</xdr:row>
      <xdr:rowOff>90466</xdr:rowOff>
    </xdr:from>
    <xdr:to>
      <xdr:col>14</xdr:col>
      <xdr:colOff>687931</xdr:colOff>
      <xdr:row>88</xdr:row>
      <xdr:rowOff>178992</xdr:rowOff>
    </xdr:to>
    <xdr:graphicFrame macro="">
      <xdr:nvGraphicFramePr>
        <xdr:cNvPr id="5" name="4 Gráfico">
          <a:extLst>
            <a:ext uri="{FF2B5EF4-FFF2-40B4-BE49-F238E27FC236}">
              <a16:creationId xmlns:a16="http://schemas.microsoft.com/office/drawing/2014/main" xmlns="" id="{00000000-0008-0000-1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324969</xdr:colOff>
      <xdr:row>90</xdr:row>
      <xdr:rowOff>8745</xdr:rowOff>
    </xdr:from>
    <xdr:to>
      <xdr:col>10</xdr:col>
      <xdr:colOff>459441</xdr:colOff>
      <xdr:row>106</xdr:row>
      <xdr:rowOff>41243</xdr:rowOff>
    </xdr:to>
    <xdr:graphicFrame macro="">
      <xdr:nvGraphicFramePr>
        <xdr:cNvPr id="6" name="5 Gráfico">
          <a:extLst>
            <a:ext uri="{FF2B5EF4-FFF2-40B4-BE49-F238E27FC236}">
              <a16:creationId xmlns:a16="http://schemas.microsoft.com/office/drawing/2014/main" xmlns="" id="{00000000-0008-0000-1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358587</xdr:colOff>
      <xdr:row>106</xdr:row>
      <xdr:rowOff>138570</xdr:rowOff>
    </xdr:from>
    <xdr:to>
      <xdr:col>10</xdr:col>
      <xdr:colOff>493059</xdr:colOff>
      <xdr:row>122</xdr:row>
      <xdr:rowOff>171066</xdr:rowOff>
    </xdr:to>
    <xdr:graphicFrame macro="">
      <xdr:nvGraphicFramePr>
        <xdr:cNvPr id="7" name="6 Gráfico">
          <a:extLst>
            <a:ext uri="{FF2B5EF4-FFF2-40B4-BE49-F238E27FC236}">
              <a16:creationId xmlns:a16="http://schemas.microsoft.com/office/drawing/2014/main" xmlns="" id="{00000000-0008-0000-1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97319</xdr:colOff>
      <xdr:row>3</xdr:row>
      <xdr:rowOff>95249</xdr:rowOff>
    </xdr:from>
    <xdr:to>
      <xdr:col>20</xdr:col>
      <xdr:colOff>174625</xdr:colOff>
      <xdr:row>20</xdr:row>
      <xdr:rowOff>34509</xdr:rowOff>
    </xdr:to>
    <xdr:graphicFrame macro="">
      <xdr:nvGraphicFramePr>
        <xdr:cNvPr id="2" name="Gráfico 3">
          <a:extLst>
            <a:ext uri="{FF2B5EF4-FFF2-40B4-BE49-F238E27FC236}">
              <a16:creationId xmlns:a16="http://schemas.microsoft.com/office/drawing/2014/main" xmlns="" id="{286CAAE6-8364-4EDC-B0EB-13A0307D9C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aceres/AppData/Local/Microsoft/Windows/Temporary%20Internet%20Files/Content.Outlook/5S0DDX6O/old/modelo_14-03-17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ablo/old/modelo_14-03-17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ablo/modelo_24-03-1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Resultados Intermedios"/>
      <sheetName val="Estructura del Modelo"/>
      <sheetName val="Conversiones"/>
      <sheetName val="Constantes"/>
      <sheetName val="Supuestos Globales"/>
      <sheetName val="D.a"/>
      <sheetName val="A.a"/>
      <sheetName val="I.a"/>
      <sheetName val="II.a"/>
      <sheetName val="III.a"/>
      <sheetName val="III.b.1"/>
      <sheetName val="III.b.2"/>
      <sheetName val="III.b.3"/>
      <sheetName val="III.c"/>
      <sheetName val="III.d"/>
      <sheetName val="III.e"/>
      <sheetName val="IV.a"/>
      <sheetName val="IV.c"/>
      <sheetName val="V.a"/>
      <sheetName val="V.b"/>
      <sheetName val="V.c"/>
      <sheetName val="VII.c"/>
      <sheetName val="X.a"/>
      <sheetName val="X.b"/>
      <sheetName val="XI.a"/>
      <sheetName val="XII.a"/>
      <sheetName val="XII.b"/>
      <sheetName val="XIV.a"/>
      <sheetName val="XV.b"/>
      <sheetName val="2015"/>
      <sheetName val="2020"/>
      <sheetName val="2025"/>
      <sheetName val="2030"/>
      <sheetName val="2035"/>
      <sheetName val="2040"/>
      <sheetName val="2045"/>
      <sheetName val="2050"/>
      <sheetName val="-&gt; otros Insumos"/>
      <sheetName val="Demanda 301216"/>
      <sheetName val="-&gt; Demanda 171016"/>
      <sheetName val="Residuos"/>
      <sheetName val="Sector Agropecuario"/>
      <sheetName val="Sector Forestal"/>
      <sheetName val="List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Resultados Intermedios"/>
      <sheetName val="Estructura del Modelo"/>
      <sheetName val="Conversiones"/>
      <sheetName val="Constantes"/>
      <sheetName val="Supuestos Globales"/>
      <sheetName val="D.a"/>
      <sheetName val="A.a"/>
      <sheetName val="I.a"/>
      <sheetName val="II.a"/>
      <sheetName val="III.a"/>
      <sheetName val="III.b.1"/>
      <sheetName val="III.b.2"/>
      <sheetName val="III.b.3"/>
      <sheetName val="III.c"/>
      <sheetName val="III.d"/>
      <sheetName val="III.e"/>
      <sheetName val="IV.a"/>
      <sheetName val="IV.c"/>
      <sheetName val="V.a"/>
      <sheetName val="V.b"/>
      <sheetName val="V.c"/>
      <sheetName val="VII.c"/>
      <sheetName val="X.a"/>
      <sheetName val="X.b"/>
      <sheetName val="XI.a"/>
      <sheetName val="XII.a"/>
      <sheetName val="XII.b"/>
      <sheetName val="XIV.a"/>
      <sheetName val="XV.b"/>
      <sheetName val="2015"/>
      <sheetName val="2020"/>
      <sheetName val="2025"/>
      <sheetName val="2030"/>
      <sheetName val="2035"/>
      <sheetName val="2040"/>
      <sheetName val="2045"/>
      <sheetName val="2050"/>
      <sheetName val="-&gt; otros Insumos"/>
      <sheetName val="Demanda 301216"/>
      <sheetName val="-&gt; Demanda 171016"/>
      <sheetName val="Residuos"/>
      <sheetName val="Sector Agropecuario"/>
      <sheetName val="Sector Forestal"/>
      <sheetName val="List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Resultados Intermedios"/>
      <sheetName val="Estructura del Modelo"/>
      <sheetName val="Conversiones"/>
      <sheetName val="Constantes"/>
      <sheetName val="Supuestos Globales"/>
      <sheetName val="D.a"/>
      <sheetName val="A.a"/>
      <sheetName val="I.a"/>
      <sheetName val="II.a"/>
      <sheetName val="III.a"/>
      <sheetName val="III.b.1"/>
      <sheetName val="III.b.2"/>
      <sheetName val="III.b.3"/>
      <sheetName val="III.c"/>
      <sheetName val="III.d"/>
      <sheetName val="III.e"/>
      <sheetName val="IV.a"/>
      <sheetName val="IV.c"/>
      <sheetName val="V.a"/>
      <sheetName val="V.b"/>
      <sheetName val="V.c"/>
      <sheetName val="VII.c"/>
      <sheetName val="X.a"/>
      <sheetName val="X.b"/>
      <sheetName val="XI.a"/>
      <sheetName val="XII.a"/>
      <sheetName val="XII.b"/>
      <sheetName val="XIV.a"/>
      <sheetName val="XV.b"/>
      <sheetName val="2015"/>
      <sheetName val="2020"/>
      <sheetName val="2025"/>
      <sheetName val="2030"/>
      <sheetName val="2035"/>
      <sheetName val="2040"/>
      <sheetName val="2045"/>
      <sheetName val="2050"/>
      <sheetName val="-&gt; otros Insumos"/>
      <sheetName val="Demanda 301216"/>
      <sheetName val="-&gt; Demanda 171016"/>
      <sheetName val="Residuos"/>
      <sheetName val="Sector Agropecuario"/>
      <sheetName val="Sector Forestal"/>
      <sheetName val="List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tables/table1.xml><?xml version="1.0" encoding="utf-8"?>
<table xmlns="http://schemas.openxmlformats.org/spreadsheetml/2006/main" id="13" name="Flujos" displayName="Flujos" ref="B4:C14" totalsRowShown="0" headerRowDxfId="390" dataDxfId="389">
  <autoFilter ref="B4:C14"/>
  <tableColumns count="2">
    <tableColumn id="1" name="Código" dataDxfId="388"/>
    <tableColumn id="2" name="Flujos" dataDxfId="387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14" name="Modulos" displayName="Modulos" ref="F4:I27" totalsRowShown="0" headerRowDxfId="386" dataDxfId="385">
  <autoFilter ref="F4:I27"/>
  <tableColumns count="4">
    <tableColumn id="1" name="Código" dataDxfId="384"/>
    <tableColumn id="2" name="Modulos" dataDxfId="383"/>
    <tableColumn id="7" name="F Código" dataDxfId="382">
      <calculatedColumnFormula>LEFT(Modulos[Código], FIND(".", Modulos[Código])-1)</calculatedColumnFormula>
    </tableColumn>
    <tableColumn id="6" name="Flujos" dataDxfId="381">
      <calculatedColumnFormula>INDEX(#REF!, MATCH(Modulos[F Código],#REF!, 0))</calculatedColumnFormula>
    </tableColumn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15" name="Vectors" displayName="Vectors" ref="L4:O73" totalsRowShown="0" headerRowDxfId="380" dataDxfId="379">
  <autoFilter ref="L4:O73"/>
  <tableColumns count="4">
    <tableColumn id="1" name="Categoría" dataDxfId="378"/>
    <tableColumn id="2" name="Subcategoría" dataDxfId="377"/>
    <tableColumn id="3" name="Código" dataDxfId="376"/>
    <tableColumn id="4" name="Descripción" dataDxfId="375"/>
  </tableColumns>
  <tableStyleInfo name="TableStyleMedium10" showFirstColumn="0" showLastColumn="0" showRowStripes="1" showColumnStripes="0"/>
</table>
</file>

<file path=xl/tables/table4.xml><?xml version="1.0" encoding="utf-8"?>
<table xmlns="http://schemas.openxmlformats.org/spreadsheetml/2006/main" id="9" name="I.a.Outputs" displayName="I.a.Outputs" ref="C498:M506" totalsRowCount="1" headerRowDxfId="374" dataDxfId="372" headerRowBorderDxfId="373" tableBorderDxfId="371" dataCellStyle="Millares">
  <autoFilter ref="C498:M505"/>
  <tableColumns count="11">
    <tableColumn id="1" name="Vector" totalsRowLabel="Total" dataDxfId="370" totalsRowDxfId="369" dataCellStyle="Normal 15"/>
    <tableColumn id="2" name="Nombre" dataDxfId="368" totalsRowDxfId="367" dataCellStyle="Normal 15">
      <calculatedColumnFormula>INDEX(Vectors[Descripción], MATCH(C499,Vectors[Código],FALSE))</calculatedColumnFormula>
    </tableColumn>
    <tableColumn id="3" name="Notas" dataDxfId="366" totalsRowDxfId="365" dataCellStyle="Normal 15"/>
    <tableColumn id="4" name="2015" totalsRowFunction="sum" dataDxfId="364" totalsRowDxfId="363" dataCellStyle="Normal 15"/>
    <tableColumn id="5" name="2020" totalsRowFunction="sum" dataDxfId="362" totalsRowDxfId="361" dataCellStyle="Normal 15"/>
    <tableColumn id="6" name="2025" totalsRowFunction="sum" dataDxfId="360" totalsRowDxfId="359" dataCellStyle="Normal 15"/>
    <tableColumn id="7" name="2030" totalsRowFunction="sum" dataDxfId="358" totalsRowDxfId="357" dataCellStyle="Normal 15"/>
    <tableColumn id="8" name="2035" totalsRowFunction="sum" dataDxfId="356" totalsRowDxfId="355" dataCellStyle="Normal 15"/>
    <tableColumn id="9" name="2040" totalsRowFunction="sum" dataDxfId="354" totalsRowDxfId="353" dataCellStyle="Normal 15"/>
    <tableColumn id="10" name="2045" totalsRowFunction="sum" dataDxfId="352" totalsRowDxfId="351" dataCellStyle="Normal 15"/>
    <tableColumn id="11" name="2050" totalsRowFunction="sum" dataDxfId="350" totalsRowDxfId="349" dataCellStyle="Normal 1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1" name="III.a.Outputs" displayName="III.a.Outputs" ref="C89:M92" totalsRowCount="1" headerRowDxfId="348">
  <autoFilter ref="C89:M91"/>
  <tableColumns count="11">
    <tableColumn id="1" name="Vector" totalsRowLabel="Total" dataDxfId="347" totalsRowDxfId="346" dataCellStyle="Normal 12"/>
    <tableColumn id="2" name="Nombre" dataDxfId="345" totalsRowDxfId="344" dataCellStyle="Normal 12"/>
    <tableColumn id="3" name="Notas" dataDxfId="343" totalsRowDxfId="342" dataCellStyle="Normal 12"/>
    <tableColumn id="4" name="2015" totalsRowFunction="sum" totalsRowDxfId="341" dataCellStyle="Normal 12">
      <calculatedColumnFormula>-F89</calculatedColumnFormula>
    </tableColumn>
    <tableColumn id="5" name="2020" totalsRowFunction="sum" totalsRowDxfId="340" dataCellStyle="Normal 12">
      <calculatedColumnFormula>-G89</calculatedColumnFormula>
    </tableColumn>
    <tableColumn id="6" name="2025" totalsRowFunction="sum" totalsRowDxfId="339" dataCellStyle="Normal 12">
      <calculatedColumnFormula>-H89</calculatedColumnFormula>
    </tableColumn>
    <tableColumn id="7" name="2030" totalsRowFunction="sum" totalsRowDxfId="338" dataCellStyle="Normal 12">
      <calculatedColumnFormula>-I89</calculatedColumnFormula>
    </tableColumn>
    <tableColumn id="8" name="2035" totalsRowFunction="sum" totalsRowDxfId="337" dataCellStyle="Normal 12">
      <calculatedColumnFormula>-J89</calculatedColumnFormula>
    </tableColumn>
    <tableColumn id="9" name="2040" totalsRowFunction="sum" totalsRowDxfId="336" dataCellStyle="Normal 12">
      <calculatedColumnFormula>-K89</calculatedColumnFormula>
    </tableColumn>
    <tableColumn id="10" name="2045" totalsRowFunction="sum" totalsRowDxfId="335" dataCellStyle="Normal 12">
      <calculatedColumnFormula>-L89</calculatedColumnFormula>
    </tableColumn>
    <tableColumn id="11" name="2050" totalsRowFunction="sum" totalsRowDxfId="334" dataCellStyle="Normal 12">
      <calculatedColumnFormula>-M89</calculatedColumnFormula>
    </tableColumn>
  </tableColumns>
  <tableStyleInfo name="TableStyleMedium2" showFirstColumn="0" showLastColumn="0" showRowStripes="0" showColumnStripes="0"/>
</table>
</file>

<file path=xl/tables/table6.xml><?xml version="1.0" encoding="utf-8"?>
<table xmlns="http://schemas.openxmlformats.org/spreadsheetml/2006/main" id="25" name="III.b.1.Outputs" displayName="III.b.1.Outputs" ref="C81:M84" totalsRowCount="1" headerRowDxfId="333" dataDxfId="332" headerRowCellStyle="Normal 12" dataCellStyle="Millares 6">
  <autoFilter ref="C81:M83"/>
  <tableColumns count="11">
    <tableColumn id="1" name="Vector" totalsRowLabel="Total" dataDxfId="331" totalsRowDxfId="330" dataCellStyle="Normal 12"/>
    <tableColumn id="2" name="Nombre" dataDxfId="329" totalsRowDxfId="328" dataCellStyle="Normal 12"/>
    <tableColumn id="3" name="Notas" dataDxfId="327" totalsRowDxfId="326" dataCellStyle="Normal 12"/>
    <tableColumn id="4" name="2015" totalsRowFunction="sum" dataDxfId="325" totalsRowDxfId="324" dataCellStyle="Millares 6">
      <calculatedColumnFormula>-F74</calculatedColumnFormula>
    </tableColumn>
    <tableColumn id="5" name="2020" totalsRowFunction="sum" dataDxfId="323" totalsRowDxfId="322" dataCellStyle="Millares 6">
      <calculatedColumnFormula>-G74</calculatedColumnFormula>
    </tableColumn>
    <tableColumn id="6" name="2025" totalsRowFunction="sum" dataDxfId="321" totalsRowDxfId="320" dataCellStyle="Millares 6">
      <calculatedColumnFormula>-H74</calculatedColumnFormula>
    </tableColumn>
    <tableColumn id="7" name="2030" totalsRowFunction="sum" dataDxfId="319" totalsRowDxfId="318" dataCellStyle="Millares 6">
      <calculatedColumnFormula>-I74</calculatedColumnFormula>
    </tableColumn>
    <tableColumn id="8" name="2035" totalsRowFunction="sum" dataDxfId="317" totalsRowDxfId="316" dataCellStyle="Millares 6">
      <calculatedColumnFormula>-J74</calculatedColumnFormula>
    </tableColumn>
    <tableColumn id="9" name="2040" totalsRowFunction="sum" dataDxfId="315" totalsRowDxfId="314" dataCellStyle="Millares 6">
      <calculatedColumnFormula>-K74</calculatedColumnFormula>
    </tableColumn>
    <tableColumn id="10" name="2045" totalsRowFunction="sum" dataDxfId="313" totalsRowDxfId="312" dataCellStyle="Millares 6">
      <calculatedColumnFormula>-L74</calculatedColumnFormula>
    </tableColumn>
    <tableColumn id="11" name="2050" totalsRowFunction="sum" dataDxfId="311" totalsRowDxfId="310" dataCellStyle="Millares 6">
      <calculatedColumnFormula>-M74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26" name="III.b.2.Outputs" displayName="III.b.2.Outputs" ref="C105:M108" totalsRowCount="1" headerRowDxfId="309" dataDxfId="308" headerRowCellStyle="Normal 12" dataCellStyle="Millares 6">
  <autoFilter ref="C105:M107"/>
  <tableColumns count="11">
    <tableColumn id="1" name="Vector" totalsRowLabel="Total" dataDxfId="307" totalsRowDxfId="306" dataCellStyle="Normal 12"/>
    <tableColumn id="2" name="Nombre" dataDxfId="305" totalsRowDxfId="304" dataCellStyle="Normal 12"/>
    <tableColumn id="3" name="Notas" dataDxfId="303" totalsRowDxfId="302" dataCellStyle="Normal 12"/>
    <tableColumn id="4" name="2015" totalsRowFunction="sum" dataDxfId="301" totalsRowDxfId="300" dataCellStyle="Millares 6">
      <calculatedColumnFormula>-F75</calculatedColumnFormula>
    </tableColumn>
    <tableColumn id="5" name="2020" totalsRowFunction="sum" dataDxfId="299" totalsRowDxfId="298" dataCellStyle="Millares 6">
      <calculatedColumnFormula>-G75</calculatedColumnFormula>
    </tableColumn>
    <tableColumn id="6" name="2025" totalsRowFunction="sum" dataDxfId="297" totalsRowDxfId="296" dataCellStyle="Millares 6">
      <calculatedColumnFormula>-H75</calculatedColumnFormula>
    </tableColumn>
    <tableColumn id="7" name="2030" totalsRowFunction="sum" dataDxfId="295" totalsRowDxfId="294" dataCellStyle="Millares 6">
      <calculatedColumnFormula>-I75</calculatedColumnFormula>
    </tableColumn>
    <tableColumn id="8" name="2035" totalsRowFunction="sum" dataDxfId="293" totalsRowDxfId="292" dataCellStyle="Millares 6">
      <calculatedColumnFormula>-J75</calculatedColumnFormula>
    </tableColumn>
    <tableColumn id="9" name="2040" totalsRowFunction="sum" dataDxfId="291" totalsRowDxfId="290" dataCellStyle="Millares 6">
      <calculatedColumnFormula>-K75</calculatedColumnFormula>
    </tableColumn>
    <tableColumn id="10" name="2045" totalsRowFunction="sum" dataDxfId="289" totalsRowDxfId="288" dataCellStyle="Millares 6">
      <calculatedColumnFormula>-L75</calculatedColumnFormula>
    </tableColumn>
    <tableColumn id="11" name="2050" totalsRowFunction="sum" dataDxfId="287" totalsRowDxfId="286" dataCellStyle="Millares 6">
      <calculatedColumnFormula>-M75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27" name="III.b.3.Outputs" displayName="III.b.3.Outputs" ref="C83:M86" totalsRowCount="1" headerRowDxfId="285" dataDxfId="284" headerRowCellStyle="Normal 12" dataCellStyle="Millares 6">
  <autoFilter ref="C83:M85"/>
  <tableColumns count="11">
    <tableColumn id="1" name="Vector" totalsRowLabel="Total" dataDxfId="283" totalsRowDxfId="282" dataCellStyle="Normal 12"/>
    <tableColumn id="2" name="Nombre" dataDxfId="281" totalsRowDxfId="280" dataCellStyle="Normal 12"/>
    <tableColumn id="3" name="Notas" dataDxfId="279" totalsRowDxfId="278" dataCellStyle="Normal 12"/>
    <tableColumn id="4" name="2015" totalsRowFunction="sum" dataDxfId="277" totalsRowDxfId="276" dataCellStyle="Millares 6">
      <calculatedColumnFormula>-F76</calculatedColumnFormula>
    </tableColumn>
    <tableColumn id="5" name="2020" totalsRowFunction="sum" dataDxfId="275" totalsRowDxfId="274" dataCellStyle="Millares 6">
      <calculatedColumnFormula>-G76</calculatedColumnFormula>
    </tableColumn>
    <tableColumn id="6" name="2025" totalsRowFunction="sum" dataDxfId="273" totalsRowDxfId="272" dataCellStyle="Millares 6">
      <calculatedColumnFormula>-H76</calculatedColumnFormula>
    </tableColumn>
    <tableColumn id="7" name="2030" totalsRowFunction="sum" dataDxfId="271" totalsRowDxfId="270" dataCellStyle="Millares 6">
      <calculatedColumnFormula>-I76</calculatedColumnFormula>
    </tableColumn>
    <tableColumn id="8" name="2035" totalsRowFunction="sum" dataDxfId="269" totalsRowDxfId="268" dataCellStyle="Millares 6">
      <calculatedColumnFormula>-J76</calculatedColumnFormula>
    </tableColumn>
    <tableColumn id="9" name="2040" totalsRowFunction="sum" dataDxfId="267" totalsRowDxfId="266" dataCellStyle="Millares 6">
      <calculatedColumnFormula>-K76</calculatedColumnFormula>
    </tableColumn>
    <tableColumn id="10" name="2045" totalsRowFunction="sum" dataDxfId="265" totalsRowDxfId="264" dataCellStyle="Millares 6">
      <calculatedColumnFormula>-L76</calculatedColumnFormula>
    </tableColumn>
    <tableColumn id="11" name="2050" totalsRowFunction="sum" dataDxfId="263" totalsRowDxfId="262" dataCellStyle="Millares 6">
      <calculatedColumnFormula>-M76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2" name="III.c.Outputs" displayName="III.c.Outputs" ref="C104:M108" totalsRowCount="1" headerRowDxfId="261" dataDxfId="260" dataCellStyle="Millares 2">
  <autoFilter ref="C104:M107"/>
  <tableColumns count="11">
    <tableColumn id="1" name="Vector" dataDxfId="259" totalsRowDxfId="258"/>
    <tableColumn id="2" name="Nombre" dataDxfId="257" totalsRowDxfId="256"/>
    <tableColumn id="3" name="Notas" dataDxfId="255" totalsRowDxfId="254"/>
    <tableColumn id="4" name="2015" totalsRowFunction="sum" dataDxfId="253" totalsRowDxfId="252" dataCellStyle="Millares 2"/>
    <tableColumn id="5" name="2020" totalsRowFunction="sum" dataDxfId="251" totalsRowDxfId="250" dataCellStyle="Millares 2"/>
    <tableColumn id="6" name="2025" totalsRowFunction="sum" dataDxfId="249" totalsRowDxfId="248" dataCellStyle="Millares 2"/>
    <tableColumn id="7" name="2030" totalsRowFunction="sum" dataDxfId="247" totalsRowDxfId="246" dataCellStyle="Millares 2"/>
    <tableColumn id="8" name="2035" totalsRowFunction="sum" dataDxfId="245" totalsRowDxfId="244" dataCellStyle="Millares 2"/>
    <tableColumn id="9" name="2040" totalsRowFunction="sum" dataDxfId="243" totalsRowDxfId="242" dataCellStyle="Millares 2"/>
    <tableColumn id="10" name="2045" totalsRowFunction="sum" dataDxfId="241" totalsRowDxfId="240" dataCellStyle="Millares 2"/>
    <tableColumn id="11" name="2050" totalsRowFunction="sum" dataDxfId="239" totalsRowDxfId="238" dataCellStyle="Millares 2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5" name="III.d.Outputs" displayName="III.d.Outputs" ref="C75:M79" totalsRowCount="1" headerRowDxfId="237" dataDxfId="236" dataCellStyle="Millares 2">
  <autoFilter ref="C75:M78"/>
  <tableColumns count="11">
    <tableColumn id="1" name="Vector" totalsRowLabel="Total" dataDxfId="235" totalsRowDxfId="234"/>
    <tableColumn id="2" name="Nombre" totalsRowFunction="sum" dataDxfId="233" totalsRowDxfId="232">
      <calculatedColumnFormula>INDEX(Vectors[Descripción], MATCH(C76,Vectors[Código],FALSE))</calculatedColumnFormula>
    </tableColumn>
    <tableColumn id="3" name="Notas" totalsRowFunction="sum" dataDxfId="231" totalsRowDxfId="230"/>
    <tableColumn id="4" name="2015" totalsRowFunction="sum" dataDxfId="229" totalsRowDxfId="228" dataCellStyle="Millares 2"/>
    <tableColumn id="5" name="2020" totalsRowFunction="sum" dataDxfId="227" totalsRowDxfId="226" dataCellStyle="Millares 2">
      <calculatedColumnFormula>-G62</calculatedColumnFormula>
    </tableColumn>
    <tableColumn id="6" name="2025" totalsRowFunction="sum" dataDxfId="225" totalsRowDxfId="224" dataCellStyle="Millares 2"/>
    <tableColumn id="7" name="2030" totalsRowFunction="sum" dataDxfId="223" totalsRowDxfId="222" dataCellStyle="Millares 2"/>
    <tableColumn id="8" name="2035" totalsRowFunction="sum" dataDxfId="221" totalsRowDxfId="220" dataCellStyle="Millares 2"/>
    <tableColumn id="9" name="2040" totalsRowFunction="sum" dataDxfId="219" totalsRowDxfId="218" dataCellStyle="Millares 2"/>
    <tableColumn id="10" name="2045" totalsRowFunction="sum" dataDxfId="217" totalsRowDxfId="216" dataCellStyle="Millares 2"/>
    <tableColumn id="11" name="2050" totalsRowFunction="sum" dataDxfId="215" totalsRowDxfId="214" dataCellStyle="Millares 2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7" name="III.e.Outputs" displayName="III.e.Outputs" ref="C111:M115" totalsRowCount="1" headerRowDxfId="213" dataDxfId="212" dataCellStyle="Millares 2">
  <autoFilter ref="C111:M114"/>
  <tableColumns count="11">
    <tableColumn id="1" name="Vector" totalsRowLabel="Total" dataDxfId="211" totalsRowDxfId="210"/>
    <tableColumn id="2" name="Nombre" totalsRowFunction="sum" dataDxfId="209" totalsRowDxfId="208">
      <calculatedColumnFormula>INDEX(Vectors[Descripción], MATCH(C112,Vectors[Código],FALSE))</calculatedColumnFormula>
    </tableColumn>
    <tableColumn id="3" name="Notas" totalsRowFunction="sum" dataDxfId="207" totalsRowDxfId="206"/>
    <tableColumn id="4" name="2015" totalsRowFunction="sum" dataDxfId="205" totalsRowDxfId="204" dataCellStyle="Millares 2">
      <calculatedColumnFormula>-#REF!</calculatedColumnFormula>
    </tableColumn>
    <tableColumn id="5" name="2020" totalsRowFunction="sum" dataDxfId="203" totalsRowDxfId="202" dataCellStyle="Millares 2"/>
    <tableColumn id="6" name="2025" totalsRowFunction="sum" dataDxfId="201" totalsRowDxfId="200" dataCellStyle="Millares 2"/>
    <tableColumn id="7" name="2030" totalsRowFunction="sum" dataDxfId="199" totalsRowDxfId="198" dataCellStyle="Millares 2"/>
    <tableColumn id="8" name="2035" totalsRowFunction="sum" dataDxfId="197" totalsRowDxfId="196" dataCellStyle="Millares 2"/>
    <tableColumn id="9" name="2040" totalsRowFunction="sum" dataDxfId="195" totalsRowDxfId="194" dataCellStyle="Millares 2"/>
    <tableColumn id="10" name="2045" totalsRowFunction="sum" dataDxfId="193" totalsRowDxfId="192" dataCellStyle="Millares 2"/>
    <tableColumn id="11" name="2050" totalsRowFunction="sum" dataDxfId="191" totalsRowDxfId="190" dataCellStyle="Millares 2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23" name="IV.a.Outputs" displayName="IV.a.Outputs" ref="C77:M80" totalsRowCount="1" headerRowDxfId="189" headerRowBorderDxfId="188" tableBorderDxfId="187" headerRowCellStyle="Normal 20">
  <autoFilter ref="C77:M79"/>
  <tableColumns count="11">
    <tableColumn id="1" name="Vector" totalsRowLabel="Total" dataDxfId="186" totalsRowDxfId="185" dataCellStyle="Normal 20"/>
    <tableColumn id="2" name="Nombre" totalsRowDxfId="184"/>
    <tableColumn id="3" name="Notas" dataDxfId="183" totalsRowDxfId="182" dataCellStyle="Normal 20"/>
    <tableColumn id="4" name="2015" totalsRowFunction="sum" totalsRowDxfId="181">
      <calculatedColumnFormula>-F51</calculatedColumnFormula>
    </tableColumn>
    <tableColumn id="5" name="2020" totalsRowFunction="sum" totalsRowDxfId="180">
      <calculatedColumnFormula>-G51</calculatedColumnFormula>
    </tableColumn>
    <tableColumn id="6" name="2025" totalsRowFunction="sum" totalsRowDxfId="179">
      <calculatedColumnFormula>-H51</calculatedColumnFormula>
    </tableColumn>
    <tableColumn id="7" name="2030" totalsRowFunction="sum" totalsRowDxfId="178">
      <calculatedColumnFormula>-I51</calculatedColumnFormula>
    </tableColumn>
    <tableColumn id="8" name="2035" totalsRowFunction="sum" totalsRowDxfId="177">
      <calculatedColumnFormula>-J51</calculatedColumnFormula>
    </tableColumn>
    <tableColumn id="9" name="2040" totalsRowFunction="sum" totalsRowDxfId="176">
      <calculatedColumnFormula>-K51</calculatedColumnFormula>
    </tableColumn>
    <tableColumn id="10" name="2045" totalsRowFunction="sum" totalsRowDxfId="175">
      <calculatedColumnFormula>-L51</calculatedColumnFormula>
    </tableColumn>
    <tableColumn id="11" name="2050" totalsRowFunction="sum" dataDxfId="174" totalsRowDxfId="173">
      <calculatedColumnFormula>-M51</calculatedColumnFormula>
    </tableColumn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id="28" name="V.a.Outputs" displayName="V.a.Outputs" ref="C65:M68" totalsRowCount="1" headerRowDxfId="172" headerRowBorderDxfId="171" tableBorderDxfId="170" headerRowCellStyle="Normal 20">
  <autoFilter ref="C65:M67"/>
  <tableColumns count="11">
    <tableColumn id="1" name="Vector" totalsRowLabel="Total" dataDxfId="169" totalsRowDxfId="168" dataCellStyle="Normal 20"/>
    <tableColumn id="2" name="Nombre" dataDxfId="167" totalsRowDxfId="166" dataCellStyle="Normal 20"/>
    <tableColumn id="3" name="Notas" dataDxfId="165" totalsRowDxfId="164" dataCellStyle="Normal 20"/>
    <tableColumn id="4" name="2015" totalsRowFunction="sum" dataDxfId="163" totalsRowDxfId="162">
      <calculatedColumnFormula>F36/1000</calculatedColumnFormula>
    </tableColumn>
    <tableColumn id="5" name="2020" totalsRowFunction="sum" totalsRowDxfId="161">
      <calculatedColumnFormula>-#REF!</calculatedColumnFormula>
    </tableColumn>
    <tableColumn id="6" name="2025" totalsRowFunction="sum" totalsRowDxfId="160">
      <calculatedColumnFormula>-#REF!</calculatedColumnFormula>
    </tableColumn>
    <tableColumn id="7" name="2030" totalsRowFunction="sum" totalsRowDxfId="159">
      <calculatedColumnFormula>-#REF!</calculatedColumnFormula>
    </tableColumn>
    <tableColumn id="8" name="2035" totalsRowFunction="sum" totalsRowDxfId="158">
      <calculatedColumnFormula>-#REF!</calculatedColumnFormula>
    </tableColumn>
    <tableColumn id="9" name="2040" totalsRowFunction="sum" totalsRowDxfId="157">
      <calculatedColumnFormula>-#REF!</calculatedColumnFormula>
    </tableColumn>
    <tableColumn id="10" name="2045" totalsRowFunction="sum" totalsRowDxfId="156">
      <calculatedColumnFormula>-#REF!</calculatedColumnFormula>
    </tableColumn>
    <tableColumn id="11" name="2050" totalsRowFunction="sum" totalsRowDxfId="155">
      <calculatedColumnFormula>-#REF!</calculatedColumnFormula>
    </tableColumn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id="29" name="V.b.Outputs" displayName="V.b.Outputs" ref="C69:M72" totalsRowCount="1" headerRowDxfId="154" headerRowBorderDxfId="153" tableBorderDxfId="152" headerRowCellStyle="Normal 20">
  <autoFilter ref="C69:M71"/>
  <tableColumns count="11">
    <tableColumn id="1" name="Vector" totalsRowLabel="Total" dataDxfId="151" totalsRowDxfId="150" dataCellStyle="Normal 20"/>
    <tableColumn id="2" name="Nombre" dataDxfId="149" totalsRowDxfId="148" dataCellStyle="Normal 16">
      <calculatedColumnFormula>INDEX(Vectors[Descripción], MATCH(C70,Vectors[Código],FALSE))</calculatedColumnFormula>
    </tableColumn>
    <tableColumn id="3" name="Notas" dataDxfId="147" totalsRowDxfId="146" dataCellStyle="Normal 20"/>
    <tableColumn id="4" name="2015" totalsRowFunction="sum" dataDxfId="145" totalsRowDxfId="144">
      <calculatedColumnFormula>F40/1000</calculatedColumnFormula>
    </tableColumn>
    <tableColumn id="5" name="2020" totalsRowFunction="sum" totalsRowDxfId="143">
      <calculatedColumnFormula>-#REF!</calculatedColumnFormula>
    </tableColumn>
    <tableColumn id="6" name="2025" totalsRowFunction="sum" totalsRowDxfId="142">
      <calculatedColumnFormula>-#REF!</calculatedColumnFormula>
    </tableColumn>
    <tableColumn id="7" name="2030" totalsRowFunction="sum" totalsRowDxfId="141">
      <calculatedColumnFormula>-#REF!</calculatedColumnFormula>
    </tableColumn>
    <tableColumn id="8" name="2035" totalsRowFunction="sum" totalsRowDxfId="140">
      <calculatedColumnFormula>-#REF!</calculatedColumnFormula>
    </tableColumn>
    <tableColumn id="9" name="2040" totalsRowFunction="sum" totalsRowDxfId="139">
      <calculatedColumnFormula>-#REF!</calculatedColumnFormula>
    </tableColumn>
    <tableColumn id="10" name="2045" totalsRowFunction="sum" totalsRowDxfId="138">
      <calculatedColumnFormula>-#REF!</calculatedColumnFormula>
    </tableColumn>
    <tableColumn id="11" name="2050" totalsRowFunction="sum" totalsRowDxfId="137">
      <calculatedColumnFormula>-#REF!</calculatedColumnFormula>
    </tableColumn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id="12" name="X.a.Outputs" displayName="X.a.Outputs" ref="C1268:M1280" totalsRowCount="1" headerRowDxfId="136" dataDxfId="135" headerRowCellStyle="Normal 16" dataCellStyle="Millares 2">
  <autoFilter ref="C1268:M1279"/>
  <tableColumns count="11">
    <tableColumn id="1" name="Vector" totalsRowLabel="Total" dataDxfId="134" totalsRowDxfId="133" dataCellStyle="Normal 16"/>
    <tableColumn id="2" name="Nombre" dataDxfId="132" totalsRowDxfId="131" dataCellStyle="Normal 16"/>
    <tableColumn id="3" name="Notas" dataDxfId="130" totalsRowDxfId="129" dataCellStyle="Normal 16"/>
    <tableColumn id="4" name="2015" totalsRowFunction="sum" dataDxfId="128" totalsRowDxfId="127" dataCellStyle="Millares 2"/>
    <tableColumn id="5" name="2020" totalsRowFunction="sum" dataDxfId="126" totalsRowDxfId="125" dataCellStyle="Millares 2"/>
    <tableColumn id="6" name="2025" totalsRowFunction="sum" dataDxfId="124" totalsRowDxfId="123" dataCellStyle="Millares 2"/>
    <tableColumn id="7" name="2030" totalsRowFunction="sum" dataDxfId="122" totalsRowDxfId="121" dataCellStyle="Millares 2"/>
    <tableColumn id="8" name="2035" totalsRowFunction="sum" dataDxfId="120" totalsRowDxfId="119" dataCellStyle="Millares 2"/>
    <tableColumn id="9" name="2040" totalsRowFunction="sum" dataDxfId="118" totalsRowDxfId="117" dataCellStyle="Millares 2"/>
    <tableColumn id="10" name="2045" totalsRowFunction="sum" dataDxfId="116" totalsRowDxfId="115" dataCellStyle="Millares 2"/>
    <tableColumn id="11" name="2050" totalsRowFunction="sum" dataDxfId="114" totalsRowDxfId="113" dataCellStyle="Millares 2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id="21" name="X.b.Outputs" displayName="X.b.Outputs" ref="C285:M297" totalsRowCount="1" headerRowDxfId="112" dataDxfId="111" tableBorderDxfId="110" headerRowCellStyle="Normal 16" dataCellStyle="Normal 16">
  <autoFilter ref="C285:M296"/>
  <tableColumns count="11">
    <tableColumn id="1" name="Vector" totalsRowLabel="Total" dataDxfId="109" totalsRowDxfId="108" dataCellStyle="Normal 16"/>
    <tableColumn id="2" name="Nombre" dataDxfId="107" totalsRowDxfId="106" dataCellStyle="Normal 16">
      <calculatedColumnFormula>INDEX(Vectors[Descripción], MATCH(C286,Vectors[Código],FALSE))</calculatedColumnFormula>
    </tableColumn>
    <tableColumn id="3" name="Notas" dataDxfId="105" totalsRowDxfId="104" dataCellStyle="Normal 16"/>
    <tableColumn id="4" name="2015" totalsRowFunction="sum" dataDxfId="103" totalsRowDxfId="102" dataCellStyle="Normal 16"/>
    <tableColumn id="5" name="2020" totalsRowFunction="sum" dataDxfId="101" totalsRowDxfId="100" dataCellStyle="Normal 16"/>
    <tableColumn id="6" name="2025" totalsRowFunction="sum" dataDxfId="99" totalsRowDxfId="98" dataCellStyle="Normal 16"/>
    <tableColumn id="7" name="2030" totalsRowFunction="sum" dataDxfId="97" totalsRowDxfId="96" dataCellStyle="Normal 16"/>
    <tableColumn id="8" name="2035" totalsRowFunction="sum" dataDxfId="95" totalsRowDxfId="94" dataCellStyle="Normal 16"/>
    <tableColumn id="9" name="2040" totalsRowFunction="sum" dataDxfId="93" totalsRowDxfId="92" dataCellStyle="Normal 16"/>
    <tableColumn id="10" name="2045" totalsRowFunction="sum" dataDxfId="91" totalsRowDxfId="90" dataCellStyle="Normal 16"/>
    <tableColumn id="11" name="2050" totalsRowFunction="sum" dataDxfId="89" totalsRowDxfId="88" dataCellStyle="Normal 16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id="20" name="XI.a.Outputs" displayName="XI.a.Outputs" ref="C787:M794" totalsRowCount="1" headerRowDxfId="87" dataDxfId="86" totalsRowDxfId="85" headerRowCellStyle="Normal 12 4" dataCellStyle="Millares 2" totalsRowCellStyle="Millares 2">
  <autoFilter ref="C787:M793"/>
  <tableColumns count="11">
    <tableColumn id="1" name="Vector" totalsRowLabel="Total" dataDxfId="84" totalsRowDxfId="83" dataCellStyle="Normal 12 4"/>
    <tableColumn id="2" name="Nombre" dataDxfId="82" totalsRowDxfId="81">
      <calculatedColumnFormula>INDEX(Vectors[Descripción], MATCH(C788,Vectors[Código],FALSE))</calculatedColumnFormula>
    </tableColumn>
    <tableColumn id="3" name="Notas" dataDxfId="80" totalsRowDxfId="79" dataCellStyle="Normal 12 4"/>
    <tableColumn id="4" name="2015" totalsRowFunction="sum" dataDxfId="78" totalsRowDxfId="77" dataCellStyle="Millares 2"/>
    <tableColumn id="5" name="2020" totalsRowFunction="sum" dataDxfId="76" totalsRowDxfId="75" dataCellStyle="Millares 2"/>
    <tableColumn id="6" name="2025" totalsRowFunction="sum" dataDxfId="74" totalsRowDxfId="73" dataCellStyle="Millares 2"/>
    <tableColumn id="7" name="2030" totalsRowFunction="sum" dataDxfId="72" totalsRowDxfId="71" dataCellStyle="Millares 2"/>
    <tableColumn id="8" name="2035" totalsRowFunction="sum" dataDxfId="70" totalsRowDxfId="69" dataCellStyle="Millares 2"/>
    <tableColumn id="9" name="2040" totalsRowFunction="sum" dataDxfId="68" totalsRowDxfId="67" dataCellStyle="Millares 2"/>
    <tableColumn id="10" name="2045" totalsRowFunction="sum" dataDxfId="66" totalsRowDxfId="65" dataCellStyle="Millares 2"/>
    <tableColumn id="11" name="2050" totalsRowFunction="sum" dataDxfId="64" totalsRowDxfId="63" dataCellStyle="Millares 2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id="10" name="XII.a.Outputs" displayName="XII.a.Outputs" ref="C574:M583" totalsRowCount="1" headerRowDxfId="62" dataDxfId="61" dataCellStyle="Millares">
  <autoFilter ref="C574:M582"/>
  <tableColumns count="11">
    <tableColumn id="1" name="Vector" totalsRowLabel="Total" dataDxfId="60" totalsRowDxfId="59"/>
    <tableColumn id="2" name="Nombre" dataDxfId="58" totalsRowDxfId="57">
      <calculatedColumnFormula>INDEX(Vectors[Descripción], MATCH(C575,Vectors[Código],FALSE))</calculatedColumnFormula>
    </tableColumn>
    <tableColumn id="3" name="Notas" dataDxfId="56" totalsRowDxfId="55"/>
    <tableColumn id="4" name="2015" totalsRowFunction="sum" dataDxfId="54" totalsRowDxfId="53" dataCellStyle="Millares"/>
    <tableColumn id="5" name="2020" totalsRowFunction="sum" dataDxfId="52" totalsRowDxfId="51" dataCellStyle="Millares"/>
    <tableColumn id="6" name="2025" totalsRowFunction="sum" dataDxfId="50" totalsRowDxfId="49" dataCellStyle="Millares"/>
    <tableColumn id="7" name="2030" totalsRowFunction="sum" dataDxfId="48" totalsRowDxfId="47" dataCellStyle="Millares"/>
    <tableColumn id="8" name="2035" totalsRowFunction="sum" dataDxfId="46" totalsRowDxfId="45" dataCellStyle="Millares"/>
    <tableColumn id="9" name="2040" totalsRowFunction="sum" dataDxfId="44" totalsRowDxfId="43" dataCellStyle="Millares"/>
    <tableColumn id="10" name="2045" totalsRowFunction="sum" dataDxfId="42" totalsRowDxfId="41" dataCellStyle="Millares"/>
    <tableColumn id="11" name="2050" totalsRowFunction="sum" dataDxfId="40" totalsRowDxfId="39" dataCellStyle="Millares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id="11" name="XII.b.Outputs" displayName="XII.b.Outputs" ref="C245:M253" totalsRowCount="1" headerRowDxfId="38" dataDxfId="37" dataCellStyle="Millares">
  <autoFilter ref="C245:M252"/>
  <tableColumns count="11">
    <tableColumn id="1" name="Vector" totalsRowLabel="Total" dataDxfId="36" totalsRowDxfId="35"/>
    <tableColumn id="2" name="Nombre" dataDxfId="34" totalsRowDxfId="33">
      <calculatedColumnFormula>INDEX(Vectors[Descripción], MATCH(C246,Vectors[Código],FALSE))</calculatedColumnFormula>
    </tableColumn>
    <tableColumn id="3" name="Notas" dataDxfId="32" totalsRowDxfId="31"/>
    <tableColumn id="4" name="2015" totalsRowFunction="sum" dataDxfId="30" totalsRowDxfId="29" dataCellStyle="Millares"/>
    <tableColumn id="5" name="2020" totalsRowFunction="sum" dataDxfId="28" totalsRowDxfId="27" dataCellStyle="Millares"/>
    <tableColumn id="6" name="2025" totalsRowFunction="sum" dataDxfId="26" totalsRowDxfId="25" dataCellStyle="Millares"/>
    <tableColumn id="7" name="2030" totalsRowFunction="sum" dataDxfId="24" totalsRowDxfId="23" dataCellStyle="Millares"/>
    <tableColumn id="8" name="2035" totalsRowFunction="sum" dataDxfId="22" totalsRowDxfId="21" dataCellStyle="Millares"/>
    <tableColumn id="9" name="2040" totalsRowFunction="sum" dataDxfId="20" totalsRowDxfId="19" dataCellStyle="Millares"/>
    <tableColumn id="10" name="2045" totalsRowFunction="sum" dataDxfId="18" totalsRowDxfId="17" dataCellStyle="Millares"/>
    <tableColumn id="11" name="2050" totalsRowFunction="sum" dataDxfId="16" totalsRowDxfId="15" dataCellStyle="Millares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id="6" name="XV.b.Outputs" displayName="XV.b.Outputs" ref="C134:M141" totalsRowCount="1" headerRowDxfId="14">
  <autoFilter ref="C134:M140"/>
  <tableColumns count="11">
    <tableColumn id="1" name="Vector" totalsRowLabel="Total" dataDxfId="13" totalsRowDxfId="12"/>
    <tableColumn id="2" name="Nombre" dataDxfId="11" totalsRowDxfId="10">
      <calculatedColumnFormula>INDEX(Vectors[Descripción], MATCH(C135,Vectors[Código],FALSE))</calculatedColumnFormula>
    </tableColumn>
    <tableColumn id="3" name="Notas" dataDxfId="9" totalsRowDxfId="8" dataCellStyle="Normal 20 2"/>
    <tableColumn id="4" name="2015" totalsRowFunction="sum" totalsRowDxfId="7"/>
    <tableColumn id="5" name="2020" totalsRowFunction="sum" totalsRowDxfId="6"/>
    <tableColumn id="6" name="2025" totalsRowFunction="sum" totalsRowDxfId="5"/>
    <tableColumn id="7" name="2030" totalsRowFunction="sum" totalsRowDxfId="4"/>
    <tableColumn id="8" name="2035" totalsRowFunction="sum" totalsRowDxfId="3"/>
    <tableColumn id="9" name="2040" totalsRowFunction="sum" totalsRowDxfId="2"/>
    <tableColumn id="10" name="2045" totalsRowFunction="sum" totalsRowDxfId="1"/>
    <tableColumn id="11" name="2050" totalsRowFunction="sum" totalsRow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hyperlink" Target="http://www.minenergia.cl/archivos_bajar/Estudios/Potencial_ER_en_Chile_AC.pdf" TargetMode="External"/><Relationship Id="rId1" Type="http://schemas.openxmlformats.org/officeDocument/2006/relationships/hyperlink" Target="http://energiaabierta.cne.cl/reportes/" TargetMode="External"/><Relationship Id="rId4" Type="http://schemas.openxmlformats.org/officeDocument/2006/relationships/table" Target="../tables/table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.bin"/><Relationship Id="rId2" Type="http://schemas.openxmlformats.org/officeDocument/2006/relationships/hyperlink" Target="http://www.induambiente.com/destacamos/el-valor-de-la-gestion" TargetMode="External"/><Relationship Id="rId1" Type="http://schemas.openxmlformats.org/officeDocument/2006/relationships/hyperlink" Target="http://www.gestionaenergia.cl/pdf/ISO50001.pdf" TargetMode="External"/><Relationship Id="rId4" Type="http://schemas.openxmlformats.org/officeDocument/2006/relationships/table" Target="../tables/table17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printerSettings" Target="../printerSettings/printerSettings20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1.bin"/><Relationship Id="rId1" Type="http://schemas.openxmlformats.org/officeDocument/2006/relationships/hyperlink" Target="http://www.ccsassociation.org/what-is-ccs/" TargetMode="Externa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2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2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BG909"/>
  <sheetViews>
    <sheetView showGridLines="0" tabSelected="1" topLeftCell="D1" zoomScale="55" zoomScaleNormal="55" workbookViewId="0">
      <selection activeCell="I48" sqref="I48"/>
    </sheetView>
  </sheetViews>
  <sheetFormatPr baseColWidth="10" defaultColWidth="9.140625" defaultRowHeight="21" x14ac:dyDescent="0.35"/>
  <cols>
    <col min="1" max="1" width="6.42578125" style="1930" customWidth="1"/>
    <col min="2" max="2" width="46" style="1930" customWidth="1"/>
    <col min="3" max="3" width="17.140625" style="1930" customWidth="1"/>
    <col min="4" max="4" width="112" style="1930" bestFit="1" customWidth="1"/>
    <col min="5" max="5" width="1.42578125" style="1930" customWidth="1"/>
    <col min="6" max="6" width="24.85546875" style="1966" customWidth="1"/>
    <col min="7" max="7" width="1.42578125" style="1930" customWidth="1"/>
    <col min="8" max="11" width="45.42578125" style="3565" customWidth="1"/>
    <col min="12" max="12" width="5.5703125" style="453" bestFit="1" customWidth="1"/>
    <col min="13" max="13" width="21.28515625" style="453" customWidth="1"/>
    <col min="14" max="14" width="21.28515625" customWidth="1"/>
    <col min="15" max="15" width="31.28515625" customWidth="1"/>
    <col min="16" max="16" width="27.7109375" customWidth="1"/>
    <col min="17" max="17" width="36.28515625" style="70" customWidth="1"/>
    <col min="18" max="18" width="21.28515625" style="70" customWidth="1"/>
    <col min="19" max="25" width="17.7109375" style="70" customWidth="1"/>
    <col min="26" max="26" width="17.7109375" style="3537" customWidth="1"/>
    <col min="27" max="27" width="17.7109375" style="70" customWidth="1"/>
    <col min="28" max="28" width="12.42578125" style="70" customWidth="1"/>
    <col min="29" max="29" width="57.140625" customWidth="1"/>
    <col min="30" max="37" width="12.5703125" customWidth="1"/>
    <col min="40" max="40" width="49.28515625" customWidth="1"/>
    <col min="41" max="41" width="36.5703125" customWidth="1"/>
    <col min="42" max="47" width="12.42578125" customWidth="1"/>
    <col min="48" max="48" width="15" customWidth="1"/>
    <col min="60" max="16384" width="9.140625" style="70"/>
  </cols>
  <sheetData>
    <row r="1" spans="5:59" ht="15" x14ac:dyDescent="0.25">
      <c r="E1" s="453"/>
      <c r="F1" s="453"/>
      <c r="G1" s="453"/>
      <c r="H1" s="453"/>
      <c r="I1" s="453"/>
      <c r="J1" s="453"/>
      <c r="K1" s="453"/>
    </row>
    <row r="2" spans="5:59" ht="15" x14ac:dyDescent="0.25">
      <c r="E2" s="453"/>
      <c r="F2" s="453"/>
      <c r="G2" s="453"/>
      <c r="H2" s="453"/>
      <c r="I2" s="453"/>
      <c r="J2" s="453"/>
      <c r="K2" s="453"/>
    </row>
    <row r="3" spans="5:59" ht="15" x14ac:dyDescent="0.25">
      <c r="E3" s="453"/>
      <c r="F3" s="453"/>
      <c r="G3" s="453"/>
      <c r="H3" s="453"/>
      <c r="I3" s="453"/>
      <c r="J3" s="453"/>
      <c r="K3" s="453"/>
    </row>
    <row r="4" spans="5:59" s="1930" customFormat="1" ht="15" x14ac:dyDescent="0.25">
      <c r="E4" s="453"/>
      <c r="F4" s="453"/>
      <c r="G4" s="453"/>
      <c r="H4" s="453"/>
      <c r="I4" s="453"/>
      <c r="J4" s="453"/>
      <c r="K4" s="453"/>
      <c r="L4" s="453"/>
      <c r="M4" s="453"/>
      <c r="N4" s="453"/>
      <c r="O4" s="453"/>
      <c r="P4" s="453"/>
      <c r="Z4" s="3537"/>
      <c r="AC4" s="453"/>
      <c r="AD4" s="453"/>
      <c r="AE4" s="453"/>
      <c r="AF4" s="453"/>
      <c r="AG4" s="453"/>
      <c r="AH4" s="453"/>
      <c r="AI4" s="453"/>
      <c r="AJ4" s="453"/>
      <c r="AK4" s="453"/>
      <c r="AL4" s="453"/>
      <c r="AM4" s="453"/>
      <c r="AN4" s="453"/>
      <c r="AO4" s="453"/>
      <c r="AP4" s="453"/>
      <c r="AQ4" s="453"/>
      <c r="AR4" s="453"/>
      <c r="AS4" s="453"/>
      <c r="AT4" s="453"/>
      <c r="AU4" s="453"/>
      <c r="AV4" s="453"/>
      <c r="AW4" s="453"/>
      <c r="AX4" s="453"/>
      <c r="AY4" s="453"/>
      <c r="AZ4" s="453"/>
      <c r="BA4" s="453"/>
      <c r="BB4" s="453"/>
      <c r="BC4" s="453"/>
      <c r="BD4" s="453"/>
      <c r="BE4" s="453"/>
      <c r="BF4" s="453"/>
      <c r="BG4" s="453"/>
    </row>
    <row r="5" spans="5:59" ht="15" x14ac:dyDescent="0.25">
      <c r="E5" s="453"/>
      <c r="F5" s="453"/>
      <c r="G5" s="453"/>
      <c r="H5" s="453"/>
      <c r="I5" s="453"/>
      <c r="J5" s="453"/>
      <c r="K5" s="453"/>
    </row>
    <row r="6" spans="5:59" ht="15" x14ac:dyDescent="0.25">
      <c r="E6" s="453"/>
      <c r="F6" s="453"/>
      <c r="G6" s="453"/>
      <c r="H6" s="453"/>
      <c r="I6" s="453"/>
      <c r="J6" s="453"/>
      <c r="K6" s="453"/>
    </row>
    <row r="7" spans="5:59" ht="15" x14ac:dyDescent="0.25">
      <c r="E7" s="453"/>
      <c r="F7" s="453"/>
      <c r="G7" s="453"/>
      <c r="H7" s="453"/>
      <c r="I7" s="453"/>
      <c r="J7" s="453"/>
      <c r="K7" s="453"/>
    </row>
    <row r="8" spans="5:59" ht="15" x14ac:dyDescent="0.25">
      <c r="E8" s="453"/>
      <c r="F8" s="453"/>
      <c r="G8" s="453"/>
      <c r="H8" s="453"/>
      <c r="I8" s="453"/>
      <c r="J8" s="453"/>
      <c r="K8" s="453"/>
    </row>
    <row r="9" spans="5:59" ht="15" x14ac:dyDescent="0.25">
      <c r="E9" s="453"/>
      <c r="F9" s="453"/>
      <c r="G9" s="453"/>
      <c r="H9" s="453"/>
      <c r="I9" s="453"/>
      <c r="J9" s="453"/>
      <c r="K9" s="453"/>
    </row>
    <row r="10" spans="5:59" ht="15" x14ac:dyDescent="0.25">
      <c r="E10" s="453"/>
      <c r="F10" s="453"/>
      <c r="G10" s="453"/>
      <c r="H10" s="453"/>
      <c r="I10" s="453"/>
      <c r="J10" s="453"/>
      <c r="K10" s="453"/>
    </row>
    <row r="11" spans="5:59" ht="15" x14ac:dyDescent="0.25">
      <c r="E11" s="453"/>
      <c r="F11" s="453"/>
      <c r="G11" s="453"/>
      <c r="H11" s="453"/>
      <c r="I11" s="453"/>
      <c r="J11" s="453"/>
      <c r="K11" s="453"/>
    </row>
    <row r="12" spans="5:59" ht="23.25" x14ac:dyDescent="0.35">
      <c r="E12" s="453"/>
      <c r="F12" s="453"/>
      <c r="G12" s="453"/>
      <c r="H12" s="453"/>
      <c r="I12" s="453"/>
      <c r="J12" s="453"/>
      <c r="K12" s="453"/>
      <c r="N12" s="3509"/>
    </row>
    <row r="13" spans="5:59" ht="23.25" x14ac:dyDescent="0.35">
      <c r="E13" s="453"/>
      <c r="F13" s="453"/>
      <c r="G13" s="453"/>
      <c r="H13" s="453"/>
      <c r="I13" s="453"/>
      <c r="J13" s="453"/>
      <c r="K13" s="453"/>
      <c r="M13" s="3494"/>
      <c r="N13" s="3495"/>
    </row>
    <row r="14" spans="5:59" ht="23.25" x14ac:dyDescent="0.35">
      <c r="E14" s="453"/>
      <c r="F14" s="453"/>
      <c r="G14" s="453"/>
      <c r="H14" s="453"/>
      <c r="I14" s="453"/>
      <c r="J14" s="453"/>
      <c r="K14" s="453"/>
      <c r="N14" s="3493"/>
    </row>
    <row r="15" spans="5:59" ht="15" x14ac:dyDescent="0.25">
      <c r="E15" s="453"/>
      <c r="F15" s="453"/>
      <c r="G15" s="453"/>
      <c r="H15" s="453"/>
      <c r="I15" s="453"/>
      <c r="J15" s="453"/>
      <c r="K15" s="453"/>
    </row>
    <row r="16" spans="5:59" ht="15" x14ac:dyDescent="0.25">
      <c r="E16" s="453"/>
      <c r="F16" s="453"/>
      <c r="G16" s="453"/>
      <c r="H16" s="453"/>
      <c r="I16" s="453"/>
      <c r="J16" s="453"/>
      <c r="K16" s="453"/>
    </row>
    <row r="17" spans="4:33" ht="15" x14ac:dyDescent="0.25">
      <c r="E17" s="453"/>
      <c r="F17" s="453"/>
      <c r="G17" s="453"/>
      <c r="H17" s="453"/>
      <c r="I17" s="453"/>
      <c r="J17" s="453"/>
      <c r="K17" s="453"/>
    </row>
    <row r="18" spans="4:33" ht="15" x14ac:dyDescent="0.25">
      <c r="E18" s="453"/>
      <c r="F18" s="453"/>
      <c r="G18" s="453"/>
      <c r="H18" s="453"/>
      <c r="I18" s="453"/>
      <c r="J18" s="453"/>
      <c r="K18" s="453"/>
      <c r="S18"/>
      <c r="T18"/>
      <c r="U18"/>
      <c r="V18"/>
      <c r="W18"/>
    </row>
    <row r="19" spans="4:33" ht="15" x14ac:dyDescent="0.25">
      <c r="E19" s="453"/>
      <c r="F19" s="453"/>
      <c r="G19" s="453"/>
      <c r="H19" s="453"/>
      <c r="I19" s="453"/>
      <c r="J19" s="453"/>
      <c r="K19" s="453"/>
      <c r="S19"/>
      <c r="T19"/>
      <c r="U19"/>
      <c r="V19"/>
      <c r="W19"/>
    </row>
    <row r="20" spans="4:33" ht="23.25" x14ac:dyDescent="0.35">
      <c r="E20" s="453"/>
      <c r="F20" s="453"/>
      <c r="G20" s="453"/>
      <c r="H20" s="453"/>
      <c r="I20" s="453"/>
      <c r="J20" s="453"/>
      <c r="K20" s="453"/>
      <c r="T20" s="3510"/>
      <c r="U20" s="3510"/>
      <c r="V20" s="3510"/>
    </row>
    <row r="21" spans="4:33" ht="23.25" x14ac:dyDescent="0.35">
      <c r="E21" s="453"/>
      <c r="F21" s="453"/>
      <c r="G21" s="453"/>
      <c r="H21" s="453"/>
      <c r="I21" s="453"/>
      <c r="J21" s="453"/>
      <c r="K21" s="453"/>
      <c r="T21" s="3512"/>
      <c r="U21" s="3512"/>
      <c r="V21" s="3512"/>
      <c r="AC21" s="3520"/>
      <c r="AF21" s="70"/>
      <c r="AG21" s="70"/>
    </row>
    <row r="22" spans="4:33" ht="15" x14ac:dyDescent="0.25">
      <c r="E22" s="453"/>
      <c r="F22" s="453"/>
      <c r="G22" s="453"/>
      <c r="H22" s="453"/>
      <c r="I22" s="453"/>
      <c r="J22" s="453"/>
      <c r="K22" s="453"/>
      <c r="M22"/>
      <c r="P22" s="70"/>
      <c r="AC22" s="3247"/>
      <c r="AF22" s="70"/>
      <c r="AG22" s="70"/>
    </row>
    <row r="23" spans="4:33" ht="23.25" x14ac:dyDescent="0.35">
      <c r="E23" s="453"/>
      <c r="F23" s="453"/>
      <c r="G23" s="453"/>
      <c r="H23" s="453"/>
      <c r="I23" s="453"/>
      <c r="J23" s="453"/>
      <c r="K23" s="453"/>
      <c r="M23"/>
      <c r="P23" s="70"/>
      <c r="AC23" s="3520"/>
      <c r="AD23" s="3509"/>
    </row>
    <row r="24" spans="4:33" ht="15" x14ac:dyDescent="0.25">
      <c r="E24" s="453"/>
      <c r="F24" s="453"/>
      <c r="G24" s="453"/>
      <c r="H24" s="453"/>
      <c r="I24" s="453"/>
      <c r="J24" s="453"/>
      <c r="K24" s="453"/>
      <c r="M24"/>
      <c r="P24" s="70"/>
    </row>
    <row r="25" spans="4:33" ht="23.25" x14ac:dyDescent="0.35">
      <c r="E25" s="453"/>
      <c r="F25" s="453"/>
      <c r="G25" s="453"/>
      <c r="H25" s="453"/>
      <c r="I25" s="453"/>
      <c r="J25" s="453"/>
      <c r="K25" s="453"/>
      <c r="M25" s="3520"/>
      <c r="P25" s="70"/>
      <c r="AC25" s="3507"/>
      <c r="AD25" s="3247"/>
      <c r="AE25" s="3510"/>
      <c r="AF25" s="3511"/>
      <c r="AG25" s="3511"/>
    </row>
    <row r="26" spans="4:33" ht="23.25" x14ac:dyDescent="0.35">
      <c r="F26" s="1930"/>
      <c r="H26" s="1930"/>
      <c r="I26" s="1930"/>
      <c r="J26" s="1930"/>
      <c r="K26" s="1930"/>
      <c r="L26" s="1930"/>
      <c r="M26" s="3247"/>
      <c r="P26" s="70"/>
      <c r="AC26" s="3508"/>
      <c r="AD26" s="3247"/>
      <c r="AE26" s="3512"/>
      <c r="AF26" s="3513"/>
      <c r="AG26" s="3513"/>
    </row>
    <row r="27" spans="4:33" ht="23.25" x14ac:dyDescent="0.35">
      <c r="F27" s="1930"/>
      <c r="H27" s="1930"/>
      <c r="I27" s="1930"/>
      <c r="J27" s="1930"/>
      <c r="K27" s="1930"/>
      <c r="L27" s="1930"/>
      <c r="M27" s="3520"/>
      <c r="O27" s="3510"/>
      <c r="P27" s="3511"/>
      <c r="Q27" s="3511"/>
      <c r="S27" s="3519"/>
      <c r="T27" s="3496"/>
      <c r="U27"/>
      <c r="V27"/>
      <c r="AC27" s="70"/>
      <c r="AD27" s="70"/>
      <c r="AE27" s="70"/>
      <c r="AF27" s="70"/>
    </row>
    <row r="28" spans="4:33" ht="23.25" x14ac:dyDescent="0.35">
      <c r="F28" s="1930"/>
      <c r="H28" s="1930"/>
      <c r="I28" s="1930"/>
      <c r="J28" s="1930"/>
      <c r="K28" s="1930"/>
      <c r="L28" s="1930"/>
      <c r="M28" s="3509"/>
      <c r="O28" s="3515">
        <f ca="1">'Resultados Intermedios'!AO39</f>
        <v>0</v>
      </c>
    </row>
    <row r="29" spans="4:33" ht="23.25" x14ac:dyDescent="0.25">
      <c r="F29" s="1930"/>
      <c r="H29" s="736"/>
      <c r="I29" s="736"/>
      <c r="J29" s="736"/>
      <c r="K29" s="736"/>
      <c r="L29" s="736"/>
      <c r="M29"/>
      <c r="P29" s="70"/>
    </row>
    <row r="30" spans="4:33" ht="23.25" x14ac:dyDescent="0.25">
      <c r="F30" s="1930"/>
      <c r="H30" s="736"/>
      <c r="I30" s="736"/>
      <c r="J30" s="736"/>
      <c r="K30" s="736"/>
      <c r="L30" s="736"/>
      <c r="M30"/>
      <c r="P30" s="70"/>
    </row>
    <row r="31" spans="4:33" ht="23.25" x14ac:dyDescent="0.25">
      <c r="F31" s="1930"/>
      <c r="H31" s="736"/>
      <c r="I31" s="736"/>
      <c r="J31" s="736"/>
      <c r="K31" s="736"/>
      <c r="L31" s="736"/>
      <c r="M31" s="736"/>
    </row>
    <row r="32" spans="4:33" ht="26.25" x14ac:dyDescent="0.4">
      <c r="D32" s="3149"/>
      <c r="E32" s="2631"/>
      <c r="F32" s="2632"/>
      <c r="G32" s="2632"/>
      <c r="H32" s="2632"/>
      <c r="I32" s="2635"/>
      <c r="J32" s="2633"/>
      <c r="K32" s="2633"/>
      <c r="L32" s="2633"/>
      <c r="M32" s="2633"/>
      <c r="N32" s="736"/>
    </row>
    <row r="33" spans="1:28" ht="27" customHeight="1" x14ac:dyDescent="0.35">
      <c r="D33" s="3150"/>
      <c r="E33" s="2636"/>
      <c r="F33" s="3151">
        <f ca="1">'Resultados Intermedios'!AC16</f>
        <v>0</v>
      </c>
      <c r="G33" s="3151"/>
      <c r="H33" s="2634">
        <f ca="1">'Resultados Intermedios'!AD16</f>
        <v>0</v>
      </c>
      <c r="I33" s="3151"/>
      <c r="J33" s="3517">
        <f ca="1">'Resultados Intermedios'!AC35</f>
        <v>0</v>
      </c>
      <c r="K33" s="3517">
        <f ca="1">'Resultados Intermedios'!AD35</f>
        <v>0</v>
      </c>
      <c r="L33" s="3151"/>
      <c r="M33" s="3151"/>
      <c r="N33" s="3536">
        <f ca="1">'Resultados Intermedios'!AR39</f>
        <v>0</v>
      </c>
      <c r="P33" s="3516">
        <f ca="1">'Resultados Intermedios'!AV39</f>
        <v>0</v>
      </c>
      <c r="S33" s="3536">
        <f ca="1">'Resultados Intermedios'!BC8</f>
        <v>0</v>
      </c>
      <c r="T33"/>
      <c r="U33" s="3536">
        <f ca="1">'Resultados Intermedios'!BG8</f>
        <v>0</v>
      </c>
    </row>
    <row r="34" spans="1:28" ht="9.75" customHeight="1" x14ac:dyDescent="0.35">
      <c r="D34" s="2635"/>
      <c r="E34" s="2636"/>
      <c r="F34" s="2634"/>
      <c r="G34" s="2634"/>
      <c r="H34" s="2634"/>
      <c r="I34" s="2635"/>
      <c r="J34" s="2634"/>
      <c r="K34" s="2634"/>
      <c r="L34" s="736"/>
      <c r="M34" s="736"/>
      <c r="N34" s="736"/>
    </row>
    <row r="35" spans="1:28" ht="6.75" customHeight="1" x14ac:dyDescent="0.35">
      <c r="D35" s="2635"/>
      <c r="E35" s="2636"/>
      <c r="F35" s="2634"/>
      <c r="G35" s="2634"/>
      <c r="H35" s="2634"/>
      <c r="I35" s="2635"/>
      <c r="J35" s="2634"/>
      <c r="K35" s="2634"/>
      <c r="L35" s="736"/>
      <c r="M35" s="736"/>
      <c r="N35" s="736"/>
    </row>
    <row r="36" spans="1:28" ht="9.75" hidden="1" customHeight="1" x14ac:dyDescent="0.35">
      <c r="D36" s="2635"/>
      <c r="E36" s="2636"/>
      <c r="F36" s="2634"/>
      <c r="G36" s="2634"/>
      <c r="H36" s="2634"/>
      <c r="I36" s="2635"/>
      <c r="J36" s="2634"/>
      <c r="K36" s="2634"/>
      <c r="L36" s="736"/>
      <c r="M36" s="736"/>
      <c r="N36" s="736"/>
    </row>
    <row r="37" spans="1:28" ht="1.5" hidden="1" customHeight="1" x14ac:dyDescent="0.35">
      <c r="B37" s="3584" t="s">
        <v>2326</v>
      </c>
      <c r="C37" s="3584"/>
      <c r="D37" s="3545">
        <f ca="1">'Resultados Intermedios'!AV34/'Resultados Intermedios'!AV21</f>
        <v>0.10460512735031371</v>
      </c>
      <c r="E37" s="2636"/>
      <c r="F37" s="2634"/>
      <c r="G37" s="2634"/>
      <c r="H37" s="2634"/>
      <c r="I37" s="2635"/>
      <c r="J37" s="2634"/>
      <c r="K37" s="2634"/>
      <c r="L37" s="736"/>
      <c r="M37" s="736"/>
      <c r="N37" s="736"/>
    </row>
    <row r="38" spans="1:28" ht="25.5" hidden="1" x14ac:dyDescent="0.25">
      <c r="B38" s="736"/>
      <c r="F38" s="1930"/>
      <c r="H38" s="2627" t="s">
        <v>2305</v>
      </c>
      <c r="I38" s="2627" t="s">
        <v>1645</v>
      </c>
      <c r="J38" s="2627" t="s">
        <v>1646</v>
      </c>
      <c r="K38" s="2627" t="s">
        <v>1647</v>
      </c>
      <c r="L38" s="736"/>
      <c r="M38" s="736" t="s">
        <v>2322</v>
      </c>
      <c r="O38" s="2729"/>
      <c r="P38" s="2729"/>
      <c r="Q38" s="736"/>
      <c r="S38"/>
      <c r="T38"/>
    </row>
    <row r="39" spans="1:28" ht="67.5" hidden="1" customHeight="1" x14ac:dyDescent="0.25">
      <c r="A39" s="453"/>
      <c r="B39" s="2627" t="s">
        <v>40</v>
      </c>
      <c r="C39" s="2627" t="s">
        <v>414</v>
      </c>
      <c r="D39" s="2627" t="s">
        <v>2288</v>
      </c>
      <c r="E39" s="453"/>
      <c r="F39" s="3528" t="s">
        <v>153</v>
      </c>
      <c r="G39" s="453"/>
      <c r="H39" s="2627" t="s">
        <v>1212</v>
      </c>
      <c r="I39" s="2627" t="s">
        <v>1214</v>
      </c>
      <c r="J39" s="2627" t="s">
        <v>1216</v>
      </c>
      <c r="K39" s="2627" t="s">
        <v>1016</v>
      </c>
      <c r="L39" s="736"/>
      <c r="M39" s="3528" t="s">
        <v>153</v>
      </c>
      <c r="N39" s="3528" t="s">
        <v>153</v>
      </c>
      <c r="O39" s="3528" t="s">
        <v>153</v>
      </c>
      <c r="P39" s="3528" t="s">
        <v>153</v>
      </c>
      <c r="Q39" s="3528" t="s">
        <v>153</v>
      </c>
      <c r="R39" s="3528" t="s">
        <v>153</v>
      </c>
      <c r="S39"/>
      <c r="T39"/>
      <c r="U39"/>
      <c r="V39"/>
      <c r="W39"/>
      <c r="X39"/>
      <c r="Y39"/>
      <c r="Z39" s="122"/>
      <c r="AA39"/>
      <c r="AB39"/>
    </row>
    <row r="40" spans="1:28" ht="3.75" customHeight="1" x14ac:dyDescent="0.3">
      <c r="A40" s="453"/>
      <c r="B40" s="1958"/>
      <c r="C40" s="1959"/>
      <c r="D40" s="1959"/>
      <c r="E40" s="453"/>
      <c r="F40" s="1964" t="s">
        <v>2323</v>
      </c>
      <c r="G40" s="453"/>
      <c r="H40" s="2625"/>
      <c r="I40" s="2625"/>
      <c r="J40" s="2625"/>
      <c r="K40" s="2625"/>
      <c r="L40" s="736"/>
      <c r="M40" s="1964"/>
      <c r="Q40"/>
      <c r="R40"/>
      <c r="S40"/>
      <c r="T40"/>
      <c r="U40"/>
      <c r="V40"/>
      <c r="W40"/>
      <c r="X40"/>
      <c r="Y40"/>
      <c r="Z40" s="122"/>
      <c r="AA40"/>
      <c r="AB40"/>
    </row>
    <row r="41" spans="1:28" ht="35.25" customHeight="1" x14ac:dyDescent="0.25">
      <c r="A41" s="453"/>
      <c r="B41" s="3448" t="s">
        <v>406</v>
      </c>
      <c r="C41" s="1961"/>
      <c r="D41" s="1961"/>
      <c r="E41" s="453"/>
      <c r="F41" s="3529" t="s">
        <v>2306</v>
      </c>
      <c r="G41" s="453"/>
      <c r="H41" s="3448" t="s">
        <v>2289</v>
      </c>
      <c r="I41" s="3448"/>
      <c r="J41" s="3448"/>
      <c r="K41" s="3448"/>
      <c r="L41" s="736"/>
      <c r="M41" s="3529" t="s">
        <v>2333</v>
      </c>
      <c r="N41" s="3529" t="s">
        <v>2334</v>
      </c>
      <c r="O41" s="3529" t="s">
        <v>2335</v>
      </c>
      <c r="P41" s="3529" t="s">
        <v>2384</v>
      </c>
      <c r="Q41" s="3529" t="s">
        <v>2336</v>
      </c>
      <c r="S41"/>
      <c r="T41"/>
      <c r="X41"/>
      <c r="Y41"/>
      <c r="Z41" s="122"/>
      <c r="AA41"/>
      <c r="AB41"/>
    </row>
    <row r="42" spans="1:28" ht="4.5" customHeight="1" x14ac:dyDescent="0.25">
      <c r="A42" s="453"/>
      <c r="B42" s="3501"/>
      <c r="C42" s="453"/>
      <c r="D42" s="453"/>
      <c r="E42" s="453"/>
      <c r="F42" s="1965" t="s">
        <v>2319</v>
      </c>
      <c r="G42" s="453"/>
      <c r="H42" s="1965"/>
      <c r="I42" s="1965"/>
      <c r="J42" s="1965"/>
      <c r="K42" s="1965"/>
      <c r="M42" s="1965" t="s">
        <v>2319</v>
      </c>
      <c r="N42" s="1965" t="s">
        <v>2319</v>
      </c>
      <c r="O42" s="1965" t="s">
        <v>2319</v>
      </c>
      <c r="P42" s="1965" t="s">
        <v>2319</v>
      </c>
      <c r="Q42" s="1965" t="s">
        <v>2319</v>
      </c>
      <c r="S42"/>
      <c r="T42"/>
      <c r="X42"/>
      <c r="Y42"/>
      <c r="Z42" s="122"/>
      <c r="AA42"/>
      <c r="AB42"/>
    </row>
    <row r="43" spans="1:28" ht="27.75" customHeight="1" x14ac:dyDescent="0.35">
      <c r="A43" s="453"/>
      <c r="B43" s="3585" t="s">
        <v>416</v>
      </c>
      <c r="C43" s="3499" t="s">
        <v>0</v>
      </c>
      <c r="D43" s="1968" t="s">
        <v>2294</v>
      </c>
      <c r="E43" s="1962"/>
      <c r="F43" s="1965" t="s">
        <v>2319</v>
      </c>
      <c r="G43" s="1962"/>
      <c r="H43" s="1965"/>
      <c r="I43" s="1965"/>
      <c r="J43" s="1965"/>
      <c r="K43" s="1965"/>
      <c r="M43" s="1965" t="s">
        <v>2319</v>
      </c>
      <c r="N43" s="1965" t="s">
        <v>2319</v>
      </c>
      <c r="O43" s="1965" t="s">
        <v>2319</v>
      </c>
      <c r="P43" s="1965" t="s">
        <v>2319</v>
      </c>
      <c r="Q43" s="1965" t="s">
        <v>2319</v>
      </c>
      <c r="S43"/>
      <c r="T43"/>
      <c r="X43"/>
      <c r="Y43"/>
      <c r="Z43" s="122"/>
      <c r="AA43"/>
      <c r="AB43"/>
    </row>
    <row r="44" spans="1:28" ht="27.75" customHeight="1" x14ac:dyDescent="0.35">
      <c r="A44" s="1962"/>
      <c r="B44" s="3586"/>
      <c r="C44" s="3500"/>
      <c r="D44" s="1970" t="s">
        <v>4</v>
      </c>
      <c r="E44" s="1962"/>
      <c r="F44" s="3504">
        <v>1</v>
      </c>
      <c r="G44" s="1962"/>
      <c r="H44" s="3524" t="s">
        <v>2337</v>
      </c>
      <c r="I44" s="3524" t="s">
        <v>2374</v>
      </c>
      <c r="J44" s="3525"/>
      <c r="K44" s="3525"/>
      <c r="M44" s="3504">
        <v>1</v>
      </c>
      <c r="N44" s="3504">
        <v>1</v>
      </c>
      <c r="O44" s="3504">
        <v>1</v>
      </c>
      <c r="P44" s="3504">
        <v>1</v>
      </c>
      <c r="Q44" s="3504">
        <v>1</v>
      </c>
      <c r="S44"/>
      <c r="T44"/>
      <c r="X44" s="3506"/>
      <c r="Y44"/>
      <c r="Z44" s="122"/>
      <c r="AA44"/>
      <c r="AB44"/>
    </row>
    <row r="45" spans="1:28" ht="27.75" customHeight="1" x14ac:dyDescent="0.35">
      <c r="A45" s="1962"/>
      <c r="B45" s="3586"/>
      <c r="C45" s="3500"/>
      <c r="D45" s="1970" t="s">
        <v>5</v>
      </c>
      <c r="E45" s="1962"/>
      <c r="F45" s="3504">
        <v>1</v>
      </c>
      <c r="G45" s="1962"/>
      <c r="H45" s="3524" t="s">
        <v>2429</v>
      </c>
      <c r="I45" s="3524" t="s">
        <v>959</v>
      </c>
      <c r="J45" s="3525"/>
      <c r="K45" s="3525"/>
      <c r="M45" s="3504">
        <v>1</v>
      </c>
      <c r="N45" s="3504">
        <v>1</v>
      </c>
      <c r="O45" s="3504">
        <v>1</v>
      </c>
      <c r="P45" s="3504">
        <v>1</v>
      </c>
      <c r="Q45" s="3504">
        <v>1</v>
      </c>
      <c r="S45"/>
      <c r="T45"/>
      <c r="U45"/>
      <c r="V45"/>
      <c r="W45"/>
      <c r="X45"/>
      <c r="Y45"/>
      <c r="Z45" s="122"/>
      <c r="AA45"/>
      <c r="AB45"/>
    </row>
    <row r="46" spans="1:28" ht="4.5" customHeight="1" x14ac:dyDescent="0.4">
      <c r="A46" s="453"/>
      <c r="B46" s="3502"/>
      <c r="C46" s="1971"/>
      <c r="D46" s="1972"/>
      <c r="E46" s="453"/>
      <c r="F46" s="1965" t="s">
        <v>2319</v>
      </c>
      <c r="G46" s="453"/>
      <c r="H46" s="3526"/>
      <c r="I46" s="3526"/>
      <c r="J46" s="3526"/>
      <c r="K46" s="3526"/>
      <c r="M46" s="1965" t="s">
        <v>2319</v>
      </c>
      <c r="N46" s="1965" t="s">
        <v>2319</v>
      </c>
      <c r="O46" s="1965" t="s">
        <v>2319</v>
      </c>
      <c r="P46" s="1965" t="s">
        <v>2319</v>
      </c>
      <c r="Q46" s="1965" t="s">
        <v>2319</v>
      </c>
      <c r="S46"/>
      <c r="T46"/>
      <c r="U46"/>
      <c r="V46"/>
      <c r="W46"/>
      <c r="X46"/>
      <c r="Y46"/>
      <c r="Z46" s="122"/>
      <c r="AA46"/>
      <c r="AB46"/>
    </row>
    <row r="47" spans="1:28" ht="34.5" customHeight="1" x14ac:dyDescent="0.4">
      <c r="A47" s="453"/>
      <c r="B47" s="1960" t="s">
        <v>404</v>
      </c>
      <c r="C47" s="1973"/>
      <c r="D47" s="1974"/>
      <c r="E47" s="453"/>
      <c r="F47" s="1965" t="s">
        <v>2319</v>
      </c>
      <c r="G47" s="453"/>
      <c r="H47" s="3525"/>
      <c r="I47" s="3525"/>
      <c r="J47" s="3525"/>
      <c r="K47" s="3525"/>
      <c r="M47" s="1965" t="s">
        <v>2319</v>
      </c>
      <c r="N47" s="1965" t="s">
        <v>2319</v>
      </c>
      <c r="O47" s="1965" t="s">
        <v>2319</v>
      </c>
      <c r="P47" s="1965" t="s">
        <v>2319</v>
      </c>
      <c r="Q47" s="1965" t="s">
        <v>2319</v>
      </c>
      <c r="S47"/>
      <c r="T47"/>
      <c r="U47"/>
      <c r="V47"/>
      <c r="W47"/>
      <c r="X47"/>
      <c r="Y47"/>
      <c r="Z47" s="122"/>
      <c r="AA47"/>
      <c r="AB47"/>
    </row>
    <row r="48" spans="1:28" ht="3.75" customHeight="1" x14ac:dyDescent="0.4">
      <c r="A48" s="453"/>
      <c r="B48" s="453"/>
      <c r="C48" s="1975"/>
      <c r="D48" s="1976"/>
      <c r="E48" s="453"/>
      <c r="F48" s="1965" t="s">
        <v>2319</v>
      </c>
      <c r="G48" s="453"/>
      <c r="H48" s="3525"/>
      <c r="I48" s="3525"/>
      <c r="J48" s="3525"/>
      <c r="K48" s="3525"/>
      <c r="M48" s="1965" t="s">
        <v>2319</v>
      </c>
      <c r="N48" s="1965" t="s">
        <v>2319</v>
      </c>
      <c r="O48" s="1965" t="s">
        <v>2319</v>
      </c>
      <c r="P48" s="1965" t="s">
        <v>2319</v>
      </c>
      <c r="Q48" s="1965" t="s">
        <v>2319</v>
      </c>
      <c r="S48"/>
      <c r="T48"/>
      <c r="U48"/>
      <c r="V48"/>
      <c r="W48"/>
      <c r="X48"/>
      <c r="Y48"/>
      <c r="Z48" s="122"/>
      <c r="AA48"/>
      <c r="AB48"/>
    </row>
    <row r="49" spans="1:28" ht="34.5" customHeight="1" x14ac:dyDescent="0.25">
      <c r="A49" s="453"/>
      <c r="B49" s="3587" t="s">
        <v>2378</v>
      </c>
      <c r="C49" s="1967" t="s">
        <v>46</v>
      </c>
      <c r="D49" s="1968" t="s">
        <v>409</v>
      </c>
      <c r="E49" s="453"/>
      <c r="F49" s="1965" t="s">
        <v>2319</v>
      </c>
      <c r="G49" s="453"/>
      <c r="H49" s="3525"/>
      <c r="I49" s="3525"/>
      <c r="J49" s="3525"/>
      <c r="K49" s="3525"/>
      <c r="M49" s="1965" t="s">
        <v>2319</v>
      </c>
      <c r="N49" s="1965" t="s">
        <v>2319</v>
      </c>
      <c r="O49" s="1965" t="s">
        <v>2319</v>
      </c>
      <c r="P49" s="1965" t="s">
        <v>2319</v>
      </c>
      <c r="Q49" s="1965" t="s">
        <v>2319</v>
      </c>
      <c r="S49"/>
      <c r="T49"/>
      <c r="U49"/>
      <c r="V49"/>
      <c r="W49"/>
      <c r="X49"/>
      <c r="Y49"/>
      <c r="Z49" s="122"/>
      <c r="AA49"/>
      <c r="AB49"/>
    </row>
    <row r="50" spans="1:28" ht="34.5" customHeight="1" x14ac:dyDescent="0.35">
      <c r="A50" s="1962"/>
      <c r="B50" s="3588"/>
      <c r="C50" s="1969"/>
      <c r="D50" s="1970" t="s">
        <v>2430</v>
      </c>
      <c r="E50" s="453"/>
      <c r="F50" s="3504">
        <v>1</v>
      </c>
      <c r="G50" s="453"/>
      <c r="H50" s="3524" t="s">
        <v>2414</v>
      </c>
      <c r="I50" s="3524" t="s">
        <v>1637</v>
      </c>
      <c r="J50" s="3524" t="s">
        <v>2415</v>
      </c>
      <c r="K50" s="3524" t="s">
        <v>2416</v>
      </c>
      <c r="M50" s="3504">
        <v>1</v>
      </c>
      <c r="N50" s="3504">
        <v>3</v>
      </c>
      <c r="O50" s="3504">
        <v>3</v>
      </c>
      <c r="P50" s="3504">
        <v>3</v>
      </c>
      <c r="Q50" s="3504">
        <v>1</v>
      </c>
      <c r="S50"/>
      <c r="T50"/>
      <c r="U50"/>
      <c r="V50"/>
      <c r="W50"/>
      <c r="X50"/>
      <c r="Y50"/>
      <c r="Z50" s="122"/>
      <c r="AA50"/>
      <c r="AB50"/>
    </row>
    <row r="51" spans="1:28" ht="34.5" customHeight="1" x14ac:dyDescent="0.35">
      <c r="A51" s="1962"/>
      <c r="B51" s="3588"/>
      <c r="C51" s="1969"/>
      <c r="D51" s="1970" t="s">
        <v>2366</v>
      </c>
      <c r="E51" s="453"/>
      <c r="F51" s="3504" t="s">
        <v>1676</v>
      </c>
      <c r="G51" s="453"/>
      <c r="H51" s="3524" t="s">
        <v>2327</v>
      </c>
      <c r="I51" s="3524" t="s">
        <v>2308</v>
      </c>
      <c r="J51" s="3524" t="s">
        <v>1897</v>
      </c>
      <c r="K51" s="3524" t="s">
        <v>2307</v>
      </c>
      <c r="M51" s="3504" t="s">
        <v>1676</v>
      </c>
      <c r="N51" s="3504" t="s">
        <v>1677</v>
      </c>
      <c r="O51" s="3504" t="s">
        <v>1677</v>
      </c>
      <c r="P51" s="3504" t="s">
        <v>1677</v>
      </c>
      <c r="Q51" s="3504" t="s">
        <v>1676</v>
      </c>
      <c r="S51"/>
      <c r="T51"/>
      <c r="U51"/>
      <c r="V51"/>
      <c r="W51"/>
      <c r="X51"/>
      <c r="Y51"/>
      <c r="Z51" s="122"/>
      <c r="AA51"/>
      <c r="AB51"/>
    </row>
    <row r="52" spans="1:28" ht="34.5" customHeight="1" x14ac:dyDescent="0.25">
      <c r="A52" s="453"/>
      <c r="B52" s="3588"/>
      <c r="C52" s="1967" t="s">
        <v>208</v>
      </c>
      <c r="D52" s="1968" t="s">
        <v>209</v>
      </c>
      <c r="E52" s="453"/>
      <c r="F52" s="1965" t="s">
        <v>2319</v>
      </c>
      <c r="G52" s="453"/>
      <c r="H52" s="3524"/>
      <c r="I52" s="3524"/>
      <c r="J52" s="3524"/>
      <c r="K52" s="3524"/>
      <c r="M52" s="1965" t="s">
        <v>2319</v>
      </c>
      <c r="N52" s="1965" t="s">
        <v>2319</v>
      </c>
      <c r="O52" s="1965" t="s">
        <v>2319</v>
      </c>
      <c r="P52" s="1965" t="s">
        <v>2319</v>
      </c>
      <c r="Q52" s="1965" t="s">
        <v>2319</v>
      </c>
      <c r="S52"/>
      <c r="T52"/>
    </row>
    <row r="53" spans="1:28" ht="34.5" customHeight="1" x14ac:dyDescent="0.25">
      <c r="A53" s="453"/>
      <c r="B53" s="3588"/>
      <c r="C53" s="1969"/>
      <c r="D53" s="1970" t="s">
        <v>2431</v>
      </c>
      <c r="E53" s="453"/>
      <c r="F53" s="3504">
        <v>1</v>
      </c>
      <c r="G53" s="453"/>
      <c r="H53" s="3524" t="s">
        <v>2413</v>
      </c>
      <c r="I53" s="3524" t="s">
        <v>2418</v>
      </c>
      <c r="J53" s="3524" t="s">
        <v>2343</v>
      </c>
      <c r="K53" s="3524" t="s">
        <v>2417</v>
      </c>
      <c r="M53" s="3504">
        <v>1</v>
      </c>
      <c r="N53" s="3504">
        <v>2</v>
      </c>
      <c r="O53" s="3504">
        <v>2</v>
      </c>
      <c r="P53" s="3504">
        <v>2</v>
      </c>
      <c r="Q53" s="3504">
        <v>1</v>
      </c>
      <c r="S53"/>
      <c r="T53"/>
    </row>
    <row r="54" spans="1:28" ht="34.5" customHeight="1" x14ac:dyDescent="0.25">
      <c r="A54" s="453"/>
      <c r="B54" s="3588"/>
      <c r="C54" s="1967" t="s">
        <v>56</v>
      </c>
      <c r="D54" s="1968" t="s">
        <v>408</v>
      </c>
      <c r="E54" s="453"/>
      <c r="F54" s="1965" t="s">
        <v>2319</v>
      </c>
      <c r="G54" s="453"/>
      <c r="H54" s="3524"/>
      <c r="I54" s="3524"/>
      <c r="J54" s="3524"/>
      <c r="K54" s="3524"/>
      <c r="M54" s="1965" t="s">
        <v>2319</v>
      </c>
      <c r="N54" s="1965" t="s">
        <v>2319</v>
      </c>
      <c r="O54" s="1965" t="s">
        <v>2319</v>
      </c>
      <c r="P54" s="1965" t="s">
        <v>2319</v>
      </c>
      <c r="Q54" s="1965" t="s">
        <v>2319</v>
      </c>
      <c r="S54"/>
      <c r="T54"/>
    </row>
    <row r="55" spans="1:28" ht="34.5" customHeight="1" x14ac:dyDescent="0.25">
      <c r="A55" s="453"/>
      <c r="B55" s="3588"/>
      <c r="C55" s="1969"/>
      <c r="D55" s="1970" t="s">
        <v>2434</v>
      </c>
      <c r="E55" s="453"/>
      <c r="F55" s="3504">
        <v>1</v>
      </c>
      <c r="G55" s="453"/>
      <c r="H55" s="3524" t="s">
        <v>2413</v>
      </c>
      <c r="I55" s="3524" t="s">
        <v>2338</v>
      </c>
      <c r="J55" s="3524" t="s">
        <v>2420</v>
      </c>
      <c r="K55" s="3524" t="s">
        <v>2341</v>
      </c>
      <c r="M55" s="3504">
        <v>1</v>
      </c>
      <c r="N55" s="3504">
        <v>3</v>
      </c>
      <c r="O55" s="3504">
        <v>3</v>
      </c>
      <c r="P55" s="3504">
        <v>3</v>
      </c>
      <c r="Q55" s="3504">
        <v>1</v>
      </c>
      <c r="S55"/>
      <c r="T55"/>
    </row>
    <row r="56" spans="1:28" ht="34.5" customHeight="1" x14ac:dyDescent="0.25">
      <c r="A56" s="453"/>
      <c r="B56" s="3588"/>
      <c r="C56" s="1969"/>
      <c r="D56" s="1970" t="s">
        <v>2433</v>
      </c>
      <c r="E56" s="453"/>
      <c r="F56" s="3504">
        <v>1</v>
      </c>
      <c r="G56" s="453"/>
      <c r="H56" s="3524" t="s">
        <v>2413</v>
      </c>
      <c r="I56" s="3524" t="s">
        <v>2339</v>
      </c>
      <c r="J56" s="3524" t="s">
        <v>2340</v>
      </c>
      <c r="K56" s="3524" t="s">
        <v>2419</v>
      </c>
      <c r="M56" s="3504">
        <v>1</v>
      </c>
      <c r="N56" s="3504">
        <v>3</v>
      </c>
      <c r="O56" s="3504">
        <v>3</v>
      </c>
      <c r="P56" s="3504">
        <v>3</v>
      </c>
      <c r="Q56" s="3504">
        <v>1</v>
      </c>
      <c r="S56"/>
      <c r="T56"/>
    </row>
    <row r="57" spans="1:28" ht="34.5" customHeight="1" x14ac:dyDescent="0.25">
      <c r="A57" s="453"/>
      <c r="B57" s="3588"/>
      <c r="C57" s="1969"/>
      <c r="D57" s="1970" t="s">
        <v>2432</v>
      </c>
      <c r="E57" s="453"/>
      <c r="F57" s="3504">
        <v>1</v>
      </c>
      <c r="G57" s="453"/>
      <c r="H57" s="3524" t="s">
        <v>2413</v>
      </c>
      <c r="I57" s="3524" t="s">
        <v>2339</v>
      </c>
      <c r="J57" s="3524" t="s">
        <v>2342</v>
      </c>
      <c r="K57" s="3524" t="s">
        <v>2343</v>
      </c>
      <c r="M57" s="3504">
        <v>1</v>
      </c>
      <c r="N57" s="3504">
        <v>2</v>
      </c>
      <c r="O57" s="3504">
        <v>2</v>
      </c>
      <c r="P57" s="3504">
        <v>2</v>
      </c>
      <c r="Q57" s="3504">
        <v>1</v>
      </c>
      <c r="S57"/>
      <c r="T57"/>
    </row>
    <row r="58" spans="1:28" ht="34.5" customHeight="1" x14ac:dyDescent="0.25">
      <c r="A58" s="453"/>
      <c r="B58" s="3588"/>
      <c r="C58" s="1967" t="s">
        <v>58</v>
      </c>
      <c r="D58" s="1968" t="s">
        <v>407</v>
      </c>
      <c r="E58" s="453"/>
      <c r="F58" s="1965" t="s">
        <v>2319</v>
      </c>
      <c r="G58" s="453"/>
      <c r="H58" s="3524"/>
      <c r="I58" s="3524"/>
      <c r="J58" s="3524"/>
      <c r="K58" s="3524"/>
      <c r="M58" s="1965" t="s">
        <v>2319</v>
      </c>
      <c r="N58" s="1965" t="s">
        <v>2319</v>
      </c>
      <c r="O58" s="1965" t="s">
        <v>2319</v>
      </c>
      <c r="P58" s="1965" t="s">
        <v>2319</v>
      </c>
      <c r="Q58" s="1965" t="s">
        <v>2319</v>
      </c>
      <c r="S58"/>
      <c r="T58"/>
    </row>
    <row r="59" spans="1:28" ht="34.5" customHeight="1" x14ac:dyDescent="0.25">
      <c r="A59" s="453"/>
      <c r="B59" s="3588"/>
      <c r="C59" s="1969"/>
      <c r="D59" s="1970" t="s">
        <v>2435</v>
      </c>
      <c r="E59" s="453"/>
      <c r="F59" s="3504">
        <v>1</v>
      </c>
      <c r="G59" s="453">
        <v>2</v>
      </c>
      <c r="H59" s="3524" t="s">
        <v>2445</v>
      </c>
      <c r="I59" s="3524" t="s">
        <v>2446</v>
      </c>
      <c r="J59" s="3524" t="s">
        <v>2344</v>
      </c>
      <c r="K59" s="3524" t="s">
        <v>2447</v>
      </c>
      <c r="M59" s="3504">
        <v>1</v>
      </c>
      <c r="N59" s="3504">
        <v>2</v>
      </c>
      <c r="O59" s="3504">
        <v>2</v>
      </c>
      <c r="P59" s="3504">
        <v>2</v>
      </c>
      <c r="Q59" s="3504">
        <v>1</v>
      </c>
      <c r="S59"/>
      <c r="T59"/>
    </row>
    <row r="60" spans="1:28" ht="34.5" customHeight="1" x14ac:dyDescent="0.25">
      <c r="A60" s="453"/>
      <c r="B60" s="3588"/>
      <c r="C60" s="1969"/>
      <c r="D60" s="1970" t="s">
        <v>2436</v>
      </c>
      <c r="E60" s="453"/>
      <c r="F60" s="3504">
        <v>1</v>
      </c>
      <c r="G60" s="453"/>
      <c r="H60" s="3524" t="s">
        <v>2444</v>
      </c>
      <c r="I60" s="3524" t="s">
        <v>2346</v>
      </c>
      <c r="J60" s="3524" t="s">
        <v>2447</v>
      </c>
      <c r="K60" s="3524" t="s">
        <v>2345</v>
      </c>
      <c r="M60" s="3504">
        <v>1</v>
      </c>
      <c r="N60" s="3504">
        <v>2</v>
      </c>
      <c r="O60" s="3504">
        <v>2</v>
      </c>
      <c r="P60" s="3504">
        <v>2</v>
      </c>
      <c r="Q60" s="3504">
        <v>1</v>
      </c>
      <c r="S60"/>
      <c r="T60"/>
    </row>
    <row r="61" spans="1:28" ht="34.5" customHeight="1" x14ac:dyDescent="0.25">
      <c r="A61" s="453"/>
      <c r="B61" s="3588"/>
      <c r="C61" s="1967" t="s">
        <v>60</v>
      </c>
      <c r="D61" s="1968" t="s">
        <v>303</v>
      </c>
      <c r="E61" s="453"/>
      <c r="F61" s="1965" t="s">
        <v>2319</v>
      </c>
      <c r="G61" s="453"/>
      <c r="H61" s="3524"/>
      <c r="I61" s="3524"/>
      <c r="J61" s="3524"/>
      <c r="K61" s="3524"/>
      <c r="M61" s="1965" t="s">
        <v>2319</v>
      </c>
      <c r="N61" s="1965" t="s">
        <v>2319</v>
      </c>
      <c r="O61" s="1965" t="s">
        <v>2319</v>
      </c>
      <c r="P61" s="1965" t="s">
        <v>2319</v>
      </c>
      <c r="Q61" s="1965" t="s">
        <v>2319</v>
      </c>
      <c r="S61"/>
      <c r="T61"/>
    </row>
    <row r="62" spans="1:28" ht="34.5" customHeight="1" x14ac:dyDescent="0.25">
      <c r="A62" s="453"/>
      <c r="B62" s="3588"/>
      <c r="C62" s="1969"/>
      <c r="D62" s="1970" t="s">
        <v>2437</v>
      </c>
      <c r="E62" s="453"/>
      <c r="F62" s="3503">
        <v>1</v>
      </c>
      <c r="G62" s="453"/>
      <c r="H62" s="3524" t="s">
        <v>2423</v>
      </c>
      <c r="I62" s="3524" t="s">
        <v>2344</v>
      </c>
      <c r="J62" s="3524" t="s">
        <v>2424</v>
      </c>
      <c r="K62" s="3524" t="s">
        <v>2425</v>
      </c>
      <c r="M62" s="3503">
        <v>1</v>
      </c>
      <c r="N62" s="3503">
        <v>2</v>
      </c>
      <c r="O62" s="3503">
        <v>2</v>
      </c>
      <c r="P62" s="3503">
        <v>2</v>
      </c>
      <c r="Q62" s="3503">
        <v>1</v>
      </c>
      <c r="S62"/>
      <c r="T62"/>
    </row>
    <row r="63" spans="1:28" ht="34.5" customHeight="1" x14ac:dyDescent="0.25">
      <c r="A63" s="453"/>
      <c r="B63" s="3588"/>
      <c r="C63" s="1967" t="s">
        <v>311</v>
      </c>
      <c r="D63" s="1968" t="s">
        <v>316</v>
      </c>
      <c r="E63" s="453"/>
      <c r="F63" s="1965" t="s">
        <v>2319</v>
      </c>
      <c r="G63" s="453"/>
      <c r="H63" s="3524"/>
      <c r="I63" s="3524"/>
      <c r="J63" s="3524"/>
      <c r="K63" s="3524"/>
      <c r="M63" s="1965" t="s">
        <v>2319</v>
      </c>
      <c r="N63" s="1965" t="s">
        <v>2319</v>
      </c>
      <c r="O63" s="1965" t="s">
        <v>2319</v>
      </c>
      <c r="P63" s="1965" t="s">
        <v>2319</v>
      </c>
      <c r="Q63" s="1965" t="s">
        <v>2319</v>
      </c>
      <c r="S63"/>
      <c r="T63"/>
    </row>
    <row r="64" spans="1:28" ht="34.5" customHeight="1" x14ac:dyDescent="0.25">
      <c r="A64" s="453"/>
      <c r="B64" s="3588"/>
      <c r="C64" s="1969"/>
      <c r="D64" s="1970" t="s">
        <v>2438</v>
      </c>
      <c r="E64" s="453"/>
      <c r="F64" s="3504">
        <v>1</v>
      </c>
      <c r="G64" s="453"/>
      <c r="H64" s="3524" t="s">
        <v>1636</v>
      </c>
      <c r="I64" s="3524" t="s">
        <v>2347</v>
      </c>
      <c r="J64" s="3524" t="s">
        <v>2348</v>
      </c>
      <c r="K64" s="3524" t="s">
        <v>2349</v>
      </c>
      <c r="M64" s="3504">
        <v>1</v>
      </c>
      <c r="N64" s="3504">
        <v>2</v>
      </c>
      <c r="O64" s="3504">
        <v>2</v>
      </c>
      <c r="P64" s="3504">
        <v>2</v>
      </c>
      <c r="Q64" s="3504">
        <v>1</v>
      </c>
      <c r="S64"/>
      <c r="T64"/>
    </row>
    <row r="65" spans="1:59" ht="36" x14ac:dyDescent="0.25">
      <c r="A65" s="453"/>
      <c r="B65" s="3588"/>
      <c r="C65" s="1969"/>
      <c r="D65" s="1970" t="s">
        <v>2439</v>
      </c>
      <c r="E65" s="453"/>
      <c r="F65" s="3504">
        <v>1</v>
      </c>
      <c r="G65" s="453"/>
      <c r="H65" s="3524" t="s">
        <v>2309</v>
      </c>
      <c r="I65" s="3524" t="s">
        <v>2350</v>
      </c>
      <c r="J65" s="3524" t="s">
        <v>2351</v>
      </c>
      <c r="K65" s="3524" t="s">
        <v>2421</v>
      </c>
      <c r="M65" s="3504">
        <v>1</v>
      </c>
      <c r="N65" s="3504">
        <v>2</v>
      </c>
      <c r="O65" s="3504">
        <v>2</v>
      </c>
      <c r="P65" s="3504">
        <v>2</v>
      </c>
      <c r="Q65" s="3504">
        <v>1</v>
      </c>
      <c r="S65"/>
      <c r="T65"/>
    </row>
    <row r="66" spans="1:59" ht="34.5" customHeight="1" x14ac:dyDescent="0.25">
      <c r="A66" s="453"/>
      <c r="B66" s="3588"/>
      <c r="C66" s="1967" t="s">
        <v>62</v>
      </c>
      <c r="D66" s="1968" t="s">
        <v>410</v>
      </c>
      <c r="E66" s="1963"/>
      <c r="F66" s="1965" t="s">
        <v>2319</v>
      </c>
      <c r="G66" s="1963"/>
      <c r="H66" s="3525"/>
      <c r="I66" s="3525"/>
      <c r="J66" s="3525"/>
      <c r="K66" s="3525"/>
      <c r="M66" s="1965" t="s">
        <v>2319</v>
      </c>
      <c r="N66" s="1965" t="s">
        <v>2319</v>
      </c>
      <c r="O66" s="1965" t="s">
        <v>2319</v>
      </c>
      <c r="P66" s="1965" t="s">
        <v>2319</v>
      </c>
      <c r="Q66" s="1965" t="s">
        <v>2319</v>
      </c>
      <c r="S66"/>
      <c r="T66"/>
      <c r="U66"/>
      <c r="V66"/>
      <c r="W66"/>
      <c r="X66"/>
      <c r="Y66"/>
      <c r="Z66" s="122"/>
      <c r="AA66"/>
      <c r="AB66"/>
    </row>
    <row r="67" spans="1:59" ht="34.5" customHeight="1" x14ac:dyDescent="0.25">
      <c r="A67" s="453"/>
      <c r="B67" s="3588"/>
      <c r="C67" s="1977"/>
      <c r="D67" s="1970" t="s">
        <v>2440</v>
      </c>
      <c r="E67" s="1963"/>
      <c r="F67" s="3504">
        <v>1</v>
      </c>
      <c r="G67" s="1963"/>
      <c r="H67" s="3524" t="s">
        <v>2355</v>
      </c>
      <c r="I67" s="3524" t="s">
        <v>2352</v>
      </c>
      <c r="J67" s="3524" t="s">
        <v>2353</v>
      </c>
      <c r="K67" s="3524" t="s">
        <v>2354</v>
      </c>
      <c r="M67" s="3504">
        <v>1</v>
      </c>
      <c r="N67" s="3504">
        <v>2</v>
      </c>
      <c r="O67" s="3504">
        <v>2</v>
      </c>
      <c r="P67" s="3504">
        <v>2</v>
      </c>
      <c r="Q67" s="3504">
        <v>1</v>
      </c>
      <c r="S67"/>
      <c r="T67"/>
      <c r="U67"/>
      <c r="V67"/>
      <c r="W67"/>
      <c r="X67"/>
      <c r="Y67"/>
      <c r="Z67" s="122"/>
      <c r="AA67"/>
      <c r="AB67"/>
    </row>
    <row r="68" spans="1:59" ht="33" customHeight="1" x14ac:dyDescent="0.25">
      <c r="A68" s="453"/>
      <c r="B68" s="3589" t="s">
        <v>955</v>
      </c>
      <c r="C68" s="1978" t="s">
        <v>68</v>
      </c>
      <c r="D68" s="1979" t="s">
        <v>412</v>
      </c>
      <c r="E68" s="1963"/>
      <c r="F68" s="1965" t="s">
        <v>2319</v>
      </c>
      <c r="G68" s="1963"/>
      <c r="H68" s="3525"/>
      <c r="I68" s="3525"/>
      <c r="J68" s="3525"/>
      <c r="K68" s="3525"/>
      <c r="M68" s="1965" t="s">
        <v>2319</v>
      </c>
      <c r="N68" s="1965" t="s">
        <v>2319</v>
      </c>
      <c r="O68" s="1965" t="s">
        <v>2319</v>
      </c>
      <c r="P68" s="1965" t="s">
        <v>2319</v>
      </c>
      <c r="Q68" s="1965" t="s">
        <v>2319</v>
      </c>
      <c r="S68"/>
      <c r="T68"/>
      <c r="U68"/>
      <c r="V68"/>
      <c r="W68"/>
      <c r="X68"/>
      <c r="Y68"/>
      <c r="Z68" s="122"/>
      <c r="AA68"/>
      <c r="AB68"/>
    </row>
    <row r="69" spans="1:59" ht="56.25" customHeight="1" x14ac:dyDescent="0.25">
      <c r="A69" s="453"/>
      <c r="B69" s="3590"/>
      <c r="C69" s="1980"/>
      <c r="D69" s="1970" t="s">
        <v>2441</v>
      </c>
      <c r="E69" s="1963"/>
      <c r="F69" s="3504">
        <v>1</v>
      </c>
      <c r="G69" s="1963"/>
      <c r="H69" s="3524" t="s">
        <v>2451</v>
      </c>
      <c r="I69" s="3524" t="s">
        <v>1045</v>
      </c>
      <c r="J69" s="3524" t="s">
        <v>2453</v>
      </c>
      <c r="K69" s="3524" t="s">
        <v>2452</v>
      </c>
      <c r="M69" s="3504">
        <v>1</v>
      </c>
      <c r="N69" s="3504">
        <v>1</v>
      </c>
      <c r="O69" s="3504">
        <v>1</v>
      </c>
      <c r="P69" s="3504">
        <v>1</v>
      </c>
      <c r="Q69" s="3504">
        <v>1</v>
      </c>
      <c r="S69"/>
      <c r="T69"/>
      <c r="U69"/>
      <c r="V69"/>
      <c r="W69"/>
      <c r="X69"/>
      <c r="Y69"/>
      <c r="Z69" s="122"/>
      <c r="AA69"/>
      <c r="AB69"/>
    </row>
    <row r="70" spans="1:59" ht="33" customHeight="1" x14ac:dyDescent="0.25">
      <c r="A70" s="453"/>
      <c r="B70" s="3590"/>
      <c r="C70" s="1978" t="s">
        <v>764</v>
      </c>
      <c r="D70" s="1979" t="s">
        <v>1349</v>
      </c>
      <c r="E70" s="1963"/>
      <c r="F70" s="1965" t="s">
        <v>2319</v>
      </c>
      <c r="G70" s="1963"/>
      <c r="H70" s="3564"/>
      <c r="I70" s="3564"/>
      <c r="J70" s="3564"/>
      <c r="K70" s="3564"/>
      <c r="M70" s="1965" t="s">
        <v>2319</v>
      </c>
      <c r="N70" s="1965" t="s">
        <v>2319</v>
      </c>
      <c r="O70" s="1965" t="s">
        <v>2319</v>
      </c>
      <c r="P70" s="1965" t="s">
        <v>2319</v>
      </c>
      <c r="Q70" s="1965" t="s">
        <v>2319</v>
      </c>
      <c r="S70"/>
      <c r="T70"/>
      <c r="U70"/>
      <c r="V70"/>
      <c r="W70"/>
      <c r="X70"/>
      <c r="Y70"/>
      <c r="Z70" s="122"/>
      <c r="AA70"/>
      <c r="AB70"/>
    </row>
    <row r="71" spans="1:59" ht="33" customHeight="1" x14ac:dyDescent="0.25">
      <c r="A71" s="453"/>
      <c r="B71" s="3590"/>
      <c r="C71" s="1980"/>
      <c r="D71" s="1980" t="s">
        <v>1019</v>
      </c>
      <c r="E71" s="1963"/>
      <c r="F71" s="3504">
        <v>1</v>
      </c>
      <c r="G71" s="1963"/>
      <c r="H71" s="3524" t="s">
        <v>2385</v>
      </c>
      <c r="I71" s="3524" t="s">
        <v>2456</v>
      </c>
      <c r="J71" s="3524" t="s">
        <v>2455</v>
      </c>
      <c r="K71" s="3524" t="s">
        <v>2454</v>
      </c>
      <c r="M71" s="3504">
        <v>1</v>
      </c>
      <c r="N71" s="3504">
        <v>2</v>
      </c>
      <c r="O71" s="3504">
        <v>2</v>
      </c>
      <c r="P71" s="3504">
        <v>2</v>
      </c>
      <c r="Q71" s="3504">
        <v>1</v>
      </c>
      <c r="S71"/>
      <c r="T71"/>
      <c r="U71"/>
      <c r="V71"/>
      <c r="W71"/>
      <c r="X71"/>
      <c r="Y71"/>
      <c r="Z71" s="122"/>
      <c r="AA71"/>
      <c r="AB71"/>
    </row>
    <row r="72" spans="1:59" ht="33" customHeight="1" x14ac:dyDescent="0.25">
      <c r="A72" s="453"/>
      <c r="B72" s="3590"/>
      <c r="C72" s="1980"/>
      <c r="D72" s="1980" t="s">
        <v>2369</v>
      </c>
      <c r="E72" s="1963"/>
      <c r="F72" s="3504">
        <v>1</v>
      </c>
      <c r="G72" s="1963"/>
      <c r="H72" s="3524" t="s">
        <v>2386</v>
      </c>
      <c r="I72" s="3524" t="s">
        <v>2457</v>
      </c>
      <c r="J72" s="3524" t="s">
        <v>2387</v>
      </c>
      <c r="K72" s="3524" t="s">
        <v>2388</v>
      </c>
      <c r="M72" s="3504">
        <v>1</v>
      </c>
      <c r="N72" s="3504">
        <v>2</v>
      </c>
      <c r="O72" s="3504">
        <v>2</v>
      </c>
      <c r="P72" s="3504">
        <v>2</v>
      </c>
      <c r="Q72" s="3504">
        <v>1</v>
      </c>
      <c r="S72"/>
      <c r="T72"/>
      <c r="U72"/>
      <c r="V72"/>
      <c r="W72"/>
      <c r="X72"/>
      <c r="Y72"/>
      <c r="Z72" s="122"/>
      <c r="AA72"/>
      <c r="AB72"/>
    </row>
    <row r="73" spans="1:59" ht="54" customHeight="1" x14ac:dyDescent="0.4">
      <c r="A73" s="453"/>
      <c r="B73" s="1960" t="s">
        <v>405</v>
      </c>
      <c r="C73" s="1974"/>
      <c r="D73" s="1974"/>
      <c r="E73" s="453"/>
      <c r="F73" s="1965" t="s">
        <v>2319</v>
      </c>
      <c r="G73" s="453"/>
      <c r="H73" s="3525"/>
      <c r="I73" s="3525"/>
      <c r="J73" s="3525"/>
      <c r="K73" s="3525"/>
      <c r="M73" s="1965" t="s">
        <v>2319</v>
      </c>
      <c r="N73" s="1965" t="s">
        <v>2319</v>
      </c>
      <c r="O73" s="1965" t="s">
        <v>2319</v>
      </c>
      <c r="P73" s="1965" t="s">
        <v>2319</v>
      </c>
      <c r="Q73" s="1965" t="s">
        <v>2319</v>
      </c>
      <c r="S73"/>
      <c r="T73"/>
      <c r="U73"/>
      <c r="V73"/>
      <c r="W73"/>
      <c r="X73"/>
      <c r="Y73"/>
      <c r="Z73" s="122"/>
      <c r="AA73"/>
      <c r="AB73"/>
    </row>
    <row r="74" spans="1:59" ht="6" customHeight="1" x14ac:dyDescent="0.4">
      <c r="A74" s="453"/>
      <c r="C74" s="1972"/>
      <c r="D74" s="1972"/>
      <c r="E74" s="453"/>
      <c r="F74" s="1965" t="s">
        <v>2319</v>
      </c>
      <c r="G74" s="453"/>
      <c r="H74" s="3525"/>
      <c r="I74" s="3525"/>
      <c r="J74" s="3525"/>
      <c r="K74" s="3525"/>
      <c r="M74" s="1965" t="s">
        <v>2319</v>
      </c>
      <c r="N74" s="1965" t="s">
        <v>2319</v>
      </c>
      <c r="O74" s="1965" t="s">
        <v>2319</v>
      </c>
      <c r="P74" s="1965" t="s">
        <v>2319</v>
      </c>
      <c r="Q74" s="1965" t="s">
        <v>2319</v>
      </c>
      <c r="S74"/>
      <c r="T74"/>
      <c r="U74"/>
      <c r="V74"/>
      <c r="W74"/>
      <c r="X74"/>
      <c r="Y74"/>
      <c r="Z74" s="122"/>
      <c r="AA74"/>
      <c r="AB74"/>
    </row>
    <row r="75" spans="1:59" ht="37.5" customHeight="1" x14ac:dyDescent="0.25">
      <c r="A75" s="453"/>
      <c r="B75" s="3582" t="s">
        <v>420</v>
      </c>
      <c r="C75" s="3499" t="s">
        <v>421</v>
      </c>
      <c r="D75" s="1968" t="s">
        <v>920</v>
      </c>
      <c r="E75" s="453"/>
      <c r="F75" s="1965" t="s">
        <v>2319</v>
      </c>
      <c r="G75" s="453"/>
      <c r="H75" s="3525"/>
      <c r="I75" s="3525"/>
      <c r="J75" s="3525"/>
      <c r="K75" s="3525"/>
      <c r="M75" s="1965" t="s">
        <v>2319</v>
      </c>
      <c r="N75" s="1965" t="s">
        <v>2319</v>
      </c>
      <c r="O75" s="1965" t="s">
        <v>2319</v>
      </c>
      <c r="P75" s="1965" t="s">
        <v>2319</v>
      </c>
      <c r="Q75" s="1965" t="s">
        <v>2319</v>
      </c>
      <c r="S75"/>
      <c r="T75"/>
      <c r="U75"/>
      <c r="V75"/>
      <c r="W75"/>
      <c r="X75"/>
      <c r="Y75"/>
      <c r="Z75" s="122"/>
      <c r="AA75"/>
      <c r="AB75"/>
    </row>
    <row r="76" spans="1:59" ht="37.5" customHeight="1" x14ac:dyDescent="0.25">
      <c r="A76" s="453"/>
      <c r="B76" s="3583"/>
      <c r="C76" s="3500"/>
      <c r="D76" s="1970" t="s">
        <v>2367</v>
      </c>
      <c r="E76" s="453"/>
      <c r="F76" s="3505">
        <v>1</v>
      </c>
      <c r="G76" s="453"/>
      <c r="H76" s="3524" t="s">
        <v>2310</v>
      </c>
      <c r="I76" s="3524" t="s">
        <v>2311</v>
      </c>
      <c r="J76" s="3524" t="s">
        <v>2312</v>
      </c>
      <c r="K76" s="3524" t="s">
        <v>2313</v>
      </c>
      <c r="M76" s="3505">
        <v>3</v>
      </c>
      <c r="N76" s="3505">
        <v>1</v>
      </c>
      <c r="O76" s="3505">
        <v>1</v>
      </c>
      <c r="P76" s="3505">
        <v>3</v>
      </c>
      <c r="Q76" s="3505">
        <v>1</v>
      </c>
      <c r="S76"/>
      <c r="T76"/>
      <c r="U76"/>
      <c r="V76"/>
      <c r="W76"/>
      <c r="X76"/>
      <c r="Y76"/>
      <c r="Z76" s="122"/>
      <c r="AA76"/>
      <c r="AB76"/>
    </row>
    <row r="77" spans="1:59" ht="37.5" customHeight="1" x14ac:dyDescent="0.25">
      <c r="A77" s="453"/>
      <c r="B77" s="3583"/>
      <c r="C77" s="3500"/>
      <c r="D77" s="1970" t="s">
        <v>2183</v>
      </c>
      <c r="E77" s="453"/>
      <c r="F77" s="3505">
        <v>1</v>
      </c>
      <c r="G77" s="453"/>
      <c r="H77" s="3524" t="s">
        <v>2406</v>
      </c>
      <c r="I77" s="3524" t="s">
        <v>2405</v>
      </c>
      <c r="J77" s="3524" t="s">
        <v>2407</v>
      </c>
      <c r="K77" s="3524" t="s">
        <v>2408</v>
      </c>
      <c r="M77" s="3505">
        <v>2</v>
      </c>
      <c r="N77" s="3505">
        <v>1</v>
      </c>
      <c r="O77" s="3505">
        <v>1</v>
      </c>
      <c r="P77" s="3505">
        <v>2</v>
      </c>
      <c r="Q77" s="3505">
        <v>1</v>
      </c>
      <c r="S77"/>
      <c r="T77"/>
      <c r="U77"/>
      <c r="V77"/>
      <c r="W77"/>
      <c r="X77"/>
      <c r="Y77"/>
      <c r="Z77" s="122"/>
      <c r="AA77"/>
      <c r="AB77"/>
    </row>
    <row r="78" spans="1:59" ht="37.5" customHeight="1" x14ac:dyDescent="0.25">
      <c r="A78" s="453"/>
      <c r="B78" s="3583"/>
      <c r="C78" s="3500"/>
      <c r="D78" s="1970" t="s">
        <v>2368</v>
      </c>
      <c r="E78" s="453"/>
      <c r="F78" s="3505">
        <v>1</v>
      </c>
      <c r="G78" s="453"/>
      <c r="H78" s="3524" t="s">
        <v>2389</v>
      </c>
      <c r="I78" s="3524" t="s">
        <v>2409</v>
      </c>
      <c r="J78" s="3524" t="s">
        <v>2390</v>
      </c>
      <c r="K78" s="3524" t="s">
        <v>2458</v>
      </c>
      <c r="M78" s="3505">
        <v>1</v>
      </c>
      <c r="N78" s="3505">
        <v>1</v>
      </c>
      <c r="O78" s="3505">
        <v>3</v>
      </c>
      <c r="P78" s="3505">
        <v>1</v>
      </c>
      <c r="Q78" s="3505">
        <v>1</v>
      </c>
      <c r="S78"/>
      <c r="T78"/>
      <c r="U78"/>
      <c r="V78"/>
      <c r="W78"/>
      <c r="X78"/>
      <c r="Y78"/>
      <c r="Z78" s="122"/>
      <c r="AA78"/>
      <c r="AB78"/>
    </row>
    <row r="79" spans="1:59" ht="54" x14ac:dyDescent="0.25">
      <c r="A79" s="453"/>
      <c r="B79" s="3591"/>
      <c r="C79" s="3500"/>
      <c r="D79" s="1970" t="s">
        <v>2324</v>
      </c>
      <c r="E79" s="453"/>
      <c r="F79" s="3505">
        <v>1</v>
      </c>
      <c r="G79" s="453"/>
      <c r="H79" s="3524" t="s">
        <v>2401</v>
      </c>
      <c r="I79" s="3524" t="s">
        <v>2410</v>
      </c>
      <c r="J79" s="3524" t="s">
        <v>2411</v>
      </c>
      <c r="K79" s="3524" t="s">
        <v>2412</v>
      </c>
      <c r="M79" s="3505">
        <v>3</v>
      </c>
      <c r="N79" s="3505">
        <v>1</v>
      </c>
      <c r="O79" s="3505">
        <v>1</v>
      </c>
      <c r="P79" s="3505">
        <v>3</v>
      </c>
      <c r="Q79" s="3505">
        <v>1</v>
      </c>
      <c r="S79"/>
      <c r="T79"/>
      <c r="U79"/>
      <c r="V79"/>
      <c r="W79"/>
      <c r="X79"/>
      <c r="Y79"/>
      <c r="Z79" s="122"/>
      <c r="AA79"/>
      <c r="AB79"/>
    </row>
    <row r="80" spans="1:59" s="453" customFormat="1" ht="37.5" customHeight="1" x14ac:dyDescent="0.2">
      <c r="B80" s="3582" t="s">
        <v>2391</v>
      </c>
      <c r="C80" s="1967" t="s">
        <v>425</v>
      </c>
      <c r="D80" s="1968" t="s">
        <v>426</v>
      </c>
      <c r="F80" s="1965" t="s">
        <v>2319</v>
      </c>
      <c r="H80" s="3525"/>
      <c r="I80" s="3525"/>
      <c r="J80" s="3525"/>
      <c r="K80" s="3525"/>
      <c r="M80" s="1965" t="s">
        <v>2319</v>
      </c>
      <c r="N80" s="1965" t="s">
        <v>2319</v>
      </c>
      <c r="O80" s="1965" t="s">
        <v>2319</v>
      </c>
      <c r="P80" s="1965" t="s">
        <v>2319</v>
      </c>
      <c r="Q80" s="1965" t="s">
        <v>2319</v>
      </c>
      <c r="S80"/>
      <c r="T80"/>
      <c r="Z80" s="122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</row>
    <row r="81" spans="2:28" ht="51" customHeight="1" x14ac:dyDescent="0.25">
      <c r="B81" s="3583"/>
      <c r="C81" s="1981"/>
      <c r="D81" s="1970" t="s">
        <v>2383</v>
      </c>
      <c r="E81" s="453"/>
      <c r="F81" s="3505">
        <v>1</v>
      </c>
      <c r="G81" s="453"/>
      <c r="H81" s="3524" t="s">
        <v>2356</v>
      </c>
      <c r="I81" s="3524" t="s">
        <v>2380</v>
      </c>
      <c r="J81" s="3524" t="s">
        <v>2381</v>
      </c>
      <c r="K81" s="3524" t="s">
        <v>2382</v>
      </c>
      <c r="L81"/>
      <c r="M81" s="3505">
        <v>3</v>
      </c>
      <c r="N81" s="3505">
        <v>1</v>
      </c>
      <c r="O81" s="3505">
        <v>1</v>
      </c>
      <c r="P81" s="3505">
        <v>3</v>
      </c>
      <c r="Q81" s="3505">
        <v>1</v>
      </c>
      <c r="S81"/>
      <c r="T81"/>
      <c r="U81"/>
      <c r="V81"/>
      <c r="W81"/>
      <c r="X81"/>
      <c r="Y81"/>
      <c r="Z81" s="122"/>
      <c r="AA81"/>
      <c r="AB81"/>
    </row>
    <row r="82" spans="2:28" ht="37.5" customHeight="1" x14ac:dyDescent="0.25">
      <c r="B82" s="3583"/>
      <c r="C82" s="1981"/>
      <c r="D82" s="1970" t="s">
        <v>2422</v>
      </c>
      <c r="E82" s="453"/>
      <c r="F82" s="3505">
        <v>1</v>
      </c>
      <c r="G82" s="453"/>
      <c r="H82" s="3524" t="s">
        <v>2309</v>
      </c>
      <c r="I82" s="3524" t="s">
        <v>2392</v>
      </c>
      <c r="J82" s="3524" t="s">
        <v>2393</v>
      </c>
      <c r="K82" s="3524" t="s">
        <v>2394</v>
      </c>
      <c r="L82"/>
      <c r="M82" s="3505">
        <v>3</v>
      </c>
      <c r="N82" s="3505">
        <v>1</v>
      </c>
      <c r="O82" s="3505">
        <v>1</v>
      </c>
      <c r="P82" s="3505">
        <v>3</v>
      </c>
      <c r="Q82" s="3505">
        <v>1</v>
      </c>
      <c r="S82"/>
      <c r="T82"/>
      <c r="U82"/>
      <c r="V82"/>
      <c r="W82"/>
      <c r="X82"/>
      <c r="Y82"/>
      <c r="Z82" s="122"/>
      <c r="AA82"/>
      <c r="AB82"/>
    </row>
    <row r="83" spans="2:28" ht="37.5" customHeight="1" x14ac:dyDescent="0.25">
      <c r="B83" s="3591"/>
      <c r="C83" s="1981"/>
      <c r="D83" s="1970" t="s">
        <v>2443</v>
      </c>
      <c r="E83" s="453"/>
      <c r="F83" s="3505">
        <v>1</v>
      </c>
      <c r="G83" s="453"/>
      <c r="H83" s="3524" t="s">
        <v>2309</v>
      </c>
      <c r="I83" s="3560" t="s">
        <v>2315</v>
      </c>
      <c r="J83" s="3524" t="s">
        <v>2316</v>
      </c>
      <c r="K83" s="3524" t="s">
        <v>2317</v>
      </c>
      <c r="M83" s="3505">
        <v>3</v>
      </c>
      <c r="N83" s="3505">
        <v>1</v>
      </c>
      <c r="O83" s="3505">
        <v>1</v>
      </c>
      <c r="P83" s="3505">
        <v>3</v>
      </c>
      <c r="Q83" s="3505">
        <v>1</v>
      </c>
      <c r="S83"/>
      <c r="T83"/>
      <c r="U83"/>
      <c r="V83"/>
      <c r="W83"/>
      <c r="X83"/>
      <c r="Y83"/>
      <c r="Z83" s="122"/>
      <c r="AA83"/>
      <c r="AB83"/>
    </row>
    <row r="84" spans="2:28" ht="33.75" customHeight="1" x14ac:dyDescent="0.25">
      <c r="B84" s="3582" t="s">
        <v>479</v>
      </c>
      <c r="C84" s="1967" t="s">
        <v>86</v>
      </c>
      <c r="D84" s="1968" t="s">
        <v>479</v>
      </c>
      <c r="E84" s="453"/>
      <c r="F84" s="1965" t="s">
        <v>2319</v>
      </c>
      <c r="G84" s="453"/>
      <c r="H84" s="3525"/>
      <c r="I84" s="3525"/>
      <c r="J84" s="3525"/>
      <c r="K84" s="3525"/>
      <c r="M84" s="1965" t="s">
        <v>2319</v>
      </c>
      <c r="N84" s="1965" t="s">
        <v>2319</v>
      </c>
      <c r="O84" s="1965" t="s">
        <v>2319</v>
      </c>
      <c r="P84" s="1965" t="s">
        <v>2319</v>
      </c>
      <c r="Q84" s="1965" t="s">
        <v>2319</v>
      </c>
      <c r="S84"/>
      <c r="T84"/>
      <c r="U84"/>
      <c r="V84"/>
      <c r="W84"/>
      <c r="X84"/>
      <c r="Y84"/>
      <c r="Z84" s="122"/>
      <c r="AA84"/>
      <c r="AB84"/>
    </row>
    <row r="85" spans="2:28" ht="49.5" customHeight="1" x14ac:dyDescent="0.25">
      <c r="B85" s="3583"/>
      <c r="C85" s="1981"/>
      <c r="D85" s="1970" t="s">
        <v>2332</v>
      </c>
      <c r="E85" s="453"/>
      <c r="F85" s="3505">
        <v>1</v>
      </c>
      <c r="G85" s="453"/>
      <c r="H85" s="3524" t="s">
        <v>2309</v>
      </c>
      <c r="I85" s="3524" t="s">
        <v>2363</v>
      </c>
      <c r="J85" s="3524" t="s">
        <v>2364</v>
      </c>
      <c r="K85" s="3524" t="s">
        <v>2365</v>
      </c>
      <c r="M85" s="3505">
        <v>2</v>
      </c>
      <c r="N85" s="3505">
        <v>1</v>
      </c>
      <c r="O85" s="3505">
        <v>1</v>
      </c>
      <c r="P85" s="3505">
        <v>2</v>
      </c>
      <c r="Q85" s="3505">
        <v>1</v>
      </c>
      <c r="S85"/>
      <c r="T85"/>
      <c r="U85"/>
      <c r="V85"/>
      <c r="W85"/>
      <c r="X85"/>
      <c r="Y85"/>
      <c r="Z85" s="122"/>
      <c r="AA85"/>
      <c r="AB85"/>
    </row>
    <row r="86" spans="2:28" ht="49.5" customHeight="1" x14ac:dyDescent="0.25">
      <c r="B86" s="3583"/>
      <c r="C86" s="1981"/>
      <c r="D86" s="1970" t="s">
        <v>1982</v>
      </c>
      <c r="F86" s="3505">
        <v>1</v>
      </c>
      <c r="H86" s="3524" t="s">
        <v>2309</v>
      </c>
      <c r="I86" s="3524" t="s">
        <v>2360</v>
      </c>
      <c r="J86" s="3524" t="s">
        <v>2361</v>
      </c>
      <c r="K86" s="3524" t="s">
        <v>2362</v>
      </c>
      <c r="M86" s="3505">
        <v>1</v>
      </c>
      <c r="N86" s="3505">
        <v>1</v>
      </c>
      <c r="O86" s="3505">
        <v>3</v>
      </c>
      <c r="P86" s="3505">
        <v>3</v>
      </c>
      <c r="Q86" s="3505">
        <v>1</v>
      </c>
      <c r="S86"/>
      <c r="T86"/>
      <c r="AA86"/>
      <c r="AB86"/>
    </row>
    <row r="87" spans="2:28" ht="49.5" customHeight="1" x14ac:dyDescent="0.25">
      <c r="B87" s="3583"/>
      <c r="C87" s="1981"/>
      <c r="D87" s="1970" t="s">
        <v>2442</v>
      </c>
      <c r="F87" s="3505">
        <v>1</v>
      </c>
      <c r="H87" s="3524" t="s">
        <v>2309</v>
      </c>
      <c r="I87" s="3524" t="s">
        <v>2357</v>
      </c>
      <c r="J87" s="3524" t="s">
        <v>2358</v>
      </c>
      <c r="K87" s="3524" t="s">
        <v>2359</v>
      </c>
      <c r="M87" s="3505">
        <v>3</v>
      </c>
      <c r="N87" s="3505">
        <v>1</v>
      </c>
      <c r="O87" s="3505">
        <v>1</v>
      </c>
      <c r="P87" s="3505">
        <v>3</v>
      </c>
      <c r="Q87" s="3505">
        <v>1</v>
      </c>
      <c r="S87"/>
      <c r="T87"/>
      <c r="AA87"/>
      <c r="AB87"/>
    </row>
    <row r="88" spans="2:28" ht="49.5" customHeight="1" x14ac:dyDescent="0.25">
      <c r="B88" s="3583" t="s">
        <v>2379</v>
      </c>
      <c r="C88" s="1967" t="s">
        <v>554</v>
      </c>
      <c r="D88" s="1968" t="s">
        <v>556</v>
      </c>
      <c r="F88" s="1965" t="s">
        <v>2319</v>
      </c>
      <c r="H88" s="3527"/>
      <c r="I88" s="3527"/>
      <c r="J88" s="3527"/>
      <c r="K88" s="3527"/>
      <c r="M88" s="1965" t="s">
        <v>2319</v>
      </c>
      <c r="N88" s="1965" t="s">
        <v>2319</v>
      </c>
      <c r="O88" s="1965" t="s">
        <v>2319</v>
      </c>
      <c r="P88" s="1965" t="s">
        <v>2319</v>
      </c>
      <c r="Q88" s="1965" t="s">
        <v>2319</v>
      </c>
      <c r="S88"/>
      <c r="T88"/>
    </row>
    <row r="89" spans="2:28" ht="49.5" customHeight="1" x14ac:dyDescent="0.25">
      <c r="B89" s="3583"/>
      <c r="C89" s="1981"/>
      <c r="D89" s="1970" t="s">
        <v>2448</v>
      </c>
      <c r="F89" s="3505">
        <v>1</v>
      </c>
      <c r="H89" s="3524" t="s">
        <v>2309</v>
      </c>
      <c r="I89" s="3524" t="s">
        <v>2357</v>
      </c>
      <c r="J89" s="3524" t="s">
        <v>2358</v>
      </c>
      <c r="K89" s="3524" t="s">
        <v>2359</v>
      </c>
      <c r="M89" s="3505">
        <v>3</v>
      </c>
      <c r="N89" s="3505">
        <v>1</v>
      </c>
      <c r="O89" s="3505">
        <v>1</v>
      </c>
      <c r="P89" s="3505">
        <v>3</v>
      </c>
      <c r="Q89" s="3505">
        <v>1</v>
      </c>
      <c r="S89"/>
      <c r="T89"/>
    </row>
    <row r="90" spans="2:28" ht="26.25" x14ac:dyDescent="0.4">
      <c r="B90" s="1972"/>
      <c r="C90" s="1971"/>
      <c r="F90" s="1930"/>
      <c r="H90" s="3564"/>
      <c r="I90" s="3564"/>
      <c r="J90" s="3564"/>
      <c r="K90" s="3564"/>
      <c r="L90" s="1930"/>
      <c r="M90"/>
      <c r="S90"/>
      <c r="T90"/>
    </row>
    <row r="91" spans="2:28" ht="26.25" x14ac:dyDescent="0.4">
      <c r="B91" s="1972"/>
      <c r="C91" s="1971"/>
      <c r="F91" s="1930"/>
      <c r="H91" s="3564"/>
      <c r="I91" s="3564"/>
      <c r="J91" s="3564"/>
      <c r="K91" s="3564"/>
      <c r="L91" s="1930"/>
      <c r="M91"/>
      <c r="S91"/>
      <c r="T91"/>
    </row>
    <row r="92" spans="2:28" ht="26.25" x14ac:dyDescent="0.4">
      <c r="B92" s="1972"/>
      <c r="C92" s="1971"/>
      <c r="F92" s="1930"/>
      <c r="H92" s="3564"/>
      <c r="I92" s="3564"/>
      <c r="J92" s="3564"/>
      <c r="K92" s="3564"/>
      <c r="L92" s="1930"/>
      <c r="M92"/>
      <c r="S92"/>
      <c r="T92"/>
    </row>
    <row r="93" spans="2:28" ht="26.25" x14ac:dyDescent="0.4">
      <c r="B93" s="1972"/>
      <c r="C93" s="1971"/>
      <c r="F93" s="1930"/>
      <c r="H93" s="3564"/>
      <c r="I93" s="3564"/>
      <c r="J93" s="3564"/>
      <c r="K93" s="3564"/>
      <c r="L93" s="1930"/>
      <c r="M93"/>
      <c r="S93"/>
      <c r="T93"/>
    </row>
    <row r="94" spans="2:28" ht="26.25" x14ac:dyDescent="0.4">
      <c r="B94" s="1972"/>
      <c r="C94" s="2626"/>
      <c r="F94" s="1930"/>
      <c r="H94" s="3564"/>
      <c r="I94" s="3564"/>
      <c r="J94" s="3564"/>
      <c r="K94" s="3564"/>
      <c r="L94" s="1930"/>
      <c r="M94"/>
      <c r="S94"/>
      <c r="T94"/>
    </row>
    <row r="95" spans="2:28" ht="15" x14ac:dyDescent="0.25">
      <c r="F95" s="1930"/>
      <c r="H95" s="3564"/>
      <c r="I95" s="3564"/>
      <c r="J95" s="3564"/>
      <c r="K95" s="3564"/>
      <c r="L95" s="1930"/>
      <c r="M95"/>
      <c r="S95"/>
      <c r="T95"/>
    </row>
    <row r="96" spans="2:28" ht="26.25" x14ac:dyDescent="0.4">
      <c r="B96" s="1972"/>
      <c r="C96" s="453"/>
      <c r="F96" s="1930"/>
      <c r="H96" s="3564"/>
      <c r="I96" s="3564"/>
      <c r="J96" s="3564"/>
      <c r="K96" s="3564"/>
      <c r="L96" s="1930"/>
      <c r="S96"/>
      <c r="T96"/>
    </row>
    <row r="97" spans="6:26" customFormat="1" ht="12.75" x14ac:dyDescent="0.2">
      <c r="F97" s="453"/>
      <c r="H97" s="74"/>
      <c r="I97" s="74"/>
      <c r="J97" s="74"/>
      <c r="K97" s="74"/>
      <c r="Z97" s="122"/>
    </row>
    <row r="98" spans="6:26" customFormat="1" ht="12.75" x14ac:dyDescent="0.2">
      <c r="F98" s="453"/>
      <c r="H98" s="74"/>
      <c r="I98" s="74"/>
      <c r="J98" s="74"/>
      <c r="K98" s="74"/>
      <c r="Z98" s="122"/>
    </row>
    <row r="99" spans="6:26" customFormat="1" ht="12.75" x14ac:dyDescent="0.2">
      <c r="F99" s="453"/>
      <c r="H99" s="74"/>
      <c r="I99" s="74"/>
      <c r="J99" s="74"/>
      <c r="K99" s="74"/>
      <c r="Z99" s="122"/>
    </row>
    <row r="100" spans="6:26" customFormat="1" ht="12.75" x14ac:dyDescent="0.2">
      <c r="F100" s="453"/>
      <c r="H100" s="74"/>
      <c r="I100" s="74"/>
      <c r="J100" s="74"/>
      <c r="K100" s="74"/>
      <c r="Z100" s="122"/>
    </row>
    <row r="101" spans="6:26" customFormat="1" ht="12.75" x14ac:dyDescent="0.2">
      <c r="F101" s="453"/>
      <c r="H101" s="74"/>
      <c r="I101" s="74"/>
      <c r="J101" s="74"/>
      <c r="K101" s="74"/>
      <c r="Z101" s="122"/>
    </row>
    <row r="102" spans="6:26" customFormat="1" ht="12.75" x14ac:dyDescent="0.2">
      <c r="F102" s="453"/>
      <c r="H102" s="74"/>
      <c r="I102" s="74"/>
      <c r="J102" s="74"/>
      <c r="K102" s="74"/>
      <c r="Z102" s="122"/>
    </row>
    <row r="103" spans="6:26" customFormat="1" ht="12.75" x14ac:dyDescent="0.2">
      <c r="F103" s="453"/>
      <c r="H103" s="74"/>
      <c r="I103" s="74"/>
      <c r="J103" s="74"/>
      <c r="K103" s="74"/>
      <c r="Z103" s="122"/>
    </row>
    <row r="104" spans="6:26" customFormat="1" ht="12.75" x14ac:dyDescent="0.2">
      <c r="F104" s="453"/>
      <c r="H104" s="74"/>
      <c r="I104" s="74"/>
      <c r="J104" s="74"/>
      <c r="K104" s="74"/>
      <c r="Z104" s="122"/>
    </row>
    <row r="105" spans="6:26" customFormat="1" ht="12.75" x14ac:dyDescent="0.2">
      <c r="F105" s="453"/>
      <c r="H105" s="74"/>
      <c r="I105" s="74"/>
      <c r="J105" s="74"/>
      <c r="K105" s="74"/>
      <c r="Z105" s="122"/>
    </row>
    <row r="106" spans="6:26" customFormat="1" ht="12.75" x14ac:dyDescent="0.2">
      <c r="F106" s="453"/>
      <c r="H106" s="74"/>
      <c r="I106" s="74"/>
      <c r="J106" s="74"/>
      <c r="K106" s="74"/>
      <c r="Z106" s="122"/>
    </row>
    <row r="107" spans="6:26" customFormat="1" ht="12.75" x14ac:dyDescent="0.2">
      <c r="F107" s="453"/>
      <c r="H107" s="74"/>
      <c r="I107" s="74"/>
      <c r="J107" s="74"/>
      <c r="K107" s="74"/>
      <c r="Z107" s="122"/>
    </row>
    <row r="108" spans="6:26" customFormat="1" ht="12.75" x14ac:dyDescent="0.2">
      <c r="F108" s="453"/>
      <c r="H108" s="74"/>
      <c r="I108" s="74"/>
      <c r="J108" s="74"/>
      <c r="K108" s="74"/>
      <c r="Z108" s="122"/>
    </row>
    <row r="109" spans="6:26" customFormat="1" ht="12.75" x14ac:dyDescent="0.2">
      <c r="F109" s="453"/>
      <c r="H109" s="74"/>
      <c r="I109" s="74"/>
      <c r="J109" s="74"/>
      <c r="K109" s="74"/>
      <c r="Z109" s="122"/>
    </row>
    <row r="110" spans="6:26" customFormat="1" ht="12.75" x14ac:dyDescent="0.2">
      <c r="F110" s="453"/>
      <c r="H110" s="74"/>
      <c r="I110" s="74"/>
      <c r="J110" s="74"/>
      <c r="K110" s="74"/>
      <c r="Z110" s="122"/>
    </row>
    <row r="111" spans="6:26" customFormat="1" ht="12.75" x14ac:dyDescent="0.2">
      <c r="F111" s="453"/>
      <c r="H111" s="74"/>
      <c r="I111" s="74"/>
      <c r="J111" s="74"/>
      <c r="K111" s="74"/>
      <c r="Z111" s="122"/>
    </row>
    <row r="112" spans="6:26" customFormat="1" ht="12.75" x14ac:dyDescent="0.2">
      <c r="F112" s="453"/>
      <c r="H112" s="74"/>
      <c r="I112" s="74"/>
      <c r="J112" s="74"/>
      <c r="K112" s="74"/>
      <c r="Z112" s="122"/>
    </row>
    <row r="113" spans="6:26" customFormat="1" ht="12.75" x14ac:dyDescent="0.2">
      <c r="F113" s="453"/>
      <c r="H113" s="74"/>
      <c r="I113" s="74"/>
      <c r="J113" s="74"/>
      <c r="K113" s="74"/>
      <c r="Z113" s="122"/>
    </row>
    <row r="114" spans="6:26" customFormat="1" ht="12.75" x14ac:dyDescent="0.2">
      <c r="F114" s="453"/>
      <c r="H114" s="74"/>
      <c r="I114" s="74"/>
      <c r="J114" s="74"/>
      <c r="K114" s="74"/>
      <c r="Z114" s="122"/>
    </row>
    <row r="115" spans="6:26" customFormat="1" ht="12.75" x14ac:dyDescent="0.2">
      <c r="F115" s="453"/>
      <c r="H115" s="74"/>
      <c r="I115" s="74"/>
      <c r="J115" s="74"/>
      <c r="K115" s="74"/>
      <c r="Z115" s="122"/>
    </row>
    <row r="116" spans="6:26" customFormat="1" ht="12.75" x14ac:dyDescent="0.2">
      <c r="F116" s="453"/>
      <c r="H116" s="74"/>
      <c r="I116" s="74"/>
      <c r="J116" s="74"/>
      <c r="K116" s="74"/>
      <c r="Z116" s="122"/>
    </row>
    <row r="117" spans="6:26" customFormat="1" ht="12.75" x14ac:dyDescent="0.2">
      <c r="F117" s="453"/>
      <c r="H117" s="74"/>
      <c r="I117" s="74"/>
      <c r="J117" s="74"/>
      <c r="K117" s="74"/>
      <c r="Z117" s="122"/>
    </row>
    <row r="118" spans="6:26" customFormat="1" ht="12.75" x14ac:dyDescent="0.2">
      <c r="F118" s="453"/>
      <c r="H118" s="74"/>
      <c r="I118" s="74"/>
      <c r="J118" s="74"/>
      <c r="K118" s="74"/>
      <c r="Z118" s="122"/>
    </row>
    <row r="119" spans="6:26" customFormat="1" ht="12.75" x14ac:dyDescent="0.2">
      <c r="F119" s="453"/>
      <c r="H119" s="74"/>
      <c r="I119" s="74"/>
      <c r="J119" s="74"/>
      <c r="K119" s="74"/>
      <c r="Z119" s="122"/>
    </row>
    <row r="120" spans="6:26" customFormat="1" ht="12.75" x14ac:dyDescent="0.2">
      <c r="F120" s="453"/>
      <c r="H120" s="74"/>
      <c r="I120" s="74"/>
      <c r="J120" s="74"/>
      <c r="K120" s="74"/>
      <c r="Z120" s="122"/>
    </row>
    <row r="121" spans="6:26" customFormat="1" ht="12.75" x14ac:dyDescent="0.2">
      <c r="F121" s="453"/>
      <c r="H121" s="74"/>
      <c r="I121" s="74"/>
      <c r="J121" s="74"/>
      <c r="K121" s="74"/>
      <c r="Z121" s="122"/>
    </row>
    <row r="122" spans="6:26" customFormat="1" ht="12.75" x14ac:dyDescent="0.2">
      <c r="F122" s="453"/>
      <c r="H122" s="74"/>
      <c r="I122" s="74"/>
      <c r="J122" s="74"/>
      <c r="K122" s="74"/>
      <c r="Z122" s="122"/>
    </row>
    <row r="123" spans="6:26" customFormat="1" ht="12.75" x14ac:dyDescent="0.2">
      <c r="F123" s="453"/>
      <c r="H123" s="74"/>
      <c r="I123" s="74"/>
      <c r="J123" s="74"/>
      <c r="K123" s="74"/>
      <c r="Z123" s="122"/>
    </row>
    <row r="124" spans="6:26" customFormat="1" ht="12.75" x14ac:dyDescent="0.2">
      <c r="F124" s="453"/>
      <c r="H124" s="74"/>
      <c r="I124" s="74"/>
      <c r="J124" s="74"/>
      <c r="K124" s="74"/>
      <c r="Z124" s="122"/>
    </row>
    <row r="125" spans="6:26" customFormat="1" ht="12.75" x14ac:dyDescent="0.2">
      <c r="F125" s="453"/>
      <c r="H125" s="74"/>
      <c r="I125" s="74"/>
      <c r="J125" s="74"/>
      <c r="K125" s="74"/>
      <c r="Z125" s="122"/>
    </row>
    <row r="126" spans="6:26" customFormat="1" ht="12.75" x14ac:dyDescent="0.2">
      <c r="F126" s="453"/>
      <c r="H126" s="74"/>
      <c r="I126" s="74"/>
      <c r="J126" s="74"/>
      <c r="K126" s="74"/>
      <c r="Z126" s="122"/>
    </row>
    <row r="127" spans="6:26" customFormat="1" ht="12.75" x14ac:dyDescent="0.2">
      <c r="F127" s="453"/>
      <c r="H127" s="74"/>
      <c r="I127" s="74"/>
      <c r="J127" s="74"/>
      <c r="K127" s="74"/>
      <c r="Z127" s="122"/>
    </row>
    <row r="128" spans="6:26" customFormat="1" ht="12.75" x14ac:dyDescent="0.2">
      <c r="F128" s="453"/>
      <c r="H128" s="74"/>
      <c r="I128" s="74"/>
      <c r="J128" s="74"/>
      <c r="K128" s="74"/>
      <c r="Z128" s="122"/>
    </row>
    <row r="129" spans="6:26" customFormat="1" ht="12.75" x14ac:dyDescent="0.2">
      <c r="F129" s="453"/>
      <c r="H129" s="74"/>
      <c r="I129" s="74"/>
      <c r="J129" s="74"/>
      <c r="K129" s="74"/>
      <c r="Z129" s="122"/>
    </row>
    <row r="130" spans="6:26" customFormat="1" ht="12.75" x14ac:dyDescent="0.2">
      <c r="F130" s="453"/>
      <c r="H130" s="74"/>
      <c r="I130" s="74"/>
      <c r="J130" s="74"/>
      <c r="K130" s="74"/>
      <c r="Z130" s="122"/>
    </row>
    <row r="131" spans="6:26" customFormat="1" ht="12.75" x14ac:dyDescent="0.2">
      <c r="F131" s="453"/>
      <c r="H131" s="74"/>
      <c r="I131" s="74"/>
      <c r="J131" s="74"/>
      <c r="K131" s="74"/>
      <c r="Z131" s="122"/>
    </row>
    <row r="132" spans="6:26" customFormat="1" ht="12.75" x14ac:dyDescent="0.2">
      <c r="F132" s="453"/>
      <c r="H132" s="74"/>
      <c r="I132" s="74"/>
      <c r="J132" s="74"/>
      <c r="K132" s="74"/>
      <c r="Z132" s="122"/>
    </row>
    <row r="133" spans="6:26" customFormat="1" ht="12.75" x14ac:dyDescent="0.2">
      <c r="F133" s="453"/>
      <c r="H133" s="74"/>
      <c r="I133" s="74"/>
      <c r="J133" s="74"/>
      <c r="K133" s="74"/>
      <c r="Z133" s="122"/>
    </row>
    <row r="134" spans="6:26" customFormat="1" ht="12.75" x14ac:dyDescent="0.2">
      <c r="F134" s="453"/>
      <c r="H134" s="74"/>
      <c r="I134" s="74"/>
      <c r="J134" s="74"/>
      <c r="K134" s="74"/>
      <c r="Z134" s="122"/>
    </row>
    <row r="135" spans="6:26" customFormat="1" ht="12.75" x14ac:dyDescent="0.2">
      <c r="F135" s="453"/>
      <c r="H135" s="74"/>
      <c r="I135" s="74"/>
      <c r="J135" s="74"/>
      <c r="K135" s="74"/>
      <c r="Z135" s="122"/>
    </row>
    <row r="136" spans="6:26" customFormat="1" ht="12.75" x14ac:dyDescent="0.2">
      <c r="F136" s="453"/>
      <c r="H136" s="74"/>
      <c r="I136" s="74"/>
      <c r="J136" s="74"/>
      <c r="K136" s="74"/>
      <c r="Z136" s="122"/>
    </row>
    <row r="137" spans="6:26" customFormat="1" ht="12.75" x14ac:dyDescent="0.2">
      <c r="F137" s="453"/>
      <c r="H137" s="74"/>
      <c r="I137" s="74"/>
      <c r="J137" s="74"/>
      <c r="K137" s="74"/>
      <c r="Z137" s="122"/>
    </row>
    <row r="138" spans="6:26" customFormat="1" ht="12.75" x14ac:dyDescent="0.2">
      <c r="F138" s="453"/>
      <c r="H138" s="74"/>
      <c r="I138" s="74"/>
      <c r="J138" s="74"/>
      <c r="K138" s="74"/>
      <c r="Z138" s="122"/>
    </row>
    <row r="139" spans="6:26" customFormat="1" ht="12.75" x14ac:dyDescent="0.2">
      <c r="F139" s="453"/>
      <c r="H139" s="74"/>
      <c r="I139" s="74"/>
      <c r="J139" s="74"/>
      <c r="K139" s="74"/>
      <c r="Z139" s="122"/>
    </row>
    <row r="140" spans="6:26" customFormat="1" ht="12.75" x14ac:dyDescent="0.2">
      <c r="F140" s="453"/>
      <c r="H140" s="74"/>
      <c r="I140" s="74"/>
      <c r="J140" s="74"/>
      <c r="K140" s="74"/>
      <c r="Z140" s="122"/>
    </row>
    <row r="141" spans="6:26" customFormat="1" ht="12.75" x14ac:dyDescent="0.2">
      <c r="F141" s="453"/>
      <c r="H141" s="74"/>
      <c r="I141" s="74"/>
      <c r="J141" s="74"/>
      <c r="K141" s="74"/>
      <c r="Z141" s="122"/>
    </row>
    <row r="142" spans="6:26" customFormat="1" ht="12.75" x14ac:dyDescent="0.2">
      <c r="F142" s="453"/>
      <c r="H142" s="74"/>
      <c r="I142" s="74"/>
      <c r="J142" s="74"/>
      <c r="K142" s="74"/>
      <c r="Z142" s="122"/>
    </row>
    <row r="143" spans="6:26" customFormat="1" ht="12.75" x14ac:dyDescent="0.2">
      <c r="F143" s="453"/>
      <c r="H143" s="74"/>
      <c r="I143" s="74"/>
      <c r="J143" s="74"/>
      <c r="K143" s="74"/>
      <c r="Z143" s="122"/>
    </row>
    <row r="144" spans="6:26" customFormat="1" ht="12.75" x14ac:dyDescent="0.2">
      <c r="F144" s="453"/>
      <c r="H144" s="74"/>
      <c r="I144" s="74"/>
      <c r="J144" s="74"/>
      <c r="K144" s="74"/>
      <c r="Z144" s="122"/>
    </row>
    <row r="145" spans="6:26" customFormat="1" ht="12.75" x14ac:dyDescent="0.2">
      <c r="F145" s="453"/>
      <c r="H145" s="74"/>
      <c r="I145" s="74"/>
      <c r="J145" s="74"/>
      <c r="K145" s="74"/>
      <c r="Z145" s="122"/>
    </row>
    <row r="146" spans="6:26" customFormat="1" ht="12.75" x14ac:dyDescent="0.2">
      <c r="F146" s="453"/>
      <c r="H146" s="74"/>
      <c r="I146" s="74"/>
      <c r="J146" s="74"/>
      <c r="K146" s="74"/>
      <c r="Z146" s="122"/>
    </row>
    <row r="147" spans="6:26" customFormat="1" ht="12.75" x14ac:dyDescent="0.2">
      <c r="F147" s="453"/>
      <c r="H147" s="74"/>
      <c r="I147" s="74"/>
      <c r="J147" s="74"/>
      <c r="K147" s="74"/>
      <c r="Z147" s="122"/>
    </row>
    <row r="148" spans="6:26" customFormat="1" ht="12.75" x14ac:dyDescent="0.2">
      <c r="F148" s="453"/>
      <c r="H148" s="74"/>
      <c r="I148" s="74"/>
      <c r="J148" s="74"/>
      <c r="K148" s="74"/>
      <c r="Z148" s="122"/>
    </row>
    <row r="149" spans="6:26" customFormat="1" ht="12.75" x14ac:dyDescent="0.2">
      <c r="F149" s="453"/>
      <c r="H149" s="74"/>
      <c r="I149" s="74"/>
      <c r="J149" s="74"/>
      <c r="K149" s="74"/>
      <c r="Z149" s="122"/>
    </row>
    <row r="150" spans="6:26" customFormat="1" ht="12.75" x14ac:dyDescent="0.2">
      <c r="F150" s="453"/>
      <c r="H150" s="74"/>
      <c r="I150" s="74"/>
      <c r="J150" s="74"/>
      <c r="K150" s="74"/>
      <c r="Z150" s="122"/>
    </row>
    <row r="151" spans="6:26" customFormat="1" ht="12.75" x14ac:dyDescent="0.2">
      <c r="F151" s="453"/>
      <c r="H151" s="74"/>
      <c r="I151" s="74"/>
      <c r="J151" s="74"/>
      <c r="K151" s="74"/>
      <c r="Z151" s="122"/>
    </row>
    <row r="152" spans="6:26" customFormat="1" ht="12.75" x14ac:dyDescent="0.2">
      <c r="F152" s="453"/>
      <c r="H152" s="74"/>
      <c r="I152" s="74"/>
      <c r="J152" s="74"/>
      <c r="K152" s="74"/>
      <c r="Z152" s="122"/>
    </row>
    <row r="153" spans="6:26" customFormat="1" ht="12.75" x14ac:dyDescent="0.2">
      <c r="F153" s="453"/>
      <c r="H153" s="74"/>
      <c r="I153" s="74"/>
      <c r="J153" s="74"/>
      <c r="K153" s="74"/>
      <c r="Z153" s="122"/>
    </row>
    <row r="154" spans="6:26" customFormat="1" ht="12.75" x14ac:dyDescent="0.2">
      <c r="F154" s="453"/>
      <c r="H154" s="74"/>
      <c r="I154" s="74"/>
      <c r="J154" s="74"/>
      <c r="K154" s="74"/>
      <c r="Z154" s="122"/>
    </row>
    <row r="155" spans="6:26" customFormat="1" ht="12.75" x14ac:dyDescent="0.2">
      <c r="F155" s="453"/>
      <c r="H155" s="74"/>
      <c r="I155" s="74"/>
      <c r="J155" s="74"/>
      <c r="K155" s="74"/>
      <c r="Z155" s="122"/>
    </row>
    <row r="156" spans="6:26" customFormat="1" ht="12.75" x14ac:dyDescent="0.2">
      <c r="F156" s="453"/>
      <c r="H156" s="74"/>
      <c r="I156" s="74"/>
      <c r="J156" s="74"/>
      <c r="K156" s="74"/>
      <c r="Z156" s="122"/>
    </row>
    <row r="157" spans="6:26" customFormat="1" ht="12.75" x14ac:dyDescent="0.2">
      <c r="F157" s="453"/>
      <c r="H157" s="74"/>
      <c r="I157" s="74"/>
      <c r="J157" s="74"/>
      <c r="K157" s="74"/>
      <c r="Z157" s="122"/>
    </row>
    <row r="158" spans="6:26" customFormat="1" ht="12.75" x14ac:dyDescent="0.2">
      <c r="F158" s="453"/>
      <c r="H158" s="74"/>
      <c r="I158" s="74"/>
      <c r="J158" s="74"/>
      <c r="K158" s="74"/>
      <c r="Z158" s="122"/>
    </row>
    <row r="159" spans="6:26" customFormat="1" ht="12.75" x14ac:dyDescent="0.2">
      <c r="F159" s="453"/>
      <c r="H159" s="74"/>
      <c r="I159" s="74"/>
      <c r="J159" s="74"/>
      <c r="K159" s="74"/>
      <c r="Z159" s="122"/>
    </row>
    <row r="160" spans="6:26" customFormat="1" ht="12.75" x14ac:dyDescent="0.2">
      <c r="F160" s="453"/>
      <c r="H160" s="74"/>
      <c r="I160" s="74"/>
      <c r="J160" s="74"/>
      <c r="K160" s="74"/>
      <c r="Z160" s="122"/>
    </row>
    <row r="161" spans="6:26" customFormat="1" ht="12.75" x14ac:dyDescent="0.2">
      <c r="F161" s="453"/>
      <c r="H161" s="74"/>
      <c r="I161" s="74"/>
      <c r="J161" s="74"/>
      <c r="K161" s="74"/>
      <c r="Z161" s="122"/>
    </row>
    <row r="162" spans="6:26" customFormat="1" ht="12.75" x14ac:dyDescent="0.2">
      <c r="F162" s="453"/>
      <c r="H162" s="74"/>
      <c r="I162" s="74"/>
      <c r="J162" s="74"/>
      <c r="K162" s="74"/>
      <c r="Z162" s="122"/>
    </row>
    <row r="163" spans="6:26" customFormat="1" ht="12.75" x14ac:dyDescent="0.2">
      <c r="F163" s="453"/>
      <c r="H163" s="74"/>
      <c r="I163" s="74"/>
      <c r="J163" s="74"/>
      <c r="K163" s="74"/>
      <c r="Z163" s="122"/>
    </row>
    <row r="164" spans="6:26" customFormat="1" ht="12.75" x14ac:dyDescent="0.2">
      <c r="F164" s="453"/>
      <c r="H164" s="74"/>
      <c r="I164" s="74"/>
      <c r="J164" s="74"/>
      <c r="K164" s="74"/>
      <c r="Z164" s="122"/>
    </row>
    <row r="165" spans="6:26" customFormat="1" ht="12.75" x14ac:dyDescent="0.2">
      <c r="F165" s="453"/>
      <c r="H165" s="74"/>
      <c r="I165" s="74"/>
      <c r="J165" s="74"/>
      <c r="K165" s="74"/>
      <c r="Z165" s="122"/>
    </row>
    <row r="166" spans="6:26" customFormat="1" ht="12.75" x14ac:dyDescent="0.2">
      <c r="F166" s="453"/>
      <c r="H166" s="74"/>
      <c r="I166" s="74"/>
      <c r="J166" s="74"/>
      <c r="K166" s="74"/>
      <c r="Z166" s="122"/>
    </row>
    <row r="167" spans="6:26" customFormat="1" ht="12.75" x14ac:dyDescent="0.2">
      <c r="F167" s="453"/>
      <c r="H167" s="74"/>
      <c r="I167" s="74"/>
      <c r="J167" s="74"/>
      <c r="K167" s="74"/>
      <c r="Z167" s="122"/>
    </row>
    <row r="168" spans="6:26" customFormat="1" ht="12.75" x14ac:dyDescent="0.2">
      <c r="F168" s="453"/>
      <c r="H168" s="74"/>
      <c r="I168" s="74"/>
      <c r="J168" s="74"/>
      <c r="K168" s="74"/>
      <c r="Z168" s="122"/>
    </row>
    <row r="169" spans="6:26" customFormat="1" ht="12.75" x14ac:dyDescent="0.2">
      <c r="F169" s="453"/>
      <c r="H169" s="74"/>
      <c r="I169" s="74"/>
      <c r="J169" s="74"/>
      <c r="K169" s="74"/>
      <c r="Z169" s="122"/>
    </row>
    <row r="170" spans="6:26" customFormat="1" ht="12.75" x14ac:dyDescent="0.2">
      <c r="F170" s="453"/>
      <c r="H170" s="74"/>
      <c r="I170" s="74"/>
      <c r="J170" s="74"/>
      <c r="K170" s="74"/>
      <c r="Z170" s="122"/>
    </row>
    <row r="171" spans="6:26" customFormat="1" ht="12.75" x14ac:dyDescent="0.2">
      <c r="F171" s="453"/>
      <c r="H171" s="74"/>
      <c r="I171" s="74"/>
      <c r="J171" s="74"/>
      <c r="K171" s="74"/>
      <c r="Z171" s="122"/>
    </row>
    <row r="172" spans="6:26" customFormat="1" ht="12.75" x14ac:dyDescent="0.2">
      <c r="F172" s="453"/>
      <c r="H172" s="74"/>
      <c r="I172" s="74"/>
      <c r="J172" s="74"/>
      <c r="K172" s="74"/>
      <c r="Z172" s="122"/>
    </row>
    <row r="173" spans="6:26" customFormat="1" ht="12.75" x14ac:dyDescent="0.2">
      <c r="F173" s="453"/>
      <c r="H173" s="74"/>
      <c r="I173" s="74"/>
      <c r="J173" s="74"/>
      <c r="K173" s="74"/>
      <c r="Z173" s="122"/>
    </row>
    <row r="174" spans="6:26" customFormat="1" ht="12.75" x14ac:dyDescent="0.2">
      <c r="F174" s="453"/>
      <c r="H174" s="74"/>
      <c r="I174" s="74"/>
      <c r="J174" s="74"/>
      <c r="K174" s="74"/>
      <c r="Z174" s="122"/>
    </row>
    <row r="175" spans="6:26" customFormat="1" ht="12.75" x14ac:dyDescent="0.2">
      <c r="F175" s="453"/>
      <c r="H175" s="74"/>
      <c r="I175" s="74"/>
      <c r="J175" s="74"/>
      <c r="K175" s="74"/>
      <c r="Z175" s="122"/>
    </row>
    <row r="176" spans="6:26" customFormat="1" ht="12.75" x14ac:dyDescent="0.2">
      <c r="F176" s="453"/>
      <c r="H176" s="74"/>
      <c r="I176" s="74"/>
      <c r="J176" s="74"/>
      <c r="K176" s="74"/>
      <c r="Z176" s="122"/>
    </row>
    <row r="177" spans="6:26" customFormat="1" ht="12.75" x14ac:dyDescent="0.2">
      <c r="F177" s="453"/>
      <c r="H177" s="74"/>
      <c r="I177" s="74"/>
      <c r="J177" s="74"/>
      <c r="K177" s="74"/>
      <c r="Z177" s="122"/>
    </row>
    <row r="178" spans="6:26" customFormat="1" ht="12.75" x14ac:dyDescent="0.2">
      <c r="F178" s="453"/>
      <c r="H178" s="74"/>
      <c r="I178" s="74"/>
      <c r="J178" s="74"/>
      <c r="K178" s="74"/>
      <c r="Z178" s="122"/>
    </row>
    <row r="179" spans="6:26" customFormat="1" ht="12.75" x14ac:dyDescent="0.2">
      <c r="F179" s="453"/>
      <c r="H179" s="74"/>
      <c r="I179" s="74"/>
      <c r="J179" s="74"/>
      <c r="K179" s="74"/>
      <c r="Z179" s="122"/>
    </row>
    <row r="180" spans="6:26" customFormat="1" ht="12.75" x14ac:dyDescent="0.2">
      <c r="F180" s="453"/>
      <c r="H180" s="74"/>
      <c r="I180" s="74"/>
      <c r="J180" s="74"/>
      <c r="K180" s="74"/>
      <c r="Z180" s="122"/>
    </row>
    <row r="181" spans="6:26" customFormat="1" ht="12.75" x14ac:dyDescent="0.2">
      <c r="F181" s="453"/>
      <c r="H181" s="74"/>
      <c r="I181" s="74"/>
      <c r="J181" s="74"/>
      <c r="K181" s="74"/>
      <c r="Z181" s="122"/>
    </row>
    <row r="182" spans="6:26" customFormat="1" ht="12.75" x14ac:dyDescent="0.2">
      <c r="F182" s="453"/>
      <c r="H182" s="74"/>
      <c r="I182" s="74"/>
      <c r="J182" s="74"/>
      <c r="K182" s="74"/>
      <c r="Z182" s="122"/>
    </row>
    <row r="183" spans="6:26" customFormat="1" ht="12.75" x14ac:dyDescent="0.2">
      <c r="F183" s="453"/>
      <c r="H183" s="74"/>
      <c r="I183" s="74"/>
      <c r="J183" s="74"/>
      <c r="K183" s="74"/>
      <c r="Z183" s="122"/>
    </row>
    <row r="184" spans="6:26" customFormat="1" ht="12.75" x14ac:dyDescent="0.2">
      <c r="F184" s="453"/>
      <c r="H184" s="74"/>
      <c r="I184" s="74"/>
      <c r="J184" s="74"/>
      <c r="K184" s="74"/>
      <c r="Z184" s="122"/>
    </row>
    <row r="185" spans="6:26" customFormat="1" ht="12.75" x14ac:dyDescent="0.2">
      <c r="F185" s="453"/>
      <c r="H185" s="74"/>
      <c r="I185" s="74"/>
      <c r="J185" s="74"/>
      <c r="K185" s="74"/>
      <c r="Z185" s="122"/>
    </row>
    <row r="186" spans="6:26" customFormat="1" ht="12.75" x14ac:dyDescent="0.2">
      <c r="F186" s="453"/>
      <c r="H186" s="74"/>
      <c r="I186" s="74"/>
      <c r="J186" s="74"/>
      <c r="K186" s="74"/>
      <c r="Z186" s="122"/>
    </row>
    <row r="187" spans="6:26" customFormat="1" ht="12.75" x14ac:dyDescent="0.2">
      <c r="F187" s="453"/>
      <c r="H187" s="74"/>
      <c r="I187" s="74"/>
      <c r="J187" s="74"/>
      <c r="K187" s="74"/>
      <c r="Z187" s="122"/>
    </row>
    <row r="188" spans="6:26" customFormat="1" ht="12.75" x14ac:dyDescent="0.2">
      <c r="F188" s="453"/>
      <c r="H188" s="74"/>
      <c r="I188" s="74"/>
      <c r="J188" s="74"/>
      <c r="K188" s="74"/>
      <c r="Z188" s="122"/>
    </row>
    <row r="189" spans="6:26" customFormat="1" ht="12.75" x14ac:dyDescent="0.2">
      <c r="F189" s="453"/>
      <c r="H189" s="74"/>
      <c r="I189" s="74"/>
      <c r="J189" s="74"/>
      <c r="K189" s="74"/>
      <c r="Z189" s="122"/>
    </row>
    <row r="190" spans="6:26" customFormat="1" ht="12.75" x14ac:dyDescent="0.2">
      <c r="F190" s="453"/>
      <c r="H190" s="74"/>
      <c r="I190" s="74"/>
      <c r="J190" s="74"/>
      <c r="K190" s="74"/>
      <c r="Z190" s="122"/>
    </row>
    <row r="191" spans="6:26" customFormat="1" ht="12.75" x14ac:dyDescent="0.2">
      <c r="F191" s="453"/>
      <c r="H191" s="74"/>
      <c r="I191" s="74"/>
      <c r="J191" s="74"/>
      <c r="K191" s="74"/>
      <c r="Z191" s="122"/>
    </row>
    <row r="192" spans="6:26" customFormat="1" ht="12.75" x14ac:dyDescent="0.2">
      <c r="F192" s="453"/>
      <c r="H192" s="74"/>
      <c r="I192" s="74"/>
      <c r="J192" s="74"/>
      <c r="K192" s="74"/>
      <c r="Z192" s="122"/>
    </row>
    <row r="193" spans="6:26" customFormat="1" ht="12.75" x14ac:dyDescent="0.2">
      <c r="F193" s="453"/>
      <c r="H193" s="74"/>
      <c r="I193" s="74"/>
      <c r="J193" s="74"/>
      <c r="K193" s="74"/>
      <c r="Z193" s="122"/>
    </row>
    <row r="194" spans="6:26" customFormat="1" ht="12.75" x14ac:dyDescent="0.2">
      <c r="F194" s="453"/>
      <c r="H194" s="74"/>
      <c r="I194" s="74"/>
      <c r="J194" s="74"/>
      <c r="K194" s="74"/>
      <c r="Z194" s="122"/>
    </row>
    <row r="195" spans="6:26" customFormat="1" ht="12.75" x14ac:dyDescent="0.2">
      <c r="F195" s="453"/>
      <c r="H195" s="74"/>
      <c r="I195" s="74"/>
      <c r="J195" s="74"/>
      <c r="K195" s="74"/>
      <c r="Z195" s="122"/>
    </row>
    <row r="196" spans="6:26" customFormat="1" ht="12.75" x14ac:dyDescent="0.2">
      <c r="F196" s="453"/>
      <c r="H196" s="74"/>
      <c r="I196" s="74"/>
      <c r="J196" s="74"/>
      <c r="K196" s="74"/>
      <c r="Z196" s="122"/>
    </row>
    <row r="197" spans="6:26" customFormat="1" ht="12.75" x14ac:dyDescent="0.2">
      <c r="F197" s="453"/>
      <c r="H197" s="74"/>
      <c r="I197" s="74"/>
      <c r="J197" s="74"/>
      <c r="K197" s="74"/>
      <c r="Z197" s="122"/>
    </row>
    <row r="198" spans="6:26" customFormat="1" ht="12.75" x14ac:dyDescent="0.2">
      <c r="F198" s="453"/>
      <c r="H198" s="74"/>
      <c r="I198" s="74"/>
      <c r="J198" s="74"/>
      <c r="K198" s="74"/>
      <c r="Z198" s="122"/>
    </row>
    <row r="199" spans="6:26" customFormat="1" ht="12.75" x14ac:dyDescent="0.2">
      <c r="F199" s="453"/>
      <c r="H199" s="74"/>
      <c r="I199" s="74"/>
      <c r="J199" s="74"/>
      <c r="K199" s="74"/>
      <c r="Z199" s="122"/>
    </row>
    <row r="200" spans="6:26" customFormat="1" ht="12.75" x14ac:dyDescent="0.2">
      <c r="F200" s="453"/>
      <c r="H200" s="74"/>
      <c r="I200" s="74"/>
      <c r="J200" s="74"/>
      <c r="K200" s="74"/>
      <c r="Z200" s="122"/>
    </row>
    <row r="201" spans="6:26" customFormat="1" ht="12.75" x14ac:dyDescent="0.2">
      <c r="F201" s="453"/>
      <c r="H201" s="74"/>
      <c r="I201" s="74"/>
      <c r="J201" s="74"/>
      <c r="K201" s="74"/>
      <c r="Z201" s="122"/>
    </row>
    <row r="202" spans="6:26" customFormat="1" ht="12.75" x14ac:dyDescent="0.2">
      <c r="F202" s="453"/>
      <c r="H202" s="74"/>
      <c r="I202" s="74"/>
      <c r="J202" s="74"/>
      <c r="K202" s="74"/>
      <c r="Z202" s="122"/>
    </row>
    <row r="203" spans="6:26" customFormat="1" ht="12.75" x14ac:dyDescent="0.2">
      <c r="F203" s="453"/>
      <c r="H203" s="74"/>
      <c r="I203" s="74"/>
      <c r="J203" s="74"/>
      <c r="K203" s="74"/>
      <c r="Z203" s="122"/>
    </row>
    <row r="204" spans="6:26" customFormat="1" ht="12.75" x14ac:dyDescent="0.2">
      <c r="F204" s="453"/>
      <c r="H204" s="74"/>
      <c r="I204" s="74"/>
      <c r="J204" s="74"/>
      <c r="K204" s="74"/>
      <c r="Z204" s="122"/>
    </row>
    <row r="205" spans="6:26" customFormat="1" ht="12.75" x14ac:dyDescent="0.2">
      <c r="F205" s="453"/>
      <c r="H205" s="74"/>
      <c r="I205" s="74"/>
      <c r="J205" s="74"/>
      <c r="K205" s="74"/>
      <c r="Z205" s="122"/>
    </row>
    <row r="206" spans="6:26" customFormat="1" ht="12.75" x14ac:dyDescent="0.2">
      <c r="F206" s="453"/>
      <c r="H206" s="74"/>
      <c r="I206" s="74"/>
      <c r="J206" s="74"/>
      <c r="K206" s="74"/>
      <c r="Z206" s="122"/>
    </row>
    <row r="207" spans="6:26" customFormat="1" ht="12.75" x14ac:dyDescent="0.2">
      <c r="F207" s="453"/>
      <c r="H207" s="74"/>
      <c r="I207" s="74"/>
      <c r="J207" s="74"/>
      <c r="K207" s="74"/>
      <c r="Z207" s="122"/>
    </row>
    <row r="208" spans="6:26" customFormat="1" ht="12.75" x14ac:dyDescent="0.2">
      <c r="F208" s="453"/>
      <c r="H208" s="74"/>
      <c r="I208" s="74"/>
      <c r="J208" s="74"/>
      <c r="K208" s="74"/>
      <c r="Z208" s="122"/>
    </row>
    <row r="209" spans="6:26" customFormat="1" ht="12.75" x14ac:dyDescent="0.2">
      <c r="F209" s="453"/>
      <c r="H209" s="74"/>
      <c r="I209" s="74"/>
      <c r="J209" s="74"/>
      <c r="K209" s="74"/>
      <c r="Z209" s="122"/>
    </row>
    <row r="210" spans="6:26" customFormat="1" ht="12.75" x14ac:dyDescent="0.2">
      <c r="F210" s="453"/>
      <c r="H210" s="74"/>
      <c r="I210" s="74"/>
      <c r="J210" s="74"/>
      <c r="K210" s="74"/>
      <c r="Z210" s="122"/>
    </row>
    <row r="211" spans="6:26" customFormat="1" ht="12.75" x14ac:dyDescent="0.2">
      <c r="F211" s="453"/>
      <c r="H211" s="74"/>
      <c r="I211" s="74"/>
      <c r="J211" s="74"/>
      <c r="K211" s="74"/>
      <c r="Z211" s="122"/>
    </row>
    <row r="212" spans="6:26" customFormat="1" ht="12.75" x14ac:dyDescent="0.2">
      <c r="F212" s="453"/>
      <c r="H212" s="74"/>
      <c r="I212" s="74"/>
      <c r="J212" s="74"/>
      <c r="K212" s="74"/>
      <c r="Z212" s="122"/>
    </row>
    <row r="213" spans="6:26" customFormat="1" ht="12.75" x14ac:dyDescent="0.2">
      <c r="F213" s="453"/>
      <c r="H213" s="74"/>
      <c r="I213" s="74"/>
      <c r="J213" s="74"/>
      <c r="K213" s="74"/>
      <c r="Z213" s="122"/>
    </row>
    <row r="214" spans="6:26" customFormat="1" ht="12.75" x14ac:dyDescent="0.2">
      <c r="F214" s="453"/>
      <c r="H214" s="74"/>
      <c r="I214" s="74"/>
      <c r="J214" s="74"/>
      <c r="K214" s="74"/>
      <c r="Z214" s="122"/>
    </row>
    <row r="215" spans="6:26" customFormat="1" ht="12.75" x14ac:dyDescent="0.2">
      <c r="F215" s="453"/>
      <c r="H215" s="74"/>
      <c r="I215" s="74"/>
      <c r="J215" s="74"/>
      <c r="K215" s="74"/>
      <c r="Z215" s="122"/>
    </row>
    <row r="216" spans="6:26" customFormat="1" ht="12.75" x14ac:dyDescent="0.2">
      <c r="F216" s="453"/>
      <c r="H216" s="74"/>
      <c r="I216" s="74"/>
      <c r="J216" s="74"/>
      <c r="K216" s="74"/>
      <c r="Z216" s="122"/>
    </row>
    <row r="217" spans="6:26" customFormat="1" ht="12.75" x14ac:dyDescent="0.2">
      <c r="F217" s="453"/>
      <c r="H217" s="74"/>
      <c r="I217" s="74"/>
      <c r="J217" s="74"/>
      <c r="K217" s="74"/>
      <c r="Z217" s="122"/>
    </row>
    <row r="218" spans="6:26" customFormat="1" ht="12.75" x14ac:dyDescent="0.2">
      <c r="F218" s="453"/>
      <c r="H218" s="74"/>
      <c r="I218" s="74"/>
      <c r="J218" s="74"/>
      <c r="K218" s="74"/>
      <c r="Z218" s="122"/>
    </row>
    <row r="219" spans="6:26" customFormat="1" ht="12.75" x14ac:dyDescent="0.2">
      <c r="F219" s="453"/>
      <c r="H219" s="74"/>
      <c r="I219" s="74"/>
      <c r="J219" s="74"/>
      <c r="K219" s="74"/>
      <c r="Z219" s="122"/>
    </row>
    <row r="220" spans="6:26" customFormat="1" ht="12.75" x14ac:dyDescent="0.2">
      <c r="F220" s="453"/>
      <c r="H220" s="74"/>
      <c r="I220" s="74"/>
      <c r="J220" s="74"/>
      <c r="K220" s="74"/>
      <c r="Z220" s="122"/>
    </row>
    <row r="221" spans="6:26" customFormat="1" ht="12.75" x14ac:dyDescent="0.2">
      <c r="F221" s="453"/>
      <c r="H221" s="74"/>
      <c r="I221" s="74"/>
      <c r="J221" s="74"/>
      <c r="K221" s="74"/>
      <c r="Z221" s="122"/>
    </row>
    <row r="222" spans="6:26" customFormat="1" ht="12.75" x14ac:dyDescent="0.2">
      <c r="F222" s="453"/>
      <c r="H222" s="74"/>
      <c r="I222" s="74"/>
      <c r="J222" s="74"/>
      <c r="K222" s="74"/>
      <c r="Z222" s="122"/>
    </row>
    <row r="223" spans="6:26" customFormat="1" ht="12.75" x14ac:dyDescent="0.2">
      <c r="F223" s="453"/>
      <c r="H223" s="74"/>
      <c r="I223" s="74"/>
      <c r="J223" s="74"/>
      <c r="K223" s="74"/>
      <c r="Z223" s="122"/>
    </row>
    <row r="224" spans="6:26" customFormat="1" ht="12.75" x14ac:dyDescent="0.2">
      <c r="F224" s="453"/>
      <c r="H224" s="74"/>
      <c r="I224" s="74"/>
      <c r="J224" s="74"/>
      <c r="K224" s="74"/>
      <c r="Z224" s="122"/>
    </row>
    <row r="225" spans="6:26" customFormat="1" ht="12.75" x14ac:dyDescent="0.2">
      <c r="F225" s="453"/>
      <c r="H225" s="74"/>
      <c r="I225" s="74"/>
      <c r="J225" s="74"/>
      <c r="K225" s="74"/>
      <c r="Z225" s="122"/>
    </row>
    <row r="226" spans="6:26" customFormat="1" ht="12.75" x14ac:dyDescent="0.2">
      <c r="F226" s="453"/>
      <c r="H226" s="74"/>
      <c r="I226" s="74"/>
      <c r="J226" s="74"/>
      <c r="K226" s="74"/>
      <c r="Z226" s="122"/>
    </row>
    <row r="227" spans="6:26" customFormat="1" ht="12.75" x14ac:dyDescent="0.2">
      <c r="F227" s="453"/>
      <c r="H227" s="74"/>
      <c r="I227" s="74"/>
      <c r="J227" s="74"/>
      <c r="K227" s="74"/>
      <c r="Z227" s="122"/>
    </row>
    <row r="228" spans="6:26" customFormat="1" ht="12.75" x14ac:dyDescent="0.2">
      <c r="F228" s="453"/>
      <c r="H228" s="74"/>
      <c r="I228" s="74"/>
      <c r="J228" s="74"/>
      <c r="K228" s="74"/>
      <c r="Z228" s="122"/>
    </row>
    <row r="229" spans="6:26" customFormat="1" ht="12.75" x14ac:dyDescent="0.2">
      <c r="F229" s="453"/>
      <c r="H229" s="74"/>
      <c r="I229" s="74"/>
      <c r="J229" s="74"/>
      <c r="K229" s="74"/>
      <c r="Z229" s="122"/>
    </row>
    <row r="230" spans="6:26" customFormat="1" ht="12.75" x14ac:dyDescent="0.2">
      <c r="F230" s="453"/>
      <c r="H230" s="74"/>
      <c r="I230" s="74"/>
      <c r="J230" s="74"/>
      <c r="K230" s="74"/>
      <c r="Z230" s="122"/>
    </row>
    <row r="231" spans="6:26" customFormat="1" ht="12.75" x14ac:dyDescent="0.2">
      <c r="F231" s="453"/>
      <c r="H231" s="74"/>
      <c r="I231" s="74"/>
      <c r="J231" s="74"/>
      <c r="K231" s="74"/>
      <c r="Z231" s="122"/>
    </row>
    <row r="232" spans="6:26" customFormat="1" ht="12.75" x14ac:dyDescent="0.2">
      <c r="F232" s="453"/>
      <c r="H232" s="74"/>
      <c r="I232" s="74"/>
      <c r="J232" s="74"/>
      <c r="K232" s="74"/>
      <c r="Z232" s="122"/>
    </row>
    <row r="233" spans="6:26" customFormat="1" ht="12.75" x14ac:dyDescent="0.2">
      <c r="F233" s="453"/>
      <c r="H233" s="74"/>
      <c r="I233" s="74"/>
      <c r="J233" s="74"/>
      <c r="K233" s="74"/>
      <c r="Z233" s="122"/>
    </row>
    <row r="234" spans="6:26" customFormat="1" ht="12.75" x14ac:dyDescent="0.2">
      <c r="F234" s="453"/>
      <c r="H234" s="74"/>
      <c r="I234" s="74"/>
      <c r="J234" s="74"/>
      <c r="K234" s="74"/>
      <c r="Z234" s="122"/>
    </row>
    <row r="235" spans="6:26" customFormat="1" ht="12.75" x14ac:dyDescent="0.2">
      <c r="F235" s="453"/>
      <c r="H235" s="74"/>
      <c r="I235" s="74"/>
      <c r="J235" s="74"/>
      <c r="K235" s="74"/>
      <c r="Z235" s="122"/>
    </row>
    <row r="236" spans="6:26" customFormat="1" ht="12.75" x14ac:dyDescent="0.2">
      <c r="F236" s="453"/>
      <c r="H236" s="74"/>
      <c r="I236" s="74"/>
      <c r="J236" s="74"/>
      <c r="K236" s="74"/>
      <c r="Z236" s="122"/>
    </row>
    <row r="237" spans="6:26" customFormat="1" ht="12.75" x14ac:dyDescent="0.2">
      <c r="F237" s="453"/>
      <c r="H237" s="74"/>
      <c r="I237" s="74"/>
      <c r="J237" s="74"/>
      <c r="K237" s="74"/>
      <c r="Z237" s="122"/>
    </row>
    <row r="238" spans="6:26" customFormat="1" ht="12.75" x14ac:dyDescent="0.2">
      <c r="F238" s="453"/>
      <c r="H238" s="74"/>
      <c r="I238" s="74"/>
      <c r="J238" s="74"/>
      <c r="K238" s="74"/>
      <c r="Z238" s="122"/>
    </row>
    <row r="239" spans="6:26" customFormat="1" ht="12.75" x14ac:dyDescent="0.2">
      <c r="F239" s="453"/>
      <c r="H239" s="74"/>
      <c r="I239" s="74"/>
      <c r="J239" s="74"/>
      <c r="K239" s="74"/>
      <c r="Z239" s="122"/>
    </row>
    <row r="240" spans="6:26" customFormat="1" ht="12.75" x14ac:dyDescent="0.2">
      <c r="F240" s="453"/>
      <c r="H240" s="74"/>
      <c r="I240" s="74"/>
      <c r="J240" s="74"/>
      <c r="K240" s="74"/>
      <c r="Z240" s="122"/>
    </row>
    <row r="241" spans="6:26" customFormat="1" ht="12.75" x14ac:dyDescent="0.2">
      <c r="F241" s="453"/>
      <c r="H241" s="74"/>
      <c r="I241" s="74"/>
      <c r="J241" s="74"/>
      <c r="K241" s="74"/>
      <c r="Z241" s="122"/>
    </row>
    <row r="242" spans="6:26" customFormat="1" ht="12.75" x14ac:dyDescent="0.2">
      <c r="F242" s="453"/>
      <c r="H242" s="74"/>
      <c r="I242" s="74"/>
      <c r="J242" s="74"/>
      <c r="K242" s="74"/>
      <c r="Z242" s="122"/>
    </row>
    <row r="243" spans="6:26" customFormat="1" ht="12.75" x14ac:dyDescent="0.2">
      <c r="F243" s="453"/>
      <c r="H243" s="74"/>
      <c r="I243" s="74"/>
      <c r="J243" s="74"/>
      <c r="K243" s="74"/>
      <c r="Z243" s="122"/>
    </row>
    <row r="244" spans="6:26" customFormat="1" ht="12.75" x14ac:dyDescent="0.2">
      <c r="F244" s="453"/>
      <c r="H244" s="74"/>
      <c r="I244" s="74"/>
      <c r="J244" s="74"/>
      <c r="K244" s="74"/>
      <c r="Z244" s="122"/>
    </row>
    <row r="245" spans="6:26" customFormat="1" ht="12.75" x14ac:dyDescent="0.2">
      <c r="F245" s="453"/>
      <c r="H245" s="74"/>
      <c r="I245" s="74"/>
      <c r="J245" s="74"/>
      <c r="K245" s="74"/>
      <c r="Z245" s="122"/>
    </row>
    <row r="246" spans="6:26" customFormat="1" ht="12.75" x14ac:dyDescent="0.2">
      <c r="F246" s="453"/>
      <c r="H246" s="74"/>
      <c r="I246" s="74"/>
      <c r="J246" s="74"/>
      <c r="K246" s="74"/>
      <c r="Z246" s="122"/>
    </row>
    <row r="247" spans="6:26" customFormat="1" ht="12.75" x14ac:dyDescent="0.2">
      <c r="F247" s="453"/>
      <c r="H247" s="74"/>
      <c r="I247" s="74"/>
      <c r="J247" s="74"/>
      <c r="K247" s="74"/>
      <c r="Z247" s="122"/>
    </row>
    <row r="248" spans="6:26" customFormat="1" ht="12.75" x14ac:dyDescent="0.2">
      <c r="F248" s="453"/>
      <c r="H248" s="74"/>
      <c r="I248" s="74"/>
      <c r="J248" s="74"/>
      <c r="K248" s="74"/>
      <c r="Z248" s="122"/>
    </row>
    <row r="249" spans="6:26" customFormat="1" ht="12.75" x14ac:dyDescent="0.2">
      <c r="F249" s="453"/>
      <c r="H249" s="74"/>
      <c r="I249" s="74"/>
      <c r="J249" s="74"/>
      <c r="K249" s="74"/>
      <c r="Z249" s="122"/>
    </row>
    <row r="250" spans="6:26" customFormat="1" ht="12.75" x14ac:dyDescent="0.2">
      <c r="F250" s="453"/>
      <c r="H250" s="74"/>
      <c r="I250" s="74"/>
      <c r="J250" s="74"/>
      <c r="K250" s="74"/>
      <c r="Z250" s="122"/>
    </row>
    <row r="251" spans="6:26" customFormat="1" ht="12.75" x14ac:dyDescent="0.2">
      <c r="F251" s="453"/>
      <c r="H251" s="74"/>
      <c r="I251" s="74"/>
      <c r="J251" s="74"/>
      <c r="K251" s="74"/>
      <c r="Z251" s="122"/>
    </row>
    <row r="252" spans="6:26" customFormat="1" ht="12.75" x14ac:dyDescent="0.2">
      <c r="F252" s="453"/>
      <c r="H252" s="74"/>
      <c r="I252" s="74"/>
      <c r="J252" s="74"/>
      <c r="K252" s="74"/>
      <c r="Z252" s="122"/>
    </row>
    <row r="253" spans="6:26" customFormat="1" ht="12.75" x14ac:dyDescent="0.2">
      <c r="F253" s="453"/>
      <c r="H253" s="74"/>
      <c r="I253" s="74"/>
      <c r="J253" s="74"/>
      <c r="K253" s="74"/>
      <c r="Z253" s="122"/>
    </row>
    <row r="254" spans="6:26" customFormat="1" ht="12.75" x14ac:dyDescent="0.2">
      <c r="F254" s="453"/>
      <c r="H254" s="74"/>
      <c r="I254" s="74"/>
      <c r="J254" s="74"/>
      <c r="K254" s="74"/>
      <c r="Z254" s="122"/>
    </row>
    <row r="255" spans="6:26" customFormat="1" ht="12.75" x14ac:dyDescent="0.2">
      <c r="F255" s="453"/>
      <c r="H255" s="74"/>
      <c r="I255" s="74"/>
      <c r="J255" s="74"/>
      <c r="K255" s="74"/>
      <c r="Z255" s="122"/>
    </row>
    <row r="256" spans="6:26" customFormat="1" ht="12.75" x14ac:dyDescent="0.2">
      <c r="F256" s="453"/>
      <c r="H256" s="74"/>
      <c r="I256" s="74"/>
      <c r="J256" s="74"/>
      <c r="K256" s="74"/>
      <c r="Z256" s="122"/>
    </row>
    <row r="257" spans="6:26" customFormat="1" ht="12.75" x14ac:dyDescent="0.2">
      <c r="F257" s="453"/>
      <c r="H257" s="74"/>
      <c r="I257" s="74"/>
      <c r="J257" s="74"/>
      <c r="K257" s="74"/>
      <c r="Z257" s="122"/>
    </row>
    <row r="258" spans="6:26" customFormat="1" ht="12.75" x14ac:dyDescent="0.2">
      <c r="F258" s="453"/>
      <c r="H258" s="74"/>
      <c r="I258" s="74"/>
      <c r="J258" s="74"/>
      <c r="K258" s="74"/>
      <c r="Z258" s="122"/>
    </row>
    <row r="259" spans="6:26" customFormat="1" ht="12.75" x14ac:dyDescent="0.2">
      <c r="F259" s="453"/>
      <c r="H259" s="74"/>
      <c r="I259" s="74"/>
      <c r="J259" s="74"/>
      <c r="K259" s="74"/>
      <c r="Z259" s="122"/>
    </row>
    <row r="260" spans="6:26" customFormat="1" ht="12.75" x14ac:dyDescent="0.2">
      <c r="F260" s="453"/>
      <c r="H260" s="74"/>
      <c r="I260" s="74"/>
      <c r="J260" s="74"/>
      <c r="K260" s="74"/>
      <c r="Z260" s="122"/>
    </row>
    <row r="261" spans="6:26" customFormat="1" ht="12.75" x14ac:dyDescent="0.2">
      <c r="F261" s="453"/>
      <c r="H261" s="74"/>
      <c r="I261" s="74"/>
      <c r="J261" s="74"/>
      <c r="K261" s="74"/>
      <c r="Z261" s="122"/>
    </row>
    <row r="262" spans="6:26" customFormat="1" ht="12.75" x14ac:dyDescent="0.2">
      <c r="F262" s="453"/>
      <c r="H262" s="74"/>
      <c r="I262" s="74"/>
      <c r="J262" s="74"/>
      <c r="K262" s="74"/>
      <c r="Z262" s="122"/>
    </row>
    <row r="263" spans="6:26" customFormat="1" ht="12.75" x14ac:dyDescent="0.2">
      <c r="F263" s="453"/>
      <c r="H263" s="74"/>
      <c r="I263" s="74"/>
      <c r="J263" s="74"/>
      <c r="K263" s="74"/>
      <c r="Z263" s="122"/>
    </row>
    <row r="264" spans="6:26" customFormat="1" ht="12.75" x14ac:dyDescent="0.2">
      <c r="F264" s="453"/>
      <c r="H264" s="74"/>
      <c r="I264" s="74"/>
      <c r="J264" s="74"/>
      <c r="K264" s="74"/>
      <c r="Z264" s="122"/>
    </row>
    <row r="265" spans="6:26" customFormat="1" ht="12.75" x14ac:dyDescent="0.2">
      <c r="F265" s="453"/>
      <c r="H265" s="74"/>
      <c r="I265" s="74"/>
      <c r="J265" s="74"/>
      <c r="K265" s="74"/>
      <c r="Z265" s="122"/>
    </row>
    <row r="266" spans="6:26" customFormat="1" ht="12.75" x14ac:dyDescent="0.2">
      <c r="F266" s="453"/>
      <c r="H266" s="74"/>
      <c r="I266" s="74"/>
      <c r="J266" s="74"/>
      <c r="K266" s="74"/>
      <c r="Z266" s="122"/>
    </row>
    <row r="267" spans="6:26" customFormat="1" ht="12.75" x14ac:dyDescent="0.2">
      <c r="F267" s="453"/>
      <c r="H267" s="74"/>
      <c r="I267" s="74"/>
      <c r="J267" s="74"/>
      <c r="K267" s="74"/>
      <c r="Z267" s="122"/>
    </row>
    <row r="268" spans="6:26" customFormat="1" ht="12.75" x14ac:dyDescent="0.2">
      <c r="F268" s="453"/>
      <c r="H268" s="74"/>
      <c r="I268" s="74"/>
      <c r="J268" s="74"/>
      <c r="K268" s="74"/>
      <c r="Z268" s="122"/>
    </row>
    <row r="269" spans="6:26" customFormat="1" ht="12.75" x14ac:dyDescent="0.2">
      <c r="F269" s="453"/>
      <c r="H269" s="74"/>
      <c r="I269" s="74"/>
      <c r="J269" s="74"/>
      <c r="K269" s="74"/>
      <c r="Z269" s="122"/>
    </row>
    <row r="270" spans="6:26" customFormat="1" ht="12.75" x14ac:dyDescent="0.2">
      <c r="F270" s="453"/>
      <c r="H270" s="74"/>
      <c r="I270" s="74"/>
      <c r="J270" s="74"/>
      <c r="K270" s="74"/>
      <c r="Z270" s="122"/>
    </row>
    <row r="271" spans="6:26" customFormat="1" ht="12.75" x14ac:dyDescent="0.2">
      <c r="F271" s="453"/>
      <c r="H271" s="74"/>
      <c r="I271" s="74"/>
      <c r="J271" s="74"/>
      <c r="K271" s="74"/>
      <c r="Z271" s="122"/>
    </row>
    <row r="272" spans="6:26" customFormat="1" ht="12.75" x14ac:dyDescent="0.2">
      <c r="F272" s="453"/>
      <c r="H272" s="74"/>
      <c r="I272" s="74"/>
      <c r="J272" s="74"/>
      <c r="K272" s="74"/>
      <c r="Z272" s="122"/>
    </row>
    <row r="273" spans="6:26" customFormat="1" ht="12.75" x14ac:dyDescent="0.2">
      <c r="F273" s="453"/>
      <c r="H273" s="74"/>
      <c r="I273" s="74"/>
      <c r="J273" s="74"/>
      <c r="K273" s="74"/>
      <c r="Z273" s="122"/>
    </row>
    <row r="274" spans="6:26" customFormat="1" ht="12.75" x14ac:dyDescent="0.2">
      <c r="F274" s="453"/>
      <c r="H274" s="74"/>
      <c r="I274" s="74"/>
      <c r="J274" s="74"/>
      <c r="K274" s="74"/>
      <c r="Z274" s="122"/>
    </row>
    <row r="275" spans="6:26" customFormat="1" ht="12.75" x14ac:dyDescent="0.2">
      <c r="F275" s="453"/>
      <c r="H275" s="74"/>
      <c r="I275" s="74"/>
      <c r="J275" s="74"/>
      <c r="K275" s="74"/>
      <c r="Z275" s="122"/>
    </row>
    <row r="276" spans="6:26" customFormat="1" ht="12.75" x14ac:dyDescent="0.2">
      <c r="F276" s="453"/>
      <c r="H276" s="74"/>
      <c r="I276" s="74"/>
      <c r="J276" s="74"/>
      <c r="K276" s="74"/>
      <c r="Z276" s="122"/>
    </row>
    <row r="277" spans="6:26" customFormat="1" ht="12.75" x14ac:dyDescent="0.2">
      <c r="F277" s="453"/>
      <c r="H277" s="74"/>
      <c r="I277" s="74"/>
      <c r="J277" s="74"/>
      <c r="K277" s="74"/>
      <c r="Z277" s="122"/>
    </row>
    <row r="278" spans="6:26" customFormat="1" ht="12.75" x14ac:dyDescent="0.2">
      <c r="F278" s="453"/>
      <c r="H278" s="74"/>
      <c r="I278" s="74"/>
      <c r="J278" s="74"/>
      <c r="K278" s="74"/>
      <c r="Z278" s="122"/>
    </row>
    <row r="279" spans="6:26" customFormat="1" ht="12.75" x14ac:dyDescent="0.2">
      <c r="F279" s="453"/>
      <c r="H279" s="74"/>
      <c r="I279" s="74"/>
      <c r="J279" s="74"/>
      <c r="K279" s="74"/>
      <c r="Z279" s="122"/>
    </row>
    <row r="280" spans="6:26" customFormat="1" ht="12.75" x14ac:dyDescent="0.2">
      <c r="F280" s="453"/>
      <c r="H280" s="74"/>
      <c r="I280" s="74"/>
      <c r="J280" s="74"/>
      <c r="K280" s="74"/>
      <c r="Z280" s="122"/>
    </row>
    <row r="281" spans="6:26" customFormat="1" ht="12.75" x14ac:dyDescent="0.2">
      <c r="F281" s="453"/>
      <c r="H281" s="74"/>
      <c r="I281" s="74"/>
      <c r="J281" s="74"/>
      <c r="K281" s="74"/>
      <c r="Z281" s="122"/>
    </row>
    <row r="282" spans="6:26" customFormat="1" ht="12.75" x14ac:dyDescent="0.2">
      <c r="F282" s="453"/>
      <c r="H282" s="74"/>
      <c r="I282" s="74"/>
      <c r="J282" s="74"/>
      <c r="K282" s="74"/>
      <c r="Z282" s="122"/>
    </row>
    <row r="283" spans="6:26" customFormat="1" ht="12.75" x14ac:dyDescent="0.2">
      <c r="F283" s="453"/>
      <c r="H283" s="74"/>
      <c r="I283" s="74"/>
      <c r="J283" s="74"/>
      <c r="K283" s="74"/>
      <c r="Z283" s="122"/>
    </row>
    <row r="284" spans="6:26" customFormat="1" ht="12.75" x14ac:dyDescent="0.2">
      <c r="F284" s="453"/>
      <c r="H284" s="74"/>
      <c r="I284" s="74"/>
      <c r="J284" s="74"/>
      <c r="K284" s="74"/>
      <c r="Z284" s="122"/>
    </row>
    <row r="285" spans="6:26" customFormat="1" ht="12.75" x14ac:dyDescent="0.2">
      <c r="F285" s="453"/>
      <c r="H285" s="74"/>
      <c r="I285" s="74"/>
      <c r="J285" s="74"/>
      <c r="K285" s="74"/>
      <c r="Z285" s="122"/>
    </row>
    <row r="286" spans="6:26" customFormat="1" ht="12.75" x14ac:dyDescent="0.2">
      <c r="F286" s="453"/>
      <c r="H286" s="74"/>
      <c r="I286" s="74"/>
      <c r="J286" s="74"/>
      <c r="K286" s="74"/>
      <c r="Z286" s="122"/>
    </row>
    <row r="287" spans="6:26" customFormat="1" ht="12.75" x14ac:dyDescent="0.2">
      <c r="F287" s="453"/>
      <c r="H287" s="74"/>
      <c r="I287" s="74"/>
      <c r="J287" s="74"/>
      <c r="K287" s="74"/>
      <c r="Z287" s="122"/>
    </row>
    <row r="288" spans="6:26" customFormat="1" ht="12.75" x14ac:dyDescent="0.2">
      <c r="F288" s="453"/>
      <c r="H288" s="74"/>
      <c r="I288" s="74"/>
      <c r="J288" s="74"/>
      <c r="K288" s="74"/>
      <c r="Z288" s="122"/>
    </row>
    <row r="289" spans="6:26" customFormat="1" ht="12.75" x14ac:dyDescent="0.2">
      <c r="F289" s="453"/>
      <c r="H289" s="74"/>
      <c r="I289" s="74"/>
      <c r="J289" s="74"/>
      <c r="K289" s="74"/>
      <c r="Z289" s="122"/>
    </row>
    <row r="290" spans="6:26" customFormat="1" ht="12.75" x14ac:dyDescent="0.2">
      <c r="F290" s="453"/>
      <c r="H290" s="74"/>
      <c r="I290" s="74"/>
      <c r="J290" s="74"/>
      <c r="K290" s="74"/>
      <c r="Z290" s="122"/>
    </row>
    <row r="291" spans="6:26" customFormat="1" ht="12.75" x14ac:dyDescent="0.2">
      <c r="F291" s="453"/>
      <c r="H291" s="74"/>
      <c r="I291" s="74"/>
      <c r="J291" s="74"/>
      <c r="K291" s="74"/>
      <c r="Z291" s="122"/>
    </row>
    <row r="292" spans="6:26" customFormat="1" ht="12.75" x14ac:dyDescent="0.2">
      <c r="F292" s="453"/>
      <c r="H292" s="74"/>
      <c r="I292" s="74"/>
      <c r="J292" s="74"/>
      <c r="K292" s="74"/>
      <c r="Z292" s="122"/>
    </row>
    <row r="293" spans="6:26" customFormat="1" ht="12.75" x14ac:dyDescent="0.2">
      <c r="F293" s="453"/>
      <c r="H293" s="74"/>
      <c r="I293" s="74"/>
      <c r="J293" s="74"/>
      <c r="K293" s="74"/>
      <c r="Z293" s="122"/>
    </row>
    <row r="294" spans="6:26" customFormat="1" ht="12.75" x14ac:dyDescent="0.2">
      <c r="F294" s="453"/>
      <c r="H294" s="74"/>
      <c r="I294" s="74"/>
      <c r="J294" s="74"/>
      <c r="K294" s="74"/>
      <c r="Z294" s="122"/>
    </row>
    <row r="295" spans="6:26" customFormat="1" ht="12.75" x14ac:dyDescent="0.2">
      <c r="F295" s="453"/>
      <c r="H295" s="74"/>
      <c r="I295" s="74"/>
      <c r="J295" s="74"/>
      <c r="K295" s="74"/>
      <c r="Z295" s="122"/>
    </row>
    <row r="296" spans="6:26" customFormat="1" ht="12.75" x14ac:dyDescent="0.2">
      <c r="F296" s="453"/>
      <c r="H296" s="74"/>
      <c r="I296" s="74"/>
      <c r="J296" s="74"/>
      <c r="K296" s="74"/>
      <c r="Z296" s="122"/>
    </row>
    <row r="297" spans="6:26" customFormat="1" ht="12.75" x14ac:dyDescent="0.2">
      <c r="F297" s="453"/>
      <c r="H297" s="74"/>
      <c r="I297" s="74"/>
      <c r="J297" s="74"/>
      <c r="K297" s="74"/>
      <c r="Z297" s="122"/>
    </row>
    <row r="298" spans="6:26" customFormat="1" ht="12.75" x14ac:dyDescent="0.2">
      <c r="F298" s="453"/>
      <c r="H298" s="74"/>
      <c r="I298" s="74"/>
      <c r="J298" s="74"/>
      <c r="K298" s="74"/>
      <c r="Z298" s="122"/>
    </row>
    <row r="299" spans="6:26" customFormat="1" ht="12.75" x14ac:dyDescent="0.2">
      <c r="F299" s="453"/>
      <c r="H299" s="74"/>
      <c r="I299" s="74"/>
      <c r="J299" s="74"/>
      <c r="K299" s="74"/>
      <c r="Z299" s="122"/>
    </row>
    <row r="300" spans="6:26" customFormat="1" ht="12.75" x14ac:dyDescent="0.2">
      <c r="F300" s="453"/>
      <c r="H300" s="74"/>
      <c r="I300" s="74"/>
      <c r="J300" s="74"/>
      <c r="K300" s="74"/>
      <c r="Z300" s="122"/>
    </row>
    <row r="301" spans="6:26" customFormat="1" ht="12.75" x14ac:dyDescent="0.2">
      <c r="F301" s="453"/>
      <c r="H301" s="74"/>
      <c r="I301" s="74"/>
      <c r="J301" s="74"/>
      <c r="K301" s="74"/>
      <c r="Z301" s="122"/>
    </row>
    <row r="302" spans="6:26" customFormat="1" ht="12.75" x14ac:dyDescent="0.2">
      <c r="F302" s="453"/>
      <c r="H302" s="74"/>
      <c r="I302" s="74"/>
      <c r="J302" s="74"/>
      <c r="K302" s="74"/>
      <c r="Z302" s="122"/>
    </row>
    <row r="303" spans="6:26" customFormat="1" ht="12.75" x14ac:dyDescent="0.2">
      <c r="F303" s="453"/>
      <c r="H303" s="74"/>
      <c r="I303" s="74"/>
      <c r="J303" s="74"/>
      <c r="K303" s="74"/>
      <c r="Z303" s="122"/>
    </row>
    <row r="304" spans="6:26" customFormat="1" ht="12.75" x14ac:dyDescent="0.2">
      <c r="F304" s="453"/>
      <c r="H304" s="74"/>
      <c r="I304" s="74"/>
      <c r="J304" s="74"/>
      <c r="K304" s="74"/>
      <c r="Z304" s="122"/>
    </row>
    <row r="305" spans="6:26" customFormat="1" ht="12.75" x14ac:dyDescent="0.2">
      <c r="F305" s="453"/>
      <c r="H305" s="74"/>
      <c r="I305" s="74"/>
      <c r="J305" s="74"/>
      <c r="K305" s="74"/>
      <c r="Z305" s="122"/>
    </row>
    <row r="306" spans="6:26" customFormat="1" ht="12.75" x14ac:dyDescent="0.2">
      <c r="F306" s="453"/>
      <c r="H306" s="74"/>
      <c r="I306" s="74"/>
      <c r="J306" s="74"/>
      <c r="K306" s="74"/>
      <c r="Z306" s="122"/>
    </row>
    <row r="307" spans="6:26" customFormat="1" ht="12.75" x14ac:dyDescent="0.2">
      <c r="F307" s="453"/>
      <c r="H307" s="74"/>
      <c r="I307" s="74"/>
      <c r="J307" s="74"/>
      <c r="K307" s="74"/>
      <c r="Z307" s="122"/>
    </row>
    <row r="308" spans="6:26" customFormat="1" ht="12.75" x14ac:dyDescent="0.2">
      <c r="F308" s="453"/>
      <c r="H308" s="74"/>
      <c r="I308" s="74"/>
      <c r="J308" s="74"/>
      <c r="K308" s="74"/>
      <c r="Z308" s="122"/>
    </row>
    <row r="309" spans="6:26" customFormat="1" ht="12.75" x14ac:dyDescent="0.2">
      <c r="F309" s="453"/>
      <c r="H309" s="74"/>
      <c r="I309" s="74"/>
      <c r="J309" s="74"/>
      <c r="K309" s="74"/>
      <c r="Z309" s="122"/>
    </row>
    <row r="310" spans="6:26" customFormat="1" ht="12.75" x14ac:dyDescent="0.2">
      <c r="F310" s="453"/>
      <c r="H310" s="74"/>
      <c r="I310" s="74"/>
      <c r="J310" s="74"/>
      <c r="K310" s="74"/>
      <c r="Z310" s="122"/>
    </row>
    <row r="311" spans="6:26" customFormat="1" ht="12.75" x14ac:dyDescent="0.2">
      <c r="F311" s="453"/>
      <c r="H311" s="74"/>
      <c r="I311" s="74"/>
      <c r="J311" s="74"/>
      <c r="K311" s="74"/>
      <c r="Z311" s="122"/>
    </row>
    <row r="312" spans="6:26" customFormat="1" ht="12.75" x14ac:dyDescent="0.2">
      <c r="F312" s="453"/>
      <c r="H312" s="74"/>
      <c r="I312" s="74"/>
      <c r="J312" s="74"/>
      <c r="K312" s="74"/>
      <c r="Z312" s="122"/>
    </row>
    <row r="313" spans="6:26" customFormat="1" ht="12.75" x14ac:dyDescent="0.2">
      <c r="F313" s="453"/>
      <c r="H313" s="74"/>
      <c r="I313" s="74"/>
      <c r="J313" s="74"/>
      <c r="K313" s="74"/>
      <c r="Z313" s="122"/>
    </row>
    <row r="314" spans="6:26" customFormat="1" ht="12.75" x14ac:dyDescent="0.2">
      <c r="F314" s="453"/>
      <c r="H314" s="74"/>
      <c r="I314" s="74"/>
      <c r="J314" s="74"/>
      <c r="K314" s="74"/>
      <c r="Z314" s="122"/>
    </row>
    <row r="315" spans="6:26" customFormat="1" ht="12.75" x14ac:dyDescent="0.2">
      <c r="F315" s="453"/>
      <c r="H315" s="74"/>
      <c r="I315" s="74"/>
      <c r="J315" s="74"/>
      <c r="K315" s="74"/>
      <c r="Z315" s="122"/>
    </row>
    <row r="316" spans="6:26" customFormat="1" ht="12.75" x14ac:dyDescent="0.2">
      <c r="F316" s="453"/>
      <c r="H316" s="74"/>
      <c r="I316" s="74"/>
      <c r="J316" s="74"/>
      <c r="K316" s="74"/>
      <c r="Z316" s="122"/>
    </row>
    <row r="317" spans="6:26" customFormat="1" ht="12.75" x14ac:dyDescent="0.2">
      <c r="F317" s="453"/>
      <c r="H317" s="74"/>
      <c r="I317" s="74"/>
      <c r="J317" s="74"/>
      <c r="K317" s="74"/>
      <c r="Z317" s="122"/>
    </row>
    <row r="318" spans="6:26" customFormat="1" ht="12.75" x14ac:dyDescent="0.2">
      <c r="F318" s="453"/>
      <c r="H318" s="74"/>
      <c r="I318" s="74"/>
      <c r="J318" s="74"/>
      <c r="K318" s="74"/>
      <c r="Z318" s="122"/>
    </row>
    <row r="319" spans="6:26" customFormat="1" ht="12.75" x14ac:dyDescent="0.2">
      <c r="F319" s="453"/>
      <c r="H319" s="74"/>
      <c r="I319" s="74"/>
      <c r="J319" s="74"/>
      <c r="K319" s="74"/>
      <c r="Z319" s="122"/>
    </row>
    <row r="320" spans="6:26" customFormat="1" ht="12.75" x14ac:dyDescent="0.2">
      <c r="F320" s="453"/>
      <c r="H320" s="74"/>
      <c r="I320" s="74"/>
      <c r="J320" s="74"/>
      <c r="K320" s="74"/>
      <c r="Z320" s="122"/>
    </row>
    <row r="321" spans="6:26" customFormat="1" ht="12.75" x14ac:dyDescent="0.2">
      <c r="F321" s="453"/>
      <c r="H321" s="74"/>
      <c r="I321" s="74"/>
      <c r="J321" s="74"/>
      <c r="K321" s="74"/>
      <c r="Z321" s="122"/>
    </row>
    <row r="322" spans="6:26" customFormat="1" ht="12.75" x14ac:dyDescent="0.2">
      <c r="F322" s="453"/>
      <c r="H322" s="74"/>
      <c r="I322" s="74"/>
      <c r="J322" s="74"/>
      <c r="K322" s="74"/>
      <c r="Z322" s="122"/>
    </row>
    <row r="323" spans="6:26" customFormat="1" ht="12.75" x14ac:dyDescent="0.2">
      <c r="F323" s="453"/>
      <c r="H323" s="74"/>
      <c r="I323" s="74"/>
      <c r="J323" s="74"/>
      <c r="K323" s="74"/>
      <c r="Z323" s="122"/>
    </row>
    <row r="324" spans="6:26" customFormat="1" ht="12.75" x14ac:dyDescent="0.2">
      <c r="F324" s="453"/>
      <c r="H324" s="74"/>
      <c r="I324" s="74"/>
      <c r="J324" s="74"/>
      <c r="K324" s="74"/>
      <c r="Z324" s="122"/>
    </row>
    <row r="325" spans="6:26" customFormat="1" ht="12.75" x14ac:dyDescent="0.2">
      <c r="F325" s="453"/>
      <c r="H325" s="74"/>
      <c r="I325" s="74"/>
      <c r="J325" s="74"/>
      <c r="K325" s="74"/>
      <c r="Z325" s="122"/>
    </row>
    <row r="326" spans="6:26" customFormat="1" ht="12.75" x14ac:dyDescent="0.2">
      <c r="F326" s="453"/>
      <c r="H326" s="74"/>
      <c r="I326" s="74"/>
      <c r="J326" s="74"/>
      <c r="K326" s="74"/>
      <c r="Z326" s="122"/>
    </row>
    <row r="327" spans="6:26" customFormat="1" ht="12.75" x14ac:dyDescent="0.2">
      <c r="F327" s="453"/>
      <c r="H327" s="74"/>
      <c r="I327" s="74"/>
      <c r="J327" s="74"/>
      <c r="K327" s="74"/>
      <c r="Z327" s="122"/>
    </row>
    <row r="328" spans="6:26" customFormat="1" ht="12.75" x14ac:dyDescent="0.2">
      <c r="F328" s="453"/>
      <c r="H328" s="74"/>
      <c r="I328" s="74"/>
      <c r="J328" s="74"/>
      <c r="K328" s="74"/>
      <c r="Z328" s="122"/>
    </row>
    <row r="329" spans="6:26" customFormat="1" ht="12.75" x14ac:dyDescent="0.2">
      <c r="F329" s="453"/>
      <c r="H329" s="74"/>
      <c r="I329" s="74"/>
      <c r="J329" s="74"/>
      <c r="K329" s="74"/>
      <c r="Z329" s="122"/>
    </row>
    <row r="330" spans="6:26" customFormat="1" ht="12.75" x14ac:dyDescent="0.2">
      <c r="F330" s="453"/>
      <c r="H330" s="74"/>
      <c r="I330" s="74"/>
      <c r="J330" s="74"/>
      <c r="K330" s="74"/>
      <c r="Z330" s="122"/>
    </row>
    <row r="331" spans="6:26" customFormat="1" ht="12.75" x14ac:dyDescent="0.2">
      <c r="F331" s="453"/>
      <c r="H331" s="74"/>
      <c r="I331" s="74"/>
      <c r="J331" s="74"/>
      <c r="K331" s="74"/>
      <c r="Z331" s="122"/>
    </row>
    <row r="332" spans="6:26" customFormat="1" ht="12.75" x14ac:dyDescent="0.2">
      <c r="F332" s="453"/>
      <c r="H332" s="74"/>
      <c r="I332" s="74"/>
      <c r="J332" s="74"/>
      <c r="K332" s="74"/>
      <c r="Z332" s="122"/>
    </row>
    <row r="333" spans="6:26" customFormat="1" ht="12.75" x14ac:dyDescent="0.2">
      <c r="F333" s="453"/>
      <c r="H333" s="74"/>
      <c r="I333" s="74"/>
      <c r="J333" s="74"/>
      <c r="K333" s="74"/>
      <c r="Z333" s="122"/>
    </row>
    <row r="334" spans="6:26" customFormat="1" ht="12.75" x14ac:dyDescent="0.2">
      <c r="F334" s="453"/>
      <c r="H334" s="74"/>
      <c r="I334" s="74"/>
      <c r="J334" s="74"/>
      <c r="K334" s="74"/>
      <c r="Z334" s="122"/>
    </row>
    <row r="335" spans="6:26" customFormat="1" ht="12.75" x14ac:dyDescent="0.2">
      <c r="F335" s="453"/>
      <c r="H335" s="74"/>
      <c r="I335" s="74"/>
      <c r="J335" s="74"/>
      <c r="K335" s="74"/>
      <c r="Z335" s="122"/>
    </row>
    <row r="336" spans="6:26" customFormat="1" ht="12.75" x14ac:dyDescent="0.2">
      <c r="F336" s="453"/>
      <c r="H336" s="74"/>
      <c r="I336" s="74"/>
      <c r="J336" s="74"/>
      <c r="K336" s="74"/>
      <c r="Z336" s="122"/>
    </row>
    <row r="337" spans="6:26" customFormat="1" ht="12.75" x14ac:dyDescent="0.2">
      <c r="F337" s="453"/>
      <c r="H337" s="74"/>
      <c r="I337" s="74"/>
      <c r="J337" s="74"/>
      <c r="K337" s="74"/>
      <c r="Z337" s="122"/>
    </row>
    <row r="338" spans="6:26" customFormat="1" ht="12.75" x14ac:dyDescent="0.2">
      <c r="F338" s="453"/>
      <c r="H338" s="74"/>
      <c r="I338" s="74"/>
      <c r="J338" s="74"/>
      <c r="K338" s="74"/>
      <c r="Z338" s="122"/>
    </row>
    <row r="339" spans="6:26" customFormat="1" ht="12.75" x14ac:dyDescent="0.2">
      <c r="F339" s="453"/>
      <c r="H339" s="74"/>
      <c r="I339" s="74"/>
      <c r="J339" s="74"/>
      <c r="K339" s="74"/>
      <c r="Z339" s="122"/>
    </row>
    <row r="340" spans="6:26" customFormat="1" ht="12.75" x14ac:dyDescent="0.2">
      <c r="F340" s="453"/>
      <c r="H340" s="74"/>
      <c r="I340" s="74"/>
      <c r="J340" s="74"/>
      <c r="K340" s="74"/>
      <c r="Z340" s="122"/>
    </row>
    <row r="341" spans="6:26" customFormat="1" ht="12.75" x14ac:dyDescent="0.2">
      <c r="F341" s="453"/>
      <c r="H341" s="74"/>
      <c r="I341" s="74"/>
      <c r="J341" s="74"/>
      <c r="K341" s="74"/>
      <c r="Z341" s="122"/>
    </row>
    <row r="342" spans="6:26" customFormat="1" ht="12.75" x14ac:dyDescent="0.2">
      <c r="F342" s="453"/>
      <c r="H342" s="74"/>
      <c r="I342" s="74"/>
      <c r="J342" s="74"/>
      <c r="K342" s="74"/>
      <c r="Z342" s="122"/>
    </row>
    <row r="343" spans="6:26" customFormat="1" ht="12.75" x14ac:dyDescent="0.2">
      <c r="F343" s="453"/>
      <c r="H343" s="74"/>
      <c r="I343" s="74"/>
      <c r="J343" s="74"/>
      <c r="K343" s="74"/>
      <c r="Z343" s="122"/>
    </row>
    <row r="344" spans="6:26" customFormat="1" ht="12.75" x14ac:dyDescent="0.2">
      <c r="F344" s="453"/>
      <c r="H344" s="74"/>
      <c r="I344" s="74"/>
      <c r="J344" s="74"/>
      <c r="K344" s="74"/>
      <c r="Z344" s="122"/>
    </row>
    <row r="345" spans="6:26" customFormat="1" ht="12.75" x14ac:dyDescent="0.2">
      <c r="F345" s="453"/>
      <c r="H345" s="74"/>
      <c r="I345" s="74"/>
      <c r="J345" s="74"/>
      <c r="K345" s="74"/>
      <c r="Z345" s="122"/>
    </row>
    <row r="346" spans="6:26" customFormat="1" ht="12.75" x14ac:dyDescent="0.2">
      <c r="F346" s="453"/>
      <c r="H346" s="74"/>
      <c r="I346" s="74"/>
      <c r="J346" s="74"/>
      <c r="K346" s="74"/>
      <c r="Z346" s="122"/>
    </row>
    <row r="347" spans="6:26" customFormat="1" ht="12.75" x14ac:dyDescent="0.2">
      <c r="F347" s="453"/>
      <c r="H347" s="74"/>
      <c r="I347" s="74"/>
      <c r="J347" s="74"/>
      <c r="K347" s="74"/>
      <c r="Z347" s="122"/>
    </row>
    <row r="348" spans="6:26" customFormat="1" ht="12.75" x14ac:dyDescent="0.2">
      <c r="F348" s="453"/>
      <c r="H348" s="74"/>
      <c r="I348" s="74"/>
      <c r="J348" s="74"/>
      <c r="K348" s="74"/>
      <c r="Z348" s="122"/>
    </row>
    <row r="349" spans="6:26" customFormat="1" ht="12.75" x14ac:dyDescent="0.2">
      <c r="F349" s="453"/>
      <c r="H349" s="74"/>
      <c r="I349" s="74"/>
      <c r="J349" s="74"/>
      <c r="K349" s="74"/>
      <c r="Z349" s="122"/>
    </row>
    <row r="350" spans="6:26" customFormat="1" ht="12.75" x14ac:dyDescent="0.2">
      <c r="F350" s="453"/>
      <c r="H350" s="74"/>
      <c r="I350" s="74"/>
      <c r="J350" s="74"/>
      <c r="K350" s="74"/>
      <c r="Z350" s="122"/>
    </row>
    <row r="351" spans="6:26" customFormat="1" ht="12.75" x14ac:dyDescent="0.2">
      <c r="F351" s="453"/>
      <c r="H351" s="74"/>
      <c r="I351" s="74"/>
      <c r="J351" s="74"/>
      <c r="K351" s="74"/>
      <c r="Z351" s="122"/>
    </row>
    <row r="352" spans="6:26" customFormat="1" ht="12.75" x14ac:dyDescent="0.2">
      <c r="F352" s="453"/>
      <c r="H352" s="74"/>
      <c r="I352" s="74"/>
      <c r="J352" s="74"/>
      <c r="K352" s="74"/>
      <c r="Z352" s="122"/>
    </row>
    <row r="353" spans="6:26" customFormat="1" ht="12.75" x14ac:dyDescent="0.2">
      <c r="F353" s="453"/>
      <c r="H353" s="74"/>
      <c r="I353" s="74"/>
      <c r="J353" s="74"/>
      <c r="K353" s="74"/>
      <c r="Z353" s="122"/>
    </row>
    <row r="354" spans="6:26" customFormat="1" ht="12.75" x14ac:dyDescent="0.2">
      <c r="F354" s="453"/>
      <c r="H354" s="74"/>
      <c r="I354" s="74"/>
      <c r="J354" s="74"/>
      <c r="K354" s="74"/>
      <c r="Z354" s="122"/>
    </row>
    <row r="355" spans="6:26" customFormat="1" ht="12.75" x14ac:dyDescent="0.2">
      <c r="F355" s="453"/>
      <c r="H355" s="74"/>
      <c r="I355" s="74"/>
      <c r="J355" s="74"/>
      <c r="K355" s="74"/>
      <c r="Z355" s="122"/>
    </row>
    <row r="356" spans="6:26" customFormat="1" ht="12.75" x14ac:dyDescent="0.2">
      <c r="F356" s="453"/>
      <c r="H356" s="74"/>
      <c r="I356" s="74"/>
      <c r="J356" s="74"/>
      <c r="K356" s="74"/>
      <c r="Z356" s="122"/>
    </row>
    <row r="357" spans="6:26" customFormat="1" ht="12.75" x14ac:dyDescent="0.2">
      <c r="F357" s="453"/>
      <c r="H357" s="74"/>
      <c r="I357" s="74"/>
      <c r="J357" s="74"/>
      <c r="K357" s="74"/>
      <c r="Z357" s="122"/>
    </row>
    <row r="358" spans="6:26" customFormat="1" ht="12.75" x14ac:dyDescent="0.2">
      <c r="F358" s="453"/>
      <c r="H358" s="74"/>
      <c r="I358" s="74"/>
      <c r="J358" s="74"/>
      <c r="K358" s="74"/>
      <c r="Z358" s="122"/>
    </row>
    <row r="359" spans="6:26" customFormat="1" ht="12.75" x14ac:dyDescent="0.2">
      <c r="F359" s="453"/>
      <c r="H359" s="74"/>
      <c r="I359" s="74"/>
      <c r="J359" s="74"/>
      <c r="K359" s="74"/>
      <c r="Z359" s="122"/>
    </row>
    <row r="360" spans="6:26" customFormat="1" ht="12.75" x14ac:dyDescent="0.2">
      <c r="F360" s="453"/>
      <c r="H360" s="74"/>
      <c r="I360" s="74"/>
      <c r="J360" s="74"/>
      <c r="K360" s="74"/>
      <c r="Z360" s="122"/>
    </row>
    <row r="361" spans="6:26" customFormat="1" ht="12.75" x14ac:dyDescent="0.2">
      <c r="F361" s="453"/>
      <c r="H361" s="74"/>
      <c r="I361" s="74"/>
      <c r="J361" s="74"/>
      <c r="K361" s="74"/>
      <c r="Z361" s="122"/>
    </row>
    <row r="362" spans="6:26" customFormat="1" ht="12.75" x14ac:dyDescent="0.2">
      <c r="F362" s="453"/>
      <c r="H362" s="74"/>
      <c r="I362" s="74"/>
      <c r="J362" s="74"/>
      <c r="K362" s="74"/>
      <c r="Z362" s="122"/>
    </row>
    <row r="363" spans="6:26" customFormat="1" ht="12.75" x14ac:dyDescent="0.2">
      <c r="F363" s="453"/>
      <c r="H363" s="74"/>
      <c r="I363" s="74"/>
      <c r="J363" s="74"/>
      <c r="K363" s="74"/>
      <c r="Z363" s="122"/>
    </row>
    <row r="364" spans="6:26" customFormat="1" ht="12.75" x14ac:dyDescent="0.2">
      <c r="F364" s="453"/>
      <c r="H364" s="74"/>
      <c r="I364" s="74"/>
      <c r="J364" s="74"/>
      <c r="K364" s="74"/>
      <c r="Z364" s="122"/>
    </row>
    <row r="365" spans="6:26" customFormat="1" ht="12.75" x14ac:dyDescent="0.2">
      <c r="F365" s="453"/>
      <c r="H365" s="74"/>
      <c r="I365" s="74"/>
      <c r="J365" s="74"/>
      <c r="K365" s="74"/>
      <c r="Z365" s="122"/>
    </row>
    <row r="366" spans="6:26" customFormat="1" ht="12.75" x14ac:dyDescent="0.2">
      <c r="F366" s="453"/>
      <c r="H366" s="74"/>
      <c r="I366" s="74"/>
      <c r="J366" s="74"/>
      <c r="K366" s="74"/>
      <c r="Z366" s="122"/>
    </row>
    <row r="367" spans="6:26" customFormat="1" ht="12.75" x14ac:dyDescent="0.2">
      <c r="F367" s="453"/>
      <c r="H367" s="74"/>
      <c r="I367" s="74"/>
      <c r="J367" s="74"/>
      <c r="K367" s="74"/>
      <c r="Z367" s="122"/>
    </row>
    <row r="368" spans="6:26" customFormat="1" ht="12.75" x14ac:dyDescent="0.2">
      <c r="F368" s="453"/>
      <c r="H368" s="74"/>
      <c r="I368" s="74"/>
      <c r="J368" s="74"/>
      <c r="K368" s="74"/>
      <c r="Z368" s="122"/>
    </row>
    <row r="369" spans="6:26" customFormat="1" ht="12.75" x14ac:dyDescent="0.2">
      <c r="F369" s="453"/>
      <c r="H369" s="74"/>
      <c r="I369" s="74"/>
      <c r="J369" s="74"/>
      <c r="K369" s="74"/>
      <c r="Z369" s="122"/>
    </row>
    <row r="370" spans="6:26" customFormat="1" ht="12.75" x14ac:dyDescent="0.2">
      <c r="F370" s="453"/>
      <c r="H370" s="74"/>
      <c r="I370" s="74"/>
      <c r="J370" s="74"/>
      <c r="K370" s="74"/>
      <c r="Z370" s="122"/>
    </row>
    <row r="371" spans="6:26" customFormat="1" ht="12.75" x14ac:dyDescent="0.2">
      <c r="F371" s="453"/>
      <c r="H371" s="74"/>
      <c r="I371" s="74"/>
      <c r="J371" s="74"/>
      <c r="K371" s="74"/>
      <c r="Z371" s="122"/>
    </row>
    <row r="372" spans="6:26" customFormat="1" ht="12.75" x14ac:dyDescent="0.2">
      <c r="F372" s="453"/>
      <c r="H372" s="74"/>
      <c r="I372" s="74"/>
      <c r="J372" s="74"/>
      <c r="K372" s="74"/>
      <c r="Z372" s="122"/>
    </row>
    <row r="373" spans="6:26" customFormat="1" ht="12.75" x14ac:dyDescent="0.2">
      <c r="F373" s="453"/>
      <c r="H373" s="74"/>
      <c r="I373" s="74"/>
      <c r="J373" s="74"/>
      <c r="K373" s="74"/>
      <c r="Z373" s="122"/>
    </row>
    <row r="374" spans="6:26" customFormat="1" ht="12.75" x14ac:dyDescent="0.2">
      <c r="F374" s="453"/>
      <c r="H374" s="74"/>
      <c r="I374" s="74"/>
      <c r="J374" s="74"/>
      <c r="K374" s="74"/>
      <c r="Z374" s="122"/>
    </row>
    <row r="375" spans="6:26" customFormat="1" ht="12.75" x14ac:dyDescent="0.2">
      <c r="F375" s="453"/>
      <c r="H375" s="74"/>
      <c r="I375" s="74"/>
      <c r="J375" s="74"/>
      <c r="K375" s="74"/>
      <c r="Z375" s="122"/>
    </row>
    <row r="376" spans="6:26" customFormat="1" ht="12.75" x14ac:dyDescent="0.2">
      <c r="F376" s="453"/>
      <c r="H376" s="74"/>
      <c r="I376" s="74"/>
      <c r="J376" s="74"/>
      <c r="K376" s="74"/>
      <c r="Z376" s="122"/>
    </row>
    <row r="377" spans="6:26" customFormat="1" ht="12.75" x14ac:dyDescent="0.2">
      <c r="F377" s="453"/>
      <c r="H377" s="74"/>
      <c r="I377" s="74"/>
      <c r="J377" s="74"/>
      <c r="K377" s="74"/>
      <c r="Z377" s="122"/>
    </row>
    <row r="378" spans="6:26" customFormat="1" ht="12.75" x14ac:dyDescent="0.2">
      <c r="F378" s="453"/>
      <c r="H378" s="74"/>
      <c r="I378" s="74"/>
      <c r="J378" s="74"/>
      <c r="K378" s="74"/>
      <c r="Z378" s="122"/>
    </row>
    <row r="379" spans="6:26" customFormat="1" ht="12.75" x14ac:dyDescent="0.2">
      <c r="F379" s="453"/>
      <c r="H379" s="74"/>
      <c r="I379" s="74"/>
      <c r="J379" s="74"/>
      <c r="K379" s="74"/>
      <c r="Z379" s="122"/>
    </row>
    <row r="380" spans="6:26" customFormat="1" ht="12.75" x14ac:dyDescent="0.2">
      <c r="F380" s="453"/>
      <c r="H380" s="74"/>
      <c r="I380" s="74"/>
      <c r="J380" s="74"/>
      <c r="K380" s="74"/>
      <c r="Z380" s="122"/>
    </row>
    <row r="381" spans="6:26" customFormat="1" ht="12.75" x14ac:dyDescent="0.2">
      <c r="F381" s="453"/>
      <c r="H381" s="74"/>
      <c r="I381" s="74"/>
      <c r="J381" s="74"/>
      <c r="K381" s="74"/>
      <c r="Z381" s="122"/>
    </row>
    <row r="382" spans="6:26" customFormat="1" ht="12.75" x14ac:dyDescent="0.2">
      <c r="F382" s="453"/>
      <c r="H382" s="74"/>
      <c r="I382" s="74"/>
      <c r="J382" s="74"/>
      <c r="K382" s="74"/>
      <c r="Z382" s="122"/>
    </row>
    <row r="383" spans="6:26" customFormat="1" ht="12.75" x14ac:dyDescent="0.2">
      <c r="F383" s="453"/>
      <c r="H383" s="74"/>
      <c r="I383" s="74"/>
      <c r="J383" s="74"/>
      <c r="K383" s="74"/>
      <c r="Z383" s="122"/>
    </row>
    <row r="384" spans="6:26" customFormat="1" ht="12.75" x14ac:dyDescent="0.2">
      <c r="F384" s="453"/>
      <c r="H384" s="74"/>
      <c r="I384" s="74"/>
      <c r="J384" s="74"/>
      <c r="K384" s="74"/>
      <c r="Z384" s="122"/>
    </row>
    <row r="385" spans="6:26" customFormat="1" ht="12.75" x14ac:dyDescent="0.2">
      <c r="F385" s="453"/>
      <c r="H385" s="74"/>
      <c r="I385" s="74"/>
      <c r="J385" s="74"/>
      <c r="K385" s="74"/>
      <c r="Z385" s="122"/>
    </row>
    <row r="386" spans="6:26" customFormat="1" ht="12.75" x14ac:dyDescent="0.2">
      <c r="F386" s="453"/>
      <c r="H386" s="74"/>
      <c r="I386" s="74"/>
      <c r="J386" s="74"/>
      <c r="K386" s="74"/>
      <c r="Z386" s="122"/>
    </row>
    <row r="387" spans="6:26" customFormat="1" ht="12.75" x14ac:dyDescent="0.2">
      <c r="F387" s="453"/>
      <c r="H387" s="74"/>
      <c r="I387" s="74"/>
      <c r="J387" s="74"/>
      <c r="K387" s="74"/>
      <c r="Z387" s="122"/>
    </row>
    <row r="388" spans="6:26" customFormat="1" ht="12.75" x14ac:dyDescent="0.2">
      <c r="F388" s="453"/>
      <c r="H388" s="74"/>
      <c r="I388" s="74"/>
      <c r="J388" s="74"/>
      <c r="K388" s="74"/>
      <c r="Z388" s="122"/>
    </row>
    <row r="389" spans="6:26" customFormat="1" ht="12.75" x14ac:dyDescent="0.2">
      <c r="F389" s="453"/>
      <c r="H389" s="74"/>
      <c r="I389" s="74"/>
      <c r="J389" s="74"/>
      <c r="K389" s="74"/>
      <c r="Z389" s="122"/>
    </row>
    <row r="390" spans="6:26" customFormat="1" ht="12.75" x14ac:dyDescent="0.2">
      <c r="F390" s="453"/>
      <c r="H390" s="74"/>
      <c r="I390" s="74"/>
      <c r="J390" s="74"/>
      <c r="K390" s="74"/>
      <c r="Z390" s="122"/>
    </row>
    <row r="391" spans="6:26" customFormat="1" ht="12.75" x14ac:dyDescent="0.2">
      <c r="F391" s="453"/>
      <c r="H391" s="74"/>
      <c r="I391" s="74"/>
      <c r="J391" s="74"/>
      <c r="K391" s="74"/>
      <c r="Z391" s="122"/>
    </row>
    <row r="392" spans="6:26" customFormat="1" ht="12.75" x14ac:dyDescent="0.2">
      <c r="F392" s="453"/>
      <c r="H392" s="74"/>
      <c r="I392" s="74"/>
      <c r="J392" s="74"/>
      <c r="K392" s="74"/>
      <c r="Z392" s="122"/>
    </row>
    <row r="393" spans="6:26" customFormat="1" ht="12.75" x14ac:dyDescent="0.2">
      <c r="F393" s="453"/>
      <c r="H393" s="74"/>
      <c r="I393" s="74"/>
      <c r="J393" s="74"/>
      <c r="K393" s="74"/>
      <c r="Z393" s="122"/>
    </row>
    <row r="394" spans="6:26" customFormat="1" ht="12.75" x14ac:dyDescent="0.2">
      <c r="F394" s="453"/>
      <c r="H394" s="74"/>
      <c r="I394" s="74"/>
      <c r="J394" s="74"/>
      <c r="K394" s="74"/>
      <c r="Z394" s="122"/>
    </row>
    <row r="395" spans="6:26" customFormat="1" ht="12.75" x14ac:dyDescent="0.2">
      <c r="F395" s="453"/>
      <c r="H395" s="74"/>
      <c r="I395" s="74"/>
      <c r="J395" s="74"/>
      <c r="K395" s="74"/>
      <c r="Z395" s="122"/>
    </row>
    <row r="396" spans="6:26" customFormat="1" ht="12.75" x14ac:dyDescent="0.2">
      <c r="F396" s="453"/>
      <c r="H396" s="74"/>
      <c r="I396" s="74"/>
      <c r="J396" s="74"/>
      <c r="K396" s="74"/>
      <c r="Z396" s="122"/>
    </row>
    <row r="397" spans="6:26" customFormat="1" ht="12.75" x14ac:dyDescent="0.2">
      <c r="F397" s="453"/>
      <c r="H397" s="74"/>
      <c r="I397" s="74"/>
      <c r="J397" s="74"/>
      <c r="K397" s="74"/>
      <c r="Z397" s="122"/>
    </row>
    <row r="398" spans="6:26" customFormat="1" ht="12.75" x14ac:dyDescent="0.2">
      <c r="F398" s="453"/>
      <c r="H398" s="74"/>
      <c r="I398" s="74"/>
      <c r="J398" s="74"/>
      <c r="K398" s="74"/>
      <c r="Z398" s="122"/>
    </row>
    <row r="399" spans="6:26" customFormat="1" ht="12.75" x14ac:dyDescent="0.2">
      <c r="F399" s="453"/>
      <c r="H399" s="74"/>
      <c r="I399" s="74"/>
      <c r="J399" s="74"/>
      <c r="K399" s="74"/>
      <c r="Z399" s="122"/>
    </row>
    <row r="400" spans="6:26" customFormat="1" ht="12.75" x14ac:dyDescent="0.2">
      <c r="F400" s="453"/>
      <c r="H400" s="74"/>
      <c r="I400" s="74"/>
      <c r="J400" s="74"/>
      <c r="K400" s="74"/>
      <c r="Z400" s="122"/>
    </row>
    <row r="401" spans="6:26" customFormat="1" ht="12.75" x14ac:dyDescent="0.2">
      <c r="F401" s="453"/>
      <c r="H401" s="74"/>
      <c r="I401" s="74"/>
      <c r="J401" s="74"/>
      <c r="K401" s="74"/>
      <c r="Z401" s="122"/>
    </row>
    <row r="402" spans="6:26" customFormat="1" ht="12.75" x14ac:dyDescent="0.2">
      <c r="F402" s="453"/>
      <c r="H402" s="74"/>
      <c r="I402" s="74"/>
      <c r="J402" s="74"/>
      <c r="K402" s="74"/>
      <c r="Z402" s="122"/>
    </row>
    <row r="403" spans="6:26" customFormat="1" ht="12.75" x14ac:dyDescent="0.2">
      <c r="F403" s="453"/>
      <c r="H403" s="74"/>
      <c r="I403" s="74"/>
      <c r="J403" s="74"/>
      <c r="K403" s="74"/>
      <c r="Z403" s="122"/>
    </row>
    <row r="404" spans="6:26" customFormat="1" ht="12.75" x14ac:dyDescent="0.2">
      <c r="F404" s="453"/>
      <c r="H404" s="74"/>
      <c r="I404" s="74"/>
      <c r="J404" s="74"/>
      <c r="K404" s="74"/>
      <c r="Z404" s="122"/>
    </row>
    <row r="405" spans="6:26" customFormat="1" ht="12.75" x14ac:dyDescent="0.2">
      <c r="F405" s="453"/>
      <c r="H405" s="74"/>
      <c r="I405" s="74"/>
      <c r="J405" s="74"/>
      <c r="K405" s="74"/>
      <c r="Z405" s="122"/>
    </row>
    <row r="406" spans="6:26" customFormat="1" ht="12.75" x14ac:dyDescent="0.2">
      <c r="F406" s="453"/>
      <c r="H406" s="74"/>
      <c r="I406" s="74"/>
      <c r="J406" s="74"/>
      <c r="K406" s="74"/>
      <c r="Z406" s="122"/>
    </row>
    <row r="407" spans="6:26" customFormat="1" ht="12.75" x14ac:dyDescent="0.2">
      <c r="F407" s="453"/>
      <c r="H407" s="74"/>
      <c r="I407" s="74"/>
      <c r="J407" s="74"/>
      <c r="K407" s="74"/>
      <c r="Z407" s="122"/>
    </row>
    <row r="408" spans="6:26" customFormat="1" ht="12.75" x14ac:dyDescent="0.2">
      <c r="F408" s="453"/>
      <c r="H408" s="74"/>
      <c r="I408" s="74"/>
      <c r="J408" s="74"/>
      <c r="K408" s="74"/>
      <c r="Z408" s="122"/>
    </row>
    <row r="409" spans="6:26" customFormat="1" ht="12.75" x14ac:dyDescent="0.2">
      <c r="F409" s="453"/>
      <c r="H409" s="74"/>
      <c r="I409" s="74"/>
      <c r="J409" s="74"/>
      <c r="K409" s="74"/>
      <c r="Z409" s="122"/>
    </row>
    <row r="410" spans="6:26" customFormat="1" ht="12.75" x14ac:dyDescent="0.2">
      <c r="F410" s="453"/>
      <c r="H410" s="74"/>
      <c r="I410" s="74"/>
      <c r="J410" s="74"/>
      <c r="K410" s="74"/>
      <c r="Z410" s="122"/>
    </row>
    <row r="411" spans="6:26" customFormat="1" ht="12.75" x14ac:dyDescent="0.2">
      <c r="F411" s="453"/>
      <c r="H411" s="74"/>
      <c r="I411" s="74"/>
      <c r="J411" s="74"/>
      <c r="K411" s="74"/>
      <c r="Z411" s="122"/>
    </row>
    <row r="412" spans="6:26" customFormat="1" ht="12.75" x14ac:dyDescent="0.2">
      <c r="F412" s="453"/>
      <c r="H412" s="74"/>
      <c r="I412" s="74"/>
      <c r="J412" s="74"/>
      <c r="K412" s="74"/>
      <c r="Z412" s="122"/>
    </row>
    <row r="413" spans="6:26" customFormat="1" ht="12.75" x14ac:dyDescent="0.2">
      <c r="F413" s="453"/>
      <c r="H413" s="74"/>
      <c r="I413" s="74"/>
      <c r="J413" s="74"/>
      <c r="K413" s="74"/>
      <c r="Z413" s="122"/>
    </row>
    <row r="414" spans="6:26" customFormat="1" ht="12.75" x14ac:dyDescent="0.2">
      <c r="F414" s="453"/>
      <c r="H414" s="74"/>
      <c r="I414" s="74"/>
      <c r="J414" s="74"/>
      <c r="K414" s="74"/>
      <c r="Z414" s="122"/>
    </row>
    <row r="415" spans="6:26" customFormat="1" ht="12.75" x14ac:dyDescent="0.2">
      <c r="F415" s="453"/>
      <c r="H415" s="74"/>
      <c r="I415" s="74"/>
      <c r="J415" s="74"/>
      <c r="K415" s="74"/>
      <c r="Z415" s="122"/>
    </row>
    <row r="416" spans="6:26" customFormat="1" ht="12.75" x14ac:dyDescent="0.2">
      <c r="F416" s="453"/>
      <c r="H416" s="74"/>
      <c r="I416" s="74"/>
      <c r="J416" s="74"/>
      <c r="K416" s="74"/>
      <c r="Z416" s="122"/>
    </row>
    <row r="417" spans="6:26" customFormat="1" ht="12.75" x14ac:dyDescent="0.2">
      <c r="F417" s="453"/>
      <c r="H417" s="74"/>
      <c r="I417" s="74"/>
      <c r="J417" s="74"/>
      <c r="K417" s="74"/>
      <c r="Z417" s="122"/>
    </row>
    <row r="418" spans="6:26" customFormat="1" ht="12.75" x14ac:dyDescent="0.2">
      <c r="F418" s="453"/>
      <c r="H418" s="74"/>
      <c r="I418" s="74"/>
      <c r="J418" s="74"/>
      <c r="K418" s="74"/>
      <c r="Z418" s="122"/>
    </row>
    <row r="419" spans="6:26" customFormat="1" ht="12.75" x14ac:dyDescent="0.2">
      <c r="F419" s="453"/>
      <c r="H419" s="74"/>
      <c r="I419" s="74"/>
      <c r="J419" s="74"/>
      <c r="K419" s="74"/>
      <c r="Z419" s="122"/>
    </row>
    <row r="420" spans="6:26" customFormat="1" ht="12.75" x14ac:dyDescent="0.2">
      <c r="F420" s="453"/>
      <c r="H420" s="74"/>
      <c r="I420" s="74"/>
      <c r="J420" s="74"/>
      <c r="K420" s="74"/>
      <c r="Z420" s="122"/>
    </row>
    <row r="421" spans="6:26" customFormat="1" ht="12.75" x14ac:dyDescent="0.2">
      <c r="F421" s="453"/>
      <c r="H421" s="74"/>
      <c r="I421" s="74"/>
      <c r="J421" s="74"/>
      <c r="K421" s="74"/>
      <c r="Z421" s="122"/>
    </row>
    <row r="422" spans="6:26" customFormat="1" ht="12.75" x14ac:dyDescent="0.2">
      <c r="F422" s="453"/>
      <c r="H422" s="74"/>
      <c r="I422" s="74"/>
      <c r="J422" s="74"/>
      <c r="K422" s="74"/>
      <c r="Z422" s="122"/>
    </row>
    <row r="423" spans="6:26" customFormat="1" ht="12.75" x14ac:dyDescent="0.2">
      <c r="F423" s="453"/>
      <c r="H423" s="74"/>
      <c r="I423" s="74"/>
      <c r="J423" s="74"/>
      <c r="K423" s="74"/>
      <c r="Z423" s="122"/>
    </row>
    <row r="424" spans="6:26" customFormat="1" ht="12.75" x14ac:dyDescent="0.2">
      <c r="F424" s="453"/>
      <c r="H424" s="74"/>
      <c r="I424" s="74"/>
      <c r="J424" s="74"/>
      <c r="K424" s="74"/>
      <c r="Z424" s="122"/>
    </row>
    <row r="425" spans="6:26" customFormat="1" ht="12.75" x14ac:dyDescent="0.2">
      <c r="F425" s="453"/>
      <c r="H425" s="74"/>
      <c r="I425" s="74"/>
      <c r="J425" s="74"/>
      <c r="K425" s="74"/>
      <c r="Z425" s="122"/>
    </row>
    <row r="426" spans="6:26" customFormat="1" ht="12.75" x14ac:dyDescent="0.2">
      <c r="F426" s="453"/>
      <c r="H426" s="74"/>
      <c r="I426" s="74"/>
      <c r="J426" s="74"/>
      <c r="K426" s="74"/>
      <c r="Z426" s="122"/>
    </row>
    <row r="427" spans="6:26" customFormat="1" ht="12.75" x14ac:dyDescent="0.2">
      <c r="F427" s="453"/>
      <c r="H427" s="74"/>
      <c r="I427" s="74"/>
      <c r="J427" s="74"/>
      <c r="K427" s="74"/>
      <c r="Z427" s="122"/>
    </row>
    <row r="428" spans="6:26" customFormat="1" ht="12.75" x14ac:dyDescent="0.2">
      <c r="F428" s="453"/>
      <c r="H428" s="74"/>
      <c r="I428" s="74"/>
      <c r="J428" s="74"/>
      <c r="K428" s="74"/>
      <c r="Z428" s="122"/>
    </row>
    <row r="429" spans="6:26" customFormat="1" ht="12.75" x14ac:dyDescent="0.2">
      <c r="F429" s="453"/>
      <c r="H429" s="74"/>
      <c r="I429" s="74"/>
      <c r="J429" s="74"/>
      <c r="K429" s="74"/>
      <c r="Z429" s="122"/>
    </row>
    <row r="430" spans="6:26" customFormat="1" ht="12.75" x14ac:dyDescent="0.2">
      <c r="F430" s="453"/>
      <c r="H430" s="74"/>
      <c r="I430" s="74"/>
      <c r="J430" s="74"/>
      <c r="K430" s="74"/>
      <c r="Z430" s="122"/>
    </row>
    <row r="431" spans="6:26" customFormat="1" ht="12.75" x14ac:dyDescent="0.2">
      <c r="F431" s="453"/>
      <c r="H431" s="74"/>
      <c r="I431" s="74"/>
      <c r="J431" s="74"/>
      <c r="K431" s="74"/>
      <c r="Z431" s="122"/>
    </row>
    <row r="432" spans="6:26" customFormat="1" ht="12.75" x14ac:dyDescent="0.2">
      <c r="F432" s="453"/>
      <c r="H432" s="74"/>
      <c r="I432" s="74"/>
      <c r="J432" s="74"/>
      <c r="K432" s="74"/>
      <c r="Z432" s="122"/>
    </row>
    <row r="433" spans="6:26" customFormat="1" ht="12.75" x14ac:dyDescent="0.2">
      <c r="F433" s="453"/>
      <c r="H433" s="74"/>
      <c r="I433" s="74"/>
      <c r="J433" s="74"/>
      <c r="K433" s="74"/>
      <c r="Z433" s="122"/>
    </row>
    <row r="434" spans="6:26" customFormat="1" ht="12.75" x14ac:dyDescent="0.2">
      <c r="F434" s="453"/>
      <c r="H434" s="74"/>
      <c r="I434" s="74"/>
      <c r="J434" s="74"/>
      <c r="K434" s="74"/>
      <c r="Z434" s="122"/>
    </row>
    <row r="435" spans="6:26" customFormat="1" ht="12.75" x14ac:dyDescent="0.2">
      <c r="F435" s="453"/>
      <c r="H435" s="74"/>
      <c r="I435" s="74"/>
      <c r="J435" s="74"/>
      <c r="K435" s="74"/>
      <c r="Z435" s="122"/>
    </row>
    <row r="436" spans="6:26" customFormat="1" ht="12.75" x14ac:dyDescent="0.2">
      <c r="F436" s="453"/>
      <c r="H436" s="74"/>
      <c r="I436" s="74"/>
      <c r="J436" s="74"/>
      <c r="K436" s="74"/>
      <c r="Z436" s="122"/>
    </row>
    <row r="437" spans="6:26" customFormat="1" ht="12.75" x14ac:dyDescent="0.2">
      <c r="F437" s="453"/>
      <c r="H437" s="74"/>
      <c r="I437" s="74"/>
      <c r="J437" s="74"/>
      <c r="K437" s="74"/>
      <c r="Z437" s="122"/>
    </row>
    <row r="438" spans="6:26" customFormat="1" ht="12.75" x14ac:dyDescent="0.2">
      <c r="F438" s="453"/>
      <c r="H438" s="74"/>
      <c r="I438" s="74"/>
      <c r="J438" s="74"/>
      <c r="K438" s="74"/>
      <c r="Z438" s="122"/>
    </row>
    <row r="439" spans="6:26" customFormat="1" ht="12.75" x14ac:dyDescent="0.2">
      <c r="F439" s="453"/>
      <c r="H439" s="74"/>
      <c r="I439" s="74"/>
      <c r="J439" s="74"/>
      <c r="K439" s="74"/>
      <c r="Z439" s="122"/>
    </row>
    <row r="440" spans="6:26" customFormat="1" ht="12.75" x14ac:dyDescent="0.2">
      <c r="F440" s="453"/>
      <c r="H440" s="74"/>
      <c r="I440" s="74"/>
      <c r="J440" s="74"/>
      <c r="K440" s="74"/>
      <c r="Z440" s="122"/>
    </row>
    <row r="441" spans="6:26" customFormat="1" ht="12.75" x14ac:dyDescent="0.2">
      <c r="F441" s="453"/>
      <c r="H441" s="74"/>
      <c r="I441" s="74"/>
      <c r="J441" s="74"/>
      <c r="K441" s="74"/>
      <c r="Z441" s="122"/>
    </row>
    <row r="442" spans="6:26" customFormat="1" ht="12.75" x14ac:dyDescent="0.2">
      <c r="F442" s="453"/>
      <c r="H442" s="74"/>
      <c r="I442" s="74"/>
      <c r="J442" s="74"/>
      <c r="K442" s="74"/>
      <c r="Z442" s="122"/>
    </row>
    <row r="443" spans="6:26" customFormat="1" ht="12.75" x14ac:dyDescent="0.2">
      <c r="F443" s="453"/>
      <c r="H443" s="74"/>
      <c r="I443" s="74"/>
      <c r="J443" s="74"/>
      <c r="K443" s="74"/>
      <c r="Z443" s="122"/>
    </row>
    <row r="444" spans="6:26" customFormat="1" ht="12.75" x14ac:dyDescent="0.2">
      <c r="F444" s="453"/>
      <c r="H444" s="74"/>
      <c r="I444" s="74"/>
      <c r="J444" s="74"/>
      <c r="K444" s="74"/>
      <c r="Z444" s="122"/>
    </row>
    <row r="445" spans="6:26" customFormat="1" ht="12.75" x14ac:dyDescent="0.2">
      <c r="F445" s="453"/>
      <c r="H445" s="74"/>
      <c r="I445" s="74"/>
      <c r="J445" s="74"/>
      <c r="K445" s="74"/>
      <c r="Z445" s="122"/>
    </row>
    <row r="446" spans="6:26" customFormat="1" ht="12.75" x14ac:dyDescent="0.2">
      <c r="F446" s="453"/>
      <c r="H446" s="74"/>
      <c r="I446" s="74"/>
      <c r="J446" s="74"/>
      <c r="K446" s="74"/>
      <c r="Z446" s="122"/>
    </row>
    <row r="447" spans="6:26" customFormat="1" ht="12.75" x14ac:dyDescent="0.2">
      <c r="F447" s="453"/>
      <c r="H447" s="74"/>
      <c r="I447" s="74"/>
      <c r="J447" s="74"/>
      <c r="K447" s="74"/>
      <c r="Z447" s="122"/>
    </row>
    <row r="448" spans="6:26" customFormat="1" ht="12.75" x14ac:dyDescent="0.2">
      <c r="F448" s="453"/>
      <c r="H448" s="74"/>
      <c r="I448" s="74"/>
      <c r="J448" s="74"/>
      <c r="K448" s="74"/>
      <c r="Z448" s="122"/>
    </row>
    <row r="449" spans="6:26" customFormat="1" ht="12.75" x14ac:dyDescent="0.2">
      <c r="F449" s="453"/>
      <c r="H449" s="74"/>
      <c r="I449" s="74"/>
      <c r="J449" s="74"/>
      <c r="K449" s="74"/>
      <c r="Z449" s="122"/>
    </row>
    <row r="450" spans="6:26" customFormat="1" ht="12.75" x14ac:dyDescent="0.2">
      <c r="F450" s="453"/>
      <c r="H450" s="74"/>
      <c r="I450" s="74"/>
      <c r="J450" s="74"/>
      <c r="K450" s="74"/>
      <c r="Z450" s="122"/>
    </row>
    <row r="451" spans="6:26" customFormat="1" ht="12.75" x14ac:dyDescent="0.2">
      <c r="F451" s="453"/>
      <c r="H451" s="74"/>
      <c r="I451" s="74"/>
      <c r="J451" s="74"/>
      <c r="K451" s="74"/>
      <c r="Z451" s="122"/>
    </row>
    <row r="452" spans="6:26" customFormat="1" ht="12.75" x14ac:dyDescent="0.2">
      <c r="F452" s="453"/>
      <c r="H452" s="74"/>
      <c r="I452" s="74"/>
      <c r="J452" s="74"/>
      <c r="K452" s="74"/>
      <c r="Z452" s="122"/>
    </row>
    <row r="453" spans="6:26" customFormat="1" ht="12.75" x14ac:dyDescent="0.2">
      <c r="F453" s="453"/>
      <c r="H453" s="74"/>
      <c r="I453" s="74"/>
      <c r="J453" s="74"/>
      <c r="K453" s="74"/>
      <c r="Z453" s="122"/>
    </row>
    <row r="454" spans="6:26" customFormat="1" ht="12.75" x14ac:dyDescent="0.2">
      <c r="F454" s="453"/>
      <c r="H454" s="74"/>
      <c r="I454" s="74"/>
      <c r="J454" s="74"/>
      <c r="K454" s="74"/>
      <c r="Z454" s="122"/>
    </row>
    <row r="455" spans="6:26" customFormat="1" ht="12.75" x14ac:dyDescent="0.2">
      <c r="F455" s="453"/>
      <c r="H455" s="74"/>
      <c r="I455" s="74"/>
      <c r="J455" s="74"/>
      <c r="K455" s="74"/>
      <c r="Z455" s="122"/>
    </row>
    <row r="456" spans="6:26" customFormat="1" ht="12.75" x14ac:dyDescent="0.2">
      <c r="F456" s="453"/>
      <c r="H456" s="74"/>
      <c r="I456" s="74"/>
      <c r="J456" s="74"/>
      <c r="K456" s="74"/>
      <c r="Z456" s="122"/>
    </row>
    <row r="457" spans="6:26" customFormat="1" ht="12.75" x14ac:dyDescent="0.2">
      <c r="F457" s="453"/>
      <c r="H457" s="74"/>
      <c r="I457" s="74"/>
      <c r="J457" s="74"/>
      <c r="K457" s="74"/>
      <c r="Z457" s="122"/>
    </row>
    <row r="458" spans="6:26" customFormat="1" ht="12.75" x14ac:dyDescent="0.2">
      <c r="F458" s="453"/>
      <c r="H458" s="74"/>
      <c r="I458" s="74"/>
      <c r="J458" s="74"/>
      <c r="K458" s="74"/>
      <c r="Z458" s="122"/>
    </row>
    <row r="459" spans="6:26" customFormat="1" ht="12.75" x14ac:dyDescent="0.2">
      <c r="F459" s="453"/>
      <c r="H459" s="74"/>
      <c r="I459" s="74"/>
      <c r="J459" s="74"/>
      <c r="K459" s="74"/>
      <c r="Z459" s="122"/>
    </row>
    <row r="460" spans="6:26" customFormat="1" ht="12.75" x14ac:dyDescent="0.2">
      <c r="F460" s="453"/>
      <c r="H460" s="74"/>
      <c r="I460" s="74"/>
      <c r="J460" s="74"/>
      <c r="K460" s="74"/>
      <c r="Z460" s="122"/>
    </row>
    <row r="461" spans="6:26" customFormat="1" ht="12.75" x14ac:dyDescent="0.2">
      <c r="F461" s="453"/>
      <c r="H461" s="74"/>
      <c r="I461" s="74"/>
      <c r="J461" s="74"/>
      <c r="K461" s="74"/>
      <c r="Z461" s="122"/>
    </row>
    <row r="462" spans="6:26" customFormat="1" ht="12.75" x14ac:dyDescent="0.2">
      <c r="F462" s="453"/>
      <c r="H462" s="74"/>
      <c r="I462" s="74"/>
      <c r="J462" s="74"/>
      <c r="K462" s="74"/>
      <c r="Z462" s="122"/>
    </row>
    <row r="463" spans="6:26" customFormat="1" ht="12.75" x14ac:dyDescent="0.2">
      <c r="F463" s="453"/>
      <c r="H463" s="74"/>
      <c r="I463" s="74"/>
      <c r="J463" s="74"/>
      <c r="K463" s="74"/>
      <c r="Z463" s="122"/>
    </row>
    <row r="464" spans="6:26" customFormat="1" ht="12.75" x14ac:dyDescent="0.2">
      <c r="F464" s="453"/>
      <c r="H464" s="74"/>
      <c r="I464" s="74"/>
      <c r="J464" s="74"/>
      <c r="K464" s="74"/>
      <c r="Z464" s="122"/>
    </row>
    <row r="465" spans="6:26" customFormat="1" ht="12.75" x14ac:dyDescent="0.2">
      <c r="F465" s="453"/>
      <c r="H465" s="74"/>
      <c r="I465" s="74"/>
      <c r="J465" s="74"/>
      <c r="K465" s="74"/>
      <c r="Z465" s="122"/>
    </row>
    <row r="466" spans="6:26" customFormat="1" ht="12.75" x14ac:dyDescent="0.2">
      <c r="F466" s="453"/>
      <c r="H466" s="74"/>
      <c r="I466" s="74"/>
      <c r="J466" s="74"/>
      <c r="K466" s="74"/>
      <c r="Z466" s="122"/>
    </row>
    <row r="467" spans="6:26" customFormat="1" ht="12.75" x14ac:dyDescent="0.2">
      <c r="F467" s="453"/>
      <c r="H467" s="74"/>
      <c r="I467" s="74"/>
      <c r="J467" s="74"/>
      <c r="K467" s="74"/>
      <c r="Z467" s="122"/>
    </row>
    <row r="468" spans="6:26" customFormat="1" ht="12.75" x14ac:dyDescent="0.2">
      <c r="F468" s="453"/>
      <c r="H468" s="74"/>
      <c r="I468" s="74"/>
      <c r="J468" s="74"/>
      <c r="K468" s="74"/>
      <c r="Z468" s="122"/>
    </row>
    <row r="469" spans="6:26" customFormat="1" ht="12.75" x14ac:dyDescent="0.2">
      <c r="F469" s="453"/>
      <c r="H469" s="74"/>
      <c r="I469" s="74"/>
      <c r="J469" s="74"/>
      <c r="K469" s="74"/>
      <c r="Z469" s="122"/>
    </row>
    <row r="470" spans="6:26" customFormat="1" ht="12.75" x14ac:dyDescent="0.2">
      <c r="F470" s="453"/>
      <c r="H470" s="74"/>
      <c r="I470" s="74"/>
      <c r="J470" s="74"/>
      <c r="K470" s="74"/>
      <c r="Z470" s="122"/>
    </row>
    <row r="471" spans="6:26" customFormat="1" ht="12.75" x14ac:dyDescent="0.2">
      <c r="F471" s="453"/>
      <c r="H471" s="74"/>
      <c r="I471" s="74"/>
      <c r="J471" s="74"/>
      <c r="K471" s="74"/>
      <c r="Z471" s="122"/>
    </row>
    <row r="472" spans="6:26" customFormat="1" ht="12.75" x14ac:dyDescent="0.2">
      <c r="F472" s="453"/>
      <c r="H472" s="74"/>
      <c r="I472" s="74"/>
      <c r="J472" s="74"/>
      <c r="K472" s="74"/>
      <c r="Z472" s="122"/>
    </row>
    <row r="473" spans="6:26" customFormat="1" ht="12.75" x14ac:dyDescent="0.2">
      <c r="F473" s="453"/>
      <c r="H473" s="74"/>
      <c r="I473" s="74"/>
      <c r="J473" s="74"/>
      <c r="K473" s="74"/>
      <c r="Z473" s="122"/>
    </row>
    <row r="474" spans="6:26" customFormat="1" ht="12.75" x14ac:dyDescent="0.2">
      <c r="F474" s="453"/>
      <c r="H474" s="74"/>
      <c r="I474" s="74"/>
      <c r="J474" s="74"/>
      <c r="K474" s="74"/>
      <c r="Z474" s="122"/>
    </row>
    <row r="475" spans="6:26" customFormat="1" ht="12.75" x14ac:dyDescent="0.2">
      <c r="F475" s="453"/>
      <c r="H475" s="74"/>
      <c r="I475" s="74"/>
      <c r="J475" s="74"/>
      <c r="K475" s="74"/>
      <c r="Z475" s="122"/>
    </row>
    <row r="476" spans="6:26" customFormat="1" ht="12.75" x14ac:dyDescent="0.2">
      <c r="F476" s="453"/>
      <c r="H476" s="74"/>
      <c r="I476" s="74"/>
      <c r="J476" s="74"/>
      <c r="K476" s="74"/>
      <c r="Z476" s="122"/>
    </row>
    <row r="477" spans="6:26" customFormat="1" ht="12.75" x14ac:dyDescent="0.2">
      <c r="F477" s="453"/>
      <c r="H477" s="74"/>
      <c r="I477" s="74"/>
      <c r="J477" s="74"/>
      <c r="K477" s="74"/>
      <c r="Z477" s="122"/>
    </row>
    <row r="478" spans="6:26" customFormat="1" ht="12.75" x14ac:dyDescent="0.2">
      <c r="F478" s="453"/>
      <c r="H478" s="74"/>
      <c r="I478" s="74"/>
      <c r="J478" s="74"/>
      <c r="K478" s="74"/>
      <c r="Z478" s="122"/>
    </row>
    <row r="479" spans="6:26" customFormat="1" ht="12.75" x14ac:dyDescent="0.2">
      <c r="F479" s="453"/>
      <c r="H479" s="74"/>
      <c r="I479" s="74"/>
      <c r="J479" s="74"/>
      <c r="K479" s="74"/>
      <c r="Z479" s="122"/>
    </row>
    <row r="480" spans="6:26" customFormat="1" ht="12.75" x14ac:dyDescent="0.2">
      <c r="F480" s="453"/>
      <c r="H480" s="74"/>
      <c r="I480" s="74"/>
      <c r="J480" s="74"/>
      <c r="K480" s="74"/>
      <c r="Z480" s="122"/>
    </row>
    <row r="481" spans="6:26" customFormat="1" ht="12.75" x14ac:dyDescent="0.2">
      <c r="F481" s="453"/>
      <c r="H481" s="74"/>
      <c r="I481" s="74"/>
      <c r="J481" s="74"/>
      <c r="K481" s="74"/>
      <c r="Z481" s="122"/>
    </row>
    <row r="482" spans="6:26" customFormat="1" ht="12.75" x14ac:dyDescent="0.2">
      <c r="F482" s="453"/>
      <c r="H482" s="74"/>
      <c r="I482" s="74"/>
      <c r="J482" s="74"/>
      <c r="K482" s="74"/>
      <c r="Z482" s="122"/>
    </row>
    <row r="483" spans="6:26" customFormat="1" ht="12.75" x14ac:dyDescent="0.2">
      <c r="F483" s="453"/>
      <c r="H483" s="74"/>
      <c r="I483" s="74"/>
      <c r="J483" s="74"/>
      <c r="K483" s="74"/>
      <c r="Z483" s="122"/>
    </row>
    <row r="484" spans="6:26" customFormat="1" ht="12.75" x14ac:dyDescent="0.2">
      <c r="F484" s="453"/>
      <c r="H484" s="74"/>
      <c r="I484" s="74"/>
      <c r="J484" s="74"/>
      <c r="K484" s="74"/>
      <c r="Z484" s="122"/>
    </row>
    <row r="485" spans="6:26" customFormat="1" ht="12.75" x14ac:dyDescent="0.2">
      <c r="F485" s="453"/>
      <c r="H485" s="74"/>
      <c r="I485" s="74"/>
      <c r="J485" s="74"/>
      <c r="K485" s="74"/>
      <c r="Z485" s="122"/>
    </row>
    <row r="486" spans="6:26" customFormat="1" ht="12.75" x14ac:dyDescent="0.2">
      <c r="F486" s="453"/>
      <c r="H486" s="74"/>
      <c r="I486" s="74"/>
      <c r="J486" s="74"/>
      <c r="K486" s="74"/>
      <c r="Z486" s="122"/>
    </row>
    <row r="487" spans="6:26" customFormat="1" ht="12.75" x14ac:dyDescent="0.2">
      <c r="F487" s="453"/>
      <c r="H487" s="74"/>
      <c r="I487" s="74"/>
      <c r="J487" s="74"/>
      <c r="K487" s="74"/>
      <c r="Z487" s="122"/>
    </row>
    <row r="488" spans="6:26" customFormat="1" ht="12.75" x14ac:dyDescent="0.2">
      <c r="F488" s="453"/>
      <c r="H488" s="74"/>
      <c r="I488" s="74"/>
      <c r="J488" s="74"/>
      <c r="K488" s="74"/>
      <c r="Z488" s="122"/>
    </row>
    <row r="489" spans="6:26" customFormat="1" ht="12.75" x14ac:dyDescent="0.2">
      <c r="F489" s="453"/>
      <c r="H489" s="74"/>
      <c r="I489" s="74"/>
      <c r="J489" s="74"/>
      <c r="K489" s="74"/>
      <c r="Z489" s="122"/>
    </row>
    <row r="490" spans="6:26" customFormat="1" ht="12.75" x14ac:dyDescent="0.2">
      <c r="F490" s="453"/>
      <c r="H490" s="74"/>
      <c r="I490" s="74"/>
      <c r="J490" s="74"/>
      <c r="K490" s="74"/>
      <c r="Z490" s="122"/>
    </row>
    <row r="491" spans="6:26" customFormat="1" ht="12.75" x14ac:dyDescent="0.2">
      <c r="F491" s="453"/>
      <c r="H491" s="74"/>
      <c r="I491" s="74"/>
      <c r="J491" s="74"/>
      <c r="K491" s="74"/>
      <c r="Z491" s="122"/>
    </row>
    <row r="492" spans="6:26" customFormat="1" ht="12.75" x14ac:dyDescent="0.2">
      <c r="F492" s="453"/>
      <c r="H492" s="74"/>
      <c r="I492" s="74"/>
      <c r="J492" s="74"/>
      <c r="K492" s="74"/>
      <c r="Z492" s="122"/>
    </row>
    <row r="493" spans="6:26" customFormat="1" ht="12.75" x14ac:dyDescent="0.2">
      <c r="F493" s="453"/>
      <c r="H493" s="74"/>
      <c r="I493" s="74"/>
      <c r="J493" s="74"/>
      <c r="K493" s="74"/>
      <c r="Z493" s="122"/>
    </row>
    <row r="494" spans="6:26" customFormat="1" ht="12.75" x14ac:dyDescent="0.2">
      <c r="F494" s="453"/>
      <c r="H494" s="74"/>
      <c r="I494" s="74"/>
      <c r="J494" s="74"/>
      <c r="K494" s="74"/>
      <c r="Z494" s="122"/>
    </row>
    <row r="495" spans="6:26" customFormat="1" ht="12.75" x14ac:dyDescent="0.2">
      <c r="F495" s="453"/>
      <c r="H495" s="74"/>
      <c r="I495" s="74"/>
      <c r="J495" s="74"/>
      <c r="K495" s="74"/>
      <c r="Z495" s="122"/>
    </row>
    <row r="496" spans="6:26" customFormat="1" ht="12.75" x14ac:dyDescent="0.2">
      <c r="F496" s="453"/>
      <c r="H496" s="74"/>
      <c r="I496" s="74"/>
      <c r="J496" s="74"/>
      <c r="K496" s="74"/>
      <c r="Z496" s="122"/>
    </row>
    <row r="497" spans="6:26" customFormat="1" ht="12.75" x14ac:dyDescent="0.2">
      <c r="F497" s="453"/>
      <c r="H497" s="74"/>
      <c r="I497" s="74"/>
      <c r="J497" s="74"/>
      <c r="K497" s="74"/>
      <c r="Z497" s="122"/>
    </row>
    <row r="498" spans="6:26" customFormat="1" ht="12.75" x14ac:dyDescent="0.2">
      <c r="F498" s="453"/>
      <c r="H498" s="74"/>
      <c r="I498" s="74"/>
      <c r="J498" s="74"/>
      <c r="K498" s="74"/>
      <c r="Z498" s="122"/>
    </row>
    <row r="499" spans="6:26" customFormat="1" ht="12.75" x14ac:dyDescent="0.2">
      <c r="F499" s="453"/>
      <c r="H499" s="74"/>
      <c r="I499" s="74"/>
      <c r="J499" s="74"/>
      <c r="K499" s="74"/>
      <c r="Z499" s="122"/>
    </row>
    <row r="500" spans="6:26" customFormat="1" ht="12.75" x14ac:dyDescent="0.2">
      <c r="F500" s="453"/>
      <c r="H500" s="74"/>
      <c r="I500" s="74"/>
      <c r="J500" s="74"/>
      <c r="K500" s="74"/>
      <c r="Z500" s="122"/>
    </row>
    <row r="501" spans="6:26" customFormat="1" ht="12.75" x14ac:dyDescent="0.2">
      <c r="F501" s="453"/>
      <c r="H501" s="74"/>
      <c r="I501" s="74"/>
      <c r="J501" s="74"/>
      <c r="K501" s="74"/>
      <c r="Z501" s="122"/>
    </row>
    <row r="502" spans="6:26" customFormat="1" ht="12.75" x14ac:dyDescent="0.2">
      <c r="F502" s="453"/>
      <c r="H502" s="74"/>
      <c r="I502" s="74"/>
      <c r="J502" s="74"/>
      <c r="K502" s="74"/>
      <c r="Z502" s="122"/>
    </row>
    <row r="503" spans="6:26" customFormat="1" ht="12.75" x14ac:dyDescent="0.2">
      <c r="F503" s="453"/>
      <c r="H503" s="74"/>
      <c r="I503" s="74"/>
      <c r="J503" s="74"/>
      <c r="K503" s="74"/>
      <c r="Z503" s="122"/>
    </row>
    <row r="504" spans="6:26" customFormat="1" ht="12.75" x14ac:dyDescent="0.2">
      <c r="F504" s="453"/>
      <c r="H504" s="74"/>
      <c r="I504" s="74"/>
      <c r="J504" s="74"/>
      <c r="K504" s="74"/>
      <c r="Z504" s="122"/>
    </row>
    <row r="505" spans="6:26" customFormat="1" ht="12.75" x14ac:dyDescent="0.2">
      <c r="F505" s="453"/>
      <c r="H505" s="74"/>
      <c r="I505" s="74"/>
      <c r="J505" s="74"/>
      <c r="K505" s="74"/>
      <c r="Z505" s="122"/>
    </row>
    <row r="506" spans="6:26" customFormat="1" ht="12.75" x14ac:dyDescent="0.2">
      <c r="F506" s="453"/>
      <c r="H506" s="74"/>
      <c r="I506" s="74"/>
      <c r="J506" s="74"/>
      <c r="K506" s="74"/>
      <c r="Z506" s="122"/>
    </row>
    <row r="507" spans="6:26" customFormat="1" ht="12.75" x14ac:dyDescent="0.2">
      <c r="F507" s="453"/>
      <c r="H507" s="74"/>
      <c r="I507" s="74"/>
      <c r="J507" s="74"/>
      <c r="K507" s="74"/>
      <c r="Z507" s="122"/>
    </row>
    <row r="508" spans="6:26" customFormat="1" ht="12.75" x14ac:dyDescent="0.2">
      <c r="F508" s="453"/>
      <c r="H508" s="74"/>
      <c r="I508" s="74"/>
      <c r="J508" s="74"/>
      <c r="K508" s="74"/>
      <c r="Z508" s="122"/>
    </row>
    <row r="509" spans="6:26" customFormat="1" ht="12.75" x14ac:dyDescent="0.2">
      <c r="F509" s="453"/>
      <c r="H509" s="74"/>
      <c r="I509" s="74"/>
      <c r="J509" s="74"/>
      <c r="K509" s="74"/>
      <c r="Z509" s="122"/>
    </row>
    <row r="510" spans="6:26" customFormat="1" ht="12.75" x14ac:dyDescent="0.2">
      <c r="F510" s="453"/>
      <c r="H510" s="74"/>
      <c r="I510" s="74"/>
      <c r="J510" s="74"/>
      <c r="K510" s="74"/>
      <c r="Z510" s="122"/>
    </row>
    <row r="511" spans="6:26" customFormat="1" ht="12.75" x14ac:dyDescent="0.2">
      <c r="F511" s="453"/>
      <c r="H511" s="74"/>
      <c r="I511" s="74"/>
      <c r="J511" s="74"/>
      <c r="K511" s="74"/>
      <c r="Z511" s="122"/>
    </row>
    <row r="512" spans="6:26" customFormat="1" ht="12.75" x14ac:dyDescent="0.2">
      <c r="F512" s="453"/>
      <c r="H512" s="74"/>
      <c r="I512" s="74"/>
      <c r="J512" s="74"/>
      <c r="K512" s="74"/>
      <c r="Z512" s="122"/>
    </row>
    <row r="513" spans="6:26" customFormat="1" ht="12.75" x14ac:dyDescent="0.2">
      <c r="F513" s="453"/>
      <c r="H513" s="74"/>
      <c r="I513" s="74"/>
      <c r="J513" s="74"/>
      <c r="K513" s="74"/>
      <c r="Z513" s="122"/>
    </row>
    <row r="514" spans="6:26" customFormat="1" ht="12.75" x14ac:dyDescent="0.2">
      <c r="F514" s="453"/>
      <c r="H514" s="74"/>
      <c r="I514" s="74"/>
      <c r="J514" s="74"/>
      <c r="K514" s="74"/>
      <c r="Z514" s="122"/>
    </row>
    <row r="515" spans="6:26" customFormat="1" ht="12.75" x14ac:dyDescent="0.2">
      <c r="F515" s="453"/>
      <c r="H515" s="74"/>
      <c r="I515" s="74"/>
      <c r="J515" s="74"/>
      <c r="K515" s="74"/>
      <c r="Z515" s="122"/>
    </row>
    <row r="516" spans="6:26" customFormat="1" ht="12.75" x14ac:dyDescent="0.2">
      <c r="F516" s="453"/>
      <c r="H516" s="74"/>
      <c r="I516" s="74"/>
      <c r="J516" s="74"/>
      <c r="K516" s="74"/>
      <c r="Z516" s="122"/>
    </row>
    <row r="517" spans="6:26" customFormat="1" ht="12.75" x14ac:dyDescent="0.2">
      <c r="F517" s="453"/>
      <c r="H517" s="74"/>
      <c r="I517" s="74"/>
      <c r="J517" s="74"/>
      <c r="K517" s="74"/>
      <c r="Z517" s="122"/>
    </row>
    <row r="518" spans="6:26" customFormat="1" ht="12.75" x14ac:dyDescent="0.2">
      <c r="F518" s="453"/>
      <c r="H518" s="74"/>
      <c r="I518" s="74"/>
      <c r="J518" s="74"/>
      <c r="K518" s="74"/>
      <c r="Z518" s="122"/>
    </row>
    <row r="519" spans="6:26" customFormat="1" ht="12.75" x14ac:dyDescent="0.2">
      <c r="F519" s="453"/>
      <c r="H519" s="74"/>
      <c r="I519" s="74"/>
      <c r="J519" s="74"/>
      <c r="K519" s="74"/>
      <c r="Z519" s="122"/>
    </row>
    <row r="520" spans="6:26" customFormat="1" ht="12.75" x14ac:dyDescent="0.2">
      <c r="F520" s="453"/>
      <c r="H520" s="74"/>
      <c r="I520" s="74"/>
      <c r="J520" s="74"/>
      <c r="K520" s="74"/>
      <c r="Z520" s="122"/>
    </row>
    <row r="521" spans="6:26" customFormat="1" ht="12.75" x14ac:dyDescent="0.2">
      <c r="F521" s="453"/>
      <c r="H521" s="74"/>
      <c r="I521" s="74"/>
      <c r="J521" s="74"/>
      <c r="K521" s="74"/>
      <c r="Z521" s="122"/>
    </row>
    <row r="522" spans="6:26" customFormat="1" ht="12.75" x14ac:dyDescent="0.2">
      <c r="F522" s="453"/>
      <c r="H522" s="74"/>
      <c r="I522" s="74"/>
      <c r="J522" s="74"/>
      <c r="K522" s="74"/>
      <c r="Z522" s="122"/>
    </row>
    <row r="523" spans="6:26" customFormat="1" ht="12.75" x14ac:dyDescent="0.2">
      <c r="F523" s="453"/>
      <c r="H523" s="74"/>
      <c r="I523" s="74"/>
      <c r="J523" s="74"/>
      <c r="K523" s="74"/>
      <c r="Z523" s="122"/>
    </row>
    <row r="524" spans="6:26" customFormat="1" ht="12.75" x14ac:dyDescent="0.2">
      <c r="F524" s="453"/>
      <c r="H524" s="74"/>
      <c r="I524" s="74"/>
      <c r="J524" s="74"/>
      <c r="K524" s="74"/>
      <c r="Z524" s="122"/>
    </row>
    <row r="525" spans="6:26" customFormat="1" ht="12.75" x14ac:dyDescent="0.2">
      <c r="F525" s="453"/>
      <c r="H525" s="74"/>
      <c r="I525" s="74"/>
      <c r="J525" s="74"/>
      <c r="K525" s="74"/>
      <c r="Z525" s="122"/>
    </row>
    <row r="526" spans="6:26" customFormat="1" ht="12.75" x14ac:dyDescent="0.2">
      <c r="F526" s="453"/>
      <c r="H526" s="74"/>
      <c r="I526" s="74"/>
      <c r="J526" s="74"/>
      <c r="K526" s="74"/>
      <c r="Z526" s="122"/>
    </row>
    <row r="527" spans="6:26" customFormat="1" ht="12.75" x14ac:dyDescent="0.2">
      <c r="F527" s="453"/>
      <c r="H527" s="74"/>
      <c r="I527" s="74"/>
      <c r="J527" s="74"/>
      <c r="K527" s="74"/>
      <c r="Z527" s="122"/>
    </row>
    <row r="528" spans="6:26" customFormat="1" ht="12.75" x14ac:dyDescent="0.2">
      <c r="F528" s="453"/>
      <c r="H528" s="74"/>
      <c r="I528" s="74"/>
      <c r="J528" s="74"/>
      <c r="K528" s="74"/>
      <c r="Z528" s="122"/>
    </row>
    <row r="529" spans="6:26" customFormat="1" ht="12.75" x14ac:dyDescent="0.2">
      <c r="F529" s="453"/>
      <c r="H529" s="74"/>
      <c r="I529" s="74"/>
      <c r="J529" s="74"/>
      <c r="K529" s="74"/>
      <c r="Z529" s="122"/>
    </row>
    <row r="530" spans="6:26" customFormat="1" ht="12.75" x14ac:dyDescent="0.2">
      <c r="F530" s="453"/>
      <c r="H530" s="74"/>
      <c r="I530" s="74"/>
      <c r="J530" s="74"/>
      <c r="K530" s="74"/>
      <c r="Z530" s="122"/>
    </row>
    <row r="531" spans="6:26" customFormat="1" ht="12.75" x14ac:dyDescent="0.2">
      <c r="F531" s="453"/>
      <c r="H531" s="74"/>
      <c r="I531" s="74"/>
      <c r="J531" s="74"/>
      <c r="K531" s="74"/>
      <c r="Z531" s="122"/>
    </row>
    <row r="532" spans="6:26" customFormat="1" ht="12.75" x14ac:dyDescent="0.2">
      <c r="F532" s="453"/>
      <c r="H532" s="74"/>
      <c r="I532" s="74"/>
      <c r="J532" s="74"/>
      <c r="K532" s="74"/>
      <c r="Z532" s="122"/>
    </row>
    <row r="533" spans="6:26" customFormat="1" ht="12.75" x14ac:dyDescent="0.2">
      <c r="F533" s="453"/>
      <c r="H533" s="74"/>
      <c r="I533" s="74"/>
      <c r="J533" s="74"/>
      <c r="K533" s="74"/>
      <c r="Z533" s="122"/>
    </row>
    <row r="534" spans="6:26" customFormat="1" ht="12.75" x14ac:dyDescent="0.2">
      <c r="F534" s="453"/>
      <c r="H534" s="74"/>
      <c r="I534" s="74"/>
      <c r="J534" s="74"/>
      <c r="K534" s="74"/>
      <c r="Z534" s="122"/>
    </row>
    <row r="535" spans="6:26" customFormat="1" ht="12.75" x14ac:dyDescent="0.2">
      <c r="F535" s="453"/>
      <c r="H535" s="74"/>
      <c r="I535" s="74"/>
      <c r="J535" s="74"/>
      <c r="K535" s="74"/>
      <c r="Z535" s="122"/>
    </row>
    <row r="536" spans="6:26" customFormat="1" ht="12.75" x14ac:dyDescent="0.2">
      <c r="F536" s="453"/>
      <c r="H536" s="74"/>
      <c r="I536" s="74"/>
      <c r="J536" s="74"/>
      <c r="K536" s="74"/>
      <c r="Z536" s="122"/>
    </row>
    <row r="537" spans="6:26" customFormat="1" ht="12.75" x14ac:dyDescent="0.2">
      <c r="F537" s="453"/>
      <c r="H537" s="74"/>
      <c r="I537" s="74"/>
      <c r="J537" s="74"/>
      <c r="K537" s="74"/>
      <c r="Z537" s="122"/>
    </row>
    <row r="538" spans="6:26" customFormat="1" ht="12.75" x14ac:dyDescent="0.2">
      <c r="F538" s="453"/>
      <c r="H538" s="74"/>
      <c r="I538" s="74"/>
      <c r="J538" s="74"/>
      <c r="K538" s="74"/>
      <c r="Z538" s="122"/>
    </row>
    <row r="539" spans="6:26" customFormat="1" ht="12.75" x14ac:dyDescent="0.2">
      <c r="F539" s="453"/>
      <c r="H539" s="74"/>
      <c r="I539" s="74"/>
      <c r="J539" s="74"/>
      <c r="K539" s="74"/>
      <c r="Z539" s="122"/>
    </row>
    <row r="540" spans="6:26" customFormat="1" ht="12.75" x14ac:dyDescent="0.2">
      <c r="F540" s="453"/>
      <c r="H540" s="74"/>
      <c r="I540" s="74"/>
      <c r="J540" s="74"/>
      <c r="K540" s="74"/>
      <c r="Z540" s="122"/>
    </row>
    <row r="541" spans="6:26" customFormat="1" ht="12.75" x14ac:dyDescent="0.2">
      <c r="F541" s="453"/>
      <c r="H541" s="74"/>
      <c r="I541" s="74"/>
      <c r="J541" s="74"/>
      <c r="K541" s="74"/>
      <c r="Z541" s="122"/>
    </row>
    <row r="542" spans="6:26" customFormat="1" ht="12.75" x14ac:dyDescent="0.2">
      <c r="F542" s="453"/>
      <c r="H542" s="74"/>
      <c r="I542" s="74"/>
      <c r="J542" s="74"/>
      <c r="K542" s="74"/>
      <c r="Z542" s="122"/>
    </row>
    <row r="543" spans="6:26" customFormat="1" ht="12.75" x14ac:dyDescent="0.2">
      <c r="F543" s="453"/>
      <c r="H543" s="74"/>
      <c r="I543" s="74"/>
      <c r="J543" s="74"/>
      <c r="K543" s="74"/>
      <c r="Z543" s="122"/>
    </row>
    <row r="544" spans="6:26" customFormat="1" ht="12.75" x14ac:dyDescent="0.2">
      <c r="F544" s="453"/>
      <c r="H544" s="74"/>
      <c r="I544" s="74"/>
      <c r="J544" s="74"/>
      <c r="K544" s="74"/>
      <c r="Z544" s="122"/>
    </row>
    <row r="545" spans="6:26" customFormat="1" ht="12.75" x14ac:dyDescent="0.2">
      <c r="F545" s="453"/>
      <c r="H545" s="74"/>
      <c r="I545" s="74"/>
      <c r="J545" s="74"/>
      <c r="K545" s="74"/>
      <c r="Z545" s="122"/>
    </row>
    <row r="546" spans="6:26" customFormat="1" ht="12.75" x14ac:dyDescent="0.2">
      <c r="F546" s="453"/>
      <c r="H546" s="74"/>
      <c r="I546" s="74"/>
      <c r="J546" s="74"/>
      <c r="K546" s="74"/>
      <c r="Z546" s="122"/>
    </row>
    <row r="547" spans="6:26" customFormat="1" ht="12.75" x14ac:dyDescent="0.2">
      <c r="F547" s="453"/>
      <c r="H547" s="74"/>
      <c r="I547" s="74"/>
      <c r="J547" s="74"/>
      <c r="K547" s="74"/>
      <c r="Z547" s="122"/>
    </row>
    <row r="548" spans="6:26" customFormat="1" ht="12.75" x14ac:dyDescent="0.2">
      <c r="F548" s="453"/>
      <c r="H548" s="74"/>
      <c r="I548" s="74"/>
      <c r="J548" s="74"/>
      <c r="K548" s="74"/>
      <c r="Z548" s="122"/>
    </row>
    <row r="549" spans="6:26" customFormat="1" ht="12.75" x14ac:dyDescent="0.2">
      <c r="F549" s="453"/>
      <c r="H549" s="74"/>
      <c r="I549" s="74"/>
      <c r="J549" s="74"/>
      <c r="K549" s="74"/>
      <c r="Z549" s="122"/>
    </row>
    <row r="550" spans="6:26" customFormat="1" ht="12.75" x14ac:dyDescent="0.2">
      <c r="F550" s="453"/>
      <c r="H550" s="74"/>
      <c r="I550" s="74"/>
      <c r="J550" s="74"/>
      <c r="K550" s="74"/>
      <c r="Z550" s="122"/>
    </row>
    <row r="551" spans="6:26" customFormat="1" ht="12.75" x14ac:dyDescent="0.2">
      <c r="F551" s="453"/>
      <c r="H551" s="74"/>
      <c r="I551" s="74"/>
      <c r="J551" s="74"/>
      <c r="K551" s="74"/>
      <c r="Z551" s="122"/>
    </row>
    <row r="552" spans="6:26" customFormat="1" ht="12.75" x14ac:dyDescent="0.2">
      <c r="F552" s="453"/>
      <c r="H552" s="74"/>
      <c r="I552" s="74"/>
      <c r="J552" s="74"/>
      <c r="K552" s="74"/>
      <c r="Z552" s="122"/>
    </row>
    <row r="553" spans="6:26" customFormat="1" ht="12.75" x14ac:dyDescent="0.2">
      <c r="F553" s="453"/>
      <c r="H553" s="74"/>
      <c r="I553" s="74"/>
      <c r="J553" s="74"/>
      <c r="K553" s="74"/>
      <c r="Z553" s="122"/>
    </row>
    <row r="554" spans="6:26" customFormat="1" ht="12.75" x14ac:dyDescent="0.2">
      <c r="F554" s="453"/>
      <c r="H554" s="74"/>
      <c r="I554" s="74"/>
      <c r="J554" s="74"/>
      <c r="K554" s="74"/>
      <c r="Z554" s="122"/>
    </row>
    <row r="555" spans="6:26" customFormat="1" ht="12.75" x14ac:dyDescent="0.2">
      <c r="F555" s="453"/>
      <c r="H555" s="74"/>
      <c r="I555" s="74"/>
      <c r="J555" s="74"/>
      <c r="K555" s="74"/>
      <c r="Z555" s="122"/>
    </row>
    <row r="556" spans="6:26" customFormat="1" ht="12.75" x14ac:dyDescent="0.2">
      <c r="F556" s="453"/>
      <c r="H556" s="74"/>
      <c r="I556" s="74"/>
      <c r="J556" s="74"/>
      <c r="K556" s="74"/>
      <c r="Z556" s="122"/>
    </row>
    <row r="557" spans="6:26" customFormat="1" ht="12.75" x14ac:dyDescent="0.2">
      <c r="F557" s="453"/>
      <c r="H557" s="74"/>
      <c r="I557" s="74"/>
      <c r="J557" s="74"/>
      <c r="K557" s="74"/>
      <c r="Z557" s="122"/>
    </row>
    <row r="558" spans="6:26" customFormat="1" ht="12.75" x14ac:dyDescent="0.2">
      <c r="F558" s="453"/>
      <c r="H558" s="74"/>
      <c r="I558" s="74"/>
      <c r="J558" s="74"/>
      <c r="K558" s="74"/>
      <c r="Z558" s="122"/>
    </row>
    <row r="559" spans="6:26" customFormat="1" ht="12.75" x14ac:dyDescent="0.2">
      <c r="F559" s="453"/>
      <c r="H559" s="74"/>
      <c r="I559" s="74"/>
      <c r="J559" s="74"/>
      <c r="K559" s="74"/>
      <c r="Z559" s="122"/>
    </row>
    <row r="560" spans="6:26" customFormat="1" ht="12.75" x14ac:dyDescent="0.2">
      <c r="F560" s="453"/>
      <c r="H560" s="74"/>
      <c r="I560" s="74"/>
      <c r="J560" s="74"/>
      <c r="K560" s="74"/>
      <c r="Z560" s="122"/>
    </row>
    <row r="561" spans="6:26" customFormat="1" ht="12.75" x14ac:dyDescent="0.2">
      <c r="F561" s="453"/>
      <c r="H561" s="74"/>
      <c r="I561" s="74"/>
      <c r="J561" s="74"/>
      <c r="K561" s="74"/>
      <c r="Z561" s="122"/>
    </row>
    <row r="562" spans="6:26" customFormat="1" ht="12.75" x14ac:dyDescent="0.2">
      <c r="F562" s="453"/>
      <c r="H562" s="74"/>
      <c r="I562" s="74"/>
      <c r="J562" s="74"/>
      <c r="K562" s="74"/>
      <c r="Z562" s="122"/>
    </row>
    <row r="563" spans="6:26" customFormat="1" ht="12.75" x14ac:dyDescent="0.2">
      <c r="F563" s="453"/>
      <c r="H563" s="74"/>
      <c r="I563" s="74"/>
      <c r="J563" s="74"/>
      <c r="K563" s="74"/>
      <c r="Z563" s="122"/>
    </row>
    <row r="564" spans="6:26" customFormat="1" ht="12.75" x14ac:dyDescent="0.2">
      <c r="F564" s="453"/>
      <c r="H564" s="74"/>
      <c r="I564" s="74"/>
      <c r="J564" s="74"/>
      <c r="K564" s="74"/>
      <c r="Z564" s="122"/>
    </row>
    <row r="565" spans="6:26" customFormat="1" ht="12.75" x14ac:dyDescent="0.2">
      <c r="F565" s="453"/>
      <c r="H565" s="74"/>
      <c r="I565" s="74"/>
      <c r="J565" s="74"/>
      <c r="K565" s="74"/>
      <c r="Z565" s="122"/>
    </row>
    <row r="566" spans="6:26" customFormat="1" ht="12.75" x14ac:dyDescent="0.2">
      <c r="F566" s="453"/>
      <c r="H566" s="74"/>
      <c r="I566" s="74"/>
      <c r="J566" s="74"/>
      <c r="K566" s="74"/>
      <c r="Z566" s="122"/>
    </row>
    <row r="567" spans="6:26" customFormat="1" ht="12.75" x14ac:dyDescent="0.2">
      <c r="F567" s="453"/>
      <c r="H567" s="74"/>
      <c r="I567" s="74"/>
      <c r="J567" s="74"/>
      <c r="K567" s="74"/>
      <c r="Z567" s="122"/>
    </row>
    <row r="568" spans="6:26" customFormat="1" ht="12.75" x14ac:dyDescent="0.2">
      <c r="F568" s="453"/>
      <c r="H568" s="74"/>
      <c r="I568" s="74"/>
      <c r="J568" s="74"/>
      <c r="K568" s="74"/>
      <c r="Z568" s="122"/>
    </row>
    <row r="569" spans="6:26" customFormat="1" ht="12.75" x14ac:dyDescent="0.2">
      <c r="F569" s="453"/>
      <c r="H569" s="74"/>
      <c r="I569" s="74"/>
      <c r="J569" s="74"/>
      <c r="K569" s="74"/>
      <c r="Z569" s="122"/>
    </row>
    <row r="570" spans="6:26" customFormat="1" ht="12.75" x14ac:dyDescent="0.2">
      <c r="F570" s="453"/>
      <c r="H570" s="74"/>
      <c r="I570" s="74"/>
      <c r="J570" s="74"/>
      <c r="K570" s="74"/>
      <c r="Z570" s="122"/>
    </row>
    <row r="571" spans="6:26" customFormat="1" ht="12.75" x14ac:dyDescent="0.2">
      <c r="F571" s="453"/>
      <c r="H571" s="74"/>
      <c r="I571" s="74"/>
      <c r="J571" s="74"/>
      <c r="K571" s="74"/>
      <c r="Z571" s="122"/>
    </row>
    <row r="572" spans="6:26" customFormat="1" ht="12.75" x14ac:dyDescent="0.2">
      <c r="F572" s="453"/>
      <c r="H572" s="74"/>
      <c r="I572" s="74"/>
      <c r="J572" s="74"/>
      <c r="K572" s="74"/>
      <c r="Z572" s="122"/>
    </row>
    <row r="573" spans="6:26" customFormat="1" ht="12.75" x14ac:dyDescent="0.2">
      <c r="F573" s="453"/>
      <c r="H573" s="74"/>
      <c r="I573" s="74"/>
      <c r="J573" s="74"/>
      <c r="K573" s="74"/>
      <c r="Z573" s="122"/>
    </row>
    <row r="574" spans="6:26" customFormat="1" ht="12.75" x14ac:dyDescent="0.2">
      <c r="F574" s="453"/>
      <c r="H574" s="74"/>
      <c r="I574" s="74"/>
      <c r="J574" s="74"/>
      <c r="K574" s="74"/>
      <c r="Z574" s="122"/>
    </row>
    <row r="575" spans="6:26" customFormat="1" ht="12.75" x14ac:dyDescent="0.2">
      <c r="F575" s="453"/>
      <c r="H575" s="74"/>
      <c r="I575" s="74"/>
      <c r="J575" s="74"/>
      <c r="K575" s="74"/>
      <c r="Z575" s="122"/>
    </row>
    <row r="576" spans="6:26" customFormat="1" ht="12.75" x14ac:dyDescent="0.2">
      <c r="F576" s="453"/>
      <c r="H576" s="74"/>
      <c r="I576" s="74"/>
      <c r="J576" s="74"/>
      <c r="K576" s="74"/>
      <c r="Z576" s="122"/>
    </row>
    <row r="577" spans="6:26" customFormat="1" ht="12.75" x14ac:dyDescent="0.2">
      <c r="F577" s="453"/>
      <c r="H577" s="74"/>
      <c r="I577" s="74"/>
      <c r="J577" s="74"/>
      <c r="K577" s="74"/>
      <c r="Z577" s="122"/>
    </row>
    <row r="578" spans="6:26" customFormat="1" ht="12.75" x14ac:dyDescent="0.2">
      <c r="F578" s="453"/>
      <c r="H578" s="74"/>
      <c r="I578" s="74"/>
      <c r="J578" s="74"/>
      <c r="K578" s="74"/>
      <c r="Z578" s="122"/>
    </row>
    <row r="579" spans="6:26" customFormat="1" ht="12.75" x14ac:dyDescent="0.2">
      <c r="F579" s="453"/>
      <c r="H579" s="74"/>
      <c r="I579" s="74"/>
      <c r="J579" s="74"/>
      <c r="K579" s="74"/>
      <c r="Z579" s="122"/>
    </row>
    <row r="580" spans="6:26" customFormat="1" ht="12.75" x14ac:dyDescent="0.2">
      <c r="F580" s="453"/>
      <c r="H580" s="74"/>
      <c r="I580" s="74"/>
      <c r="J580" s="74"/>
      <c r="K580" s="74"/>
      <c r="Z580" s="122"/>
    </row>
    <row r="581" spans="6:26" customFormat="1" ht="12.75" x14ac:dyDescent="0.2">
      <c r="F581" s="453"/>
      <c r="H581" s="74"/>
      <c r="I581" s="74"/>
      <c r="J581" s="74"/>
      <c r="K581" s="74"/>
      <c r="Z581" s="122"/>
    </row>
    <row r="582" spans="6:26" customFormat="1" ht="12.75" x14ac:dyDescent="0.2">
      <c r="F582" s="453"/>
      <c r="H582" s="74"/>
      <c r="I582" s="74"/>
      <c r="J582" s="74"/>
      <c r="K582" s="74"/>
      <c r="Z582" s="122"/>
    </row>
    <row r="583" spans="6:26" customFormat="1" ht="12.75" x14ac:dyDescent="0.2">
      <c r="F583" s="453"/>
      <c r="H583" s="74"/>
      <c r="I583" s="74"/>
      <c r="J583" s="74"/>
      <c r="K583" s="74"/>
      <c r="Z583" s="122"/>
    </row>
    <row r="584" spans="6:26" customFormat="1" ht="12.75" x14ac:dyDescent="0.2">
      <c r="F584" s="453"/>
      <c r="H584" s="74"/>
      <c r="I584" s="74"/>
      <c r="J584" s="74"/>
      <c r="K584" s="74"/>
      <c r="Z584" s="122"/>
    </row>
    <row r="585" spans="6:26" customFormat="1" ht="12.75" x14ac:dyDescent="0.2">
      <c r="F585" s="453"/>
      <c r="H585" s="74"/>
      <c r="I585" s="74"/>
      <c r="J585" s="74"/>
      <c r="K585" s="74"/>
      <c r="Z585" s="122"/>
    </row>
    <row r="586" spans="6:26" customFormat="1" ht="12.75" x14ac:dyDescent="0.2">
      <c r="F586" s="453"/>
      <c r="H586" s="74"/>
      <c r="I586" s="74"/>
      <c r="J586" s="74"/>
      <c r="K586" s="74"/>
      <c r="Z586" s="122"/>
    </row>
    <row r="587" spans="6:26" customFormat="1" ht="12.75" x14ac:dyDescent="0.2">
      <c r="F587" s="453"/>
      <c r="H587" s="74"/>
      <c r="I587" s="74"/>
      <c r="J587" s="74"/>
      <c r="K587" s="74"/>
      <c r="Z587" s="122"/>
    </row>
    <row r="588" spans="6:26" customFormat="1" ht="12.75" x14ac:dyDescent="0.2">
      <c r="F588" s="453"/>
      <c r="H588" s="74"/>
      <c r="I588" s="74"/>
      <c r="J588" s="74"/>
      <c r="K588" s="74"/>
      <c r="Z588" s="122"/>
    </row>
    <row r="589" spans="6:26" customFormat="1" ht="12.75" x14ac:dyDescent="0.2">
      <c r="F589" s="453"/>
      <c r="H589" s="74"/>
      <c r="I589" s="74"/>
      <c r="J589" s="74"/>
      <c r="K589" s="74"/>
      <c r="Z589" s="122"/>
    </row>
    <row r="590" spans="6:26" customFormat="1" ht="12.75" x14ac:dyDescent="0.2">
      <c r="F590" s="453"/>
      <c r="H590" s="74"/>
      <c r="I590" s="74"/>
      <c r="J590" s="74"/>
      <c r="K590" s="74"/>
      <c r="Z590" s="122"/>
    </row>
    <row r="591" spans="6:26" customFormat="1" ht="12.75" x14ac:dyDescent="0.2">
      <c r="F591" s="453"/>
      <c r="H591" s="74"/>
      <c r="I591" s="74"/>
      <c r="J591" s="74"/>
      <c r="K591" s="74"/>
      <c r="Z591" s="122"/>
    </row>
    <row r="592" spans="6:26" customFormat="1" ht="12.75" x14ac:dyDescent="0.2">
      <c r="F592" s="453"/>
      <c r="H592" s="74"/>
      <c r="I592" s="74"/>
      <c r="J592" s="74"/>
      <c r="K592" s="74"/>
      <c r="Z592" s="122"/>
    </row>
    <row r="593" spans="6:26" customFormat="1" ht="12.75" x14ac:dyDescent="0.2">
      <c r="F593" s="453"/>
      <c r="H593" s="74"/>
      <c r="I593" s="74"/>
      <c r="J593" s="74"/>
      <c r="K593" s="74"/>
      <c r="Z593" s="122"/>
    </row>
    <row r="594" spans="6:26" customFormat="1" ht="12.75" x14ac:dyDescent="0.2">
      <c r="F594" s="453"/>
      <c r="H594" s="74"/>
      <c r="I594" s="74"/>
      <c r="J594" s="74"/>
      <c r="K594" s="74"/>
      <c r="Z594" s="122"/>
    </row>
    <row r="595" spans="6:26" customFormat="1" ht="12.75" x14ac:dyDescent="0.2">
      <c r="F595" s="453"/>
      <c r="H595" s="74"/>
      <c r="I595" s="74"/>
      <c r="J595" s="74"/>
      <c r="K595" s="74"/>
      <c r="Z595" s="122"/>
    </row>
    <row r="596" spans="6:26" customFormat="1" ht="12.75" x14ac:dyDescent="0.2">
      <c r="F596" s="453"/>
      <c r="H596" s="74"/>
      <c r="I596" s="74"/>
      <c r="J596" s="74"/>
      <c r="K596" s="74"/>
      <c r="Z596" s="122"/>
    </row>
    <row r="597" spans="6:26" customFormat="1" ht="12.75" x14ac:dyDescent="0.2">
      <c r="F597" s="453"/>
      <c r="H597" s="74"/>
      <c r="I597" s="74"/>
      <c r="J597" s="74"/>
      <c r="K597" s="74"/>
      <c r="Z597" s="122"/>
    </row>
    <row r="598" spans="6:26" customFormat="1" ht="12.75" x14ac:dyDescent="0.2">
      <c r="F598" s="453"/>
      <c r="H598" s="74"/>
      <c r="I598" s="74"/>
      <c r="J598" s="74"/>
      <c r="K598" s="74"/>
      <c r="Z598" s="122"/>
    </row>
    <row r="599" spans="6:26" customFormat="1" ht="12.75" x14ac:dyDescent="0.2">
      <c r="F599" s="453"/>
      <c r="H599" s="74"/>
      <c r="I599" s="74"/>
      <c r="J599" s="74"/>
      <c r="K599" s="74"/>
      <c r="Z599" s="122"/>
    </row>
    <row r="600" spans="6:26" customFormat="1" ht="12.75" x14ac:dyDescent="0.2">
      <c r="F600" s="453"/>
      <c r="H600" s="74"/>
      <c r="I600" s="74"/>
      <c r="J600" s="74"/>
      <c r="K600" s="74"/>
      <c r="Z600" s="122"/>
    </row>
    <row r="601" spans="6:26" customFormat="1" ht="12.75" x14ac:dyDescent="0.2">
      <c r="F601" s="453"/>
      <c r="H601" s="74"/>
      <c r="I601" s="74"/>
      <c r="J601" s="74"/>
      <c r="K601" s="74"/>
      <c r="Z601" s="122"/>
    </row>
    <row r="602" spans="6:26" customFormat="1" ht="12.75" x14ac:dyDescent="0.2">
      <c r="F602" s="453"/>
      <c r="H602" s="74"/>
      <c r="I602" s="74"/>
      <c r="J602" s="74"/>
      <c r="K602" s="74"/>
      <c r="Z602" s="122"/>
    </row>
    <row r="603" spans="6:26" customFormat="1" ht="12.75" x14ac:dyDescent="0.2">
      <c r="F603" s="453"/>
      <c r="H603" s="74"/>
      <c r="I603" s="74"/>
      <c r="J603" s="74"/>
      <c r="K603" s="74"/>
      <c r="Z603" s="122"/>
    </row>
    <row r="604" spans="6:26" customFormat="1" ht="12.75" x14ac:dyDescent="0.2">
      <c r="F604" s="453"/>
      <c r="H604" s="74"/>
      <c r="I604" s="74"/>
      <c r="J604" s="74"/>
      <c r="K604" s="74"/>
      <c r="Z604" s="122"/>
    </row>
    <row r="605" spans="6:26" customFormat="1" ht="12.75" x14ac:dyDescent="0.2">
      <c r="F605" s="453"/>
      <c r="H605" s="74"/>
      <c r="I605" s="74"/>
      <c r="J605" s="74"/>
      <c r="K605" s="74"/>
      <c r="Z605" s="122"/>
    </row>
    <row r="606" spans="6:26" customFormat="1" ht="12.75" x14ac:dyDescent="0.2">
      <c r="F606" s="453"/>
      <c r="H606" s="74"/>
      <c r="I606" s="74"/>
      <c r="J606" s="74"/>
      <c r="K606" s="74"/>
      <c r="Z606" s="122"/>
    </row>
    <row r="607" spans="6:26" customFormat="1" ht="12.75" x14ac:dyDescent="0.2">
      <c r="F607" s="453"/>
      <c r="H607" s="74"/>
      <c r="I607" s="74"/>
      <c r="J607" s="74"/>
      <c r="K607" s="74"/>
      <c r="Z607" s="122"/>
    </row>
    <row r="608" spans="6:26" customFormat="1" ht="12.75" x14ac:dyDescent="0.2">
      <c r="F608" s="453"/>
      <c r="H608" s="74"/>
      <c r="I608" s="74"/>
      <c r="J608" s="74"/>
      <c r="K608" s="74"/>
      <c r="Z608" s="122"/>
    </row>
    <row r="609" spans="6:26" customFormat="1" ht="12.75" x14ac:dyDescent="0.2">
      <c r="F609" s="453"/>
      <c r="H609" s="74"/>
      <c r="I609" s="74"/>
      <c r="J609" s="74"/>
      <c r="K609" s="74"/>
      <c r="Z609" s="122"/>
    </row>
    <row r="610" spans="6:26" customFormat="1" ht="12.75" x14ac:dyDescent="0.2">
      <c r="F610" s="453"/>
      <c r="H610" s="74"/>
      <c r="I610" s="74"/>
      <c r="J610" s="74"/>
      <c r="K610" s="74"/>
      <c r="Z610" s="122"/>
    </row>
    <row r="611" spans="6:26" customFormat="1" ht="12.75" x14ac:dyDescent="0.2">
      <c r="F611" s="453"/>
      <c r="H611" s="74"/>
      <c r="I611" s="74"/>
      <c r="J611" s="74"/>
      <c r="K611" s="74"/>
      <c r="Z611" s="122"/>
    </row>
    <row r="612" spans="6:26" customFormat="1" ht="12.75" x14ac:dyDescent="0.2">
      <c r="F612" s="453"/>
      <c r="H612" s="74"/>
      <c r="I612" s="74"/>
      <c r="J612" s="74"/>
      <c r="K612" s="74"/>
      <c r="Z612" s="122"/>
    </row>
    <row r="613" spans="6:26" customFormat="1" ht="12.75" x14ac:dyDescent="0.2">
      <c r="F613" s="453"/>
      <c r="H613" s="74"/>
      <c r="I613" s="74"/>
      <c r="J613" s="74"/>
      <c r="K613" s="74"/>
      <c r="Z613" s="122"/>
    </row>
    <row r="614" spans="6:26" customFormat="1" ht="12.75" x14ac:dyDescent="0.2">
      <c r="F614" s="453"/>
      <c r="H614" s="74"/>
      <c r="I614" s="74"/>
      <c r="J614" s="74"/>
      <c r="K614" s="74"/>
      <c r="Z614" s="122"/>
    </row>
    <row r="615" spans="6:26" customFormat="1" ht="12.75" x14ac:dyDescent="0.2">
      <c r="F615" s="453"/>
      <c r="H615" s="74"/>
      <c r="I615" s="74"/>
      <c r="J615" s="74"/>
      <c r="K615" s="74"/>
      <c r="Z615" s="122"/>
    </row>
    <row r="616" spans="6:26" customFormat="1" ht="12.75" x14ac:dyDescent="0.2">
      <c r="F616" s="453"/>
      <c r="H616" s="74"/>
      <c r="I616" s="74"/>
      <c r="J616" s="74"/>
      <c r="K616" s="74"/>
      <c r="Z616" s="122"/>
    </row>
    <row r="617" spans="6:26" customFormat="1" ht="12.75" x14ac:dyDescent="0.2">
      <c r="F617" s="453"/>
      <c r="H617" s="74"/>
      <c r="I617" s="74"/>
      <c r="J617" s="74"/>
      <c r="K617" s="74"/>
      <c r="Z617" s="122"/>
    </row>
    <row r="618" spans="6:26" customFormat="1" ht="12.75" x14ac:dyDescent="0.2">
      <c r="F618" s="453"/>
      <c r="H618" s="74"/>
      <c r="I618" s="74"/>
      <c r="J618" s="74"/>
      <c r="K618" s="74"/>
      <c r="Z618" s="122"/>
    </row>
    <row r="619" spans="6:26" customFormat="1" ht="12.75" x14ac:dyDescent="0.2">
      <c r="F619" s="453"/>
      <c r="H619" s="74"/>
      <c r="I619" s="74"/>
      <c r="J619" s="74"/>
      <c r="K619" s="74"/>
      <c r="Z619" s="122"/>
    </row>
    <row r="620" spans="6:26" customFormat="1" ht="12.75" x14ac:dyDescent="0.2">
      <c r="F620" s="453"/>
      <c r="H620" s="74"/>
      <c r="I620" s="74"/>
      <c r="J620" s="74"/>
      <c r="K620" s="74"/>
      <c r="Z620" s="122"/>
    </row>
    <row r="621" spans="6:26" customFormat="1" ht="12.75" x14ac:dyDescent="0.2">
      <c r="F621" s="453"/>
      <c r="H621" s="74"/>
      <c r="I621" s="74"/>
      <c r="J621" s="74"/>
      <c r="K621" s="74"/>
      <c r="Z621" s="122"/>
    </row>
    <row r="622" spans="6:26" customFormat="1" ht="12.75" x14ac:dyDescent="0.2">
      <c r="F622" s="453"/>
      <c r="H622" s="74"/>
      <c r="I622" s="74"/>
      <c r="J622" s="74"/>
      <c r="K622" s="74"/>
      <c r="Z622" s="122"/>
    </row>
    <row r="623" spans="6:26" customFormat="1" ht="12.75" x14ac:dyDescent="0.2">
      <c r="F623" s="453"/>
      <c r="H623" s="74"/>
      <c r="I623" s="74"/>
      <c r="J623" s="74"/>
      <c r="K623" s="74"/>
      <c r="Z623" s="122"/>
    </row>
    <row r="624" spans="6:26" customFormat="1" ht="12.75" x14ac:dyDescent="0.2">
      <c r="F624" s="453"/>
      <c r="H624" s="74"/>
      <c r="I624" s="74"/>
      <c r="J624" s="74"/>
      <c r="K624" s="74"/>
      <c r="Z624" s="122"/>
    </row>
    <row r="625" spans="6:26" customFormat="1" ht="12.75" x14ac:dyDescent="0.2">
      <c r="F625" s="453"/>
      <c r="H625" s="74"/>
      <c r="I625" s="74"/>
      <c r="J625" s="74"/>
      <c r="K625" s="74"/>
      <c r="Z625" s="122"/>
    </row>
    <row r="626" spans="6:26" customFormat="1" ht="12.75" x14ac:dyDescent="0.2">
      <c r="F626" s="453"/>
      <c r="H626" s="74"/>
      <c r="I626" s="74"/>
      <c r="J626" s="74"/>
      <c r="K626" s="74"/>
      <c r="Z626" s="122"/>
    </row>
    <row r="627" spans="6:26" customFormat="1" ht="12.75" x14ac:dyDescent="0.2">
      <c r="F627" s="453"/>
      <c r="H627" s="74"/>
      <c r="I627" s="74"/>
      <c r="J627" s="74"/>
      <c r="K627" s="74"/>
      <c r="Z627" s="122"/>
    </row>
    <row r="628" spans="6:26" customFormat="1" ht="12.75" x14ac:dyDescent="0.2">
      <c r="F628" s="453"/>
      <c r="H628" s="74"/>
      <c r="I628" s="74"/>
      <c r="J628" s="74"/>
      <c r="K628" s="74"/>
      <c r="Z628" s="122"/>
    </row>
    <row r="629" spans="6:26" customFormat="1" ht="12.75" x14ac:dyDescent="0.2">
      <c r="F629" s="453"/>
      <c r="H629" s="74"/>
      <c r="I629" s="74"/>
      <c r="J629" s="74"/>
      <c r="K629" s="74"/>
      <c r="Z629" s="122"/>
    </row>
    <row r="630" spans="6:26" customFormat="1" ht="12.75" x14ac:dyDescent="0.2">
      <c r="F630" s="453"/>
      <c r="H630" s="74"/>
      <c r="I630" s="74"/>
      <c r="J630" s="74"/>
      <c r="K630" s="74"/>
      <c r="Z630" s="122"/>
    </row>
    <row r="631" spans="6:26" customFormat="1" ht="12.75" x14ac:dyDescent="0.2">
      <c r="F631" s="453"/>
      <c r="H631" s="74"/>
      <c r="I631" s="74"/>
      <c r="J631" s="74"/>
      <c r="K631" s="74"/>
      <c r="Z631" s="122"/>
    </row>
    <row r="632" spans="6:26" customFormat="1" ht="12.75" x14ac:dyDescent="0.2">
      <c r="F632" s="453"/>
      <c r="H632" s="74"/>
      <c r="I632" s="74"/>
      <c r="J632" s="74"/>
      <c r="K632" s="74"/>
      <c r="Z632" s="122"/>
    </row>
    <row r="633" spans="6:26" customFormat="1" ht="12.75" x14ac:dyDescent="0.2">
      <c r="F633" s="453"/>
      <c r="H633" s="74"/>
      <c r="I633" s="74"/>
      <c r="J633" s="74"/>
      <c r="K633" s="74"/>
      <c r="Z633" s="122"/>
    </row>
    <row r="634" spans="6:26" customFormat="1" ht="12.75" x14ac:dyDescent="0.2">
      <c r="F634" s="453"/>
      <c r="H634" s="74"/>
      <c r="I634" s="74"/>
      <c r="J634" s="74"/>
      <c r="K634" s="74"/>
      <c r="Z634" s="122"/>
    </row>
    <row r="635" spans="6:26" customFormat="1" ht="12.75" x14ac:dyDescent="0.2">
      <c r="F635" s="453"/>
      <c r="H635" s="74"/>
      <c r="I635" s="74"/>
      <c r="J635" s="74"/>
      <c r="K635" s="74"/>
      <c r="Z635" s="122"/>
    </row>
    <row r="636" spans="6:26" customFormat="1" ht="12.75" x14ac:dyDescent="0.2">
      <c r="F636" s="453"/>
      <c r="H636" s="74"/>
      <c r="I636" s="74"/>
      <c r="J636" s="74"/>
      <c r="K636" s="74"/>
      <c r="Z636" s="122"/>
    </row>
    <row r="637" spans="6:26" customFormat="1" ht="12.75" x14ac:dyDescent="0.2">
      <c r="F637" s="453"/>
      <c r="H637" s="74"/>
      <c r="I637" s="74"/>
      <c r="J637" s="74"/>
      <c r="K637" s="74"/>
      <c r="Z637" s="122"/>
    </row>
    <row r="638" spans="6:26" customFormat="1" ht="12.75" x14ac:dyDescent="0.2">
      <c r="F638" s="453"/>
      <c r="H638" s="74"/>
      <c r="I638" s="74"/>
      <c r="J638" s="74"/>
      <c r="K638" s="74"/>
      <c r="Z638" s="122"/>
    </row>
    <row r="639" spans="6:26" customFormat="1" ht="12.75" x14ac:dyDescent="0.2">
      <c r="F639" s="453"/>
      <c r="H639" s="74"/>
      <c r="I639" s="74"/>
      <c r="J639" s="74"/>
      <c r="K639" s="74"/>
      <c r="Z639" s="122"/>
    </row>
    <row r="640" spans="6:26" customFormat="1" ht="12.75" x14ac:dyDescent="0.2">
      <c r="F640" s="453"/>
      <c r="H640" s="74"/>
      <c r="I640" s="74"/>
      <c r="J640" s="74"/>
      <c r="K640" s="74"/>
      <c r="Z640" s="122"/>
    </row>
    <row r="641" spans="6:26" customFormat="1" ht="12.75" x14ac:dyDescent="0.2">
      <c r="F641" s="453"/>
      <c r="H641" s="74"/>
      <c r="I641" s="74"/>
      <c r="J641" s="74"/>
      <c r="K641" s="74"/>
      <c r="Z641" s="122"/>
    </row>
    <row r="642" spans="6:26" customFormat="1" ht="12.75" x14ac:dyDescent="0.2">
      <c r="F642" s="453"/>
      <c r="H642" s="74"/>
      <c r="I642" s="74"/>
      <c r="J642" s="74"/>
      <c r="K642" s="74"/>
      <c r="Z642" s="122"/>
    </row>
    <row r="643" spans="6:26" customFormat="1" ht="12.75" x14ac:dyDescent="0.2">
      <c r="F643" s="453"/>
      <c r="H643" s="74"/>
      <c r="I643" s="74"/>
      <c r="J643" s="74"/>
      <c r="K643" s="74"/>
      <c r="Z643" s="122"/>
    </row>
    <row r="644" spans="6:26" customFormat="1" ht="12.75" x14ac:dyDescent="0.2">
      <c r="F644" s="453"/>
      <c r="H644" s="74"/>
      <c r="I644" s="74"/>
      <c r="J644" s="74"/>
      <c r="K644" s="74"/>
      <c r="Z644" s="122"/>
    </row>
    <row r="645" spans="6:26" customFormat="1" ht="12.75" x14ac:dyDescent="0.2">
      <c r="F645" s="453"/>
      <c r="H645" s="74"/>
      <c r="I645" s="74"/>
      <c r="J645" s="74"/>
      <c r="K645" s="74"/>
      <c r="Z645" s="122"/>
    </row>
    <row r="646" spans="6:26" customFormat="1" ht="12.75" x14ac:dyDescent="0.2">
      <c r="F646" s="453"/>
      <c r="H646" s="74"/>
      <c r="I646" s="74"/>
      <c r="J646" s="74"/>
      <c r="K646" s="74"/>
      <c r="Z646" s="122"/>
    </row>
    <row r="647" spans="6:26" customFormat="1" ht="12.75" x14ac:dyDescent="0.2">
      <c r="F647" s="453"/>
      <c r="H647" s="74"/>
      <c r="I647" s="74"/>
      <c r="J647" s="74"/>
      <c r="K647" s="74"/>
      <c r="Z647" s="122"/>
    </row>
    <row r="648" spans="6:26" customFormat="1" ht="12.75" x14ac:dyDescent="0.2">
      <c r="F648" s="453"/>
      <c r="H648" s="74"/>
      <c r="I648" s="74"/>
      <c r="J648" s="74"/>
      <c r="K648" s="74"/>
      <c r="Z648" s="122"/>
    </row>
    <row r="649" spans="6:26" customFormat="1" ht="12.75" x14ac:dyDescent="0.2">
      <c r="F649" s="453"/>
      <c r="H649" s="74"/>
      <c r="I649" s="74"/>
      <c r="J649" s="74"/>
      <c r="K649" s="74"/>
      <c r="Z649" s="122"/>
    </row>
    <row r="650" spans="6:26" customFormat="1" ht="12.75" x14ac:dyDescent="0.2">
      <c r="F650" s="453"/>
      <c r="H650" s="74"/>
      <c r="I650" s="74"/>
      <c r="J650" s="74"/>
      <c r="K650" s="74"/>
      <c r="Z650" s="122"/>
    </row>
    <row r="651" spans="6:26" customFormat="1" ht="12.75" x14ac:dyDescent="0.2">
      <c r="F651" s="453"/>
      <c r="H651" s="74"/>
      <c r="I651" s="74"/>
      <c r="J651" s="74"/>
      <c r="K651" s="74"/>
      <c r="Z651" s="122"/>
    </row>
    <row r="652" spans="6:26" customFormat="1" ht="12.75" x14ac:dyDescent="0.2">
      <c r="F652" s="453"/>
      <c r="H652" s="74"/>
      <c r="I652" s="74"/>
      <c r="J652" s="74"/>
      <c r="K652" s="74"/>
      <c r="Z652" s="122"/>
    </row>
    <row r="653" spans="6:26" customFormat="1" ht="12.75" x14ac:dyDescent="0.2">
      <c r="F653" s="453"/>
      <c r="H653" s="74"/>
      <c r="I653" s="74"/>
      <c r="J653" s="74"/>
      <c r="K653" s="74"/>
      <c r="Z653" s="122"/>
    </row>
    <row r="654" spans="6:26" customFormat="1" ht="12.75" x14ac:dyDescent="0.2">
      <c r="F654" s="453"/>
      <c r="H654" s="74"/>
      <c r="I654" s="74"/>
      <c r="J654" s="74"/>
      <c r="K654" s="74"/>
      <c r="Z654" s="122"/>
    </row>
    <row r="655" spans="6:26" customFormat="1" ht="12.75" x14ac:dyDescent="0.2">
      <c r="F655" s="453"/>
      <c r="H655" s="74"/>
      <c r="I655" s="74"/>
      <c r="J655" s="74"/>
      <c r="K655" s="74"/>
      <c r="Z655" s="122"/>
    </row>
    <row r="656" spans="6:26" customFormat="1" ht="12.75" x14ac:dyDescent="0.2">
      <c r="F656" s="453"/>
      <c r="H656" s="74"/>
      <c r="I656" s="74"/>
      <c r="J656" s="74"/>
      <c r="K656" s="74"/>
      <c r="Z656" s="122"/>
    </row>
    <row r="657" spans="6:26" customFormat="1" ht="12.75" x14ac:dyDescent="0.2">
      <c r="F657" s="453"/>
      <c r="H657" s="74"/>
      <c r="I657" s="74"/>
      <c r="J657" s="74"/>
      <c r="K657" s="74"/>
      <c r="Z657" s="122"/>
    </row>
    <row r="658" spans="6:26" customFormat="1" ht="12.75" x14ac:dyDescent="0.2">
      <c r="F658" s="453"/>
      <c r="H658" s="74"/>
      <c r="I658" s="74"/>
      <c r="J658" s="74"/>
      <c r="K658" s="74"/>
      <c r="Z658" s="122"/>
    </row>
    <row r="659" spans="6:26" customFormat="1" ht="12.75" x14ac:dyDescent="0.2">
      <c r="F659" s="453"/>
      <c r="H659" s="74"/>
      <c r="I659" s="74"/>
      <c r="J659" s="74"/>
      <c r="K659" s="74"/>
      <c r="Z659" s="122"/>
    </row>
    <row r="660" spans="6:26" customFormat="1" ht="12.75" x14ac:dyDescent="0.2">
      <c r="F660" s="453"/>
      <c r="H660" s="74"/>
      <c r="I660" s="74"/>
      <c r="J660" s="74"/>
      <c r="K660" s="74"/>
      <c r="Z660" s="122"/>
    </row>
    <row r="661" spans="6:26" customFormat="1" ht="12.75" x14ac:dyDescent="0.2">
      <c r="F661" s="453"/>
      <c r="H661" s="74"/>
      <c r="I661" s="74"/>
      <c r="J661" s="74"/>
      <c r="K661" s="74"/>
      <c r="Z661" s="122"/>
    </row>
    <row r="662" spans="6:26" customFormat="1" ht="12.75" x14ac:dyDescent="0.2">
      <c r="F662" s="453"/>
      <c r="H662" s="74"/>
      <c r="I662" s="74"/>
      <c r="J662" s="74"/>
      <c r="K662" s="74"/>
      <c r="Z662" s="122"/>
    </row>
    <row r="663" spans="6:26" customFormat="1" ht="12.75" x14ac:dyDescent="0.2">
      <c r="F663" s="453"/>
      <c r="H663" s="74"/>
      <c r="I663" s="74"/>
      <c r="J663" s="74"/>
      <c r="K663" s="74"/>
      <c r="Z663" s="122"/>
    </row>
    <row r="664" spans="6:26" customFormat="1" ht="12.75" x14ac:dyDescent="0.2">
      <c r="F664" s="453"/>
      <c r="H664" s="74"/>
      <c r="I664" s="74"/>
      <c r="J664" s="74"/>
      <c r="K664" s="74"/>
      <c r="Z664" s="122"/>
    </row>
    <row r="665" spans="6:26" customFormat="1" ht="12.75" x14ac:dyDescent="0.2">
      <c r="F665" s="453"/>
      <c r="H665" s="74"/>
      <c r="I665" s="74"/>
      <c r="J665" s="74"/>
      <c r="K665" s="74"/>
      <c r="Z665" s="122"/>
    </row>
    <row r="666" spans="6:26" customFormat="1" ht="12.75" x14ac:dyDescent="0.2">
      <c r="F666" s="453"/>
      <c r="H666" s="74"/>
      <c r="I666" s="74"/>
      <c r="J666" s="74"/>
      <c r="K666" s="74"/>
      <c r="Z666" s="122"/>
    </row>
    <row r="667" spans="6:26" customFormat="1" ht="12.75" x14ac:dyDescent="0.2">
      <c r="F667" s="453"/>
      <c r="H667" s="74"/>
      <c r="I667" s="74"/>
      <c r="J667" s="74"/>
      <c r="K667" s="74"/>
      <c r="Z667" s="122"/>
    </row>
    <row r="668" spans="6:26" customFormat="1" ht="12.75" x14ac:dyDescent="0.2">
      <c r="F668" s="453"/>
      <c r="H668" s="74"/>
      <c r="I668" s="74"/>
      <c r="J668" s="74"/>
      <c r="K668" s="74"/>
      <c r="Z668" s="122"/>
    </row>
    <row r="669" spans="6:26" customFormat="1" ht="12.75" x14ac:dyDescent="0.2">
      <c r="F669" s="453"/>
      <c r="H669" s="74"/>
      <c r="I669" s="74"/>
      <c r="J669" s="74"/>
      <c r="K669" s="74"/>
      <c r="Z669" s="122"/>
    </row>
    <row r="670" spans="6:26" customFormat="1" ht="12.75" x14ac:dyDescent="0.2">
      <c r="F670" s="453"/>
      <c r="H670" s="74"/>
      <c r="I670" s="74"/>
      <c r="J670" s="74"/>
      <c r="K670" s="74"/>
      <c r="Z670" s="122"/>
    </row>
    <row r="671" spans="6:26" customFormat="1" ht="12.75" x14ac:dyDescent="0.2">
      <c r="F671" s="453"/>
      <c r="H671" s="74"/>
      <c r="I671" s="74"/>
      <c r="J671" s="74"/>
      <c r="K671" s="74"/>
      <c r="Z671" s="122"/>
    </row>
    <row r="672" spans="6:26" customFormat="1" ht="12.75" x14ac:dyDescent="0.2">
      <c r="F672" s="453"/>
      <c r="H672" s="74"/>
      <c r="I672" s="74"/>
      <c r="J672" s="74"/>
      <c r="K672" s="74"/>
      <c r="Z672" s="122"/>
    </row>
    <row r="673" spans="6:26" customFormat="1" ht="12.75" x14ac:dyDescent="0.2">
      <c r="F673" s="453"/>
      <c r="H673" s="74"/>
      <c r="I673" s="74"/>
      <c r="J673" s="74"/>
      <c r="K673" s="74"/>
      <c r="Z673" s="122"/>
    </row>
    <row r="674" spans="6:26" customFormat="1" ht="12.75" x14ac:dyDescent="0.2">
      <c r="F674" s="453"/>
      <c r="H674" s="74"/>
      <c r="I674" s="74"/>
      <c r="J674" s="74"/>
      <c r="K674" s="74"/>
      <c r="Z674" s="122"/>
    </row>
    <row r="675" spans="6:26" customFormat="1" ht="12.75" x14ac:dyDescent="0.2">
      <c r="F675" s="453"/>
      <c r="H675" s="74"/>
      <c r="I675" s="74"/>
      <c r="J675" s="74"/>
      <c r="K675" s="74"/>
      <c r="Z675" s="122"/>
    </row>
    <row r="676" spans="6:26" customFormat="1" ht="12.75" x14ac:dyDescent="0.2">
      <c r="F676" s="453"/>
      <c r="H676" s="74"/>
      <c r="I676" s="74"/>
      <c r="J676" s="74"/>
      <c r="K676" s="74"/>
      <c r="Z676" s="122"/>
    </row>
    <row r="677" spans="6:26" customFormat="1" ht="12.75" x14ac:dyDescent="0.2">
      <c r="F677" s="453"/>
      <c r="H677" s="74"/>
      <c r="I677" s="74"/>
      <c r="J677" s="74"/>
      <c r="K677" s="74"/>
      <c r="Z677" s="122"/>
    </row>
    <row r="678" spans="6:26" customFormat="1" ht="12.75" x14ac:dyDescent="0.2">
      <c r="F678" s="453"/>
      <c r="H678" s="74"/>
      <c r="I678" s="74"/>
      <c r="J678" s="74"/>
      <c r="K678" s="74"/>
      <c r="Z678" s="122"/>
    </row>
    <row r="679" spans="6:26" customFormat="1" ht="12.75" x14ac:dyDescent="0.2">
      <c r="F679" s="453"/>
      <c r="H679" s="74"/>
      <c r="I679" s="74"/>
      <c r="J679" s="74"/>
      <c r="K679" s="74"/>
      <c r="Z679" s="122"/>
    </row>
    <row r="680" spans="6:26" customFormat="1" ht="12.75" x14ac:dyDescent="0.2">
      <c r="F680" s="453"/>
      <c r="H680" s="74"/>
      <c r="I680" s="74"/>
      <c r="J680" s="74"/>
      <c r="K680" s="74"/>
      <c r="Z680" s="122"/>
    </row>
    <row r="681" spans="6:26" customFormat="1" ht="12.75" x14ac:dyDescent="0.2">
      <c r="F681" s="453"/>
      <c r="H681" s="74"/>
      <c r="I681" s="74"/>
      <c r="J681" s="74"/>
      <c r="K681" s="74"/>
      <c r="Z681" s="122"/>
    </row>
    <row r="682" spans="6:26" customFormat="1" ht="12.75" x14ac:dyDescent="0.2">
      <c r="F682" s="453"/>
      <c r="H682" s="74"/>
      <c r="I682" s="74"/>
      <c r="J682" s="74"/>
      <c r="K682" s="74"/>
      <c r="Z682" s="122"/>
    </row>
    <row r="683" spans="6:26" customFormat="1" ht="12.75" x14ac:dyDescent="0.2">
      <c r="F683" s="453"/>
      <c r="H683" s="74"/>
      <c r="I683" s="74"/>
      <c r="J683" s="74"/>
      <c r="K683" s="74"/>
      <c r="Z683" s="122"/>
    </row>
    <row r="684" spans="6:26" customFormat="1" ht="12.75" x14ac:dyDescent="0.2">
      <c r="F684" s="453"/>
      <c r="H684" s="74"/>
      <c r="I684" s="74"/>
      <c r="J684" s="74"/>
      <c r="K684" s="74"/>
      <c r="Z684" s="122"/>
    </row>
    <row r="685" spans="6:26" customFormat="1" ht="12.75" x14ac:dyDescent="0.2">
      <c r="F685" s="453"/>
      <c r="H685" s="74"/>
      <c r="I685" s="74"/>
      <c r="J685" s="74"/>
      <c r="K685" s="74"/>
      <c r="Z685" s="122"/>
    </row>
    <row r="686" spans="6:26" customFormat="1" ht="12.75" x14ac:dyDescent="0.2">
      <c r="F686" s="453"/>
      <c r="H686" s="74"/>
      <c r="I686" s="74"/>
      <c r="J686" s="74"/>
      <c r="K686" s="74"/>
      <c r="Z686" s="122"/>
    </row>
    <row r="687" spans="6:26" customFormat="1" ht="12.75" x14ac:dyDescent="0.2">
      <c r="F687" s="453"/>
      <c r="H687" s="74"/>
      <c r="I687" s="74"/>
      <c r="J687" s="74"/>
      <c r="K687" s="74"/>
      <c r="Z687" s="122"/>
    </row>
    <row r="688" spans="6:26" customFormat="1" ht="12.75" x14ac:dyDescent="0.2">
      <c r="F688" s="453"/>
      <c r="H688" s="74"/>
      <c r="I688" s="74"/>
      <c r="J688" s="74"/>
      <c r="K688" s="74"/>
      <c r="Z688" s="122"/>
    </row>
    <row r="689" spans="6:26" customFormat="1" ht="12.75" x14ac:dyDescent="0.2">
      <c r="F689" s="453"/>
      <c r="H689" s="74"/>
      <c r="I689" s="74"/>
      <c r="J689" s="74"/>
      <c r="K689" s="74"/>
      <c r="Z689" s="122"/>
    </row>
    <row r="690" spans="6:26" customFormat="1" ht="12.75" x14ac:dyDescent="0.2">
      <c r="F690" s="453"/>
      <c r="H690" s="74"/>
      <c r="I690" s="74"/>
      <c r="J690" s="74"/>
      <c r="K690" s="74"/>
      <c r="Z690" s="122"/>
    </row>
    <row r="691" spans="6:26" customFormat="1" ht="12.75" x14ac:dyDescent="0.2">
      <c r="F691" s="453"/>
      <c r="H691" s="74"/>
      <c r="I691" s="74"/>
      <c r="J691" s="74"/>
      <c r="K691" s="74"/>
      <c r="Z691" s="122"/>
    </row>
    <row r="692" spans="6:26" customFormat="1" ht="12.75" x14ac:dyDescent="0.2">
      <c r="F692" s="453"/>
      <c r="H692" s="74"/>
      <c r="I692" s="74"/>
      <c r="J692" s="74"/>
      <c r="K692" s="74"/>
      <c r="Z692" s="122"/>
    </row>
    <row r="693" spans="6:26" customFormat="1" ht="12.75" x14ac:dyDescent="0.2">
      <c r="F693" s="453"/>
      <c r="H693" s="74"/>
      <c r="I693" s="74"/>
      <c r="J693" s="74"/>
      <c r="K693" s="74"/>
      <c r="Z693" s="122"/>
    </row>
    <row r="694" spans="6:26" customFormat="1" ht="12.75" x14ac:dyDescent="0.2">
      <c r="F694" s="453"/>
      <c r="H694" s="74"/>
      <c r="I694" s="74"/>
      <c r="J694" s="74"/>
      <c r="K694" s="74"/>
      <c r="Z694" s="122"/>
    </row>
    <row r="695" spans="6:26" customFormat="1" ht="12.75" x14ac:dyDescent="0.2">
      <c r="F695" s="453"/>
      <c r="H695" s="74"/>
      <c r="I695" s="74"/>
      <c r="J695" s="74"/>
      <c r="K695" s="74"/>
      <c r="Z695" s="122"/>
    </row>
    <row r="696" spans="6:26" customFormat="1" ht="12.75" x14ac:dyDescent="0.2">
      <c r="F696" s="453"/>
      <c r="H696" s="74"/>
      <c r="I696" s="74"/>
      <c r="J696" s="74"/>
      <c r="K696" s="74"/>
      <c r="Z696" s="122"/>
    </row>
    <row r="697" spans="6:26" customFormat="1" ht="12.75" x14ac:dyDescent="0.2">
      <c r="F697" s="453"/>
      <c r="H697" s="74"/>
      <c r="I697" s="74"/>
      <c r="J697" s="74"/>
      <c r="K697" s="74"/>
      <c r="Z697" s="122"/>
    </row>
    <row r="698" spans="6:26" customFormat="1" ht="12.75" x14ac:dyDescent="0.2">
      <c r="F698" s="453"/>
      <c r="H698" s="74"/>
      <c r="I698" s="74"/>
      <c r="J698" s="74"/>
      <c r="K698" s="74"/>
      <c r="Z698" s="122"/>
    </row>
    <row r="699" spans="6:26" customFormat="1" ht="12.75" x14ac:dyDescent="0.2">
      <c r="F699" s="453"/>
      <c r="H699" s="74"/>
      <c r="I699" s="74"/>
      <c r="J699" s="74"/>
      <c r="K699" s="74"/>
      <c r="Z699" s="122"/>
    </row>
    <row r="700" spans="6:26" customFormat="1" ht="12.75" x14ac:dyDescent="0.2">
      <c r="F700" s="453"/>
      <c r="H700" s="74"/>
      <c r="I700" s="74"/>
      <c r="J700" s="74"/>
      <c r="K700" s="74"/>
      <c r="Z700" s="122"/>
    </row>
    <row r="701" spans="6:26" customFormat="1" ht="12.75" x14ac:dyDescent="0.2">
      <c r="F701" s="453"/>
      <c r="H701" s="74"/>
      <c r="I701" s="74"/>
      <c r="J701" s="74"/>
      <c r="K701" s="74"/>
      <c r="Z701" s="122"/>
    </row>
    <row r="702" spans="6:26" customFormat="1" ht="12.75" x14ac:dyDescent="0.2">
      <c r="F702" s="453"/>
      <c r="H702" s="74"/>
      <c r="I702" s="74"/>
      <c r="J702" s="74"/>
      <c r="K702" s="74"/>
      <c r="Z702" s="122"/>
    </row>
    <row r="703" spans="6:26" customFormat="1" ht="12.75" x14ac:dyDescent="0.2">
      <c r="F703" s="453"/>
      <c r="H703" s="74"/>
      <c r="I703" s="74"/>
      <c r="J703" s="74"/>
      <c r="K703" s="74"/>
      <c r="Z703" s="122"/>
    </row>
    <row r="704" spans="6:26" customFormat="1" ht="12.75" x14ac:dyDescent="0.2">
      <c r="F704" s="453"/>
      <c r="H704" s="74"/>
      <c r="I704" s="74"/>
      <c r="J704" s="74"/>
      <c r="K704" s="74"/>
      <c r="Z704" s="122"/>
    </row>
    <row r="705" spans="6:26" customFormat="1" ht="12.75" x14ac:dyDescent="0.2">
      <c r="F705" s="453"/>
      <c r="H705" s="74"/>
      <c r="I705" s="74"/>
      <c r="J705" s="74"/>
      <c r="K705" s="74"/>
      <c r="Z705" s="122"/>
    </row>
    <row r="706" spans="6:26" customFormat="1" ht="12.75" x14ac:dyDescent="0.2">
      <c r="F706" s="453"/>
      <c r="H706" s="74"/>
      <c r="I706" s="74"/>
      <c r="J706" s="74"/>
      <c r="K706" s="74"/>
      <c r="Z706" s="122"/>
    </row>
    <row r="707" spans="6:26" customFormat="1" ht="12.75" x14ac:dyDescent="0.2">
      <c r="F707" s="453"/>
      <c r="H707" s="74"/>
      <c r="I707" s="74"/>
      <c r="J707" s="74"/>
      <c r="K707" s="74"/>
      <c r="Z707" s="122"/>
    </row>
    <row r="708" spans="6:26" customFormat="1" ht="12.75" x14ac:dyDescent="0.2">
      <c r="F708" s="453"/>
      <c r="H708" s="74"/>
      <c r="I708" s="74"/>
      <c r="J708" s="74"/>
      <c r="K708" s="74"/>
      <c r="Z708" s="122"/>
    </row>
    <row r="709" spans="6:26" customFormat="1" ht="12.75" x14ac:dyDescent="0.2">
      <c r="F709" s="453"/>
      <c r="H709" s="74"/>
      <c r="I709" s="74"/>
      <c r="J709" s="74"/>
      <c r="K709" s="74"/>
      <c r="Z709" s="122"/>
    </row>
    <row r="710" spans="6:26" customFormat="1" ht="12.75" x14ac:dyDescent="0.2">
      <c r="F710" s="453"/>
      <c r="H710" s="74"/>
      <c r="I710" s="74"/>
      <c r="J710" s="74"/>
      <c r="K710" s="74"/>
      <c r="Z710" s="122"/>
    </row>
    <row r="711" spans="6:26" customFormat="1" ht="12.75" x14ac:dyDescent="0.2">
      <c r="F711" s="453"/>
      <c r="H711" s="74"/>
      <c r="I711" s="74"/>
      <c r="J711" s="74"/>
      <c r="K711" s="74"/>
      <c r="Z711" s="122"/>
    </row>
    <row r="712" spans="6:26" customFormat="1" ht="12.75" x14ac:dyDescent="0.2">
      <c r="F712" s="453"/>
      <c r="H712" s="74"/>
      <c r="I712" s="74"/>
      <c r="J712" s="74"/>
      <c r="K712" s="74"/>
      <c r="Z712" s="122"/>
    </row>
    <row r="713" spans="6:26" customFormat="1" ht="12.75" x14ac:dyDescent="0.2">
      <c r="F713" s="453"/>
      <c r="H713" s="74"/>
      <c r="I713" s="74"/>
      <c r="J713" s="74"/>
      <c r="K713" s="74"/>
      <c r="Z713" s="122"/>
    </row>
    <row r="714" spans="6:26" customFormat="1" ht="12.75" x14ac:dyDescent="0.2">
      <c r="F714" s="453"/>
      <c r="H714" s="74"/>
      <c r="I714" s="74"/>
      <c r="J714" s="74"/>
      <c r="K714" s="74"/>
      <c r="Z714" s="122"/>
    </row>
    <row r="715" spans="6:26" customFormat="1" ht="12.75" x14ac:dyDescent="0.2">
      <c r="F715" s="453"/>
      <c r="H715" s="74"/>
      <c r="I715" s="74"/>
      <c r="J715" s="74"/>
      <c r="K715" s="74"/>
      <c r="Z715" s="122"/>
    </row>
    <row r="716" spans="6:26" customFormat="1" ht="12.75" x14ac:dyDescent="0.2">
      <c r="F716" s="453"/>
      <c r="H716" s="74"/>
      <c r="I716" s="74"/>
      <c r="J716" s="74"/>
      <c r="K716" s="74"/>
      <c r="Z716" s="122"/>
    </row>
    <row r="717" spans="6:26" customFormat="1" ht="12.75" x14ac:dyDescent="0.2">
      <c r="F717" s="453"/>
      <c r="H717" s="74"/>
      <c r="I717" s="74"/>
      <c r="J717" s="74"/>
      <c r="K717" s="74"/>
      <c r="Z717" s="122"/>
    </row>
    <row r="718" spans="6:26" customFormat="1" ht="12.75" x14ac:dyDescent="0.2">
      <c r="F718" s="453"/>
      <c r="H718" s="74"/>
      <c r="I718" s="74"/>
      <c r="J718" s="74"/>
      <c r="K718" s="74"/>
      <c r="Z718" s="122"/>
    </row>
    <row r="719" spans="6:26" customFormat="1" ht="12.75" x14ac:dyDescent="0.2">
      <c r="F719" s="453"/>
      <c r="H719" s="74"/>
      <c r="I719" s="74"/>
      <c r="J719" s="74"/>
      <c r="K719" s="74"/>
      <c r="Z719" s="122"/>
    </row>
    <row r="720" spans="6:26" customFormat="1" ht="12.75" x14ac:dyDescent="0.2">
      <c r="F720" s="453"/>
      <c r="H720" s="74"/>
      <c r="I720" s="74"/>
      <c r="J720" s="74"/>
      <c r="K720" s="74"/>
      <c r="Z720" s="122"/>
    </row>
    <row r="721" spans="6:26" customFormat="1" ht="12.75" x14ac:dyDescent="0.2">
      <c r="F721" s="453"/>
      <c r="H721" s="74"/>
      <c r="I721" s="74"/>
      <c r="J721" s="74"/>
      <c r="K721" s="74"/>
      <c r="Z721" s="122"/>
    </row>
    <row r="722" spans="6:26" customFormat="1" ht="12.75" x14ac:dyDescent="0.2">
      <c r="F722" s="453"/>
      <c r="H722" s="74"/>
      <c r="I722" s="74"/>
      <c r="J722" s="74"/>
      <c r="K722" s="74"/>
      <c r="Z722" s="122"/>
    </row>
    <row r="723" spans="6:26" customFormat="1" ht="12.75" x14ac:dyDescent="0.2">
      <c r="F723" s="453"/>
      <c r="H723" s="74"/>
      <c r="I723" s="74"/>
      <c r="J723" s="74"/>
      <c r="K723" s="74"/>
      <c r="Z723" s="122"/>
    </row>
    <row r="724" spans="6:26" customFormat="1" ht="12.75" x14ac:dyDescent="0.2">
      <c r="F724" s="453"/>
      <c r="H724" s="74"/>
      <c r="I724" s="74"/>
      <c r="J724" s="74"/>
      <c r="K724" s="74"/>
      <c r="Z724" s="122"/>
    </row>
    <row r="725" spans="6:26" customFormat="1" ht="12.75" x14ac:dyDescent="0.2">
      <c r="F725" s="453"/>
      <c r="H725" s="74"/>
      <c r="I725" s="74"/>
      <c r="J725" s="74"/>
      <c r="K725" s="74"/>
      <c r="Z725" s="122"/>
    </row>
    <row r="726" spans="6:26" customFormat="1" ht="12.75" x14ac:dyDescent="0.2">
      <c r="F726" s="453"/>
      <c r="H726" s="74"/>
      <c r="I726" s="74"/>
      <c r="J726" s="74"/>
      <c r="K726" s="74"/>
      <c r="Z726" s="122"/>
    </row>
    <row r="727" spans="6:26" customFormat="1" ht="12.75" x14ac:dyDescent="0.2">
      <c r="F727" s="453"/>
      <c r="H727" s="74"/>
      <c r="I727" s="74"/>
      <c r="J727" s="74"/>
      <c r="K727" s="74"/>
      <c r="Z727" s="122"/>
    </row>
    <row r="728" spans="6:26" customFormat="1" ht="12.75" x14ac:dyDescent="0.2">
      <c r="F728" s="453"/>
      <c r="H728" s="74"/>
      <c r="I728" s="74"/>
      <c r="J728" s="74"/>
      <c r="K728" s="74"/>
      <c r="Z728" s="122"/>
    </row>
    <row r="729" spans="6:26" customFormat="1" ht="12.75" x14ac:dyDescent="0.2">
      <c r="F729" s="453"/>
      <c r="H729" s="74"/>
      <c r="I729" s="74"/>
      <c r="J729" s="74"/>
      <c r="K729" s="74"/>
      <c r="Z729" s="122"/>
    </row>
    <row r="730" spans="6:26" customFormat="1" ht="12.75" x14ac:dyDescent="0.2">
      <c r="F730" s="453"/>
      <c r="H730" s="74"/>
      <c r="I730" s="74"/>
      <c r="J730" s="74"/>
      <c r="K730" s="74"/>
      <c r="Z730" s="122"/>
    </row>
    <row r="731" spans="6:26" customFormat="1" ht="12.75" x14ac:dyDescent="0.2">
      <c r="F731" s="453"/>
      <c r="H731" s="74"/>
      <c r="I731" s="74"/>
      <c r="J731" s="74"/>
      <c r="K731" s="74"/>
      <c r="Z731" s="122"/>
    </row>
    <row r="732" spans="6:26" customFormat="1" ht="12.75" x14ac:dyDescent="0.2">
      <c r="F732" s="453"/>
      <c r="H732" s="74"/>
      <c r="I732" s="74"/>
      <c r="J732" s="74"/>
      <c r="K732" s="74"/>
      <c r="Z732" s="122"/>
    </row>
    <row r="733" spans="6:26" customFormat="1" ht="12.75" x14ac:dyDescent="0.2">
      <c r="F733" s="453"/>
      <c r="H733" s="74"/>
      <c r="I733" s="74"/>
      <c r="J733" s="74"/>
      <c r="K733" s="74"/>
      <c r="Z733" s="122"/>
    </row>
    <row r="734" spans="6:26" customFormat="1" ht="12.75" x14ac:dyDescent="0.2">
      <c r="F734" s="453"/>
      <c r="H734" s="74"/>
      <c r="I734" s="74"/>
      <c r="J734" s="74"/>
      <c r="K734" s="74"/>
      <c r="Z734" s="122"/>
    </row>
    <row r="735" spans="6:26" customFormat="1" ht="12.75" x14ac:dyDescent="0.2">
      <c r="F735" s="453"/>
      <c r="H735" s="74"/>
      <c r="I735" s="74"/>
      <c r="J735" s="74"/>
      <c r="K735" s="74"/>
      <c r="Z735" s="122"/>
    </row>
    <row r="736" spans="6:26" customFormat="1" ht="12.75" x14ac:dyDescent="0.2">
      <c r="F736" s="453"/>
      <c r="H736" s="74"/>
      <c r="I736" s="74"/>
      <c r="J736" s="74"/>
      <c r="K736" s="74"/>
      <c r="Z736" s="122"/>
    </row>
    <row r="737" spans="6:26" customFormat="1" ht="12.75" x14ac:dyDescent="0.2">
      <c r="F737" s="453"/>
      <c r="H737" s="74"/>
      <c r="I737" s="74"/>
      <c r="J737" s="74"/>
      <c r="K737" s="74"/>
      <c r="Z737" s="122"/>
    </row>
    <row r="738" spans="6:26" customFormat="1" ht="12.75" x14ac:dyDescent="0.2">
      <c r="F738" s="453"/>
      <c r="H738" s="74"/>
      <c r="I738" s="74"/>
      <c r="J738" s="74"/>
      <c r="K738" s="74"/>
      <c r="Z738" s="122"/>
    </row>
    <row r="739" spans="6:26" customFormat="1" ht="12.75" x14ac:dyDescent="0.2">
      <c r="F739" s="453"/>
      <c r="H739" s="74"/>
      <c r="I739" s="74"/>
      <c r="J739" s="74"/>
      <c r="K739" s="74"/>
      <c r="Z739" s="122"/>
    </row>
    <row r="740" spans="6:26" customFormat="1" ht="12.75" x14ac:dyDescent="0.2">
      <c r="F740" s="453"/>
      <c r="H740" s="74"/>
      <c r="I740" s="74"/>
      <c r="J740" s="74"/>
      <c r="K740" s="74"/>
      <c r="Z740" s="122"/>
    </row>
    <row r="741" spans="6:26" customFormat="1" ht="12.75" x14ac:dyDescent="0.2">
      <c r="F741" s="453"/>
      <c r="H741" s="74"/>
      <c r="I741" s="74"/>
      <c r="J741" s="74"/>
      <c r="K741" s="74"/>
      <c r="Z741" s="122"/>
    </row>
    <row r="742" spans="6:26" customFormat="1" ht="12.75" x14ac:dyDescent="0.2">
      <c r="F742" s="453"/>
      <c r="H742" s="74"/>
      <c r="I742" s="74"/>
      <c r="J742" s="74"/>
      <c r="K742" s="74"/>
      <c r="Z742" s="122"/>
    </row>
    <row r="743" spans="6:26" customFormat="1" ht="12.75" x14ac:dyDescent="0.2">
      <c r="F743" s="453"/>
      <c r="H743" s="74"/>
      <c r="I743" s="74"/>
      <c r="J743" s="74"/>
      <c r="K743" s="74"/>
      <c r="Z743" s="122"/>
    </row>
    <row r="744" spans="6:26" customFormat="1" ht="12.75" x14ac:dyDescent="0.2">
      <c r="F744" s="453"/>
      <c r="H744" s="74"/>
      <c r="I744" s="74"/>
      <c r="J744" s="74"/>
      <c r="K744" s="74"/>
      <c r="Z744" s="122"/>
    </row>
    <row r="745" spans="6:26" customFormat="1" ht="12.75" x14ac:dyDescent="0.2">
      <c r="F745" s="453"/>
      <c r="H745" s="74"/>
      <c r="I745" s="74"/>
      <c r="J745" s="74"/>
      <c r="K745" s="74"/>
      <c r="Z745" s="122"/>
    </row>
    <row r="746" spans="6:26" customFormat="1" ht="12.75" x14ac:dyDescent="0.2">
      <c r="F746" s="453"/>
      <c r="H746" s="74"/>
      <c r="I746" s="74"/>
      <c r="J746" s="74"/>
      <c r="K746" s="74"/>
      <c r="Z746" s="122"/>
    </row>
    <row r="747" spans="6:26" customFormat="1" ht="12.75" x14ac:dyDescent="0.2">
      <c r="F747" s="453"/>
      <c r="H747" s="74"/>
      <c r="I747" s="74"/>
      <c r="J747" s="74"/>
      <c r="K747" s="74"/>
      <c r="Z747" s="122"/>
    </row>
    <row r="748" spans="6:26" customFormat="1" ht="12.75" x14ac:dyDescent="0.2">
      <c r="F748" s="453"/>
      <c r="H748" s="74"/>
      <c r="I748" s="74"/>
      <c r="J748" s="74"/>
      <c r="K748" s="74"/>
      <c r="Z748" s="122"/>
    </row>
    <row r="749" spans="6:26" customFormat="1" ht="12.75" x14ac:dyDescent="0.2">
      <c r="F749" s="453"/>
      <c r="H749" s="74"/>
      <c r="I749" s="74"/>
      <c r="J749" s="74"/>
      <c r="K749" s="74"/>
      <c r="Z749" s="122"/>
    </row>
    <row r="750" spans="6:26" customFormat="1" ht="12.75" x14ac:dyDescent="0.2">
      <c r="F750" s="453"/>
      <c r="H750" s="74"/>
      <c r="I750" s="74"/>
      <c r="J750" s="74"/>
      <c r="K750" s="74"/>
      <c r="Z750" s="122"/>
    </row>
    <row r="751" spans="6:26" customFormat="1" ht="12.75" x14ac:dyDescent="0.2">
      <c r="F751" s="453"/>
      <c r="H751" s="74"/>
      <c r="I751" s="74"/>
      <c r="J751" s="74"/>
      <c r="K751" s="74"/>
      <c r="Z751" s="122"/>
    </row>
    <row r="752" spans="6:26" customFormat="1" ht="12.75" x14ac:dyDescent="0.2">
      <c r="F752" s="453"/>
      <c r="H752" s="74"/>
      <c r="I752" s="74"/>
      <c r="J752" s="74"/>
      <c r="K752" s="74"/>
      <c r="Z752" s="122"/>
    </row>
    <row r="753" spans="6:26" customFormat="1" ht="12.75" x14ac:dyDescent="0.2">
      <c r="F753" s="453"/>
      <c r="H753" s="74"/>
      <c r="I753" s="74"/>
      <c r="J753" s="74"/>
      <c r="K753" s="74"/>
      <c r="Z753" s="122"/>
    </row>
    <row r="754" spans="6:26" customFormat="1" ht="12.75" x14ac:dyDescent="0.2">
      <c r="F754" s="453"/>
      <c r="H754" s="74"/>
      <c r="I754" s="74"/>
      <c r="J754" s="74"/>
      <c r="K754" s="74"/>
      <c r="Z754" s="122"/>
    </row>
    <row r="755" spans="6:26" customFormat="1" ht="12.75" x14ac:dyDescent="0.2">
      <c r="F755" s="453"/>
      <c r="H755" s="74"/>
      <c r="I755" s="74"/>
      <c r="J755" s="74"/>
      <c r="K755" s="74"/>
      <c r="Z755" s="122"/>
    </row>
    <row r="756" spans="6:26" customFormat="1" ht="12.75" x14ac:dyDescent="0.2">
      <c r="F756" s="453"/>
      <c r="H756" s="74"/>
      <c r="I756" s="74"/>
      <c r="J756" s="74"/>
      <c r="K756" s="74"/>
      <c r="Z756" s="122"/>
    </row>
    <row r="757" spans="6:26" customFormat="1" ht="12.75" x14ac:dyDescent="0.2">
      <c r="F757" s="453"/>
      <c r="H757" s="74"/>
      <c r="I757" s="74"/>
      <c r="J757" s="74"/>
      <c r="K757" s="74"/>
      <c r="Z757" s="122"/>
    </row>
    <row r="758" spans="6:26" customFormat="1" ht="12.75" x14ac:dyDescent="0.2">
      <c r="F758" s="453"/>
      <c r="H758" s="74"/>
      <c r="I758" s="74"/>
      <c r="J758" s="74"/>
      <c r="K758" s="74"/>
      <c r="Z758" s="122"/>
    </row>
    <row r="759" spans="6:26" customFormat="1" ht="12.75" x14ac:dyDescent="0.2">
      <c r="F759" s="453"/>
      <c r="H759" s="74"/>
      <c r="I759" s="74"/>
      <c r="J759" s="74"/>
      <c r="K759" s="74"/>
      <c r="Z759" s="122"/>
    </row>
    <row r="760" spans="6:26" customFormat="1" ht="12.75" x14ac:dyDescent="0.2">
      <c r="F760" s="453"/>
      <c r="H760" s="74"/>
      <c r="I760" s="74"/>
      <c r="J760" s="74"/>
      <c r="K760" s="74"/>
      <c r="Z760" s="122"/>
    </row>
    <row r="761" spans="6:26" customFormat="1" ht="12.75" x14ac:dyDescent="0.2">
      <c r="F761" s="453"/>
      <c r="H761" s="74"/>
      <c r="I761" s="74"/>
      <c r="J761" s="74"/>
      <c r="K761" s="74"/>
      <c r="Z761" s="122"/>
    </row>
    <row r="762" spans="6:26" customFormat="1" ht="12.75" x14ac:dyDescent="0.2">
      <c r="F762" s="453"/>
      <c r="H762" s="74"/>
      <c r="I762" s="74"/>
      <c r="J762" s="74"/>
      <c r="K762" s="74"/>
      <c r="Z762" s="122"/>
    </row>
    <row r="763" spans="6:26" customFormat="1" ht="12.75" x14ac:dyDescent="0.2">
      <c r="F763" s="453"/>
      <c r="H763" s="74"/>
      <c r="I763" s="74"/>
      <c r="J763" s="74"/>
      <c r="K763" s="74"/>
      <c r="Z763" s="122"/>
    </row>
    <row r="764" spans="6:26" customFormat="1" ht="12.75" x14ac:dyDescent="0.2">
      <c r="F764" s="453"/>
      <c r="H764" s="74"/>
      <c r="I764" s="74"/>
      <c r="J764" s="74"/>
      <c r="K764" s="74"/>
      <c r="Z764" s="122"/>
    </row>
    <row r="765" spans="6:26" customFormat="1" ht="12.75" x14ac:dyDescent="0.2">
      <c r="F765" s="453"/>
      <c r="H765" s="74"/>
      <c r="I765" s="74"/>
      <c r="J765" s="74"/>
      <c r="K765" s="74"/>
      <c r="Z765" s="122"/>
    </row>
    <row r="766" spans="6:26" customFormat="1" ht="12.75" x14ac:dyDescent="0.2">
      <c r="F766" s="453"/>
      <c r="H766" s="74"/>
      <c r="I766" s="74"/>
      <c r="J766" s="74"/>
      <c r="K766" s="74"/>
      <c r="Z766" s="122"/>
    </row>
    <row r="767" spans="6:26" customFormat="1" ht="12.75" x14ac:dyDescent="0.2">
      <c r="F767" s="453"/>
      <c r="H767" s="74"/>
      <c r="I767" s="74"/>
      <c r="J767" s="74"/>
      <c r="K767" s="74"/>
      <c r="Z767" s="122"/>
    </row>
    <row r="768" spans="6:26" customFormat="1" ht="12.75" x14ac:dyDescent="0.2">
      <c r="F768" s="453"/>
      <c r="H768" s="74"/>
      <c r="I768" s="74"/>
      <c r="J768" s="74"/>
      <c r="K768" s="74"/>
      <c r="Z768" s="122"/>
    </row>
    <row r="769" spans="6:26" customFormat="1" ht="12.75" x14ac:dyDescent="0.2">
      <c r="F769" s="453"/>
      <c r="H769" s="74"/>
      <c r="I769" s="74"/>
      <c r="J769" s="74"/>
      <c r="K769" s="74"/>
      <c r="Z769" s="122"/>
    </row>
    <row r="770" spans="6:26" customFormat="1" ht="12.75" x14ac:dyDescent="0.2">
      <c r="F770" s="453"/>
      <c r="H770" s="74"/>
      <c r="I770" s="74"/>
      <c r="J770" s="74"/>
      <c r="K770" s="74"/>
      <c r="Z770" s="122"/>
    </row>
    <row r="771" spans="6:26" customFormat="1" ht="12.75" x14ac:dyDescent="0.2">
      <c r="F771" s="453"/>
      <c r="H771" s="74"/>
      <c r="I771" s="74"/>
      <c r="J771" s="74"/>
      <c r="K771" s="74"/>
      <c r="Z771" s="122"/>
    </row>
    <row r="772" spans="6:26" customFormat="1" ht="12.75" x14ac:dyDescent="0.2">
      <c r="F772" s="453"/>
      <c r="H772" s="74"/>
      <c r="I772" s="74"/>
      <c r="J772" s="74"/>
      <c r="K772" s="74"/>
      <c r="Z772" s="122"/>
    </row>
    <row r="773" spans="6:26" customFormat="1" ht="12.75" x14ac:dyDescent="0.2">
      <c r="F773" s="453"/>
      <c r="H773" s="74"/>
      <c r="I773" s="74"/>
      <c r="J773" s="74"/>
      <c r="K773" s="74"/>
      <c r="Z773" s="122"/>
    </row>
    <row r="774" spans="6:26" customFormat="1" ht="12.75" x14ac:dyDescent="0.2">
      <c r="F774" s="453"/>
      <c r="H774" s="74"/>
      <c r="I774" s="74"/>
      <c r="J774" s="74"/>
      <c r="K774" s="74"/>
      <c r="Z774" s="122"/>
    </row>
    <row r="775" spans="6:26" customFormat="1" ht="12.75" x14ac:dyDescent="0.2">
      <c r="F775" s="453"/>
      <c r="H775" s="74"/>
      <c r="I775" s="74"/>
      <c r="J775" s="74"/>
      <c r="K775" s="74"/>
      <c r="Z775" s="122"/>
    </row>
    <row r="776" spans="6:26" customFormat="1" ht="12.75" x14ac:dyDescent="0.2">
      <c r="F776" s="453"/>
      <c r="H776" s="74"/>
      <c r="I776" s="74"/>
      <c r="J776" s="74"/>
      <c r="K776" s="74"/>
      <c r="Z776" s="122"/>
    </row>
    <row r="777" spans="6:26" customFormat="1" ht="12.75" x14ac:dyDescent="0.2">
      <c r="F777" s="453"/>
      <c r="H777" s="74"/>
      <c r="I777" s="74"/>
      <c r="J777" s="74"/>
      <c r="K777" s="74"/>
      <c r="Z777" s="122"/>
    </row>
    <row r="778" spans="6:26" customFormat="1" ht="12.75" x14ac:dyDescent="0.2">
      <c r="F778" s="453"/>
      <c r="H778" s="74"/>
      <c r="I778" s="74"/>
      <c r="J778" s="74"/>
      <c r="K778" s="74"/>
      <c r="Z778" s="122"/>
    </row>
    <row r="779" spans="6:26" customFormat="1" ht="12.75" x14ac:dyDescent="0.2">
      <c r="F779" s="453"/>
      <c r="H779" s="74"/>
      <c r="I779" s="74"/>
      <c r="J779" s="74"/>
      <c r="K779" s="74"/>
      <c r="Z779" s="122"/>
    </row>
    <row r="780" spans="6:26" customFormat="1" ht="12.75" x14ac:dyDescent="0.2">
      <c r="F780" s="453"/>
      <c r="H780" s="74"/>
      <c r="I780" s="74"/>
      <c r="J780" s="74"/>
      <c r="K780" s="74"/>
      <c r="Z780" s="122"/>
    </row>
    <row r="781" spans="6:26" customFormat="1" ht="12.75" x14ac:dyDescent="0.2">
      <c r="F781" s="453"/>
      <c r="H781" s="74"/>
      <c r="I781" s="74"/>
      <c r="J781" s="74"/>
      <c r="K781" s="74"/>
      <c r="Z781" s="122"/>
    </row>
    <row r="782" spans="6:26" customFormat="1" ht="12.75" x14ac:dyDescent="0.2">
      <c r="F782" s="453"/>
      <c r="H782" s="74"/>
      <c r="I782" s="74"/>
      <c r="J782" s="74"/>
      <c r="K782" s="74"/>
      <c r="Z782" s="122"/>
    </row>
    <row r="783" spans="6:26" customFormat="1" ht="12.75" x14ac:dyDescent="0.2">
      <c r="F783" s="453"/>
      <c r="H783" s="74"/>
      <c r="I783" s="74"/>
      <c r="J783" s="74"/>
      <c r="K783" s="74"/>
      <c r="Z783" s="122"/>
    </row>
    <row r="784" spans="6:26" customFormat="1" ht="12.75" x14ac:dyDescent="0.2">
      <c r="F784" s="453"/>
      <c r="H784" s="74"/>
      <c r="I784" s="74"/>
      <c r="J784" s="74"/>
      <c r="K784" s="74"/>
      <c r="Z784" s="122"/>
    </row>
    <row r="785" spans="6:26" customFormat="1" ht="12.75" x14ac:dyDescent="0.2">
      <c r="F785" s="453"/>
      <c r="H785" s="74"/>
      <c r="I785" s="74"/>
      <c r="J785" s="74"/>
      <c r="K785" s="74"/>
      <c r="Z785" s="122"/>
    </row>
    <row r="786" spans="6:26" customFormat="1" ht="12.75" x14ac:dyDescent="0.2">
      <c r="F786" s="453"/>
      <c r="H786" s="74"/>
      <c r="I786" s="74"/>
      <c r="J786" s="74"/>
      <c r="K786" s="74"/>
      <c r="Z786" s="122"/>
    </row>
    <row r="787" spans="6:26" customFormat="1" ht="12.75" x14ac:dyDescent="0.2">
      <c r="F787" s="453"/>
      <c r="H787" s="74"/>
      <c r="I787" s="74"/>
      <c r="J787" s="74"/>
      <c r="K787" s="74"/>
      <c r="Z787" s="122"/>
    </row>
    <row r="788" spans="6:26" customFormat="1" ht="12.75" x14ac:dyDescent="0.2">
      <c r="F788" s="453"/>
      <c r="H788" s="74"/>
      <c r="I788" s="74"/>
      <c r="J788" s="74"/>
      <c r="K788" s="74"/>
      <c r="Z788" s="122"/>
    </row>
    <row r="789" spans="6:26" customFormat="1" ht="12.75" x14ac:dyDescent="0.2">
      <c r="F789" s="453"/>
      <c r="H789" s="74"/>
      <c r="I789" s="74"/>
      <c r="J789" s="74"/>
      <c r="K789" s="74"/>
      <c r="Z789" s="122"/>
    </row>
    <row r="790" spans="6:26" customFormat="1" ht="12.75" x14ac:dyDescent="0.2">
      <c r="F790" s="453"/>
      <c r="H790" s="74"/>
      <c r="I790" s="74"/>
      <c r="J790" s="74"/>
      <c r="K790" s="74"/>
      <c r="Z790" s="122"/>
    </row>
    <row r="791" spans="6:26" customFormat="1" ht="12.75" x14ac:dyDescent="0.2">
      <c r="F791" s="453"/>
      <c r="H791" s="74"/>
      <c r="I791" s="74"/>
      <c r="J791" s="74"/>
      <c r="K791" s="74"/>
      <c r="Z791" s="122"/>
    </row>
    <row r="792" spans="6:26" customFormat="1" ht="12.75" x14ac:dyDescent="0.2">
      <c r="F792" s="453"/>
      <c r="H792" s="74"/>
      <c r="I792" s="74"/>
      <c r="J792" s="74"/>
      <c r="K792" s="74"/>
      <c r="Z792" s="122"/>
    </row>
    <row r="793" spans="6:26" customFormat="1" ht="12.75" x14ac:dyDescent="0.2">
      <c r="F793" s="453"/>
      <c r="H793" s="74"/>
      <c r="I793" s="74"/>
      <c r="J793" s="74"/>
      <c r="K793" s="74"/>
      <c r="Z793" s="122"/>
    </row>
    <row r="794" spans="6:26" customFormat="1" ht="12.75" x14ac:dyDescent="0.2">
      <c r="F794" s="453"/>
      <c r="H794" s="74"/>
      <c r="I794" s="74"/>
      <c r="J794" s="74"/>
      <c r="K794" s="74"/>
      <c r="Z794" s="122"/>
    </row>
    <row r="795" spans="6:26" customFormat="1" ht="12.75" x14ac:dyDescent="0.2">
      <c r="F795" s="453"/>
      <c r="H795" s="74"/>
      <c r="I795" s="74"/>
      <c r="J795" s="74"/>
      <c r="K795" s="74"/>
      <c r="Z795" s="122"/>
    </row>
    <row r="796" spans="6:26" customFormat="1" ht="12.75" x14ac:dyDescent="0.2">
      <c r="F796" s="453"/>
      <c r="H796" s="74"/>
      <c r="I796" s="74"/>
      <c r="J796" s="74"/>
      <c r="K796" s="74"/>
      <c r="Z796" s="122"/>
    </row>
    <row r="797" spans="6:26" customFormat="1" ht="12.75" x14ac:dyDescent="0.2">
      <c r="F797" s="453"/>
      <c r="H797" s="74"/>
      <c r="I797" s="74"/>
      <c r="J797" s="74"/>
      <c r="K797" s="74"/>
      <c r="Z797" s="122"/>
    </row>
    <row r="798" spans="6:26" customFormat="1" ht="12.75" x14ac:dyDescent="0.2">
      <c r="F798" s="453"/>
      <c r="H798" s="74"/>
      <c r="I798" s="74"/>
      <c r="J798" s="74"/>
      <c r="K798" s="74"/>
      <c r="Z798" s="122"/>
    </row>
    <row r="799" spans="6:26" customFormat="1" ht="12.75" x14ac:dyDescent="0.2">
      <c r="F799" s="453"/>
      <c r="H799" s="74"/>
      <c r="I799" s="74"/>
      <c r="J799" s="74"/>
      <c r="K799" s="74"/>
      <c r="Z799" s="122"/>
    </row>
    <row r="800" spans="6:26" customFormat="1" ht="12.75" x14ac:dyDescent="0.2">
      <c r="F800" s="453"/>
      <c r="H800" s="74"/>
      <c r="I800" s="74"/>
      <c r="J800" s="74"/>
      <c r="K800" s="74"/>
      <c r="Z800" s="122"/>
    </row>
    <row r="801" spans="6:26" customFormat="1" ht="12.75" x14ac:dyDescent="0.2">
      <c r="F801" s="453"/>
      <c r="H801" s="74"/>
      <c r="I801" s="74"/>
      <c r="J801" s="74"/>
      <c r="K801" s="74"/>
      <c r="Z801" s="122"/>
    </row>
    <row r="802" spans="6:26" customFormat="1" ht="12.75" x14ac:dyDescent="0.2">
      <c r="F802" s="453"/>
      <c r="H802" s="74"/>
      <c r="I802" s="74"/>
      <c r="J802" s="74"/>
      <c r="K802" s="74"/>
      <c r="Z802" s="122"/>
    </row>
    <row r="803" spans="6:26" customFormat="1" ht="12.75" x14ac:dyDescent="0.2">
      <c r="F803" s="453"/>
      <c r="H803" s="74"/>
      <c r="I803" s="74"/>
      <c r="J803" s="74"/>
      <c r="K803" s="74"/>
      <c r="Z803" s="122"/>
    </row>
    <row r="804" spans="6:26" customFormat="1" ht="12.75" x14ac:dyDescent="0.2">
      <c r="F804" s="453"/>
      <c r="H804" s="74"/>
      <c r="I804" s="74"/>
      <c r="J804" s="74"/>
      <c r="K804" s="74"/>
      <c r="Z804" s="122"/>
    </row>
    <row r="805" spans="6:26" customFormat="1" ht="12.75" x14ac:dyDescent="0.2">
      <c r="F805" s="453"/>
      <c r="H805" s="74"/>
      <c r="I805" s="74"/>
      <c r="J805" s="74"/>
      <c r="K805" s="74"/>
      <c r="Z805" s="122"/>
    </row>
    <row r="806" spans="6:26" customFormat="1" ht="12.75" x14ac:dyDescent="0.2">
      <c r="F806" s="453"/>
      <c r="H806" s="74"/>
      <c r="I806" s="74"/>
      <c r="J806" s="74"/>
      <c r="K806" s="74"/>
      <c r="Z806" s="122"/>
    </row>
    <row r="807" spans="6:26" customFormat="1" ht="12.75" x14ac:dyDescent="0.2">
      <c r="F807" s="453"/>
      <c r="H807" s="74"/>
      <c r="I807" s="74"/>
      <c r="J807" s="74"/>
      <c r="K807" s="74"/>
      <c r="Z807" s="122"/>
    </row>
    <row r="808" spans="6:26" customFormat="1" ht="12.75" x14ac:dyDescent="0.2">
      <c r="F808" s="453"/>
      <c r="H808" s="74"/>
      <c r="I808" s="74"/>
      <c r="J808" s="74"/>
      <c r="K808" s="74"/>
      <c r="Z808" s="122"/>
    </row>
    <row r="809" spans="6:26" customFormat="1" ht="12.75" x14ac:dyDescent="0.2">
      <c r="F809" s="453"/>
      <c r="H809" s="74"/>
      <c r="I809" s="74"/>
      <c r="J809" s="74"/>
      <c r="K809" s="74"/>
      <c r="Z809" s="122"/>
    </row>
    <row r="810" spans="6:26" customFormat="1" ht="12.75" x14ac:dyDescent="0.2">
      <c r="F810" s="453"/>
      <c r="H810" s="74"/>
      <c r="I810" s="74"/>
      <c r="J810" s="74"/>
      <c r="K810" s="74"/>
      <c r="Z810" s="122"/>
    </row>
    <row r="811" spans="6:26" customFormat="1" ht="12.75" x14ac:dyDescent="0.2">
      <c r="F811" s="453"/>
      <c r="H811" s="74"/>
      <c r="I811" s="74"/>
      <c r="J811" s="74"/>
      <c r="K811" s="74"/>
      <c r="Z811" s="122"/>
    </row>
    <row r="812" spans="6:26" customFormat="1" ht="12.75" x14ac:dyDescent="0.2">
      <c r="F812" s="453"/>
      <c r="H812" s="74"/>
      <c r="I812" s="74"/>
      <c r="J812" s="74"/>
      <c r="K812" s="74"/>
      <c r="Z812" s="122"/>
    </row>
    <row r="813" spans="6:26" customFormat="1" ht="12.75" x14ac:dyDescent="0.2">
      <c r="F813" s="453"/>
      <c r="H813" s="74"/>
      <c r="I813" s="74"/>
      <c r="J813" s="74"/>
      <c r="K813" s="74"/>
      <c r="Z813" s="122"/>
    </row>
    <row r="814" spans="6:26" customFormat="1" ht="12.75" x14ac:dyDescent="0.2">
      <c r="F814" s="453"/>
      <c r="H814" s="74"/>
      <c r="I814" s="74"/>
      <c r="J814" s="74"/>
      <c r="K814" s="74"/>
      <c r="Z814" s="122"/>
    </row>
    <row r="815" spans="6:26" customFormat="1" ht="12.75" x14ac:dyDescent="0.2">
      <c r="F815" s="453"/>
      <c r="H815" s="74"/>
      <c r="I815" s="74"/>
      <c r="J815" s="74"/>
      <c r="K815" s="74"/>
      <c r="Z815" s="122"/>
    </row>
    <row r="816" spans="6:26" customFormat="1" ht="12.75" x14ac:dyDescent="0.2">
      <c r="F816" s="453"/>
      <c r="H816" s="74"/>
      <c r="I816" s="74"/>
      <c r="J816" s="74"/>
      <c r="K816" s="74"/>
      <c r="Z816" s="122"/>
    </row>
    <row r="817" spans="6:26" customFormat="1" ht="12.75" x14ac:dyDescent="0.2">
      <c r="F817" s="453"/>
      <c r="H817" s="74"/>
      <c r="I817" s="74"/>
      <c r="J817" s="74"/>
      <c r="K817" s="74"/>
      <c r="Z817" s="122"/>
    </row>
    <row r="818" spans="6:26" customFormat="1" ht="12.75" x14ac:dyDescent="0.2">
      <c r="F818" s="453"/>
      <c r="H818" s="74"/>
      <c r="I818" s="74"/>
      <c r="J818" s="74"/>
      <c r="K818" s="74"/>
      <c r="Z818" s="122"/>
    </row>
    <row r="819" spans="6:26" customFormat="1" ht="12.75" x14ac:dyDescent="0.2">
      <c r="F819" s="453"/>
      <c r="H819" s="74"/>
      <c r="I819" s="74"/>
      <c r="J819" s="74"/>
      <c r="K819" s="74"/>
      <c r="Z819" s="122"/>
    </row>
    <row r="820" spans="6:26" customFormat="1" ht="12.75" x14ac:dyDescent="0.2">
      <c r="F820" s="453"/>
      <c r="H820" s="74"/>
      <c r="I820" s="74"/>
      <c r="J820" s="74"/>
      <c r="K820" s="74"/>
      <c r="Z820" s="122"/>
    </row>
    <row r="821" spans="6:26" customFormat="1" ht="12.75" x14ac:dyDescent="0.2">
      <c r="F821" s="453"/>
      <c r="H821" s="74"/>
      <c r="I821" s="74"/>
      <c r="J821" s="74"/>
      <c r="K821" s="74"/>
      <c r="Z821" s="122"/>
    </row>
    <row r="822" spans="6:26" customFormat="1" ht="12.75" x14ac:dyDescent="0.2">
      <c r="F822" s="453"/>
      <c r="H822" s="74"/>
      <c r="I822" s="74"/>
      <c r="J822" s="74"/>
      <c r="K822" s="74"/>
      <c r="Z822" s="122"/>
    </row>
    <row r="823" spans="6:26" customFormat="1" ht="12.75" x14ac:dyDescent="0.2">
      <c r="F823" s="453"/>
      <c r="H823" s="74"/>
      <c r="I823" s="74"/>
      <c r="J823" s="74"/>
      <c r="K823" s="74"/>
      <c r="Z823" s="122"/>
    </row>
    <row r="824" spans="6:26" customFormat="1" ht="12.75" x14ac:dyDescent="0.2">
      <c r="F824" s="453"/>
      <c r="H824" s="74"/>
      <c r="I824" s="74"/>
      <c r="J824" s="74"/>
      <c r="K824" s="74"/>
      <c r="Z824" s="122"/>
    </row>
    <row r="825" spans="6:26" customFormat="1" ht="12.75" x14ac:dyDescent="0.2">
      <c r="F825" s="453"/>
      <c r="H825" s="74"/>
      <c r="I825" s="74"/>
      <c r="J825" s="74"/>
      <c r="K825" s="74"/>
      <c r="Z825" s="122"/>
    </row>
    <row r="826" spans="6:26" customFormat="1" ht="12.75" x14ac:dyDescent="0.2">
      <c r="F826" s="453"/>
      <c r="H826" s="74"/>
      <c r="I826" s="74"/>
      <c r="J826" s="74"/>
      <c r="K826" s="74"/>
      <c r="Z826" s="122"/>
    </row>
    <row r="827" spans="6:26" customFormat="1" ht="12.75" x14ac:dyDescent="0.2">
      <c r="F827" s="453"/>
      <c r="H827" s="74"/>
      <c r="I827" s="74"/>
      <c r="J827" s="74"/>
      <c r="K827" s="74"/>
      <c r="Z827" s="122"/>
    </row>
    <row r="828" spans="6:26" customFormat="1" ht="12.75" x14ac:dyDescent="0.2">
      <c r="F828" s="453"/>
      <c r="H828" s="74"/>
      <c r="I828" s="74"/>
      <c r="J828" s="74"/>
      <c r="K828" s="74"/>
      <c r="Z828" s="122"/>
    </row>
    <row r="829" spans="6:26" customFormat="1" ht="12.75" x14ac:dyDescent="0.2">
      <c r="F829" s="453"/>
      <c r="H829" s="74"/>
      <c r="I829" s="74"/>
      <c r="J829" s="74"/>
      <c r="K829" s="74"/>
      <c r="Z829" s="122"/>
    </row>
    <row r="830" spans="6:26" customFormat="1" ht="12.75" x14ac:dyDescent="0.2">
      <c r="F830" s="453"/>
      <c r="H830" s="74"/>
      <c r="I830" s="74"/>
      <c r="J830" s="74"/>
      <c r="K830" s="74"/>
      <c r="Z830" s="122"/>
    </row>
    <row r="831" spans="6:26" customFormat="1" ht="12.75" x14ac:dyDescent="0.2">
      <c r="F831" s="453"/>
      <c r="H831" s="74"/>
      <c r="I831" s="74"/>
      <c r="J831" s="74"/>
      <c r="K831" s="74"/>
      <c r="Z831" s="122"/>
    </row>
    <row r="832" spans="6:26" customFormat="1" ht="12.75" x14ac:dyDescent="0.2">
      <c r="F832" s="453"/>
      <c r="H832" s="74"/>
      <c r="I832" s="74"/>
      <c r="J832" s="74"/>
      <c r="K832" s="74"/>
      <c r="Z832" s="122"/>
    </row>
    <row r="833" spans="6:26" customFormat="1" ht="12.75" x14ac:dyDescent="0.2">
      <c r="F833" s="453"/>
      <c r="H833" s="74"/>
      <c r="I833" s="74"/>
      <c r="J833" s="74"/>
      <c r="K833" s="74"/>
      <c r="Z833" s="122"/>
    </row>
    <row r="834" spans="6:26" customFormat="1" ht="12.75" x14ac:dyDescent="0.2">
      <c r="F834" s="453"/>
      <c r="H834" s="74"/>
      <c r="I834" s="74"/>
      <c r="J834" s="74"/>
      <c r="K834" s="74"/>
      <c r="Z834" s="122"/>
    </row>
    <row r="835" spans="6:26" customFormat="1" ht="12.75" x14ac:dyDescent="0.2">
      <c r="F835" s="453"/>
      <c r="H835" s="74"/>
      <c r="I835" s="74"/>
      <c r="J835" s="74"/>
      <c r="K835" s="74"/>
      <c r="Z835" s="122"/>
    </row>
    <row r="836" spans="6:26" customFormat="1" ht="12.75" x14ac:dyDescent="0.2">
      <c r="F836" s="453"/>
      <c r="H836" s="74"/>
      <c r="I836" s="74"/>
      <c r="J836" s="74"/>
      <c r="K836" s="74"/>
      <c r="Z836" s="122"/>
    </row>
    <row r="837" spans="6:26" customFormat="1" ht="12.75" x14ac:dyDescent="0.2">
      <c r="F837" s="453"/>
      <c r="H837" s="74"/>
      <c r="I837" s="74"/>
      <c r="J837" s="74"/>
      <c r="K837" s="74"/>
      <c r="Z837" s="122"/>
    </row>
    <row r="838" spans="6:26" customFormat="1" ht="12.75" x14ac:dyDescent="0.2">
      <c r="F838" s="453"/>
      <c r="H838" s="74"/>
      <c r="I838" s="74"/>
      <c r="J838" s="74"/>
      <c r="K838" s="74"/>
      <c r="Z838" s="122"/>
    </row>
    <row r="839" spans="6:26" customFormat="1" ht="12.75" x14ac:dyDescent="0.2">
      <c r="F839" s="453"/>
      <c r="H839" s="74"/>
      <c r="I839" s="74"/>
      <c r="J839" s="74"/>
      <c r="K839" s="74"/>
      <c r="Z839" s="122"/>
    </row>
    <row r="840" spans="6:26" customFormat="1" ht="12.75" x14ac:dyDescent="0.2">
      <c r="F840" s="453"/>
      <c r="H840" s="74"/>
      <c r="I840" s="74"/>
      <c r="J840" s="74"/>
      <c r="K840" s="74"/>
      <c r="Z840" s="122"/>
    </row>
    <row r="841" spans="6:26" customFormat="1" ht="12.75" x14ac:dyDescent="0.2">
      <c r="F841" s="453"/>
      <c r="H841" s="74"/>
      <c r="I841" s="74"/>
      <c r="J841" s="74"/>
      <c r="K841" s="74"/>
      <c r="Z841" s="122"/>
    </row>
    <row r="842" spans="6:26" customFormat="1" ht="12.75" x14ac:dyDescent="0.2">
      <c r="F842" s="453"/>
      <c r="H842" s="74"/>
      <c r="I842" s="74"/>
      <c r="J842" s="74"/>
      <c r="K842" s="74"/>
      <c r="Z842" s="122"/>
    </row>
    <row r="843" spans="6:26" customFormat="1" ht="12.75" x14ac:dyDescent="0.2">
      <c r="F843" s="453"/>
      <c r="H843" s="74"/>
      <c r="I843" s="74"/>
      <c r="J843" s="74"/>
      <c r="K843" s="74"/>
      <c r="Z843" s="122"/>
    </row>
    <row r="844" spans="6:26" customFormat="1" ht="12.75" x14ac:dyDescent="0.2">
      <c r="F844" s="453"/>
      <c r="H844" s="74"/>
      <c r="I844" s="74"/>
      <c r="J844" s="74"/>
      <c r="K844" s="74"/>
      <c r="Z844" s="122"/>
    </row>
    <row r="845" spans="6:26" customFormat="1" ht="12.75" x14ac:dyDescent="0.2">
      <c r="F845" s="453"/>
      <c r="H845" s="74"/>
      <c r="I845" s="74"/>
      <c r="J845" s="74"/>
      <c r="K845" s="74"/>
      <c r="Z845" s="122"/>
    </row>
    <row r="846" spans="6:26" customFormat="1" ht="12.75" x14ac:dyDescent="0.2">
      <c r="F846" s="453"/>
      <c r="H846" s="74"/>
      <c r="I846" s="74"/>
      <c r="J846" s="74"/>
      <c r="K846" s="74"/>
      <c r="Z846" s="122"/>
    </row>
    <row r="847" spans="6:26" customFormat="1" ht="12.75" x14ac:dyDescent="0.2">
      <c r="F847" s="453"/>
      <c r="H847" s="74"/>
      <c r="I847" s="74"/>
      <c r="J847" s="74"/>
      <c r="K847" s="74"/>
      <c r="Z847" s="122"/>
    </row>
    <row r="848" spans="6:26" customFormat="1" ht="12.75" x14ac:dyDescent="0.2">
      <c r="F848" s="453"/>
      <c r="H848" s="74"/>
      <c r="I848" s="74"/>
      <c r="J848" s="74"/>
      <c r="K848" s="74"/>
      <c r="Z848" s="122"/>
    </row>
    <row r="849" spans="6:26" customFormat="1" ht="12.75" x14ac:dyDescent="0.2">
      <c r="F849" s="453"/>
      <c r="H849" s="74"/>
      <c r="I849" s="74"/>
      <c r="J849" s="74"/>
      <c r="K849" s="74"/>
      <c r="Z849" s="122"/>
    </row>
    <row r="850" spans="6:26" customFormat="1" ht="12.75" x14ac:dyDescent="0.2">
      <c r="F850" s="453"/>
      <c r="H850" s="74"/>
      <c r="I850" s="74"/>
      <c r="J850" s="74"/>
      <c r="K850" s="74"/>
      <c r="Z850" s="122"/>
    </row>
    <row r="851" spans="6:26" customFormat="1" ht="12.75" x14ac:dyDescent="0.2">
      <c r="F851" s="453"/>
      <c r="H851" s="74"/>
      <c r="I851" s="74"/>
      <c r="J851" s="74"/>
      <c r="K851" s="74"/>
      <c r="Z851" s="122"/>
    </row>
    <row r="852" spans="6:26" customFormat="1" ht="12.75" x14ac:dyDescent="0.2">
      <c r="F852" s="453"/>
      <c r="H852" s="74"/>
      <c r="I852" s="74"/>
      <c r="J852" s="74"/>
      <c r="K852" s="74"/>
      <c r="Z852" s="122"/>
    </row>
    <row r="853" spans="6:26" customFormat="1" ht="12.75" x14ac:dyDescent="0.2">
      <c r="F853" s="453"/>
      <c r="H853" s="74"/>
      <c r="I853" s="74"/>
      <c r="J853" s="74"/>
      <c r="K853" s="74"/>
      <c r="Z853" s="122"/>
    </row>
    <row r="854" spans="6:26" customFormat="1" ht="12.75" x14ac:dyDescent="0.2">
      <c r="F854" s="453"/>
      <c r="H854" s="74"/>
      <c r="I854" s="74"/>
      <c r="J854" s="74"/>
      <c r="K854" s="74"/>
      <c r="Z854" s="122"/>
    </row>
    <row r="855" spans="6:26" customFormat="1" ht="12.75" x14ac:dyDescent="0.2">
      <c r="F855" s="453"/>
      <c r="H855" s="74"/>
      <c r="I855" s="74"/>
      <c r="J855" s="74"/>
      <c r="K855" s="74"/>
      <c r="Z855" s="122"/>
    </row>
    <row r="856" spans="6:26" customFormat="1" ht="12.75" x14ac:dyDescent="0.2">
      <c r="F856" s="453"/>
      <c r="H856" s="74"/>
      <c r="I856" s="74"/>
      <c r="J856" s="74"/>
      <c r="K856" s="74"/>
      <c r="Z856" s="122"/>
    </row>
    <row r="857" spans="6:26" customFormat="1" ht="12.75" x14ac:dyDescent="0.2">
      <c r="F857" s="453"/>
      <c r="H857" s="74"/>
      <c r="I857" s="74"/>
      <c r="J857" s="74"/>
      <c r="K857" s="74"/>
      <c r="Z857" s="122"/>
    </row>
    <row r="858" spans="6:26" customFormat="1" ht="12.75" x14ac:dyDescent="0.2">
      <c r="F858" s="453"/>
      <c r="H858" s="74"/>
      <c r="I858" s="74"/>
      <c r="J858" s="74"/>
      <c r="K858" s="74"/>
      <c r="Z858" s="122"/>
    </row>
    <row r="859" spans="6:26" customFormat="1" ht="12.75" x14ac:dyDescent="0.2">
      <c r="F859" s="453"/>
      <c r="H859" s="74"/>
      <c r="I859" s="74"/>
      <c r="J859" s="74"/>
      <c r="K859" s="74"/>
      <c r="Z859" s="122"/>
    </row>
    <row r="860" spans="6:26" customFormat="1" ht="12.75" x14ac:dyDescent="0.2">
      <c r="F860" s="453"/>
      <c r="H860" s="74"/>
      <c r="I860" s="74"/>
      <c r="J860" s="74"/>
      <c r="K860" s="74"/>
      <c r="Z860" s="122"/>
    </row>
    <row r="861" spans="6:26" customFormat="1" ht="12.75" x14ac:dyDescent="0.2">
      <c r="F861" s="453"/>
      <c r="H861" s="74"/>
      <c r="I861" s="74"/>
      <c r="J861" s="74"/>
      <c r="K861" s="74"/>
      <c r="Z861" s="122"/>
    </row>
    <row r="862" spans="6:26" customFormat="1" ht="12.75" x14ac:dyDescent="0.2">
      <c r="F862" s="453"/>
      <c r="H862" s="74"/>
      <c r="I862" s="74"/>
      <c r="J862" s="74"/>
      <c r="K862" s="74"/>
      <c r="Z862" s="122"/>
    </row>
    <row r="863" spans="6:26" customFormat="1" ht="12.75" x14ac:dyDescent="0.2">
      <c r="F863" s="453"/>
      <c r="H863" s="74"/>
      <c r="I863" s="74"/>
      <c r="J863" s="74"/>
      <c r="K863" s="74"/>
      <c r="Z863" s="122"/>
    </row>
    <row r="864" spans="6:26" customFormat="1" ht="12.75" x14ac:dyDescent="0.2">
      <c r="F864" s="453"/>
      <c r="H864" s="74"/>
      <c r="I864" s="74"/>
      <c r="J864" s="74"/>
      <c r="K864" s="74"/>
      <c r="Z864" s="122"/>
    </row>
    <row r="865" spans="6:26" customFormat="1" ht="12.75" x14ac:dyDescent="0.2">
      <c r="F865" s="453"/>
      <c r="H865" s="74"/>
      <c r="I865" s="74"/>
      <c r="J865" s="74"/>
      <c r="K865" s="74"/>
      <c r="Z865" s="122"/>
    </row>
    <row r="866" spans="6:26" customFormat="1" ht="12.75" x14ac:dyDescent="0.2">
      <c r="F866" s="453"/>
      <c r="H866" s="74"/>
      <c r="I866" s="74"/>
      <c r="J866" s="74"/>
      <c r="K866" s="74"/>
      <c r="Z866" s="122"/>
    </row>
    <row r="867" spans="6:26" customFormat="1" ht="12.75" x14ac:dyDescent="0.2">
      <c r="F867" s="453"/>
      <c r="H867" s="74"/>
      <c r="I867" s="74"/>
      <c r="J867" s="74"/>
      <c r="K867" s="74"/>
      <c r="Z867" s="122"/>
    </row>
    <row r="868" spans="6:26" customFormat="1" ht="12.75" x14ac:dyDescent="0.2">
      <c r="F868" s="453"/>
      <c r="H868" s="74"/>
      <c r="I868" s="74"/>
      <c r="J868" s="74"/>
      <c r="K868" s="74"/>
      <c r="Z868" s="122"/>
    </row>
    <row r="869" spans="6:26" customFormat="1" ht="12.75" x14ac:dyDescent="0.2">
      <c r="F869" s="453"/>
      <c r="H869" s="74"/>
      <c r="I869" s="74"/>
      <c r="J869" s="74"/>
      <c r="K869" s="74"/>
      <c r="Z869" s="122"/>
    </row>
    <row r="870" spans="6:26" customFormat="1" ht="12.75" x14ac:dyDescent="0.2">
      <c r="F870" s="453"/>
      <c r="H870" s="74"/>
      <c r="I870" s="74"/>
      <c r="J870" s="74"/>
      <c r="K870" s="74"/>
      <c r="Z870" s="122"/>
    </row>
    <row r="871" spans="6:26" customFormat="1" ht="12.75" x14ac:dyDescent="0.2">
      <c r="F871" s="453"/>
      <c r="H871" s="74"/>
      <c r="I871" s="74"/>
      <c r="J871" s="74"/>
      <c r="K871" s="74"/>
      <c r="Z871" s="122"/>
    </row>
    <row r="872" spans="6:26" customFormat="1" ht="12.75" x14ac:dyDescent="0.2">
      <c r="F872" s="453"/>
      <c r="H872" s="74"/>
      <c r="I872" s="74"/>
      <c r="J872" s="74"/>
      <c r="K872" s="74"/>
      <c r="Z872" s="122"/>
    </row>
    <row r="873" spans="6:26" customFormat="1" ht="12.75" x14ac:dyDescent="0.2">
      <c r="F873" s="453"/>
      <c r="H873" s="74"/>
      <c r="I873" s="74"/>
      <c r="J873" s="74"/>
      <c r="K873" s="74"/>
      <c r="Z873" s="122"/>
    </row>
    <row r="874" spans="6:26" customFormat="1" ht="12.75" x14ac:dyDescent="0.2">
      <c r="F874" s="453"/>
      <c r="H874" s="74"/>
      <c r="I874" s="74"/>
      <c r="J874" s="74"/>
      <c r="K874" s="74"/>
      <c r="Z874" s="122"/>
    </row>
    <row r="875" spans="6:26" customFormat="1" ht="12.75" x14ac:dyDescent="0.2">
      <c r="F875" s="453"/>
      <c r="H875" s="74"/>
      <c r="I875" s="74"/>
      <c r="J875" s="74"/>
      <c r="K875" s="74"/>
      <c r="Z875" s="122"/>
    </row>
    <row r="876" spans="6:26" customFormat="1" ht="12.75" x14ac:dyDescent="0.2">
      <c r="F876" s="453"/>
      <c r="H876" s="74"/>
      <c r="I876" s="74"/>
      <c r="J876" s="74"/>
      <c r="K876" s="74"/>
      <c r="Z876" s="122"/>
    </row>
    <row r="877" spans="6:26" customFormat="1" ht="12.75" x14ac:dyDescent="0.2">
      <c r="F877" s="453"/>
      <c r="H877" s="74"/>
      <c r="I877" s="74"/>
      <c r="J877" s="74"/>
      <c r="K877" s="74"/>
      <c r="Z877" s="122"/>
    </row>
    <row r="878" spans="6:26" customFormat="1" ht="12.75" x14ac:dyDescent="0.2">
      <c r="F878" s="453"/>
      <c r="H878" s="74"/>
      <c r="I878" s="74"/>
      <c r="J878" s="74"/>
      <c r="K878" s="74"/>
      <c r="Z878" s="122"/>
    </row>
    <row r="879" spans="6:26" customFormat="1" ht="12.75" x14ac:dyDescent="0.2">
      <c r="F879" s="453"/>
      <c r="H879" s="74"/>
      <c r="I879" s="74"/>
      <c r="J879" s="74"/>
      <c r="K879" s="74"/>
      <c r="Z879" s="122"/>
    </row>
    <row r="880" spans="6:26" customFormat="1" ht="12.75" x14ac:dyDescent="0.2">
      <c r="F880" s="453"/>
      <c r="H880" s="74"/>
      <c r="I880" s="74"/>
      <c r="J880" s="74"/>
      <c r="K880" s="74"/>
      <c r="Z880" s="122"/>
    </row>
    <row r="881" spans="6:26" customFormat="1" ht="12.75" x14ac:dyDescent="0.2">
      <c r="F881" s="453"/>
      <c r="H881" s="74"/>
      <c r="I881" s="74"/>
      <c r="J881" s="74"/>
      <c r="K881" s="74"/>
      <c r="Z881" s="122"/>
    </row>
    <row r="882" spans="6:26" customFormat="1" ht="12.75" x14ac:dyDescent="0.2">
      <c r="F882" s="453"/>
      <c r="H882" s="74"/>
      <c r="I882" s="74"/>
      <c r="J882" s="74"/>
      <c r="K882" s="74"/>
      <c r="Z882" s="122"/>
    </row>
    <row r="883" spans="6:26" customFormat="1" ht="12.75" x14ac:dyDescent="0.2">
      <c r="F883" s="453"/>
      <c r="H883" s="74"/>
      <c r="I883" s="74"/>
      <c r="J883" s="74"/>
      <c r="K883" s="74"/>
      <c r="Z883" s="122"/>
    </row>
    <row r="884" spans="6:26" customFormat="1" ht="12.75" x14ac:dyDescent="0.2">
      <c r="F884" s="453"/>
      <c r="H884" s="74"/>
      <c r="I884" s="74"/>
      <c r="J884" s="74"/>
      <c r="K884" s="74"/>
      <c r="Z884" s="122"/>
    </row>
    <row r="885" spans="6:26" customFormat="1" ht="12.75" x14ac:dyDescent="0.2">
      <c r="F885" s="453"/>
      <c r="H885" s="74"/>
      <c r="I885" s="74"/>
      <c r="J885" s="74"/>
      <c r="K885" s="74"/>
      <c r="Z885" s="122"/>
    </row>
    <row r="886" spans="6:26" customFormat="1" ht="12.75" x14ac:dyDescent="0.2">
      <c r="F886" s="453"/>
      <c r="H886" s="74"/>
      <c r="I886" s="74"/>
      <c r="J886" s="74"/>
      <c r="K886" s="74"/>
      <c r="Z886" s="122"/>
    </row>
    <row r="887" spans="6:26" customFormat="1" ht="12.75" x14ac:dyDescent="0.2">
      <c r="F887" s="453"/>
      <c r="H887" s="74"/>
      <c r="I887" s="74"/>
      <c r="J887" s="74"/>
      <c r="K887" s="74"/>
      <c r="Z887" s="122"/>
    </row>
    <row r="888" spans="6:26" customFormat="1" ht="12.75" x14ac:dyDescent="0.2">
      <c r="F888" s="453"/>
      <c r="H888" s="74"/>
      <c r="I888" s="74"/>
      <c r="J888" s="74"/>
      <c r="K888" s="74"/>
      <c r="Z888" s="122"/>
    </row>
    <row r="889" spans="6:26" customFormat="1" ht="12.75" x14ac:dyDescent="0.2">
      <c r="F889" s="453"/>
      <c r="H889" s="74"/>
      <c r="I889" s="74"/>
      <c r="J889" s="74"/>
      <c r="K889" s="74"/>
      <c r="Z889" s="122"/>
    </row>
    <row r="890" spans="6:26" customFormat="1" ht="12.75" x14ac:dyDescent="0.2">
      <c r="F890" s="453"/>
      <c r="H890" s="74"/>
      <c r="I890" s="74"/>
      <c r="J890" s="74"/>
      <c r="K890" s="74"/>
      <c r="Z890" s="122"/>
    </row>
    <row r="891" spans="6:26" customFormat="1" ht="12.75" x14ac:dyDescent="0.2">
      <c r="F891" s="453"/>
      <c r="H891" s="74"/>
      <c r="I891" s="74"/>
      <c r="J891" s="74"/>
      <c r="K891" s="74"/>
      <c r="Z891" s="122"/>
    </row>
    <row r="892" spans="6:26" customFormat="1" ht="12.75" x14ac:dyDescent="0.2">
      <c r="F892" s="453"/>
      <c r="H892" s="74"/>
      <c r="I892" s="74"/>
      <c r="J892" s="74"/>
      <c r="K892" s="74"/>
      <c r="Z892" s="122"/>
    </row>
    <row r="893" spans="6:26" customFormat="1" ht="12.75" x14ac:dyDescent="0.2">
      <c r="F893" s="453"/>
      <c r="H893" s="74"/>
      <c r="I893" s="74"/>
      <c r="J893" s="74"/>
      <c r="K893" s="74"/>
      <c r="Z893" s="122"/>
    </row>
    <row r="894" spans="6:26" customFormat="1" ht="12.75" x14ac:dyDescent="0.2">
      <c r="F894" s="453"/>
      <c r="H894" s="74"/>
      <c r="I894" s="74"/>
      <c r="J894" s="74"/>
      <c r="K894" s="74"/>
      <c r="Z894" s="122"/>
    </row>
    <row r="895" spans="6:26" customFormat="1" ht="12.75" x14ac:dyDescent="0.2">
      <c r="F895" s="453"/>
      <c r="H895" s="74"/>
      <c r="I895" s="74"/>
      <c r="J895" s="74"/>
      <c r="K895" s="74"/>
      <c r="Z895" s="122"/>
    </row>
    <row r="896" spans="6:26" customFormat="1" ht="12.75" x14ac:dyDescent="0.2">
      <c r="F896" s="453"/>
      <c r="H896" s="74"/>
      <c r="I896" s="74"/>
      <c r="J896" s="74"/>
      <c r="K896" s="74"/>
      <c r="Z896" s="122"/>
    </row>
    <row r="897" spans="6:26" customFormat="1" ht="12.75" x14ac:dyDescent="0.2">
      <c r="F897" s="453"/>
      <c r="H897" s="74"/>
      <c r="I897" s="74"/>
      <c r="J897" s="74"/>
      <c r="K897" s="74"/>
      <c r="Z897" s="122"/>
    </row>
    <row r="898" spans="6:26" customFormat="1" ht="12.75" x14ac:dyDescent="0.2">
      <c r="F898" s="453"/>
      <c r="H898" s="74"/>
      <c r="I898" s="74"/>
      <c r="J898" s="74"/>
      <c r="K898" s="74"/>
      <c r="Z898" s="122"/>
    </row>
    <row r="899" spans="6:26" customFormat="1" ht="12.75" x14ac:dyDescent="0.2">
      <c r="F899" s="453"/>
      <c r="H899" s="74"/>
      <c r="I899" s="74"/>
      <c r="J899" s="74"/>
      <c r="K899" s="74"/>
      <c r="Z899" s="122"/>
    </row>
    <row r="900" spans="6:26" customFormat="1" ht="12.75" x14ac:dyDescent="0.2">
      <c r="F900" s="453"/>
      <c r="H900" s="74"/>
      <c r="I900" s="74"/>
      <c r="J900" s="74"/>
      <c r="K900" s="74"/>
      <c r="Z900" s="122"/>
    </row>
    <row r="901" spans="6:26" customFormat="1" ht="12.75" x14ac:dyDescent="0.2">
      <c r="F901" s="453"/>
      <c r="H901" s="74"/>
      <c r="I901" s="74"/>
      <c r="J901" s="74"/>
      <c r="K901" s="74"/>
      <c r="Z901" s="122"/>
    </row>
    <row r="902" spans="6:26" customFormat="1" ht="12.75" x14ac:dyDescent="0.2">
      <c r="F902" s="453"/>
      <c r="H902" s="74"/>
      <c r="I902" s="74"/>
      <c r="J902" s="74"/>
      <c r="K902" s="74"/>
      <c r="Z902" s="122"/>
    </row>
    <row r="903" spans="6:26" customFormat="1" ht="12.75" x14ac:dyDescent="0.2">
      <c r="F903" s="453"/>
      <c r="H903" s="74"/>
      <c r="I903" s="74"/>
      <c r="J903" s="74"/>
      <c r="K903" s="74"/>
      <c r="Z903" s="122"/>
    </row>
    <row r="904" spans="6:26" customFormat="1" ht="12.75" x14ac:dyDescent="0.2">
      <c r="F904" s="453"/>
      <c r="H904" s="74"/>
      <c r="I904" s="74"/>
      <c r="J904" s="74"/>
      <c r="K904" s="74"/>
      <c r="Z904" s="122"/>
    </row>
    <row r="905" spans="6:26" customFormat="1" ht="12.75" x14ac:dyDescent="0.2">
      <c r="F905" s="453"/>
      <c r="H905" s="74"/>
      <c r="I905" s="74"/>
      <c r="J905" s="74"/>
      <c r="K905" s="74"/>
      <c r="Z905" s="122"/>
    </row>
    <row r="906" spans="6:26" customFormat="1" ht="12.75" x14ac:dyDescent="0.2">
      <c r="F906" s="453"/>
      <c r="H906" s="74"/>
      <c r="I906" s="74"/>
      <c r="J906" s="74"/>
      <c r="K906" s="74"/>
      <c r="Z906" s="122"/>
    </row>
    <row r="907" spans="6:26" customFormat="1" ht="12.75" x14ac:dyDescent="0.2">
      <c r="F907" s="453"/>
      <c r="H907" s="74"/>
      <c r="I907" s="74"/>
      <c r="J907" s="74"/>
      <c r="K907" s="74"/>
      <c r="Z907" s="122"/>
    </row>
    <row r="908" spans="6:26" customFormat="1" ht="12.75" x14ac:dyDescent="0.2">
      <c r="F908" s="453"/>
      <c r="H908" s="74"/>
      <c r="I908" s="74"/>
      <c r="J908" s="74"/>
      <c r="K908" s="74"/>
      <c r="Z908" s="122"/>
    </row>
    <row r="909" spans="6:26" customFormat="1" ht="12.75" x14ac:dyDescent="0.2">
      <c r="F909" s="453"/>
      <c r="H909" s="74"/>
      <c r="I909" s="74"/>
      <c r="J909" s="74"/>
      <c r="K909" s="74"/>
      <c r="Z909" s="122"/>
    </row>
  </sheetData>
  <mergeCells count="8">
    <mergeCell ref="B84:B87"/>
    <mergeCell ref="B88:B89"/>
    <mergeCell ref="B37:C37"/>
    <mergeCell ref="B43:B45"/>
    <mergeCell ref="B49:B67"/>
    <mergeCell ref="B68:B72"/>
    <mergeCell ref="B80:B83"/>
    <mergeCell ref="B75:B79"/>
  </mergeCells>
  <dataValidations disablePrompts="1" count="1">
    <dataValidation allowBlank="1" showInputMessage="1" showErrorMessage="1" promptTitle="Energía Renovable  Intermitente" prompt="Atención: _x000a_Este valor muestra el porcentaje de energía intermiente (eólico+ solar) inyectado el  año 2050.  Sobrepasar el valor de 50% requieren esfuerzos adicionales cómo almacenamiento de energía." sqref="D37"/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disablePrompts="1" count="22">
        <x14:dataValidation type="list" allowBlank="1" showInputMessage="1" showErrorMessage="1">
          <x14:formula1>
            <xm:f>Listas!$E$6:$F$6</xm:f>
          </x14:formula1>
          <xm:sqref>F44:G44 N44:Q44</xm:sqref>
        </x14:dataValidation>
        <x14:dataValidation type="list" allowBlank="1" showInputMessage="1" showErrorMessage="1">
          <x14:formula1>
            <xm:f>Listas!$E$7:$F$7</xm:f>
          </x14:formula1>
          <xm:sqref>F45:G45 N45:Q45</xm:sqref>
        </x14:dataValidation>
        <x14:dataValidation type="list" allowBlank="1" showInputMessage="1" showErrorMessage="1">
          <x14:formula1>
            <xm:f>Listas!$E$12:$H$12</xm:f>
          </x14:formula1>
          <xm:sqref>F50:G50 N50:Q50</xm:sqref>
        </x14:dataValidation>
        <x14:dataValidation type="list" allowBlank="1" showInputMessage="1" showErrorMessage="1">
          <x14:formula1>
            <xm:f>Listas!$E$13:$H$13</xm:f>
          </x14:formula1>
          <xm:sqref>F51:G51 N51:Q51</xm:sqref>
        </x14:dataValidation>
        <x14:dataValidation type="list" allowBlank="1" showInputMessage="1" showErrorMessage="1">
          <x14:formula1>
            <xm:f>Listas!$E$17:$H$17</xm:f>
          </x14:formula1>
          <xm:sqref>F53 G52:G53 N53:Q53</xm:sqref>
        </x14:dataValidation>
        <x14:dataValidation type="list" allowBlank="1" showInputMessage="1" showErrorMessage="1">
          <x14:formula1>
            <xm:f>Listas!$E$19:$H$19</xm:f>
          </x14:formula1>
          <xm:sqref>F55:G55 N55:Q55</xm:sqref>
        </x14:dataValidation>
        <x14:dataValidation type="list" allowBlank="1" showInputMessage="1" showErrorMessage="1">
          <x14:formula1>
            <xm:f>Listas!$E$20:$H$20</xm:f>
          </x14:formula1>
          <xm:sqref>F56:G56 N56:Q56</xm:sqref>
        </x14:dataValidation>
        <x14:dataValidation type="list" allowBlank="1" showInputMessage="1" showErrorMessage="1">
          <x14:formula1>
            <xm:f>Listas!$E$21:$H$21</xm:f>
          </x14:formula1>
          <xm:sqref>F57:G57 N57:Q57</xm:sqref>
        </x14:dataValidation>
        <x14:dataValidation type="list" allowBlank="1" showInputMessage="1" showErrorMessage="1">
          <x14:formula1>
            <xm:f>Listas!$E$23:$H$23</xm:f>
          </x14:formula1>
          <xm:sqref>F59:G59 N59:Q59</xm:sqref>
        </x14:dataValidation>
        <x14:dataValidation type="list" allowBlank="1" showInputMessage="1" showErrorMessage="1">
          <x14:formula1>
            <xm:f>Listas!$E$24:$H$24</xm:f>
          </x14:formula1>
          <xm:sqref>F60:G60 N60:Q60</xm:sqref>
        </x14:dataValidation>
        <x14:dataValidation type="list" allowBlank="1" showInputMessage="1" showErrorMessage="1">
          <x14:formula1>
            <xm:f>Listas!$E$25:$H$25</xm:f>
          </x14:formula1>
          <xm:sqref>F62:G62 N62:Q62</xm:sqref>
        </x14:dataValidation>
        <x14:dataValidation type="list" allowBlank="1" showInputMessage="1" showErrorMessage="1">
          <x14:formula1>
            <xm:f>Listas!$E$26:$H$26</xm:f>
          </x14:formula1>
          <xm:sqref>F64:G65 N64:Q65</xm:sqref>
        </x14:dataValidation>
        <x14:dataValidation type="list" allowBlank="1" showInputMessage="1" showErrorMessage="1">
          <x14:formula1>
            <xm:f>Listas!$E$28:$H$28</xm:f>
          </x14:formula1>
          <xm:sqref>F67:G67 F69:G69 F71:G72 N67:Q67 N69:Q69 N71:Q72</xm:sqref>
        </x14:dataValidation>
        <x14:dataValidation type="list" allowBlank="1" showInputMessage="1" showErrorMessage="1">
          <x14:formula1>
            <xm:f>Listas!$E$40:$H$40</xm:f>
          </x14:formula1>
          <xm:sqref>F76:G77 N76:Q77</xm:sqref>
        </x14:dataValidation>
        <x14:dataValidation type="list" allowBlank="1" showInputMessage="1" showErrorMessage="1">
          <x14:formula1>
            <xm:f>Listas!$E$42:$H$42</xm:f>
          </x14:formula1>
          <xm:sqref>F78:G79 N78:Q78</xm:sqref>
        </x14:dataValidation>
        <x14:dataValidation type="list" allowBlank="1" showInputMessage="1" showErrorMessage="1">
          <x14:formula1>
            <xm:f>Listas!$E$52:$H$52</xm:f>
          </x14:formula1>
          <xm:sqref>F81:G81 N81:Q81</xm:sqref>
        </x14:dataValidation>
        <x14:dataValidation type="list" allowBlank="1" showInputMessage="1" showErrorMessage="1">
          <x14:formula1>
            <xm:f>Listas!$E$54:$H$54</xm:f>
          </x14:formula1>
          <xm:sqref>F82:G82 N82:Q82</xm:sqref>
        </x14:dataValidation>
        <x14:dataValidation type="list" allowBlank="1" showInputMessage="1" showErrorMessage="1">
          <x14:formula1>
            <xm:f>Listas!$E$55:$H$55</xm:f>
          </x14:formula1>
          <xm:sqref>F83:G83 N83:Q83</xm:sqref>
        </x14:dataValidation>
        <x14:dataValidation type="list" allowBlank="1" showInputMessage="1" showErrorMessage="1">
          <x14:formula1>
            <xm:f>Listas!$E$59:$H$59</xm:f>
          </x14:formula1>
          <xm:sqref>G85 F85:F87 F89 N85:Q87 N89:Q89</xm:sqref>
        </x14:dataValidation>
        <x14:dataValidation type="list" allowBlank="1" showInputMessage="1" showErrorMessage="1">
          <x14:formula1>
            <xm:f>[1]Listas!#REF!</xm:f>
          </x14:formula1>
          <xm:sqref>M44:M45 M50:M51 M53 M55:M57 M59:M60 M62 M64:M65 M71:M72 M69 M67 M85:M87 M89 M81:M83 M76:M78</xm:sqref>
        </x14:dataValidation>
        <x14:dataValidation type="list" allowBlank="1" showInputMessage="1" showErrorMessage="1">
          <x14:formula1>
            <xm:f>[2]Listas!#REF!</xm:f>
          </x14:formula1>
          <xm:sqref>M79</xm:sqref>
        </x14:dataValidation>
        <x14:dataValidation type="list" allowBlank="1" showInputMessage="1" showErrorMessage="1">
          <x14:formula1>
            <xm:f>[3]Listas!#REF!</xm:f>
          </x14:formula1>
          <xm:sqref>N79:Q79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BG357"/>
  <sheetViews>
    <sheetView showGridLines="0" topLeftCell="P1" zoomScale="85" zoomScaleNormal="85" workbookViewId="0">
      <selection activeCell="AM13" sqref="AM13"/>
    </sheetView>
  </sheetViews>
  <sheetFormatPr baseColWidth="10" defaultColWidth="9.140625" defaultRowHeight="12.75" outlineLevelRow="2" x14ac:dyDescent="0.2"/>
  <cols>
    <col min="1" max="1" width="2.140625" customWidth="1"/>
    <col min="2" max="2" width="4.42578125" customWidth="1"/>
    <col min="3" max="3" width="5.42578125" bestFit="1" customWidth="1"/>
    <col min="4" max="4" width="31.85546875" customWidth="1"/>
    <col min="5" max="5" width="10.28515625" customWidth="1"/>
    <col min="6" max="7" width="10.42578125" bestFit="1" customWidth="1"/>
    <col min="8" max="10" width="10.28515625" bestFit="1" customWidth="1"/>
    <col min="11" max="13" width="11.28515625" bestFit="1" customWidth="1"/>
    <col min="15" max="15" width="6.5703125" customWidth="1"/>
    <col min="16" max="16" width="16.7109375" bestFit="1" customWidth="1"/>
    <col min="18" max="18" width="17.5703125" customWidth="1"/>
    <col min="19" max="19" width="10.42578125" bestFit="1" customWidth="1"/>
    <col min="20" max="26" width="9.42578125" bestFit="1" customWidth="1"/>
    <col min="27" max="27" width="9.42578125" customWidth="1"/>
    <col min="28" max="28" width="10.5703125" bestFit="1" customWidth="1"/>
    <col min="29" max="29" width="19.28515625" customWidth="1"/>
    <col min="30" max="37" width="13.85546875" customWidth="1"/>
    <col min="40" max="40" width="30" customWidth="1"/>
    <col min="51" max="51" width="22" bestFit="1" customWidth="1"/>
    <col min="52" max="52" width="11.85546875" bestFit="1" customWidth="1"/>
  </cols>
  <sheetData>
    <row r="1" spans="1:59" ht="6.75" customHeight="1" x14ac:dyDescent="0.2"/>
    <row r="2" spans="1:59" ht="23.25" x14ac:dyDescent="0.35">
      <c r="A2" s="352"/>
      <c r="B2" s="353" t="s">
        <v>952</v>
      </c>
      <c r="C2" s="355"/>
      <c r="D2" s="355"/>
      <c r="E2" s="355"/>
      <c r="F2" s="355"/>
      <c r="G2" s="355"/>
      <c r="H2" s="355"/>
      <c r="I2" s="355"/>
      <c r="J2" s="355"/>
      <c r="K2" s="355"/>
      <c r="L2" s="355"/>
      <c r="M2" s="355"/>
      <c r="N2" s="357"/>
      <c r="P2" s="3450" t="s">
        <v>2291</v>
      </c>
      <c r="R2" s="80" t="s">
        <v>2242</v>
      </c>
      <c r="AB2" s="3450" t="s">
        <v>2292</v>
      </c>
      <c r="AC2" s="80" t="str">
        <f>C27</f>
        <v>Demanda de Energía por sector</v>
      </c>
      <c r="AM2" s="3450" t="s">
        <v>2321</v>
      </c>
      <c r="AN2" s="80" t="s">
        <v>1633</v>
      </c>
      <c r="AY2" t="s">
        <v>1635</v>
      </c>
    </row>
    <row r="3" spans="1:59" s="14" customFormat="1" ht="20.25" customHeight="1" x14ac:dyDescent="0.2">
      <c r="B3" s="358"/>
      <c r="C3" s="360"/>
      <c r="D3" s="360"/>
      <c r="E3" s="360"/>
      <c r="F3" s="360"/>
      <c r="G3" s="360"/>
      <c r="H3" s="360"/>
      <c r="I3" s="360"/>
      <c r="J3" s="360"/>
      <c r="K3" s="360"/>
      <c r="L3" s="1242"/>
      <c r="M3" s="1243"/>
      <c r="N3" s="1244"/>
      <c r="O3"/>
      <c r="R3" s="2622" t="s">
        <v>171</v>
      </c>
      <c r="S3" s="2622">
        <v>2015</v>
      </c>
      <c r="T3" s="2622">
        <v>2020</v>
      </c>
      <c r="U3" s="2622">
        <v>2025</v>
      </c>
      <c r="V3" s="2622">
        <v>2030</v>
      </c>
      <c r="W3" s="2622">
        <v>2035</v>
      </c>
      <c r="X3" s="2622">
        <v>2040</v>
      </c>
      <c r="Y3" s="2622">
        <v>2045</v>
      </c>
      <c r="Z3" s="2622">
        <v>2050</v>
      </c>
      <c r="AA3" s="2622"/>
      <c r="AC3" s="2622" t="s">
        <v>171</v>
      </c>
      <c r="AD3" s="2622">
        <v>2015</v>
      </c>
      <c r="AE3" s="2622">
        <v>2020</v>
      </c>
      <c r="AF3" s="2622">
        <v>2025</v>
      </c>
      <c r="AG3" s="2622">
        <v>2030</v>
      </c>
      <c r="AH3" s="2622">
        <v>2035</v>
      </c>
      <c r="AI3" s="2622">
        <v>2040</v>
      </c>
      <c r="AJ3" s="2622">
        <v>2045</v>
      </c>
      <c r="AK3" s="2622">
        <v>2050</v>
      </c>
      <c r="AN3" s="2622" t="str">
        <f>AC3</f>
        <v>TWh</v>
      </c>
      <c r="AO3" s="2622">
        <v>2015</v>
      </c>
      <c r="AP3" s="2622">
        <v>2020</v>
      </c>
      <c r="AQ3" s="2622">
        <v>2025</v>
      </c>
      <c r="AR3" s="2622">
        <v>2030</v>
      </c>
      <c r="AS3" s="2622">
        <v>2035</v>
      </c>
      <c r="AT3" s="2622">
        <v>2040</v>
      </c>
      <c r="AU3" s="2622">
        <v>2045</v>
      </c>
      <c r="AV3" s="2622">
        <v>2050</v>
      </c>
      <c r="AY3" s="14" t="s">
        <v>171</v>
      </c>
      <c r="AZ3" s="14">
        <v>2015</v>
      </c>
      <c r="BA3" s="14">
        <v>2020</v>
      </c>
      <c r="BB3" s="14">
        <v>2025</v>
      </c>
      <c r="BC3" s="14">
        <v>2030</v>
      </c>
      <c r="BD3" s="14">
        <v>2035</v>
      </c>
      <c r="BE3" s="14">
        <v>2040</v>
      </c>
      <c r="BF3" s="14">
        <v>2045</v>
      </c>
      <c r="BG3" s="14">
        <v>2050</v>
      </c>
    </row>
    <row r="4" spans="1:59" ht="20.25" customHeight="1" x14ac:dyDescent="0.2">
      <c r="B4" s="358"/>
      <c r="C4" s="360"/>
      <c r="D4" s="1245" t="s">
        <v>705</v>
      </c>
      <c r="E4" s="360"/>
      <c r="F4" s="1246">
        <v>2015</v>
      </c>
      <c r="G4" s="1246">
        <v>2020</v>
      </c>
      <c r="H4" s="1246">
        <v>2025</v>
      </c>
      <c r="I4" s="1246">
        <v>2030</v>
      </c>
      <c r="J4" s="1246">
        <v>2035</v>
      </c>
      <c r="K4" s="1246">
        <v>2040</v>
      </c>
      <c r="L4" s="1246">
        <v>2045</v>
      </c>
      <c r="M4" s="1246">
        <v>2050</v>
      </c>
      <c r="N4" s="362"/>
      <c r="R4" s="3454"/>
      <c r="S4" s="3455"/>
      <c r="T4" s="3455"/>
      <c r="U4" s="3455"/>
      <c r="V4" s="3455"/>
      <c r="W4" s="3455"/>
      <c r="X4" s="3455"/>
      <c r="Y4" s="3455"/>
      <c r="Z4" s="3456"/>
      <c r="AA4" s="81"/>
      <c r="AC4" s="3451" t="str">
        <f>D28</f>
        <v>Comercial, Público y Residencial</v>
      </c>
      <c r="AD4" s="3470">
        <f t="shared" ref="AD4:AK6" ca="1" si="0">F28</f>
        <v>69.732488609722594</v>
      </c>
      <c r="AE4" s="3470">
        <f t="shared" ca="1" si="0"/>
        <v>77.779438139494317</v>
      </c>
      <c r="AF4" s="3470">
        <f t="shared" ca="1" si="0"/>
        <v>89.460347308565986</v>
      </c>
      <c r="AG4" s="3470">
        <f t="shared" ca="1" si="0"/>
        <v>103.32455340139477</v>
      </c>
      <c r="AH4" s="3470">
        <f t="shared" ca="1" si="0"/>
        <v>118.96919895910916</v>
      </c>
      <c r="AI4" s="3470">
        <f t="shared" ca="1" si="0"/>
        <v>137.0678323267025</v>
      </c>
      <c r="AJ4" s="3470">
        <f t="shared" ca="1" si="0"/>
        <v>158.362640255516</v>
      </c>
      <c r="AK4" s="3471">
        <f t="shared" ca="1" si="0"/>
        <v>179.14934888905594</v>
      </c>
      <c r="AN4" s="3451" t="s">
        <v>491</v>
      </c>
      <c r="AO4" s="3532">
        <f ca="1">F125</f>
        <v>10.716366861978855</v>
      </c>
      <c r="AP4" s="3532">
        <f t="shared" ref="AP4:AV6" ca="1" si="1">G125</f>
        <v>11.993360596902663</v>
      </c>
      <c r="AQ4" s="3532">
        <f t="shared" ca="1" si="1"/>
        <v>14.434262310558546</v>
      </c>
      <c r="AR4" s="3532">
        <f t="shared" ca="1" si="1"/>
        <v>17.042050376536562</v>
      </c>
      <c r="AS4" s="3532">
        <f t="shared" ca="1" si="1"/>
        <v>20.265255004021373</v>
      </c>
      <c r="AT4" s="3532">
        <f t="shared" ca="1" si="1"/>
        <v>23.810483729297946</v>
      </c>
      <c r="AU4" s="3532">
        <f t="shared" ca="1" si="1"/>
        <v>27.480020318721834</v>
      </c>
      <c r="AV4" s="3533">
        <f t="shared" ca="1" si="1"/>
        <v>30.807684864500306</v>
      </c>
      <c r="AY4" t="s">
        <v>1635</v>
      </c>
      <c r="AZ4" s="1325">
        <f t="shared" ref="AZ4:BG4" ca="1" si="2">-F109</f>
        <v>67.579633316573762</v>
      </c>
      <c r="BA4" s="1325">
        <f t="shared" ca="1" si="2"/>
        <v>78.979509560230042</v>
      </c>
      <c r="BB4" s="1325">
        <f t="shared" ca="1" si="2"/>
        <v>91.520244446127037</v>
      </c>
      <c r="BC4" s="1325">
        <f t="shared" ca="1" si="2"/>
        <v>103.6006457581674</v>
      </c>
      <c r="BD4" s="1325">
        <f t="shared" ca="1" si="2"/>
        <v>117.65200581808284</v>
      </c>
      <c r="BE4" s="1325">
        <f t="shared" ca="1" si="2"/>
        <v>132.75541227739603</v>
      </c>
      <c r="BF4" s="1325">
        <f t="shared" ca="1" si="2"/>
        <v>148.13841553905652</v>
      </c>
      <c r="BG4" s="1325">
        <f t="shared" ca="1" si="2"/>
        <v>162.18836791957614</v>
      </c>
    </row>
    <row r="5" spans="1:59" x14ac:dyDescent="0.2">
      <c r="B5" s="358"/>
      <c r="C5" s="360"/>
      <c r="D5" s="360"/>
      <c r="E5" s="360"/>
      <c r="F5" s="360"/>
      <c r="G5" s="360"/>
      <c r="H5" s="360"/>
      <c r="I5" s="360"/>
      <c r="J5" s="360"/>
      <c r="K5" s="360"/>
      <c r="L5" s="360"/>
      <c r="M5" s="360"/>
      <c r="N5" s="362"/>
      <c r="R5" s="3457" t="str">
        <f t="shared" ref="R5:R9" si="3">D37</f>
        <v>Solar</v>
      </c>
      <c r="S5" s="3458">
        <f t="shared" ref="S5:Z9" ca="1" si="4">F37</f>
        <v>1.6026505617753739</v>
      </c>
      <c r="T5" s="3458">
        <f t="shared" ca="1" si="4"/>
        <v>5.0224084467316548</v>
      </c>
      <c r="U5" s="3458">
        <f t="shared" ca="1" si="4"/>
        <v>7.2029760905181748</v>
      </c>
      <c r="V5" s="3458">
        <f t="shared" ca="1" si="4"/>
        <v>8.3768579476252114</v>
      </c>
      <c r="W5" s="3458">
        <f t="shared" ca="1" si="4"/>
        <v>9.2967699073392964</v>
      </c>
      <c r="X5" s="3458">
        <f t="shared" ca="1" si="4"/>
        <v>9.9851748956592505</v>
      </c>
      <c r="Y5" s="3458">
        <f t="shared" ca="1" si="4"/>
        <v>10.461743649769149</v>
      </c>
      <c r="Z5" s="3459">
        <f t="shared" ca="1" si="4"/>
        <v>10.827699474223696</v>
      </c>
      <c r="AA5" s="81"/>
      <c r="AC5" s="122" t="str">
        <f>D29</f>
        <v>Industria y Minería</v>
      </c>
      <c r="AD5" s="3472">
        <f t="shared" ca="1" si="0"/>
        <v>135.84274834045024</v>
      </c>
      <c r="AE5" s="3472">
        <f t="shared" ca="1" si="0"/>
        <v>158.67044327209996</v>
      </c>
      <c r="AF5" s="3472">
        <f t="shared" ca="1" si="0"/>
        <v>180.06416398976444</v>
      </c>
      <c r="AG5" s="3472">
        <f t="shared" ca="1" si="0"/>
        <v>197.03307251300703</v>
      </c>
      <c r="AH5" s="3472">
        <f t="shared" ca="1" si="0"/>
        <v>218.59381484642964</v>
      </c>
      <c r="AI5" s="3472">
        <f t="shared" ca="1" si="0"/>
        <v>241.06883940080814</v>
      </c>
      <c r="AJ5" s="3472">
        <f t="shared" ca="1" si="0"/>
        <v>262.50546954554397</v>
      </c>
      <c r="AK5" s="3473">
        <f t="shared" ca="1" si="0"/>
        <v>282.57731267178247</v>
      </c>
      <c r="AN5" s="122" t="s">
        <v>387</v>
      </c>
      <c r="AO5" s="3579">
        <f t="shared" ref="AO5:AO6" ca="1" si="5">F126</f>
        <v>26.790917154947138</v>
      </c>
      <c r="AP5" s="3579">
        <f t="shared" ca="1" si="1"/>
        <v>29.983401492256657</v>
      </c>
      <c r="AQ5" s="3579">
        <f t="shared" ca="1" si="1"/>
        <v>36.085655776396365</v>
      </c>
      <c r="AR5" s="3579">
        <f t="shared" ca="1" si="1"/>
        <v>42.605125941341399</v>
      </c>
      <c r="AS5" s="3579">
        <f t="shared" ca="1" si="1"/>
        <v>50.663137510053431</v>
      </c>
      <c r="AT5" s="3579">
        <f t="shared" ca="1" si="1"/>
        <v>59.526209323244863</v>
      </c>
      <c r="AU5" s="3579">
        <f t="shared" ca="1" si="1"/>
        <v>68.700050796804589</v>
      </c>
      <c r="AV5" s="3580">
        <f t="shared" ca="1" si="1"/>
        <v>77.019212161250763</v>
      </c>
    </row>
    <row r="6" spans="1:59" s="192" customFormat="1" x14ac:dyDescent="0.2">
      <c r="B6" s="1247"/>
      <c r="C6" s="1248" t="s">
        <v>912</v>
      </c>
      <c r="D6" s="1249"/>
      <c r="E6" s="360"/>
      <c r="F6" s="1250"/>
      <c r="G6" s="1250"/>
      <c r="H6" s="1250"/>
      <c r="I6" s="1250"/>
      <c r="J6" s="1250"/>
      <c r="K6" s="1250"/>
      <c r="L6" s="1250"/>
      <c r="M6" s="1250"/>
      <c r="N6" s="1251"/>
      <c r="O6"/>
      <c r="P6" s="1252"/>
      <c r="R6" s="3457" t="s">
        <v>2398</v>
      </c>
      <c r="S6" s="3458">
        <f t="shared" ca="1" si="4"/>
        <v>2.6604443999999998</v>
      </c>
      <c r="T6" s="3458">
        <f t="shared" ca="1" si="4"/>
        <v>4.6811183999999999</v>
      </c>
      <c r="U6" s="3458">
        <f t="shared" ca="1" si="4"/>
        <v>4.9601951999999994</v>
      </c>
      <c r="V6" s="3458">
        <f t="shared" ca="1" si="4"/>
        <v>5.2392719999999988</v>
      </c>
      <c r="W6" s="3458">
        <f t="shared" ca="1" si="4"/>
        <v>5.5183487999999992</v>
      </c>
      <c r="X6" s="3458">
        <f t="shared" ca="1" si="4"/>
        <v>5.7974255999999986</v>
      </c>
      <c r="Y6" s="3458">
        <f t="shared" ca="1" si="4"/>
        <v>6.0765023999999981</v>
      </c>
      <c r="Z6" s="3459">
        <f t="shared" ca="1" si="4"/>
        <v>6.3555791999999975</v>
      </c>
      <c r="AA6" s="81"/>
      <c r="AB6"/>
      <c r="AC6" s="3466" t="str">
        <f>D30</f>
        <v>Transporte</v>
      </c>
      <c r="AD6" s="3474">
        <f t="shared" ca="1" si="0"/>
        <v>94.646430672273254</v>
      </c>
      <c r="AE6" s="3474">
        <f t="shared" ca="1" si="0"/>
        <v>101.90184165594128</v>
      </c>
      <c r="AF6" s="3474">
        <f t="shared" ca="1" si="0"/>
        <v>119.5723479137848</v>
      </c>
      <c r="AG6" s="3474">
        <f t="shared" ca="1" si="0"/>
        <v>143.42343267731206</v>
      </c>
      <c r="AH6" s="3474">
        <f t="shared" ca="1" si="0"/>
        <v>163.87690747914812</v>
      </c>
      <c r="AI6" s="3474">
        <f t="shared" ca="1" si="0"/>
        <v>178.49288116463165</v>
      </c>
      <c r="AJ6" s="3474">
        <f t="shared" ca="1" si="0"/>
        <v>189.2116773546291</v>
      </c>
      <c r="AK6" s="3475">
        <f t="shared" ca="1" si="0"/>
        <v>198.19344783503647</v>
      </c>
      <c r="AN6" s="3460" t="s">
        <v>2450</v>
      </c>
      <c r="AO6" s="2830">
        <f t="shared" ca="1" si="5"/>
        <v>2.0093187866210354</v>
      </c>
      <c r="AP6" s="2830">
        <f t="shared" ca="1" si="1"/>
        <v>2.2487551119192495</v>
      </c>
      <c r="AQ6" s="2830">
        <f t="shared" ca="1" si="1"/>
        <v>2.7064241832297276</v>
      </c>
      <c r="AR6" s="2830">
        <f t="shared" ca="1" si="1"/>
        <v>3.1953844456006051</v>
      </c>
      <c r="AS6" s="2830">
        <f t="shared" ca="1" si="1"/>
        <v>3.7997353132540082</v>
      </c>
      <c r="AT6" s="2830">
        <f t="shared" ca="1" si="1"/>
        <v>4.4644656992433651</v>
      </c>
      <c r="AU6" s="2830">
        <f t="shared" ca="1" si="1"/>
        <v>5.1525038097603444</v>
      </c>
      <c r="AV6" s="3534">
        <f t="shared" ca="1" si="1"/>
        <v>5.7764409120938076</v>
      </c>
      <c r="AY6" t="s">
        <v>1639</v>
      </c>
      <c r="AZ6" s="3479">
        <v>67.579633316573762</v>
      </c>
      <c r="BA6" s="3479">
        <v>78.979509560230042</v>
      </c>
      <c r="BB6" s="3479">
        <v>91.520244446127037</v>
      </c>
      <c r="BC6" s="3479">
        <v>103.6006457581674</v>
      </c>
      <c r="BD6" s="3479">
        <v>117.65200581808284</v>
      </c>
      <c r="BE6" s="3479">
        <v>132.75541227739603</v>
      </c>
      <c r="BF6" s="3479">
        <v>148.13841553905652</v>
      </c>
      <c r="BG6" s="3479">
        <v>162.18836791957614</v>
      </c>
    </row>
    <row r="7" spans="1:59" s="192" customFormat="1" x14ac:dyDescent="0.2">
      <c r="B7" s="1247"/>
      <c r="C7" s="1248"/>
      <c r="D7" s="1249"/>
      <c r="E7" s="360"/>
      <c r="F7" s="1250"/>
      <c r="G7" s="1250"/>
      <c r="H7" s="1250"/>
      <c r="I7" s="1250"/>
      <c r="J7" s="1250"/>
      <c r="K7" s="1250"/>
      <c r="L7" s="1250"/>
      <c r="M7" s="1250"/>
      <c r="N7" s="1251"/>
      <c r="O7"/>
      <c r="P7" s="1252"/>
      <c r="R7" s="3457" t="str">
        <f>D133</f>
        <v>Mareomotriz y Undimotriz</v>
      </c>
      <c r="S7" s="3458">
        <f ca="1">F39+F40</f>
        <v>0</v>
      </c>
      <c r="T7" s="3458">
        <f t="shared" ref="T7:Z7" ca="1" si="6">G39+G40</f>
        <v>0</v>
      </c>
      <c r="U7" s="3458">
        <f t="shared" ca="1" si="6"/>
        <v>1.341198E-2</v>
      </c>
      <c r="V7" s="3458">
        <f t="shared" ca="1" si="6"/>
        <v>1.9329030000000001E-2</v>
      </c>
      <c r="W7" s="3458">
        <f t="shared" ca="1" si="6"/>
        <v>2.8993545000000003E-2</v>
      </c>
      <c r="X7" s="3458">
        <f t="shared" ca="1" si="6"/>
        <v>8.6483602800000003E-2</v>
      </c>
      <c r="Y7" s="3458">
        <f t="shared" ca="1" si="6"/>
        <v>0.1770854724</v>
      </c>
      <c r="Z7" s="3458">
        <f t="shared" ca="1" si="6"/>
        <v>0.3541709448</v>
      </c>
      <c r="AA7" s="81"/>
      <c r="AB7"/>
      <c r="AD7" s="3476"/>
      <c r="AE7" s="3476"/>
      <c r="AF7" s="3476"/>
      <c r="AG7" s="3476"/>
      <c r="AH7" s="3476"/>
      <c r="AI7" s="3476"/>
      <c r="AJ7" s="3476"/>
      <c r="AK7" s="3476"/>
      <c r="AN7" s="122" t="s">
        <v>331</v>
      </c>
      <c r="AO7" s="2830">
        <f t="shared" ref="AO7:AO17" si="7">F128</f>
        <v>1.4025600000000003</v>
      </c>
      <c r="AP7" s="2830">
        <f t="shared" ref="AP7:AP17" si="8">G128</f>
        <v>1.4025600000000003</v>
      </c>
      <c r="AQ7" s="2830">
        <f t="shared" ref="AQ7:AQ17" si="9">H128</f>
        <v>1.4025600000000003</v>
      </c>
      <c r="AR7" s="2830">
        <f t="shared" ref="AR7:AR17" si="10">I128</f>
        <v>1.4025600000000003</v>
      </c>
      <c r="AS7" s="2830">
        <f t="shared" ref="AS7:AS17" si="11">J128</f>
        <v>1.4025600000000003</v>
      </c>
      <c r="AT7" s="2830">
        <f t="shared" ref="AT7:AT17" si="12">K128</f>
        <v>1.4025600000000003</v>
      </c>
      <c r="AU7" s="2830">
        <f t="shared" ref="AU7:AU17" si="13">L128</f>
        <v>1.4025600000000003</v>
      </c>
      <c r="AV7" s="3534">
        <f t="shared" ref="AV7:AV17" si="14">M128</f>
        <v>1.4025600000000003</v>
      </c>
      <c r="AZ7" s="3479"/>
      <c r="BA7" s="3479"/>
      <c r="BB7" s="3479"/>
      <c r="BC7" s="3479"/>
      <c r="BD7" s="3479"/>
      <c r="BE7" s="3479"/>
      <c r="BF7" s="3479"/>
      <c r="BG7" s="3479"/>
    </row>
    <row r="8" spans="1:59" s="192" customFormat="1" x14ac:dyDescent="0.2">
      <c r="B8" s="1247"/>
      <c r="C8" s="1249" t="s">
        <v>454</v>
      </c>
      <c r="D8" s="1249" t="str">
        <f>INDEX(Vectors[Descripción], MATCH($C8,Vectors[Código],FALSE))</f>
        <v>Climatización</v>
      </c>
      <c r="E8" s="360"/>
      <c r="F8" s="2607">
        <f ca="1">INDEX(INDIRECT("'"&amp;F$4&amp;"'!ano.balanceneto"), MATCH('Resultados Intermedios'!$C8, INDIRECT("'"&amp;F$4&amp;"'!ano.vector"), 0))</f>
        <v>35.492179526491917</v>
      </c>
      <c r="G8" s="2607">
        <f ca="1">INDEX(INDIRECT("'"&amp;G$4&amp;"'!ano.balanceneto"), MATCH('Resultados Intermedios'!$C8, INDIRECT("'"&amp;G$4&amp;"'!ano.vector"), 0))</f>
        <v>39.634019653836816</v>
      </c>
      <c r="H8" s="2607">
        <f ca="1">INDEX(INDIRECT("'"&amp;H$4&amp;"'!ano.balanceneto"), MATCH('Resultados Intermedios'!$C8, INDIRECT("'"&amp;H$4&amp;"'!ano.vector"), 0))</f>
        <v>45.608248634209794</v>
      </c>
      <c r="I8" s="2607">
        <f ca="1">INDEX(INDIRECT("'"&amp;I$4&amp;"'!ano.balanceneto"), MATCH('Resultados Intermedios'!$C8, INDIRECT("'"&amp;I$4&amp;"'!ano.vector"), 0))</f>
        <v>52.703979453627383</v>
      </c>
      <c r="J8" s="2607">
        <f ca="1">INDEX(INDIRECT("'"&amp;J$4&amp;"'!ano.balanceneto"), MATCH('Resultados Intermedios'!$C8, INDIRECT("'"&amp;J$4&amp;"'!ano.vector"), 0))</f>
        <v>60.783628392010016</v>
      </c>
      <c r="K8" s="2607">
        <f ca="1">INDEX(INDIRECT("'"&amp;K$4&amp;"'!ano.balanceneto"), MATCH('Resultados Intermedios'!$C8, INDIRECT("'"&amp;K$4&amp;"'!ano.vector"), 0))</f>
        <v>70.226997977553282</v>
      </c>
      <c r="L8" s="2607">
        <f ca="1">INDEX(INDIRECT("'"&amp;L$4&amp;"'!ano.balanceneto"), MATCH('Resultados Intermedios'!$C8, INDIRECT("'"&amp;L$4&amp;"'!ano.vector"), 0))</f>
        <v>81.429709387170789</v>
      </c>
      <c r="M8" s="2607">
        <f ca="1">INDEX(INDIRECT("'"&amp;M$4&amp;"'!ano.balanceneto"), MATCH('Resultados Intermedios'!$C8, INDIRECT("'"&amp;M$4&amp;"'!ano.vector"), 0))</f>
        <v>92.608642449977623</v>
      </c>
      <c r="N8" s="1251"/>
      <c r="O8"/>
      <c r="P8" s="1252"/>
      <c r="R8" s="3457"/>
      <c r="S8" s="3458"/>
      <c r="T8" s="3458"/>
      <c r="U8" s="3458"/>
      <c r="V8" s="3458"/>
      <c r="W8" s="3458"/>
      <c r="X8" s="3458"/>
      <c r="Y8" s="3458"/>
      <c r="Z8" s="3459"/>
      <c r="AA8" s="81"/>
      <c r="AB8"/>
      <c r="AC8" s="192" t="s">
        <v>118</v>
      </c>
      <c r="AD8" s="3477">
        <f ca="1">SUM(AD4:AD6)</f>
        <v>300.22166762244609</v>
      </c>
      <c r="AE8" s="3477">
        <f t="shared" ref="AE8:AJ8" ca="1" si="15">SUM(AE4:AE6)</f>
        <v>338.35172306753554</v>
      </c>
      <c r="AF8" s="3477">
        <f t="shared" ca="1" si="15"/>
        <v>389.09685921211519</v>
      </c>
      <c r="AG8" s="3477">
        <f t="shared" ca="1" si="15"/>
        <v>443.78105859171387</v>
      </c>
      <c r="AH8" s="3477">
        <f t="shared" ca="1" si="15"/>
        <v>501.43992128468687</v>
      </c>
      <c r="AI8" s="3477">
        <f t="shared" ca="1" si="15"/>
        <v>556.62955289214233</v>
      </c>
      <c r="AJ8" s="3477">
        <f t="shared" ca="1" si="15"/>
        <v>610.07978715568902</v>
      </c>
      <c r="AK8" s="3477">
        <f ca="1">SUM(AK4:AK6)</f>
        <v>659.92010939587487</v>
      </c>
      <c r="AN8" s="122" t="s">
        <v>2398</v>
      </c>
      <c r="AO8" s="2830">
        <f t="shared" si="7"/>
        <v>2.6604443999999998</v>
      </c>
      <c r="AP8" s="2830">
        <f t="shared" si="8"/>
        <v>4.6811183999999999</v>
      </c>
      <c r="AQ8" s="2830">
        <f t="shared" si="9"/>
        <v>4.9601951999999994</v>
      </c>
      <c r="AR8" s="2830">
        <f t="shared" si="10"/>
        <v>5.2392719999999988</v>
      </c>
      <c r="AS8" s="2830">
        <f t="shared" si="11"/>
        <v>5.5183487999999992</v>
      </c>
      <c r="AT8" s="2830">
        <f t="shared" si="12"/>
        <v>5.7974255999999986</v>
      </c>
      <c r="AU8" s="2830">
        <f t="shared" si="13"/>
        <v>6.0765023999999981</v>
      </c>
      <c r="AV8" s="3534">
        <f t="shared" si="14"/>
        <v>6.3555791999999975</v>
      </c>
      <c r="AY8" s="192" t="s">
        <v>1641</v>
      </c>
      <c r="AZ8" s="3514">
        <f ca="1">1-(AZ4/AZ6)</f>
        <v>0</v>
      </c>
      <c r="BA8" s="3514">
        <f t="shared" ref="BA8:BG8" ca="1" si="16">1-(BA4/BA6)</f>
        <v>0</v>
      </c>
      <c r="BB8" s="3514">
        <f t="shared" ca="1" si="16"/>
        <v>0</v>
      </c>
      <c r="BC8" s="3514">
        <f t="shared" ca="1" si="16"/>
        <v>0</v>
      </c>
      <c r="BD8" s="3514">
        <f t="shared" ca="1" si="16"/>
        <v>0</v>
      </c>
      <c r="BE8" s="3514">
        <f t="shared" ca="1" si="16"/>
        <v>0</v>
      </c>
      <c r="BF8" s="3514">
        <f t="shared" ca="1" si="16"/>
        <v>0</v>
      </c>
      <c r="BG8" s="3514">
        <f t="shared" ca="1" si="16"/>
        <v>0</v>
      </c>
    </row>
    <row r="9" spans="1:59" s="192" customFormat="1" x14ac:dyDescent="0.2">
      <c r="B9" s="1247"/>
      <c r="C9" s="1249" t="s">
        <v>1007</v>
      </c>
      <c r="D9" s="1249" t="str">
        <f>INDEX(Vectors[Descripción], MATCH($C9,Vectors[Código],FALSE))</f>
        <v>Iluminación</v>
      </c>
      <c r="E9" s="360"/>
      <c r="F9" s="2607">
        <f ca="1">INDEX(INDIRECT("'"&amp;F$4&amp;"'!ano.balanceneto"), MATCH('Resultados Intermedios'!$C9, INDIRECT("'"&amp;F$4&amp;"'!ano.vector"), 0))</f>
        <v>7.4742271881931828</v>
      </c>
      <c r="G9" s="2607">
        <f ca="1">INDEX(INDIRECT("'"&amp;G$4&amp;"'!ano.balanceneto"), MATCH('Resultados Intermedios'!$C9, INDIRECT("'"&amp;G$4&amp;"'!ano.vector"), 0))</f>
        <v>8.3645380195663819</v>
      </c>
      <c r="H9" s="2607">
        <f ca="1">INDEX(INDIRECT("'"&amp;H$4&amp;"'!ano.balanceneto"), MATCH('Resultados Intermedios'!$C9, INDIRECT("'"&amp;H$4&amp;"'!ano.vector"), 0))</f>
        <v>9.7077573939741324</v>
      </c>
      <c r="I9" s="2607">
        <f ca="1">INDEX(INDIRECT("'"&amp;I$4&amp;"'!ano.balanceneto"), MATCH('Resultados Intermedios'!$C9, INDIRECT("'"&amp;I$4&amp;"'!ano.vector"), 0))</f>
        <v>11.29572770779278</v>
      </c>
      <c r="J9" s="2607">
        <f ca="1">INDEX(INDIRECT("'"&amp;J$4&amp;"'!ano.balanceneto"), MATCH('Resultados Intermedios'!$C9, INDIRECT("'"&amp;J$4&amp;"'!ano.vector"), 0))</f>
        <v>12.972718409914814</v>
      </c>
      <c r="K9" s="2607">
        <f ca="1">INDEX(INDIRECT("'"&amp;K$4&amp;"'!ano.balanceneto"), MATCH('Resultados Intermedios'!$C9, INDIRECT("'"&amp;K$4&amp;"'!ano.vector"), 0))</f>
        <v>14.756077842367976</v>
      </c>
      <c r="L9" s="2607">
        <f ca="1">INDEX(INDIRECT("'"&amp;L$4&amp;"'!ano.balanceneto"), MATCH('Resultados Intermedios'!$C9, INDIRECT("'"&amp;L$4&amp;"'!ano.vector"), 0))</f>
        <v>16.703485442098668</v>
      </c>
      <c r="M9" s="2607">
        <f ca="1">INDEX(INDIRECT("'"&amp;M$4&amp;"'!ano.balanceneto"), MATCH('Resultados Intermedios'!$C9, INDIRECT("'"&amp;M$4&amp;"'!ano.vector"), 0))</f>
        <v>18.149057829896936</v>
      </c>
      <c r="N9" s="1251"/>
      <c r="O9"/>
      <c r="P9" s="1252"/>
      <c r="R9" s="3457" t="str">
        <f t="shared" si="3"/>
        <v>Geotermia</v>
      </c>
      <c r="S9" s="3458">
        <f t="shared" ca="1" si="4"/>
        <v>0</v>
      </c>
      <c r="T9" s="3458">
        <f t="shared" ca="1" si="4"/>
        <v>0.35064000000000006</v>
      </c>
      <c r="U9" s="3458">
        <f t="shared" ca="1" si="4"/>
        <v>0.35064000000000006</v>
      </c>
      <c r="V9" s="3458">
        <f t="shared" ca="1" si="4"/>
        <v>0.35064000000000006</v>
      </c>
      <c r="W9" s="3458">
        <f t="shared" ca="1" si="4"/>
        <v>0.35064000000000006</v>
      </c>
      <c r="X9" s="3458">
        <f t="shared" ca="1" si="4"/>
        <v>0.35064000000000006</v>
      </c>
      <c r="Y9" s="3458">
        <f t="shared" ca="1" si="4"/>
        <v>0.35064000000000006</v>
      </c>
      <c r="Z9" s="3459">
        <f t="shared" ca="1" si="4"/>
        <v>0.35064000000000006</v>
      </c>
      <c r="AA9" s="81"/>
      <c r="AB9"/>
      <c r="AD9" s="3477"/>
      <c r="AE9" s="3477"/>
      <c r="AF9" s="3477"/>
      <c r="AG9" s="3477"/>
      <c r="AH9" s="3477"/>
      <c r="AI9" s="3477"/>
      <c r="AJ9" s="3477"/>
      <c r="AK9" s="3477"/>
      <c r="AN9" s="122" t="s">
        <v>2428</v>
      </c>
      <c r="AO9" s="2830">
        <f>F130+F131+F132</f>
        <v>22.147299</v>
      </c>
      <c r="AP9" s="2830">
        <f t="shared" ref="AP9:AV9" si="17">G130+G131+G132</f>
        <v>23.153197500000005</v>
      </c>
      <c r="AQ9" s="2830">
        <f t="shared" si="17"/>
        <v>24.159096000000002</v>
      </c>
      <c r="AR9" s="2830">
        <f t="shared" si="17"/>
        <v>25.164994499999999</v>
      </c>
      <c r="AS9" s="2830">
        <f t="shared" si="17"/>
        <v>26.122679999999999</v>
      </c>
      <c r="AT9" s="2830">
        <f t="shared" si="17"/>
        <v>27.1285785</v>
      </c>
      <c r="AU9" s="2830">
        <f t="shared" si="17"/>
        <v>28.134477000000004</v>
      </c>
      <c r="AV9" s="2830">
        <f t="shared" si="17"/>
        <v>29.092162499999997</v>
      </c>
    </row>
    <row r="10" spans="1:59" s="192" customFormat="1" x14ac:dyDescent="0.2">
      <c r="B10" s="1247"/>
      <c r="C10" s="1249" t="s">
        <v>1008</v>
      </c>
      <c r="D10" s="1249" t="str">
        <f>INDEX(Vectors[Descripción], MATCH($C10,Vectors[Código],FALSE))</f>
        <v>Refrigeración</v>
      </c>
      <c r="E10" s="360"/>
      <c r="F10" s="2607">
        <f ca="1">INDEX(INDIRECT("'"&amp;F$4&amp;"'!ano.balanceneto"), MATCH('Resultados Intermedios'!$C10, INDIRECT("'"&amp;F$4&amp;"'!ano.vector"), 0))</f>
        <v>2.9915688480682157</v>
      </c>
      <c r="G10" s="2607">
        <f ca="1">INDEX(INDIRECT("'"&amp;G$4&amp;"'!ano.balanceneto"), MATCH('Resultados Intermedios'!$C10, INDIRECT("'"&amp;G$4&amp;"'!ano.vector"), 0))</f>
        <v>3.3416651895996683</v>
      </c>
      <c r="H10" s="2607">
        <f ca="1">INDEX(INDIRECT("'"&amp;H$4&amp;"'!ano.balanceneto"), MATCH('Resultados Intermedios'!$C10, INDIRECT("'"&amp;H$4&amp;"'!ano.vector"), 0))</f>
        <v>3.8449247805183946</v>
      </c>
      <c r="I10" s="2607">
        <f ca="1">INDEX(INDIRECT("'"&amp;I$4&amp;"'!ano.balanceneto"), MATCH('Resultados Intermedios'!$C10, INDIRECT("'"&amp;I$4&amp;"'!ano.vector"), 0))</f>
        <v>4.4428767878345576</v>
      </c>
      <c r="J10" s="2607">
        <f ca="1">INDEX(INDIRECT("'"&amp;J$4&amp;"'!ano.balanceneto"), MATCH('Resultados Intermedios'!$C10, INDIRECT("'"&amp;J$4&amp;"'!ano.vector"), 0))</f>
        <v>5.1272733932542449</v>
      </c>
      <c r="K10" s="2607">
        <f ca="1">INDEX(INDIRECT("'"&amp;K$4&amp;"'!ano.balanceneto"), MATCH('Resultados Intermedios'!$C10, INDIRECT("'"&amp;K$4&amp;"'!ano.vector"), 0))</f>
        <v>5.931878120157017</v>
      </c>
      <c r="L10" s="2607">
        <f ca="1">INDEX(INDIRECT("'"&amp;L$4&amp;"'!ano.balanceneto"), MATCH('Resultados Intermedios'!$C10, INDIRECT("'"&amp;L$4&amp;"'!ano.vector"), 0))</f>
        <v>6.8908254190298059</v>
      </c>
      <c r="M10" s="2607">
        <f ca="1">INDEX(INDIRECT("'"&amp;M$4&amp;"'!ano.balanceneto"), MATCH('Resultados Intermedios'!$C10, INDIRECT("'"&amp;M$4&amp;"'!ano.vector"), 0))</f>
        <v>7.8601164460241479</v>
      </c>
      <c r="N10" s="1251"/>
      <c r="O10"/>
      <c r="P10" s="1252"/>
      <c r="R10" s="3457" t="s">
        <v>2428</v>
      </c>
      <c r="S10" s="3458">
        <f t="shared" ref="S10:Z10" ca="1" si="18">F42</f>
        <v>22.147299</v>
      </c>
      <c r="T10" s="3458">
        <f t="shared" ca="1" si="18"/>
        <v>23.153197500000005</v>
      </c>
      <c r="U10" s="3458">
        <f t="shared" ca="1" si="18"/>
        <v>24.159096000000002</v>
      </c>
      <c r="V10" s="3458">
        <f t="shared" ca="1" si="18"/>
        <v>25.164994499999999</v>
      </c>
      <c r="W10" s="3458">
        <f t="shared" ca="1" si="18"/>
        <v>26.122679999999999</v>
      </c>
      <c r="X10" s="3458">
        <f t="shared" ca="1" si="18"/>
        <v>27.1285785</v>
      </c>
      <c r="Y10" s="3458">
        <f t="shared" ca="1" si="18"/>
        <v>28.134477000000004</v>
      </c>
      <c r="Z10" s="3459">
        <f t="shared" ca="1" si="18"/>
        <v>29.092162499999997</v>
      </c>
      <c r="AA10" s="81"/>
      <c r="AB10"/>
      <c r="AC10" t="s">
        <v>1639</v>
      </c>
      <c r="AD10" s="3477">
        <v>300.22166762244609</v>
      </c>
      <c r="AE10" s="3477">
        <v>338.35172306753554</v>
      </c>
      <c r="AF10" s="3477">
        <v>389.09685921211519</v>
      </c>
      <c r="AG10" s="3477">
        <v>443.78105859171387</v>
      </c>
      <c r="AH10" s="3477">
        <v>501.43992128468687</v>
      </c>
      <c r="AI10" s="3477">
        <v>556.62955289214233</v>
      </c>
      <c r="AJ10" s="3477">
        <v>610.07978715568902</v>
      </c>
      <c r="AK10" s="3477">
        <v>659.92010939587487</v>
      </c>
      <c r="AN10" s="122"/>
      <c r="AO10" s="2830"/>
      <c r="AP10" s="2830"/>
      <c r="AQ10" s="2830"/>
      <c r="AR10" s="2830"/>
      <c r="AS10" s="2830"/>
      <c r="AT10" s="2830"/>
      <c r="AU10" s="2830"/>
      <c r="AV10" s="3534"/>
      <c r="AZ10" s="3530"/>
      <c r="BA10" s="3530"/>
      <c r="BB10" s="3530"/>
      <c r="BC10" s="3530"/>
      <c r="BD10" s="3530"/>
      <c r="BE10" s="3530"/>
      <c r="BF10" s="3530"/>
      <c r="BG10" s="3530"/>
    </row>
    <row r="11" spans="1:59" s="192" customFormat="1" x14ac:dyDescent="0.2">
      <c r="B11" s="1247"/>
      <c r="C11" s="1249" t="s">
        <v>1009</v>
      </c>
      <c r="D11" s="1249" t="str">
        <f>INDEX(Vectors[Descripción], MATCH($C11,Vectors[Código],FALSE))</f>
        <v>ACS</v>
      </c>
      <c r="E11" s="360"/>
      <c r="F11" s="2607">
        <f ca="1">INDEX(INDIRECT("'"&amp;F$4&amp;"'!ano.balanceneto"), MATCH('Resultados Intermedios'!$C11, INDIRECT("'"&amp;F$4&amp;"'!ano.vector"), 0))</f>
        <v>10.096238347936703</v>
      </c>
      <c r="G11" s="2607">
        <f ca="1">INDEX(INDIRECT("'"&amp;G$4&amp;"'!ano.balanceneto"), MATCH('Resultados Intermedios'!$C11, INDIRECT("'"&amp;G$4&amp;"'!ano.vector"), 0))</f>
        <v>11.237069927481432</v>
      </c>
      <c r="H11" s="2607">
        <f ca="1">INDEX(INDIRECT("'"&amp;H$4&amp;"'!ano.balanceneto"), MATCH('Resultados Intermedios'!$C11, INDIRECT("'"&amp;H$4&amp;"'!ano.vector"), 0))</f>
        <v>12.873734384695339</v>
      </c>
      <c r="I11" s="2607">
        <f ca="1">INDEX(INDIRECT("'"&amp;I$4&amp;"'!ano.balanceneto"), MATCH('Resultados Intermedios'!$C11, INDIRECT("'"&amp;I$4&amp;"'!ano.vector"), 0))</f>
        <v>14.818687878686267</v>
      </c>
      <c r="J11" s="2607">
        <f ca="1">INDEX(INDIRECT("'"&amp;J$4&amp;"'!ano.balanceneto"), MATCH('Resultados Intermedios'!$C11, INDIRECT("'"&amp;J$4&amp;"'!ano.vector"), 0))</f>
        <v>17.059874020150673</v>
      </c>
      <c r="K11" s="2607">
        <f ca="1">INDEX(INDIRECT("'"&amp;K$4&amp;"'!ano.balanceneto"), MATCH('Resultados Intermedios'!$C11, INDIRECT("'"&amp;K$4&amp;"'!ano.vector"), 0))</f>
        <v>19.716521969122127</v>
      </c>
      <c r="L11" s="2607">
        <f ca="1">INDEX(INDIRECT("'"&amp;L$4&amp;"'!ano.balanceneto"), MATCH('Resultados Intermedios'!$C11, INDIRECT("'"&amp;L$4&amp;"'!ano.vector"), 0))</f>
        <v>22.904110325695559</v>
      </c>
      <c r="M11" s="2607">
        <f ca="1">INDEX(INDIRECT("'"&amp;M$4&amp;"'!ano.balanceneto"), MATCH('Resultados Intermedios'!$C11, INDIRECT("'"&amp;M$4&amp;"'!ano.vector"), 0))</f>
        <v>26.208857045506825</v>
      </c>
      <c r="N11" s="1251"/>
      <c r="O11"/>
      <c r="P11" s="1252"/>
      <c r="R11" s="3457" t="str">
        <f>D45</f>
        <v>Residuos</v>
      </c>
      <c r="S11" s="3458">
        <f t="shared" ref="S11:Z11" ca="1" si="19">F45</f>
        <v>0.26623890102673253</v>
      </c>
      <c r="T11" s="3458">
        <f t="shared" ca="1" si="19"/>
        <v>0.35463923560444954</v>
      </c>
      <c r="U11" s="3458">
        <f t="shared" ca="1" si="19"/>
        <v>0.41667291307003151</v>
      </c>
      <c r="V11" s="3458">
        <f t="shared" ca="1" si="19"/>
        <v>0.41733218190020505</v>
      </c>
      <c r="W11" s="3458">
        <f t="shared" ca="1" si="19"/>
        <v>0.41798007633543621</v>
      </c>
      <c r="X11" s="3458">
        <f t="shared" ca="1" si="19"/>
        <v>0.41862659982364236</v>
      </c>
      <c r="Y11" s="3458">
        <f t="shared" ca="1" si="19"/>
        <v>0.41920354218820921</v>
      </c>
      <c r="Z11" s="3459">
        <f t="shared" ca="1" si="19"/>
        <v>0.41976165596446158</v>
      </c>
      <c r="AA11" s="81"/>
      <c r="AB11"/>
      <c r="AN11" s="122"/>
      <c r="AO11" s="2830"/>
      <c r="AP11" s="2830"/>
      <c r="AQ11" s="2830"/>
      <c r="AR11" s="2830"/>
      <c r="AS11" s="2830"/>
      <c r="AT11" s="2830"/>
      <c r="AU11" s="2830"/>
      <c r="AV11" s="3534"/>
      <c r="AZ11" s="3530"/>
      <c r="BA11" s="3530"/>
      <c r="BB11" s="3530"/>
      <c r="BC11" s="3530"/>
      <c r="BD11" s="3530"/>
      <c r="BE11" s="3530"/>
      <c r="BF11" s="3530"/>
      <c r="BG11" s="3530"/>
    </row>
    <row r="12" spans="1:59" s="192" customFormat="1" x14ac:dyDescent="0.2">
      <c r="B12" s="1247"/>
      <c r="C12" s="1249" t="s">
        <v>1010</v>
      </c>
      <c r="D12" s="1249" t="str">
        <f>INDEX(Vectors[Descripción], MATCH($C12,Vectors[Código],FALSE))</f>
        <v>Cocción</v>
      </c>
      <c r="E12" s="360"/>
      <c r="F12" s="2607">
        <f ca="1">INDEX(INDIRECT("'"&amp;F$4&amp;"'!ano.balanceneto"), MATCH('Resultados Intermedios'!$C12, INDIRECT("'"&amp;F$4&amp;"'!ano.vector"), 0))</f>
        <v>4.4606617301587432</v>
      </c>
      <c r="G12" s="2607">
        <f ca="1">INDEX(INDIRECT("'"&amp;G$4&amp;"'!ano.balanceneto"), MATCH('Resultados Intermedios'!$C12, INDIRECT("'"&amp;G$4&amp;"'!ano.vector"), 0))</f>
        <v>4.9700680497493295</v>
      </c>
      <c r="H12" s="2607">
        <f ca="1">INDEX(INDIRECT("'"&amp;H$4&amp;"'!ano.balanceneto"), MATCH('Resultados Intermedios'!$C12, INDIRECT("'"&amp;H$4&amp;"'!ano.vector"), 0))</f>
        <v>5.7018507831211309</v>
      </c>
      <c r="I12" s="2607">
        <f ca="1">INDEX(INDIRECT("'"&amp;I$4&amp;"'!ano.balanceneto"), MATCH('Resultados Intermedios'!$C12, INDIRECT("'"&amp;I$4&amp;"'!ano.vector"), 0))</f>
        <v>6.5713619787636217</v>
      </c>
      <c r="J12" s="2607">
        <f ca="1">INDEX(INDIRECT("'"&amp;J$4&amp;"'!ano.balanceneto"), MATCH('Resultados Intermedios'!$C12, INDIRECT("'"&amp;J$4&amp;"'!ano.vector"), 0))</f>
        <v>7.5700934055879809</v>
      </c>
      <c r="K12" s="2607">
        <f ca="1">INDEX(INDIRECT("'"&amp;K$4&amp;"'!ano.balanceneto"), MATCH('Resultados Intermedios'!$C12, INDIRECT("'"&amp;K$4&amp;"'!ano.vector"), 0))</f>
        <v>8.7494718184515392</v>
      </c>
      <c r="L12" s="2607">
        <f ca="1">INDEX(INDIRECT("'"&amp;L$4&amp;"'!ano.balanceneto"), MATCH('Resultados Intermedios'!$C12, INDIRECT("'"&amp;L$4&amp;"'!ano.vector"), 0))</f>
        <v>10.160246299359558</v>
      </c>
      <c r="M12" s="2607">
        <f ca="1">INDEX(INDIRECT("'"&amp;M$4&amp;"'!ano.balanceneto"), MATCH('Resultados Intermedios'!$C12, INDIRECT("'"&amp;M$4&amp;"'!ano.vector"), 0))</f>
        <v>11.607704346123256</v>
      </c>
      <c r="N12" s="1251"/>
      <c r="O12"/>
      <c r="P12" s="1252"/>
      <c r="R12" s="3457" t="s">
        <v>387</v>
      </c>
      <c r="S12" s="3458">
        <f t="shared" ref="S12:Z14" ca="1" si="20">F56</f>
        <v>90.674181997292195</v>
      </c>
      <c r="T12" s="3458">
        <f t="shared" ca="1" si="20"/>
        <v>101.45929322558089</v>
      </c>
      <c r="U12" s="3458">
        <f t="shared" ca="1" si="20"/>
        <v>119.46423832489575</v>
      </c>
      <c r="V12" s="3458">
        <f t="shared" ca="1" si="20"/>
        <v>137.27185779931929</v>
      </c>
      <c r="W12" s="3458">
        <f t="shared" ca="1" si="20"/>
        <v>159.42441337764467</v>
      </c>
      <c r="X12" s="3458">
        <f t="shared" ca="1" si="20"/>
        <v>183.48940437287516</v>
      </c>
      <c r="Y12" s="3458">
        <f t="shared" ca="1" si="20"/>
        <v>207.95509258643116</v>
      </c>
      <c r="Z12" s="3459">
        <f t="shared" ca="1" si="20"/>
        <v>230.29484921441994</v>
      </c>
      <c r="AA12" s="81"/>
      <c r="AB12"/>
      <c r="AC12" t="s">
        <v>1641</v>
      </c>
      <c r="AD12" s="2870">
        <f ca="1">1-AD8/AD10</f>
        <v>0</v>
      </c>
      <c r="AE12" s="2870">
        <f t="shared" ref="AE12:AK12" ca="1" si="21">1-AE8/AE10</f>
        <v>0</v>
      </c>
      <c r="AF12" s="2870">
        <f t="shared" ca="1" si="21"/>
        <v>0</v>
      </c>
      <c r="AG12" s="2870">
        <f t="shared" ca="1" si="21"/>
        <v>0</v>
      </c>
      <c r="AH12" s="2870">
        <f t="shared" ca="1" si="21"/>
        <v>0</v>
      </c>
      <c r="AI12" s="2870">
        <f t="shared" ca="1" si="21"/>
        <v>0</v>
      </c>
      <c r="AJ12" s="2870">
        <f t="shared" ca="1" si="21"/>
        <v>0</v>
      </c>
      <c r="AK12" s="2870">
        <f t="shared" ca="1" si="21"/>
        <v>0</v>
      </c>
      <c r="AN12" s="122" t="str">
        <f>D133</f>
        <v>Mareomotriz y Undimotriz</v>
      </c>
      <c r="AO12" s="2830">
        <f t="shared" si="7"/>
        <v>0</v>
      </c>
      <c r="AP12" s="2830">
        <f t="shared" si="8"/>
        <v>0</v>
      </c>
      <c r="AQ12" s="2830">
        <f t="shared" si="9"/>
        <v>1.341198E-2</v>
      </c>
      <c r="AR12" s="2830">
        <f t="shared" si="10"/>
        <v>1.9329030000000001E-2</v>
      </c>
      <c r="AS12" s="2830">
        <f t="shared" si="11"/>
        <v>2.8993545000000003E-2</v>
      </c>
      <c r="AT12" s="2830">
        <f t="shared" si="12"/>
        <v>8.6483602800000003E-2</v>
      </c>
      <c r="AU12" s="2830">
        <f t="shared" si="13"/>
        <v>0.1770854724</v>
      </c>
      <c r="AV12" s="3534">
        <f t="shared" si="14"/>
        <v>0.3541709448</v>
      </c>
      <c r="AZ12" s="3530"/>
      <c r="BA12" s="3530"/>
      <c r="BB12" s="3530"/>
      <c r="BC12" s="3530"/>
      <c r="BD12" s="3530"/>
      <c r="BE12" s="3530"/>
      <c r="BF12" s="3530"/>
      <c r="BG12" s="3530"/>
    </row>
    <row r="13" spans="1:59" s="192" customFormat="1" x14ac:dyDescent="0.2">
      <c r="B13" s="1247"/>
      <c r="C13" s="1249" t="s">
        <v>1011</v>
      </c>
      <c r="D13" s="1249" t="str">
        <f>INDEX(Vectors[Descripción], MATCH($C13,Vectors[Código],FALSE))</f>
        <v>Otros Electrodomésticos</v>
      </c>
      <c r="E13" s="360"/>
      <c r="F13" s="2607">
        <f ca="1">INDEX(INDIRECT("'"&amp;F$4&amp;"'!ano.balanceneto"), MATCH('Resultados Intermedios'!$C13, INDIRECT("'"&amp;F$4&amp;"'!ano.vector"), 0))</f>
        <v>9.2176129688738371</v>
      </c>
      <c r="G13" s="2607">
        <f ca="1">INDEX(INDIRECT("'"&amp;G$4&amp;"'!ano.balanceneto"), MATCH('Resultados Intermedios'!$C13, INDIRECT("'"&amp;G$4&amp;"'!ano.vector"), 0))</f>
        <v>10.232077299260691</v>
      </c>
      <c r="H13" s="2607">
        <f ca="1">INDEX(INDIRECT("'"&amp;H$4&amp;"'!ano.balanceneto"), MATCH('Resultados Intermedios'!$C13, INDIRECT("'"&amp;H$4&amp;"'!ano.vector"), 0))</f>
        <v>11.72383133204718</v>
      </c>
      <c r="I13" s="2607">
        <f ca="1">INDEX(INDIRECT("'"&amp;I$4&amp;"'!ano.balanceneto"), MATCH('Resultados Intermedios'!$C13, INDIRECT("'"&amp;I$4&amp;"'!ano.vector"), 0))</f>
        <v>13.491919594690156</v>
      </c>
      <c r="J13" s="2607">
        <f ca="1">INDEX(INDIRECT("'"&amp;J$4&amp;"'!ano.balanceneto"), MATCH('Resultados Intermedios'!$C13, INDIRECT("'"&amp;J$4&amp;"'!ano.vector"), 0))</f>
        <v>15.455611338191433</v>
      </c>
      <c r="K13" s="2607">
        <f ca="1">INDEX(INDIRECT("'"&amp;K$4&amp;"'!ano.balanceneto"), MATCH('Resultados Intermedios'!$C13, INDIRECT("'"&amp;K$4&amp;"'!ano.vector"), 0))</f>
        <v>17.686884599050554</v>
      </c>
      <c r="L13" s="2607">
        <f ca="1">INDEX(INDIRECT("'"&amp;L$4&amp;"'!ano.balanceneto"), MATCH('Resultados Intermedios'!$C13, INDIRECT("'"&amp;L$4&amp;"'!ano.vector"), 0))</f>
        <v>20.274263382161628</v>
      </c>
      <c r="M13" s="2607">
        <f ca="1">INDEX(INDIRECT("'"&amp;M$4&amp;"'!ano.balanceneto"), MATCH('Resultados Intermedios'!$C13, INDIRECT("'"&amp;M$4&amp;"'!ano.vector"), 0))</f>
        <v>22.714970771527163</v>
      </c>
      <c r="N13" s="1251"/>
      <c r="O13"/>
      <c r="P13" s="1252"/>
      <c r="R13" s="3460" t="s">
        <v>2450</v>
      </c>
      <c r="S13" s="3461">
        <f t="shared" ca="1" si="20"/>
        <v>155.18922878601049</v>
      </c>
      <c r="T13" s="3461">
        <f t="shared" ca="1" si="20"/>
        <v>171.46290983518537</v>
      </c>
      <c r="U13" s="3461">
        <f t="shared" ca="1" si="20"/>
        <v>199.7089576630182</v>
      </c>
      <c r="V13" s="3461">
        <f t="shared" ca="1" si="20"/>
        <v>232.82179625634126</v>
      </c>
      <c r="W13" s="3461">
        <f t="shared" ca="1" si="20"/>
        <v>264.76231276183898</v>
      </c>
      <c r="X13" s="3461">
        <f t="shared" ca="1" si="20"/>
        <v>291.4785565871108</v>
      </c>
      <c r="Y13" s="3461">
        <f t="shared" ca="1" si="20"/>
        <v>314.76614030973906</v>
      </c>
      <c r="Z13" s="3462">
        <f t="shared" ca="1" si="20"/>
        <v>335.37561387009015</v>
      </c>
      <c r="AA13" s="2623"/>
      <c r="AN13" s="122" t="str">
        <f t="shared" ref="AN13" si="22">D134</f>
        <v>Geotérmica</v>
      </c>
      <c r="AO13" s="2830">
        <f t="shared" si="7"/>
        <v>0</v>
      </c>
      <c r="AP13" s="2830">
        <f t="shared" si="8"/>
        <v>0.35064000000000006</v>
      </c>
      <c r="AQ13" s="2830">
        <f t="shared" si="9"/>
        <v>0.35064000000000006</v>
      </c>
      <c r="AR13" s="2830">
        <f t="shared" si="10"/>
        <v>0.35064000000000006</v>
      </c>
      <c r="AS13" s="2830">
        <f t="shared" si="11"/>
        <v>0.35064000000000006</v>
      </c>
      <c r="AT13" s="2830">
        <f t="shared" si="12"/>
        <v>0.35064000000000006</v>
      </c>
      <c r="AU13" s="2830">
        <f t="shared" si="13"/>
        <v>0.35064000000000006</v>
      </c>
      <c r="AV13" s="3534">
        <f t="shared" si="14"/>
        <v>0.35064000000000006</v>
      </c>
      <c r="AZ13" s="3530"/>
      <c r="BA13" s="3530"/>
      <c r="BB13" s="3530"/>
      <c r="BC13" s="3530"/>
      <c r="BD13" s="3530"/>
      <c r="BE13" s="3530"/>
      <c r="BF13" s="3530"/>
      <c r="BG13" s="3530"/>
    </row>
    <row r="14" spans="1:59" x14ac:dyDescent="0.2">
      <c r="B14" s="358"/>
      <c r="C14" s="360" t="s">
        <v>453</v>
      </c>
      <c r="D14" s="1249" t="str">
        <f>INDEX(Vectors[Descripción], MATCH($C14,Vectors[Código],FALSE))</f>
        <v>Industria y minería</v>
      </c>
      <c r="E14" s="360"/>
      <c r="F14" s="2607">
        <f ca="1">INDEX(INDIRECT("'"&amp;F$4&amp;"'!ano.balanceneto"), MATCH('Resultados Intermedios'!$C14, INDIRECT("'"&amp;F$4&amp;"'!ano.vector"), 0))</f>
        <v>135.84274834045024</v>
      </c>
      <c r="G14" s="2607">
        <f ca="1">INDEX(INDIRECT("'"&amp;G$4&amp;"'!ano.balanceneto"), MATCH('Resultados Intermedios'!$C14, INDIRECT("'"&amp;G$4&amp;"'!ano.vector"), 0))</f>
        <v>158.67044327209996</v>
      </c>
      <c r="H14" s="2607">
        <f ca="1">INDEX(INDIRECT("'"&amp;H$4&amp;"'!ano.balanceneto"), MATCH('Resultados Intermedios'!$C14, INDIRECT("'"&amp;H$4&amp;"'!ano.vector"), 0))</f>
        <v>180.06416398976444</v>
      </c>
      <c r="I14" s="2607">
        <f ca="1">INDEX(INDIRECT("'"&amp;I$4&amp;"'!ano.balanceneto"), MATCH('Resultados Intermedios'!$C14, INDIRECT("'"&amp;I$4&amp;"'!ano.vector"), 0))</f>
        <v>197.03307251300703</v>
      </c>
      <c r="J14" s="2607">
        <f ca="1">INDEX(INDIRECT("'"&amp;J$4&amp;"'!ano.balanceneto"), MATCH('Resultados Intermedios'!$C14, INDIRECT("'"&amp;J$4&amp;"'!ano.vector"), 0))</f>
        <v>218.59381484642964</v>
      </c>
      <c r="K14" s="2607">
        <f ca="1">INDEX(INDIRECT("'"&amp;K$4&amp;"'!ano.balanceneto"), MATCH('Resultados Intermedios'!$C14, INDIRECT("'"&amp;K$4&amp;"'!ano.vector"), 0))</f>
        <v>241.06883940080814</v>
      </c>
      <c r="L14" s="2607">
        <f ca="1">INDEX(INDIRECT("'"&amp;L$4&amp;"'!ano.balanceneto"), MATCH('Resultados Intermedios'!$C14, INDIRECT("'"&amp;L$4&amp;"'!ano.vector"), 0))</f>
        <v>262.50546954554397</v>
      </c>
      <c r="M14" s="2607">
        <f ca="1">INDEX(INDIRECT("'"&amp;M$4&amp;"'!ano.balanceneto"), MATCH('Resultados Intermedios'!$C14, INDIRECT("'"&amp;M$4&amp;"'!ano.vector"), 0))</f>
        <v>282.57731267178247</v>
      </c>
      <c r="N14" s="1254"/>
      <c r="P14" s="1255"/>
      <c r="R14" s="3460" t="s">
        <v>491</v>
      </c>
      <c r="S14" s="3461">
        <f t="shared" ca="1" si="20"/>
        <v>71.714143547361388</v>
      </c>
      <c r="T14" s="3461">
        <f t="shared" ca="1" si="20"/>
        <v>82.721467114260918</v>
      </c>
      <c r="U14" s="3461">
        <f t="shared" ca="1" si="20"/>
        <v>97.548258585664044</v>
      </c>
      <c r="V14" s="3461">
        <f t="shared" ca="1" si="20"/>
        <v>112.93808741081389</v>
      </c>
      <c r="W14" s="3461">
        <f t="shared" ca="1" si="20"/>
        <v>131.12397915064165</v>
      </c>
      <c r="X14" s="3461">
        <f t="shared" ca="1" si="20"/>
        <v>151.83587101940554</v>
      </c>
      <c r="Y14" s="3461">
        <f t="shared" ca="1" si="20"/>
        <v>174.67904222238852</v>
      </c>
      <c r="Z14" s="3462">
        <f t="shared" ca="1" si="20"/>
        <v>196.29094670538313</v>
      </c>
      <c r="AA14" s="2623"/>
      <c r="AB14" s="192"/>
      <c r="AC14" t="s">
        <v>405</v>
      </c>
      <c r="AN14" s="122" t="s">
        <v>2427</v>
      </c>
      <c r="AO14" s="2830">
        <f>F135+F136</f>
        <v>1.5864882119999999</v>
      </c>
      <c r="AP14" s="2830">
        <f t="shared" ref="AP14:AV14" si="23">G135+G136</f>
        <v>4.8118372235470126</v>
      </c>
      <c r="AQ14" s="2830">
        <f t="shared" si="23"/>
        <v>6.9913260828723587</v>
      </c>
      <c r="AR14" s="2830">
        <f t="shared" si="23"/>
        <v>8.1639572827886262</v>
      </c>
      <c r="AS14" s="2830">
        <f t="shared" si="23"/>
        <v>9.0826755694185906</v>
      </c>
      <c r="AT14" s="2830">
        <f t="shared" si="23"/>
        <v>9.7699392229862205</v>
      </c>
      <c r="AU14" s="2830">
        <f t="shared" si="23"/>
        <v>10.245372199181563</v>
      </c>
      <c r="AV14" s="2830">
        <f t="shared" si="23"/>
        <v>10.610155680966797</v>
      </c>
      <c r="AZ14" s="3531"/>
      <c r="BA14" s="3531"/>
      <c r="BB14" s="3531"/>
      <c r="BC14" s="3531"/>
      <c r="BD14" s="3531"/>
      <c r="BE14" s="3531"/>
      <c r="BF14" s="3531"/>
      <c r="BG14" s="3531"/>
    </row>
    <row r="15" spans="1:59" x14ac:dyDescent="0.2">
      <c r="B15" s="358"/>
      <c r="C15" s="1256" t="s">
        <v>447</v>
      </c>
      <c r="D15" s="1249" t="str">
        <f>INDEX(Vectors[Descripción], MATCH($C15,Vectors[Código],FALSE))</f>
        <v>Transporte pasajeros caminero Urbano</v>
      </c>
      <c r="E15" s="360"/>
      <c r="F15" s="2607">
        <f ca="1">INDEX(INDIRECT("'"&amp;F$4&amp;"'!ano.balanceneto"), MATCH('Resultados Intermedios'!$C15, INDIRECT("'"&amp;F$4&amp;"'!ano.vector"), 0))</f>
        <v>53.33594497140453</v>
      </c>
      <c r="G15" s="2607">
        <f ca="1">INDEX(INDIRECT("'"&amp;G$4&amp;"'!ano.balanceneto"), MATCH('Resultados Intermedios'!$C15, INDIRECT("'"&amp;G$4&amp;"'!ano.vector"), 0))</f>
        <v>53.655135425366886</v>
      </c>
      <c r="H15" s="2607">
        <f ca="1">INDEX(INDIRECT("'"&amp;H$4&amp;"'!ano.balanceneto"), MATCH('Resultados Intermedios'!$C15, INDIRECT("'"&amp;H$4&amp;"'!ano.vector"), 0))</f>
        <v>57.799860517853276</v>
      </c>
      <c r="I15" s="2607">
        <f ca="1">INDEX(INDIRECT("'"&amp;I$4&amp;"'!ano.balanceneto"), MATCH('Resultados Intermedios'!$C15, INDIRECT("'"&amp;I$4&amp;"'!ano.vector"), 0))</f>
        <v>66.429513696050577</v>
      </c>
      <c r="J15" s="2607">
        <f ca="1">INDEX(INDIRECT("'"&amp;J$4&amp;"'!ano.balanceneto"), MATCH('Resultados Intermedios'!$C15, INDIRECT("'"&amp;J$4&amp;"'!ano.vector"), 0))</f>
        <v>75.399943026533364</v>
      </c>
      <c r="K15" s="2607">
        <f ca="1">INDEX(INDIRECT("'"&amp;K$4&amp;"'!ano.balanceneto"), MATCH('Resultados Intermedios'!$C15, INDIRECT("'"&amp;K$4&amp;"'!ano.vector"), 0))</f>
        <v>81.966553559214447</v>
      </c>
      <c r="L15" s="2607">
        <f ca="1">INDEX(INDIRECT("'"&amp;L$4&amp;"'!ano.balanceneto"), MATCH('Resultados Intermedios'!$C15, INDIRECT("'"&amp;L$4&amp;"'!ano.vector"), 0))</f>
        <v>84.980606868956514</v>
      </c>
      <c r="M15" s="2607">
        <f ca="1">INDEX(INDIRECT("'"&amp;M$4&amp;"'!ano.balanceneto"), MATCH('Resultados Intermedios'!$C15, INDIRECT("'"&amp;M$4&amp;"'!ano.vector"), 0))</f>
        <v>85.289096073503785</v>
      </c>
      <c r="N15" s="1254"/>
      <c r="P15" s="1255"/>
      <c r="R15" s="3460" t="str">
        <f>D67</f>
        <v>Biomasa</v>
      </c>
      <c r="S15" s="3461">
        <f t="shared" ref="S15:Z15" ca="1" si="24">F67</f>
        <v>15.042851866876788</v>
      </c>
      <c r="T15" s="3461">
        <f t="shared" ca="1" si="24"/>
        <v>13.473032185258074</v>
      </c>
      <c r="U15" s="3461">
        <f t="shared" ca="1" si="24"/>
        <v>12.337851148176384</v>
      </c>
      <c r="V15" s="3461">
        <f t="shared" ca="1" si="24"/>
        <v>11.855724128264164</v>
      </c>
      <c r="W15" s="3461">
        <f t="shared" ca="1" si="24"/>
        <v>11.889735478123473</v>
      </c>
      <c r="X15" s="3461">
        <f t="shared" ca="1" si="24"/>
        <v>12.056385936741588</v>
      </c>
      <c r="Y15" s="3461">
        <f t="shared" ca="1" si="24"/>
        <v>12.207848271102581</v>
      </c>
      <c r="Z15" s="3462">
        <f t="shared" ca="1" si="24"/>
        <v>13.07292347760443</v>
      </c>
      <c r="AA15" s="2623"/>
      <c r="AB15" s="192"/>
      <c r="AC15" t="s">
        <v>2295</v>
      </c>
      <c r="AD15" t="s">
        <v>2296</v>
      </c>
      <c r="AF15" s="2870"/>
      <c r="AG15" s="2870"/>
      <c r="AN15" s="122"/>
      <c r="AO15" s="2830"/>
      <c r="AP15" s="2830"/>
      <c r="AQ15" s="2830"/>
      <c r="AR15" s="2830"/>
      <c r="AS15" s="2830"/>
      <c r="AT15" s="2830"/>
      <c r="AU15" s="2830"/>
      <c r="AV15" s="3534"/>
      <c r="AZ15" s="3531"/>
      <c r="BA15" s="3531"/>
      <c r="BB15" s="3531"/>
      <c r="BC15" s="3531"/>
      <c r="BD15" s="3531"/>
      <c r="BE15" s="3531"/>
      <c r="BF15" s="3531"/>
      <c r="BG15" s="3531"/>
    </row>
    <row r="16" spans="1:59" x14ac:dyDescent="0.2">
      <c r="B16" s="358"/>
      <c r="C16" s="1256" t="s">
        <v>448</v>
      </c>
      <c r="D16" s="1249" t="str">
        <f>INDEX(Vectors[Descripción], MATCH($C16,Vectors[Código],FALSE))</f>
        <v>Transporte pasajeros caminero Interurbano</v>
      </c>
      <c r="E16" s="360"/>
      <c r="F16" s="2607">
        <f ca="1">INDEX(INDIRECT("'"&amp;F$4&amp;"'!ano.balanceneto"), MATCH('Resultados Intermedios'!$C16, INDIRECT("'"&amp;F$4&amp;"'!ano.vector"), 0))</f>
        <v>13.170718948417285</v>
      </c>
      <c r="G16" s="2607">
        <f ca="1">INDEX(INDIRECT("'"&amp;G$4&amp;"'!ano.balanceneto"), MATCH('Resultados Intermedios'!$C16, INDIRECT("'"&amp;G$4&amp;"'!ano.vector"), 0))</f>
        <v>15.2583909925431</v>
      </c>
      <c r="H16" s="2607">
        <f ca="1">INDEX(INDIRECT("'"&amp;H$4&amp;"'!ano.balanceneto"), MATCH('Resultados Intermedios'!$C16, INDIRECT("'"&amp;H$4&amp;"'!ano.vector"), 0))</f>
        <v>18.884279144014918</v>
      </c>
      <c r="I16" s="2607">
        <f ca="1">INDEX(INDIRECT("'"&amp;I$4&amp;"'!ano.balanceneto"), MATCH('Resultados Intermedios'!$C16, INDIRECT("'"&amp;I$4&amp;"'!ano.vector"), 0))</f>
        <v>22.312780471609948</v>
      </c>
      <c r="J16" s="2607">
        <f ca="1">INDEX(INDIRECT("'"&amp;J$4&amp;"'!ano.balanceneto"), MATCH('Resultados Intermedios'!$C16, INDIRECT("'"&amp;J$4&amp;"'!ano.vector"), 0))</f>
        <v>27.758718064616787</v>
      </c>
      <c r="K16" s="2607">
        <f ca="1">INDEX(INDIRECT("'"&amp;K$4&amp;"'!ano.balanceneto"), MATCH('Resultados Intermedios'!$C16, INDIRECT("'"&amp;K$4&amp;"'!ano.vector"), 0))</f>
        <v>34.386846640344736</v>
      </c>
      <c r="L16" s="2607">
        <f ca="1">INDEX(INDIRECT("'"&amp;L$4&amp;"'!ano.balanceneto"), MATCH('Resultados Intermedios'!$C16, INDIRECT("'"&amp;L$4&amp;"'!ano.vector"), 0))</f>
        <v>42.239823681665676</v>
      </c>
      <c r="M16" s="2607">
        <f ca="1">INDEX(INDIRECT("'"&amp;M$4&amp;"'!ano.balanceneto"), MATCH('Resultados Intermedios'!$C16, INDIRECT("'"&amp;M$4&amp;"'!ano.vector"), 0))</f>
        <v>51.51391648078021</v>
      </c>
      <c r="N16" s="1254"/>
      <c r="P16" s="1255"/>
      <c r="R16" s="3460"/>
      <c r="S16" s="3461"/>
      <c r="T16" s="3461"/>
      <c r="U16" s="3461"/>
      <c r="V16" s="3461"/>
      <c r="W16" s="3461"/>
      <c r="X16" s="3461"/>
      <c r="Y16" s="3461"/>
      <c r="Z16" s="3462"/>
      <c r="AA16" s="2623"/>
      <c r="AB16" s="192"/>
      <c r="AC16" s="3486">
        <f ca="1">AG12</f>
        <v>0</v>
      </c>
      <c r="AD16" s="3486">
        <f ca="1">AK12</f>
        <v>0</v>
      </c>
      <c r="AN16" s="122" t="str">
        <f>D137</f>
        <v>Residuos</v>
      </c>
      <c r="AO16" s="2830">
        <f t="shared" si="7"/>
        <v>0.26280000000000003</v>
      </c>
      <c r="AP16" s="2830">
        <f t="shared" si="8"/>
        <v>0.35039999999999999</v>
      </c>
      <c r="AQ16" s="2830">
        <f t="shared" si="9"/>
        <v>0.41172000000000003</v>
      </c>
      <c r="AR16" s="2830">
        <f t="shared" si="10"/>
        <v>0.41172000000000003</v>
      </c>
      <c r="AS16" s="2830">
        <f t="shared" si="11"/>
        <v>0.41172000000000003</v>
      </c>
      <c r="AT16" s="2830">
        <f t="shared" si="12"/>
        <v>0.41172000000000003</v>
      </c>
      <c r="AU16" s="2830">
        <f t="shared" si="13"/>
        <v>0.41172000000000003</v>
      </c>
      <c r="AV16" s="3534">
        <f t="shared" si="14"/>
        <v>0.41172000000000003</v>
      </c>
      <c r="AZ16" s="3531"/>
      <c r="BA16" s="3531"/>
      <c r="BB16" s="3531"/>
      <c r="BC16" s="3531"/>
      <c r="BD16" s="3531"/>
      <c r="BE16" s="3531"/>
      <c r="BF16" s="3531"/>
      <c r="BG16" s="3531"/>
    </row>
    <row r="17" spans="2:59" x14ac:dyDescent="0.2">
      <c r="B17" s="358"/>
      <c r="C17" s="1256" t="s">
        <v>449</v>
      </c>
      <c r="D17" s="1249" t="str">
        <f>INDEX(Vectors[Descripción], MATCH($C17,Vectors[Código],FALSE))</f>
        <v>Transporte pasajeros ferroviario Urbano</v>
      </c>
      <c r="E17" s="360"/>
      <c r="F17" s="2607">
        <f ca="1">INDEX(INDIRECT("'"&amp;F$4&amp;"'!ano.balanceneto"), MATCH('Resultados Intermedios'!$C17, INDIRECT("'"&amp;F$4&amp;"'!ano.vector"), 0))</f>
        <v>0.29902005366010898</v>
      </c>
      <c r="G17" s="2607">
        <f ca="1">INDEX(INDIRECT("'"&amp;G$4&amp;"'!ano.balanceneto"), MATCH('Resultados Intermedios'!$C17, INDIRECT("'"&amp;G$4&amp;"'!ano.vector"), 0))</f>
        <v>0.35637886442017391</v>
      </c>
      <c r="H17" s="2607">
        <f ca="1">INDEX(INDIRECT("'"&amp;H$4&amp;"'!ano.balanceneto"), MATCH('Resultados Intermedios'!$C17, INDIRECT("'"&amp;H$4&amp;"'!ano.vector"), 0))</f>
        <v>0.45450745671867954</v>
      </c>
      <c r="I17" s="2607">
        <f ca="1">INDEX(INDIRECT("'"&amp;I$4&amp;"'!ano.balanceneto"), MATCH('Resultados Intermedios'!$C17, INDIRECT("'"&amp;I$4&amp;"'!ano.vector"), 0))</f>
        <v>0.54200248261278638</v>
      </c>
      <c r="J17" s="2607">
        <f ca="1">INDEX(INDIRECT("'"&amp;J$4&amp;"'!ano.balanceneto"), MATCH('Resultados Intermedios'!$C17, INDIRECT("'"&amp;J$4&amp;"'!ano.vector"), 0))</f>
        <v>0.62311441391108191</v>
      </c>
      <c r="K17" s="2607">
        <f ca="1">INDEX(INDIRECT("'"&amp;K$4&amp;"'!ano.balanceneto"), MATCH('Resultados Intermedios'!$C17, INDIRECT("'"&amp;K$4&amp;"'!ano.vector"), 0))</f>
        <v>0.64200954580250646</v>
      </c>
      <c r="L17" s="2607">
        <f ca="1">INDEX(INDIRECT("'"&amp;L$4&amp;"'!ano.balanceneto"), MATCH('Resultados Intermedios'!$C17, INDIRECT("'"&amp;L$4&amp;"'!ano.vector"), 0))</f>
        <v>0.63718288562585734</v>
      </c>
      <c r="M17" s="2607">
        <f ca="1">INDEX(INDIRECT("'"&amp;M$4&amp;"'!ano.balanceneto"), MATCH('Resultados Intermedios'!$C17, INDIRECT("'"&amp;M$4&amp;"'!ano.vector"), 0))</f>
        <v>0.61399268455243872</v>
      </c>
      <c r="N17" s="1254"/>
      <c r="P17" s="1255"/>
      <c r="Q17" s="192"/>
      <c r="R17" s="3463"/>
      <c r="S17" s="3464"/>
      <c r="T17" s="3464"/>
      <c r="U17" s="3464"/>
      <c r="V17" s="3464"/>
      <c r="W17" s="3464"/>
      <c r="X17" s="3464"/>
      <c r="Y17" s="3464"/>
      <c r="Z17" s="3465"/>
      <c r="AN17" s="122" t="str">
        <f>D138</f>
        <v>Agropecuario</v>
      </c>
      <c r="AO17" s="2830">
        <f t="shared" si="7"/>
        <v>3.4389010267325154E-3</v>
      </c>
      <c r="AP17" s="2830">
        <f t="shared" si="8"/>
        <v>4.2392356044495443E-3</v>
      </c>
      <c r="AQ17" s="2830">
        <f t="shared" si="9"/>
        <v>4.9529130700314613E-3</v>
      </c>
      <c r="AR17" s="2830">
        <f t="shared" si="10"/>
        <v>5.6121819002050294E-3</v>
      </c>
      <c r="AS17" s="2830">
        <f t="shared" si="11"/>
        <v>6.2600763354361899E-3</v>
      </c>
      <c r="AT17" s="2830">
        <f t="shared" si="12"/>
        <v>6.9065998236423074E-3</v>
      </c>
      <c r="AU17" s="2830">
        <f t="shared" si="13"/>
        <v>7.4835421882092018E-3</v>
      </c>
      <c r="AV17" s="3534">
        <f t="shared" si="14"/>
        <v>8.0416559644615384E-3</v>
      </c>
      <c r="AZ17" s="3531"/>
      <c r="BA17" s="3531"/>
      <c r="BB17" s="3531"/>
      <c r="BC17" s="3531"/>
      <c r="BD17" s="3531"/>
      <c r="BE17" s="3531"/>
      <c r="BF17" s="3531"/>
      <c r="BG17" s="3531"/>
    </row>
    <row r="18" spans="2:59" x14ac:dyDescent="0.2">
      <c r="B18" s="358"/>
      <c r="C18" s="1256" t="s">
        <v>450</v>
      </c>
      <c r="D18" s="1249" t="str">
        <f>INDEX(Vectors[Descripción], MATCH($C18,Vectors[Código],FALSE))</f>
        <v>Transporte pasajeros ferroviario Interurbano</v>
      </c>
      <c r="E18" s="360"/>
      <c r="F18" s="2607">
        <f ca="1">INDEX(INDIRECT("'"&amp;F$4&amp;"'!ano.balanceneto"), MATCH('Resultados Intermedios'!$C18, INDIRECT("'"&amp;F$4&amp;"'!ano.vector"), 0))</f>
        <v>3.154875796091091E-2</v>
      </c>
      <c r="G18" s="2607">
        <f ca="1">INDEX(INDIRECT("'"&amp;G$4&amp;"'!ano.balanceneto"), MATCH('Resultados Intermedios'!$C18, INDIRECT("'"&amp;G$4&amp;"'!ano.vector"), 0))</f>
        <v>3.8565328782808703E-2</v>
      </c>
      <c r="H18" s="2607">
        <f ca="1">INDEX(INDIRECT("'"&amp;H$4&amp;"'!ano.balanceneto"), MATCH('Resultados Intermedios'!$C18, INDIRECT("'"&amp;H$4&amp;"'!ano.vector"), 0))</f>
        <v>5.04411731104858E-2</v>
      </c>
      <c r="I18" s="2607">
        <f ca="1">INDEX(INDIRECT("'"&amp;I$4&amp;"'!ano.balanceneto"), MATCH('Resultados Intermedios'!$C18, INDIRECT("'"&amp;I$4&amp;"'!ano.vector"), 0))</f>
        <v>6.2675085137333914E-2</v>
      </c>
      <c r="J18" s="2607">
        <f ca="1">INDEX(INDIRECT("'"&amp;J$4&amp;"'!ano.balanceneto"), MATCH('Resultados Intermedios'!$C18, INDIRECT("'"&amp;J$4&amp;"'!ano.vector"), 0))</f>
        <v>7.501718400084248E-2</v>
      </c>
      <c r="K18" s="2607">
        <f ca="1">INDEX(INDIRECT("'"&amp;K$4&amp;"'!ano.balanceneto"), MATCH('Resultados Intermedios'!$C18, INDIRECT("'"&amp;K$4&amp;"'!ano.vector"), 0))</f>
        <v>8.959821225654771E-2</v>
      </c>
      <c r="L18" s="2607">
        <f ca="1">INDEX(INDIRECT("'"&amp;L$4&amp;"'!ano.balanceneto"), MATCH('Resultados Intermedios'!$C18, INDIRECT("'"&amp;L$4&amp;"'!ano.vector"), 0))</f>
        <v>0.10538681092763307</v>
      </c>
      <c r="M18" s="2607">
        <f ca="1">INDEX(INDIRECT("'"&amp;M$4&amp;"'!ano.balanceneto"), MATCH('Resultados Intermedios'!$C18, INDIRECT("'"&amp;M$4&amp;"'!ano.vector"), 0))</f>
        <v>0.12275791095265887</v>
      </c>
      <c r="N18" s="1254"/>
      <c r="P18" s="1255"/>
      <c r="Q18" s="192"/>
      <c r="AA18" s="81"/>
      <c r="AN18" s="122"/>
      <c r="AO18" s="453"/>
      <c r="AP18" s="453"/>
      <c r="AQ18" s="453"/>
      <c r="AR18" s="453"/>
      <c r="AS18" s="453"/>
      <c r="AT18" s="453"/>
      <c r="AU18" s="453"/>
      <c r="AV18" s="3581"/>
      <c r="AZ18" s="3531"/>
      <c r="BA18" s="3531"/>
      <c r="BB18" s="3531"/>
      <c r="BC18" s="3531"/>
      <c r="BD18" s="3531"/>
      <c r="BE18" s="3531"/>
      <c r="BF18" s="3531"/>
      <c r="BG18" s="3531"/>
    </row>
    <row r="19" spans="2:59" x14ac:dyDescent="0.2">
      <c r="B19" s="358"/>
      <c r="C19" s="1256" t="s">
        <v>451</v>
      </c>
      <c r="D19" s="1249" t="str">
        <f>INDEX(Vectors[Descripción], MATCH($C19,Vectors[Código],FALSE))</f>
        <v>Transporte pasajeros Aéreo Interurbano</v>
      </c>
      <c r="E19" s="360"/>
      <c r="F19" s="2607">
        <f ca="1">INDEX(INDIRECT("'"&amp;F$4&amp;"'!ano.balanceneto"), MATCH('Resultados Intermedios'!$C19, INDIRECT("'"&amp;F$4&amp;"'!ano.vector"), 0))</f>
        <v>12.39386297880878</v>
      </c>
      <c r="G19" s="2607">
        <f ca="1">INDEX(INDIRECT("'"&amp;G$4&amp;"'!ano.balanceneto"), MATCH('Resultados Intermedios'!$C19, INDIRECT("'"&amp;G$4&amp;"'!ano.vector"), 0))</f>
        <v>15.986954950981243</v>
      </c>
      <c r="H19" s="2607">
        <f ca="1">INDEX(INDIRECT("'"&amp;H$4&amp;"'!ano.balanceneto"), MATCH('Resultados Intermedios'!$C19, INDIRECT("'"&amp;H$4&amp;"'!ano.vector"), 0))</f>
        <v>24.28394824198671</v>
      </c>
      <c r="I19" s="2607">
        <f ca="1">INDEX(INDIRECT("'"&amp;I$4&amp;"'!ano.balanceneto"), MATCH('Resultados Intermedios'!$C19, INDIRECT("'"&amp;I$4&amp;"'!ano.vector"), 0))</f>
        <v>34.35695357892007</v>
      </c>
      <c r="J19" s="2607">
        <f ca="1">INDEX(INDIRECT("'"&amp;J$4&amp;"'!ano.balanceneto"), MATCH('Resultados Intermedios'!$C19, INDIRECT("'"&amp;J$4&amp;"'!ano.vector"), 0))</f>
        <v>38.633736734169311</v>
      </c>
      <c r="K19" s="2607">
        <f ca="1">INDEX(INDIRECT("'"&amp;K$4&amp;"'!ano.balanceneto"), MATCH('Resultados Intermedios'!$C19, INDIRECT("'"&amp;K$4&amp;"'!ano.vector"), 0))</f>
        <v>38.222272999940216</v>
      </c>
      <c r="L19" s="2607">
        <f ca="1">INDEX(INDIRECT("'"&amp;L$4&amp;"'!ano.balanceneto"), MATCH('Resultados Intermedios'!$C19, INDIRECT("'"&amp;L$4&amp;"'!ano.vector"), 0))</f>
        <v>36.125164502313076</v>
      </c>
      <c r="M19" s="2607">
        <f ca="1">INDEX(INDIRECT("'"&amp;M$4&amp;"'!ano.balanceneto"), MATCH('Resultados Intermedios'!$C19, INDIRECT("'"&amp;M$4&amp;"'!ano.vector"), 0))</f>
        <v>33.490878768279792</v>
      </c>
      <c r="N19" s="1254"/>
      <c r="P19" s="1255"/>
      <c r="Q19" s="192"/>
      <c r="R19" t="s">
        <v>118</v>
      </c>
      <c r="S19" s="77">
        <f t="shared" ref="S19:Z19" ca="1" si="25">SUM(S4:S17)</f>
        <v>359.29703906034297</v>
      </c>
      <c r="T19" s="77">
        <f t="shared" ca="1" si="25"/>
        <v>402.67870594262138</v>
      </c>
      <c r="U19" s="77">
        <f t="shared" ca="1" si="25"/>
        <v>466.1622979053426</v>
      </c>
      <c r="V19" s="77">
        <f t="shared" ca="1" si="25"/>
        <v>534.45589125426397</v>
      </c>
      <c r="W19" s="77">
        <f t="shared" ca="1" si="25"/>
        <v>608.93585309692355</v>
      </c>
      <c r="X19" s="77">
        <f t="shared" ca="1" si="25"/>
        <v>682.62714711441595</v>
      </c>
      <c r="Y19" s="77">
        <f t="shared" ca="1" si="25"/>
        <v>755.22777545401857</v>
      </c>
      <c r="Z19" s="77">
        <f t="shared" ca="1" si="25"/>
        <v>822.4343470424858</v>
      </c>
      <c r="AN19" s="3466"/>
      <c r="AO19" s="2829"/>
      <c r="AP19" s="2829"/>
      <c r="AQ19" s="2829"/>
      <c r="AR19" s="2829"/>
      <c r="AS19" s="2829"/>
      <c r="AT19" s="2829"/>
      <c r="AU19" s="2829"/>
      <c r="AV19" s="3535"/>
      <c r="AZ19" s="3531"/>
      <c r="BA19" s="3531"/>
      <c r="BB19" s="3531"/>
      <c r="BC19" s="3531"/>
      <c r="BD19" s="3531"/>
      <c r="BE19" s="3531"/>
      <c r="BF19" s="3531"/>
      <c r="BG19" s="3531"/>
    </row>
    <row r="20" spans="2:59" x14ac:dyDescent="0.2">
      <c r="B20" s="358"/>
      <c r="C20" s="1256" t="s">
        <v>452</v>
      </c>
      <c r="D20" s="1249" t="str">
        <f>INDEX(Vectors[Descripción], MATCH($C20,Vectors[Código],FALSE))</f>
        <v>Transporte de carga caminero Urbano</v>
      </c>
      <c r="E20" s="360"/>
      <c r="F20" s="2607">
        <f ca="1">INDEX(INDIRECT("'"&amp;F$4&amp;"'!ano.balanceneto"), MATCH('Resultados Intermedios'!$C20, INDIRECT("'"&amp;F$4&amp;"'!ano.vector"), 0))</f>
        <v>7.088639766958563</v>
      </c>
      <c r="G20" s="2607">
        <f ca="1">INDEX(INDIRECT("'"&amp;G$4&amp;"'!ano.balanceneto"), MATCH('Resultados Intermedios'!$C20, INDIRECT("'"&amp;G$4&amp;"'!ano.vector"), 0))</f>
        <v>7.6353108271804588</v>
      </c>
      <c r="H20" s="2607">
        <f ca="1">INDEX(INDIRECT("'"&amp;H$4&amp;"'!ano.balanceneto"), MATCH('Resultados Intermedios'!$C20, INDIRECT("'"&amp;H$4&amp;"'!ano.vector"), 0))</f>
        <v>8.3202556134247665</v>
      </c>
      <c r="I20" s="2607">
        <f ca="1">INDEX(INDIRECT("'"&amp;I$4&amp;"'!ano.balanceneto"), MATCH('Resultados Intermedios'!$C20, INDIRECT("'"&amp;I$4&amp;"'!ano.vector"), 0))</f>
        <v>9.0634554795282387</v>
      </c>
      <c r="J20" s="2607">
        <f ca="1">INDEX(INDIRECT("'"&amp;J$4&amp;"'!ano.balanceneto"), MATCH('Resultados Intermedios'!$C20, INDIRECT("'"&amp;J$4&amp;"'!ano.vector"), 0))</f>
        <v>9.8278251806424759</v>
      </c>
      <c r="K20" s="2607">
        <f ca="1">INDEX(INDIRECT("'"&amp;K$4&amp;"'!ano.balanceneto"), MATCH('Resultados Intermedios'!$C20, INDIRECT("'"&amp;K$4&amp;"'!ano.vector"), 0))</f>
        <v>10.652714024731472</v>
      </c>
      <c r="L20" s="2607">
        <f ca="1">INDEX(INDIRECT("'"&amp;L$4&amp;"'!ano.balanceneto"), MATCH('Resultados Intermedios'!$C20, INDIRECT("'"&amp;L$4&amp;"'!ano.vector"), 0))</f>
        <v>11.540996944925201</v>
      </c>
      <c r="M20" s="2607">
        <f ca="1">INDEX(INDIRECT("'"&amp;M$4&amp;"'!ano.balanceneto"), MATCH('Resultados Intermedios'!$C20, INDIRECT("'"&amp;M$4&amp;"'!ano.vector"), 0))</f>
        <v>12.475499139011452</v>
      </c>
      <c r="N20" s="1254"/>
      <c r="P20" s="1255"/>
      <c r="Q20" s="192"/>
      <c r="S20" s="77"/>
      <c r="T20" s="77"/>
      <c r="U20" s="77"/>
      <c r="V20" s="77"/>
      <c r="W20" s="77"/>
      <c r="X20" s="77"/>
      <c r="Y20" s="77"/>
      <c r="Z20" s="77"/>
      <c r="AC20" t="s">
        <v>2297</v>
      </c>
      <c r="AZ20" s="3531"/>
      <c r="BA20" s="3531"/>
      <c r="BB20" s="3531"/>
      <c r="BC20" s="3531"/>
      <c r="BD20" s="3531"/>
      <c r="BE20" s="3531"/>
      <c r="BF20" s="3531"/>
      <c r="BG20" s="3531"/>
    </row>
    <row r="21" spans="2:59" x14ac:dyDescent="0.2">
      <c r="B21" s="358"/>
      <c r="C21" s="1256" t="s">
        <v>984</v>
      </c>
      <c r="D21" s="1249" t="str">
        <f>INDEX(Vectors[Descripción], MATCH($C21,Vectors[Código],FALSE))</f>
        <v>Transporte de carga caminero Interurbano</v>
      </c>
      <c r="E21" s="360"/>
      <c r="F21" s="2607">
        <f ca="1">INDEX(INDIRECT("'"&amp;F$4&amp;"'!ano.balanceneto"), MATCH('Resultados Intermedios'!$C21, INDIRECT("'"&amp;F$4&amp;"'!ano.vector"), 0))</f>
        <v>8.0354758778486985</v>
      </c>
      <c r="G21" s="2607">
        <f ca="1">INDEX(INDIRECT("'"&amp;G$4&amp;"'!ano.balanceneto"), MATCH('Resultados Intermedios'!$C21, INDIRECT("'"&amp;G$4&amp;"'!ano.vector"), 0))</f>
        <v>8.6551662926454114</v>
      </c>
      <c r="H21" s="2607">
        <f ca="1">INDEX(INDIRECT("'"&amp;H$4&amp;"'!ano.balanceneto"), MATCH('Resultados Intermedios'!$C21, INDIRECT("'"&amp;H$4&amp;"'!ano.vector"), 0))</f>
        <v>9.4315997817865629</v>
      </c>
      <c r="I21" s="2607">
        <f ca="1">INDEX(INDIRECT("'"&amp;I$4&amp;"'!ano.balanceneto"), MATCH('Resultados Intermedios'!$C21, INDIRECT("'"&amp;I$4&amp;"'!ano.vector"), 0))</f>
        <v>10.274069535198388</v>
      </c>
      <c r="J21" s="2607">
        <f ca="1">INDEX(INDIRECT("'"&amp;J$4&amp;"'!ano.balanceneto"), MATCH('Resultados Intermedios'!$C21, INDIRECT("'"&amp;J$4&amp;"'!ano.vector"), 0))</f>
        <v>11.140536797886952</v>
      </c>
      <c r="K21" s="2607">
        <f ca="1">INDEX(INDIRECT("'"&amp;K$4&amp;"'!ano.balanceneto"), MATCH('Resultados Intermedios'!$C21, INDIRECT("'"&amp;K$4&amp;"'!ano.vector"), 0))</f>
        <v>12.075606800947295</v>
      </c>
      <c r="L21" s="2607">
        <f ca="1">INDEX(INDIRECT("'"&amp;L$4&amp;"'!ano.balanceneto"), MATCH('Resultados Intermedios'!$C21, INDIRECT("'"&amp;L$4&amp;"'!ano.vector"), 0))</f>
        <v>13.08253848496264</v>
      </c>
      <c r="M21" s="2607">
        <f ca="1">INDEX(INDIRECT("'"&amp;M$4&amp;"'!ano.balanceneto"), MATCH('Resultados Intermedios'!$C21, INDIRECT("'"&amp;M$4&amp;"'!ano.vector"), 0))</f>
        <v>14.141862993647409</v>
      </c>
      <c r="N21" s="1254"/>
      <c r="P21" s="1255"/>
      <c r="Q21" s="192"/>
      <c r="R21" t="s">
        <v>1639</v>
      </c>
      <c r="S21" s="77">
        <v>359.29703906034297</v>
      </c>
      <c r="T21" s="77">
        <v>402.1824611968587</v>
      </c>
      <c r="U21" s="77">
        <v>465.68503452110531</v>
      </c>
      <c r="V21" s="77">
        <v>533.98421062341652</v>
      </c>
      <c r="W21" s="77">
        <v>608.47785021188122</v>
      </c>
      <c r="X21" s="77">
        <v>682.10758879049729</v>
      </c>
      <c r="Y21" s="77">
        <v>754.69073194648308</v>
      </c>
      <c r="Z21" s="77">
        <v>821.85650477317733</v>
      </c>
      <c r="AC21" t="s">
        <v>2295</v>
      </c>
      <c r="AD21" t="s">
        <v>2296</v>
      </c>
      <c r="AN21" t="s">
        <v>2320</v>
      </c>
      <c r="AO21" s="77">
        <f ca="1">SUM(AO4:AO19)</f>
        <v>67.579633316573762</v>
      </c>
      <c r="AP21" s="77">
        <f t="shared" ref="AP21:AU21" ca="1" si="26">SUM(AP4:AP19)</f>
        <v>78.979509560230042</v>
      </c>
      <c r="AQ21" s="77">
        <f t="shared" ca="1" si="26"/>
        <v>91.520244446127037</v>
      </c>
      <c r="AR21" s="77">
        <f t="shared" ca="1" si="26"/>
        <v>103.60064575816739</v>
      </c>
      <c r="AS21" s="77">
        <f t="shared" ca="1" si="26"/>
        <v>117.65200581808283</v>
      </c>
      <c r="AT21" s="77">
        <f t="shared" ca="1" si="26"/>
        <v>132.75541227739603</v>
      </c>
      <c r="AU21" s="77">
        <f t="shared" ca="1" si="26"/>
        <v>148.13841553905652</v>
      </c>
      <c r="AV21" s="77">
        <f ca="1">SUM(AV4:AV19)</f>
        <v>162.18836791957608</v>
      </c>
      <c r="AW21" s="77">
        <f>AV8+AV14</f>
        <v>16.965734880966792</v>
      </c>
      <c r="AX21" s="77">
        <f ca="1">AW21/AV21</f>
        <v>0.10460512735031371</v>
      </c>
      <c r="AZ21" s="3531"/>
      <c r="BA21" s="3531"/>
      <c r="BB21" s="3531"/>
      <c r="BC21" s="3531"/>
      <c r="BD21" s="3531"/>
      <c r="BE21" s="3531"/>
      <c r="BF21" s="3531"/>
      <c r="BG21" s="3531"/>
    </row>
    <row r="22" spans="2:59" x14ac:dyDescent="0.2">
      <c r="B22" s="358"/>
      <c r="C22" s="1256" t="s">
        <v>985</v>
      </c>
      <c r="D22" s="1249" t="str">
        <f>INDEX(Vectors[Descripción], MATCH($C22,Vectors[Código],FALSE))</f>
        <v>Transporte de carga ferroviario</v>
      </c>
      <c r="E22" s="360"/>
      <c r="F22" s="2607">
        <f ca="1">INDEX(INDIRECT("'"&amp;F$4&amp;"'!ano.balanceneto"), MATCH('Resultados Intermedios'!$C22, INDIRECT("'"&amp;F$4&amp;"'!ano.vector"), 0))</f>
        <v>6.0502466557362678E-3</v>
      </c>
      <c r="G22" s="2607">
        <f ca="1">INDEX(INDIRECT("'"&amp;G$4&amp;"'!ano.balanceneto"), MATCH('Resultados Intermedios'!$C22, INDIRECT("'"&amp;G$4&amp;"'!ano.vector"), 0))</f>
        <v>6.3131887756425788E-3</v>
      </c>
      <c r="H22" s="2607">
        <f ca="1">INDEX(INDIRECT("'"&amp;H$4&amp;"'!ano.balanceneto"), MATCH('Resultados Intermedios'!$C22, INDIRECT("'"&amp;H$4&amp;"'!ano.vector"), 0))</f>
        <v>6.6669002863886983E-3</v>
      </c>
      <c r="I22" s="2607">
        <f ca="1">INDEX(INDIRECT("'"&amp;I$4&amp;"'!ano.balanceneto"), MATCH('Resultados Intermedios'!$C22, INDIRECT("'"&amp;I$4&amp;"'!ano.vector"), 0))</f>
        <v>7.0253872509913858E-3</v>
      </c>
      <c r="J22" s="2607">
        <f ca="1">INDEX(INDIRECT("'"&amp;J$4&amp;"'!ano.balanceneto"), MATCH('Resultados Intermedios'!$C22, INDIRECT("'"&amp;J$4&amp;"'!ano.vector"), 0))</f>
        <v>7.3549027833011314E-3</v>
      </c>
      <c r="K22" s="2607">
        <f ca="1">INDEX(INDIRECT("'"&amp;K$4&amp;"'!ano.balanceneto"), MATCH('Resultados Intermedios'!$C22, INDIRECT("'"&amp;K$4&amp;"'!ano.vector"), 0))</f>
        <v>7.6806278547464401E-3</v>
      </c>
      <c r="L22" s="2607">
        <f ca="1">INDEX(INDIRECT("'"&amp;L$4&amp;"'!ano.balanceneto"), MATCH('Resultados Intermedios'!$C22, INDIRECT("'"&amp;L$4&amp;"'!ano.vector"), 0))</f>
        <v>7.9979504726837031E-3</v>
      </c>
      <c r="M22" s="2607">
        <f ca="1">INDEX(INDIRECT("'"&amp;M$4&amp;"'!ano.balanceneto"), MATCH('Resultados Intermedios'!$C22, INDIRECT("'"&amp;M$4&amp;"'!ano.vector"), 0))</f>
        <v>8.2883472481640463E-3</v>
      </c>
      <c r="N22" s="1254"/>
      <c r="P22" s="1255"/>
      <c r="Q22" s="192"/>
      <c r="AZ22" s="3531"/>
      <c r="BA22" s="3531"/>
      <c r="BB22" s="3531"/>
      <c r="BC22" s="3531"/>
      <c r="BD22" s="3531"/>
      <c r="BE22" s="3531"/>
      <c r="BF22" s="3531"/>
      <c r="BG22" s="3531"/>
    </row>
    <row r="23" spans="2:59" x14ac:dyDescent="0.2">
      <c r="B23" s="358"/>
      <c r="C23" s="1256" t="s">
        <v>986</v>
      </c>
      <c r="D23" s="1249" t="str">
        <f>INDEX(Vectors[Descripción], MATCH($C23,Vectors[Código],FALSE))</f>
        <v>Transporte de carga maritimo</v>
      </c>
      <c r="E23" s="360"/>
      <c r="F23" s="2607">
        <f ca="1">INDEX(INDIRECT("'"&amp;F$4&amp;"'!ano.balanceneto"), MATCH('Resultados Intermedios'!$C23, INDIRECT("'"&amp;F$4&amp;"'!ano.vector"), 0))</f>
        <v>0.28516907055863489</v>
      </c>
      <c r="G23" s="2607">
        <f ca="1">INDEX(INDIRECT("'"&amp;G$4&amp;"'!ano.balanceneto"), MATCH('Resultados Intermedios'!$C23, INDIRECT("'"&amp;G$4&amp;"'!ano.vector"), 0))</f>
        <v>0.30962578524555734</v>
      </c>
      <c r="H23" s="2607">
        <f ca="1">INDEX(INDIRECT("'"&amp;H$4&amp;"'!ano.balanceneto"), MATCH('Resultados Intermedios'!$C23, INDIRECT("'"&amp;H$4&amp;"'!ano.vector"), 0))</f>
        <v>0.34078908460303153</v>
      </c>
      <c r="I23" s="2607">
        <f ca="1">INDEX(INDIRECT("'"&amp;I$4&amp;"'!ano.balanceneto"), MATCH('Resultados Intermedios'!$C23, INDIRECT("'"&amp;I$4&amp;"'!ano.vector"), 0))</f>
        <v>0.37495696100373616</v>
      </c>
      <c r="J23" s="2607">
        <f ca="1">INDEX(INDIRECT("'"&amp;J$4&amp;"'!ano.balanceneto"), MATCH('Resultados Intermedios'!$C23, INDIRECT("'"&amp;J$4&amp;"'!ano.vector"), 0))</f>
        <v>0.41066117460400281</v>
      </c>
      <c r="K23" s="2607">
        <f ca="1">INDEX(INDIRECT("'"&amp;K$4&amp;"'!ano.balanceneto"), MATCH('Resultados Intermedios'!$C23, INDIRECT("'"&amp;K$4&amp;"'!ano.vector"), 0))</f>
        <v>0.44959875353967499</v>
      </c>
      <c r="L23" s="2607">
        <f ca="1">INDEX(INDIRECT("'"&amp;L$4&amp;"'!ano.balanceneto"), MATCH('Resultados Intermedios'!$C23, INDIRECT("'"&amp;L$4&amp;"'!ano.vector"), 0))</f>
        <v>0.49197922477980477</v>
      </c>
      <c r="M23" s="2607">
        <f ca="1">INDEX(INDIRECT("'"&amp;M$4&amp;"'!ano.balanceneto"), MATCH('Resultados Intermedios'!$C23, INDIRECT("'"&amp;M$4&amp;"'!ano.vector"), 0))</f>
        <v>0.53715543706052005</v>
      </c>
      <c r="N23" s="1254"/>
      <c r="P23" s="1255"/>
      <c r="Q23" s="192"/>
      <c r="R23" t="s">
        <v>1641</v>
      </c>
      <c r="S23" s="2870">
        <f ca="1">1-S19/S21</f>
        <v>0</v>
      </c>
      <c r="T23" s="2870">
        <f t="shared" ref="T23:Z23" ca="1" si="27">1-T19/T21</f>
        <v>-1.2338796283803966E-3</v>
      </c>
      <c r="U23" s="2870">
        <f t="shared" ca="1" si="27"/>
        <v>-1.0248630487514898E-3</v>
      </c>
      <c r="V23" s="2870">
        <f t="shared" ca="1" si="27"/>
        <v>-8.8332317971873131E-4</v>
      </c>
      <c r="W23" s="2870">
        <f t="shared" ca="1" si="27"/>
        <v>-7.5270264132520914E-4</v>
      </c>
      <c r="X23" s="2870">
        <f t="shared" ca="1" si="27"/>
        <v>-7.6169556307092989E-4</v>
      </c>
      <c r="Y23" s="2870">
        <f t="shared" ca="1" si="27"/>
        <v>-7.116073973114645E-4</v>
      </c>
      <c r="Z23" s="2870">
        <f t="shared" ca="1" si="27"/>
        <v>-7.0309386851907796E-4</v>
      </c>
      <c r="AN23" t="s">
        <v>2298</v>
      </c>
      <c r="AO23" s="77">
        <f ca="1">AO7+AO6+AO8+AO9+AO10+AO11+AO12+AO13+AO14+AO15+AO16+AO17+AO19</f>
        <v>30.072349299647769</v>
      </c>
      <c r="AP23" s="77">
        <f t="shared" ref="AP23:AU23" ca="1" si="28">AP7+AP6+AP8+AP9+AP10+AP11+AP12+AP13+AP14+AP15+AP16+AP17+AP19</f>
        <v>37.00274747107072</v>
      </c>
      <c r="AQ23" s="77">
        <f t="shared" ca="1" si="28"/>
        <v>41.000326359172128</v>
      </c>
      <c r="AR23" s="77">
        <f t="shared" ca="1" si="28"/>
        <v>43.953469440289439</v>
      </c>
      <c r="AS23" s="77">
        <f t="shared" ca="1" si="28"/>
        <v>46.723613304008033</v>
      </c>
      <c r="AT23" s="77">
        <f t="shared" ca="1" si="28"/>
        <v>49.418719224853227</v>
      </c>
      <c r="AU23" s="77">
        <f t="shared" ca="1" si="28"/>
        <v>51.958344423530122</v>
      </c>
      <c r="AV23" s="77">
        <f ca="1">AV7+AV6+AV8+AV9+AV10+AV11+AV12+AV13+AV14+AV15+AV16+AV17+AV19</f>
        <v>54.361470893825071</v>
      </c>
      <c r="AZ23" s="3531"/>
      <c r="BA23" s="3531"/>
      <c r="BB23" s="3531"/>
      <c r="BC23" s="3531"/>
      <c r="BD23" s="3531"/>
      <c r="BE23" s="3531"/>
      <c r="BF23" s="3531"/>
      <c r="BG23" s="3531"/>
    </row>
    <row r="24" spans="2:59" ht="11.25" customHeight="1" x14ac:dyDescent="0.2">
      <c r="B24" s="358"/>
      <c r="C24" s="1256"/>
      <c r="D24" s="360"/>
      <c r="E24" s="360"/>
      <c r="F24" s="1250"/>
      <c r="G24" s="1253"/>
      <c r="H24" s="1253"/>
      <c r="I24" s="1253"/>
      <c r="J24" s="1253"/>
      <c r="K24" s="1253"/>
      <c r="L24" s="1253"/>
      <c r="M24" s="1253"/>
      <c r="N24" s="1254"/>
      <c r="P24" s="1255"/>
      <c r="Q24" s="192"/>
      <c r="AN24" t="s">
        <v>409</v>
      </c>
      <c r="AO24" s="77">
        <f t="shared" ref="AO24:AV24" ca="1" si="29">AO4</f>
        <v>10.716366861978855</v>
      </c>
      <c r="AP24" s="77">
        <f t="shared" ca="1" si="29"/>
        <v>11.993360596902663</v>
      </c>
      <c r="AQ24" s="77">
        <f ca="1">AQ4</f>
        <v>14.434262310558546</v>
      </c>
      <c r="AR24" s="77">
        <f t="shared" ca="1" si="29"/>
        <v>17.042050376536562</v>
      </c>
      <c r="AS24" s="77">
        <f t="shared" ca="1" si="29"/>
        <v>20.265255004021373</v>
      </c>
      <c r="AT24" s="77">
        <f ca="1">AT4</f>
        <v>23.810483729297946</v>
      </c>
      <c r="AU24" s="77">
        <f t="shared" ca="1" si="29"/>
        <v>27.480020318721834</v>
      </c>
      <c r="AV24" s="77">
        <f t="shared" ca="1" si="29"/>
        <v>30.807684864500306</v>
      </c>
      <c r="AZ24" s="3531"/>
      <c r="BA24" s="3531"/>
      <c r="BB24" s="3531"/>
      <c r="BC24" s="3531"/>
      <c r="BD24" s="3531"/>
      <c r="BE24" s="3531"/>
      <c r="BF24" s="3531"/>
      <c r="BG24" s="3531"/>
    </row>
    <row r="25" spans="2:59" s="1257" customFormat="1" ht="18.75" x14ac:dyDescent="0.2">
      <c r="B25" s="1258"/>
      <c r="C25" s="1259"/>
      <c r="D25" s="1260" t="s">
        <v>1626</v>
      </c>
      <c r="E25" s="360"/>
      <c r="F25" s="1261">
        <f ca="1">SUM(F8:F23)</f>
        <v>300.22166762244615</v>
      </c>
      <c r="G25" s="1261">
        <f t="shared" ref="G25:M25" ca="1" si="30">SUM(G8:G23)</f>
        <v>338.35172306753549</v>
      </c>
      <c r="H25" s="1261">
        <f t="shared" ca="1" si="30"/>
        <v>389.09685921211525</v>
      </c>
      <c r="I25" s="1261">
        <f t="shared" ca="1" si="30"/>
        <v>443.78105859171393</v>
      </c>
      <c r="J25" s="1261">
        <f t="shared" ca="1" si="30"/>
        <v>501.43992128468693</v>
      </c>
      <c r="K25" s="1261">
        <f t="shared" ca="1" si="30"/>
        <v>556.62955289214233</v>
      </c>
      <c r="L25" s="1261">
        <f t="shared" ca="1" si="30"/>
        <v>610.07978715568902</v>
      </c>
      <c r="M25" s="1261">
        <f t="shared" ca="1" si="30"/>
        <v>659.92010939587487</v>
      </c>
      <c r="N25" s="1263"/>
      <c r="O25"/>
      <c r="P25" s="3450" t="s">
        <v>2293</v>
      </c>
      <c r="R25"/>
      <c r="S25"/>
      <c r="T25"/>
      <c r="U25"/>
      <c r="V25"/>
      <c r="W25"/>
      <c r="X25"/>
      <c r="Y25"/>
      <c r="Z25"/>
      <c r="AA25"/>
      <c r="AB25"/>
      <c r="AN25"/>
      <c r="AO25"/>
      <c r="AP25"/>
      <c r="AQ25"/>
      <c r="AR25"/>
      <c r="AS25"/>
      <c r="AT25"/>
      <c r="AU25"/>
      <c r="AV25"/>
      <c r="AZ25" s="3492"/>
      <c r="BA25" s="3492"/>
      <c r="BB25" s="3492"/>
      <c r="BC25" s="3492"/>
      <c r="BD25" s="3492"/>
      <c r="BE25" s="3492"/>
      <c r="BF25" s="3492"/>
      <c r="BG25" s="3492"/>
    </row>
    <row r="26" spans="2:59" s="1257" customFormat="1" ht="18.75" x14ac:dyDescent="0.2">
      <c r="B26" s="1258"/>
      <c r="C26" s="1259"/>
      <c r="D26" s="1276"/>
      <c r="E26" s="360"/>
      <c r="F26" s="1262"/>
      <c r="G26" s="1262"/>
      <c r="H26" s="1262"/>
      <c r="I26" s="1262"/>
      <c r="J26" s="1262"/>
      <c r="K26" s="1262"/>
      <c r="L26" s="1262"/>
      <c r="M26" s="1262"/>
      <c r="N26" s="1263"/>
      <c r="O26"/>
      <c r="P26" s="1264"/>
      <c r="R26" s="80" t="str">
        <f>C184</f>
        <v>Emisiones por sector</v>
      </c>
      <c r="S26"/>
      <c r="T26"/>
      <c r="U26"/>
      <c r="V26"/>
      <c r="W26"/>
      <c r="X26"/>
      <c r="Y26"/>
      <c r="Z26"/>
      <c r="AB26" s="2622"/>
      <c r="AN26"/>
      <c r="AO26"/>
      <c r="AP26"/>
      <c r="AQ26"/>
      <c r="AR26"/>
      <c r="AS26"/>
      <c r="AT26"/>
      <c r="AU26"/>
      <c r="AV26"/>
      <c r="AZ26" s="3492"/>
      <c r="BA26" s="3492"/>
      <c r="BB26" s="3492"/>
      <c r="BC26" s="3492"/>
      <c r="BD26" s="3492"/>
      <c r="BE26" s="3492"/>
      <c r="BF26" s="3492"/>
      <c r="BG26" s="3492"/>
    </row>
    <row r="27" spans="2:59" s="1257" customFormat="1" ht="18.75" x14ac:dyDescent="0.2">
      <c r="B27" s="1258"/>
      <c r="C27" s="1248" t="s">
        <v>1638</v>
      </c>
      <c r="D27" s="1276"/>
      <c r="E27" s="360"/>
      <c r="F27" s="1262"/>
      <c r="G27" s="1262"/>
      <c r="H27" s="1262"/>
      <c r="I27" s="1262"/>
      <c r="J27" s="1262"/>
      <c r="K27" s="1262"/>
      <c r="L27" s="1262"/>
      <c r="M27" s="1262"/>
      <c r="N27" s="1263"/>
      <c r="O27"/>
      <c r="P27" s="1264"/>
      <c r="R27" s="2622" t="str">
        <f>D183</f>
        <v>Mt CO2e</v>
      </c>
      <c r="S27" s="2622">
        <f t="shared" ref="S27:Z28" si="31">F184</f>
        <v>2015</v>
      </c>
      <c r="T27" s="2622">
        <f t="shared" si="31"/>
        <v>2020</v>
      </c>
      <c r="U27" s="2622">
        <f t="shared" si="31"/>
        <v>2025</v>
      </c>
      <c r="V27" s="2622">
        <f t="shared" si="31"/>
        <v>2030</v>
      </c>
      <c r="W27" s="2622">
        <f t="shared" si="31"/>
        <v>2035</v>
      </c>
      <c r="X27" s="2622">
        <f t="shared" si="31"/>
        <v>2040</v>
      </c>
      <c r="Y27" s="2622">
        <f t="shared" si="31"/>
        <v>2045</v>
      </c>
      <c r="Z27" s="2622">
        <f t="shared" si="31"/>
        <v>2050</v>
      </c>
      <c r="AB27" s="81"/>
      <c r="AN27" t="s">
        <v>2298</v>
      </c>
      <c r="AO27" s="3488">
        <f t="shared" ref="AO27:AV27" ca="1" si="32">AO23/AO21</f>
        <v>0.44499130616431726</v>
      </c>
      <c r="AP27" s="3488">
        <f t="shared" ca="1" si="32"/>
        <v>0.46851072736596699</v>
      </c>
      <c r="AQ27" s="3488">
        <f t="shared" ca="1" si="32"/>
        <v>0.44799187990922357</v>
      </c>
      <c r="AR27" s="3488">
        <f t="shared" ca="1" si="32"/>
        <v>0.42425864355024401</v>
      </c>
      <c r="AS27" s="3488">
        <f t="shared" ca="1" si="32"/>
        <v>0.39713401381574004</v>
      </c>
      <c r="AT27" s="3488">
        <f t="shared" ca="1" si="32"/>
        <v>0.37225389441442486</v>
      </c>
      <c r="AU27" s="3488">
        <f t="shared" ca="1" si="32"/>
        <v>0.35074186688483489</v>
      </c>
      <c r="AV27" s="3488">
        <f t="shared" ca="1" si="32"/>
        <v>0.3351749055196187</v>
      </c>
    </row>
    <row r="28" spans="2:59" s="1257" customFormat="1" ht="18.75" x14ac:dyDescent="0.2">
      <c r="B28" s="1258"/>
      <c r="C28" s="1256" t="s">
        <v>478</v>
      </c>
      <c r="D28" s="1249" t="str">
        <f>INDEX(Flujos[Flujos], MATCH($C28, Flujos[Código], 0))</f>
        <v>Comercial, Público y Residencial</v>
      </c>
      <c r="E28" s="360"/>
      <c r="F28" s="1262">
        <f ca="1">SUM(F8:F13)</f>
        <v>69.732488609722594</v>
      </c>
      <c r="G28" s="1262">
        <f t="shared" ref="G28:M28" ca="1" si="33">SUM(G8:G13)</f>
        <v>77.779438139494317</v>
      </c>
      <c r="H28" s="1262">
        <f t="shared" ca="1" si="33"/>
        <v>89.460347308565986</v>
      </c>
      <c r="I28" s="1262">
        <f t="shared" ca="1" si="33"/>
        <v>103.32455340139477</v>
      </c>
      <c r="J28" s="1262">
        <f t="shared" ca="1" si="33"/>
        <v>118.96919895910916</v>
      </c>
      <c r="K28" s="1262">
        <f t="shared" ca="1" si="33"/>
        <v>137.0678323267025</v>
      </c>
      <c r="L28" s="1262">
        <f t="shared" ca="1" si="33"/>
        <v>158.362640255516</v>
      </c>
      <c r="M28" s="1262">
        <f t="shared" ca="1" si="33"/>
        <v>179.14934888905594</v>
      </c>
      <c r="N28" s="1263"/>
      <c r="O28"/>
      <c r="P28" s="1264"/>
      <c r="R28" s="3451" t="str">
        <f>D185</f>
        <v>Termoelectricidad</v>
      </c>
      <c r="S28" s="3452">
        <f ca="1">F185</f>
        <v>28.282873684358243</v>
      </c>
      <c r="T28" s="3452">
        <f t="shared" ca="1" si="31"/>
        <v>31.0104170487364</v>
      </c>
      <c r="U28" s="3452">
        <f t="shared" ca="1" si="31"/>
        <v>37.321690649147655</v>
      </c>
      <c r="V28" s="3452">
        <f t="shared" ca="1" si="31"/>
        <v>44.064470943903444</v>
      </c>
      <c r="W28" s="3452">
        <f t="shared" ca="1" si="31"/>
        <v>52.398491998647209</v>
      </c>
      <c r="X28" s="3452">
        <f t="shared" ca="1" si="31"/>
        <v>61.565148868147062</v>
      </c>
      <c r="Y28" s="3452">
        <f t="shared" ca="1" si="31"/>
        <v>71.053220130093464</v>
      </c>
      <c r="Z28" s="3452">
        <f ca="1">M185</f>
        <v>79.657336093181783</v>
      </c>
      <c r="AB28" s="81"/>
      <c r="AN28" t="s">
        <v>409</v>
      </c>
      <c r="AO28" s="3488">
        <f t="shared" ref="AO28:AV28" ca="1" si="34">AO24/AO21</f>
        <v>0.15857391252448078</v>
      </c>
      <c r="AP28" s="3488">
        <f t="shared" ca="1" si="34"/>
        <v>0.15185407789543801</v>
      </c>
      <c r="AQ28" s="3488">
        <f t="shared" ca="1" si="34"/>
        <v>0.15771660574022184</v>
      </c>
      <c r="AR28" s="3488">
        <f t="shared" ca="1" si="34"/>
        <v>0.16449753041421603</v>
      </c>
      <c r="AS28" s="3488">
        <f t="shared" ca="1" si="34"/>
        <v>0.1722474246240743</v>
      </c>
      <c r="AT28" s="3488">
        <f t="shared" ca="1" si="34"/>
        <v>0.1793560301673072</v>
      </c>
      <c r="AU28" s="3488">
        <f t="shared" ca="1" si="34"/>
        <v>0.18550232374719006</v>
      </c>
      <c r="AV28" s="3488">
        <f t="shared" ca="1" si="34"/>
        <v>0.18995002699439476</v>
      </c>
    </row>
    <row r="29" spans="2:59" s="1257" customFormat="1" ht="18.75" x14ac:dyDescent="0.2">
      <c r="B29" s="1258"/>
      <c r="C29" s="1256" t="s">
        <v>578</v>
      </c>
      <c r="D29" s="1249" t="str">
        <f>INDEX(Flujos[Flujos], MATCH($C29, Flujos[Código], 0))</f>
        <v>Industria y Minería</v>
      </c>
      <c r="E29" s="360"/>
      <c r="F29" s="1262">
        <f ca="1">F14</f>
        <v>135.84274834045024</v>
      </c>
      <c r="G29" s="1262">
        <f t="shared" ref="G29:M29" ca="1" si="35">G14</f>
        <v>158.67044327209996</v>
      </c>
      <c r="H29" s="1262">
        <f t="shared" ca="1" si="35"/>
        <v>180.06416398976444</v>
      </c>
      <c r="I29" s="1262">
        <f t="shared" ca="1" si="35"/>
        <v>197.03307251300703</v>
      </c>
      <c r="J29" s="1262">
        <f t="shared" ca="1" si="35"/>
        <v>218.59381484642964</v>
      </c>
      <c r="K29" s="1262">
        <f t="shared" ca="1" si="35"/>
        <v>241.06883940080814</v>
      </c>
      <c r="L29" s="1262">
        <f t="shared" ca="1" si="35"/>
        <v>262.50546954554397</v>
      </c>
      <c r="M29" s="1262">
        <f t="shared" ca="1" si="35"/>
        <v>282.57731267178247</v>
      </c>
      <c r="N29" s="1263"/>
      <c r="O29"/>
      <c r="P29" s="1264"/>
      <c r="R29" s="122" t="str">
        <f t="shared" ref="R29:R33" si="36">D195</f>
        <v>Residuos</v>
      </c>
      <c r="S29" s="121">
        <f t="shared" ref="S29:Z30" si="37">F195</f>
        <v>3.1096431517807348</v>
      </c>
      <c r="T29" s="121">
        <f t="shared" si="37"/>
        <v>3.7985207352657593</v>
      </c>
      <c r="U29" s="121">
        <f t="shared" si="37"/>
        <v>4.4703772608361776</v>
      </c>
      <c r="V29" s="121">
        <f t="shared" si="37"/>
        <v>5.1610897215350429</v>
      </c>
      <c r="W29" s="121">
        <f t="shared" si="37"/>
        <v>5.8298104378228848</v>
      </c>
      <c r="X29" s="121">
        <f t="shared" si="37"/>
        <v>6.4941382054423507</v>
      </c>
      <c r="Y29" s="121">
        <f t="shared" si="37"/>
        <v>7.1453790542053239</v>
      </c>
      <c r="Z29" s="3453">
        <f t="shared" si="37"/>
        <v>7.7960917135764722</v>
      </c>
      <c r="AB29" s="81"/>
      <c r="AL29" s="1918"/>
      <c r="AM29" s="1918"/>
    </row>
    <row r="30" spans="2:59" s="1257" customFormat="1" ht="18.75" x14ac:dyDescent="0.2">
      <c r="B30" s="1258"/>
      <c r="C30" s="1256" t="s">
        <v>579</v>
      </c>
      <c r="D30" s="1249" t="str">
        <f>INDEX(Flujos[Flujos], MATCH($C30, Flujos[Código], 0))</f>
        <v>Transporte</v>
      </c>
      <c r="E30" s="360"/>
      <c r="F30" s="1262">
        <f ca="1">SUM(F15:F23)</f>
        <v>94.646430672273254</v>
      </c>
      <c r="G30" s="1262">
        <f t="shared" ref="G30:M30" ca="1" si="38">SUM(G15:G23)</f>
        <v>101.90184165594128</v>
      </c>
      <c r="H30" s="1262">
        <f t="shared" ca="1" si="38"/>
        <v>119.5723479137848</v>
      </c>
      <c r="I30" s="1262">
        <f t="shared" ca="1" si="38"/>
        <v>143.42343267731206</v>
      </c>
      <c r="J30" s="1262">
        <f t="shared" ca="1" si="38"/>
        <v>163.87690747914812</v>
      </c>
      <c r="K30" s="1262">
        <f t="shared" ca="1" si="38"/>
        <v>178.49288116463165</v>
      </c>
      <c r="L30" s="1262">
        <f t="shared" ca="1" si="38"/>
        <v>189.2116773546291</v>
      </c>
      <c r="M30" s="1262">
        <f t="shared" ca="1" si="38"/>
        <v>198.19344783503647</v>
      </c>
      <c r="N30" s="1263"/>
      <c r="O30"/>
      <c r="P30" s="1264"/>
      <c r="R30" s="122" t="str">
        <f t="shared" si="36"/>
        <v>Agropecuario</v>
      </c>
      <c r="S30" s="121">
        <f t="shared" si="37"/>
        <v>12.816572783657763</v>
      </c>
      <c r="T30" s="121">
        <f t="shared" si="37"/>
        <v>12.78736097645349</v>
      </c>
      <c r="U30" s="121">
        <f t="shared" si="37"/>
        <v>12.778526133715729</v>
      </c>
      <c r="V30" s="121">
        <f t="shared" si="37"/>
        <v>12.913262357995444</v>
      </c>
      <c r="W30" s="121">
        <f t="shared" si="37"/>
        <v>13.100772485088362</v>
      </c>
      <c r="X30" s="121">
        <f t="shared" si="37"/>
        <v>13.309006434440434</v>
      </c>
      <c r="Y30" s="121">
        <f t="shared" si="37"/>
        <v>13.522309091729012</v>
      </c>
      <c r="Z30" s="3453">
        <f t="shared" si="37"/>
        <v>13.732410206521122</v>
      </c>
      <c r="AB30" s="81"/>
      <c r="AL30" s="1918"/>
      <c r="AM30" s="1918"/>
      <c r="AN30" s="3490" t="s">
        <v>2318</v>
      </c>
      <c r="AO30" s="1918" t="s">
        <v>2300</v>
      </c>
      <c r="AP30" s="1918"/>
      <c r="AQ30" s="1918"/>
    </row>
    <row r="31" spans="2:59" s="447" customFormat="1" x14ac:dyDescent="0.2">
      <c r="B31" s="1265"/>
      <c r="C31" s="1266"/>
      <c r="D31" s="457"/>
      <c r="E31" s="360"/>
      <c r="F31" s="1261">
        <f ca="1">SUM(F28:F30)</f>
        <v>300.22166762244609</v>
      </c>
      <c r="G31" s="1261">
        <f t="shared" ref="G31:M31" ca="1" si="39">SUM(G28:G30)</f>
        <v>338.35172306753554</v>
      </c>
      <c r="H31" s="1261">
        <f t="shared" ca="1" si="39"/>
        <v>389.09685921211519</v>
      </c>
      <c r="I31" s="1261">
        <f t="shared" ca="1" si="39"/>
        <v>443.78105859171387</v>
      </c>
      <c r="J31" s="1261">
        <f t="shared" ca="1" si="39"/>
        <v>501.43992128468687</v>
      </c>
      <c r="K31" s="1261">
        <f t="shared" ca="1" si="39"/>
        <v>556.62955289214233</v>
      </c>
      <c r="L31" s="1261">
        <f t="shared" ca="1" si="39"/>
        <v>610.07978715568902</v>
      </c>
      <c r="M31" s="1261">
        <f t="shared" ca="1" si="39"/>
        <v>659.92010939587487</v>
      </c>
      <c r="N31" s="1267"/>
      <c r="O31"/>
      <c r="P31" s="1268"/>
      <c r="R31" s="122" t="str">
        <f t="shared" si="36"/>
        <v>Residencial</v>
      </c>
      <c r="S31" s="121">
        <f t="shared" ref="S31:Z32" si="40">F197</f>
        <v>6.0821291331635257</v>
      </c>
      <c r="T31" s="121">
        <f t="shared" si="40"/>
        <v>7.2550418908143497</v>
      </c>
      <c r="U31" s="121">
        <f t="shared" si="40"/>
        <v>8.6393217415077626</v>
      </c>
      <c r="V31" s="121">
        <f t="shared" si="40"/>
        <v>10.113707400902864</v>
      </c>
      <c r="W31" s="121">
        <f t="shared" si="40"/>
        <v>11.713850659765072</v>
      </c>
      <c r="X31" s="121">
        <f t="shared" si="40"/>
        <v>13.704434327263904</v>
      </c>
      <c r="Y31" s="121">
        <f t="shared" si="40"/>
        <v>16.191002706983969</v>
      </c>
      <c r="Z31" s="3453">
        <f t="shared" si="40"/>
        <v>18.752157373267512</v>
      </c>
      <c r="AB31" s="81"/>
      <c r="AN31" s="3491">
        <f ca="1">AS27</f>
        <v>0.39713401381574004</v>
      </c>
      <c r="AO31" s="3491">
        <f ca="1">AV27</f>
        <v>0.3351749055196187</v>
      </c>
      <c r="AP31" s="1918"/>
      <c r="AQ31" s="1918"/>
      <c r="AR31" s="1257"/>
      <c r="AS31" s="1257"/>
      <c r="AT31" s="1257"/>
      <c r="AU31" s="1257"/>
      <c r="AV31" s="1257"/>
    </row>
    <row r="32" spans="2:59" s="449" customFormat="1" x14ac:dyDescent="0.2">
      <c r="B32" s="1269"/>
      <c r="C32" s="1270"/>
      <c r="D32" s="1271"/>
      <c r="E32" s="360"/>
      <c r="F32" s="1272"/>
      <c r="G32" s="1272"/>
      <c r="H32" s="1272"/>
      <c r="I32" s="1272"/>
      <c r="J32" s="1272"/>
      <c r="K32" s="1272"/>
      <c r="L32" s="1272"/>
      <c r="M32" s="1272"/>
      <c r="N32" s="1273"/>
      <c r="O32"/>
      <c r="P32" s="1274"/>
      <c r="R32" s="122" t="str">
        <f t="shared" si="36"/>
        <v>Comercial y Púbico</v>
      </c>
      <c r="S32" s="121">
        <f t="shared" si="40"/>
        <v>2.0068723152158929</v>
      </c>
      <c r="T32" s="121">
        <f t="shared" si="40"/>
        <v>2.1992460143489043</v>
      </c>
      <c r="U32" s="121">
        <f t="shared" si="40"/>
        <v>2.5620733079933875</v>
      </c>
      <c r="V32" s="121">
        <f t="shared" si="40"/>
        <v>2.9902471723562001</v>
      </c>
      <c r="W32" s="121">
        <f t="shared" si="40"/>
        <v>3.4315698653103319</v>
      </c>
      <c r="X32" s="121">
        <f t="shared" si="40"/>
        <v>3.8868286697186196</v>
      </c>
      <c r="Y32" s="121">
        <f t="shared" si="40"/>
        <v>4.3672965804939041</v>
      </c>
      <c r="Z32" s="3453">
        <f t="shared" si="40"/>
        <v>4.6726950929789259</v>
      </c>
      <c r="AB32" s="81"/>
      <c r="AN32" s="1257"/>
      <c r="AO32" s="1257"/>
      <c r="AP32" s="1257"/>
      <c r="AQ32" s="1257"/>
      <c r="AR32" s="1257"/>
      <c r="AS32" s="1257"/>
      <c r="AT32" s="1257"/>
      <c r="AU32" s="1257"/>
      <c r="AV32" s="1257"/>
    </row>
    <row r="33" spans="2:48" s="449" customFormat="1" x14ac:dyDescent="0.2">
      <c r="B33" s="1269"/>
      <c r="C33" s="1248" t="s">
        <v>2265</v>
      </c>
      <c r="D33" s="1271"/>
      <c r="E33" s="360"/>
      <c r="F33" s="1272"/>
      <c r="G33" s="1272"/>
      <c r="H33" s="1272"/>
      <c r="I33" s="1272"/>
      <c r="J33" s="1272"/>
      <c r="K33" s="1272"/>
      <c r="L33" s="1272"/>
      <c r="M33" s="1272"/>
      <c r="N33" s="1273"/>
      <c r="O33"/>
      <c r="P33" s="1274"/>
      <c r="R33" s="122" t="str">
        <f t="shared" si="36"/>
        <v>Procesos Industriales</v>
      </c>
      <c r="S33" s="121">
        <f t="shared" ref="S33:Z33" si="41">F199+F202</f>
        <v>17.84512510239621</v>
      </c>
      <c r="T33" s="121">
        <f t="shared" ca="1" si="41"/>
        <v>24.151604186091568</v>
      </c>
      <c r="U33" s="121">
        <f t="shared" ca="1" si="41"/>
        <v>27.579673476743537</v>
      </c>
      <c r="V33" s="121">
        <f t="shared" ca="1" si="41"/>
        <v>30.438708837580368</v>
      </c>
      <c r="W33" s="121">
        <f t="shared" ca="1" si="41"/>
        <v>34.052597792931202</v>
      </c>
      <c r="X33" s="121">
        <f t="shared" ca="1" si="41"/>
        <v>37.858358300855876</v>
      </c>
      <c r="Y33" s="121">
        <f t="shared" ca="1" si="41"/>
        <v>41.548324073480885</v>
      </c>
      <c r="Z33" s="3453">
        <f t="shared" ca="1" si="41"/>
        <v>44.980805967789919</v>
      </c>
      <c r="AB33" s="81"/>
      <c r="AC33" s="3247" t="s">
        <v>434</v>
      </c>
      <c r="AN33" s="447"/>
      <c r="AO33" s="447"/>
      <c r="AP33" s="447"/>
      <c r="AQ33" s="447"/>
      <c r="AR33" s="447"/>
      <c r="AS33" s="447"/>
      <c r="AT33" s="447"/>
      <c r="AU33" s="447"/>
      <c r="AV33" s="447"/>
    </row>
    <row r="34" spans="2:48" s="192" customFormat="1" x14ac:dyDescent="0.2">
      <c r="B34" s="1247"/>
      <c r="C34" s="1248"/>
      <c r="D34" s="1249"/>
      <c r="E34" s="360"/>
      <c r="F34" s="1250"/>
      <c r="G34" s="1250"/>
      <c r="H34" s="1250"/>
      <c r="I34" s="1250"/>
      <c r="J34" s="1250"/>
      <c r="K34" s="1250"/>
      <c r="L34" s="1250"/>
      <c r="M34" s="1250"/>
      <c r="N34" s="1251"/>
      <c r="O34"/>
      <c r="P34" s="1252"/>
      <c r="R34" s="122" t="s">
        <v>2426</v>
      </c>
      <c r="S34" s="121">
        <f>F200+F201</f>
        <v>24.868989353977781</v>
      </c>
      <c r="T34" s="121">
        <f t="shared" ref="T34:Z34" si="42">G200+G201</f>
        <v>26.744439668839334</v>
      </c>
      <c r="U34" s="121">
        <f t="shared" si="42"/>
        <v>31.339051195684757</v>
      </c>
      <c r="V34" s="121">
        <f t="shared" si="42"/>
        <v>37.473044454484011</v>
      </c>
      <c r="W34" s="121">
        <f t="shared" si="42"/>
        <v>42.816327515400786</v>
      </c>
      <c r="X34" s="121">
        <f t="shared" si="42"/>
        <v>46.577044569806105</v>
      </c>
      <c r="Y34" s="121">
        <f t="shared" si="42"/>
        <v>49.41720544382521</v>
      </c>
      <c r="Z34" s="121">
        <f t="shared" si="42"/>
        <v>51.821516287588963</v>
      </c>
      <c r="AB34" s="81"/>
      <c r="AC34" t="s">
        <v>2295</v>
      </c>
      <c r="AD34" t="s">
        <v>2296</v>
      </c>
      <c r="AN34" s="449" t="s">
        <v>2301</v>
      </c>
      <c r="AO34" s="3489">
        <f t="shared" ref="AO34:AV34" si="43">AO8+AO14</f>
        <v>4.2469326120000002</v>
      </c>
      <c r="AP34" s="3489">
        <f t="shared" si="43"/>
        <v>9.4929556235470116</v>
      </c>
      <c r="AQ34" s="3489">
        <f t="shared" si="43"/>
        <v>11.951521282872358</v>
      </c>
      <c r="AR34" s="3489">
        <f t="shared" si="43"/>
        <v>13.403229282788626</v>
      </c>
      <c r="AS34" s="3489">
        <f t="shared" si="43"/>
        <v>14.601024369418589</v>
      </c>
      <c r="AT34" s="3489">
        <f t="shared" si="43"/>
        <v>15.567364822986219</v>
      </c>
      <c r="AU34" s="3489">
        <f t="shared" si="43"/>
        <v>16.321874599181562</v>
      </c>
      <c r="AV34" s="3489">
        <f t="shared" si="43"/>
        <v>16.965734880966792</v>
      </c>
    </row>
    <row r="35" spans="2:48" s="192" customFormat="1" x14ac:dyDescent="0.2">
      <c r="B35" s="1247"/>
      <c r="C35" s="1248" t="s">
        <v>1624</v>
      </c>
      <c r="D35" s="1249"/>
      <c r="E35" s="360"/>
      <c r="F35" s="1250"/>
      <c r="G35" s="1250"/>
      <c r="H35" s="1250"/>
      <c r="I35" s="1250"/>
      <c r="J35" s="1250"/>
      <c r="K35" s="1250"/>
      <c r="L35" s="1250"/>
      <c r="M35" s="1250"/>
      <c r="N35" s="1251"/>
      <c r="O35"/>
      <c r="P35" s="1252"/>
      <c r="R35" s="3466"/>
      <c r="S35" s="92"/>
      <c r="T35" s="92"/>
      <c r="U35" s="92"/>
      <c r="V35" s="92"/>
      <c r="W35" s="92"/>
      <c r="X35" s="92"/>
      <c r="Y35" s="92"/>
      <c r="Z35" s="3467"/>
      <c r="AB35" s="81"/>
      <c r="AC35" s="3485">
        <f ca="1">V41</f>
        <v>0</v>
      </c>
      <c r="AD35" s="3485">
        <f ca="1">Z41</f>
        <v>0</v>
      </c>
      <c r="AN35" s="449"/>
      <c r="AO35" s="3489"/>
      <c r="AP35" s="3489"/>
      <c r="AQ35" s="3489"/>
      <c r="AR35" s="3489"/>
      <c r="AS35" s="3489"/>
      <c r="AT35" s="3489"/>
      <c r="AU35" s="3489"/>
      <c r="AV35" s="3489"/>
    </row>
    <row r="36" spans="2:48" s="192" customFormat="1" x14ac:dyDescent="0.2">
      <c r="B36" s="1247"/>
      <c r="C36" s="1275"/>
      <c r="D36" s="1249"/>
      <c r="E36" s="360"/>
      <c r="F36" s="2607"/>
      <c r="G36" s="2607"/>
      <c r="H36" s="2607"/>
      <c r="I36" s="2607"/>
      <c r="J36" s="2607"/>
      <c r="K36" s="2607"/>
      <c r="L36" s="2607"/>
      <c r="M36" s="2607"/>
      <c r="N36" s="1251"/>
      <c r="O36"/>
      <c r="P36" s="1252"/>
      <c r="R36"/>
      <c r="S36" s="81"/>
      <c r="T36" s="81"/>
      <c r="U36" s="81"/>
      <c r="V36" s="81"/>
      <c r="W36" s="81"/>
      <c r="X36" s="81"/>
      <c r="Y36" s="81"/>
      <c r="Z36" s="81"/>
      <c r="AB36" s="2727"/>
    </row>
    <row r="37" spans="2:48" s="192" customFormat="1" x14ac:dyDescent="0.2">
      <c r="B37" s="1247"/>
      <c r="C37" s="1275" t="s">
        <v>315</v>
      </c>
      <c r="D37" s="1249" t="str">
        <f>INDEX(Vectors[Descripción], MATCH($C37,Vectors[Código],FALSE))</f>
        <v>Solar</v>
      </c>
      <c r="E37" s="360"/>
      <c r="F37" s="2607">
        <f ca="1">-INDEX(INDIRECT("'"&amp;F$4&amp;"'!ano.balanceneto"), MATCH('Resultados Intermedios'!$C37, INDIRECT("'"&amp;F$4&amp;"'!ano.vector"), 0))</f>
        <v>1.6026505617753739</v>
      </c>
      <c r="G37" s="2607">
        <f ca="1">-INDEX(INDIRECT("'"&amp;G$4&amp;"'!ano.balanceneto"), MATCH('Resultados Intermedios'!$C37, INDIRECT("'"&amp;G$4&amp;"'!ano.vector"), 0))</f>
        <v>5.0224084467316548</v>
      </c>
      <c r="H37" s="2607">
        <f ca="1">-INDEX(INDIRECT("'"&amp;H$4&amp;"'!ano.balanceneto"), MATCH('Resultados Intermedios'!$C37, INDIRECT("'"&amp;H$4&amp;"'!ano.vector"), 0))</f>
        <v>7.2029760905181748</v>
      </c>
      <c r="I37" s="2607">
        <f ca="1">-INDEX(INDIRECT("'"&amp;I$4&amp;"'!ano.balanceneto"), MATCH('Resultados Intermedios'!$C37, INDIRECT("'"&amp;I$4&amp;"'!ano.vector"), 0))</f>
        <v>8.3768579476252114</v>
      </c>
      <c r="J37" s="2607">
        <f ca="1">-INDEX(INDIRECT("'"&amp;J$4&amp;"'!ano.balanceneto"), MATCH('Resultados Intermedios'!$C37, INDIRECT("'"&amp;J$4&amp;"'!ano.vector"), 0))</f>
        <v>9.2967699073392964</v>
      </c>
      <c r="K37" s="2607">
        <f ca="1">-INDEX(INDIRECT("'"&amp;K$4&amp;"'!ano.balanceneto"), MATCH('Resultados Intermedios'!$C37, INDIRECT("'"&amp;K$4&amp;"'!ano.vector"), 0))</f>
        <v>9.9851748956592505</v>
      </c>
      <c r="L37" s="2607">
        <f ca="1">-INDEX(INDIRECT("'"&amp;L$4&amp;"'!ano.balanceneto"), MATCH('Resultados Intermedios'!$C37, INDIRECT("'"&amp;L$4&amp;"'!ano.vector"), 0))</f>
        <v>10.461743649769149</v>
      </c>
      <c r="M37" s="2607">
        <f ca="1">-INDEX(INDIRECT("'"&amp;M$4&amp;"'!ano.balanceneto"), MATCH('Resultados Intermedios'!$C37, INDIRECT("'"&amp;M$4&amp;"'!ano.vector"), 0))</f>
        <v>10.827699474223696</v>
      </c>
      <c r="N37" s="1251"/>
      <c r="O37"/>
      <c r="P37" s="2964"/>
      <c r="R37" s="3468" t="s">
        <v>1058</v>
      </c>
      <c r="S37" s="3478">
        <f ca="1">SUM(S28:S36)</f>
        <v>95.012205524550154</v>
      </c>
      <c r="T37" s="3478">
        <f t="shared" ref="T37:Z37" ca="1" si="44">SUM(T28:T36)</f>
        <v>107.9466305205498</v>
      </c>
      <c r="U37" s="3478">
        <f t="shared" ca="1" si="44"/>
        <v>124.69071376562901</v>
      </c>
      <c r="V37" s="3478">
        <f t="shared" ca="1" si="44"/>
        <v>143.15453088875739</v>
      </c>
      <c r="W37" s="3478">
        <f t="shared" ca="1" si="44"/>
        <v>163.34342075496585</v>
      </c>
      <c r="X37" s="3478">
        <f t="shared" ca="1" si="44"/>
        <v>183.39495937567438</v>
      </c>
      <c r="Y37" s="3478">
        <f t="shared" ca="1" si="44"/>
        <v>203.24473708081177</v>
      </c>
      <c r="Z37" s="3478">
        <f t="shared" ca="1" si="44"/>
        <v>221.4130127349047</v>
      </c>
      <c r="AB37" s="14"/>
      <c r="AN37" t="s">
        <v>1639</v>
      </c>
      <c r="AO37" s="77">
        <v>67.579633316573748</v>
      </c>
      <c r="AP37" s="77">
        <v>78.979509560230042</v>
      </c>
      <c r="AQ37" s="77">
        <v>91.520244446127023</v>
      </c>
      <c r="AR37" s="77">
        <v>103.60064575816739</v>
      </c>
      <c r="AS37" s="77">
        <v>117.65200581808284</v>
      </c>
      <c r="AT37" s="77">
        <v>132.755412277396</v>
      </c>
      <c r="AU37" s="77">
        <v>148.13841553905652</v>
      </c>
      <c r="AV37" s="77">
        <v>162.18836791957614</v>
      </c>
    </row>
    <row r="38" spans="2:48" s="192" customFormat="1" x14ac:dyDescent="0.2">
      <c r="B38" s="1247"/>
      <c r="C38" s="1275" t="s">
        <v>218</v>
      </c>
      <c r="D38" s="1249" t="str">
        <f>INDEX(Vectors[Descripción], MATCH($C38,Vectors[Código],FALSE))</f>
        <v>Viento</v>
      </c>
      <c r="E38" s="360"/>
      <c r="F38" s="2607">
        <f ca="1">-INDEX(INDIRECT("'"&amp;F$4&amp;"'!ano.balanceneto"), MATCH('Resultados Intermedios'!$C38, INDIRECT("'"&amp;F$4&amp;"'!ano.vector"), 0))</f>
        <v>2.6604443999999998</v>
      </c>
      <c r="G38" s="2607">
        <f ca="1">-INDEX(INDIRECT("'"&amp;G$4&amp;"'!ano.balanceneto"), MATCH('Resultados Intermedios'!$C38, INDIRECT("'"&amp;G$4&amp;"'!ano.vector"), 0))</f>
        <v>4.6811183999999999</v>
      </c>
      <c r="H38" s="2607">
        <f ca="1">-INDEX(INDIRECT("'"&amp;H$4&amp;"'!ano.balanceneto"), MATCH('Resultados Intermedios'!$C38, INDIRECT("'"&amp;H$4&amp;"'!ano.vector"), 0))</f>
        <v>4.9601951999999994</v>
      </c>
      <c r="I38" s="2607">
        <f ca="1">-INDEX(INDIRECT("'"&amp;I$4&amp;"'!ano.balanceneto"), MATCH('Resultados Intermedios'!$C38, INDIRECT("'"&amp;I$4&amp;"'!ano.vector"), 0))</f>
        <v>5.2392719999999988</v>
      </c>
      <c r="J38" s="2607">
        <f ca="1">-INDEX(INDIRECT("'"&amp;J$4&amp;"'!ano.balanceneto"), MATCH('Resultados Intermedios'!$C38, INDIRECT("'"&amp;J$4&amp;"'!ano.vector"), 0))</f>
        <v>5.5183487999999992</v>
      </c>
      <c r="K38" s="2607">
        <f ca="1">-INDEX(INDIRECT("'"&amp;K$4&amp;"'!ano.balanceneto"), MATCH('Resultados Intermedios'!$C38, INDIRECT("'"&amp;K$4&amp;"'!ano.vector"), 0))</f>
        <v>5.7974255999999986</v>
      </c>
      <c r="L38" s="2607">
        <f ca="1">-INDEX(INDIRECT("'"&amp;L$4&amp;"'!ano.balanceneto"), MATCH('Resultados Intermedios'!$C38, INDIRECT("'"&amp;L$4&amp;"'!ano.vector"), 0))</f>
        <v>6.0765023999999981</v>
      </c>
      <c r="M38" s="2607">
        <f ca="1">-INDEX(INDIRECT("'"&amp;M$4&amp;"'!ano.balanceneto"), MATCH('Resultados Intermedios'!$C38, INDIRECT("'"&amp;M$4&amp;"'!ano.vector"), 0))</f>
        <v>6.3555791999999975</v>
      </c>
      <c r="N38" s="1251"/>
      <c r="O38"/>
      <c r="P38" s="2964"/>
      <c r="S38" s="3479"/>
      <c r="T38" s="3479"/>
      <c r="U38" s="3479"/>
      <c r="V38" s="3479"/>
      <c r="W38" s="3479"/>
      <c r="X38" s="3479"/>
      <c r="Y38" s="3479"/>
      <c r="Z38" s="3479"/>
      <c r="AB38" s="2728"/>
    </row>
    <row r="39" spans="2:48" s="192" customFormat="1" x14ac:dyDescent="0.2">
      <c r="B39" s="1247"/>
      <c r="C39" s="1275" t="s">
        <v>285</v>
      </c>
      <c r="D39" s="1249" t="str">
        <f>INDEX(Vectors[Descripción], MATCH($C39,Vectors[Código],FALSE))</f>
        <v>Mareomotriz</v>
      </c>
      <c r="E39" s="360"/>
      <c r="F39" s="2607">
        <f ca="1">-INDEX(INDIRECT("'"&amp;F$4&amp;"'!ano.balanceneto"), MATCH('Resultados Intermedios'!$C39, INDIRECT("'"&amp;F$4&amp;"'!ano.vector"), 0))</f>
        <v>0</v>
      </c>
      <c r="G39" s="2607">
        <f ca="1">-INDEX(INDIRECT("'"&amp;G$4&amp;"'!ano.balanceneto"), MATCH('Resultados Intermedios'!$C39, INDIRECT("'"&amp;G$4&amp;"'!ano.vector"), 0))</f>
        <v>0</v>
      </c>
      <c r="H39" s="2607">
        <f ca="1">-INDEX(INDIRECT("'"&amp;H$4&amp;"'!ano.balanceneto"), MATCH('Resultados Intermedios'!$C39, INDIRECT("'"&amp;H$4&amp;"'!ano.vector"), 0))</f>
        <v>9.4672799999999998E-3</v>
      </c>
      <c r="I39" s="2607">
        <f ca="1">-INDEX(INDIRECT("'"&amp;I$4&amp;"'!ano.balanceneto"), MATCH('Resultados Intermedios'!$C39, INDIRECT("'"&amp;I$4&amp;"'!ano.vector"), 0))</f>
        <v>1.2425805000000002E-2</v>
      </c>
      <c r="J39" s="2607">
        <f ca="1">-INDEX(INDIRECT("'"&amp;J$4&amp;"'!ano.balanceneto"), MATCH('Resultados Intermedios'!$C39, INDIRECT("'"&amp;J$4&amp;"'!ano.vector"), 0))</f>
        <v>1.8638707500000001E-2</v>
      </c>
      <c r="K39" s="2607">
        <f ca="1">-INDEX(INDIRECT("'"&amp;K$4&amp;"'!ano.balanceneto"), MATCH('Resultados Intermedios'!$C39, INDIRECT("'"&amp;K$4&amp;"'!ano.vector"), 0))</f>
        <v>2.4709600800000002E-2</v>
      </c>
      <c r="L39" s="2607">
        <f ca="1">-INDEX(INDIRECT("'"&amp;L$4&amp;"'!ano.balanceneto"), MATCH('Resultados Intermedios'!$C39, INDIRECT("'"&amp;L$4&amp;"'!ano.vector"), 0))</f>
        <v>4.3241801400000002E-2</v>
      </c>
      <c r="M39" s="2607">
        <f ca="1">-INDEX(INDIRECT("'"&amp;M$4&amp;"'!ano.balanceneto"), MATCH('Resultados Intermedios'!$C39, INDIRECT("'"&amp;M$4&amp;"'!ano.vector"), 0))</f>
        <v>8.6483602800000003E-2</v>
      </c>
      <c r="N39" s="1251"/>
      <c r="O39"/>
      <c r="P39" s="1255"/>
      <c r="R39"/>
      <c r="S39" s="3480"/>
      <c r="T39" s="3480"/>
      <c r="U39" s="3480"/>
      <c r="V39" s="3480"/>
      <c r="W39" s="3480"/>
      <c r="X39" s="3480"/>
      <c r="Y39" s="3480"/>
      <c r="Z39" s="3480"/>
      <c r="AB39" s="14"/>
      <c r="AN39" s="192" t="s">
        <v>1641</v>
      </c>
      <c r="AO39" s="3514">
        <f t="shared" ref="AO39:AV39" ca="1" si="45">1-AO21/AO37</f>
        <v>0</v>
      </c>
      <c r="AP39" s="3514">
        <f t="shared" ca="1" si="45"/>
        <v>0</v>
      </c>
      <c r="AQ39" s="3514">
        <f t="shared" ca="1" si="45"/>
        <v>0</v>
      </c>
      <c r="AR39" s="3514">
        <f t="shared" ca="1" si="45"/>
        <v>0</v>
      </c>
      <c r="AS39" s="3514">
        <f t="shared" ca="1" si="45"/>
        <v>0</v>
      </c>
      <c r="AT39" s="3514">
        <f t="shared" ca="1" si="45"/>
        <v>0</v>
      </c>
      <c r="AU39" s="3514">
        <f t="shared" ca="1" si="45"/>
        <v>0</v>
      </c>
      <c r="AV39" s="3514">
        <f t="shared" ca="1" si="45"/>
        <v>0</v>
      </c>
    </row>
    <row r="40" spans="2:48" s="192" customFormat="1" x14ac:dyDescent="0.2">
      <c r="B40" s="1247"/>
      <c r="C40" s="1275" t="s">
        <v>286</v>
      </c>
      <c r="D40" s="1249" t="str">
        <f>INDEX(Vectors[Descripción], MATCH($C40,Vectors[Código],FALSE))</f>
        <v>Undimotriz</v>
      </c>
      <c r="E40" s="360"/>
      <c r="F40" s="2607">
        <f ca="1">-INDEX(INDIRECT("'"&amp;F$4&amp;"'!ano.balanceneto"), MATCH('Resultados Intermedios'!$C40, INDIRECT("'"&amp;F$4&amp;"'!ano.vector"), 0))</f>
        <v>0</v>
      </c>
      <c r="G40" s="2607">
        <f ca="1">-INDEX(INDIRECT("'"&amp;G$4&amp;"'!ano.balanceneto"), MATCH('Resultados Intermedios'!$C40, INDIRECT("'"&amp;G$4&amp;"'!ano.vector"), 0))</f>
        <v>0</v>
      </c>
      <c r="H40" s="2607">
        <f ca="1">-INDEX(INDIRECT("'"&amp;H$4&amp;"'!ano.balanceneto"), MATCH('Resultados Intermedios'!$C40, INDIRECT("'"&amp;H$4&amp;"'!ano.vector"), 0))</f>
        <v>3.9447000000000006E-3</v>
      </c>
      <c r="I40" s="2607">
        <f ca="1">-INDEX(INDIRECT("'"&amp;I$4&amp;"'!ano.balanceneto"), MATCH('Resultados Intermedios'!$C40, INDIRECT("'"&amp;I$4&amp;"'!ano.vector"), 0))</f>
        <v>6.9032249999999998E-3</v>
      </c>
      <c r="J40" s="2607">
        <f ca="1">-INDEX(INDIRECT("'"&amp;J$4&amp;"'!ano.balanceneto"), MATCH('Resultados Intermedios'!$C40, INDIRECT("'"&amp;J$4&amp;"'!ano.vector"), 0))</f>
        <v>1.03548375E-2</v>
      </c>
      <c r="K40" s="2607">
        <f ca="1">-INDEX(INDIRECT("'"&amp;K$4&amp;"'!ano.balanceneto"), MATCH('Resultados Intermedios'!$C40, INDIRECT("'"&amp;K$4&amp;"'!ano.vector"), 0))</f>
        <v>6.1774002000000001E-2</v>
      </c>
      <c r="L40" s="2607">
        <f ca="1">-INDEX(INDIRECT("'"&amp;L$4&amp;"'!ano.balanceneto"), MATCH('Resultados Intermedios'!$C40, INDIRECT("'"&amp;L$4&amp;"'!ano.vector"), 0))</f>
        <v>0.133843671</v>
      </c>
      <c r="M40" s="2607">
        <f ca="1">-INDEX(INDIRECT("'"&amp;M$4&amp;"'!ano.balanceneto"), MATCH('Resultados Intermedios'!$C40, INDIRECT("'"&amp;M$4&amp;"'!ano.vector"), 0))</f>
        <v>0.26768734199999999</v>
      </c>
      <c r="N40" s="1251"/>
      <c r="O40"/>
      <c r="P40" s="1252"/>
      <c r="R40" t="s">
        <v>1639</v>
      </c>
      <c r="S40" s="3480">
        <v>95.012205524550154</v>
      </c>
      <c r="T40" s="3480">
        <v>107.9466305205498</v>
      </c>
      <c r="U40" s="3480">
        <v>124.69071376562901</v>
      </c>
      <c r="V40" s="3480">
        <v>143.15453088875739</v>
      </c>
      <c r="W40" s="3480">
        <v>163.34342075496585</v>
      </c>
      <c r="X40" s="3480">
        <v>183.39495937567438</v>
      </c>
      <c r="Y40" s="3480">
        <v>203.24473708081177</v>
      </c>
      <c r="Z40" s="3480">
        <v>221.4130127349047</v>
      </c>
      <c r="AB40" s="14"/>
    </row>
    <row r="41" spans="2:48" s="192" customFormat="1" x14ac:dyDescent="0.2">
      <c r="B41" s="1247"/>
      <c r="C41" s="1275" t="s">
        <v>302</v>
      </c>
      <c r="D41" s="1249" t="str">
        <f>INDEX(Vectors[Descripción], MATCH($C41,Vectors[Código],FALSE))</f>
        <v>Geotermia</v>
      </c>
      <c r="E41" s="360"/>
      <c r="F41" s="2607">
        <f ca="1">-INDEX(INDIRECT("'"&amp;F$4&amp;"'!ano.balanceneto"), MATCH('Resultados Intermedios'!$C41, INDIRECT("'"&amp;F$4&amp;"'!ano.vector"), 0))</f>
        <v>0</v>
      </c>
      <c r="G41" s="2607">
        <f ca="1">-INDEX(INDIRECT("'"&amp;G$4&amp;"'!ano.balanceneto"), MATCH('Resultados Intermedios'!$C41, INDIRECT("'"&amp;G$4&amp;"'!ano.vector"), 0))</f>
        <v>0.35064000000000006</v>
      </c>
      <c r="H41" s="2607">
        <f ca="1">-INDEX(INDIRECT("'"&amp;H$4&amp;"'!ano.balanceneto"), MATCH('Resultados Intermedios'!$C41, INDIRECT("'"&amp;H$4&amp;"'!ano.vector"), 0))</f>
        <v>0.35064000000000006</v>
      </c>
      <c r="I41" s="2607">
        <f ca="1">-INDEX(INDIRECT("'"&amp;I$4&amp;"'!ano.balanceneto"), MATCH('Resultados Intermedios'!$C41, INDIRECT("'"&amp;I$4&amp;"'!ano.vector"), 0))</f>
        <v>0.35064000000000006</v>
      </c>
      <c r="J41" s="2607">
        <f ca="1">-INDEX(INDIRECT("'"&amp;J$4&amp;"'!ano.balanceneto"), MATCH('Resultados Intermedios'!$C41, INDIRECT("'"&amp;J$4&amp;"'!ano.vector"), 0))</f>
        <v>0.35064000000000006</v>
      </c>
      <c r="K41" s="2607">
        <f ca="1">-INDEX(INDIRECT("'"&amp;K$4&amp;"'!ano.balanceneto"), MATCH('Resultados Intermedios'!$C41, INDIRECT("'"&amp;K$4&amp;"'!ano.vector"), 0))</f>
        <v>0.35064000000000006</v>
      </c>
      <c r="L41" s="2607">
        <f ca="1">-INDEX(INDIRECT("'"&amp;L$4&amp;"'!ano.balanceneto"), MATCH('Resultados Intermedios'!$C41, INDIRECT("'"&amp;L$4&amp;"'!ano.vector"), 0))</f>
        <v>0.35064000000000006</v>
      </c>
      <c r="M41" s="2607">
        <f ca="1">-INDEX(INDIRECT("'"&amp;M$4&amp;"'!ano.balanceneto"), MATCH('Resultados Intermedios'!$C41, INDIRECT("'"&amp;M$4&amp;"'!ano.vector"), 0))</f>
        <v>0.35064000000000006</v>
      </c>
      <c r="N41" s="1251"/>
      <c r="O41"/>
      <c r="P41" s="1252"/>
      <c r="R41" s="14" t="s">
        <v>1641</v>
      </c>
      <c r="S41" s="3484">
        <f ca="1">1-S37/S40</f>
        <v>0</v>
      </c>
      <c r="T41" s="3484">
        <f t="shared" ref="T41:Z41" ca="1" si="46">1-T37/T40</f>
        <v>0</v>
      </c>
      <c r="U41" s="3484">
        <f t="shared" ca="1" si="46"/>
        <v>0</v>
      </c>
      <c r="V41" s="3484">
        <f t="shared" ca="1" si="46"/>
        <v>0</v>
      </c>
      <c r="W41" s="3484">
        <f t="shared" ca="1" si="46"/>
        <v>0</v>
      </c>
      <c r="X41" s="3484">
        <f t="shared" ca="1" si="46"/>
        <v>0</v>
      </c>
      <c r="Y41" s="3484">
        <f t="shared" ca="1" si="46"/>
        <v>0</v>
      </c>
      <c r="Z41" s="3484">
        <f t="shared" ca="1" si="46"/>
        <v>0</v>
      </c>
      <c r="AB41" s="14"/>
    </row>
    <row r="42" spans="2:48" s="192" customFormat="1" x14ac:dyDescent="0.2">
      <c r="B42" s="1247"/>
      <c r="C42" s="1275" t="s">
        <v>249</v>
      </c>
      <c r="D42" s="1249" t="str">
        <f>INDEX(Vectors[Descripción], MATCH($C42,Vectors[Código],FALSE))</f>
        <v>Hidro</v>
      </c>
      <c r="E42" s="360"/>
      <c r="F42" s="2607">
        <f ca="1">-INDEX(INDIRECT("'"&amp;F$4&amp;"'!ano.balanceneto"), MATCH('Resultados Intermedios'!$C42, INDIRECT("'"&amp;F$4&amp;"'!ano.vector"), 0))</f>
        <v>22.147299</v>
      </c>
      <c r="G42" s="2607">
        <f ca="1">-INDEX(INDIRECT("'"&amp;G$4&amp;"'!ano.balanceneto"), MATCH('Resultados Intermedios'!$C42, INDIRECT("'"&amp;G$4&amp;"'!ano.vector"), 0))</f>
        <v>23.153197500000005</v>
      </c>
      <c r="H42" s="2607">
        <f ca="1">-INDEX(INDIRECT("'"&amp;H$4&amp;"'!ano.balanceneto"), MATCH('Resultados Intermedios'!$C42, INDIRECT("'"&amp;H$4&amp;"'!ano.vector"), 0))</f>
        <v>24.159096000000002</v>
      </c>
      <c r="I42" s="2607">
        <f ca="1">-INDEX(INDIRECT("'"&amp;I$4&amp;"'!ano.balanceneto"), MATCH('Resultados Intermedios'!$C42, INDIRECT("'"&amp;I$4&amp;"'!ano.vector"), 0))</f>
        <v>25.164994499999999</v>
      </c>
      <c r="J42" s="2607">
        <f ca="1">-INDEX(INDIRECT("'"&amp;J$4&amp;"'!ano.balanceneto"), MATCH('Resultados Intermedios'!$C42, INDIRECT("'"&amp;J$4&amp;"'!ano.vector"), 0))</f>
        <v>26.122679999999999</v>
      </c>
      <c r="K42" s="2607">
        <f ca="1">-INDEX(INDIRECT("'"&amp;K$4&amp;"'!ano.balanceneto"), MATCH('Resultados Intermedios'!$C42, INDIRECT("'"&amp;K$4&amp;"'!ano.vector"), 0))</f>
        <v>27.1285785</v>
      </c>
      <c r="L42" s="2607">
        <f ca="1">-INDEX(INDIRECT("'"&amp;L$4&amp;"'!ano.balanceneto"), MATCH('Resultados Intermedios'!$C42, INDIRECT("'"&amp;L$4&amp;"'!ano.vector"), 0))</f>
        <v>28.134477000000004</v>
      </c>
      <c r="M42" s="2607">
        <f ca="1">-INDEX(INDIRECT("'"&amp;M$4&amp;"'!ano.balanceneto"), MATCH('Resultados Intermedios'!$C42, INDIRECT("'"&amp;M$4&amp;"'!ano.vector"), 0))</f>
        <v>29.092162499999997</v>
      </c>
      <c r="N42" s="1251"/>
      <c r="O42"/>
      <c r="P42" s="1255"/>
      <c r="R42" s="14" t="s">
        <v>1898</v>
      </c>
      <c r="S42" s="14">
        <f ca="1">S37*1000000</f>
        <v>95012205.524550155</v>
      </c>
      <c r="T42" s="14">
        <f t="shared" ref="T42:Z42" ca="1" si="47">T37*1000000</f>
        <v>107946630.5205498</v>
      </c>
      <c r="U42" s="14">
        <f t="shared" ca="1" si="47"/>
        <v>124690713.76562901</v>
      </c>
      <c r="V42" s="14">
        <f t="shared" ca="1" si="47"/>
        <v>143154530.88875738</v>
      </c>
      <c r="W42" s="14">
        <f t="shared" ca="1" si="47"/>
        <v>163343420.75496584</v>
      </c>
      <c r="X42" s="14">
        <f t="shared" ca="1" si="47"/>
        <v>183394959.37567437</v>
      </c>
      <c r="Y42" s="14">
        <f t="shared" ca="1" si="47"/>
        <v>203244737.08081177</v>
      </c>
      <c r="Z42" s="14">
        <f t="shared" ca="1" si="47"/>
        <v>221413012.73490471</v>
      </c>
      <c r="AB42" s="14"/>
    </row>
    <row r="43" spans="2:48" s="192" customFormat="1" outlineLevel="1" x14ac:dyDescent="0.2">
      <c r="B43" s="1247"/>
      <c r="C43" s="1275" t="s">
        <v>459</v>
      </c>
      <c r="D43" s="1249" t="str">
        <f>INDEX(Vectors[Descripción], MATCH($C43,Vectors[Código],FALSE))</f>
        <v>Electricidad sobreoferta  (importada)</v>
      </c>
      <c r="E43" s="360"/>
      <c r="F43" s="2607">
        <f ca="1">-INDEX(INDIRECT("'"&amp;F$4&amp;"'!ano.balanceneto"), MATCH('Resultados Intermedios'!$C43, INDIRECT("'"&amp;F$4&amp;"'!ano.vector"), 0))</f>
        <v>0</v>
      </c>
      <c r="G43" s="2607">
        <f ca="1">-INDEX(INDIRECT("'"&amp;G$4&amp;"'!ano.balanceneto"), MATCH('Resultados Intermedios'!$C43, INDIRECT("'"&amp;G$4&amp;"'!ano.vector"), 0))</f>
        <v>0</v>
      </c>
      <c r="H43" s="2607">
        <f ca="1">-INDEX(INDIRECT("'"&amp;H$4&amp;"'!ano.balanceneto"), MATCH('Resultados Intermedios'!$C43, INDIRECT("'"&amp;H$4&amp;"'!ano.vector"), 0))</f>
        <v>0</v>
      </c>
      <c r="I43" s="2607">
        <f ca="1">-INDEX(INDIRECT("'"&amp;I$4&amp;"'!ano.balanceneto"), MATCH('Resultados Intermedios'!$C43, INDIRECT("'"&amp;I$4&amp;"'!ano.vector"), 0))</f>
        <v>0</v>
      </c>
      <c r="J43" s="2607">
        <f ca="1">-INDEX(INDIRECT("'"&amp;J$4&amp;"'!ano.balanceneto"), MATCH('Resultados Intermedios'!$C43, INDIRECT("'"&amp;J$4&amp;"'!ano.vector"), 0))</f>
        <v>0</v>
      </c>
      <c r="K43" s="2607">
        <f ca="1">-INDEX(INDIRECT("'"&amp;K$4&amp;"'!ano.balanceneto"), MATCH('Resultados Intermedios'!$C43, INDIRECT("'"&amp;K$4&amp;"'!ano.vector"), 0))</f>
        <v>0</v>
      </c>
      <c r="L43" s="2607">
        <f ca="1">-INDEX(INDIRECT("'"&amp;L$4&amp;"'!ano.balanceneto"), MATCH('Resultados Intermedios'!$C43, INDIRECT("'"&amp;L$4&amp;"'!ano.vector"), 0))</f>
        <v>0</v>
      </c>
      <c r="M43" s="2607">
        <f ca="1">-INDEX(INDIRECT("'"&amp;M$4&amp;"'!ano.balanceneto"), MATCH('Resultados Intermedios'!$C43, INDIRECT("'"&amp;M$4&amp;"'!ano.vector"), 0))</f>
        <v>0</v>
      </c>
      <c r="N43" s="1251"/>
      <c r="O43"/>
      <c r="P43" s="1252"/>
      <c r="R43" s="14" t="s">
        <v>2302</v>
      </c>
      <c r="S43" s="14">
        <f>A.a!G97</f>
        <v>138648398.80557212</v>
      </c>
      <c r="T43" s="14">
        <f>A.a!H97</f>
        <v>156941071.94435257</v>
      </c>
      <c r="U43" s="14">
        <f>A.a!I97</f>
        <v>185075953.52402893</v>
      </c>
      <c r="V43" s="14">
        <f>A.a!J97</f>
        <v>217014325.17373651</v>
      </c>
      <c r="W43" s="14">
        <f>A.a!K97</f>
        <v>250366651.2782681</v>
      </c>
      <c r="X43" s="14">
        <f>A.a!L97</f>
        <v>284451648.63065863</v>
      </c>
      <c r="Y43" s="14">
        <f>A.a!M97</f>
        <v>319559337.36585468</v>
      </c>
      <c r="Z43" s="14">
        <f>A.a!N97</f>
        <v>354797473.50129086</v>
      </c>
      <c r="AA43" s="14"/>
      <c r="AB43" s="14"/>
    </row>
    <row r="44" spans="2:48" outlineLevel="1" x14ac:dyDescent="0.2">
      <c r="B44" s="358"/>
      <c r="C44" s="1256" t="s">
        <v>455</v>
      </c>
      <c r="D44" s="1249" t="str">
        <f>INDEX(Vectors[Descripción], MATCH($C44,Vectors[Código],FALSE))</f>
        <v>Almacenamiento</v>
      </c>
      <c r="E44" s="360"/>
      <c r="F44" s="2607">
        <f ca="1">-INDEX(INDIRECT("'"&amp;F$4&amp;"'!ano.balanceneto"), MATCH('Resultados Intermedios'!$C44, INDIRECT("'"&amp;F$4&amp;"'!ano.vector"), 0))</f>
        <v>0</v>
      </c>
      <c r="G44" s="2607">
        <f ca="1">-INDEX(INDIRECT("'"&amp;G$4&amp;"'!ano.balanceneto"), MATCH('Resultados Intermedios'!$C44, INDIRECT("'"&amp;G$4&amp;"'!ano.vector"), 0))</f>
        <v>0</v>
      </c>
      <c r="H44" s="2607">
        <f ca="1">-INDEX(INDIRECT("'"&amp;H$4&amp;"'!ano.balanceneto"), MATCH('Resultados Intermedios'!$C44, INDIRECT("'"&amp;H$4&amp;"'!ano.vector"), 0))</f>
        <v>0</v>
      </c>
      <c r="I44" s="2607">
        <f ca="1">-INDEX(INDIRECT("'"&amp;I$4&amp;"'!ano.balanceneto"), MATCH('Resultados Intermedios'!$C44, INDIRECT("'"&amp;I$4&amp;"'!ano.vector"), 0))</f>
        <v>0</v>
      </c>
      <c r="J44" s="2607">
        <f ca="1">-INDEX(INDIRECT("'"&amp;J$4&amp;"'!ano.balanceneto"), MATCH('Resultados Intermedios'!$C44, INDIRECT("'"&amp;J$4&amp;"'!ano.vector"), 0))</f>
        <v>0</v>
      </c>
      <c r="K44" s="2607">
        <f ca="1">-INDEX(INDIRECT("'"&amp;K$4&amp;"'!ano.balanceneto"), MATCH('Resultados Intermedios'!$C44, INDIRECT("'"&amp;K$4&amp;"'!ano.vector"), 0))</f>
        <v>0</v>
      </c>
      <c r="L44" s="2607">
        <f ca="1">-INDEX(INDIRECT("'"&amp;L$4&amp;"'!ano.balanceneto"), MATCH('Resultados Intermedios'!$C44, INDIRECT("'"&amp;L$4&amp;"'!ano.vector"), 0))</f>
        <v>0</v>
      </c>
      <c r="M44" s="2607">
        <f ca="1">-INDEX(INDIRECT("'"&amp;M$4&amp;"'!ano.balanceneto"), MATCH('Resultados Intermedios'!$C44, INDIRECT("'"&amp;M$4&amp;"'!ano.vector"), 0))</f>
        <v>0</v>
      </c>
      <c r="N44" s="1254"/>
      <c r="P44" s="1255" t="str">
        <f>"'"&amp;F$4&amp;"'!ano.balanceneto"</f>
        <v>'2015'!ano.balanceneto</v>
      </c>
      <c r="S44" s="14"/>
      <c r="T44" s="14"/>
      <c r="U44" s="14"/>
      <c r="V44" s="14"/>
      <c r="W44" s="14"/>
      <c r="X44" s="14"/>
      <c r="Y44" s="14"/>
      <c r="Z44" s="14"/>
      <c r="AA44">
        <f ca="1">Z42/Z43</f>
        <v>0.62405464883925998</v>
      </c>
      <c r="AN44" s="192"/>
      <c r="AO44" s="192"/>
      <c r="AP44" s="192"/>
      <c r="AQ44" s="192"/>
      <c r="AR44" s="192"/>
      <c r="AS44" s="192"/>
      <c r="AT44" s="192"/>
      <c r="AU44" s="192"/>
      <c r="AV44" s="192"/>
    </row>
    <row r="45" spans="2:48" s="192" customFormat="1" x14ac:dyDescent="0.2">
      <c r="B45" s="1247"/>
      <c r="C45" s="1249" t="s">
        <v>457</v>
      </c>
      <c r="D45" s="1249" t="str">
        <f>INDEX(Vectors[Descripción], MATCH($C45,Vectors[Código],FALSE))</f>
        <v>Residuos</v>
      </c>
      <c r="E45" s="360"/>
      <c r="F45" s="2607">
        <f ca="1">-INDEX(INDIRECT("'"&amp;F$4&amp;"'!ano.balanceneto"), MATCH('Resultados Intermedios'!$C45, INDIRECT("'"&amp;F$4&amp;"'!ano.vector"), 0))</f>
        <v>0.26623890102673253</v>
      </c>
      <c r="G45" s="2607">
        <f ca="1">-INDEX(INDIRECT("'"&amp;G$4&amp;"'!ano.balanceneto"), MATCH('Resultados Intermedios'!$C45, INDIRECT("'"&amp;G$4&amp;"'!ano.vector"), 0))</f>
        <v>0.35463923560444954</v>
      </c>
      <c r="H45" s="2607">
        <f ca="1">-INDEX(INDIRECT("'"&amp;H$4&amp;"'!ano.balanceneto"), MATCH('Resultados Intermedios'!$C45, INDIRECT("'"&amp;H$4&amp;"'!ano.vector"), 0))</f>
        <v>0.41667291307003151</v>
      </c>
      <c r="I45" s="2607">
        <f ca="1">-INDEX(INDIRECT("'"&amp;I$4&amp;"'!ano.balanceneto"), MATCH('Resultados Intermedios'!$C45, INDIRECT("'"&amp;I$4&amp;"'!ano.vector"), 0))</f>
        <v>0.41733218190020505</v>
      </c>
      <c r="J45" s="2607">
        <f ca="1">-INDEX(INDIRECT("'"&amp;J$4&amp;"'!ano.balanceneto"), MATCH('Resultados Intermedios'!$C45, INDIRECT("'"&amp;J$4&amp;"'!ano.vector"), 0))</f>
        <v>0.41798007633543621</v>
      </c>
      <c r="K45" s="2607">
        <f ca="1">-INDEX(INDIRECT("'"&amp;K$4&amp;"'!ano.balanceneto"), MATCH('Resultados Intermedios'!$C45, INDIRECT("'"&amp;K$4&amp;"'!ano.vector"), 0))</f>
        <v>0.41862659982364236</v>
      </c>
      <c r="L45" s="2607">
        <f ca="1">-INDEX(INDIRECT("'"&amp;L$4&amp;"'!ano.balanceneto"), MATCH('Resultados Intermedios'!$C45, INDIRECT("'"&amp;L$4&amp;"'!ano.vector"), 0))</f>
        <v>0.41920354218820921</v>
      </c>
      <c r="M45" s="2607">
        <f ca="1">-INDEX(INDIRECT("'"&amp;M$4&amp;"'!ano.balanceneto"), MATCH('Resultados Intermedios'!$C45, INDIRECT("'"&amp;M$4&amp;"'!ano.vector"), 0))</f>
        <v>0.41976165596446158</v>
      </c>
      <c r="N45" s="1251"/>
      <c r="O45"/>
      <c r="P45" s="1252"/>
      <c r="R45"/>
      <c r="T45">
        <f t="shared" ref="T45:Z45" ca="1" si="48">S42/S43</f>
        <v>0.68527445208932136</v>
      </c>
      <c r="U45">
        <f t="shared" ca="1" si="48"/>
        <v>0.68781631973830926</v>
      </c>
      <c r="V45">
        <f t="shared" ca="1" si="48"/>
        <v>0.6737272530082633</v>
      </c>
      <c r="W45">
        <f t="shared" ca="1" si="48"/>
        <v>0.65965475216509906</v>
      </c>
      <c r="X45">
        <f t="shared" ca="1" si="48"/>
        <v>0.65241684513892806</v>
      </c>
      <c r="Y45">
        <f t="shared" ca="1" si="48"/>
        <v>0.64473157479850085</v>
      </c>
      <c r="Z45">
        <f t="shared" ca="1" si="48"/>
        <v>0.63601564190290727</v>
      </c>
      <c r="AA45"/>
      <c r="AB45"/>
    </row>
    <row r="46" spans="2:48" s="192" customFormat="1" hidden="1" outlineLevel="1" x14ac:dyDescent="0.2">
      <c r="B46" s="1247"/>
      <c r="C46" s="1249" t="s">
        <v>456</v>
      </c>
      <c r="D46" s="1249" t="str">
        <f>INDEX(Vectors[Descripción], MATCH($C46,Vectors[Código],FALSE))</f>
        <v>Agropecuario</v>
      </c>
      <c r="E46" s="360"/>
      <c r="F46" s="2607">
        <f ca="1">-INDEX(INDIRECT("'"&amp;F$4&amp;"'!ano.balanceneto"), MATCH('Resultados Intermedios'!$C46, INDIRECT("'"&amp;F$4&amp;"'!ano.vector"), 0))</f>
        <v>0</v>
      </c>
      <c r="G46" s="2607">
        <f ca="1">-INDEX(INDIRECT("'"&amp;G$4&amp;"'!ano.balanceneto"), MATCH('Resultados Intermedios'!$C46, INDIRECT("'"&amp;G$4&amp;"'!ano.vector"), 0))</f>
        <v>0</v>
      </c>
      <c r="H46" s="2607">
        <f ca="1">-INDEX(INDIRECT("'"&amp;H$4&amp;"'!ano.balanceneto"), MATCH('Resultados Intermedios'!$C46, INDIRECT("'"&amp;H$4&amp;"'!ano.vector"), 0))</f>
        <v>0</v>
      </c>
      <c r="I46" s="2607">
        <f ca="1">-INDEX(INDIRECT("'"&amp;I$4&amp;"'!ano.balanceneto"), MATCH('Resultados Intermedios'!$C46, INDIRECT("'"&amp;I$4&amp;"'!ano.vector"), 0))</f>
        <v>0</v>
      </c>
      <c r="J46" s="2607">
        <f ca="1">-INDEX(INDIRECT("'"&amp;J$4&amp;"'!ano.balanceneto"), MATCH('Resultados Intermedios'!$C46, INDIRECT("'"&amp;J$4&amp;"'!ano.vector"), 0))</f>
        <v>0</v>
      </c>
      <c r="K46" s="2607">
        <f ca="1">-INDEX(INDIRECT("'"&amp;K$4&amp;"'!ano.balanceneto"), MATCH('Resultados Intermedios'!$C46, INDIRECT("'"&amp;K$4&amp;"'!ano.vector"), 0))</f>
        <v>0</v>
      </c>
      <c r="L46" s="2607">
        <f ca="1">-INDEX(INDIRECT("'"&amp;L$4&amp;"'!ano.balanceneto"), MATCH('Resultados Intermedios'!$C46, INDIRECT("'"&amp;L$4&amp;"'!ano.vector"), 0))</f>
        <v>0</v>
      </c>
      <c r="M46" s="2607">
        <f ca="1">-INDEX(INDIRECT("'"&amp;M$4&amp;"'!ano.balanceneto"), MATCH('Resultados Intermedios'!$C46, INDIRECT("'"&amp;M$4&amp;"'!ano.vector"), 0))</f>
        <v>0</v>
      </c>
      <c r="N46" s="1251"/>
      <c r="O46"/>
      <c r="P46" s="1252"/>
      <c r="R46" s="1918" t="s">
        <v>2304</v>
      </c>
      <c r="S46" s="3247">
        <f t="shared" ref="S46:Z46" si="49">S43/$S$43</f>
        <v>1</v>
      </c>
      <c r="T46" s="3247">
        <f t="shared" si="49"/>
        <v>1.1319356970319752</v>
      </c>
      <c r="U46" s="3247">
        <f t="shared" si="49"/>
        <v>1.3348582105413462</v>
      </c>
      <c r="V46" s="3247">
        <f t="shared" si="49"/>
        <v>1.5652133529364276</v>
      </c>
      <c r="W46" s="3247">
        <f t="shared" si="49"/>
        <v>1.8057666257607452</v>
      </c>
      <c r="X46" s="3247">
        <f t="shared" si="49"/>
        <v>2.0516042816300222</v>
      </c>
      <c r="Y46" s="3247">
        <f t="shared" si="49"/>
        <v>2.3048180874701307</v>
      </c>
      <c r="Z46" s="3247">
        <f t="shared" si="49"/>
        <v>2.5589727437013283</v>
      </c>
      <c r="AA46" s="2870">
        <f ca="1">1-Z37/Z40</f>
        <v>0</v>
      </c>
      <c r="AB46" s="2870"/>
      <c r="AN46"/>
      <c r="AO46"/>
      <c r="AP46"/>
      <c r="AQ46"/>
      <c r="AR46"/>
      <c r="AS46"/>
      <c r="AT46"/>
      <c r="AU46"/>
      <c r="AV46"/>
    </row>
    <row r="47" spans="2:48" s="192" customFormat="1" hidden="1" outlineLevel="1" x14ac:dyDescent="0.2">
      <c r="B47" s="1247"/>
      <c r="C47" s="1249" t="s">
        <v>458</v>
      </c>
      <c r="D47" s="1249" t="str">
        <f>INDEX(Vectors[Descripción], MATCH($C47,Vectors[Código],FALSE))</f>
        <v>Biomasa sobreoferta  (importada)</v>
      </c>
      <c r="E47" s="360"/>
      <c r="F47" s="2607">
        <f ca="1">-INDEX(INDIRECT("'"&amp;F$4&amp;"'!ano.balanceneto"), MATCH('Resultados Intermedios'!$C47, INDIRECT("'"&amp;F$4&amp;"'!ano.vector"), 0))</f>
        <v>0</v>
      </c>
      <c r="G47" s="2607">
        <f ca="1">-INDEX(INDIRECT("'"&amp;G$4&amp;"'!ano.balanceneto"), MATCH('Resultados Intermedios'!$C47, INDIRECT("'"&amp;G$4&amp;"'!ano.vector"), 0))</f>
        <v>0</v>
      </c>
      <c r="H47" s="2607">
        <f ca="1">-INDEX(INDIRECT("'"&amp;H$4&amp;"'!ano.balanceneto"), MATCH('Resultados Intermedios'!$C47, INDIRECT("'"&amp;H$4&amp;"'!ano.vector"), 0))</f>
        <v>0</v>
      </c>
      <c r="I47" s="2607">
        <f ca="1">-INDEX(INDIRECT("'"&amp;I$4&amp;"'!ano.balanceneto"), MATCH('Resultados Intermedios'!$C47, INDIRECT("'"&amp;I$4&amp;"'!ano.vector"), 0))</f>
        <v>0</v>
      </c>
      <c r="J47" s="2607">
        <f ca="1">-INDEX(INDIRECT("'"&amp;J$4&amp;"'!ano.balanceneto"), MATCH('Resultados Intermedios'!$C47, INDIRECT("'"&amp;J$4&amp;"'!ano.vector"), 0))</f>
        <v>0</v>
      </c>
      <c r="K47" s="2607">
        <f ca="1">-INDEX(INDIRECT("'"&amp;K$4&amp;"'!ano.balanceneto"), MATCH('Resultados Intermedios'!$C47, INDIRECT("'"&amp;K$4&amp;"'!ano.vector"), 0))</f>
        <v>0</v>
      </c>
      <c r="L47" s="2607">
        <f ca="1">-INDEX(INDIRECT("'"&amp;L$4&amp;"'!ano.balanceneto"), MATCH('Resultados Intermedios'!$C47, INDIRECT("'"&amp;L$4&amp;"'!ano.vector"), 0))</f>
        <v>0</v>
      </c>
      <c r="M47" s="2607">
        <f ca="1">-INDEX(INDIRECT("'"&amp;M$4&amp;"'!ano.balanceneto"), MATCH('Resultados Intermedios'!$C47, INDIRECT("'"&amp;M$4&amp;"'!ano.vector"), 0))</f>
        <v>0</v>
      </c>
      <c r="N47" s="1251"/>
      <c r="O47"/>
      <c r="P47" s="1252"/>
      <c r="R47" s="3247"/>
      <c r="S47" s="1918" t="s">
        <v>2290</v>
      </c>
      <c r="T47" s="3497">
        <f t="shared" ref="T47:Z47" ca="1" si="50">1-S37/S40</f>
        <v>0</v>
      </c>
      <c r="U47" s="3497">
        <f t="shared" ca="1" si="50"/>
        <v>0</v>
      </c>
      <c r="V47" s="3497">
        <f t="shared" ca="1" si="50"/>
        <v>0</v>
      </c>
      <c r="W47" s="3497">
        <f t="shared" ca="1" si="50"/>
        <v>0</v>
      </c>
      <c r="X47" s="3497">
        <f t="shared" ca="1" si="50"/>
        <v>0</v>
      </c>
      <c r="Y47" s="3497">
        <f t="shared" ca="1" si="50"/>
        <v>0</v>
      </c>
      <c r="Z47" s="3497">
        <f t="shared" ca="1" si="50"/>
        <v>0</v>
      </c>
    </row>
    <row r="48" spans="2:48" s="192" customFormat="1" hidden="1" outlineLevel="1" x14ac:dyDescent="0.2">
      <c r="B48" s="1247"/>
      <c r="C48" s="1249" t="s">
        <v>461</v>
      </c>
      <c r="D48" s="1249" t="str">
        <f>INDEX(Vectors[Descripción], MATCH($C48,Vectors[Código],FALSE))</f>
        <v>Carbón sobreoferta  (importada)</v>
      </c>
      <c r="E48" s="360"/>
      <c r="F48" s="2607">
        <f ca="1">-INDEX(INDIRECT("'"&amp;F$4&amp;"'!ano.balanceneto"), MATCH('Resultados Intermedios'!$C48, INDIRECT("'"&amp;F$4&amp;"'!ano.vector"), 0))</f>
        <v>0</v>
      </c>
      <c r="G48" s="2607">
        <f ca="1">-INDEX(INDIRECT("'"&amp;G$4&amp;"'!ano.balanceneto"), MATCH('Resultados Intermedios'!$C48, INDIRECT("'"&amp;G$4&amp;"'!ano.vector"), 0))</f>
        <v>0</v>
      </c>
      <c r="H48" s="2607">
        <f ca="1">-INDEX(INDIRECT("'"&amp;H$4&amp;"'!ano.balanceneto"), MATCH('Resultados Intermedios'!$C48, INDIRECT("'"&amp;H$4&amp;"'!ano.vector"), 0))</f>
        <v>0</v>
      </c>
      <c r="I48" s="2607">
        <f ca="1">-INDEX(INDIRECT("'"&amp;I$4&amp;"'!ano.balanceneto"), MATCH('Resultados Intermedios'!$C48, INDIRECT("'"&amp;I$4&amp;"'!ano.vector"), 0))</f>
        <v>0</v>
      </c>
      <c r="J48" s="2607">
        <f ca="1">-INDEX(INDIRECT("'"&amp;J$4&amp;"'!ano.balanceneto"), MATCH('Resultados Intermedios'!$C48, INDIRECT("'"&amp;J$4&amp;"'!ano.vector"), 0))</f>
        <v>0</v>
      </c>
      <c r="K48" s="2607">
        <f ca="1">-INDEX(INDIRECT("'"&amp;K$4&amp;"'!ano.balanceneto"), MATCH('Resultados Intermedios'!$C48, INDIRECT("'"&amp;K$4&amp;"'!ano.vector"), 0))</f>
        <v>0</v>
      </c>
      <c r="L48" s="2607">
        <f ca="1">-INDEX(INDIRECT("'"&amp;L$4&amp;"'!ano.balanceneto"), MATCH('Resultados Intermedios'!$C48, INDIRECT("'"&amp;L$4&amp;"'!ano.vector"), 0))</f>
        <v>0</v>
      </c>
      <c r="M48" s="2607">
        <f ca="1">-INDEX(INDIRECT("'"&amp;M$4&amp;"'!ano.balanceneto"), MATCH('Resultados Intermedios'!$C48, INDIRECT("'"&amp;M$4&amp;"'!ano.vector"), 0))</f>
        <v>0</v>
      </c>
      <c r="N48" s="1251"/>
      <c r="O48"/>
      <c r="P48" s="1252"/>
      <c r="R48" s="3498"/>
      <c r="S48" s="3498"/>
      <c r="T48" s="3498"/>
      <c r="U48" s="3498"/>
      <c r="V48" s="3498"/>
      <c r="W48" s="3498"/>
      <c r="X48" s="3498"/>
      <c r="Y48" s="3498"/>
      <c r="Z48" s="3498"/>
    </row>
    <row r="49" spans="2:48" s="192" customFormat="1" hidden="1" outlineLevel="1" x14ac:dyDescent="0.2">
      <c r="B49" s="1247"/>
      <c r="C49" s="1249" t="s">
        <v>464</v>
      </c>
      <c r="D49" s="1249" t="str">
        <f>INDEX(Vectors[Descripción], MATCH($C49,Vectors[Código],FALSE))</f>
        <v>Reservas de Carbón</v>
      </c>
      <c r="E49" s="360"/>
      <c r="F49" s="2607">
        <f ca="1">-INDEX(INDIRECT("'"&amp;F$4&amp;"'!ano.balanceneto"), MATCH('Resultados Intermedios'!$C49, INDIRECT("'"&amp;F$4&amp;"'!ano.vector"), 0))</f>
        <v>0</v>
      </c>
      <c r="G49" s="2607">
        <f ca="1">-INDEX(INDIRECT("'"&amp;G$4&amp;"'!ano.balanceneto"), MATCH('Resultados Intermedios'!$C49, INDIRECT("'"&amp;G$4&amp;"'!ano.vector"), 0))</f>
        <v>25.584695004942699</v>
      </c>
      <c r="H49" s="2607">
        <f ca="1">-INDEX(INDIRECT("'"&amp;H$4&amp;"'!ano.balanceneto"), MATCH('Resultados Intermedios'!$C49, INDIRECT("'"&amp;H$4&amp;"'!ano.vector"), 0))</f>
        <v>25.584695004942699</v>
      </c>
      <c r="I49" s="2607">
        <f ca="1">-INDEX(INDIRECT("'"&amp;I$4&amp;"'!ano.balanceneto"), MATCH('Resultados Intermedios'!$C49, INDIRECT("'"&amp;I$4&amp;"'!ano.vector"), 0))</f>
        <v>25.584695004942699</v>
      </c>
      <c r="J49" s="2607">
        <f ca="1">-INDEX(INDIRECT("'"&amp;J$4&amp;"'!ano.balanceneto"), MATCH('Resultados Intermedios'!$C49, INDIRECT("'"&amp;J$4&amp;"'!ano.vector"), 0))</f>
        <v>25.584695004942699</v>
      </c>
      <c r="K49" s="2607">
        <f ca="1">-INDEX(INDIRECT("'"&amp;K$4&amp;"'!ano.balanceneto"), MATCH('Resultados Intermedios'!$C49, INDIRECT("'"&amp;K$4&amp;"'!ano.vector"), 0))</f>
        <v>25.584695004942699</v>
      </c>
      <c r="L49" s="2607">
        <f ca="1">-INDEX(INDIRECT("'"&amp;L$4&amp;"'!ano.balanceneto"), MATCH('Resultados Intermedios'!$C49, INDIRECT("'"&amp;L$4&amp;"'!ano.vector"), 0))</f>
        <v>25.584695004942699</v>
      </c>
      <c r="M49" s="2607">
        <f ca="1">-INDEX(INDIRECT("'"&amp;M$4&amp;"'!ano.balanceneto"), MATCH('Resultados Intermedios'!$C49, INDIRECT("'"&amp;M$4&amp;"'!ano.vector"), 0))</f>
        <v>25.584695004942699</v>
      </c>
      <c r="N49" s="1251"/>
      <c r="O49"/>
      <c r="P49" s="1252"/>
      <c r="R49" s="3498"/>
      <c r="S49" s="3498"/>
      <c r="T49" s="3498"/>
      <c r="U49" s="3498"/>
      <c r="V49" s="3498"/>
      <c r="W49" s="3498"/>
      <c r="X49" s="3498"/>
      <c r="Y49" s="3498"/>
      <c r="Z49" s="3498"/>
    </row>
    <row r="50" spans="2:48" s="192" customFormat="1" hidden="1" outlineLevel="1" x14ac:dyDescent="0.2">
      <c r="B50" s="1247"/>
      <c r="C50" s="1249" t="s">
        <v>465</v>
      </c>
      <c r="D50" s="1249" t="str">
        <f>INDEX(Vectors[Descripción], MATCH($C50,Vectors[Código],FALSE))</f>
        <v>Reservas de Petroleo</v>
      </c>
      <c r="E50" s="360"/>
      <c r="F50" s="2607">
        <f ca="1">-INDEX(INDIRECT("'"&amp;F$4&amp;"'!ano.balanceneto"), MATCH('Resultados Intermedios'!$C50, INDIRECT("'"&amp;F$4&amp;"'!ano.vector"), 0))</f>
        <v>0</v>
      </c>
      <c r="G50" s="2607">
        <f ca="1">-INDEX(INDIRECT("'"&amp;G$4&amp;"'!ano.balanceneto"), MATCH('Resultados Intermedios'!$C50, INDIRECT("'"&amp;G$4&amp;"'!ano.vector"), 0))</f>
        <v>3.0761179275455</v>
      </c>
      <c r="H50" s="2607">
        <f ca="1">-INDEX(INDIRECT("'"&amp;H$4&amp;"'!ano.balanceneto"), MATCH('Resultados Intermedios'!$C50, INDIRECT("'"&amp;H$4&amp;"'!ano.vector"), 0))</f>
        <v>3.0761179275455</v>
      </c>
      <c r="I50" s="2607">
        <f ca="1">-INDEX(INDIRECT("'"&amp;I$4&amp;"'!ano.balanceneto"), MATCH('Resultados Intermedios'!$C50, INDIRECT("'"&amp;I$4&amp;"'!ano.vector"), 0))</f>
        <v>3.0761179275455</v>
      </c>
      <c r="J50" s="2607">
        <f ca="1">-INDEX(INDIRECT("'"&amp;J$4&amp;"'!ano.balanceneto"), MATCH('Resultados Intermedios'!$C50, INDIRECT("'"&amp;J$4&amp;"'!ano.vector"), 0))</f>
        <v>3.0761179275455</v>
      </c>
      <c r="K50" s="2607">
        <f ca="1">-INDEX(INDIRECT("'"&amp;K$4&amp;"'!ano.balanceneto"), MATCH('Resultados Intermedios'!$C50, INDIRECT("'"&amp;K$4&amp;"'!ano.vector"), 0))</f>
        <v>3.0761179275455</v>
      </c>
      <c r="L50" s="2607">
        <f ca="1">-INDEX(INDIRECT("'"&amp;L$4&amp;"'!ano.balanceneto"), MATCH('Resultados Intermedios'!$C50, INDIRECT("'"&amp;L$4&amp;"'!ano.vector"), 0))</f>
        <v>3.0761179275455</v>
      </c>
      <c r="M50" s="2607">
        <f ca="1">-INDEX(INDIRECT("'"&amp;M$4&amp;"'!ano.balanceneto"), MATCH('Resultados Intermedios'!$C50, INDIRECT("'"&amp;M$4&amp;"'!ano.vector"), 0))</f>
        <v>3.0761179275455</v>
      </c>
      <c r="N50" s="1251"/>
      <c r="O50"/>
      <c r="P50" s="1252"/>
      <c r="R50" s="3498"/>
      <c r="S50" s="3498"/>
      <c r="T50" s="3498"/>
      <c r="U50" s="3498"/>
      <c r="V50" s="3498"/>
      <c r="W50" s="3498"/>
      <c r="X50" s="3498"/>
      <c r="Y50" s="3498"/>
      <c r="Z50" s="3498"/>
    </row>
    <row r="51" spans="2:48" s="192" customFormat="1" hidden="1" outlineLevel="1" x14ac:dyDescent="0.2">
      <c r="B51" s="1247"/>
      <c r="C51" s="1249" t="s">
        <v>462</v>
      </c>
      <c r="D51" s="1249" t="str">
        <f>INDEX(Vectors[Descripción], MATCH($C51,Vectors[Código],FALSE))</f>
        <v>Carbón sobreoferta  (importada)</v>
      </c>
      <c r="E51" s="360"/>
      <c r="F51" s="2607">
        <f ca="1">-INDEX(INDIRECT("'"&amp;F$4&amp;"'!ano.balanceneto"), MATCH('Resultados Intermedios'!$C51, INDIRECT("'"&amp;F$4&amp;"'!ano.vector"), 0))</f>
        <v>0</v>
      </c>
      <c r="G51" s="2607">
        <f ca="1">-INDEX(INDIRECT("'"&amp;G$4&amp;"'!ano.balanceneto"), MATCH('Resultados Intermedios'!$C51, INDIRECT("'"&amp;G$4&amp;"'!ano.vector"), 0))</f>
        <v>0</v>
      </c>
      <c r="H51" s="2607">
        <f ca="1">-INDEX(INDIRECT("'"&amp;H$4&amp;"'!ano.balanceneto"), MATCH('Resultados Intermedios'!$C51, INDIRECT("'"&amp;H$4&amp;"'!ano.vector"), 0))</f>
        <v>0</v>
      </c>
      <c r="I51" s="2607">
        <f ca="1">-INDEX(INDIRECT("'"&amp;I$4&amp;"'!ano.balanceneto"), MATCH('Resultados Intermedios'!$C51, INDIRECT("'"&amp;I$4&amp;"'!ano.vector"), 0))</f>
        <v>0</v>
      </c>
      <c r="J51" s="2607">
        <f ca="1">-INDEX(INDIRECT("'"&amp;J$4&amp;"'!ano.balanceneto"), MATCH('Resultados Intermedios'!$C51, INDIRECT("'"&amp;J$4&amp;"'!ano.vector"), 0))</f>
        <v>0</v>
      </c>
      <c r="K51" s="2607">
        <f ca="1">-INDEX(INDIRECT("'"&amp;K$4&amp;"'!ano.balanceneto"), MATCH('Resultados Intermedios'!$C51, INDIRECT("'"&amp;K$4&amp;"'!ano.vector"), 0))</f>
        <v>0</v>
      </c>
      <c r="L51" s="2607">
        <f ca="1">-INDEX(INDIRECT("'"&amp;L$4&amp;"'!ano.balanceneto"), MATCH('Resultados Intermedios'!$C51, INDIRECT("'"&amp;L$4&amp;"'!ano.vector"), 0))</f>
        <v>0</v>
      </c>
      <c r="M51" s="2607">
        <f ca="1">-INDEX(INDIRECT("'"&amp;M$4&amp;"'!ano.balanceneto"), MATCH('Resultados Intermedios'!$C51, INDIRECT("'"&amp;M$4&amp;"'!ano.vector"), 0))</f>
        <v>0</v>
      </c>
      <c r="N51" s="1251"/>
      <c r="O51"/>
      <c r="P51" s="1252"/>
      <c r="R51" s="3498"/>
      <c r="S51" s="3498"/>
      <c r="T51" s="3498"/>
      <c r="U51" s="3498"/>
      <c r="V51" s="3498"/>
      <c r="W51" s="3498"/>
      <c r="X51" s="3498"/>
      <c r="Y51" s="3498"/>
      <c r="Z51" s="3498"/>
    </row>
    <row r="52" spans="2:48" s="192" customFormat="1" hidden="1" outlineLevel="1" x14ac:dyDescent="0.2">
      <c r="B52" s="1247"/>
      <c r="C52" s="1249" t="s">
        <v>460</v>
      </c>
      <c r="D52" s="1249" t="str">
        <f>INDEX(Vectors[Descripción], MATCH($C52,Vectors[Código],FALSE))</f>
        <v xml:space="preserve">Dervidados del Petroleo sobreoferta </v>
      </c>
      <c r="E52" s="360"/>
      <c r="F52" s="2607">
        <f ca="1">-INDEX(INDIRECT("'"&amp;F$4&amp;"'!ano.balanceneto"), MATCH('Resultados Intermedios'!$C52, INDIRECT("'"&amp;F$4&amp;"'!ano.vector"), 0))</f>
        <v>0</v>
      </c>
      <c r="G52" s="2607">
        <f ca="1">-INDEX(INDIRECT("'"&amp;G$4&amp;"'!ano.balanceneto"), MATCH('Resultados Intermedios'!$C52, INDIRECT("'"&amp;G$4&amp;"'!ano.vector"), 0))</f>
        <v>0</v>
      </c>
      <c r="H52" s="2607">
        <f ca="1">-INDEX(INDIRECT("'"&amp;H$4&amp;"'!ano.balanceneto"), MATCH('Resultados Intermedios'!$C52, INDIRECT("'"&amp;H$4&amp;"'!ano.vector"), 0))</f>
        <v>0</v>
      </c>
      <c r="I52" s="2607">
        <f ca="1">-INDEX(INDIRECT("'"&amp;I$4&amp;"'!ano.balanceneto"), MATCH('Resultados Intermedios'!$C52, INDIRECT("'"&amp;I$4&amp;"'!ano.vector"), 0))</f>
        <v>0</v>
      </c>
      <c r="J52" s="2607">
        <f ca="1">-INDEX(INDIRECT("'"&amp;J$4&amp;"'!ano.balanceneto"), MATCH('Resultados Intermedios'!$C52, INDIRECT("'"&amp;J$4&amp;"'!ano.vector"), 0))</f>
        <v>0</v>
      </c>
      <c r="K52" s="2607">
        <f ca="1">-INDEX(INDIRECT("'"&amp;K$4&amp;"'!ano.balanceneto"), MATCH('Resultados Intermedios'!$C52, INDIRECT("'"&amp;K$4&amp;"'!ano.vector"), 0))</f>
        <v>0</v>
      </c>
      <c r="L52" s="2607">
        <f ca="1">-INDEX(INDIRECT("'"&amp;L$4&amp;"'!ano.balanceneto"), MATCH('Resultados Intermedios'!$C52, INDIRECT("'"&amp;L$4&amp;"'!ano.vector"), 0))</f>
        <v>0</v>
      </c>
      <c r="M52" s="2607">
        <f ca="1">-INDEX(INDIRECT("'"&amp;M$4&amp;"'!ano.balanceneto"), MATCH('Resultados Intermedios'!$C52, INDIRECT("'"&amp;M$4&amp;"'!ano.vector"), 0))</f>
        <v>0</v>
      </c>
      <c r="N52" s="1251"/>
      <c r="O52"/>
      <c r="P52" s="1252"/>
      <c r="R52" s="3498"/>
      <c r="S52" s="3498"/>
      <c r="T52" s="3498"/>
      <c r="U52" s="3498"/>
      <c r="V52" s="3498"/>
      <c r="W52" s="3498"/>
      <c r="X52" s="3498"/>
      <c r="Y52" s="3498"/>
      <c r="Z52" s="3498"/>
    </row>
    <row r="53" spans="2:48" s="192" customFormat="1" hidden="1" outlineLevel="1" x14ac:dyDescent="0.2">
      <c r="B53" s="1247"/>
      <c r="C53" s="1249" t="s">
        <v>463</v>
      </c>
      <c r="D53" s="1249">
        <f>INDEX(Vectors[Descripción], MATCH($C53,Vectors[Código],FALSE))</f>
        <v>0</v>
      </c>
      <c r="E53" s="360"/>
      <c r="F53" s="2607">
        <f ca="1">-INDEX(INDIRECT("'"&amp;F$4&amp;"'!ano.balanceneto"), MATCH('Resultados Intermedios'!$C53, INDIRECT("'"&amp;F$4&amp;"'!ano.vector"), 0))</f>
        <v>0</v>
      </c>
      <c r="G53" s="2607">
        <f ca="1">-INDEX(INDIRECT("'"&amp;G$4&amp;"'!ano.balanceneto"), MATCH('Resultados Intermedios'!$C53, INDIRECT("'"&amp;G$4&amp;"'!ano.vector"), 0))</f>
        <v>0</v>
      </c>
      <c r="H53" s="2607">
        <f ca="1">-INDEX(INDIRECT("'"&amp;H$4&amp;"'!ano.balanceneto"), MATCH('Resultados Intermedios'!$C53, INDIRECT("'"&amp;H$4&amp;"'!ano.vector"), 0))</f>
        <v>0</v>
      </c>
      <c r="I53" s="2607">
        <f ca="1">-INDEX(INDIRECT("'"&amp;I$4&amp;"'!ano.balanceneto"), MATCH('Resultados Intermedios'!$C53, INDIRECT("'"&amp;I$4&amp;"'!ano.vector"), 0))</f>
        <v>0</v>
      </c>
      <c r="J53" s="2607">
        <f ca="1">-INDEX(INDIRECT("'"&amp;J$4&amp;"'!ano.balanceneto"), MATCH('Resultados Intermedios'!$C53, INDIRECT("'"&amp;J$4&amp;"'!ano.vector"), 0))</f>
        <v>0</v>
      </c>
      <c r="K53" s="2607">
        <f ca="1">-INDEX(INDIRECT("'"&amp;K$4&amp;"'!ano.balanceneto"), MATCH('Resultados Intermedios'!$C53, INDIRECT("'"&amp;K$4&amp;"'!ano.vector"), 0))</f>
        <v>0</v>
      </c>
      <c r="L53" s="2607">
        <f ca="1">-INDEX(INDIRECT("'"&amp;L$4&amp;"'!ano.balanceneto"), MATCH('Resultados Intermedios'!$C53, INDIRECT("'"&amp;L$4&amp;"'!ano.vector"), 0))</f>
        <v>0</v>
      </c>
      <c r="M53" s="2607">
        <f ca="1">-INDEX(INDIRECT("'"&amp;M$4&amp;"'!ano.balanceneto"), MATCH('Resultados Intermedios'!$C53, INDIRECT("'"&amp;M$4&amp;"'!ano.vector"), 0))</f>
        <v>0</v>
      </c>
      <c r="N53" s="1251"/>
      <c r="O53"/>
      <c r="P53" s="1252"/>
      <c r="R53" s="3498"/>
      <c r="S53" s="3498"/>
      <c r="T53" s="3498"/>
      <c r="U53" s="3498"/>
      <c r="V53" s="3498"/>
      <c r="W53" s="3498"/>
      <c r="X53" s="3498"/>
      <c r="Y53" s="3498"/>
      <c r="Z53" s="3498"/>
    </row>
    <row r="54" spans="2:48" s="192" customFormat="1" hidden="1" outlineLevel="1" x14ac:dyDescent="0.2">
      <c r="B54" s="1247"/>
      <c r="C54" s="1249" t="s">
        <v>466</v>
      </c>
      <c r="D54" s="1249" t="str">
        <f>INDEX(Vectors[Descripción], MATCH($C54,Vectors[Código],FALSE))</f>
        <v>Reservas de Gas</v>
      </c>
      <c r="E54" s="360"/>
      <c r="F54" s="2607">
        <f ca="1">-INDEX(INDIRECT("'"&amp;F$4&amp;"'!ano.balanceneto"), MATCH('Resultados Intermedios'!$C54, INDIRECT("'"&amp;F$4&amp;"'!ano.vector"), 0))</f>
        <v>0</v>
      </c>
      <c r="G54" s="2607">
        <f ca="1">-INDEX(INDIRECT("'"&amp;G$4&amp;"'!ano.balanceneto"), MATCH('Resultados Intermedios'!$C54, INDIRECT("'"&amp;G$4&amp;"'!ano.vector"), 0))</f>
        <v>10.934465313717508</v>
      </c>
      <c r="H54" s="2607">
        <f ca="1">-INDEX(INDIRECT("'"&amp;H$4&amp;"'!ano.balanceneto"), MATCH('Resultados Intermedios'!$C54, INDIRECT("'"&amp;H$4&amp;"'!ano.vector"), 0))</f>
        <v>10.934465313717508</v>
      </c>
      <c r="I54" s="2607">
        <f ca="1">-INDEX(INDIRECT("'"&amp;I$4&amp;"'!ano.balanceneto"), MATCH('Resultados Intermedios'!$C54, INDIRECT("'"&amp;I$4&amp;"'!ano.vector"), 0))</f>
        <v>10.934465313717508</v>
      </c>
      <c r="J54" s="2607">
        <f ca="1">-INDEX(INDIRECT("'"&amp;J$4&amp;"'!ano.balanceneto"), MATCH('Resultados Intermedios'!$C54, INDIRECT("'"&amp;J$4&amp;"'!ano.vector"), 0))</f>
        <v>10.934465313717508</v>
      </c>
      <c r="K54" s="2607">
        <f ca="1">-INDEX(INDIRECT("'"&amp;K$4&amp;"'!ano.balanceneto"), MATCH('Resultados Intermedios'!$C54, INDIRECT("'"&amp;K$4&amp;"'!ano.vector"), 0))</f>
        <v>10.934465313717508</v>
      </c>
      <c r="L54" s="2607">
        <f ca="1">-INDEX(INDIRECT("'"&amp;L$4&amp;"'!ano.balanceneto"), MATCH('Resultados Intermedios'!$C54, INDIRECT("'"&amp;L$4&amp;"'!ano.vector"), 0))</f>
        <v>10.934465313717508</v>
      </c>
      <c r="M54" s="2607">
        <f ca="1">-INDEX(INDIRECT("'"&amp;M$4&amp;"'!ano.balanceneto"), MATCH('Resultados Intermedios'!$C54, INDIRECT("'"&amp;M$4&amp;"'!ano.vector"), 0))</f>
        <v>10.934465313717508</v>
      </c>
      <c r="N54" s="1251"/>
      <c r="O54"/>
      <c r="P54" s="1252"/>
      <c r="R54" s="3498"/>
      <c r="S54" s="3498"/>
      <c r="T54" s="3498"/>
      <c r="U54" s="3498"/>
      <c r="V54" s="3498"/>
      <c r="W54" s="3498"/>
      <c r="X54" s="3498"/>
      <c r="Y54" s="3498"/>
      <c r="Z54" s="3498"/>
    </row>
    <row r="55" spans="2:48" s="1257" customFormat="1" ht="12.75" customHeight="1" collapsed="1" x14ac:dyDescent="0.2">
      <c r="B55" s="1258"/>
      <c r="C55" s="1276"/>
      <c r="D55" s="1276"/>
      <c r="E55" s="360"/>
      <c r="F55" s="1262"/>
      <c r="G55" s="1262"/>
      <c r="H55" s="1262"/>
      <c r="I55" s="1262"/>
      <c r="J55" s="1262"/>
      <c r="K55" s="1262"/>
      <c r="L55" s="1262"/>
      <c r="M55" s="1262"/>
      <c r="N55" s="1263"/>
      <c r="O55"/>
      <c r="P55" s="1264"/>
      <c r="R55" s="3498"/>
      <c r="S55" s="3498"/>
      <c r="T55" s="3498"/>
      <c r="U55" s="3498"/>
      <c r="V55" s="3498"/>
      <c r="W55" s="3498"/>
      <c r="X55" s="3498"/>
      <c r="Y55" s="3498"/>
      <c r="Z55" s="3498"/>
      <c r="AN55" s="192"/>
      <c r="AO55" s="192"/>
      <c r="AP55" s="192"/>
      <c r="AQ55" s="192"/>
      <c r="AR55" s="192"/>
      <c r="AS55" s="192"/>
      <c r="AT55" s="192"/>
      <c r="AU55" s="192"/>
      <c r="AV55" s="192"/>
    </row>
    <row r="56" spans="2:48" s="1257" customFormat="1" ht="12.75" customHeight="1" x14ac:dyDescent="0.2">
      <c r="B56" s="1258"/>
      <c r="C56" s="1275" t="s">
        <v>330</v>
      </c>
      <c r="D56" s="1249" t="str">
        <f>INDEX(Vectors[Descripción], MATCH($C56,Vectors[Código],FALSE))</f>
        <v>Hidrocarburo Sólido</v>
      </c>
      <c r="E56" s="360"/>
      <c r="F56" s="2607">
        <f ca="1">-INDEX(INDIRECT("'"&amp;F$4&amp;"'!ano.balanceneto"), MATCH('Resultados Intermedios'!$C56, INDIRECT("'"&amp;F$4&amp;"'!ano.vector"), 0))</f>
        <v>90.674181997292195</v>
      </c>
      <c r="G56" s="2607">
        <f ca="1">-INDEX(INDIRECT("'"&amp;G$4&amp;"'!ano.balanceneto"), MATCH('Resultados Intermedios'!$C56, INDIRECT("'"&amp;G$4&amp;"'!ano.vector"), 0))</f>
        <v>101.45929322558089</v>
      </c>
      <c r="H56" s="2607">
        <f ca="1">-INDEX(INDIRECT("'"&amp;H$4&amp;"'!ano.balanceneto"), MATCH('Resultados Intermedios'!$C56, INDIRECT("'"&amp;H$4&amp;"'!ano.vector"), 0))</f>
        <v>119.46423832489575</v>
      </c>
      <c r="I56" s="2607">
        <f ca="1">-INDEX(INDIRECT("'"&amp;I$4&amp;"'!ano.balanceneto"), MATCH('Resultados Intermedios'!$C56, INDIRECT("'"&amp;I$4&amp;"'!ano.vector"), 0))</f>
        <v>137.27185779931929</v>
      </c>
      <c r="J56" s="2607">
        <f ca="1">-INDEX(INDIRECT("'"&amp;J$4&amp;"'!ano.balanceneto"), MATCH('Resultados Intermedios'!$C56, INDIRECT("'"&amp;J$4&amp;"'!ano.vector"), 0))</f>
        <v>159.42441337764467</v>
      </c>
      <c r="K56" s="2607">
        <f ca="1">-INDEX(INDIRECT("'"&amp;K$4&amp;"'!ano.balanceneto"), MATCH('Resultados Intermedios'!$C56, INDIRECT("'"&amp;K$4&amp;"'!ano.vector"), 0))</f>
        <v>183.48940437287516</v>
      </c>
      <c r="L56" s="2607">
        <f ca="1">-INDEX(INDIRECT("'"&amp;L$4&amp;"'!ano.balanceneto"), MATCH('Resultados Intermedios'!$C56, INDIRECT("'"&amp;L$4&amp;"'!ano.vector"), 0))</f>
        <v>207.95509258643116</v>
      </c>
      <c r="M56" s="2607">
        <f ca="1">-INDEX(INDIRECT("'"&amp;M$4&amp;"'!ano.balanceneto"), MATCH('Resultados Intermedios'!$C56, INDIRECT("'"&amp;M$4&amp;"'!ano.vector"), 0))</f>
        <v>230.29484921441994</v>
      </c>
      <c r="N56" s="1263"/>
      <c r="O56"/>
      <c r="P56" s="1264"/>
      <c r="R56" s="1918" t="s">
        <v>2303</v>
      </c>
      <c r="S56" s="3538">
        <f t="shared" ref="S56:Z56" ca="1" si="51">S42/$S$42</f>
        <v>1</v>
      </c>
      <c r="T56" s="1918">
        <f t="shared" ca="1" si="51"/>
        <v>1.1361343516297759</v>
      </c>
      <c r="U56" s="1918">
        <f t="shared" ca="1" si="51"/>
        <v>1.3123652174710358</v>
      </c>
      <c r="V56" s="1918">
        <f t="shared" ca="1" si="51"/>
        <v>1.5066962196953502</v>
      </c>
      <c r="W56" s="1918">
        <f t="shared" ca="1" si="51"/>
        <v>1.7191835496625707</v>
      </c>
      <c r="X56" s="1918">
        <f t="shared" ca="1" si="51"/>
        <v>1.9302252627772865</v>
      </c>
      <c r="Y56" s="1918">
        <f t="shared" ca="1" si="51"/>
        <v>2.1391434496096973</v>
      </c>
      <c r="Z56" s="1918">
        <f t="shared" ca="1" si="51"/>
        <v>2.3303638886447482</v>
      </c>
      <c r="AN56" s="192"/>
      <c r="AO56" s="192"/>
      <c r="AP56" s="192"/>
      <c r="AQ56" s="192"/>
      <c r="AR56" s="192"/>
      <c r="AS56" s="192"/>
      <c r="AT56" s="192"/>
      <c r="AU56" s="192"/>
      <c r="AV56" s="192"/>
    </row>
    <row r="57" spans="2:48" s="1257" customFormat="1" ht="12.75" customHeight="1" x14ac:dyDescent="0.2">
      <c r="B57" s="1258"/>
      <c r="C57" s="1275" t="s">
        <v>333</v>
      </c>
      <c r="D57" s="1249" t="str">
        <f>INDEX(Vectors[Descripción], MATCH($C57,Vectors[Código],FALSE))</f>
        <v>Hidrocarburo Líquido</v>
      </c>
      <c r="E57" s="360"/>
      <c r="F57" s="2607">
        <f ca="1">-INDEX(INDIRECT("'"&amp;F$4&amp;"'!ano.balanceneto"), MATCH('Resultados Intermedios'!$C57, INDIRECT("'"&amp;F$4&amp;"'!ano.vector"), 0))</f>
        <v>155.18922878601049</v>
      </c>
      <c r="G57" s="2607">
        <f ca="1">-INDEX(INDIRECT("'"&amp;G$4&amp;"'!ano.balanceneto"), MATCH('Resultados Intermedios'!$C57, INDIRECT("'"&amp;G$4&amp;"'!ano.vector"), 0))</f>
        <v>171.46290983518537</v>
      </c>
      <c r="H57" s="2607">
        <f ca="1">-INDEX(INDIRECT("'"&amp;H$4&amp;"'!ano.balanceneto"), MATCH('Resultados Intermedios'!$C57, INDIRECT("'"&amp;H$4&amp;"'!ano.vector"), 0))</f>
        <v>199.7089576630182</v>
      </c>
      <c r="I57" s="2607">
        <f ca="1">-INDEX(INDIRECT("'"&amp;I$4&amp;"'!ano.balanceneto"), MATCH('Resultados Intermedios'!$C57, INDIRECT("'"&amp;I$4&amp;"'!ano.vector"), 0))</f>
        <v>232.82179625634126</v>
      </c>
      <c r="J57" s="2607">
        <f ca="1">-INDEX(INDIRECT("'"&amp;J$4&amp;"'!ano.balanceneto"), MATCH('Resultados Intermedios'!$C57, INDIRECT("'"&amp;J$4&amp;"'!ano.vector"), 0))</f>
        <v>264.76231276183898</v>
      </c>
      <c r="K57" s="2607">
        <f ca="1">-INDEX(INDIRECT("'"&amp;K$4&amp;"'!ano.balanceneto"), MATCH('Resultados Intermedios'!$C57, INDIRECT("'"&amp;K$4&amp;"'!ano.vector"), 0))</f>
        <v>291.4785565871108</v>
      </c>
      <c r="L57" s="2607">
        <f ca="1">-INDEX(INDIRECT("'"&amp;L$4&amp;"'!ano.balanceneto"), MATCH('Resultados Intermedios'!$C57, INDIRECT("'"&amp;L$4&amp;"'!ano.vector"), 0))</f>
        <v>314.76614030973906</v>
      </c>
      <c r="M57" s="2607">
        <f ca="1">-INDEX(INDIRECT("'"&amp;M$4&amp;"'!ano.balanceneto"), MATCH('Resultados Intermedios'!$C57, INDIRECT("'"&amp;M$4&amp;"'!ano.vector"), 0))</f>
        <v>335.37561387009015</v>
      </c>
      <c r="N57" s="1263"/>
      <c r="O57"/>
      <c r="P57" s="1264"/>
      <c r="R57" s="1257" t="s">
        <v>434</v>
      </c>
    </row>
    <row r="58" spans="2:48" s="1257" customFormat="1" ht="12.75" customHeight="1" x14ac:dyDescent="0.2">
      <c r="B58" s="1258"/>
      <c r="C58" s="1275" t="s">
        <v>335</v>
      </c>
      <c r="D58" s="1249" t="str">
        <f>INDEX(Vectors[Descripción], MATCH($C58,Vectors[Código],FALSE))</f>
        <v>Hidrocarburo Gaseoso</v>
      </c>
      <c r="E58" s="360"/>
      <c r="F58" s="2607">
        <f ca="1">-INDEX(INDIRECT("'"&amp;F$4&amp;"'!ano.balanceneto"), MATCH('Resultados Intermedios'!$C58, INDIRECT("'"&amp;F$4&amp;"'!ano.vector"), 0))</f>
        <v>71.714143547361388</v>
      </c>
      <c r="G58" s="2607">
        <f ca="1">-INDEX(INDIRECT("'"&amp;G$4&amp;"'!ano.balanceneto"), MATCH('Resultados Intermedios'!$C58, INDIRECT("'"&amp;G$4&amp;"'!ano.vector"), 0))</f>
        <v>82.721467114260918</v>
      </c>
      <c r="H58" s="2607">
        <f ca="1">-INDEX(INDIRECT("'"&amp;H$4&amp;"'!ano.balanceneto"), MATCH('Resultados Intermedios'!$C58, INDIRECT("'"&amp;H$4&amp;"'!ano.vector"), 0))</f>
        <v>97.548258585664044</v>
      </c>
      <c r="I58" s="2607">
        <f ca="1">-INDEX(INDIRECT("'"&amp;I$4&amp;"'!ano.balanceneto"), MATCH('Resultados Intermedios'!$C58, INDIRECT("'"&amp;I$4&amp;"'!ano.vector"), 0))</f>
        <v>112.93808741081389</v>
      </c>
      <c r="J58" s="2607">
        <f ca="1">-INDEX(INDIRECT("'"&amp;J$4&amp;"'!ano.balanceneto"), MATCH('Resultados Intermedios'!$C58, INDIRECT("'"&amp;J$4&amp;"'!ano.vector"), 0))</f>
        <v>131.12397915064165</v>
      </c>
      <c r="K58" s="2607">
        <f ca="1">-INDEX(INDIRECT("'"&amp;K$4&amp;"'!ano.balanceneto"), MATCH('Resultados Intermedios'!$C58, INDIRECT("'"&amp;K$4&amp;"'!ano.vector"), 0))</f>
        <v>151.83587101940554</v>
      </c>
      <c r="L58" s="2607">
        <f ca="1">-INDEX(INDIRECT("'"&amp;L$4&amp;"'!ano.balanceneto"), MATCH('Resultados Intermedios'!$C58, INDIRECT("'"&amp;L$4&amp;"'!ano.vector"), 0))</f>
        <v>174.67904222238852</v>
      </c>
      <c r="M58" s="2607">
        <f ca="1">-INDEX(INDIRECT("'"&amp;M$4&amp;"'!ano.balanceneto"), MATCH('Resultados Intermedios'!$C58, INDIRECT("'"&amp;M$4&amp;"'!ano.vector"), 0))</f>
        <v>196.29094670538313</v>
      </c>
      <c r="N58" s="1263"/>
      <c r="O58"/>
      <c r="P58" s="1264"/>
      <c r="R58" s="1257" t="s">
        <v>1900</v>
      </c>
      <c r="S58" s="3469">
        <f ca="1">S28+S31+S32+S33+S34+S35</f>
        <v>79.085989589111648</v>
      </c>
      <c r="T58" s="3469">
        <f t="shared" ref="T58:Z58" ca="1" si="52">T28+T31+T32+T33+T34+T35</f>
        <v>91.36074880883055</v>
      </c>
      <c r="U58" s="3469">
        <f t="shared" ca="1" si="52"/>
        <v>107.44181037107711</v>
      </c>
      <c r="V58" s="3469">
        <f t="shared" ca="1" si="52"/>
        <v>125.08017880922689</v>
      </c>
      <c r="W58" s="3469">
        <f t="shared" ca="1" si="52"/>
        <v>144.41283783205461</v>
      </c>
      <c r="X58" s="3469">
        <f t="shared" ca="1" si="52"/>
        <v>163.59181473579159</v>
      </c>
      <c r="Y58" s="3469">
        <f t="shared" ca="1" si="52"/>
        <v>182.57704893487744</v>
      </c>
      <c r="Z58" s="3469">
        <f t="shared" ca="1" si="52"/>
        <v>199.8845108148071</v>
      </c>
    </row>
    <row r="59" spans="2:48" s="1257" customFormat="1" ht="12.75" hidden="1" customHeight="1" outlineLevel="1" x14ac:dyDescent="0.2">
      <c r="B59" s="1258"/>
      <c r="C59" s="1275" t="s">
        <v>467</v>
      </c>
      <c r="D59" s="1249" t="str">
        <f>INDEX(Vectors[Descripción], MATCH($C59,Vectors[Código],FALSE))</f>
        <v>Carbón y  residuos fósiles</v>
      </c>
      <c r="E59" s="360"/>
      <c r="F59" s="2607">
        <f ca="1">-INDEX(INDIRECT("'"&amp;F$4&amp;"'!ano.balanceneto"), MATCH('Resultados Intermedios'!$C59, INDIRECT("'"&amp;F$4&amp;"'!ano.vector"), 0))</f>
        <v>0</v>
      </c>
      <c r="G59" s="2607">
        <f ca="1">-INDEX(INDIRECT("'"&amp;G$4&amp;"'!ano.balanceneto"), MATCH('Resultados Intermedios'!$C59, INDIRECT("'"&amp;G$4&amp;"'!ano.vector"), 0))</f>
        <v>-25.584695004942699</v>
      </c>
      <c r="H59" s="2607">
        <f ca="1">-INDEX(INDIRECT("'"&amp;H$4&amp;"'!ano.balanceneto"), MATCH('Resultados Intermedios'!$C59, INDIRECT("'"&amp;H$4&amp;"'!ano.vector"), 0))</f>
        <v>-25.584695004942699</v>
      </c>
      <c r="I59" s="2607">
        <f ca="1">-INDEX(INDIRECT("'"&amp;I$4&amp;"'!ano.balanceneto"), MATCH('Resultados Intermedios'!$C59, INDIRECT("'"&amp;I$4&amp;"'!ano.vector"), 0))</f>
        <v>-25.584695004942699</v>
      </c>
      <c r="J59" s="2607">
        <f ca="1">-INDEX(INDIRECT("'"&amp;J$4&amp;"'!ano.balanceneto"), MATCH('Resultados Intermedios'!$C59, INDIRECT("'"&amp;J$4&amp;"'!ano.vector"), 0))</f>
        <v>-25.584695004942699</v>
      </c>
      <c r="K59" s="2607">
        <f ca="1">-INDEX(INDIRECT("'"&amp;K$4&amp;"'!ano.balanceneto"), MATCH('Resultados Intermedios'!$C59, INDIRECT("'"&amp;K$4&amp;"'!ano.vector"), 0))</f>
        <v>-25.584695004942699</v>
      </c>
      <c r="L59" s="2607">
        <f ca="1">-INDEX(INDIRECT("'"&amp;L$4&amp;"'!ano.balanceneto"), MATCH('Resultados Intermedios'!$C59, INDIRECT("'"&amp;L$4&amp;"'!ano.vector"), 0))</f>
        <v>-25.584695004942699</v>
      </c>
      <c r="M59" s="2607">
        <f ca="1">-INDEX(INDIRECT("'"&amp;M$4&amp;"'!ano.balanceneto"), MATCH('Resultados Intermedios'!$C59, INDIRECT("'"&amp;M$4&amp;"'!ano.vector"), 0))</f>
        <v>-25.584695004942699</v>
      </c>
      <c r="N59" s="1263"/>
      <c r="O59"/>
      <c r="P59" s="1264"/>
      <c r="R59" s="1257" t="s">
        <v>1013</v>
      </c>
      <c r="S59" s="3469">
        <f>S29+S30</f>
        <v>15.926215935438499</v>
      </c>
      <c r="T59" s="3469">
        <f t="shared" ref="T59:Z59" si="53">T29+T30</f>
        <v>16.585881711719249</v>
      </c>
      <c r="U59" s="3469">
        <f t="shared" si="53"/>
        <v>17.248903394551906</v>
      </c>
      <c r="V59" s="3469">
        <f t="shared" si="53"/>
        <v>18.074352079530488</v>
      </c>
      <c r="W59" s="3469">
        <f t="shared" si="53"/>
        <v>18.930582922911245</v>
      </c>
      <c r="X59" s="3469">
        <f t="shared" si="53"/>
        <v>19.803144639882785</v>
      </c>
      <c r="Y59" s="3469">
        <f t="shared" si="53"/>
        <v>20.667688145934335</v>
      </c>
      <c r="Z59" s="3469">
        <f t="shared" si="53"/>
        <v>21.528501920097593</v>
      </c>
    </row>
    <row r="60" spans="2:48" s="1257" customFormat="1" ht="12.75" hidden="1" customHeight="1" outlineLevel="1" x14ac:dyDescent="0.2">
      <c r="B60" s="1258"/>
      <c r="C60" s="1275" t="s">
        <v>468</v>
      </c>
      <c r="D60" s="1249" t="str">
        <f>INDEX(Vectors[Descripción], MATCH($C60,Vectors[Código],FALSE))</f>
        <v>Derivados del petróleo</v>
      </c>
      <c r="E60" s="360"/>
      <c r="F60" s="2607">
        <f ca="1">-INDEX(INDIRECT("'"&amp;F$4&amp;"'!ano.balanceneto"), MATCH('Resultados Intermedios'!$C60, INDIRECT("'"&amp;F$4&amp;"'!ano.vector"), 0))</f>
        <v>0</v>
      </c>
      <c r="G60" s="2607">
        <f ca="1">-INDEX(INDIRECT("'"&amp;G$4&amp;"'!ano.balanceneto"), MATCH('Resultados Intermedios'!$C60, INDIRECT("'"&amp;G$4&amp;"'!ano.vector"), 0))</f>
        <v>-3.0761179275455</v>
      </c>
      <c r="H60" s="2607">
        <f ca="1">-INDEX(INDIRECT("'"&amp;H$4&amp;"'!ano.balanceneto"), MATCH('Resultados Intermedios'!$C60, INDIRECT("'"&amp;H$4&amp;"'!ano.vector"), 0))</f>
        <v>-3.0761179275455</v>
      </c>
      <c r="I60" s="2607">
        <f ca="1">-INDEX(INDIRECT("'"&amp;I$4&amp;"'!ano.balanceneto"), MATCH('Resultados Intermedios'!$C60, INDIRECT("'"&amp;I$4&amp;"'!ano.vector"), 0))</f>
        <v>-3.0761179275455</v>
      </c>
      <c r="J60" s="2607">
        <f ca="1">-INDEX(INDIRECT("'"&amp;J$4&amp;"'!ano.balanceneto"), MATCH('Resultados Intermedios'!$C60, INDIRECT("'"&amp;J$4&amp;"'!ano.vector"), 0))</f>
        <v>-3.0761179275455</v>
      </c>
      <c r="K60" s="2607">
        <f ca="1">-INDEX(INDIRECT("'"&amp;K$4&amp;"'!ano.balanceneto"), MATCH('Resultados Intermedios'!$C60, INDIRECT("'"&amp;K$4&amp;"'!ano.vector"), 0))</f>
        <v>-3.0761179275455</v>
      </c>
      <c r="L60" s="2607">
        <f ca="1">-INDEX(INDIRECT("'"&amp;L$4&amp;"'!ano.balanceneto"), MATCH('Resultados Intermedios'!$C60, INDIRECT("'"&amp;L$4&amp;"'!ano.vector"), 0))</f>
        <v>-3.0761179275455</v>
      </c>
      <c r="M60" s="2607">
        <f ca="1">-INDEX(INDIRECT("'"&amp;M$4&amp;"'!ano.balanceneto"), MATCH('Resultados Intermedios'!$C60, INDIRECT("'"&amp;M$4&amp;"'!ano.vector"), 0))</f>
        <v>-3.0761179275455</v>
      </c>
      <c r="N60" s="1263"/>
      <c r="O60"/>
      <c r="P60" s="1264"/>
    </row>
    <row r="61" spans="2:48" s="1257" customFormat="1" ht="12.75" hidden="1" customHeight="1" outlineLevel="1" x14ac:dyDescent="0.2">
      <c r="B61" s="1258"/>
      <c r="C61" s="1275" t="s">
        <v>469</v>
      </c>
      <c r="D61" s="1249" t="str">
        <f>INDEX(Vectors[Descripción], MATCH($C61,Vectors[Código],FALSE))</f>
        <v>Gas Natural</v>
      </c>
      <c r="E61" s="360"/>
      <c r="F61" s="2607">
        <f ca="1">-INDEX(INDIRECT("'"&amp;F$4&amp;"'!ano.balanceneto"), MATCH('Resultados Intermedios'!$C61, INDIRECT("'"&amp;F$4&amp;"'!ano.vector"), 0))</f>
        <v>0</v>
      </c>
      <c r="G61" s="2607">
        <f ca="1">-INDEX(INDIRECT("'"&amp;G$4&amp;"'!ano.balanceneto"), MATCH('Resultados Intermedios'!$C61, INDIRECT("'"&amp;G$4&amp;"'!ano.vector"), 0))</f>
        <v>-10.934465313717508</v>
      </c>
      <c r="H61" s="2607">
        <f ca="1">-INDEX(INDIRECT("'"&amp;H$4&amp;"'!ano.balanceneto"), MATCH('Resultados Intermedios'!$C61, INDIRECT("'"&amp;H$4&amp;"'!ano.vector"), 0))</f>
        <v>-10.934465313717508</v>
      </c>
      <c r="I61" s="2607">
        <f ca="1">-INDEX(INDIRECT("'"&amp;I$4&amp;"'!ano.balanceneto"), MATCH('Resultados Intermedios'!$C61, INDIRECT("'"&amp;I$4&amp;"'!ano.vector"), 0))</f>
        <v>-10.934465313717508</v>
      </c>
      <c r="J61" s="2607">
        <f ca="1">-INDEX(INDIRECT("'"&amp;J$4&amp;"'!ano.balanceneto"), MATCH('Resultados Intermedios'!$C61, INDIRECT("'"&amp;J$4&amp;"'!ano.vector"), 0))</f>
        <v>-10.934465313717508</v>
      </c>
      <c r="K61" s="2607">
        <f ca="1">-INDEX(INDIRECT("'"&amp;K$4&amp;"'!ano.balanceneto"), MATCH('Resultados Intermedios'!$C61, INDIRECT("'"&amp;K$4&amp;"'!ano.vector"), 0))</f>
        <v>-10.934465313717508</v>
      </c>
      <c r="L61" s="2607">
        <f ca="1">-INDEX(INDIRECT("'"&amp;L$4&amp;"'!ano.balanceneto"), MATCH('Resultados Intermedios'!$C61, INDIRECT("'"&amp;L$4&amp;"'!ano.vector"), 0))</f>
        <v>-10.934465313717508</v>
      </c>
      <c r="M61" s="2607">
        <f ca="1">-INDEX(INDIRECT("'"&amp;M$4&amp;"'!ano.balanceneto"), MATCH('Resultados Intermedios'!$C61, INDIRECT("'"&amp;M$4&amp;"'!ano.vector"), 0))</f>
        <v>-10.934465313717508</v>
      </c>
      <c r="N61" s="1263"/>
      <c r="O61"/>
      <c r="P61" s="1264"/>
    </row>
    <row r="62" spans="2:48" s="1257" customFormat="1" ht="12.75" hidden="1" customHeight="1" outlineLevel="1" x14ac:dyDescent="0.2">
      <c r="B62" s="1258"/>
      <c r="C62" s="1275" t="s">
        <v>470</v>
      </c>
      <c r="D62" s="1249" t="str">
        <f>INDEX(Vectors[Descripción], MATCH($C62,Vectors[Código],FALSE))</f>
        <v>Blast furnace gas</v>
      </c>
      <c r="E62" s="360"/>
      <c r="F62" s="2607">
        <f ca="1">-INDEX(INDIRECT("'"&amp;F$4&amp;"'!ano.balanceneto"), MATCH('Resultados Intermedios'!$C62, INDIRECT("'"&amp;F$4&amp;"'!ano.vector"), 0))</f>
        <v>0</v>
      </c>
      <c r="G62" s="2607">
        <f ca="1">-INDEX(INDIRECT("'"&amp;G$4&amp;"'!ano.balanceneto"), MATCH('Resultados Intermedios'!$C62, INDIRECT("'"&amp;G$4&amp;"'!ano.vector"), 0))</f>
        <v>0</v>
      </c>
      <c r="H62" s="2607">
        <f ca="1">-INDEX(INDIRECT("'"&amp;H$4&amp;"'!ano.balanceneto"), MATCH('Resultados Intermedios'!$C62, INDIRECT("'"&amp;H$4&amp;"'!ano.vector"), 0))</f>
        <v>0</v>
      </c>
      <c r="I62" s="2607">
        <f ca="1">-INDEX(INDIRECT("'"&amp;I$4&amp;"'!ano.balanceneto"), MATCH('Resultados Intermedios'!$C62, INDIRECT("'"&amp;I$4&amp;"'!ano.vector"), 0))</f>
        <v>0</v>
      </c>
      <c r="J62" s="2607">
        <f ca="1">-INDEX(INDIRECT("'"&amp;J$4&amp;"'!ano.balanceneto"), MATCH('Resultados Intermedios'!$C62, INDIRECT("'"&amp;J$4&amp;"'!ano.vector"), 0))</f>
        <v>0</v>
      </c>
      <c r="K62" s="2607">
        <f ca="1">-INDEX(INDIRECT("'"&amp;K$4&amp;"'!ano.balanceneto"), MATCH('Resultados Intermedios'!$C62, INDIRECT("'"&amp;K$4&amp;"'!ano.vector"), 0))</f>
        <v>0</v>
      </c>
      <c r="L62" s="2607">
        <f ca="1">-INDEX(INDIRECT("'"&amp;L$4&amp;"'!ano.balanceneto"), MATCH('Resultados Intermedios'!$C62, INDIRECT("'"&amp;L$4&amp;"'!ano.vector"), 0))</f>
        <v>0</v>
      </c>
      <c r="M62" s="2607">
        <f ca="1">-INDEX(INDIRECT("'"&amp;M$4&amp;"'!ano.balanceneto"), MATCH('Resultados Intermedios'!$C62, INDIRECT("'"&amp;M$4&amp;"'!ano.vector"), 0))</f>
        <v>0</v>
      </c>
      <c r="N62" s="1263"/>
      <c r="O62"/>
      <c r="P62" s="1264"/>
    </row>
    <row r="63" spans="2:48" s="1257" customFormat="1" ht="12.75" hidden="1" customHeight="1" outlineLevel="1" x14ac:dyDescent="0.2">
      <c r="B63" s="1258"/>
      <c r="C63" s="1275" t="s">
        <v>471</v>
      </c>
      <c r="D63" s="1249" t="str">
        <f>INDEX(Vectors[Descripción], MATCH($C63,Vectors[Código],FALSE))</f>
        <v>Heat transport</v>
      </c>
      <c r="E63" s="360"/>
      <c r="F63" s="2607">
        <f ca="1">-INDEX(INDIRECT("'"&amp;F$4&amp;"'!ano.balanceneto"), MATCH('Resultados Intermedios'!$C63, INDIRECT("'"&amp;F$4&amp;"'!ano.vector"), 0))</f>
        <v>0</v>
      </c>
      <c r="G63" s="2607">
        <f ca="1">-INDEX(INDIRECT("'"&amp;G$4&amp;"'!ano.balanceneto"), MATCH('Resultados Intermedios'!$C63, INDIRECT("'"&amp;G$4&amp;"'!ano.vector"), 0))</f>
        <v>0</v>
      </c>
      <c r="H63" s="2607">
        <f ca="1">-INDEX(INDIRECT("'"&amp;H$4&amp;"'!ano.balanceneto"), MATCH('Resultados Intermedios'!$C63, INDIRECT("'"&amp;H$4&amp;"'!ano.vector"), 0))</f>
        <v>0</v>
      </c>
      <c r="I63" s="2607">
        <f ca="1">-INDEX(INDIRECT("'"&amp;I$4&amp;"'!ano.balanceneto"), MATCH('Resultados Intermedios'!$C63, INDIRECT("'"&amp;I$4&amp;"'!ano.vector"), 0))</f>
        <v>0</v>
      </c>
      <c r="J63" s="2607">
        <f ca="1">-INDEX(INDIRECT("'"&amp;J$4&amp;"'!ano.balanceneto"), MATCH('Resultados Intermedios'!$C63, INDIRECT("'"&amp;J$4&amp;"'!ano.vector"), 0))</f>
        <v>0</v>
      </c>
      <c r="K63" s="2607">
        <f ca="1">-INDEX(INDIRECT("'"&amp;K$4&amp;"'!ano.balanceneto"), MATCH('Resultados Intermedios'!$C63, INDIRECT("'"&amp;K$4&amp;"'!ano.vector"), 0))</f>
        <v>0</v>
      </c>
      <c r="L63" s="2607">
        <f ca="1">-INDEX(INDIRECT("'"&amp;L$4&amp;"'!ano.balanceneto"), MATCH('Resultados Intermedios'!$C63, INDIRECT("'"&amp;L$4&amp;"'!ano.vector"), 0))</f>
        <v>0</v>
      </c>
      <c r="M63" s="2607">
        <f ca="1">-INDEX(INDIRECT("'"&amp;M$4&amp;"'!ano.balanceneto"), MATCH('Resultados Intermedios'!$C63, INDIRECT("'"&amp;M$4&amp;"'!ano.vector"), 0))</f>
        <v>0</v>
      </c>
      <c r="N63" s="1263"/>
      <c r="O63"/>
      <c r="P63" s="1264"/>
    </row>
    <row r="64" spans="2:48" s="1257" customFormat="1" ht="12.75" hidden="1" customHeight="1" outlineLevel="1" x14ac:dyDescent="0.2">
      <c r="B64" s="1258"/>
      <c r="C64" s="1275" t="s">
        <v>472</v>
      </c>
      <c r="D64" s="1249" t="str">
        <f>INDEX(Vectors[Descripción], MATCH($C64,Vectors[Código],FALSE))</f>
        <v>Biomasa comestible</v>
      </c>
      <c r="E64" s="360"/>
      <c r="F64" s="2607">
        <f ca="1">-INDEX(INDIRECT("'"&amp;F$4&amp;"'!ano.balanceneto"), MATCH('Resultados Intermedios'!$C64, INDIRECT("'"&amp;F$4&amp;"'!ano.vector"), 0))</f>
        <v>0</v>
      </c>
      <c r="G64" s="2607">
        <f ca="1">-INDEX(INDIRECT("'"&amp;G$4&amp;"'!ano.balanceneto"), MATCH('Resultados Intermedios'!$C64, INDIRECT("'"&amp;G$4&amp;"'!ano.vector"), 0))</f>
        <v>0</v>
      </c>
      <c r="H64" s="2607">
        <f ca="1">-INDEX(INDIRECT("'"&amp;H$4&amp;"'!ano.balanceneto"), MATCH('Resultados Intermedios'!$C64, INDIRECT("'"&amp;H$4&amp;"'!ano.vector"), 0))</f>
        <v>0</v>
      </c>
      <c r="I64" s="2607">
        <f ca="1">-INDEX(INDIRECT("'"&amp;I$4&amp;"'!ano.balanceneto"), MATCH('Resultados Intermedios'!$C64, INDIRECT("'"&amp;I$4&amp;"'!ano.vector"), 0))</f>
        <v>0</v>
      </c>
      <c r="J64" s="2607">
        <f ca="1">-INDEX(INDIRECT("'"&amp;J$4&amp;"'!ano.balanceneto"), MATCH('Resultados Intermedios'!$C64, INDIRECT("'"&amp;J$4&amp;"'!ano.vector"), 0))</f>
        <v>0</v>
      </c>
      <c r="K64" s="2607">
        <f ca="1">-INDEX(INDIRECT("'"&amp;K$4&amp;"'!ano.balanceneto"), MATCH('Resultados Intermedios'!$C64, INDIRECT("'"&amp;K$4&amp;"'!ano.vector"), 0))</f>
        <v>0</v>
      </c>
      <c r="L64" s="2607">
        <f ca="1">-INDEX(INDIRECT("'"&amp;L$4&amp;"'!ano.balanceneto"), MATCH('Resultados Intermedios'!$C64, INDIRECT("'"&amp;L$4&amp;"'!ano.vector"), 0))</f>
        <v>0</v>
      </c>
      <c r="M64" s="2607">
        <f ca="1">-INDEX(INDIRECT("'"&amp;M$4&amp;"'!ano.balanceneto"), MATCH('Resultados Intermedios'!$C64, INDIRECT("'"&amp;M$4&amp;"'!ano.vector"), 0))</f>
        <v>0</v>
      </c>
      <c r="N64" s="1263"/>
      <c r="O64"/>
      <c r="P64" s="1264"/>
    </row>
    <row r="65" spans="2:48" s="1257" customFormat="1" ht="12.75" hidden="1" customHeight="1" outlineLevel="1" x14ac:dyDescent="0.2">
      <c r="B65" s="1258"/>
      <c r="C65" s="1275" t="s">
        <v>709</v>
      </c>
      <c r="D65" s="1249" t="str">
        <f>INDEX(Vectors[Descripción], MATCH($C65,Vectors[Código],FALSE))</f>
        <v>Cultivos para Energía (segunda generación)</v>
      </c>
      <c r="E65" s="360"/>
      <c r="F65" s="2607">
        <f ca="1">-INDEX(INDIRECT("'"&amp;F$4&amp;"'!ano.balanceneto"), MATCH('Resultados Intermedios'!$C65, INDIRECT("'"&amp;F$4&amp;"'!ano.vector"), 0))</f>
        <v>0</v>
      </c>
      <c r="G65" s="2607">
        <f ca="1">-INDEX(INDIRECT("'"&amp;G$4&amp;"'!ano.balanceneto"), MATCH('Resultados Intermedios'!$C65, INDIRECT("'"&amp;G$4&amp;"'!ano.vector"), 0))</f>
        <v>0</v>
      </c>
      <c r="H65" s="2607">
        <f ca="1">-INDEX(INDIRECT("'"&amp;H$4&amp;"'!ano.balanceneto"), MATCH('Resultados Intermedios'!$C65, INDIRECT("'"&amp;H$4&amp;"'!ano.vector"), 0))</f>
        <v>0</v>
      </c>
      <c r="I65" s="2607">
        <f ca="1">-INDEX(INDIRECT("'"&amp;I$4&amp;"'!ano.balanceneto"), MATCH('Resultados Intermedios'!$C65, INDIRECT("'"&amp;I$4&amp;"'!ano.vector"), 0))</f>
        <v>0</v>
      </c>
      <c r="J65" s="2607">
        <f ca="1">-INDEX(INDIRECT("'"&amp;J$4&amp;"'!ano.balanceneto"), MATCH('Resultados Intermedios'!$C65, INDIRECT("'"&amp;J$4&amp;"'!ano.vector"), 0))</f>
        <v>0</v>
      </c>
      <c r="K65" s="2607">
        <f ca="1">-INDEX(INDIRECT("'"&amp;K$4&amp;"'!ano.balanceneto"), MATCH('Resultados Intermedios'!$C65, INDIRECT("'"&amp;K$4&amp;"'!ano.vector"), 0))</f>
        <v>0</v>
      </c>
      <c r="L65" s="2607">
        <f ca="1">-INDEX(INDIRECT("'"&amp;L$4&amp;"'!ano.balanceneto"), MATCH('Resultados Intermedios'!$C65, INDIRECT("'"&amp;L$4&amp;"'!ano.vector"), 0))</f>
        <v>0</v>
      </c>
      <c r="M65" s="2607">
        <f ca="1">-INDEX(INDIRECT("'"&amp;M$4&amp;"'!ano.balanceneto"), MATCH('Resultados Intermedios'!$C65, INDIRECT("'"&amp;M$4&amp;"'!ano.vector"), 0))</f>
        <v>0</v>
      </c>
      <c r="N65" s="1263"/>
      <c r="O65"/>
      <c r="P65" s="1264"/>
    </row>
    <row r="66" spans="2:48" s="1257" customFormat="1" ht="12.75" hidden="1" customHeight="1" outlineLevel="1" x14ac:dyDescent="0.2">
      <c r="B66" s="1258"/>
      <c r="C66" s="1275" t="s">
        <v>804</v>
      </c>
      <c r="D66" s="1249" t="str">
        <f>INDEX(Vectors[Descripción], MATCH($C66,Vectors[Código],FALSE))</f>
        <v>Cultivos para Energía (primera generación)</v>
      </c>
      <c r="E66" s="360"/>
      <c r="F66" s="2607">
        <f ca="1">-INDEX(INDIRECT("'"&amp;F$4&amp;"'!ano.balanceneto"), MATCH('Resultados Intermedios'!$C66, INDIRECT("'"&amp;F$4&amp;"'!ano.vector"), 0))</f>
        <v>0</v>
      </c>
      <c r="G66" s="2607">
        <f ca="1">-INDEX(INDIRECT("'"&amp;G$4&amp;"'!ano.balanceneto"), MATCH('Resultados Intermedios'!$C66, INDIRECT("'"&amp;G$4&amp;"'!ano.vector"), 0))</f>
        <v>0</v>
      </c>
      <c r="H66" s="2607">
        <f ca="1">-INDEX(INDIRECT("'"&amp;H$4&amp;"'!ano.balanceneto"), MATCH('Resultados Intermedios'!$C66, INDIRECT("'"&amp;H$4&amp;"'!ano.vector"), 0))</f>
        <v>0</v>
      </c>
      <c r="I66" s="2607">
        <f ca="1">-INDEX(INDIRECT("'"&amp;I$4&amp;"'!ano.balanceneto"), MATCH('Resultados Intermedios'!$C66, INDIRECT("'"&amp;I$4&amp;"'!ano.vector"), 0))</f>
        <v>0</v>
      </c>
      <c r="J66" s="2607">
        <f ca="1">-INDEX(INDIRECT("'"&amp;J$4&amp;"'!ano.balanceneto"), MATCH('Resultados Intermedios'!$C66, INDIRECT("'"&amp;J$4&amp;"'!ano.vector"), 0))</f>
        <v>0</v>
      </c>
      <c r="K66" s="2607">
        <f ca="1">-INDEX(INDIRECT("'"&amp;K$4&amp;"'!ano.balanceneto"), MATCH('Resultados Intermedios'!$C66, INDIRECT("'"&amp;K$4&amp;"'!ano.vector"), 0))</f>
        <v>0</v>
      </c>
      <c r="L66" s="2607">
        <f ca="1">-INDEX(INDIRECT("'"&amp;L$4&amp;"'!ano.balanceneto"), MATCH('Resultados Intermedios'!$C66, INDIRECT("'"&amp;L$4&amp;"'!ano.vector"), 0))</f>
        <v>0</v>
      </c>
      <c r="M66" s="2607">
        <f ca="1">-INDEX(INDIRECT("'"&amp;M$4&amp;"'!ano.balanceneto"), MATCH('Resultados Intermedios'!$C66, INDIRECT("'"&amp;M$4&amp;"'!ano.vector"), 0))</f>
        <v>0</v>
      </c>
      <c r="N66" s="1263"/>
      <c r="O66"/>
      <c r="P66" s="1264"/>
    </row>
    <row r="67" spans="2:48" s="1257" customFormat="1" ht="12.75" customHeight="1" collapsed="1" x14ac:dyDescent="0.2">
      <c r="B67" s="1258"/>
      <c r="C67" s="1275" t="s">
        <v>473</v>
      </c>
      <c r="D67" s="1249" t="str">
        <f>INDEX(Vectors[Descripción], MATCH($C67,Vectors[Código],FALSE))</f>
        <v>Biomasa</v>
      </c>
      <c r="E67" s="360"/>
      <c r="F67" s="2607">
        <f ca="1">-INDEX(INDIRECT("'"&amp;F$4&amp;"'!ano.balanceneto"), MATCH('Resultados Intermedios'!$C67, INDIRECT("'"&amp;F$4&amp;"'!ano.vector"), 0))</f>
        <v>15.042851866876788</v>
      </c>
      <c r="G67" s="2607">
        <f ca="1">-INDEX(INDIRECT("'"&amp;G$4&amp;"'!ano.balanceneto"), MATCH('Resultados Intermedios'!$C67, INDIRECT("'"&amp;G$4&amp;"'!ano.vector"), 0))</f>
        <v>13.473032185258074</v>
      </c>
      <c r="H67" s="2607">
        <f ca="1">-INDEX(INDIRECT("'"&amp;H$4&amp;"'!ano.balanceneto"), MATCH('Resultados Intermedios'!$C67, INDIRECT("'"&amp;H$4&amp;"'!ano.vector"), 0))</f>
        <v>12.337851148176384</v>
      </c>
      <c r="I67" s="2607">
        <f ca="1">-INDEX(INDIRECT("'"&amp;I$4&amp;"'!ano.balanceneto"), MATCH('Resultados Intermedios'!$C67, INDIRECT("'"&amp;I$4&amp;"'!ano.vector"), 0))</f>
        <v>11.855724128264164</v>
      </c>
      <c r="J67" s="2607">
        <f ca="1">-INDEX(INDIRECT("'"&amp;J$4&amp;"'!ano.balanceneto"), MATCH('Resultados Intermedios'!$C67, INDIRECT("'"&amp;J$4&amp;"'!ano.vector"), 0))</f>
        <v>11.889735478123473</v>
      </c>
      <c r="K67" s="2607">
        <f ca="1">-INDEX(INDIRECT("'"&amp;K$4&amp;"'!ano.balanceneto"), MATCH('Resultados Intermedios'!$C67, INDIRECT("'"&amp;K$4&amp;"'!ano.vector"), 0))</f>
        <v>12.056385936741588</v>
      </c>
      <c r="L67" s="2607">
        <f ca="1">-INDEX(INDIRECT("'"&amp;L$4&amp;"'!ano.balanceneto"), MATCH('Resultados Intermedios'!$C67, INDIRECT("'"&amp;L$4&amp;"'!ano.vector"), 0))</f>
        <v>12.207848271102581</v>
      </c>
      <c r="M67" s="2607">
        <f ca="1">-INDEX(INDIRECT("'"&amp;M$4&amp;"'!ano.balanceneto"), MATCH('Resultados Intermedios'!$C67, INDIRECT("'"&amp;M$4&amp;"'!ano.vector"), 0))</f>
        <v>13.07292347760443</v>
      </c>
      <c r="N67" s="1263"/>
      <c r="O67"/>
      <c r="P67" s="1264"/>
    </row>
    <row r="68" spans="2:48" s="1257" customFormat="1" ht="12.75" hidden="1" customHeight="1" outlineLevel="1" x14ac:dyDescent="0.2">
      <c r="B68" s="1258"/>
      <c r="C68" s="1275" t="s">
        <v>474</v>
      </c>
      <c r="D68" s="1249" t="str">
        <f>INDEX(Vectors[Descripción], MATCH($C68,Vectors[Código],FALSE))</f>
        <v>Biomasa seca y residuos</v>
      </c>
      <c r="E68" s="360"/>
      <c r="F68" s="2607">
        <f ca="1">-INDEX(INDIRECT("'"&amp;F$4&amp;"'!ano.balanceneto"), MATCH('Resultados Intermedios'!$C68, INDIRECT("'"&amp;F$4&amp;"'!ano.vector"), 0))</f>
        <v>0</v>
      </c>
      <c r="G68" s="2607">
        <f ca="1">-INDEX(INDIRECT("'"&amp;G$4&amp;"'!ano.balanceneto"), MATCH('Resultados Intermedios'!$C68, INDIRECT("'"&amp;G$4&amp;"'!ano.vector"), 0))</f>
        <v>0</v>
      </c>
      <c r="H68" s="2607">
        <f ca="1">-INDEX(INDIRECT("'"&amp;H$4&amp;"'!ano.balanceneto"), MATCH('Resultados Intermedios'!$C68, INDIRECT("'"&amp;H$4&amp;"'!ano.vector"), 0))</f>
        <v>0</v>
      </c>
      <c r="I68" s="2607">
        <f ca="1">-INDEX(INDIRECT("'"&amp;I$4&amp;"'!ano.balanceneto"), MATCH('Resultados Intermedios'!$C68, INDIRECT("'"&amp;I$4&amp;"'!ano.vector"), 0))</f>
        <v>0</v>
      </c>
      <c r="J68" s="2607">
        <f ca="1">-INDEX(INDIRECT("'"&amp;J$4&amp;"'!ano.balanceneto"), MATCH('Resultados Intermedios'!$C68, INDIRECT("'"&amp;J$4&amp;"'!ano.vector"), 0))</f>
        <v>0</v>
      </c>
      <c r="K68" s="2607">
        <f ca="1">-INDEX(INDIRECT("'"&amp;K$4&amp;"'!ano.balanceneto"), MATCH('Resultados Intermedios'!$C68, INDIRECT("'"&amp;K$4&amp;"'!ano.vector"), 0))</f>
        <v>0</v>
      </c>
      <c r="L68" s="2607">
        <f ca="1">-INDEX(INDIRECT("'"&amp;L$4&amp;"'!ano.balanceneto"), MATCH('Resultados Intermedios'!$C68, INDIRECT("'"&amp;L$4&amp;"'!ano.vector"), 0))</f>
        <v>0</v>
      </c>
      <c r="M68" s="2607">
        <f ca="1">-INDEX(INDIRECT("'"&amp;M$4&amp;"'!ano.balanceneto"), MATCH('Resultados Intermedios'!$C68, INDIRECT("'"&amp;M$4&amp;"'!ano.vector"), 0))</f>
        <v>0</v>
      </c>
      <c r="N68" s="1263"/>
      <c r="O68"/>
      <c r="P68" s="1264"/>
    </row>
    <row r="69" spans="2:48" s="1257" customFormat="1" ht="12.75" hidden="1" customHeight="1" outlineLevel="1" x14ac:dyDescent="0.2">
      <c r="B69" s="1258"/>
      <c r="C69" s="1275" t="s">
        <v>805</v>
      </c>
      <c r="D69" s="1249" t="str">
        <f>INDEX(Vectors[Descripción], MATCH($C69,Vectors[Código],FALSE))</f>
        <v>Residuos gaseosos</v>
      </c>
      <c r="E69" s="360"/>
      <c r="F69" s="2607">
        <f ca="1">-INDEX(INDIRECT("'"&amp;F$4&amp;"'!ano.balanceneto"), MATCH('Resultados Intermedios'!$C69, INDIRECT("'"&amp;F$4&amp;"'!ano.vector"), 0))</f>
        <v>0</v>
      </c>
      <c r="G69" s="2607">
        <f ca="1">-INDEX(INDIRECT("'"&amp;G$4&amp;"'!ano.balanceneto"), MATCH('Resultados Intermedios'!$C69, INDIRECT("'"&amp;G$4&amp;"'!ano.vector"), 0))</f>
        <v>0</v>
      </c>
      <c r="H69" s="2607">
        <f ca="1">-INDEX(INDIRECT("'"&amp;H$4&amp;"'!ano.balanceneto"), MATCH('Resultados Intermedios'!$C69, INDIRECT("'"&amp;H$4&amp;"'!ano.vector"), 0))</f>
        <v>0</v>
      </c>
      <c r="I69" s="2607">
        <f ca="1">-INDEX(INDIRECT("'"&amp;I$4&amp;"'!ano.balanceneto"), MATCH('Resultados Intermedios'!$C69, INDIRECT("'"&amp;I$4&amp;"'!ano.vector"), 0))</f>
        <v>0</v>
      </c>
      <c r="J69" s="2607">
        <f ca="1">-INDEX(INDIRECT("'"&amp;J$4&amp;"'!ano.balanceneto"), MATCH('Resultados Intermedios'!$C69, INDIRECT("'"&amp;J$4&amp;"'!ano.vector"), 0))</f>
        <v>0</v>
      </c>
      <c r="K69" s="2607">
        <f ca="1">-INDEX(INDIRECT("'"&amp;K$4&amp;"'!ano.balanceneto"), MATCH('Resultados Intermedios'!$C69, INDIRECT("'"&amp;K$4&amp;"'!ano.vector"), 0))</f>
        <v>0</v>
      </c>
      <c r="L69" s="2607">
        <f ca="1">-INDEX(INDIRECT("'"&amp;L$4&amp;"'!ano.balanceneto"), MATCH('Resultados Intermedios'!$C69, INDIRECT("'"&amp;L$4&amp;"'!ano.vector"), 0))</f>
        <v>0</v>
      </c>
      <c r="M69" s="2607">
        <f ca="1">-INDEX(INDIRECT("'"&amp;M$4&amp;"'!ano.balanceneto"), MATCH('Resultados Intermedios'!$C69, INDIRECT("'"&amp;M$4&amp;"'!ano.vector"), 0))</f>
        <v>0</v>
      </c>
      <c r="N69" s="1263"/>
      <c r="O69"/>
      <c r="P69" s="1264"/>
    </row>
    <row r="70" spans="2:48" s="1257" customFormat="1" ht="12.75" hidden="1" customHeight="1" outlineLevel="1" x14ac:dyDescent="0.2">
      <c r="B70" s="1258"/>
      <c r="C70" s="1275" t="s">
        <v>475</v>
      </c>
      <c r="D70" s="1249" t="str">
        <f>INDEX(Vectors[Descripción], MATCH($C70,Vectors[Código],FALSE))</f>
        <v>Solar para uso térmico domestico</v>
      </c>
      <c r="E70" s="360"/>
      <c r="F70" s="2607">
        <f ca="1">-INDEX(INDIRECT("'"&amp;F$4&amp;"'!ano.balanceneto"), MATCH('Resultados Intermedios'!$C70, INDIRECT("'"&amp;F$4&amp;"'!ano.vector"), 0))</f>
        <v>0</v>
      </c>
      <c r="G70" s="2607">
        <f ca="1">-INDEX(INDIRECT("'"&amp;G$4&amp;"'!ano.balanceneto"), MATCH('Resultados Intermedios'!$C70, INDIRECT("'"&amp;G$4&amp;"'!ano.vector"), 0))</f>
        <v>0</v>
      </c>
      <c r="H70" s="2607">
        <f ca="1">-INDEX(INDIRECT("'"&amp;H$4&amp;"'!ano.balanceneto"), MATCH('Resultados Intermedios'!$C70, INDIRECT("'"&amp;H$4&amp;"'!ano.vector"), 0))</f>
        <v>0</v>
      </c>
      <c r="I70" s="2607">
        <f ca="1">-INDEX(INDIRECT("'"&amp;I$4&amp;"'!ano.balanceneto"), MATCH('Resultados Intermedios'!$C70, INDIRECT("'"&amp;I$4&amp;"'!ano.vector"), 0))</f>
        <v>0</v>
      </c>
      <c r="J70" s="2607">
        <f ca="1">-INDEX(INDIRECT("'"&amp;J$4&amp;"'!ano.balanceneto"), MATCH('Resultados Intermedios'!$C70, INDIRECT("'"&amp;J$4&amp;"'!ano.vector"), 0))</f>
        <v>0</v>
      </c>
      <c r="K70" s="2607">
        <f ca="1">-INDEX(INDIRECT("'"&amp;K$4&amp;"'!ano.balanceneto"), MATCH('Resultados Intermedios'!$C70, INDIRECT("'"&amp;K$4&amp;"'!ano.vector"), 0))</f>
        <v>0</v>
      </c>
      <c r="L70" s="2607">
        <f ca="1">-INDEX(INDIRECT("'"&amp;L$4&amp;"'!ano.balanceneto"), MATCH('Resultados Intermedios'!$C70, INDIRECT("'"&amp;L$4&amp;"'!ano.vector"), 0))</f>
        <v>0</v>
      </c>
      <c r="M70" s="2607">
        <f ca="1">-INDEX(INDIRECT("'"&amp;M$4&amp;"'!ano.balanceneto"), MATCH('Resultados Intermedios'!$C70, INDIRECT("'"&amp;M$4&amp;"'!ano.vector"), 0))</f>
        <v>0</v>
      </c>
      <c r="N70" s="1263"/>
      <c r="O70"/>
      <c r="P70" s="1264"/>
    </row>
    <row r="71" spans="2:48" s="1257" customFormat="1" ht="12.75" customHeight="1" collapsed="1" x14ac:dyDescent="0.2">
      <c r="B71" s="1258"/>
      <c r="C71" s="1275" t="s">
        <v>630</v>
      </c>
      <c r="D71" s="1249" t="str">
        <f>INDEX(Vectors[Descripción], MATCH($C71,Vectors[Código],FALSE))</f>
        <v>H2</v>
      </c>
      <c r="E71" s="360"/>
      <c r="F71" s="2607">
        <f ca="1">-INDEX(INDIRECT("'"&amp;F$4&amp;"'!ano.balanceneto"), MATCH('Resultados Intermedios'!$C71, INDIRECT("'"&amp;F$4&amp;"'!ano.vector"), 0))</f>
        <v>0</v>
      </c>
      <c r="G71" s="2607">
        <f ca="1">-INDEX(INDIRECT("'"&amp;G$4&amp;"'!ano.balanceneto"), MATCH('Resultados Intermedios'!$C71, INDIRECT("'"&amp;G$4&amp;"'!ano.vector"), 0))</f>
        <v>0</v>
      </c>
      <c r="H71" s="2607">
        <f ca="1">-INDEX(INDIRECT("'"&amp;H$4&amp;"'!ano.balanceneto"), MATCH('Resultados Intermedios'!$C71, INDIRECT("'"&amp;H$4&amp;"'!ano.vector"), 0))</f>
        <v>0</v>
      </c>
      <c r="I71" s="2607">
        <f ca="1">-INDEX(INDIRECT("'"&amp;I$4&amp;"'!ano.balanceneto"), MATCH('Resultados Intermedios'!$C71, INDIRECT("'"&amp;I$4&amp;"'!ano.vector"), 0))</f>
        <v>0</v>
      </c>
      <c r="J71" s="2607">
        <f ca="1">-INDEX(INDIRECT("'"&amp;J$4&amp;"'!ano.balanceneto"), MATCH('Resultados Intermedios'!$C71, INDIRECT("'"&amp;J$4&amp;"'!ano.vector"), 0))</f>
        <v>0</v>
      </c>
      <c r="K71" s="2607">
        <f ca="1">-INDEX(INDIRECT("'"&amp;K$4&amp;"'!ano.balanceneto"), MATCH('Resultados Intermedios'!$C71, INDIRECT("'"&amp;K$4&amp;"'!ano.vector"), 0))</f>
        <v>0</v>
      </c>
      <c r="L71" s="2607">
        <f ca="1">-INDEX(INDIRECT("'"&amp;L$4&amp;"'!ano.balanceneto"), MATCH('Resultados Intermedios'!$C71, INDIRECT("'"&amp;L$4&amp;"'!ano.vector"), 0))</f>
        <v>0</v>
      </c>
      <c r="M71" s="2607">
        <f ca="1">-INDEX(INDIRECT("'"&amp;M$4&amp;"'!ano.balanceneto"), MATCH('Resultados Intermedios'!$C71, INDIRECT("'"&amp;M$4&amp;"'!ano.vector"), 0))</f>
        <v>0</v>
      </c>
      <c r="N71" s="1263"/>
      <c r="O71"/>
      <c r="P71" s="1264"/>
    </row>
    <row r="72" spans="2:48" s="1257" customFormat="1" ht="15.75" customHeight="1" x14ac:dyDescent="0.2">
      <c r="B72" s="1258"/>
      <c r="C72" s="1276"/>
      <c r="D72" s="1276"/>
      <c r="E72" s="360"/>
      <c r="F72" s="1262"/>
      <c r="G72" s="1262"/>
      <c r="H72" s="1262"/>
      <c r="I72" s="1262"/>
      <c r="J72" s="1262"/>
      <c r="K72" s="1262"/>
      <c r="L72" s="1262"/>
      <c r="M72" s="1262"/>
      <c r="N72" s="1263"/>
      <c r="O72"/>
      <c r="P72" s="1264"/>
      <c r="R72" t="s">
        <v>1899</v>
      </c>
      <c r="S72" s="3492">
        <f ca="1">S42/S43</f>
        <v>0.68527445208932136</v>
      </c>
      <c r="T72" s="3492">
        <f t="shared" ref="T72:Z72" ca="1" si="54">T42/T43</f>
        <v>0.68781631973830926</v>
      </c>
      <c r="U72" s="3492">
        <f t="shared" ca="1" si="54"/>
        <v>0.6737272530082633</v>
      </c>
      <c r="V72" s="3492">
        <f t="shared" ca="1" si="54"/>
        <v>0.65965475216509906</v>
      </c>
      <c r="W72" s="3492">
        <f ca="1">W42/W43</f>
        <v>0.65241684513892806</v>
      </c>
      <c r="X72" s="3492">
        <f t="shared" ca="1" si="54"/>
        <v>0.64473157479850085</v>
      </c>
      <c r="Y72" s="3492">
        <f t="shared" ca="1" si="54"/>
        <v>0.63601564190290727</v>
      </c>
      <c r="Z72" s="3492">
        <f t="shared" ca="1" si="54"/>
        <v>0.62405464883925998</v>
      </c>
    </row>
    <row r="73" spans="2:48" s="1257" customFormat="1" ht="15.75" customHeight="1" outlineLevel="1" x14ac:dyDescent="0.2">
      <c r="B73" s="1258"/>
      <c r="C73" s="1276"/>
      <c r="D73" s="1276"/>
      <c r="E73" s="360"/>
      <c r="F73" s="1261">
        <f t="shared" ref="F73:M73" ca="1" si="55">SUM(F36:F71)</f>
        <v>359.29703906034297</v>
      </c>
      <c r="G73" s="1261">
        <f t="shared" ca="1" si="55"/>
        <v>402.67870594262138</v>
      </c>
      <c r="H73" s="1261">
        <f t="shared" ca="1" si="55"/>
        <v>466.1622979053426</v>
      </c>
      <c r="I73" s="1261">
        <f t="shared" ca="1" si="55"/>
        <v>534.45589125426397</v>
      </c>
      <c r="J73" s="1261">
        <f t="shared" ca="1" si="55"/>
        <v>608.93585309692355</v>
      </c>
      <c r="K73" s="1261">
        <f t="shared" ca="1" si="55"/>
        <v>682.62714711441595</v>
      </c>
      <c r="L73" s="1261">
        <f t="shared" ca="1" si="55"/>
        <v>755.22777545401857</v>
      </c>
      <c r="M73" s="1261">
        <f t="shared" ca="1" si="55"/>
        <v>822.4343470424858</v>
      </c>
      <c r="N73" s="1263"/>
      <c r="O73"/>
      <c r="P73" s="1264"/>
    </row>
    <row r="74" spans="2:48" s="1257" customFormat="1" ht="15.75" customHeight="1" outlineLevel="1" x14ac:dyDescent="0.2">
      <c r="B74" s="1258"/>
      <c r="C74" s="1276"/>
      <c r="D74" s="1276"/>
      <c r="E74" s="360"/>
      <c r="F74" s="1262"/>
      <c r="G74" s="1262"/>
      <c r="H74" s="1262"/>
      <c r="I74" s="1262"/>
      <c r="J74" s="1262"/>
      <c r="K74" s="1262"/>
      <c r="L74" s="1262"/>
      <c r="M74" s="1262"/>
      <c r="N74" s="1263"/>
      <c r="O74"/>
      <c r="P74" s="1264"/>
      <c r="S74" s="1257">
        <f ca="1">1-S72/1.02</f>
        <v>0.32816230187321438</v>
      </c>
    </row>
    <row r="75" spans="2:48" ht="15.75" customHeight="1" outlineLevel="1" x14ac:dyDescent="0.2">
      <c r="B75" s="358"/>
      <c r="C75" s="1265" t="s">
        <v>1625</v>
      </c>
      <c r="D75" s="360"/>
      <c r="E75" s="360"/>
      <c r="F75" s="1253"/>
      <c r="G75" s="1253"/>
      <c r="H75" s="1253"/>
      <c r="I75" s="1253"/>
      <c r="J75" s="1253"/>
      <c r="K75" s="1253"/>
      <c r="L75" s="1253"/>
      <c r="M75" s="1253"/>
      <c r="N75" s="1254"/>
      <c r="P75" s="1255"/>
      <c r="Q75" s="1257"/>
      <c r="R75" s="1257"/>
      <c r="S75" s="1257"/>
      <c r="T75" s="1257"/>
      <c r="U75" s="1257"/>
      <c r="V75" s="1257"/>
      <c r="W75" s="1257"/>
      <c r="X75" s="1257"/>
      <c r="Y75" s="1257"/>
      <c r="Z75" s="1257"/>
      <c r="AN75" s="1257"/>
      <c r="AO75" s="1257"/>
      <c r="AP75" s="1257"/>
      <c r="AQ75" s="1257"/>
      <c r="AR75" s="1257"/>
      <c r="AS75" s="1257"/>
      <c r="AT75" s="1257"/>
      <c r="AU75" s="1257"/>
      <c r="AV75" s="1257"/>
    </row>
    <row r="76" spans="2:48" ht="15.75" customHeight="1" outlineLevel="1" x14ac:dyDescent="0.2">
      <c r="B76" s="358"/>
      <c r="C76" s="1256" t="s">
        <v>184</v>
      </c>
      <c r="D76" s="360" t="str">
        <f>INDEX(Vectors[Descripción], MATCH($C76,Vectors[Código],FALSE))</f>
        <v>Perdidas por conversión</v>
      </c>
      <c r="E76" s="360"/>
      <c r="F76" s="2607">
        <f ca="1">-INDEX(INDIRECT("'"&amp;F$4&amp;"'!ano.balanceneto"), MATCH('Resultados Intermedios'!$C76, INDIRECT("'"&amp;F$4&amp;"'!ano.vector"), 0))</f>
        <v>-56.886295394688268</v>
      </c>
      <c r="G76" s="2607">
        <f ca="1">-INDEX(INDIRECT("'"&amp;G$4&amp;"'!ano.balanceneto"), MATCH('Resultados Intermedios'!$C76, INDIRECT("'"&amp;G$4&amp;"'!ano.vector"), 0))</f>
        <v>-62.045579015031855</v>
      </c>
      <c r="H76" s="2607">
        <f ca="1">-INDEX(INDIRECT("'"&amp;H$4&amp;"'!ano.balanceneto"), MATCH('Resultados Intermedios'!$C76, INDIRECT("'"&amp;H$4&amp;"'!ano.vector"), 0))</f>
        <v>-74.333993579718197</v>
      </c>
      <c r="I76" s="2607">
        <f ca="1">-INDEX(INDIRECT("'"&amp;I$4&amp;"'!ano.balanceneto"), MATCH('Resultados Intermedios'!$C76, INDIRECT("'"&amp;I$4&amp;"'!ano.vector"), 0))</f>
        <v>-87.462576624376254</v>
      </c>
      <c r="J76" s="2607">
        <f ca="1">-INDEX(INDIRECT("'"&amp;J$4&amp;"'!ano.balanceneto"), MATCH('Resultados Intermedios'!$C76, INDIRECT("'"&amp;J$4&amp;"'!ano.vector"), 0))</f>
        <v>-103.68939742087011</v>
      </c>
      <c r="K76" s="2607">
        <f ca="1">-INDEX(INDIRECT("'"&amp;K$4&amp;"'!ano.balanceneto"), MATCH('Resultados Intermedios'!$C76, INDIRECT("'"&amp;K$4&amp;"'!ano.vector"), 0))</f>
        <v>-121.53740828468436</v>
      </c>
      <c r="L76" s="2607">
        <f ca="1">-INDEX(INDIRECT("'"&amp;L$4&amp;"'!ano.balanceneto"), MATCH('Resultados Intermedios'!$C76, INDIRECT("'"&amp;L$4&amp;"'!ano.vector"), 0))</f>
        <v>-140.01123155206523</v>
      </c>
      <c r="M76" s="2607">
        <f ca="1">-INDEX(INDIRECT("'"&amp;M$4&amp;"'!ano.balanceneto"), MATCH('Resultados Intermedios'!$C76, INDIRECT("'"&amp;M$4&amp;"'!ano.vector"), 0))</f>
        <v>-156.76394274971875</v>
      </c>
      <c r="N76" s="1254"/>
      <c r="P76" s="1255"/>
      <c r="Q76" s="1257"/>
      <c r="AN76" s="1257"/>
      <c r="AO76" s="1257"/>
      <c r="AP76" s="1257"/>
      <c r="AQ76" s="1257"/>
      <c r="AR76" s="1257"/>
      <c r="AS76" s="1257"/>
      <c r="AT76" s="1257"/>
      <c r="AU76" s="1257"/>
      <c r="AV76" s="1257"/>
    </row>
    <row r="77" spans="2:48" ht="15.75" customHeight="1" outlineLevel="1" x14ac:dyDescent="0.2">
      <c r="B77" s="358"/>
      <c r="C77" s="1256" t="s">
        <v>185</v>
      </c>
      <c r="D77" s="360" t="str">
        <f>INDEX(Vectors[Descripción], MATCH($C77,Vectors[Código],FALSE))</f>
        <v>Perdidas por distribución y uso propio</v>
      </c>
      <c r="E77" s="360"/>
      <c r="F77" s="2607">
        <f ca="1">-INDEX(INDIRECT("'"&amp;F$4&amp;"'!ano.balanceneto"), MATCH('Resultados Intermedios'!$C77, INDIRECT("'"&amp;F$4&amp;"'!ano.vector"), 0))</f>
        <v>-2.1890760432086078</v>
      </c>
      <c r="G77" s="2607">
        <f ca="1">-INDEX(INDIRECT("'"&amp;G$4&amp;"'!ano.balanceneto"), MATCH('Resultados Intermedios'!$C77, INDIRECT("'"&amp;G$4&amp;"'!ano.vector"), 0))</f>
        <v>-2.2814038600539308</v>
      </c>
      <c r="H77" s="2607">
        <f ca="1">-INDEX(INDIRECT("'"&amp;H$4&amp;"'!ano.balanceneto"), MATCH('Resultados Intermedios'!$C77, INDIRECT("'"&amp;H$4&amp;"'!ano.vector"), 0))</f>
        <v>-2.7314451135092335</v>
      </c>
      <c r="I77" s="2607">
        <f ca="1">-INDEX(INDIRECT("'"&amp;I$4&amp;"'!ano.balanceneto"), MATCH('Resultados Intermedios'!$C77, INDIRECT("'"&amp;I$4&amp;"'!ano.vector"), 0))</f>
        <v>-3.2122560381739298</v>
      </c>
      <c r="J77" s="2607">
        <f ca="1">-INDEX(INDIRECT("'"&amp;J$4&amp;"'!ano.balanceneto"), MATCH('Resultados Intermedios'!$C77, INDIRECT("'"&amp;J$4&amp;"'!ano.vector"), 0))</f>
        <v>-3.8065343913664385</v>
      </c>
      <c r="K77" s="2607">
        <f ca="1">-INDEX(INDIRECT("'"&amp;K$4&amp;"'!ano.balanceneto"), MATCH('Resultados Intermedios'!$C77, INDIRECT("'"&amp;K$4&amp;"'!ano.vector"), 0))</f>
        <v>-4.4601859375893138</v>
      </c>
      <c r="L77" s="2607">
        <f ca="1">-INDEX(INDIRECT("'"&amp;L$4&amp;"'!ano.balanceneto"), MATCH('Resultados Intermedios'!$C77, INDIRECT("'"&amp;L$4&amp;"'!ano.vector"), 0))</f>
        <v>-5.1367567462643358</v>
      </c>
      <c r="M77" s="2607">
        <f ca="1">-INDEX(INDIRECT("'"&amp;M$4&amp;"'!ano.balanceneto"), MATCH('Resultados Intermedios'!$C77, INDIRECT("'"&amp;M$4&amp;"'!ano.vector"), 0))</f>
        <v>-5.7502948968922425</v>
      </c>
      <c r="N77" s="1254"/>
      <c r="P77" s="1255"/>
      <c r="Q77" s="1257"/>
    </row>
    <row r="78" spans="2:48" s="14" customFormat="1" ht="15.75" customHeight="1" outlineLevel="1" x14ac:dyDescent="0.2">
      <c r="B78" s="1277"/>
      <c r="C78" s="73"/>
      <c r="D78" s="1260" t="s">
        <v>870</v>
      </c>
      <c r="E78" s="360"/>
      <c r="F78" s="1261">
        <f ca="1">SUM(F76:F77)</f>
        <v>-59.075371437896877</v>
      </c>
      <c r="G78" s="1261">
        <f t="shared" ref="G78:M78" ca="1" si="56">SUM(G76:G77)</f>
        <v>-64.32698287508579</v>
      </c>
      <c r="H78" s="1261">
        <f t="shared" ca="1" si="56"/>
        <v>-77.065438693227435</v>
      </c>
      <c r="I78" s="1261">
        <f t="shared" ca="1" si="56"/>
        <v>-90.674832662550187</v>
      </c>
      <c r="J78" s="1261">
        <f t="shared" ca="1" si="56"/>
        <v>-107.49593181223655</v>
      </c>
      <c r="K78" s="1261">
        <f t="shared" ca="1" si="56"/>
        <v>-125.99759422227368</v>
      </c>
      <c r="L78" s="1261">
        <f t="shared" ca="1" si="56"/>
        <v>-145.14798829832955</v>
      </c>
      <c r="M78" s="1261">
        <f t="shared" ca="1" si="56"/>
        <v>-162.51423764661098</v>
      </c>
      <c r="N78" s="1278"/>
      <c r="O78"/>
      <c r="P78" s="748"/>
      <c r="R78"/>
      <c r="S78"/>
      <c r="T78"/>
      <c r="U78"/>
      <c r="V78"/>
      <c r="W78"/>
      <c r="X78"/>
      <c r="Y78"/>
      <c r="Z78"/>
      <c r="AN78"/>
      <c r="AO78"/>
      <c r="AP78"/>
      <c r="AQ78"/>
      <c r="AR78"/>
      <c r="AS78"/>
      <c r="AT78"/>
      <c r="AU78"/>
      <c r="AV78"/>
    </row>
    <row r="79" spans="2:48" s="14" customFormat="1" ht="15.75" customHeight="1" outlineLevel="1" x14ac:dyDescent="0.2">
      <c r="B79" s="1277"/>
      <c r="C79" s="73"/>
      <c r="D79" s="1276"/>
      <c r="E79" s="360"/>
      <c r="F79" s="1262"/>
      <c r="G79" s="1262"/>
      <c r="H79" s="1262"/>
      <c r="I79" s="1262"/>
      <c r="J79" s="1262"/>
      <c r="K79" s="1262"/>
      <c r="L79" s="1262"/>
      <c r="M79" s="1262"/>
      <c r="N79" s="1278"/>
      <c r="O79"/>
      <c r="P79" s="748"/>
      <c r="AN79"/>
      <c r="AO79"/>
      <c r="AP79"/>
      <c r="AQ79"/>
      <c r="AR79"/>
      <c r="AS79"/>
      <c r="AT79"/>
      <c r="AU79"/>
      <c r="AV79"/>
    </row>
    <row r="80" spans="2:48" s="14" customFormat="1" ht="15.75" customHeight="1" x14ac:dyDescent="0.2">
      <c r="B80" s="1277"/>
      <c r="C80" s="73"/>
      <c r="D80" s="1260" t="s">
        <v>1627</v>
      </c>
      <c r="E80" s="360"/>
      <c r="F80" s="2616">
        <f ca="1">F73</f>
        <v>359.29703906034297</v>
      </c>
      <c r="G80" s="2616">
        <f t="shared" ref="G80:M80" ca="1" si="57">G73</f>
        <v>402.67870594262138</v>
      </c>
      <c r="H80" s="2616">
        <f t="shared" ca="1" si="57"/>
        <v>466.1622979053426</v>
      </c>
      <c r="I80" s="2616">
        <f t="shared" ca="1" si="57"/>
        <v>534.45589125426397</v>
      </c>
      <c r="J80" s="2616">
        <f t="shared" ca="1" si="57"/>
        <v>608.93585309692355</v>
      </c>
      <c r="K80" s="2616">
        <f t="shared" ca="1" si="57"/>
        <v>682.62714711441595</v>
      </c>
      <c r="L80" s="2616">
        <f t="shared" ca="1" si="57"/>
        <v>755.22777545401857</v>
      </c>
      <c r="M80" s="2616">
        <f t="shared" ca="1" si="57"/>
        <v>822.4343470424858</v>
      </c>
      <c r="N80" s="1278"/>
      <c r="O80"/>
      <c r="P80" s="748"/>
    </row>
    <row r="81" spans="2:48" s="14" customFormat="1" ht="18.75" x14ac:dyDescent="0.2">
      <c r="B81" s="1277"/>
      <c r="C81" s="73"/>
      <c r="D81" s="1276"/>
      <c r="E81" s="360"/>
      <c r="F81" s="1262"/>
      <c r="G81" s="1262"/>
      <c r="H81" s="1262"/>
      <c r="I81" s="1262"/>
      <c r="J81" s="1262"/>
      <c r="K81" s="1262"/>
      <c r="L81" s="1262"/>
      <c r="M81" s="1262"/>
      <c r="N81" s="1278"/>
      <c r="O81"/>
      <c r="P81" s="748"/>
    </row>
    <row r="82" spans="2:48" s="1257" customFormat="1" ht="12.75" hidden="1" customHeight="1" outlineLevel="1" x14ac:dyDescent="0.2">
      <c r="B82" s="1258"/>
      <c r="C82" s="1275" t="s">
        <v>149</v>
      </c>
      <c r="D82" s="1249" t="str">
        <f>INDEX(Vectors[Descripción], MATCH($C82,Vectors[Código],FALSE))</f>
        <v>Electricidad (consumo final)</v>
      </c>
      <c r="E82" s="360"/>
      <c r="F82" s="2607">
        <f ca="1">-INDEX(INDIRECT("'"&amp;F$4&amp;"'!ano.balanceneto"), MATCH('Resultados Intermedios'!$C82, INDIRECT("'"&amp;F$4&amp;"'!ano.vector"), 0))</f>
        <v>67.579633316573762</v>
      </c>
      <c r="G82" s="2607">
        <f ca="1">-INDEX(INDIRECT("'"&amp;G$4&amp;"'!ano.balanceneto"), MATCH('Resultados Intermedios'!$C82, INDIRECT("'"&amp;G$4&amp;"'!ano.vector"), 0))</f>
        <v>78.979509560230042</v>
      </c>
      <c r="H82" s="2607">
        <f ca="1">-INDEX(INDIRECT("'"&amp;H$4&amp;"'!ano.balanceneto"), MATCH('Resultados Intermedios'!$C82, INDIRECT("'"&amp;H$4&amp;"'!ano.vector"), 0))</f>
        <v>91.520244446127037</v>
      </c>
      <c r="I82" s="2607">
        <f ca="1">-INDEX(INDIRECT("'"&amp;I$4&amp;"'!ano.balanceneto"), MATCH('Resultados Intermedios'!$C82, INDIRECT("'"&amp;I$4&amp;"'!ano.vector"), 0))</f>
        <v>103.6006457581674</v>
      </c>
      <c r="J82" s="2607">
        <f ca="1">-INDEX(INDIRECT("'"&amp;J$4&amp;"'!ano.balanceneto"), MATCH('Resultados Intermedios'!$C82, INDIRECT("'"&amp;J$4&amp;"'!ano.vector"), 0))</f>
        <v>117.65200581808284</v>
      </c>
      <c r="K82" s="2607">
        <f ca="1">-INDEX(INDIRECT("'"&amp;K$4&amp;"'!ano.balanceneto"), MATCH('Resultados Intermedios'!$C82, INDIRECT("'"&amp;K$4&amp;"'!ano.vector"), 0))</f>
        <v>132.75541227739603</v>
      </c>
      <c r="L82" s="2607">
        <f ca="1">-INDEX(INDIRECT("'"&amp;L$4&amp;"'!ano.balanceneto"), MATCH('Resultados Intermedios'!$C82, INDIRECT("'"&amp;L$4&amp;"'!ano.vector"), 0))</f>
        <v>148.13841553905652</v>
      </c>
      <c r="M82" s="2607">
        <f ca="1">-INDEX(INDIRECT("'"&amp;M$4&amp;"'!ano.balanceneto"), MATCH('Resultados Intermedios'!$C82, INDIRECT("'"&amp;M$4&amp;"'!ano.vector"), 0))</f>
        <v>162.18836791957614</v>
      </c>
      <c r="N82" s="1263"/>
      <c r="O82"/>
      <c r="P82" s="1264">
        <f ca="1">M82+M83</f>
        <v>0</v>
      </c>
      <c r="R82" s="14"/>
      <c r="S82" s="14"/>
      <c r="T82" s="14"/>
      <c r="U82" s="14"/>
      <c r="V82" s="14"/>
      <c r="W82" s="14"/>
      <c r="X82" s="14"/>
      <c r="Y82" s="14"/>
      <c r="Z82" s="14"/>
      <c r="AN82" s="14"/>
      <c r="AO82" s="14"/>
      <c r="AP82" s="14"/>
      <c r="AQ82" s="14"/>
      <c r="AR82" s="14"/>
      <c r="AS82" s="14"/>
      <c r="AT82" s="14"/>
      <c r="AU82" s="14"/>
      <c r="AV82" s="14"/>
    </row>
    <row r="83" spans="2:48" s="1257" customFormat="1" ht="12.75" hidden="1" customHeight="1" outlineLevel="1" x14ac:dyDescent="0.2">
      <c r="B83" s="1258"/>
      <c r="C83" s="1275" t="s">
        <v>150</v>
      </c>
      <c r="D83" s="1249" t="str">
        <f>INDEX(Vectors[Descripción], MATCH($C83,Vectors[Código],FALSE))</f>
        <v>Electricidad (suministrada a la red)</v>
      </c>
      <c r="E83" s="360"/>
      <c r="F83" s="2607">
        <f ca="1">-INDEX(INDIRECT("'"&amp;F$4&amp;"'!ano.balanceneto"), MATCH('Resultados Intermedios'!$C83, INDIRECT("'"&amp;F$4&amp;"'!ano.vector"), 0))</f>
        <v>-67.579633316573776</v>
      </c>
      <c r="G83" s="2607">
        <f ca="1">-INDEX(INDIRECT("'"&amp;G$4&amp;"'!ano.balanceneto"), MATCH('Resultados Intermedios'!$C83, INDIRECT("'"&amp;G$4&amp;"'!ano.vector"), 0))</f>
        <v>-78.979509560230042</v>
      </c>
      <c r="H83" s="2607">
        <f ca="1">-INDEX(INDIRECT("'"&amp;H$4&amp;"'!ano.balanceneto"), MATCH('Resultados Intermedios'!$C83, INDIRECT("'"&amp;H$4&amp;"'!ano.vector"), 0))</f>
        <v>-91.520244446127023</v>
      </c>
      <c r="I83" s="2607">
        <f ca="1">-INDEX(INDIRECT("'"&amp;I$4&amp;"'!ano.balanceneto"), MATCH('Resultados Intermedios'!$C83, INDIRECT("'"&amp;I$4&amp;"'!ano.vector"), 0))</f>
        <v>-103.6006457581674</v>
      </c>
      <c r="J83" s="2607">
        <f ca="1">-INDEX(INDIRECT("'"&amp;J$4&amp;"'!ano.balanceneto"), MATCH('Resultados Intermedios'!$C83, INDIRECT("'"&amp;J$4&amp;"'!ano.vector"), 0))</f>
        <v>-117.65200581808284</v>
      </c>
      <c r="K83" s="2607">
        <f ca="1">-INDEX(INDIRECT("'"&amp;K$4&amp;"'!ano.balanceneto"), MATCH('Resultados Intermedios'!$C83, INDIRECT("'"&amp;K$4&amp;"'!ano.vector"), 0))</f>
        <v>-132.75541227739603</v>
      </c>
      <c r="L83" s="2607">
        <f ca="1">-INDEX(INDIRECT("'"&amp;L$4&amp;"'!ano.balanceneto"), MATCH('Resultados Intermedios'!$C83, INDIRECT("'"&amp;L$4&amp;"'!ano.vector"), 0))</f>
        <v>-148.13841553905655</v>
      </c>
      <c r="M83" s="2607">
        <f ca="1">-INDEX(INDIRECT("'"&amp;M$4&amp;"'!ano.balanceneto"), MATCH('Resultados Intermedios'!$C83, INDIRECT("'"&amp;M$4&amp;"'!ano.vector"), 0))</f>
        <v>-162.18836791957614</v>
      </c>
      <c r="N83" s="1263"/>
      <c r="O83"/>
      <c r="P83" s="1264"/>
      <c r="AN83" s="14"/>
      <c r="AO83" s="14"/>
      <c r="AP83" s="14"/>
      <c r="AQ83" s="14"/>
      <c r="AR83" s="14"/>
      <c r="AS83" s="14"/>
      <c r="AT83" s="14"/>
      <c r="AU83" s="14"/>
      <c r="AV83" s="14"/>
    </row>
    <row r="84" spans="2:48" s="14" customFormat="1" ht="18.75" hidden="1" outlineLevel="1" x14ac:dyDescent="0.2">
      <c r="B84" s="1277"/>
      <c r="C84" s="73"/>
      <c r="D84" s="1276"/>
      <c r="E84" s="360"/>
      <c r="F84" s="1262"/>
      <c r="G84" s="1262"/>
      <c r="H84" s="1262"/>
      <c r="I84" s="1262"/>
      <c r="J84" s="1262"/>
      <c r="K84" s="1262"/>
      <c r="L84" s="1262"/>
      <c r="M84" s="1262"/>
      <c r="N84" s="1278"/>
      <c r="O84"/>
      <c r="P84" s="748"/>
      <c r="R84" s="1257"/>
      <c r="S84" s="1257"/>
      <c r="T84" s="1257"/>
      <c r="U84" s="1257"/>
      <c r="V84" s="1257"/>
      <c r="W84" s="1257"/>
      <c r="X84" s="1257"/>
      <c r="Y84" s="1257"/>
      <c r="Z84" s="1257"/>
      <c r="AN84" s="1257"/>
      <c r="AO84" s="1257"/>
      <c r="AP84" s="1257"/>
      <c r="AQ84" s="1257"/>
      <c r="AR84" s="1257"/>
      <c r="AS84" s="1257"/>
      <c r="AT84" s="1257"/>
      <c r="AU84" s="1257"/>
      <c r="AV84" s="1257"/>
    </row>
    <row r="85" spans="2:48" s="14" customFormat="1" ht="18.75" collapsed="1" x14ac:dyDescent="0.2">
      <c r="B85" s="1277"/>
      <c r="C85" s="73"/>
      <c r="D85" s="1276" t="s">
        <v>1630</v>
      </c>
      <c r="E85" s="360"/>
      <c r="F85" s="1262">
        <f t="shared" ref="F85:M85" ca="1" si="58">F80-F31</f>
        <v>59.075371437896877</v>
      </c>
      <c r="G85" s="1262">
        <f t="shared" ca="1" si="58"/>
        <v>64.326982875085832</v>
      </c>
      <c r="H85" s="1262">
        <f t="shared" ca="1" si="58"/>
        <v>77.065438693227406</v>
      </c>
      <c r="I85" s="1262">
        <f t="shared" ca="1" si="58"/>
        <v>90.674832662550102</v>
      </c>
      <c r="J85" s="1262">
        <f t="shared" ca="1" si="58"/>
        <v>107.49593181223668</v>
      </c>
      <c r="K85" s="1262">
        <f t="shared" ca="1" si="58"/>
        <v>125.99759422227362</v>
      </c>
      <c r="L85" s="1262">
        <f t="shared" ca="1" si="58"/>
        <v>145.14798829832955</v>
      </c>
      <c r="M85" s="1262">
        <f t="shared" ca="1" si="58"/>
        <v>162.51423764661092</v>
      </c>
      <c r="N85" s="1278"/>
      <c r="O85"/>
      <c r="P85" s="748"/>
      <c r="AN85" s="1257"/>
      <c r="AO85" s="1257"/>
      <c r="AP85" s="1257"/>
      <c r="AQ85" s="1257"/>
      <c r="AR85" s="1257"/>
      <c r="AS85" s="1257"/>
      <c r="AT85" s="1257"/>
      <c r="AU85" s="1257"/>
      <c r="AV85" s="1257"/>
    </row>
    <row r="86" spans="2:48" hidden="1" outlineLevel="1" x14ac:dyDescent="0.2">
      <c r="B86" s="358"/>
      <c r="C86" s="1265" t="s">
        <v>707</v>
      </c>
      <c r="D86" s="360"/>
      <c r="E86" s="360"/>
      <c r="F86" s="1253"/>
      <c r="G86" s="1253"/>
      <c r="H86" s="1253"/>
      <c r="I86" s="1253"/>
      <c r="J86" s="1253"/>
      <c r="K86" s="1253"/>
      <c r="L86" s="1253"/>
      <c r="M86" s="1253"/>
      <c r="N86" s="1254"/>
      <c r="P86" s="1255"/>
      <c r="R86" s="14"/>
      <c r="S86" s="14"/>
      <c r="T86" s="14"/>
      <c r="U86" s="14"/>
      <c r="V86" s="14"/>
      <c r="W86" s="14"/>
      <c r="X86" s="14"/>
      <c r="Y86" s="14"/>
      <c r="Z86" s="14"/>
      <c r="AN86" s="14"/>
      <c r="AO86" s="14"/>
      <c r="AP86" s="14"/>
      <c r="AQ86" s="14"/>
      <c r="AR86" s="14"/>
      <c r="AS86" s="14"/>
      <c r="AT86" s="14"/>
      <c r="AU86" s="14"/>
      <c r="AV86" s="14"/>
    </row>
    <row r="87" spans="2:48" hidden="1" outlineLevel="1" x14ac:dyDescent="0.2">
      <c r="B87" s="358"/>
      <c r="C87" s="360"/>
      <c r="D87" s="360"/>
      <c r="E87" s="360"/>
      <c r="F87" s="1253"/>
      <c r="G87" s="1253"/>
      <c r="H87" s="1253"/>
      <c r="I87" s="1253"/>
      <c r="J87" s="1253"/>
      <c r="K87" s="1253"/>
      <c r="L87" s="1253"/>
      <c r="M87" s="1253"/>
      <c r="N87" s="1254"/>
      <c r="P87" s="1255"/>
      <c r="AN87" s="14"/>
      <c r="AO87" s="14"/>
      <c r="AP87" s="14"/>
      <c r="AQ87" s="14"/>
      <c r="AR87" s="14"/>
      <c r="AS87" s="14"/>
      <c r="AT87" s="14"/>
      <c r="AU87" s="14"/>
      <c r="AV87" s="14"/>
    </row>
    <row r="88" spans="2:48" hidden="1" outlineLevel="1" x14ac:dyDescent="0.2">
      <c r="B88" s="358"/>
      <c r="C88" s="1256" t="s">
        <v>467</v>
      </c>
      <c r="D88" s="360" t="s">
        <v>547</v>
      </c>
      <c r="E88" s="360"/>
      <c r="F88" s="1253">
        <v>0</v>
      </c>
      <c r="G88" s="1253">
        <v>0</v>
      </c>
      <c r="H88" s="1253">
        <v>0</v>
      </c>
      <c r="I88" s="1253">
        <v>0</v>
      </c>
      <c r="J88" s="1253">
        <v>0</v>
      </c>
      <c r="K88" s="1253">
        <v>0</v>
      </c>
      <c r="L88" s="1253">
        <v>0</v>
      </c>
      <c r="M88" s="1253">
        <v>0</v>
      </c>
      <c r="N88" s="1254"/>
      <c r="P88" s="1255"/>
    </row>
    <row r="89" spans="2:48" hidden="1" outlineLevel="1" x14ac:dyDescent="0.2">
      <c r="B89" s="358"/>
      <c r="C89" s="1256" t="s">
        <v>468</v>
      </c>
      <c r="D89" s="360" t="s">
        <v>548</v>
      </c>
      <c r="E89" s="360"/>
      <c r="F89" s="1253">
        <v>0</v>
      </c>
      <c r="G89" s="1253">
        <v>0</v>
      </c>
      <c r="H89" s="1253">
        <v>0</v>
      </c>
      <c r="I89" s="1253">
        <v>0</v>
      </c>
      <c r="J89" s="1253">
        <v>0</v>
      </c>
      <c r="K89" s="1253">
        <v>0</v>
      </c>
      <c r="L89" s="1253">
        <v>0</v>
      </c>
      <c r="M89" s="1253">
        <v>0</v>
      </c>
      <c r="N89" s="1254"/>
      <c r="P89" s="1255"/>
    </row>
    <row r="90" spans="2:48" hidden="1" outlineLevel="1" x14ac:dyDescent="0.2">
      <c r="B90" s="358"/>
      <c r="C90" s="1256" t="s">
        <v>469</v>
      </c>
      <c r="D90" s="360" t="s">
        <v>436</v>
      </c>
      <c r="E90" s="360"/>
      <c r="F90" s="1253">
        <v>0</v>
      </c>
      <c r="G90" s="1253">
        <v>0</v>
      </c>
      <c r="H90" s="1253">
        <v>0</v>
      </c>
      <c r="I90" s="1253">
        <v>0</v>
      </c>
      <c r="J90" s="1253">
        <v>0</v>
      </c>
      <c r="K90" s="1253">
        <v>0</v>
      </c>
      <c r="L90" s="1253">
        <v>0</v>
      </c>
      <c r="M90" s="1253">
        <v>0</v>
      </c>
      <c r="N90" s="1254"/>
      <c r="P90" s="1255"/>
    </row>
    <row r="91" spans="2:48" hidden="1" outlineLevel="1" x14ac:dyDescent="0.2">
      <c r="B91" s="358"/>
      <c r="C91" s="1256" t="s">
        <v>330</v>
      </c>
      <c r="D91" s="360" t="s">
        <v>535</v>
      </c>
      <c r="E91" s="360"/>
      <c r="F91" s="1253">
        <v>0</v>
      </c>
      <c r="G91" s="1253">
        <v>0</v>
      </c>
      <c r="H91" s="1253">
        <v>0</v>
      </c>
      <c r="I91" s="1253">
        <v>0</v>
      </c>
      <c r="J91" s="1253">
        <v>0</v>
      </c>
      <c r="K91" s="1253">
        <v>0</v>
      </c>
      <c r="L91" s="1253">
        <v>0</v>
      </c>
      <c r="M91" s="1253">
        <v>0</v>
      </c>
      <c r="N91" s="1254"/>
      <c r="P91" s="1255"/>
    </row>
    <row r="92" spans="2:48" hidden="1" outlineLevel="1" x14ac:dyDescent="0.2">
      <c r="B92" s="358"/>
      <c r="C92" s="1256" t="s">
        <v>333</v>
      </c>
      <c r="D92" s="360" t="s">
        <v>347</v>
      </c>
      <c r="E92" s="360"/>
      <c r="F92" s="1253">
        <v>0</v>
      </c>
      <c r="G92" s="1253">
        <v>0</v>
      </c>
      <c r="H92" s="1253">
        <v>0</v>
      </c>
      <c r="I92" s="1253">
        <v>0</v>
      </c>
      <c r="J92" s="1253">
        <v>0</v>
      </c>
      <c r="K92" s="1253">
        <v>0</v>
      </c>
      <c r="L92" s="1253">
        <v>0</v>
      </c>
      <c r="M92" s="1253">
        <v>0</v>
      </c>
      <c r="N92" s="1254"/>
      <c r="P92" s="1255"/>
    </row>
    <row r="93" spans="2:48" hidden="1" outlineLevel="1" x14ac:dyDescent="0.2">
      <c r="B93" s="358"/>
      <c r="C93" s="1256" t="s">
        <v>335</v>
      </c>
      <c r="D93" s="360" t="s">
        <v>348</v>
      </c>
      <c r="E93" s="360"/>
      <c r="F93" s="1253">
        <v>0</v>
      </c>
      <c r="G93" s="1253">
        <v>0</v>
      </c>
      <c r="H93" s="1253">
        <v>0</v>
      </c>
      <c r="I93" s="1253">
        <v>0</v>
      </c>
      <c r="J93" s="1253">
        <v>0</v>
      </c>
      <c r="K93" s="1253">
        <v>0</v>
      </c>
      <c r="L93" s="1253">
        <v>0</v>
      </c>
      <c r="M93" s="1253">
        <v>0</v>
      </c>
      <c r="N93" s="1254"/>
      <c r="P93" s="1255"/>
    </row>
    <row r="94" spans="2:48" hidden="1" outlineLevel="1" x14ac:dyDescent="0.2">
      <c r="B94" s="358"/>
      <c r="C94" s="1256" t="s">
        <v>470</v>
      </c>
      <c r="D94" s="360" t="s">
        <v>437</v>
      </c>
      <c r="E94" s="360"/>
      <c r="F94" s="1253">
        <v>0</v>
      </c>
      <c r="G94" s="1253">
        <v>0</v>
      </c>
      <c r="H94" s="1253">
        <v>0</v>
      </c>
      <c r="I94" s="1253">
        <v>0</v>
      </c>
      <c r="J94" s="1253">
        <v>0</v>
      </c>
      <c r="K94" s="1253">
        <v>0</v>
      </c>
      <c r="L94" s="1253">
        <v>0</v>
      </c>
      <c r="M94" s="1253">
        <v>0</v>
      </c>
      <c r="N94" s="1254"/>
      <c r="P94" s="1255"/>
    </row>
    <row r="95" spans="2:48" hidden="1" outlineLevel="1" x14ac:dyDescent="0.2">
      <c r="B95" s="358"/>
      <c r="C95" s="1256" t="s">
        <v>472</v>
      </c>
      <c r="D95" s="360" t="s">
        <v>550</v>
      </c>
      <c r="E95" s="360"/>
      <c r="F95" s="1253">
        <v>0</v>
      </c>
      <c r="G95" s="1253">
        <v>0</v>
      </c>
      <c r="H95" s="1253">
        <v>0</v>
      </c>
      <c r="I95" s="1253">
        <v>0</v>
      </c>
      <c r="J95" s="1253">
        <v>0</v>
      </c>
      <c r="K95" s="1253">
        <v>0</v>
      </c>
      <c r="L95" s="1253">
        <v>0</v>
      </c>
      <c r="M95" s="1253">
        <v>0</v>
      </c>
      <c r="N95" s="1254"/>
      <c r="P95" s="1255"/>
    </row>
    <row r="96" spans="2:48" hidden="1" outlineLevel="1" x14ac:dyDescent="0.2">
      <c r="B96" s="358"/>
      <c r="C96" s="1256" t="s">
        <v>471</v>
      </c>
      <c r="D96" s="360" t="s">
        <v>549</v>
      </c>
      <c r="E96" s="360"/>
      <c r="F96" s="1253">
        <v>0</v>
      </c>
      <c r="G96" s="1253">
        <v>0</v>
      </c>
      <c r="H96" s="1253">
        <v>0</v>
      </c>
      <c r="I96" s="1253">
        <v>0</v>
      </c>
      <c r="J96" s="1253">
        <v>0</v>
      </c>
      <c r="K96" s="1253">
        <v>0</v>
      </c>
      <c r="L96" s="1253">
        <v>0</v>
      </c>
      <c r="M96" s="1253">
        <v>0</v>
      </c>
      <c r="N96" s="1254"/>
      <c r="P96" s="1255"/>
    </row>
    <row r="97" spans="1:48" hidden="1" outlineLevel="1" x14ac:dyDescent="0.2">
      <c r="B97" s="358"/>
      <c r="C97" s="1256" t="s">
        <v>473</v>
      </c>
      <c r="D97" s="360" t="s">
        <v>551</v>
      </c>
      <c r="E97" s="360"/>
      <c r="F97" s="1253">
        <v>0</v>
      </c>
      <c r="G97" s="1253">
        <v>0</v>
      </c>
      <c r="H97" s="1253">
        <v>0</v>
      </c>
      <c r="I97" s="1253">
        <v>0</v>
      </c>
      <c r="J97" s="1253">
        <v>0</v>
      </c>
      <c r="K97" s="1253">
        <v>0</v>
      </c>
      <c r="L97" s="1253">
        <v>0</v>
      </c>
      <c r="M97" s="1253">
        <v>0</v>
      </c>
      <c r="N97" s="1254"/>
      <c r="P97" s="1255"/>
    </row>
    <row r="98" spans="1:48" hidden="1" outlineLevel="1" x14ac:dyDescent="0.2">
      <c r="B98" s="358"/>
      <c r="C98" s="1256" t="s">
        <v>474</v>
      </c>
      <c r="D98" s="360" t="s">
        <v>552</v>
      </c>
      <c r="E98" s="360"/>
      <c r="F98" s="1253">
        <v>0</v>
      </c>
      <c r="G98" s="1253">
        <v>0</v>
      </c>
      <c r="H98" s="1253">
        <v>0</v>
      </c>
      <c r="I98" s="1253">
        <v>0</v>
      </c>
      <c r="J98" s="1253">
        <v>0</v>
      </c>
      <c r="K98" s="1253">
        <v>0</v>
      </c>
      <c r="L98" s="1253">
        <v>0</v>
      </c>
      <c r="M98" s="1253">
        <v>0</v>
      </c>
      <c r="N98" s="1254"/>
      <c r="P98" s="1255"/>
    </row>
    <row r="99" spans="1:48" hidden="1" outlineLevel="1" x14ac:dyDescent="0.2">
      <c r="B99" s="358"/>
      <c r="C99" s="1256" t="s">
        <v>475</v>
      </c>
      <c r="D99" s="360" t="s">
        <v>553</v>
      </c>
      <c r="E99" s="360"/>
      <c r="F99" s="1253">
        <v>0</v>
      </c>
      <c r="G99" s="1253">
        <v>0</v>
      </c>
      <c r="H99" s="1253">
        <v>0</v>
      </c>
      <c r="I99" s="1253">
        <v>0</v>
      </c>
      <c r="J99" s="1253">
        <v>0</v>
      </c>
      <c r="K99" s="1253">
        <v>0</v>
      </c>
      <c r="L99" s="1253">
        <v>0</v>
      </c>
      <c r="M99" s="1253">
        <v>0</v>
      </c>
      <c r="N99" s="1254"/>
      <c r="P99" s="1255"/>
    </row>
    <row r="100" spans="1:48" hidden="1" outlineLevel="1" x14ac:dyDescent="0.2">
      <c r="B100" s="358"/>
      <c r="C100" s="1256" t="s">
        <v>630</v>
      </c>
      <c r="D100" s="360" t="s">
        <v>708</v>
      </c>
      <c r="E100" s="360"/>
      <c r="F100" s="1253">
        <v>0</v>
      </c>
      <c r="G100" s="1253">
        <v>0</v>
      </c>
      <c r="H100" s="1253">
        <v>0</v>
      </c>
      <c r="I100" s="1253">
        <v>0</v>
      </c>
      <c r="J100" s="1253">
        <v>0</v>
      </c>
      <c r="K100" s="1253">
        <v>0</v>
      </c>
      <c r="L100" s="1253">
        <v>0</v>
      </c>
      <c r="M100" s="1253">
        <v>0</v>
      </c>
      <c r="N100" s="1254"/>
      <c r="P100" s="1255"/>
    </row>
    <row r="101" spans="1:48" hidden="1" outlineLevel="1" x14ac:dyDescent="0.2">
      <c r="B101" s="358"/>
      <c r="C101" s="1256" t="s">
        <v>709</v>
      </c>
      <c r="D101" s="360" t="s">
        <v>710</v>
      </c>
      <c r="E101" s="360"/>
      <c r="F101" s="1253">
        <v>0</v>
      </c>
      <c r="G101" s="1253">
        <v>0</v>
      </c>
      <c r="H101" s="1253">
        <v>0</v>
      </c>
      <c r="I101" s="1253">
        <v>0</v>
      </c>
      <c r="J101" s="1253">
        <v>0</v>
      </c>
      <c r="K101" s="1253">
        <v>0</v>
      </c>
      <c r="L101" s="1253">
        <v>0</v>
      </c>
      <c r="M101" s="1253">
        <v>0</v>
      </c>
      <c r="N101" s="1254"/>
      <c r="P101" s="1255"/>
    </row>
    <row r="102" spans="1:48" s="14" customFormat="1" ht="18.75" hidden="1" outlineLevel="1" x14ac:dyDescent="0.2">
      <c r="B102" s="1277"/>
      <c r="C102" s="73"/>
      <c r="D102" s="1260" t="s">
        <v>711</v>
      </c>
      <c r="E102" s="360"/>
      <c r="F102" s="1261">
        <v>0</v>
      </c>
      <c r="G102" s="1261">
        <v>0</v>
      </c>
      <c r="H102" s="1261">
        <v>0</v>
      </c>
      <c r="I102" s="1261">
        <v>0</v>
      </c>
      <c r="J102" s="1261">
        <v>0</v>
      </c>
      <c r="K102" s="1261">
        <v>0</v>
      </c>
      <c r="L102" s="1261">
        <v>0</v>
      </c>
      <c r="M102" s="1261">
        <v>0</v>
      </c>
      <c r="N102" s="1278"/>
      <c r="O102"/>
      <c r="P102" s="748"/>
      <c r="R102"/>
      <c r="S102"/>
      <c r="T102"/>
      <c r="U102"/>
      <c r="V102"/>
      <c r="W102"/>
      <c r="X102"/>
      <c r="Y102"/>
      <c r="Z102"/>
      <c r="AN102"/>
      <c r="AO102"/>
      <c r="AP102"/>
      <c r="AQ102"/>
      <c r="AR102"/>
      <c r="AS102"/>
      <c r="AT102"/>
      <c r="AU102"/>
      <c r="AV102"/>
    </row>
    <row r="103" spans="1:48" hidden="1" outlineLevel="1" x14ac:dyDescent="0.2">
      <c r="B103" s="358"/>
      <c r="C103" s="360"/>
      <c r="D103" s="360"/>
      <c r="E103" s="360"/>
      <c r="F103" s="1253"/>
      <c r="G103" s="1253"/>
      <c r="H103" s="1253"/>
      <c r="I103" s="1253"/>
      <c r="J103" s="1253"/>
      <c r="K103" s="1253"/>
      <c r="L103" s="1253"/>
      <c r="M103" s="1253"/>
      <c r="N103" s="1254"/>
      <c r="P103" s="1255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48" s="1257" customFormat="1" ht="18.75" hidden="1" outlineLevel="1" x14ac:dyDescent="0.2">
      <c r="B104" s="1258"/>
      <c r="C104" s="1276"/>
      <c r="D104" s="1260" t="s">
        <v>712</v>
      </c>
      <c r="E104" s="360"/>
      <c r="F104" s="1261">
        <v>2.2737367544323206E-13</v>
      </c>
      <c r="G104" s="1261">
        <v>4.5474735088646412E-13</v>
      </c>
      <c r="H104" s="1261">
        <v>0</v>
      </c>
      <c r="I104" s="1261">
        <v>-4.5474735088646412E-13</v>
      </c>
      <c r="J104" s="1261">
        <v>0</v>
      </c>
      <c r="K104" s="1261">
        <v>0</v>
      </c>
      <c r="L104" s="1261">
        <v>-2.2737367544323206E-13</v>
      </c>
      <c r="M104" s="1261">
        <v>0</v>
      </c>
      <c r="N104" s="1263"/>
      <c r="O104"/>
      <c r="P104" s="1264"/>
      <c r="R104"/>
      <c r="S104"/>
      <c r="T104"/>
      <c r="U104"/>
      <c r="V104"/>
      <c r="W104"/>
      <c r="X104"/>
      <c r="Y104"/>
      <c r="Z104"/>
      <c r="AN104" s="14"/>
      <c r="AO104" s="14"/>
      <c r="AP104" s="14"/>
      <c r="AQ104" s="14"/>
      <c r="AR104" s="14"/>
      <c r="AS104" s="14"/>
      <c r="AT104" s="14"/>
      <c r="AU104" s="14"/>
      <c r="AV104" s="14"/>
    </row>
    <row r="105" spans="1:48" s="1257" customFormat="1" ht="18.75" collapsed="1" x14ac:dyDescent="0.2">
      <c r="B105" s="1258"/>
      <c r="C105" s="1276"/>
      <c r="D105" s="1276"/>
      <c r="E105" s="360"/>
      <c r="F105" s="1262"/>
      <c r="G105" s="1262"/>
      <c r="H105" s="1262"/>
      <c r="I105" s="1262"/>
      <c r="J105" s="1262"/>
      <c r="K105" s="1262"/>
      <c r="L105" s="1262"/>
      <c r="M105" s="1262"/>
      <c r="N105" s="1263"/>
      <c r="O105"/>
      <c r="P105" s="1264"/>
      <c r="AN105"/>
      <c r="AO105"/>
      <c r="AP105"/>
      <c r="AQ105"/>
      <c r="AR105"/>
      <c r="AS105"/>
      <c r="AT105"/>
      <c r="AU105"/>
      <c r="AV105"/>
    </row>
    <row r="106" spans="1:48" s="1257" customFormat="1" ht="18.75" x14ac:dyDescent="0.2">
      <c r="B106" s="1279"/>
      <c r="D106" s="1280"/>
      <c r="E106"/>
      <c r="F106" s="1281"/>
      <c r="G106" s="1281"/>
      <c r="H106" s="1281"/>
      <c r="I106" s="1281"/>
      <c r="J106" s="1281"/>
      <c r="K106" s="1281"/>
      <c r="L106" s="1281"/>
      <c r="M106" s="1281"/>
      <c r="N106" s="1264"/>
      <c r="O106"/>
      <c r="P106" s="1264"/>
    </row>
    <row r="107" spans="1:48" ht="21" customHeight="1" x14ac:dyDescent="0.35">
      <c r="A107" s="352"/>
      <c r="B107" s="1282" t="s">
        <v>1632</v>
      </c>
      <c r="C107" s="1283"/>
      <c r="D107" s="1283"/>
      <c r="E107" s="1283"/>
      <c r="F107" s="1284"/>
      <c r="G107" s="1284"/>
      <c r="H107" s="1284"/>
      <c r="I107" s="1284"/>
      <c r="J107" s="1284"/>
      <c r="K107" s="1284"/>
      <c r="L107" s="1284"/>
      <c r="M107" s="1284"/>
      <c r="N107" s="1285"/>
      <c r="P107" s="1255"/>
      <c r="R107" s="1257"/>
      <c r="S107" s="1257"/>
      <c r="T107" s="1257"/>
      <c r="U107" s="1257"/>
      <c r="V107" s="1257"/>
      <c r="W107" s="1257"/>
      <c r="X107" s="1257"/>
      <c r="Y107" s="1257"/>
      <c r="Z107" s="1257"/>
      <c r="AN107" s="1257"/>
      <c r="AO107" s="1257"/>
      <c r="AP107" s="1257"/>
      <c r="AQ107" s="1257"/>
      <c r="AR107" s="1257"/>
      <c r="AS107" s="1257"/>
      <c r="AT107" s="1257"/>
      <c r="AU107" s="1257"/>
      <c r="AV107" s="1257"/>
    </row>
    <row r="108" spans="1:48" x14ac:dyDescent="0.2">
      <c r="B108" s="1286"/>
      <c r="C108" s="1287"/>
      <c r="D108" s="1287"/>
      <c r="E108" s="1287"/>
      <c r="F108" s="1288"/>
      <c r="G108" s="1288"/>
      <c r="H108" s="1288"/>
      <c r="I108" s="1288"/>
      <c r="J108" s="1288"/>
      <c r="K108" s="1288"/>
      <c r="L108" s="1288"/>
      <c r="M108" s="1288"/>
      <c r="N108" s="1289"/>
      <c r="P108" s="1255"/>
      <c r="AN108" s="1257"/>
      <c r="AO108" s="1257"/>
      <c r="AP108" s="1257"/>
      <c r="AQ108" s="1257"/>
      <c r="AR108" s="1257"/>
      <c r="AS108" s="1257"/>
      <c r="AT108" s="1257"/>
      <c r="AU108" s="1257"/>
      <c r="AV108" s="1257"/>
    </row>
    <row r="109" spans="1:48" x14ac:dyDescent="0.2">
      <c r="B109" s="1290"/>
      <c r="C109" s="1291" t="s">
        <v>149</v>
      </c>
      <c r="D109" s="1291" t="str">
        <f>INDEX(Vectors[Descripción], MATCH($C109,Vectors[Código],FALSE))</f>
        <v>Electricidad (consumo final)</v>
      </c>
      <c r="E109" s="1291"/>
      <c r="F109" s="1292">
        <f ca="1">INDEX(INDIRECT("'"&amp;F$4&amp;"'!ano.balanceneto"), MATCH('Resultados Intermedios'!$C109, INDIRECT("'"&amp;F$4&amp;"'!ano.vector"), 0))</f>
        <v>-67.579633316573762</v>
      </c>
      <c r="G109" s="1292">
        <f ca="1">INDEX(INDIRECT("'"&amp;G$4&amp;"'!ano.balanceneto"), MATCH('Resultados Intermedios'!$C109, INDIRECT("'"&amp;G$4&amp;"'!ano.vector"), 0))</f>
        <v>-78.979509560230042</v>
      </c>
      <c r="H109" s="1292">
        <f ca="1">INDEX(INDIRECT("'"&amp;H$4&amp;"'!ano.balanceneto"), MATCH('Resultados Intermedios'!$C109, INDIRECT("'"&amp;H$4&amp;"'!ano.vector"), 0))</f>
        <v>-91.520244446127037</v>
      </c>
      <c r="I109" s="1292">
        <f ca="1">INDEX(INDIRECT("'"&amp;I$4&amp;"'!ano.balanceneto"), MATCH('Resultados Intermedios'!$C109, INDIRECT("'"&amp;I$4&amp;"'!ano.vector"), 0))</f>
        <v>-103.6006457581674</v>
      </c>
      <c r="J109" s="1292">
        <f ca="1">INDEX(INDIRECT("'"&amp;J$4&amp;"'!ano.balanceneto"), MATCH('Resultados Intermedios'!$C109, INDIRECT("'"&amp;J$4&amp;"'!ano.vector"), 0))</f>
        <v>-117.65200581808284</v>
      </c>
      <c r="K109" s="1292">
        <f ca="1">INDEX(INDIRECT("'"&amp;K$4&amp;"'!ano.balanceneto"), MATCH('Resultados Intermedios'!$C109, INDIRECT("'"&amp;K$4&amp;"'!ano.vector"), 0))</f>
        <v>-132.75541227739603</v>
      </c>
      <c r="L109" s="1292">
        <f ca="1">INDEX(INDIRECT("'"&amp;L$4&amp;"'!ano.balanceneto"), MATCH('Resultados Intermedios'!$C109, INDIRECT("'"&amp;L$4&amp;"'!ano.vector"), 0))</f>
        <v>-148.13841553905652</v>
      </c>
      <c r="M109" s="1292">
        <f ca="1">INDEX(INDIRECT("'"&amp;M$4&amp;"'!ano.balanceneto"), MATCH('Resultados Intermedios'!$C109, INDIRECT("'"&amp;M$4&amp;"'!ano.vector"), 0))</f>
        <v>-162.18836791957614</v>
      </c>
      <c r="N109" s="1293"/>
      <c r="P109" s="1255"/>
    </row>
    <row r="110" spans="1:48" x14ac:dyDescent="0.2">
      <c r="B110" s="1290"/>
      <c r="C110" s="1291" t="s">
        <v>150</v>
      </c>
      <c r="D110" s="1291" t="str">
        <f>INDEX(Vectors[Descripción], MATCH($C110,Vectors[Código],FALSE))</f>
        <v>Electricidad (suministrada a la red)</v>
      </c>
      <c r="E110" s="1291"/>
      <c r="F110" s="1292">
        <f ca="1">INDEX(INDIRECT("'"&amp;F$4&amp;"'!ano.balanceneto"), MATCH('Resultados Intermedios'!$C110, INDIRECT("'"&amp;F$4&amp;"'!ano.vector"), 0))</f>
        <v>67.579633316573776</v>
      </c>
      <c r="G110" s="1292">
        <f ca="1">INDEX(INDIRECT("'"&amp;G$4&amp;"'!ano.balanceneto"), MATCH('Resultados Intermedios'!$C110, INDIRECT("'"&amp;G$4&amp;"'!ano.vector"), 0))</f>
        <v>78.979509560230042</v>
      </c>
      <c r="H110" s="1292">
        <f ca="1">INDEX(INDIRECT("'"&amp;H$4&amp;"'!ano.balanceneto"), MATCH('Resultados Intermedios'!$C110, INDIRECT("'"&amp;H$4&amp;"'!ano.vector"), 0))</f>
        <v>91.520244446127023</v>
      </c>
      <c r="I110" s="1292">
        <f ca="1">INDEX(INDIRECT("'"&amp;I$4&amp;"'!ano.balanceneto"), MATCH('Resultados Intermedios'!$C110, INDIRECT("'"&amp;I$4&amp;"'!ano.vector"), 0))</f>
        <v>103.6006457581674</v>
      </c>
      <c r="J110" s="1292">
        <f ca="1">INDEX(INDIRECT("'"&amp;J$4&amp;"'!ano.balanceneto"), MATCH('Resultados Intermedios'!$C110, INDIRECT("'"&amp;J$4&amp;"'!ano.vector"), 0))</f>
        <v>117.65200581808284</v>
      </c>
      <c r="K110" s="1292">
        <f ca="1">INDEX(INDIRECT("'"&amp;K$4&amp;"'!ano.balanceneto"), MATCH('Resultados Intermedios'!$C110, INDIRECT("'"&amp;K$4&amp;"'!ano.vector"), 0))</f>
        <v>132.75541227739603</v>
      </c>
      <c r="L110" s="1292">
        <f ca="1">INDEX(INDIRECT("'"&amp;L$4&amp;"'!ano.balanceneto"), MATCH('Resultados Intermedios'!$C110, INDIRECT("'"&amp;L$4&amp;"'!ano.vector"), 0))</f>
        <v>148.13841553905655</v>
      </c>
      <c r="M110" s="1292">
        <f ca="1">INDEX(INDIRECT("'"&amp;M$4&amp;"'!ano.balanceneto"), MATCH('Resultados Intermedios'!$C110, INDIRECT("'"&amp;M$4&amp;"'!ano.vector"), 0))</f>
        <v>162.18836791957614</v>
      </c>
      <c r="N110" s="1293"/>
      <c r="P110" s="1255"/>
    </row>
    <row r="111" spans="1:48" s="14" customFormat="1" ht="18.75" x14ac:dyDescent="0.2">
      <c r="B111" s="1294"/>
      <c r="C111" s="1295"/>
      <c r="D111" s="1296" t="s">
        <v>1628</v>
      </c>
      <c r="E111" s="1291"/>
      <c r="F111" s="1297">
        <f ca="1">F109+F110</f>
        <v>0</v>
      </c>
      <c r="G111" s="1297">
        <f t="shared" ref="G111:M111" ca="1" si="59">G109+G110</f>
        <v>0</v>
      </c>
      <c r="H111" s="1297">
        <f t="shared" ca="1" si="59"/>
        <v>0</v>
      </c>
      <c r="I111" s="1297">
        <f t="shared" ca="1" si="59"/>
        <v>0</v>
      </c>
      <c r="J111" s="1297">
        <f t="shared" ca="1" si="59"/>
        <v>0</v>
      </c>
      <c r="K111" s="1297">
        <f t="shared" ca="1" si="59"/>
        <v>0</v>
      </c>
      <c r="L111" s="1297">
        <f t="shared" ca="1" si="59"/>
        <v>0</v>
      </c>
      <c r="M111" s="1297">
        <f t="shared" ca="1" si="59"/>
        <v>0</v>
      </c>
      <c r="N111" s="1298"/>
      <c r="O111"/>
      <c r="P111" s="748"/>
      <c r="R111"/>
      <c r="S111"/>
      <c r="T111"/>
      <c r="U111"/>
      <c r="V111"/>
      <c r="W111"/>
      <c r="X111"/>
      <c r="Y111"/>
      <c r="Z111"/>
      <c r="AN111"/>
      <c r="AO111"/>
      <c r="AP111"/>
      <c r="AQ111"/>
      <c r="AR111"/>
      <c r="AS111"/>
      <c r="AT111"/>
      <c r="AU111"/>
      <c r="AV111"/>
    </row>
    <row r="112" spans="1:48" ht="4.5" customHeight="1" x14ac:dyDescent="0.2">
      <c r="B112" s="1290"/>
      <c r="C112" s="1291"/>
      <c r="D112" s="1291"/>
      <c r="E112" s="1291"/>
      <c r="F112" s="1292"/>
      <c r="G112" s="1292"/>
      <c r="H112" s="1292"/>
      <c r="I112" s="1292"/>
      <c r="J112" s="1292"/>
      <c r="K112" s="1292"/>
      <c r="L112" s="1292"/>
      <c r="M112" s="1292"/>
      <c r="N112" s="1293"/>
      <c r="P112" s="1255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48" s="449" customFormat="1" x14ac:dyDescent="0.2">
      <c r="B113" s="1299"/>
      <c r="C113" s="1291" t="s">
        <v>184</v>
      </c>
      <c r="D113" s="1291" t="str">
        <f>INDEX(Vectors[Descripción], MATCH($C113,Vectors[Código],FALSE))</f>
        <v>Perdidas por conversión</v>
      </c>
      <c r="E113" s="1300"/>
      <c r="F113" s="1292">
        <f ca="1">INDEX(INDIRECT("'"&amp;F$4&amp;"'!ano.balanceneto"), MATCH('Resultados Intermedios'!$C113, INDIRECT("'"&amp;F$4&amp;"'!ano.vector"), 0))</f>
        <v>56.886295394688268</v>
      </c>
      <c r="G113" s="1292">
        <f ca="1">INDEX(INDIRECT("'"&amp;G$4&amp;"'!ano.balanceneto"), MATCH('Resultados Intermedios'!$C113, INDIRECT("'"&amp;G$4&amp;"'!ano.vector"), 0))</f>
        <v>62.045579015031855</v>
      </c>
      <c r="H113" s="1292">
        <f ca="1">INDEX(INDIRECT("'"&amp;H$4&amp;"'!ano.balanceneto"), MATCH('Resultados Intermedios'!$C113, INDIRECT("'"&amp;H$4&amp;"'!ano.vector"), 0))</f>
        <v>74.333993579718197</v>
      </c>
      <c r="I113" s="1292">
        <f ca="1">INDEX(INDIRECT("'"&amp;I$4&amp;"'!ano.balanceneto"), MATCH('Resultados Intermedios'!$C113, INDIRECT("'"&amp;I$4&amp;"'!ano.vector"), 0))</f>
        <v>87.462576624376254</v>
      </c>
      <c r="J113" s="1292">
        <f ca="1">INDEX(INDIRECT("'"&amp;J$4&amp;"'!ano.balanceneto"), MATCH('Resultados Intermedios'!$C113, INDIRECT("'"&amp;J$4&amp;"'!ano.vector"), 0))</f>
        <v>103.68939742087011</v>
      </c>
      <c r="K113" s="1292">
        <f ca="1">INDEX(INDIRECT("'"&amp;K$4&amp;"'!ano.balanceneto"), MATCH('Resultados Intermedios'!$C113, INDIRECT("'"&amp;K$4&amp;"'!ano.vector"), 0))</f>
        <v>121.53740828468436</v>
      </c>
      <c r="L113" s="1292">
        <f ca="1">INDEX(INDIRECT("'"&amp;L$4&amp;"'!ano.balanceneto"), MATCH('Resultados Intermedios'!$C113, INDIRECT("'"&amp;L$4&amp;"'!ano.vector"), 0))</f>
        <v>140.01123155206523</v>
      </c>
      <c r="M113" s="1292">
        <f ca="1">INDEX(INDIRECT("'"&amp;M$4&amp;"'!ano.balanceneto"), MATCH('Resultados Intermedios'!$C113, INDIRECT("'"&amp;M$4&amp;"'!ano.vector"), 0))</f>
        <v>156.76394274971875</v>
      </c>
      <c r="N113" s="1301"/>
      <c r="O113"/>
      <c r="P113" s="1274"/>
      <c r="R113"/>
      <c r="S113"/>
      <c r="T113"/>
      <c r="U113"/>
      <c r="V113"/>
      <c r="W113"/>
      <c r="X113"/>
      <c r="Y113"/>
      <c r="Z113"/>
      <c r="AN113" s="14"/>
      <c r="AO113" s="14"/>
      <c r="AP113" s="14"/>
      <c r="AQ113" s="14"/>
      <c r="AR113" s="14"/>
      <c r="AS113" s="14"/>
      <c r="AT113" s="14"/>
      <c r="AU113" s="14"/>
      <c r="AV113" s="14"/>
    </row>
    <row r="114" spans="1:48" s="1302" customFormat="1" x14ac:dyDescent="0.2">
      <c r="B114" s="1303"/>
      <c r="C114" s="1291" t="s">
        <v>185</v>
      </c>
      <c r="D114" s="1291" t="str">
        <f>INDEX(Vectors[Descripción], MATCH($C114,Vectors[Código],FALSE))</f>
        <v>Perdidas por distribución y uso propio</v>
      </c>
      <c r="E114" s="1300"/>
      <c r="F114" s="1292">
        <f ca="1">INDEX(INDIRECT("'"&amp;F$4&amp;"'!ano.balanceneto"), MATCH('Resultados Intermedios'!$C114, INDIRECT("'"&amp;F$4&amp;"'!ano.vector"), 0))</f>
        <v>2.1890760432086078</v>
      </c>
      <c r="G114" s="1292">
        <f ca="1">INDEX(INDIRECT("'"&amp;G$4&amp;"'!ano.balanceneto"), MATCH('Resultados Intermedios'!$C114, INDIRECT("'"&amp;G$4&amp;"'!ano.vector"), 0))</f>
        <v>2.2814038600539308</v>
      </c>
      <c r="H114" s="1292">
        <f ca="1">INDEX(INDIRECT("'"&amp;H$4&amp;"'!ano.balanceneto"), MATCH('Resultados Intermedios'!$C114, INDIRECT("'"&amp;H$4&amp;"'!ano.vector"), 0))</f>
        <v>2.7314451135092335</v>
      </c>
      <c r="I114" s="1292">
        <f ca="1">INDEX(INDIRECT("'"&amp;I$4&amp;"'!ano.balanceneto"), MATCH('Resultados Intermedios'!$C114, INDIRECT("'"&amp;I$4&amp;"'!ano.vector"), 0))</f>
        <v>3.2122560381739298</v>
      </c>
      <c r="J114" s="1292">
        <f ca="1">INDEX(INDIRECT("'"&amp;J$4&amp;"'!ano.balanceneto"), MATCH('Resultados Intermedios'!$C114, INDIRECT("'"&amp;J$4&amp;"'!ano.vector"), 0))</f>
        <v>3.8065343913664385</v>
      </c>
      <c r="K114" s="1292">
        <f ca="1">INDEX(INDIRECT("'"&amp;K$4&amp;"'!ano.balanceneto"), MATCH('Resultados Intermedios'!$C114, INDIRECT("'"&amp;K$4&amp;"'!ano.vector"), 0))</f>
        <v>4.4601859375893138</v>
      </c>
      <c r="L114" s="1292">
        <f ca="1">INDEX(INDIRECT("'"&amp;L$4&amp;"'!ano.balanceneto"), MATCH('Resultados Intermedios'!$C114, INDIRECT("'"&amp;L$4&amp;"'!ano.vector"), 0))</f>
        <v>5.1367567462643358</v>
      </c>
      <c r="M114" s="1292">
        <f ca="1">INDEX(INDIRECT("'"&amp;M$4&amp;"'!ano.balanceneto"), MATCH('Resultados Intermedios'!$C114, INDIRECT("'"&amp;M$4&amp;"'!ano.vector"), 0))</f>
        <v>5.7502948968922425</v>
      </c>
      <c r="N114" s="1305"/>
      <c r="O114"/>
      <c r="R114" s="449"/>
      <c r="S114" s="449"/>
      <c r="T114" s="449"/>
      <c r="U114" s="449"/>
      <c r="V114" s="449"/>
      <c r="W114" s="449"/>
      <c r="X114" s="449"/>
      <c r="Y114" s="449"/>
      <c r="Z114" s="449"/>
      <c r="AN114"/>
      <c r="AO114"/>
      <c r="AP114"/>
      <c r="AQ114"/>
      <c r="AR114"/>
      <c r="AS114"/>
      <c r="AT114"/>
      <c r="AU114"/>
      <c r="AV114"/>
    </row>
    <row r="115" spans="1:48" s="1302" customFormat="1" x14ac:dyDescent="0.2">
      <c r="B115" s="1303"/>
      <c r="C115" s="1304"/>
      <c r="D115" s="1304"/>
      <c r="E115" s="1300"/>
      <c r="F115" s="1297">
        <f ca="1">F113+F114</f>
        <v>59.075371437896877</v>
      </c>
      <c r="G115" s="1297">
        <f t="shared" ref="G115:M115" ca="1" si="60">G113+G114</f>
        <v>64.32698287508579</v>
      </c>
      <c r="H115" s="1297">
        <f t="shared" ca="1" si="60"/>
        <v>77.065438693227435</v>
      </c>
      <c r="I115" s="1297">
        <f t="shared" ca="1" si="60"/>
        <v>90.674832662550187</v>
      </c>
      <c r="J115" s="1297">
        <f t="shared" ca="1" si="60"/>
        <v>107.49593181223655</v>
      </c>
      <c r="K115" s="1297">
        <f t="shared" ca="1" si="60"/>
        <v>125.99759422227368</v>
      </c>
      <c r="L115" s="1297">
        <f t="shared" ca="1" si="60"/>
        <v>145.14798829832955</v>
      </c>
      <c r="M115" s="1297">
        <f t="shared" ca="1" si="60"/>
        <v>162.51423764661098</v>
      </c>
      <c r="N115" s="1305"/>
      <c r="O115"/>
      <c r="AN115" s="449"/>
      <c r="AO115" s="449"/>
      <c r="AP115" s="449"/>
      <c r="AQ115" s="449"/>
      <c r="AR115" s="449"/>
      <c r="AS115" s="449"/>
      <c r="AT115" s="449"/>
      <c r="AU115" s="449"/>
      <c r="AV115" s="449"/>
    </row>
    <row r="116" spans="1:48" x14ac:dyDescent="0.2">
      <c r="B116" s="1306"/>
      <c r="C116" s="1291"/>
      <c r="D116" s="1291"/>
      <c r="E116" s="1291"/>
      <c r="F116" s="1291"/>
      <c r="G116" s="1291"/>
      <c r="H116" s="1291"/>
      <c r="I116" s="1291"/>
      <c r="J116" s="1291"/>
      <c r="K116" s="1291"/>
      <c r="L116" s="1291"/>
      <c r="M116" s="1291"/>
      <c r="N116" s="1307"/>
      <c r="R116" s="1302"/>
      <c r="S116" s="1302"/>
      <c r="T116" s="1302"/>
      <c r="U116" s="1302"/>
      <c r="V116" s="1302"/>
      <c r="W116" s="1302"/>
      <c r="X116" s="1302"/>
      <c r="Y116" s="1302"/>
      <c r="Z116" s="1302"/>
      <c r="AN116" s="1302"/>
      <c r="AO116" s="1302"/>
      <c r="AP116" s="1302"/>
      <c r="AQ116" s="1302"/>
      <c r="AR116" s="1302"/>
      <c r="AS116" s="1302"/>
      <c r="AT116" s="1302"/>
      <c r="AU116" s="1302"/>
      <c r="AV116" s="1302"/>
    </row>
    <row r="117" spans="1:48" x14ac:dyDescent="0.2">
      <c r="B117" s="444"/>
      <c r="C117" s="443"/>
      <c r="D117" s="443"/>
      <c r="E117" s="443"/>
      <c r="F117" s="443"/>
      <c r="G117" s="443"/>
      <c r="H117" s="443"/>
      <c r="I117" s="443"/>
      <c r="J117" s="443"/>
      <c r="K117" s="443"/>
      <c r="L117" s="443"/>
      <c r="M117" s="443"/>
      <c r="N117" s="1308"/>
      <c r="AN117" s="1302"/>
      <c r="AO117" s="1302"/>
      <c r="AP117" s="1302"/>
      <c r="AQ117" s="1302"/>
      <c r="AR117" s="1302"/>
      <c r="AS117" s="1302"/>
      <c r="AT117" s="1302"/>
      <c r="AU117" s="1302"/>
      <c r="AV117" s="1302"/>
    </row>
    <row r="118" spans="1:48" x14ac:dyDescent="0.2">
      <c r="B118" s="444"/>
      <c r="C118" s="443" t="s">
        <v>446</v>
      </c>
      <c r="D118" s="443" t="s">
        <v>869</v>
      </c>
      <c r="E118" s="443"/>
      <c r="F118" s="1309"/>
      <c r="G118" s="1309"/>
      <c r="H118" s="1309"/>
      <c r="I118" s="1309"/>
      <c r="J118" s="1309"/>
      <c r="K118" s="1309"/>
      <c r="L118" s="1309"/>
      <c r="M118" s="1309"/>
      <c r="N118" s="1310"/>
      <c r="P118" s="1255"/>
    </row>
    <row r="119" spans="1:48" ht="4.5" customHeight="1" x14ac:dyDescent="0.2">
      <c r="B119" s="444"/>
      <c r="C119" s="443"/>
      <c r="D119" s="443"/>
      <c r="E119" s="443"/>
      <c r="F119" s="1309"/>
      <c r="G119" s="1309"/>
      <c r="H119" s="1309"/>
      <c r="I119" s="1309"/>
      <c r="J119" s="1309"/>
      <c r="K119" s="1309"/>
      <c r="L119" s="1309"/>
      <c r="M119" s="1309"/>
      <c r="N119" s="1308"/>
    </row>
    <row r="120" spans="1:48" s="14" customFormat="1" ht="18.75" x14ac:dyDescent="0.2">
      <c r="B120" s="1311"/>
      <c r="C120" s="746"/>
      <c r="D120" s="1312" t="s">
        <v>1629</v>
      </c>
      <c r="E120" s="443"/>
      <c r="F120" s="2617">
        <f ca="1">F85-F111-F115</f>
        <v>0</v>
      </c>
      <c r="G120" s="2617">
        <f ca="1">G85-G111-G115</f>
        <v>0</v>
      </c>
      <c r="H120" s="2617">
        <f t="shared" ref="H120:M120" ca="1" si="61">H85-H111-H115</f>
        <v>0</v>
      </c>
      <c r="I120" s="2617">
        <f t="shared" ca="1" si="61"/>
        <v>0</v>
      </c>
      <c r="J120" s="2617">
        <f t="shared" ca="1" si="61"/>
        <v>1.2789769243681803E-13</v>
      </c>
      <c r="K120" s="2617">
        <f t="shared" ca="1" si="61"/>
        <v>0</v>
      </c>
      <c r="L120" s="2617">
        <f t="shared" ca="1" si="61"/>
        <v>0</v>
      </c>
      <c r="M120" s="2617">
        <f t="shared" ca="1" si="61"/>
        <v>0</v>
      </c>
      <c r="N120" s="1313"/>
      <c r="O120"/>
      <c r="R120"/>
      <c r="S120"/>
      <c r="T120"/>
      <c r="U120"/>
      <c r="V120"/>
      <c r="W120"/>
      <c r="X120"/>
      <c r="Y120"/>
      <c r="Z120"/>
      <c r="AN120"/>
      <c r="AO120"/>
      <c r="AP120"/>
      <c r="AQ120"/>
      <c r="AR120"/>
      <c r="AS120"/>
      <c r="AT120"/>
      <c r="AU120"/>
      <c r="AV120"/>
    </row>
    <row r="121" spans="1:48" s="445" customFormat="1" x14ac:dyDescent="0.2">
      <c r="B121" s="444"/>
      <c r="C121" s="443"/>
      <c r="D121" s="443"/>
      <c r="E121" s="443"/>
      <c r="F121" s="443"/>
      <c r="G121" s="443"/>
      <c r="H121" s="443"/>
      <c r="I121" s="443"/>
      <c r="J121" s="443"/>
      <c r="K121" s="443"/>
      <c r="L121" s="443"/>
      <c r="M121" s="443"/>
      <c r="N121" s="1308"/>
      <c r="O121"/>
      <c r="R121" s="14"/>
      <c r="S121" s="14"/>
      <c r="T121" s="14"/>
      <c r="U121" s="14"/>
      <c r="V121" s="14"/>
      <c r="W121" s="14"/>
      <c r="X121" s="14"/>
      <c r="Y121" s="14"/>
      <c r="Z121" s="14"/>
      <c r="AN121"/>
      <c r="AO121"/>
      <c r="AP121"/>
      <c r="AQ121"/>
      <c r="AR121"/>
      <c r="AS121"/>
      <c r="AT121"/>
      <c r="AU121"/>
      <c r="AV121"/>
    </row>
    <row r="122" spans="1:48" ht="23.25" x14ac:dyDescent="0.35">
      <c r="A122" s="352"/>
      <c r="B122" s="1282" t="s">
        <v>1186</v>
      </c>
      <c r="C122" s="1283"/>
      <c r="D122" s="1283"/>
      <c r="E122" s="1283"/>
      <c r="F122" s="1284"/>
      <c r="G122" s="1284"/>
      <c r="H122" s="1284"/>
      <c r="I122" s="1284"/>
      <c r="J122" s="1284"/>
      <c r="K122" s="1284"/>
      <c r="L122" s="1284"/>
      <c r="M122" s="1284"/>
      <c r="N122" s="1285"/>
      <c r="R122" s="445"/>
      <c r="S122" s="445"/>
      <c r="T122" s="445"/>
      <c r="U122" s="445"/>
      <c r="V122" s="445"/>
      <c r="W122" s="445"/>
      <c r="X122" s="445"/>
      <c r="Y122" s="445"/>
      <c r="Z122" s="445"/>
      <c r="AN122" s="14"/>
      <c r="AO122" s="14"/>
      <c r="AP122" s="14"/>
      <c r="AQ122" s="14"/>
      <c r="AR122" s="14"/>
      <c r="AS122" s="14"/>
      <c r="AT122" s="14"/>
      <c r="AU122" s="14"/>
      <c r="AV122" s="14"/>
    </row>
    <row r="123" spans="1:48" s="445" customFormat="1" ht="15.75" x14ac:dyDescent="0.2">
      <c r="A123" s="1314"/>
      <c r="B123" s="1315"/>
      <c r="C123" s="1291"/>
      <c r="D123" s="1287"/>
      <c r="E123" s="1287"/>
      <c r="F123" s="1292"/>
      <c r="G123" s="1292"/>
      <c r="H123" s="1292"/>
      <c r="I123" s="1292"/>
      <c r="J123" s="1292"/>
      <c r="K123" s="1292"/>
      <c r="L123" s="1292"/>
      <c r="M123" s="1292"/>
      <c r="N123" s="1293"/>
      <c r="O123"/>
      <c r="R123"/>
      <c r="S123"/>
      <c r="T123"/>
      <c r="U123"/>
      <c r="V123"/>
      <c r="W123"/>
      <c r="X123"/>
      <c r="Y123"/>
      <c r="Z123"/>
    </row>
    <row r="124" spans="1:48" x14ac:dyDescent="0.2">
      <c r="B124" s="1290"/>
      <c r="C124" s="1291"/>
      <c r="D124" s="1316" t="s">
        <v>171</v>
      </c>
      <c r="E124" s="1291"/>
      <c r="F124" s="1317">
        <v>2015</v>
      </c>
      <c r="G124" s="1317">
        <v>2020</v>
      </c>
      <c r="H124" s="1317">
        <v>2025</v>
      </c>
      <c r="I124" s="1317">
        <v>2030</v>
      </c>
      <c r="J124" s="1317">
        <v>2035</v>
      </c>
      <c r="K124" s="1317">
        <v>2040</v>
      </c>
      <c r="L124" s="1317">
        <v>2045</v>
      </c>
      <c r="M124" s="1317">
        <v>2050</v>
      </c>
      <c r="N124" s="1307"/>
      <c r="R124" s="445"/>
      <c r="S124" s="445"/>
      <c r="T124" s="445"/>
      <c r="U124" s="445"/>
      <c r="V124" s="445"/>
      <c r="W124" s="445"/>
      <c r="X124" s="445"/>
      <c r="Y124" s="445"/>
      <c r="Z124" s="445"/>
    </row>
    <row r="125" spans="1:48" x14ac:dyDescent="0.2">
      <c r="B125" s="1290"/>
      <c r="C125" s="1318" t="s">
        <v>46</v>
      </c>
      <c r="D125" s="1318" t="str">
        <f>INDEX(Modulos[Modulos], MATCH($C125, Modulos[Código], 0))</f>
        <v>Termoelectricidad</v>
      </c>
      <c r="E125" s="1318" t="s">
        <v>2404</v>
      </c>
      <c r="F125" s="1292">
        <f ca="1">I.a!F306</f>
        <v>10.716366861978855</v>
      </c>
      <c r="G125" s="1292">
        <f ca="1">I.a!G306</f>
        <v>11.993360596902663</v>
      </c>
      <c r="H125" s="1292">
        <f ca="1">I.a!H306</f>
        <v>14.434262310558546</v>
      </c>
      <c r="I125" s="1292">
        <f ca="1">I.a!I306</f>
        <v>17.042050376536562</v>
      </c>
      <c r="J125" s="1292">
        <f ca="1">I.a!J306</f>
        <v>20.265255004021373</v>
      </c>
      <c r="K125" s="1292">
        <f ca="1">I.a!K306</f>
        <v>23.810483729297946</v>
      </c>
      <c r="L125" s="1292">
        <f ca="1">I.a!L306</f>
        <v>27.480020318721834</v>
      </c>
      <c r="M125" s="1292">
        <f ca="1">I.a!M306</f>
        <v>30.807684864500306</v>
      </c>
      <c r="N125" s="1307"/>
      <c r="AN125" s="445"/>
      <c r="AO125" s="445"/>
      <c r="AP125" s="445"/>
      <c r="AQ125" s="445"/>
      <c r="AR125" s="445"/>
      <c r="AS125" s="445"/>
      <c r="AT125" s="445"/>
      <c r="AU125" s="445"/>
      <c r="AV125" s="445"/>
    </row>
    <row r="126" spans="1:48" x14ac:dyDescent="0.2">
      <c r="B126" s="1290"/>
      <c r="C126" s="1318" t="s">
        <v>46</v>
      </c>
      <c r="D126" s="1318" t="str">
        <f>INDEX(Modulos[Modulos], MATCH($C126, Modulos[Código], 0))</f>
        <v>Termoelectricidad</v>
      </c>
      <c r="E126" s="1318" t="s">
        <v>2403</v>
      </c>
      <c r="F126" s="1292">
        <f ca="1">I.a!F307</f>
        <v>26.790917154947138</v>
      </c>
      <c r="G126" s="1292">
        <f ca="1">I.a!G307</f>
        <v>29.983401492256657</v>
      </c>
      <c r="H126" s="1292">
        <f ca="1">I.a!H307</f>
        <v>36.085655776396365</v>
      </c>
      <c r="I126" s="1292">
        <f ca="1">I.a!I307</f>
        <v>42.605125941341399</v>
      </c>
      <c r="J126" s="1292">
        <f ca="1">I.a!J307</f>
        <v>50.663137510053431</v>
      </c>
      <c r="K126" s="1292">
        <f ca="1">I.a!K307</f>
        <v>59.526209323244863</v>
      </c>
      <c r="L126" s="1292">
        <f ca="1">I.a!L307</f>
        <v>68.700050796804589</v>
      </c>
      <c r="M126" s="1292">
        <f ca="1">I.a!M307</f>
        <v>77.019212161250763</v>
      </c>
      <c r="N126" s="1307"/>
      <c r="AN126" s="445"/>
      <c r="AO126" s="445"/>
      <c r="AP126" s="445"/>
      <c r="AQ126" s="445"/>
      <c r="AR126" s="445"/>
      <c r="AS126" s="445"/>
      <c r="AT126" s="445"/>
      <c r="AU126" s="445"/>
      <c r="AV126" s="445"/>
    </row>
    <row r="127" spans="1:48" x14ac:dyDescent="0.2">
      <c r="B127" s="1290"/>
      <c r="C127" s="1318" t="s">
        <v>46</v>
      </c>
      <c r="D127" s="1318" t="str">
        <f>INDEX(Modulos[Modulos], MATCH($C127, Modulos[Código], 0))</f>
        <v>Termoelectricidad</v>
      </c>
      <c r="E127" s="1318" t="s">
        <v>2402</v>
      </c>
      <c r="F127" s="1292">
        <f ca="1">I.a!F308</f>
        <v>2.0093187866210354</v>
      </c>
      <c r="G127" s="1292">
        <f ca="1">I.a!G308</f>
        <v>2.2487551119192495</v>
      </c>
      <c r="H127" s="1292">
        <f ca="1">I.a!H308</f>
        <v>2.7064241832297276</v>
      </c>
      <c r="I127" s="1292">
        <f ca="1">I.a!I308</f>
        <v>3.1953844456006051</v>
      </c>
      <c r="J127" s="1292">
        <f ca="1">I.a!J308</f>
        <v>3.7997353132540082</v>
      </c>
      <c r="K127" s="1292">
        <f ca="1">I.a!K308</f>
        <v>4.4644656992433651</v>
      </c>
      <c r="L127" s="1292">
        <f ca="1">I.a!L308</f>
        <v>5.1525038097603444</v>
      </c>
      <c r="M127" s="1292">
        <f ca="1">I.a!M308</f>
        <v>5.7764409120938076</v>
      </c>
      <c r="N127" s="1307"/>
      <c r="AN127" s="445"/>
      <c r="AO127" s="445"/>
      <c r="AP127" s="445"/>
      <c r="AQ127" s="445"/>
      <c r="AR127" s="445"/>
      <c r="AS127" s="445"/>
      <c r="AT127" s="445"/>
      <c r="AU127" s="445"/>
      <c r="AV127" s="445"/>
    </row>
    <row r="128" spans="1:48" x14ac:dyDescent="0.2">
      <c r="B128" s="1290"/>
      <c r="C128" s="1318" t="s">
        <v>46</v>
      </c>
      <c r="D128" s="1318" t="str">
        <f>INDEX(Modulos[Modulos], MATCH($C128, Modulos[Código], 0))</f>
        <v>Termoelectricidad</v>
      </c>
      <c r="E128" s="1318" t="s">
        <v>331</v>
      </c>
      <c r="F128" s="1292">
        <f>I.a!F295</f>
        <v>1.4025600000000003</v>
      </c>
      <c r="G128" s="1292">
        <f>I.a!G295</f>
        <v>1.4025600000000003</v>
      </c>
      <c r="H128" s="1292">
        <f>I.a!H295</f>
        <v>1.4025600000000003</v>
      </c>
      <c r="I128" s="1292">
        <f>I.a!I295</f>
        <v>1.4025600000000003</v>
      </c>
      <c r="J128" s="1292">
        <f>I.a!J295</f>
        <v>1.4025600000000003</v>
      </c>
      <c r="K128" s="1292">
        <f>I.a!K295</f>
        <v>1.4025600000000003</v>
      </c>
      <c r="L128" s="1292">
        <f>I.a!L295</f>
        <v>1.4025600000000003</v>
      </c>
      <c r="M128" s="1292">
        <f>I.a!M295</f>
        <v>1.4025600000000003</v>
      </c>
      <c r="N128" s="1307"/>
    </row>
    <row r="129" spans="2:48" s="192" customFormat="1" x14ac:dyDescent="0.2">
      <c r="B129" s="1319"/>
      <c r="C129" s="1320" t="s">
        <v>208</v>
      </c>
      <c r="D129" s="1318" t="str">
        <f>INDEX(Modulos[Modulos], MATCH($C129, Modulos[Código], 0))</f>
        <v>Plantas Eólicas</v>
      </c>
      <c r="E129" s="1318"/>
      <c r="F129" s="3572">
        <f>III.a!F90</f>
        <v>2.6604443999999998</v>
      </c>
      <c r="G129" s="3572">
        <f>III.a!G90</f>
        <v>4.6811183999999999</v>
      </c>
      <c r="H129" s="3572">
        <f>III.a!H90</f>
        <v>4.9601951999999994</v>
      </c>
      <c r="I129" s="3572">
        <f>III.a!I90</f>
        <v>5.2392719999999988</v>
      </c>
      <c r="J129" s="3572">
        <f>III.a!J90</f>
        <v>5.5183487999999992</v>
      </c>
      <c r="K129" s="3572">
        <f>III.a!K90</f>
        <v>5.7974255999999986</v>
      </c>
      <c r="L129" s="3572">
        <f>III.a!L90</f>
        <v>6.0765023999999981</v>
      </c>
      <c r="M129" s="3572">
        <f>III.a!M90</f>
        <v>6.3555791999999975</v>
      </c>
      <c r="N129" s="1321"/>
      <c r="O129"/>
      <c r="P129"/>
      <c r="Q129"/>
      <c r="AN129"/>
      <c r="AO129"/>
      <c r="AP129"/>
      <c r="AQ129"/>
      <c r="AR129"/>
      <c r="AS129"/>
      <c r="AT129"/>
      <c r="AU129"/>
      <c r="AV129"/>
    </row>
    <row r="130" spans="2:48" s="192" customFormat="1" x14ac:dyDescent="0.2">
      <c r="B130" s="1319"/>
      <c r="C130" s="1320" t="s">
        <v>246</v>
      </c>
      <c r="D130" s="1318" t="str">
        <f>INDEX(Modulos[Modulos], MATCH($C130, Modulos[Código], 0))</f>
        <v>Mini Hidráulica de Pasada</v>
      </c>
      <c r="E130" s="1318"/>
      <c r="F130" s="3572">
        <f>III.b.1!F82</f>
        <v>1.8803070000000002</v>
      </c>
      <c r="G130" s="3572">
        <f>III.b.1!G82</f>
        <v>2.3142240000000003</v>
      </c>
      <c r="H130" s="3572">
        <f>III.b.1!H82</f>
        <v>2.7481409999999999</v>
      </c>
      <c r="I130" s="3572">
        <f>III.b.1!I82</f>
        <v>3.1820580000000005</v>
      </c>
      <c r="J130" s="3572">
        <f>III.b.1!J82</f>
        <v>3.5677620000000001</v>
      </c>
      <c r="K130" s="3572">
        <f>III.b.1!K82</f>
        <v>4.0016790000000002</v>
      </c>
      <c r="L130" s="3572">
        <f>III.b.1!L82</f>
        <v>4.4355960000000012</v>
      </c>
      <c r="M130" s="3572">
        <f>III.b.1!M82</f>
        <v>4.8213000000000008</v>
      </c>
      <c r="N130" s="1321"/>
      <c r="O130"/>
      <c r="P130"/>
      <c r="Q130"/>
      <c r="R130" s="2681"/>
      <c r="S130" s="2681"/>
      <c r="T130" s="2681"/>
      <c r="U130" s="2681"/>
      <c r="V130" s="2681"/>
      <c r="W130" s="2681"/>
      <c r="X130" s="2681"/>
      <c r="Y130" s="2681"/>
    </row>
    <row r="131" spans="2:48" x14ac:dyDescent="0.2">
      <c r="B131" s="1290"/>
      <c r="C131" s="1320" t="s">
        <v>258</v>
      </c>
      <c r="D131" s="1318" t="str">
        <f>INDEX(Modulos[Modulos], MATCH($C131, Modulos[Código], 0))</f>
        <v>Hidráulica de Pasada</v>
      </c>
      <c r="E131" s="1318"/>
      <c r="F131" s="1292">
        <f>III.b.2!F106</f>
        <v>6.3816480000000002</v>
      </c>
      <c r="G131" s="1292">
        <f>III.b.2!G106</f>
        <v>6.6485727000000008</v>
      </c>
      <c r="H131" s="1292">
        <f>III.b.2!H106</f>
        <v>6.9154974000000013</v>
      </c>
      <c r="I131" s="1292">
        <f>III.b.2!I106</f>
        <v>7.182422100000001</v>
      </c>
      <c r="J131" s="1292">
        <f>III.b.2!J106</f>
        <v>7.4493468000000016</v>
      </c>
      <c r="K131" s="1292">
        <f>III.b.2!K106</f>
        <v>7.7162715000000031</v>
      </c>
      <c r="L131" s="1292">
        <f>III.b.2!L106</f>
        <v>7.9831962000000036</v>
      </c>
      <c r="M131" s="1292">
        <f>III.b.2!M106</f>
        <v>8.2501209000000024</v>
      </c>
      <c r="N131" s="1307"/>
      <c r="R131" s="2681"/>
      <c r="S131" s="2681"/>
      <c r="T131" s="2681"/>
      <c r="U131" s="2681"/>
      <c r="V131" s="2681"/>
      <c r="W131" s="2681"/>
      <c r="X131" s="2681"/>
      <c r="Y131" s="2681"/>
      <c r="Z131" s="192"/>
      <c r="AN131" s="192"/>
      <c r="AO131" s="192"/>
      <c r="AP131" s="192"/>
      <c r="AQ131" s="192"/>
      <c r="AR131" s="192"/>
      <c r="AS131" s="192"/>
      <c r="AT131" s="192"/>
      <c r="AU131" s="192"/>
      <c r="AV131" s="192"/>
    </row>
    <row r="132" spans="2:48" x14ac:dyDescent="0.2">
      <c r="B132" s="1290"/>
      <c r="C132" s="1320" t="s">
        <v>267</v>
      </c>
      <c r="D132" s="1318" t="str">
        <f>INDEX(Modulos[Modulos], MATCH($C132, Modulos[Código], 0))</f>
        <v>Hidráulica de Embalse</v>
      </c>
      <c r="E132" s="1318"/>
      <c r="F132" s="1292">
        <f>III.b.3!F84</f>
        <v>13.885344</v>
      </c>
      <c r="G132" s="1292">
        <f>III.b.3!G84</f>
        <v>14.190400800000001</v>
      </c>
      <c r="H132" s="1292">
        <f>III.b.3!H84</f>
        <v>14.4954576</v>
      </c>
      <c r="I132" s="1292">
        <f>III.b.3!I84</f>
        <v>14.800514399999997</v>
      </c>
      <c r="J132" s="1292">
        <f>III.b.3!J84</f>
        <v>15.105571199999996</v>
      </c>
      <c r="K132" s="1292">
        <f>III.b.3!K84</f>
        <v>15.410627999999996</v>
      </c>
      <c r="L132" s="1292">
        <f>III.b.3!L84</f>
        <v>15.715684799999996</v>
      </c>
      <c r="M132" s="1292">
        <f>III.b.3!M84</f>
        <v>16.020741599999994</v>
      </c>
      <c r="N132" s="1307"/>
      <c r="AN132" s="192"/>
      <c r="AO132" s="192"/>
      <c r="AP132" s="192"/>
      <c r="AQ132" s="192"/>
      <c r="AR132" s="192"/>
      <c r="AS132" s="192"/>
      <c r="AT132" s="192"/>
      <c r="AU132" s="192"/>
      <c r="AV132" s="192"/>
    </row>
    <row r="133" spans="2:48" s="192" customFormat="1" x14ac:dyDescent="0.2">
      <c r="B133" s="1319"/>
      <c r="C133" s="1320" t="s">
        <v>58</v>
      </c>
      <c r="D133" s="1318" t="str">
        <f>INDEX(Modulos[Modulos], MATCH($C133, Modulos[Código], 0))</f>
        <v>Mareomotriz y Undimotriz</v>
      </c>
      <c r="E133" s="1318"/>
      <c r="F133" s="3572">
        <f>III.c!F105</f>
        <v>0</v>
      </c>
      <c r="G133" s="3572">
        <f>III.c!G105</f>
        <v>0</v>
      </c>
      <c r="H133" s="3572">
        <f>III.c!H105</f>
        <v>1.341198E-2</v>
      </c>
      <c r="I133" s="3572">
        <f>III.c!I105</f>
        <v>1.9329030000000001E-2</v>
      </c>
      <c r="J133" s="3572">
        <f>III.c!J105</f>
        <v>2.8993545000000003E-2</v>
      </c>
      <c r="K133" s="3572">
        <f>III.c!K105</f>
        <v>8.6483602800000003E-2</v>
      </c>
      <c r="L133" s="3572">
        <f>III.c!L105</f>
        <v>0.1770854724</v>
      </c>
      <c r="M133" s="3572">
        <f>III.c!M105</f>
        <v>0.3541709448</v>
      </c>
      <c r="N133" s="1321"/>
      <c r="O133"/>
      <c r="P133"/>
      <c r="Q133"/>
      <c r="R133"/>
      <c r="S133"/>
      <c r="T133"/>
      <c r="U133"/>
      <c r="V133"/>
      <c r="W133"/>
      <c r="X133"/>
      <c r="Y133"/>
      <c r="Z133"/>
      <c r="AN133"/>
      <c r="AO133"/>
      <c r="AP133"/>
      <c r="AQ133"/>
      <c r="AR133"/>
      <c r="AS133"/>
      <c r="AT133"/>
      <c r="AU133"/>
      <c r="AV133"/>
    </row>
    <row r="134" spans="2:48" s="192" customFormat="1" x14ac:dyDescent="0.2">
      <c r="B134" s="1319"/>
      <c r="C134" s="1320" t="s">
        <v>60</v>
      </c>
      <c r="D134" s="1318" t="str">
        <f>INDEX(Modulos[Modulos], MATCH($C134, Modulos[Código], 0))</f>
        <v>Geotérmica</v>
      </c>
      <c r="E134" s="1318"/>
      <c r="F134" s="3572">
        <f>III.d!F76</f>
        <v>0</v>
      </c>
      <c r="G134" s="3572">
        <f>III.d!G76</f>
        <v>0.35064000000000006</v>
      </c>
      <c r="H134" s="3572">
        <f>III.d!H76</f>
        <v>0.35064000000000006</v>
      </c>
      <c r="I134" s="3572">
        <f>III.d!I76</f>
        <v>0.35064000000000006</v>
      </c>
      <c r="J134" s="3572">
        <f>III.d!J76</f>
        <v>0.35064000000000006</v>
      </c>
      <c r="K134" s="3572">
        <f>III.d!K76</f>
        <v>0.35064000000000006</v>
      </c>
      <c r="L134" s="3572">
        <f>III.d!L76</f>
        <v>0.35064000000000006</v>
      </c>
      <c r="M134" s="3572">
        <f>III.d!M76</f>
        <v>0.35064000000000006</v>
      </c>
      <c r="N134" s="1321"/>
      <c r="O134"/>
      <c r="P134"/>
      <c r="Q134"/>
      <c r="AN134"/>
      <c r="AO134"/>
      <c r="AP134"/>
      <c r="AQ134"/>
      <c r="AR134"/>
      <c r="AS134"/>
      <c r="AT134"/>
      <c r="AU134"/>
      <c r="AV134"/>
    </row>
    <row r="135" spans="2:48" s="192" customFormat="1" x14ac:dyDescent="0.2">
      <c r="B135" s="1319"/>
      <c r="C135" s="1320" t="s">
        <v>311</v>
      </c>
      <c r="D135" s="1318" t="str">
        <f>INDEX(Modulos[Modulos], MATCH($C135, Modulos[Código], 0))</f>
        <v>Plantas Solares</v>
      </c>
      <c r="E135" s="1318"/>
      <c r="F135" s="3572">
        <f>III.e!F112</f>
        <v>1.551582</v>
      </c>
      <c r="G135" s="3572">
        <f>III.e!G112</f>
        <v>4.8028037400000008</v>
      </c>
      <c r="H135" s="3572">
        <f>III.e!H112</f>
        <v>6.9066437399999998</v>
      </c>
      <c r="I135" s="3572">
        <f>III.e!I112</f>
        <v>7.9585637399999998</v>
      </c>
      <c r="J135" s="3572">
        <f>III.e!J112</f>
        <v>8.8000997399999985</v>
      </c>
      <c r="K135" s="3572">
        <f>III.e!K112</f>
        <v>9.4312517399999969</v>
      </c>
      <c r="L135" s="3572">
        <f>III.e!L112</f>
        <v>9.8520197399999976</v>
      </c>
      <c r="M135" s="3572">
        <f>III.e!M112</f>
        <v>10.167595739999998</v>
      </c>
      <c r="N135" s="1321"/>
      <c r="O135"/>
      <c r="P135"/>
      <c r="Q135"/>
    </row>
    <row r="136" spans="2:48" s="192" customFormat="1" x14ac:dyDescent="0.2">
      <c r="B136" s="1319"/>
      <c r="C136" s="1320" t="s">
        <v>62</v>
      </c>
      <c r="D136" s="1318" t="str">
        <f>INDEX(Modulos[Modulos], MATCH($C136, Modulos[Código], 0))</f>
        <v>Solar de menor escala (GD)</v>
      </c>
      <c r="E136" s="1318"/>
      <c r="F136" s="3572">
        <f>IV.a!F78</f>
        <v>3.4906211999999992E-2</v>
      </c>
      <c r="G136" s="3572">
        <f>IV.a!G78</f>
        <v>9.0334835470117607E-3</v>
      </c>
      <c r="H136" s="3572">
        <f>IV.a!H78</f>
        <v>8.4682342872358943E-2</v>
      </c>
      <c r="I136" s="3572">
        <f>IV.a!I78</f>
        <v>0.20539354278862565</v>
      </c>
      <c r="J136" s="3572">
        <f>IV.a!J78</f>
        <v>0.28257582941859183</v>
      </c>
      <c r="K136" s="3572">
        <f>IV.a!K78</f>
        <v>0.33868748298622414</v>
      </c>
      <c r="L136" s="3572">
        <f>IV.a!L78</f>
        <v>0.39335245918156653</v>
      </c>
      <c r="M136" s="3572">
        <f>IV.a!M78</f>
        <v>0.44255994096679807</v>
      </c>
      <c r="N136" s="1321"/>
      <c r="O136"/>
    </row>
    <row r="137" spans="2:48" s="192" customFormat="1" x14ac:dyDescent="0.2">
      <c r="B137" s="1319"/>
      <c r="C137" s="1320" t="s">
        <v>68</v>
      </c>
      <c r="D137" s="1318" t="str">
        <f>INDEX(Modulos[Modulos], MATCH($C137, Modulos[Código], 0))</f>
        <v>Residuos</v>
      </c>
      <c r="E137" s="1318"/>
      <c r="F137" s="3572">
        <f>V.a!F66</f>
        <v>0.26280000000000003</v>
      </c>
      <c r="G137" s="3572">
        <f>V.a!G66</f>
        <v>0.35039999999999999</v>
      </c>
      <c r="H137" s="3572">
        <f>V.a!H66</f>
        <v>0.41172000000000003</v>
      </c>
      <c r="I137" s="3572">
        <f>V.a!I66</f>
        <v>0.41172000000000003</v>
      </c>
      <c r="J137" s="3572">
        <f>V.a!J66</f>
        <v>0.41172000000000003</v>
      </c>
      <c r="K137" s="3572">
        <f>V.a!K66</f>
        <v>0.41172000000000003</v>
      </c>
      <c r="L137" s="3572">
        <f>V.a!L66</f>
        <v>0.41172000000000003</v>
      </c>
      <c r="M137" s="3572">
        <f>V.a!M66</f>
        <v>0.41172000000000003</v>
      </c>
      <c r="N137" s="1321"/>
      <c r="O137"/>
    </row>
    <row r="138" spans="2:48" s="192" customFormat="1" x14ac:dyDescent="0.2">
      <c r="B138" s="1319"/>
      <c r="C138" s="1320" t="s">
        <v>764</v>
      </c>
      <c r="D138" s="1318" t="str">
        <f>INDEX(Modulos[Modulos], MATCH($C138, Modulos[Código], 0))</f>
        <v>Agropecuario</v>
      </c>
      <c r="E138" s="1318"/>
      <c r="F138" s="3572">
        <f>V.b!F70</f>
        <v>3.4389010267325154E-3</v>
      </c>
      <c r="G138" s="3572">
        <f>V.b!G70</f>
        <v>4.2392356044495443E-3</v>
      </c>
      <c r="H138" s="3572">
        <f>V.b!H70</f>
        <v>4.9529130700314613E-3</v>
      </c>
      <c r="I138" s="3572">
        <f>V.b!I70</f>
        <v>5.6121819002050294E-3</v>
      </c>
      <c r="J138" s="3572">
        <f>V.b!J70</f>
        <v>6.2600763354361899E-3</v>
      </c>
      <c r="K138" s="3572">
        <f>V.b!K70</f>
        <v>6.9065998236423074E-3</v>
      </c>
      <c r="L138" s="3572">
        <f>V.b!L70</f>
        <v>7.4835421882092018E-3</v>
      </c>
      <c r="M138" s="3572">
        <f>V.b!M70</f>
        <v>8.0416559644615384E-3</v>
      </c>
      <c r="N138" s="1321"/>
      <c r="O138"/>
    </row>
    <row r="139" spans="2:48" x14ac:dyDescent="0.2">
      <c r="B139" s="1290"/>
      <c r="C139" s="1318"/>
      <c r="D139" s="1318"/>
      <c r="E139" s="1318"/>
      <c r="F139" s="1292"/>
      <c r="G139" s="1292"/>
      <c r="H139" s="1292"/>
      <c r="I139" s="1292"/>
      <c r="J139" s="1292"/>
      <c r="K139" s="1292"/>
      <c r="L139" s="1292"/>
      <c r="M139" s="1292"/>
      <c r="N139" s="1307"/>
      <c r="AN139" s="192"/>
      <c r="AO139" s="192"/>
      <c r="AP139" s="192"/>
      <c r="AQ139" s="192"/>
      <c r="AR139" s="192"/>
      <c r="AS139" s="192"/>
      <c r="AT139" s="192"/>
      <c r="AU139" s="192"/>
      <c r="AV139" s="192"/>
    </row>
    <row r="140" spans="2:48" x14ac:dyDescent="0.2">
      <c r="B140" s="1290"/>
      <c r="C140" s="1318"/>
      <c r="D140" s="1322" t="s">
        <v>118</v>
      </c>
      <c r="E140" s="1318"/>
      <c r="F140" s="1323">
        <f t="shared" ref="F140:M140" ca="1" si="62">SUM(F125:F138)</f>
        <v>67.579633316573748</v>
      </c>
      <c r="G140" s="1323">
        <f t="shared" ca="1" si="62"/>
        <v>78.979509560230042</v>
      </c>
      <c r="H140" s="1323">
        <f t="shared" ca="1" si="62"/>
        <v>91.520244446127023</v>
      </c>
      <c r="I140" s="1323">
        <f t="shared" ca="1" si="62"/>
        <v>103.60064575816739</v>
      </c>
      <c r="J140" s="1323">
        <f t="shared" ca="1" si="62"/>
        <v>117.65200581808283</v>
      </c>
      <c r="K140" s="1323">
        <f t="shared" ca="1" si="62"/>
        <v>132.75541227739603</v>
      </c>
      <c r="L140" s="1323">
        <f t="shared" ca="1" si="62"/>
        <v>148.13841553905652</v>
      </c>
      <c r="M140" s="1323">
        <f t="shared" ca="1" si="62"/>
        <v>162.18836791957608</v>
      </c>
      <c r="N140" s="1307"/>
      <c r="P140" s="1325"/>
    </row>
    <row r="141" spans="2:48" x14ac:dyDescent="0.2">
      <c r="B141" s="1290"/>
      <c r="C141" s="1318"/>
      <c r="D141" s="1326"/>
      <c r="E141" s="1318"/>
      <c r="F141" s="1324"/>
      <c r="G141" s="1324"/>
      <c r="H141" s="1324"/>
      <c r="I141" s="1324"/>
      <c r="J141" s="1324"/>
      <c r="K141" s="1324"/>
      <c r="L141" s="1324"/>
      <c r="M141" s="1324"/>
      <c r="N141" s="1307"/>
    </row>
    <row r="142" spans="2:48" outlineLevel="1" x14ac:dyDescent="0.2">
      <c r="B142" s="1290"/>
      <c r="C142" s="1291"/>
      <c r="D142" s="1300"/>
      <c r="E142" s="1291"/>
      <c r="F142" s="1327"/>
      <c r="G142" s="1327"/>
      <c r="H142" s="1327"/>
      <c r="I142" s="1327"/>
      <c r="J142" s="1327"/>
      <c r="K142" s="1327"/>
      <c r="L142" s="1327"/>
      <c r="M142" s="1327"/>
      <c r="N142" s="1307"/>
    </row>
    <row r="143" spans="2:48" outlineLevel="1" x14ac:dyDescent="0.2">
      <c r="B143" s="1290"/>
      <c r="C143" s="1326"/>
      <c r="D143" s="1291"/>
      <c r="E143" s="1324"/>
      <c r="F143" s="1324"/>
      <c r="G143" s="1324"/>
      <c r="H143" s="1324"/>
      <c r="I143" s="1324"/>
      <c r="J143" s="1324"/>
      <c r="K143" s="1324"/>
      <c r="L143" s="1324"/>
      <c r="M143" s="1324"/>
      <c r="N143" s="1307"/>
    </row>
    <row r="144" spans="2:48" outlineLevel="1" x14ac:dyDescent="0.2">
      <c r="B144" s="1290"/>
      <c r="C144" s="1316"/>
      <c r="D144" s="1316" t="s">
        <v>1958</v>
      </c>
      <c r="E144" s="1316"/>
      <c r="F144" s="1317">
        <v>2015</v>
      </c>
      <c r="G144" s="1317">
        <v>2020</v>
      </c>
      <c r="H144" s="1317">
        <v>2025</v>
      </c>
      <c r="I144" s="1317">
        <v>2030</v>
      </c>
      <c r="J144" s="1317">
        <v>2035</v>
      </c>
      <c r="K144" s="1317">
        <v>2040</v>
      </c>
      <c r="L144" s="1317">
        <v>2045</v>
      </c>
      <c r="M144" s="1317">
        <v>2050</v>
      </c>
      <c r="N144" s="1307"/>
    </row>
    <row r="145" spans="2:23" outlineLevel="1" x14ac:dyDescent="0.2">
      <c r="B145" s="1290"/>
      <c r="C145" s="1318" t="s">
        <v>46</v>
      </c>
      <c r="D145" s="1318" t="str">
        <f>INDEX(Modulos[Modulos], MATCH($C145, Modulos[Código], 0))</f>
        <v>Termoelectricidad</v>
      </c>
      <c r="E145" s="1318"/>
      <c r="F145" s="2867">
        <f ca="1">I.a!F346+I.a!F265</f>
        <v>7.9144049950311555</v>
      </c>
      <c r="G145" s="2867">
        <f ca="1">I.a!G346+I.a!G265</f>
        <v>7.9676791925185793</v>
      </c>
      <c r="H145" s="2867">
        <f ca="1">I.a!H346+I.a!H265</f>
        <v>9.5078614425367292</v>
      </c>
      <c r="I145" s="2867">
        <f ca="1">I.a!I346+I.a!I265</f>
        <v>11.153347153230419</v>
      </c>
      <c r="J145" s="2867">
        <f ca="1">I.a!J346+I.a!J265</f>
        <v>13.187153974560031</v>
      </c>
      <c r="K145" s="2867">
        <f ca="1">I.a!K346+I.a!K265</f>
        <v>15.424154474980524</v>
      </c>
      <c r="L145" s="2867">
        <f ca="1">I.a!L346+I.a!L265</f>
        <v>17.739591876332433</v>
      </c>
      <c r="M145" s="2867">
        <f ca="1">I.a!M346+I.a!M265</f>
        <v>19.839311762122669</v>
      </c>
      <c r="N145" s="1307"/>
      <c r="P145" s="2870"/>
      <c r="Q145" s="2870"/>
    </row>
    <row r="146" spans="2:23" outlineLevel="1" x14ac:dyDescent="0.2">
      <c r="B146" s="1290"/>
      <c r="C146" s="1320" t="s">
        <v>208</v>
      </c>
      <c r="D146" s="1318" t="str">
        <f>INDEX(Modulos[Modulos], MATCH($C146, Modulos[Código], 0))</f>
        <v>Plantas Eólicas</v>
      </c>
      <c r="E146" s="1318"/>
      <c r="F146" s="2868">
        <f>III.a!F19</f>
        <v>1.0105</v>
      </c>
      <c r="G146" s="2868">
        <f>III.a!G19</f>
        <v>1.778</v>
      </c>
      <c r="H146" s="2868">
        <f>III.a!H19</f>
        <v>1.8839999999999999</v>
      </c>
      <c r="I146" s="2868">
        <f>III.a!I19</f>
        <v>1.9899999999999998</v>
      </c>
      <c r="J146" s="2868">
        <f>III.a!J19</f>
        <v>2.0959999999999996</v>
      </c>
      <c r="K146" s="2868">
        <f>III.a!K19</f>
        <v>2.2019999999999995</v>
      </c>
      <c r="L146" s="2868">
        <f>III.a!L19</f>
        <v>2.3079999999999994</v>
      </c>
      <c r="M146" s="2868">
        <f>III.a!M19</f>
        <v>2.4139999999999993</v>
      </c>
      <c r="N146" s="1307"/>
      <c r="P146" s="2870"/>
      <c r="Q146" s="2870"/>
      <c r="R146" s="2870"/>
      <c r="S146" s="2870"/>
      <c r="T146" s="2870"/>
      <c r="U146" s="2870"/>
      <c r="V146" s="2870"/>
      <c r="W146" s="2870"/>
    </row>
    <row r="147" spans="2:23" outlineLevel="1" x14ac:dyDescent="0.2">
      <c r="B147" s="1290"/>
      <c r="C147" s="1320" t="s">
        <v>246</v>
      </c>
      <c r="D147" s="1318" t="str">
        <f>INDEX(Modulos[Modulos], MATCH($C147, Modulos[Código], 0))</f>
        <v>Mini Hidráulica de Pasada</v>
      </c>
      <c r="E147" s="1318"/>
      <c r="F147" s="2868">
        <f>III.b.1!F19</f>
        <v>0.39</v>
      </c>
      <c r="G147" s="2868">
        <f>III.b.1!G19</f>
        <v>0.48</v>
      </c>
      <c r="H147" s="2868">
        <f>III.b.1!H19</f>
        <v>0.56999999999999995</v>
      </c>
      <c r="I147" s="2868">
        <f>III.b.1!I19</f>
        <v>0.66</v>
      </c>
      <c r="J147" s="2868">
        <f>III.b.1!J19</f>
        <v>0.74</v>
      </c>
      <c r="K147" s="2868">
        <f>III.b.1!K19</f>
        <v>0.83</v>
      </c>
      <c r="L147" s="2868">
        <f>III.b.1!L19</f>
        <v>0.92</v>
      </c>
      <c r="M147" s="2868">
        <f>III.b.1!M19</f>
        <v>1</v>
      </c>
      <c r="N147" s="1307"/>
      <c r="P147" s="2870"/>
      <c r="Q147" s="2870"/>
      <c r="R147" s="2870"/>
      <c r="S147" s="2870"/>
      <c r="T147" s="2870"/>
      <c r="U147" s="2870"/>
      <c r="V147" s="2870"/>
      <c r="W147" s="2870"/>
    </row>
    <row r="148" spans="2:23" outlineLevel="1" x14ac:dyDescent="0.2">
      <c r="B148" s="1290"/>
      <c r="C148" s="1320" t="s">
        <v>258</v>
      </c>
      <c r="D148" s="1318" t="str">
        <f>INDEX(Modulos[Modulos], MATCH($C148, Modulos[Código], 0))</f>
        <v>Hidráulica de Pasada</v>
      </c>
      <c r="E148" s="1318"/>
      <c r="F148" s="2867">
        <f>III.b.2!F19</f>
        <v>2.08</v>
      </c>
      <c r="G148" s="2867">
        <f>III.b.2!G19</f>
        <v>2.1670000000000003</v>
      </c>
      <c r="H148" s="2867">
        <f>III.b.2!H19</f>
        <v>2.2540000000000004</v>
      </c>
      <c r="I148" s="2867">
        <f>III.b.2!I19</f>
        <v>2.3410000000000006</v>
      </c>
      <c r="J148" s="2867">
        <f>III.b.2!J19</f>
        <v>2.4280000000000008</v>
      </c>
      <c r="K148" s="2867">
        <f>III.b.2!K19</f>
        <v>2.515000000000001</v>
      </c>
      <c r="L148" s="2867">
        <f>III.b.2!L19</f>
        <v>2.6020000000000012</v>
      </c>
      <c r="M148" s="2867">
        <f>III.b.2!M19</f>
        <v>2.6890000000000014</v>
      </c>
      <c r="N148" s="1307"/>
      <c r="P148" s="2870"/>
      <c r="Q148" s="2870"/>
      <c r="R148" s="2870"/>
      <c r="S148" s="2870"/>
      <c r="T148" s="2870"/>
      <c r="U148" s="2870"/>
      <c r="V148" s="2870"/>
      <c r="W148" s="2870"/>
    </row>
    <row r="149" spans="2:23" outlineLevel="1" x14ac:dyDescent="0.2">
      <c r="B149" s="1290"/>
      <c r="C149" s="1320" t="s">
        <v>267</v>
      </c>
      <c r="D149" s="1318" t="str">
        <f>INDEX(Modulos[Modulos], MATCH($C149, Modulos[Código], 0))</f>
        <v>Hidráulica de Embalse</v>
      </c>
      <c r="E149" s="1318"/>
      <c r="F149" s="2867">
        <f>III.b.3!F19</f>
        <v>3.96</v>
      </c>
      <c r="G149" s="2867">
        <f>III.b.3!G19</f>
        <v>4.0469999999999997</v>
      </c>
      <c r="H149" s="2867">
        <f>III.b.3!H19</f>
        <v>4.1339999999999995</v>
      </c>
      <c r="I149" s="2867">
        <f>III.b.3!I19</f>
        <v>4.2209999999999992</v>
      </c>
      <c r="J149" s="2867">
        <f>III.b.3!J19</f>
        <v>4.3079999999999989</v>
      </c>
      <c r="K149" s="2867">
        <f>III.b.3!K19</f>
        <v>4.3949999999999987</v>
      </c>
      <c r="L149" s="2867">
        <f>III.b.3!L19</f>
        <v>4.4819999999999984</v>
      </c>
      <c r="M149" s="2867">
        <f>III.b.3!M19</f>
        <v>4.5689999999999982</v>
      </c>
      <c r="N149" s="1307"/>
      <c r="P149" s="2870"/>
      <c r="Q149" s="2870"/>
      <c r="R149" s="2870"/>
      <c r="S149" s="2870"/>
      <c r="T149" s="2870"/>
      <c r="U149" s="2870"/>
      <c r="V149" s="2870"/>
      <c r="W149" s="2870"/>
    </row>
    <row r="150" spans="2:23" outlineLevel="1" x14ac:dyDescent="0.2">
      <c r="B150" s="1290"/>
      <c r="C150" s="1320" t="s">
        <v>58</v>
      </c>
      <c r="D150" s="1318" t="str">
        <f>INDEX(Modulos[Modulos], MATCH($C150, Modulos[Código], 0))</f>
        <v>Mareomotriz y Undimotriz</v>
      </c>
      <c r="E150" s="1318"/>
      <c r="F150" s="2868">
        <f>III.c!F20+III.c!F29</f>
        <v>0</v>
      </c>
      <c r="G150" s="2868">
        <f>III.c!G20+III.c!G29</f>
        <v>0</v>
      </c>
      <c r="H150" s="2868">
        <f>III.c!H20+III.c!H29</f>
        <v>5.0000000000000001E-3</v>
      </c>
      <c r="I150" s="2868">
        <f>III.c!I20+III.c!I29</f>
        <v>7.0000000000000001E-3</v>
      </c>
      <c r="J150" s="2868">
        <f>III.c!J20+III.c!J29</f>
        <v>1.0500000000000001E-2</v>
      </c>
      <c r="K150" s="2868">
        <f>III.c!K20+III.c!K29</f>
        <v>2.6100000000000002E-2</v>
      </c>
      <c r="L150" s="2868">
        <f>III.c!L20+III.c!L29</f>
        <v>5.2200000000000003E-2</v>
      </c>
      <c r="M150" s="2868">
        <f>III.c!M20+III.c!M29</f>
        <v>0.10440000000000001</v>
      </c>
      <c r="N150" s="1307"/>
      <c r="P150" s="2870"/>
      <c r="Q150" s="2870"/>
      <c r="R150" s="2870"/>
      <c r="S150" s="2870"/>
      <c r="T150" s="2870"/>
      <c r="U150" s="2870"/>
      <c r="V150" s="2870"/>
      <c r="W150" s="2870"/>
    </row>
    <row r="151" spans="2:23" outlineLevel="1" x14ac:dyDescent="0.2">
      <c r="B151" s="1290"/>
      <c r="C151" s="1320" t="s">
        <v>60</v>
      </c>
      <c r="D151" s="1318" t="str">
        <f>INDEX(Modulos[Modulos], MATCH($C151, Modulos[Código], 0))</f>
        <v>Geotérmica</v>
      </c>
      <c r="E151" s="1318"/>
      <c r="F151" s="2868">
        <f>III.d!F19</f>
        <v>0</v>
      </c>
      <c r="G151" s="2868">
        <f>III.d!G19</f>
        <v>0.05</v>
      </c>
      <c r="H151" s="2868">
        <f>III.d!H19</f>
        <v>0.05</v>
      </c>
      <c r="I151" s="2868">
        <f>III.d!I19</f>
        <v>0.05</v>
      </c>
      <c r="J151" s="2868">
        <f>III.d!J19</f>
        <v>0.05</v>
      </c>
      <c r="K151" s="2868">
        <f>III.d!K19</f>
        <v>0.05</v>
      </c>
      <c r="L151" s="2868">
        <f>III.d!L19</f>
        <v>0.05</v>
      </c>
      <c r="M151" s="2868">
        <f>III.d!M19</f>
        <v>0.05</v>
      </c>
      <c r="N151" s="1307"/>
      <c r="P151" s="2870"/>
      <c r="Q151" s="2870"/>
      <c r="R151" s="2870"/>
      <c r="S151" s="2870"/>
      <c r="T151" s="2870"/>
      <c r="U151" s="2870"/>
      <c r="V151" s="2870"/>
      <c r="W151" s="2870"/>
    </row>
    <row r="152" spans="2:23" outlineLevel="1" x14ac:dyDescent="0.2">
      <c r="B152" s="1290"/>
      <c r="C152" s="1320" t="s">
        <v>311</v>
      </c>
      <c r="D152" s="1318" t="str">
        <f>INDEX(Modulos[Modulos], MATCH($C152, Modulos[Código], 0))</f>
        <v>Plantas Solares</v>
      </c>
      <c r="E152" s="1318"/>
      <c r="F152" s="2868">
        <f>III.e!F23</f>
        <v>0.59</v>
      </c>
      <c r="G152" s="2868">
        <f>III.e!G23</f>
        <v>1.79</v>
      </c>
      <c r="H152" s="2868">
        <f>III.e!H23</f>
        <v>2.59</v>
      </c>
      <c r="I152" s="2868">
        <f>III.e!I23</f>
        <v>2.9899999999999998</v>
      </c>
      <c r="J152" s="2868">
        <f>III.e!J23</f>
        <v>3.3099999999999996</v>
      </c>
      <c r="K152" s="2868">
        <f>III.e!K23</f>
        <v>3.5499999999999994</v>
      </c>
      <c r="L152" s="2868">
        <f>III.e!L23</f>
        <v>3.7099999999999995</v>
      </c>
      <c r="M152" s="2868">
        <f>III.e!M23</f>
        <v>3.8299999999999996</v>
      </c>
      <c r="N152" s="1307"/>
      <c r="P152" s="2870"/>
      <c r="Q152" s="2870"/>
      <c r="R152" s="2870"/>
      <c r="S152" s="2870"/>
      <c r="T152" s="2870"/>
      <c r="U152" s="2870"/>
      <c r="V152" s="2870"/>
      <c r="W152" s="2870"/>
    </row>
    <row r="153" spans="2:23" outlineLevel="1" x14ac:dyDescent="0.2">
      <c r="B153" s="1290"/>
      <c r="C153" s="1320" t="s">
        <v>62</v>
      </c>
      <c r="D153" s="1318" t="str">
        <f>INDEX(Modulos[Modulos], MATCH($C153, Modulos[Código], 0))</f>
        <v>Solar de menor escala (GD)</v>
      </c>
      <c r="E153" s="1318"/>
      <c r="F153" s="2868">
        <f>IV.a!F19</f>
        <v>2.1999999999999999E-2</v>
      </c>
      <c r="G153" s="2868">
        <f>IV.a!G19</f>
        <v>5.6934461417428714E-3</v>
      </c>
      <c r="H153" s="2868">
        <f>IV.a!H19</f>
        <v>5.3371919679852303E-2</v>
      </c>
      <c r="I153" s="2868">
        <f>IV.a!I19</f>
        <v>0.12945139797322508</v>
      </c>
      <c r="J153" s="2868">
        <f>IV.a!J19</f>
        <v>0.17809632987987983</v>
      </c>
      <c r="K153" s="2868">
        <f>IV.a!K19</f>
        <v>0.21346127805838486</v>
      </c>
      <c r="L153" s="2868">
        <f>IV.a!L19</f>
        <v>0.24791444290759665</v>
      </c>
      <c r="M153" s="2868">
        <f>IV.a!M19</f>
        <v>0.27892796563745037</v>
      </c>
      <c r="N153" s="1307"/>
      <c r="P153" s="2870"/>
      <c r="Q153" s="2870"/>
      <c r="R153" s="2870"/>
      <c r="S153" s="2870"/>
      <c r="T153" s="2870"/>
      <c r="U153" s="2870"/>
      <c r="V153" s="2870"/>
      <c r="W153" s="2870"/>
    </row>
    <row r="154" spans="2:23" outlineLevel="1" x14ac:dyDescent="0.2">
      <c r="B154" s="1290"/>
      <c r="C154" s="2865"/>
      <c r="D154" s="2866"/>
      <c r="E154" s="2866"/>
      <c r="F154" s="2869"/>
      <c r="G154" s="2869"/>
      <c r="H154" s="2869"/>
      <c r="I154" s="2869"/>
      <c r="J154" s="2869"/>
      <c r="K154" s="2869"/>
      <c r="L154" s="2869"/>
      <c r="M154" s="2869"/>
      <c r="N154" s="1307"/>
      <c r="P154" s="2870"/>
      <c r="Q154" s="2870"/>
      <c r="R154" s="2870"/>
      <c r="S154" s="2870"/>
      <c r="T154" s="2870"/>
      <c r="U154" s="2870"/>
      <c r="V154" s="2870"/>
      <c r="W154" s="2870"/>
    </row>
    <row r="155" spans="2:23" outlineLevel="1" x14ac:dyDescent="0.2">
      <c r="B155" s="1290"/>
      <c r="C155" s="1320" t="s">
        <v>68</v>
      </c>
      <c r="D155" s="1318" t="str">
        <f>INDEX(Modulos[Modulos], MATCH($C155, Modulos[Código], 0))</f>
        <v>Residuos</v>
      </c>
      <c r="E155" s="1318"/>
      <c r="F155" s="2618">
        <f>V.a!F86</f>
        <v>0</v>
      </c>
      <c r="G155" s="2618">
        <f>V.a!G86</f>
        <v>0</v>
      </c>
      <c r="H155" s="2618">
        <f>V.a!H86</f>
        <v>0</v>
      </c>
      <c r="I155" s="2618">
        <f>V.a!I86</f>
        <v>0</v>
      </c>
      <c r="J155" s="2618">
        <f>V.a!J86</f>
        <v>0</v>
      </c>
      <c r="K155" s="2618">
        <f>V.a!K86</f>
        <v>0</v>
      </c>
      <c r="L155" s="2618">
        <f>V.a!L86</f>
        <v>0</v>
      </c>
      <c r="M155" s="2618">
        <f>V.a!M86</f>
        <v>0</v>
      </c>
      <c r="N155" s="1307"/>
      <c r="P155" s="2870"/>
      <c r="Q155" s="2870"/>
      <c r="R155" s="2870"/>
      <c r="S155" s="2870"/>
      <c r="T155" s="2870"/>
      <c r="U155" s="2870"/>
      <c r="V155" s="2870"/>
      <c r="W155" s="2870"/>
    </row>
    <row r="156" spans="2:23" outlineLevel="1" x14ac:dyDescent="0.2">
      <c r="B156" s="1290"/>
      <c r="C156" s="1320" t="s">
        <v>764</v>
      </c>
      <c r="D156" s="1318" t="str">
        <f>INDEX(Modulos[Modulos], MATCH($C156, Modulos[Código], 0))</f>
        <v>Agropecuario</v>
      </c>
      <c r="E156" s="1318"/>
      <c r="F156" s="2618">
        <f>V.b!F90</f>
        <v>0</v>
      </c>
      <c r="G156" s="2618">
        <f>V.b!G90</f>
        <v>0</v>
      </c>
      <c r="H156" s="2618">
        <f>V.b!H90</f>
        <v>0</v>
      </c>
      <c r="I156" s="2618">
        <f>V.b!I90</f>
        <v>0</v>
      </c>
      <c r="J156" s="2618">
        <f>V.b!J90</f>
        <v>0</v>
      </c>
      <c r="K156" s="2618">
        <f>V.b!K90</f>
        <v>0</v>
      </c>
      <c r="L156" s="2618">
        <f>V.b!L90</f>
        <v>0</v>
      </c>
      <c r="M156" s="2618">
        <f>V.b!M90</f>
        <v>0</v>
      </c>
      <c r="N156" s="1307"/>
      <c r="P156" s="2870"/>
      <c r="Q156" s="2870"/>
      <c r="R156" s="2870"/>
      <c r="S156" s="2870"/>
      <c r="T156" s="2870"/>
      <c r="U156" s="2870"/>
      <c r="V156" s="2870"/>
      <c r="W156" s="2870"/>
    </row>
    <row r="157" spans="2:23" outlineLevel="1" x14ac:dyDescent="0.2">
      <c r="B157" s="1290"/>
      <c r="C157" s="1318"/>
      <c r="D157" s="1318"/>
      <c r="E157" s="1318"/>
      <c r="F157" s="1292"/>
      <c r="G157" s="1292"/>
      <c r="H157" s="1292"/>
      <c r="I157" s="1292"/>
      <c r="J157" s="1292"/>
      <c r="K157" s="1292"/>
      <c r="L157" s="1292"/>
      <c r="M157" s="1292"/>
      <c r="N157" s="1307"/>
      <c r="P157" s="2870"/>
      <c r="Q157" s="2870"/>
      <c r="R157" s="2870"/>
      <c r="S157" s="2870"/>
      <c r="T157" s="2870"/>
      <c r="U157" s="2870"/>
      <c r="V157" s="2870"/>
      <c r="W157" s="2870"/>
    </row>
    <row r="158" spans="2:23" outlineLevel="1" x14ac:dyDescent="0.2">
      <c r="B158" s="1290"/>
      <c r="C158" s="1320"/>
      <c r="D158" s="1320"/>
      <c r="E158" s="1318"/>
      <c r="F158" s="1328"/>
      <c r="G158" s="1328"/>
      <c r="H158" s="1328"/>
      <c r="I158" s="1328"/>
      <c r="J158" s="1328"/>
      <c r="K158" s="1328"/>
      <c r="L158" s="1328"/>
      <c r="M158" s="1328"/>
      <c r="N158" s="1307"/>
      <c r="P158" s="2870"/>
      <c r="Q158" s="2870"/>
      <c r="R158" s="2870"/>
      <c r="S158" s="2870"/>
      <c r="T158" s="2870"/>
      <c r="U158" s="2870"/>
      <c r="V158" s="2870"/>
      <c r="W158" s="2870"/>
    </row>
    <row r="159" spans="2:23" outlineLevel="1" x14ac:dyDescent="0.2">
      <c r="B159" s="1290"/>
      <c r="C159" s="1318"/>
      <c r="D159" s="1322" t="s">
        <v>718</v>
      </c>
      <c r="E159" s="1322"/>
      <c r="F159" s="1323">
        <f t="shared" ref="F159:M159" ca="1" si="63">SUM(F145:F156)</f>
        <v>15.966904995031156</v>
      </c>
      <c r="G159" s="1323">
        <f t="shared" ca="1" si="63"/>
        <v>18.28537263866032</v>
      </c>
      <c r="H159" s="1323">
        <f t="shared" ca="1" si="63"/>
        <v>21.048233362216582</v>
      </c>
      <c r="I159" s="1323">
        <f t="shared" ca="1" si="63"/>
        <v>23.541798551203645</v>
      </c>
      <c r="J159" s="1323">
        <f t="shared" ca="1" si="63"/>
        <v>26.30775030443991</v>
      </c>
      <c r="K159" s="1323">
        <f t="shared" ca="1" si="63"/>
        <v>29.205715753038909</v>
      </c>
      <c r="L159" s="1323">
        <f t="shared" ca="1" si="63"/>
        <v>32.111706319240035</v>
      </c>
      <c r="M159" s="1323">
        <f t="shared" ca="1" si="63"/>
        <v>34.774639727760118</v>
      </c>
      <c r="N159" s="1307"/>
      <c r="P159" s="2870"/>
      <c r="Q159" s="2870"/>
      <c r="R159" s="2870"/>
      <c r="S159" s="2870"/>
      <c r="T159" s="2870"/>
      <c r="U159" s="2870"/>
      <c r="V159" s="2870"/>
      <c r="W159" s="2870"/>
    </row>
    <row r="160" spans="2:23" outlineLevel="1" x14ac:dyDescent="0.2">
      <c r="B160" s="1290"/>
      <c r="C160" s="1291"/>
      <c r="D160" s="1326"/>
      <c r="E160" s="1291"/>
      <c r="F160" s="1324"/>
      <c r="G160" s="1324"/>
      <c r="H160" s="1324"/>
      <c r="I160" s="1324"/>
      <c r="J160" s="1324"/>
      <c r="K160" s="1324"/>
      <c r="L160" s="1324"/>
      <c r="M160" s="1324"/>
      <c r="N160" s="1307"/>
      <c r="R160" s="2870"/>
      <c r="S160" s="2870"/>
      <c r="T160" s="2870"/>
      <c r="U160" s="2870"/>
      <c r="V160" s="2870"/>
      <c r="W160" s="2870"/>
    </row>
    <row r="162" spans="1:48" ht="23.25" x14ac:dyDescent="0.35">
      <c r="A162" s="352"/>
      <c r="B162" s="1329" t="s">
        <v>434</v>
      </c>
      <c r="C162" s="1330"/>
      <c r="D162" s="1330"/>
      <c r="E162" s="1330"/>
      <c r="F162" s="1330"/>
      <c r="G162" s="1330"/>
      <c r="H162" s="1330"/>
      <c r="I162" s="1330"/>
      <c r="J162" s="1330"/>
      <c r="K162" s="1330"/>
      <c r="L162" s="1330"/>
      <c r="M162" s="1331"/>
      <c r="N162" s="1332"/>
    </row>
    <row r="163" spans="1:48" ht="15.75" x14ac:dyDescent="0.25">
      <c r="B163" s="1333"/>
      <c r="C163" s="1334"/>
      <c r="D163" s="1334"/>
      <c r="E163" s="1334"/>
      <c r="F163" s="1334"/>
      <c r="G163" s="1334"/>
      <c r="H163" s="1334"/>
      <c r="I163" s="1334"/>
      <c r="J163" s="1334"/>
      <c r="K163" s="1334"/>
      <c r="L163" s="1334"/>
      <c r="M163" s="1335"/>
      <c r="N163" s="1336"/>
    </row>
    <row r="164" spans="1:48" ht="15.75" hidden="1" outlineLevel="1" x14ac:dyDescent="0.25">
      <c r="B164" s="1333"/>
      <c r="C164" s="1337" t="s">
        <v>719</v>
      </c>
      <c r="D164" s="1334"/>
      <c r="E164" s="1334"/>
      <c r="F164" s="1334"/>
      <c r="G164" s="1334"/>
      <c r="H164" s="1334"/>
      <c r="I164" s="1334"/>
      <c r="J164" s="1334"/>
      <c r="K164" s="1334"/>
      <c r="L164" s="1334"/>
      <c r="M164" s="1335"/>
      <c r="N164" s="1336"/>
    </row>
    <row r="165" spans="1:48" hidden="1" outlineLevel="1" x14ac:dyDescent="0.2">
      <c r="B165" s="1338"/>
      <c r="C165" s="1334"/>
      <c r="D165" s="1339" t="s">
        <v>397</v>
      </c>
      <c r="E165" s="1334"/>
      <c r="F165" s="1334">
        <v>2015</v>
      </c>
      <c r="G165" s="1334">
        <v>2020</v>
      </c>
      <c r="H165" s="1334">
        <v>2025</v>
      </c>
      <c r="I165" s="1334">
        <v>2030</v>
      </c>
      <c r="J165" s="1334">
        <v>2035</v>
      </c>
      <c r="K165" s="1334">
        <v>2040</v>
      </c>
      <c r="L165" s="1334">
        <v>2045</v>
      </c>
      <c r="M165" s="1335">
        <v>2050</v>
      </c>
      <c r="N165" s="1336"/>
    </row>
    <row r="166" spans="1:48" s="192" customFormat="1" hidden="1" outlineLevel="1" x14ac:dyDescent="0.2">
      <c r="B166" s="1340"/>
      <c r="C166" s="1341" t="s">
        <v>399</v>
      </c>
      <c r="D166" s="1342" t="s">
        <v>720</v>
      </c>
      <c r="E166" s="1334"/>
      <c r="F166" s="1343"/>
      <c r="G166" s="1343"/>
      <c r="H166" s="1343"/>
      <c r="I166" s="1343"/>
      <c r="J166" s="1343"/>
      <c r="K166" s="1343"/>
      <c r="L166" s="1343"/>
      <c r="M166" s="1343"/>
      <c r="N166" s="1345"/>
      <c r="O166"/>
      <c r="R166"/>
      <c r="S166"/>
      <c r="T166"/>
      <c r="U166"/>
      <c r="V166"/>
      <c r="W166"/>
      <c r="X166"/>
      <c r="Y166"/>
      <c r="Z166"/>
      <c r="AN166"/>
      <c r="AO166"/>
      <c r="AP166"/>
      <c r="AQ166"/>
      <c r="AR166"/>
      <c r="AS166"/>
      <c r="AT166"/>
      <c r="AU166"/>
      <c r="AV166"/>
    </row>
    <row r="167" spans="1:48" s="192" customFormat="1" hidden="1" outlineLevel="1" x14ac:dyDescent="0.2">
      <c r="B167" s="1340"/>
      <c r="C167" s="1341" t="s">
        <v>721</v>
      </c>
      <c r="D167" s="1342" t="s">
        <v>722</v>
      </c>
      <c r="E167" s="1334"/>
      <c r="F167" s="1343"/>
      <c r="G167" s="1343"/>
      <c r="H167" s="1343"/>
      <c r="I167" s="1343"/>
      <c r="J167" s="1343"/>
      <c r="K167" s="1343"/>
      <c r="L167" s="1343"/>
      <c r="M167" s="1343"/>
      <c r="N167" s="1345"/>
      <c r="O167"/>
      <c r="AN167"/>
      <c r="AO167"/>
      <c r="AP167"/>
      <c r="AQ167"/>
      <c r="AR167"/>
      <c r="AS167"/>
      <c r="AT167"/>
      <c r="AU167"/>
      <c r="AV167"/>
    </row>
    <row r="168" spans="1:48" hidden="1" outlineLevel="1" x14ac:dyDescent="0.2">
      <c r="B168" s="1338"/>
      <c r="C168" s="1335">
        <v>1</v>
      </c>
      <c r="D168" s="1334" t="s">
        <v>720</v>
      </c>
      <c r="E168" s="1334"/>
      <c r="F168" s="1346">
        <v>0.56661426907999368</v>
      </c>
      <c r="G168" s="1346">
        <v>0.49756796056738867</v>
      </c>
      <c r="H168" s="1346">
        <v>0.38312065040655702</v>
      </c>
      <c r="I168" s="1346">
        <v>0.27389784555316077</v>
      </c>
      <c r="J168" s="1346">
        <v>0.21541899939474124</v>
      </c>
      <c r="K168" s="1346">
        <v>0.16926561435766743</v>
      </c>
      <c r="L168" s="1346">
        <v>0.14483788951662166</v>
      </c>
      <c r="M168" s="1346">
        <v>0.12298007749339059</v>
      </c>
      <c r="N168" s="1336"/>
      <c r="R168" s="192"/>
      <c r="S168" s="192"/>
      <c r="T168" s="192"/>
      <c r="U168" s="192"/>
      <c r="V168" s="192"/>
      <c r="W168" s="192"/>
      <c r="X168" s="192"/>
      <c r="Y168" s="192"/>
      <c r="Z168" s="192"/>
      <c r="AN168" s="192"/>
      <c r="AO168" s="192"/>
      <c r="AP168" s="192"/>
      <c r="AQ168" s="192"/>
      <c r="AR168" s="192"/>
      <c r="AS168" s="192"/>
      <c r="AT168" s="192"/>
      <c r="AU168" s="192"/>
      <c r="AV168" s="192"/>
    </row>
    <row r="169" spans="1:48" hidden="1" outlineLevel="1" x14ac:dyDescent="0.2">
      <c r="B169" s="1338"/>
      <c r="C169" s="1335">
        <v>2</v>
      </c>
      <c r="D169" s="1334" t="s">
        <v>723</v>
      </c>
      <c r="E169" s="1334"/>
      <c r="F169" s="1346">
        <v>3.1015353852233273E-2</v>
      </c>
      <c r="G169" s="1346">
        <v>2.8599341677462781E-2</v>
      </c>
      <c r="H169" s="1346">
        <v>2.6502669820234338E-2</v>
      </c>
      <c r="I169" s="1346">
        <v>2.4677906404740515E-2</v>
      </c>
      <c r="J169" s="1346">
        <v>2.3085021706885575E-2</v>
      </c>
      <c r="K169" s="1346">
        <v>2.1690206098606876E-2</v>
      </c>
      <c r="L169" s="1346">
        <v>2.0464878723503537E-2</v>
      </c>
      <c r="M169" s="1346">
        <v>1.9384855987054535E-2</v>
      </c>
      <c r="N169" s="1336"/>
      <c r="AN169" s="192"/>
      <c r="AO169" s="192"/>
      <c r="AP169" s="192"/>
      <c r="AQ169" s="192"/>
      <c r="AR169" s="192"/>
      <c r="AS169" s="192"/>
      <c r="AT169" s="192"/>
      <c r="AU169" s="192"/>
      <c r="AV169" s="192"/>
    </row>
    <row r="170" spans="1:48" hidden="1" outlineLevel="1" x14ac:dyDescent="0.2">
      <c r="B170" s="1338"/>
      <c r="C170" s="1335">
        <v>3</v>
      </c>
      <c r="D170" s="1334" t="s">
        <v>724</v>
      </c>
      <c r="E170" s="1334"/>
      <c r="F170" s="1346">
        <v>0</v>
      </c>
      <c r="G170" s="1346">
        <v>0</v>
      </c>
      <c r="H170" s="1346">
        <v>0</v>
      </c>
      <c r="I170" s="1346">
        <v>0</v>
      </c>
      <c r="J170" s="1346">
        <v>0</v>
      </c>
      <c r="K170" s="1346">
        <v>0</v>
      </c>
      <c r="L170" s="1346">
        <v>0</v>
      </c>
      <c r="M170" s="1346">
        <v>0</v>
      </c>
      <c r="N170" s="1336"/>
    </row>
    <row r="171" spans="1:48" hidden="1" outlineLevel="1" x14ac:dyDescent="0.2">
      <c r="B171" s="1338"/>
      <c r="C171" s="1335">
        <v>4</v>
      </c>
      <c r="D171" s="1334" t="s">
        <v>544</v>
      </c>
      <c r="E171" s="1334"/>
      <c r="F171" s="1346">
        <v>5.0491772864339972E-2</v>
      </c>
      <c r="G171" s="1346">
        <v>4.6932518575429141E-2</v>
      </c>
      <c r="H171" s="1346">
        <v>4.6243109387699578E-2</v>
      </c>
      <c r="I171" s="1346">
        <v>4.5564349437134249E-2</v>
      </c>
      <c r="J171" s="1346">
        <v>4.4896066341011086E-2</v>
      </c>
      <c r="K171" s="1346">
        <v>4.4238090620757398E-2</v>
      </c>
      <c r="L171" s="1346">
        <v>4.3590255651453289E-2</v>
      </c>
      <c r="M171" s="1346">
        <v>4.2952397612233774E-2</v>
      </c>
      <c r="N171" s="1336"/>
    </row>
    <row r="172" spans="1:48" hidden="1" outlineLevel="1" x14ac:dyDescent="0.2">
      <c r="B172" s="1338"/>
      <c r="C172" s="1335">
        <v>5</v>
      </c>
      <c r="D172" s="1334" t="s">
        <v>725</v>
      </c>
      <c r="E172" s="1334"/>
      <c r="F172" s="1346">
        <v>6.3428196904412202E-3</v>
      </c>
      <c r="G172" s="1346">
        <v>9.2933341415558056E-3</v>
      </c>
      <c r="H172" s="1346">
        <v>1.1385702638130627E-2</v>
      </c>
      <c r="I172" s="1346">
        <v>1.1023128415900701E-2</v>
      </c>
      <c r="J172" s="1346">
        <v>9.7843900248534531E-3</v>
      </c>
      <c r="K172" s="1346">
        <v>6.4499235248734882E-3</v>
      </c>
      <c r="L172" s="1346">
        <v>3.1966761644134371E-3</v>
      </c>
      <c r="M172" s="1346">
        <v>8.7006092939320495E-4</v>
      </c>
      <c r="N172" s="1336"/>
    </row>
    <row r="173" spans="1:48" hidden="1" outlineLevel="1" x14ac:dyDescent="0.2">
      <c r="B173" s="1338"/>
      <c r="C173" s="1335">
        <v>6</v>
      </c>
      <c r="D173" s="1334" t="s">
        <v>545</v>
      </c>
      <c r="E173" s="1334"/>
      <c r="F173" s="1346">
        <v>1.6596039207458665E-2</v>
      </c>
      <c r="G173" s="1346">
        <v>1.372850110434167E-2</v>
      </c>
      <c r="H173" s="1346">
        <v>1.103301161196881E-2</v>
      </c>
      <c r="I173" s="1346">
        <v>8.6537611142866212E-3</v>
      </c>
      <c r="J173" s="1346">
        <v>7.3241593284320214E-3</v>
      </c>
      <c r="K173" s="1346">
        <v>6.1274809851541217E-3</v>
      </c>
      <c r="L173" s="1346">
        <v>5.1187497672510402E-3</v>
      </c>
      <c r="M173" s="1346">
        <v>4.1944338347296769E-3</v>
      </c>
      <c r="N173" s="1336"/>
    </row>
    <row r="174" spans="1:48" hidden="1" outlineLevel="1" x14ac:dyDescent="0.2">
      <c r="B174" s="1338"/>
      <c r="C174" s="1335">
        <v>7</v>
      </c>
      <c r="D174" s="1334" t="s">
        <v>726</v>
      </c>
      <c r="E174" s="1334"/>
      <c r="F174" s="1346">
        <v>0</v>
      </c>
      <c r="G174" s="1346">
        <v>0</v>
      </c>
      <c r="H174" s="1346">
        <v>0</v>
      </c>
      <c r="I174" s="1346">
        <v>0</v>
      </c>
      <c r="J174" s="1346">
        <v>0</v>
      </c>
      <c r="K174" s="1346">
        <v>0</v>
      </c>
      <c r="L174" s="1346">
        <v>0</v>
      </c>
      <c r="M174" s="1346">
        <v>0</v>
      </c>
      <c r="N174" s="1336"/>
    </row>
    <row r="175" spans="1:48" hidden="1" outlineLevel="1" x14ac:dyDescent="0.2">
      <c r="B175" s="1338"/>
      <c r="C175" s="1335" t="s">
        <v>727</v>
      </c>
      <c r="D175" s="1334" t="s">
        <v>728</v>
      </c>
      <c r="E175" s="1334"/>
      <c r="F175" s="1346">
        <v>6.6785269209799131E-2</v>
      </c>
      <c r="G175" s="1346">
        <v>7.4925303978138444E-2</v>
      </c>
      <c r="H175" s="1346">
        <v>8.0626080615239334E-2</v>
      </c>
      <c r="I175" s="1346">
        <v>8.6045005038667535E-2</v>
      </c>
      <c r="J175" s="1346">
        <v>9.2979657909864705E-2</v>
      </c>
      <c r="K175" s="1346">
        <v>9.7801426291446697E-2</v>
      </c>
      <c r="L175" s="1346">
        <v>0.10206898654018598</v>
      </c>
      <c r="M175" s="1346">
        <v>0.10371382535343145</v>
      </c>
      <c r="N175" s="1336"/>
    </row>
    <row r="176" spans="1:48" s="192" customFormat="1" hidden="1" outlineLevel="1" x14ac:dyDescent="0.2">
      <c r="B176" s="1340"/>
      <c r="C176" s="1335" t="s">
        <v>729</v>
      </c>
      <c r="D176" s="1342" t="s">
        <v>730</v>
      </c>
      <c r="E176" s="1334"/>
      <c r="F176" s="1346">
        <v>-1.7453519657635558E-2</v>
      </c>
      <c r="G176" s="1346">
        <v>-2.773299341495334E-2</v>
      </c>
      <c r="H176" s="1346">
        <v>-4.0816383413641556E-2</v>
      </c>
      <c r="I176" s="1346">
        <v>-4.727435965597488E-2</v>
      </c>
      <c r="J176" s="1346">
        <v>-5.3673039043582636E-2</v>
      </c>
      <c r="K176" s="1346">
        <v>-6.0524341693695069E-2</v>
      </c>
      <c r="L176" s="1346">
        <v>-6.7721943639991414E-2</v>
      </c>
      <c r="M176" s="1346">
        <v>-7.4894240323333097E-2</v>
      </c>
      <c r="N176" s="1345"/>
      <c r="O176"/>
      <c r="R176"/>
      <c r="S176"/>
      <c r="T176"/>
      <c r="U176"/>
      <c r="V176"/>
      <c r="W176"/>
      <c r="X176"/>
      <c r="Y176"/>
      <c r="Z176"/>
      <c r="AN176"/>
      <c r="AO176"/>
      <c r="AP176"/>
      <c r="AQ176"/>
      <c r="AR176"/>
      <c r="AS176"/>
      <c r="AT176"/>
      <c r="AU176"/>
      <c r="AV176"/>
    </row>
    <row r="177" spans="2:48" hidden="1" outlineLevel="1" x14ac:dyDescent="0.2">
      <c r="B177" s="1338"/>
      <c r="C177" s="1335" t="s">
        <v>731</v>
      </c>
      <c r="D177" s="1342" t="s">
        <v>732</v>
      </c>
      <c r="E177" s="1334"/>
      <c r="F177" s="1346">
        <v>-3.6276582386970545E-3</v>
      </c>
      <c r="G177" s="1346">
        <v>-8.5456921539656342E-3</v>
      </c>
      <c r="H177" s="1346">
        <v>-8.7802023438152133E-3</v>
      </c>
      <c r="I177" s="1346">
        <v>-8.9683445382789852E-3</v>
      </c>
      <c r="J177" s="1346">
        <v>-9.8419873980969148E-3</v>
      </c>
      <c r="K177" s="1346">
        <v>-1.1412441542302683E-2</v>
      </c>
      <c r="L177" s="1346">
        <v>-1.2966712827513958E-2</v>
      </c>
      <c r="M177" s="1346">
        <v>-1.492064372170406E-2</v>
      </c>
      <c r="N177" s="1336"/>
      <c r="R177" s="192"/>
      <c r="S177" s="192"/>
      <c r="T177" s="192"/>
      <c r="U177" s="192"/>
      <c r="V177" s="192"/>
      <c r="W177" s="192"/>
      <c r="X177" s="192"/>
      <c r="Y177" s="192"/>
      <c r="Z177" s="192"/>
    </row>
    <row r="178" spans="2:48" hidden="1" outlineLevel="1" x14ac:dyDescent="0.2">
      <c r="B178" s="1338"/>
      <c r="C178" s="1334"/>
      <c r="D178" s="1339" t="s">
        <v>118</v>
      </c>
      <c r="E178" s="1334"/>
      <c r="F178" s="1348">
        <v>0.71676434600793337</v>
      </c>
      <c r="G178" s="1348">
        <v>0.63476827447539741</v>
      </c>
      <c r="H178" s="1348">
        <v>0.50931463872237281</v>
      </c>
      <c r="I178" s="1348">
        <v>0.39361929176963645</v>
      </c>
      <c r="J178" s="1348">
        <v>0.3299732682641085</v>
      </c>
      <c r="K178" s="1348">
        <v>0.27363595864250823</v>
      </c>
      <c r="L178" s="1348">
        <v>0.23858877989592361</v>
      </c>
      <c r="M178" s="1348">
        <v>0.20428076716519608</v>
      </c>
      <c r="N178" s="1336"/>
      <c r="P178" s="1349"/>
      <c r="AN178" s="192"/>
      <c r="AO178" s="192"/>
      <c r="AP178" s="192"/>
      <c r="AQ178" s="192"/>
      <c r="AR178" s="192"/>
      <c r="AS178" s="192"/>
      <c r="AT178" s="192"/>
      <c r="AU178" s="192"/>
      <c r="AV178" s="192"/>
    </row>
    <row r="179" spans="2:48" ht="5.25" hidden="1" customHeight="1" outlineLevel="1" x14ac:dyDescent="0.2">
      <c r="B179" s="1338"/>
      <c r="C179" s="1334"/>
      <c r="D179" s="1334"/>
      <c r="E179" s="1334"/>
      <c r="F179" s="1347"/>
      <c r="G179" s="1347"/>
      <c r="H179" s="1347"/>
      <c r="I179" s="1347"/>
      <c r="J179" s="1347"/>
      <c r="K179" s="1347"/>
      <c r="L179" s="1347"/>
      <c r="M179" s="1347"/>
      <c r="N179" s="1336"/>
    </row>
    <row r="180" spans="2:48" s="449" customFormat="1" hidden="1" outlineLevel="1" x14ac:dyDescent="0.2">
      <c r="B180" s="1350"/>
      <c r="C180" s="1351" t="s">
        <v>733</v>
      </c>
      <c r="D180" s="1351"/>
      <c r="E180" s="1351"/>
      <c r="F180" s="1352">
        <v>0.66877166825605172</v>
      </c>
      <c r="G180" s="1352">
        <v>0.57602949188033048</v>
      </c>
      <c r="H180" s="1352">
        <v>0.4410830631347058</v>
      </c>
      <c r="I180" s="1352">
        <v>0.31646706208301417</v>
      </c>
      <c r="J180" s="1352">
        <v>0.24384571414728232</v>
      </c>
      <c r="K180" s="1352">
        <v>0.18091836758302815</v>
      </c>
      <c r="L180" s="1352">
        <v>0.14046693687779055</v>
      </c>
      <c r="M180" s="1352">
        <v>0.10347459456414333</v>
      </c>
      <c r="N180" s="1353"/>
      <c r="O180"/>
      <c r="R180"/>
      <c r="S180"/>
      <c r="T180"/>
      <c r="U180"/>
      <c r="V180"/>
      <c r="W180"/>
      <c r="X180"/>
      <c r="Y180"/>
      <c r="Z180"/>
      <c r="AN180"/>
      <c r="AO180"/>
      <c r="AP180"/>
      <c r="AQ180"/>
      <c r="AR180"/>
      <c r="AS180"/>
      <c r="AT180"/>
      <c r="AU180"/>
      <c r="AV180"/>
    </row>
    <row r="181" spans="2:48" hidden="1" outlineLevel="1" x14ac:dyDescent="0.2">
      <c r="B181" s="1338"/>
      <c r="C181" s="1334"/>
      <c r="D181" s="1334"/>
      <c r="E181" s="1334"/>
      <c r="F181" s="1334"/>
      <c r="G181" s="1334"/>
      <c r="H181" s="1334"/>
      <c r="I181" s="1334"/>
      <c r="J181" s="1334"/>
      <c r="K181" s="1334"/>
      <c r="L181" s="1334"/>
      <c r="M181" s="1334"/>
      <c r="N181" s="1336"/>
      <c r="R181" s="449"/>
      <c r="S181" s="449"/>
      <c r="T181" s="449"/>
      <c r="U181" s="449"/>
      <c r="V181" s="449"/>
      <c r="W181" s="449"/>
      <c r="X181" s="449"/>
      <c r="Y181" s="449"/>
      <c r="Z181" s="449"/>
    </row>
    <row r="182" spans="2:48" s="14" customFormat="1" ht="13.5" hidden="1" customHeight="1" outlineLevel="1" x14ac:dyDescent="0.2">
      <c r="B182" s="1354"/>
      <c r="C182" s="1355"/>
      <c r="D182" s="1356"/>
      <c r="E182" s="1356" t="s">
        <v>734</v>
      </c>
      <c r="F182" s="1355"/>
      <c r="G182" s="1355"/>
      <c r="H182" s="1355"/>
      <c r="I182" s="1355"/>
      <c r="J182" s="1355"/>
      <c r="K182" s="1355"/>
      <c r="L182" s="1359" t="s">
        <v>735</v>
      </c>
      <c r="M182" s="1360">
        <v>0.79571923283480395</v>
      </c>
      <c r="N182" s="1361"/>
      <c r="O182"/>
      <c r="R182"/>
      <c r="S182"/>
      <c r="T182"/>
      <c r="U182"/>
      <c r="V182"/>
      <c r="W182"/>
      <c r="X182"/>
      <c r="Y182"/>
      <c r="Z182"/>
      <c r="AN182" s="449"/>
      <c r="AO182" s="449"/>
      <c r="AP182" s="449"/>
      <c r="AQ182" s="449"/>
      <c r="AR182" s="449"/>
      <c r="AS182" s="449"/>
      <c r="AT182" s="449"/>
      <c r="AU182" s="449"/>
      <c r="AV182" s="449"/>
    </row>
    <row r="183" spans="2:48" s="14" customFormat="1" ht="13.5" customHeight="1" collapsed="1" x14ac:dyDescent="0.2">
      <c r="B183" s="1354"/>
      <c r="C183" s="1355"/>
      <c r="D183" s="1356" t="s">
        <v>534</v>
      </c>
      <c r="E183" s="1356"/>
      <c r="F183" s="1355"/>
      <c r="G183" s="1355"/>
      <c r="H183" s="1355"/>
      <c r="I183" s="1355"/>
      <c r="J183" s="1355"/>
      <c r="K183" s="1355"/>
      <c r="L183" s="1359"/>
      <c r="M183" s="1360"/>
      <c r="N183" s="1361"/>
      <c r="O183"/>
      <c r="AN183"/>
      <c r="AO183"/>
      <c r="AP183"/>
      <c r="AQ183"/>
      <c r="AR183"/>
      <c r="AS183"/>
      <c r="AT183"/>
      <c r="AU183"/>
      <c r="AV183"/>
    </row>
    <row r="184" spans="2:48" s="14" customFormat="1" ht="13.5" customHeight="1" x14ac:dyDescent="0.2">
      <c r="B184" s="1354"/>
      <c r="C184" s="1355" t="s">
        <v>1631</v>
      </c>
      <c r="D184" s="1356"/>
      <c r="E184" s="1356"/>
      <c r="F184" s="2620">
        <v>2015</v>
      </c>
      <c r="G184" s="2620">
        <v>2020</v>
      </c>
      <c r="H184" s="2620">
        <v>2025</v>
      </c>
      <c r="I184" s="2620">
        <v>2030</v>
      </c>
      <c r="J184" s="2620">
        <v>2035</v>
      </c>
      <c r="K184" s="2620">
        <v>2040</v>
      </c>
      <c r="L184" s="2620">
        <v>2045</v>
      </c>
      <c r="M184" s="2620">
        <v>2050</v>
      </c>
      <c r="N184" s="1361"/>
      <c r="O184"/>
    </row>
    <row r="185" spans="2:48" s="14" customFormat="1" ht="13.5" customHeight="1" x14ac:dyDescent="0.2">
      <c r="B185" s="1354"/>
      <c r="C185" s="1356" t="s">
        <v>46</v>
      </c>
      <c r="D185" s="1356" t="str">
        <f>INDEX(Modulos[Modulos], MATCH($C185, Modulos[Código], 0))</f>
        <v>Termoelectricidad</v>
      </c>
      <c r="E185" s="1356"/>
      <c r="F185" s="2621">
        <f ca="1">I.a!F518</f>
        <v>28.282873684358243</v>
      </c>
      <c r="G185" s="2621">
        <f ca="1">I.a!G518</f>
        <v>31.0104170487364</v>
      </c>
      <c r="H185" s="2621">
        <f ca="1">I.a!H518</f>
        <v>37.321690649147655</v>
      </c>
      <c r="I185" s="2621">
        <f ca="1">I.a!I518</f>
        <v>44.064470943903444</v>
      </c>
      <c r="J185" s="2621">
        <f ca="1">I.a!J518</f>
        <v>52.398491998647209</v>
      </c>
      <c r="K185" s="2621">
        <f ca="1">I.a!K518</f>
        <v>61.565148868147062</v>
      </c>
      <c r="L185" s="2621">
        <f ca="1">I.a!L518</f>
        <v>71.053220130093464</v>
      </c>
      <c r="M185" s="2621">
        <f ca="1">I.a!M518</f>
        <v>79.657336093181783</v>
      </c>
      <c r="N185" s="1361"/>
      <c r="O185"/>
    </row>
    <row r="186" spans="2:48" s="14" customFormat="1" x14ac:dyDescent="0.2">
      <c r="B186" s="1354"/>
      <c r="C186" s="1356" t="s">
        <v>208</v>
      </c>
      <c r="D186" s="1356" t="str">
        <f>INDEX(Modulos[Modulos], MATCH($C186, Modulos[Código], 0))</f>
        <v>Plantas Eólicas</v>
      </c>
      <c r="E186" s="1356"/>
      <c r="F186" s="2621" t="s">
        <v>239</v>
      </c>
      <c r="G186" s="2621" t="s">
        <v>239</v>
      </c>
      <c r="H186" s="2621" t="s">
        <v>239</v>
      </c>
      <c r="I186" s="2621" t="s">
        <v>239</v>
      </c>
      <c r="J186" s="2621" t="s">
        <v>239</v>
      </c>
      <c r="K186" s="2621" t="s">
        <v>239</v>
      </c>
      <c r="L186" s="2621" t="s">
        <v>239</v>
      </c>
      <c r="M186" s="2621" t="s">
        <v>239</v>
      </c>
      <c r="N186" s="1361"/>
      <c r="O186"/>
    </row>
    <row r="187" spans="2:48" s="14" customFormat="1" x14ac:dyDescent="0.2">
      <c r="B187" s="1354"/>
      <c r="C187" s="1356" t="s">
        <v>246</v>
      </c>
      <c r="D187" s="1356" t="str">
        <f>INDEX(Modulos[Modulos], MATCH($C187, Modulos[Código], 0))</f>
        <v>Mini Hidráulica de Pasada</v>
      </c>
      <c r="E187" s="1356"/>
      <c r="F187" s="2621" t="s">
        <v>239</v>
      </c>
      <c r="G187" s="2621" t="s">
        <v>239</v>
      </c>
      <c r="H187" s="2621" t="s">
        <v>239</v>
      </c>
      <c r="I187" s="2621" t="s">
        <v>239</v>
      </c>
      <c r="J187" s="2621" t="s">
        <v>239</v>
      </c>
      <c r="K187" s="2621" t="s">
        <v>239</v>
      </c>
      <c r="L187" s="2621" t="s">
        <v>239</v>
      </c>
      <c r="M187" s="2621" t="s">
        <v>239</v>
      </c>
      <c r="N187" s="1361"/>
      <c r="O187"/>
    </row>
    <row r="188" spans="2:48" s="14" customFormat="1" x14ac:dyDescent="0.2">
      <c r="B188" s="1354"/>
      <c r="C188" s="1356" t="s">
        <v>258</v>
      </c>
      <c r="D188" s="1356" t="str">
        <f>INDEX(Modulos[Modulos], MATCH($C188, Modulos[Código], 0))</f>
        <v>Hidráulica de Pasada</v>
      </c>
      <c r="E188" s="1356"/>
      <c r="F188" s="2621" t="s">
        <v>239</v>
      </c>
      <c r="G188" s="2621" t="s">
        <v>239</v>
      </c>
      <c r="H188" s="2621" t="s">
        <v>239</v>
      </c>
      <c r="I188" s="2621" t="s">
        <v>239</v>
      </c>
      <c r="J188" s="2621" t="s">
        <v>239</v>
      </c>
      <c r="K188" s="2621" t="s">
        <v>239</v>
      </c>
      <c r="L188" s="2621" t="s">
        <v>239</v>
      </c>
      <c r="M188" s="2621" t="s">
        <v>239</v>
      </c>
      <c r="N188" s="1361"/>
      <c r="O188"/>
    </row>
    <row r="189" spans="2:48" s="14" customFormat="1" x14ac:dyDescent="0.2">
      <c r="B189" s="1354"/>
      <c r="C189" s="1356" t="s">
        <v>267</v>
      </c>
      <c r="D189" s="1356" t="str">
        <f>INDEX(Modulos[Modulos], MATCH($C189, Modulos[Código], 0))</f>
        <v>Hidráulica de Embalse</v>
      </c>
      <c r="E189" s="1356"/>
      <c r="F189" s="2621" t="s">
        <v>239</v>
      </c>
      <c r="G189" s="2621" t="s">
        <v>239</v>
      </c>
      <c r="H189" s="2621" t="s">
        <v>239</v>
      </c>
      <c r="I189" s="2621" t="s">
        <v>239</v>
      </c>
      <c r="J189" s="2621" t="s">
        <v>239</v>
      </c>
      <c r="K189" s="2621" t="s">
        <v>239</v>
      </c>
      <c r="L189" s="2621" t="s">
        <v>239</v>
      </c>
      <c r="M189" s="2621" t="s">
        <v>239</v>
      </c>
      <c r="N189" s="1361"/>
      <c r="O189"/>
    </row>
    <row r="190" spans="2:48" s="14" customFormat="1" x14ac:dyDescent="0.2">
      <c r="B190" s="1354"/>
      <c r="C190" s="1356" t="s">
        <v>58</v>
      </c>
      <c r="D190" s="1356" t="str">
        <f>INDEX(Modulos[Modulos], MATCH($C190, Modulos[Código], 0))</f>
        <v>Mareomotriz y Undimotriz</v>
      </c>
      <c r="E190" s="1356"/>
      <c r="F190" s="2621" t="s">
        <v>239</v>
      </c>
      <c r="G190" s="2621" t="s">
        <v>239</v>
      </c>
      <c r="H190" s="2621" t="s">
        <v>239</v>
      </c>
      <c r="I190" s="2621" t="s">
        <v>239</v>
      </c>
      <c r="J190" s="2621" t="s">
        <v>239</v>
      </c>
      <c r="K190" s="2621" t="s">
        <v>239</v>
      </c>
      <c r="L190" s="2621" t="s">
        <v>239</v>
      </c>
      <c r="M190" s="2621" t="s">
        <v>239</v>
      </c>
      <c r="N190" s="1361"/>
      <c r="O190"/>
    </row>
    <row r="191" spans="2:48" s="14" customFormat="1" x14ac:dyDescent="0.2">
      <c r="B191" s="1354"/>
      <c r="C191" s="1356" t="s">
        <v>60</v>
      </c>
      <c r="D191" s="1356" t="str">
        <f>INDEX(Modulos[Modulos], MATCH($C191, Modulos[Código], 0))</f>
        <v>Geotérmica</v>
      </c>
      <c r="E191" s="1356"/>
      <c r="F191" s="2621" t="s">
        <v>239</v>
      </c>
      <c r="G191" s="2621" t="s">
        <v>239</v>
      </c>
      <c r="H191" s="2621" t="s">
        <v>239</v>
      </c>
      <c r="I191" s="2621" t="s">
        <v>239</v>
      </c>
      <c r="J191" s="2621" t="s">
        <v>239</v>
      </c>
      <c r="K191" s="2621" t="s">
        <v>239</v>
      </c>
      <c r="L191" s="2621" t="s">
        <v>239</v>
      </c>
      <c r="M191" s="2621" t="s">
        <v>239</v>
      </c>
      <c r="N191" s="1361"/>
      <c r="O191"/>
    </row>
    <row r="192" spans="2:48" s="14" customFormat="1" x14ac:dyDescent="0.2">
      <c r="B192" s="1354"/>
      <c r="C192" s="1356" t="s">
        <v>311</v>
      </c>
      <c r="D192" s="1356" t="str">
        <f>INDEX(Modulos[Modulos], MATCH($C192, Modulos[Código], 0))</f>
        <v>Plantas Solares</v>
      </c>
      <c r="E192" s="1356"/>
      <c r="F192" s="2621" t="s">
        <v>239</v>
      </c>
      <c r="G192" s="2621" t="s">
        <v>239</v>
      </c>
      <c r="H192" s="2621" t="s">
        <v>239</v>
      </c>
      <c r="I192" s="2621" t="s">
        <v>239</v>
      </c>
      <c r="J192" s="2621" t="s">
        <v>239</v>
      </c>
      <c r="K192" s="2621" t="s">
        <v>239</v>
      </c>
      <c r="L192" s="2621" t="s">
        <v>239</v>
      </c>
      <c r="M192" s="2621" t="s">
        <v>239</v>
      </c>
      <c r="N192" s="1361"/>
      <c r="O192"/>
    </row>
    <row r="193" spans="2:48" s="14" customFormat="1" x14ac:dyDescent="0.2">
      <c r="B193" s="1354"/>
      <c r="C193" s="1356" t="s">
        <v>62</v>
      </c>
      <c r="D193" s="1356" t="str">
        <f>INDEX(Modulos[Modulos], MATCH($C193, Modulos[Código], 0))</f>
        <v>Solar de menor escala (GD)</v>
      </c>
      <c r="E193" s="1356"/>
      <c r="F193" s="2621" t="s">
        <v>239</v>
      </c>
      <c r="G193" s="2621" t="s">
        <v>239</v>
      </c>
      <c r="H193" s="2621" t="s">
        <v>239</v>
      </c>
      <c r="I193" s="2621" t="s">
        <v>239</v>
      </c>
      <c r="J193" s="2621" t="s">
        <v>239</v>
      </c>
      <c r="K193" s="2621" t="s">
        <v>239</v>
      </c>
      <c r="L193" s="2621" t="s">
        <v>239</v>
      </c>
      <c r="M193" s="2621" t="s">
        <v>239</v>
      </c>
      <c r="N193" s="1361"/>
      <c r="O193"/>
    </row>
    <row r="194" spans="2:48" s="14" customFormat="1" x14ac:dyDescent="0.2">
      <c r="B194" s="1354"/>
      <c r="C194" s="1356" t="s">
        <v>66</v>
      </c>
      <c r="D194" s="1356" t="str">
        <f>INDEX(Modulos[Modulos], MATCH($C194, Modulos[Código], 0))</f>
        <v>Eólico de menor escala (GD)</v>
      </c>
      <c r="E194" s="1356"/>
      <c r="F194" s="2621" t="s">
        <v>239</v>
      </c>
      <c r="G194" s="2621" t="s">
        <v>239</v>
      </c>
      <c r="H194" s="2621" t="s">
        <v>239</v>
      </c>
      <c r="I194" s="2621" t="s">
        <v>239</v>
      </c>
      <c r="J194" s="2621" t="s">
        <v>239</v>
      </c>
      <c r="K194" s="2621" t="s">
        <v>239</v>
      </c>
      <c r="L194" s="2621" t="s">
        <v>239</v>
      </c>
      <c r="M194" s="2621" t="s">
        <v>239</v>
      </c>
      <c r="N194" s="1361"/>
      <c r="O194"/>
    </row>
    <row r="195" spans="2:48" s="14" customFormat="1" x14ac:dyDescent="0.2">
      <c r="B195" s="1354"/>
      <c r="C195" s="1356" t="s">
        <v>68</v>
      </c>
      <c r="D195" s="1356" t="str">
        <f>INDEX(Modulos[Modulos], MATCH($C195, Modulos[Código], 0))</f>
        <v>Residuos</v>
      </c>
      <c r="E195" s="1356"/>
      <c r="F195" s="2621">
        <f>V.a!F102</f>
        <v>3.1096431517807348</v>
      </c>
      <c r="G195" s="2621">
        <f>V.a!G102</f>
        <v>3.7985207352657593</v>
      </c>
      <c r="H195" s="2621">
        <f>V.a!H102</f>
        <v>4.4703772608361776</v>
      </c>
      <c r="I195" s="2621">
        <f>V.a!I102</f>
        <v>5.1610897215350429</v>
      </c>
      <c r="J195" s="2621">
        <f>V.a!J102</f>
        <v>5.8298104378228848</v>
      </c>
      <c r="K195" s="2621">
        <f>V.a!K102</f>
        <v>6.4941382054423507</v>
      </c>
      <c r="L195" s="2621">
        <f>V.a!L102</f>
        <v>7.1453790542053239</v>
      </c>
      <c r="M195" s="2621">
        <f>V.a!M102</f>
        <v>7.7960917135764722</v>
      </c>
      <c r="N195" s="1361"/>
      <c r="O195"/>
    </row>
    <row r="196" spans="2:48" s="14" customFormat="1" x14ac:dyDescent="0.2">
      <c r="B196" s="1354"/>
      <c r="C196" s="1356" t="s">
        <v>764</v>
      </c>
      <c r="D196" s="1356" t="str">
        <f>INDEX(Modulos[Modulos], MATCH($C196, Modulos[Código], 0))</f>
        <v>Agropecuario</v>
      </c>
      <c r="E196" s="1356"/>
      <c r="F196" s="2621">
        <f>V.b!F108</f>
        <v>12.816572783657763</v>
      </c>
      <c r="G196" s="2621">
        <f>V.b!G108</f>
        <v>12.78736097645349</v>
      </c>
      <c r="H196" s="2621">
        <f>V.b!H108</f>
        <v>12.778526133715729</v>
      </c>
      <c r="I196" s="2621">
        <f>V.b!I108</f>
        <v>12.913262357995444</v>
      </c>
      <c r="J196" s="2621">
        <f>V.b!J108</f>
        <v>13.100772485088362</v>
      </c>
      <c r="K196" s="2621">
        <f>V.b!K108</f>
        <v>13.309006434440434</v>
      </c>
      <c r="L196" s="2621">
        <f>V.b!L108</f>
        <v>13.522309091729012</v>
      </c>
      <c r="M196" s="2621">
        <f>V.b!M108</f>
        <v>13.732410206521122</v>
      </c>
      <c r="N196" s="1361"/>
      <c r="O196"/>
    </row>
    <row r="197" spans="2:48" s="14" customFormat="1" x14ac:dyDescent="0.2">
      <c r="B197" s="1354"/>
      <c r="C197" s="1356" t="s">
        <v>86</v>
      </c>
      <c r="D197" s="1356" t="str">
        <f>INDEX(Modulos[Modulos], MATCH($C197, Modulos[Código], 0))</f>
        <v>Residencial</v>
      </c>
      <c r="E197" s="1356"/>
      <c r="F197" s="2621">
        <f>X.a!F1288</f>
        <v>6.0821291331635257</v>
      </c>
      <c r="G197" s="2621">
        <f>X.a!G1288</f>
        <v>7.2550418908143497</v>
      </c>
      <c r="H197" s="2621">
        <f>X.a!H1288</f>
        <v>8.6393217415077626</v>
      </c>
      <c r="I197" s="2621">
        <f>X.a!I1288</f>
        <v>10.113707400902864</v>
      </c>
      <c r="J197" s="2621">
        <f>X.a!J1288</f>
        <v>11.713850659765072</v>
      </c>
      <c r="K197" s="2621">
        <f>X.a!K1288</f>
        <v>13.704434327263904</v>
      </c>
      <c r="L197" s="2621">
        <f>X.a!L1288</f>
        <v>16.191002706983969</v>
      </c>
      <c r="M197" s="2621">
        <f>X.a!M1288</f>
        <v>18.752157373267512</v>
      </c>
      <c r="N197" s="1361"/>
      <c r="O197"/>
    </row>
    <row r="198" spans="2:48" s="14" customFormat="1" x14ac:dyDescent="0.2">
      <c r="B198" s="1354"/>
      <c r="C198" s="1356" t="s">
        <v>554</v>
      </c>
      <c r="D198" s="1356" t="str">
        <f>INDEX(Modulos[Modulos], MATCH($C198, Modulos[Código], 0))</f>
        <v>Comercial y Púbico</v>
      </c>
      <c r="E198" s="1356"/>
      <c r="F198" s="2621">
        <f>X.b!F307</f>
        <v>2.0068723152158929</v>
      </c>
      <c r="G198" s="2621">
        <f>X.b!G307</f>
        <v>2.1992460143489043</v>
      </c>
      <c r="H198" s="2621">
        <f>X.b!H307</f>
        <v>2.5620733079933875</v>
      </c>
      <c r="I198" s="2621">
        <f>X.b!I307</f>
        <v>2.9902471723562001</v>
      </c>
      <c r="J198" s="2621">
        <f>X.b!J307</f>
        <v>3.4315698653103319</v>
      </c>
      <c r="K198" s="2621">
        <f>X.b!K307</f>
        <v>3.8868286697186196</v>
      </c>
      <c r="L198" s="2621">
        <f>X.b!L307</f>
        <v>4.3672965804939041</v>
      </c>
      <c r="M198" s="2621">
        <f>X.b!M307</f>
        <v>4.6726950929789259</v>
      </c>
      <c r="N198" s="1361"/>
      <c r="O198"/>
    </row>
    <row r="199" spans="2:48" s="14" customFormat="1" x14ac:dyDescent="0.2">
      <c r="B199" s="1354"/>
      <c r="C199" s="1356" t="s">
        <v>425</v>
      </c>
      <c r="D199" s="1356" t="str">
        <f>INDEX(Modulos[Modulos], MATCH($C199, Modulos[Código], 0))</f>
        <v>Procesos Industriales</v>
      </c>
      <c r="E199" s="1356"/>
      <c r="F199" s="2621">
        <f>XI.a!F805</f>
        <v>17.229006671899601</v>
      </c>
      <c r="G199" s="2621">
        <f>XI.a!G805</f>
        <v>20.124255134451271</v>
      </c>
      <c r="H199" s="2621">
        <f>XI.a!H805</f>
        <v>22.837631899014571</v>
      </c>
      <c r="I199" s="2621">
        <f>XI.a!I805</f>
        <v>24.989807423534224</v>
      </c>
      <c r="J199" s="2621">
        <f>XI.a!J805</f>
        <v>27.724367626797086</v>
      </c>
      <c r="K199" s="2621">
        <f>XI.a!K805</f>
        <v>30.574886721331566</v>
      </c>
      <c r="L199" s="2621">
        <f>XI.a!L805</f>
        <v>33.29370571092587</v>
      </c>
      <c r="M199" s="2621">
        <f>XI.a!M805</f>
        <v>35.839428050646156</v>
      </c>
      <c r="N199" s="1361"/>
      <c r="O199"/>
    </row>
    <row r="200" spans="2:48" x14ac:dyDescent="0.2">
      <c r="B200" s="1354"/>
      <c r="C200" s="1356" t="s">
        <v>421</v>
      </c>
      <c r="D200" s="1356" t="str">
        <f>INDEX(Modulos[Modulos], MATCH($C200, Modulos[Código], 0))</f>
        <v>Transporte de pasajeros</v>
      </c>
      <c r="E200" s="1356"/>
      <c r="F200" s="2621">
        <f>XII.a!F595</f>
        <v>20.714562130789609</v>
      </c>
      <c r="G200" s="2621">
        <f>XII.a!G595</f>
        <v>22.269016509379114</v>
      </c>
      <c r="H200" s="2621">
        <f>XII.a!H595</f>
        <v>26.461293293978482</v>
      </c>
      <c r="I200" s="2621">
        <f>XII.a!I595</f>
        <v>32.158644318615309</v>
      </c>
      <c r="J200" s="2621">
        <f>XII.a!J595</f>
        <v>37.05270632781145</v>
      </c>
      <c r="K200" s="2621">
        <f>XII.a!K595</f>
        <v>40.328533660148267</v>
      </c>
      <c r="L200" s="2621">
        <f>XII.a!L595</f>
        <v>42.646427840480932</v>
      </c>
      <c r="M200" s="2621">
        <f>XII.a!M595</f>
        <v>44.501149870794109</v>
      </c>
      <c r="N200" s="1361"/>
      <c r="R200" s="14"/>
      <c r="S200" s="14"/>
      <c r="T200" s="14"/>
      <c r="U200" s="14"/>
      <c r="V200" s="14"/>
      <c r="W200" s="14"/>
      <c r="X200" s="14"/>
      <c r="Y200" s="14"/>
      <c r="Z200" s="14"/>
      <c r="AN200" s="14"/>
      <c r="AO200" s="14"/>
      <c r="AP200" s="14"/>
      <c r="AQ200" s="14"/>
      <c r="AR200" s="14"/>
      <c r="AS200" s="14"/>
      <c r="AT200" s="14"/>
      <c r="AU200" s="14"/>
      <c r="AV200" s="14"/>
    </row>
    <row r="201" spans="2:48" x14ac:dyDescent="0.2">
      <c r="B201" s="1354"/>
      <c r="C201" s="1356" t="s">
        <v>102</v>
      </c>
      <c r="D201" s="1356" t="str">
        <f>INDEX(Modulos[Modulos], MATCH($C201, Modulos[Código], 0))</f>
        <v>Transporte de carga</v>
      </c>
      <c r="E201" s="1356"/>
      <c r="F201" s="2621">
        <f>XII.b!F265</f>
        <v>4.1544272231881703</v>
      </c>
      <c r="G201" s="2621">
        <f>XII.b!G265</f>
        <v>4.4754231594602185</v>
      </c>
      <c r="H201" s="2621">
        <f>XII.b!H265</f>
        <v>4.877757901706274</v>
      </c>
      <c r="I201" s="2621">
        <f>XII.b!I265</f>
        <v>5.3144001358687003</v>
      </c>
      <c r="J201" s="2621">
        <f>XII.b!J265</f>
        <v>5.7636211875893384</v>
      </c>
      <c r="K201" s="2621">
        <f>XII.b!K265</f>
        <v>6.2485109096578419</v>
      </c>
      <c r="L201" s="2621">
        <f>XII.b!L265</f>
        <v>6.770777603344281</v>
      </c>
      <c r="M201" s="2621">
        <f>XII.b!M265</f>
        <v>7.320366416794851</v>
      </c>
      <c r="N201" s="1361"/>
      <c r="AN201" s="14"/>
      <c r="AO201" s="14"/>
      <c r="AP201" s="14"/>
      <c r="AQ201" s="14"/>
      <c r="AR201" s="14"/>
      <c r="AS201" s="14"/>
      <c r="AT201" s="14"/>
      <c r="AU201" s="14"/>
      <c r="AV201" s="14"/>
    </row>
    <row r="202" spans="2:48" x14ac:dyDescent="0.2">
      <c r="B202" s="1354"/>
      <c r="C202" s="1356" t="s">
        <v>801</v>
      </c>
      <c r="D202" s="1356" t="str">
        <f>INDEX(Modulos[Modulos], MATCH($C202, Modulos[Código], 0))</f>
        <v>Producción nacional combustibles fósiles</v>
      </c>
      <c r="E202" s="1356"/>
      <c r="F202" s="2621">
        <f>XV.b!F127</f>
        <v>0.61611843049660764</v>
      </c>
      <c r="G202" s="2621">
        <f ca="1">XV.b!G127</f>
        <v>4.0273490516402957</v>
      </c>
      <c r="H202" s="2621">
        <f ca="1">XV.b!H127</f>
        <v>4.7420415777289637</v>
      </c>
      <c r="I202" s="2621">
        <f ca="1">XV.b!I127</f>
        <v>5.4489014140461443</v>
      </c>
      <c r="J202" s="2621">
        <f ca="1">XV.b!J127</f>
        <v>6.3282301661341158</v>
      </c>
      <c r="K202" s="2621">
        <f ca="1">XV.b!K127</f>
        <v>7.2834715795243072</v>
      </c>
      <c r="L202" s="2621">
        <f ca="1">XV.b!L127</f>
        <v>8.2546183625550125</v>
      </c>
      <c r="M202" s="2621">
        <f ca="1">XV.b!M127</f>
        <v>9.1413779171437639</v>
      </c>
      <c r="N202" s="1361"/>
      <c r="AC202" s="3449"/>
      <c r="AD202" s="3449"/>
    </row>
    <row r="203" spans="2:48" x14ac:dyDescent="0.2">
      <c r="B203" s="1354"/>
      <c r="C203" s="1356"/>
      <c r="D203" s="1356"/>
      <c r="E203" s="1356"/>
      <c r="F203" s="1362"/>
      <c r="G203" s="1362"/>
      <c r="H203" s="1362"/>
      <c r="I203" s="1362"/>
      <c r="J203" s="1362"/>
      <c r="K203" s="1362"/>
      <c r="L203" s="1362"/>
      <c r="M203" s="1362"/>
      <c r="N203" s="1361"/>
    </row>
    <row r="204" spans="2:48" x14ac:dyDescent="0.2">
      <c r="B204" s="1354"/>
      <c r="C204" s="1355"/>
      <c r="D204" s="1356" t="s">
        <v>1058</v>
      </c>
      <c r="E204" s="1356"/>
      <c r="F204" s="2630">
        <f ca="1">SUM(F185:F202)</f>
        <v>95.01220552455014</v>
      </c>
      <c r="G204" s="2630">
        <f t="shared" ref="G204:M204" ca="1" si="64">SUM(G185:G202)</f>
        <v>107.9466305205498</v>
      </c>
      <c r="H204" s="2630">
        <f t="shared" ca="1" si="64"/>
        <v>124.69071376562901</v>
      </c>
      <c r="I204" s="2630">
        <f t="shared" ca="1" si="64"/>
        <v>143.15453088875736</v>
      </c>
      <c r="J204" s="2630">
        <f t="shared" ca="1" si="64"/>
        <v>163.34342075496588</v>
      </c>
      <c r="K204" s="2630">
        <f t="shared" ca="1" si="64"/>
        <v>183.39495937567438</v>
      </c>
      <c r="L204" s="2630">
        <f t="shared" ca="1" si="64"/>
        <v>203.24473708081175</v>
      </c>
      <c r="M204" s="2630">
        <f t="shared" ca="1" si="64"/>
        <v>221.4130127349047</v>
      </c>
      <c r="N204" s="1361"/>
    </row>
    <row r="205" spans="2:48" s="192" customFormat="1" x14ac:dyDescent="0.2">
      <c r="B205" s="1338"/>
      <c r="C205" s="1334"/>
      <c r="D205" s="1334"/>
      <c r="E205" s="1334"/>
      <c r="F205" s="1363"/>
      <c r="G205" s="1363"/>
      <c r="H205" s="1363"/>
      <c r="I205" s="1363"/>
      <c r="J205" s="1363"/>
      <c r="K205" s="1363"/>
      <c r="L205" s="1363"/>
      <c r="M205" s="1363"/>
      <c r="N205" s="1336"/>
      <c r="O205"/>
      <c r="R205"/>
      <c r="S205"/>
      <c r="T205"/>
      <c r="U205"/>
      <c r="V205"/>
      <c r="W205"/>
      <c r="X205"/>
      <c r="Y205"/>
      <c r="Z205"/>
      <c r="AA205"/>
      <c r="AN205"/>
      <c r="AO205"/>
      <c r="AP205"/>
      <c r="AQ205"/>
      <c r="AR205"/>
      <c r="AS205"/>
      <c r="AT205"/>
      <c r="AU205"/>
      <c r="AV205"/>
    </row>
    <row r="206" spans="2:48" s="192" customFormat="1" ht="15.75" hidden="1" outlineLevel="1" x14ac:dyDescent="0.25">
      <c r="B206" s="1338"/>
      <c r="C206" s="1337" t="s">
        <v>748</v>
      </c>
      <c r="D206" s="1334"/>
      <c r="E206" s="1334"/>
      <c r="F206" s="1364">
        <v>5427.2241552112009</v>
      </c>
      <c r="G206" s="1364">
        <v>8035.7412032267894</v>
      </c>
      <c r="H206" s="1364">
        <v>10221.972317208581</v>
      </c>
      <c r="I206" s="1364">
        <v>11940.871629683525</v>
      </c>
      <c r="J206" s="1364">
        <v>13329.72099306255</v>
      </c>
      <c r="K206" s="1364">
        <v>14487.008785473108</v>
      </c>
      <c r="L206" s="1364">
        <v>15474.073242213417</v>
      </c>
      <c r="M206" s="1364">
        <v>16325.923814654952</v>
      </c>
      <c r="N206" s="1336"/>
      <c r="O206"/>
      <c r="R206"/>
      <c r="U206"/>
      <c r="V206"/>
      <c r="W206"/>
      <c r="X206"/>
      <c r="Y206"/>
      <c r="Z206"/>
      <c r="AN206"/>
      <c r="AO206"/>
      <c r="AP206"/>
      <c r="AQ206"/>
      <c r="AR206"/>
      <c r="AS206"/>
      <c r="AT206"/>
      <c r="AU206"/>
      <c r="AV206"/>
    </row>
    <row r="207" spans="2:48" hidden="1" outlineLevel="1" x14ac:dyDescent="0.2">
      <c r="B207" s="1338"/>
      <c r="C207" s="1334"/>
      <c r="D207" s="1334"/>
      <c r="E207" s="1334"/>
      <c r="F207" s="1334"/>
      <c r="G207" s="1334"/>
      <c r="H207" s="1334"/>
      <c r="I207" s="1334"/>
      <c r="J207" s="1334"/>
      <c r="K207" s="1334"/>
      <c r="L207" s="1334"/>
      <c r="M207" s="1334"/>
      <c r="N207" s="1336"/>
      <c r="R207" s="192"/>
      <c r="S207" s="192"/>
      <c r="T207" s="192"/>
      <c r="U207" s="192"/>
      <c r="V207" s="192"/>
      <c r="W207" s="192"/>
      <c r="X207" s="192"/>
      <c r="Y207" s="192"/>
      <c r="Z207" s="192"/>
      <c r="AA207" s="192"/>
      <c r="AN207" s="192"/>
      <c r="AO207" s="192"/>
      <c r="AP207" s="192"/>
      <c r="AQ207" s="192"/>
      <c r="AR207" s="192"/>
      <c r="AS207" s="192"/>
      <c r="AT207" s="192"/>
      <c r="AU207" s="192"/>
      <c r="AV207" s="192"/>
    </row>
    <row r="208" spans="2:48" hidden="1" outlineLevel="1" x14ac:dyDescent="0.2">
      <c r="B208" s="1338"/>
      <c r="C208" s="1334"/>
      <c r="D208" s="1339" t="s">
        <v>397</v>
      </c>
      <c r="E208" s="1334"/>
      <c r="F208" s="1334"/>
      <c r="G208" s="1334"/>
      <c r="H208" s="1334"/>
      <c r="I208" s="1334"/>
      <c r="J208" s="1334"/>
      <c r="K208" s="1334"/>
      <c r="L208" s="1334"/>
      <c r="M208" s="1335" t="s">
        <v>534</v>
      </c>
      <c r="N208" s="1336"/>
      <c r="R208" s="192"/>
      <c r="S208" s="192"/>
      <c r="T208" s="192"/>
      <c r="U208" s="192"/>
      <c r="V208" s="192"/>
      <c r="W208" s="192"/>
      <c r="X208" s="192"/>
      <c r="Y208" s="192"/>
      <c r="Z208" s="192"/>
      <c r="AN208" s="192"/>
      <c r="AO208" s="192"/>
      <c r="AP208" s="192"/>
      <c r="AQ208" s="192"/>
      <c r="AR208" s="192"/>
      <c r="AS208" s="192"/>
      <c r="AT208" s="192"/>
      <c r="AU208" s="192"/>
      <c r="AV208" s="192"/>
    </row>
    <row r="209" spans="2:48" hidden="1" outlineLevel="1" x14ac:dyDescent="0.2">
      <c r="B209" s="1340"/>
      <c r="C209" s="1341" t="s">
        <v>399</v>
      </c>
      <c r="D209" s="1342" t="s">
        <v>720</v>
      </c>
      <c r="E209" s="1334"/>
      <c r="F209" s="1343">
        <v>432.94863511608639</v>
      </c>
      <c r="G209" s="1343">
        <v>380.20134358805649</v>
      </c>
      <c r="H209" s="1343">
        <v>291.75183288005201</v>
      </c>
      <c r="I209" s="1343">
        <v>208.76397727969041</v>
      </c>
      <c r="J209" s="1343">
        <v>164.1631998370255</v>
      </c>
      <c r="K209" s="1343">
        <v>128.93215009688996</v>
      </c>
      <c r="L209" s="1343">
        <v>110.28821991261275</v>
      </c>
      <c r="M209" s="1343">
        <v>93.577679024778107</v>
      </c>
      <c r="N209" s="1345"/>
    </row>
    <row r="210" spans="2:48" hidden="1" outlineLevel="1" x14ac:dyDescent="0.2">
      <c r="B210" s="1340"/>
      <c r="C210" s="1341" t="s">
        <v>721</v>
      </c>
      <c r="D210" s="1342" t="s">
        <v>722</v>
      </c>
      <c r="E210" s="1334"/>
      <c r="F210" s="1343">
        <v>9.8604426003937355</v>
      </c>
      <c r="G210" s="1343">
        <v>8.6480408050673354</v>
      </c>
      <c r="H210" s="1343">
        <v>7.6569732838371216</v>
      </c>
      <c r="I210" s="1343">
        <v>5.2872017964286844</v>
      </c>
      <c r="J210" s="1343">
        <v>4.1867582384662922</v>
      </c>
      <c r="K210" s="1343">
        <v>3.3489354192435696</v>
      </c>
      <c r="L210" s="1343">
        <v>2.9025975007802494</v>
      </c>
      <c r="M210" s="1343">
        <v>2.5312572728735185</v>
      </c>
      <c r="N210" s="1345"/>
    </row>
    <row r="211" spans="2:48" hidden="1" outlineLevel="1" x14ac:dyDescent="0.2">
      <c r="B211" s="1338"/>
      <c r="C211" s="1335">
        <v>1</v>
      </c>
      <c r="D211" s="1334" t="s">
        <v>720</v>
      </c>
      <c r="E211" s="1334"/>
      <c r="F211" s="1365">
        <v>442.80907771648015</v>
      </c>
      <c r="G211" s="1365">
        <v>388.84938439312384</v>
      </c>
      <c r="H211" s="1365">
        <v>299.40880616388915</v>
      </c>
      <c r="I211" s="1365">
        <v>214.0511790761191</v>
      </c>
      <c r="J211" s="1365">
        <v>168.3499580754918</v>
      </c>
      <c r="K211" s="1365">
        <v>132.28108551613352</v>
      </c>
      <c r="L211" s="1365">
        <v>113.19081741339299</v>
      </c>
      <c r="M211" s="1365">
        <v>96.108936297651624</v>
      </c>
      <c r="N211" s="1336"/>
    </row>
    <row r="212" spans="2:48" hidden="1" outlineLevel="1" x14ac:dyDescent="0.2">
      <c r="B212" s="1338"/>
      <c r="C212" s="1335">
        <v>2</v>
      </c>
      <c r="D212" s="1334" t="s">
        <v>723</v>
      </c>
      <c r="E212" s="1334"/>
      <c r="F212" s="1343">
        <v>24.23850048227213</v>
      </c>
      <c r="G212" s="1343">
        <v>22.350386854990937</v>
      </c>
      <c r="H212" s="1343">
        <v>20.711837700764899</v>
      </c>
      <c r="I212" s="1343">
        <v>19.285785006437997</v>
      </c>
      <c r="J212" s="1343">
        <v>18.040945540762166</v>
      </c>
      <c r="K212" s="1343">
        <v>16.95089707782936</v>
      </c>
      <c r="L212" s="1343">
        <v>15.9933036770291</v>
      </c>
      <c r="M212" s="1343">
        <v>15.149265858115129</v>
      </c>
      <c r="N212" s="1336"/>
    </row>
    <row r="213" spans="2:48" hidden="1" outlineLevel="1" x14ac:dyDescent="0.2">
      <c r="B213" s="1338"/>
      <c r="C213" s="1335">
        <v>3</v>
      </c>
      <c r="D213" s="1334" t="s">
        <v>724</v>
      </c>
      <c r="E213" s="1334"/>
      <c r="F213" s="1343">
        <v>0</v>
      </c>
      <c r="G213" s="1343">
        <v>0</v>
      </c>
      <c r="H213" s="1343">
        <v>0</v>
      </c>
      <c r="I213" s="1343">
        <v>0</v>
      </c>
      <c r="J213" s="1343">
        <v>0</v>
      </c>
      <c r="K213" s="1343">
        <v>0</v>
      </c>
      <c r="L213" s="1343">
        <v>0</v>
      </c>
      <c r="M213" s="1343">
        <v>0</v>
      </c>
      <c r="N213" s="1336"/>
    </row>
    <row r="214" spans="2:48" hidden="1" outlineLevel="1" x14ac:dyDescent="0.2">
      <c r="B214" s="1338"/>
      <c r="C214" s="1335">
        <v>4</v>
      </c>
      <c r="D214" s="1334" t="s">
        <v>544</v>
      </c>
      <c r="E214" s="1334"/>
      <c r="F214" s="1343">
        <v>39.459322848736605</v>
      </c>
      <c r="G214" s="1343">
        <v>36.677765455926711</v>
      </c>
      <c r="H214" s="1343">
        <v>36.138992143557658</v>
      </c>
      <c r="I214" s="1343">
        <v>35.608541210529211</v>
      </c>
      <c r="J214" s="1343">
        <v>35.086277939736014</v>
      </c>
      <c r="K214" s="1343">
        <v>34.57206988366562</v>
      </c>
      <c r="L214" s="1343">
        <v>34.065786824935344</v>
      </c>
      <c r="M214" s="1343">
        <v>33.567300737531575</v>
      </c>
      <c r="N214" s="1336"/>
    </row>
    <row r="215" spans="2:48" s="192" customFormat="1" hidden="1" outlineLevel="1" x14ac:dyDescent="0.2">
      <c r="B215" s="1338"/>
      <c r="C215" s="1335">
        <v>5</v>
      </c>
      <c r="D215" s="1334" t="s">
        <v>725</v>
      </c>
      <c r="E215" s="1334"/>
      <c r="F215" s="1343">
        <v>4.9569138839489506</v>
      </c>
      <c r="G215" s="1343">
        <v>7.2627410651256117</v>
      </c>
      <c r="H215" s="1343">
        <v>8.8979271428001052</v>
      </c>
      <c r="I215" s="1343">
        <v>8.6145753712146682</v>
      </c>
      <c r="J215" s="1343">
        <v>7.6465012608286695</v>
      </c>
      <c r="K215" s="1343">
        <v>5.0406155355537665</v>
      </c>
      <c r="L215" s="1343">
        <v>2.49820257160225</v>
      </c>
      <c r="M215" s="1343">
        <v>0.67995265690592199</v>
      </c>
      <c r="N215" s="1336"/>
      <c r="O215"/>
      <c r="R215"/>
      <c r="S215"/>
      <c r="T215"/>
      <c r="U215"/>
      <c r="V215"/>
      <c r="W215"/>
      <c r="X215"/>
      <c r="Y215"/>
      <c r="Z215"/>
      <c r="AA215"/>
      <c r="AN215"/>
      <c r="AO215"/>
      <c r="AP215"/>
      <c r="AQ215"/>
      <c r="AR215"/>
      <c r="AS215"/>
      <c r="AT215"/>
      <c r="AU215"/>
      <c r="AV215"/>
    </row>
    <row r="216" spans="2:48" hidden="1" outlineLevel="1" x14ac:dyDescent="0.2">
      <c r="B216" s="1338"/>
      <c r="C216" s="1335">
        <v>6</v>
      </c>
      <c r="D216" s="1334" t="s">
        <v>545</v>
      </c>
      <c r="E216" s="1334"/>
      <c r="F216" s="1343">
        <v>12.969805414772946</v>
      </c>
      <c r="G216" s="1343">
        <v>10.728824253426939</v>
      </c>
      <c r="H216" s="1343">
        <v>8.6222990894029099</v>
      </c>
      <c r="I216" s="1343">
        <v>6.7629147144810231</v>
      </c>
      <c r="J216" s="1343">
        <v>5.7238308568146348</v>
      </c>
      <c r="K216" s="1343">
        <v>4.7886266757223268</v>
      </c>
      <c r="L216" s="1343">
        <v>4.000303181877479</v>
      </c>
      <c r="M216" s="1343">
        <v>3.2779502374961051</v>
      </c>
      <c r="N216" s="1336"/>
      <c r="AA216" s="192"/>
    </row>
    <row r="217" spans="2:48" hidden="1" outlineLevel="1" x14ac:dyDescent="0.2">
      <c r="B217" s="1338"/>
      <c r="C217" s="1335">
        <v>7</v>
      </c>
      <c r="D217" s="1334" t="s">
        <v>726</v>
      </c>
      <c r="E217" s="1334"/>
      <c r="F217" s="1343">
        <v>0</v>
      </c>
      <c r="G217" s="1343">
        <v>0</v>
      </c>
      <c r="H217" s="1343">
        <v>0</v>
      </c>
      <c r="I217" s="1343">
        <v>0</v>
      </c>
      <c r="J217" s="1343">
        <v>0</v>
      </c>
      <c r="K217" s="1343">
        <v>0</v>
      </c>
      <c r="L217" s="1343">
        <v>0</v>
      </c>
      <c r="M217" s="1343">
        <v>0</v>
      </c>
      <c r="N217" s="1336"/>
      <c r="P217" s="1349"/>
      <c r="R217" s="192"/>
      <c r="S217" s="192"/>
      <c r="T217" s="192"/>
      <c r="U217" s="192"/>
      <c r="V217" s="192"/>
      <c r="W217" s="192"/>
      <c r="X217" s="192"/>
      <c r="Y217" s="192"/>
      <c r="Z217" s="192"/>
      <c r="AN217" s="192"/>
      <c r="AO217" s="192"/>
      <c r="AP217" s="192"/>
      <c r="AQ217" s="192"/>
      <c r="AR217" s="192"/>
      <c r="AS217" s="192"/>
      <c r="AT217" s="192"/>
      <c r="AU217" s="192"/>
      <c r="AV217" s="192"/>
    </row>
    <row r="218" spans="2:48" ht="5.25" hidden="1" customHeight="1" outlineLevel="1" x14ac:dyDescent="0.2">
      <c r="B218" s="1338"/>
      <c r="C218" s="1335" t="s">
        <v>727</v>
      </c>
      <c r="D218" s="1334" t="s">
        <v>728</v>
      </c>
      <c r="E218" s="1334"/>
      <c r="F218" s="1343">
        <v>52.192691002744432</v>
      </c>
      <c r="G218" s="1343">
        <v>58.554128553904185</v>
      </c>
      <c r="H218" s="1343">
        <v>63.009285761718729</v>
      </c>
      <c r="I218" s="1343">
        <v>67.244175451400707</v>
      </c>
      <c r="J218" s="1343">
        <v>72.663606993717266</v>
      </c>
      <c r="K218" s="1343">
        <v>76.43181920884129</v>
      </c>
      <c r="L218" s="1343">
        <v>79.766917742296982</v>
      </c>
      <c r="M218" s="1343">
        <v>81.052359351573969</v>
      </c>
      <c r="N218" s="1336"/>
    </row>
    <row r="219" spans="2:48" s="449" customFormat="1" hidden="1" outlineLevel="1" x14ac:dyDescent="0.2">
      <c r="B219" s="1340"/>
      <c r="C219" s="1335" t="s">
        <v>729</v>
      </c>
      <c r="D219" s="1334" t="s">
        <v>730</v>
      </c>
      <c r="E219" s="1334"/>
      <c r="F219" s="1343">
        <v>-13.639926426584488</v>
      </c>
      <c r="G219" s="1343">
        <v>-21.673335647427859</v>
      </c>
      <c r="H219" s="1343">
        <v>-31.898005541694566</v>
      </c>
      <c r="I219" s="1343">
        <v>-36.944914276318826</v>
      </c>
      <c r="J219" s="1343">
        <v>-41.945482516209076</v>
      </c>
      <c r="K219" s="1343">
        <v>-47.299775856859938</v>
      </c>
      <c r="L219" s="1343">
        <v>-52.924702113632094</v>
      </c>
      <c r="M219" s="1343">
        <v>-58.529852306224804</v>
      </c>
      <c r="N219" s="1345"/>
      <c r="O219"/>
      <c r="R219"/>
      <c r="S219"/>
      <c r="T219"/>
      <c r="U219"/>
      <c r="V219"/>
      <c r="W219"/>
      <c r="X219"/>
      <c r="Y219"/>
      <c r="Z219"/>
      <c r="AA219"/>
      <c r="AN219"/>
      <c r="AO219"/>
      <c r="AP219"/>
      <c r="AQ219"/>
      <c r="AR219"/>
      <c r="AS219"/>
      <c r="AT219"/>
      <c r="AU219"/>
      <c r="AV219"/>
    </row>
    <row r="220" spans="2:48" s="449" customFormat="1" hidden="1" outlineLevel="1" x14ac:dyDescent="0.2">
      <c r="B220" s="1338"/>
      <c r="C220" s="1335" t="s">
        <v>731</v>
      </c>
      <c r="D220" s="1334" t="s">
        <v>732</v>
      </c>
      <c r="E220" s="1334"/>
      <c r="F220" s="1343">
        <v>-2.8350150827586207</v>
      </c>
      <c r="G220" s="1343">
        <v>-6.6784588169491528</v>
      </c>
      <c r="H220" s="1343">
        <v>-6.8617285412556344</v>
      </c>
      <c r="I220" s="1343">
        <v>-7.0087616750052106</v>
      </c>
      <c r="J220" s="1343">
        <v>-7.6915136107051394</v>
      </c>
      <c r="K220" s="1343">
        <v>-8.9188235976578376</v>
      </c>
      <c r="L220" s="1343">
        <v>-10.133486679551471</v>
      </c>
      <c r="M220" s="1343">
        <v>-11.660483764504702</v>
      </c>
      <c r="N220" s="1336"/>
      <c r="O220"/>
      <c r="R220"/>
      <c r="S220"/>
      <c r="T220"/>
      <c r="U220"/>
      <c r="V220"/>
      <c r="W220"/>
      <c r="X220"/>
      <c r="Y220"/>
      <c r="Z220"/>
      <c r="AN220"/>
      <c r="AO220"/>
      <c r="AP220"/>
      <c r="AQ220"/>
      <c r="AR220"/>
      <c r="AS220"/>
      <c r="AT220"/>
      <c r="AU220"/>
      <c r="AV220"/>
    </row>
    <row r="221" spans="2:48" s="449" customFormat="1" hidden="1" outlineLevel="1" x14ac:dyDescent="0.2">
      <c r="B221" s="1338"/>
      <c r="C221" s="1334"/>
      <c r="D221" s="1334" t="s">
        <v>118</v>
      </c>
      <c r="E221" s="1334"/>
      <c r="F221" s="1366">
        <v>560.15136983961213</v>
      </c>
      <c r="G221" s="1366">
        <v>496.07143611212121</v>
      </c>
      <c r="H221" s="1366">
        <v>398.0294139191833</v>
      </c>
      <c r="I221" s="1366">
        <v>307.61349487885866</v>
      </c>
      <c r="J221" s="1366">
        <v>257.8741245404363</v>
      </c>
      <c r="K221" s="1366">
        <v>213.84651444322807</v>
      </c>
      <c r="L221" s="1366">
        <v>186.45714261795058</v>
      </c>
      <c r="M221" s="1366">
        <v>159.64542906854481</v>
      </c>
      <c r="N221" s="1336" t="s">
        <v>747</v>
      </c>
      <c r="O221"/>
    </row>
    <row r="222" spans="2:48" hidden="1" outlineLevel="1" x14ac:dyDescent="0.2">
      <c r="B222" s="1338"/>
      <c r="C222" s="1334"/>
      <c r="D222" s="1334"/>
      <c r="E222" s="1334"/>
      <c r="F222" s="1344"/>
      <c r="G222" s="1344"/>
      <c r="H222" s="1344"/>
      <c r="I222" s="1344"/>
      <c r="J222" s="1344"/>
      <c r="K222" s="1344"/>
      <c r="L222" s="1344"/>
      <c r="M222" s="1344"/>
      <c r="N222" s="1336"/>
      <c r="R222" s="449"/>
      <c r="S222" s="449"/>
      <c r="T222" s="449"/>
      <c r="U222" s="449"/>
      <c r="V222" s="449"/>
      <c r="W222" s="449"/>
      <c r="X222" s="449"/>
      <c r="Y222" s="449"/>
      <c r="Z222" s="449"/>
      <c r="AA222" s="449"/>
      <c r="AN222" s="449"/>
      <c r="AO222" s="449"/>
      <c r="AP222" s="449"/>
      <c r="AQ222" s="449"/>
      <c r="AR222" s="449"/>
      <c r="AS222" s="449"/>
      <c r="AT222" s="449"/>
      <c r="AU222" s="449"/>
      <c r="AV222" s="449"/>
    </row>
    <row r="223" spans="2:48" hidden="1" outlineLevel="1" x14ac:dyDescent="0.2">
      <c r="B223" s="1350"/>
      <c r="C223" s="1351" t="s">
        <v>733</v>
      </c>
      <c r="D223" s="1351"/>
      <c r="E223" s="1351"/>
      <c r="F223" s="1367">
        <v>507.9586788368677</v>
      </c>
      <c r="G223" s="1367">
        <v>437.517307558217</v>
      </c>
      <c r="H223" s="1367">
        <v>335.02012815746457</v>
      </c>
      <c r="I223" s="1367">
        <v>240.36931942745795</v>
      </c>
      <c r="J223" s="1367">
        <v>185.21051754671902</v>
      </c>
      <c r="K223" s="1367">
        <v>137.41469523438678</v>
      </c>
      <c r="L223" s="1367">
        <v>106.6902248756536</v>
      </c>
      <c r="M223" s="1367">
        <v>78.593069716970845</v>
      </c>
      <c r="N223" s="1336" t="s">
        <v>747</v>
      </c>
      <c r="R223" s="449"/>
      <c r="S223" s="449"/>
      <c r="T223" s="449"/>
      <c r="U223" s="449"/>
      <c r="V223" s="449"/>
      <c r="W223" s="449"/>
      <c r="X223" s="449"/>
      <c r="Y223" s="449"/>
      <c r="Z223" s="449"/>
      <c r="AN223" s="449"/>
      <c r="AO223" s="449"/>
      <c r="AP223" s="449"/>
      <c r="AQ223" s="449"/>
      <c r="AR223" s="449"/>
      <c r="AS223" s="449"/>
      <c r="AT223" s="449"/>
      <c r="AU223" s="449"/>
      <c r="AV223" s="449"/>
    </row>
    <row r="224" spans="2:48" hidden="1" outlineLevel="1" x14ac:dyDescent="0.2">
      <c r="B224" s="1350"/>
      <c r="C224" s="1351"/>
      <c r="D224" s="1351"/>
      <c r="E224" s="1351"/>
      <c r="F224" s="1367"/>
      <c r="G224" s="1367"/>
      <c r="H224" s="1367"/>
      <c r="I224" s="1367"/>
      <c r="J224" s="1367"/>
      <c r="K224" s="1367"/>
      <c r="L224" s="1367"/>
      <c r="M224" s="1367"/>
      <c r="N224" s="1353"/>
    </row>
    <row r="225" spans="1:48" hidden="1" outlineLevel="1" x14ac:dyDescent="0.2">
      <c r="B225" s="1350"/>
      <c r="C225" s="1368"/>
      <c r="D225" s="1351"/>
      <c r="E225" s="1351"/>
      <c r="F225" s="1367"/>
      <c r="G225" s="1367"/>
      <c r="H225" s="1367"/>
      <c r="I225" s="1367"/>
      <c r="J225" s="1367"/>
      <c r="K225" s="1367"/>
      <c r="L225" s="1367"/>
      <c r="M225" s="1367"/>
      <c r="N225" s="1353"/>
    </row>
    <row r="226" spans="1:48" hidden="1" outlineLevel="1" x14ac:dyDescent="0.2">
      <c r="B226" s="1338"/>
      <c r="C226" s="1334" t="s">
        <v>749</v>
      </c>
      <c r="D226" s="1334"/>
      <c r="E226" s="1334"/>
      <c r="F226" s="1334"/>
      <c r="G226" s="1334"/>
      <c r="H226" s="1334"/>
      <c r="I226" s="1334"/>
      <c r="J226" s="1334"/>
      <c r="K226" s="1334"/>
      <c r="L226" s="1334"/>
      <c r="M226" s="1334"/>
      <c r="N226" s="1334"/>
    </row>
    <row r="227" spans="1:48" hidden="1" outlineLevel="1" x14ac:dyDescent="0.2">
      <c r="B227" s="1338"/>
      <c r="C227" s="1334" t="s">
        <v>750</v>
      </c>
      <c r="D227" s="1334"/>
      <c r="E227" s="1334"/>
      <c r="F227" s="1334"/>
      <c r="G227" s="1334"/>
      <c r="H227" s="1334"/>
      <c r="I227" s="1344"/>
      <c r="J227" s="1334"/>
      <c r="K227" s="1334"/>
      <c r="L227" s="1334"/>
      <c r="M227" s="1334"/>
      <c r="N227" s="1369"/>
    </row>
    <row r="228" spans="1:48" s="447" customFormat="1" hidden="1" outlineLevel="1" x14ac:dyDescent="0.2">
      <c r="B228" s="1338"/>
      <c r="C228" s="1334"/>
      <c r="D228" s="1334"/>
      <c r="E228" s="1334"/>
      <c r="F228" s="1334"/>
      <c r="G228" s="1334"/>
      <c r="H228" s="1334"/>
      <c r="I228" s="1334"/>
      <c r="J228" s="1334"/>
      <c r="K228" s="1334"/>
      <c r="L228" s="1334"/>
      <c r="M228" s="1334"/>
      <c r="N228" s="1336"/>
      <c r="O228"/>
      <c r="R228"/>
      <c r="S228"/>
      <c r="T228"/>
      <c r="U228"/>
      <c r="V228"/>
      <c r="W228"/>
      <c r="X228"/>
      <c r="Y228"/>
      <c r="Z228"/>
      <c r="AA228"/>
      <c r="AN228"/>
      <c r="AO228"/>
      <c r="AP228"/>
      <c r="AQ228"/>
      <c r="AR228"/>
      <c r="AS228"/>
      <c r="AT228"/>
      <c r="AU228"/>
      <c r="AV228"/>
    </row>
    <row r="229" spans="1:48" hidden="1" outlineLevel="1" x14ac:dyDescent="0.2">
      <c r="B229" s="1338"/>
      <c r="C229" s="1334"/>
      <c r="D229" s="1334"/>
      <c r="E229" s="1334"/>
      <c r="F229" s="1334"/>
      <c r="G229" s="1334"/>
      <c r="H229" s="1334"/>
      <c r="I229" s="1334"/>
      <c r="J229" s="1334"/>
      <c r="K229" s="1334"/>
      <c r="L229" s="1334"/>
      <c r="M229" s="1334"/>
      <c r="N229" s="1336"/>
      <c r="AA229" s="447"/>
    </row>
    <row r="230" spans="1:48" ht="15.75" hidden="1" outlineLevel="1" x14ac:dyDescent="0.25">
      <c r="B230" s="1338"/>
      <c r="C230" s="1337" t="s">
        <v>751</v>
      </c>
      <c r="D230" s="1334"/>
      <c r="E230" s="1334"/>
      <c r="F230" s="1334"/>
      <c r="G230" s="1334" t="s">
        <v>752</v>
      </c>
      <c r="H230" s="1334" t="s">
        <v>753</v>
      </c>
      <c r="I230" s="1334"/>
      <c r="J230" s="1334" t="s">
        <v>754</v>
      </c>
      <c r="K230" s="1334"/>
      <c r="L230" s="1334"/>
      <c r="M230" s="1334"/>
      <c r="N230" s="1336"/>
      <c r="R230" s="447"/>
      <c r="S230" s="447"/>
      <c r="T230" s="447"/>
      <c r="U230" s="447"/>
      <c r="V230" s="447"/>
      <c r="W230" s="447"/>
      <c r="X230" s="447"/>
      <c r="Y230" s="447"/>
      <c r="Z230" s="447"/>
      <c r="AN230" s="447"/>
      <c r="AO230" s="447"/>
      <c r="AP230" s="447"/>
      <c r="AQ230" s="447"/>
      <c r="AR230" s="447"/>
      <c r="AS230" s="447"/>
      <c r="AT230" s="447"/>
      <c r="AU230" s="447"/>
      <c r="AV230" s="447"/>
    </row>
    <row r="231" spans="1:48" s="449" customFormat="1" ht="15.75" hidden="1" outlineLevel="1" x14ac:dyDescent="0.25">
      <c r="B231" s="1333"/>
      <c r="C231" s="1337"/>
      <c r="D231" s="1334"/>
      <c r="E231" s="1334"/>
      <c r="F231" s="1334"/>
      <c r="G231" s="1334" t="s">
        <v>755</v>
      </c>
      <c r="H231" s="1334" t="s">
        <v>755</v>
      </c>
      <c r="I231" s="1334"/>
      <c r="J231" s="1334"/>
      <c r="K231" s="1334">
        <v>2020</v>
      </c>
      <c r="L231" s="1334">
        <v>2030</v>
      </c>
      <c r="M231" s="1334">
        <v>2050</v>
      </c>
      <c r="N231" s="1336"/>
      <c r="O231"/>
      <c r="R231"/>
      <c r="S231"/>
      <c r="T231"/>
      <c r="U231"/>
      <c r="V231"/>
      <c r="W231"/>
      <c r="X231"/>
      <c r="Y231"/>
      <c r="Z231"/>
      <c r="AA231"/>
      <c r="AN231"/>
      <c r="AO231"/>
      <c r="AP231"/>
      <c r="AQ231"/>
      <c r="AR231"/>
      <c r="AS231"/>
      <c r="AT231"/>
      <c r="AU231"/>
      <c r="AV231"/>
    </row>
    <row r="232" spans="1:48" s="449" customFormat="1" hidden="1" outlineLevel="1" x14ac:dyDescent="0.2">
      <c r="B232" s="1370"/>
      <c r="C232" s="1339"/>
      <c r="D232" s="1339" t="s">
        <v>756</v>
      </c>
      <c r="E232" s="1339"/>
      <c r="F232" s="1339"/>
      <c r="G232" s="1339"/>
      <c r="H232" s="1339"/>
      <c r="I232" s="1339"/>
      <c r="J232" s="1372"/>
      <c r="K232" s="1372"/>
      <c r="L232" s="1372"/>
      <c r="M232" s="1372"/>
      <c r="N232" s="1373"/>
      <c r="O232"/>
      <c r="R232"/>
      <c r="S232"/>
      <c r="T232"/>
      <c r="U232"/>
      <c r="V232"/>
      <c r="W232"/>
      <c r="X232"/>
      <c r="Y232"/>
      <c r="Z232"/>
      <c r="AN232"/>
      <c r="AO232"/>
      <c r="AP232"/>
      <c r="AQ232"/>
      <c r="AR232"/>
      <c r="AS232"/>
      <c r="AT232"/>
      <c r="AU232"/>
      <c r="AV232"/>
    </row>
    <row r="233" spans="1:48" hidden="1" outlineLevel="1" x14ac:dyDescent="0.2">
      <c r="B233" s="1338"/>
      <c r="C233" s="1334"/>
      <c r="D233" s="1334" t="s">
        <v>757</v>
      </c>
      <c r="E233" s="1334"/>
      <c r="F233" s="1334"/>
      <c r="G233" s="1365">
        <v>159.91723400000001</v>
      </c>
      <c r="H233" s="1365">
        <v>527.7268722</v>
      </c>
      <c r="I233" s="1334"/>
      <c r="J233" s="1334"/>
      <c r="K233" s="1334"/>
      <c r="L233" s="1334"/>
      <c r="M233" s="1334"/>
      <c r="N233" s="1336"/>
      <c r="R233" s="449"/>
      <c r="S233" s="449"/>
      <c r="T233" s="449"/>
      <c r="U233" s="449"/>
      <c r="V233" s="449"/>
      <c r="W233" s="449"/>
      <c r="X233" s="449"/>
      <c r="Y233" s="449"/>
      <c r="Z233" s="449"/>
      <c r="AA233" s="449"/>
      <c r="AN233" s="449"/>
      <c r="AO233" s="449"/>
      <c r="AP233" s="449"/>
      <c r="AQ233" s="449"/>
      <c r="AR233" s="449"/>
      <c r="AS233" s="449"/>
      <c r="AT233" s="449"/>
      <c r="AU233" s="449"/>
      <c r="AV233" s="449"/>
    </row>
    <row r="234" spans="1:48" s="445" customFormat="1" hidden="1" outlineLevel="1" x14ac:dyDescent="0.2">
      <c r="B234" s="1338"/>
      <c r="C234" s="1334"/>
      <c r="D234" s="1339" t="s">
        <v>118</v>
      </c>
      <c r="E234" s="1334"/>
      <c r="F234" s="1334"/>
      <c r="G234" s="1371">
        <v>187.77578959575553</v>
      </c>
      <c r="H234" s="1371">
        <v>619.66010566599323</v>
      </c>
      <c r="I234" s="1334"/>
      <c r="J234" s="1372"/>
      <c r="K234" s="1372">
        <v>0.7453487717899937</v>
      </c>
      <c r="L234" s="1372">
        <v>0.46219016839776977</v>
      </c>
      <c r="M234" s="1372">
        <v>0.23986772028380246</v>
      </c>
      <c r="N234" s="1336"/>
      <c r="O234"/>
      <c r="R234" s="449"/>
      <c r="S234" s="449"/>
      <c r="T234" s="449"/>
      <c r="U234" s="449"/>
      <c r="V234" s="449"/>
      <c r="W234" s="449"/>
      <c r="X234" s="449"/>
      <c r="Y234" s="449"/>
      <c r="Z234" s="449"/>
      <c r="AA234"/>
      <c r="AN234" s="449"/>
      <c r="AO234" s="449"/>
      <c r="AP234" s="449"/>
      <c r="AQ234" s="449"/>
      <c r="AR234" s="449"/>
      <c r="AS234" s="449"/>
      <c r="AT234" s="449"/>
      <c r="AU234" s="449"/>
      <c r="AV234" s="449"/>
    </row>
    <row r="235" spans="1:48" ht="23.25" hidden="1" outlineLevel="1" x14ac:dyDescent="0.35">
      <c r="A235" s="352"/>
      <c r="B235" s="1350"/>
      <c r="C235" s="1351"/>
      <c r="D235" s="1351" t="s">
        <v>758</v>
      </c>
      <c r="E235" s="1351"/>
      <c r="F235" s="1374">
        <v>0.2</v>
      </c>
      <c r="G235" s="1374">
        <v>0.2</v>
      </c>
      <c r="H235" s="1374">
        <v>0.2</v>
      </c>
      <c r="I235" s="1374">
        <v>0.2</v>
      </c>
      <c r="J235" s="1374">
        <v>0.2</v>
      </c>
      <c r="K235" s="1374">
        <v>0.2</v>
      </c>
      <c r="L235" s="1374">
        <v>0.2</v>
      </c>
      <c r="M235" s="1374">
        <v>0.2</v>
      </c>
      <c r="N235" s="1353"/>
      <c r="AA235" s="445"/>
    </row>
    <row r="236" spans="1:48" hidden="1" outlineLevel="1" x14ac:dyDescent="0.2">
      <c r="B236" s="1350"/>
      <c r="C236" s="1351"/>
      <c r="D236" s="1351" t="s">
        <v>759</v>
      </c>
      <c r="E236" s="1351"/>
      <c r="F236" s="1374">
        <v>0</v>
      </c>
      <c r="G236" s="1374">
        <v>0</v>
      </c>
      <c r="H236" s="1374">
        <v>0</v>
      </c>
      <c r="I236" s="1374">
        <v>0</v>
      </c>
      <c r="J236" s="1374">
        <v>0</v>
      </c>
      <c r="K236" s="1374">
        <v>0</v>
      </c>
      <c r="L236" s="1374">
        <v>0</v>
      </c>
      <c r="M236" s="1374">
        <v>0</v>
      </c>
      <c r="N236" s="1353"/>
      <c r="R236" s="445"/>
      <c r="S236" s="445"/>
      <c r="T236" s="445"/>
      <c r="U236" s="445"/>
      <c r="V236" s="445"/>
      <c r="W236" s="445"/>
      <c r="X236" s="445"/>
      <c r="Y236" s="445"/>
      <c r="Z236" s="445"/>
      <c r="AN236" s="445"/>
      <c r="AO236" s="445"/>
      <c r="AP236" s="445"/>
      <c r="AQ236" s="445"/>
      <c r="AR236" s="445"/>
      <c r="AS236" s="445"/>
      <c r="AT236" s="445"/>
      <c r="AU236" s="445"/>
      <c r="AV236" s="445"/>
    </row>
    <row r="237" spans="1:48" hidden="1" outlineLevel="1" x14ac:dyDescent="0.2">
      <c r="B237" s="1375"/>
      <c r="C237" s="1376"/>
      <c r="D237" s="1376"/>
      <c r="E237" s="1376"/>
      <c r="F237" s="1376"/>
      <c r="G237" s="1376"/>
      <c r="H237" s="1376"/>
      <c r="I237" s="1376"/>
      <c r="J237" s="1376"/>
      <c r="K237" s="1376"/>
      <c r="L237" s="1376"/>
      <c r="M237" s="1376"/>
      <c r="N237" s="1377"/>
    </row>
    <row r="238" spans="1:48" hidden="1" outlineLevel="1" x14ac:dyDescent="0.2">
      <c r="B238" s="443"/>
      <c r="C238" s="443"/>
      <c r="D238" s="443"/>
      <c r="E238" s="443"/>
      <c r="F238" s="443"/>
      <c r="G238" s="443"/>
      <c r="H238" s="443"/>
      <c r="I238" s="443"/>
      <c r="J238" s="443"/>
      <c r="K238" s="443"/>
      <c r="L238" s="443"/>
      <c r="M238" s="443"/>
      <c r="N238" s="443"/>
    </row>
    <row r="239" spans="1:48" ht="15.75" hidden="1" outlineLevel="1" x14ac:dyDescent="0.2">
      <c r="B239" s="1329" t="s">
        <v>760</v>
      </c>
      <c r="C239" s="1330"/>
      <c r="D239" s="1330"/>
      <c r="E239" s="1330"/>
      <c r="F239" s="1330"/>
      <c r="G239" s="1330"/>
      <c r="H239" s="1330"/>
      <c r="I239" s="1330"/>
      <c r="J239" s="1330"/>
      <c r="K239" s="1330"/>
      <c r="L239" s="1330"/>
      <c r="M239" s="1331"/>
      <c r="N239" s="1332"/>
    </row>
    <row r="240" spans="1:48" hidden="1" outlineLevel="1" x14ac:dyDescent="0.2">
      <c r="B240" s="1334"/>
      <c r="C240" s="1334"/>
      <c r="D240" s="1334"/>
      <c r="E240" s="1334"/>
      <c r="F240" s="1334"/>
      <c r="G240" s="1334"/>
      <c r="H240" s="1334"/>
      <c r="I240" s="1334"/>
      <c r="J240" s="1334"/>
      <c r="K240" s="1334"/>
      <c r="L240" s="1334"/>
      <c r="M240" s="1334"/>
      <c r="N240" s="1334"/>
    </row>
    <row r="241" spans="2:14" hidden="1" outlineLevel="1" x14ac:dyDescent="0.2">
      <c r="B241" s="1339" t="s">
        <v>761</v>
      </c>
      <c r="C241" s="1334"/>
      <c r="D241" s="1334"/>
      <c r="E241" s="1334"/>
      <c r="F241" s="1334"/>
      <c r="G241" s="1334"/>
      <c r="H241" s="1334"/>
      <c r="I241" s="1334"/>
      <c r="J241" s="1334"/>
      <c r="K241" s="1334"/>
      <c r="L241" s="1334"/>
      <c r="M241" s="1334"/>
      <c r="N241" s="1334"/>
    </row>
    <row r="242" spans="2:14" hidden="1" outlineLevel="1" x14ac:dyDescent="0.2">
      <c r="B242" s="1334"/>
      <c r="C242" s="1334"/>
      <c r="D242" s="1334"/>
      <c r="E242" s="1334"/>
      <c r="F242" s="1334"/>
      <c r="G242" s="1334"/>
      <c r="H242" s="1334"/>
      <c r="I242" s="1334"/>
      <c r="J242" s="1334"/>
      <c r="K242" s="1334"/>
      <c r="L242" s="1334"/>
      <c r="M242" s="1334"/>
      <c r="N242" s="1334"/>
    </row>
    <row r="243" spans="2:14" hidden="1" outlineLevel="1" x14ac:dyDescent="0.2">
      <c r="B243" s="1334"/>
      <c r="C243" s="1351" t="s">
        <v>762</v>
      </c>
      <c r="D243" s="1334"/>
      <c r="E243" s="1334"/>
      <c r="F243" s="1378" t="s">
        <v>16</v>
      </c>
      <c r="G243" s="1378" t="s">
        <v>17</v>
      </c>
      <c r="H243" s="1378" t="s">
        <v>18</v>
      </c>
      <c r="I243" s="1378" t="s">
        <v>19</v>
      </c>
      <c r="J243" s="1378" t="s">
        <v>20</v>
      </c>
      <c r="K243" s="1378" t="s">
        <v>21</v>
      </c>
      <c r="L243" s="1378" t="s">
        <v>22</v>
      </c>
      <c r="M243" s="1378" t="s">
        <v>23</v>
      </c>
      <c r="N243" s="1334"/>
    </row>
    <row r="244" spans="2:14" hidden="1" outlineLevel="1" x14ac:dyDescent="0.2">
      <c r="B244" s="1334"/>
      <c r="C244" s="1379" t="s">
        <v>68</v>
      </c>
      <c r="D244" s="1379" t="s">
        <v>330</v>
      </c>
      <c r="E244" s="1334" t="s">
        <v>535</v>
      </c>
      <c r="F244" s="1381">
        <v>0</v>
      </c>
      <c r="G244" s="1381">
        <v>0</v>
      </c>
      <c r="H244" s="1381">
        <v>0</v>
      </c>
      <c r="I244" s="1381">
        <v>0</v>
      </c>
      <c r="J244" s="1381">
        <v>0</v>
      </c>
      <c r="K244" s="1381">
        <v>0</v>
      </c>
      <c r="L244" s="1381">
        <v>0</v>
      </c>
      <c r="M244" s="1381">
        <v>0</v>
      </c>
      <c r="N244" s="1334"/>
    </row>
    <row r="245" spans="2:14" hidden="1" outlineLevel="1" x14ac:dyDescent="0.2">
      <c r="B245" s="1334"/>
      <c r="C245" s="1379" t="s">
        <v>68</v>
      </c>
      <c r="D245" s="1379" t="s">
        <v>333</v>
      </c>
      <c r="E245" s="1334" t="s">
        <v>347</v>
      </c>
      <c r="F245" s="1381">
        <v>26.202749932203808</v>
      </c>
      <c r="G245" s="1381">
        <v>50.063622876211689</v>
      </c>
      <c r="H245" s="1381">
        <v>82.286140939960404</v>
      </c>
      <c r="I245" s="1381">
        <v>94.094856346028322</v>
      </c>
      <c r="J245" s="1381">
        <v>105.10832228263747</v>
      </c>
      <c r="K245" s="1381">
        <v>117.69564767637186</v>
      </c>
      <c r="L245" s="1381">
        <v>131.53283350583075</v>
      </c>
      <c r="M245" s="1381">
        <v>145.46661356696768</v>
      </c>
      <c r="N245" s="1334"/>
    </row>
    <row r="246" spans="2:14" hidden="1" outlineLevel="1" x14ac:dyDescent="0.2">
      <c r="B246" s="1334"/>
      <c r="C246" s="1379" t="s">
        <v>68</v>
      </c>
      <c r="D246" s="1379" t="s">
        <v>335</v>
      </c>
      <c r="E246" s="1334" t="s">
        <v>348</v>
      </c>
      <c r="F246" s="1381">
        <v>11.254146912530599</v>
      </c>
      <c r="G246" s="1381">
        <v>9.7112997118455926</v>
      </c>
      <c r="H246" s="1381">
        <v>8.716547040987356</v>
      </c>
      <c r="I246" s="1381">
        <v>7.3179329830517172</v>
      </c>
      <c r="J246" s="1381">
        <v>6.7479704068045194</v>
      </c>
      <c r="K246" s="1381">
        <v>5.9620308549013927</v>
      </c>
      <c r="L246" s="1381">
        <v>4.9487424290318085</v>
      </c>
      <c r="M246" s="1381">
        <v>3.6967332308852345</v>
      </c>
      <c r="N246" s="1334"/>
    </row>
    <row r="247" spans="2:14" hidden="1" outlineLevel="1" x14ac:dyDescent="0.2">
      <c r="B247" s="1334"/>
      <c r="C247" s="1380"/>
      <c r="D247" s="1380"/>
      <c r="E247" s="1380"/>
      <c r="F247" s="1380"/>
      <c r="G247" s="1380"/>
      <c r="H247" s="1380"/>
      <c r="I247" s="1380"/>
      <c r="J247" s="1380"/>
      <c r="K247" s="1380"/>
      <c r="L247" s="1380"/>
      <c r="M247" s="1380"/>
      <c r="N247" s="1334"/>
    </row>
    <row r="248" spans="2:14" hidden="1" outlineLevel="1" x14ac:dyDescent="0.2">
      <c r="B248" s="1334"/>
      <c r="C248" s="1382" t="s">
        <v>763</v>
      </c>
      <c r="D248" s="1380"/>
      <c r="E248" s="1380"/>
      <c r="F248" s="1380"/>
      <c r="G248" s="1380"/>
      <c r="H248" s="1380"/>
      <c r="I248" s="1380"/>
      <c r="J248" s="1380"/>
      <c r="K248" s="1380"/>
      <c r="L248" s="1380"/>
      <c r="M248" s="1380"/>
      <c r="N248" s="1334"/>
    </row>
    <row r="249" spans="2:14" hidden="1" outlineLevel="1" x14ac:dyDescent="0.2">
      <c r="B249" s="1334"/>
      <c r="C249" s="1379" t="s">
        <v>764</v>
      </c>
      <c r="D249" s="1379" t="s">
        <v>330</v>
      </c>
      <c r="E249" s="1334" t="s">
        <v>535</v>
      </c>
      <c r="F249" s="1381">
        <v>10.74104418604651</v>
      </c>
      <c r="G249" s="1381">
        <v>14.706609302325582</v>
      </c>
      <c r="H249" s="1381">
        <v>18.672174418604651</v>
      </c>
      <c r="I249" s="1381">
        <v>22.637739534883721</v>
      </c>
      <c r="J249" s="1381">
        <v>26.603304651162794</v>
      </c>
      <c r="K249" s="1381">
        <v>30.568869767441861</v>
      </c>
      <c r="L249" s="1381">
        <v>34.534434883720934</v>
      </c>
      <c r="M249" s="1381">
        <v>38.5</v>
      </c>
      <c r="N249" s="1334"/>
    </row>
    <row r="250" spans="2:14" hidden="1" outlineLevel="1" x14ac:dyDescent="0.2">
      <c r="B250" s="1334"/>
      <c r="C250" s="1379" t="s">
        <v>764</v>
      </c>
      <c r="D250" s="1379" t="s">
        <v>333</v>
      </c>
      <c r="E250" s="1334" t="s">
        <v>347</v>
      </c>
      <c r="F250" s="1381">
        <v>6.8409372093023268</v>
      </c>
      <c r="G250" s="1381">
        <v>11.363660465116281</v>
      </c>
      <c r="H250" s="1381">
        <v>15.886383720930235</v>
      </c>
      <c r="I250" s="1381">
        <v>20.409106976744187</v>
      </c>
      <c r="J250" s="1381">
        <v>24.931830232558141</v>
      </c>
      <c r="K250" s="1381">
        <v>29.454553488372099</v>
      </c>
      <c r="L250" s="1381">
        <v>33.977276744186049</v>
      </c>
      <c r="M250" s="1381">
        <v>38.5</v>
      </c>
      <c r="N250" s="1334"/>
    </row>
    <row r="251" spans="2:14" hidden="1" outlineLevel="1" x14ac:dyDescent="0.2">
      <c r="B251" s="1334"/>
      <c r="C251" s="1379" t="s">
        <v>764</v>
      </c>
      <c r="D251" s="1379" t="s">
        <v>335</v>
      </c>
      <c r="E251" s="1334" t="s">
        <v>348</v>
      </c>
      <c r="F251" s="1381">
        <v>0</v>
      </c>
      <c r="G251" s="1381">
        <v>0</v>
      </c>
      <c r="H251" s="1381">
        <v>0</v>
      </c>
      <c r="I251" s="1381">
        <v>0</v>
      </c>
      <c r="J251" s="1381">
        <v>0</v>
      </c>
      <c r="K251" s="1381">
        <v>0</v>
      </c>
      <c r="L251" s="1381">
        <v>0</v>
      </c>
      <c r="M251" s="1381">
        <v>0</v>
      </c>
      <c r="N251" s="1334"/>
    </row>
    <row r="252" spans="2:14" hidden="1" outlineLevel="1" x14ac:dyDescent="0.2">
      <c r="B252" s="1334"/>
      <c r="C252" s="1334"/>
      <c r="D252" s="1334"/>
      <c r="E252" s="1334"/>
      <c r="F252" s="1334"/>
      <c r="G252" s="1334"/>
      <c r="H252" s="1334"/>
      <c r="I252" s="1334"/>
      <c r="J252" s="1334"/>
      <c r="K252" s="1334"/>
      <c r="L252" s="1334"/>
      <c r="M252" s="1334"/>
      <c r="N252" s="1334"/>
    </row>
    <row r="253" spans="2:14" hidden="1" outlineLevel="1" x14ac:dyDescent="0.2">
      <c r="B253" s="1334"/>
      <c r="C253" s="1351" t="s">
        <v>118</v>
      </c>
      <c r="D253" s="1334"/>
      <c r="E253" s="1334"/>
      <c r="F253" s="1334"/>
      <c r="G253" s="1334"/>
      <c r="H253" s="1334"/>
      <c r="I253" s="1334"/>
      <c r="J253" s="1334"/>
      <c r="K253" s="1334"/>
      <c r="L253" s="1334"/>
      <c r="M253" s="1334"/>
      <c r="N253" s="1334"/>
    </row>
    <row r="254" spans="2:14" hidden="1" outlineLevel="1" x14ac:dyDescent="0.2">
      <c r="B254" s="1334"/>
      <c r="C254" s="1379" t="s">
        <v>764</v>
      </c>
      <c r="D254" s="1379" t="s">
        <v>330</v>
      </c>
      <c r="E254" s="1334" t="s">
        <v>535</v>
      </c>
      <c r="F254" s="1344">
        <v>10.74104418604651</v>
      </c>
      <c r="G254" s="1344">
        <v>14.706609302325582</v>
      </c>
      <c r="H254" s="1344">
        <v>18.672174418604651</v>
      </c>
      <c r="I254" s="1344">
        <v>22.637739534883721</v>
      </c>
      <c r="J254" s="1344">
        <v>26.603304651162794</v>
      </c>
      <c r="K254" s="1344">
        <v>30.568869767441861</v>
      </c>
      <c r="L254" s="1344">
        <v>34.534434883720934</v>
      </c>
      <c r="M254" s="1344">
        <v>38.5</v>
      </c>
      <c r="N254" s="1334"/>
    </row>
    <row r="255" spans="2:14" hidden="1" outlineLevel="1" x14ac:dyDescent="0.2">
      <c r="B255" s="1334"/>
      <c r="C255" s="1379" t="s">
        <v>764</v>
      </c>
      <c r="D255" s="1379" t="s">
        <v>333</v>
      </c>
      <c r="E255" s="1334" t="s">
        <v>347</v>
      </c>
      <c r="F255" s="1344">
        <v>33.043687141506133</v>
      </c>
      <c r="G255" s="1344">
        <v>61.427283341327971</v>
      </c>
      <c r="H255" s="1344">
        <v>98.172524660890645</v>
      </c>
      <c r="I255" s="1344">
        <v>114.50396332277251</v>
      </c>
      <c r="J255" s="1344">
        <v>130.04015251519562</v>
      </c>
      <c r="K255" s="1344">
        <v>147.15020116474398</v>
      </c>
      <c r="L255" s="1344">
        <v>165.51011025001679</v>
      </c>
      <c r="M255" s="1344">
        <v>183.96661356696768</v>
      </c>
      <c r="N255" s="1334"/>
    </row>
    <row r="256" spans="2:14" hidden="1" outlineLevel="1" x14ac:dyDescent="0.2">
      <c r="B256" s="1334"/>
      <c r="C256" s="1379" t="s">
        <v>764</v>
      </c>
      <c r="D256" s="1379" t="s">
        <v>335</v>
      </c>
      <c r="E256" s="1334" t="s">
        <v>348</v>
      </c>
      <c r="F256" s="1344">
        <v>11.254146912530599</v>
      </c>
      <c r="G256" s="1344">
        <v>9.7112997118455926</v>
      </c>
      <c r="H256" s="1344">
        <v>8.716547040987356</v>
      </c>
      <c r="I256" s="1344">
        <v>7.3179329830517172</v>
      </c>
      <c r="J256" s="1344">
        <v>6.7479704068045194</v>
      </c>
      <c r="K256" s="1344">
        <v>5.9620308549013927</v>
      </c>
      <c r="L256" s="1344">
        <v>4.9487424290318085</v>
      </c>
      <c r="M256" s="1344">
        <v>3.6967332308852345</v>
      </c>
      <c r="N256" s="1334"/>
    </row>
    <row r="257" spans="2:14" hidden="1" outlineLevel="1" x14ac:dyDescent="0.2">
      <c r="B257" s="1334"/>
      <c r="C257" s="1334"/>
      <c r="D257" s="1334"/>
      <c r="E257" s="1334"/>
      <c r="F257" s="1334"/>
      <c r="G257" s="1334"/>
      <c r="H257" s="1334"/>
      <c r="I257" s="1334"/>
      <c r="J257" s="1334"/>
      <c r="K257" s="1334"/>
      <c r="L257" s="1334"/>
      <c r="M257" s="1334"/>
      <c r="N257" s="1334"/>
    </row>
    <row r="258" spans="2:14" hidden="1" outlineLevel="1" x14ac:dyDescent="0.2">
      <c r="B258" s="1383" t="s">
        <v>765</v>
      </c>
      <c r="C258" s="1380"/>
      <c r="D258" s="1380"/>
      <c r="E258" s="1380"/>
      <c r="F258" s="1380"/>
      <c r="G258" s="1380"/>
      <c r="H258" s="1380"/>
      <c r="I258" s="1380"/>
      <c r="J258" s="1380"/>
      <c r="K258" s="1380"/>
      <c r="L258" s="1380"/>
      <c r="M258" s="1380"/>
      <c r="N258" s="1334"/>
    </row>
    <row r="259" spans="2:14" hidden="1" outlineLevel="1" x14ac:dyDescent="0.2">
      <c r="B259" s="1334"/>
      <c r="C259" s="1334"/>
      <c r="D259" s="1334"/>
      <c r="E259" s="1334"/>
      <c r="F259" s="1334"/>
      <c r="G259" s="1334"/>
      <c r="H259" s="1334"/>
      <c r="I259" s="1334"/>
      <c r="J259" s="1334"/>
      <c r="K259" s="1334"/>
      <c r="L259" s="1334"/>
      <c r="M259" s="1334"/>
      <c r="N259" s="1334"/>
    </row>
    <row r="260" spans="2:14" hidden="1" outlineLevel="1" x14ac:dyDescent="0.2">
      <c r="B260" s="1334"/>
      <c r="C260" s="1384" t="s">
        <v>766</v>
      </c>
      <c r="D260" s="1380"/>
      <c r="E260" s="1380"/>
      <c r="F260" s="1385">
        <v>401.81950615003086</v>
      </c>
      <c r="G260" s="1385">
        <v>347.30329403379238</v>
      </c>
      <c r="H260" s="1385">
        <v>208.96305807225957</v>
      </c>
      <c r="I260" s="1385">
        <v>96.692170757893678</v>
      </c>
      <c r="J260" s="1385">
        <v>73.397083897262505</v>
      </c>
      <c r="K260" s="1385">
        <v>55.557326018510437</v>
      </c>
      <c r="L260" s="1385">
        <v>51.819550852894636</v>
      </c>
      <c r="M260" s="1385">
        <v>48.351420435059531</v>
      </c>
      <c r="N260" s="1334"/>
    </row>
    <row r="261" spans="2:14" hidden="1" outlineLevel="1" x14ac:dyDescent="0.2">
      <c r="B261" s="1334"/>
      <c r="C261" s="1386" t="s">
        <v>737</v>
      </c>
      <c r="D261" s="1384" t="s">
        <v>767</v>
      </c>
      <c r="E261" s="1380"/>
      <c r="F261" s="1387">
        <v>2.6731017339004026E-2</v>
      </c>
      <c r="G261" s="1387">
        <v>4.2345147756918881E-2</v>
      </c>
      <c r="H261" s="1387">
        <v>8.9356341694366861E-2</v>
      </c>
      <c r="I261" s="1387">
        <v>0.23412174281996498</v>
      </c>
      <c r="J261" s="1387">
        <v>0.36245724269373897</v>
      </c>
      <c r="K261" s="1387">
        <v>0.55022212115206925</v>
      </c>
      <c r="L261" s="1387">
        <v>0.6664363992995096</v>
      </c>
      <c r="M261" s="1387">
        <v>0.79625375332476722</v>
      </c>
      <c r="N261" s="1334"/>
    </row>
    <row r="262" spans="2:14" hidden="1" outlineLevel="1" x14ac:dyDescent="0.2">
      <c r="B262" s="1334"/>
      <c r="C262" s="1388" t="s">
        <v>48</v>
      </c>
      <c r="D262" s="1389" t="s">
        <v>715</v>
      </c>
      <c r="E262" s="1380"/>
      <c r="F262" s="1390">
        <v>6.7737272727272746</v>
      </c>
      <c r="G262" s="1390">
        <v>20.697500000000005</v>
      </c>
      <c r="H262" s="1390">
        <v>20.247554347826089</v>
      </c>
      <c r="I262" s="1390">
        <v>19.816755319148939</v>
      </c>
      <c r="J262" s="1390">
        <v>19.403906249999999</v>
      </c>
      <c r="K262" s="1390">
        <v>19.403906250000002</v>
      </c>
      <c r="L262" s="1390">
        <v>19.007908163265306</v>
      </c>
      <c r="M262" s="1390">
        <v>18.627750000000002</v>
      </c>
      <c r="N262" s="1334"/>
    </row>
    <row r="263" spans="2:14" hidden="1" outlineLevel="1" x14ac:dyDescent="0.2">
      <c r="B263" s="1334"/>
      <c r="C263" s="1388" t="s">
        <v>46</v>
      </c>
      <c r="D263" s="1389" t="s">
        <v>713</v>
      </c>
      <c r="E263" s="1380"/>
      <c r="F263" s="1390">
        <v>337.13292636766261</v>
      </c>
      <c r="G263" s="1390">
        <v>273.84107399999999</v>
      </c>
      <c r="H263" s="1390">
        <v>140.6206656</v>
      </c>
      <c r="I263" s="1390">
        <v>33.135480000000001</v>
      </c>
      <c r="J263" s="1390">
        <v>14.200920000000002</v>
      </c>
      <c r="K263" s="1390">
        <v>0</v>
      </c>
      <c r="L263" s="1390">
        <v>0</v>
      </c>
      <c r="M263" s="1390">
        <v>0</v>
      </c>
      <c r="N263" s="1334"/>
    </row>
    <row r="264" spans="2:14" hidden="1" outlineLevel="1" x14ac:dyDescent="0.2">
      <c r="B264" s="1334"/>
      <c r="C264" s="1388" t="s">
        <v>578</v>
      </c>
      <c r="D264" s="1389" t="s">
        <v>538</v>
      </c>
      <c r="E264" s="1380"/>
      <c r="F264" s="1390">
        <v>48.368135374908753</v>
      </c>
      <c r="G264" s="1390">
        <v>44.877477695563456</v>
      </c>
      <c r="H264" s="1390">
        <v>41.648958515160665</v>
      </c>
      <c r="I264" s="1390">
        <v>38.662552880003268</v>
      </c>
      <c r="J264" s="1390">
        <v>35.899779258611986</v>
      </c>
      <c r="K264" s="1390">
        <v>33.343579851115578</v>
      </c>
      <c r="L264" s="1390">
        <v>30.978210228781464</v>
      </c>
      <c r="M264" s="1390">
        <v>28.789137572850585</v>
      </c>
      <c r="N264" s="1334"/>
    </row>
    <row r="265" spans="2:14" hidden="1" outlineLevel="1" x14ac:dyDescent="0.2">
      <c r="B265" s="1334"/>
      <c r="C265" s="1388" t="s">
        <v>741</v>
      </c>
      <c r="D265" s="1389" t="s">
        <v>742</v>
      </c>
      <c r="E265" s="1380"/>
      <c r="F265" s="1390">
        <v>8.643396651285908</v>
      </c>
      <c r="G265" s="1390">
        <v>6.9808133538007517</v>
      </c>
      <c r="H265" s="1390">
        <v>5.534342123862718</v>
      </c>
      <c r="I265" s="1390">
        <v>4.1837177043878944</v>
      </c>
      <c r="J265" s="1390">
        <v>2.9885965323331054</v>
      </c>
      <c r="K265" s="1390">
        <v>1.895741059113595</v>
      </c>
      <c r="L265" s="1390">
        <v>0.90911660060277333</v>
      </c>
      <c r="M265" s="1390">
        <v>0</v>
      </c>
      <c r="N265" s="1334"/>
    </row>
    <row r="266" spans="2:14" hidden="1" outlineLevel="1" x14ac:dyDescent="0.2">
      <c r="B266" s="1334"/>
      <c r="C266" s="1391"/>
      <c r="D266" s="1380"/>
      <c r="E266" s="1380"/>
      <c r="F266" s="1380"/>
      <c r="G266" s="1380"/>
      <c r="H266" s="1380"/>
      <c r="I266" s="1380"/>
      <c r="J266" s="1380"/>
      <c r="K266" s="1380"/>
      <c r="L266" s="1380"/>
      <c r="M266" s="1380"/>
      <c r="N266" s="1334"/>
    </row>
    <row r="267" spans="2:14" hidden="1" outlineLevel="1" x14ac:dyDescent="0.2">
      <c r="B267" s="1334"/>
      <c r="C267" s="1384" t="s">
        <v>768</v>
      </c>
      <c r="D267" s="1380"/>
      <c r="E267" s="1380"/>
      <c r="F267" s="1385">
        <v>797.17250070711111</v>
      </c>
      <c r="G267" s="1385">
        <v>756.31904813467474</v>
      </c>
      <c r="H267" s="1385">
        <v>660.83358434471984</v>
      </c>
      <c r="I267" s="1385">
        <v>579.23558579443534</v>
      </c>
      <c r="J267" s="1385">
        <v>574.50747202056527</v>
      </c>
      <c r="K267" s="1385">
        <v>564.17493143512559</v>
      </c>
      <c r="L267" s="1385">
        <v>547.09659422591051</v>
      </c>
      <c r="M267" s="1385">
        <v>525.06144014390134</v>
      </c>
      <c r="N267" s="1334"/>
    </row>
    <row r="268" spans="2:14" hidden="1" outlineLevel="1" x14ac:dyDescent="0.2">
      <c r="B268" s="1334"/>
      <c r="C268" s="1386" t="s">
        <v>737</v>
      </c>
      <c r="D268" s="1384" t="s">
        <v>769</v>
      </c>
      <c r="E268" s="1380"/>
      <c r="F268" s="1387">
        <v>4.1451112666575418E-2</v>
      </c>
      <c r="G268" s="1387">
        <v>8.121874424930503E-2</v>
      </c>
      <c r="H268" s="1387">
        <v>0.14855861897248784</v>
      </c>
      <c r="I268" s="1387">
        <v>0.1976811613977888</v>
      </c>
      <c r="J268" s="1387">
        <v>0.22635067226861177</v>
      </c>
      <c r="K268" s="1387">
        <v>0.26082371435829166</v>
      </c>
      <c r="L268" s="1387">
        <v>0.30252447556212231</v>
      </c>
      <c r="M268" s="1387">
        <v>0.3503715936873002</v>
      </c>
      <c r="N268" s="1334"/>
    </row>
    <row r="269" spans="2:14" hidden="1" outlineLevel="1" x14ac:dyDescent="0.2">
      <c r="B269" s="1334"/>
      <c r="C269" s="1388" t="s">
        <v>579</v>
      </c>
      <c r="D269" s="1389" t="s">
        <v>706</v>
      </c>
      <c r="E269" s="1380"/>
      <c r="F269" s="1390">
        <v>657.98407385171924</v>
      </c>
      <c r="G269" s="1390">
        <v>629.24646127872791</v>
      </c>
      <c r="H269" s="1390">
        <v>544.4207265881987</v>
      </c>
      <c r="I269" s="1390">
        <v>472.30550759444913</v>
      </c>
      <c r="J269" s="1390">
        <v>475.97386497223749</v>
      </c>
      <c r="K269" s="1390">
        <v>473.15722053338015</v>
      </c>
      <c r="L269" s="1390">
        <v>462.82503972252073</v>
      </c>
      <c r="M269" s="1390">
        <v>446.88848884793435</v>
      </c>
      <c r="N269" s="1334"/>
    </row>
    <row r="270" spans="2:14" hidden="1" outlineLevel="1" x14ac:dyDescent="0.2">
      <c r="B270" s="1334"/>
      <c r="C270" s="1388" t="s">
        <v>578</v>
      </c>
      <c r="D270" s="1389" t="s">
        <v>538</v>
      </c>
      <c r="E270" s="1380"/>
      <c r="F270" s="1390">
        <v>69.470536760603153</v>
      </c>
      <c r="G270" s="1390">
        <v>62.776268812282069</v>
      </c>
      <c r="H270" s="1390">
        <v>56.700325906709388</v>
      </c>
      <c r="I270" s="1390">
        <v>51.186744689661118</v>
      </c>
      <c r="J270" s="1390">
        <v>46.184547169703876</v>
      </c>
      <c r="K270" s="1390">
        <v>41.647302211300108</v>
      </c>
      <c r="L270" s="1390">
        <v>37.532725226956707</v>
      </c>
      <c r="M270" s="1390">
        <v>33.802312764392745</v>
      </c>
      <c r="N270" s="1334"/>
    </row>
    <row r="271" spans="2:14" hidden="1" outlineLevel="1" x14ac:dyDescent="0.2">
      <c r="B271" s="1334"/>
      <c r="C271" s="1388" t="s">
        <v>108</v>
      </c>
      <c r="D271" s="1389" t="s">
        <v>109</v>
      </c>
      <c r="E271" s="1380"/>
      <c r="F271" s="1390">
        <v>50.22299177401591</v>
      </c>
      <c r="G271" s="1390">
        <v>47.636958248593686</v>
      </c>
      <c r="H271" s="1390">
        <v>45.613021339389007</v>
      </c>
      <c r="I271" s="1390">
        <v>44.046937540343748</v>
      </c>
      <c r="J271" s="1390">
        <v>42.835131750114932</v>
      </c>
      <c r="K271" s="1390">
        <v>41.897459529683758</v>
      </c>
      <c r="L271" s="1390">
        <v>41.171906639890828</v>
      </c>
      <c r="M271" s="1390">
        <v>40.61048764462101</v>
      </c>
      <c r="N271" s="1334"/>
    </row>
    <row r="272" spans="2:14" hidden="1" outlineLevel="1" x14ac:dyDescent="0.2">
      <c r="B272" s="1334"/>
      <c r="C272" s="1389"/>
      <c r="D272" s="1380"/>
      <c r="E272" s="1380"/>
      <c r="F272" s="1380"/>
      <c r="G272" s="1380"/>
      <c r="H272" s="1380"/>
      <c r="I272" s="1380"/>
      <c r="J272" s="1380"/>
      <c r="K272" s="1380"/>
      <c r="L272" s="1380"/>
      <c r="M272" s="1380"/>
      <c r="N272" s="1334"/>
    </row>
    <row r="273" spans="1:48" hidden="1" outlineLevel="1" x14ac:dyDescent="0.2">
      <c r="B273" s="1334"/>
      <c r="C273" s="1384" t="s">
        <v>770</v>
      </c>
      <c r="D273" s="1380"/>
      <c r="E273" s="1380"/>
      <c r="F273" s="1385">
        <v>848.78230852694401</v>
      </c>
      <c r="G273" s="1385">
        <v>746.01987764342289</v>
      </c>
      <c r="H273" s="1385">
        <v>654.65001080436889</v>
      </c>
      <c r="I273" s="1385">
        <v>529.04383565474654</v>
      </c>
      <c r="J273" s="1385">
        <v>362.16376168704164</v>
      </c>
      <c r="K273" s="1385">
        <v>236.95837486664576</v>
      </c>
      <c r="L273" s="1385">
        <v>186.27124686423645</v>
      </c>
      <c r="M273" s="1385">
        <v>139.56835755398455</v>
      </c>
      <c r="N273" s="1334"/>
    </row>
    <row r="274" spans="1:48" hidden="1" outlineLevel="1" x14ac:dyDescent="0.2">
      <c r="B274" s="1334"/>
      <c r="C274" s="1380" t="s">
        <v>737</v>
      </c>
      <c r="D274" s="1384" t="s">
        <v>771</v>
      </c>
      <c r="E274" s="1380"/>
      <c r="F274" s="1387">
        <v>1.3259167632819887E-2</v>
      </c>
      <c r="G274" s="1387">
        <v>1.3017481172917659E-2</v>
      </c>
      <c r="H274" s="1387">
        <v>1.3314819975756708E-2</v>
      </c>
      <c r="I274" s="1387">
        <v>1.3832375485473745E-2</v>
      </c>
      <c r="J274" s="1387">
        <v>1.863237330916525E-2</v>
      </c>
      <c r="K274" s="1387">
        <v>2.5160667388340566E-2</v>
      </c>
      <c r="L274" s="1387">
        <v>2.6567398416776009E-2</v>
      </c>
      <c r="M274" s="1387">
        <v>2.6486900725011048E-2</v>
      </c>
      <c r="N274" s="1334"/>
    </row>
    <row r="275" spans="1:48" hidden="1" outlineLevel="1" x14ac:dyDescent="0.2">
      <c r="B275" s="1334"/>
      <c r="C275" s="1388" t="s">
        <v>428</v>
      </c>
      <c r="D275" s="1389" t="s">
        <v>714</v>
      </c>
      <c r="E275" s="1380"/>
      <c r="F275" s="1390">
        <v>307.91725109121779</v>
      </c>
      <c r="G275" s="1390">
        <v>257.2025830912882</v>
      </c>
      <c r="H275" s="1390">
        <v>213.35842139748758</v>
      </c>
      <c r="I275" s="1390">
        <v>172.0051217604622</v>
      </c>
      <c r="J275" s="1390">
        <v>135.62775566894865</v>
      </c>
      <c r="K275" s="1390">
        <v>102.21702282212392</v>
      </c>
      <c r="L275" s="1390">
        <v>72.303786872240778</v>
      </c>
      <c r="M275" s="1390">
        <v>44.728684489913036</v>
      </c>
      <c r="N275" s="1334"/>
    </row>
    <row r="276" spans="1:48" hidden="1" outlineLevel="1" x14ac:dyDescent="0.2">
      <c r="B276" s="1334"/>
      <c r="C276" s="1388" t="s">
        <v>84</v>
      </c>
      <c r="D276" s="1389" t="s">
        <v>85</v>
      </c>
      <c r="E276" s="1380"/>
      <c r="F276" s="1390">
        <v>74.942887986353099</v>
      </c>
      <c r="G276" s="1390">
        <v>62.498138212013728</v>
      </c>
      <c r="H276" s="1390">
        <v>50.799575296295671</v>
      </c>
      <c r="I276" s="1390">
        <v>39.746157024100768</v>
      </c>
      <c r="J276" s="1390">
        <v>29.24067722811602</v>
      </c>
      <c r="K276" s="1390">
        <v>19.188945321768852</v>
      </c>
      <c r="L276" s="1390">
        <v>9.4989878823535854</v>
      </c>
      <c r="M276" s="1390">
        <v>8.0266084736857354E-2</v>
      </c>
      <c r="N276" s="1334"/>
    </row>
    <row r="277" spans="1:48" hidden="1" outlineLevel="1" x14ac:dyDescent="0.2">
      <c r="B277" s="1334"/>
      <c r="C277" s="1388" t="s">
        <v>578</v>
      </c>
      <c r="D277" s="1389" t="s">
        <v>538</v>
      </c>
      <c r="E277" s="1380"/>
      <c r="F277" s="1390">
        <v>130.1420347053535</v>
      </c>
      <c r="G277" s="1390">
        <v>119.06919337237203</v>
      </c>
      <c r="H277" s="1390">
        <v>108.94349553413329</v>
      </c>
      <c r="I277" s="1390">
        <v>98.235929966411931</v>
      </c>
      <c r="J277" s="1390">
        <v>88.527199313647657</v>
      </c>
      <c r="K277" s="1390">
        <v>79.726266783301071</v>
      </c>
      <c r="L277" s="1390">
        <v>71.750248125577201</v>
      </c>
      <c r="M277" s="1390">
        <v>64.523691697959066</v>
      </c>
      <c r="N277" s="1334"/>
    </row>
    <row r="278" spans="1:48" hidden="1" outlineLevel="1" x14ac:dyDescent="0.2">
      <c r="B278" s="1334"/>
      <c r="C278" s="1388" t="s">
        <v>46</v>
      </c>
      <c r="D278" s="1389" t="s">
        <v>713</v>
      </c>
      <c r="E278" s="1380"/>
      <c r="F278" s="1390">
        <v>266.59281185633097</v>
      </c>
      <c r="G278" s="1390">
        <v>248.20257181178476</v>
      </c>
      <c r="H278" s="1390">
        <v>230.52653446262863</v>
      </c>
      <c r="I278" s="1390">
        <v>174.38213305110253</v>
      </c>
      <c r="J278" s="1390">
        <v>69.028955580514832</v>
      </c>
      <c r="K278" s="1390">
        <v>0</v>
      </c>
      <c r="L278" s="1390">
        <v>0</v>
      </c>
      <c r="M278" s="1390">
        <v>0</v>
      </c>
      <c r="N278" s="1334"/>
    </row>
    <row r="279" spans="1:48" hidden="1" outlineLevel="1" x14ac:dyDescent="0.2">
      <c r="B279" s="1334"/>
      <c r="C279" s="1388" t="s">
        <v>48</v>
      </c>
      <c r="D279" s="1389" t="s">
        <v>715</v>
      </c>
      <c r="E279" s="1380"/>
      <c r="F279" s="1390">
        <v>5.7810258620689661</v>
      </c>
      <c r="G279" s="1390">
        <v>5.6830423728813573</v>
      </c>
      <c r="H279" s="1390">
        <v>5.5883250000000002</v>
      </c>
      <c r="I279" s="1390">
        <v>5.4967131147540975</v>
      </c>
      <c r="J279" s="1390">
        <v>5.4080564516129028</v>
      </c>
      <c r="K279" s="1390">
        <v>5.3222142857142858</v>
      </c>
      <c r="L279" s="1390">
        <v>5.2390546874999995</v>
      </c>
      <c r="M279" s="1390">
        <v>5.1584538461538463</v>
      </c>
      <c r="N279" s="1334"/>
    </row>
    <row r="280" spans="1:48" hidden="1" outlineLevel="1" x14ac:dyDescent="0.2">
      <c r="B280" s="1334"/>
      <c r="C280" s="1388"/>
      <c r="D280" s="1389"/>
      <c r="E280" s="1380"/>
      <c r="F280" s="1390"/>
      <c r="G280" s="1390"/>
      <c r="H280" s="1390"/>
      <c r="I280" s="1390"/>
      <c r="J280" s="1390"/>
      <c r="K280" s="1390"/>
      <c r="L280" s="1390"/>
      <c r="M280" s="1390"/>
      <c r="N280" s="1334"/>
    </row>
    <row r="281" spans="1:48" s="1395" customFormat="1" hidden="1" outlineLevel="1" x14ac:dyDescent="0.2">
      <c r="B281" s="1334"/>
      <c r="C281" s="1384"/>
      <c r="D281" s="1389" t="s">
        <v>772</v>
      </c>
      <c r="E281" s="1380" t="s">
        <v>773</v>
      </c>
      <c r="F281" s="1392" t="s">
        <v>16</v>
      </c>
      <c r="G281" s="1392" t="s">
        <v>17</v>
      </c>
      <c r="H281" s="1392" t="s">
        <v>18</v>
      </c>
      <c r="I281" s="1392" t="s">
        <v>19</v>
      </c>
      <c r="J281" s="1392" t="s">
        <v>20</v>
      </c>
      <c r="K281" s="1392" t="s">
        <v>21</v>
      </c>
      <c r="L281" s="1392" t="s">
        <v>22</v>
      </c>
      <c r="M281" s="1392" t="s">
        <v>23</v>
      </c>
      <c r="N281" s="1334"/>
      <c r="O281"/>
      <c r="R281"/>
      <c r="S281"/>
      <c r="T281"/>
      <c r="U281"/>
      <c r="V281"/>
      <c r="W281"/>
      <c r="X281"/>
      <c r="Y281"/>
      <c r="Z281"/>
      <c r="AA281"/>
      <c r="AN281"/>
      <c r="AO281"/>
      <c r="AP281"/>
      <c r="AQ281"/>
      <c r="AR281"/>
      <c r="AS281"/>
      <c r="AT281"/>
      <c r="AU281"/>
      <c r="AV281"/>
    </row>
    <row r="282" spans="1:48" ht="23.25" hidden="1" outlineLevel="1" x14ac:dyDescent="0.35">
      <c r="A282" s="352"/>
      <c r="B282" s="1334"/>
      <c r="C282" s="1388"/>
      <c r="D282" s="1389" t="s">
        <v>442</v>
      </c>
      <c r="E282" s="1380"/>
      <c r="F282" s="1393">
        <v>2.6731017339004026E-2</v>
      </c>
      <c r="G282" s="1393">
        <v>4.2345147756918881E-2</v>
      </c>
      <c r="H282" s="1393">
        <v>8.9356341694366861E-2</v>
      </c>
      <c r="I282" s="1393">
        <v>0.23412174281996498</v>
      </c>
      <c r="J282" s="1393">
        <v>0.36245724269373897</v>
      </c>
      <c r="K282" s="1393">
        <v>0.55022212115206925</v>
      </c>
      <c r="L282" s="1393">
        <v>0.6664363992995096</v>
      </c>
      <c r="M282" s="1393">
        <v>0.79625375332476722</v>
      </c>
      <c r="N282" s="1334"/>
      <c r="AA282" s="1395"/>
    </row>
    <row r="283" spans="1:48" hidden="1" outlineLevel="1" x14ac:dyDescent="0.2">
      <c r="B283" s="1334"/>
      <c r="C283" s="1388"/>
      <c r="D283" s="1389" t="s">
        <v>443</v>
      </c>
      <c r="E283" s="1380"/>
      <c r="F283" s="1393">
        <v>4.1451112666575418E-2</v>
      </c>
      <c r="G283" s="1393">
        <v>8.121874424930503E-2</v>
      </c>
      <c r="H283" s="1393">
        <v>0.14855861897248784</v>
      </c>
      <c r="I283" s="1393">
        <v>0.1976811613977888</v>
      </c>
      <c r="J283" s="1393">
        <v>0.22635067226861177</v>
      </c>
      <c r="K283" s="1393">
        <v>0.26082371435829166</v>
      </c>
      <c r="L283" s="1393">
        <v>0.30252447556212231</v>
      </c>
      <c r="M283" s="1393">
        <v>0.3503715936873002</v>
      </c>
      <c r="N283" s="1334"/>
      <c r="R283" s="1395"/>
      <c r="S283" s="1395"/>
      <c r="T283" s="1395"/>
      <c r="U283" s="1395"/>
      <c r="V283" s="1395"/>
      <c r="W283" s="1395"/>
      <c r="X283" s="1395"/>
      <c r="Y283" s="1395"/>
      <c r="Z283" s="1395"/>
      <c r="AN283" s="1395"/>
      <c r="AO283" s="1395"/>
      <c r="AP283" s="1395"/>
      <c r="AQ283" s="1395"/>
      <c r="AR283" s="1395"/>
      <c r="AS283" s="1395"/>
      <c r="AT283" s="1395"/>
      <c r="AU283" s="1395"/>
      <c r="AV283" s="1395"/>
    </row>
    <row r="284" spans="1:48" hidden="1" outlineLevel="1" x14ac:dyDescent="0.2">
      <c r="B284" s="1334"/>
      <c r="C284" s="1388"/>
      <c r="D284" s="1389" t="s">
        <v>332</v>
      </c>
      <c r="E284" s="1380"/>
      <c r="F284" s="1393">
        <v>1.3259167632819887E-2</v>
      </c>
      <c r="G284" s="1393">
        <v>1.3017481172917659E-2</v>
      </c>
      <c r="H284" s="1393">
        <v>1.3314819975756708E-2</v>
      </c>
      <c r="I284" s="1393">
        <v>1.3832375485473745E-2</v>
      </c>
      <c r="J284" s="1393">
        <v>1.863237330916525E-2</v>
      </c>
      <c r="K284" s="1393">
        <v>2.5160667388340566E-2</v>
      </c>
      <c r="L284" s="1393">
        <v>2.6567398416776009E-2</v>
      </c>
      <c r="M284" s="1393">
        <v>2.6486900725011048E-2</v>
      </c>
      <c r="N284" s="1334"/>
    </row>
    <row r="285" spans="1:48" collapsed="1" x14ac:dyDescent="0.2">
      <c r="B285" s="1394"/>
      <c r="C285" s="1394"/>
      <c r="D285" s="1394"/>
      <c r="E285" s="1394"/>
      <c r="F285" s="1394"/>
      <c r="G285" s="1394"/>
      <c r="H285" s="1394"/>
      <c r="I285" s="1394"/>
      <c r="J285" s="1394"/>
      <c r="K285" s="1394"/>
      <c r="L285" s="1394"/>
      <c r="M285" s="1394"/>
      <c r="N285" s="1394"/>
    </row>
    <row r="286" spans="1:48" ht="15.75" hidden="1" outlineLevel="1" x14ac:dyDescent="0.2">
      <c r="B286" s="1329" t="s">
        <v>774</v>
      </c>
      <c r="C286" s="1330"/>
      <c r="D286" s="1330"/>
      <c r="E286" s="1330"/>
      <c r="F286" s="1330"/>
      <c r="G286" s="1330"/>
      <c r="H286" s="1330"/>
      <c r="I286" s="1330"/>
      <c r="J286" s="1330"/>
      <c r="K286" s="1330"/>
      <c r="L286" s="1330"/>
      <c r="M286" s="1331"/>
      <c r="N286" s="1332"/>
    </row>
    <row r="287" spans="1:48" hidden="1" outlineLevel="1" x14ac:dyDescent="0.2">
      <c r="B287" s="1334"/>
      <c r="C287" s="1334"/>
      <c r="D287" s="1334"/>
      <c r="E287" s="1334"/>
      <c r="F287" s="1334"/>
      <c r="G287" s="1334"/>
      <c r="H287" s="1334"/>
      <c r="I287" s="1334"/>
      <c r="J287" s="1334"/>
      <c r="K287" s="1334"/>
      <c r="L287" s="1334"/>
      <c r="M287" s="1334"/>
      <c r="N287" s="1334"/>
    </row>
    <row r="288" spans="1:48" hidden="1" outlineLevel="1" x14ac:dyDescent="0.2">
      <c r="B288" s="1334"/>
      <c r="C288" s="1334"/>
      <c r="D288" s="1334"/>
      <c r="E288" s="1334"/>
      <c r="F288" s="1334"/>
      <c r="G288" s="1334"/>
      <c r="H288" s="1334"/>
      <c r="I288" s="1334"/>
      <c r="J288" s="1334"/>
      <c r="K288" s="1334"/>
      <c r="L288" s="1334"/>
      <c r="M288" s="1334"/>
      <c r="N288" s="1334"/>
    </row>
    <row r="289" spans="2:14" hidden="1" outlineLevel="1" x14ac:dyDescent="0.2">
      <c r="B289" s="1334"/>
      <c r="C289" s="1396" t="s">
        <v>775</v>
      </c>
      <c r="D289" s="1334"/>
      <c r="E289" s="1334"/>
      <c r="F289" s="1397" t="s">
        <v>16</v>
      </c>
      <c r="G289" s="1397" t="s">
        <v>17</v>
      </c>
      <c r="H289" s="1397" t="s">
        <v>18</v>
      </c>
      <c r="I289" s="1397" t="s">
        <v>19</v>
      </c>
      <c r="J289" s="1397" t="s">
        <v>20</v>
      </c>
      <c r="K289" s="1397" t="s">
        <v>21</v>
      </c>
      <c r="L289" s="1397" t="s">
        <v>22</v>
      </c>
      <c r="M289" s="1397" t="s">
        <v>23</v>
      </c>
      <c r="N289" s="1334"/>
    </row>
    <row r="290" spans="2:14" hidden="1" outlineLevel="1" x14ac:dyDescent="0.2">
      <c r="B290" s="1334"/>
      <c r="C290" s="1398" t="s">
        <v>776</v>
      </c>
      <c r="D290" s="1339"/>
      <c r="E290" s="1334"/>
      <c r="F290" s="1364">
        <v>157.49802847205476</v>
      </c>
      <c r="G290" s="1364">
        <v>138.6973089610978</v>
      </c>
      <c r="H290" s="1364">
        <v>93.757764151801254</v>
      </c>
      <c r="I290" s="1364">
        <v>49.73708297231498</v>
      </c>
      <c r="J290" s="1364">
        <v>24.225772900468016</v>
      </c>
      <c r="K290" s="1364">
        <v>7.0302633484101795</v>
      </c>
      <c r="L290" s="1364">
        <v>6.8914921655824779</v>
      </c>
      <c r="M290" s="1364">
        <v>6.7581299990587445</v>
      </c>
      <c r="N290" s="1334"/>
    </row>
    <row r="291" spans="2:14" hidden="1" outlineLevel="1" x14ac:dyDescent="0.2">
      <c r="B291" s="1334"/>
      <c r="C291" s="1398" t="s">
        <v>777</v>
      </c>
      <c r="D291" s="1339"/>
      <c r="E291" s="1334"/>
      <c r="F291" s="1364">
        <v>-2.8350150827586207</v>
      </c>
      <c r="G291" s="1364">
        <v>-6.6784588169491528</v>
      </c>
      <c r="H291" s="1364">
        <v>-6.5380486852173911</v>
      </c>
      <c r="I291" s="1364">
        <v>-6.4034602662713631</v>
      </c>
      <c r="J291" s="1364">
        <v>-6.2743369608870951</v>
      </c>
      <c r="K291" s="1364">
        <v>-6.2601214982142848</v>
      </c>
      <c r="L291" s="1364">
        <v>-6.1365795991071419</v>
      </c>
      <c r="M291" s="1364">
        <v>-6.017852256923077</v>
      </c>
      <c r="N291" s="1334"/>
    </row>
    <row r="292" spans="2:14" hidden="1" outlineLevel="1" x14ac:dyDescent="0.2">
      <c r="B292" s="1334"/>
      <c r="C292" s="1398" t="s">
        <v>778</v>
      </c>
      <c r="D292" s="1339"/>
      <c r="E292" s="1334"/>
      <c r="F292" s="1364">
        <v>-0.65310891735206111</v>
      </c>
      <c r="G292" s="1364">
        <v>-0.59697226195883013</v>
      </c>
      <c r="H292" s="1364">
        <v>-0.56712283878546055</v>
      </c>
      <c r="I292" s="1364">
        <v>-0.44567643554120656</v>
      </c>
      <c r="J292" s="1364">
        <v>-0.23764046650516771</v>
      </c>
      <c r="K292" s="1364">
        <v>0</v>
      </c>
      <c r="L292" s="1364">
        <v>0</v>
      </c>
      <c r="M292" s="1364">
        <v>0</v>
      </c>
      <c r="N292" s="1334"/>
    </row>
    <row r="293" spans="2:14" hidden="1" outlineLevel="1" x14ac:dyDescent="0.2">
      <c r="B293" s="1334"/>
      <c r="C293" s="1398" t="s">
        <v>779</v>
      </c>
      <c r="D293" s="1339"/>
      <c r="E293" s="1334"/>
      <c r="F293" s="1364">
        <v>-2.8084092698195309</v>
      </c>
      <c r="G293" s="1364">
        <v>-3.613649128655354</v>
      </c>
      <c r="H293" s="1364">
        <v>-3.9157798689954073</v>
      </c>
      <c r="I293" s="1364">
        <v>-2.4175683113530386</v>
      </c>
      <c r="J293" s="1364">
        <v>-1.6040466815053784</v>
      </c>
      <c r="K293" s="1364">
        <v>0</v>
      </c>
      <c r="L293" s="1364">
        <v>0</v>
      </c>
      <c r="M293" s="1364">
        <v>0</v>
      </c>
      <c r="N293" s="1334"/>
    </row>
    <row r="294" spans="2:14" hidden="1" outlineLevel="1" x14ac:dyDescent="0.2">
      <c r="B294" s="1334"/>
      <c r="C294" s="1398" t="s">
        <v>780</v>
      </c>
      <c r="D294" s="1339"/>
      <c r="E294" s="1334"/>
      <c r="F294" s="1364">
        <v>-5.6426996523058541E-2</v>
      </c>
      <c r="G294" s="1364">
        <v>-0.27312740834614246</v>
      </c>
      <c r="H294" s="1364">
        <v>-0.56382157895011298</v>
      </c>
      <c r="I294" s="1364">
        <v>-1.4458326752294293</v>
      </c>
      <c r="J294" s="1364">
        <v>-2.1917433115991054</v>
      </c>
      <c r="K294" s="1364">
        <v>-3.3271390715397944</v>
      </c>
      <c r="L294" s="1364">
        <v>-3.9476330310808754</v>
      </c>
      <c r="M294" s="1364">
        <v>-4.6222734361897011</v>
      </c>
      <c r="N294" s="1334"/>
    </row>
    <row r="295" spans="2:14" hidden="1" outlineLevel="1" x14ac:dyDescent="0.2">
      <c r="B295" s="1334"/>
      <c r="C295" s="1398" t="s">
        <v>781</v>
      </c>
      <c r="D295" s="1339"/>
      <c r="E295" s="1334"/>
      <c r="F295" s="1364">
        <v>-1.4162570684744686E-2</v>
      </c>
      <c r="G295" s="1364">
        <v>-1.3668749019730256E-2</v>
      </c>
      <c r="H295" s="1364">
        <v>-1.3747947694800134E-2</v>
      </c>
      <c r="I295" s="1364">
        <v>-1.4048202446625139E-2</v>
      </c>
      <c r="J295" s="1364">
        <v>-1.8617883571316048E-2</v>
      </c>
      <c r="K295" s="1364">
        <v>-2.4742035734545229E-2</v>
      </c>
      <c r="L295" s="1364">
        <v>-2.5717152331418965E-2</v>
      </c>
      <c r="M295" s="1364">
        <v>-2.5244781131296981E-2</v>
      </c>
      <c r="N295" s="1334"/>
    </row>
    <row r="296" spans="2:14" hidden="1" outlineLevel="1" x14ac:dyDescent="0.2">
      <c r="B296" s="1334"/>
      <c r="C296" s="1398" t="s">
        <v>782</v>
      </c>
      <c r="D296" s="1339"/>
      <c r="E296" s="1334"/>
      <c r="F296" s="1364">
        <v>151.13090563491676</v>
      </c>
      <c r="G296" s="1364">
        <v>127.52143259616859</v>
      </c>
      <c r="H296" s="1364">
        <v>82.15924323215809</v>
      </c>
      <c r="I296" s="1364">
        <v>39.010497081473311</v>
      </c>
      <c r="J296" s="1364">
        <v>13.899387596399954</v>
      </c>
      <c r="K296" s="1364">
        <v>-2.581739257078445</v>
      </c>
      <c r="L296" s="1364">
        <v>-3.2184376169369582</v>
      </c>
      <c r="M296" s="1364">
        <v>-3.9072404751853305</v>
      </c>
      <c r="N296" s="1334"/>
    </row>
    <row r="297" spans="2:14" hidden="1" outlineLevel="1" x14ac:dyDescent="0.2">
      <c r="B297" s="1334"/>
      <c r="C297" s="1398"/>
      <c r="D297" s="1339"/>
      <c r="E297" s="1334"/>
      <c r="F297" s="1364"/>
      <c r="G297" s="1364"/>
      <c r="H297" s="1364"/>
      <c r="I297" s="1364"/>
      <c r="J297" s="1364"/>
      <c r="K297" s="1364"/>
      <c r="L297" s="1364"/>
      <c r="M297" s="1364"/>
      <c r="N297" s="1334"/>
    </row>
    <row r="298" spans="2:14" hidden="1" outlineLevel="1" x14ac:dyDescent="0.2">
      <c r="B298" s="1334"/>
      <c r="C298" s="1399" t="s">
        <v>783</v>
      </c>
      <c r="D298" s="1339"/>
      <c r="E298" s="1334"/>
      <c r="F298" s="1397" t="s">
        <v>16</v>
      </c>
      <c r="G298" s="1397" t="s">
        <v>17</v>
      </c>
      <c r="H298" s="1397" t="s">
        <v>18</v>
      </c>
      <c r="I298" s="1397" t="s">
        <v>19</v>
      </c>
      <c r="J298" s="1397" t="s">
        <v>20</v>
      </c>
      <c r="K298" s="1397" t="s">
        <v>21</v>
      </c>
      <c r="L298" s="1397" t="s">
        <v>22</v>
      </c>
      <c r="M298" s="1397" t="s">
        <v>23</v>
      </c>
      <c r="N298" s="1334"/>
    </row>
    <row r="299" spans="2:14" hidden="1" outlineLevel="1" x14ac:dyDescent="0.2">
      <c r="B299" s="1334"/>
      <c r="C299" s="1335">
        <v>1</v>
      </c>
      <c r="D299" s="1334" t="s">
        <v>720</v>
      </c>
      <c r="E299" s="1334"/>
      <c r="F299" s="1364">
        <v>157.49802847205476</v>
      </c>
      <c r="G299" s="1364">
        <v>138.6973089610978</v>
      </c>
      <c r="H299" s="1364">
        <v>93.757764151801254</v>
      </c>
      <c r="I299" s="1364">
        <v>49.73708297231498</v>
      </c>
      <c r="J299" s="1364">
        <v>24.225772900468016</v>
      </c>
      <c r="K299" s="1364">
        <v>7.0302633484101795</v>
      </c>
      <c r="L299" s="1364">
        <v>6.8914921655824779</v>
      </c>
      <c r="M299" s="1364">
        <v>6.7581299990587445</v>
      </c>
      <c r="N299" s="1334"/>
    </row>
    <row r="300" spans="2:14" hidden="1" outlineLevel="1" x14ac:dyDescent="0.2">
      <c r="B300" s="1334"/>
      <c r="C300" s="1335" t="s">
        <v>729</v>
      </c>
      <c r="D300" s="1400" t="s">
        <v>730</v>
      </c>
      <c r="E300" s="1334"/>
      <c r="F300" s="1364">
        <v>-3.5321077543793948</v>
      </c>
      <c r="G300" s="1364">
        <v>-4.4974175479800573</v>
      </c>
      <c r="H300" s="1364">
        <v>-5.0604722344257809</v>
      </c>
      <c r="I300" s="1364">
        <v>-4.3231256245702996</v>
      </c>
      <c r="J300" s="1364">
        <v>-4.0520483431809682</v>
      </c>
      <c r="K300" s="1364">
        <v>-3.3518811072743397</v>
      </c>
      <c r="L300" s="1364">
        <v>-3.9733501834122942</v>
      </c>
      <c r="M300" s="1364">
        <v>-4.6475182173209983</v>
      </c>
      <c r="N300" s="1334"/>
    </row>
    <row r="301" spans="2:14" hidden="1" outlineLevel="1" x14ac:dyDescent="0.2">
      <c r="B301" s="1334"/>
      <c r="C301" s="1335" t="s">
        <v>731</v>
      </c>
      <c r="D301" s="1400" t="s">
        <v>732</v>
      </c>
      <c r="E301" s="1334"/>
      <c r="F301" s="1364">
        <v>-2.8350150827586207</v>
      </c>
      <c r="G301" s="1364">
        <v>-6.6784588169491528</v>
      </c>
      <c r="H301" s="1364">
        <v>-6.5380486852173911</v>
      </c>
      <c r="I301" s="1364">
        <v>-6.4034602662713631</v>
      </c>
      <c r="J301" s="1364">
        <v>-6.2743369608870951</v>
      </c>
      <c r="K301" s="1364">
        <v>-6.2601214982142848</v>
      </c>
      <c r="L301" s="1364">
        <v>-6.1365795991071419</v>
      </c>
      <c r="M301" s="1364">
        <v>-6.017852256923077</v>
      </c>
      <c r="N301" s="1334"/>
    </row>
    <row r="302" spans="2:14" hidden="1" outlineLevel="1" x14ac:dyDescent="0.2">
      <c r="B302" s="1334"/>
      <c r="C302" s="1335"/>
      <c r="D302" s="1400" t="s">
        <v>118</v>
      </c>
      <c r="E302" s="1334"/>
      <c r="F302" s="1364">
        <v>151.13090563491676</v>
      </c>
      <c r="G302" s="1364">
        <v>127.52143259616859</v>
      </c>
      <c r="H302" s="1364">
        <v>82.15924323215809</v>
      </c>
      <c r="I302" s="1364">
        <v>39.010497081473311</v>
      </c>
      <c r="J302" s="1364">
        <v>13.899387596399954</v>
      </c>
      <c r="K302" s="1364">
        <v>-2.581739257078445</v>
      </c>
      <c r="L302" s="1364">
        <v>-3.2184376169369582</v>
      </c>
      <c r="M302" s="1364">
        <v>-3.9072404751853305</v>
      </c>
      <c r="N302" s="1334"/>
    </row>
    <row r="303" spans="2:14" hidden="1" outlineLevel="1" x14ac:dyDescent="0.2">
      <c r="B303" s="1334"/>
      <c r="C303" s="1401"/>
      <c r="D303" s="1334"/>
      <c r="E303" s="1334"/>
      <c r="F303" s="1334"/>
      <c r="G303" s="1334"/>
      <c r="H303" s="1334"/>
      <c r="I303" s="1334"/>
      <c r="J303" s="1334"/>
      <c r="K303" s="1334"/>
      <c r="L303" s="1334"/>
      <c r="M303" s="1334"/>
      <c r="N303" s="1334"/>
    </row>
    <row r="304" spans="2:14" hidden="1" outlineLevel="1" x14ac:dyDescent="0.2">
      <c r="B304" s="1334"/>
      <c r="C304" s="1402" t="s">
        <v>784</v>
      </c>
      <c r="D304" s="1357"/>
      <c r="E304" s="1403" t="s">
        <v>785</v>
      </c>
      <c r="F304" s="1404">
        <v>0.45914091718721139</v>
      </c>
      <c r="G304" s="1404">
        <v>0.39084550257867906</v>
      </c>
      <c r="H304" s="1404">
        <v>0.2429612777722116</v>
      </c>
      <c r="I304" s="1404">
        <v>0.11181952226694088</v>
      </c>
      <c r="J304" s="1404">
        <v>3.9912162577413909E-2</v>
      </c>
      <c r="K304" s="1404">
        <v>-6.8897484553438618E-3</v>
      </c>
      <c r="L304" s="1404">
        <v>-7.2856985239761604E-3</v>
      </c>
      <c r="M304" s="1404">
        <v>-7.4890286165983071E-3</v>
      </c>
      <c r="N304" s="1334"/>
    </row>
    <row r="305" spans="1:14" hidden="1" outlineLevel="1" x14ac:dyDescent="0.2">
      <c r="B305" s="1334"/>
      <c r="C305" s="1402"/>
      <c r="D305" s="1357"/>
      <c r="E305" s="1403" t="s">
        <v>786</v>
      </c>
      <c r="F305" s="1404">
        <v>459.14091718721141</v>
      </c>
      <c r="G305" s="1404">
        <v>390.84550257867909</v>
      </c>
      <c r="H305" s="1404">
        <v>242.96127777221162</v>
      </c>
      <c r="I305" s="1404">
        <v>111.81952226694088</v>
      </c>
      <c r="J305" s="1404">
        <v>39.912162577413909</v>
      </c>
      <c r="K305" s="1404">
        <v>-6.8897484553438622</v>
      </c>
      <c r="L305" s="1404">
        <v>-7.2856985239761602</v>
      </c>
      <c r="M305" s="1404">
        <v>-7.4890286165983069</v>
      </c>
      <c r="N305" s="1334"/>
    </row>
    <row r="306" spans="1:14" ht="23.25" hidden="1" outlineLevel="2" x14ac:dyDescent="0.35">
      <c r="A306" s="352"/>
      <c r="B306" s="1334"/>
      <c r="C306" s="1402"/>
      <c r="D306" s="1357"/>
      <c r="E306" s="1403"/>
      <c r="F306" s="1358"/>
      <c r="G306" s="1358"/>
      <c r="H306" s="1358"/>
      <c r="I306" s="1358"/>
      <c r="J306" s="1358"/>
      <c r="K306" s="1358"/>
      <c r="L306" s="1358"/>
      <c r="M306" s="1358"/>
      <c r="N306" s="1334"/>
    </row>
    <row r="307" spans="1:14" hidden="1" outlineLevel="2" x14ac:dyDescent="0.2">
      <c r="B307" s="1334"/>
      <c r="C307" s="1403" t="s">
        <v>787</v>
      </c>
      <c r="D307" s="1357"/>
      <c r="E307" s="1403"/>
      <c r="F307" s="1358"/>
      <c r="G307" s="1358"/>
      <c r="H307" s="1358"/>
      <c r="I307" s="1358"/>
      <c r="J307" s="1358"/>
      <c r="K307" s="1358"/>
      <c r="L307" s="1358"/>
      <c r="M307" s="1358"/>
      <c r="N307" s="1334"/>
    </row>
    <row r="308" spans="1:14" hidden="1" outlineLevel="2" x14ac:dyDescent="0.2">
      <c r="B308" s="1334"/>
      <c r="C308" s="1334"/>
      <c r="D308" s="1334"/>
      <c r="E308" s="1334"/>
      <c r="F308" s="1334"/>
      <c r="G308" s="1334"/>
      <c r="H308" s="1334"/>
      <c r="I308" s="1334"/>
      <c r="J308" s="1334"/>
      <c r="K308" s="1334"/>
      <c r="L308" s="1334"/>
      <c r="M308" s="1334"/>
      <c r="N308" s="1334"/>
    </row>
    <row r="309" spans="1:14" hidden="1" outlineLevel="2" x14ac:dyDescent="0.2"/>
    <row r="310" spans="1:14" ht="15.75" hidden="1" outlineLevel="2" x14ac:dyDescent="0.2">
      <c r="B310" s="1405" t="s">
        <v>788</v>
      </c>
      <c r="C310" s="1406"/>
      <c r="D310" s="1406"/>
      <c r="E310" s="1406"/>
      <c r="F310" s="1407"/>
      <c r="G310" s="1407"/>
      <c r="H310" s="1407"/>
      <c r="I310" s="1407"/>
      <c r="J310" s="1407"/>
      <c r="K310" s="1407"/>
      <c r="L310" s="1407"/>
      <c r="M310" s="1407"/>
      <c r="N310" s="1408"/>
    </row>
    <row r="311" spans="1:14" ht="15.75" hidden="1" outlineLevel="2" x14ac:dyDescent="0.2">
      <c r="B311" s="1409"/>
      <c r="C311" s="1410"/>
      <c r="D311" s="1410"/>
      <c r="E311" s="1410"/>
      <c r="F311" s="1411"/>
      <c r="G311" s="1411"/>
      <c r="H311" s="1411"/>
      <c r="I311" s="1411"/>
      <c r="J311" s="1411"/>
      <c r="K311" s="1411"/>
      <c r="L311" s="1411"/>
      <c r="M311" s="1411"/>
      <c r="N311" s="1412"/>
    </row>
    <row r="312" spans="1:14" hidden="1" outlineLevel="2" x14ac:dyDescent="0.2">
      <c r="B312" s="1413"/>
      <c r="C312" s="1414" t="s">
        <v>157</v>
      </c>
      <c r="D312" s="1414" t="s">
        <v>183</v>
      </c>
      <c r="E312" s="1414">
        <v>0</v>
      </c>
      <c r="F312" s="1415">
        <v>134.99639999999999</v>
      </c>
      <c r="G312" s="1415">
        <v>145.71040000000005</v>
      </c>
      <c r="H312" s="1415">
        <v>299.99200000000002</v>
      </c>
      <c r="I312" s="1415">
        <v>544.27119999999991</v>
      </c>
      <c r="J312" s="1415">
        <v>762.83679999999993</v>
      </c>
      <c r="K312" s="1415">
        <v>1007.1160000000002</v>
      </c>
      <c r="L312" s="1415">
        <v>1251.3952000000002</v>
      </c>
      <c r="M312" s="1415">
        <v>1495.6744000000006</v>
      </c>
      <c r="N312" s="1416"/>
    </row>
    <row r="313" spans="1:14" hidden="1" outlineLevel="2" x14ac:dyDescent="0.2">
      <c r="B313" s="1413"/>
      <c r="C313" s="1414" t="s">
        <v>315</v>
      </c>
      <c r="D313" s="1414" t="s">
        <v>316</v>
      </c>
      <c r="E313" s="1414">
        <v>0</v>
      </c>
      <c r="F313" s="1415">
        <v>1.3604831999999999E-2</v>
      </c>
      <c r="G313" s="1415">
        <v>0</v>
      </c>
      <c r="H313" s="1415">
        <v>0</v>
      </c>
      <c r="I313" s="1415">
        <v>0</v>
      </c>
      <c r="J313" s="1415">
        <v>0</v>
      </c>
      <c r="K313" s="1415">
        <v>0</v>
      </c>
      <c r="L313" s="1415">
        <v>0</v>
      </c>
      <c r="M313" s="1415">
        <v>0</v>
      </c>
      <c r="N313" s="1416"/>
    </row>
    <row r="314" spans="1:14" hidden="1" outlineLevel="2" x14ac:dyDescent="0.2">
      <c r="B314" s="1413"/>
      <c r="C314" s="1414" t="s">
        <v>218</v>
      </c>
      <c r="D314" s="1414" t="s">
        <v>540</v>
      </c>
      <c r="E314" s="1414">
        <v>0</v>
      </c>
      <c r="F314" s="1415">
        <v>31.473008100000001</v>
      </c>
      <c r="G314" s="1415">
        <v>49.262518116000003</v>
      </c>
      <c r="H314" s="1415">
        <v>63.374147640000011</v>
      </c>
      <c r="I314" s="1415">
        <v>57.439390320000001</v>
      </c>
      <c r="J314" s="1415">
        <v>43.742515319999995</v>
      </c>
      <c r="K314" s="1415">
        <v>28.818400320000002</v>
      </c>
      <c r="L314" s="1415">
        <v>15.86663532</v>
      </c>
      <c r="M314" s="1415">
        <v>15.86663532</v>
      </c>
      <c r="N314" s="1416"/>
    </row>
    <row r="315" spans="1:14" hidden="1" outlineLevel="2" x14ac:dyDescent="0.2">
      <c r="B315" s="1413"/>
      <c r="C315" s="1414" t="s">
        <v>285</v>
      </c>
      <c r="D315" s="1414" t="s">
        <v>541</v>
      </c>
      <c r="E315" s="1414">
        <v>0</v>
      </c>
      <c r="F315" s="1415">
        <v>2.0013698630136998E-2</v>
      </c>
      <c r="G315" s="1415">
        <v>5.0034246575342486E-2</v>
      </c>
      <c r="H315" s="1415">
        <v>0.12508561643835608</v>
      </c>
      <c r="I315" s="1415">
        <v>0.12508561643835608</v>
      </c>
      <c r="J315" s="1415">
        <v>0</v>
      </c>
      <c r="K315" s="1415">
        <v>0</v>
      </c>
      <c r="L315" s="1415">
        <v>0</v>
      </c>
      <c r="M315" s="1415">
        <v>0</v>
      </c>
      <c r="N315" s="1416"/>
    </row>
    <row r="316" spans="1:14" hidden="1" outlineLevel="2" x14ac:dyDescent="0.2">
      <c r="B316" s="1413"/>
      <c r="C316" s="1414" t="s">
        <v>286</v>
      </c>
      <c r="D316" s="1414" t="s">
        <v>291</v>
      </c>
      <c r="E316" s="1414">
        <v>0</v>
      </c>
      <c r="F316" s="1415">
        <v>3.0020547945205484E-3</v>
      </c>
      <c r="G316" s="1415">
        <v>0.1584417808219177</v>
      </c>
      <c r="H316" s="1415">
        <v>0.39610445205479383</v>
      </c>
      <c r="I316" s="1415">
        <v>0.39610445205479383</v>
      </c>
      <c r="J316" s="1415">
        <v>0</v>
      </c>
      <c r="K316" s="1415">
        <v>0</v>
      </c>
      <c r="L316" s="1415">
        <v>0</v>
      </c>
      <c r="M316" s="1415">
        <v>0</v>
      </c>
      <c r="N316" s="1416"/>
    </row>
    <row r="317" spans="1:14" hidden="1" outlineLevel="2" x14ac:dyDescent="0.2">
      <c r="B317" s="1413"/>
      <c r="C317" s="1414" t="s">
        <v>302</v>
      </c>
      <c r="D317" s="1414" t="s">
        <v>61</v>
      </c>
      <c r="E317" s="1414">
        <v>0</v>
      </c>
      <c r="F317" s="1415">
        <v>0</v>
      </c>
      <c r="G317" s="1415">
        <v>0</v>
      </c>
      <c r="H317" s="1415">
        <v>0</v>
      </c>
      <c r="I317" s="1415">
        <v>0</v>
      </c>
      <c r="J317" s="1415">
        <v>0</v>
      </c>
      <c r="K317" s="1415">
        <v>0</v>
      </c>
      <c r="L317" s="1415">
        <v>0</v>
      </c>
      <c r="M317" s="1415">
        <v>0</v>
      </c>
      <c r="N317" s="1416"/>
    </row>
    <row r="318" spans="1:14" hidden="1" outlineLevel="2" x14ac:dyDescent="0.2">
      <c r="B318" s="1413"/>
      <c r="C318" s="1414" t="s">
        <v>249</v>
      </c>
      <c r="D318" s="1414" t="s">
        <v>542</v>
      </c>
      <c r="E318" s="1414">
        <v>0</v>
      </c>
      <c r="F318" s="1415">
        <v>5.3297280000000011</v>
      </c>
      <c r="G318" s="1415">
        <v>5.3297280000000011</v>
      </c>
      <c r="H318" s="1415">
        <v>5.3297280000000011</v>
      </c>
      <c r="I318" s="1415">
        <v>5.3297280000000011</v>
      </c>
      <c r="J318" s="1415">
        <v>5.3297280000000011</v>
      </c>
      <c r="K318" s="1415">
        <v>5.3297280000000011</v>
      </c>
      <c r="L318" s="1415">
        <v>5.3297280000000011</v>
      </c>
      <c r="M318" s="1415">
        <v>5.3297280000000011</v>
      </c>
      <c r="N318" s="1416"/>
    </row>
    <row r="319" spans="1:14" hidden="1" outlineLevel="2" x14ac:dyDescent="0.2">
      <c r="B319" s="1413"/>
      <c r="C319" s="1414" t="s">
        <v>459</v>
      </c>
      <c r="D319" s="1414" t="s">
        <v>546</v>
      </c>
      <c r="E319" s="1414">
        <v>0</v>
      </c>
      <c r="F319" s="1415">
        <v>0</v>
      </c>
      <c r="G319" s="1415">
        <v>0</v>
      </c>
      <c r="H319" s="1415">
        <v>0</v>
      </c>
      <c r="I319" s="1415">
        <v>0</v>
      </c>
      <c r="J319" s="1415">
        <v>0</v>
      </c>
      <c r="K319" s="1415">
        <v>0</v>
      </c>
      <c r="L319" s="1415">
        <v>0</v>
      </c>
      <c r="M319" s="1415">
        <v>0</v>
      </c>
      <c r="N319" s="1416"/>
    </row>
    <row r="320" spans="1:14" hidden="1" outlineLevel="2" x14ac:dyDescent="0.2">
      <c r="B320" s="1413"/>
      <c r="C320" s="1414" t="s">
        <v>455</v>
      </c>
      <c r="D320" s="1414" t="s">
        <v>543</v>
      </c>
      <c r="E320" s="1414">
        <v>0</v>
      </c>
      <c r="F320" s="1415">
        <v>0</v>
      </c>
      <c r="G320" s="1415">
        <v>26.710275840124822</v>
      </c>
      <c r="H320" s="1415">
        <v>51.089864112095512</v>
      </c>
      <c r="I320" s="1415">
        <v>72.984733371546113</v>
      </c>
      <c r="J320" s="1415">
        <v>93.288025951564336</v>
      </c>
      <c r="K320" s="1415">
        <v>111.80176894736846</v>
      </c>
      <c r="L320" s="1415">
        <v>129.55617773939002</v>
      </c>
      <c r="M320" s="1415">
        <v>146.26559002704465</v>
      </c>
      <c r="N320" s="1416"/>
    </row>
    <row r="321" spans="2:14" hidden="1" outlineLevel="2" x14ac:dyDescent="0.2">
      <c r="B321" s="1413"/>
      <c r="C321" s="1414"/>
      <c r="D321" s="1414" t="s">
        <v>738</v>
      </c>
      <c r="E321" s="1414">
        <v>0</v>
      </c>
      <c r="F321" s="1415">
        <v>112.5380772602856</v>
      </c>
      <c r="G321" s="1415">
        <v>188.2000595732631</v>
      </c>
      <c r="H321" s="1415">
        <v>243.38739650450407</v>
      </c>
      <c r="I321" s="1415">
        <v>276.16640720975766</v>
      </c>
      <c r="J321" s="1415">
        <v>308.01760141602989</v>
      </c>
      <c r="K321" s="1415">
        <v>343.18077644969964</v>
      </c>
      <c r="L321" s="1415">
        <v>380.91515401456979</v>
      </c>
      <c r="M321" s="1415">
        <v>418.6662002759773</v>
      </c>
      <c r="N321" s="1416"/>
    </row>
    <row r="322" spans="2:14" hidden="1" outlineLevel="2" x14ac:dyDescent="0.2">
      <c r="B322" s="1413"/>
      <c r="C322" s="1414"/>
      <c r="D322" s="1414" t="s">
        <v>363</v>
      </c>
      <c r="E322" s="1414">
        <v>0</v>
      </c>
      <c r="F322" s="1415">
        <v>382.62970915148435</v>
      </c>
      <c r="G322" s="1415">
        <v>322.98461164813341</v>
      </c>
      <c r="H322" s="1415">
        <v>181.52101669948826</v>
      </c>
      <c r="I322" s="1415">
        <v>66.08816329800996</v>
      </c>
      <c r="J322" s="1415">
        <v>39.515968366933045</v>
      </c>
      <c r="K322" s="1415">
        <v>18.369007105235248</v>
      </c>
      <c r="L322" s="1415">
        <v>11.293933244173701</v>
      </c>
      <c r="M322" s="1415">
        <v>4.4584088183928614</v>
      </c>
      <c r="N322" s="1416"/>
    </row>
    <row r="323" spans="2:14" hidden="1" outlineLevel="2" x14ac:dyDescent="0.2">
      <c r="B323" s="1413"/>
      <c r="C323" s="1414"/>
      <c r="D323" s="1414" t="s">
        <v>340</v>
      </c>
      <c r="E323" s="1414">
        <v>0</v>
      </c>
      <c r="F323" s="1415">
        <v>764.12881356560501</v>
      </c>
      <c r="G323" s="1415">
        <v>694.89176479334674</v>
      </c>
      <c r="H323" s="1415">
        <v>562.66105968382919</v>
      </c>
      <c r="I323" s="1415">
        <v>464.73162247166283</v>
      </c>
      <c r="J323" s="1415">
        <v>444.46731950536969</v>
      </c>
      <c r="K323" s="1415">
        <v>417.02473027038161</v>
      </c>
      <c r="L323" s="1415">
        <v>381.58648397589371</v>
      </c>
      <c r="M323" s="1415">
        <v>341.09482657693366</v>
      </c>
      <c r="N323" s="1416"/>
    </row>
    <row r="324" spans="2:14" hidden="1" outlineLevel="2" x14ac:dyDescent="0.2">
      <c r="B324" s="1413"/>
      <c r="C324" s="1414"/>
      <c r="D324" s="1414" t="s">
        <v>436</v>
      </c>
      <c r="E324" s="1414">
        <v>0</v>
      </c>
      <c r="F324" s="1415">
        <v>847.18097542903308</v>
      </c>
      <c r="G324" s="1415">
        <v>744.79479957597027</v>
      </c>
      <c r="H324" s="1415">
        <v>655.18274101571171</v>
      </c>
      <c r="I324" s="1415">
        <v>530.73809880872886</v>
      </c>
      <c r="J324" s="1415">
        <v>363.14969415071818</v>
      </c>
      <c r="K324" s="1415">
        <v>236.54672560812912</v>
      </c>
      <c r="L324" s="1415">
        <v>183.96234863091902</v>
      </c>
      <c r="M324" s="1415">
        <v>137.43759374644708</v>
      </c>
      <c r="N324" s="1416"/>
    </row>
    <row r="325" spans="2:14" hidden="1" outlineLevel="2" x14ac:dyDescent="0.2">
      <c r="B325" s="1413"/>
      <c r="C325" s="1414"/>
      <c r="D325" s="1417" t="s">
        <v>789</v>
      </c>
      <c r="E325" s="1414">
        <v>0</v>
      </c>
      <c r="F325" s="1418">
        <v>2278.3133320918328</v>
      </c>
      <c r="G325" s="1418">
        <v>2178.0926335742356</v>
      </c>
      <c r="H325" s="1418">
        <v>2063.0591437241219</v>
      </c>
      <c r="I325" s="1418">
        <v>2018.2705335481985</v>
      </c>
      <c r="J325" s="1418">
        <v>2060.347652710615</v>
      </c>
      <c r="K325" s="1418">
        <v>2140.7235185265522</v>
      </c>
      <c r="L325" s="1418">
        <v>2267.9931498746732</v>
      </c>
      <c r="M325" s="1418">
        <v>2395.6781001787945</v>
      </c>
      <c r="N325" s="1416"/>
    </row>
    <row r="326" spans="2:14" hidden="1" outlineLevel="2" x14ac:dyDescent="0.2">
      <c r="B326" s="1413"/>
      <c r="C326" s="1414"/>
      <c r="D326" s="1414" t="s">
        <v>790</v>
      </c>
      <c r="E326" s="1414"/>
      <c r="F326" s="1419">
        <v>875.87145288480531</v>
      </c>
      <c r="G326" s="1419">
        <v>921.61224977358336</v>
      </c>
      <c r="H326" s="1419">
        <v>921.25919873418707</v>
      </c>
      <c r="I326" s="1419">
        <v>1055.0828680715474</v>
      </c>
      <c r="J326" s="1419">
        <v>1212.0180932235587</v>
      </c>
      <c r="K326" s="1419">
        <v>1403.483246360041</v>
      </c>
      <c r="L326" s="1419">
        <v>1639.991049145729</v>
      </c>
      <c r="M326" s="1419">
        <v>1861.27091843427</v>
      </c>
      <c r="N326" s="1416"/>
    </row>
    <row r="327" spans="2:14" hidden="1" outlineLevel="2" x14ac:dyDescent="0.2">
      <c r="B327" s="1413"/>
      <c r="C327" s="1414"/>
      <c r="D327" s="1414"/>
      <c r="E327" s="1414"/>
      <c r="F327" s="1419"/>
      <c r="G327" s="1419"/>
      <c r="H327" s="1419"/>
      <c r="I327" s="1419"/>
      <c r="J327" s="1419"/>
      <c r="K327" s="1419"/>
      <c r="L327" s="1419" t="s">
        <v>791</v>
      </c>
      <c r="M327" s="1420">
        <v>0.77692863590286165</v>
      </c>
      <c r="N327" s="1416"/>
    </row>
    <row r="328" spans="2:14" hidden="1" outlineLevel="2" x14ac:dyDescent="0.2">
      <c r="B328" s="1413"/>
      <c r="C328" s="1414"/>
      <c r="D328" s="1414" t="s">
        <v>792</v>
      </c>
      <c r="E328" s="1414"/>
      <c r="F328" s="1419">
        <v>2278.3133320918328</v>
      </c>
      <c r="G328" s="1419">
        <v>2178.0926335742361</v>
      </c>
      <c r="H328" s="1419">
        <v>2063.0591437241219</v>
      </c>
      <c r="I328" s="1419">
        <v>2018.2705335481983</v>
      </c>
      <c r="J328" s="1419">
        <v>2060.347652710615</v>
      </c>
      <c r="K328" s="1419">
        <v>2140.7235185265522</v>
      </c>
      <c r="L328" s="1419">
        <v>2267.9931498746728</v>
      </c>
      <c r="M328" s="1419">
        <v>2395.6781001787945</v>
      </c>
      <c r="N328" s="1416"/>
    </row>
    <row r="329" spans="2:14" hidden="1" outlineLevel="2" x14ac:dyDescent="0.2">
      <c r="B329" s="1413"/>
      <c r="C329" s="1414"/>
      <c r="D329" s="1414"/>
      <c r="E329" s="1414"/>
      <c r="F329" s="1419"/>
      <c r="G329" s="1419"/>
      <c r="H329" s="1419"/>
      <c r="I329" s="1419"/>
      <c r="J329" s="1419"/>
      <c r="K329" s="1419"/>
      <c r="L329" s="1419"/>
      <c r="M329" s="1419"/>
      <c r="N329" s="1416"/>
    </row>
    <row r="330" spans="2:14" ht="4.5" hidden="1" customHeight="1" outlineLevel="2" x14ac:dyDescent="0.2">
      <c r="F330" s="1325"/>
      <c r="G330" s="1325"/>
      <c r="H330" s="1325"/>
      <c r="I330" s="1325"/>
      <c r="J330" s="1325"/>
      <c r="K330" s="1325"/>
      <c r="L330" s="1325"/>
      <c r="M330" s="1325"/>
    </row>
    <row r="331" spans="2:14" ht="15.75" hidden="1" outlineLevel="2" x14ac:dyDescent="0.2">
      <c r="B331" s="1405" t="s">
        <v>793</v>
      </c>
      <c r="C331" s="1406"/>
      <c r="D331" s="1406"/>
      <c r="E331" s="1406"/>
      <c r="F331" s="1407"/>
      <c r="G331" s="1407"/>
      <c r="H331" s="1407"/>
      <c r="I331" s="1407"/>
      <c r="J331" s="1407"/>
      <c r="K331" s="1407"/>
      <c r="L331" s="1407"/>
      <c r="M331" s="1407"/>
      <c r="N331" s="1408"/>
    </row>
    <row r="332" spans="2:14" ht="15.75" hidden="1" outlineLevel="2" x14ac:dyDescent="0.2">
      <c r="B332" s="1409"/>
      <c r="C332" s="1410"/>
      <c r="D332" s="1410"/>
      <c r="E332" s="1410"/>
      <c r="F332" s="1411"/>
      <c r="G332" s="1411"/>
      <c r="H332" s="1411"/>
      <c r="I332" s="1411"/>
      <c r="J332" s="1411"/>
      <c r="K332" s="1411"/>
      <c r="L332" s="1411"/>
      <c r="M332" s="1411"/>
      <c r="N332" s="1412"/>
    </row>
    <row r="333" spans="2:14" hidden="1" outlineLevel="2" x14ac:dyDescent="0.2">
      <c r="B333" s="1413"/>
      <c r="C333" s="1421" t="s">
        <v>149</v>
      </c>
      <c r="D333" s="1422"/>
      <c r="E333" s="1417"/>
      <c r="F333" s="1423">
        <v>2015</v>
      </c>
      <c r="G333" s="1423">
        <v>2020</v>
      </c>
      <c r="H333" s="1423">
        <v>2025</v>
      </c>
      <c r="I333" s="1423">
        <v>2030</v>
      </c>
      <c r="J333" s="1423">
        <v>2035</v>
      </c>
      <c r="K333" s="1423">
        <v>2040</v>
      </c>
      <c r="L333" s="1423">
        <v>2045</v>
      </c>
      <c r="M333" s="1424">
        <v>2050</v>
      </c>
      <c r="N333" s="1416" t="s">
        <v>171</v>
      </c>
    </row>
    <row r="334" spans="2:14" hidden="1" outlineLevel="2" x14ac:dyDescent="0.2">
      <c r="B334" s="1413"/>
      <c r="C334" s="1417"/>
      <c r="D334" s="1414"/>
      <c r="E334" s="1414"/>
      <c r="F334" s="1415"/>
      <c r="G334" s="1415"/>
      <c r="H334" s="1415"/>
      <c r="I334" s="1415"/>
      <c r="J334" s="1415"/>
      <c r="K334" s="1415"/>
      <c r="L334" s="1415"/>
      <c r="M334" s="1415"/>
      <c r="N334" s="1416"/>
    </row>
    <row r="335" spans="2:14" hidden="1" outlineLevel="2" x14ac:dyDescent="0.2">
      <c r="B335" s="1413"/>
      <c r="C335" s="1425" t="s">
        <v>78</v>
      </c>
      <c r="D335" s="1425" t="s">
        <v>794</v>
      </c>
      <c r="E335" s="1426"/>
      <c r="F335" s="1427">
        <v>0</v>
      </c>
      <c r="G335" s="1427">
        <v>0</v>
      </c>
      <c r="H335" s="1427">
        <v>0</v>
      </c>
      <c r="I335" s="1427">
        <v>0</v>
      </c>
      <c r="J335" s="1427">
        <v>0</v>
      </c>
      <c r="K335" s="1427">
        <v>0</v>
      </c>
      <c r="L335" s="1427">
        <v>0</v>
      </c>
      <c r="M335" s="1427">
        <v>0</v>
      </c>
      <c r="N335" s="1416"/>
    </row>
    <row r="336" spans="2:14" hidden="1" outlineLevel="2" x14ac:dyDescent="0.2">
      <c r="B336" s="1413"/>
      <c r="C336" s="1425" t="s">
        <v>413</v>
      </c>
      <c r="D336" s="1425" t="s">
        <v>795</v>
      </c>
      <c r="E336" s="1426"/>
      <c r="F336" s="1427">
        <v>4.27679109684669</v>
      </c>
      <c r="G336" s="1427">
        <v>4.3023336017563016</v>
      </c>
      <c r="H336" s="1427">
        <v>4.3278761066659142</v>
      </c>
      <c r="I336" s="1427">
        <v>4.3534186115755249</v>
      </c>
      <c r="J336" s="1427">
        <v>4.4045036213947482</v>
      </c>
      <c r="K336" s="1427">
        <v>4.4555886312139714</v>
      </c>
      <c r="L336" s="1427">
        <v>4.5066736410331947</v>
      </c>
      <c r="M336" s="1427">
        <v>4.5577586508524179</v>
      </c>
      <c r="N336" s="1416"/>
    </row>
    <row r="337" spans="2:14" hidden="1" outlineLevel="2" x14ac:dyDescent="0.2">
      <c r="B337" s="1413"/>
      <c r="C337" s="1425" t="s">
        <v>64</v>
      </c>
      <c r="D337" s="1425" t="s">
        <v>796</v>
      </c>
      <c r="E337" s="1426"/>
      <c r="F337" s="1427">
        <v>0</v>
      </c>
      <c r="G337" s="1427">
        <v>0</v>
      </c>
      <c r="H337" s="1427">
        <v>0</v>
      </c>
      <c r="I337" s="1427">
        <v>0</v>
      </c>
      <c r="J337" s="1427">
        <v>0</v>
      </c>
      <c r="K337" s="1427">
        <v>0</v>
      </c>
      <c r="L337" s="1427">
        <v>0</v>
      </c>
      <c r="M337" s="1427">
        <v>0</v>
      </c>
      <c r="N337" s="1416"/>
    </row>
    <row r="338" spans="2:14" hidden="1" outlineLevel="2" x14ac:dyDescent="0.2">
      <c r="B338" s="1413"/>
      <c r="C338" s="1425" t="s">
        <v>428</v>
      </c>
      <c r="D338" s="1425" t="s">
        <v>714</v>
      </c>
      <c r="E338" s="1426"/>
      <c r="F338" s="1427">
        <v>18.799387716546846</v>
      </c>
      <c r="G338" s="1427">
        <v>26.506266092040867</v>
      </c>
      <c r="H338" s="1427">
        <v>33.631088464275038</v>
      </c>
      <c r="I338" s="1427">
        <v>39.783227755117835</v>
      </c>
      <c r="J338" s="1427">
        <v>45.57072160233259</v>
      </c>
      <c r="K338" s="1427">
        <v>50.725548271506817</v>
      </c>
      <c r="L338" s="1427">
        <v>55.703470971760105</v>
      </c>
      <c r="M338" s="1427">
        <v>60.290993179008588</v>
      </c>
      <c r="N338" s="1416"/>
    </row>
    <row r="339" spans="2:14" hidden="1" outlineLevel="2" x14ac:dyDescent="0.2">
      <c r="B339" s="1413"/>
      <c r="C339" s="1425" t="s">
        <v>84</v>
      </c>
      <c r="D339" s="1425" t="s">
        <v>85</v>
      </c>
      <c r="E339" s="1426"/>
      <c r="F339" s="1427">
        <v>25.622593678781335</v>
      </c>
      <c r="G339" s="1427">
        <v>26.070919424435566</v>
      </c>
      <c r="H339" s="1427">
        <v>26.645959007913262</v>
      </c>
      <c r="I339" s="1427">
        <v>27.349752170583066</v>
      </c>
      <c r="J339" s="1427">
        <v>28.18576294225938</v>
      </c>
      <c r="K339" s="1427">
        <v>29.158883159556222</v>
      </c>
      <c r="L339" s="1427">
        <v>30.275450308029814</v>
      </c>
      <c r="M339" s="1427">
        <v>31.54327949039369</v>
      </c>
      <c r="N339" s="1416"/>
    </row>
    <row r="340" spans="2:14" hidden="1" outlineLevel="2" x14ac:dyDescent="0.2">
      <c r="B340" s="1413"/>
      <c r="C340" s="1425" t="s">
        <v>86</v>
      </c>
      <c r="D340" s="1425" t="s">
        <v>87</v>
      </c>
      <c r="E340" s="1426"/>
      <c r="F340" s="1427">
        <v>64.489741184891272</v>
      </c>
      <c r="G340" s="1427">
        <v>60.343212413191218</v>
      </c>
      <c r="H340" s="1427">
        <v>56.573758091268893</v>
      </c>
      <c r="I340" s="1427">
        <v>53.138748312274103</v>
      </c>
      <c r="J340" s="1427">
        <v>50.106957169759887</v>
      </c>
      <c r="K340" s="1427">
        <v>47.23262611851316</v>
      </c>
      <c r="L340" s="1427">
        <v>44.5922119776748</v>
      </c>
      <c r="M340" s="1427">
        <v>42.160831576263881</v>
      </c>
      <c r="N340" s="1416"/>
    </row>
    <row r="341" spans="2:14" hidden="1" outlineLevel="2" x14ac:dyDescent="0.2">
      <c r="B341" s="1413"/>
      <c r="C341" s="1425" t="s">
        <v>554</v>
      </c>
      <c r="D341" s="1425" t="s">
        <v>797</v>
      </c>
      <c r="E341" s="1426"/>
      <c r="F341" s="1427">
        <v>67.80277210239619</v>
      </c>
      <c r="G341" s="1427">
        <v>64.308646445220376</v>
      </c>
      <c r="H341" s="1427">
        <v>61.253276038768476</v>
      </c>
      <c r="I341" s="1427">
        <v>58.59905948027118</v>
      </c>
      <c r="J341" s="1427">
        <v>56.312642864520811</v>
      </c>
      <c r="K341" s="1427">
        <v>54.364474623828841</v>
      </c>
      <c r="L341" s="1427">
        <v>52.728411593246157</v>
      </c>
      <c r="M341" s="1427">
        <v>51.381370334517413</v>
      </c>
      <c r="N341" s="1416"/>
    </row>
    <row r="342" spans="2:14" hidden="1" outlineLevel="2" x14ac:dyDescent="0.2">
      <c r="B342" s="1413"/>
      <c r="C342" s="1425" t="s">
        <v>425</v>
      </c>
      <c r="D342" s="1425" t="s">
        <v>798</v>
      </c>
      <c r="E342" s="1426"/>
      <c r="F342" s="1427">
        <v>107.20154680727816</v>
      </c>
      <c r="G342" s="1427">
        <v>102.82632933191189</v>
      </c>
      <c r="H342" s="1427">
        <v>98.548469305524819</v>
      </c>
      <c r="I342" s="1427">
        <v>95.825916800361512</v>
      </c>
      <c r="J342" s="1427">
        <v>93.011713064122887</v>
      </c>
      <c r="K342" s="1427">
        <v>90.135123097760115</v>
      </c>
      <c r="L342" s="1427">
        <v>87.22144393283925</v>
      </c>
      <c r="M342" s="1427">
        <v>84.292444477136002</v>
      </c>
      <c r="N342" s="1416"/>
    </row>
    <row r="343" spans="2:14" hidden="1" outlineLevel="2" x14ac:dyDescent="0.2">
      <c r="B343" s="1413"/>
      <c r="C343" s="1425" t="s">
        <v>421</v>
      </c>
      <c r="D343" s="1425" t="s">
        <v>799</v>
      </c>
      <c r="E343" s="1426"/>
      <c r="F343" s="1427">
        <v>9.3308606879205129</v>
      </c>
      <c r="G343" s="1427">
        <v>10.932773127336191</v>
      </c>
      <c r="H343" s="1427">
        <v>25.532819451606589</v>
      </c>
      <c r="I343" s="1427">
        <v>37.990907445651544</v>
      </c>
      <c r="J343" s="1427">
        <v>38.843781754291996</v>
      </c>
      <c r="K343" s="1427">
        <v>39.306446908388523</v>
      </c>
      <c r="L343" s="1427">
        <v>42.432637376224378</v>
      </c>
      <c r="M343" s="1427">
        <v>45.497543999459197</v>
      </c>
      <c r="N343" s="1416"/>
    </row>
    <row r="344" spans="2:14" hidden="1" outlineLevel="2" x14ac:dyDescent="0.2">
      <c r="B344" s="1413"/>
      <c r="C344" s="1425" t="s">
        <v>102</v>
      </c>
      <c r="D344" s="1425" t="s">
        <v>103</v>
      </c>
      <c r="E344" s="1426"/>
      <c r="F344" s="1427">
        <v>0.12866600200307601</v>
      </c>
      <c r="G344" s="1427">
        <v>0.145740427687365</v>
      </c>
      <c r="H344" s="1427">
        <v>0.35986670869882903</v>
      </c>
      <c r="I344" s="1427">
        <v>0.60552538865020211</v>
      </c>
      <c r="J344" s="1427">
        <v>0.87608202771838106</v>
      </c>
      <c r="K344" s="1427">
        <v>1.2076586362547539</v>
      </c>
      <c r="L344" s="1427">
        <v>1.682298645605885</v>
      </c>
      <c r="M344" s="1427">
        <v>2.1334592707445137</v>
      </c>
      <c r="N344" s="1416"/>
    </row>
    <row r="345" spans="2:14" hidden="1" outlineLevel="2" x14ac:dyDescent="0.2">
      <c r="B345" s="1413"/>
      <c r="C345" s="1425" t="s">
        <v>800</v>
      </c>
      <c r="D345" s="1425" t="s">
        <v>744</v>
      </c>
      <c r="E345" s="1426"/>
      <c r="F345" s="1427">
        <v>0</v>
      </c>
      <c r="G345" s="1427">
        <v>0</v>
      </c>
      <c r="H345" s="1427">
        <v>0</v>
      </c>
      <c r="I345" s="1427">
        <v>0</v>
      </c>
      <c r="J345" s="1427">
        <v>0</v>
      </c>
      <c r="K345" s="1427">
        <v>0</v>
      </c>
      <c r="L345" s="1427">
        <v>0</v>
      </c>
      <c r="M345" s="1427">
        <v>0</v>
      </c>
      <c r="N345" s="1416"/>
    </row>
    <row r="346" spans="2:14" hidden="1" outlineLevel="2" x14ac:dyDescent="0.2">
      <c r="B346" s="1413"/>
      <c r="C346" s="1425" t="s">
        <v>108</v>
      </c>
      <c r="D346" s="1425" t="s">
        <v>109</v>
      </c>
      <c r="E346" s="1426"/>
      <c r="F346" s="1427">
        <v>6.1274554101299721</v>
      </c>
      <c r="G346" s="1427">
        <v>5.8119464259693734</v>
      </c>
      <c r="H346" s="1427">
        <v>5.5650160316218944</v>
      </c>
      <c r="I346" s="1427">
        <v>5.3739459995864554</v>
      </c>
      <c r="J346" s="1427">
        <v>5.2260996510699176</v>
      </c>
      <c r="K346" s="1427">
        <v>5.1116989649088405</v>
      </c>
      <c r="L346" s="1427">
        <v>5.0231778947204795</v>
      </c>
      <c r="M346" s="1427">
        <v>4.9546819780416245</v>
      </c>
      <c r="N346" s="1416"/>
    </row>
    <row r="347" spans="2:14" hidden="1" outlineLevel="2" x14ac:dyDescent="0.2">
      <c r="B347" s="1413"/>
      <c r="C347" s="1425" t="s">
        <v>801</v>
      </c>
      <c r="D347" s="1425" t="s">
        <v>802</v>
      </c>
      <c r="E347" s="1426"/>
      <c r="F347" s="1427">
        <v>1.3823848986645149</v>
      </c>
      <c r="G347" s="1427">
        <v>1.2990989147526122</v>
      </c>
      <c r="H347" s="1427">
        <v>1.2339158553677942</v>
      </c>
      <c r="I347" s="1427">
        <v>0.67799964942787339</v>
      </c>
      <c r="J347" s="1427">
        <v>0.63897214396161361</v>
      </c>
      <c r="K347" s="1427">
        <v>0.60877340419364467</v>
      </c>
      <c r="L347" s="1427">
        <v>0.5854061950246674</v>
      </c>
      <c r="M347" s="1427">
        <v>0.56732509400713749</v>
      </c>
      <c r="N347" s="1416"/>
    </row>
    <row r="348" spans="2:14" hidden="1" outlineLevel="2" x14ac:dyDescent="0.2">
      <c r="B348" s="1413"/>
      <c r="C348" s="1425" t="s">
        <v>112</v>
      </c>
      <c r="D348" s="1425" t="s">
        <v>113</v>
      </c>
      <c r="E348" s="1426"/>
      <c r="F348" s="1427">
        <v>1.1169688155296071</v>
      </c>
      <c r="G348" s="1427">
        <v>1.0384843167650863</v>
      </c>
      <c r="H348" s="1427">
        <v>0.96664676146948858</v>
      </c>
      <c r="I348" s="1427">
        <v>0.90082291043803253</v>
      </c>
      <c r="J348" s="1427">
        <v>0.84041325475179929</v>
      </c>
      <c r="K348" s="1427">
        <v>0.78489609448966857</v>
      </c>
      <c r="L348" s="1427">
        <v>0.73381437605192779</v>
      </c>
      <c r="M348" s="1427">
        <v>0.68676516396537324</v>
      </c>
      <c r="N348" s="1416"/>
    </row>
    <row r="349" spans="2:14" hidden="1" outlineLevel="2" x14ac:dyDescent="0.2">
      <c r="B349" s="1413"/>
      <c r="C349" s="1425"/>
      <c r="D349" s="1425" t="s">
        <v>118</v>
      </c>
      <c r="E349" s="1426"/>
      <c r="F349" s="1427">
        <v>306.27916840098811</v>
      </c>
      <c r="G349" s="1427">
        <v>303.58575052106687</v>
      </c>
      <c r="H349" s="1427">
        <v>314.63869182318092</v>
      </c>
      <c r="I349" s="1427">
        <v>324.59932452393736</v>
      </c>
      <c r="J349" s="1427">
        <v>324.01765009618407</v>
      </c>
      <c r="K349" s="1427">
        <v>323.09171791061453</v>
      </c>
      <c r="L349" s="1427">
        <v>325.48499691221076</v>
      </c>
      <c r="M349" s="1427">
        <v>328.06645321438987</v>
      </c>
      <c r="N349" s="1416"/>
    </row>
    <row r="350" spans="2:14" hidden="1" outlineLevel="2" x14ac:dyDescent="0.2">
      <c r="B350" s="1413"/>
      <c r="C350" s="1425"/>
      <c r="D350" s="1425"/>
      <c r="E350" s="1426"/>
      <c r="F350" s="1427"/>
      <c r="G350" s="1427"/>
      <c r="H350" s="1427"/>
      <c r="I350" s="1427"/>
      <c r="J350" s="1427"/>
      <c r="K350" s="1427"/>
      <c r="L350" s="1427"/>
      <c r="M350" s="1427"/>
      <c r="N350" s="1416"/>
    </row>
    <row r="351" spans="2:14" hidden="1" outlineLevel="2" x14ac:dyDescent="0.2">
      <c r="B351" s="1413"/>
      <c r="C351" s="1425"/>
      <c r="D351" s="1428" t="s">
        <v>706</v>
      </c>
      <c r="E351" s="1426"/>
      <c r="F351" s="1427">
        <v>9.4595266899235888</v>
      </c>
      <c r="G351" s="1427">
        <v>11.078513555023555</v>
      </c>
      <c r="H351" s="1427">
        <v>25.892686160305416</v>
      </c>
      <c r="I351" s="1427">
        <v>38.596432834301744</v>
      </c>
      <c r="J351" s="1427">
        <v>39.719863782010378</v>
      </c>
      <c r="K351" s="1427">
        <v>40.514105544643279</v>
      </c>
      <c r="L351" s="1427">
        <v>44.11493602183026</v>
      </c>
      <c r="M351" s="1427">
        <v>47.631003270203713</v>
      </c>
      <c r="N351" s="1416"/>
    </row>
    <row r="352" spans="2:14" hidden="1" outlineLevel="2" x14ac:dyDescent="0.2">
      <c r="B352" s="1413"/>
      <c r="C352" s="1425"/>
      <c r="D352" s="1428" t="s">
        <v>538</v>
      </c>
      <c r="E352" s="1426"/>
      <c r="F352" s="1427">
        <v>118.98817821291934</v>
      </c>
      <c r="G352" s="1427">
        <v>114.23970827439018</v>
      </c>
      <c r="H352" s="1427">
        <v>109.67527729918042</v>
      </c>
      <c r="I352" s="1427">
        <v>106.23128106095136</v>
      </c>
      <c r="J352" s="1427">
        <v>103.28128848054916</v>
      </c>
      <c r="K352" s="1427">
        <v>100.31118409807657</v>
      </c>
      <c r="L352" s="1427">
        <v>97.336701663617589</v>
      </c>
      <c r="M352" s="1427">
        <v>94.372210200037188</v>
      </c>
      <c r="N352" s="1416"/>
    </row>
    <row r="353" spans="2:14" hidden="1" outlineLevel="1" collapsed="1" x14ac:dyDescent="0.2">
      <c r="B353" s="1413"/>
      <c r="C353" s="1425"/>
      <c r="D353" s="1428" t="s">
        <v>803</v>
      </c>
      <c r="E353" s="1426"/>
      <c r="F353" s="1427">
        <v>45.538950210857791</v>
      </c>
      <c r="G353" s="1427">
        <v>53.615669833241519</v>
      </c>
      <c r="H353" s="1427">
        <v>61.243694233657791</v>
      </c>
      <c r="I353" s="1427">
        <v>68.033802836138946</v>
      </c>
      <c r="J353" s="1427">
        <v>74.596897799343765</v>
      </c>
      <c r="K353" s="1427">
        <v>80.669327525552703</v>
      </c>
      <c r="L353" s="1427">
        <v>86.71273565584184</v>
      </c>
      <c r="M353" s="1427">
        <v>92.521037833367657</v>
      </c>
      <c r="N353" s="1416"/>
    </row>
    <row r="354" spans="2:14" hidden="1" outlineLevel="1" x14ac:dyDescent="0.2">
      <c r="B354" s="1413"/>
      <c r="C354" s="1425"/>
      <c r="D354" s="1428" t="s">
        <v>539</v>
      </c>
      <c r="E354" s="1426"/>
      <c r="F354" s="1427">
        <v>132.29251328728748</v>
      </c>
      <c r="G354" s="1427">
        <v>124.6518588584116</v>
      </c>
      <c r="H354" s="1427">
        <v>117.82703413003736</v>
      </c>
      <c r="I354" s="1427">
        <v>111.73780779254528</v>
      </c>
      <c r="J354" s="1427">
        <v>106.41960003428071</v>
      </c>
      <c r="K354" s="1427">
        <v>101.59710074234201</v>
      </c>
      <c r="L354" s="1427">
        <v>97.320623570920958</v>
      </c>
      <c r="M354" s="1427">
        <v>93.542201910781301</v>
      </c>
      <c r="N354" s="1416"/>
    </row>
    <row r="355" spans="2:14" hidden="1" outlineLevel="1" x14ac:dyDescent="0.2">
      <c r="B355" s="1413"/>
      <c r="C355" s="1425"/>
      <c r="D355" s="1428" t="s">
        <v>118</v>
      </c>
      <c r="E355" s="1426"/>
      <c r="F355" s="1427">
        <v>306.27916840098817</v>
      </c>
      <c r="G355" s="1427">
        <v>303.58575052106687</v>
      </c>
      <c r="H355" s="1427">
        <v>314.63869182318098</v>
      </c>
      <c r="I355" s="1427">
        <v>324.5993245239373</v>
      </c>
      <c r="J355" s="1427">
        <v>324.01765009618401</v>
      </c>
      <c r="K355" s="1427">
        <v>323.09171791061453</v>
      </c>
      <c r="L355" s="1427">
        <v>325.48499691221065</v>
      </c>
      <c r="M355" s="1427">
        <v>328.06645321438987</v>
      </c>
      <c r="N355" s="1416"/>
    </row>
    <row r="356" spans="2:14" hidden="1" outlineLevel="1" x14ac:dyDescent="0.2">
      <c r="B356" s="1413"/>
      <c r="C356" s="1425"/>
      <c r="D356" s="1428"/>
      <c r="E356" s="1426"/>
      <c r="F356" s="1427"/>
      <c r="G356" s="1427"/>
      <c r="H356" s="1427"/>
      <c r="I356" s="1427"/>
      <c r="J356" s="1427"/>
      <c r="K356" s="1427"/>
      <c r="L356" s="1427"/>
      <c r="M356" s="1427"/>
      <c r="N356" s="1416"/>
    </row>
    <row r="357" spans="2:14" collapsed="1" x14ac:dyDescent="0.2"/>
  </sheetData>
  <pageMargins left="0.7" right="0.7" top="0.75" bottom="0.75" header="0.3" footer="0.3"/>
  <pageSetup orientation="portrait" r:id="rId1"/>
  <ignoredErrors>
    <ignoredError sqref="S33:Z33" 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autoPageBreaks="0"/>
  </sheetPr>
  <dimension ref="A2:P85"/>
  <sheetViews>
    <sheetView showGridLines="0" zoomScale="70" zoomScaleNormal="70" workbookViewId="0">
      <selection activeCell="G36" sqref="G36"/>
    </sheetView>
  </sheetViews>
  <sheetFormatPr baseColWidth="10" defaultColWidth="8.85546875" defaultRowHeight="15.75" x14ac:dyDescent="0.25"/>
  <cols>
    <col min="1" max="1" width="1" customWidth="1"/>
    <col min="2" max="2" width="13.5703125" customWidth="1"/>
    <col min="3" max="3" width="32" customWidth="1"/>
    <col min="4" max="4" width="5.28515625" customWidth="1"/>
    <col min="5" max="5" width="1" customWidth="1"/>
    <col min="6" max="6" width="17.85546875" customWidth="1"/>
    <col min="7" max="7" width="32" bestFit="1" customWidth="1"/>
    <col min="8" max="8" width="14.7109375" customWidth="1"/>
    <col min="9" max="9" width="32" customWidth="1"/>
    <col min="10" max="10" width="4.85546875" customWidth="1"/>
    <col min="11" max="11" width="1" style="456" customWidth="1"/>
    <col min="12" max="12" width="16.140625" style="456" bestFit="1" customWidth="1"/>
    <col min="13" max="13" width="28.7109375" style="1644" customWidth="1"/>
    <col min="14" max="14" width="9.42578125" style="1645" bestFit="1" customWidth="1"/>
    <col min="15" max="15" width="51.5703125" style="456" customWidth="1"/>
    <col min="16" max="16" width="38.140625" style="1646" customWidth="1"/>
    <col min="17" max="17" width="53.42578125" customWidth="1"/>
  </cols>
  <sheetData>
    <row r="2" spans="1:16" x14ac:dyDescent="0.25">
      <c r="A2" s="456"/>
      <c r="B2" s="1647" t="s">
        <v>829</v>
      </c>
      <c r="E2" s="456"/>
      <c r="F2" s="1647" t="s">
        <v>830</v>
      </c>
      <c r="G2" s="1647"/>
      <c r="H2" s="1647"/>
      <c r="I2" s="1647"/>
      <c r="K2" s="1535"/>
      <c r="L2" s="1647" t="s">
        <v>831</v>
      </c>
      <c r="M2" s="1648"/>
      <c r="N2" s="1649"/>
      <c r="O2" s="1649"/>
      <c r="P2" s="1650"/>
    </row>
    <row r="3" spans="1:16" x14ac:dyDescent="0.25">
      <c r="A3" s="456"/>
      <c r="E3" s="456"/>
      <c r="K3" s="1535"/>
      <c r="L3" s="350"/>
      <c r="M3" s="1648"/>
      <c r="N3" s="1649"/>
      <c r="O3" s="1649"/>
      <c r="P3" s="1650"/>
    </row>
    <row r="4" spans="1:16" ht="18.75" x14ac:dyDescent="0.3">
      <c r="A4" s="747"/>
      <c r="B4" s="1652" t="s">
        <v>414</v>
      </c>
      <c r="C4" s="1652" t="s">
        <v>829</v>
      </c>
      <c r="E4" s="747"/>
      <c r="F4" s="1652" t="s">
        <v>414</v>
      </c>
      <c r="G4" s="1652" t="s">
        <v>830</v>
      </c>
      <c r="H4" s="1653" t="s">
        <v>832</v>
      </c>
      <c r="I4" s="1653" t="s">
        <v>829</v>
      </c>
      <c r="J4" s="1653"/>
      <c r="K4" s="1651"/>
      <c r="L4" s="1654" t="s">
        <v>833</v>
      </c>
      <c r="M4" s="1654" t="s">
        <v>834</v>
      </c>
      <c r="N4" s="1654" t="s">
        <v>414</v>
      </c>
      <c r="O4" s="1654" t="s">
        <v>7</v>
      </c>
      <c r="P4"/>
    </row>
    <row r="5" spans="1:16" s="1656" customFormat="1" x14ac:dyDescent="0.2">
      <c r="A5" s="1655"/>
      <c r="B5" s="1656" t="s">
        <v>322</v>
      </c>
      <c r="C5" s="1656" t="s">
        <v>836</v>
      </c>
      <c r="E5" s="1657"/>
      <c r="F5" s="1656" t="s">
        <v>46</v>
      </c>
      <c r="G5" s="14" t="s">
        <v>409</v>
      </c>
      <c r="H5" s="1658" t="str">
        <f>LEFT(Modulos[Código], FIND(".", Modulos[Código])-1)</f>
        <v>I</v>
      </c>
      <c r="I5" s="1658" t="str">
        <f>INDEX(Flujos[Flujos], MATCH(Modulos[F Código], Flujos[Código], 0))</f>
        <v>Generación por Termoelectricidad</v>
      </c>
      <c r="K5" s="1657"/>
      <c r="L5" s="1534" t="s">
        <v>869</v>
      </c>
      <c r="M5" s="1534" t="s">
        <v>870</v>
      </c>
      <c r="N5" s="69" t="s">
        <v>184</v>
      </c>
      <c r="O5" s="1534" t="s">
        <v>882</v>
      </c>
    </row>
    <row r="6" spans="1:16" s="1656" customFormat="1" x14ac:dyDescent="0.2">
      <c r="A6" s="1655"/>
      <c r="E6" s="1657"/>
      <c r="F6" s="1661" t="s">
        <v>48</v>
      </c>
      <c r="G6" s="1661" t="s">
        <v>715</v>
      </c>
      <c r="H6" s="1661" t="str">
        <f>LEFT(Modulos[Código], FIND(".", Modulos[Código])-1)</f>
        <v>I</v>
      </c>
      <c r="I6" s="1661" t="str">
        <f>INDEX(Flujos[Flujos], MATCH(Modulos[F Código], Flujos[Código], 0))</f>
        <v>Generación por Termoelectricidad</v>
      </c>
      <c r="K6" s="1657"/>
      <c r="L6" s="1534" t="s">
        <v>869</v>
      </c>
      <c r="M6" s="1534" t="s">
        <v>870</v>
      </c>
      <c r="N6" s="69" t="s">
        <v>185</v>
      </c>
      <c r="O6" s="1534" t="s">
        <v>883</v>
      </c>
    </row>
    <row r="7" spans="1:16" s="1656" customFormat="1" x14ac:dyDescent="0.2">
      <c r="A7" s="1655"/>
      <c r="B7" s="1656" t="s">
        <v>206</v>
      </c>
      <c r="C7" s="1656" t="s">
        <v>1660</v>
      </c>
      <c r="E7" s="1657"/>
      <c r="F7" s="1661"/>
      <c r="G7" s="56"/>
      <c r="H7" s="1660"/>
      <c r="I7" s="1660"/>
      <c r="K7" s="1657"/>
      <c r="L7" s="1534" t="s">
        <v>869</v>
      </c>
      <c r="M7" s="69" t="s">
        <v>881</v>
      </c>
      <c r="N7" s="69" t="s">
        <v>446</v>
      </c>
      <c r="O7" s="69" t="s">
        <v>881</v>
      </c>
    </row>
    <row r="8" spans="1:16" s="1656" customFormat="1" x14ac:dyDescent="0.2">
      <c r="A8" s="1655"/>
      <c r="B8" s="1656" t="s">
        <v>736</v>
      </c>
      <c r="C8" s="1656" t="s">
        <v>864</v>
      </c>
      <c r="E8" s="1657"/>
      <c r="F8" s="1661" t="s">
        <v>208</v>
      </c>
      <c r="G8" s="56" t="s">
        <v>2227</v>
      </c>
      <c r="H8" s="1660" t="str">
        <f>LEFT(Modulos[Código], FIND(".", Modulos[Código])-1)</f>
        <v>III</v>
      </c>
      <c r="I8" s="1660" t="str">
        <f>INDEX(Flujos[Flujos], MATCH(Modulos[F Código], Flujos[Código], 0))</f>
        <v>Energía Renovable</v>
      </c>
      <c r="K8" s="1657"/>
      <c r="L8" s="14" t="s">
        <v>405</v>
      </c>
      <c r="M8" s="69" t="s">
        <v>420</v>
      </c>
      <c r="N8" s="69" t="s">
        <v>447</v>
      </c>
      <c r="O8" s="14" t="s">
        <v>980</v>
      </c>
    </row>
    <row r="9" spans="1:16" s="1656" customFormat="1" x14ac:dyDescent="0.2">
      <c r="A9" s="1655"/>
      <c r="B9" s="1656" t="s">
        <v>737</v>
      </c>
      <c r="C9" s="1656" t="s">
        <v>955</v>
      </c>
      <c r="E9" s="1657"/>
      <c r="F9" s="1661" t="s">
        <v>246</v>
      </c>
      <c r="G9" s="56" t="s">
        <v>247</v>
      </c>
      <c r="H9" s="1660" t="str">
        <f>LEFT(Modulos[Código], FIND(".", Modulos[Código])-1)</f>
        <v>III</v>
      </c>
      <c r="I9" s="1660" t="str">
        <f>INDEX(Flujos[Flujos], MATCH(Modulos[F Código], Flujos[Código], 0))</f>
        <v>Energía Renovable</v>
      </c>
      <c r="K9" s="1657"/>
      <c r="L9" s="14" t="s">
        <v>405</v>
      </c>
      <c r="M9" s="69" t="s">
        <v>420</v>
      </c>
      <c r="N9" s="69" t="s">
        <v>448</v>
      </c>
      <c r="O9" s="14" t="s">
        <v>992</v>
      </c>
    </row>
    <row r="10" spans="1:16" s="1656" customFormat="1" x14ac:dyDescent="0.2">
      <c r="A10" s="1655"/>
      <c r="B10" s="1656" t="s">
        <v>739</v>
      </c>
      <c r="C10" s="1656" t="s">
        <v>1640</v>
      </c>
      <c r="E10" s="1657"/>
      <c r="F10" s="1661" t="s">
        <v>258</v>
      </c>
      <c r="G10" s="14" t="s">
        <v>259</v>
      </c>
      <c r="H10" s="1660" t="str">
        <f>LEFT(Modulos[Código], FIND(".", Modulos[Código])-1)</f>
        <v>III</v>
      </c>
      <c r="I10" s="1660" t="str">
        <f>INDEX(Flujos[Flujos], MATCH(Modulos[F Código], Flujos[Código], 0))</f>
        <v>Energía Renovable</v>
      </c>
      <c r="K10" s="1657"/>
      <c r="L10" s="14" t="s">
        <v>405</v>
      </c>
      <c r="M10" s="69" t="s">
        <v>420</v>
      </c>
      <c r="N10" s="69" t="s">
        <v>449</v>
      </c>
      <c r="O10" s="14" t="s">
        <v>981</v>
      </c>
    </row>
    <row r="11" spans="1:16" s="1656" customFormat="1" x14ac:dyDescent="0.2">
      <c r="A11" s="1655"/>
      <c r="B11" s="1656" t="s">
        <v>478</v>
      </c>
      <c r="C11" s="1656" t="s">
        <v>424</v>
      </c>
      <c r="E11" s="1657"/>
      <c r="F11" s="1661" t="s">
        <v>267</v>
      </c>
      <c r="G11" s="14" t="s">
        <v>268</v>
      </c>
      <c r="H11" s="1660" t="str">
        <f>LEFT(Modulos[Código], FIND(".", Modulos[Código])-1)</f>
        <v>III</v>
      </c>
      <c r="I11" s="1660" t="str">
        <f>INDEX(Flujos[Flujos], MATCH(Modulos[F Código], Flujos[Código], 0))</f>
        <v>Energía Renovable</v>
      </c>
      <c r="K11" s="1657"/>
      <c r="L11" s="14" t="s">
        <v>405</v>
      </c>
      <c r="M11" s="69" t="s">
        <v>420</v>
      </c>
      <c r="N11" s="69" t="s">
        <v>450</v>
      </c>
      <c r="O11" s="14" t="s">
        <v>982</v>
      </c>
    </row>
    <row r="12" spans="1:16" s="1656" customFormat="1" x14ac:dyDescent="0.2">
      <c r="A12" s="1655"/>
      <c r="B12" s="1656" t="s">
        <v>578</v>
      </c>
      <c r="C12" s="1656" t="s">
        <v>557</v>
      </c>
      <c r="E12" s="1657"/>
      <c r="F12" s="1661" t="s">
        <v>58</v>
      </c>
      <c r="G12" s="56" t="s">
        <v>2449</v>
      </c>
      <c r="H12" s="1660" t="str">
        <f>LEFT(Modulos[Código], FIND(".", Modulos[Código])-1)</f>
        <v>III</v>
      </c>
      <c r="I12" s="1660" t="str">
        <f>INDEX(Flujos[Flujos], MATCH(Modulos[F Código], Flujos[Código], 0))</f>
        <v>Energía Renovable</v>
      </c>
      <c r="K12" s="1657"/>
      <c r="L12" s="14" t="s">
        <v>405</v>
      </c>
      <c r="M12" s="69" t="s">
        <v>420</v>
      </c>
      <c r="N12" t="s">
        <v>451</v>
      </c>
      <c r="O12" s="14" t="s">
        <v>983</v>
      </c>
    </row>
    <row r="13" spans="1:16" s="1656" customFormat="1" x14ac:dyDescent="0.2">
      <c r="A13" s="1655"/>
      <c r="B13" t="s">
        <v>579</v>
      </c>
      <c r="C13" t="s">
        <v>420</v>
      </c>
      <c r="E13" s="1657"/>
      <c r="F13" s="1661" t="s">
        <v>60</v>
      </c>
      <c r="G13" s="56" t="s">
        <v>303</v>
      </c>
      <c r="H13" s="1660" t="str">
        <f>LEFT(Modulos[Código], FIND(".", Modulos[Código])-1)</f>
        <v>III</v>
      </c>
      <c r="I13" s="1660" t="str">
        <f>INDEX(Flujos[Flujos], MATCH(Modulos[F Código], Flujos[Código], 0))</f>
        <v>Energía Renovable</v>
      </c>
      <c r="K13" s="1657"/>
      <c r="L13" s="14" t="s">
        <v>405</v>
      </c>
      <c r="M13" s="69" t="s">
        <v>420</v>
      </c>
      <c r="N13" s="1884" t="s">
        <v>452</v>
      </c>
      <c r="O13" s="1883" t="s">
        <v>987</v>
      </c>
    </row>
    <row r="14" spans="1:16" s="1656" customFormat="1" x14ac:dyDescent="0.2">
      <c r="A14" s="1655"/>
      <c r="B14" s="1660"/>
      <c r="C14" s="1660"/>
      <c r="E14" s="1657"/>
      <c r="F14" s="1661" t="s">
        <v>311</v>
      </c>
      <c r="G14" s="56" t="s">
        <v>1018</v>
      </c>
      <c r="H14" s="1660" t="str">
        <f>LEFT(Modulos[Código], FIND(".", Modulos[Código])-1)</f>
        <v>III</v>
      </c>
      <c r="I14" s="1660" t="str">
        <f>INDEX(Flujos[Flujos], MATCH(Modulos[F Código], Flujos[Código], 0))</f>
        <v>Energía Renovable</v>
      </c>
      <c r="K14" s="1657"/>
      <c r="L14" s="14" t="s">
        <v>405</v>
      </c>
      <c r="M14" s="69" t="s">
        <v>420</v>
      </c>
      <c r="N14" s="1884" t="s">
        <v>984</v>
      </c>
      <c r="O14" s="1883" t="s">
        <v>988</v>
      </c>
    </row>
    <row r="15" spans="1:16" s="1656" customFormat="1" x14ac:dyDescent="0.2">
      <c r="A15" s="1655"/>
      <c r="B15"/>
      <c r="C15"/>
      <c r="E15" s="1657"/>
      <c r="F15" s="1661" t="s">
        <v>62</v>
      </c>
      <c r="G15" s="1661" t="s">
        <v>2225</v>
      </c>
      <c r="H15" s="1661" t="str">
        <f>LEFT(Modulos[Código], FIND(".", Modulos[Código])-1)</f>
        <v>IV</v>
      </c>
      <c r="I15" s="1661" t="str">
        <f>INDEX(Flujos[Flujos], MATCH(Modulos[F Código], Flujos[Código], 0))</f>
        <v>Generación Distribuida</v>
      </c>
      <c r="K15" s="1657"/>
      <c r="L15" s="14" t="s">
        <v>405</v>
      </c>
      <c r="M15" s="69" t="s">
        <v>420</v>
      </c>
      <c r="N15" s="1884" t="s">
        <v>985</v>
      </c>
      <c r="O15" s="1883" t="s">
        <v>989</v>
      </c>
    </row>
    <row r="16" spans="1:16" s="1656" customFormat="1" x14ac:dyDescent="0.2">
      <c r="A16" s="1655"/>
      <c r="B16"/>
      <c r="C16"/>
      <c r="E16" s="1657"/>
      <c r="F16" s="1661" t="s">
        <v>66</v>
      </c>
      <c r="G16" s="1661" t="s">
        <v>2226</v>
      </c>
      <c r="H16" s="1661" t="str">
        <f>LEFT(Modulos[Código], FIND(".", Modulos[Código])-1)</f>
        <v>IV</v>
      </c>
      <c r="I16" s="1661" t="str">
        <f>INDEX(Flujos[Flujos], MATCH(Modulos[F Código], Flujos[Código], 0))</f>
        <v>Generación Distribuida</v>
      </c>
      <c r="K16" s="1657"/>
      <c r="L16" s="14" t="s">
        <v>405</v>
      </c>
      <c r="M16" s="69" t="s">
        <v>420</v>
      </c>
      <c r="N16" s="1884" t="s">
        <v>986</v>
      </c>
      <c r="O16" s="1883" t="s">
        <v>990</v>
      </c>
    </row>
    <row r="17" spans="1:16" s="1656" customFormat="1" x14ac:dyDescent="0.2">
      <c r="A17" s="1655"/>
      <c r="B17"/>
      <c r="C17"/>
      <c r="E17" s="1657"/>
      <c r="F17" s="1661" t="s">
        <v>68</v>
      </c>
      <c r="G17" s="1661" t="s">
        <v>865</v>
      </c>
      <c r="H17" s="1661" t="str">
        <f>LEFT(Modulos[Código], FIND(".", Modulos[Código])-1)</f>
        <v>V</v>
      </c>
      <c r="I17" s="1661" t="str">
        <f>INDEX(Flujos[Flujos], MATCH(Modulos[F Código], Flujos[Código], 0))</f>
        <v>Otros Sectores</v>
      </c>
      <c r="K17" s="1657"/>
      <c r="L17" s="14" t="s">
        <v>405</v>
      </c>
      <c r="M17" s="69" t="s">
        <v>420</v>
      </c>
      <c r="N17" t="s">
        <v>991</v>
      </c>
      <c r="O17" s="14" t="s">
        <v>884</v>
      </c>
    </row>
    <row r="18" spans="1:16" s="1656" customFormat="1" x14ac:dyDescent="0.2">
      <c r="A18" s="1655"/>
      <c r="B18"/>
      <c r="C18"/>
      <c r="E18" s="1657"/>
      <c r="F18" s="1661" t="s">
        <v>764</v>
      </c>
      <c r="G18" s="1661" t="s">
        <v>1349</v>
      </c>
      <c r="H18" s="1661" t="str">
        <f>LEFT(Modulos[Código], FIND(".", Modulos[Código])-1)</f>
        <v>V</v>
      </c>
      <c r="I18" s="1661" t="str">
        <f>INDEX(Flujos[Flujos], MATCH(Modulos[F Código], Flujos[Código], 0))</f>
        <v>Otros Sectores</v>
      </c>
      <c r="K18" s="1657"/>
      <c r="L18" s="14" t="s">
        <v>405</v>
      </c>
      <c r="M18" s="69" t="s">
        <v>819</v>
      </c>
      <c r="N18" s="69" t="s">
        <v>453</v>
      </c>
      <c r="O18" s="69" t="s">
        <v>819</v>
      </c>
    </row>
    <row r="19" spans="1:16" x14ac:dyDescent="0.25">
      <c r="A19" s="456"/>
      <c r="E19" s="1657"/>
      <c r="F19" s="1661" t="s">
        <v>1620</v>
      </c>
      <c r="G19" s="1661" t="s">
        <v>866</v>
      </c>
      <c r="H19" s="1661" t="str">
        <f>LEFT(Modulos[Código], FIND(".", Modulos[Código])-1)</f>
        <v>V</v>
      </c>
      <c r="I19" s="1661" t="str">
        <f>INDEX(Flujos[Flujos], MATCH(Modulos[F Código], Flujos[Código], 0))</f>
        <v>Otros Sectores</v>
      </c>
      <c r="K19" s="1657"/>
      <c r="L19" s="14" t="s">
        <v>405</v>
      </c>
      <c r="M19" t="s">
        <v>956</v>
      </c>
      <c r="N19" s="69" t="s">
        <v>454</v>
      </c>
      <c r="O19" t="s">
        <v>429</v>
      </c>
      <c r="P19"/>
    </row>
    <row r="20" spans="1:16" ht="15" x14ac:dyDescent="0.2">
      <c r="E20" s="1657"/>
      <c r="F20" s="14" t="s">
        <v>86</v>
      </c>
      <c r="G20" s="14" t="s">
        <v>479</v>
      </c>
      <c r="H20" s="1660" t="str">
        <f>LEFT(Modulos[Código], FIND(".", Modulos[Código])-1)</f>
        <v>X</v>
      </c>
      <c r="I20" s="1660" t="str">
        <f>INDEX(Flujos[Flujos], MATCH(Modulos[F Código], Flujos[Código], 0))</f>
        <v>Comercial, Público y Residencial</v>
      </c>
      <c r="K20" s="1657"/>
      <c r="L20" s="14" t="s">
        <v>405</v>
      </c>
      <c r="M20" t="s">
        <v>956</v>
      </c>
      <c r="N20" s="69" t="s">
        <v>1007</v>
      </c>
      <c r="O20" s="1918" t="s">
        <v>505</v>
      </c>
      <c r="P20"/>
    </row>
    <row r="21" spans="1:16" ht="15" x14ac:dyDescent="0.2">
      <c r="E21" s="1657"/>
      <c r="F21" s="1661" t="s">
        <v>554</v>
      </c>
      <c r="G21" s="14" t="s">
        <v>867</v>
      </c>
      <c r="H21" s="1660" t="str">
        <f>LEFT(Modulos[Código], FIND(".", Modulos[Código])-1)</f>
        <v>X</v>
      </c>
      <c r="I21" s="1660" t="str">
        <f>INDEX(Flujos[Flujos], MATCH(Modulos[F Código], Flujos[Código], 0))</f>
        <v>Comercial, Público y Residencial</v>
      </c>
      <c r="K21" s="1657"/>
      <c r="L21" s="14" t="s">
        <v>405</v>
      </c>
      <c r="M21" t="s">
        <v>956</v>
      </c>
      <c r="N21" s="69" t="s">
        <v>1008</v>
      </c>
      <c r="O21" s="1918" t="s">
        <v>504</v>
      </c>
      <c r="P21"/>
    </row>
    <row r="22" spans="1:16" ht="15" x14ac:dyDescent="0.2">
      <c r="E22" s="1657"/>
      <c r="F22" s="1661" t="s">
        <v>76</v>
      </c>
      <c r="G22" s="14" t="s">
        <v>1640</v>
      </c>
      <c r="H22" s="1660" t="str">
        <f>LEFT(Modulos[Código], FIND(".", Modulos[Código])-1)</f>
        <v>VII</v>
      </c>
      <c r="I22" s="1660" t="s">
        <v>2223</v>
      </c>
      <c r="K22" s="1657"/>
      <c r="L22" s="14" t="s">
        <v>405</v>
      </c>
      <c r="M22" t="s">
        <v>956</v>
      </c>
      <c r="N22" s="69" t="s">
        <v>1009</v>
      </c>
      <c r="O22" s="1918" t="s">
        <v>502</v>
      </c>
      <c r="P22"/>
    </row>
    <row r="23" spans="1:16" ht="15" x14ac:dyDescent="0.2">
      <c r="E23" s="1657"/>
      <c r="F23" s="1661" t="s">
        <v>425</v>
      </c>
      <c r="G23" s="14" t="s">
        <v>426</v>
      </c>
      <c r="H23" s="1660" t="str">
        <f>LEFT(Modulos[Código], FIND(".", Modulos[Código])-1)</f>
        <v>XI</v>
      </c>
      <c r="I23" s="1660" t="str">
        <f>INDEX(Flujos[Flujos], MATCH(Modulos[F Código], Flujos[Código], 0))</f>
        <v>Industria y Minería</v>
      </c>
      <c r="K23" s="1657"/>
      <c r="L23" s="14" t="s">
        <v>405</v>
      </c>
      <c r="M23" t="s">
        <v>956</v>
      </c>
      <c r="N23" s="69" t="s">
        <v>1010</v>
      </c>
      <c r="O23" s="69" t="s">
        <v>503</v>
      </c>
      <c r="P23"/>
    </row>
    <row r="24" spans="1:16" ht="15" x14ac:dyDescent="0.2">
      <c r="E24" s="1657"/>
      <c r="F24" s="1661" t="s">
        <v>421</v>
      </c>
      <c r="G24" s="14" t="s">
        <v>993</v>
      </c>
      <c r="H24" s="1660" t="str">
        <f>LEFT(Modulos[Código], FIND(".", Modulos[Código])-1)</f>
        <v>XII</v>
      </c>
      <c r="I24" s="1660" t="str">
        <f>INDEX(Flujos[Flujos], MATCH(Modulos[F Código], Flujos[Código], 0))</f>
        <v>Transporte</v>
      </c>
      <c r="K24" s="1657"/>
      <c r="L24" s="14" t="s">
        <v>405</v>
      </c>
      <c r="M24" t="s">
        <v>956</v>
      </c>
      <c r="N24" s="69" t="s">
        <v>1011</v>
      </c>
      <c r="O24" s="69" t="s">
        <v>1012</v>
      </c>
      <c r="P24"/>
    </row>
    <row r="25" spans="1:16" ht="15" x14ac:dyDescent="0.2">
      <c r="E25" s="1657"/>
      <c r="F25" s="1661" t="s">
        <v>102</v>
      </c>
      <c r="G25" s="56" t="s">
        <v>868</v>
      </c>
      <c r="H25" s="1660" t="str">
        <f>LEFT(Modulos[Código], FIND(".", Modulos[Código])-1)</f>
        <v>XII</v>
      </c>
      <c r="I25" s="1660" t="str">
        <f>INDEX(Flujos[Flujos], MATCH(Modulos[F Código], Flujos[Código], 0))</f>
        <v>Transporte</v>
      </c>
      <c r="K25" s="1657"/>
      <c r="L25" s="14" t="s">
        <v>871</v>
      </c>
      <c r="M25" s="1534" t="s">
        <v>170</v>
      </c>
      <c r="N25" s="1534" t="s">
        <v>157</v>
      </c>
      <c r="O25" s="14" t="s">
        <v>158</v>
      </c>
      <c r="P25"/>
    </row>
    <row r="26" spans="1:16" ht="15" x14ac:dyDescent="0.2">
      <c r="E26" s="1657"/>
      <c r="F26" s="1661" t="s">
        <v>801</v>
      </c>
      <c r="G26" s="56" t="s">
        <v>2395</v>
      </c>
      <c r="H26" s="1660" t="str">
        <f>LEFT(Modulos[Código], FIND(".", Modulos[Código])-1)</f>
        <v>XV</v>
      </c>
      <c r="I26" s="1660" t="s">
        <v>2396</v>
      </c>
      <c r="K26" s="1657"/>
      <c r="L26" s="14" t="s">
        <v>871</v>
      </c>
      <c r="M26" s="14" t="s">
        <v>872</v>
      </c>
      <c r="N26" s="1534" t="s">
        <v>315</v>
      </c>
      <c r="O26" s="1534" t="s">
        <v>316</v>
      </c>
      <c r="P26"/>
    </row>
    <row r="27" spans="1:16" ht="15" x14ac:dyDescent="0.2">
      <c r="E27" s="1657"/>
      <c r="F27" s="1661"/>
      <c r="G27" s="56"/>
      <c r="H27" s="1660"/>
      <c r="I27" s="1660"/>
      <c r="K27" s="1657"/>
      <c r="L27" s="14" t="s">
        <v>871</v>
      </c>
      <c r="M27" s="14" t="s">
        <v>872</v>
      </c>
      <c r="N27" s="1534" t="s">
        <v>218</v>
      </c>
      <c r="O27" s="1534" t="s">
        <v>855</v>
      </c>
      <c r="P27"/>
    </row>
    <row r="28" spans="1:16" ht="15" x14ac:dyDescent="0.2">
      <c r="E28" s="1657"/>
      <c r="F28" s="1661"/>
      <c r="G28" s="56"/>
      <c r="H28" s="1660"/>
      <c r="I28" s="1660"/>
      <c r="K28" s="1657"/>
      <c r="L28" s="14" t="s">
        <v>871</v>
      </c>
      <c r="M28" s="14" t="s">
        <v>872</v>
      </c>
      <c r="N28" s="1534" t="s">
        <v>285</v>
      </c>
      <c r="O28" s="1534" t="s">
        <v>275</v>
      </c>
      <c r="P28"/>
    </row>
    <row r="29" spans="1:16" ht="15" x14ac:dyDescent="0.2">
      <c r="E29" s="1657"/>
      <c r="F29" s="1661"/>
      <c r="G29" s="56"/>
      <c r="H29" s="1660"/>
      <c r="I29" s="1660"/>
      <c r="K29" s="1657"/>
      <c r="L29" s="14" t="s">
        <v>871</v>
      </c>
      <c r="M29" s="14" t="s">
        <v>872</v>
      </c>
      <c r="N29" s="1534" t="s">
        <v>286</v>
      </c>
      <c r="O29" s="1534" t="s">
        <v>276</v>
      </c>
      <c r="P29"/>
    </row>
    <row r="30" spans="1:16" ht="15" x14ac:dyDescent="0.2">
      <c r="E30" s="1657"/>
      <c r="F30" s="1661"/>
      <c r="G30" s="56"/>
      <c r="H30" s="1660"/>
      <c r="I30" s="1660"/>
      <c r="K30" s="1657"/>
      <c r="L30" s="14" t="s">
        <v>871</v>
      </c>
      <c r="M30" s="14" t="s">
        <v>872</v>
      </c>
      <c r="N30" s="14" t="s">
        <v>302</v>
      </c>
      <c r="O30" s="1534" t="s">
        <v>886</v>
      </c>
      <c r="P30"/>
    </row>
    <row r="31" spans="1:16" ht="15" x14ac:dyDescent="0.2">
      <c r="E31" s="1657"/>
      <c r="F31" s="1661"/>
      <c r="G31" s="56"/>
      <c r="H31" s="1660"/>
      <c r="I31" s="1660"/>
      <c r="K31" s="1657"/>
      <c r="L31" s="14" t="s">
        <v>871</v>
      </c>
      <c r="M31" s="14" t="s">
        <v>872</v>
      </c>
      <c r="N31" s="14" t="s">
        <v>249</v>
      </c>
      <c r="O31" s="1534" t="s">
        <v>885</v>
      </c>
      <c r="P31"/>
    </row>
    <row r="32" spans="1:16" ht="15" x14ac:dyDescent="0.2">
      <c r="E32" s="1657"/>
      <c r="F32" s="1661"/>
      <c r="G32" s="56"/>
      <c r="H32" s="1660"/>
      <c r="I32" s="1660"/>
      <c r="K32" s="1657"/>
      <c r="L32" s="14" t="s">
        <v>871</v>
      </c>
      <c r="M32" s="14" t="s">
        <v>872</v>
      </c>
      <c r="N32" s="14" t="s">
        <v>455</v>
      </c>
      <c r="O32" s="14" t="s">
        <v>1640</v>
      </c>
      <c r="P32"/>
    </row>
    <row r="33" spans="5:16" ht="15" x14ac:dyDescent="0.2">
      <c r="E33" s="1657"/>
      <c r="F33" s="1661"/>
      <c r="G33" s="56"/>
      <c r="H33" s="1660"/>
      <c r="I33" s="1660"/>
      <c r="K33" s="1657"/>
      <c r="L33" s="14" t="s">
        <v>871</v>
      </c>
      <c r="M33" s="14" t="s">
        <v>872</v>
      </c>
      <c r="N33" s="14" t="s">
        <v>456</v>
      </c>
      <c r="O33" s="14" t="s">
        <v>1349</v>
      </c>
      <c r="P33"/>
    </row>
    <row r="34" spans="5:16" ht="15" x14ac:dyDescent="0.2">
      <c r="E34" s="1657"/>
      <c r="F34" s="1661"/>
      <c r="G34" s="56"/>
      <c r="H34" s="1660"/>
      <c r="I34" s="1660"/>
      <c r="K34" s="1657"/>
      <c r="L34" s="14" t="s">
        <v>871</v>
      </c>
      <c r="M34" s="1534" t="s">
        <v>865</v>
      </c>
      <c r="N34" s="1534" t="s">
        <v>457</v>
      </c>
      <c r="O34" s="14" t="s">
        <v>865</v>
      </c>
      <c r="P34"/>
    </row>
    <row r="35" spans="5:16" ht="15" x14ac:dyDescent="0.2">
      <c r="E35" s="1657"/>
      <c r="F35" s="1661"/>
      <c r="G35" s="56"/>
      <c r="H35" s="1660"/>
      <c r="I35" s="1660"/>
      <c r="K35" s="1657"/>
      <c r="L35" s="14" t="s">
        <v>871</v>
      </c>
      <c r="M35" s="14" t="s">
        <v>873</v>
      </c>
      <c r="N35" s="14" t="s">
        <v>458</v>
      </c>
      <c r="O35" s="14" t="s">
        <v>887</v>
      </c>
      <c r="P35"/>
    </row>
    <row r="36" spans="5:16" ht="15" x14ac:dyDescent="0.25">
      <c r="E36" s="1662"/>
      <c r="F36" s="1661"/>
      <c r="G36" s="56"/>
      <c r="H36" s="1660"/>
      <c r="I36" s="1660"/>
      <c r="K36" s="1662"/>
      <c r="L36" s="14" t="s">
        <v>871</v>
      </c>
      <c r="M36" t="s">
        <v>873</v>
      </c>
      <c r="N36" s="69" t="s">
        <v>459</v>
      </c>
      <c r="O36" s="14" t="s">
        <v>888</v>
      </c>
      <c r="P36"/>
    </row>
    <row r="37" spans="5:16" ht="15" x14ac:dyDescent="0.25">
      <c r="E37" s="1662"/>
      <c r="F37" s="1661"/>
      <c r="G37" s="56"/>
      <c r="H37" s="1660"/>
      <c r="I37" s="1660"/>
      <c r="K37" s="1662"/>
      <c r="L37" s="14" t="s">
        <v>871</v>
      </c>
      <c r="M37" t="s">
        <v>873</v>
      </c>
      <c r="N37" t="s">
        <v>460</v>
      </c>
      <c r="O37" s="14" t="s">
        <v>889</v>
      </c>
      <c r="P37"/>
    </row>
    <row r="38" spans="5:16" ht="15" x14ac:dyDescent="0.25">
      <c r="E38" s="1662"/>
      <c r="F38" s="1661"/>
      <c r="G38" s="56"/>
      <c r="H38" s="1660"/>
      <c r="I38" s="1660"/>
      <c r="K38" s="1662"/>
      <c r="L38" s="14" t="s">
        <v>871</v>
      </c>
      <c r="M38" t="s">
        <v>873</v>
      </c>
      <c r="N38" t="s">
        <v>461</v>
      </c>
      <c r="O38" s="14" t="s">
        <v>890</v>
      </c>
      <c r="P38"/>
    </row>
    <row r="39" spans="5:16" ht="15" x14ac:dyDescent="0.25">
      <c r="E39" s="1662"/>
      <c r="F39" s="1661"/>
      <c r="G39" s="56"/>
      <c r="H39" s="1660"/>
      <c r="I39" s="1660"/>
      <c r="K39" s="1662"/>
      <c r="L39" s="14" t="s">
        <v>871</v>
      </c>
      <c r="M39" t="s">
        <v>873</v>
      </c>
      <c r="N39" t="s">
        <v>462</v>
      </c>
      <c r="O39" s="14" t="s">
        <v>890</v>
      </c>
      <c r="P39"/>
    </row>
    <row r="40" spans="5:16" ht="15" x14ac:dyDescent="0.25">
      <c r="E40" s="1662"/>
      <c r="F40" s="1661"/>
      <c r="G40" s="56"/>
      <c r="H40" s="1660"/>
      <c r="I40" s="1660"/>
      <c r="K40" s="1662"/>
      <c r="L40" s="14" t="s">
        <v>871</v>
      </c>
      <c r="M40" t="s">
        <v>873</v>
      </c>
      <c r="N40" t="s">
        <v>463</v>
      </c>
      <c r="O40" s="14"/>
      <c r="P40"/>
    </row>
    <row r="41" spans="5:16" ht="15" x14ac:dyDescent="0.25">
      <c r="E41" s="1662"/>
      <c r="F41" s="1661"/>
      <c r="G41" s="56"/>
      <c r="H41" s="1660"/>
      <c r="I41" s="1660"/>
      <c r="K41" s="1662"/>
      <c r="L41" s="14" t="s">
        <v>871</v>
      </c>
      <c r="M41" t="s">
        <v>874</v>
      </c>
      <c r="N41" t="s">
        <v>464</v>
      </c>
      <c r="O41" s="14" t="s">
        <v>891</v>
      </c>
      <c r="P41"/>
    </row>
    <row r="42" spans="5:16" ht="15" x14ac:dyDescent="0.25">
      <c r="E42" s="1662"/>
      <c r="F42" s="1661"/>
      <c r="G42" s="56"/>
      <c r="H42" s="1660"/>
      <c r="I42" s="1660"/>
      <c r="K42" s="1662"/>
      <c r="L42" s="14" t="s">
        <v>871</v>
      </c>
      <c r="M42" t="s">
        <v>874</v>
      </c>
      <c r="N42" t="s">
        <v>465</v>
      </c>
      <c r="O42" s="14" t="s">
        <v>892</v>
      </c>
      <c r="P42"/>
    </row>
    <row r="43" spans="5:16" ht="15" x14ac:dyDescent="0.25">
      <c r="E43" s="1662"/>
      <c r="F43" s="1661"/>
      <c r="G43" s="56"/>
      <c r="H43" s="1660"/>
      <c r="I43" s="1660"/>
      <c r="K43" s="1662"/>
      <c r="L43" s="14" t="s">
        <v>871</v>
      </c>
      <c r="M43" t="s">
        <v>874</v>
      </c>
      <c r="N43" t="s">
        <v>466</v>
      </c>
      <c r="O43" s="14" t="s">
        <v>893</v>
      </c>
      <c r="P43"/>
    </row>
    <row r="44" spans="5:16" ht="15" x14ac:dyDescent="0.25">
      <c r="E44" s="1662"/>
      <c r="F44" s="1661"/>
      <c r="G44" s="56"/>
      <c r="H44" s="1660"/>
      <c r="I44" s="1660"/>
      <c r="K44" s="1662"/>
      <c r="L44" s="14" t="s">
        <v>146</v>
      </c>
      <c r="M44" s="14" t="s">
        <v>875</v>
      </c>
      <c r="N44" s="1534" t="s">
        <v>467</v>
      </c>
      <c r="O44" s="14" t="s">
        <v>894</v>
      </c>
      <c r="P44"/>
    </row>
    <row r="45" spans="5:16" ht="15" x14ac:dyDescent="0.25">
      <c r="E45" s="1662"/>
      <c r="F45" s="1661"/>
      <c r="G45" s="56"/>
      <c r="H45" s="1660"/>
      <c r="I45" s="1660"/>
      <c r="K45" s="1662"/>
      <c r="L45" s="14" t="s">
        <v>146</v>
      </c>
      <c r="M45" s="14" t="s">
        <v>875</v>
      </c>
      <c r="N45" s="1534" t="s">
        <v>468</v>
      </c>
      <c r="O45" s="14" t="s">
        <v>895</v>
      </c>
      <c r="P45"/>
    </row>
    <row r="46" spans="5:16" ht="15" x14ac:dyDescent="0.25">
      <c r="E46" s="1662"/>
      <c r="F46" s="1661"/>
      <c r="G46" s="56"/>
      <c r="H46" s="1660"/>
      <c r="I46" s="1660"/>
      <c r="K46" s="1662"/>
      <c r="L46" s="14" t="s">
        <v>146</v>
      </c>
      <c r="M46" s="14" t="s">
        <v>875</v>
      </c>
      <c r="N46" s="1534" t="s">
        <v>469</v>
      </c>
      <c r="O46" s="14" t="s">
        <v>491</v>
      </c>
      <c r="P46"/>
    </row>
    <row r="47" spans="5:16" ht="15" x14ac:dyDescent="0.25">
      <c r="E47" s="1662"/>
      <c r="F47" s="1661"/>
      <c r="G47" s="56"/>
      <c r="H47" s="1660"/>
      <c r="I47" s="1660"/>
      <c r="K47" s="1662"/>
      <c r="L47" s="14" t="s">
        <v>146</v>
      </c>
      <c r="M47" s="14" t="s">
        <v>498</v>
      </c>
      <c r="N47" s="1534" t="s">
        <v>149</v>
      </c>
      <c r="O47" s="14" t="s">
        <v>1623</v>
      </c>
      <c r="P47"/>
    </row>
    <row r="48" spans="5:16" ht="15" x14ac:dyDescent="0.25">
      <c r="E48" s="1662"/>
      <c r="F48" s="1661"/>
      <c r="G48" s="56"/>
      <c r="H48" s="1660"/>
      <c r="I48" s="1660"/>
      <c r="K48" s="1662"/>
      <c r="L48" s="14" t="s">
        <v>146</v>
      </c>
      <c r="M48" s="14" t="s">
        <v>498</v>
      </c>
      <c r="N48" s="1534" t="s">
        <v>150</v>
      </c>
      <c r="O48" s="1659" t="s">
        <v>243</v>
      </c>
      <c r="P48"/>
    </row>
    <row r="49" spans="5:16" ht="15" x14ac:dyDescent="0.25">
      <c r="E49" s="1662"/>
      <c r="F49" s="1661"/>
      <c r="G49" s="56"/>
      <c r="H49" s="1660"/>
      <c r="I49" s="1660"/>
      <c r="K49" s="1662"/>
      <c r="L49" s="14" t="s">
        <v>146</v>
      </c>
      <c r="M49" s="14" t="s">
        <v>876</v>
      </c>
      <c r="N49" s="14" t="s">
        <v>330</v>
      </c>
      <c r="O49" s="1534" t="s">
        <v>995</v>
      </c>
      <c r="P49"/>
    </row>
    <row r="50" spans="5:16" ht="15" x14ac:dyDescent="0.25">
      <c r="E50" s="1662"/>
      <c r="F50" s="1661"/>
      <c r="G50" s="56"/>
      <c r="H50" s="1660"/>
      <c r="I50" s="1660"/>
      <c r="K50" s="1662"/>
      <c r="L50" s="14" t="s">
        <v>146</v>
      </c>
      <c r="M50" s="14" t="s">
        <v>876</v>
      </c>
      <c r="N50" s="14" t="s">
        <v>333</v>
      </c>
      <c r="O50" s="1534" t="s">
        <v>994</v>
      </c>
      <c r="P50"/>
    </row>
    <row r="51" spans="5:16" ht="15" x14ac:dyDescent="0.25">
      <c r="E51" s="1662"/>
      <c r="F51" s="1661"/>
      <c r="G51" s="56"/>
      <c r="H51" s="1660"/>
      <c r="I51" s="1660"/>
      <c r="K51" s="1662"/>
      <c r="L51" s="14" t="s">
        <v>146</v>
      </c>
      <c r="M51" s="14" t="s">
        <v>876</v>
      </c>
      <c r="N51" s="14" t="s">
        <v>335</v>
      </c>
      <c r="O51" s="14" t="s">
        <v>996</v>
      </c>
      <c r="P51"/>
    </row>
    <row r="52" spans="5:16" ht="15" x14ac:dyDescent="0.25">
      <c r="E52" s="1662"/>
      <c r="F52" s="1661"/>
      <c r="G52" s="56"/>
      <c r="H52" s="1660"/>
      <c r="I52" s="1660"/>
      <c r="K52" s="1662"/>
      <c r="L52" s="14" t="s">
        <v>146</v>
      </c>
      <c r="M52" s="14" t="s">
        <v>876</v>
      </c>
      <c r="N52" s="14" t="s">
        <v>470</v>
      </c>
      <c r="O52" s="14" t="s">
        <v>437</v>
      </c>
      <c r="P52"/>
    </row>
    <row r="53" spans="5:16" ht="15" x14ac:dyDescent="0.25">
      <c r="E53" s="1662"/>
      <c r="F53" s="1661"/>
      <c r="G53" s="56"/>
      <c r="H53" s="1660"/>
      <c r="I53" s="1660"/>
      <c r="K53" s="1662"/>
      <c r="L53" s="14" t="s">
        <v>146</v>
      </c>
      <c r="M53" s="14" t="s">
        <v>877</v>
      </c>
      <c r="N53" s="14" t="s">
        <v>471</v>
      </c>
      <c r="O53" s="14" t="s">
        <v>549</v>
      </c>
      <c r="P53"/>
    </row>
    <row r="54" spans="5:16" ht="15" x14ac:dyDescent="0.25">
      <c r="E54" s="1662"/>
      <c r="F54" s="1661"/>
      <c r="G54" s="56"/>
      <c r="H54" s="1660"/>
      <c r="I54" s="1660"/>
      <c r="K54" s="1662"/>
      <c r="L54" s="14" t="s">
        <v>146</v>
      </c>
      <c r="M54" s="14" t="s">
        <v>331</v>
      </c>
      <c r="N54" s="14" t="s">
        <v>472</v>
      </c>
      <c r="O54" s="14" t="s">
        <v>896</v>
      </c>
      <c r="P54"/>
    </row>
    <row r="55" spans="5:16" ht="15" x14ac:dyDescent="0.25">
      <c r="E55" s="1662"/>
      <c r="F55" s="1661"/>
      <c r="G55" s="56"/>
      <c r="H55" s="1660"/>
      <c r="I55" s="1660"/>
      <c r="K55" s="1657"/>
      <c r="L55" s="14" t="s">
        <v>146</v>
      </c>
      <c r="M55" s="14" t="s">
        <v>331</v>
      </c>
      <c r="N55" s="14" t="s">
        <v>473</v>
      </c>
      <c r="O55" s="14" t="s">
        <v>331</v>
      </c>
      <c r="P55"/>
    </row>
    <row r="56" spans="5:16" ht="15" x14ac:dyDescent="0.25">
      <c r="E56" s="1662"/>
      <c r="F56" s="1661"/>
      <c r="G56" s="56"/>
      <c r="H56" s="1660"/>
      <c r="I56" s="1660"/>
      <c r="K56" s="1657"/>
      <c r="L56" s="14" t="s">
        <v>146</v>
      </c>
      <c r="M56" s="14" t="s">
        <v>331</v>
      </c>
      <c r="N56" s="14" t="s">
        <v>474</v>
      </c>
      <c r="O56" s="14" t="s">
        <v>897</v>
      </c>
      <c r="P56"/>
    </row>
    <row r="57" spans="5:16" ht="15" x14ac:dyDescent="0.2">
      <c r="K57" s="1657"/>
      <c r="L57" s="1663" t="s">
        <v>146</v>
      </c>
      <c r="M57" s="453" t="s">
        <v>331</v>
      </c>
      <c r="N57" s="1663" t="s">
        <v>805</v>
      </c>
      <c r="O57" s="1841" t="s">
        <v>898</v>
      </c>
      <c r="P57"/>
    </row>
    <row r="58" spans="5:16" ht="15" x14ac:dyDescent="0.2">
      <c r="K58" s="1657"/>
      <c r="L58" s="454" t="s">
        <v>146</v>
      </c>
      <c r="M58" s="453" t="s">
        <v>429</v>
      </c>
      <c r="N58" s="453" t="s">
        <v>475</v>
      </c>
      <c r="O58" s="56" t="s">
        <v>899</v>
      </c>
      <c r="P58"/>
    </row>
    <row r="59" spans="5:16" ht="15" x14ac:dyDescent="0.2">
      <c r="K59" s="1657"/>
      <c r="L59" s="454" t="s">
        <v>146</v>
      </c>
      <c r="M59" s="14" t="s">
        <v>878</v>
      </c>
      <c r="N59" s="14" t="s">
        <v>630</v>
      </c>
      <c r="O59" s="1534" t="s">
        <v>820</v>
      </c>
      <c r="P59"/>
    </row>
    <row r="60" spans="5:16" ht="15" x14ac:dyDescent="0.2">
      <c r="K60" s="1657"/>
      <c r="L60" s="454" t="s">
        <v>146</v>
      </c>
      <c r="M60" s="14" t="s">
        <v>331</v>
      </c>
      <c r="N60" s="453" t="s">
        <v>709</v>
      </c>
      <c r="O60" s="56" t="s">
        <v>900</v>
      </c>
      <c r="P60"/>
    </row>
    <row r="61" spans="5:16" ht="15" x14ac:dyDescent="0.2">
      <c r="K61" s="1657"/>
      <c r="L61" s="1663" t="s">
        <v>146</v>
      </c>
      <c r="M61" s="14" t="s">
        <v>331</v>
      </c>
      <c r="N61" s="1663" t="s">
        <v>804</v>
      </c>
      <c r="O61" s="56" t="s">
        <v>901</v>
      </c>
      <c r="P61"/>
    </row>
    <row r="62" spans="5:16" ht="15" x14ac:dyDescent="0.2">
      <c r="K62" s="1657"/>
      <c r="L62" s="454" t="s">
        <v>186</v>
      </c>
      <c r="M62" s="453" t="s">
        <v>879</v>
      </c>
      <c r="N62" s="1663" t="s">
        <v>245</v>
      </c>
      <c r="O62" s="56" t="s">
        <v>902</v>
      </c>
      <c r="P62"/>
    </row>
    <row r="63" spans="5:16" ht="15" x14ac:dyDescent="0.2">
      <c r="K63" s="1657"/>
      <c r="L63" s="454" t="s">
        <v>186</v>
      </c>
      <c r="M63" s="453" t="s">
        <v>879</v>
      </c>
      <c r="N63" s="1663" t="s">
        <v>821</v>
      </c>
      <c r="O63" s="56" t="s">
        <v>903</v>
      </c>
      <c r="P63"/>
    </row>
    <row r="64" spans="5:16" ht="15" x14ac:dyDescent="0.2">
      <c r="K64" s="1657"/>
      <c r="L64" s="454" t="s">
        <v>186</v>
      </c>
      <c r="M64" s="453" t="s">
        <v>879</v>
      </c>
      <c r="N64" s="1663" t="s">
        <v>822</v>
      </c>
      <c r="O64" s="56" t="s">
        <v>904</v>
      </c>
      <c r="P64"/>
    </row>
    <row r="65" spans="11:16" ht="15" x14ac:dyDescent="0.2">
      <c r="K65" s="1657"/>
      <c r="L65" s="454" t="s">
        <v>186</v>
      </c>
      <c r="M65" s="453" t="s">
        <v>880</v>
      </c>
      <c r="N65" s="453" t="s">
        <v>823</v>
      </c>
      <c r="O65" s="56" t="s">
        <v>905</v>
      </c>
      <c r="P65"/>
    </row>
    <row r="66" spans="11:16" ht="15" x14ac:dyDescent="0.2">
      <c r="K66" s="1657"/>
      <c r="L66" s="454" t="s">
        <v>186</v>
      </c>
      <c r="M66" s="454" t="s">
        <v>379</v>
      </c>
      <c r="N66" s="1663" t="s">
        <v>188</v>
      </c>
      <c r="O66" s="1841" t="s">
        <v>379</v>
      </c>
      <c r="P66"/>
    </row>
    <row r="67" spans="11:16" ht="15" x14ac:dyDescent="0.2">
      <c r="K67" s="1657"/>
      <c r="L67" s="454" t="s">
        <v>186</v>
      </c>
      <c r="M67" s="454" t="s">
        <v>379</v>
      </c>
      <c r="N67" s="453" t="s">
        <v>189</v>
      </c>
      <c r="O67" s="56" t="s">
        <v>233</v>
      </c>
      <c r="P67"/>
    </row>
    <row r="68" spans="11:16" ht="15" x14ac:dyDescent="0.2">
      <c r="K68" s="1657"/>
      <c r="L68" s="454" t="s">
        <v>186</v>
      </c>
      <c r="M68" s="454" t="s">
        <v>379</v>
      </c>
      <c r="N68" s="1663" t="s">
        <v>191</v>
      </c>
      <c r="O68" s="1841" t="s">
        <v>906</v>
      </c>
      <c r="P68"/>
    </row>
    <row r="69" spans="11:16" ht="12.75" x14ac:dyDescent="0.2">
      <c r="K69" s="1645"/>
      <c r="L69" s="454" t="s">
        <v>186</v>
      </c>
      <c r="M69" s="454" t="s">
        <v>869</v>
      </c>
      <c r="N69" s="1663" t="s">
        <v>824</v>
      </c>
      <c r="O69" s="1841" t="s">
        <v>907</v>
      </c>
      <c r="P69"/>
    </row>
    <row r="70" spans="11:16" ht="12.75" x14ac:dyDescent="0.2">
      <c r="K70" s="1645"/>
      <c r="L70" s="454" t="s">
        <v>186</v>
      </c>
      <c r="M70" s="454" t="s">
        <v>869</v>
      </c>
      <c r="N70" s="453" t="s">
        <v>825</v>
      </c>
      <c r="O70" s="56" t="s">
        <v>908</v>
      </c>
      <c r="P70"/>
    </row>
    <row r="71" spans="11:16" ht="12.75" x14ac:dyDescent="0.2">
      <c r="K71" s="1645"/>
      <c r="L71" s="454" t="s">
        <v>186</v>
      </c>
      <c r="M71" s="454" t="s">
        <v>869</v>
      </c>
      <c r="N71" s="453" t="s">
        <v>826</v>
      </c>
      <c r="O71" s="56" t="s">
        <v>909</v>
      </c>
      <c r="P71"/>
    </row>
    <row r="72" spans="11:16" ht="12.75" x14ac:dyDescent="0.2">
      <c r="K72" s="1645"/>
      <c r="L72" s="454" t="s">
        <v>186</v>
      </c>
      <c r="M72" s="454" t="s">
        <v>869</v>
      </c>
      <c r="N72" s="453" t="s">
        <v>827</v>
      </c>
      <c r="O72" s="56" t="s">
        <v>910</v>
      </c>
      <c r="P72"/>
    </row>
    <row r="73" spans="11:16" ht="12.75" x14ac:dyDescent="0.2">
      <c r="K73" s="1645"/>
      <c r="L73" s="454" t="s">
        <v>186</v>
      </c>
      <c r="M73" s="454" t="s">
        <v>869</v>
      </c>
      <c r="N73" s="453" t="s">
        <v>828</v>
      </c>
      <c r="O73" s="56" t="s">
        <v>911</v>
      </c>
      <c r="P73"/>
    </row>
    <row r="74" spans="11:16" ht="12.75" x14ac:dyDescent="0.2">
      <c r="K74" s="1645"/>
      <c r="L74" s="1645"/>
      <c r="O74" s="1645"/>
      <c r="P74" s="1650"/>
    </row>
    <row r="75" spans="11:16" ht="12.75" x14ac:dyDescent="0.2">
      <c r="K75" s="1645"/>
      <c r="L75" s="1645"/>
      <c r="O75" s="1645"/>
      <c r="P75" s="1650"/>
    </row>
    <row r="76" spans="11:16" ht="12.75" x14ac:dyDescent="0.2">
      <c r="K76" s="1645"/>
      <c r="L76" s="1645"/>
      <c r="O76" s="1645"/>
      <c r="P76" s="1650"/>
    </row>
    <row r="77" spans="11:16" ht="12.75" x14ac:dyDescent="0.2">
      <c r="K77" s="1645"/>
      <c r="L77" s="1645"/>
      <c r="O77" s="1645"/>
      <c r="P77" s="1650"/>
    </row>
    <row r="78" spans="11:16" ht="12.75" x14ac:dyDescent="0.2">
      <c r="K78" s="1645"/>
      <c r="L78" s="1645"/>
      <c r="O78" s="1645"/>
      <c r="P78" s="1650"/>
    </row>
    <row r="79" spans="11:16" x14ac:dyDescent="0.25">
      <c r="L79" s="1645"/>
      <c r="O79" s="1645"/>
      <c r="P79" s="1650"/>
    </row>
    <row r="80" spans="11:16" x14ac:dyDescent="0.25">
      <c r="L80" s="1645"/>
      <c r="O80" s="1645"/>
      <c r="P80" s="1650"/>
    </row>
    <row r="81" spans="12:16" x14ac:dyDescent="0.25">
      <c r="L81" s="1645"/>
      <c r="O81" s="1645"/>
      <c r="P81" s="1650"/>
    </row>
    <row r="82" spans="12:16" x14ac:dyDescent="0.25">
      <c r="L82" s="1645"/>
      <c r="O82" s="1645"/>
      <c r="P82" s="1650"/>
    </row>
    <row r="83" spans="12:16" x14ac:dyDescent="0.25">
      <c r="L83" s="1645"/>
      <c r="O83" s="1645"/>
      <c r="P83" s="1650"/>
    </row>
    <row r="84" spans="12:16" x14ac:dyDescent="0.25">
      <c r="L84" s="1645"/>
      <c r="O84" s="1645"/>
      <c r="P84" s="1650"/>
    </row>
    <row r="85" spans="12:16" x14ac:dyDescent="0.25">
      <c r="L85" s="1645"/>
      <c r="O85" s="1645"/>
      <c r="P85" s="1650"/>
    </row>
  </sheetData>
  <pageMargins left="0.7" right="0.7" top="0.75" bottom="0.75" header="0.3" footer="0.3"/>
  <pageSetup paperSize="9" orientation="landscape" horizontalDpi="300" verticalDpi="300" r:id="rId1"/>
  <ignoredErrors>
    <ignoredError sqref="I22:I25 I5:I6 I8:I21" calculatedColumn="1"/>
  </ignoredErrors>
  <tableParts count="3">
    <tablePart r:id="rId2"/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3:G114"/>
  <sheetViews>
    <sheetView showGridLines="0" zoomScale="70" zoomScaleNormal="70" workbookViewId="0">
      <selection activeCell="L43" sqref="L43"/>
    </sheetView>
  </sheetViews>
  <sheetFormatPr baseColWidth="10" defaultRowHeight="12.75" x14ac:dyDescent="0.2"/>
  <cols>
    <col min="2" max="2" width="20.42578125" customWidth="1"/>
    <col min="3" max="3" width="32.140625" bestFit="1" customWidth="1"/>
    <col min="4" max="4" width="19.28515625" customWidth="1"/>
    <col min="5" max="5" width="16.42578125" customWidth="1"/>
    <col min="6" max="6" width="14.7109375" customWidth="1"/>
  </cols>
  <sheetData>
    <row r="3" spans="2:7" ht="15" x14ac:dyDescent="0.25">
      <c r="B3" s="3441" t="s">
        <v>2286</v>
      </c>
      <c r="C3" s="2714"/>
      <c r="D3" s="2714"/>
      <c r="E3" s="2714"/>
      <c r="F3" s="2714"/>
    </row>
    <row r="5" spans="2:7" ht="15" x14ac:dyDescent="0.25">
      <c r="B5" s="2717" t="s">
        <v>305</v>
      </c>
      <c r="C5" s="2717" t="s">
        <v>242</v>
      </c>
      <c r="D5" s="2717" t="s">
        <v>1888</v>
      </c>
      <c r="E5" s="2718" t="s">
        <v>1745</v>
      </c>
      <c r="F5" s="3368" t="s">
        <v>171</v>
      </c>
    </row>
    <row r="6" spans="2:7" ht="15" x14ac:dyDescent="0.25">
      <c r="B6" s="2714" t="s">
        <v>1889</v>
      </c>
      <c r="C6" s="2714" t="s">
        <v>1890</v>
      </c>
      <c r="D6" s="2714"/>
      <c r="E6" s="2715">
        <v>4.1840000000000002</v>
      </c>
      <c r="F6" s="2715">
        <v>1.1619999999999999E-15</v>
      </c>
    </row>
    <row r="7" spans="2:7" ht="15" x14ac:dyDescent="0.25">
      <c r="B7" s="3369" t="s">
        <v>656</v>
      </c>
      <c r="C7" s="2714" t="s">
        <v>1891</v>
      </c>
      <c r="D7" s="2714"/>
      <c r="E7" s="2715">
        <f>E6*10^12</f>
        <v>4184000000000</v>
      </c>
      <c r="F7" s="3367">
        <f>F6*10^12</f>
        <v>1.1620000000000001E-3</v>
      </c>
      <c r="G7" s="77"/>
    </row>
    <row r="8" spans="2:7" ht="15" x14ac:dyDescent="0.25">
      <c r="B8" s="2714"/>
      <c r="C8" s="2714"/>
      <c r="D8" s="2714"/>
      <c r="E8" s="2716"/>
      <c r="F8" s="2716"/>
    </row>
    <row r="9" spans="2:7" ht="15" x14ac:dyDescent="0.25">
      <c r="B9" s="3442" t="s">
        <v>2287</v>
      </c>
      <c r="C9" s="3442"/>
      <c r="D9" s="3442"/>
      <c r="E9" s="3443"/>
      <c r="F9" s="3443"/>
    </row>
    <row r="10" spans="2:7" ht="15" x14ac:dyDescent="0.25">
      <c r="B10" s="3442"/>
      <c r="C10" s="3442"/>
      <c r="D10" s="3442"/>
      <c r="E10" s="3443"/>
      <c r="F10" s="3443"/>
    </row>
    <row r="11" spans="2:7" ht="15" x14ac:dyDescent="0.25">
      <c r="B11" s="3442" t="s">
        <v>1656</v>
      </c>
      <c r="C11" s="3442" t="s">
        <v>1746</v>
      </c>
      <c r="D11" s="3442" t="s">
        <v>1747</v>
      </c>
      <c r="E11" s="3444">
        <v>1000000000000000</v>
      </c>
      <c r="F11" s="3444">
        <v>0.27779999999999999</v>
      </c>
    </row>
    <row r="12" spans="2:7" ht="15" x14ac:dyDescent="0.25">
      <c r="B12" s="3442" t="s">
        <v>1657</v>
      </c>
      <c r="C12" s="3442" t="s">
        <v>1748</v>
      </c>
      <c r="D12" s="3442" t="s">
        <v>1749</v>
      </c>
      <c r="E12" s="3444">
        <v>1000000000000</v>
      </c>
      <c r="F12" s="3444">
        <v>2.7779999999999998E-4</v>
      </c>
    </row>
    <row r="13" spans="2:7" ht="15" x14ac:dyDescent="0.25">
      <c r="B13" s="3442" t="s">
        <v>1750</v>
      </c>
      <c r="C13" s="3442" t="s">
        <v>1751</v>
      </c>
      <c r="D13" s="3442" t="s">
        <v>1752</v>
      </c>
      <c r="E13" s="3444">
        <v>1000000000</v>
      </c>
      <c r="F13" s="3444">
        <v>2.7780000000000001E-7</v>
      </c>
    </row>
    <row r="14" spans="2:7" ht="15" x14ac:dyDescent="0.25">
      <c r="B14" s="3442" t="s">
        <v>1659</v>
      </c>
      <c r="C14" s="3442" t="s">
        <v>1745</v>
      </c>
      <c r="D14" s="3442" t="s">
        <v>1753</v>
      </c>
      <c r="E14" s="3444">
        <v>1</v>
      </c>
      <c r="F14" s="3444">
        <v>2.778E-16</v>
      </c>
    </row>
    <row r="15" spans="2:7" ht="15" x14ac:dyDescent="0.25">
      <c r="B15" s="3442" t="s">
        <v>1754</v>
      </c>
      <c r="C15" s="3442" t="s">
        <v>1755</v>
      </c>
      <c r="D15" s="3442" t="s">
        <v>1756</v>
      </c>
      <c r="E15" s="3444">
        <v>1000000</v>
      </c>
      <c r="F15" s="3444">
        <v>2.7780000000000001E-10</v>
      </c>
    </row>
    <row r="16" spans="2:7" ht="15" x14ac:dyDescent="0.25">
      <c r="B16" s="3442" t="s">
        <v>1757</v>
      </c>
      <c r="C16" s="3442" t="s">
        <v>1758</v>
      </c>
      <c r="D16" s="3442" t="s">
        <v>1759</v>
      </c>
      <c r="E16" s="3444">
        <v>3600000</v>
      </c>
      <c r="F16" s="3444">
        <v>1.0000000000000001E-9</v>
      </c>
    </row>
    <row r="17" spans="2:6" ht="15" x14ac:dyDescent="0.25">
      <c r="B17" s="3442" t="s">
        <v>1760</v>
      </c>
      <c r="C17" s="3442" t="s">
        <v>1761</v>
      </c>
      <c r="D17" s="3442" t="s">
        <v>1762</v>
      </c>
      <c r="E17" s="3444">
        <v>7.889E+16</v>
      </c>
      <c r="F17" s="3444">
        <v>21.92</v>
      </c>
    </row>
    <row r="18" spans="2:6" ht="15" x14ac:dyDescent="0.25">
      <c r="B18" s="3442" t="s">
        <v>171</v>
      </c>
      <c r="C18" s="3442" t="s">
        <v>1763</v>
      </c>
      <c r="D18" s="3442" t="s">
        <v>1764</v>
      </c>
      <c r="E18" s="3444">
        <v>3600000000000000</v>
      </c>
      <c r="F18" s="3444">
        <v>1</v>
      </c>
    </row>
    <row r="19" spans="2:6" ht="15" x14ac:dyDescent="0.25">
      <c r="B19" s="3442" t="s">
        <v>1596</v>
      </c>
      <c r="C19" s="3442" t="s">
        <v>1765</v>
      </c>
      <c r="D19" s="3442" t="s">
        <v>1766</v>
      </c>
      <c r="E19" s="3444">
        <v>3600000000000</v>
      </c>
      <c r="F19" s="3444">
        <v>1E-3</v>
      </c>
    </row>
    <row r="20" spans="2:6" ht="15" x14ac:dyDescent="0.25">
      <c r="B20" s="3442" t="s">
        <v>1590</v>
      </c>
      <c r="C20" s="3442" t="s">
        <v>1767</v>
      </c>
      <c r="D20" s="3442" t="s">
        <v>1768</v>
      </c>
      <c r="E20" s="3444">
        <v>3600000000</v>
      </c>
      <c r="F20" s="3444">
        <v>9.9999999999999995E-7</v>
      </c>
    </row>
    <row r="21" spans="2:6" x14ac:dyDescent="0.2">
      <c r="B21" s="3445"/>
      <c r="C21" s="3445"/>
      <c r="D21" s="3445"/>
      <c r="E21" s="3445"/>
      <c r="F21" s="3445"/>
    </row>
    <row r="22" spans="2:6" ht="15" x14ac:dyDescent="0.25">
      <c r="B22" s="3442" t="s">
        <v>1769</v>
      </c>
      <c r="C22" s="3442" t="s">
        <v>1770</v>
      </c>
      <c r="D22" s="3442" t="s">
        <v>1771</v>
      </c>
      <c r="E22" s="3444">
        <v>5862000000</v>
      </c>
      <c r="F22" s="3444">
        <v>1.6279999999999999E-6</v>
      </c>
    </row>
    <row r="23" spans="2:6" ht="15" x14ac:dyDescent="0.25">
      <c r="B23" s="3442" t="s">
        <v>1772</v>
      </c>
      <c r="C23" s="3442" t="s">
        <v>1773</v>
      </c>
      <c r="D23" s="3442" t="s">
        <v>1774</v>
      </c>
      <c r="E23" s="3444">
        <v>5862000000000000</v>
      </c>
      <c r="F23" s="3444">
        <v>1.6279999999999999</v>
      </c>
    </row>
    <row r="24" spans="2:6" ht="15" x14ac:dyDescent="0.25">
      <c r="B24" s="3442" t="s">
        <v>1775</v>
      </c>
      <c r="C24" s="3442" t="s">
        <v>1776</v>
      </c>
      <c r="D24" s="3442" t="s">
        <v>1777</v>
      </c>
      <c r="E24" s="3444">
        <v>41870000000</v>
      </c>
      <c r="F24" s="3444">
        <v>1.163E-5</v>
      </c>
    </row>
    <row r="25" spans="2:6" ht="15" x14ac:dyDescent="0.25">
      <c r="B25" s="3442" t="s">
        <v>1778</v>
      </c>
      <c r="C25" s="3442" t="s">
        <v>1779</v>
      </c>
      <c r="D25" s="3442" t="s">
        <v>1780</v>
      </c>
      <c r="E25" s="3444">
        <v>41870000000000</v>
      </c>
      <c r="F25" s="3444">
        <v>1.163E-2</v>
      </c>
    </row>
    <row r="26" spans="2:6" ht="15" x14ac:dyDescent="0.25">
      <c r="B26" s="3442" t="s">
        <v>1781</v>
      </c>
      <c r="C26" s="3442" t="s">
        <v>1782</v>
      </c>
      <c r="D26" s="3442" t="s">
        <v>1783</v>
      </c>
      <c r="E26" s="3444">
        <v>4.187E+16</v>
      </c>
      <c r="F26" s="3444">
        <v>11.63</v>
      </c>
    </row>
    <row r="27" spans="2:6" ht="15" x14ac:dyDescent="0.25">
      <c r="B27" s="3442" t="s">
        <v>1784</v>
      </c>
      <c r="C27" s="3442" t="s">
        <v>1785</v>
      </c>
      <c r="D27" s="3442" t="s">
        <v>1786</v>
      </c>
      <c r="E27" s="3444">
        <v>105500000</v>
      </c>
      <c r="F27" s="3444">
        <v>2.9309999999999999E-8</v>
      </c>
    </row>
    <row r="28" spans="2:6" ht="15" x14ac:dyDescent="0.25">
      <c r="B28" s="3442" t="s">
        <v>1787</v>
      </c>
      <c r="C28" s="3442" t="s">
        <v>1788</v>
      </c>
      <c r="D28" s="3442" t="s">
        <v>1789</v>
      </c>
      <c r="E28" s="3444">
        <v>1055</v>
      </c>
      <c r="F28" s="3444">
        <v>2.9309999999999998E-13</v>
      </c>
    </row>
    <row r="29" spans="2:6" ht="15" x14ac:dyDescent="0.25">
      <c r="B29" s="3442" t="s">
        <v>1790</v>
      </c>
      <c r="C29" s="3442" t="s">
        <v>1791</v>
      </c>
      <c r="D29" s="3442" t="s">
        <v>1792</v>
      </c>
      <c r="E29" s="3444">
        <v>4.1840000000000002</v>
      </c>
      <c r="F29" s="3444">
        <v>1.1619999999999999E-15</v>
      </c>
    </row>
    <row r="30" spans="2:6" ht="15" x14ac:dyDescent="0.25">
      <c r="B30" s="3442" t="s">
        <v>1793</v>
      </c>
      <c r="C30" s="3442" t="s">
        <v>1794</v>
      </c>
      <c r="D30" s="3442" t="s">
        <v>1795</v>
      </c>
      <c r="E30" s="3444">
        <v>3.156E+16</v>
      </c>
      <c r="F30" s="3444">
        <v>8.766</v>
      </c>
    </row>
    <row r="31" spans="2:6" ht="15" x14ac:dyDescent="0.25">
      <c r="B31" s="3442" t="s">
        <v>1796</v>
      </c>
      <c r="C31" s="3442" t="s">
        <v>1797</v>
      </c>
      <c r="D31" s="3442" t="s">
        <v>1798</v>
      </c>
      <c r="E31" s="3444">
        <v>3.96E+16</v>
      </c>
      <c r="F31" s="3444">
        <v>11</v>
      </c>
    </row>
    <row r="32" spans="2:6" x14ac:dyDescent="0.2">
      <c r="B32" s="3445"/>
      <c r="C32" s="3445"/>
      <c r="D32" s="3445"/>
      <c r="E32" s="3445"/>
      <c r="F32" s="3445"/>
    </row>
    <row r="33" spans="2:6" x14ac:dyDescent="0.2">
      <c r="B33" s="3445"/>
      <c r="C33" s="3445"/>
      <c r="D33" s="3445"/>
      <c r="E33" s="3445"/>
      <c r="F33" s="3445"/>
    </row>
    <row r="34" spans="2:6" ht="15" x14ac:dyDescent="0.25">
      <c r="B34" s="3442" t="s">
        <v>1799</v>
      </c>
      <c r="C34" s="3442"/>
      <c r="D34" s="3442"/>
      <c r="E34" s="3442"/>
      <c r="F34" s="3442"/>
    </row>
    <row r="35" spans="2:6" x14ac:dyDescent="0.2">
      <c r="B35" s="3445"/>
      <c r="C35" s="3445"/>
      <c r="D35" s="3445"/>
      <c r="E35" s="3445"/>
      <c r="F35" s="3445"/>
    </row>
    <row r="36" spans="2:6" ht="15" x14ac:dyDescent="0.25">
      <c r="B36" s="3442" t="s">
        <v>219</v>
      </c>
      <c r="C36" s="3442" t="s">
        <v>147</v>
      </c>
      <c r="D36" s="3442" t="s">
        <v>1744</v>
      </c>
      <c r="E36" s="3442" t="s">
        <v>1800</v>
      </c>
      <c r="F36" s="3442" t="s">
        <v>152</v>
      </c>
    </row>
    <row r="37" spans="2:6" ht="15" x14ac:dyDescent="0.25">
      <c r="B37" s="3442" t="s">
        <v>152</v>
      </c>
      <c r="C37" s="3442" t="s">
        <v>1801</v>
      </c>
      <c r="D37" s="3442" t="s">
        <v>1802</v>
      </c>
      <c r="E37" s="3444">
        <v>1000000000</v>
      </c>
      <c r="F37" s="3444">
        <v>1</v>
      </c>
    </row>
    <row r="38" spans="2:6" ht="15" x14ac:dyDescent="0.25">
      <c r="B38" s="3442" t="s">
        <v>1598</v>
      </c>
      <c r="C38" s="3442" t="s">
        <v>1803</v>
      </c>
      <c r="D38" s="3442" t="s">
        <v>1804</v>
      </c>
      <c r="E38" s="3444">
        <v>1000000</v>
      </c>
      <c r="F38" s="3444">
        <v>1E-3</v>
      </c>
    </row>
    <row r="39" spans="2:6" ht="15" x14ac:dyDescent="0.25">
      <c r="B39" s="3442" t="s">
        <v>841</v>
      </c>
      <c r="C39" s="3442" t="s">
        <v>1805</v>
      </c>
      <c r="D39" s="3442" t="s">
        <v>1806</v>
      </c>
      <c r="E39" s="3444">
        <v>1000</v>
      </c>
      <c r="F39" s="3444">
        <v>9.9999999999999995E-7</v>
      </c>
    </row>
    <row r="40" spans="2:6" ht="15" x14ac:dyDescent="0.25">
      <c r="B40" s="3442" t="s">
        <v>1807</v>
      </c>
      <c r="C40" s="3442" t="s">
        <v>1800</v>
      </c>
      <c r="D40" s="3442" t="s">
        <v>1808</v>
      </c>
      <c r="E40" s="3444">
        <v>1</v>
      </c>
      <c r="F40" s="3444">
        <v>1.0000000000000001E-9</v>
      </c>
    </row>
    <row r="41" spans="2:6" ht="15" x14ac:dyDescent="0.25">
      <c r="B41" s="3442" t="s">
        <v>1809</v>
      </c>
      <c r="C41" s="3442" t="s">
        <v>1810</v>
      </c>
      <c r="D41" s="3442" t="s">
        <v>1811</v>
      </c>
      <c r="E41" s="3444">
        <v>335600000</v>
      </c>
      <c r="F41" s="3444">
        <v>0.33560000000000001</v>
      </c>
    </row>
    <row r="42" spans="2:6" ht="15" x14ac:dyDescent="0.25">
      <c r="B42" s="3442" t="s">
        <v>1812</v>
      </c>
      <c r="C42" s="3442" t="s">
        <v>1813</v>
      </c>
      <c r="D42" s="3442" t="s">
        <v>1814</v>
      </c>
      <c r="E42" s="3444">
        <v>1327000000</v>
      </c>
      <c r="F42" s="3444">
        <v>1.327</v>
      </c>
    </row>
    <row r="43" spans="2:6" x14ac:dyDescent="0.2">
      <c r="B43" s="3445"/>
      <c r="C43" s="3445"/>
      <c r="D43" s="3445"/>
      <c r="E43" s="3445"/>
      <c r="F43" s="3445"/>
    </row>
    <row r="44" spans="2:6" ht="15" x14ac:dyDescent="0.25">
      <c r="B44" s="3442" t="s">
        <v>1815</v>
      </c>
      <c r="C44" s="3442"/>
      <c r="D44" s="3442"/>
      <c r="E44" s="3442"/>
      <c r="F44" s="3442"/>
    </row>
    <row r="45" spans="2:6" x14ac:dyDescent="0.2">
      <c r="B45" s="3445"/>
      <c r="C45" s="3445"/>
      <c r="D45" s="3445"/>
      <c r="E45" s="3445"/>
      <c r="F45" s="3445"/>
    </row>
    <row r="46" spans="2:6" ht="15" x14ac:dyDescent="0.25">
      <c r="B46" s="3442" t="s">
        <v>219</v>
      </c>
      <c r="C46" s="3442" t="s">
        <v>147</v>
      </c>
      <c r="D46" s="3442" t="s">
        <v>1744</v>
      </c>
      <c r="E46" s="3442"/>
      <c r="F46" s="3442" t="s">
        <v>1816</v>
      </c>
    </row>
    <row r="47" spans="2:6" ht="15" x14ac:dyDescent="0.25">
      <c r="B47" s="3442" t="s">
        <v>1817</v>
      </c>
      <c r="C47" s="3442" t="s">
        <v>26</v>
      </c>
      <c r="D47" s="3442" t="s">
        <v>1818</v>
      </c>
      <c r="E47" s="3442"/>
      <c r="F47" s="3444">
        <v>31560000</v>
      </c>
    </row>
    <row r="48" spans="2:6" ht="15" x14ac:dyDescent="0.25">
      <c r="B48" s="3442" t="s">
        <v>1819</v>
      </c>
      <c r="C48" s="3442" t="s">
        <v>1820</v>
      </c>
      <c r="D48" s="3442" t="s">
        <v>1821</v>
      </c>
      <c r="E48" s="3442"/>
      <c r="F48" s="3446">
        <v>86400</v>
      </c>
    </row>
    <row r="49" spans="2:6" ht="15" x14ac:dyDescent="0.25">
      <c r="B49" s="3442" t="s">
        <v>1822</v>
      </c>
      <c r="C49" s="3442" t="s">
        <v>1823</v>
      </c>
      <c r="D49" s="3442" t="s">
        <v>1824</v>
      </c>
      <c r="E49" s="3442"/>
      <c r="F49" s="3446">
        <v>3600</v>
      </c>
    </row>
    <row r="50" spans="2:6" ht="15" x14ac:dyDescent="0.25">
      <c r="B50" s="3442" t="s">
        <v>1825</v>
      </c>
      <c r="C50" s="3442" t="s">
        <v>1826</v>
      </c>
      <c r="D50" s="3442" t="s">
        <v>1827</v>
      </c>
      <c r="E50" s="3442"/>
      <c r="F50" s="3442">
        <v>60</v>
      </c>
    </row>
    <row r="51" spans="2:6" x14ac:dyDescent="0.2">
      <c r="B51" s="3445"/>
      <c r="C51" s="3445"/>
      <c r="D51" s="3445"/>
      <c r="E51" s="3445"/>
      <c r="F51" s="3445"/>
    </row>
    <row r="52" spans="2:6" ht="15" x14ac:dyDescent="0.25">
      <c r="B52" s="3442" t="s">
        <v>1828</v>
      </c>
      <c r="C52" s="3442"/>
      <c r="D52" s="3442"/>
      <c r="E52" s="3442"/>
      <c r="F52" s="3442"/>
    </row>
    <row r="53" spans="2:6" x14ac:dyDescent="0.2">
      <c r="B53" s="3445"/>
      <c r="C53" s="3445"/>
      <c r="D53" s="3445"/>
      <c r="E53" s="3445"/>
      <c r="F53" s="3445"/>
    </row>
    <row r="54" spans="2:6" ht="15" x14ac:dyDescent="0.25">
      <c r="B54" s="3442" t="s">
        <v>219</v>
      </c>
      <c r="C54" s="3442" t="s">
        <v>147</v>
      </c>
      <c r="D54" s="3442" t="s">
        <v>1744</v>
      </c>
      <c r="E54" s="3442" t="s">
        <v>1829</v>
      </c>
      <c r="F54" s="3442" t="s">
        <v>240</v>
      </c>
    </row>
    <row r="55" spans="2:6" ht="15" x14ac:dyDescent="0.25">
      <c r="B55" s="3442" t="s">
        <v>1830</v>
      </c>
      <c r="C55" s="3442" t="s">
        <v>1831</v>
      </c>
      <c r="D55" s="3442" t="s">
        <v>1832</v>
      </c>
      <c r="E55" s="3444">
        <v>10000</v>
      </c>
      <c r="F55" s="3444">
        <v>0.01</v>
      </c>
    </row>
    <row r="56" spans="2:6" ht="15" x14ac:dyDescent="0.25">
      <c r="B56" s="3442" t="s">
        <v>1833</v>
      </c>
      <c r="C56" s="3442" t="s">
        <v>1834</v>
      </c>
      <c r="D56" s="3442" t="s">
        <v>1835</v>
      </c>
      <c r="E56" s="3444">
        <v>10000000000</v>
      </c>
      <c r="F56" s="3444">
        <v>10000</v>
      </c>
    </row>
    <row r="57" spans="2:6" ht="15" x14ac:dyDescent="0.25">
      <c r="B57" s="3442" t="s">
        <v>1836</v>
      </c>
      <c r="C57" s="3442" t="s">
        <v>1837</v>
      </c>
      <c r="D57" s="3442" t="s">
        <v>1838</v>
      </c>
      <c r="E57" s="3444">
        <v>4047</v>
      </c>
      <c r="F57" s="3444">
        <v>4.0470000000000002E-3</v>
      </c>
    </row>
    <row r="58" spans="2:6" ht="15" x14ac:dyDescent="0.25">
      <c r="B58" s="3442" t="s">
        <v>240</v>
      </c>
      <c r="C58" s="3442" t="s">
        <v>1839</v>
      </c>
      <c r="D58" s="3442" t="s">
        <v>1840</v>
      </c>
      <c r="E58" s="3444">
        <v>1000000</v>
      </c>
      <c r="F58" s="3444">
        <v>1</v>
      </c>
    </row>
    <row r="59" spans="2:6" ht="15" x14ac:dyDescent="0.25">
      <c r="B59" s="3442" t="s">
        <v>1829</v>
      </c>
      <c r="C59" s="3442" t="s">
        <v>1841</v>
      </c>
      <c r="D59" s="3442" t="s">
        <v>1842</v>
      </c>
      <c r="E59" s="3444">
        <v>1</v>
      </c>
      <c r="F59" s="3444">
        <v>9.9999999999999995E-7</v>
      </c>
    </row>
    <row r="60" spans="2:6" ht="15" x14ac:dyDescent="0.25">
      <c r="B60" s="3442" t="s">
        <v>1843</v>
      </c>
      <c r="C60" s="3442" t="s">
        <v>1843</v>
      </c>
      <c r="D60" s="3442" t="s">
        <v>1844</v>
      </c>
      <c r="E60" s="3444">
        <v>20700000000</v>
      </c>
      <c r="F60" s="3444">
        <v>20700</v>
      </c>
    </row>
    <row r="61" spans="2:6" x14ac:dyDescent="0.2">
      <c r="B61" s="3445"/>
      <c r="C61" s="3445"/>
      <c r="D61" s="3445"/>
      <c r="E61" s="3445"/>
      <c r="F61" s="3445"/>
    </row>
    <row r="62" spans="2:6" ht="15" x14ac:dyDescent="0.25">
      <c r="B62" s="3442" t="s">
        <v>1845</v>
      </c>
      <c r="C62" s="3442"/>
      <c r="D62" s="3442"/>
      <c r="E62" s="3442"/>
      <c r="F62" s="3442"/>
    </row>
    <row r="63" spans="2:6" x14ac:dyDescent="0.2">
      <c r="B63" s="3445"/>
      <c r="C63" s="3445"/>
      <c r="D63" s="3445"/>
      <c r="E63" s="3445"/>
      <c r="F63" s="3445"/>
    </row>
    <row r="64" spans="2:6" ht="15" x14ac:dyDescent="0.25">
      <c r="B64" s="3442" t="s">
        <v>1846</v>
      </c>
      <c r="C64" s="3442" t="s">
        <v>147</v>
      </c>
      <c r="D64" s="3442" t="s">
        <v>1744</v>
      </c>
      <c r="E64" s="3442" t="s">
        <v>1634</v>
      </c>
      <c r="F64" s="3442" t="s">
        <v>1847</v>
      </c>
    </row>
    <row r="65" spans="2:6" ht="15" x14ac:dyDescent="0.25">
      <c r="B65" s="3442" t="s">
        <v>171</v>
      </c>
      <c r="C65" s="3442" t="s">
        <v>1848</v>
      </c>
      <c r="D65" s="3442" t="s">
        <v>1849</v>
      </c>
      <c r="E65" s="3444">
        <v>0.114</v>
      </c>
      <c r="F65" s="3442" t="s">
        <v>152</v>
      </c>
    </row>
    <row r="66" spans="2:6" ht="15" x14ac:dyDescent="0.25">
      <c r="B66" s="3442" t="s">
        <v>152</v>
      </c>
      <c r="C66" s="3442" t="s">
        <v>1850</v>
      </c>
      <c r="D66" s="3442" t="s">
        <v>1851</v>
      </c>
      <c r="E66" s="3442">
        <v>8.766</v>
      </c>
      <c r="F66" s="3442" t="s">
        <v>171</v>
      </c>
    </row>
    <row r="67" spans="2:6" ht="15" x14ac:dyDescent="0.25">
      <c r="B67" s="3442" t="s">
        <v>152</v>
      </c>
      <c r="C67" s="3442" t="s">
        <v>1852</v>
      </c>
      <c r="D67" s="3442" t="s">
        <v>1853</v>
      </c>
      <c r="E67" s="3444">
        <v>2.7777799999999999E-7</v>
      </c>
      <c r="F67" s="3442" t="s">
        <v>1854</v>
      </c>
    </row>
    <row r="68" spans="2:6" x14ac:dyDescent="0.2">
      <c r="B68" s="3445"/>
      <c r="C68" s="3445"/>
      <c r="D68" s="3445"/>
      <c r="E68" s="3445"/>
      <c r="F68" s="3445"/>
    </row>
    <row r="69" spans="2:6" ht="15" x14ac:dyDescent="0.25">
      <c r="B69" s="3442" t="s">
        <v>1855</v>
      </c>
      <c r="C69" s="3442"/>
      <c r="D69" s="3442"/>
      <c r="E69" s="3442"/>
      <c r="F69" s="3442"/>
    </row>
    <row r="70" spans="2:6" x14ac:dyDescent="0.2">
      <c r="B70" s="3445"/>
      <c r="C70" s="3445"/>
      <c r="D70" s="3445"/>
      <c r="E70" s="3445"/>
      <c r="F70" s="3445"/>
    </row>
    <row r="71" spans="2:6" ht="15" x14ac:dyDescent="0.25">
      <c r="B71" s="3442" t="s">
        <v>1846</v>
      </c>
      <c r="C71" s="3442" t="s">
        <v>147</v>
      </c>
      <c r="D71" s="3442" t="s">
        <v>1744</v>
      </c>
      <c r="E71" s="3442" t="s">
        <v>1634</v>
      </c>
      <c r="F71" s="3442" t="s">
        <v>1847</v>
      </c>
    </row>
    <row r="72" spans="2:6" ht="15" x14ac:dyDescent="0.25">
      <c r="B72" s="3442" t="s">
        <v>1856</v>
      </c>
      <c r="C72" s="3442" t="s">
        <v>1857</v>
      </c>
      <c r="D72" s="3442" t="s">
        <v>1858</v>
      </c>
      <c r="E72" s="3442">
        <v>4.5460900000000004</v>
      </c>
      <c r="F72" s="3442" t="s">
        <v>1859</v>
      </c>
    </row>
    <row r="73" spans="2:6" ht="15" x14ac:dyDescent="0.25">
      <c r="B73" s="3442" t="s">
        <v>1860</v>
      </c>
      <c r="C73" s="3442" t="s">
        <v>1861</v>
      </c>
      <c r="D73" s="3442" t="s">
        <v>1862</v>
      </c>
      <c r="E73" s="3442">
        <v>3.7854109999999999</v>
      </c>
      <c r="F73" s="3442" t="s">
        <v>1859</v>
      </c>
    </row>
    <row r="74" spans="2:6" x14ac:dyDescent="0.2">
      <c r="B74" s="3445"/>
      <c r="C74" s="3445"/>
      <c r="D74" s="3445"/>
      <c r="E74" s="3445"/>
      <c r="F74" s="3445"/>
    </row>
    <row r="75" spans="2:6" ht="15" x14ac:dyDescent="0.25">
      <c r="B75" s="3442" t="s">
        <v>1863</v>
      </c>
      <c r="C75" s="3442"/>
      <c r="D75" s="3442"/>
      <c r="E75" s="3442"/>
      <c r="F75" s="3442"/>
    </row>
    <row r="76" spans="2:6" x14ac:dyDescent="0.2">
      <c r="B76" s="3445"/>
      <c r="C76" s="3445"/>
      <c r="D76" s="3445"/>
      <c r="E76" s="3445"/>
      <c r="F76" s="3445"/>
    </row>
    <row r="77" spans="2:6" ht="15" x14ac:dyDescent="0.25">
      <c r="B77" s="3442" t="s">
        <v>219</v>
      </c>
      <c r="C77" s="3442" t="s">
        <v>147</v>
      </c>
      <c r="D77" s="3442" t="s">
        <v>1744</v>
      </c>
      <c r="E77" s="3442" t="s">
        <v>176</v>
      </c>
      <c r="F77" s="3442" t="s">
        <v>1864</v>
      </c>
    </row>
    <row r="78" spans="2:6" ht="15" x14ac:dyDescent="0.25">
      <c r="B78" s="3442" t="s">
        <v>1865</v>
      </c>
      <c r="C78" s="3442" t="s">
        <v>1866</v>
      </c>
      <c r="D78" s="3442" t="s">
        <v>1867</v>
      </c>
      <c r="E78" s="3446">
        <v>1000000</v>
      </c>
      <c r="F78" s="3444">
        <v>1000000000000</v>
      </c>
    </row>
    <row r="79" spans="2:6" ht="15" x14ac:dyDescent="0.25">
      <c r="B79" s="3442" t="s">
        <v>1868</v>
      </c>
      <c r="C79" s="3442" t="s">
        <v>1869</v>
      </c>
      <c r="D79" s="3442" t="s">
        <v>1870</v>
      </c>
      <c r="E79" s="3446">
        <v>1000</v>
      </c>
      <c r="F79" s="3444">
        <v>1000000000</v>
      </c>
    </row>
    <row r="80" spans="2:6" ht="15" x14ac:dyDescent="0.25">
      <c r="B80" s="3442" t="s">
        <v>176</v>
      </c>
      <c r="C80" s="3442" t="s">
        <v>1871</v>
      </c>
      <c r="D80" s="3442" t="s">
        <v>1872</v>
      </c>
      <c r="E80" s="3442">
        <v>1</v>
      </c>
      <c r="F80" s="3444">
        <v>1000000</v>
      </c>
    </row>
    <row r="81" spans="2:6" ht="15" x14ac:dyDescent="0.25">
      <c r="B81" s="3442" t="s">
        <v>1873</v>
      </c>
      <c r="C81" s="3442" t="s">
        <v>1874</v>
      </c>
      <c r="D81" s="3442" t="s">
        <v>1875</v>
      </c>
      <c r="E81" s="3442">
        <v>0</v>
      </c>
      <c r="F81" s="3444">
        <v>1000</v>
      </c>
    </row>
    <row r="82" spans="2:6" ht="15" x14ac:dyDescent="0.25">
      <c r="B82" s="3442" t="s">
        <v>1876</v>
      </c>
      <c r="C82" s="3442" t="s">
        <v>1877</v>
      </c>
      <c r="D82" s="3442" t="s">
        <v>1878</v>
      </c>
      <c r="E82" s="3442">
        <v>0</v>
      </c>
      <c r="F82" s="3444">
        <v>0.629</v>
      </c>
    </row>
    <row r="83" spans="2:6" ht="15" x14ac:dyDescent="0.25">
      <c r="B83" s="3447">
        <v>2009</v>
      </c>
      <c r="C83" s="3442" t="s">
        <v>1879</v>
      </c>
      <c r="D83" s="3442" t="s">
        <v>1880</v>
      </c>
      <c r="E83" s="3442">
        <v>0</v>
      </c>
      <c r="F83" s="3444">
        <v>0.625</v>
      </c>
    </row>
    <row r="84" spans="2:6" ht="15" x14ac:dyDescent="0.25">
      <c r="B84" s="3447">
        <v>2010</v>
      </c>
      <c r="C84" s="3442" t="s">
        <v>1881</v>
      </c>
      <c r="D84" s="3442" t="s">
        <v>1882</v>
      </c>
      <c r="E84" s="3442">
        <v>0</v>
      </c>
      <c r="F84" s="3444">
        <v>0.64700000000000002</v>
      </c>
    </row>
    <row r="85" spans="2:6" ht="15" x14ac:dyDescent="0.25">
      <c r="B85" s="3442" t="s">
        <v>1864</v>
      </c>
      <c r="C85" s="3442" t="s">
        <v>1883</v>
      </c>
      <c r="D85" s="3442" t="s">
        <v>1884</v>
      </c>
      <c r="E85" s="3442">
        <v>0</v>
      </c>
      <c r="F85" s="3444">
        <v>1</v>
      </c>
    </row>
    <row r="86" spans="2:6" x14ac:dyDescent="0.2">
      <c r="B86" s="3445"/>
      <c r="C86" s="3445"/>
      <c r="D86" s="3445"/>
      <c r="E86" s="3445"/>
      <c r="F86" s="3445"/>
    </row>
    <row r="87" spans="2:6" ht="15" x14ac:dyDescent="0.25">
      <c r="B87" s="3442" t="s">
        <v>1885</v>
      </c>
      <c r="C87" s="3442"/>
      <c r="D87" s="3442"/>
      <c r="E87" s="3442"/>
      <c r="F87" s="3442"/>
    </row>
    <row r="88" spans="2:6" x14ac:dyDescent="0.2">
      <c r="B88" s="3445"/>
      <c r="C88" s="3445"/>
      <c r="D88" s="3445"/>
      <c r="E88" s="3445"/>
      <c r="F88" s="3445"/>
    </row>
    <row r="89" spans="2:6" ht="15" x14ac:dyDescent="0.25">
      <c r="B89" s="3442" t="s">
        <v>1886</v>
      </c>
      <c r="C89" s="3442"/>
      <c r="D89" s="3442"/>
      <c r="E89" s="3445"/>
      <c r="F89" s="3445"/>
    </row>
    <row r="90" spans="2:6" x14ac:dyDescent="0.2">
      <c r="B90" s="3445"/>
      <c r="C90" s="3445"/>
      <c r="D90" s="3445"/>
      <c r="E90" s="3445"/>
      <c r="F90" s="3445"/>
    </row>
    <row r="91" spans="2:6" ht="15" x14ac:dyDescent="0.25">
      <c r="B91" s="3442">
        <v>1990</v>
      </c>
      <c r="C91" s="3442">
        <v>57.915999999999997</v>
      </c>
      <c r="D91" s="3442">
        <v>1.7266385799999999</v>
      </c>
      <c r="E91" s="3445"/>
      <c r="F91" s="3445"/>
    </row>
    <row r="92" spans="2:6" ht="15" x14ac:dyDescent="0.25">
      <c r="B92" s="3442">
        <v>1991</v>
      </c>
      <c r="C92" s="3442">
        <v>61.656999999999996</v>
      </c>
      <c r="D92" s="3442">
        <v>1.621875862</v>
      </c>
      <c r="E92" s="3445"/>
      <c r="F92" s="3445"/>
    </row>
    <row r="93" spans="2:6" ht="15" x14ac:dyDescent="0.25">
      <c r="B93" s="3442">
        <v>1992</v>
      </c>
      <c r="C93" s="3442">
        <v>63.975000000000001</v>
      </c>
      <c r="D93" s="3442">
        <v>1.56311059</v>
      </c>
      <c r="E93" s="3445"/>
      <c r="F93" s="3445"/>
    </row>
    <row r="94" spans="2:6" ht="15" x14ac:dyDescent="0.25">
      <c r="B94" s="3442">
        <v>1993</v>
      </c>
      <c r="C94" s="3442">
        <v>65.814999999999998</v>
      </c>
      <c r="D94" s="3442">
        <v>1.5194104690000001</v>
      </c>
      <c r="E94" s="3445"/>
      <c r="F94" s="3445"/>
    </row>
    <row r="95" spans="2:6" ht="15" x14ac:dyDescent="0.25">
      <c r="B95" s="3442">
        <v>1994</v>
      </c>
      <c r="C95" s="3442">
        <v>66.855999999999995</v>
      </c>
      <c r="D95" s="3442">
        <v>1.4957520639999999</v>
      </c>
      <c r="E95" s="3445"/>
      <c r="F95" s="3445"/>
    </row>
    <row r="96" spans="2:6" ht="15" x14ac:dyDescent="0.25">
      <c r="B96" s="3442">
        <v>1995</v>
      </c>
      <c r="C96" s="3442">
        <v>68.647000000000006</v>
      </c>
      <c r="D96" s="3442">
        <v>1.456727898</v>
      </c>
      <c r="E96" s="3445"/>
      <c r="F96" s="3445"/>
    </row>
    <row r="97" spans="2:6" ht="15" x14ac:dyDescent="0.25">
      <c r="B97" s="3442">
        <v>1996</v>
      </c>
      <c r="C97" s="3442">
        <v>71.131</v>
      </c>
      <c r="D97" s="3442">
        <v>1.4058567989999999</v>
      </c>
      <c r="E97" s="3445"/>
      <c r="F97" s="3445"/>
    </row>
    <row r="98" spans="2:6" ht="15" x14ac:dyDescent="0.25">
      <c r="B98" s="3442">
        <v>1997</v>
      </c>
      <c r="C98" s="3442">
        <v>73.114000000000004</v>
      </c>
      <c r="D98" s="3442">
        <v>1.367727111</v>
      </c>
      <c r="E98" s="3445"/>
      <c r="F98" s="3445"/>
    </row>
    <row r="99" spans="2:6" ht="15" x14ac:dyDescent="0.25">
      <c r="B99" s="3442">
        <v>1998</v>
      </c>
      <c r="C99" s="3442">
        <v>74.734999999999999</v>
      </c>
      <c r="D99" s="3442">
        <v>1.3380611490000001</v>
      </c>
      <c r="E99" s="3445"/>
      <c r="F99" s="3445"/>
    </row>
    <row r="100" spans="2:6" ht="15" x14ac:dyDescent="0.25">
      <c r="B100" s="3442">
        <v>1999</v>
      </c>
      <c r="C100" s="3442">
        <v>76.304000000000002</v>
      </c>
      <c r="D100" s="3442">
        <v>1.310547285</v>
      </c>
      <c r="E100" s="3445"/>
      <c r="F100" s="3445"/>
    </row>
    <row r="101" spans="2:6" ht="15" x14ac:dyDescent="0.25">
      <c r="B101" s="3442">
        <v>2000</v>
      </c>
      <c r="C101" s="3442">
        <v>77.207999999999998</v>
      </c>
      <c r="D101" s="3442">
        <v>1.2952025700000001</v>
      </c>
      <c r="E101" s="3445"/>
      <c r="F101" s="3445"/>
    </row>
    <row r="102" spans="2:6" ht="15" x14ac:dyDescent="0.25">
      <c r="B102" s="3442">
        <v>2001</v>
      </c>
      <c r="C102" s="3442">
        <v>78.849000000000004</v>
      </c>
      <c r="D102" s="3442">
        <v>1.268246902</v>
      </c>
      <c r="E102" s="3445"/>
      <c r="F102" s="3445"/>
    </row>
    <row r="103" spans="2:6" ht="15" x14ac:dyDescent="0.25">
      <c r="B103" s="3442">
        <v>2002</v>
      </c>
      <c r="C103" s="3442">
        <v>81.290999999999997</v>
      </c>
      <c r="D103" s="3442">
        <v>1.2301484789999999</v>
      </c>
      <c r="E103" s="3445"/>
      <c r="F103" s="3445"/>
    </row>
    <row r="104" spans="2:6" ht="15" x14ac:dyDescent="0.25">
      <c r="B104" s="3442">
        <v>2003</v>
      </c>
      <c r="C104" s="3442">
        <v>83.789000000000001</v>
      </c>
      <c r="D104" s="3442">
        <v>1.193474084</v>
      </c>
      <c r="E104" s="3445"/>
      <c r="F104" s="3445"/>
    </row>
    <row r="105" spans="2:6" ht="15" x14ac:dyDescent="0.25">
      <c r="B105" s="3442">
        <v>2004</v>
      </c>
      <c r="C105" s="3442">
        <v>85.9</v>
      </c>
      <c r="D105" s="3442">
        <v>1.164144354</v>
      </c>
      <c r="E105" s="3445"/>
      <c r="F105" s="3445"/>
    </row>
    <row r="106" spans="2:6" ht="15" x14ac:dyDescent="0.25">
      <c r="B106" s="3442">
        <v>2005</v>
      </c>
      <c r="C106" s="3442">
        <v>87.644999999999996</v>
      </c>
      <c r="D106" s="3442">
        <v>1.1409663990000001</v>
      </c>
      <c r="E106" s="3445"/>
      <c r="F106" s="3445"/>
    </row>
    <row r="107" spans="2:6" ht="15" x14ac:dyDescent="0.25">
      <c r="B107" s="3442">
        <v>2006</v>
      </c>
      <c r="C107" s="3442">
        <v>90.32</v>
      </c>
      <c r="D107" s="3442">
        <v>1.1071744910000001</v>
      </c>
      <c r="E107" s="3445"/>
      <c r="F107" s="3445"/>
    </row>
    <row r="108" spans="2:6" ht="15" x14ac:dyDescent="0.25">
      <c r="B108" s="3442">
        <v>2007</v>
      </c>
      <c r="C108" s="3442">
        <v>93.022999999999996</v>
      </c>
      <c r="D108" s="3442">
        <v>1.0750029560000001</v>
      </c>
      <c r="E108" s="3445"/>
      <c r="F108" s="3445"/>
    </row>
    <row r="109" spans="2:6" ht="15" x14ac:dyDescent="0.25">
      <c r="B109" s="3442">
        <v>2008</v>
      </c>
      <c r="C109" s="3442">
        <v>95.783000000000001</v>
      </c>
      <c r="D109" s="3442">
        <v>1.044026602</v>
      </c>
      <c r="E109" s="3445"/>
      <c r="F109" s="3445"/>
    </row>
    <row r="110" spans="2:6" ht="15" x14ac:dyDescent="0.25">
      <c r="B110" s="3442">
        <v>2009</v>
      </c>
      <c r="C110" s="3442">
        <v>97.167000000000002</v>
      </c>
      <c r="D110" s="3442">
        <v>1.0291559889999999</v>
      </c>
      <c r="E110" s="3445"/>
      <c r="F110" s="3445"/>
    </row>
    <row r="111" spans="2:6" ht="15" x14ac:dyDescent="0.25">
      <c r="B111" s="3442">
        <v>2010</v>
      </c>
      <c r="C111" s="3442">
        <v>100</v>
      </c>
      <c r="D111" s="3442">
        <v>1</v>
      </c>
      <c r="E111" s="3445"/>
      <c r="F111" s="3445"/>
    </row>
    <row r="112" spans="2:6" ht="15" x14ac:dyDescent="0.25">
      <c r="B112" s="3442">
        <v>2011</v>
      </c>
      <c r="C112" s="3442">
        <v>103</v>
      </c>
      <c r="D112" s="3442">
        <v>0.97087378599999996</v>
      </c>
      <c r="E112" s="3445"/>
      <c r="F112" s="3445"/>
    </row>
    <row r="113" spans="2:6" x14ac:dyDescent="0.2">
      <c r="B113" s="3445"/>
      <c r="C113" s="3445"/>
      <c r="D113" s="3445"/>
      <c r="E113" s="3445"/>
      <c r="F113" s="3445"/>
    </row>
    <row r="114" spans="2:6" ht="15" x14ac:dyDescent="0.25">
      <c r="B114" s="3442" t="s">
        <v>1887</v>
      </c>
      <c r="C114" s="3442"/>
      <c r="D114" s="3442"/>
      <c r="E114" s="3445"/>
      <c r="F114" s="3445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autoPageBreaks="0"/>
  </sheetPr>
  <dimension ref="A3:XFD194"/>
  <sheetViews>
    <sheetView showGridLines="0" topLeftCell="A40" zoomScale="25" zoomScaleNormal="25" workbookViewId="0">
      <selection activeCell="L43" sqref="L43"/>
    </sheetView>
  </sheetViews>
  <sheetFormatPr baseColWidth="10" defaultColWidth="8.85546875" defaultRowHeight="12.75" outlineLevelCol="1" x14ac:dyDescent="0.2"/>
  <cols>
    <col min="1" max="3" width="2.85546875" customWidth="1"/>
    <col min="4" max="7" width="22.42578125" customWidth="1"/>
    <col min="8" max="13" width="22.42578125" customWidth="1" outlineLevel="1"/>
    <col min="14" max="16" width="22.42578125" customWidth="1"/>
    <col min="20" max="20" width="13.85546875" customWidth="1"/>
    <col min="21" max="21" width="17.7109375" customWidth="1"/>
  </cols>
  <sheetData>
    <row r="3" spans="1:16384" s="1692" customFormat="1" ht="15.75" x14ac:dyDescent="0.2">
      <c r="A3"/>
      <c r="B3" s="1664" t="s">
        <v>835</v>
      </c>
      <c r="C3" s="1665"/>
      <c r="D3" s="1665"/>
      <c r="E3" s="1665"/>
      <c r="F3" s="1665"/>
      <c r="G3" s="1665"/>
      <c r="H3" s="1665"/>
      <c r="I3" s="1665"/>
      <c r="J3" s="1665"/>
      <c r="K3" s="1665"/>
      <c r="L3" s="1665"/>
      <c r="M3" s="1665"/>
      <c r="N3" s="1665"/>
      <c r="O3" s="1666"/>
      <c r="P3" s="1666"/>
      <c r="Q3" s="1666"/>
      <c r="R3" s="1666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  <c r="XFC3"/>
      <c r="XFD3"/>
    </row>
    <row r="4" spans="1:16384" s="1692" customFormat="1" x14ac:dyDescent="0.2">
      <c r="A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  <c r="AML4"/>
      <c r="AMM4"/>
      <c r="AMN4"/>
      <c r="AMO4"/>
      <c r="AMP4"/>
      <c r="AMQ4"/>
      <c r="AMR4"/>
      <c r="AMS4"/>
      <c r="AMT4"/>
      <c r="AMU4"/>
      <c r="AMV4"/>
      <c r="AMW4"/>
      <c r="AMX4"/>
      <c r="AMY4"/>
      <c r="AMZ4"/>
      <c r="ANA4"/>
      <c r="ANB4"/>
      <c r="ANC4"/>
      <c r="AND4"/>
      <c r="ANE4"/>
      <c r="ANF4"/>
      <c r="ANG4"/>
      <c r="ANH4"/>
      <c r="ANI4"/>
      <c r="ANJ4"/>
      <c r="ANK4"/>
      <c r="ANL4"/>
      <c r="ANM4"/>
      <c r="ANN4"/>
      <c r="ANO4"/>
      <c r="ANP4"/>
      <c r="ANQ4"/>
      <c r="ANR4"/>
      <c r="ANS4"/>
      <c r="ANT4"/>
      <c r="ANU4"/>
      <c r="ANV4"/>
      <c r="ANW4"/>
      <c r="ANX4"/>
      <c r="ANY4"/>
      <c r="ANZ4"/>
      <c r="AOA4"/>
      <c r="AOB4"/>
      <c r="AOC4"/>
      <c r="AOD4"/>
      <c r="AOE4"/>
      <c r="AOF4"/>
      <c r="AOG4"/>
      <c r="AOH4"/>
      <c r="AOI4"/>
      <c r="AOJ4"/>
      <c r="AOK4"/>
      <c r="AOL4"/>
      <c r="AOM4"/>
      <c r="AON4"/>
      <c r="AOO4"/>
      <c r="AOP4"/>
      <c r="AOQ4"/>
      <c r="AOR4"/>
      <c r="AOS4"/>
      <c r="AOT4"/>
      <c r="AOU4"/>
      <c r="AOV4"/>
      <c r="AOW4"/>
      <c r="AOX4"/>
      <c r="AOY4"/>
      <c r="AOZ4"/>
      <c r="APA4"/>
      <c r="APB4"/>
      <c r="APC4"/>
      <c r="APD4"/>
      <c r="APE4"/>
      <c r="APF4"/>
      <c r="APG4"/>
      <c r="APH4"/>
      <c r="API4"/>
      <c r="APJ4"/>
      <c r="APK4"/>
      <c r="APL4"/>
      <c r="APM4"/>
      <c r="APN4"/>
      <c r="APO4"/>
      <c r="APP4"/>
      <c r="APQ4"/>
      <c r="APR4"/>
      <c r="APS4"/>
      <c r="APT4"/>
      <c r="APU4"/>
      <c r="APV4"/>
      <c r="APW4"/>
      <c r="APX4"/>
      <c r="APY4"/>
      <c r="APZ4"/>
      <c r="AQA4"/>
      <c r="AQB4"/>
      <c r="AQC4"/>
      <c r="AQD4"/>
      <c r="AQE4"/>
      <c r="AQF4"/>
      <c r="AQG4"/>
      <c r="AQH4"/>
      <c r="AQI4"/>
      <c r="AQJ4"/>
      <c r="AQK4"/>
      <c r="AQL4"/>
      <c r="AQM4"/>
      <c r="AQN4"/>
      <c r="AQO4"/>
      <c r="AQP4"/>
      <c r="AQQ4"/>
      <c r="AQR4"/>
      <c r="AQS4"/>
      <c r="AQT4"/>
      <c r="AQU4"/>
      <c r="AQV4"/>
      <c r="AQW4"/>
      <c r="AQX4"/>
      <c r="AQY4"/>
      <c r="AQZ4"/>
      <c r="ARA4"/>
      <c r="ARB4"/>
      <c r="ARC4"/>
      <c r="ARD4"/>
      <c r="ARE4"/>
      <c r="ARF4"/>
      <c r="ARG4"/>
      <c r="ARH4"/>
      <c r="ARI4"/>
      <c r="ARJ4"/>
      <c r="ARK4"/>
      <c r="ARL4"/>
      <c r="ARM4"/>
      <c r="ARN4"/>
      <c r="ARO4"/>
      <c r="ARP4"/>
      <c r="ARQ4"/>
      <c r="ARR4"/>
      <c r="ARS4"/>
      <c r="ART4"/>
      <c r="ARU4"/>
      <c r="ARV4"/>
      <c r="ARW4"/>
      <c r="ARX4"/>
      <c r="ARY4"/>
      <c r="ARZ4"/>
      <c r="ASA4"/>
      <c r="ASB4"/>
      <c r="ASC4"/>
      <c r="ASD4"/>
      <c r="ASE4"/>
      <c r="ASF4"/>
      <c r="ASG4"/>
      <c r="ASH4"/>
      <c r="ASI4"/>
      <c r="ASJ4"/>
      <c r="ASK4"/>
      <c r="ASL4"/>
      <c r="ASM4"/>
      <c r="ASN4"/>
      <c r="ASO4"/>
      <c r="ASP4"/>
      <c r="ASQ4"/>
      <c r="ASR4"/>
      <c r="ASS4"/>
      <c r="AST4"/>
      <c r="ASU4"/>
      <c r="ASV4"/>
      <c r="ASW4"/>
      <c r="ASX4"/>
      <c r="ASY4"/>
      <c r="ASZ4"/>
      <c r="ATA4"/>
      <c r="ATB4"/>
      <c r="ATC4"/>
      <c r="ATD4"/>
      <c r="ATE4"/>
      <c r="ATF4"/>
      <c r="ATG4"/>
      <c r="ATH4"/>
      <c r="ATI4"/>
      <c r="ATJ4"/>
      <c r="ATK4"/>
      <c r="ATL4"/>
      <c r="ATM4"/>
      <c r="ATN4"/>
      <c r="ATO4"/>
      <c r="ATP4"/>
      <c r="ATQ4"/>
      <c r="ATR4"/>
      <c r="ATS4"/>
      <c r="ATT4"/>
      <c r="ATU4"/>
      <c r="ATV4"/>
      <c r="ATW4"/>
      <c r="ATX4"/>
      <c r="ATY4"/>
      <c r="ATZ4"/>
      <c r="AUA4"/>
      <c r="AUB4"/>
      <c r="AUC4"/>
      <c r="AUD4"/>
      <c r="AUE4"/>
      <c r="AUF4"/>
      <c r="AUG4"/>
      <c r="AUH4"/>
      <c r="AUI4"/>
      <c r="AUJ4"/>
      <c r="AUK4"/>
      <c r="AUL4"/>
      <c r="AUM4"/>
      <c r="AUN4"/>
      <c r="AUO4"/>
      <c r="AUP4"/>
      <c r="AUQ4"/>
      <c r="AUR4"/>
      <c r="AUS4"/>
      <c r="AUT4"/>
      <c r="AUU4"/>
      <c r="AUV4"/>
      <c r="AUW4"/>
      <c r="AUX4"/>
      <c r="AUY4"/>
      <c r="AUZ4"/>
      <c r="AVA4"/>
      <c r="AVB4"/>
      <c r="AVC4"/>
      <c r="AVD4"/>
      <c r="AVE4"/>
      <c r="AVF4"/>
      <c r="AVG4"/>
      <c r="AVH4"/>
      <c r="AVI4"/>
      <c r="AVJ4"/>
      <c r="AVK4"/>
      <c r="AVL4"/>
      <c r="AVM4"/>
      <c r="AVN4"/>
      <c r="AVO4"/>
      <c r="AVP4"/>
      <c r="AVQ4"/>
      <c r="AVR4"/>
      <c r="AVS4"/>
      <c r="AVT4"/>
      <c r="AVU4"/>
      <c r="AVV4"/>
      <c r="AVW4"/>
      <c r="AVX4"/>
      <c r="AVY4"/>
      <c r="AVZ4"/>
      <c r="AWA4"/>
      <c r="AWB4"/>
      <c r="AWC4"/>
      <c r="AWD4"/>
      <c r="AWE4"/>
      <c r="AWF4"/>
      <c r="AWG4"/>
      <c r="AWH4"/>
      <c r="AWI4"/>
      <c r="AWJ4"/>
      <c r="AWK4"/>
      <c r="AWL4"/>
      <c r="AWM4"/>
      <c r="AWN4"/>
      <c r="AWO4"/>
      <c r="AWP4"/>
      <c r="AWQ4"/>
      <c r="AWR4"/>
      <c r="AWS4"/>
      <c r="AWT4"/>
      <c r="AWU4"/>
      <c r="AWV4"/>
      <c r="AWW4"/>
      <c r="AWX4"/>
      <c r="AWY4"/>
      <c r="AWZ4"/>
      <c r="AXA4"/>
      <c r="AXB4"/>
      <c r="AXC4"/>
      <c r="AXD4"/>
      <c r="AXE4"/>
      <c r="AXF4"/>
      <c r="AXG4"/>
      <c r="AXH4"/>
      <c r="AXI4"/>
      <c r="AXJ4"/>
      <c r="AXK4"/>
      <c r="AXL4"/>
      <c r="AXM4"/>
      <c r="AXN4"/>
      <c r="AXO4"/>
      <c r="AXP4"/>
      <c r="AXQ4"/>
      <c r="AXR4"/>
      <c r="AXS4"/>
      <c r="AXT4"/>
      <c r="AXU4"/>
      <c r="AXV4"/>
      <c r="AXW4"/>
      <c r="AXX4"/>
      <c r="AXY4"/>
      <c r="AXZ4"/>
      <c r="AYA4"/>
      <c r="AYB4"/>
      <c r="AYC4"/>
      <c r="AYD4"/>
      <c r="AYE4"/>
      <c r="AYF4"/>
      <c r="AYG4"/>
      <c r="AYH4"/>
      <c r="AYI4"/>
      <c r="AYJ4"/>
      <c r="AYK4"/>
      <c r="AYL4"/>
      <c r="AYM4"/>
      <c r="AYN4"/>
      <c r="AYO4"/>
      <c r="AYP4"/>
      <c r="AYQ4"/>
      <c r="AYR4"/>
      <c r="AYS4"/>
      <c r="AYT4"/>
      <c r="AYU4"/>
      <c r="AYV4"/>
      <c r="AYW4"/>
      <c r="AYX4"/>
      <c r="AYY4"/>
      <c r="AYZ4"/>
      <c r="AZA4"/>
      <c r="AZB4"/>
      <c r="AZC4"/>
      <c r="AZD4"/>
      <c r="AZE4"/>
      <c r="AZF4"/>
      <c r="AZG4"/>
      <c r="AZH4"/>
      <c r="AZI4"/>
      <c r="AZJ4"/>
      <c r="AZK4"/>
      <c r="AZL4"/>
      <c r="AZM4"/>
      <c r="AZN4"/>
      <c r="AZO4"/>
      <c r="AZP4"/>
      <c r="AZQ4"/>
      <c r="AZR4"/>
      <c r="AZS4"/>
      <c r="AZT4"/>
      <c r="AZU4"/>
      <c r="AZV4"/>
      <c r="AZW4"/>
      <c r="AZX4"/>
      <c r="AZY4"/>
      <c r="AZZ4"/>
      <c r="BAA4"/>
      <c r="BAB4"/>
      <c r="BAC4"/>
      <c r="BAD4"/>
      <c r="BAE4"/>
      <c r="BAF4"/>
      <c r="BAG4"/>
      <c r="BAH4"/>
      <c r="BAI4"/>
      <c r="BAJ4"/>
      <c r="BAK4"/>
      <c r="BAL4"/>
      <c r="BAM4"/>
      <c r="BAN4"/>
      <c r="BAO4"/>
      <c r="BAP4"/>
      <c r="BAQ4"/>
      <c r="BAR4"/>
      <c r="BAS4"/>
      <c r="BAT4"/>
      <c r="BAU4"/>
      <c r="BAV4"/>
      <c r="BAW4"/>
      <c r="BAX4"/>
      <c r="BAY4"/>
      <c r="BAZ4"/>
      <c r="BBA4"/>
      <c r="BBB4"/>
      <c r="BBC4"/>
      <c r="BBD4"/>
      <c r="BBE4"/>
      <c r="BBF4"/>
      <c r="BBG4"/>
      <c r="BBH4"/>
      <c r="BBI4"/>
      <c r="BBJ4"/>
      <c r="BBK4"/>
      <c r="BBL4"/>
      <c r="BBM4"/>
      <c r="BBN4"/>
      <c r="BBO4"/>
      <c r="BBP4"/>
      <c r="BBQ4"/>
      <c r="BBR4"/>
      <c r="BBS4"/>
      <c r="BBT4"/>
      <c r="BBU4"/>
      <c r="BBV4"/>
      <c r="BBW4"/>
      <c r="BBX4"/>
      <c r="BBY4"/>
      <c r="BBZ4"/>
      <c r="BCA4"/>
      <c r="BCB4"/>
      <c r="BCC4"/>
      <c r="BCD4"/>
      <c r="BCE4"/>
      <c r="BCF4"/>
      <c r="BCG4"/>
      <c r="BCH4"/>
      <c r="BCI4"/>
      <c r="BCJ4"/>
      <c r="BCK4"/>
      <c r="BCL4"/>
      <c r="BCM4"/>
      <c r="BCN4"/>
      <c r="BCO4"/>
      <c r="BCP4"/>
      <c r="BCQ4"/>
      <c r="BCR4"/>
      <c r="BCS4"/>
      <c r="BCT4"/>
      <c r="BCU4"/>
      <c r="BCV4"/>
      <c r="BCW4"/>
      <c r="BCX4"/>
      <c r="BCY4"/>
      <c r="BCZ4"/>
      <c r="BDA4"/>
      <c r="BDB4"/>
      <c r="BDC4"/>
      <c r="BDD4"/>
      <c r="BDE4"/>
      <c r="BDF4"/>
      <c r="BDG4"/>
      <c r="BDH4"/>
      <c r="BDI4"/>
      <c r="BDJ4"/>
      <c r="BDK4"/>
      <c r="BDL4"/>
      <c r="BDM4"/>
      <c r="BDN4"/>
      <c r="BDO4"/>
      <c r="BDP4"/>
      <c r="BDQ4"/>
      <c r="BDR4"/>
      <c r="BDS4"/>
      <c r="BDT4"/>
      <c r="BDU4"/>
      <c r="BDV4"/>
      <c r="BDW4"/>
      <c r="BDX4"/>
      <c r="BDY4"/>
      <c r="BDZ4"/>
      <c r="BEA4"/>
      <c r="BEB4"/>
      <c r="BEC4"/>
      <c r="BED4"/>
      <c r="BEE4"/>
      <c r="BEF4"/>
      <c r="BEG4"/>
      <c r="BEH4"/>
      <c r="BEI4"/>
      <c r="BEJ4"/>
      <c r="BEK4"/>
      <c r="BEL4"/>
      <c r="BEM4"/>
      <c r="BEN4"/>
      <c r="BEO4"/>
      <c r="BEP4"/>
      <c r="BEQ4"/>
      <c r="BER4"/>
      <c r="BES4"/>
      <c r="BET4"/>
      <c r="BEU4"/>
      <c r="BEV4"/>
      <c r="BEW4"/>
      <c r="BEX4"/>
      <c r="BEY4"/>
      <c r="BEZ4"/>
      <c r="BFA4"/>
      <c r="BFB4"/>
      <c r="BFC4"/>
      <c r="BFD4"/>
      <c r="BFE4"/>
      <c r="BFF4"/>
      <c r="BFG4"/>
      <c r="BFH4"/>
      <c r="BFI4"/>
      <c r="BFJ4"/>
      <c r="BFK4"/>
      <c r="BFL4"/>
      <c r="BFM4"/>
      <c r="BFN4"/>
      <c r="BFO4"/>
      <c r="BFP4"/>
      <c r="BFQ4"/>
      <c r="BFR4"/>
      <c r="BFS4"/>
      <c r="BFT4"/>
      <c r="BFU4"/>
      <c r="BFV4"/>
      <c r="BFW4"/>
      <c r="BFX4"/>
      <c r="BFY4"/>
      <c r="BFZ4"/>
      <c r="BGA4"/>
      <c r="BGB4"/>
      <c r="BGC4"/>
      <c r="BGD4"/>
      <c r="BGE4"/>
      <c r="BGF4"/>
      <c r="BGG4"/>
      <c r="BGH4"/>
      <c r="BGI4"/>
      <c r="BGJ4"/>
      <c r="BGK4"/>
      <c r="BGL4"/>
      <c r="BGM4"/>
      <c r="BGN4"/>
      <c r="BGO4"/>
      <c r="BGP4"/>
      <c r="BGQ4"/>
      <c r="BGR4"/>
      <c r="BGS4"/>
      <c r="BGT4"/>
      <c r="BGU4"/>
      <c r="BGV4"/>
      <c r="BGW4"/>
      <c r="BGX4"/>
      <c r="BGY4"/>
      <c r="BGZ4"/>
      <c r="BHA4"/>
      <c r="BHB4"/>
      <c r="BHC4"/>
      <c r="BHD4"/>
      <c r="BHE4"/>
      <c r="BHF4"/>
      <c r="BHG4"/>
      <c r="BHH4"/>
      <c r="BHI4"/>
      <c r="BHJ4"/>
      <c r="BHK4"/>
      <c r="BHL4"/>
      <c r="BHM4"/>
      <c r="BHN4"/>
      <c r="BHO4"/>
      <c r="BHP4"/>
      <c r="BHQ4"/>
      <c r="BHR4"/>
      <c r="BHS4"/>
      <c r="BHT4"/>
      <c r="BHU4"/>
      <c r="BHV4"/>
      <c r="BHW4"/>
      <c r="BHX4"/>
      <c r="BHY4"/>
      <c r="BHZ4"/>
      <c r="BIA4"/>
      <c r="BIB4"/>
      <c r="BIC4"/>
      <c r="BID4"/>
      <c r="BIE4"/>
      <c r="BIF4"/>
      <c r="BIG4"/>
      <c r="BIH4"/>
      <c r="BII4"/>
      <c r="BIJ4"/>
      <c r="BIK4"/>
      <c r="BIL4"/>
      <c r="BIM4"/>
      <c r="BIN4"/>
      <c r="BIO4"/>
      <c r="BIP4"/>
      <c r="BIQ4"/>
      <c r="BIR4"/>
      <c r="BIS4"/>
      <c r="BIT4"/>
      <c r="BIU4"/>
      <c r="BIV4"/>
      <c r="BIW4"/>
      <c r="BIX4"/>
      <c r="BIY4"/>
      <c r="BIZ4"/>
      <c r="BJA4"/>
      <c r="BJB4"/>
      <c r="BJC4"/>
      <c r="BJD4"/>
      <c r="BJE4"/>
      <c r="BJF4"/>
      <c r="BJG4"/>
      <c r="BJH4"/>
      <c r="BJI4"/>
      <c r="BJJ4"/>
      <c r="BJK4"/>
      <c r="BJL4"/>
      <c r="BJM4"/>
      <c r="BJN4"/>
      <c r="BJO4"/>
      <c r="BJP4"/>
      <c r="BJQ4"/>
      <c r="BJR4"/>
      <c r="BJS4"/>
      <c r="BJT4"/>
      <c r="BJU4"/>
      <c r="BJV4"/>
      <c r="BJW4"/>
      <c r="BJX4"/>
      <c r="BJY4"/>
      <c r="BJZ4"/>
      <c r="BKA4"/>
      <c r="BKB4"/>
      <c r="BKC4"/>
      <c r="BKD4"/>
      <c r="BKE4"/>
      <c r="BKF4"/>
      <c r="BKG4"/>
      <c r="BKH4"/>
      <c r="BKI4"/>
      <c r="BKJ4"/>
      <c r="BKK4"/>
      <c r="BKL4"/>
      <c r="BKM4"/>
      <c r="BKN4"/>
      <c r="BKO4"/>
      <c r="BKP4"/>
      <c r="BKQ4"/>
      <c r="BKR4"/>
      <c r="BKS4"/>
      <c r="BKT4"/>
      <c r="BKU4"/>
      <c r="BKV4"/>
      <c r="BKW4"/>
      <c r="BKX4"/>
      <c r="BKY4"/>
      <c r="BKZ4"/>
      <c r="BLA4"/>
      <c r="BLB4"/>
      <c r="BLC4"/>
      <c r="BLD4"/>
      <c r="BLE4"/>
      <c r="BLF4"/>
      <c r="BLG4"/>
      <c r="BLH4"/>
      <c r="BLI4"/>
      <c r="BLJ4"/>
      <c r="BLK4"/>
      <c r="BLL4"/>
      <c r="BLM4"/>
      <c r="BLN4"/>
      <c r="BLO4"/>
      <c r="BLP4"/>
      <c r="BLQ4"/>
      <c r="BLR4"/>
      <c r="BLS4"/>
      <c r="BLT4"/>
      <c r="BLU4"/>
      <c r="BLV4"/>
      <c r="BLW4"/>
      <c r="BLX4"/>
      <c r="BLY4"/>
      <c r="BLZ4"/>
      <c r="BMA4"/>
      <c r="BMB4"/>
      <c r="BMC4"/>
      <c r="BMD4"/>
      <c r="BME4"/>
      <c r="BMF4"/>
      <c r="BMG4"/>
      <c r="BMH4"/>
      <c r="BMI4"/>
      <c r="BMJ4"/>
      <c r="BMK4"/>
      <c r="BML4"/>
      <c r="BMM4"/>
      <c r="BMN4"/>
      <c r="BMO4"/>
      <c r="BMP4"/>
      <c r="BMQ4"/>
      <c r="BMR4"/>
      <c r="BMS4"/>
      <c r="BMT4"/>
      <c r="BMU4"/>
      <c r="BMV4"/>
      <c r="BMW4"/>
      <c r="BMX4"/>
      <c r="BMY4"/>
      <c r="BMZ4"/>
      <c r="BNA4"/>
      <c r="BNB4"/>
      <c r="BNC4"/>
      <c r="BND4"/>
      <c r="BNE4"/>
      <c r="BNF4"/>
      <c r="BNG4"/>
      <c r="BNH4"/>
      <c r="BNI4"/>
      <c r="BNJ4"/>
      <c r="BNK4"/>
      <c r="BNL4"/>
      <c r="BNM4"/>
      <c r="BNN4"/>
      <c r="BNO4"/>
      <c r="BNP4"/>
      <c r="BNQ4"/>
      <c r="BNR4"/>
      <c r="BNS4"/>
      <c r="BNT4"/>
      <c r="BNU4"/>
      <c r="BNV4"/>
      <c r="BNW4"/>
      <c r="BNX4"/>
      <c r="BNY4"/>
      <c r="BNZ4"/>
      <c r="BOA4"/>
      <c r="BOB4"/>
      <c r="BOC4"/>
      <c r="BOD4"/>
      <c r="BOE4"/>
      <c r="BOF4"/>
      <c r="BOG4"/>
      <c r="BOH4"/>
      <c r="BOI4"/>
      <c r="BOJ4"/>
      <c r="BOK4"/>
      <c r="BOL4"/>
      <c r="BOM4"/>
      <c r="BON4"/>
      <c r="BOO4"/>
      <c r="BOP4"/>
      <c r="BOQ4"/>
      <c r="BOR4"/>
      <c r="BOS4"/>
      <c r="BOT4"/>
      <c r="BOU4"/>
      <c r="BOV4"/>
      <c r="BOW4"/>
      <c r="BOX4"/>
      <c r="BOY4"/>
      <c r="BOZ4"/>
      <c r="BPA4"/>
      <c r="BPB4"/>
      <c r="BPC4"/>
      <c r="BPD4"/>
      <c r="BPE4"/>
      <c r="BPF4"/>
      <c r="BPG4"/>
      <c r="BPH4"/>
      <c r="BPI4"/>
      <c r="BPJ4"/>
      <c r="BPK4"/>
      <c r="BPL4"/>
      <c r="BPM4"/>
      <c r="BPN4"/>
      <c r="BPO4"/>
      <c r="BPP4"/>
      <c r="BPQ4"/>
      <c r="BPR4"/>
      <c r="BPS4"/>
      <c r="BPT4"/>
      <c r="BPU4"/>
      <c r="BPV4"/>
      <c r="BPW4"/>
      <c r="BPX4"/>
      <c r="BPY4"/>
      <c r="BPZ4"/>
      <c r="BQA4"/>
      <c r="BQB4"/>
      <c r="BQC4"/>
      <c r="BQD4"/>
      <c r="BQE4"/>
      <c r="BQF4"/>
      <c r="BQG4"/>
      <c r="BQH4"/>
      <c r="BQI4"/>
      <c r="BQJ4"/>
      <c r="BQK4"/>
      <c r="BQL4"/>
      <c r="BQM4"/>
      <c r="BQN4"/>
      <c r="BQO4"/>
      <c r="BQP4"/>
      <c r="BQQ4"/>
      <c r="BQR4"/>
      <c r="BQS4"/>
      <c r="BQT4"/>
      <c r="BQU4"/>
      <c r="BQV4"/>
      <c r="BQW4"/>
      <c r="BQX4"/>
      <c r="BQY4"/>
      <c r="BQZ4"/>
      <c r="BRA4"/>
      <c r="BRB4"/>
      <c r="BRC4"/>
      <c r="BRD4"/>
      <c r="BRE4"/>
      <c r="BRF4"/>
      <c r="BRG4"/>
      <c r="BRH4"/>
      <c r="BRI4"/>
      <c r="BRJ4"/>
      <c r="BRK4"/>
      <c r="BRL4"/>
      <c r="BRM4"/>
      <c r="BRN4"/>
      <c r="BRO4"/>
      <c r="BRP4"/>
      <c r="BRQ4"/>
      <c r="BRR4"/>
      <c r="BRS4"/>
      <c r="BRT4"/>
      <c r="BRU4"/>
      <c r="BRV4"/>
      <c r="BRW4"/>
      <c r="BRX4"/>
      <c r="BRY4"/>
      <c r="BRZ4"/>
      <c r="BSA4"/>
      <c r="BSB4"/>
      <c r="BSC4"/>
      <c r="BSD4"/>
      <c r="BSE4"/>
      <c r="BSF4"/>
      <c r="BSG4"/>
      <c r="BSH4"/>
      <c r="BSI4"/>
      <c r="BSJ4"/>
      <c r="BSK4"/>
      <c r="BSL4"/>
      <c r="BSM4"/>
      <c r="BSN4"/>
      <c r="BSO4"/>
      <c r="BSP4"/>
      <c r="BSQ4"/>
      <c r="BSR4"/>
      <c r="BSS4"/>
      <c r="BST4"/>
      <c r="BSU4"/>
      <c r="BSV4"/>
      <c r="BSW4"/>
      <c r="BSX4"/>
      <c r="BSY4"/>
      <c r="BSZ4"/>
      <c r="BTA4"/>
      <c r="BTB4"/>
      <c r="BTC4"/>
      <c r="BTD4"/>
      <c r="BTE4"/>
      <c r="BTF4"/>
      <c r="BTG4"/>
      <c r="BTH4"/>
      <c r="BTI4"/>
      <c r="BTJ4"/>
      <c r="BTK4"/>
      <c r="BTL4"/>
      <c r="BTM4"/>
      <c r="BTN4"/>
      <c r="BTO4"/>
      <c r="BTP4"/>
      <c r="BTQ4"/>
      <c r="BTR4"/>
      <c r="BTS4"/>
      <c r="BTT4"/>
      <c r="BTU4"/>
      <c r="BTV4"/>
      <c r="BTW4"/>
      <c r="BTX4"/>
      <c r="BTY4"/>
      <c r="BTZ4"/>
      <c r="BUA4"/>
      <c r="BUB4"/>
      <c r="BUC4"/>
      <c r="BUD4"/>
      <c r="BUE4"/>
      <c r="BUF4"/>
      <c r="BUG4"/>
      <c r="BUH4"/>
      <c r="BUI4"/>
      <c r="BUJ4"/>
      <c r="BUK4"/>
      <c r="BUL4"/>
      <c r="BUM4"/>
      <c r="BUN4"/>
      <c r="BUO4"/>
      <c r="BUP4"/>
      <c r="BUQ4"/>
      <c r="BUR4"/>
      <c r="BUS4"/>
      <c r="BUT4"/>
      <c r="BUU4"/>
      <c r="BUV4"/>
      <c r="BUW4"/>
      <c r="BUX4"/>
      <c r="BUY4"/>
      <c r="BUZ4"/>
      <c r="BVA4"/>
      <c r="BVB4"/>
      <c r="BVC4"/>
      <c r="BVD4"/>
      <c r="BVE4"/>
      <c r="BVF4"/>
      <c r="BVG4"/>
      <c r="BVH4"/>
      <c r="BVI4"/>
      <c r="BVJ4"/>
      <c r="BVK4"/>
      <c r="BVL4"/>
      <c r="BVM4"/>
      <c r="BVN4"/>
      <c r="BVO4"/>
      <c r="BVP4"/>
      <c r="BVQ4"/>
      <c r="BVR4"/>
      <c r="BVS4"/>
      <c r="BVT4"/>
      <c r="BVU4"/>
      <c r="BVV4"/>
      <c r="BVW4"/>
      <c r="BVX4"/>
      <c r="BVY4"/>
      <c r="BVZ4"/>
      <c r="BWA4"/>
      <c r="BWB4"/>
      <c r="BWC4"/>
      <c r="BWD4"/>
      <c r="BWE4"/>
      <c r="BWF4"/>
      <c r="BWG4"/>
      <c r="BWH4"/>
      <c r="BWI4"/>
      <c r="BWJ4"/>
      <c r="BWK4"/>
      <c r="BWL4"/>
      <c r="BWM4"/>
      <c r="BWN4"/>
      <c r="BWO4"/>
      <c r="BWP4"/>
      <c r="BWQ4"/>
      <c r="BWR4"/>
      <c r="BWS4"/>
      <c r="BWT4"/>
      <c r="BWU4"/>
      <c r="BWV4"/>
      <c r="BWW4"/>
      <c r="BWX4"/>
      <c r="BWY4"/>
      <c r="BWZ4"/>
      <c r="BXA4"/>
      <c r="BXB4"/>
      <c r="BXC4"/>
      <c r="BXD4"/>
      <c r="BXE4"/>
      <c r="BXF4"/>
      <c r="BXG4"/>
      <c r="BXH4"/>
      <c r="BXI4"/>
      <c r="BXJ4"/>
      <c r="BXK4"/>
      <c r="BXL4"/>
      <c r="BXM4"/>
      <c r="BXN4"/>
      <c r="BXO4"/>
      <c r="BXP4"/>
      <c r="BXQ4"/>
      <c r="BXR4"/>
      <c r="BXS4"/>
      <c r="BXT4"/>
      <c r="BXU4"/>
      <c r="BXV4"/>
      <c r="BXW4"/>
      <c r="BXX4"/>
      <c r="BXY4"/>
      <c r="BXZ4"/>
      <c r="BYA4"/>
      <c r="BYB4"/>
      <c r="BYC4"/>
      <c r="BYD4"/>
      <c r="BYE4"/>
      <c r="BYF4"/>
      <c r="BYG4"/>
      <c r="BYH4"/>
      <c r="BYI4"/>
      <c r="BYJ4"/>
      <c r="BYK4"/>
      <c r="BYL4"/>
      <c r="BYM4"/>
      <c r="BYN4"/>
      <c r="BYO4"/>
      <c r="BYP4"/>
      <c r="BYQ4"/>
      <c r="BYR4"/>
      <c r="BYS4"/>
      <c r="BYT4"/>
      <c r="BYU4"/>
      <c r="BYV4"/>
      <c r="BYW4"/>
      <c r="BYX4"/>
      <c r="BYY4"/>
      <c r="BYZ4"/>
      <c r="BZA4"/>
      <c r="BZB4"/>
      <c r="BZC4"/>
      <c r="BZD4"/>
      <c r="BZE4"/>
      <c r="BZF4"/>
      <c r="BZG4"/>
      <c r="BZH4"/>
      <c r="BZI4"/>
      <c r="BZJ4"/>
      <c r="BZK4"/>
      <c r="BZL4"/>
      <c r="BZM4"/>
      <c r="BZN4"/>
      <c r="BZO4"/>
      <c r="BZP4"/>
      <c r="BZQ4"/>
      <c r="BZR4"/>
      <c r="BZS4"/>
      <c r="BZT4"/>
      <c r="BZU4"/>
      <c r="BZV4"/>
      <c r="BZW4"/>
      <c r="BZX4"/>
      <c r="BZY4"/>
      <c r="BZZ4"/>
      <c r="CAA4"/>
      <c r="CAB4"/>
      <c r="CAC4"/>
      <c r="CAD4"/>
      <c r="CAE4"/>
      <c r="CAF4"/>
      <c r="CAG4"/>
      <c r="CAH4"/>
      <c r="CAI4"/>
      <c r="CAJ4"/>
      <c r="CAK4"/>
      <c r="CAL4"/>
      <c r="CAM4"/>
      <c r="CAN4"/>
      <c r="CAO4"/>
      <c r="CAP4"/>
      <c r="CAQ4"/>
      <c r="CAR4"/>
      <c r="CAS4"/>
      <c r="CAT4"/>
      <c r="CAU4"/>
      <c r="CAV4"/>
      <c r="CAW4"/>
      <c r="CAX4"/>
      <c r="CAY4"/>
      <c r="CAZ4"/>
      <c r="CBA4"/>
      <c r="CBB4"/>
      <c r="CBC4"/>
      <c r="CBD4"/>
      <c r="CBE4"/>
      <c r="CBF4"/>
      <c r="CBG4"/>
      <c r="CBH4"/>
      <c r="CBI4"/>
      <c r="CBJ4"/>
      <c r="CBK4"/>
      <c r="CBL4"/>
      <c r="CBM4"/>
      <c r="CBN4"/>
      <c r="CBO4"/>
      <c r="CBP4"/>
      <c r="CBQ4"/>
      <c r="CBR4"/>
      <c r="CBS4"/>
      <c r="CBT4"/>
      <c r="CBU4"/>
      <c r="CBV4"/>
      <c r="CBW4"/>
      <c r="CBX4"/>
      <c r="CBY4"/>
      <c r="CBZ4"/>
      <c r="CCA4"/>
      <c r="CCB4"/>
      <c r="CCC4"/>
      <c r="CCD4"/>
      <c r="CCE4"/>
      <c r="CCF4"/>
      <c r="CCG4"/>
      <c r="CCH4"/>
      <c r="CCI4"/>
      <c r="CCJ4"/>
      <c r="CCK4"/>
      <c r="CCL4"/>
      <c r="CCM4"/>
      <c r="CCN4"/>
      <c r="CCO4"/>
      <c r="CCP4"/>
      <c r="CCQ4"/>
      <c r="CCR4"/>
      <c r="CCS4"/>
      <c r="CCT4"/>
      <c r="CCU4"/>
      <c r="CCV4"/>
      <c r="CCW4"/>
      <c r="CCX4"/>
      <c r="CCY4"/>
      <c r="CCZ4"/>
      <c r="CDA4"/>
      <c r="CDB4"/>
      <c r="CDC4"/>
      <c r="CDD4"/>
      <c r="CDE4"/>
      <c r="CDF4"/>
      <c r="CDG4"/>
      <c r="CDH4"/>
      <c r="CDI4"/>
      <c r="CDJ4"/>
      <c r="CDK4"/>
      <c r="CDL4"/>
      <c r="CDM4"/>
      <c r="CDN4"/>
      <c r="CDO4"/>
      <c r="CDP4"/>
      <c r="CDQ4"/>
      <c r="CDR4"/>
      <c r="CDS4"/>
      <c r="CDT4"/>
      <c r="CDU4"/>
      <c r="CDV4"/>
      <c r="CDW4"/>
      <c r="CDX4"/>
      <c r="CDY4"/>
      <c r="CDZ4"/>
      <c r="CEA4"/>
      <c r="CEB4"/>
      <c r="CEC4"/>
      <c r="CED4"/>
      <c r="CEE4"/>
      <c r="CEF4"/>
      <c r="CEG4"/>
      <c r="CEH4"/>
      <c r="CEI4"/>
      <c r="CEJ4"/>
      <c r="CEK4"/>
      <c r="CEL4"/>
      <c r="CEM4"/>
      <c r="CEN4"/>
      <c r="CEO4"/>
      <c r="CEP4"/>
      <c r="CEQ4"/>
      <c r="CER4"/>
      <c r="CES4"/>
      <c r="CET4"/>
      <c r="CEU4"/>
      <c r="CEV4"/>
      <c r="CEW4"/>
      <c r="CEX4"/>
      <c r="CEY4"/>
      <c r="CEZ4"/>
      <c r="CFA4"/>
      <c r="CFB4"/>
      <c r="CFC4"/>
      <c r="CFD4"/>
      <c r="CFE4"/>
      <c r="CFF4"/>
      <c r="CFG4"/>
      <c r="CFH4"/>
      <c r="CFI4"/>
      <c r="CFJ4"/>
      <c r="CFK4"/>
      <c r="CFL4"/>
      <c r="CFM4"/>
      <c r="CFN4"/>
      <c r="CFO4"/>
      <c r="CFP4"/>
      <c r="CFQ4"/>
      <c r="CFR4"/>
      <c r="CFS4"/>
      <c r="CFT4"/>
      <c r="CFU4"/>
      <c r="CFV4"/>
      <c r="CFW4"/>
      <c r="CFX4"/>
      <c r="CFY4"/>
      <c r="CFZ4"/>
      <c r="CGA4"/>
      <c r="CGB4"/>
      <c r="CGC4"/>
      <c r="CGD4"/>
      <c r="CGE4"/>
      <c r="CGF4"/>
      <c r="CGG4"/>
      <c r="CGH4"/>
      <c r="CGI4"/>
      <c r="CGJ4"/>
      <c r="CGK4"/>
      <c r="CGL4"/>
      <c r="CGM4"/>
      <c r="CGN4"/>
      <c r="CGO4"/>
      <c r="CGP4"/>
      <c r="CGQ4"/>
      <c r="CGR4"/>
      <c r="CGS4"/>
      <c r="CGT4"/>
      <c r="CGU4"/>
      <c r="CGV4"/>
      <c r="CGW4"/>
      <c r="CGX4"/>
      <c r="CGY4"/>
      <c r="CGZ4"/>
      <c r="CHA4"/>
      <c r="CHB4"/>
      <c r="CHC4"/>
      <c r="CHD4"/>
      <c r="CHE4"/>
      <c r="CHF4"/>
      <c r="CHG4"/>
      <c r="CHH4"/>
      <c r="CHI4"/>
      <c r="CHJ4"/>
      <c r="CHK4"/>
      <c r="CHL4"/>
      <c r="CHM4"/>
      <c r="CHN4"/>
      <c r="CHO4"/>
      <c r="CHP4"/>
      <c r="CHQ4"/>
      <c r="CHR4"/>
      <c r="CHS4"/>
      <c r="CHT4"/>
      <c r="CHU4"/>
      <c r="CHV4"/>
      <c r="CHW4"/>
      <c r="CHX4"/>
      <c r="CHY4"/>
      <c r="CHZ4"/>
      <c r="CIA4"/>
      <c r="CIB4"/>
      <c r="CIC4"/>
      <c r="CID4"/>
      <c r="CIE4"/>
      <c r="CIF4"/>
      <c r="CIG4"/>
      <c r="CIH4"/>
      <c r="CII4"/>
      <c r="CIJ4"/>
      <c r="CIK4"/>
      <c r="CIL4"/>
      <c r="CIM4"/>
      <c r="CIN4"/>
      <c r="CIO4"/>
      <c r="CIP4"/>
      <c r="CIQ4"/>
      <c r="CIR4"/>
      <c r="CIS4"/>
      <c r="CIT4"/>
      <c r="CIU4"/>
      <c r="CIV4"/>
      <c r="CIW4"/>
      <c r="CIX4"/>
      <c r="CIY4"/>
      <c r="CIZ4"/>
      <c r="CJA4"/>
      <c r="CJB4"/>
      <c r="CJC4"/>
      <c r="CJD4"/>
      <c r="CJE4"/>
      <c r="CJF4"/>
      <c r="CJG4"/>
      <c r="CJH4"/>
      <c r="CJI4"/>
      <c r="CJJ4"/>
      <c r="CJK4"/>
      <c r="CJL4"/>
      <c r="CJM4"/>
      <c r="CJN4"/>
      <c r="CJO4"/>
      <c r="CJP4"/>
      <c r="CJQ4"/>
      <c r="CJR4"/>
      <c r="CJS4"/>
      <c r="CJT4"/>
      <c r="CJU4"/>
      <c r="CJV4"/>
      <c r="CJW4"/>
      <c r="CJX4"/>
      <c r="CJY4"/>
      <c r="CJZ4"/>
      <c r="CKA4"/>
      <c r="CKB4"/>
      <c r="CKC4"/>
      <c r="CKD4"/>
      <c r="CKE4"/>
      <c r="CKF4"/>
      <c r="CKG4"/>
      <c r="CKH4"/>
      <c r="CKI4"/>
      <c r="CKJ4"/>
      <c r="CKK4"/>
      <c r="CKL4"/>
      <c r="CKM4"/>
      <c r="CKN4"/>
      <c r="CKO4"/>
      <c r="CKP4"/>
      <c r="CKQ4"/>
      <c r="CKR4"/>
      <c r="CKS4"/>
      <c r="CKT4"/>
      <c r="CKU4"/>
      <c r="CKV4"/>
      <c r="CKW4"/>
      <c r="CKX4"/>
      <c r="CKY4"/>
      <c r="CKZ4"/>
      <c r="CLA4"/>
      <c r="CLB4"/>
      <c r="CLC4"/>
      <c r="CLD4"/>
      <c r="CLE4"/>
      <c r="CLF4"/>
      <c r="CLG4"/>
      <c r="CLH4"/>
      <c r="CLI4"/>
      <c r="CLJ4"/>
      <c r="CLK4"/>
      <c r="CLL4"/>
      <c r="CLM4"/>
      <c r="CLN4"/>
      <c r="CLO4"/>
      <c r="CLP4"/>
      <c r="CLQ4"/>
      <c r="CLR4"/>
      <c r="CLS4"/>
      <c r="CLT4"/>
      <c r="CLU4"/>
      <c r="CLV4"/>
      <c r="CLW4"/>
      <c r="CLX4"/>
      <c r="CLY4"/>
      <c r="CLZ4"/>
      <c r="CMA4"/>
      <c r="CMB4"/>
      <c r="CMC4"/>
      <c r="CMD4"/>
      <c r="CME4"/>
      <c r="CMF4"/>
      <c r="CMG4"/>
      <c r="CMH4"/>
      <c r="CMI4"/>
      <c r="CMJ4"/>
      <c r="CMK4"/>
      <c r="CML4"/>
      <c r="CMM4"/>
      <c r="CMN4"/>
      <c r="CMO4"/>
      <c r="CMP4"/>
      <c r="CMQ4"/>
      <c r="CMR4"/>
      <c r="CMS4"/>
      <c r="CMT4"/>
      <c r="CMU4"/>
      <c r="CMV4"/>
      <c r="CMW4"/>
      <c r="CMX4"/>
      <c r="CMY4"/>
      <c r="CMZ4"/>
      <c r="CNA4"/>
      <c r="CNB4"/>
      <c r="CNC4"/>
      <c r="CND4"/>
      <c r="CNE4"/>
      <c r="CNF4"/>
      <c r="CNG4"/>
      <c r="CNH4"/>
      <c r="CNI4"/>
      <c r="CNJ4"/>
      <c r="CNK4"/>
      <c r="CNL4"/>
      <c r="CNM4"/>
      <c r="CNN4"/>
      <c r="CNO4"/>
      <c r="CNP4"/>
      <c r="CNQ4"/>
      <c r="CNR4"/>
      <c r="CNS4"/>
      <c r="CNT4"/>
      <c r="CNU4"/>
      <c r="CNV4"/>
      <c r="CNW4"/>
      <c r="CNX4"/>
      <c r="CNY4"/>
      <c r="CNZ4"/>
      <c r="COA4"/>
      <c r="COB4"/>
      <c r="COC4"/>
      <c r="COD4"/>
      <c r="COE4"/>
      <c r="COF4"/>
      <c r="COG4"/>
      <c r="COH4"/>
      <c r="COI4"/>
      <c r="COJ4"/>
      <c r="COK4"/>
      <c r="COL4"/>
      <c r="COM4"/>
      <c r="CON4"/>
      <c r="COO4"/>
      <c r="COP4"/>
      <c r="COQ4"/>
      <c r="COR4"/>
      <c r="COS4"/>
      <c r="COT4"/>
      <c r="COU4"/>
      <c r="COV4"/>
      <c r="COW4"/>
      <c r="COX4"/>
      <c r="COY4"/>
      <c r="COZ4"/>
      <c r="CPA4"/>
      <c r="CPB4"/>
      <c r="CPC4"/>
      <c r="CPD4"/>
      <c r="CPE4"/>
      <c r="CPF4"/>
      <c r="CPG4"/>
      <c r="CPH4"/>
      <c r="CPI4"/>
      <c r="CPJ4"/>
      <c r="CPK4"/>
      <c r="CPL4"/>
      <c r="CPM4"/>
      <c r="CPN4"/>
      <c r="CPO4"/>
      <c r="CPP4"/>
      <c r="CPQ4"/>
      <c r="CPR4"/>
      <c r="CPS4"/>
      <c r="CPT4"/>
      <c r="CPU4"/>
      <c r="CPV4"/>
      <c r="CPW4"/>
      <c r="CPX4"/>
      <c r="CPY4"/>
      <c r="CPZ4"/>
      <c r="CQA4"/>
      <c r="CQB4"/>
      <c r="CQC4"/>
      <c r="CQD4"/>
      <c r="CQE4"/>
      <c r="CQF4"/>
      <c r="CQG4"/>
      <c r="CQH4"/>
      <c r="CQI4"/>
      <c r="CQJ4"/>
      <c r="CQK4"/>
      <c r="CQL4"/>
      <c r="CQM4"/>
      <c r="CQN4"/>
      <c r="CQO4"/>
      <c r="CQP4"/>
      <c r="CQQ4"/>
      <c r="CQR4"/>
      <c r="CQS4"/>
      <c r="CQT4"/>
      <c r="CQU4"/>
      <c r="CQV4"/>
      <c r="CQW4"/>
      <c r="CQX4"/>
      <c r="CQY4"/>
      <c r="CQZ4"/>
      <c r="CRA4"/>
      <c r="CRB4"/>
      <c r="CRC4"/>
      <c r="CRD4"/>
      <c r="CRE4"/>
      <c r="CRF4"/>
      <c r="CRG4"/>
      <c r="CRH4"/>
      <c r="CRI4"/>
      <c r="CRJ4"/>
      <c r="CRK4"/>
      <c r="CRL4"/>
      <c r="CRM4"/>
      <c r="CRN4"/>
      <c r="CRO4"/>
      <c r="CRP4"/>
      <c r="CRQ4"/>
      <c r="CRR4"/>
      <c r="CRS4"/>
      <c r="CRT4"/>
      <c r="CRU4"/>
      <c r="CRV4"/>
      <c r="CRW4"/>
      <c r="CRX4"/>
      <c r="CRY4"/>
      <c r="CRZ4"/>
      <c r="CSA4"/>
      <c r="CSB4"/>
      <c r="CSC4"/>
      <c r="CSD4"/>
      <c r="CSE4"/>
      <c r="CSF4"/>
      <c r="CSG4"/>
      <c r="CSH4"/>
      <c r="CSI4"/>
      <c r="CSJ4"/>
      <c r="CSK4"/>
      <c r="CSL4"/>
      <c r="CSM4"/>
      <c r="CSN4"/>
      <c r="CSO4"/>
      <c r="CSP4"/>
      <c r="CSQ4"/>
      <c r="CSR4"/>
      <c r="CSS4"/>
      <c r="CST4"/>
      <c r="CSU4"/>
      <c r="CSV4"/>
      <c r="CSW4"/>
      <c r="CSX4"/>
      <c r="CSY4"/>
      <c r="CSZ4"/>
      <c r="CTA4"/>
      <c r="CTB4"/>
      <c r="CTC4"/>
      <c r="CTD4"/>
      <c r="CTE4"/>
      <c r="CTF4"/>
      <c r="CTG4"/>
      <c r="CTH4"/>
      <c r="CTI4"/>
      <c r="CTJ4"/>
      <c r="CTK4"/>
      <c r="CTL4"/>
      <c r="CTM4"/>
      <c r="CTN4"/>
      <c r="CTO4"/>
      <c r="CTP4"/>
      <c r="CTQ4"/>
      <c r="CTR4"/>
      <c r="CTS4"/>
      <c r="CTT4"/>
      <c r="CTU4"/>
      <c r="CTV4"/>
      <c r="CTW4"/>
      <c r="CTX4"/>
      <c r="CTY4"/>
      <c r="CTZ4"/>
      <c r="CUA4"/>
      <c r="CUB4"/>
      <c r="CUC4"/>
      <c r="CUD4"/>
      <c r="CUE4"/>
      <c r="CUF4"/>
      <c r="CUG4"/>
      <c r="CUH4"/>
      <c r="CUI4"/>
      <c r="CUJ4"/>
      <c r="CUK4"/>
      <c r="CUL4"/>
      <c r="CUM4"/>
      <c r="CUN4"/>
      <c r="CUO4"/>
      <c r="CUP4"/>
      <c r="CUQ4"/>
      <c r="CUR4"/>
      <c r="CUS4"/>
      <c r="CUT4"/>
      <c r="CUU4"/>
      <c r="CUV4"/>
      <c r="CUW4"/>
      <c r="CUX4"/>
      <c r="CUY4"/>
      <c r="CUZ4"/>
      <c r="CVA4"/>
      <c r="CVB4"/>
      <c r="CVC4"/>
      <c r="CVD4"/>
      <c r="CVE4"/>
      <c r="CVF4"/>
      <c r="CVG4"/>
      <c r="CVH4"/>
      <c r="CVI4"/>
      <c r="CVJ4"/>
      <c r="CVK4"/>
      <c r="CVL4"/>
      <c r="CVM4"/>
      <c r="CVN4"/>
      <c r="CVO4"/>
      <c r="CVP4"/>
      <c r="CVQ4"/>
      <c r="CVR4"/>
      <c r="CVS4"/>
      <c r="CVT4"/>
      <c r="CVU4"/>
      <c r="CVV4"/>
      <c r="CVW4"/>
      <c r="CVX4"/>
      <c r="CVY4"/>
      <c r="CVZ4"/>
      <c r="CWA4"/>
      <c r="CWB4"/>
      <c r="CWC4"/>
      <c r="CWD4"/>
      <c r="CWE4"/>
      <c r="CWF4"/>
      <c r="CWG4"/>
      <c r="CWH4"/>
      <c r="CWI4"/>
      <c r="CWJ4"/>
      <c r="CWK4"/>
      <c r="CWL4"/>
      <c r="CWM4"/>
      <c r="CWN4"/>
      <c r="CWO4"/>
      <c r="CWP4"/>
      <c r="CWQ4"/>
      <c r="CWR4"/>
      <c r="CWS4"/>
      <c r="CWT4"/>
      <c r="CWU4"/>
      <c r="CWV4"/>
      <c r="CWW4"/>
      <c r="CWX4"/>
      <c r="CWY4"/>
      <c r="CWZ4"/>
      <c r="CXA4"/>
      <c r="CXB4"/>
      <c r="CXC4"/>
      <c r="CXD4"/>
      <c r="CXE4"/>
      <c r="CXF4"/>
      <c r="CXG4"/>
      <c r="CXH4"/>
      <c r="CXI4"/>
      <c r="CXJ4"/>
      <c r="CXK4"/>
      <c r="CXL4"/>
      <c r="CXM4"/>
      <c r="CXN4"/>
      <c r="CXO4"/>
      <c r="CXP4"/>
      <c r="CXQ4"/>
      <c r="CXR4"/>
      <c r="CXS4"/>
      <c r="CXT4"/>
      <c r="CXU4"/>
      <c r="CXV4"/>
      <c r="CXW4"/>
      <c r="CXX4"/>
      <c r="CXY4"/>
      <c r="CXZ4"/>
      <c r="CYA4"/>
      <c r="CYB4"/>
      <c r="CYC4"/>
      <c r="CYD4"/>
      <c r="CYE4"/>
      <c r="CYF4"/>
      <c r="CYG4"/>
      <c r="CYH4"/>
      <c r="CYI4"/>
      <c r="CYJ4"/>
      <c r="CYK4"/>
      <c r="CYL4"/>
      <c r="CYM4"/>
      <c r="CYN4"/>
      <c r="CYO4"/>
      <c r="CYP4"/>
      <c r="CYQ4"/>
      <c r="CYR4"/>
      <c r="CYS4"/>
      <c r="CYT4"/>
      <c r="CYU4"/>
      <c r="CYV4"/>
      <c r="CYW4"/>
      <c r="CYX4"/>
      <c r="CYY4"/>
      <c r="CYZ4"/>
      <c r="CZA4"/>
      <c r="CZB4"/>
      <c r="CZC4"/>
      <c r="CZD4"/>
      <c r="CZE4"/>
      <c r="CZF4"/>
      <c r="CZG4"/>
      <c r="CZH4"/>
      <c r="CZI4"/>
      <c r="CZJ4"/>
      <c r="CZK4"/>
      <c r="CZL4"/>
      <c r="CZM4"/>
      <c r="CZN4"/>
      <c r="CZO4"/>
      <c r="CZP4"/>
      <c r="CZQ4"/>
      <c r="CZR4"/>
      <c r="CZS4"/>
      <c r="CZT4"/>
      <c r="CZU4"/>
      <c r="CZV4"/>
      <c r="CZW4"/>
      <c r="CZX4"/>
      <c r="CZY4"/>
      <c r="CZZ4"/>
      <c r="DAA4"/>
      <c r="DAB4"/>
      <c r="DAC4"/>
      <c r="DAD4"/>
      <c r="DAE4"/>
      <c r="DAF4"/>
      <c r="DAG4"/>
      <c r="DAH4"/>
      <c r="DAI4"/>
      <c r="DAJ4"/>
      <c r="DAK4"/>
      <c r="DAL4"/>
      <c r="DAM4"/>
      <c r="DAN4"/>
      <c r="DAO4"/>
      <c r="DAP4"/>
      <c r="DAQ4"/>
      <c r="DAR4"/>
      <c r="DAS4"/>
      <c r="DAT4"/>
      <c r="DAU4"/>
      <c r="DAV4"/>
      <c r="DAW4"/>
      <c r="DAX4"/>
      <c r="DAY4"/>
      <c r="DAZ4"/>
      <c r="DBA4"/>
      <c r="DBB4"/>
      <c r="DBC4"/>
      <c r="DBD4"/>
      <c r="DBE4"/>
      <c r="DBF4"/>
      <c r="DBG4"/>
      <c r="DBH4"/>
      <c r="DBI4"/>
      <c r="DBJ4"/>
      <c r="DBK4"/>
      <c r="DBL4"/>
      <c r="DBM4"/>
      <c r="DBN4"/>
      <c r="DBO4"/>
      <c r="DBP4"/>
      <c r="DBQ4"/>
      <c r="DBR4"/>
      <c r="DBS4"/>
      <c r="DBT4"/>
      <c r="DBU4"/>
      <c r="DBV4"/>
      <c r="DBW4"/>
      <c r="DBX4"/>
      <c r="DBY4"/>
      <c r="DBZ4"/>
      <c r="DCA4"/>
      <c r="DCB4"/>
      <c r="DCC4"/>
      <c r="DCD4"/>
      <c r="DCE4"/>
      <c r="DCF4"/>
      <c r="DCG4"/>
      <c r="DCH4"/>
      <c r="DCI4"/>
      <c r="DCJ4"/>
      <c r="DCK4"/>
      <c r="DCL4"/>
      <c r="DCM4"/>
      <c r="DCN4"/>
      <c r="DCO4"/>
      <c r="DCP4"/>
      <c r="DCQ4"/>
      <c r="DCR4"/>
      <c r="DCS4"/>
      <c r="DCT4"/>
      <c r="DCU4"/>
      <c r="DCV4"/>
      <c r="DCW4"/>
      <c r="DCX4"/>
      <c r="DCY4"/>
      <c r="DCZ4"/>
      <c r="DDA4"/>
      <c r="DDB4"/>
      <c r="DDC4"/>
      <c r="DDD4"/>
      <c r="DDE4"/>
      <c r="DDF4"/>
      <c r="DDG4"/>
      <c r="DDH4"/>
      <c r="DDI4"/>
      <c r="DDJ4"/>
      <c r="DDK4"/>
      <c r="DDL4"/>
      <c r="DDM4"/>
      <c r="DDN4"/>
      <c r="DDO4"/>
      <c r="DDP4"/>
      <c r="DDQ4"/>
      <c r="DDR4"/>
      <c r="DDS4"/>
      <c r="DDT4"/>
      <c r="DDU4"/>
      <c r="DDV4"/>
      <c r="DDW4"/>
      <c r="DDX4"/>
      <c r="DDY4"/>
      <c r="DDZ4"/>
      <c r="DEA4"/>
      <c r="DEB4"/>
      <c r="DEC4"/>
      <c r="DED4"/>
      <c r="DEE4"/>
      <c r="DEF4"/>
      <c r="DEG4"/>
      <c r="DEH4"/>
      <c r="DEI4"/>
      <c r="DEJ4"/>
      <c r="DEK4"/>
      <c r="DEL4"/>
      <c r="DEM4"/>
      <c r="DEN4"/>
      <c r="DEO4"/>
      <c r="DEP4"/>
      <c r="DEQ4"/>
      <c r="DER4"/>
      <c r="DES4"/>
      <c r="DET4"/>
      <c r="DEU4"/>
      <c r="DEV4"/>
      <c r="DEW4"/>
      <c r="DEX4"/>
      <c r="DEY4"/>
      <c r="DEZ4"/>
      <c r="DFA4"/>
      <c r="DFB4"/>
      <c r="DFC4"/>
      <c r="DFD4"/>
      <c r="DFE4"/>
      <c r="DFF4"/>
      <c r="DFG4"/>
      <c r="DFH4"/>
      <c r="DFI4"/>
      <c r="DFJ4"/>
      <c r="DFK4"/>
      <c r="DFL4"/>
      <c r="DFM4"/>
      <c r="DFN4"/>
      <c r="DFO4"/>
      <c r="DFP4"/>
      <c r="DFQ4"/>
      <c r="DFR4"/>
      <c r="DFS4"/>
      <c r="DFT4"/>
      <c r="DFU4"/>
      <c r="DFV4"/>
      <c r="DFW4"/>
      <c r="DFX4"/>
      <c r="DFY4"/>
      <c r="DFZ4"/>
      <c r="DGA4"/>
      <c r="DGB4"/>
      <c r="DGC4"/>
      <c r="DGD4"/>
      <c r="DGE4"/>
      <c r="DGF4"/>
      <c r="DGG4"/>
      <c r="DGH4"/>
      <c r="DGI4"/>
      <c r="DGJ4"/>
      <c r="DGK4"/>
      <c r="DGL4"/>
      <c r="DGM4"/>
      <c r="DGN4"/>
      <c r="DGO4"/>
      <c r="DGP4"/>
      <c r="DGQ4"/>
      <c r="DGR4"/>
      <c r="DGS4"/>
      <c r="DGT4"/>
      <c r="DGU4"/>
      <c r="DGV4"/>
      <c r="DGW4"/>
      <c r="DGX4"/>
      <c r="DGY4"/>
      <c r="DGZ4"/>
      <c r="DHA4"/>
      <c r="DHB4"/>
      <c r="DHC4"/>
      <c r="DHD4"/>
      <c r="DHE4"/>
      <c r="DHF4"/>
      <c r="DHG4"/>
      <c r="DHH4"/>
      <c r="DHI4"/>
      <c r="DHJ4"/>
      <c r="DHK4"/>
      <c r="DHL4"/>
      <c r="DHM4"/>
      <c r="DHN4"/>
      <c r="DHO4"/>
      <c r="DHP4"/>
      <c r="DHQ4"/>
      <c r="DHR4"/>
      <c r="DHS4"/>
      <c r="DHT4"/>
      <c r="DHU4"/>
      <c r="DHV4"/>
      <c r="DHW4"/>
      <c r="DHX4"/>
      <c r="DHY4"/>
      <c r="DHZ4"/>
      <c r="DIA4"/>
      <c r="DIB4"/>
      <c r="DIC4"/>
      <c r="DID4"/>
      <c r="DIE4"/>
      <c r="DIF4"/>
      <c r="DIG4"/>
      <c r="DIH4"/>
      <c r="DII4"/>
      <c r="DIJ4"/>
      <c r="DIK4"/>
      <c r="DIL4"/>
      <c r="DIM4"/>
      <c r="DIN4"/>
      <c r="DIO4"/>
      <c r="DIP4"/>
      <c r="DIQ4"/>
      <c r="DIR4"/>
      <c r="DIS4"/>
      <c r="DIT4"/>
      <c r="DIU4"/>
      <c r="DIV4"/>
      <c r="DIW4"/>
      <c r="DIX4"/>
      <c r="DIY4"/>
      <c r="DIZ4"/>
      <c r="DJA4"/>
      <c r="DJB4"/>
      <c r="DJC4"/>
      <c r="DJD4"/>
      <c r="DJE4"/>
      <c r="DJF4"/>
      <c r="DJG4"/>
      <c r="DJH4"/>
      <c r="DJI4"/>
      <c r="DJJ4"/>
      <c r="DJK4"/>
      <c r="DJL4"/>
      <c r="DJM4"/>
      <c r="DJN4"/>
      <c r="DJO4"/>
      <c r="DJP4"/>
      <c r="DJQ4"/>
      <c r="DJR4"/>
      <c r="DJS4"/>
      <c r="DJT4"/>
      <c r="DJU4"/>
      <c r="DJV4"/>
      <c r="DJW4"/>
      <c r="DJX4"/>
      <c r="DJY4"/>
      <c r="DJZ4"/>
      <c r="DKA4"/>
      <c r="DKB4"/>
      <c r="DKC4"/>
      <c r="DKD4"/>
      <c r="DKE4"/>
      <c r="DKF4"/>
      <c r="DKG4"/>
      <c r="DKH4"/>
      <c r="DKI4"/>
      <c r="DKJ4"/>
      <c r="DKK4"/>
      <c r="DKL4"/>
      <c r="DKM4"/>
      <c r="DKN4"/>
      <c r="DKO4"/>
      <c r="DKP4"/>
      <c r="DKQ4"/>
      <c r="DKR4"/>
      <c r="DKS4"/>
      <c r="DKT4"/>
      <c r="DKU4"/>
      <c r="DKV4"/>
      <c r="DKW4"/>
      <c r="DKX4"/>
      <c r="DKY4"/>
      <c r="DKZ4"/>
      <c r="DLA4"/>
      <c r="DLB4"/>
      <c r="DLC4"/>
      <c r="DLD4"/>
      <c r="DLE4"/>
      <c r="DLF4"/>
      <c r="DLG4"/>
      <c r="DLH4"/>
      <c r="DLI4"/>
      <c r="DLJ4"/>
      <c r="DLK4"/>
      <c r="DLL4"/>
      <c r="DLM4"/>
      <c r="DLN4"/>
      <c r="DLO4"/>
      <c r="DLP4"/>
      <c r="DLQ4"/>
      <c r="DLR4"/>
      <c r="DLS4"/>
      <c r="DLT4"/>
      <c r="DLU4"/>
      <c r="DLV4"/>
      <c r="DLW4"/>
      <c r="DLX4"/>
      <c r="DLY4"/>
      <c r="DLZ4"/>
      <c r="DMA4"/>
      <c r="DMB4"/>
      <c r="DMC4"/>
      <c r="DMD4"/>
      <c r="DME4"/>
      <c r="DMF4"/>
      <c r="DMG4"/>
      <c r="DMH4"/>
      <c r="DMI4"/>
      <c r="DMJ4"/>
      <c r="DMK4"/>
      <c r="DML4"/>
      <c r="DMM4"/>
      <c r="DMN4"/>
      <c r="DMO4"/>
      <c r="DMP4"/>
      <c r="DMQ4"/>
      <c r="DMR4"/>
      <c r="DMS4"/>
      <c r="DMT4"/>
      <c r="DMU4"/>
      <c r="DMV4"/>
      <c r="DMW4"/>
      <c r="DMX4"/>
      <c r="DMY4"/>
      <c r="DMZ4"/>
      <c r="DNA4"/>
      <c r="DNB4"/>
      <c r="DNC4"/>
      <c r="DND4"/>
      <c r="DNE4"/>
      <c r="DNF4"/>
      <c r="DNG4"/>
      <c r="DNH4"/>
      <c r="DNI4"/>
      <c r="DNJ4"/>
      <c r="DNK4"/>
      <c r="DNL4"/>
      <c r="DNM4"/>
      <c r="DNN4"/>
      <c r="DNO4"/>
      <c r="DNP4"/>
      <c r="DNQ4"/>
      <c r="DNR4"/>
      <c r="DNS4"/>
      <c r="DNT4"/>
      <c r="DNU4"/>
      <c r="DNV4"/>
      <c r="DNW4"/>
      <c r="DNX4"/>
      <c r="DNY4"/>
      <c r="DNZ4"/>
      <c r="DOA4"/>
      <c r="DOB4"/>
      <c r="DOC4"/>
      <c r="DOD4"/>
      <c r="DOE4"/>
      <c r="DOF4"/>
      <c r="DOG4"/>
      <c r="DOH4"/>
      <c r="DOI4"/>
      <c r="DOJ4"/>
      <c r="DOK4"/>
      <c r="DOL4"/>
      <c r="DOM4"/>
      <c r="DON4"/>
      <c r="DOO4"/>
      <c r="DOP4"/>
      <c r="DOQ4"/>
      <c r="DOR4"/>
      <c r="DOS4"/>
      <c r="DOT4"/>
      <c r="DOU4"/>
      <c r="DOV4"/>
      <c r="DOW4"/>
      <c r="DOX4"/>
      <c r="DOY4"/>
      <c r="DOZ4"/>
      <c r="DPA4"/>
      <c r="DPB4"/>
      <c r="DPC4"/>
      <c r="DPD4"/>
      <c r="DPE4"/>
      <c r="DPF4"/>
      <c r="DPG4"/>
      <c r="DPH4"/>
      <c r="DPI4"/>
      <c r="DPJ4"/>
      <c r="DPK4"/>
      <c r="DPL4"/>
      <c r="DPM4"/>
      <c r="DPN4"/>
      <c r="DPO4"/>
      <c r="DPP4"/>
      <c r="DPQ4"/>
      <c r="DPR4"/>
      <c r="DPS4"/>
      <c r="DPT4"/>
      <c r="DPU4"/>
      <c r="DPV4"/>
      <c r="DPW4"/>
      <c r="DPX4"/>
      <c r="DPY4"/>
      <c r="DPZ4"/>
      <c r="DQA4"/>
      <c r="DQB4"/>
      <c r="DQC4"/>
      <c r="DQD4"/>
      <c r="DQE4"/>
      <c r="DQF4"/>
      <c r="DQG4"/>
      <c r="DQH4"/>
      <c r="DQI4"/>
      <c r="DQJ4"/>
      <c r="DQK4"/>
      <c r="DQL4"/>
      <c r="DQM4"/>
      <c r="DQN4"/>
      <c r="DQO4"/>
      <c r="DQP4"/>
      <c r="DQQ4"/>
      <c r="DQR4"/>
      <c r="DQS4"/>
      <c r="DQT4"/>
      <c r="DQU4"/>
      <c r="DQV4"/>
      <c r="DQW4"/>
      <c r="DQX4"/>
      <c r="DQY4"/>
      <c r="DQZ4"/>
      <c r="DRA4"/>
      <c r="DRB4"/>
      <c r="DRC4"/>
      <c r="DRD4"/>
      <c r="DRE4"/>
      <c r="DRF4"/>
      <c r="DRG4"/>
      <c r="DRH4"/>
      <c r="DRI4"/>
      <c r="DRJ4"/>
      <c r="DRK4"/>
      <c r="DRL4"/>
      <c r="DRM4"/>
      <c r="DRN4"/>
      <c r="DRO4"/>
      <c r="DRP4"/>
      <c r="DRQ4"/>
      <c r="DRR4"/>
      <c r="DRS4"/>
      <c r="DRT4"/>
      <c r="DRU4"/>
      <c r="DRV4"/>
      <c r="DRW4"/>
      <c r="DRX4"/>
      <c r="DRY4"/>
      <c r="DRZ4"/>
      <c r="DSA4"/>
      <c r="DSB4"/>
      <c r="DSC4"/>
      <c r="DSD4"/>
      <c r="DSE4"/>
      <c r="DSF4"/>
      <c r="DSG4"/>
      <c r="DSH4"/>
      <c r="DSI4"/>
      <c r="DSJ4"/>
      <c r="DSK4"/>
      <c r="DSL4"/>
      <c r="DSM4"/>
      <c r="DSN4"/>
      <c r="DSO4"/>
      <c r="DSP4"/>
      <c r="DSQ4"/>
      <c r="DSR4"/>
      <c r="DSS4"/>
      <c r="DST4"/>
      <c r="DSU4"/>
      <c r="DSV4"/>
      <c r="DSW4"/>
      <c r="DSX4"/>
      <c r="DSY4"/>
      <c r="DSZ4"/>
      <c r="DTA4"/>
      <c r="DTB4"/>
      <c r="DTC4"/>
      <c r="DTD4"/>
      <c r="DTE4"/>
      <c r="DTF4"/>
      <c r="DTG4"/>
      <c r="DTH4"/>
      <c r="DTI4"/>
      <c r="DTJ4"/>
      <c r="DTK4"/>
      <c r="DTL4"/>
      <c r="DTM4"/>
      <c r="DTN4"/>
      <c r="DTO4"/>
      <c r="DTP4"/>
      <c r="DTQ4"/>
      <c r="DTR4"/>
      <c r="DTS4"/>
      <c r="DTT4"/>
      <c r="DTU4"/>
      <c r="DTV4"/>
      <c r="DTW4"/>
      <c r="DTX4"/>
      <c r="DTY4"/>
      <c r="DTZ4"/>
      <c r="DUA4"/>
      <c r="DUB4"/>
      <c r="DUC4"/>
      <c r="DUD4"/>
      <c r="DUE4"/>
      <c r="DUF4"/>
      <c r="DUG4"/>
      <c r="DUH4"/>
      <c r="DUI4"/>
      <c r="DUJ4"/>
      <c r="DUK4"/>
      <c r="DUL4"/>
      <c r="DUM4"/>
      <c r="DUN4"/>
      <c r="DUO4"/>
      <c r="DUP4"/>
      <c r="DUQ4"/>
      <c r="DUR4"/>
      <c r="DUS4"/>
      <c r="DUT4"/>
      <c r="DUU4"/>
      <c r="DUV4"/>
      <c r="DUW4"/>
      <c r="DUX4"/>
      <c r="DUY4"/>
      <c r="DUZ4"/>
      <c r="DVA4"/>
      <c r="DVB4"/>
      <c r="DVC4"/>
      <c r="DVD4"/>
      <c r="DVE4"/>
      <c r="DVF4"/>
      <c r="DVG4"/>
      <c r="DVH4"/>
      <c r="DVI4"/>
      <c r="DVJ4"/>
      <c r="DVK4"/>
      <c r="DVL4"/>
      <c r="DVM4"/>
      <c r="DVN4"/>
      <c r="DVO4"/>
      <c r="DVP4"/>
      <c r="DVQ4"/>
      <c r="DVR4"/>
      <c r="DVS4"/>
      <c r="DVT4"/>
      <c r="DVU4"/>
      <c r="DVV4"/>
      <c r="DVW4"/>
      <c r="DVX4"/>
      <c r="DVY4"/>
      <c r="DVZ4"/>
      <c r="DWA4"/>
      <c r="DWB4"/>
      <c r="DWC4"/>
      <c r="DWD4"/>
      <c r="DWE4"/>
      <c r="DWF4"/>
      <c r="DWG4"/>
      <c r="DWH4"/>
      <c r="DWI4"/>
      <c r="DWJ4"/>
      <c r="DWK4"/>
      <c r="DWL4"/>
      <c r="DWM4"/>
      <c r="DWN4"/>
      <c r="DWO4"/>
      <c r="DWP4"/>
      <c r="DWQ4"/>
      <c r="DWR4"/>
      <c r="DWS4"/>
      <c r="DWT4"/>
      <c r="DWU4"/>
      <c r="DWV4"/>
      <c r="DWW4"/>
      <c r="DWX4"/>
      <c r="DWY4"/>
      <c r="DWZ4"/>
      <c r="DXA4"/>
      <c r="DXB4"/>
      <c r="DXC4"/>
      <c r="DXD4"/>
      <c r="DXE4"/>
      <c r="DXF4"/>
      <c r="DXG4"/>
      <c r="DXH4"/>
      <c r="DXI4"/>
      <c r="DXJ4"/>
      <c r="DXK4"/>
      <c r="DXL4"/>
      <c r="DXM4"/>
      <c r="DXN4"/>
      <c r="DXO4"/>
      <c r="DXP4"/>
      <c r="DXQ4"/>
      <c r="DXR4"/>
      <c r="DXS4"/>
      <c r="DXT4"/>
      <c r="DXU4"/>
      <c r="DXV4"/>
      <c r="DXW4"/>
      <c r="DXX4"/>
      <c r="DXY4"/>
      <c r="DXZ4"/>
      <c r="DYA4"/>
      <c r="DYB4"/>
      <c r="DYC4"/>
      <c r="DYD4"/>
      <c r="DYE4"/>
      <c r="DYF4"/>
      <c r="DYG4"/>
      <c r="DYH4"/>
      <c r="DYI4"/>
      <c r="DYJ4"/>
      <c r="DYK4"/>
      <c r="DYL4"/>
      <c r="DYM4"/>
      <c r="DYN4"/>
      <c r="DYO4"/>
      <c r="DYP4"/>
      <c r="DYQ4"/>
      <c r="DYR4"/>
      <c r="DYS4"/>
      <c r="DYT4"/>
      <c r="DYU4"/>
      <c r="DYV4"/>
      <c r="DYW4"/>
      <c r="DYX4"/>
      <c r="DYY4"/>
      <c r="DYZ4"/>
      <c r="DZA4"/>
      <c r="DZB4"/>
      <c r="DZC4"/>
      <c r="DZD4"/>
      <c r="DZE4"/>
      <c r="DZF4"/>
      <c r="DZG4"/>
      <c r="DZH4"/>
      <c r="DZI4"/>
      <c r="DZJ4"/>
      <c r="DZK4"/>
      <c r="DZL4"/>
      <c r="DZM4"/>
      <c r="DZN4"/>
      <c r="DZO4"/>
      <c r="DZP4"/>
      <c r="DZQ4"/>
      <c r="DZR4"/>
      <c r="DZS4"/>
      <c r="DZT4"/>
      <c r="DZU4"/>
      <c r="DZV4"/>
      <c r="DZW4"/>
      <c r="DZX4"/>
      <c r="DZY4"/>
      <c r="DZZ4"/>
      <c r="EAA4"/>
      <c r="EAB4"/>
      <c r="EAC4"/>
      <c r="EAD4"/>
      <c r="EAE4"/>
      <c r="EAF4"/>
      <c r="EAG4"/>
      <c r="EAH4"/>
      <c r="EAI4"/>
      <c r="EAJ4"/>
      <c r="EAK4"/>
      <c r="EAL4"/>
      <c r="EAM4"/>
      <c r="EAN4"/>
      <c r="EAO4"/>
      <c r="EAP4"/>
      <c r="EAQ4"/>
      <c r="EAR4"/>
      <c r="EAS4"/>
      <c r="EAT4"/>
      <c r="EAU4"/>
      <c r="EAV4"/>
      <c r="EAW4"/>
      <c r="EAX4"/>
      <c r="EAY4"/>
      <c r="EAZ4"/>
      <c r="EBA4"/>
      <c r="EBB4"/>
      <c r="EBC4"/>
      <c r="EBD4"/>
      <c r="EBE4"/>
      <c r="EBF4"/>
      <c r="EBG4"/>
      <c r="EBH4"/>
      <c r="EBI4"/>
      <c r="EBJ4"/>
      <c r="EBK4"/>
      <c r="EBL4"/>
      <c r="EBM4"/>
      <c r="EBN4"/>
      <c r="EBO4"/>
      <c r="EBP4"/>
      <c r="EBQ4"/>
      <c r="EBR4"/>
      <c r="EBS4"/>
      <c r="EBT4"/>
      <c r="EBU4"/>
      <c r="EBV4"/>
      <c r="EBW4"/>
      <c r="EBX4"/>
      <c r="EBY4"/>
      <c r="EBZ4"/>
      <c r="ECA4"/>
      <c r="ECB4"/>
      <c r="ECC4"/>
      <c r="ECD4"/>
      <c r="ECE4"/>
      <c r="ECF4"/>
      <c r="ECG4"/>
      <c r="ECH4"/>
      <c r="ECI4"/>
      <c r="ECJ4"/>
      <c r="ECK4"/>
      <c r="ECL4"/>
      <c r="ECM4"/>
      <c r="ECN4"/>
      <c r="ECO4"/>
      <c r="ECP4"/>
      <c r="ECQ4"/>
      <c r="ECR4"/>
      <c r="ECS4"/>
      <c r="ECT4"/>
      <c r="ECU4"/>
      <c r="ECV4"/>
      <c r="ECW4"/>
      <c r="ECX4"/>
      <c r="ECY4"/>
      <c r="ECZ4"/>
      <c r="EDA4"/>
      <c r="EDB4"/>
      <c r="EDC4"/>
      <c r="EDD4"/>
      <c r="EDE4"/>
      <c r="EDF4"/>
      <c r="EDG4"/>
      <c r="EDH4"/>
      <c r="EDI4"/>
      <c r="EDJ4"/>
      <c r="EDK4"/>
      <c r="EDL4"/>
      <c r="EDM4"/>
      <c r="EDN4"/>
      <c r="EDO4"/>
      <c r="EDP4"/>
      <c r="EDQ4"/>
      <c r="EDR4"/>
      <c r="EDS4"/>
      <c r="EDT4"/>
      <c r="EDU4"/>
      <c r="EDV4"/>
      <c r="EDW4"/>
      <c r="EDX4"/>
      <c r="EDY4"/>
      <c r="EDZ4"/>
      <c r="EEA4"/>
      <c r="EEB4"/>
      <c r="EEC4"/>
      <c r="EED4"/>
      <c r="EEE4"/>
      <c r="EEF4"/>
      <c r="EEG4"/>
      <c r="EEH4"/>
      <c r="EEI4"/>
      <c r="EEJ4"/>
      <c r="EEK4"/>
      <c r="EEL4"/>
      <c r="EEM4"/>
      <c r="EEN4"/>
      <c r="EEO4"/>
      <c r="EEP4"/>
      <c r="EEQ4"/>
      <c r="EER4"/>
      <c r="EES4"/>
      <c r="EET4"/>
      <c r="EEU4"/>
      <c r="EEV4"/>
      <c r="EEW4"/>
      <c r="EEX4"/>
      <c r="EEY4"/>
      <c r="EEZ4"/>
      <c r="EFA4"/>
      <c r="EFB4"/>
      <c r="EFC4"/>
      <c r="EFD4"/>
      <c r="EFE4"/>
      <c r="EFF4"/>
      <c r="EFG4"/>
      <c r="EFH4"/>
      <c r="EFI4"/>
      <c r="EFJ4"/>
      <c r="EFK4"/>
      <c r="EFL4"/>
      <c r="EFM4"/>
      <c r="EFN4"/>
      <c r="EFO4"/>
      <c r="EFP4"/>
      <c r="EFQ4"/>
      <c r="EFR4"/>
      <c r="EFS4"/>
      <c r="EFT4"/>
      <c r="EFU4"/>
      <c r="EFV4"/>
      <c r="EFW4"/>
      <c r="EFX4"/>
      <c r="EFY4"/>
      <c r="EFZ4"/>
      <c r="EGA4"/>
      <c r="EGB4"/>
      <c r="EGC4"/>
      <c r="EGD4"/>
      <c r="EGE4"/>
      <c r="EGF4"/>
      <c r="EGG4"/>
      <c r="EGH4"/>
      <c r="EGI4"/>
      <c r="EGJ4"/>
      <c r="EGK4"/>
      <c r="EGL4"/>
      <c r="EGM4"/>
      <c r="EGN4"/>
      <c r="EGO4"/>
      <c r="EGP4"/>
      <c r="EGQ4"/>
      <c r="EGR4"/>
      <c r="EGS4"/>
      <c r="EGT4"/>
      <c r="EGU4"/>
      <c r="EGV4"/>
      <c r="EGW4"/>
      <c r="EGX4"/>
      <c r="EGY4"/>
      <c r="EGZ4"/>
      <c r="EHA4"/>
      <c r="EHB4"/>
      <c r="EHC4"/>
      <c r="EHD4"/>
      <c r="EHE4"/>
      <c r="EHF4"/>
      <c r="EHG4"/>
      <c r="EHH4"/>
      <c r="EHI4"/>
      <c r="EHJ4"/>
      <c r="EHK4"/>
      <c r="EHL4"/>
      <c r="EHM4"/>
      <c r="EHN4"/>
      <c r="EHO4"/>
      <c r="EHP4"/>
      <c r="EHQ4"/>
      <c r="EHR4"/>
      <c r="EHS4"/>
      <c r="EHT4"/>
      <c r="EHU4"/>
      <c r="EHV4"/>
      <c r="EHW4"/>
      <c r="EHX4"/>
      <c r="EHY4"/>
      <c r="EHZ4"/>
      <c r="EIA4"/>
      <c r="EIB4"/>
      <c r="EIC4"/>
      <c r="EID4"/>
      <c r="EIE4"/>
      <c r="EIF4"/>
      <c r="EIG4"/>
      <c r="EIH4"/>
      <c r="EII4"/>
      <c r="EIJ4"/>
      <c r="EIK4"/>
      <c r="EIL4"/>
      <c r="EIM4"/>
      <c r="EIN4"/>
      <c r="EIO4"/>
      <c r="EIP4"/>
      <c r="EIQ4"/>
      <c r="EIR4"/>
      <c r="EIS4"/>
      <c r="EIT4"/>
      <c r="EIU4"/>
      <c r="EIV4"/>
      <c r="EIW4"/>
      <c r="EIX4"/>
      <c r="EIY4"/>
      <c r="EIZ4"/>
      <c r="EJA4"/>
      <c r="EJB4"/>
      <c r="EJC4"/>
      <c r="EJD4"/>
      <c r="EJE4"/>
      <c r="EJF4"/>
      <c r="EJG4"/>
      <c r="EJH4"/>
      <c r="EJI4"/>
      <c r="EJJ4"/>
      <c r="EJK4"/>
      <c r="EJL4"/>
      <c r="EJM4"/>
      <c r="EJN4"/>
      <c r="EJO4"/>
      <c r="EJP4"/>
      <c r="EJQ4"/>
      <c r="EJR4"/>
      <c r="EJS4"/>
      <c r="EJT4"/>
      <c r="EJU4"/>
      <c r="EJV4"/>
      <c r="EJW4"/>
      <c r="EJX4"/>
      <c r="EJY4"/>
      <c r="EJZ4"/>
      <c r="EKA4"/>
      <c r="EKB4"/>
      <c r="EKC4"/>
      <c r="EKD4"/>
      <c r="EKE4"/>
      <c r="EKF4"/>
      <c r="EKG4"/>
      <c r="EKH4"/>
      <c r="EKI4"/>
      <c r="EKJ4"/>
      <c r="EKK4"/>
      <c r="EKL4"/>
      <c r="EKM4"/>
      <c r="EKN4"/>
      <c r="EKO4"/>
      <c r="EKP4"/>
      <c r="EKQ4"/>
      <c r="EKR4"/>
      <c r="EKS4"/>
      <c r="EKT4"/>
      <c r="EKU4"/>
      <c r="EKV4"/>
      <c r="EKW4"/>
      <c r="EKX4"/>
      <c r="EKY4"/>
      <c r="EKZ4"/>
      <c r="ELA4"/>
      <c r="ELB4"/>
      <c r="ELC4"/>
      <c r="ELD4"/>
      <c r="ELE4"/>
      <c r="ELF4"/>
      <c r="ELG4"/>
      <c r="ELH4"/>
      <c r="ELI4"/>
      <c r="ELJ4"/>
      <c r="ELK4"/>
      <c r="ELL4"/>
      <c r="ELM4"/>
      <c r="ELN4"/>
      <c r="ELO4"/>
      <c r="ELP4"/>
      <c r="ELQ4"/>
      <c r="ELR4"/>
      <c r="ELS4"/>
      <c r="ELT4"/>
      <c r="ELU4"/>
      <c r="ELV4"/>
      <c r="ELW4"/>
      <c r="ELX4"/>
      <c r="ELY4"/>
      <c r="ELZ4"/>
      <c r="EMA4"/>
      <c r="EMB4"/>
      <c r="EMC4"/>
      <c r="EMD4"/>
      <c r="EME4"/>
      <c r="EMF4"/>
      <c r="EMG4"/>
      <c r="EMH4"/>
      <c r="EMI4"/>
      <c r="EMJ4"/>
      <c r="EMK4"/>
      <c r="EML4"/>
      <c r="EMM4"/>
      <c r="EMN4"/>
      <c r="EMO4"/>
      <c r="EMP4"/>
      <c r="EMQ4"/>
      <c r="EMR4"/>
      <c r="EMS4"/>
      <c r="EMT4"/>
      <c r="EMU4"/>
      <c r="EMV4"/>
      <c r="EMW4"/>
      <c r="EMX4"/>
      <c r="EMY4"/>
      <c r="EMZ4"/>
      <c r="ENA4"/>
      <c r="ENB4"/>
      <c r="ENC4"/>
      <c r="END4"/>
      <c r="ENE4"/>
      <c r="ENF4"/>
      <c r="ENG4"/>
      <c r="ENH4"/>
      <c r="ENI4"/>
      <c r="ENJ4"/>
      <c r="ENK4"/>
      <c r="ENL4"/>
      <c r="ENM4"/>
      <c r="ENN4"/>
      <c r="ENO4"/>
      <c r="ENP4"/>
      <c r="ENQ4"/>
      <c r="ENR4"/>
      <c r="ENS4"/>
      <c r="ENT4"/>
      <c r="ENU4"/>
      <c r="ENV4"/>
      <c r="ENW4"/>
      <c r="ENX4"/>
      <c r="ENY4"/>
      <c r="ENZ4"/>
      <c r="EOA4"/>
      <c r="EOB4"/>
      <c r="EOC4"/>
      <c r="EOD4"/>
      <c r="EOE4"/>
      <c r="EOF4"/>
      <c r="EOG4"/>
      <c r="EOH4"/>
      <c r="EOI4"/>
      <c r="EOJ4"/>
      <c r="EOK4"/>
      <c r="EOL4"/>
      <c r="EOM4"/>
      <c r="EON4"/>
      <c r="EOO4"/>
      <c r="EOP4"/>
      <c r="EOQ4"/>
      <c r="EOR4"/>
      <c r="EOS4"/>
      <c r="EOT4"/>
      <c r="EOU4"/>
      <c r="EOV4"/>
      <c r="EOW4"/>
      <c r="EOX4"/>
      <c r="EOY4"/>
      <c r="EOZ4"/>
      <c r="EPA4"/>
      <c r="EPB4"/>
      <c r="EPC4"/>
      <c r="EPD4"/>
      <c r="EPE4"/>
      <c r="EPF4"/>
      <c r="EPG4"/>
      <c r="EPH4"/>
      <c r="EPI4"/>
      <c r="EPJ4"/>
      <c r="EPK4"/>
      <c r="EPL4"/>
      <c r="EPM4"/>
      <c r="EPN4"/>
      <c r="EPO4"/>
      <c r="EPP4"/>
      <c r="EPQ4"/>
      <c r="EPR4"/>
      <c r="EPS4"/>
      <c r="EPT4"/>
      <c r="EPU4"/>
      <c r="EPV4"/>
      <c r="EPW4"/>
      <c r="EPX4"/>
      <c r="EPY4"/>
      <c r="EPZ4"/>
      <c r="EQA4"/>
      <c r="EQB4"/>
      <c r="EQC4"/>
      <c r="EQD4"/>
      <c r="EQE4"/>
      <c r="EQF4"/>
      <c r="EQG4"/>
      <c r="EQH4"/>
      <c r="EQI4"/>
      <c r="EQJ4"/>
      <c r="EQK4"/>
      <c r="EQL4"/>
      <c r="EQM4"/>
      <c r="EQN4"/>
      <c r="EQO4"/>
      <c r="EQP4"/>
      <c r="EQQ4"/>
      <c r="EQR4"/>
      <c r="EQS4"/>
      <c r="EQT4"/>
      <c r="EQU4"/>
      <c r="EQV4"/>
      <c r="EQW4"/>
      <c r="EQX4"/>
      <c r="EQY4"/>
      <c r="EQZ4"/>
      <c r="ERA4"/>
      <c r="ERB4"/>
      <c r="ERC4"/>
      <c r="ERD4"/>
      <c r="ERE4"/>
      <c r="ERF4"/>
      <c r="ERG4"/>
      <c r="ERH4"/>
      <c r="ERI4"/>
      <c r="ERJ4"/>
      <c r="ERK4"/>
      <c r="ERL4"/>
      <c r="ERM4"/>
      <c r="ERN4"/>
      <c r="ERO4"/>
      <c r="ERP4"/>
      <c r="ERQ4"/>
      <c r="ERR4"/>
      <c r="ERS4"/>
      <c r="ERT4"/>
      <c r="ERU4"/>
      <c r="ERV4"/>
      <c r="ERW4"/>
      <c r="ERX4"/>
      <c r="ERY4"/>
      <c r="ERZ4"/>
      <c r="ESA4"/>
      <c r="ESB4"/>
      <c r="ESC4"/>
      <c r="ESD4"/>
      <c r="ESE4"/>
      <c r="ESF4"/>
      <c r="ESG4"/>
      <c r="ESH4"/>
      <c r="ESI4"/>
      <c r="ESJ4"/>
      <c r="ESK4"/>
      <c r="ESL4"/>
      <c r="ESM4"/>
      <c r="ESN4"/>
      <c r="ESO4"/>
      <c r="ESP4"/>
      <c r="ESQ4"/>
      <c r="ESR4"/>
      <c r="ESS4"/>
      <c r="EST4"/>
      <c r="ESU4"/>
      <c r="ESV4"/>
      <c r="ESW4"/>
      <c r="ESX4"/>
      <c r="ESY4"/>
      <c r="ESZ4"/>
      <c r="ETA4"/>
      <c r="ETB4"/>
      <c r="ETC4"/>
      <c r="ETD4"/>
      <c r="ETE4"/>
      <c r="ETF4"/>
      <c r="ETG4"/>
      <c r="ETH4"/>
      <c r="ETI4"/>
      <c r="ETJ4"/>
      <c r="ETK4"/>
      <c r="ETL4"/>
      <c r="ETM4"/>
      <c r="ETN4"/>
      <c r="ETO4"/>
      <c r="ETP4"/>
      <c r="ETQ4"/>
      <c r="ETR4"/>
      <c r="ETS4"/>
      <c r="ETT4"/>
      <c r="ETU4"/>
      <c r="ETV4"/>
      <c r="ETW4"/>
      <c r="ETX4"/>
      <c r="ETY4"/>
      <c r="ETZ4"/>
      <c r="EUA4"/>
      <c r="EUB4"/>
      <c r="EUC4"/>
      <c r="EUD4"/>
      <c r="EUE4"/>
      <c r="EUF4"/>
      <c r="EUG4"/>
      <c r="EUH4"/>
      <c r="EUI4"/>
      <c r="EUJ4"/>
      <c r="EUK4"/>
      <c r="EUL4"/>
      <c r="EUM4"/>
      <c r="EUN4"/>
      <c r="EUO4"/>
      <c r="EUP4"/>
      <c r="EUQ4"/>
      <c r="EUR4"/>
      <c r="EUS4"/>
      <c r="EUT4"/>
      <c r="EUU4"/>
      <c r="EUV4"/>
      <c r="EUW4"/>
      <c r="EUX4"/>
      <c r="EUY4"/>
      <c r="EUZ4"/>
      <c r="EVA4"/>
      <c r="EVB4"/>
      <c r="EVC4"/>
      <c r="EVD4"/>
      <c r="EVE4"/>
      <c r="EVF4"/>
      <c r="EVG4"/>
      <c r="EVH4"/>
      <c r="EVI4"/>
      <c r="EVJ4"/>
      <c r="EVK4"/>
      <c r="EVL4"/>
      <c r="EVM4"/>
      <c r="EVN4"/>
      <c r="EVO4"/>
      <c r="EVP4"/>
      <c r="EVQ4"/>
      <c r="EVR4"/>
      <c r="EVS4"/>
      <c r="EVT4"/>
      <c r="EVU4"/>
      <c r="EVV4"/>
      <c r="EVW4"/>
      <c r="EVX4"/>
      <c r="EVY4"/>
      <c r="EVZ4"/>
      <c r="EWA4"/>
      <c r="EWB4"/>
      <c r="EWC4"/>
      <c r="EWD4"/>
      <c r="EWE4"/>
      <c r="EWF4"/>
      <c r="EWG4"/>
      <c r="EWH4"/>
      <c r="EWI4"/>
      <c r="EWJ4"/>
      <c r="EWK4"/>
      <c r="EWL4"/>
      <c r="EWM4"/>
      <c r="EWN4"/>
      <c r="EWO4"/>
      <c r="EWP4"/>
      <c r="EWQ4"/>
      <c r="EWR4"/>
      <c r="EWS4"/>
      <c r="EWT4"/>
      <c r="EWU4"/>
      <c r="EWV4"/>
      <c r="EWW4"/>
      <c r="EWX4"/>
      <c r="EWY4"/>
      <c r="EWZ4"/>
      <c r="EXA4"/>
      <c r="EXB4"/>
      <c r="EXC4"/>
      <c r="EXD4"/>
      <c r="EXE4"/>
      <c r="EXF4"/>
      <c r="EXG4"/>
      <c r="EXH4"/>
      <c r="EXI4"/>
      <c r="EXJ4"/>
      <c r="EXK4"/>
      <c r="EXL4"/>
      <c r="EXM4"/>
      <c r="EXN4"/>
      <c r="EXO4"/>
      <c r="EXP4"/>
      <c r="EXQ4"/>
      <c r="EXR4"/>
      <c r="EXS4"/>
      <c r="EXT4"/>
      <c r="EXU4"/>
      <c r="EXV4"/>
      <c r="EXW4"/>
      <c r="EXX4"/>
      <c r="EXY4"/>
      <c r="EXZ4"/>
      <c r="EYA4"/>
      <c r="EYB4"/>
      <c r="EYC4"/>
      <c r="EYD4"/>
      <c r="EYE4"/>
      <c r="EYF4"/>
      <c r="EYG4"/>
      <c r="EYH4"/>
      <c r="EYI4"/>
      <c r="EYJ4"/>
      <c r="EYK4"/>
      <c r="EYL4"/>
      <c r="EYM4"/>
      <c r="EYN4"/>
      <c r="EYO4"/>
      <c r="EYP4"/>
      <c r="EYQ4"/>
      <c r="EYR4"/>
      <c r="EYS4"/>
      <c r="EYT4"/>
      <c r="EYU4"/>
      <c r="EYV4"/>
      <c r="EYW4"/>
      <c r="EYX4"/>
      <c r="EYY4"/>
      <c r="EYZ4"/>
      <c r="EZA4"/>
      <c r="EZB4"/>
      <c r="EZC4"/>
      <c r="EZD4"/>
      <c r="EZE4"/>
      <c r="EZF4"/>
      <c r="EZG4"/>
      <c r="EZH4"/>
      <c r="EZI4"/>
      <c r="EZJ4"/>
      <c r="EZK4"/>
      <c r="EZL4"/>
      <c r="EZM4"/>
      <c r="EZN4"/>
      <c r="EZO4"/>
      <c r="EZP4"/>
      <c r="EZQ4"/>
      <c r="EZR4"/>
      <c r="EZS4"/>
      <c r="EZT4"/>
      <c r="EZU4"/>
      <c r="EZV4"/>
      <c r="EZW4"/>
      <c r="EZX4"/>
      <c r="EZY4"/>
      <c r="EZZ4"/>
      <c r="FAA4"/>
      <c r="FAB4"/>
      <c r="FAC4"/>
      <c r="FAD4"/>
      <c r="FAE4"/>
      <c r="FAF4"/>
      <c r="FAG4"/>
      <c r="FAH4"/>
      <c r="FAI4"/>
      <c r="FAJ4"/>
      <c r="FAK4"/>
      <c r="FAL4"/>
      <c r="FAM4"/>
      <c r="FAN4"/>
      <c r="FAO4"/>
      <c r="FAP4"/>
      <c r="FAQ4"/>
      <c r="FAR4"/>
      <c r="FAS4"/>
      <c r="FAT4"/>
      <c r="FAU4"/>
      <c r="FAV4"/>
      <c r="FAW4"/>
      <c r="FAX4"/>
      <c r="FAY4"/>
      <c r="FAZ4"/>
      <c r="FBA4"/>
      <c r="FBB4"/>
      <c r="FBC4"/>
      <c r="FBD4"/>
      <c r="FBE4"/>
      <c r="FBF4"/>
      <c r="FBG4"/>
      <c r="FBH4"/>
      <c r="FBI4"/>
      <c r="FBJ4"/>
      <c r="FBK4"/>
      <c r="FBL4"/>
      <c r="FBM4"/>
      <c r="FBN4"/>
      <c r="FBO4"/>
      <c r="FBP4"/>
      <c r="FBQ4"/>
      <c r="FBR4"/>
      <c r="FBS4"/>
      <c r="FBT4"/>
      <c r="FBU4"/>
      <c r="FBV4"/>
      <c r="FBW4"/>
      <c r="FBX4"/>
      <c r="FBY4"/>
      <c r="FBZ4"/>
      <c r="FCA4"/>
      <c r="FCB4"/>
      <c r="FCC4"/>
      <c r="FCD4"/>
      <c r="FCE4"/>
      <c r="FCF4"/>
      <c r="FCG4"/>
      <c r="FCH4"/>
      <c r="FCI4"/>
      <c r="FCJ4"/>
      <c r="FCK4"/>
      <c r="FCL4"/>
      <c r="FCM4"/>
      <c r="FCN4"/>
      <c r="FCO4"/>
      <c r="FCP4"/>
      <c r="FCQ4"/>
      <c r="FCR4"/>
      <c r="FCS4"/>
      <c r="FCT4"/>
      <c r="FCU4"/>
      <c r="FCV4"/>
      <c r="FCW4"/>
      <c r="FCX4"/>
      <c r="FCY4"/>
      <c r="FCZ4"/>
      <c r="FDA4"/>
      <c r="FDB4"/>
      <c r="FDC4"/>
      <c r="FDD4"/>
      <c r="FDE4"/>
      <c r="FDF4"/>
      <c r="FDG4"/>
      <c r="FDH4"/>
      <c r="FDI4"/>
      <c r="FDJ4"/>
      <c r="FDK4"/>
      <c r="FDL4"/>
      <c r="FDM4"/>
      <c r="FDN4"/>
      <c r="FDO4"/>
      <c r="FDP4"/>
      <c r="FDQ4"/>
      <c r="FDR4"/>
      <c r="FDS4"/>
      <c r="FDT4"/>
      <c r="FDU4"/>
      <c r="FDV4"/>
      <c r="FDW4"/>
      <c r="FDX4"/>
      <c r="FDY4"/>
      <c r="FDZ4"/>
      <c r="FEA4"/>
      <c r="FEB4"/>
      <c r="FEC4"/>
      <c r="FED4"/>
      <c r="FEE4"/>
      <c r="FEF4"/>
      <c r="FEG4"/>
      <c r="FEH4"/>
      <c r="FEI4"/>
      <c r="FEJ4"/>
      <c r="FEK4"/>
      <c r="FEL4"/>
      <c r="FEM4"/>
      <c r="FEN4"/>
      <c r="FEO4"/>
      <c r="FEP4"/>
      <c r="FEQ4"/>
      <c r="FER4"/>
      <c r="FES4"/>
      <c r="FET4"/>
      <c r="FEU4"/>
      <c r="FEV4"/>
      <c r="FEW4"/>
      <c r="FEX4"/>
      <c r="FEY4"/>
      <c r="FEZ4"/>
      <c r="FFA4"/>
      <c r="FFB4"/>
      <c r="FFC4"/>
      <c r="FFD4"/>
      <c r="FFE4"/>
      <c r="FFF4"/>
      <c r="FFG4"/>
      <c r="FFH4"/>
      <c r="FFI4"/>
      <c r="FFJ4"/>
      <c r="FFK4"/>
      <c r="FFL4"/>
      <c r="FFM4"/>
      <c r="FFN4"/>
      <c r="FFO4"/>
      <c r="FFP4"/>
      <c r="FFQ4"/>
      <c r="FFR4"/>
      <c r="FFS4"/>
      <c r="FFT4"/>
      <c r="FFU4"/>
      <c r="FFV4"/>
      <c r="FFW4"/>
      <c r="FFX4"/>
      <c r="FFY4"/>
      <c r="FFZ4"/>
      <c r="FGA4"/>
      <c r="FGB4"/>
      <c r="FGC4"/>
      <c r="FGD4"/>
      <c r="FGE4"/>
      <c r="FGF4"/>
      <c r="FGG4"/>
      <c r="FGH4"/>
      <c r="FGI4"/>
      <c r="FGJ4"/>
      <c r="FGK4"/>
      <c r="FGL4"/>
      <c r="FGM4"/>
      <c r="FGN4"/>
      <c r="FGO4"/>
      <c r="FGP4"/>
      <c r="FGQ4"/>
      <c r="FGR4"/>
      <c r="FGS4"/>
      <c r="FGT4"/>
      <c r="FGU4"/>
      <c r="FGV4"/>
      <c r="FGW4"/>
      <c r="FGX4"/>
      <c r="FGY4"/>
      <c r="FGZ4"/>
      <c r="FHA4"/>
      <c r="FHB4"/>
      <c r="FHC4"/>
      <c r="FHD4"/>
      <c r="FHE4"/>
      <c r="FHF4"/>
      <c r="FHG4"/>
      <c r="FHH4"/>
      <c r="FHI4"/>
      <c r="FHJ4"/>
      <c r="FHK4"/>
      <c r="FHL4"/>
      <c r="FHM4"/>
      <c r="FHN4"/>
      <c r="FHO4"/>
      <c r="FHP4"/>
      <c r="FHQ4"/>
      <c r="FHR4"/>
      <c r="FHS4"/>
      <c r="FHT4"/>
      <c r="FHU4"/>
      <c r="FHV4"/>
      <c r="FHW4"/>
      <c r="FHX4"/>
      <c r="FHY4"/>
      <c r="FHZ4"/>
      <c r="FIA4"/>
      <c r="FIB4"/>
      <c r="FIC4"/>
      <c r="FID4"/>
      <c r="FIE4"/>
      <c r="FIF4"/>
      <c r="FIG4"/>
      <c r="FIH4"/>
      <c r="FII4"/>
      <c r="FIJ4"/>
      <c r="FIK4"/>
      <c r="FIL4"/>
      <c r="FIM4"/>
      <c r="FIN4"/>
      <c r="FIO4"/>
      <c r="FIP4"/>
      <c r="FIQ4"/>
      <c r="FIR4"/>
      <c r="FIS4"/>
      <c r="FIT4"/>
      <c r="FIU4"/>
      <c r="FIV4"/>
      <c r="FIW4"/>
      <c r="FIX4"/>
      <c r="FIY4"/>
      <c r="FIZ4"/>
      <c r="FJA4"/>
      <c r="FJB4"/>
      <c r="FJC4"/>
      <c r="FJD4"/>
      <c r="FJE4"/>
      <c r="FJF4"/>
      <c r="FJG4"/>
      <c r="FJH4"/>
      <c r="FJI4"/>
      <c r="FJJ4"/>
      <c r="FJK4"/>
      <c r="FJL4"/>
      <c r="FJM4"/>
      <c r="FJN4"/>
      <c r="FJO4"/>
      <c r="FJP4"/>
      <c r="FJQ4"/>
      <c r="FJR4"/>
      <c r="FJS4"/>
      <c r="FJT4"/>
      <c r="FJU4"/>
      <c r="FJV4"/>
      <c r="FJW4"/>
      <c r="FJX4"/>
      <c r="FJY4"/>
      <c r="FJZ4"/>
      <c r="FKA4"/>
      <c r="FKB4"/>
      <c r="FKC4"/>
      <c r="FKD4"/>
      <c r="FKE4"/>
      <c r="FKF4"/>
      <c r="FKG4"/>
      <c r="FKH4"/>
      <c r="FKI4"/>
      <c r="FKJ4"/>
      <c r="FKK4"/>
      <c r="FKL4"/>
      <c r="FKM4"/>
      <c r="FKN4"/>
      <c r="FKO4"/>
      <c r="FKP4"/>
      <c r="FKQ4"/>
      <c r="FKR4"/>
      <c r="FKS4"/>
      <c r="FKT4"/>
      <c r="FKU4"/>
      <c r="FKV4"/>
      <c r="FKW4"/>
      <c r="FKX4"/>
      <c r="FKY4"/>
      <c r="FKZ4"/>
      <c r="FLA4"/>
      <c r="FLB4"/>
      <c r="FLC4"/>
      <c r="FLD4"/>
      <c r="FLE4"/>
      <c r="FLF4"/>
      <c r="FLG4"/>
      <c r="FLH4"/>
      <c r="FLI4"/>
      <c r="FLJ4"/>
      <c r="FLK4"/>
      <c r="FLL4"/>
      <c r="FLM4"/>
      <c r="FLN4"/>
      <c r="FLO4"/>
      <c r="FLP4"/>
      <c r="FLQ4"/>
      <c r="FLR4"/>
      <c r="FLS4"/>
      <c r="FLT4"/>
      <c r="FLU4"/>
      <c r="FLV4"/>
      <c r="FLW4"/>
      <c r="FLX4"/>
      <c r="FLY4"/>
      <c r="FLZ4"/>
      <c r="FMA4"/>
      <c r="FMB4"/>
      <c r="FMC4"/>
      <c r="FMD4"/>
      <c r="FME4"/>
      <c r="FMF4"/>
      <c r="FMG4"/>
      <c r="FMH4"/>
      <c r="FMI4"/>
      <c r="FMJ4"/>
      <c r="FMK4"/>
      <c r="FML4"/>
      <c r="FMM4"/>
      <c r="FMN4"/>
      <c r="FMO4"/>
      <c r="FMP4"/>
      <c r="FMQ4"/>
      <c r="FMR4"/>
      <c r="FMS4"/>
      <c r="FMT4"/>
      <c r="FMU4"/>
      <c r="FMV4"/>
      <c r="FMW4"/>
      <c r="FMX4"/>
      <c r="FMY4"/>
      <c r="FMZ4"/>
      <c r="FNA4"/>
      <c r="FNB4"/>
      <c r="FNC4"/>
      <c r="FND4"/>
      <c r="FNE4"/>
      <c r="FNF4"/>
      <c r="FNG4"/>
      <c r="FNH4"/>
      <c r="FNI4"/>
      <c r="FNJ4"/>
      <c r="FNK4"/>
      <c r="FNL4"/>
      <c r="FNM4"/>
      <c r="FNN4"/>
      <c r="FNO4"/>
      <c r="FNP4"/>
      <c r="FNQ4"/>
      <c r="FNR4"/>
      <c r="FNS4"/>
      <c r="FNT4"/>
      <c r="FNU4"/>
      <c r="FNV4"/>
      <c r="FNW4"/>
      <c r="FNX4"/>
      <c r="FNY4"/>
      <c r="FNZ4"/>
      <c r="FOA4"/>
      <c r="FOB4"/>
      <c r="FOC4"/>
      <c r="FOD4"/>
      <c r="FOE4"/>
      <c r="FOF4"/>
      <c r="FOG4"/>
      <c r="FOH4"/>
      <c r="FOI4"/>
      <c r="FOJ4"/>
      <c r="FOK4"/>
      <c r="FOL4"/>
      <c r="FOM4"/>
      <c r="FON4"/>
      <c r="FOO4"/>
      <c r="FOP4"/>
      <c r="FOQ4"/>
      <c r="FOR4"/>
      <c r="FOS4"/>
      <c r="FOT4"/>
      <c r="FOU4"/>
      <c r="FOV4"/>
      <c r="FOW4"/>
      <c r="FOX4"/>
      <c r="FOY4"/>
      <c r="FOZ4"/>
      <c r="FPA4"/>
      <c r="FPB4"/>
      <c r="FPC4"/>
      <c r="FPD4"/>
      <c r="FPE4"/>
      <c r="FPF4"/>
      <c r="FPG4"/>
      <c r="FPH4"/>
      <c r="FPI4"/>
      <c r="FPJ4"/>
      <c r="FPK4"/>
      <c r="FPL4"/>
      <c r="FPM4"/>
      <c r="FPN4"/>
      <c r="FPO4"/>
      <c r="FPP4"/>
      <c r="FPQ4"/>
      <c r="FPR4"/>
      <c r="FPS4"/>
      <c r="FPT4"/>
      <c r="FPU4"/>
      <c r="FPV4"/>
      <c r="FPW4"/>
      <c r="FPX4"/>
      <c r="FPY4"/>
      <c r="FPZ4"/>
      <c r="FQA4"/>
      <c r="FQB4"/>
      <c r="FQC4"/>
      <c r="FQD4"/>
      <c r="FQE4"/>
      <c r="FQF4"/>
      <c r="FQG4"/>
      <c r="FQH4"/>
      <c r="FQI4"/>
      <c r="FQJ4"/>
      <c r="FQK4"/>
      <c r="FQL4"/>
      <c r="FQM4"/>
      <c r="FQN4"/>
      <c r="FQO4"/>
      <c r="FQP4"/>
      <c r="FQQ4"/>
      <c r="FQR4"/>
      <c r="FQS4"/>
      <c r="FQT4"/>
      <c r="FQU4"/>
      <c r="FQV4"/>
      <c r="FQW4"/>
      <c r="FQX4"/>
      <c r="FQY4"/>
      <c r="FQZ4"/>
      <c r="FRA4"/>
      <c r="FRB4"/>
      <c r="FRC4"/>
      <c r="FRD4"/>
      <c r="FRE4"/>
      <c r="FRF4"/>
      <c r="FRG4"/>
      <c r="FRH4"/>
      <c r="FRI4"/>
      <c r="FRJ4"/>
      <c r="FRK4"/>
      <c r="FRL4"/>
      <c r="FRM4"/>
      <c r="FRN4"/>
      <c r="FRO4"/>
      <c r="FRP4"/>
      <c r="FRQ4"/>
      <c r="FRR4"/>
      <c r="FRS4"/>
      <c r="FRT4"/>
      <c r="FRU4"/>
      <c r="FRV4"/>
      <c r="FRW4"/>
      <c r="FRX4"/>
      <c r="FRY4"/>
      <c r="FRZ4"/>
      <c r="FSA4"/>
      <c r="FSB4"/>
      <c r="FSC4"/>
      <c r="FSD4"/>
      <c r="FSE4"/>
      <c r="FSF4"/>
      <c r="FSG4"/>
      <c r="FSH4"/>
      <c r="FSI4"/>
      <c r="FSJ4"/>
      <c r="FSK4"/>
      <c r="FSL4"/>
      <c r="FSM4"/>
      <c r="FSN4"/>
      <c r="FSO4"/>
      <c r="FSP4"/>
      <c r="FSQ4"/>
      <c r="FSR4"/>
      <c r="FSS4"/>
      <c r="FST4"/>
      <c r="FSU4"/>
      <c r="FSV4"/>
      <c r="FSW4"/>
      <c r="FSX4"/>
      <c r="FSY4"/>
      <c r="FSZ4"/>
      <c r="FTA4"/>
      <c r="FTB4"/>
      <c r="FTC4"/>
      <c r="FTD4"/>
      <c r="FTE4"/>
      <c r="FTF4"/>
      <c r="FTG4"/>
      <c r="FTH4"/>
      <c r="FTI4"/>
      <c r="FTJ4"/>
      <c r="FTK4"/>
      <c r="FTL4"/>
      <c r="FTM4"/>
      <c r="FTN4"/>
      <c r="FTO4"/>
      <c r="FTP4"/>
      <c r="FTQ4"/>
      <c r="FTR4"/>
      <c r="FTS4"/>
      <c r="FTT4"/>
      <c r="FTU4"/>
      <c r="FTV4"/>
      <c r="FTW4"/>
      <c r="FTX4"/>
      <c r="FTY4"/>
      <c r="FTZ4"/>
      <c r="FUA4"/>
      <c r="FUB4"/>
      <c r="FUC4"/>
      <c r="FUD4"/>
      <c r="FUE4"/>
      <c r="FUF4"/>
      <c r="FUG4"/>
      <c r="FUH4"/>
      <c r="FUI4"/>
      <c r="FUJ4"/>
      <c r="FUK4"/>
      <c r="FUL4"/>
      <c r="FUM4"/>
      <c r="FUN4"/>
      <c r="FUO4"/>
      <c r="FUP4"/>
      <c r="FUQ4"/>
      <c r="FUR4"/>
      <c r="FUS4"/>
      <c r="FUT4"/>
      <c r="FUU4"/>
      <c r="FUV4"/>
      <c r="FUW4"/>
      <c r="FUX4"/>
      <c r="FUY4"/>
      <c r="FUZ4"/>
      <c r="FVA4"/>
      <c r="FVB4"/>
      <c r="FVC4"/>
      <c r="FVD4"/>
      <c r="FVE4"/>
      <c r="FVF4"/>
      <c r="FVG4"/>
      <c r="FVH4"/>
      <c r="FVI4"/>
      <c r="FVJ4"/>
      <c r="FVK4"/>
      <c r="FVL4"/>
      <c r="FVM4"/>
      <c r="FVN4"/>
      <c r="FVO4"/>
      <c r="FVP4"/>
      <c r="FVQ4"/>
      <c r="FVR4"/>
      <c r="FVS4"/>
      <c r="FVT4"/>
      <c r="FVU4"/>
      <c r="FVV4"/>
      <c r="FVW4"/>
      <c r="FVX4"/>
      <c r="FVY4"/>
      <c r="FVZ4"/>
      <c r="FWA4"/>
      <c r="FWB4"/>
      <c r="FWC4"/>
      <c r="FWD4"/>
      <c r="FWE4"/>
      <c r="FWF4"/>
      <c r="FWG4"/>
      <c r="FWH4"/>
      <c r="FWI4"/>
      <c r="FWJ4"/>
      <c r="FWK4"/>
      <c r="FWL4"/>
      <c r="FWM4"/>
      <c r="FWN4"/>
      <c r="FWO4"/>
      <c r="FWP4"/>
      <c r="FWQ4"/>
      <c r="FWR4"/>
      <c r="FWS4"/>
      <c r="FWT4"/>
      <c r="FWU4"/>
      <c r="FWV4"/>
      <c r="FWW4"/>
      <c r="FWX4"/>
      <c r="FWY4"/>
      <c r="FWZ4"/>
      <c r="FXA4"/>
      <c r="FXB4"/>
      <c r="FXC4"/>
      <c r="FXD4"/>
      <c r="FXE4"/>
      <c r="FXF4"/>
      <c r="FXG4"/>
      <c r="FXH4"/>
      <c r="FXI4"/>
      <c r="FXJ4"/>
      <c r="FXK4"/>
      <c r="FXL4"/>
      <c r="FXM4"/>
      <c r="FXN4"/>
      <c r="FXO4"/>
      <c r="FXP4"/>
      <c r="FXQ4"/>
      <c r="FXR4"/>
      <c r="FXS4"/>
      <c r="FXT4"/>
      <c r="FXU4"/>
      <c r="FXV4"/>
      <c r="FXW4"/>
      <c r="FXX4"/>
      <c r="FXY4"/>
      <c r="FXZ4"/>
      <c r="FYA4"/>
      <c r="FYB4"/>
      <c r="FYC4"/>
      <c r="FYD4"/>
      <c r="FYE4"/>
      <c r="FYF4"/>
      <c r="FYG4"/>
      <c r="FYH4"/>
      <c r="FYI4"/>
      <c r="FYJ4"/>
      <c r="FYK4"/>
      <c r="FYL4"/>
      <c r="FYM4"/>
      <c r="FYN4"/>
      <c r="FYO4"/>
      <c r="FYP4"/>
      <c r="FYQ4"/>
      <c r="FYR4"/>
      <c r="FYS4"/>
      <c r="FYT4"/>
      <c r="FYU4"/>
      <c r="FYV4"/>
      <c r="FYW4"/>
      <c r="FYX4"/>
      <c r="FYY4"/>
      <c r="FYZ4"/>
      <c r="FZA4"/>
      <c r="FZB4"/>
      <c r="FZC4"/>
      <c r="FZD4"/>
      <c r="FZE4"/>
      <c r="FZF4"/>
      <c r="FZG4"/>
      <c r="FZH4"/>
      <c r="FZI4"/>
      <c r="FZJ4"/>
      <c r="FZK4"/>
      <c r="FZL4"/>
      <c r="FZM4"/>
      <c r="FZN4"/>
      <c r="FZO4"/>
      <c r="FZP4"/>
      <c r="FZQ4"/>
      <c r="FZR4"/>
      <c r="FZS4"/>
      <c r="FZT4"/>
      <c r="FZU4"/>
      <c r="FZV4"/>
      <c r="FZW4"/>
      <c r="FZX4"/>
      <c r="FZY4"/>
      <c r="FZZ4"/>
      <c r="GAA4"/>
      <c r="GAB4"/>
      <c r="GAC4"/>
      <c r="GAD4"/>
      <c r="GAE4"/>
      <c r="GAF4"/>
      <c r="GAG4"/>
      <c r="GAH4"/>
      <c r="GAI4"/>
      <c r="GAJ4"/>
      <c r="GAK4"/>
      <c r="GAL4"/>
      <c r="GAM4"/>
      <c r="GAN4"/>
      <c r="GAO4"/>
      <c r="GAP4"/>
      <c r="GAQ4"/>
      <c r="GAR4"/>
      <c r="GAS4"/>
      <c r="GAT4"/>
      <c r="GAU4"/>
      <c r="GAV4"/>
      <c r="GAW4"/>
      <c r="GAX4"/>
      <c r="GAY4"/>
      <c r="GAZ4"/>
      <c r="GBA4"/>
      <c r="GBB4"/>
      <c r="GBC4"/>
      <c r="GBD4"/>
      <c r="GBE4"/>
      <c r="GBF4"/>
      <c r="GBG4"/>
      <c r="GBH4"/>
      <c r="GBI4"/>
      <c r="GBJ4"/>
      <c r="GBK4"/>
      <c r="GBL4"/>
      <c r="GBM4"/>
      <c r="GBN4"/>
      <c r="GBO4"/>
      <c r="GBP4"/>
      <c r="GBQ4"/>
      <c r="GBR4"/>
      <c r="GBS4"/>
      <c r="GBT4"/>
      <c r="GBU4"/>
      <c r="GBV4"/>
      <c r="GBW4"/>
      <c r="GBX4"/>
      <c r="GBY4"/>
      <c r="GBZ4"/>
      <c r="GCA4"/>
      <c r="GCB4"/>
      <c r="GCC4"/>
      <c r="GCD4"/>
      <c r="GCE4"/>
      <c r="GCF4"/>
      <c r="GCG4"/>
      <c r="GCH4"/>
      <c r="GCI4"/>
      <c r="GCJ4"/>
      <c r="GCK4"/>
      <c r="GCL4"/>
      <c r="GCM4"/>
      <c r="GCN4"/>
      <c r="GCO4"/>
      <c r="GCP4"/>
      <c r="GCQ4"/>
      <c r="GCR4"/>
      <c r="GCS4"/>
      <c r="GCT4"/>
      <c r="GCU4"/>
      <c r="GCV4"/>
      <c r="GCW4"/>
      <c r="GCX4"/>
      <c r="GCY4"/>
      <c r="GCZ4"/>
      <c r="GDA4"/>
      <c r="GDB4"/>
      <c r="GDC4"/>
      <c r="GDD4"/>
      <c r="GDE4"/>
      <c r="GDF4"/>
      <c r="GDG4"/>
      <c r="GDH4"/>
      <c r="GDI4"/>
      <c r="GDJ4"/>
      <c r="GDK4"/>
      <c r="GDL4"/>
      <c r="GDM4"/>
      <c r="GDN4"/>
      <c r="GDO4"/>
      <c r="GDP4"/>
      <c r="GDQ4"/>
      <c r="GDR4"/>
      <c r="GDS4"/>
      <c r="GDT4"/>
      <c r="GDU4"/>
      <c r="GDV4"/>
      <c r="GDW4"/>
      <c r="GDX4"/>
      <c r="GDY4"/>
      <c r="GDZ4"/>
      <c r="GEA4"/>
      <c r="GEB4"/>
      <c r="GEC4"/>
      <c r="GED4"/>
      <c r="GEE4"/>
      <c r="GEF4"/>
      <c r="GEG4"/>
      <c r="GEH4"/>
      <c r="GEI4"/>
      <c r="GEJ4"/>
      <c r="GEK4"/>
      <c r="GEL4"/>
      <c r="GEM4"/>
      <c r="GEN4"/>
      <c r="GEO4"/>
      <c r="GEP4"/>
      <c r="GEQ4"/>
      <c r="GER4"/>
      <c r="GES4"/>
      <c r="GET4"/>
      <c r="GEU4"/>
      <c r="GEV4"/>
      <c r="GEW4"/>
      <c r="GEX4"/>
      <c r="GEY4"/>
      <c r="GEZ4"/>
      <c r="GFA4"/>
      <c r="GFB4"/>
      <c r="GFC4"/>
      <c r="GFD4"/>
      <c r="GFE4"/>
      <c r="GFF4"/>
      <c r="GFG4"/>
      <c r="GFH4"/>
      <c r="GFI4"/>
      <c r="GFJ4"/>
      <c r="GFK4"/>
      <c r="GFL4"/>
      <c r="GFM4"/>
      <c r="GFN4"/>
      <c r="GFO4"/>
      <c r="GFP4"/>
      <c r="GFQ4"/>
      <c r="GFR4"/>
      <c r="GFS4"/>
      <c r="GFT4"/>
      <c r="GFU4"/>
      <c r="GFV4"/>
      <c r="GFW4"/>
      <c r="GFX4"/>
      <c r="GFY4"/>
      <c r="GFZ4"/>
      <c r="GGA4"/>
      <c r="GGB4"/>
      <c r="GGC4"/>
      <c r="GGD4"/>
      <c r="GGE4"/>
      <c r="GGF4"/>
      <c r="GGG4"/>
      <c r="GGH4"/>
      <c r="GGI4"/>
      <c r="GGJ4"/>
      <c r="GGK4"/>
      <c r="GGL4"/>
      <c r="GGM4"/>
      <c r="GGN4"/>
      <c r="GGO4"/>
      <c r="GGP4"/>
      <c r="GGQ4"/>
      <c r="GGR4"/>
      <c r="GGS4"/>
      <c r="GGT4"/>
      <c r="GGU4"/>
      <c r="GGV4"/>
      <c r="GGW4"/>
      <c r="GGX4"/>
      <c r="GGY4"/>
      <c r="GGZ4"/>
      <c r="GHA4"/>
      <c r="GHB4"/>
      <c r="GHC4"/>
      <c r="GHD4"/>
      <c r="GHE4"/>
      <c r="GHF4"/>
      <c r="GHG4"/>
      <c r="GHH4"/>
      <c r="GHI4"/>
      <c r="GHJ4"/>
      <c r="GHK4"/>
      <c r="GHL4"/>
      <c r="GHM4"/>
      <c r="GHN4"/>
      <c r="GHO4"/>
      <c r="GHP4"/>
      <c r="GHQ4"/>
      <c r="GHR4"/>
      <c r="GHS4"/>
      <c r="GHT4"/>
      <c r="GHU4"/>
      <c r="GHV4"/>
      <c r="GHW4"/>
      <c r="GHX4"/>
      <c r="GHY4"/>
      <c r="GHZ4"/>
      <c r="GIA4"/>
      <c r="GIB4"/>
      <c r="GIC4"/>
      <c r="GID4"/>
      <c r="GIE4"/>
      <c r="GIF4"/>
      <c r="GIG4"/>
      <c r="GIH4"/>
      <c r="GII4"/>
      <c r="GIJ4"/>
      <c r="GIK4"/>
      <c r="GIL4"/>
      <c r="GIM4"/>
      <c r="GIN4"/>
      <c r="GIO4"/>
      <c r="GIP4"/>
      <c r="GIQ4"/>
      <c r="GIR4"/>
      <c r="GIS4"/>
      <c r="GIT4"/>
      <c r="GIU4"/>
      <c r="GIV4"/>
      <c r="GIW4"/>
      <c r="GIX4"/>
      <c r="GIY4"/>
      <c r="GIZ4"/>
      <c r="GJA4"/>
      <c r="GJB4"/>
      <c r="GJC4"/>
      <c r="GJD4"/>
      <c r="GJE4"/>
      <c r="GJF4"/>
      <c r="GJG4"/>
      <c r="GJH4"/>
      <c r="GJI4"/>
      <c r="GJJ4"/>
      <c r="GJK4"/>
      <c r="GJL4"/>
      <c r="GJM4"/>
      <c r="GJN4"/>
      <c r="GJO4"/>
      <c r="GJP4"/>
      <c r="GJQ4"/>
      <c r="GJR4"/>
      <c r="GJS4"/>
      <c r="GJT4"/>
      <c r="GJU4"/>
      <c r="GJV4"/>
      <c r="GJW4"/>
      <c r="GJX4"/>
      <c r="GJY4"/>
      <c r="GJZ4"/>
      <c r="GKA4"/>
      <c r="GKB4"/>
      <c r="GKC4"/>
      <c r="GKD4"/>
      <c r="GKE4"/>
      <c r="GKF4"/>
      <c r="GKG4"/>
      <c r="GKH4"/>
      <c r="GKI4"/>
      <c r="GKJ4"/>
      <c r="GKK4"/>
      <c r="GKL4"/>
      <c r="GKM4"/>
      <c r="GKN4"/>
      <c r="GKO4"/>
      <c r="GKP4"/>
      <c r="GKQ4"/>
      <c r="GKR4"/>
      <c r="GKS4"/>
      <c r="GKT4"/>
      <c r="GKU4"/>
      <c r="GKV4"/>
      <c r="GKW4"/>
      <c r="GKX4"/>
      <c r="GKY4"/>
      <c r="GKZ4"/>
      <c r="GLA4"/>
      <c r="GLB4"/>
      <c r="GLC4"/>
      <c r="GLD4"/>
      <c r="GLE4"/>
      <c r="GLF4"/>
      <c r="GLG4"/>
      <c r="GLH4"/>
      <c r="GLI4"/>
      <c r="GLJ4"/>
      <c r="GLK4"/>
      <c r="GLL4"/>
      <c r="GLM4"/>
      <c r="GLN4"/>
      <c r="GLO4"/>
      <c r="GLP4"/>
      <c r="GLQ4"/>
      <c r="GLR4"/>
      <c r="GLS4"/>
      <c r="GLT4"/>
      <c r="GLU4"/>
      <c r="GLV4"/>
      <c r="GLW4"/>
      <c r="GLX4"/>
      <c r="GLY4"/>
      <c r="GLZ4"/>
      <c r="GMA4"/>
      <c r="GMB4"/>
      <c r="GMC4"/>
      <c r="GMD4"/>
      <c r="GME4"/>
      <c r="GMF4"/>
      <c r="GMG4"/>
      <c r="GMH4"/>
      <c r="GMI4"/>
      <c r="GMJ4"/>
      <c r="GMK4"/>
      <c r="GML4"/>
      <c r="GMM4"/>
      <c r="GMN4"/>
      <c r="GMO4"/>
      <c r="GMP4"/>
      <c r="GMQ4"/>
      <c r="GMR4"/>
      <c r="GMS4"/>
      <c r="GMT4"/>
      <c r="GMU4"/>
      <c r="GMV4"/>
      <c r="GMW4"/>
      <c r="GMX4"/>
      <c r="GMY4"/>
      <c r="GMZ4"/>
      <c r="GNA4"/>
      <c r="GNB4"/>
      <c r="GNC4"/>
      <c r="GND4"/>
      <c r="GNE4"/>
      <c r="GNF4"/>
      <c r="GNG4"/>
      <c r="GNH4"/>
      <c r="GNI4"/>
      <c r="GNJ4"/>
      <c r="GNK4"/>
      <c r="GNL4"/>
      <c r="GNM4"/>
      <c r="GNN4"/>
      <c r="GNO4"/>
      <c r="GNP4"/>
      <c r="GNQ4"/>
      <c r="GNR4"/>
      <c r="GNS4"/>
      <c r="GNT4"/>
      <c r="GNU4"/>
      <c r="GNV4"/>
      <c r="GNW4"/>
      <c r="GNX4"/>
      <c r="GNY4"/>
      <c r="GNZ4"/>
      <c r="GOA4"/>
      <c r="GOB4"/>
      <c r="GOC4"/>
      <c r="GOD4"/>
      <c r="GOE4"/>
      <c r="GOF4"/>
      <c r="GOG4"/>
      <c r="GOH4"/>
      <c r="GOI4"/>
      <c r="GOJ4"/>
      <c r="GOK4"/>
      <c r="GOL4"/>
      <c r="GOM4"/>
      <c r="GON4"/>
      <c r="GOO4"/>
      <c r="GOP4"/>
      <c r="GOQ4"/>
      <c r="GOR4"/>
      <c r="GOS4"/>
      <c r="GOT4"/>
      <c r="GOU4"/>
      <c r="GOV4"/>
      <c r="GOW4"/>
      <c r="GOX4"/>
      <c r="GOY4"/>
      <c r="GOZ4"/>
      <c r="GPA4"/>
      <c r="GPB4"/>
      <c r="GPC4"/>
      <c r="GPD4"/>
      <c r="GPE4"/>
      <c r="GPF4"/>
      <c r="GPG4"/>
      <c r="GPH4"/>
      <c r="GPI4"/>
      <c r="GPJ4"/>
      <c r="GPK4"/>
      <c r="GPL4"/>
      <c r="GPM4"/>
      <c r="GPN4"/>
      <c r="GPO4"/>
      <c r="GPP4"/>
      <c r="GPQ4"/>
      <c r="GPR4"/>
      <c r="GPS4"/>
      <c r="GPT4"/>
      <c r="GPU4"/>
      <c r="GPV4"/>
      <c r="GPW4"/>
      <c r="GPX4"/>
      <c r="GPY4"/>
      <c r="GPZ4"/>
      <c r="GQA4"/>
      <c r="GQB4"/>
      <c r="GQC4"/>
      <c r="GQD4"/>
      <c r="GQE4"/>
      <c r="GQF4"/>
      <c r="GQG4"/>
      <c r="GQH4"/>
      <c r="GQI4"/>
      <c r="GQJ4"/>
      <c r="GQK4"/>
      <c r="GQL4"/>
      <c r="GQM4"/>
      <c r="GQN4"/>
      <c r="GQO4"/>
      <c r="GQP4"/>
      <c r="GQQ4"/>
      <c r="GQR4"/>
      <c r="GQS4"/>
      <c r="GQT4"/>
      <c r="GQU4"/>
      <c r="GQV4"/>
      <c r="GQW4"/>
      <c r="GQX4"/>
      <c r="GQY4"/>
      <c r="GQZ4"/>
      <c r="GRA4"/>
      <c r="GRB4"/>
      <c r="GRC4"/>
      <c r="GRD4"/>
      <c r="GRE4"/>
      <c r="GRF4"/>
      <c r="GRG4"/>
      <c r="GRH4"/>
      <c r="GRI4"/>
      <c r="GRJ4"/>
      <c r="GRK4"/>
      <c r="GRL4"/>
      <c r="GRM4"/>
      <c r="GRN4"/>
      <c r="GRO4"/>
      <c r="GRP4"/>
      <c r="GRQ4"/>
      <c r="GRR4"/>
      <c r="GRS4"/>
      <c r="GRT4"/>
      <c r="GRU4"/>
      <c r="GRV4"/>
      <c r="GRW4"/>
      <c r="GRX4"/>
      <c r="GRY4"/>
      <c r="GRZ4"/>
      <c r="GSA4"/>
      <c r="GSB4"/>
      <c r="GSC4"/>
      <c r="GSD4"/>
      <c r="GSE4"/>
      <c r="GSF4"/>
      <c r="GSG4"/>
      <c r="GSH4"/>
      <c r="GSI4"/>
      <c r="GSJ4"/>
      <c r="GSK4"/>
      <c r="GSL4"/>
      <c r="GSM4"/>
      <c r="GSN4"/>
      <c r="GSO4"/>
      <c r="GSP4"/>
      <c r="GSQ4"/>
      <c r="GSR4"/>
      <c r="GSS4"/>
      <c r="GST4"/>
      <c r="GSU4"/>
      <c r="GSV4"/>
      <c r="GSW4"/>
      <c r="GSX4"/>
      <c r="GSY4"/>
      <c r="GSZ4"/>
      <c r="GTA4"/>
      <c r="GTB4"/>
      <c r="GTC4"/>
      <c r="GTD4"/>
      <c r="GTE4"/>
      <c r="GTF4"/>
      <c r="GTG4"/>
      <c r="GTH4"/>
      <c r="GTI4"/>
      <c r="GTJ4"/>
      <c r="GTK4"/>
      <c r="GTL4"/>
      <c r="GTM4"/>
      <c r="GTN4"/>
      <c r="GTO4"/>
      <c r="GTP4"/>
      <c r="GTQ4"/>
      <c r="GTR4"/>
      <c r="GTS4"/>
      <c r="GTT4"/>
      <c r="GTU4"/>
      <c r="GTV4"/>
      <c r="GTW4"/>
      <c r="GTX4"/>
      <c r="GTY4"/>
      <c r="GTZ4"/>
      <c r="GUA4"/>
      <c r="GUB4"/>
      <c r="GUC4"/>
      <c r="GUD4"/>
      <c r="GUE4"/>
      <c r="GUF4"/>
      <c r="GUG4"/>
      <c r="GUH4"/>
      <c r="GUI4"/>
      <c r="GUJ4"/>
      <c r="GUK4"/>
      <c r="GUL4"/>
      <c r="GUM4"/>
      <c r="GUN4"/>
      <c r="GUO4"/>
      <c r="GUP4"/>
      <c r="GUQ4"/>
      <c r="GUR4"/>
      <c r="GUS4"/>
      <c r="GUT4"/>
      <c r="GUU4"/>
      <c r="GUV4"/>
      <c r="GUW4"/>
      <c r="GUX4"/>
      <c r="GUY4"/>
      <c r="GUZ4"/>
      <c r="GVA4"/>
      <c r="GVB4"/>
      <c r="GVC4"/>
      <c r="GVD4"/>
      <c r="GVE4"/>
      <c r="GVF4"/>
      <c r="GVG4"/>
      <c r="GVH4"/>
      <c r="GVI4"/>
      <c r="GVJ4"/>
      <c r="GVK4"/>
      <c r="GVL4"/>
      <c r="GVM4"/>
      <c r="GVN4"/>
      <c r="GVO4"/>
      <c r="GVP4"/>
      <c r="GVQ4"/>
      <c r="GVR4"/>
      <c r="GVS4"/>
      <c r="GVT4"/>
      <c r="GVU4"/>
      <c r="GVV4"/>
      <c r="GVW4"/>
      <c r="GVX4"/>
      <c r="GVY4"/>
      <c r="GVZ4"/>
      <c r="GWA4"/>
      <c r="GWB4"/>
      <c r="GWC4"/>
      <c r="GWD4"/>
      <c r="GWE4"/>
      <c r="GWF4"/>
      <c r="GWG4"/>
      <c r="GWH4"/>
      <c r="GWI4"/>
      <c r="GWJ4"/>
      <c r="GWK4"/>
      <c r="GWL4"/>
      <c r="GWM4"/>
      <c r="GWN4"/>
      <c r="GWO4"/>
      <c r="GWP4"/>
      <c r="GWQ4"/>
      <c r="GWR4"/>
      <c r="GWS4"/>
      <c r="GWT4"/>
      <c r="GWU4"/>
      <c r="GWV4"/>
      <c r="GWW4"/>
      <c r="GWX4"/>
      <c r="GWY4"/>
      <c r="GWZ4"/>
      <c r="GXA4"/>
      <c r="GXB4"/>
      <c r="GXC4"/>
      <c r="GXD4"/>
      <c r="GXE4"/>
      <c r="GXF4"/>
      <c r="GXG4"/>
      <c r="GXH4"/>
      <c r="GXI4"/>
      <c r="GXJ4"/>
      <c r="GXK4"/>
      <c r="GXL4"/>
      <c r="GXM4"/>
      <c r="GXN4"/>
      <c r="GXO4"/>
      <c r="GXP4"/>
      <c r="GXQ4"/>
      <c r="GXR4"/>
      <c r="GXS4"/>
      <c r="GXT4"/>
      <c r="GXU4"/>
      <c r="GXV4"/>
      <c r="GXW4"/>
      <c r="GXX4"/>
      <c r="GXY4"/>
      <c r="GXZ4"/>
      <c r="GYA4"/>
      <c r="GYB4"/>
      <c r="GYC4"/>
      <c r="GYD4"/>
      <c r="GYE4"/>
      <c r="GYF4"/>
      <c r="GYG4"/>
      <c r="GYH4"/>
      <c r="GYI4"/>
      <c r="GYJ4"/>
      <c r="GYK4"/>
      <c r="GYL4"/>
      <c r="GYM4"/>
      <c r="GYN4"/>
      <c r="GYO4"/>
      <c r="GYP4"/>
      <c r="GYQ4"/>
      <c r="GYR4"/>
      <c r="GYS4"/>
      <c r="GYT4"/>
      <c r="GYU4"/>
      <c r="GYV4"/>
      <c r="GYW4"/>
      <c r="GYX4"/>
      <c r="GYY4"/>
      <c r="GYZ4"/>
      <c r="GZA4"/>
      <c r="GZB4"/>
      <c r="GZC4"/>
      <c r="GZD4"/>
      <c r="GZE4"/>
      <c r="GZF4"/>
      <c r="GZG4"/>
      <c r="GZH4"/>
      <c r="GZI4"/>
      <c r="GZJ4"/>
      <c r="GZK4"/>
      <c r="GZL4"/>
      <c r="GZM4"/>
      <c r="GZN4"/>
      <c r="GZO4"/>
      <c r="GZP4"/>
      <c r="GZQ4"/>
      <c r="GZR4"/>
      <c r="GZS4"/>
      <c r="GZT4"/>
      <c r="GZU4"/>
      <c r="GZV4"/>
      <c r="GZW4"/>
      <c r="GZX4"/>
      <c r="GZY4"/>
      <c r="GZZ4"/>
      <c r="HAA4"/>
      <c r="HAB4"/>
      <c r="HAC4"/>
      <c r="HAD4"/>
      <c r="HAE4"/>
      <c r="HAF4"/>
      <c r="HAG4"/>
      <c r="HAH4"/>
      <c r="HAI4"/>
      <c r="HAJ4"/>
      <c r="HAK4"/>
      <c r="HAL4"/>
      <c r="HAM4"/>
      <c r="HAN4"/>
      <c r="HAO4"/>
      <c r="HAP4"/>
      <c r="HAQ4"/>
      <c r="HAR4"/>
      <c r="HAS4"/>
      <c r="HAT4"/>
      <c r="HAU4"/>
      <c r="HAV4"/>
      <c r="HAW4"/>
      <c r="HAX4"/>
      <c r="HAY4"/>
      <c r="HAZ4"/>
      <c r="HBA4"/>
      <c r="HBB4"/>
      <c r="HBC4"/>
      <c r="HBD4"/>
      <c r="HBE4"/>
      <c r="HBF4"/>
      <c r="HBG4"/>
      <c r="HBH4"/>
      <c r="HBI4"/>
      <c r="HBJ4"/>
      <c r="HBK4"/>
      <c r="HBL4"/>
      <c r="HBM4"/>
      <c r="HBN4"/>
      <c r="HBO4"/>
      <c r="HBP4"/>
      <c r="HBQ4"/>
      <c r="HBR4"/>
      <c r="HBS4"/>
      <c r="HBT4"/>
      <c r="HBU4"/>
      <c r="HBV4"/>
      <c r="HBW4"/>
      <c r="HBX4"/>
      <c r="HBY4"/>
      <c r="HBZ4"/>
      <c r="HCA4"/>
      <c r="HCB4"/>
      <c r="HCC4"/>
      <c r="HCD4"/>
      <c r="HCE4"/>
      <c r="HCF4"/>
      <c r="HCG4"/>
      <c r="HCH4"/>
      <c r="HCI4"/>
      <c r="HCJ4"/>
      <c r="HCK4"/>
      <c r="HCL4"/>
      <c r="HCM4"/>
      <c r="HCN4"/>
      <c r="HCO4"/>
      <c r="HCP4"/>
      <c r="HCQ4"/>
      <c r="HCR4"/>
      <c r="HCS4"/>
      <c r="HCT4"/>
      <c r="HCU4"/>
      <c r="HCV4"/>
      <c r="HCW4"/>
      <c r="HCX4"/>
      <c r="HCY4"/>
      <c r="HCZ4"/>
      <c r="HDA4"/>
      <c r="HDB4"/>
      <c r="HDC4"/>
      <c r="HDD4"/>
      <c r="HDE4"/>
      <c r="HDF4"/>
      <c r="HDG4"/>
      <c r="HDH4"/>
      <c r="HDI4"/>
      <c r="HDJ4"/>
      <c r="HDK4"/>
      <c r="HDL4"/>
      <c r="HDM4"/>
      <c r="HDN4"/>
      <c r="HDO4"/>
      <c r="HDP4"/>
      <c r="HDQ4"/>
      <c r="HDR4"/>
      <c r="HDS4"/>
      <c r="HDT4"/>
      <c r="HDU4"/>
      <c r="HDV4"/>
      <c r="HDW4"/>
      <c r="HDX4"/>
      <c r="HDY4"/>
      <c r="HDZ4"/>
      <c r="HEA4"/>
      <c r="HEB4"/>
      <c r="HEC4"/>
      <c r="HED4"/>
      <c r="HEE4"/>
      <c r="HEF4"/>
      <c r="HEG4"/>
      <c r="HEH4"/>
      <c r="HEI4"/>
      <c r="HEJ4"/>
      <c r="HEK4"/>
      <c r="HEL4"/>
      <c r="HEM4"/>
      <c r="HEN4"/>
      <c r="HEO4"/>
      <c r="HEP4"/>
      <c r="HEQ4"/>
      <c r="HER4"/>
      <c r="HES4"/>
      <c r="HET4"/>
      <c r="HEU4"/>
      <c r="HEV4"/>
      <c r="HEW4"/>
      <c r="HEX4"/>
      <c r="HEY4"/>
      <c r="HEZ4"/>
      <c r="HFA4"/>
      <c r="HFB4"/>
      <c r="HFC4"/>
      <c r="HFD4"/>
      <c r="HFE4"/>
      <c r="HFF4"/>
      <c r="HFG4"/>
      <c r="HFH4"/>
      <c r="HFI4"/>
      <c r="HFJ4"/>
      <c r="HFK4"/>
      <c r="HFL4"/>
      <c r="HFM4"/>
      <c r="HFN4"/>
      <c r="HFO4"/>
      <c r="HFP4"/>
      <c r="HFQ4"/>
      <c r="HFR4"/>
      <c r="HFS4"/>
      <c r="HFT4"/>
      <c r="HFU4"/>
      <c r="HFV4"/>
      <c r="HFW4"/>
      <c r="HFX4"/>
      <c r="HFY4"/>
      <c r="HFZ4"/>
      <c r="HGA4"/>
      <c r="HGB4"/>
      <c r="HGC4"/>
      <c r="HGD4"/>
      <c r="HGE4"/>
      <c r="HGF4"/>
      <c r="HGG4"/>
      <c r="HGH4"/>
      <c r="HGI4"/>
      <c r="HGJ4"/>
      <c r="HGK4"/>
      <c r="HGL4"/>
      <c r="HGM4"/>
      <c r="HGN4"/>
      <c r="HGO4"/>
      <c r="HGP4"/>
      <c r="HGQ4"/>
      <c r="HGR4"/>
      <c r="HGS4"/>
      <c r="HGT4"/>
      <c r="HGU4"/>
      <c r="HGV4"/>
      <c r="HGW4"/>
      <c r="HGX4"/>
      <c r="HGY4"/>
      <c r="HGZ4"/>
      <c r="HHA4"/>
      <c r="HHB4"/>
      <c r="HHC4"/>
      <c r="HHD4"/>
      <c r="HHE4"/>
      <c r="HHF4"/>
      <c r="HHG4"/>
      <c r="HHH4"/>
      <c r="HHI4"/>
      <c r="HHJ4"/>
      <c r="HHK4"/>
      <c r="HHL4"/>
      <c r="HHM4"/>
      <c r="HHN4"/>
      <c r="HHO4"/>
      <c r="HHP4"/>
      <c r="HHQ4"/>
      <c r="HHR4"/>
      <c r="HHS4"/>
      <c r="HHT4"/>
      <c r="HHU4"/>
      <c r="HHV4"/>
      <c r="HHW4"/>
      <c r="HHX4"/>
      <c r="HHY4"/>
      <c r="HHZ4"/>
      <c r="HIA4"/>
      <c r="HIB4"/>
      <c r="HIC4"/>
      <c r="HID4"/>
      <c r="HIE4"/>
      <c r="HIF4"/>
      <c r="HIG4"/>
      <c r="HIH4"/>
      <c r="HII4"/>
      <c r="HIJ4"/>
      <c r="HIK4"/>
      <c r="HIL4"/>
      <c r="HIM4"/>
      <c r="HIN4"/>
      <c r="HIO4"/>
      <c r="HIP4"/>
      <c r="HIQ4"/>
      <c r="HIR4"/>
      <c r="HIS4"/>
      <c r="HIT4"/>
      <c r="HIU4"/>
      <c r="HIV4"/>
      <c r="HIW4"/>
      <c r="HIX4"/>
      <c r="HIY4"/>
      <c r="HIZ4"/>
      <c r="HJA4"/>
      <c r="HJB4"/>
      <c r="HJC4"/>
      <c r="HJD4"/>
      <c r="HJE4"/>
      <c r="HJF4"/>
      <c r="HJG4"/>
      <c r="HJH4"/>
      <c r="HJI4"/>
      <c r="HJJ4"/>
      <c r="HJK4"/>
      <c r="HJL4"/>
      <c r="HJM4"/>
      <c r="HJN4"/>
      <c r="HJO4"/>
      <c r="HJP4"/>
      <c r="HJQ4"/>
      <c r="HJR4"/>
      <c r="HJS4"/>
      <c r="HJT4"/>
      <c r="HJU4"/>
      <c r="HJV4"/>
      <c r="HJW4"/>
      <c r="HJX4"/>
      <c r="HJY4"/>
      <c r="HJZ4"/>
      <c r="HKA4"/>
      <c r="HKB4"/>
      <c r="HKC4"/>
      <c r="HKD4"/>
      <c r="HKE4"/>
      <c r="HKF4"/>
      <c r="HKG4"/>
      <c r="HKH4"/>
      <c r="HKI4"/>
      <c r="HKJ4"/>
      <c r="HKK4"/>
      <c r="HKL4"/>
      <c r="HKM4"/>
      <c r="HKN4"/>
      <c r="HKO4"/>
      <c r="HKP4"/>
      <c r="HKQ4"/>
      <c r="HKR4"/>
      <c r="HKS4"/>
      <c r="HKT4"/>
      <c r="HKU4"/>
      <c r="HKV4"/>
      <c r="HKW4"/>
      <c r="HKX4"/>
      <c r="HKY4"/>
      <c r="HKZ4"/>
      <c r="HLA4"/>
      <c r="HLB4"/>
      <c r="HLC4"/>
      <c r="HLD4"/>
      <c r="HLE4"/>
      <c r="HLF4"/>
      <c r="HLG4"/>
      <c r="HLH4"/>
      <c r="HLI4"/>
      <c r="HLJ4"/>
      <c r="HLK4"/>
      <c r="HLL4"/>
      <c r="HLM4"/>
      <c r="HLN4"/>
      <c r="HLO4"/>
      <c r="HLP4"/>
      <c r="HLQ4"/>
      <c r="HLR4"/>
      <c r="HLS4"/>
      <c r="HLT4"/>
      <c r="HLU4"/>
      <c r="HLV4"/>
      <c r="HLW4"/>
      <c r="HLX4"/>
      <c r="HLY4"/>
      <c r="HLZ4"/>
      <c r="HMA4"/>
      <c r="HMB4"/>
      <c r="HMC4"/>
      <c r="HMD4"/>
      <c r="HME4"/>
      <c r="HMF4"/>
      <c r="HMG4"/>
      <c r="HMH4"/>
      <c r="HMI4"/>
      <c r="HMJ4"/>
      <c r="HMK4"/>
      <c r="HML4"/>
      <c r="HMM4"/>
      <c r="HMN4"/>
      <c r="HMO4"/>
      <c r="HMP4"/>
      <c r="HMQ4"/>
      <c r="HMR4"/>
      <c r="HMS4"/>
      <c r="HMT4"/>
      <c r="HMU4"/>
      <c r="HMV4"/>
      <c r="HMW4"/>
      <c r="HMX4"/>
      <c r="HMY4"/>
      <c r="HMZ4"/>
      <c r="HNA4"/>
      <c r="HNB4"/>
      <c r="HNC4"/>
      <c r="HND4"/>
      <c r="HNE4"/>
      <c r="HNF4"/>
      <c r="HNG4"/>
      <c r="HNH4"/>
      <c r="HNI4"/>
      <c r="HNJ4"/>
      <c r="HNK4"/>
      <c r="HNL4"/>
      <c r="HNM4"/>
      <c r="HNN4"/>
      <c r="HNO4"/>
      <c r="HNP4"/>
      <c r="HNQ4"/>
      <c r="HNR4"/>
      <c r="HNS4"/>
      <c r="HNT4"/>
      <c r="HNU4"/>
      <c r="HNV4"/>
      <c r="HNW4"/>
      <c r="HNX4"/>
      <c r="HNY4"/>
      <c r="HNZ4"/>
      <c r="HOA4"/>
      <c r="HOB4"/>
      <c r="HOC4"/>
      <c r="HOD4"/>
      <c r="HOE4"/>
      <c r="HOF4"/>
      <c r="HOG4"/>
      <c r="HOH4"/>
      <c r="HOI4"/>
      <c r="HOJ4"/>
      <c r="HOK4"/>
      <c r="HOL4"/>
      <c r="HOM4"/>
      <c r="HON4"/>
      <c r="HOO4"/>
      <c r="HOP4"/>
      <c r="HOQ4"/>
      <c r="HOR4"/>
      <c r="HOS4"/>
      <c r="HOT4"/>
      <c r="HOU4"/>
      <c r="HOV4"/>
      <c r="HOW4"/>
      <c r="HOX4"/>
      <c r="HOY4"/>
      <c r="HOZ4"/>
      <c r="HPA4"/>
      <c r="HPB4"/>
      <c r="HPC4"/>
      <c r="HPD4"/>
      <c r="HPE4"/>
      <c r="HPF4"/>
      <c r="HPG4"/>
      <c r="HPH4"/>
      <c r="HPI4"/>
      <c r="HPJ4"/>
      <c r="HPK4"/>
      <c r="HPL4"/>
      <c r="HPM4"/>
      <c r="HPN4"/>
      <c r="HPO4"/>
      <c r="HPP4"/>
      <c r="HPQ4"/>
      <c r="HPR4"/>
      <c r="HPS4"/>
      <c r="HPT4"/>
      <c r="HPU4"/>
      <c r="HPV4"/>
      <c r="HPW4"/>
      <c r="HPX4"/>
      <c r="HPY4"/>
      <c r="HPZ4"/>
      <c r="HQA4"/>
      <c r="HQB4"/>
      <c r="HQC4"/>
      <c r="HQD4"/>
      <c r="HQE4"/>
      <c r="HQF4"/>
      <c r="HQG4"/>
      <c r="HQH4"/>
      <c r="HQI4"/>
      <c r="HQJ4"/>
      <c r="HQK4"/>
      <c r="HQL4"/>
      <c r="HQM4"/>
      <c r="HQN4"/>
      <c r="HQO4"/>
      <c r="HQP4"/>
      <c r="HQQ4"/>
      <c r="HQR4"/>
      <c r="HQS4"/>
      <c r="HQT4"/>
      <c r="HQU4"/>
      <c r="HQV4"/>
      <c r="HQW4"/>
      <c r="HQX4"/>
      <c r="HQY4"/>
      <c r="HQZ4"/>
      <c r="HRA4"/>
      <c r="HRB4"/>
      <c r="HRC4"/>
      <c r="HRD4"/>
      <c r="HRE4"/>
      <c r="HRF4"/>
      <c r="HRG4"/>
      <c r="HRH4"/>
      <c r="HRI4"/>
      <c r="HRJ4"/>
      <c r="HRK4"/>
      <c r="HRL4"/>
      <c r="HRM4"/>
      <c r="HRN4"/>
      <c r="HRO4"/>
      <c r="HRP4"/>
      <c r="HRQ4"/>
      <c r="HRR4"/>
      <c r="HRS4"/>
      <c r="HRT4"/>
      <c r="HRU4"/>
      <c r="HRV4"/>
      <c r="HRW4"/>
      <c r="HRX4"/>
      <c r="HRY4"/>
      <c r="HRZ4"/>
      <c r="HSA4"/>
      <c r="HSB4"/>
      <c r="HSC4"/>
      <c r="HSD4"/>
      <c r="HSE4"/>
      <c r="HSF4"/>
      <c r="HSG4"/>
      <c r="HSH4"/>
      <c r="HSI4"/>
      <c r="HSJ4"/>
      <c r="HSK4"/>
      <c r="HSL4"/>
      <c r="HSM4"/>
      <c r="HSN4"/>
      <c r="HSO4"/>
      <c r="HSP4"/>
      <c r="HSQ4"/>
      <c r="HSR4"/>
      <c r="HSS4"/>
      <c r="HST4"/>
      <c r="HSU4"/>
      <c r="HSV4"/>
      <c r="HSW4"/>
      <c r="HSX4"/>
      <c r="HSY4"/>
      <c r="HSZ4"/>
      <c r="HTA4"/>
      <c r="HTB4"/>
      <c r="HTC4"/>
      <c r="HTD4"/>
      <c r="HTE4"/>
      <c r="HTF4"/>
      <c r="HTG4"/>
      <c r="HTH4"/>
      <c r="HTI4"/>
      <c r="HTJ4"/>
      <c r="HTK4"/>
      <c r="HTL4"/>
      <c r="HTM4"/>
      <c r="HTN4"/>
      <c r="HTO4"/>
      <c r="HTP4"/>
      <c r="HTQ4"/>
      <c r="HTR4"/>
      <c r="HTS4"/>
      <c r="HTT4"/>
      <c r="HTU4"/>
      <c r="HTV4"/>
      <c r="HTW4"/>
      <c r="HTX4"/>
      <c r="HTY4"/>
      <c r="HTZ4"/>
      <c r="HUA4"/>
      <c r="HUB4"/>
      <c r="HUC4"/>
      <c r="HUD4"/>
      <c r="HUE4"/>
      <c r="HUF4"/>
      <c r="HUG4"/>
      <c r="HUH4"/>
      <c r="HUI4"/>
      <c r="HUJ4"/>
      <c r="HUK4"/>
      <c r="HUL4"/>
      <c r="HUM4"/>
      <c r="HUN4"/>
      <c r="HUO4"/>
      <c r="HUP4"/>
      <c r="HUQ4"/>
      <c r="HUR4"/>
      <c r="HUS4"/>
      <c r="HUT4"/>
      <c r="HUU4"/>
      <c r="HUV4"/>
      <c r="HUW4"/>
      <c r="HUX4"/>
      <c r="HUY4"/>
      <c r="HUZ4"/>
      <c r="HVA4"/>
      <c r="HVB4"/>
      <c r="HVC4"/>
      <c r="HVD4"/>
      <c r="HVE4"/>
      <c r="HVF4"/>
      <c r="HVG4"/>
      <c r="HVH4"/>
      <c r="HVI4"/>
      <c r="HVJ4"/>
      <c r="HVK4"/>
      <c r="HVL4"/>
      <c r="HVM4"/>
      <c r="HVN4"/>
      <c r="HVO4"/>
      <c r="HVP4"/>
      <c r="HVQ4"/>
      <c r="HVR4"/>
      <c r="HVS4"/>
      <c r="HVT4"/>
      <c r="HVU4"/>
      <c r="HVV4"/>
      <c r="HVW4"/>
      <c r="HVX4"/>
      <c r="HVY4"/>
      <c r="HVZ4"/>
      <c r="HWA4"/>
      <c r="HWB4"/>
      <c r="HWC4"/>
      <c r="HWD4"/>
      <c r="HWE4"/>
      <c r="HWF4"/>
      <c r="HWG4"/>
      <c r="HWH4"/>
      <c r="HWI4"/>
      <c r="HWJ4"/>
      <c r="HWK4"/>
      <c r="HWL4"/>
      <c r="HWM4"/>
      <c r="HWN4"/>
      <c r="HWO4"/>
      <c r="HWP4"/>
      <c r="HWQ4"/>
      <c r="HWR4"/>
      <c r="HWS4"/>
      <c r="HWT4"/>
      <c r="HWU4"/>
      <c r="HWV4"/>
      <c r="HWW4"/>
      <c r="HWX4"/>
      <c r="HWY4"/>
      <c r="HWZ4"/>
      <c r="HXA4"/>
      <c r="HXB4"/>
      <c r="HXC4"/>
      <c r="HXD4"/>
      <c r="HXE4"/>
      <c r="HXF4"/>
      <c r="HXG4"/>
      <c r="HXH4"/>
      <c r="HXI4"/>
      <c r="HXJ4"/>
      <c r="HXK4"/>
      <c r="HXL4"/>
      <c r="HXM4"/>
      <c r="HXN4"/>
      <c r="HXO4"/>
      <c r="HXP4"/>
      <c r="HXQ4"/>
      <c r="HXR4"/>
      <c r="HXS4"/>
      <c r="HXT4"/>
      <c r="HXU4"/>
      <c r="HXV4"/>
      <c r="HXW4"/>
      <c r="HXX4"/>
      <c r="HXY4"/>
      <c r="HXZ4"/>
      <c r="HYA4"/>
      <c r="HYB4"/>
      <c r="HYC4"/>
      <c r="HYD4"/>
      <c r="HYE4"/>
      <c r="HYF4"/>
      <c r="HYG4"/>
      <c r="HYH4"/>
      <c r="HYI4"/>
      <c r="HYJ4"/>
      <c r="HYK4"/>
      <c r="HYL4"/>
      <c r="HYM4"/>
      <c r="HYN4"/>
      <c r="HYO4"/>
      <c r="HYP4"/>
      <c r="HYQ4"/>
      <c r="HYR4"/>
      <c r="HYS4"/>
      <c r="HYT4"/>
      <c r="HYU4"/>
      <c r="HYV4"/>
      <c r="HYW4"/>
      <c r="HYX4"/>
      <c r="HYY4"/>
      <c r="HYZ4"/>
      <c r="HZA4"/>
      <c r="HZB4"/>
      <c r="HZC4"/>
      <c r="HZD4"/>
      <c r="HZE4"/>
      <c r="HZF4"/>
      <c r="HZG4"/>
      <c r="HZH4"/>
      <c r="HZI4"/>
      <c r="HZJ4"/>
      <c r="HZK4"/>
      <c r="HZL4"/>
      <c r="HZM4"/>
      <c r="HZN4"/>
      <c r="HZO4"/>
      <c r="HZP4"/>
      <c r="HZQ4"/>
      <c r="HZR4"/>
      <c r="HZS4"/>
      <c r="HZT4"/>
      <c r="HZU4"/>
      <c r="HZV4"/>
      <c r="HZW4"/>
      <c r="HZX4"/>
      <c r="HZY4"/>
      <c r="HZZ4"/>
      <c r="IAA4"/>
      <c r="IAB4"/>
      <c r="IAC4"/>
      <c r="IAD4"/>
      <c r="IAE4"/>
      <c r="IAF4"/>
      <c r="IAG4"/>
      <c r="IAH4"/>
      <c r="IAI4"/>
      <c r="IAJ4"/>
      <c r="IAK4"/>
      <c r="IAL4"/>
      <c r="IAM4"/>
      <c r="IAN4"/>
      <c r="IAO4"/>
      <c r="IAP4"/>
      <c r="IAQ4"/>
      <c r="IAR4"/>
      <c r="IAS4"/>
      <c r="IAT4"/>
      <c r="IAU4"/>
      <c r="IAV4"/>
      <c r="IAW4"/>
      <c r="IAX4"/>
      <c r="IAY4"/>
      <c r="IAZ4"/>
      <c r="IBA4"/>
      <c r="IBB4"/>
      <c r="IBC4"/>
      <c r="IBD4"/>
      <c r="IBE4"/>
      <c r="IBF4"/>
      <c r="IBG4"/>
      <c r="IBH4"/>
      <c r="IBI4"/>
      <c r="IBJ4"/>
      <c r="IBK4"/>
      <c r="IBL4"/>
      <c r="IBM4"/>
      <c r="IBN4"/>
      <c r="IBO4"/>
      <c r="IBP4"/>
      <c r="IBQ4"/>
      <c r="IBR4"/>
      <c r="IBS4"/>
      <c r="IBT4"/>
      <c r="IBU4"/>
      <c r="IBV4"/>
      <c r="IBW4"/>
      <c r="IBX4"/>
      <c r="IBY4"/>
      <c r="IBZ4"/>
      <c r="ICA4"/>
      <c r="ICB4"/>
      <c r="ICC4"/>
      <c r="ICD4"/>
      <c r="ICE4"/>
      <c r="ICF4"/>
      <c r="ICG4"/>
      <c r="ICH4"/>
      <c r="ICI4"/>
      <c r="ICJ4"/>
      <c r="ICK4"/>
      <c r="ICL4"/>
      <c r="ICM4"/>
      <c r="ICN4"/>
      <c r="ICO4"/>
      <c r="ICP4"/>
      <c r="ICQ4"/>
      <c r="ICR4"/>
      <c r="ICS4"/>
      <c r="ICT4"/>
      <c r="ICU4"/>
      <c r="ICV4"/>
      <c r="ICW4"/>
      <c r="ICX4"/>
      <c r="ICY4"/>
      <c r="ICZ4"/>
      <c r="IDA4"/>
      <c r="IDB4"/>
      <c r="IDC4"/>
      <c r="IDD4"/>
      <c r="IDE4"/>
      <c r="IDF4"/>
      <c r="IDG4"/>
      <c r="IDH4"/>
      <c r="IDI4"/>
      <c r="IDJ4"/>
      <c r="IDK4"/>
      <c r="IDL4"/>
      <c r="IDM4"/>
      <c r="IDN4"/>
      <c r="IDO4"/>
      <c r="IDP4"/>
      <c r="IDQ4"/>
      <c r="IDR4"/>
      <c r="IDS4"/>
      <c r="IDT4"/>
      <c r="IDU4"/>
      <c r="IDV4"/>
      <c r="IDW4"/>
      <c r="IDX4"/>
      <c r="IDY4"/>
      <c r="IDZ4"/>
      <c r="IEA4"/>
      <c r="IEB4"/>
      <c r="IEC4"/>
      <c r="IED4"/>
      <c r="IEE4"/>
      <c r="IEF4"/>
      <c r="IEG4"/>
      <c r="IEH4"/>
      <c r="IEI4"/>
      <c r="IEJ4"/>
      <c r="IEK4"/>
      <c r="IEL4"/>
      <c r="IEM4"/>
      <c r="IEN4"/>
      <c r="IEO4"/>
      <c r="IEP4"/>
      <c r="IEQ4"/>
      <c r="IER4"/>
      <c r="IES4"/>
      <c r="IET4"/>
      <c r="IEU4"/>
      <c r="IEV4"/>
      <c r="IEW4"/>
      <c r="IEX4"/>
      <c r="IEY4"/>
      <c r="IEZ4"/>
      <c r="IFA4"/>
      <c r="IFB4"/>
      <c r="IFC4"/>
      <c r="IFD4"/>
      <c r="IFE4"/>
      <c r="IFF4"/>
      <c r="IFG4"/>
      <c r="IFH4"/>
      <c r="IFI4"/>
      <c r="IFJ4"/>
      <c r="IFK4"/>
      <c r="IFL4"/>
      <c r="IFM4"/>
      <c r="IFN4"/>
      <c r="IFO4"/>
      <c r="IFP4"/>
      <c r="IFQ4"/>
      <c r="IFR4"/>
      <c r="IFS4"/>
      <c r="IFT4"/>
      <c r="IFU4"/>
      <c r="IFV4"/>
      <c r="IFW4"/>
      <c r="IFX4"/>
      <c r="IFY4"/>
      <c r="IFZ4"/>
      <c r="IGA4"/>
      <c r="IGB4"/>
      <c r="IGC4"/>
      <c r="IGD4"/>
      <c r="IGE4"/>
      <c r="IGF4"/>
      <c r="IGG4"/>
      <c r="IGH4"/>
      <c r="IGI4"/>
      <c r="IGJ4"/>
      <c r="IGK4"/>
      <c r="IGL4"/>
      <c r="IGM4"/>
      <c r="IGN4"/>
      <c r="IGO4"/>
      <c r="IGP4"/>
      <c r="IGQ4"/>
      <c r="IGR4"/>
      <c r="IGS4"/>
      <c r="IGT4"/>
      <c r="IGU4"/>
      <c r="IGV4"/>
      <c r="IGW4"/>
      <c r="IGX4"/>
      <c r="IGY4"/>
      <c r="IGZ4"/>
      <c r="IHA4"/>
      <c r="IHB4"/>
      <c r="IHC4"/>
      <c r="IHD4"/>
      <c r="IHE4"/>
      <c r="IHF4"/>
      <c r="IHG4"/>
      <c r="IHH4"/>
      <c r="IHI4"/>
      <c r="IHJ4"/>
      <c r="IHK4"/>
      <c r="IHL4"/>
      <c r="IHM4"/>
      <c r="IHN4"/>
      <c r="IHO4"/>
      <c r="IHP4"/>
      <c r="IHQ4"/>
      <c r="IHR4"/>
      <c r="IHS4"/>
      <c r="IHT4"/>
      <c r="IHU4"/>
      <c r="IHV4"/>
      <c r="IHW4"/>
      <c r="IHX4"/>
      <c r="IHY4"/>
      <c r="IHZ4"/>
      <c r="IIA4"/>
      <c r="IIB4"/>
      <c r="IIC4"/>
      <c r="IID4"/>
      <c r="IIE4"/>
      <c r="IIF4"/>
      <c r="IIG4"/>
      <c r="IIH4"/>
      <c r="III4"/>
      <c r="IIJ4"/>
      <c r="IIK4"/>
      <c r="IIL4"/>
      <c r="IIM4"/>
      <c r="IIN4"/>
      <c r="IIO4"/>
      <c r="IIP4"/>
      <c r="IIQ4"/>
      <c r="IIR4"/>
      <c r="IIS4"/>
      <c r="IIT4"/>
      <c r="IIU4"/>
      <c r="IIV4"/>
      <c r="IIW4"/>
      <c r="IIX4"/>
      <c r="IIY4"/>
      <c r="IIZ4"/>
      <c r="IJA4"/>
      <c r="IJB4"/>
      <c r="IJC4"/>
      <c r="IJD4"/>
      <c r="IJE4"/>
      <c r="IJF4"/>
      <c r="IJG4"/>
      <c r="IJH4"/>
      <c r="IJI4"/>
      <c r="IJJ4"/>
      <c r="IJK4"/>
      <c r="IJL4"/>
      <c r="IJM4"/>
      <c r="IJN4"/>
      <c r="IJO4"/>
      <c r="IJP4"/>
      <c r="IJQ4"/>
      <c r="IJR4"/>
      <c r="IJS4"/>
      <c r="IJT4"/>
      <c r="IJU4"/>
      <c r="IJV4"/>
      <c r="IJW4"/>
      <c r="IJX4"/>
      <c r="IJY4"/>
      <c r="IJZ4"/>
      <c r="IKA4"/>
      <c r="IKB4"/>
      <c r="IKC4"/>
      <c r="IKD4"/>
      <c r="IKE4"/>
      <c r="IKF4"/>
      <c r="IKG4"/>
      <c r="IKH4"/>
      <c r="IKI4"/>
      <c r="IKJ4"/>
      <c r="IKK4"/>
      <c r="IKL4"/>
      <c r="IKM4"/>
      <c r="IKN4"/>
      <c r="IKO4"/>
      <c r="IKP4"/>
      <c r="IKQ4"/>
      <c r="IKR4"/>
      <c r="IKS4"/>
      <c r="IKT4"/>
      <c r="IKU4"/>
      <c r="IKV4"/>
      <c r="IKW4"/>
      <c r="IKX4"/>
      <c r="IKY4"/>
      <c r="IKZ4"/>
      <c r="ILA4"/>
      <c r="ILB4"/>
      <c r="ILC4"/>
      <c r="ILD4"/>
      <c r="ILE4"/>
      <c r="ILF4"/>
      <c r="ILG4"/>
      <c r="ILH4"/>
      <c r="ILI4"/>
      <c r="ILJ4"/>
      <c r="ILK4"/>
      <c r="ILL4"/>
      <c r="ILM4"/>
      <c r="ILN4"/>
      <c r="ILO4"/>
      <c r="ILP4"/>
      <c r="ILQ4"/>
      <c r="ILR4"/>
      <c r="ILS4"/>
      <c r="ILT4"/>
      <c r="ILU4"/>
      <c r="ILV4"/>
      <c r="ILW4"/>
      <c r="ILX4"/>
      <c r="ILY4"/>
      <c r="ILZ4"/>
      <c r="IMA4"/>
      <c r="IMB4"/>
      <c r="IMC4"/>
      <c r="IMD4"/>
      <c r="IME4"/>
      <c r="IMF4"/>
      <c r="IMG4"/>
      <c r="IMH4"/>
      <c r="IMI4"/>
      <c r="IMJ4"/>
      <c r="IMK4"/>
      <c r="IML4"/>
      <c r="IMM4"/>
      <c r="IMN4"/>
      <c r="IMO4"/>
      <c r="IMP4"/>
      <c r="IMQ4"/>
      <c r="IMR4"/>
      <c r="IMS4"/>
      <c r="IMT4"/>
      <c r="IMU4"/>
      <c r="IMV4"/>
      <c r="IMW4"/>
      <c r="IMX4"/>
      <c r="IMY4"/>
      <c r="IMZ4"/>
      <c r="INA4"/>
      <c r="INB4"/>
      <c r="INC4"/>
      <c r="IND4"/>
      <c r="INE4"/>
      <c r="INF4"/>
      <c r="ING4"/>
      <c r="INH4"/>
      <c r="INI4"/>
      <c r="INJ4"/>
      <c r="INK4"/>
      <c r="INL4"/>
      <c r="INM4"/>
      <c r="INN4"/>
      <c r="INO4"/>
      <c r="INP4"/>
      <c r="INQ4"/>
      <c r="INR4"/>
      <c r="INS4"/>
      <c r="INT4"/>
      <c r="INU4"/>
      <c r="INV4"/>
      <c r="INW4"/>
      <c r="INX4"/>
      <c r="INY4"/>
      <c r="INZ4"/>
      <c r="IOA4"/>
      <c r="IOB4"/>
      <c r="IOC4"/>
      <c r="IOD4"/>
      <c r="IOE4"/>
      <c r="IOF4"/>
      <c r="IOG4"/>
      <c r="IOH4"/>
      <c r="IOI4"/>
      <c r="IOJ4"/>
      <c r="IOK4"/>
      <c r="IOL4"/>
      <c r="IOM4"/>
      <c r="ION4"/>
      <c r="IOO4"/>
      <c r="IOP4"/>
      <c r="IOQ4"/>
      <c r="IOR4"/>
      <c r="IOS4"/>
      <c r="IOT4"/>
      <c r="IOU4"/>
      <c r="IOV4"/>
      <c r="IOW4"/>
      <c r="IOX4"/>
      <c r="IOY4"/>
      <c r="IOZ4"/>
      <c r="IPA4"/>
      <c r="IPB4"/>
      <c r="IPC4"/>
      <c r="IPD4"/>
      <c r="IPE4"/>
      <c r="IPF4"/>
      <c r="IPG4"/>
      <c r="IPH4"/>
      <c r="IPI4"/>
      <c r="IPJ4"/>
      <c r="IPK4"/>
      <c r="IPL4"/>
      <c r="IPM4"/>
      <c r="IPN4"/>
      <c r="IPO4"/>
      <c r="IPP4"/>
      <c r="IPQ4"/>
      <c r="IPR4"/>
      <c r="IPS4"/>
      <c r="IPT4"/>
      <c r="IPU4"/>
      <c r="IPV4"/>
      <c r="IPW4"/>
      <c r="IPX4"/>
      <c r="IPY4"/>
      <c r="IPZ4"/>
      <c r="IQA4"/>
      <c r="IQB4"/>
      <c r="IQC4"/>
      <c r="IQD4"/>
      <c r="IQE4"/>
      <c r="IQF4"/>
      <c r="IQG4"/>
      <c r="IQH4"/>
      <c r="IQI4"/>
      <c r="IQJ4"/>
      <c r="IQK4"/>
      <c r="IQL4"/>
      <c r="IQM4"/>
      <c r="IQN4"/>
      <c r="IQO4"/>
      <c r="IQP4"/>
      <c r="IQQ4"/>
      <c r="IQR4"/>
      <c r="IQS4"/>
      <c r="IQT4"/>
      <c r="IQU4"/>
      <c r="IQV4"/>
      <c r="IQW4"/>
      <c r="IQX4"/>
      <c r="IQY4"/>
      <c r="IQZ4"/>
      <c r="IRA4"/>
      <c r="IRB4"/>
      <c r="IRC4"/>
      <c r="IRD4"/>
      <c r="IRE4"/>
      <c r="IRF4"/>
      <c r="IRG4"/>
      <c r="IRH4"/>
      <c r="IRI4"/>
      <c r="IRJ4"/>
      <c r="IRK4"/>
      <c r="IRL4"/>
      <c r="IRM4"/>
      <c r="IRN4"/>
      <c r="IRO4"/>
      <c r="IRP4"/>
      <c r="IRQ4"/>
      <c r="IRR4"/>
      <c r="IRS4"/>
      <c r="IRT4"/>
      <c r="IRU4"/>
      <c r="IRV4"/>
      <c r="IRW4"/>
      <c r="IRX4"/>
      <c r="IRY4"/>
      <c r="IRZ4"/>
      <c r="ISA4"/>
      <c r="ISB4"/>
      <c r="ISC4"/>
      <c r="ISD4"/>
      <c r="ISE4"/>
      <c r="ISF4"/>
      <c r="ISG4"/>
      <c r="ISH4"/>
      <c r="ISI4"/>
      <c r="ISJ4"/>
      <c r="ISK4"/>
      <c r="ISL4"/>
      <c r="ISM4"/>
      <c r="ISN4"/>
      <c r="ISO4"/>
      <c r="ISP4"/>
      <c r="ISQ4"/>
      <c r="ISR4"/>
      <c r="ISS4"/>
      <c r="IST4"/>
      <c r="ISU4"/>
      <c r="ISV4"/>
      <c r="ISW4"/>
      <c r="ISX4"/>
      <c r="ISY4"/>
      <c r="ISZ4"/>
      <c r="ITA4"/>
      <c r="ITB4"/>
      <c r="ITC4"/>
      <c r="ITD4"/>
      <c r="ITE4"/>
      <c r="ITF4"/>
      <c r="ITG4"/>
      <c r="ITH4"/>
      <c r="ITI4"/>
      <c r="ITJ4"/>
      <c r="ITK4"/>
      <c r="ITL4"/>
      <c r="ITM4"/>
      <c r="ITN4"/>
      <c r="ITO4"/>
      <c r="ITP4"/>
      <c r="ITQ4"/>
      <c r="ITR4"/>
      <c r="ITS4"/>
      <c r="ITT4"/>
      <c r="ITU4"/>
      <c r="ITV4"/>
      <c r="ITW4"/>
      <c r="ITX4"/>
      <c r="ITY4"/>
      <c r="ITZ4"/>
      <c r="IUA4"/>
      <c r="IUB4"/>
      <c r="IUC4"/>
      <c r="IUD4"/>
      <c r="IUE4"/>
      <c r="IUF4"/>
      <c r="IUG4"/>
      <c r="IUH4"/>
      <c r="IUI4"/>
      <c r="IUJ4"/>
      <c r="IUK4"/>
      <c r="IUL4"/>
      <c r="IUM4"/>
      <c r="IUN4"/>
      <c r="IUO4"/>
      <c r="IUP4"/>
      <c r="IUQ4"/>
      <c r="IUR4"/>
      <c r="IUS4"/>
      <c r="IUT4"/>
      <c r="IUU4"/>
      <c r="IUV4"/>
      <c r="IUW4"/>
      <c r="IUX4"/>
      <c r="IUY4"/>
      <c r="IUZ4"/>
      <c r="IVA4"/>
      <c r="IVB4"/>
      <c r="IVC4"/>
      <c r="IVD4"/>
      <c r="IVE4"/>
      <c r="IVF4"/>
      <c r="IVG4"/>
      <c r="IVH4"/>
      <c r="IVI4"/>
      <c r="IVJ4"/>
      <c r="IVK4"/>
      <c r="IVL4"/>
      <c r="IVM4"/>
      <c r="IVN4"/>
      <c r="IVO4"/>
      <c r="IVP4"/>
      <c r="IVQ4"/>
      <c r="IVR4"/>
      <c r="IVS4"/>
      <c r="IVT4"/>
      <c r="IVU4"/>
      <c r="IVV4"/>
      <c r="IVW4"/>
      <c r="IVX4"/>
      <c r="IVY4"/>
      <c r="IVZ4"/>
      <c r="IWA4"/>
      <c r="IWB4"/>
      <c r="IWC4"/>
      <c r="IWD4"/>
      <c r="IWE4"/>
      <c r="IWF4"/>
      <c r="IWG4"/>
      <c r="IWH4"/>
      <c r="IWI4"/>
      <c r="IWJ4"/>
      <c r="IWK4"/>
      <c r="IWL4"/>
      <c r="IWM4"/>
      <c r="IWN4"/>
      <c r="IWO4"/>
      <c r="IWP4"/>
      <c r="IWQ4"/>
      <c r="IWR4"/>
      <c r="IWS4"/>
      <c r="IWT4"/>
      <c r="IWU4"/>
      <c r="IWV4"/>
      <c r="IWW4"/>
      <c r="IWX4"/>
      <c r="IWY4"/>
      <c r="IWZ4"/>
      <c r="IXA4"/>
      <c r="IXB4"/>
      <c r="IXC4"/>
      <c r="IXD4"/>
      <c r="IXE4"/>
      <c r="IXF4"/>
      <c r="IXG4"/>
      <c r="IXH4"/>
      <c r="IXI4"/>
      <c r="IXJ4"/>
      <c r="IXK4"/>
      <c r="IXL4"/>
      <c r="IXM4"/>
      <c r="IXN4"/>
      <c r="IXO4"/>
      <c r="IXP4"/>
      <c r="IXQ4"/>
      <c r="IXR4"/>
      <c r="IXS4"/>
      <c r="IXT4"/>
      <c r="IXU4"/>
      <c r="IXV4"/>
      <c r="IXW4"/>
      <c r="IXX4"/>
      <c r="IXY4"/>
      <c r="IXZ4"/>
      <c r="IYA4"/>
      <c r="IYB4"/>
      <c r="IYC4"/>
      <c r="IYD4"/>
      <c r="IYE4"/>
      <c r="IYF4"/>
      <c r="IYG4"/>
      <c r="IYH4"/>
      <c r="IYI4"/>
      <c r="IYJ4"/>
      <c r="IYK4"/>
      <c r="IYL4"/>
      <c r="IYM4"/>
      <c r="IYN4"/>
      <c r="IYO4"/>
      <c r="IYP4"/>
      <c r="IYQ4"/>
      <c r="IYR4"/>
      <c r="IYS4"/>
      <c r="IYT4"/>
      <c r="IYU4"/>
      <c r="IYV4"/>
      <c r="IYW4"/>
      <c r="IYX4"/>
      <c r="IYY4"/>
      <c r="IYZ4"/>
      <c r="IZA4"/>
      <c r="IZB4"/>
      <c r="IZC4"/>
      <c r="IZD4"/>
      <c r="IZE4"/>
      <c r="IZF4"/>
      <c r="IZG4"/>
      <c r="IZH4"/>
      <c r="IZI4"/>
      <c r="IZJ4"/>
      <c r="IZK4"/>
      <c r="IZL4"/>
      <c r="IZM4"/>
      <c r="IZN4"/>
      <c r="IZO4"/>
      <c r="IZP4"/>
      <c r="IZQ4"/>
      <c r="IZR4"/>
      <c r="IZS4"/>
      <c r="IZT4"/>
      <c r="IZU4"/>
      <c r="IZV4"/>
      <c r="IZW4"/>
      <c r="IZX4"/>
      <c r="IZY4"/>
      <c r="IZZ4"/>
      <c r="JAA4"/>
      <c r="JAB4"/>
      <c r="JAC4"/>
      <c r="JAD4"/>
      <c r="JAE4"/>
      <c r="JAF4"/>
      <c r="JAG4"/>
      <c r="JAH4"/>
      <c r="JAI4"/>
      <c r="JAJ4"/>
      <c r="JAK4"/>
      <c r="JAL4"/>
      <c r="JAM4"/>
      <c r="JAN4"/>
      <c r="JAO4"/>
      <c r="JAP4"/>
      <c r="JAQ4"/>
      <c r="JAR4"/>
      <c r="JAS4"/>
      <c r="JAT4"/>
      <c r="JAU4"/>
      <c r="JAV4"/>
      <c r="JAW4"/>
      <c r="JAX4"/>
      <c r="JAY4"/>
      <c r="JAZ4"/>
      <c r="JBA4"/>
      <c r="JBB4"/>
      <c r="JBC4"/>
      <c r="JBD4"/>
      <c r="JBE4"/>
      <c r="JBF4"/>
      <c r="JBG4"/>
      <c r="JBH4"/>
      <c r="JBI4"/>
      <c r="JBJ4"/>
      <c r="JBK4"/>
      <c r="JBL4"/>
      <c r="JBM4"/>
      <c r="JBN4"/>
      <c r="JBO4"/>
      <c r="JBP4"/>
      <c r="JBQ4"/>
      <c r="JBR4"/>
      <c r="JBS4"/>
      <c r="JBT4"/>
      <c r="JBU4"/>
      <c r="JBV4"/>
      <c r="JBW4"/>
      <c r="JBX4"/>
      <c r="JBY4"/>
      <c r="JBZ4"/>
      <c r="JCA4"/>
      <c r="JCB4"/>
      <c r="JCC4"/>
      <c r="JCD4"/>
      <c r="JCE4"/>
      <c r="JCF4"/>
      <c r="JCG4"/>
      <c r="JCH4"/>
      <c r="JCI4"/>
      <c r="JCJ4"/>
      <c r="JCK4"/>
      <c r="JCL4"/>
      <c r="JCM4"/>
      <c r="JCN4"/>
      <c r="JCO4"/>
      <c r="JCP4"/>
      <c r="JCQ4"/>
      <c r="JCR4"/>
      <c r="JCS4"/>
      <c r="JCT4"/>
      <c r="JCU4"/>
      <c r="JCV4"/>
      <c r="JCW4"/>
      <c r="JCX4"/>
      <c r="JCY4"/>
      <c r="JCZ4"/>
      <c r="JDA4"/>
      <c r="JDB4"/>
      <c r="JDC4"/>
      <c r="JDD4"/>
      <c r="JDE4"/>
      <c r="JDF4"/>
      <c r="JDG4"/>
      <c r="JDH4"/>
      <c r="JDI4"/>
      <c r="JDJ4"/>
      <c r="JDK4"/>
      <c r="JDL4"/>
      <c r="JDM4"/>
      <c r="JDN4"/>
      <c r="JDO4"/>
      <c r="JDP4"/>
      <c r="JDQ4"/>
      <c r="JDR4"/>
      <c r="JDS4"/>
      <c r="JDT4"/>
      <c r="JDU4"/>
      <c r="JDV4"/>
      <c r="JDW4"/>
      <c r="JDX4"/>
      <c r="JDY4"/>
      <c r="JDZ4"/>
      <c r="JEA4"/>
      <c r="JEB4"/>
      <c r="JEC4"/>
      <c r="JED4"/>
      <c r="JEE4"/>
      <c r="JEF4"/>
      <c r="JEG4"/>
      <c r="JEH4"/>
      <c r="JEI4"/>
      <c r="JEJ4"/>
      <c r="JEK4"/>
      <c r="JEL4"/>
      <c r="JEM4"/>
      <c r="JEN4"/>
      <c r="JEO4"/>
      <c r="JEP4"/>
      <c r="JEQ4"/>
      <c r="JER4"/>
      <c r="JES4"/>
      <c r="JET4"/>
      <c r="JEU4"/>
      <c r="JEV4"/>
      <c r="JEW4"/>
      <c r="JEX4"/>
      <c r="JEY4"/>
      <c r="JEZ4"/>
      <c r="JFA4"/>
      <c r="JFB4"/>
      <c r="JFC4"/>
      <c r="JFD4"/>
      <c r="JFE4"/>
      <c r="JFF4"/>
      <c r="JFG4"/>
      <c r="JFH4"/>
      <c r="JFI4"/>
      <c r="JFJ4"/>
      <c r="JFK4"/>
      <c r="JFL4"/>
      <c r="JFM4"/>
      <c r="JFN4"/>
      <c r="JFO4"/>
      <c r="JFP4"/>
      <c r="JFQ4"/>
      <c r="JFR4"/>
      <c r="JFS4"/>
      <c r="JFT4"/>
      <c r="JFU4"/>
      <c r="JFV4"/>
      <c r="JFW4"/>
      <c r="JFX4"/>
      <c r="JFY4"/>
      <c r="JFZ4"/>
      <c r="JGA4"/>
      <c r="JGB4"/>
      <c r="JGC4"/>
      <c r="JGD4"/>
      <c r="JGE4"/>
      <c r="JGF4"/>
      <c r="JGG4"/>
      <c r="JGH4"/>
      <c r="JGI4"/>
      <c r="JGJ4"/>
      <c r="JGK4"/>
      <c r="JGL4"/>
      <c r="JGM4"/>
      <c r="JGN4"/>
      <c r="JGO4"/>
      <c r="JGP4"/>
      <c r="JGQ4"/>
      <c r="JGR4"/>
      <c r="JGS4"/>
      <c r="JGT4"/>
      <c r="JGU4"/>
      <c r="JGV4"/>
      <c r="JGW4"/>
      <c r="JGX4"/>
      <c r="JGY4"/>
      <c r="JGZ4"/>
      <c r="JHA4"/>
      <c r="JHB4"/>
      <c r="JHC4"/>
      <c r="JHD4"/>
      <c r="JHE4"/>
      <c r="JHF4"/>
      <c r="JHG4"/>
      <c r="JHH4"/>
      <c r="JHI4"/>
      <c r="JHJ4"/>
      <c r="JHK4"/>
      <c r="JHL4"/>
      <c r="JHM4"/>
      <c r="JHN4"/>
      <c r="JHO4"/>
      <c r="JHP4"/>
      <c r="JHQ4"/>
      <c r="JHR4"/>
      <c r="JHS4"/>
      <c r="JHT4"/>
      <c r="JHU4"/>
      <c r="JHV4"/>
      <c r="JHW4"/>
      <c r="JHX4"/>
      <c r="JHY4"/>
      <c r="JHZ4"/>
      <c r="JIA4"/>
      <c r="JIB4"/>
      <c r="JIC4"/>
      <c r="JID4"/>
      <c r="JIE4"/>
      <c r="JIF4"/>
      <c r="JIG4"/>
      <c r="JIH4"/>
      <c r="JII4"/>
      <c r="JIJ4"/>
      <c r="JIK4"/>
      <c r="JIL4"/>
      <c r="JIM4"/>
      <c r="JIN4"/>
      <c r="JIO4"/>
      <c r="JIP4"/>
      <c r="JIQ4"/>
      <c r="JIR4"/>
      <c r="JIS4"/>
      <c r="JIT4"/>
      <c r="JIU4"/>
      <c r="JIV4"/>
      <c r="JIW4"/>
      <c r="JIX4"/>
      <c r="JIY4"/>
      <c r="JIZ4"/>
      <c r="JJA4"/>
      <c r="JJB4"/>
      <c r="JJC4"/>
      <c r="JJD4"/>
      <c r="JJE4"/>
      <c r="JJF4"/>
      <c r="JJG4"/>
      <c r="JJH4"/>
      <c r="JJI4"/>
      <c r="JJJ4"/>
      <c r="JJK4"/>
      <c r="JJL4"/>
      <c r="JJM4"/>
      <c r="JJN4"/>
      <c r="JJO4"/>
      <c r="JJP4"/>
      <c r="JJQ4"/>
      <c r="JJR4"/>
      <c r="JJS4"/>
      <c r="JJT4"/>
      <c r="JJU4"/>
      <c r="JJV4"/>
      <c r="JJW4"/>
      <c r="JJX4"/>
      <c r="JJY4"/>
      <c r="JJZ4"/>
      <c r="JKA4"/>
      <c r="JKB4"/>
      <c r="JKC4"/>
      <c r="JKD4"/>
      <c r="JKE4"/>
      <c r="JKF4"/>
      <c r="JKG4"/>
      <c r="JKH4"/>
      <c r="JKI4"/>
      <c r="JKJ4"/>
      <c r="JKK4"/>
      <c r="JKL4"/>
      <c r="JKM4"/>
      <c r="JKN4"/>
      <c r="JKO4"/>
      <c r="JKP4"/>
      <c r="JKQ4"/>
      <c r="JKR4"/>
      <c r="JKS4"/>
      <c r="JKT4"/>
      <c r="JKU4"/>
      <c r="JKV4"/>
      <c r="JKW4"/>
      <c r="JKX4"/>
      <c r="JKY4"/>
      <c r="JKZ4"/>
      <c r="JLA4"/>
      <c r="JLB4"/>
      <c r="JLC4"/>
      <c r="JLD4"/>
      <c r="JLE4"/>
      <c r="JLF4"/>
      <c r="JLG4"/>
      <c r="JLH4"/>
      <c r="JLI4"/>
      <c r="JLJ4"/>
      <c r="JLK4"/>
      <c r="JLL4"/>
      <c r="JLM4"/>
      <c r="JLN4"/>
      <c r="JLO4"/>
      <c r="JLP4"/>
      <c r="JLQ4"/>
      <c r="JLR4"/>
      <c r="JLS4"/>
      <c r="JLT4"/>
      <c r="JLU4"/>
      <c r="JLV4"/>
      <c r="JLW4"/>
      <c r="JLX4"/>
      <c r="JLY4"/>
      <c r="JLZ4"/>
      <c r="JMA4"/>
      <c r="JMB4"/>
      <c r="JMC4"/>
      <c r="JMD4"/>
      <c r="JME4"/>
      <c r="JMF4"/>
      <c r="JMG4"/>
      <c r="JMH4"/>
      <c r="JMI4"/>
      <c r="JMJ4"/>
      <c r="JMK4"/>
      <c r="JML4"/>
      <c r="JMM4"/>
      <c r="JMN4"/>
      <c r="JMO4"/>
      <c r="JMP4"/>
      <c r="JMQ4"/>
      <c r="JMR4"/>
      <c r="JMS4"/>
      <c r="JMT4"/>
      <c r="JMU4"/>
      <c r="JMV4"/>
      <c r="JMW4"/>
      <c r="JMX4"/>
      <c r="JMY4"/>
      <c r="JMZ4"/>
      <c r="JNA4"/>
      <c r="JNB4"/>
      <c r="JNC4"/>
      <c r="JND4"/>
      <c r="JNE4"/>
      <c r="JNF4"/>
      <c r="JNG4"/>
      <c r="JNH4"/>
      <c r="JNI4"/>
      <c r="JNJ4"/>
      <c r="JNK4"/>
      <c r="JNL4"/>
      <c r="JNM4"/>
      <c r="JNN4"/>
      <c r="JNO4"/>
      <c r="JNP4"/>
      <c r="JNQ4"/>
      <c r="JNR4"/>
      <c r="JNS4"/>
      <c r="JNT4"/>
      <c r="JNU4"/>
      <c r="JNV4"/>
      <c r="JNW4"/>
      <c r="JNX4"/>
      <c r="JNY4"/>
      <c r="JNZ4"/>
      <c r="JOA4"/>
      <c r="JOB4"/>
      <c r="JOC4"/>
      <c r="JOD4"/>
      <c r="JOE4"/>
      <c r="JOF4"/>
      <c r="JOG4"/>
      <c r="JOH4"/>
      <c r="JOI4"/>
      <c r="JOJ4"/>
      <c r="JOK4"/>
      <c r="JOL4"/>
      <c r="JOM4"/>
      <c r="JON4"/>
      <c r="JOO4"/>
      <c r="JOP4"/>
      <c r="JOQ4"/>
      <c r="JOR4"/>
      <c r="JOS4"/>
      <c r="JOT4"/>
      <c r="JOU4"/>
      <c r="JOV4"/>
      <c r="JOW4"/>
      <c r="JOX4"/>
      <c r="JOY4"/>
      <c r="JOZ4"/>
      <c r="JPA4"/>
      <c r="JPB4"/>
      <c r="JPC4"/>
      <c r="JPD4"/>
      <c r="JPE4"/>
      <c r="JPF4"/>
      <c r="JPG4"/>
      <c r="JPH4"/>
      <c r="JPI4"/>
      <c r="JPJ4"/>
      <c r="JPK4"/>
      <c r="JPL4"/>
      <c r="JPM4"/>
      <c r="JPN4"/>
      <c r="JPO4"/>
      <c r="JPP4"/>
      <c r="JPQ4"/>
      <c r="JPR4"/>
      <c r="JPS4"/>
      <c r="JPT4"/>
      <c r="JPU4"/>
      <c r="JPV4"/>
      <c r="JPW4"/>
      <c r="JPX4"/>
      <c r="JPY4"/>
      <c r="JPZ4"/>
      <c r="JQA4"/>
      <c r="JQB4"/>
      <c r="JQC4"/>
      <c r="JQD4"/>
      <c r="JQE4"/>
      <c r="JQF4"/>
      <c r="JQG4"/>
      <c r="JQH4"/>
      <c r="JQI4"/>
      <c r="JQJ4"/>
      <c r="JQK4"/>
      <c r="JQL4"/>
      <c r="JQM4"/>
      <c r="JQN4"/>
      <c r="JQO4"/>
      <c r="JQP4"/>
      <c r="JQQ4"/>
      <c r="JQR4"/>
      <c r="JQS4"/>
      <c r="JQT4"/>
      <c r="JQU4"/>
      <c r="JQV4"/>
      <c r="JQW4"/>
      <c r="JQX4"/>
      <c r="JQY4"/>
      <c r="JQZ4"/>
      <c r="JRA4"/>
      <c r="JRB4"/>
      <c r="JRC4"/>
      <c r="JRD4"/>
      <c r="JRE4"/>
      <c r="JRF4"/>
      <c r="JRG4"/>
      <c r="JRH4"/>
      <c r="JRI4"/>
      <c r="JRJ4"/>
      <c r="JRK4"/>
      <c r="JRL4"/>
      <c r="JRM4"/>
      <c r="JRN4"/>
      <c r="JRO4"/>
      <c r="JRP4"/>
      <c r="JRQ4"/>
      <c r="JRR4"/>
      <c r="JRS4"/>
      <c r="JRT4"/>
      <c r="JRU4"/>
      <c r="JRV4"/>
      <c r="JRW4"/>
      <c r="JRX4"/>
      <c r="JRY4"/>
      <c r="JRZ4"/>
      <c r="JSA4"/>
      <c r="JSB4"/>
      <c r="JSC4"/>
      <c r="JSD4"/>
      <c r="JSE4"/>
      <c r="JSF4"/>
      <c r="JSG4"/>
      <c r="JSH4"/>
      <c r="JSI4"/>
      <c r="JSJ4"/>
      <c r="JSK4"/>
      <c r="JSL4"/>
      <c r="JSM4"/>
      <c r="JSN4"/>
      <c r="JSO4"/>
      <c r="JSP4"/>
      <c r="JSQ4"/>
      <c r="JSR4"/>
      <c r="JSS4"/>
      <c r="JST4"/>
      <c r="JSU4"/>
      <c r="JSV4"/>
      <c r="JSW4"/>
      <c r="JSX4"/>
      <c r="JSY4"/>
      <c r="JSZ4"/>
      <c r="JTA4"/>
      <c r="JTB4"/>
      <c r="JTC4"/>
      <c r="JTD4"/>
      <c r="JTE4"/>
      <c r="JTF4"/>
      <c r="JTG4"/>
      <c r="JTH4"/>
      <c r="JTI4"/>
      <c r="JTJ4"/>
      <c r="JTK4"/>
      <c r="JTL4"/>
      <c r="JTM4"/>
      <c r="JTN4"/>
      <c r="JTO4"/>
      <c r="JTP4"/>
      <c r="JTQ4"/>
      <c r="JTR4"/>
      <c r="JTS4"/>
      <c r="JTT4"/>
      <c r="JTU4"/>
      <c r="JTV4"/>
      <c r="JTW4"/>
      <c r="JTX4"/>
      <c r="JTY4"/>
      <c r="JTZ4"/>
      <c r="JUA4"/>
      <c r="JUB4"/>
      <c r="JUC4"/>
      <c r="JUD4"/>
      <c r="JUE4"/>
      <c r="JUF4"/>
      <c r="JUG4"/>
      <c r="JUH4"/>
      <c r="JUI4"/>
      <c r="JUJ4"/>
      <c r="JUK4"/>
      <c r="JUL4"/>
      <c r="JUM4"/>
      <c r="JUN4"/>
      <c r="JUO4"/>
      <c r="JUP4"/>
      <c r="JUQ4"/>
      <c r="JUR4"/>
      <c r="JUS4"/>
      <c r="JUT4"/>
      <c r="JUU4"/>
      <c r="JUV4"/>
      <c r="JUW4"/>
      <c r="JUX4"/>
      <c r="JUY4"/>
      <c r="JUZ4"/>
      <c r="JVA4"/>
      <c r="JVB4"/>
      <c r="JVC4"/>
      <c r="JVD4"/>
      <c r="JVE4"/>
      <c r="JVF4"/>
      <c r="JVG4"/>
      <c r="JVH4"/>
      <c r="JVI4"/>
      <c r="JVJ4"/>
      <c r="JVK4"/>
      <c r="JVL4"/>
      <c r="JVM4"/>
      <c r="JVN4"/>
      <c r="JVO4"/>
      <c r="JVP4"/>
      <c r="JVQ4"/>
      <c r="JVR4"/>
      <c r="JVS4"/>
      <c r="JVT4"/>
      <c r="JVU4"/>
      <c r="JVV4"/>
      <c r="JVW4"/>
      <c r="JVX4"/>
      <c r="JVY4"/>
      <c r="JVZ4"/>
      <c r="JWA4"/>
      <c r="JWB4"/>
      <c r="JWC4"/>
      <c r="JWD4"/>
      <c r="JWE4"/>
      <c r="JWF4"/>
      <c r="JWG4"/>
      <c r="JWH4"/>
      <c r="JWI4"/>
      <c r="JWJ4"/>
      <c r="JWK4"/>
      <c r="JWL4"/>
      <c r="JWM4"/>
      <c r="JWN4"/>
      <c r="JWO4"/>
      <c r="JWP4"/>
      <c r="JWQ4"/>
      <c r="JWR4"/>
      <c r="JWS4"/>
      <c r="JWT4"/>
      <c r="JWU4"/>
      <c r="JWV4"/>
      <c r="JWW4"/>
      <c r="JWX4"/>
      <c r="JWY4"/>
      <c r="JWZ4"/>
      <c r="JXA4"/>
      <c r="JXB4"/>
      <c r="JXC4"/>
      <c r="JXD4"/>
      <c r="JXE4"/>
      <c r="JXF4"/>
      <c r="JXG4"/>
      <c r="JXH4"/>
      <c r="JXI4"/>
      <c r="JXJ4"/>
      <c r="JXK4"/>
      <c r="JXL4"/>
      <c r="JXM4"/>
      <c r="JXN4"/>
      <c r="JXO4"/>
      <c r="JXP4"/>
      <c r="JXQ4"/>
      <c r="JXR4"/>
      <c r="JXS4"/>
      <c r="JXT4"/>
      <c r="JXU4"/>
      <c r="JXV4"/>
      <c r="JXW4"/>
      <c r="JXX4"/>
      <c r="JXY4"/>
      <c r="JXZ4"/>
      <c r="JYA4"/>
      <c r="JYB4"/>
      <c r="JYC4"/>
      <c r="JYD4"/>
      <c r="JYE4"/>
      <c r="JYF4"/>
      <c r="JYG4"/>
      <c r="JYH4"/>
      <c r="JYI4"/>
      <c r="JYJ4"/>
      <c r="JYK4"/>
      <c r="JYL4"/>
      <c r="JYM4"/>
      <c r="JYN4"/>
      <c r="JYO4"/>
      <c r="JYP4"/>
      <c r="JYQ4"/>
      <c r="JYR4"/>
      <c r="JYS4"/>
      <c r="JYT4"/>
      <c r="JYU4"/>
      <c r="JYV4"/>
      <c r="JYW4"/>
      <c r="JYX4"/>
      <c r="JYY4"/>
      <c r="JYZ4"/>
      <c r="JZA4"/>
      <c r="JZB4"/>
      <c r="JZC4"/>
      <c r="JZD4"/>
      <c r="JZE4"/>
      <c r="JZF4"/>
      <c r="JZG4"/>
      <c r="JZH4"/>
      <c r="JZI4"/>
      <c r="JZJ4"/>
      <c r="JZK4"/>
      <c r="JZL4"/>
      <c r="JZM4"/>
      <c r="JZN4"/>
      <c r="JZO4"/>
      <c r="JZP4"/>
      <c r="JZQ4"/>
      <c r="JZR4"/>
      <c r="JZS4"/>
      <c r="JZT4"/>
      <c r="JZU4"/>
      <c r="JZV4"/>
      <c r="JZW4"/>
      <c r="JZX4"/>
      <c r="JZY4"/>
      <c r="JZZ4"/>
      <c r="KAA4"/>
      <c r="KAB4"/>
      <c r="KAC4"/>
      <c r="KAD4"/>
      <c r="KAE4"/>
      <c r="KAF4"/>
      <c r="KAG4"/>
      <c r="KAH4"/>
      <c r="KAI4"/>
      <c r="KAJ4"/>
      <c r="KAK4"/>
      <c r="KAL4"/>
      <c r="KAM4"/>
      <c r="KAN4"/>
      <c r="KAO4"/>
      <c r="KAP4"/>
      <c r="KAQ4"/>
      <c r="KAR4"/>
      <c r="KAS4"/>
      <c r="KAT4"/>
      <c r="KAU4"/>
      <c r="KAV4"/>
      <c r="KAW4"/>
      <c r="KAX4"/>
      <c r="KAY4"/>
      <c r="KAZ4"/>
      <c r="KBA4"/>
      <c r="KBB4"/>
      <c r="KBC4"/>
      <c r="KBD4"/>
      <c r="KBE4"/>
      <c r="KBF4"/>
      <c r="KBG4"/>
      <c r="KBH4"/>
      <c r="KBI4"/>
      <c r="KBJ4"/>
      <c r="KBK4"/>
      <c r="KBL4"/>
      <c r="KBM4"/>
      <c r="KBN4"/>
      <c r="KBO4"/>
      <c r="KBP4"/>
      <c r="KBQ4"/>
      <c r="KBR4"/>
      <c r="KBS4"/>
      <c r="KBT4"/>
      <c r="KBU4"/>
      <c r="KBV4"/>
      <c r="KBW4"/>
      <c r="KBX4"/>
      <c r="KBY4"/>
      <c r="KBZ4"/>
      <c r="KCA4"/>
      <c r="KCB4"/>
      <c r="KCC4"/>
      <c r="KCD4"/>
      <c r="KCE4"/>
      <c r="KCF4"/>
      <c r="KCG4"/>
      <c r="KCH4"/>
      <c r="KCI4"/>
      <c r="KCJ4"/>
      <c r="KCK4"/>
      <c r="KCL4"/>
      <c r="KCM4"/>
      <c r="KCN4"/>
      <c r="KCO4"/>
      <c r="KCP4"/>
      <c r="KCQ4"/>
      <c r="KCR4"/>
      <c r="KCS4"/>
      <c r="KCT4"/>
      <c r="KCU4"/>
      <c r="KCV4"/>
      <c r="KCW4"/>
      <c r="KCX4"/>
      <c r="KCY4"/>
      <c r="KCZ4"/>
      <c r="KDA4"/>
      <c r="KDB4"/>
      <c r="KDC4"/>
      <c r="KDD4"/>
      <c r="KDE4"/>
      <c r="KDF4"/>
      <c r="KDG4"/>
      <c r="KDH4"/>
      <c r="KDI4"/>
      <c r="KDJ4"/>
      <c r="KDK4"/>
      <c r="KDL4"/>
      <c r="KDM4"/>
      <c r="KDN4"/>
      <c r="KDO4"/>
      <c r="KDP4"/>
      <c r="KDQ4"/>
      <c r="KDR4"/>
      <c r="KDS4"/>
      <c r="KDT4"/>
      <c r="KDU4"/>
      <c r="KDV4"/>
      <c r="KDW4"/>
      <c r="KDX4"/>
      <c r="KDY4"/>
      <c r="KDZ4"/>
      <c r="KEA4"/>
      <c r="KEB4"/>
      <c r="KEC4"/>
      <c r="KED4"/>
      <c r="KEE4"/>
      <c r="KEF4"/>
      <c r="KEG4"/>
      <c r="KEH4"/>
      <c r="KEI4"/>
      <c r="KEJ4"/>
      <c r="KEK4"/>
      <c r="KEL4"/>
      <c r="KEM4"/>
      <c r="KEN4"/>
      <c r="KEO4"/>
      <c r="KEP4"/>
      <c r="KEQ4"/>
      <c r="KER4"/>
      <c r="KES4"/>
      <c r="KET4"/>
      <c r="KEU4"/>
      <c r="KEV4"/>
      <c r="KEW4"/>
      <c r="KEX4"/>
      <c r="KEY4"/>
      <c r="KEZ4"/>
      <c r="KFA4"/>
      <c r="KFB4"/>
      <c r="KFC4"/>
      <c r="KFD4"/>
      <c r="KFE4"/>
      <c r="KFF4"/>
      <c r="KFG4"/>
      <c r="KFH4"/>
      <c r="KFI4"/>
      <c r="KFJ4"/>
      <c r="KFK4"/>
      <c r="KFL4"/>
      <c r="KFM4"/>
      <c r="KFN4"/>
      <c r="KFO4"/>
      <c r="KFP4"/>
      <c r="KFQ4"/>
      <c r="KFR4"/>
      <c r="KFS4"/>
      <c r="KFT4"/>
      <c r="KFU4"/>
      <c r="KFV4"/>
      <c r="KFW4"/>
      <c r="KFX4"/>
      <c r="KFY4"/>
      <c r="KFZ4"/>
      <c r="KGA4"/>
      <c r="KGB4"/>
      <c r="KGC4"/>
      <c r="KGD4"/>
      <c r="KGE4"/>
      <c r="KGF4"/>
      <c r="KGG4"/>
      <c r="KGH4"/>
      <c r="KGI4"/>
      <c r="KGJ4"/>
      <c r="KGK4"/>
      <c r="KGL4"/>
      <c r="KGM4"/>
      <c r="KGN4"/>
      <c r="KGO4"/>
      <c r="KGP4"/>
      <c r="KGQ4"/>
      <c r="KGR4"/>
      <c r="KGS4"/>
      <c r="KGT4"/>
      <c r="KGU4"/>
      <c r="KGV4"/>
      <c r="KGW4"/>
      <c r="KGX4"/>
      <c r="KGY4"/>
      <c r="KGZ4"/>
      <c r="KHA4"/>
      <c r="KHB4"/>
      <c r="KHC4"/>
      <c r="KHD4"/>
      <c r="KHE4"/>
      <c r="KHF4"/>
      <c r="KHG4"/>
      <c r="KHH4"/>
      <c r="KHI4"/>
      <c r="KHJ4"/>
      <c r="KHK4"/>
      <c r="KHL4"/>
      <c r="KHM4"/>
      <c r="KHN4"/>
      <c r="KHO4"/>
      <c r="KHP4"/>
      <c r="KHQ4"/>
      <c r="KHR4"/>
      <c r="KHS4"/>
      <c r="KHT4"/>
      <c r="KHU4"/>
      <c r="KHV4"/>
      <c r="KHW4"/>
      <c r="KHX4"/>
      <c r="KHY4"/>
      <c r="KHZ4"/>
      <c r="KIA4"/>
      <c r="KIB4"/>
      <c r="KIC4"/>
      <c r="KID4"/>
      <c r="KIE4"/>
      <c r="KIF4"/>
      <c r="KIG4"/>
      <c r="KIH4"/>
      <c r="KII4"/>
      <c r="KIJ4"/>
      <c r="KIK4"/>
      <c r="KIL4"/>
      <c r="KIM4"/>
      <c r="KIN4"/>
      <c r="KIO4"/>
      <c r="KIP4"/>
      <c r="KIQ4"/>
      <c r="KIR4"/>
      <c r="KIS4"/>
      <c r="KIT4"/>
      <c r="KIU4"/>
      <c r="KIV4"/>
      <c r="KIW4"/>
      <c r="KIX4"/>
      <c r="KIY4"/>
      <c r="KIZ4"/>
      <c r="KJA4"/>
      <c r="KJB4"/>
      <c r="KJC4"/>
      <c r="KJD4"/>
      <c r="KJE4"/>
      <c r="KJF4"/>
      <c r="KJG4"/>
      <c r="KJH4"/>
      <c r="KJI4"/>
      <c r="KJJ4"/>
      <c r="KJK4"/>
      <c r="KJL4"/>
      <c r="KJM4"/>
      <c r="KJN4"/>
      <c r="KJO4"/>
      <c r="KJP4"/>
      <c r="KJQ4"/>
      <c r="KJR4"/>
      <c r="KJS4"/>
      <c r="KJT4"/>
      <c r="KJU4"/>
      <c r="KJV4"/>
      <c r="KJW4"/>
      <c r="KJX4"/>
      <c r="KJY4"/>
      <c r="KJZ4"/>
      <c r="KKA4"/>
      <c r="KKB4"/>
      <c r="KKC4"/>
      <c r="KKD4"/>
      <c r="KKE4"/>
      <c r="KKF4"/>
      <c r="KKG4"/>
      <c r="KKH4"/>
      <c r="KKI4"/>
      <c r="KKJ4"/>
      <c r="KKK4"/>
      <c r="KKL4"/>
      <c r="KKM4"/>
      <c r="KKN4"/>
      <c r="KKO4"/>
      <c r="KKP4"/>
      <c r="KKQ4"/>
      <c r="KKR4"/>
      <c r="KKS4"/>
      <c r="KKT4"/>
      <c r="KKU4"/>
      <c r="KKV4"/>
      <c r="KKW4"/>
      <c r="KKX4"/>
      <c r="KKY4"/>
      <c r="KKZ4"/>
      <c r="KLA4"/>
      <c r="KLB4"/>
      <c r="KLC4"/>
      <c r="KLD4"/>
      <c r="KLE4"/>
      <c r="KLF4"/>
      <c r="KLG4"/>
      <c r="KLH4"/>
      <c r="KLI4"/>
      <c r="KLJ4"/>
      <c r="KLK4"/>
      <c r="KLL4"/>
      <c r="KLM4"/>
      <c r="KLN4"/>
      <c r="KLO4"/>
      <c r="KLP4"/>
      <c r="KLQ4"/>
      <c r="KLR4"/>
      <c r="KLS4"/>
      <c r="KLT4"/>
      <c r="KLU4"/>
      <c r="KLV4"/>
      <c r="KLW4"/>
      <c r="KLX4"/>
      <c r="KLY4"/>
      <c r="KLZ4"/>
      <c r="KMA4"/>
      <c r="KMB4"/>
      <c r="KMC4"/>
      <c r="KMD4"/>
      <c r="KME4"/>
      <c r="KMF4"/>
      <c r="KMG4"/>
      <c r="KMH4"/>
      <c r="KMI4"/>
      <c r="KMJ4"/>
      <c r="KMK4"/>
      <c r="KML4"/>
      <c r="KMM4"/>
      <c r="KMN4"/>
      <c r="KMO4"/>
      <c r="KMP4"/>
      <c r="KMQ4"/>
      <c r="KMR4"/>
      <c r="KMS4"/>
      <c r="KMT4"/>
      <c r="KMU4"/>
      <c r="KMV4"/>
      <c r="KMW4"/>
      <c r="KMX4"/>
      <c r="KMY4"/>
      <c r="KMZ4"/>
      <c r="KNA4"/>
      <c r="KNB4"/>
      <c r="KNC4"/>
      <c r="KND4"/>
      <c r="KNE4"/>
      <c r="KNF4"/>
      <c r="KNG4"/>
      <c r="KNH4"/>
      <c r="KNI4"/>
      <c r="KNJ4"/>
      <c r="KNK4"/>
      <c r="KNL4"/>
      <c r="KNM4"/>
      <c r="KNN4"/>
      <c r="KNO4"/>
      <c r="KNP4"/>
      <c r="KNQ4"/>
      <c r="KNR4"/>
      <c r="KNS4"/>
      <c r="KNT4"/>
      <c r="KNU4"/>
      <c r="KNV4"/>
      <c r="KNW4"/>
      <c r="KNX4"/>
      <c r="KNY4"/>
      <c r="KNZ4"/>
      <c r="KOA4"/>
      <c r="KOB4"/>
      <c r="KOC4"/>
      <c r="KOD4"/>
      <c r="KOE4"/>
      <c r="KOF4"/>
      <c r="KOG4"/>
      <c r="KOH4"/>
      <c r="KOI4"/>
      <c r="KOJ4"/>
      <c r="KOK4"/>
      <c r="KOL4"/>
      <c r="KOM4"/>
      <c r="KON4"/>
      <c r="KOO4"/>
      <c r="KOP4"/>
      <c r="KOQ4"/>
      <c r="KOR4"/>
      <c r="KOS4"/>
      <c r="KOT4"/>
      <c r="KOU4"/>
      <c r="KOV4"/>
      <c r="KOW4"/>
      <c r="KOX4"/>
      <c r="KOY4"/>
      <c r="KOZ4"/>
      <c r="KPA4"/>
      <c r="KPB4"/>
      <c r="KPC4"/>
      <c r="KPD4"/>
      <c r="KPE4"/>
      <c r="KPF4"/>
      <c r="KPG4"/>
      <c r="KPH4"/>
      <c r="KPI4"/>
      <c r="KPJ4"/>
      <c r="KPK4"/>
      <c r="KPL4"/>
      <c r="KPM4"/>
      <c r="KPN4"/>
      <c r="KPO4"/>
      <c r="KPP4"/>
      <c r="KPQ4"/>
      <c r="KPR4"/>
      <c r="KPS4"/>
      <c r="KPT4"/>
      <c r="KPU4"/>
      <c r="KPV4"/>
      <c r="KPW4"/>
      <c r="KPX4"/>
      <c r="KPY4"/>
      <c r="KPZ4"/>
      <c r="KQA4"/>
      <c r="KQB4"/>
      <c r="KQC4"/>
      <c r="KQD4"/>
      <c r="KQE4"/>
      <c r="KQF4"/>
      <c r="KQG4"/>
      <c r="KQH4"/>
      <c r="KQI4"/>
      <c r="KQJ4"/>
      <c r="KQK4"/>
      <c r="KQL4"/>
      <c r="KQM4"/>
      <c r="KQN4"/>
      <c r="KQO4"/>
      <c r="KQP4"/>
      <c r="KQQ4"/>
      <c r="KQR4"/>
      <c r="KQS4"/>
      <c r="KQT4"/>
      <c r="KQU4"/>
      <c r="KQV4"/>
      <c r="KQW4"/>
      <c r="KQX4"/>
      <c r="KQY4"/>
      <c r="KQZ4"/>
      <c r="KRA4"/>
      <c r="KRB4"/>
      <c r="KRC4"/>
      <c r="KRD4"/>
      <c r="KRE4"/>
      <c r="KRF4"/>
      <c r="KRG4"/>
      <c r="KRH4"/>
      <c r="KRI4"/>
      <c r="KRJ4"/>
      <c r="KRK4"/>
      <c r="KRL4"/>
      <c r="KRM4"/>
      <c r="KRN4"/>
      <c r="KRO4"/>
      <c r="KRP4"/>
      <c r="KRQ4"/>
      <c r="KRR4"/>
      <c r="KRS4"/>
      <c r="KRT4"/>
      <c r="KRU4"/>
      <c r="KRV4"/>
      <c r="KRW4"/>
      <c r="KRX4"/>
      <c r="KRY4"/>
      <c r="KRZ4"/>
      <c r="KSA4"/>
      <c r="KSB4"/>
      <c r="KSC4"/>
      <c r="KSD4"/>
      <c r="KSE4"/>
      <c r="KSF4"/>
      <c r="KSG4"/>
      <c r="KSH4"/>
      <c r="KSI4"/>
      <c r="KSJ4"/>
      <c r="KSK4"/>
      <c r="KSL4"/>
      <c r="KSM4"/>
      <c r="KSN4"/>
      <c r="KSO4"/>
      <c r="KSP4"/>
      <c r="KSQ4"/>
      <c r="KSR4"/>
      <c r="KSS4"/>
      <c r="KST4"/>
      <c r="KSU4"/>
      <c r="KSV4"/>
      <c r="KSW4"/>
      <c r="KSX4"/>
      <c r="KSY4"/>
      <c r="KSZ4"/>
      <c r="KTA4"/>
      <c r="KTB4"/>
      <c r="KTC4"/>
      <c r="KTD4"/>
      <c r="KTE4"/>
      <c r="KTF4"/>
      <c r="KTG4"/>
      <c r="KTH4"/>
      <c r="KTI4"/>
      <c r="KTJ4"/>
      <c r="KTK4"/>
      <c r="KTL4"/>
      <c r="KTM4"/>
      <c r="KTN4"/>
      <c r="KTO4"/>
      <c r="KTP4"/>
      <c r="KTQ4"/>
      <c r="KTR4"/>
      <c r="KTS4"/>
      <c r="KTT4"/>
      <c r="KTU4"/>
      <c r="KTV4"/>
      <c r="KTW4"/>
      <c r="KTX4"/>
      <c r="KTY4"/>
      <c r="KTZ4"/>
      <c r="KUA4"/>
      <c r="KUB4"/>
      <c r="KUC4"/>
      <c r="KUD4"/>
      <c r="KUE4"/>
      <c r="KUF4"/>
      <c r="KUG4"/>
      <c r="KUH4"/>
      <c r="KUI4"/>
      <c r="KUJ4"/>
      <c r="KUK4"/>
      <c r="KUL4"/>
      <c r="KUM4"/>
      <c r="KUN4"/>
      <c r="KUO4"/>
      <c r="KUP4"/>
      <c r="KUQ4"/>
      <c r="KUR4"/>
      <c r="KUS4"/>
      <c r="KUT4"/>
      <c r="KUU4"/>
      <c r="KUV4"/>
      <c r="KUW4"/>
      <c r="KUX4"/>
      <c r="KUY4"/>
      <c r="KUZ4"/>
      <c r="KVA4"/>
      <c r="KVB4"/>
      <c r="KVC4"/>
      <c r="KVD4"/>
      <c r="KVE4"/>
      <c r="KVF4"/>
      <c r="KVG4"/>
      <c r="KVH4"/>
      <c r="KVI4"/>
      <c r="KVJ4"/>
      <c r="KVK4"/>
      <c r="KVL4"/>
      <c r="KVM4"/>
      <c r="KVN4"/>
      <c r="KVO4"/>
      <c r="KVP4"/>
      <c r="KVQ4"/>
      <c r="KVR4"/>
      <c r="KVS4"/>
      <c r="KVT4"/>
      <c r="KVU4"/>
      <c r="KVV4"/>
      <c r="KVW4"/>
      <c r="KVX4"/>
      <c r="KVY4"/>
      <c r="KVZ4"/>
      <c r="KWA4"/>
      <c r="KWB4"/>
      <c r="KWC4"/>
      <c r="KWD4"/>
      <c r="KWE4"/>
      <c r="KWF4"/>
      <c r="KWG4"/>
      <c r="KWH4"/>
      <c r="KWI4"/>
      <c r="KWJ4"/>
      <c r="KWK4"/>
      <c r="KWL4"/>
      <c r="KWM4"/>
      <c r="KWN4"/>
      <c r="KWO4"/>
      <c r="KWP4"/>
      <c r="KWQ4"/>
      <c r="KWR4"/>
      <c r="KWS4"/>
      <c r="KWT4"/>
      <c r="KWU4"/>
      <c r="KWV4"/>
      <c r="KWW4"/>
      <c r="KWX4"/>
      <c r="KWY4"/>
      <c r="KWZ4"/>
      <c r="KXA4"/>
      <c r="KXB4"/>
      <c r="KXC4"/>
      <c r="KXD4"/>
      <c r="KXE4"/>
      <c r="KXF4"/>
      <c r="KXG4"/>
      <c r="KXH4"/>
      <c r="KXI4"/>
      <c r="KXJ4"/>
      <c r="KXK4"/>
      <c r="KXL4"/>
      <c r="KXM4"/>
      <c r="KXN4"/>
      <c r="KXO4"/>
      <c r="KXP4"/>
      <c r="KXQ4"/>
      <c r="KXR4"/>
      <c r="KXS4"/>
      <c r="KXT4"/>
      <c r="KXU4"/>
      <c r="KXV4"/>
      <c r="KXW4"/>
      <c r="KXX4"/>
      <c r="KXY4"/>
      <c r="KXZ4"/>
      <c r="KYA4"/>
      <c r="KYB4"/>
      <c r="KYC4"/>
      <c r="KYD4"/>
      <c r="KYE4"/>
      <c r="KYF4"/>
      <c r="KYG4"/>
      <c r="KYH4"/>
      <c r="KYI4"/>
      <c r="KYJ4"/>
      <c r="KYK4"/>
      <c r="KYL4"/>
      <c r="KYM4"/>
      <c r="KYN4"/>
      <c r="KYO4"/>
      <c r="KYP4"/>
      <c r="KYQ4"/>
      <c r="KYR4"/>
      <c r="KYS4"/>
      <c r="KYT4"/>
      <c r="KYU4"/>
      <c r="KYV4"/>
      <c r="KYW4"/>
      <c r="KYX4"/>
      <c r="KYY4"/>
      <c r="KYZ4"/>
      <c r="KZA4"/>
      <c r="KZB4"/>
      <c r="KZC4"/>
      <c r="KZD4"/>
      <c r="KZE4"/>
      <c r="KZF4"/>
      <c r="KZG4"/>
      <c r="KZH4"/>
      <c r="KZI4"/>
      <c r="KZJ4"/>
      <c r="KZK4"/>
      <c r="KZL4"/>
      <c r="KZM4"/>
      <c r="KZN4"/>
      <c r="KZO4"/>
      <c r="KZP4"/>
      <c r="KZQ4"/>
      <c r="KZR4"/>
      <c r="KZS4"/>
      <c r="KZT4"/>
      <c r="KZU4"/>
      <c r="KZV4"/>
      <c r="KZW4"/>
      <c r="KZX4"/>
      <c r="KZY4"/>
      <c r="KZZ4"/>
      <c r="LAA4"/>
      <c r="LAB4"/>
      <c r="LAC4"/>
      <c r="LAD4"/>
      <c r="LAE4"/>
      <c r="LAF4"/>
      <c r="LAG4"/>
      <c r="LAH4"/>
      <c r="LAI4"/>
      <c r="LAJ4"/>
      <c r="LAK4"/>
      <c r="LAL4"/>
      <c r="LAM4"/>
      <c r="LAN4"/>
      <c r="LAO4"/>
      <c r="LAP4"/>
      <c r="LAQ4"/>
      <c r="LAR4"/>
      <c r="LAS4"/>
      <c r="LAT4"/>
      <c r="LAU4"/>
      <c r="LAV4"/>
      <c r="LAW4"/>
      <c r="LAX4"/>
      <c r="LAY4"/>
      <c r="LAZ4"/>
      <c r="LBA4"/>
      <c r="LBB4"/>
      <c r="LBC4"/>
      <c r="LBD4"/>
      <c r="LBE4"/>
      <c r="LBF4"/>
      <c r="LBG4"/>
      <c r="LBH4"/>
      <c r="LBI4"/>
      <c r="LBJ4"/>
      <c r="LBK4"/>
      <c r="LBL4"/>
      <c r="LBM4"/>
      <c r="LBN4"/>
      <c r="LBO4"/>
      <c r="LBP4"/>
      <c r="LBQ4"/>
      <c r="LBR4"/>
      <c r="LBS4"/>
      <c r="LBT4"/>
      <c r="LBU4"/>
      <c r="LBV4"/>
      <c r="LBW4"/>
      <c r="LBX4"/>
      <c r="LBY4"/>
      <c r="LBZ4"/>
      <c r="LCA4"/>
      <c r="LCB4"/>
      <c r="LCC4"/>
      <c r="LCD4"/>
      <c r="LCE4"/>
      <c r="LCF4"/>
      <c r="LCG4"/>
      <c r="LCH4"/>
      <c r="LCI4"/>
      <c r="LCJ4"/>
      <c r="LCK4"/>
      <c r="LCL4"/>
      <c r="LCM4"/>
      <c r="LCN4"/>
      <c r="LCO4"/>
      <c r="LCP4"/>
      <c r="LCQ4"/>
      <c r="LCR4"/>
      <c r="LCS4"/>
      <c r="LCT4"/>
      <c r="LCU4"/>
      <c r="LCV4"/>
      <c r="LCW4"/>
      <c r="LCX4"/>
      <c r="LCY4"/>
      <c r="LCZ4"/>
      <c r="LDA4"/>
      <c r="LDB4"/>
      <c r="LDC4"/>
      <c r="LDD4"/>
      <c r="LDE4"/>
      <c r="LDF4"/>
      <c r="LDG4"/>
      <c r="LDH4"/>
      <c r="LDI4"/>
      <c r="LDJ4"/>
      <c r="LDK4"/>
      <c r="LDL4"/>
      <c r="LDM4"/>
      <c r="LDN4"/>
      <c r="LDO4"/>
      <c r="LDP4"/>
      <c r="LDQ4"/>
      <c r="LDR4"/>
      <c r="LDS4"/>
      <c r="LDT4"/>
      <c r="LDU4"/>
      <c r="LDV4"/>
      <c r="LDW4"/>
      <c r="LDX4"/>
      <c r="LDY4"/>
      <c r="LDZ4"/>
      <c r="LEA4"/>
      <c r="LEB4"/>
      <c r="LEC4"/>
      <c r="LED4"/>
      <c r="LEE4"/>
      <c r="LEF4"/>
      <c r="LEG4"/>
      <c r="LEH4"/>
      <c r="LEI4"/>
      <c r="LEJ4"/>
      <c r="LEK4"/>
      <c r="LEL4"/>
      <c r="LEM4"/>
      <c r="LEN4"/>
      <c r="LEO4"/>
      <c r="LEP4"/>
      <c r="LEQ4"/>
      <c r="LER4"/>
      <c r="LES4"/>
      <c r="LET4"/>
      <c r="LEU4"/>
      <c r="LEV4"/>
      <c r="LEW4"/>
      <c r="LEX4"/>
      <c r="LEY4"/>
      <c r="LEZ4"/>
      <c r="LFA4"/>
      <c r="LFB4"/>
      <c r="LFC4"/>
      <c r="LFD4"/>
      <c r="LFE4"/>
      <c r="LFF4"/>
      <c r="LFG4"/>
      <c r="LFH4"/>
      <c r="LFI4"/>
      <c r="LFJ4"/>
      <c r="LFK4"/>
      <c r="LFL4"/>
      <c r="LFM4"/>
      <c r="LFN4"/>
      <c r="LFO4"/>
      <c r="LFP4"/>
      <c r="LFQ4"/>
      <c r="LFR4"/>
      <c r="LFS4"/>
      <c r="LFT4"/>
      <c r="LFU4"/>
      <c r="LFV4"/>
      <c r="LFW4"/>
      <c r="LFX4"/>
      <c r="LFY4"/>
      <c r="LFZ4"/>
      <c r="LGA4"/>
      <c r="LGB4"/>
      <c r="LGC4"/>
      <c r="LGD4"/>
      <c r="LGE4"/>
      <c r="LGF4"/>
      <c r="LGG4"/>
      <c r="LGH4"/>
      <c r="LGI4"/>
      <c r="LGJ4"/>
      <c r="LGK4"/>
      <c r="LGL4"/>
      <c r="LGM4"/>
      <c r="LGN4"/>
      <c r="LGO4"/>
      <c r="LGP4"/>
      <c r="LGQ4"/>
      <c r="LGR4"/>
      <c r="LGS4"/>
      <c r="LGT4"/>
      <c r="LGU4"/>
      <c r="LGV4"/>
      <c r="LGW4"/>
      <c r="LGX4"/>
      <c r="LGY4"/>
      <c r="LGZ4"/>
      <c r="LHA4"/>
      <c r="LHB4"/>
      <c r="LHC4"/>
      <c r="LHD4"/>
      <c r="LHE4"/>
      <c r="LHF4"/>
      <c r="LHG4"/>
      <c r="LHH4"/>
      <c r="LHI4"/>
      <c r="LHJ4"/>
      <c r="LHK4"/>
      <c r="LHL4"/>
      <c r="LHM4"/>
      <c r="LHN4"/>
      <c r="LHO4"/>
      <c r="LHP4"/>
      <c r="LHQ4"/>
      <c r="LHR4"/>
      <c r="LHS4"/>
      <c r="LHT4"/>
      <c r="LHU4"/>
      <c r="LHV4"/>
      <c r="LHW4"/>
      <c r="LHX4"/>
      <c r="LHY4"/>
      <c r="LHZ4"/>
      <c r="LIA4"/>
      <c r="LIB4"/>
      <c r="LIC4"/>
      <c r="LID4"/>
      <c r="LIE4"/>
      <c r="LIF4"/>
      <c r="LIG4"/>
      <c r="LIH4"/>
      <c r="LII4"/>
      <c r="LIJ4"/>
      <c r="LIK4"/>
      <c r="LIL4"/>
      <c r="LIM4"/>
      <c r="LIN4"/>
      <c r="LIO4"/>
      <c r="LIP4"/>
      <c r="LIQ4"/>
      <c r="LIR4"/>
      <c r="LIS4"/>
      <c r="LIT4"/>
      <c r="LIU4"/>
      <c r="LIV4"/>
      <c r="LIW4"/>
      <c r="LIX4"/>
      <c r="LIY4"/>
      <c r="LIZ4"/>
      <c r="LJA4"/>
      <c r="LJB4"/>
      <c r="LJC4"/>
      <c r="LJD4"/>
      <c r="LJE4"/>
      <c r="LJF4"/>
      <c r="LJG4"/>
      <c r="LJH4"/>
      <c r="LJI4"/>
      <c r="LJJ4"/>
      <c r="LJK4"/>
      <c r="LJL4"/>
      <c r="LJM4"/>
      <c r="LJN4"/>
      <c r="LJO4"/>
      <c r="LJP4"/>
      <c r="LJQ4"/>
      <c r="LJR4"/>
      <c r="LJS4"/>
      <c r="LJT4"/>
      <c r="LJU4"/>
      <c r="LJV4"/>
      <c r="LJW4"/>
      <c r="LJX4"/>
      <c r="LJY4"/>
      <c r="LJZ4"/>
      <c r="LKA4"/>
      <c r="LKB4"/>
      <c r="LKC4"/>
      <c r="LKD4"/>
      <c r="LKE4"/>
      <c r="LKF4"/>
      <c r="LKG4"/>
      <c r="LKH4"/>
      <c r="LKI4"/>
      <c r="LKJ4"/>
      <c r="LKK4"/>
      <c r="LKL4"/>
      <c r="LKM4"/>
      <c r="LKN4"/>
      <c r="LKO4"/>
      <c r="LKP4"/>
      <c r="LKQ4"/>
      <c r="LKR4"/>
      <c r="LKS4"/>
      <c r="LKT4"/>
      <c r="LKU4"/>
      <c r="LKV4"/>
      <c r="LKW4"/>
      <c r="LKX4"/>
      <c r="LKY4"/>
      <c r="LKZ4"/>
      <c r="LLA4"/>
      <c r="LLB4"/>
      <c r="LLC4"/>
      <c r="LLD4"/>
      <c r="LLE4"/>
      <c r="LLF4"/>
      <c r="LLG4"/>
      <c r="LLH4"/>
      <c r="LLI4"/>
      <c r="LLJ4"/>
      <c r="LLK4"/>
      <c r="LLL4"/>
      <c r="LLM4"/>
      <c r="LLN4"/>
      <c r="LLO4"/>
      <c r="LLP4"/>
      <c r="LLQ4"/>
      <c r="LLR4"/>
      <c r="LLS4"/>
      <c r="LLT4"/>
      <c r="LLU4"/>
      <c r="LLV4"/>
      <c r="LLW4"/>
      <c r="LLX4"/>
      <c r="LLY4"/>
      <c r="LLZ4"/>
      <c r="LMA4"/>
      <c r="LMB4"/>
      <c r="LMC4"/>
      <c r="LMD4"/>
      <c r="LME4"/>
      <c r="LMF4"/>
      <c r="LMG4"/>
      <c r="LMH4"/>
      <c r="LMI4"/>
      <c r="LMJ4"/>
      <c r="LMK4"/>
      <c r="LML4"/>
      <c r="LMM4"/>
      <c r="LMN4"/>
      <c r="LMO4"/>
      <c r="LMP4"/>
      <c r="LMQ4"/>
      <c r="LMR4"/>
      <c r="LMS4"/>
      <c r="LMT4"/>
      <c r="LMU4"/>
      <c r="LMV4"/>
      <c r="LMW4"/>
      <c r="LMX4"/>
      <c r="LMY4"/>
      <c r="LMZ4"/>
      <c r="LNA4"/>
      <c r="LNB4"/>
      <c r="LNC4"/>
      <c r="LND4"/>
      <c r="LNE4"/>
      <c r="LNF4"/>
      <c r="LNG4"/>
      <c r="LNH4"/>
      <c r="LNI4"/>
      <c r="LNJ4"/>
      <c r="LNK4"/>
      <c r="LNL4"/>
      <c r="LNM4"/>
      <c r="LNN4"/>
      <c r="LNO4"/>
      <c r="LNP4"/>
      <c r="LNQ4"/>
      <c r="LNR4"/>
      <c r="LNS4"/>
      <c r="LNT4"/>
      <c r="LNU4"/>
      <c r="LNV4"/>
      <c r="LNW4"/>
      <c r="LNX4"/>
      <c r="LNY4"/>
      <c r="LNZ4"/>
      <c r="LOA4"/>
      <c r="LOB4"/>
      <c r="LOC4"/>
      <c r="LOD4"/>
      <c r="LOE4"/>
      <c r="LOF4"/>
      <c r="LOG4"/>
      <c r="LOH4"/>
      <c r="LOI4"/>
      <c r="LOJ4"/>
      <c r="LOK4"/>
      <c r="LOL4"/>
      <c r="LOM4"/>
      <c r="LON4"/>
      <c r="LOO4"/>
      <c r="LOP4"/>
      <c r="LOQ4"/>
      <c r="LOR4"/>
      <c r="LOS4"/>
      <c r="LOT4"/>
      <c r="LOU4"/>
      <c r="LOV4"/>
      <c r="LOW4"/>
      <c r="LOX4"/>
      <c r="LOY4"/>
      <c r="LOZ4"/>
      <c r="LPA4"/>
      <c r="LPB4"/>
      <c r="LPC4"/>
      <c r="LPD4"/>
      <c r="LPE4"/>
      <c r="LPF4"/>
      <c r="LPG4"/>
      <c r="LPH4"/>
      <c r="LPI4"/>
      <c r="LPJ4"/>
      <c r="LPK4"/>
      <c r="LPL4"/>
      <c r="LPM4"/>
      <c r="LPN4"/>
      <c r="LPO4"/>
      <c r="LPP4"/>
      <c r="LPQ4"/>
      <c r="LPR4"/>
      <c r="LPS4"/>
      <c r="LPT4"/>
      <c r="LPU4"/>
      <c r="LPV4"/>
      <c r="LPW4"/>
      <c r="LPX4"/>
      <c r="LPY4"/>
      <c r="LPZ4"/>
      <c r="LQA4"/>
      <c r="LQB4"/>
      <c r="LQC4"/>
      <c r="LQD4"/>
      <c r="LQE4"/>
      <c r="LQF4"/>
      <c r="LQG4"/>
      <c r="LQH4"/>
      <c r="LQI4"/>
      <c r="LQJ4"/>
      <c r="LQK4"/>
      <c r="LQL4"/>
      <c r="LQM4"/>
      <c r="LQN4"/>
      <c r="LQO4"/>
      <c r="LQP4"/>
      <c r="LQQ4"/>
      <c r="LQR4"/>
      <c r="LQS4"/>
      <c r="LQT4"/>
      <c r="LQU4"/>
      <c r="LQV4"/>
      <c r="LQW4"/>
      <c r="LQX4"/>
      <c r="LQY4"/>
      <c r="LQZ4"/>
      <c r="LRA4"/>
      <c r="LRB4"/>
      <c r="LRC4"/>
      <c r="LRD4"/>
      <c r="LRE4"/>
      <c r="LRF4"/>
      <c r="LRG4"/>
      <c r="LRH4"/>
      <c r="LRI4"/>
      <c r="LRJ4"/>
      <c r="LRK4"/>
      <c r="LRL4"/>
      <c r="LRM4"/>
      <c r="LRN4"/>
      <c r="LRO4"/>
      <c r="LRP4"/>
      <c r="LRQ4"/>
      <c r="LRR4"/>
      <c r="LRS4"/>
      <c r="LRT4"/>
      <c r="LRU4"/>
      <c r="LRV4"/>
      <c r="LRW4"/>
      <c r="LRX4"/>
      <c r="LRY4"/>
      <c r="LRZ4"/>
      <c r="LSA4"/>
      <c r="LSB4"/>
      <c r="LSC4"/>
      <c r="LSD4"/>
      <c r="LSE4"/>
      <c r="LSF4"/>
      <c r="LSG4"/>
      <c r="LSH4"/>
      <c r="LSI4"/>
      <c r="LSJ4"/>
      <c r="LSK4"/>
      <c r="LSL4"/>
      <c r="LSM4"/>
      <c r="LSN4"/>
      <c r="LSO4"/>
      <c r="LSP4"/>
      <c r="LSQ4"/>
      <c r="LSR4"/>
      <c r="LSS4"/>
      <c r="LST4"/>
      <c r="LSU4"/>
      <c r="LSV4"/>
      <c r="LSW4"/>
      <c r="LSX4"/>
      <c r="LSY4"/>
      <c r="LSZ4"/>
      <c r="LTA4"/>
      <c r="LTB4"/>
      <c r="LTC4"/>
      <c r="LTD4"/>
      <c r="LTE4"/>
      <c r="LTF4"/>
      <c r="LTG4"/>
      <c r="LTH4"/>
      <c r="LTI4"/>
      <c r="LTJ4"/>
      <c r="LTK4"/>
      <c r="LTL4"/>
      <c r="LTM4"/>
      <c r="LTN4"/>
      <c r="LTO4"/>
      <c r="LTP4"/>
      <c r="LTQ4"/>
      <c r="LTR4"/>
      <c r="LTS4"/>
      <c r="LTT4"/>
      <c r="LTU4"/>
      <c r="LTV4"/>
      <c r="LTW4"/>
      <c r="LTX4"/>
      <c r="LTY4"/>
      <c r="LTZ4"/>
      <c r="LUA4"/>
      <c r="LUB4"/>
      <c r="LUC4"/>
      <c r="LUD4"/>
      <c r="LUE4"/>
      <c r="LUF4"/>
      <c r="LUG4"/>
      <c r="LUH4"/>
      <c r="LUI4"/>
      <c r="LUJ4"/>
      <c r="LUK4"/>
      <c r="LUL4"/>
      <c r="LUM4"/>
      <c r="LUN4"/>
      <c r="LUO4"/>
      <c r="LUP4"/>
      <c r="LUQ4"/>
      <c r="LUR4"/>
      <c r="LUS4"/>
      <c r="LUT4"/>
      <c r="LUU4"/>
      <c r="LUV4"/>
      <c r="LUW4"/>
      <c r="LUX4"/>
      <c r="LUY4"/>
      <c r="LUZ4"/>
      <c r="LVA4"/>
      <c r="LVB4"/>
      <c r="LVC4"/>
      <c r="LVD4"/>
      <c r="LVE4"/>
      <c r="LVF4"/>
      <c r="LVG4"/>
      <c r="LVH4"/>
      <c r="LVI4"/>
      <c r="LVJ4"/>
      <c r="LVK4"/>
      <c r="LVL4"/>
      <c r="LVM4"/>
      <c r="LVN4"/>
      <c r="LVO4"/>
      <c r="LVP4"/>
      <c r="LVQ4"/>
      <c r="LVR4"/>
      <c r="LVS4"/>
      <c r="LVT4"/>
      <c r="LVU4"/>
      <c r="LVV4"/>
      <c r="LVW4"/>
      <c r="LVX4"/>
      <c r="LVY4"/>
      <c r="LVZ4"/>
      <c r="LWA4"/>
      <c r="LWB4"/>
      <c r="LWC4"/>
      <c r="LWD4"/>
      <c r="LWE4"/>
      <c r="LWF4"/>
      <c r="LWG4"/>
      <c r="LWH4"/>
      <c r="LWI4"/>
      <c r="LWJ4"/>
      <c r="LWK4"/>
      <c r="LWL4"/>
      <c r="LWM4"/>
      <c r="LWN4"/>
      <c r="LWO4"/>
      <c r="LWP4"/>
      <c r="LWQ4"/>
      <c r="LWR4"/>
      <c r="LWS4"/>
      <c r="LWT4"/>
      <c r="LWU4"/>
      <c r="LWV4"/>
      <c r="LWW4"/>
      <c r="LWX4"/>
      <c r="LWY4"/>
      <c r="LWZ4"/>
      <c r="LXA4"/>
      <c r="LXB4"/>
      <c r="LXC4"/>
      <c r="LXD4"/>
      <c r="LXE4"/>
      <c r="LXF4"/>
      <c r="LXG4"/>
      <c r="LXH4"/>
      <c r="LXI4"/>
      <c r="LXJ4"/>
      <c r="LXK4"/>
      <c r="LXL4"/>
      <c r="LXM4"/>
      <c r="LXN4"/>
      <c r="LXO4"/>
      <c r="LXP4"/>
      <c r="LXQ4"/>
      <c r="LXR4"/>
      <c r="LXS4"/>
      <c r="LXT4"/>
      <c r="LXU4"/>
      <c r="LXV4"/>
      <c r="LXW4"/>
      <c r="LXX4"/>
      <c r="LXY4"/>
      <c r="LXZ4"/>
      <c r="LYA4"/>
      <c r="LYB4"/>
      <c r="LYC4"/>
      <c r="LYD4"/>
      <c r="LYE4"/>
      <c r="LYF4"/>
      <c r="LYG4"/>
      <c r="LYH4"/>
      <c r="LYI4"/>
      <c r="LYJ4"/>
      <c r="LYK4"/>
      <c r="LYL4"/>
      <c r="LYM4"/>
      <c r="LYN4"/>
      <c r="LYO4"/>
      <c r="LYP4"/>
      <c r="LYQ4"/>
      <c r="LYR4"/>
      <c r="LYS4"/>
      <c r="LYT4"/>
      <c r="LYU4"/>
      <c r="LYV4"/>
      <c r="LYW4"/>
      <c r="LYX4"/>
      <c r="LYY4"/>
      <c r="LYZ4"/>
      <c r="LZA4"/>
      <c r="LZB4"/>
      <c r="LZC4"/>
      <c r="LZD4"/>
      <c r="LZE4"/>
      <c r="LZF4"/>
      <c r="LZG4"/>
      <c r="LZH4"/>
      <c r="LZI4"/>
      <c r="LZJ4"/>
      <c r="LZK4"/>
      <c r="LZL4"/>
      <c r="LZM4"/>
      <c r="LZN4"/>
      <c r="LZO4"/>
      <c r="LZP4"/>
      <c r="LZQ4"/>
      <c r="LZR4"/>
      <c r="LZS4"/>
      <c r="LZT4"/>
      <c r="LZU4"/>
      <c r="LZV4"/>
      <c r="LZW4"/>
      <c r="LZX4"/>
      <c r="LZY4"/>
      <c r="LZZ4"/>
      <c r="MAA4"/>
      <c r="MAB4"/>
      <c r="MAC4"/>
      <c r="MAD4"/>
      <c r="MAE4"/>
      <c r="MAF4"/>
      <c r="MAG4"/>
      <c r="MAH4"/>
      <c r="MAI4"/>
      <c r="MAJ4"/>
      <c r="MAK4"/>
      <c r="MAL4"/>
      <c r="MAM4"/>
      <c r="MAN4"/>
      <c r="MAO4"/>
      <c r="MAP4"/>
      <c r="MAQ4"/>
      <c r="MAR4"/>
      <c r="MAS4"/>
      <c r="MAT4"/>
      <c r="MAU4"/>
      <c r="MAV4"/>
      <c r="MAW4"/>
      <c r="MAX4"/>
      <c r="MAY4"/>
      <c r="MAZ4"/>
      <c r="MBA4"/>
      <c r="MBB4"/>
      <c r="MBC4"/>
      <c r="MBD4"/>
      <c r="MBE4"/>
      <c r="MBF4"/>
      <c r="MBG4"/>
      <c r="MBH4"/>
      <c r="MBI4"/>
      <c r="MBJ4"/>
      <c r="MBK4"/>
      <c r="MBL4"/>
      <c r="MBM4"/>
      <c r="MBN4"/>
      <c r="MBO4"/>
      <c r="MBP4"/>
      <c r="MBQ4"/>
      <c r="MBR4"/>
      <c r="MBS4"/>
      <c r="MBT4"/>
      <c r="MBU4"/>
      <c r="MBV4"/>
      <c r="MBW4"/>
      <c r="MBX4"/>
      <c r="MBY4"/>
      <c r="MBZ4"/>
      <c r="MCA4"/>
      <c r="MCB4"/>
      <c r="MCC4"/>
      <c r="MCD4"/>
      <c r="MCE4"/>
      <c r="MCF4"/>
      <c r="MCG4"/>
      <c r="MCH4"/>
      <c r="MCI4"/>
      <c r="MCJ4"/>
      <c r="MCK4"/>
      <c r="MCL4"/>
      <c r="MCM4"/>
      <c r="MCN4"/>
      <c r="MCO4"/>
      <c r="MCP4"/>
      <c r="MCQ4"/>
      <c r="MCR4"/>
      <c r="MCS4"/>
      <c r="MCT4"/>
      <c r="MCU4"/>
      <c r="MCV4"/>
      <c r="MCW4"/>
      <c r="MCX4"/>
      <c r="MCY4"/>
      <c r="MCZ4"/>
      <c r="MDA4"/>
      <c r="MDB4"/>
      <c r="MDC4"/>
      <c r="MDD4"/>
      <c r="MDE4"/>
      <c r="MDF4"/>
      <c r="MDG4"/>
      <c r="MDH4"/>
      <c r="MDI4"/>
      <c r="MDJ4"/>
      <c r="MDK4"/>
      <c r="MDL4"/>
      <c r="MDM4"/>
      <c r="MDN4"/>
      <c r="MDO4"/>
      <c r="MDP4"/>
      <c r="MDQ4"/>
      <c r="MDR4"/>
      <c r="MDS4"/>
      <c r="MDT4"/>
      <c r="MDU4"/>
      <c r="MDV4"/>
      <c r="MDW4"/>
      <c r="MDX4"/>
      <c r="MDY4"/>
      <c r="MDZ4"/>
      <c r="MEA4"/>
      <c r="MEB4"/>
      <c r="MEC4"/>
      <c r="MED4"/>
      <c r="MEE4"/>
      <c r="MEF4"/>
      <c r="MEG4"/>
      <c r="MEH4"/>
      <c r="MEI4"/>
      <c r="MEJ4"/>
      <c r="MEK4"/>
      <c r="MEL4"/>
      <c r="MEM4"/>
      <c r="MEN4"/>
      <c r="MEO4"/>
      <c r="MEP4"/>
      <c r="MEQ4"/>
      <c r="MER4"/>
      <c r="MES4"/>
      <c r="MET4"/>
      <c r="MEU4"/>
      <c r="MEV4"/>
      <c r="MEW4"/>
      <c r="MEX4"/>
      <c r="MEY4"/>
      <c r="MEZ4"/>
      <c r="MFA4"/>
      <c r="MFB4"/>
      <c r="MFC4"/>
      <c r="MFD4"/>
      <c r="MFE4"/>
      <c r="MFF4"/>
      <c r="MFG4"/>
      <c r="MFH4"/>
      <c r="MFI4"/>
      <c r="MFJ4"/>
      <c r="MFK4"/>
      <c r="MFL4"/>
      <c r="MFM4"/>
      <c r="MFN4"/>
      <c r="MFO4"/>
      <c r="MFP4"/>
      <c r="MFQ4"/>
      <c r="MFR4"/>
      <c r="MFS4"/>
      <c r="MFT4"/>
      <c r="MFU4"/>
      <c r="MFV4"/>
      <c r="MFW4"/>
      <c r="MFX4"/>
      <c r="MFY4"/>
      <c r="MFZ4"/>
      <c r="MGA4"/>
      <c r="MGB4"/>
      <c r="MGC4"/>
      <c r="MGD4"/>
      <c r="MGE4"/>
      <c r="MGF4"/>
      <c r="MGG4"/>
      <c r="MGH4"/>
      <c r="MGI4"/>
      <c r="MGJ4"/>
      <c r="MGK4"/>
      <c r="MGL4"/>
      <c r="MGM4"/>
      <c r="MGN4"/>
      <c r="MGO4"/>
      <c r="MGP4"/>
      <c r="MGQ4"/>
      <c r="MGR4"/>
      <c r="MGS4"/>
      <c r="MGT4"/>
      <c r="MGU4"/>
      <c r="MGV4"/>
      <c r="MGW4"/>
      <c r="MGX4"/>
      <c r="MGY4"/>
      <c r="MGZ4"/>
      <c r="MHA4"/>
      <c r="MHB4"/>
      <c r="MHC4"/>
      <c r="MHD4"/>
      <c r="MHE4"/>
      <c r="MHF4"/>
      <c r="MHG4"/>
      <c r="MHH4"/>
      <c r="MHI4"/>
      <c r="MHJ4"/>
      <c r="MHK4"/>
      <c r="MHL4"/>
      <c r="MHM4"/>
      <c r="MHN4"/>
      <c r="MHO4"/>
      <c r="MHP4"/>
      <c r="MHQ4"/>
      <c r="MHR4"/>
      <c r="MHS4"/>
      <c r="MHT4"/>
      <c r="MHU4"/>
      <c r="MHV4"/>
      <c r="MHW4"/>
      <c r="MHX4"/>
      <c r="MHY4"/>
      <c r="MHZ4"/>
      <c r="MIA4"/>
      <c r="MIB4"/>
      <c r="MIC4"/>
      <c r="MID4"/>
      <c r="MIE4"/>
      <c r="MIF4"/>
      <c r="MIG4"/>
      <c r="MIH4"/>
      <c r="MII4"/>
      <c r="MIJ4"/>
      <c r="MIK4"/>
      <c r="MIL4"/>
      <c r="MIM4"/>
      <c r="MIN4"/>
      <c r="MIO4"/>
      <c r="MIP4"/>
      <c r="MIQ4"/>
      <c r="MIR4"/>
      <c r="MIS4"/>
      <c r="MIT4"/>
      <c r="MIU4"/>
      <c r="MIV4"/>
      <c r="MIW4"/>
      <c r="MIX4"/>
      <c r="MIY4"/>
      <c r="MIZ4"/>
      <c r="MJA4"/>
      <c r="MJB4"/>
      <c r="MJC4"/>
      <c r="MJD4"/>
      <c r="MJE4"/>
      <c r="MJF4"/>
      <c r="MJG4"/>
      <c r="MJH4"/>
      <c r="MJI4"/>
      <c r="MJJ4"/>
      <c r="MJK4"/>
      <c r="MJL4"/>
      <c r="MJM4"/>
      <c r="MJN4"/>
      <c r="MJO4"/>
      <c r="MJP4"/>
      <c r="MJQ4"/>
      <c r="MJR4"/>
      <c r="MJS4"/>
      <c r="MJT4"/>
      <c r="MJU4"/>
      <c r="MJV4"/>
      <c r="MJW4"/>
      <c r="MJX4"/>
      <c r="MJY4"/>
      <c r="MJZ4"/>
      <c r="MKA4"/>
      <c r="MKB4"/>
      <c r="MKC4"/>
      <c r="MKD4"/>
      <c r="MKE4"/>
      <c r="MKF4"/>
      <c r="MKG4"/>
      <c r="MKH4"/>
      <c r="MKI4"/>
      <c r="MKJ4"/>
      <c r="MKK4"/>
      <c r="MKL4"/>
      <c r="MKM4"/>
      <c r="MKN4"/>
      <c r="MKO4"/>
      <c r="MKP4"/>
      <c r="MKQ4"/>
      <c r="MKR4"/>
      <c r="MKS4"/>
      <c r="MKT4"/>
      <c r="MKU4"/>
      <c r="MKV4"/>
      <c r="MKW4"/>
      <c r="MKX4"/>
      <c r="MKY4"/>
      <c r="MKZ4"/>
      <c r="MLA4"/>
      <c r="MLB4"/>
      <c r="MLC4"/>
      <c r="MLD4"/>
      <c r="MLE4"/>
      <c r="MLF4"/>
      <c r="MLG4"/>
      <c r="MLH4"/>
      <c r="MLI4"/>
      <c r="MLJ4"/>
      <c r="MLK4"/>
      <c r="MLL4"/>
      <c r="MLM4"/>
      <c r="MLN4"/>
      <c r="MLO4"/>
      <c r="MLP4"/>
      <c r="MLQ4"/>
      <c r="MLR4"/>
      <c r="MLS4"/>
      <c r="MLT4"/>
      <c r="MLU4"/>
      <c r="MLV4"/>
      <c r="MLW4"/>
      <c r="MLX4"/>
      <c r="MLY4"/>
      <c r="MLZ4"/>
      <c r="MMA4"/>
      <c r="MMB4"/>
      <c r="MMC4"/>
      <c r="MMD4"/>
      <c r="MME4"/>
      <c r="MMF4"/>
      <c r="MMG4"/>
      <c r="MMH4"/>
      <c r="MMI4"/>
      <c r="MMJ4"/>
      <c r="MMK4"/>
      <c r="MML4"/>
      <c r="MMM4"/>
      <c r="MMN4"/>
      <c r="MMO4"/>
      <c r="MMP4"/>
      <c r="MMQ4"/>
      <c r="MMR4"/>
      <c r="MMS4"/>
      <c r="MMT4"/>
      <c r="MMU4"/>
      <c r="MMV4"/>
      <c r="MMW4"/>
      <c r="MMX4"/>
      <c r="MMY4"/>
      <c r="MMZ4"/>
      <c r="MNA4"/>
      <c r="MNB4"/>
      <c r="MNC4"/>
      <c r="MND4"/>
      <c r="MNE4"/>
      <c r="MNF4"/>
      <c r="MNG4"/>
      <c r="MNH4"/>
      <c r="MNI4"/>
      <c r="MNJ4"/>
      <c r="MNK4"/>
      <c r="MNL4"/>
      <c r="MNM4"/>
      <c r="MNN4"/>
      <c r="MNO4"/>
      <c r="MNP4"/>
      <c r="MNQ4"/>
      <c r="MNR4"/>
      <c r="MNS4"/>
      <c r="MNT4"/>
      <c r="MNU4"/>
      <c r="MNV4"/>
      <c r="MNW4"/>
      <c r="MNX4"/>
      <c r="MNY4"/>
      <c r="MNZ4"/>
      <c r="MOA4"/>
      <c r="MOB4"/>
      <c r="MOC4"/>
      <c r="MOD4"/>
      <c r="MOE4"/>
      <c r="MOF4"/>
      <c r="MOG4"/>
      <c r="MOH4"/>
      <c r="MOI4"/>
      <c r="MOJ4"/>
      <c r="MOK4"/>
      <c r="MOL4"/>
      <c r="MOM4"/>
      <c r="MON4"/>
      <c r="MOO4"/>
      <c r="MOP4"/>
      <c r="MOQ4"/>
      <c r="MOR4"/>
      <c r="MOS4"/>
      <c r="MOT4"/>
      <c r="MOU4"/>
      <c r="MOV4"/>
      <c r="MOW4"/>
      <c r="MOX4"/>
      <c r="MOY4"/>
      <c r="MOZ4"/>
      <c r="MPA4"/>
      <c r="MPB4"/>
      <c r="MPC4"/>
      <c r="MPD4"/>
      <c r="MPE4"/>
      <c r="MPF4"/>
      <c r="MPG4"/>
      <c r="MPH4"/>
      <c r="MPI4"/>
      <c r="MPJ4"/>
      <c r="MPK4"/>
      <c r="MPL4"/>
      <c r="MPM4"/>
      <c r="MPN4"/>
      <c r="MPO4"/>
      <c r="MPP4"/>
      <c r="MPQ4"/>
      <c r="MPR4"/>
      <c r="MPS4"/>
      <c r="MPT4"/>
      <c r="MPU4"/>
      <c r="MPV4"/>
      <c r="MPW4"/>
      <c r="MPX4"/>
      <c r="MPY4"/>
      <c r="MPZ4"/>
      <c r="MQA4"/>
      <c r="MQB4"/>
      <c r="MQC4"/>
      <c r="MQD4"/>
      <c r="MQE4"/>
      <c r="MQF4"/>
      <c r="MQG4"/>
      <c r="MQH4"/>
      <c r="MQI4"/>
      <c r="MQJ4"/>
      <c r="MQK4"/>
      <c r="MQL4"/>
      <c r="MQM4"/>
      <c r="MQN4"/>
      <c r="MQO4"/>
      <c r="MQP4"/>
      <c r="MQQ4"/>
      <c r="MQR4"/>
      <c r="MQS4"/>
      <c r="MQT4"/>
      <c r="MQU4"/>
      <c r="MQV4"/>
      <c r="MQW4"/>
      <c r="MQX4"/>
      <c r="MQY4"/>
      <c r="MQZ4"/>
      <c r="MRA4"/>
      <c r="MRB4"/>
      <c r="MRC4"/>
      <c r="MRD4"/>
      <c r="MRE4"/>
      <c r="MRF4"/>
      <c r="MRG4"/>
      <c r="MRH4"/>
      <c r="MRI4"/>
      <c r="MRJ4"/>
      <c r="MRK4"/>
      <c r="MRL4"/>
      <c r="MRM4"/>
      <c r="MRN4"/>
      <c r="MRO4"/>
      <c r="MRP4"/>
      <c r="MRQ4"/>
      <c r="MRR4"/>
      <c r="MRS4"/>
      <c r="MRT4"/>
      <c r="MRU4"/>
      <c r="MRV4"/>
      <c r="MRW4"/>
      <c r="MRX4"/>
      <c r="MRY4"/>
      <c r="MRZ4"/>
      <c r="MSA4"/>
      <c r="MSB4"/>
      <c r="MSC4"/>
      <c r="MSD4"/>
      <c r="MSE4"/>
      <c r="MSF4"/>
      <c r="MSG4"/>
      <c r="MSH4"/>
      <c r="MSI4"/>
      <c r="MSJ4"/>
      <c r="MSK4"/>
      <c r="MSL4"/>
      <c r="MSM4"/>
      <c r="MSN4"/>
      <c r="MSO4"/>
      <c r="MSP4"/>
      <c r="MSQ4"/>
      <c r="MSR4"/>
      <c r="MSS4"/>
      <c r="MST4"/>
      <c r="MSU4"/>
      <c r="MSV4"/>
      <c r="MSW4"/>
      <c r="MSX4"/>
      <c r="MSY4"/>
      <c r="MSZ4"/>
      <c r="MTA4"/>
      <c r="MTB4"/>
      <c r="MTC4"/>
      <c r="MTD4"/>
      <c r="MTE4"/>
      <c r="MTF4"/>
      <c r="MTG4"/>
      <c r="MTH4"/>
      <c r="MTI4"/>
      <c r="MTJ4"/>
      <c r="MTK4"/>
      <c r="MTL4"/>
      <c r="MTM4"/>
      <c r="MTN4"/>
      <c r="MTO4"/>
      <c r="MTP4"/>
      <c r="MTQ4"/>
      <c r="MTR4"/>
      <c r="MTS4"/>
      <c r="MTT4"/>
      <c r="MTU4"/>
      <c r="MTV4"/>
      <c r="MTW4"/>
      <c r="MTX4"/>
      <c r="MTY4"/>
      <c r="MTZ4"/>
      <c r="MUA4"/>
      <c r="MUB4"/>
      <c r="MUC4"/>
      <c r="MUD4"/>
      <c r="MUE4"/>
      <c r="MUF4"/>
      <c r="MUG4"/>
      <c r="MUH4"/>
      <c r="MUI4"/>
      <c r="MUJ4"/>
      <c r="MUK4"/>
      <c r="MUL4"/>
      <c r="MUM4"/>
      <c r="MUN4"/>
      <c r="MUO4"/>
      <c r="MUP4"/>
      <c r="MUQ4"/>
      <c r="MUR4"/>
      <c r="MUS4"/>
      <c r="MUT4"/>
      <c r="MUU4"/>
      <c r="MUV4"/>
      <c r="MUW4"/>
      <c r="MUX4"/>
      <c r="MUY4"/>
      <c r="MUZ4"/>
      <c r="MVA4"/>
      <c r="MVB4"/>
      <c r="MVC4"/>
      <c r="MVD4"/>
      <c r="MVE4"/>
      <c r="MVF4"/>
      <c r="MVG4"/>
      <c r="MVH4"/>
      <c r="MVI4"/>
      <c r="MVJ4"/>
      <c r="MVK4"/>
      <c r="MVL4"/>
      <c r="MVM4"/>
      <c r="MVN4"/>
      <c r="MVO4"/>
      <c r="MVP4"/>
      <c r="MVQ4"/>
      <c r="MVR4"/>
      <c r="MVS4"/>
      <c r="MVT4"/>
      <c r="MVU4"/>
      <c r="MVV4"/>
      <c r="MVW4"/>
      <c r="MVX4"/>
      <c r="MVY4"/>
      <c r="MVZ4"/>
      <c r="MWA4"/>
      <c r="MWB4"/>
      <c r="MWC4"/>
      <c r="MWD4"/>
      <c r="MWE4"/>
      <c r="MWF4"/>
      <c r="MWG4"/>
      <c r="MWH4"/>
      <c r="MWI4"/>
      <c r="MWJ4"/>
      <c r="MWK4"/>
      <c r="MWL4"/>
      <c r="MWM4"/>
      <c r="MWN4"/>
      <c r="MWO4"/>
      <c r="MWP4"/>
      <c r="MWQ4"/>
      <c r="MWR4"/>
      <c r="MWS4"/>
      <c r="MWT4"/>
      <c r="MWU4"/>
      <c r="MWV4"/>
      <c r="MWW4"/>
      <c r="MWX4"/>
      <c r="MWY4"/>
      <c r="MWZ4"/>
      <c r="MXA4"/>
      <c r="MXB4"/>
      <c r="MXC4"/>
      <c r="MXD4"/>
      <c r="MXE4"/>
      <c r="MXF4"/>
      <c r="MXG4"/>
      <c r="MXH4"/>
      <c r="MXI4"/>
      <c r="MXJ4"/>
      <c r="MXK4"/>
      <c r="MXL4"/>
      <c r="MXM4"/>
      <c r="MXN4"/>
      <c r="MXO4"/>
      <c r="MXP4"/>
      <c r="MXQ4"/>
      <c r="MXR4"/>
      <c r="MXS4"/>
      <c r="MXT4"/>
      <c r="MXU4"/>
      <c r="MXV4"/>
      <c r="MXW4"/>
      <c r="MXX4"/>
      <c r="MXY4"/>
      <c r="MXZ4"/>
      <c r="MYA4"/>
      <c r="MYB4"/>
      <c r="MYC4"/>
      <c r="MYD4"/>
      <c r="MYE4"/>
      <c r="MYF4"/>
      <c r="MYG4"/>
      <c r="MYH4"/>
      <c r="MYI4"/>
      <c r="MYJ4"/>
      <c r="MYK4"/>
      <c r="MYL4"/>
      <c r="MYM4"/>
      <c r="MYN4"/>
      <c r="MYO4"/>
      <c r="MYP4"/>
      <c r="MYQ4"/>
      <c r="MYR4"/>
      <c r="MYS4"/>
      <c r="MYT4"/>
      <c r="MYU4"/>
      <c r="MYV4"/>
      <c r="MYW4"/>
      <c r="MYX4"/>
      <c r="MYY4"/>
      <c r="MYZ4"/>
      <c r="MZA4"/>
      <c r="MZB4"/>
      <c r="MZC4"/>
      <c r="MZD4"/>
      <c r="MZE4"/>
      <c r="MZF4"/>
      <c r="MZG4"/>
      <c r="MZH4"/>
      <c r="MZI4"/>
      <c r="MZJ4"/>
      <c r="MZK4"/>
      <c r="MZL4"/>
      <c r="MZM4"/>
      <c r="MZN4"/>
      <c r="MZO4"/>
      <c r="MZP4"/>
      <c r="MZQ4"/>
      <c r="MZR4"/>
      <c r="MZS4"/>
      <c r="MZT4"/>
      <c r="MZU4"/>
      <c r="MZV4"/>
      <c r="MZW4"/>
      <c r="MZX4"/>
      <c r="MZY4"/>
      <c r="MZZ4"/>
      <c r="NAA4"/>
      <c r="NAB4"/>
      <c r="NAC4"/>
      <c r="NAD4"/>
      <c r="NAE4"/>
      <c r="NAF4"/>
      <c r="NAG4"/>
      <c r="NAH4"/>
      <c r="NAI4"/>
      <c r="NAJ4"/>
      <c r="NAK4"/>
      <c r="NAL4"/>
      <c r="NAM4"/>
      <c r="NAN4"/>
      <c r="NAO4"/>
      <c r="NAP4"/>
      <c r="NAQ4"/>
      <c r="NAR4"/>
      <c r="NAS4"/>
      <c r="NAT4"/>
      <c r="NAU4"/>
      <c r="NAV4"/>
      <c r="NAW4"/>
      <c r="NAX4"/>
      <c r="NAY4"/>
      <c r="NAZ4"/>
      <c r="NBA4"/>
      <c r="NBB4"/>
      <c r="NBC4"/>
      <c r="NBD4"/>
      <c r="NBE4"/>
      <c r="NBF4"/>
      <c r="NBG4"/>
      <c r="NBH4"/>
      <c r="NBI4"/>
      <c r="NBJ4"/>
      <c r="NBK4"/>
      <c r="NBL4"/>
      <c r="NBM4"/>
      <c r="NBN4"/>
      <c r="NBO4"/>
      <c r="NBP4"/>
      <c r="NBQ4"/>
      <c r="NBR4"/>
      <c r="NBS4"/>
      <c r="NBT4"/>
      <c r="NBU4"/>
      <c r="NBV4"/>
      <c r="NBW4"/>
      <c r="NBX4"/>
      <c r="NBY4"/>
      <c r="NBZ4"/>
      <c r="NCA4"/>
      <c r="NCB4"/>
      <c r="NCC4"/>
      <c r="NCD4"/>
      <c r="NCE4"/>
      <c r="NCF4"/>
      <c r="NCG4"/>
      <c r="NCH4"/>
      <c r="NCI4"/>
      <c r="NCJ4"/>
      <c r="NCK4"/>
      <c r="NCL4"/>
      <c r="NCM4"/>
      <c r="NCN4"/>
      <c r="NCO4"/>
      <c r="NCP4"/>
      <c r="NCQ4"/>
      <c r="NCR4"/>
      <c r="NCS4"/>
      <c r="NCT4"/>
      <c r="NCU4"/>
      <c r="NCV4"/>
      <c r="NCW4"/>
      <c r="NCX4"/>
      <c r="NCY4"/>
      <c r="NCZ4"/>
      <c r="NDA4"/>
      <c r="NDB4"/>
      <c r="NDC4"/>
      <c r="NDD4"/>
      <c r="NDE4"/>
      <c r="NDF4"/>
      <c r="NDG4"/>
      <c r="NDH4"/>
      <c r="NDI4"/>
      <c r="NDJ4"/>
      <c r="NDK4"/>
      <c r="NDL4"/>
      <c r="NDM4"/>
      <c r="NDN4"/>
      <c r="NDO4"/>
      <c r="NDP4"/>
      <c r="NDQ4"/>
      <c r="NDR4"/>
      <c r="NDS4"/>
      <c r="NDT4"/>
      <c r="NDU4"/>
      <c r="NDV4"/>
      <c r="NDW4"/>
      <c r="NDX4"/>
      <c r="NDY4"/>
      <c r="NDZ4"/>
      <c r="NEA4"/>
      <c r="NEB4"/>
      <c r="NEC4"/>
      <c r="NED4"/>
      <c r="NEE4"/>
      <c r="NEF4"/>
      <c r="NEG4"/>
      <c r="NEH4"/>
      <c r="NEI4"/>
      <c r="NEJ4"/>
      <c r="NEK4"/>
      <c r="NEL4"/>
      <c r="NEM4"/>
      <c r="NEN4"/>
      <c r="NEO4"/>
      <c r="NEP4"/>
      <c r="NEQ4"/>
      <c r="NER4"/>
      <c r="NES4"/>
      <c r="NET4"/>
      <c r="NEU4"/>
      <c r="NEV4"/>
      <c r="NEW4"/>
      <c r="NEX4"/>
      <c r="NEY4"/>
      <c r="NEZ4"/>
      <c r="NFA4"/>
      <c r="NFB4"/>
      <c r="NFC4"/>
      <c r="NFD4"/>
      <c r="NFE4"/>
      <c r="NFF4"/>
      <c r="NFG4"/>
      <c r="NFH4"/>
      <c r="NFI4"/>
      <c r="NFJ4"/>
      <c r="NFK4"/>
      <c r="NFL4"/>
      <c r="NFM4"/>
      <c r="NFN4"/>
      <c r="NFO4"/>
      <c r="NFP4"/>
      <c r="NFQ4"/>
      <c r="NFR4"/>
      <c r="NFS4"/>
      <c r="NFT4"/>
      <c r="NFU4"/>
      <c r="NFV4"/>
      <c r="NFW4"/>
      <c r="NFX4"/>
      <c r="NFY4"/>
      <c r="NFZ4"/>
      <c r="NGA4"/>
      <c r="NGB4"/>
      <c r="NGC4"/>
      <c r="NGD4"/>
      <c r="NGE4"/>
      <c r="NGF4"/>
      <c r="NGG4"/>
      <c r="NGH4"/>
      <c r="NGI4"/>
      <c r="NGJ4"/>
      <c r="NGK4"/>
      <c r="NGL4"/>
      <c r="NGM4"/>
      <c r="NGN4"/>
      <c r="NGO4"/>
      <c r="NGP4"/>
      <c r="NGQ4"/>
      <c r="NGR4"/>
      <c r="NGS4"/>
      <c r="NGT4"/>
      <c r="NGU4"/>
      <c r="NGV4"/>
      <c r="NGW4"/>
      <c r="NGX4"/>
      <c r="NGY4"/>
      <c r="NGZ4"/>
      <c r="NHA4"/>
      <c r="NHB4"/>
      <c r="NHC4"/>
      <c r="NHD4"/>
      <c r="NHE4"/>
      <c r="NHF4"/>
      <c r="NHG4"/>
      <c r="NHH4"/>
      <c r="NHI4"/>
      <c r="NHJ4"/>
      <c r="NHK4"/>
      <c r="NHL4"/>
      <c r="NHM4"/>
      <c r="NHN4"/>
      <c r="NHO4"/>
      <c r="NHP4"/>
      <c r="NHQ4"/>
      <c r="NHR4"/>
      <c r="NHS4"/>
      <c r="NHT4"/>
      <c r="NHU4"/>
      <c r="NHV4"/>
      <c r="NHW4"/>
      <c r="NHX4"/>
      <c r="NHY4"/>
      <c r="NHZ4"/>
      <c r="NIA4"/>
      <c r="NIB4"/>
      <c r="NIC4"/>
      <c r="NID4"/>
      <c r="NIE4"/>
      <c r="NIF4"/>
      <c r="NIG4"/>
      <c r="NIH4"/>
      <c r="NII4"/>
      <c r="NIJ4"/>
      <c r="NIK4"/>
      <c r="NIL4"/>
      <c r="NIM4"/>
      <c r="NIN4"/>
      <c r="NIO4"/>
      <c r="NIP4"/>
      <c r="NIQ4"/>
      <c r="NIR4"/>
      <c r="NIS4"/>
      <c r="NIT4"/>
      <c r="NIU4"/>
      <c r="NIV4"/>
      <c r="NIW4"/>
      <c r="NIX4"/>
      <c r="NIY4"/>
      <c r="NIZ4"/>
      <c r="NJA4"/>
      <c r="NJB4"/>
      <c r="NJC4"/>
      <c r="NJD4"/>
      <c r="NJE4"/>
      <c r="NJF4"/>
      <c r="NJG4"/>
      <c r="NJH4"/>
      <c r="NJI4"/>
      <c r="NJJ4"/>
      <c r="NJK4"/>
      <c r="NJL4"/>
      <c r="NJM4"/>
      <c r="NJN4"/>
      <c r="NJO4"/>
      <c r="NJP4"/>
      <c r="NJQ4"/>
      <c r="NJR4"/>
      <c r="NJS4"/>
      <c r="NJT4"/>
      <c r="NJU4"/>
      <c r="NJV4"/>
      <c r="NJW4"/>
      <c r="NJX4"/>
      <c r="NJY4"/>
      <c r="NJZ4"/>
      <c r="NKA4"/>
      <c r="NKB4"/>
      <c r="NKC4"/>
      <c r="NKD4"/>
      <c r="NKE4"/>
      <c r="NKF4"/>
      <c r="NKG4"/>
      <c r="NKH4"/>
      <c r="NKI4"/>
      <c r="NKJ4"/>
      <c r="NKK4"/>
      <c r="NKL4"/>
      <c r="NKM4"/>
      <c r="NKN4"/>
      <c r="NKO4"/>
      <c r="NKP4"/>
      <c r="NKQ4"/>
      <c r="NKR4"/>
      <c r="NKS4"/>
      <c r="NKT4"/>
      <c r="NKU4"/>
      <c r="NKV4"/>
      <c r="NKW4"/>
      <c r="NKX4"/>
      <c r="NKY4"/>
      <c r="NKZ4"/>
      <c r="NLA4"/>
      <c r="NLB4"/>
      <c r="NLC4"/>
      <c r="NLD4"/>
      <c r="NLE4"/>
      <c r="NLF4"/>
      <c r="NLG4"/>
      <c r="NLH4"/>
      <c r="NLI4"/>
      <c r="NLJ4"/>
      <c r="NLK4"/>
      <c r="NLL4"/>
      <c r="NLM4"/>
      <c r="NLN4"/>
      <c r="NLO4"/>
      <c r="NLP4"/>
      <c r="NLQ4"/>
      <c r="NLR4"/>
      <c r="NLS4"/>
      <c r="NLT4"/>
      <c r="NLU4"/>
      <c r="NLV4"/>
      <c r="NLW4"/>
      <c r="NLX4"/>
      <c r="NLY4"/>
      <c r="NLZ4"/>
      <c r="NMA4"/>
      <c r="NMB4"/>
      <c r="NMC4"/>
      <c r="NMD4"/>
      <c r="NME4"/>
      <c r="NMF4"/>
      <c r="NMG4"/>
      <c r="NMH4"/>
      <c r="NMI4"/>
      <c r="NMJ4"/>
      <c r="NMK4"/>
      <c r="NML4"/>
      <c r="NMM4"/>
      <c r="NMN4"/>
      <c r="NMO4"/>
      <c r="NMP4"/>
      <c r="NMQ4"/>
      <c r="NMR4"/>
      <c r="NMS4"/>
      <c r="NMT4"/>
      <c r="NMU4"/>
      <c r="NMV4"/>
      <c r="NMW4"/>
      <c r="NMX4"/>
      <c r="NMY4"/>
      <c r="NMZ4"/>
      <c r="NNA4"/>
      <c r="NNB4"/>
      <c r="NNC4"/>
      <c r="NND4"/>
      <c r="NNE4"/>
      <c r="NNF4"/>
      <c r="NNG4"/>
      <c r="NNH4"/>
      <c r="NNI4"/>
      <c r="NNJ4"/>
      <c r="NNK4"/>
      <c r="NNL4"/>
      <c r="NNM4"/>
      <c r="NNN4"/>
      <c r="NNO4"/>
      <c r="NNP4"/>
      <c r="NNQ4"/>
      <c r="NNR4"/>
      <c r="NNS4"/>
      <c r="NNT4"/>
      <c r="NNU4"/>
      <c r="NNV4"/>
      <c r="NNW4"/>
      <c r="NNX4"/>
      <c r="NNY4"/>
      <c r="NNZ4"/>
      <c r="NOA4"/>
      <c r="NOB4"/>
      <c r="NOC4"/>
      <c r="NOD4"/>
      <c r="NOE4"/>
      <c r="NOF4"/>
      <c r="NOG4"/>
      <c r="NOH4"/>
      <c r="NOI4"/>
      <c r="NOJ4"/>
      <c r="NOK4"/>
      <c r="NOL4"/>
      <c r="NOM4"/>
      <c r="NON4"/>
      <c r="NOO4"/>
      <c r="NOP4"/>
      <c r="NOQ4"/>
      <c r="NOR4"/>
      <c r="NOS4"/>
      <c r="NOT4"/>
      <c r="NOU4"/>
      <c r="NOV4"/>
      <c r="NOW4"/>
      <c r="NOX4"/>
      <c r="NOY4"/>
      <c r="NOZ4"/>
      <c r="NPA4"/>
      <c r="NPB4"/>
      <c r="NPC4"/>
      <c r="NPD4"/>
      <c r="NPE4"/>
      <c r="NPF4"/>
      <c r="NPG4"/>
      <c r="NPH4"/>
      <c r="NPI4"/>
      <c r="NPJ4"/>
      <c r="NPK4"/>
      <c r="NPL4"/>
      <c r="NPM4"/>
      <c r="NPN4"/>
      <c r="NPO4"/>
      <c r="NPP4"/>
      <c r="NPQ4"/>
      <c r="NPR4"/>
      <c r="NPS4"/>
      <c r="NPT4"/>
      <c r="NPU4"/>
      <c r="NPV4"/>
      <c r="NPW4"/>
      <c r="NPX4"/>
      <c r="NPY4"/>
      <c r="NPZ4"/>
      <c r="NQA4"/>
      <c r="NQB4"/>
      <c r="NQC4"/>
      <c r="NQD4"/>
      <c r="NQE4"/>
      <c r="NQF4"/>
      <c r="NQG4"/>
      <c r="NQH4"/>
      <c r="NQI4"/>
      <c r="NQJ4"/>
      <c r="NQK4"/>
      <c r="NQL4"/>
      <c r="NQM4"/>
      <c r="NQN4"/>
      <c r="NQO4"/>
      <c r="NQP4"/>
      <c r="NQQ4"/>
      <c r="NQR4"/>
      <c r="NQS4"/>
      <c r="NQT4"/>
      <c r="NQU4"/>
      <c r="NQV4"/>
      <c r="NQW4"/>
      <c r="NQX4"/>
      <c r="NQY4"/>
      <c r="NQZ4"/>
      <c r="NRA4"/>
      <c r="NRB4"/>
      <c r="NRC4"/>
      <c r="NRD4"/>
      <c r="NRE4"/>
      <c r="NRF4"/>
      <c r="NRG4"/>
      <c r="NRH4"/>
      <c r="NRI4"/>
      <c r="NRJ4"/>
      <c r="NRK4"/>
      <c r="NRL4"/>
      <c r="NRM4"/>
      <c r="NRN4"/>
      <c r="NRO4"/>
      <c r="NRP4"/>
      <c r="NRQ4"/>
      <c r="NRR4"/>
      <c r="NRS4"/>
      <c r="NRT4"/>
      <c r="NRU4"/>
      <c r="NRV4"/>
      <c r="NRW4"/>
      <c r="NRX4"/>
      <c r="NRY4"/>
      <c r="NRZ4"/>
      <c r="NSA4"/>
      <c r="NSB4"/>
      <c r="NSC4"/>
      <c r="NSD4"/>
      <c r="NSE4"/>
      <c r="NSF4"/>
      <c r="NSG4"/>
      <c r="NSH4"/>
      <c r="NSI4"/>
      <c r="NSJ4"/>
      <c r="NSK4"/>
      <c r="NSL4"/>
      <c r="NSM4"/>
      <c r="NSN4"/>
      <c r="NSO4"/>
      <c r="NSP4"/>
      <c r="NSQ4"/>
      <c r="NSR4"/>
      <c r="NSS4"/>
      <c r="NST4"/>
      <c r="NSU4"/>
      <c r="NSV4"/>
      <c r="NSW4"/>
      <c r="NSX4"/>
      <c r="NSY4"/>
      <c r="NSZ4"/>
      <c r="NTA4"/>
      <c r="NTB4"/>
      <c r="NTC4"/>
      <c r="NTD4"/>
      <c r="NTE4"/>
      <c r="NTF4"/>
      <c r="NTG4"/>
      <c r="NTH4"/>
      <c r="NTI4"/>
      <c r="NTJ4"/>
      <c r="NTK4"/>
      <c r="NTL4"/>
      <c r="NTM4"/>
      <c r="NTN4"/>
      <c r="NTO4"/>
      <c r="NTP4"/>
      <c r="NTQ4"/>
      <c r="NTR4"/>
      <c r="NTS4"/>
      <c r="NTT4"/>
      <c r="NTU4"/>
      <c r="NTV4"/>
      <c r="NTW4"/>
      <c r="NTX4"/>
      <c r="NTY4"/>
      <c r="NTZ4"/>
      <c r="NUA4"/>
      <c r="NUB4"/>
      <c r="NUC4"/>
      <c r="NUD4"/>
      <c r="NUE4"/>
      <c r="NUF4"/>
      <c r="NUG4"/>
      <c r="NUH4"/>
      <c r="NUI4"/>
      <c r="NUJ4"/>
      <c r="NUK4"/>
      <c r="NUL4"/>
      <c r="NUM4"/>
      <c r="NUN4"/>
      <c r="NUO4"/>
      <c r="NUP4"/>
      <c r="NUQ4"/>
      <c r="NUR4"/>
      <c r="NUS4"/>
      <c r="NUT4"/>
      <c r="NUU4"/>
      <c r="NUV4"/>
      <c r="NUW4"/>
      <c r="NUX4"/>
      <c r="NUY4"/>
      <c r="NUZ4"/>
      <c r="NVA4"/>
      <c r="NVB4"/>
      <c r="NVC4"/>
      <c r="NVD4"/>
      <c r="NVE4"/>
      <c r="NVF4"/>
      <c r="NVG4"/>
      <c r="NVH4"/>
      <c r="NVI4"/>
      <c r="NVJ4"/>
      <c r="NVK4"/>
      <c r="NVL4"/>
      <c r="NVM4"/>
      <c r="NVN4"/>
      <c r="NVO4"/>
      <c r="NVP4"/>
      <c r="NVQ4"/>
      <c r="NVR4"/>
      <c r="NVS4"/>
      <c r="NVT4"/>
      <c r="NVU4"/>
      <c r="NVV4"/>
      <c r="NVW4"/>
      <c r="NVX4"/>
      <c r="NVY4"/>
      <c r="NVZ4"/>
      <c r="NWA4"/>
      <c r="NWB4"/>
      <c r="NWC4"/>
      <c r="NWD4"/>
      <c r="NWE4"/>
      <c r="NWF4"/>
      <c r="NWG4"/>
      <c r="NWH4"/>
      <c r="NWI4"/>
      <c r="NWJ4"/>
      <c r="NWK4"/>
      <c r="NWL4"/>
      <c r="NWM4"/>
      <c r="NWN4"/>
      <c r="NWO4"/>
      <c r="NWP4"/>
      <c r="NWQ4"/>
      <c r="NWR4"/>
      <c r="NWS4"/>
      <c r="NWT4"/>
      <c r="NWU4"/>
      <c r="NWV4"/>
      <c r="NWW4"/>
      <c r="NWX4"/>
      <c r="NWY4"/>
      <c r="NWZ4"/>
      <c r="NXA4"/>
      <c r="NXB4"/>
      <c r="NXC4"/>
      <c r="NXD4"/>
      <c r="NXE4"/>
      <c r="NXF4"/>
      <c r="NXG4"/>
      <c r="NXH4"/>
      <c r="NXI4"/>
      <c r="NXJ4"/>
      <c r="NXK4"/>
      <c r="NXL4"/>
      <c r="NXM4"/>
      <c r="NXN4"/>
      <c r="NXO4"/>
      <c r="NXP4"/>
      <c r="NXQ4"/>
      <c r="NXR4"/>
      <c r="NXS4"/>
      <c r="NXT4"/>
      <c r="NXU4"/>
      <c r="NXV4"/>
      <c r="NXW4"/>
      <c r="NXX4"/>
      <c r="NXY4"/>
      <c r="NXZ4"/>
      <c r="NYA4"/>
      <c r="NYB4"/>
      <c r="NYC4"/>
      <c r="NYD4"/>
      <c r="NYE4"/>
      <c r="NYF4"/>
      <c r="NYG4"/>
      <c r="NYH4"/>
      <c r="NYI4"/>
      <c r="NYJ4"/>
      <c r="NYK4"/>
      <c r="NYL4"/>
      <c r="NYM4"/>
      <c r="NYN4"/>
      <c r="NYO4"/>
      <c r="NYP4"/>
      <c r="NYQ4"/>
      <c r="NYR4"/>
      <c r="NYS4"/>
      <c r="NYT4"/>
      <c r="NYU4"/>
      <c r="NYV4"/>
      <c r="NYW4"/>
      <c r="NYX4"/>
      <c r="NYY4"/>
      <c r="NYZ4"/>
      <c r="NZA4"/>
      <c r="NZB4"/>
      <c r="NZC4"/>
      <c r="NZD4"/>
      <c r="NZE4"/>
      <c r="NZF4"/>
      <c r="NZG4"/>
      <c r="NZH4"/>
      <c r="NZI4"/>
      <c r="NZJ4"/>
      <c r="NZK4"/>
      <c r="NZL4"/>
      <c r="NZM4"/>
      <c r="NZN4"/>
      <c r="NZO4"/>
      <c r="NZP4"/>
      <c r="NZQ4"/>
      <c r="NZR4"/>
      <c r="NZS4"/>
      <c r="NZT4"/>
      <c r="NZU4"/>
      <c r="NZV4"/>
      <c r="NZW4"/>
      <c r="NZX4"/>
      <c r="NZY4"/>
      <c r="NZZ4"/>
      <c r="OAA4"/>
      <c r="OAB4"/>
      <c r="OAC4"/>
      <c r="OAD4"/>
      <c r="OAE4"/>
      <c r="OAF4"/>
      <c r="OAG4"/>
      <c r="OAH4"/>
      <c r="OAI4"/>
      <c r="OAJ4"/>
      <c r="OAK4"/>
      <c r="OAL4"/>
      <c r="OAM4"/>
      <c r="OAN4"/>
      <c r="OAO4"/>
      <c r="OAP4"/>
      <c r="OAQ4"/>
      <c r="OAR4"/>
      <c r="OAS4"/>
      <c r="OAT4"/>
      <c r="OAU4"/>
      <c r="OAV4"/>
      <c r="OAW4"/>
      <c r="OAX4"/>
      <c r="OAY4"/>
      <c r="OAZ4"/>
      <c r="OBA4"/>
      <c r="OBB4"/>
      <c r="OBC4"/>
      <c r="OBD4"/>
      <c r="OBE4"/>
      <c r="OBF4"/>
      <c r="OBG4"/>
      <c r="OBH4"/>
      <c r="OBI4"/>
      <c r="OBJ4"/>
      <c r="OBK4"/>
      <c r="OBL4"/>
      <c r="OBM4"/>
      <c r="OBN4"/>
      <c r="OBO4"/>
      <c r="OBP4"/>
      <c r="OBQ4"/>
      <c r="OBR4"/>
      <c r="OBS4"/>
      <c r="OBT4"/>
      <c r="OBU4"/>
      <c r="OBV4"/>
      <c r="OBW4"/>
      <c r="OBX4"/>
      <c r="OBY4"/>
      <c r="OBZ4"/>
      <c r="OCA4"/>
      <c r="OCB4"/>
      <c r="OCC4"/>
      <c r="OCD4"/>
      <c r="OCE4"/>
      <c r="OCF4"/>
      <c r="OCG4"/>
      <c r="OCH4"/>
      <c r="OCI4"/>
      <c r="OCJ4"/>
      <c r="OCK4"/>
      <c r="OCL4"/>
      <c r="OCM4"/>
      <c r="OCN4"/>
      <c r="OCO4"/>
      <c r="OCP4"/>
      <c r="OCQ4"/>
      <c r="OCR4"/>
      <c r="OCS4"/>
      <c r="OCT4"/>
      <c r="OCU4"/>
      <c r="OCV4"/>
      <c r="OCW4"/>
      <c r="OCX4"/>
      <c r="OCY4"/>
      <c r="OCZ4"/>
      <c r="ODA4"/>
      <c r="ODB4"/>
      <c r="ODC4"/>
      <c r="ODD4"/>
      <c r="ODE4"/>
      <c r="ODF4"/>
      <c r="ODG4"/>
      <c r="ODH4"/>
      <c r="ODI4"/>
      <c r="ODJ4"/>
      <c r="ODK4"/>
      <c r="ODL4"/>
      <c r="ODM4"/>
      <c r="ODN4"/>
      <c r="ODO4"/>
      <c r="ODP4"/>
      <c r="ODQ4"/>
      <c r="ODR4"/>
      <c r="ODS4"/>
      <c r="ODT4"/>
      <c r="ODU4"/>
      <c r="ODV4"/>
      <c r="ODW4"/>
      <c r="ODX4"/>
      <c r="ODY4"/>
      <c r="ODZ4"/>
      <c r="OEA4"/>
      <c r="OEB4"/>
      <c r="OEC4"/>
      <c r="OED4"/>
      <c r="OEE4"/>
      <c r="OEF4"/>
      <c r="OEG4"/>
      <c r="OEH4"/>
      <c r="OEI4"/>
      <c r="OEJ4"/>
      <c r="OEK4"/>
      <c r="OEL4"/>
      <c r="OEM4"/>
      <c r="OEN4"/>
      <c r="OEO4"/>
      <c r="OEP4"/>
      <c r="OEQ4"/>
      <c r="OER4"/>
      <c r="OES4"/>
      <c r="OET4"/>
      <c r="OEU4"/>
      <c r="OEV4"/>
      <c r="OEW4"/>
      <c r="OEX4"/>
      <c r="OEY4"/>
      <c r="OEZ4"/>
      <c r="OFA4"/>
      <c r="OFB4"/>
      <c r="OFC4"/>
      <c r="OFD4"/>
      <c r="OFE4"/>
      <c r="OFF4"/>
      <c r="OFG4"/>
      <c r="OFH4"/>
      <c r="OFI4"/>
      <c r="OFJ4"/>
      <c r="OFK4"/>
      <c r="OFL4"/>
      <c r="OFM4"/>
      <c r="OFN4"/>
      <c r="OFO4"/>
      <c r="OFP4"/>
      <c r="OFQ4"/>
      <c r="OFR4"/>
      <c r="OFS4"/>
      <c r="OFT4"/>
      <c r="OFU4"/>
      <c r="OFV4"/>
      <c r="OFW4"/>
      <c r="OFX4"/>
      <c r="OFY4"/>
      <c r="OFZ4"/>
      <c r="OGA4"/>
      <c r="OGB4"/>
      <c r="OGC4"/>
      <c r="OGD4"/>
      <c r="OGE4"/>
      <c r="OGF4"/>
      <c r="OGG4"/>
      <c r="OGH4"/>
      <c r="OGI4"/>
      <c r="OGJ4"/>
      <c r="OGK4"/>
      <c r="OGL4"/>
      <c r="OGM4"/>
      <c r="OGN4"/>
      <c r="OGO4"/>
      <c r="OGP4"/>
      <c r="OGQ4"/>
      <c r="OGR4"/>
      <c r="OGS4"/>
      <c r="OGT4"/>
      <c r="OGU4"/>
      <c r="OGV4"/>
      <c r="OGW4"/>
      <c r="OGX4"/>
      <c r="OGY4"/>
      <c r="OGZ4"/>
      <c r="OHA4"/>
      <c r="OHB4"/>
      <c r="OHC4"/>
      <c r="OHD4"/>
      <c r="OHE4"/>
      <c r="OHF4"/>
      <c r="OHG4"/>
      <c r="OHH4"/>
      <c r="OHI4"/>
      <c r="OHJ4"/>
      <c r="OHK4"/>
      <c r="OHL4"/>
      <c r="OHM4"/>
      <c r="OHN4"/>
      <c r="OHO4"/>
      <c r="OHP4"/>
      <c r="OHQ4"/>
      <c r="OHR4"/>
      <c r="OHS4"/>
      <c r="OHT4"/>
      <c r="OHU4"/>
      <c r="OHV4"/>
      <c r="OHW4"/>
      <c r="OHX4"/>
      <c r="OHY4"/>
      <c r="OHZ4"/>
      <c r="OIA4"/>
      <c r="OIB4"/>
      <c r="OIC4"/>
      <c r="OID4"/>
      <c r="OIE4"/>
      <c r="OIF4"/>
      <c r="OIG4"/>
      <c r="OIH4"/>
      <c r="OII4"/>
      <c r="OIJ4"/>
      <c r="OIK4"/>
      <c r="OIL4"/>
      <c r="OIM4"/>
      <c r="OIN4"/>
      <c r="OIO4"/>
      <c r="OIP4"/>
      <c r="OIQ4"/>
      <c r="OIR4"/>
      <c r="OIS4"/>
      <c r="OIT4"/>
      <c r="OIU4"/>
      <c r="OIV4"/>
      <c r="OIW4"/>
      <c r="OIX4"/>
      <c r="OIY4"/>
      <c r="OIZ4"/>
      <c r="OJA4"/>
      <c r="OJB4"/>
      <c r="OJC4"/>
      <c r="OJD4"/>
      <c r="OJE4"/>
      <c r="OJF4"/>
      <c r="OJG4"/>
      <c r="OJH4"/>
      <c r="OJI4"/>
      <c r="OJJ4"/>
      <c r="OJK4"/>
      <c r="OJL4"/>
      <c r="OJM4"/>
      <c r="OJN4"/>
      <c r="OJO4"/>
      <c r="OJP4"/>
      <c r="OJQ4"/>
      <c r="OJR4"/>
      <c r="OJS4"/>
      <c r="OJT4"/>
      <c r="OJU4"/>
      <c r="OJV4"/>
      <c r="OJW4"/>
      <c r="OJX4"/>
      <c r="OJY4"/>
      <c r="OJZ4"/>
      <c r="OKA4"/>
      <c r="OKB4"/>
      <c r="OKC4"/>
      <c r="OKD4"/>
      <c r="OKE4"/>
      <c r="OKF4"/>
      <c r="OKG4"/>
      <c r="OKH4"/>
      <c r="OKI4"/>
      <c r="OKJ4"/>
      <c r="OKK4"/>
      <c r="OKL4"/>
      <c r="OKM4"/>
      <c r="OKN4"/>
      <c r="OKO4"/>
      <c r="OKP4"/>
      <c r="OKQ4"/>
      <c r="OKR4"/>
      <c r="OKS4"/>
      <c r="OKT4"/>
      <c r="OKU4"/>
      <c r="OKV4"/>
      <c r="OKW4"/>
      <c r="OKX4"/>
      <c r="OKY4"/>
      <c r="OKZ4"/>
      <c r="OLA4"/>
      <c r="OLB4"/>
      <c r="OLC4"/>
      <c r="OLD4"/>
      <c r="OLE4"/>
      <c r="OLF4"/>
      <c r="OLG4"/>
      <c r="OLH4"/>
      <c r="OLI4"/>
      <c r="OLJ4"/>
      <c r="OLK4"/>
      <c r="OLL4"/>
      <c r="OLM4"/>
      <c r="OLN4"/>
      <c r="OLO4"/>
      <c r="OLP4"/>
      <c r="OLQ4"/>
      <c r="OLR4"/>
      <c r="OLS4"/>
      <c r="OLT4"/>
      <c r="OLU4"/>
      <c r="OLV4"/>
      <c r="OLW4"/>
      <c r="OLX4"/>
      <c r="OLY4"/>
      <c r="OLZ4"/>
      <c r="OMA4"/>
      <c r="OMB4"/>
      <c r="OMC4"/>
      <c r="OMD4"/>
      <c r="OME4"/>
      <c r="OMF4"/>
      <c r="OMG4"/>
      <c r="OMH4"/>
      <c r="OMI4"/>
      <c r="OMJ4"/>
      <c r="OMK4"/>
      <c r="OML4"/>
      <c r="OMM4"/>
      <c r="OMN4"/>
      <c r="OMO4"/>
      <c r="OMP4"/>
      <c r="OMQ4"/>
      <c r="OMR4"/>
      <c r="OMS4"/>
      <c r="OMT4"/>
      <c r="OMU4"/>
      <c r="OMV4"/>
      <c r="OMW4"/>
      <c r="OMX4"/>
      <c r="OMY4"/>
      <c r="OMZ4"/>
      <c r="ONA4"/>
      <c r="ONB4"/>
      <c r="ONC4"/>
      <c r="OND4"/>
      <c r="ONE4"/>
      <c r="ONF4"/>
      <c r="ONG4"/>
      <c r="ONH4"/>
      <c r="ONI4"/>
      <c r="ONJ4"/>
      <c r="ONK4"/>
      <c r="ONL4"/>
      <c r="ONM4"/>
      <c r="ONN4"/>
      <c r="ONO4"/>
      <c r="ONP4"/>
      <c r="ONQ4"/>
      <c r="ONR4"/>
      <c r="ONS4"/>
      <c r="ONT4"/>
      <c r="ONU4"/>
      <c r="ONV4"/>
      <c r="ONW4"/>
      <c r="ONX4"/>
      <c r="ONY4"/>
      <c r="ONZ4"/>
      <c r="OOA4"/>
      <c r="OOB4"/>
      <c r="OOC4"/>
      <c r="OOD4"/>
      <c r="OOE4"/>
      <c r="OOF4"/>
      <c r="OOG4"/>
      <c r="OOH4"/>
      <c r="OOI4"/>
      <c r="OOJ4"/>
      <c r="OOK4"/>
      <c r="OOL4"/>
      <c r="OOM4"/>
      <c r="OON4"/>
      <c r="OOO4"/>
      <c r="OOP4"/>
      <c r="OOQ4"/>
      <c r="OOR4"/>
      <c r="OOS4"/>
      <c r="OOT4"/>
      <c r="OOU4"/>
      <c r="OOV4"/>
      <c r="OOW4"/>
      <c r="OOX4"/>
      <c r="OOY4"/>
      <c r="OOZ4"/>
      <c r="OPA4"/>
      <c r="OPB4"/>
      <c r="OPC4"/>
      <c r="OPD4"/>
      <c r="OPE4"/>
      <c r="OPF4"/>
      <c r="OPG4"/>
      <c r="OPH4"/>
      <c r="OPI4"/>
      <c r="OPJ4"/>
      <c r="OPK4"/>
      <c r="OPL4"/>
      <c r="OPM4"/>
      <c r="OPN4"/>
      <c r="OPO4"/>
      <c r="OPP4"/>
      <c r="OPQ4"/>
      <c r="OPR4"/>
      <c r="OPS4"/>
      <c r="OPT4"/>
      <c r="OPU4"/>
      <c r="OPV4"/>
      <c r="OPW4"/>
      <c r="OPX4"/>
      <c r="OPY4"/>
      <c r="OPZ4"/>
      <c r="OQA4"/>
      <c r="OQB4"/>
      <c r="OQC4"/>
      <c r="OQD4"/>
      <c r="OQE4"/>
      <c r="OQF4"/>
      <c r="OQG4"/>
      <c r="OQH4"/>
      <c r="OQI4"/>
      <c r="OQJ4"/>
      <c r="OQK4"/>
      <c r="OQL4"/>
      <c r="OQM4"/>
      <c r="OQN4"/>
      <c r="OQO4"/>
      <c r="OQP4"/>
      <c r="OQQ4"/>
      <c r="OQR4"/>
      <c r="OQS4"/>
      <c r="OQT4"/>
      <c r="OQU4"/>
      <c r="OQV4"/>
      <c r="OQW4"/>
      <c r="OQX4"/>
      <c r="OQY4"/>
      <c r="OQZ4"/>
      <c r="ORA4"/>
      <c r="ORB4"/>
      <c r="ORC4"/>
      <c r="ORD4"/>
      <c r="ORE4"/>
      <c r="ORF4"/>
      <c r="ORG4"/>
      <c r="ORH4"/>
      <c r="ORI4"/>
      <c r="ORJ4"/>
      <c r="ORK4"/>
      <c r="ORL4"/>
      <c r="ORM4"/>
      <c r="ORN4"/>
      <c r="ORO4"/>
      <c r="ORP4"/>
      <c r="ORQ4"/>
      <c r="ORR4"/>
      <c r="ORS4"/>
      <c r="ORT4"/>
      <c r="ORU4"/>
      <c r="ORV4"/>
      <c r="ORW4"/>
      <c r="ORX4"/>
      <c r="ORY4"/>
      <c r="ORZ4"/>
      <c r="OSA4"/>
      <c r="OSB4"/>
      <c r="OSC4"/>
      <c r="OSD4"/>
      <c r="OSE4"/>
      <c r="OSF4"/>
      <c r="OSG4"/>
      <c r="OSH4"/>
      <c r="OSI4"/>
      <c r="OSJ4"/>
      <c r="OSK4"/>
      <c r="OSL4"/>
      <c r="OSM4"/>
      <c r="OSN4"/>
      <c r="OSO4"/>
      <c r="OSP4"/>
      <c r="OSQ4"/>
      <c r="OSR4"/>
      <c r="OSS4"/>
      <c r="OST4"/>
      <c r="OSU4"/>
      <c r="OSV4"/>
      <c r="OSW4"/>
      <c r="OSX4"/>
      <c r="OSY4"/>
      <c r="OSZ4"/>
      <c r="OTA4"/>
      <c r="OTB4"/>
      <c r="OTC4"/>
      <c r="OTD4"/>
      <c r="OTE4"/>
      <c r="OTF4"/>
      <c r="OTG4"/>
      <c r="OTH4"/>
      <c r="OTI4"/>
      <c r="OTJ4"/>
      <c r="OTK4"/>
      <c r="OTL4"/>
      <c r="OTM4"/>
      <c r="OTN4"/>
      <c r="OTO4"/>
      <c r="OTP4"/>
      <c r="OTQ4"/>
      <c r="OTR4"/>
      <c r="OTS4"/>
      <c r="OTT4"/>
      <c r="OTU4"/>
      <c r="OTV4"/>
      <c r="OTW4"/>
      <c r="OTX4"/>
      <c r="OTY4"/>
      <c r="OTZ4"/>
      <c r="OUA4"/>
      <c r="OUB4"/>
      <c r="OUC4"/>
      <c r="OUD4"/>
      <c r="OUE4"/>
      <c r="OUF4"/>
      <c r="OUG4"/>
      <c r="OUH4"/>
      <c r="OUI4"/>
      <c r="OUJ4"/>
      <c r="OUK4"/>
      <c r="OUL4"/>
      <c r="OUM4"/>
      <c r="OUN4"/>
      <c r="OUO4"/>
      <c r="OUP4"/>
      <c r="OUQ4"/>
      <c r="OUR4"/>
      <c r="OUS4"/>
      <c r="OUT4"/>
      <c r="OUU4"/>
      <c r="OUV4"/>
      <c r="OUW4"/>
      <c r="OUX4"/>
      <c r="OUY4"/>
      <c r="OUZ4"/>
      <c r="OVA4"/>
      <c r="OVB4"/>
      <c r="OVC4"/>
      <c r="OVD4"/>
      <c r="OVE4"/>
      <c r="OVF4"/>
      <c r="OVG4"/>
      <c r="OVH4"/>
      <c r="OVI4"/>
      <c r="OVJ4"/>
      <c r="OVK4"/>
      <c r="OVL4"/>
      <c r="OVM4"/>
      <c r="OVN4"/>
      <c r="OVO4"/>
      <c r="OVP4"/>
      <c r="OVQ4"/>
      <c r="OVR4"/>
      <c r="OVS4"/>
      <c r="OVT4"/>
      <c r="OVU4"/>
      <c r="OVV4"/>
      <c r="OVW4"/>
      <c r="OVX4"/>
      <c r="OVY4"/>
      <c r="OVZ4"/>
      <c r="OWA4"/>
      <c r="OWB4"/>
      <c r="OWC4"/>
      <c r="OWD4"/>
      <c r="OWE4"/>
      <c r="OWF4"/>
      <c r="OWG4"/>
      <c r="OWH4"/>
      <c r="OWI4"/>
      <c r="OWJ4"/>
      <c r="OWK4"/>
      <c r="OWL4"/>
      <c r="OWM4"/>
      <c r="OWN4"/>
      <c r="OWO4"/>
      <c r="OWP4"/>
      <c r="OWQ4"/>
      <c r="OWR4"/>
      <c r="OWS4"/>
      <c r="OWT4"/>
      <c r="OWU4"/>
      <c r="OWV4"/>
      <c r="OWW4"/>
      <c r="OWX4"/>
      <c r="OWY4"/>
      <c r="OWZ4"/>
      <c r="OXA4"/>
      <c r="OXB4"/>
      <c r="OXC4"/>
      <c r="OXD4"/>
      <c r="OXE4"/>
      <c r="OXF4"/>
      <c r="OXG4"/>
      <c r="OXH4"/>
      <c r="OXI4"/>
      <c r="OXJ4"/>
      <c r="OXK4"/>
      <c r="OXL4"/>
      <c r="OXM4"/>
      <c r="OXN4"/>
      <c r="OXO4"/>
      <c r="OXP4"/>
      <c r="OXQ4"/>
      <c r="OXR4"/>
      <c r="OXS4"/>
      <c r="OXT4"/>
      <c r="OXU4"/>
      <c r="OXV4"/>
      <c r="OXW4"/>
      <c r="OXX4"/>
      <c r="OXY4"/>
      <c r="OXZ4"/>
      <c r="OYA4"/>
      <c r="OYB4"/>
      <c r="OYC4"/>
      <c r="OYD4"/>
      <c r="OYE4"/>
      <c r="OYF4"/>
      <c r="OYG4"/>
      <c r="OYH4"/>
      <c r="OYI4"/>
      <c r="OYJ4"/>
      <c r="OYK4"/>
      <c r="OYL4"/>
      <c r="OYM4"/>
      <c r="OYN4"/>
      <c r="OYO4"/>
      <c r="OYP4"/>
      <c r="OYQ4"/>
      <c r="OYR4"/>
      <c r="OYS4"/>
      <c r="OYT4"/>
      <c r="OYU4"/>
      <c r="OYV4"/>
      <c r="OYW4"/>
      <c r="OYX4"/>
      <c r="OYY4"/>
      <c r="OYZ4"/>
      <c r="OZA4"/>
      <c r="OZB4"/>
      <c r="OZC4"/>
      <c r="OZD4"/>
      <c r="OZE4"/>
      <c r="OZF4"/>
      <c r="OZG4"/>
      <c r="OZH4"/>
      <c r="OZI4"/>
      <c r="OZJ4"/>
      <c r="OZK4"/>
      <c r="OZL4"/>
      <c r="OZM4"/>
      <c r="OZN4"/>
      <c r="OZO4"/>
      <c r="OZP4"/>
      <c r="OZQ4"/>
      <c r="OZR4"/>
      <c r="OZS4"/>
      <c r="OZT4"/>
      <c r="OZU4"/>
      <c r="OZV4"/>
      <c r="OZW4"/>
      <c r="OZX4"/>
      <c r="OZY4"/>
      <c r="OZZ4"/>
      <c r="PAA4"/>
      <c r="PAB4"/>
      <c r="PAC4"/>
      <c r="PAD4"/>
      <c r="PAE4"/>
      <c r="PAF4"/>
      <c r="PAG4"/>
      <c r="PAH4"/>
      <c r="PAI4"/>
      <c r="PAJ4"/>
      <c r="PAK4"/>
      <c r="PAL4"/>
      <c r="PAM4"/>
      <c r="PAN4"/>
      <c r="PAO4"/>
      <c r="PAP4"/>
      <c r="PAQ4"/>
      <c r="PAR4"/>
      <c r="PAS4"/>
      <c r="PAT4"/>
      <c r="PAU4"/>
      <c r="PAV4"/>
      <c r="PAW4"/>
      <c r="PAX4"/>
      <c r="PAY4"/>
      <c r="PAZ4"/>
      <c r="PBA4"/>
      <c r="PBB4"/>
      <c r="PBC4"/>
      <c r="PBD4"/>
      <c r="PBE4"/>
      <c r="PBF4"/>
      <c r="PBG4"/>
      <c r="PBH4"/>
      <c r="PBI4"/>
      <c r="PBJ4"/>
      <c r="PBK4"/>
      <c r="PBL4"/>
      <c r="PBM4"/>
      <c r="PBN4"/>
      <c r="PBO4"/>
      <c r="PBP4"/>
      <c r="PBQ4"/>
      <c r="PBR4"/>
      <c r="PBS4"/>
      <c r="PBT4"/>
      <c r="PBU4"/>
      <c r="PBV4"/>
      <c r="PBW4"/>
      <c r="PBX4"/>
      <c r="PBY4"/>
      <c r="PBZ4"/>
      <c r="PCA4"/>
      <c r="PCB4"/>
      <c r="PCC4"/>
      <c r="PCD4"/>
      <c r="PCE4"/>
      <c r="PCF4"/>
      <c r="PCG4"/>
      <c r="PCH4"/>
      <c r="PCI4"/>
      <c r="PCJ4"/>
      <c r="PCK4"/>
      <c r="PCL4"/>
      <c r="PCM4"/>
      <c r="PCN4"/>
      <c r="PCO4"/>
      <c r="PCP4"/>
      <c r="PCQ4"/>
      <c r="PCR4"/>
      <c r="PCS4"/>
      <c r="PCT4"/>
      <c r="PCU4"/>
      <c r="PCV4"/>
      <c r="PCW4"/>
      <c r="PCX4"/>
      <c r="PCY4"/>
      <c r="PCZ4"/>
      <c r="PDA4"/>
      <c r="PDB4"/>
      <c r="PDC4"/>
      <c r="PDD4"/>
      <c r="PDE4"/>
      <c r="PDF4"/>
      <c r="PDG4"/>
      <c r="PDH4"/>
      <c r="PDI4"/>
      <c r="PDJ4"/>
      <c r="PDK4"/>
      <c r="PDL4"/>
      <c r="PDM4"/>
      <c r="PDN4"/>
      <c r="PDO4"/>
      <c r="PDP4"/>
      <c r="PDQ4"/>
      <c r="PDR4"/>
      <c r="PDS4"/>
      <c r="PDT4"/>
      <c r="PDU4"/>
      <c r="PDV4"/>
      <c r="PDW4"/>
      <c r="PDX4"/>
      <c r="PDY4"/>
      <c r="PDZ4"/>
      <c r="PEA4"/>
      <c r="PEB4"/>
      <c r="PEC4"/>
      <c r="PED4"/>
      <c r="PEE4"/>
      <c r="PEF4"/>
      <c r="PEG4"/>
      <c r="PEH4"/>
      <c r="PEI4"/>
      <c r="PEJ4"/>
      <c r="PEK4"/>
      <c r="PEL4"/>
      <c r="PEM4"/>
      <c r="PEN4"/>
      <c r="PEO4"/>
      <c r="PEP4"/>
      <c r="PEQ4"/>
      <c r="PER4"/>
      <c r="PES4"/>
      <c r="PET4"/>
      <c r="PEU4"/>
      <c r="PEV4"/>
      <c r="PEW4"/>
      <c r="PEX4"/>
      <c r="PEY4"/>
      <c r="PEZ4"/>
      <c r="PFA4"/>
      <c r="PFB4"/>
      <c r="PFC4"/>
      <c r="PFD4"/>
      <c r="PFE4"/>
      <c r="PFF4"/>
      <c r="PFG4"/>
      <c r="PFH4"/>
      <c r="PFI4"/>
      <c r="PFJ4"/>
      <c r="PFK4"/>
      <c r="PFL4"/>
      <c r="PFM4"/>
      <c r="PFN4"/>
      <c r="PFO4"/>
      <c r="PFP4"/>
      <c r="PFQ4"/>
      <c r="PFR4"/>
      <c r="PFS4"/>
      <c r="PFT4"/>
      <c r="PFU4"/>
      <c r="PFV4"/>
      <c r="PFW4"/>
      <c r="PFX4"/>
      <c r="PFY4"/>
      <c r="PFZ4"/>
      <c r="PGA4"/>
      <c r="PGB4"/>
      <c r="PGC4"/>
      <c r="PGD4"/>
      <c r="PGE4"/>
      <c r="PGF4"/>
      <c r="PGG4"/>
      <c r="PGH4"/>
      <c r="PGI4"/>
      <c r="PGJ4"/>
      <c r="PGK4"/>
      <c r="PGL4"/>
      <c r="PGM4"/>
      <c r="PGN4"/>
      <c r="PGO4"/>
      <c r="PGP4"/>
      <c r="PGQ4"/>
      <c r="PGR4"/>
      <c r="PGS4"/>
      <c r="PGT4"/>
      <c r="PGU4"/>
      <c r="PGV4"/>
      <c r="PGW4"/>
      <c r="PGX4"/>
      <c r="PGY4"/>
      <c r="PGZ4"/>
      <c r="PHA4"/>
      <c r="PHB4"/>
      <c r="PHC4"/>
      <c r="PHD4"/>
      <c r="PHE4"/>
      <c r="PHF4"/>
      <c r="PHG4"/>
      <c r="PHH4"/>
      <c r="PHI4"/>
      <c r="PHJ4"/>
      <c r="PHK4"/>
      <c r="PHL4"/>
      <c r="PHM4"/>
      <c r="PHN4"/>
      <c r="PHO4"/>
      <c r="PHP4"/>
      <c r="PHQ4"/>
      <c r="PHR4"/>
      <c r="PHS4"/>
      <c r="PHT4"/>
      <c r="PHU4"/>
      <c r="PHV4"/>
      <c r="PHW4"/>
      <c r="PHX4"/>
      <c r="PHY4"/>
      <c r="PHZ4"/>
      <c r="PIA4"/>
      <c r="PIB4"/>
      <c r="PIC4"/>
      <c r="PID4"/>
      <c r="PIE4"/>
      <c r="PIF4"/>
      <c r="PIG4"/>
      <c r="PIH4"/>
      <c r="PII4"/>
      <c r="PIJ4"/>
      <c r="PIK4"/>
      <c r="PIL4"/>
      <c r="PIM4"/>
      <c r="PIN4"/>
      <c r="PIO4"/>
      <c r="PIP4"/>
      <c r="PIQ4"/>
      <c r="PIR4"/>
      <c r="PIS4"/>
      <c r="PIT4"/>
      <c r="PIU4"/>
      <c r="PIV4"/>
      <c r="PIW4"/>
      <c r="PIX4"/>
      <c r="PIY4"/>
      <c r="PIZ4"/>
      <c r="PJA4"/>
      <c r="PJB4"/>
      <c r="PJC4"/>
      <c r="PJD4"/>
      <c r="PJE4"/>
      <c r="PJF4"/>
      <c r="PJG4"/>
      <c r="PJH4"/>
      <c r="PJI4"/>
      <c r="PJJ4"/>
      <c r="PJK4"/>
      <c r="PJL4"/>
      <c r="PJM4"/>
      <c r="PJN4"/>
      <c r="PJO4"/>
      <c r="PJP4"/>
      <c r="PJQ4"/>
      <c r="PJR4"/>
      <c r="PJS4"/>
      <c r="PJT4"/>
      <c r="PJU4"/>
      <c r="PJV4"/>
      <c r="PJW4"/>
      <c r="PJX4"/>
      <c r="PJY4"/>
      <c r="PJZ4"/>
      <c r="PKA4"/>
      <c r="PKB4"/>
      <c r="PKC4"/>
      <c r="PKD4"/>
      <c r="PKE4"/>
      <c r="PKF4"/>
      <c r="PKG4"/>
      <c r="PKH4"/>
      <c r="PKI4"/>
      <c r="PKJ4"/>
      <c r="PKK4"/>
      <c r="PKL4"/>
      <c r="PKM4"/>
      <c r="PKN4"/>
      <c r="PKO4"/>
      <c r="PKP4"/>
      <c r="PKQ4"/>
      <c r="PKR4"/>
      <c r="PKS4"/>
      <c r="PKT4"/>
      <c r="PKU4"/>
      <c r="PKV4"/>
      <c r="PKW4"/>
      <c r="PKX4"/>
      <c r="PKY4"/>
      <c r="PKZ4"/>
      <c r="PLA4"/>
      <c r="PLB4"/>
      <c r="PLC4"/>
      <c r="PLD4"/>
      <c r="PLE4"/>
      <c r="PLF4"/>
      <c r="PLG4"/>
      <c r="PLH4"/>
      <c r="PLI4"/>
      <c r="PLJ4"/>
      <c r="PLK4"/>
      <c r="PLL4"/>
      <c r="PLM4"/>
      <c r="PLN4"/>
      <c r="PLO4"/>
      <c r="PLP4"/>
      <c r="PLQ4"/>
      <c r="PLR4"/>
      <c r="PLS4"/>
      <c r="PLT4"/>
      <c r="PLU4"/>
      <c r="PLV4"/>
      <c r="PLW4"/>
      <c r="PLX4"/>
      <c r="PLY4"/>
      <c r="PLZ4"/>
      <c r="PMA4"/>
      <c r="PMB4"/>
      <c r="PMC4"/>
      <c r="PMD4"/>
      <c r="PME4"/>
      <c r="PMF4"/>
      <c r="PMG4"/>
      <c r="PMH4"/>
      <c r="PMI4"/>
      <c r="PMJ4"/>
      <c r="PMK4"/>
      <c r="PML4"/>
      <c r="PMM4"/>
      <c r="PMN4"/>
      <c r="PMO4"/>
      <c r="PMP4"/>
      <c r="PMQ4"/>
      <c r="PMR4"/>
      <c r="PMS4"/>
      <c r="PMT4"/>
      <c r="PMU4"/>
      <c r="PMV4"/>
      <c r="PMW4"/>
      <c r="PMX4"/>
      <c r="PMY4"/>
      <c r="PMZ4"/>
      <c r="PNA4"/>
      <c r="PNB4"/>
      <c r="PNC4"/>
      <c r="PND4"/>
      <c r="PNE4"/>
      <c r="PNF4"/>
      <c r="PNG4"/>
      <c r="PNH4"/>
      <c r="PNI4"/>
      <c r="PNJ4"/>
      <c r="PNK4"/>
      <c r="PNL4"/>
      <c r="PNM4"/>
      <c r="PNN4"/>
      <c r="PNO4"/>
      <c r="PNP4"/>
      <c r="PNQ4"/>
      <c r="PNR4"/>
      <c r="PNS4"/>
      <c r="PNT4"/>
      <c r="PNU4"/>
      <c r="PNV4"/>
      <c r="PNW4"/>
      <c r="PNX4"/>
      <c r="PNY4"/>
      <c r="PNZ4"/>
      <c r="POA4"/>
      <c r="POB4"/>
      <c r="POC4"/>
      <c r="POD4"/>
      <c r="POE4"/>
      <c r="POF4"/>
      <c r="POG4"/>
      <c r="POH4"/>
      <c r="POI4"/>
      <c r="POJ4"/>
      <c r="POK4"/>
      <c r="POL4"/>
      <c r="POM4"/>
      <c r="PON4"/>
      <c r="POO4"/>
      <c r="POP4"/>
      <c r="POQ4"/>
      <c r="POR4"/>
      <c r="POS4"/>
      <c r="POT4"/>
      <c r="POU4"/>
      <c r="POV4"/>
      <c r="POW4"/>
      <c r="POX4"/>
      <c r="POY4"/>
      <c r="POZ4"/>
      <c r="PPA4"/>
      <c r="PPB4"/>
      <c r="PPC4"/>
      <c r="PPD4"/>
      <c r="PPE4"/>
      <c r="PPF4"/>
      <c r="PPG4"/>
      <c r="PPH4"/>
      <c r="PPI4"/>
      <c r="PPJ4"/>
      <c r="PPK4"/>
      <c r="PPL4"/>
      <c r="PPM4"/>
      <c r="PPN4"/>
      <c r="PPO4"/>
      <c r="PPP4"/>
      <c r="PPQ4"/>
      <c r="PPR4"/>
      <c r="PPS4"/>
      <c r="PPT4"/>
      <c r="PPU4"/>
      <c r="PPV4"/>
      <c r="PPW4"/>
      <c r="PPX4"/>
      <c r="PPY4"/>
      <c r="PPZ4"/>
      <c r="PQA4"/>
      <c r="PQB4"/>
      <c r="PQC4"/>
      <c r="PQD4"/>
      <c r="PQE4"/>
      <c r="PQF4"/>
      <c r="PQG4"/>
      <c r="PQH4"/>
      <c r="PQI4"/>
      <c r="PQJ4"/>
      <c r="PQK4"/>
      <c r="PQL4"/>
      <c r="PQM4"/>
      <c r="PQN4"/>
      <c r="PQO4"/>
      <c r="PQP4"/>
      <c r="PQQ4"/>
      <c r="PQR4"/>
      <c r="PQS4"/>
      <c r="PQT4"/>
      <c r="PQU4"/>
      <c r="PQV4"/>
      <c r="PQW4"/>
      <c r="PQX4"/>
      <c r="PQY4"/>
      <c r="PQZ4"/>
      <c r="PRA4"/>
      <c r="PRB4"/>
      <c r="PRC4"/>
      <c r="PRD4"/>
      <c r="PRE4"/>
      <c r="PRF4"/>
      <c r="PRG4"/>
      <c r="PRH4"/>
      <c r="PRI4"/>
      <c r="PRJ4"/>
      <c r="PRK4"/>
      <c r="PRL4"/>
      <c r="PRM4"/>
      <c r="PRN4"/>
      <c r="PRO4"/>
      <c r="PRP4"/>
      <c r="PRQ4"/>
      <c r="PRR4"/>
      <c r="PRS4"/>
      <c r="PRT4"/>
      <c r="PRU4"/>
      <c r="PRV4"/>
      <c r="PRW4"/>
      <c r="PRX4"/>
      <c r="PRY4"/>
      <c r="PRZ4"/>
      <c r="PSA4"/>
      <c r="PSB4"/>
      <c r="PSC4"/>
      <c r="PSD4"/>
      <c r="PSE4"/>
      <c r="PSF4"/>
      <c r="PSG4"/>
      <c r="PSH4"/>
      <c r="PSI4"/>
      <c r="PSJ4"/>
      <c r="PSK4"/>
      <c r="PSL4"/>
      <c r="PSM4"/>
      <c r="PSN4"/>
      <c r="PSO4"/>
      <c r="PSP4"/>
      <c r="PSQ4"/>
      <c r="PSR4"/>
      <c r="PSS4"/>
      <c r="PST4"/>
      <c r="PSU4"/>
      <c r="PSV4"/>
      <c r="PSW4"/>
      <c r="PSX4"/>
      <c r="PSY4"/>
      <c r="PSZ4"/>
      <c r="PTA4"/>
      <c r="PTB4"/>
      <c r="PTC4"/>
      <c r="PTD4"/>
      <c r="PTE4"/>
      <c r="PTF4"/>
      <c r="PTG4"/>
      <c r="PTH4"/>
      <c r="PTI4"/>
      <c r="PTJ4"/>
      <c r="PTK4"/>
      <c r="PTL4"/>
      <c r="PTM4"/>
      <c r="PTN4"/>
      <c r="PTO4"/>
      <c r="PTP4"/>
      <c r="PTQ4"/>
      <c r="PTR4"/>
      <c r="PTS4"/>
      <c r="PTT4"/>
      <c r="PTU4"/>
      <c r="PTV4"/>
      <c r="PTW4"/>
      <c r="PTX4"/>
      <c r="PTY4"/>
      <c r="PTZ4"/>
      <c r="PUA4"/>
      <c r="PUB4"/>
      <c r="PUC4"/>
      <c r="PUD4"/>
      <c r="PUE4"/>
      <c r="PUF4"/>
      <c r="PUG4"/>
      <c r="PUH4"/>
      <c r="PUI4"/>
      <c r="PUJ4"/>
      <c r="PUK4"/>
      <c r="PUL4"/>
      <c r="PUM4"/>
      <c r="PUN4"/>
      <c r="PUO4"/>
      <c r="PUP4"/>
      <c r="PUQ4"/>
      <c r="PUR4"/>
      <c r="PUS4"/>
      <c r="PUT4"/>
      <c r="PUU4"/>
      <c r="PUV4"/>
      <c r="PUW4"/>
      <c r="PUX4"/>
      <c r="PUY4"/>
      <c r="PUZ4"/>
      <c r="PVA4"/>
      <c r="PVB4"/>
      <c r="PVC4"/>
      <c r="PVD4"/>
      <c r="PVE4"/>
      <c r="PVF4"/>
      <c r="PVG4"/>
      <c r="PVH4"/>
      <c r="PVI4"/>
      <c r="PVJ4"/>
      <c r="PVK4"/>
      <c r="PVL4"/>
      <c r="PVM4"/>
      <c r="PVN4"/>
      <c r="PVO4"/>
      <c r="PVP4"/>
      <c r="PVQ4"/>
      <c r="PVR4"/>
      <c r="PVS4"/>
      <c r="PVT4"/>
      <c r="PVU4"/>
      <c r="PVV4"/>
      <c r="PVW4"/>
      <c r="PVX4"/>
      <c r="PVY4"/>
      <c r="PVZ4"/>
      <c r="PWA4"/>
      <c r="PWB4"/>
      <c r="PWC4"/>
      <c r="PWD4"/>
      <c r="PWE4"/>
      <c r="PWF4"/>
      <c r="PWG4"/>
      <c r="PWH4"/>
      <c r="PWI4"/>
      <c r="PWJ4"/>
      <c r="PWK4"/>
      <c r="PWL4"/>
      <c r="PWM4"/>
      <c r="PWN4"/>
      <c r="PWO4"/>
      <c r="PWP4"/>
      <c r="PWQ4"/>
      <c r="PWR4"/>
      <c r="PWS4"/>
      <c r="PWT4"/>
      <c r="PWU4"/>
      <c r="PWV4"/>
      <c r="PWW4"/>
      <c r="PWX4"/>
      <c r="PWY4"/>
      <c r="PWZ4"/>
      <c r="PXA4"/>
      <c r="PXB4"/>
      <c r="PXC4"/>
      <c r="PXD4"/>
      <c r="PXE4"/>
      <c r="PXF4"/>
      <c r="PXG4"/>
      <c r="PXH4"/>
      <c r="PXI4"/>
      <c r="PXJ4"/>
      <c r="PXK4"/>
      <c r="PXL4"/>
      <c r="PXM4"/>
      <c r="PXN4"/>
      <c r="PXO4"/>
      <c r="PXP4"/>
      <c r="PXQ4"/>
      <c r="PXR4"/>
      <c r="PXS4"/>
      <c r="PXT4"/>
      <c r="PXU4"/>
      <c r="PXV4"/>
      <c r="PXW4"/>
      <c r="PXX4"/>
      <c r="PXY4"/>
      <c r="PXZ4"/>
      <c r="PYA4"/>
      <c r="PYB4"/>
      <c r="PYC4"/>
      <c r="PYD4"/>
      <c r="PYE4"/>
      <c r="PYF4"/>
      <c r="PYG4"/>
      <c r="PYH4"/>
      <c r="PYI4"/>
      <c r="PYJ4"/>
      <c r="PYK4"/>
      <c r="PYL4"/>
      <c r="PYM4"/>
      <c r="PYN4"/>
      <c r="PYO4"/>
      <c r="PYP4"/>
      <c r="PYQ4"/>
      <c r="PYR4"/>
      <c r="PYS4"/>
      <c r="PYT4"/>
      <c r="PYU4"/>
      <c r="PYV4"/>
      <c r="PYW4"/>
      <c r="PYX4"/>
      <c r="PYY4"/>
      <c r="PYZ4"/>
      <c r="PZA4"/>
      <c r="PZB4"/>
      <c r="PZC4"/>
      <c r="PZD4"/>
      <c r="PZE4"/>
      <c r="PZF4"/>
      <c r="PZG4"/>
      <c r="PZH4"/>
      <c r="PZI4"/>
      <c r="PZJ4"/>
      <c r="PZK4"/>
      <c r="PZL4"/>
      <c r="PZM4"/>
      <c r="PZN4"/>
      <c r="PZO4"/>
      <c r="PZP4"/>
      <c r="PZQ4"/>
      <c r="PZR4"/>
      <c r="PZS4"/>
      <c r="PZT4"/>
      <c r="PZU4"/>
      <c r="PZV4"/>
      <c r="PZW4"/>
      <c r="PZX4"/>
      <c r="PZY4"/>
      <c r="PZZ4"/>
      <c r="QAA4"/>
      <c r="QAB4"/>
      <c r="QAC4"/>
      <c r="QAD4"/>
      <c r="QAE4"/>
      <c r="QAF4"/>
      <c r="QAG4"/>
      <c r="QAH4"/>
      <c r="QAI4"/>
      <c r="QAJ4"/>
      <c r="QAK4"/>
      <c r="QAL4"/>
      <c r="QAM4"/>
      <c r="QAN4"/>
      <c r="QAO4"/>
      <c r="QAP4"/>
      <c r="QAQ4"/>
      <c r="QAR4"/>
      <c r="QAS4"/>
      <c r="QAT4"/>
      <c r="QAU4"/>
      <c r="QAV4"/>
      <c r="QAW4"/>
      <c r="QAX4"/>
      <c r="QAY4"/>
      <c r="QAZ4"/>
      <c r="QBA4"/>
      <c r="QBB4"/>
      <c r="QBC4"/>
      <c r="QBD4"/>
      <c r="QBE4"/>
      <c r="QBF4"/>
      <c r="QBG4"/>
      <c r="QBH4"/>
      <c r="QBI4"/>
      <c r="QBJ4"/>
      <c r="QBK4"/>
      <c r="QBL4"/>
      <c r="QBM4"/>
      <c r="QBN4"/>
      <c r="QBO4"/>
      <c r="QBP4"/>
      <c r="QBQ4"/>
      <c r="QBR4"/>
      <c r="QBS4"/>
      <c r="QBT4"/>
      <c r="QBU4"/>
      <c r="QBV4"/>
      <c r="QBW4"/>
      <c r="QBX4"/>
      <c r="QBY4"/>
      <c r="QBZ4"/>
      <c r="QCA4"/>
      <c r="QCB4"/>
      <c r="QCC4"/>
      <c r="QCD4"/>
      <c r="QCE4"/>
      <c r="QCF4"/>
      <c r="QCG4"/>
      <c r="QCH4"/>
      <c r="QCI4"/>
      <c r="QCJ4"/>
      <c r="QCK4"/>
      <c r="QCL4"/>
      <c r="QCM4"/>
      <c r="QCN4"/>
      <c r="QCO4"/>
      <c r="QCP4"/>
      <c r="QCQ4"/>
      <c r="QCR4"/>
      <c r="QCS4"/>
      <c r="QCT4"/>
      <c r="QCU4"/>
      <c r="QCV4"/>
      <c r="QCW4"/>
      <c r="QCX4"/>
      <c r="QCY4"/>
      <c r="QCZ4"/>
      <c r="QDA4"/>
      <c r="QDB4"/>
      <c r="QDC4"/>
      <c r="QDD4"/>
      <c r="QDE4"/>
      <c r="QDF4"/>
      <c r="QDG4"/>
      <c r="QDH4"/>
      <c r="QDI4"/>
      <c r="QDJ4"/>
      <c r="QDK4"/>
      <c r="QDL4"/>
      <c r="QDM4"/>
      <c r="QDN4"/>
      <c r="QDO4"/>
      <c r="QDP4"/>
      <c r="QDQ4"/>
      <c r="QDR4"/>
      <c r="QDS4"/>
      <c r="QDT4"/>
      <c r="QDU4"/>
      <c r="QDV4"/>
      <c r="QDW4"/>
      <c r="QDX4"/>
      <c r="QDY4"/>
      <c r="QDZ4"/>
      <c r="QEA4"/>
      <c r="QEB4"/>
      <c r="QEC4"/>
      <c r="QED4"/>
      <c r="QEE4"/>
      <c r="QEF4"/>
      <c r="QEG4"/>
      <c r="QEH4"/>
      <c r="QEI4"/>
      <c r="QEJ4"/>
      <c r="QEK4"/>
      <c r="QEL4"/>
      <c r="QEM4"/>
      <c r="QEN4"/>
      <c r="QEO4"/>
      <c r="QEP4"/>
      <c r="QEQ4"/>
      <c r="QER4"/>
      <c r="QES4"/>
      <c r="QET4"/>
      <c r="QEU4"/>
      <c r="QEV4"/>
      <c r="QEW4"/>
      <c r="QEX4"/>
      <c r="QEY4"/>
      <c r="QEZ4"/>
      <c r="QFA4"/>
      <c r="QFB4"/>
      <c r="QFC4"/>
      <c r="QFD4"/>
      <c r="QFE4"/>
      <c r="QFF4"/>
      <c r="QFG4"/>
      <c r="QFH4"/>
      <c r="QFI4"/>
      <c r="QFJ4"/>
      <c r="QFK4"/>
      <c r="QFL4"/>
      <c r="QFM4"/>
      <c r="QFN4"/>
      <c r="QFO4"/>
      <c r="QFP4"/>
      <c r="QFQ4"/>
      <c r="QFR4"/>
      <c r="QFS4"/>
      <c r="QFT4"/>
      <c r="QFU4"/>
      <c r="QFV4"/>
      <c r="QFW4"/>
      <c r="QFX4"/>
      <c r="QFY4"/>
      <c r="QFZ4"/>
      <c r="QGA4"/>
      <c r="QGB4"/>
      <c r="QGC4"/>
      <c r="QGD4"/>
      <c r="QGE4"/>
      <c r="QGF4"/>
      <c r="QGG4"/>
      <c r="QGH4"/>
      <c r="QGI4"/>
      <c r="QGJ4"/>
      <c r="QGK4"/>
      <c r="QGL4"/>
      <c r="QGM4"/>
      <c r="QGN4"/>
      <c r="QGO4"/>
      <c r="QGP4"/>
      <c r="QGQ4"/>
      <c r="QGR4"/>
      <c r="QGS4"/>
      <c r="QGT4"/>
      <c r="QGU4"/>
      <c r="QGV4"/>
      <c r="QGW4"/>
      <c r="QGX4"/>
      <c r="QGY4"/>
      <c r="QGZ4"/>
      <c r="QHA4"/>
      <c r="QHB4"/>
      <c r="QHC4"/>
      <c r="QHD4"/>
      <c r="QHE4"/>
      <c r="QHF4"/>
      <c r="QHG4"/>
      <c r="QHH4"/>
      <c r="QHI4"/>
      <c r="QHJ4"/>
      <c r="QHK4"/>
      <c r="QHL4"/>
      <c r="QHM4"/>
      <c r="QHN4"/>
      <c r="QHO4"/>
      <c r="QHP4"/>
      <c r="QHQ4"/>
      <c r="QHR4"/>
      <c r="QHS4"/>
      <c r="QHT4"/>
      <c r="QHU4"/>
      <c r="QHV4"/>
      <c r="QHW4"/>
      <c r="QHX4"/>
      <c r="QHY4"/>
      <c r="QHZ4"/>
      <c r="QIA4"/>
      <c r="QIB4"/>
      <c r="QIC4"/>
      <c r="QID4"/>
      <c r="QIE4"/>
      <c r="QIF4"/>
      <c r="QIG4"/>
      <c r="QIH4"/>
      <c r="QII4"/>
      <c r="QIJ4"/>
      <c r="QIK4"/>
      <c r="QIL4"/>
      <c r="QIM4"/>
      <c r="QIN4"/>
      <c r="QIO4"/>
      <c r="QIP4"/>
      <c r="QIQ4"/>
      <c r="QIR4"/>
      <c r="QIS4"/>
      <c r="QIT4"/>
      <c r="QIU4"/>
      <c r="QIV4"/>
      <c r="QIW4"/>
      <c r="QIX4"/>
      <c r="QIY4"/>
      <c r="QIZ4"/>
      <c r="QJA4"/>
      <c r="QJB4"/>
      <c r="QJC4"/>
      <c r="QJD4"/>
      <c r="QJE4"/>
      <c r="QJF4"/>
      <c r="QJG4"/>
      <c r="QJH4"/>
      <c r="QJI4"/>
      <c r="QJJ4"/>
      <c r="QJK4"/>
      <c r="QJL4"/>
      <c r="QJM4"/>
      <c r="QJN4"/>
      <c r="QJO4"/>
      <c r="QJP4"/>
      <c r="QJQ4"/>
      <c r="QJR4"/>
      <c r="QJS4"/>
      <c r="QJT4"/>
      <c r="QJU4"/>
      <c r="QJV4"/>
      <c r="QJW4"/>
      <c r="QJX4"/>
      <c r="QJY4"/>
      <c r="QJZ4"/>
      <c r="QKA4"/>
      <c r="QKB4"/>
      <c r="QKC4"/>
      <c r="QKD4"/>
      <c r="QKE4"/>
      <c r="QKF4"/>
      <c r="QKG4"/>
      <c r="QKH4"/>
      <c r="QKI4"/>
      <c r="QKJ4"/>
      <c r="QKK4"/>
      <c r="QKL4"/>
      <c r="QKM4"/>
      <c r="QKN4"/>
      <c r="QKO4"/>
      <c r="QKP4"/>
      <c r="QKQ4"/>
      <c r="QKR4"/>
      <c r="QKS4"/>
      <c r="QKT4"/>
      <c r="QKU4"/>
      <c r="QKV4"/>
      <c r="QKW4"/>
      <c r="QKX4"/>
      <c r="QKY4"/>
      <c r="QKZ4"/>
      <c r="QLA4"/>
      <c r="QLB4"/>
      <c r="QLC4"/>
      <c r="QLD4"/>
      <c r="QLE4"/>
      <c r="QLF4"/>
      <c r="QLG4"/>
      <c r="QLH4"/>
      <c r="QLI4"/>
      <c r="QLJ4"/>
      <c r="QLK4"/>
      <c r="QLL4"/>
      <c r="QLM4"/>
      <c r="QLN4"/>
      <c r="QLO4"/>
      <c r="QLP4"/>
      <c r="QLQ4"/>
      <c r="QLR4"/>
      <c r="QLS4"/>
      <c r="QLT4"/>
      <c r="QLU4"/>
      <c r="QLV4"/>
      <c r="QLW4"/>
      <c r="QLX4"/>
      <c r="QLY4"/>
      <c r="QLZ4"/>
      <c r="QMA4"/>
      <c r="QMB4"/>
      <c r="QMC4"/>
      <c r="QMD4"/>
      <c r="QME4"/>
      <c r="QMF4"/>
      <c r="QMG4"/>
      <c r="QMH4"/>
      <c r="QMI4"/>
      <c r="QMJ4"/>
      <c r="QMK4"/>
      <c r="QML4"/>
      <c r="QMM4"/>
      <c r="QMN4"/>
      <c r="QMO4"/>
      <c r="QMP4"/>
      <c r="QMQ4"/>
      <c r="QMR4"/>
      <c r="QMS4"/>
      <c r="QMT4"/>
      <c r="QMU4"/>
      <c r="QMV4"/>
      <c r="QMW4"/>
      <c r="QMX4"/>
      <c r="QMY4"/>
      <c r="QMZ4"/>
      <c r="QNA4"/>
      <c r="QNB4"/>
      <c r="QNC4"/>
      <c r="QND4"/>
      <c r="QNE4"/>
      <c r="QNF4"/>
      <c r="QNG4"/>
      <c r="QNH4"/>
      <c r="QNI4"/>
      <c r="QNJ4"/>
      <c r="QNK4"/>
      <c r="QNL4"/>
      <c r="QNM4"/>
      <c r="QNN4"/>
      <c r="QNO4"/>
      <c r="QNP4"/>
      <c r="QNQ4"/>
      <c r="QNR4"/>
      <c r="QNS4"/>
      <c r="QNT4"/>
      <c r="QNU4"/>
      <c r="QNV4"/>
      <c r="QNW4"/>
      <c r="QNX4"/>
      <c r="QNY4"/>
      <c r="QNZ4"/>
      <c r="QOA4"/>
      <c r="QOB4"/>
      <c r="QOC4"/>
      <c r="QOD4"/>
      <c r="QOE4"/>
      <c r="QOF4"/>
      <c r="QOG4"/>
      <c r="QOH4"/>
      <c r="QOI4"/>
      <c r="QOJ4"/>
      <c r="QOK4"/>
      <c r="QOL4"/>
      <c r="QOM4"/>
      <c r="QON4"/>
      <c r="QOO4"/>
      <c r="QOP4"/>
      <c r="QOQ4"/>
      <c r="QOR4"/>
      <c r="QOS4"/>
      <c r="QOT4"/>
      <c r="QOU4"/>
      <c r="QOV4"/>
      <c r="QOW4"/>
      <c r="QOX4"/>
      <c r="QOY4"/>
      <c r="QOZ4"/>
      <c r="QPA4"/>
      <c r="QPB4"/>
      <c r="QPC4"/>
      <c r="QPD4"/>
      <c r="QPE4"/>
      <c r="QPF4"/>
      <c r="QPG4"/>
      <c r="QPH4"/>
      <c r="QPI4"/>
      <c r="QPJ4"/>
      <c r="QPK4"/>
      <c r="QPL4"/>
      <c r="QPM4"/>
      <c r="QPN4"/>
      <c r="QPO4"/>
      <c r="QPP4"/>
      <c r="QPQ4"/>
      <c r="QPR4"/>
      <c r="QPS4"/>
      <c r="QPT4"/>
      <c r="QPU4"/>
      <c r="QPV4"/>
      <c r="QPW4"/>
      <c r="QPX4"/>
      <c r="QPY4"/>
      <c r="QPZ4"/>
      <c r="QQA4"/>
      <c r="QQB4"/>
      <c r="QQC4"/>
      <c r="QQD4"/>
      <c r="QQE4"/>
      <c r="QQF4"/>
      <c r="QQG4"/>
      <c r="QQH4"/>
      <c r="QQI4"/>
      <c r="QQJ4"/>
      <c r="QQK4"/>
      <c r="QQL4"/>
      <c r="QQM4"/>
      <c r="QQN4"/>
      <c r="QQO4"/>
      <c r="QQP4"/>
      <c r="QQQ4"/>
      <c r="QQR4"/>
      <c r="QQS4"/>
      <c r="QQT4"/>
      <c r="QQU4"/>
      <c r="QQV4"/>
      <c r="QQW4"/>
      <c r="QQX4"/>
      <c r="QQY4"/>
      <c r="QQZ4"/>
      <c r="QRA4"/>
      <c r="QRB4"/>
      <c r="QRC4"/>
      <c r="QRD4"/>
      <c r="QRE4"/>
      <c r="QRF4"/>
      <c r="QRG4"/>
      <c r="QRH4"/>
      <c r="QRI4"/>
      <c r="QRJ4"/>
      <c r="QRK4"/>
      <c r="QRL4"/>
      <c r="QRM4"/>
      <c r="QRN4"/>
      <c r="QRO4"/>
      <c r="QRP4"/>
      <c r="QRQ4"/>
      <c r="QRR4"/>
      <c r="QRS4"/>
      <c r="QRT4"/>
      <c r="QRU4"/>
      <c r="QRV4"/>
      <c r="QRW4"/>
      <c r="QRX4"/>
      <c r="QRY4"/>
      <c r="QRZ4"/>
      <c r="QSA4"/>
      <c r="QSB4"/>
      <c r="QSC4"/>
      <c r="QSD4"/>
      <c r="QSE4"/>
      <c r="QSF4"/>
      <c r="QSG4"/>
      <c r="QSH4"/>
      <c r="QSI4"/>
      <c r="QSJ4"/>
      <c r="QSK4"/>
      <c r="QSL4"/>
      <c r="QSM4"/>
      <c r="QSN4"/>
      <c r="QSO4"/>
      <c r="QSP4"/>
      <c r="QSQ4"/>
      <c r="QSR4"/>
      <c r="QSS4"/>
      <c r="QST4"/>
      <c r="QSU4"/>
      <c r="QSV4"/>
      <c r="QSW4"/>
      <c r="QSX4"/>
      <c r="QSY4"/>
      <c r="QSZ4"/>
      <c r="QTA4"/>
      <c r="QTB4"/>
      <c r="QTC4"/>
      <c r="QTD4"/>
      <c r="QTE4"/>
      <c r="QTF4"/>
      <c r="QTG4"/>
      <c r="QTH4"/>
      <c r="QTI4"/>
      <c r="QTJ4"/>
      <c r="QTK4"/>
      <c r="QTL4"/>
      <c r="QTM4"/>
      <c r="QTN4"/>
      <c r="QTO4"/>
      <c r="QTP4"/>
      <c r="QTQ4"/>
      <c r="QTR4"/>
      <c r="QTS4"/>
      <c r="QTT4"/>
      <c r="QTU4"/>
      <c r="QTV4"/>
      <c r="QTW4"/>
      <c r="QTX4"/>
      <c r="QTY4"/>
      <c r="QTZ4"/>
      <c r="QUA4"/>
      <c r="QUB4"/>
      <c r="QUC4"/>
      <c r="QUD4"/>
      <c r="QUE4"/>
      <c r="QUF4"/>
      <c r="QUG4"/>
      <c r="QUH4"/>
      <c r="QUI4"/>
      <c r="QUJ4"/>
      <c r="QUK4"/>
      <c r="QUL4"/>
      <c r="QUM4"/>
      <c r="QUN4"/>
      <c r="QUO4"/>
      <c r="QUP4"/>
      <c r="QUQ4"/>
      <c r="QUR4"/>
      <c r="QUS4"/>
      <c r="QUT4"/>
      <c r="QUU4"/>
      <c r="QUV4"/>
      <c r="QUW4"/>
      <c r="QUX4"/>
      <c r="QUY4"/>
      <c r="QUZ4"/>
      <c r="QVA4"/>
      <c r="QVB4"/>
      <c r="QVC4"/>
      <c r="QVD4"/>
      <c r="QVE4"/>
      <c r="QVF4"/>
      <c r="QVG4"/>
      <c r="QVH4"/>
      <c r="QVI4"/>
      <c r="QVJ4"/>
      <c r="QVK4"/>
      <c r="QVL4"/>
      <c r="QVM4"/>
      <c r="QVN4"/>
      <c r="QVO4"/>
      <c r="QVP4"/>
      <c r="QVQ4"/>
      <c r="QVR4"/>
      <c r="QVS4"/>
      <c r="QVT4"/>
      <c r="QVU4"/>
      <c r="QVV4"/>
      <c r="QVW4"/>
      <c r="QVX4"/>
      <c r="QVY4"/>
      <c r="QVZ4"/>
      <c r="QWA4"/>
      <c r="QWB4"/>
      <c r="QWC4"/>
      <c r="QWD4"/>
      <c r="QWE4"/>
      <c r="QWF4"/>
      <c r="QWG4"/>
      <c r="QWH4"/>
      <c r="QWI4"/>
      <c r="QWJ4"/>
      <c r="QWK4"/>
      <c r="QWL4"/>
      <c r="QWM4"/>
      <c r="QWN4"/>
      <c r="QWO4"/>
      <c r="QWP4"/>
      <c r="QWQ4"/>
      <c r="QWR4"/>
      <c r="QWS4"/>
      <c r="QWT4"/>
      <c r="QWU4"/>
      <c r="QWV4"/>
      <c r="QWW4"/>
      <c r="QWX4"/>
      <c r="QWY4"/>
      <c r="QWZ4"/>
      <c r="QXA4"/>
      <c r="QXB4"/>
      <c r="QXC4"/>
      <c r="QXD4"/>
      <c r="QXE4"/>
      <c r="QXF4"/>
      <c r="QXG4"/>
      <c r="QXH4"/>
      <c r="QXI4"/>
      <c r="QXJ4"/>
      <c r="QXK4"/>
      <c r="QXL4"/>
      <c r="QXM4"/>
      <c r="QXN4"/>
      <c r="QXO4"/>
      <c r="QXP4"/>
      <c r="QXQ4"/>
      <c r="QXR4"/>
      <c r="QXS4"/>
      <c r="QXT4"/>
      <c r="QXU4"/>
      <c r="QXV4"/>
      <c r="QXW4"/>
      <c r="QXX4"/>
      <c r="QXY4"/>
      <c r="QXZ4"/>
      <c r="QYA4"/>
      <c r="QYB4"/>
      <c r="QYC4"/>
      <c r="QYD4"/>
      <c r="QYE4"/>
      <c r="QYF4"/>
      <c r="QYG4"/>
      <c r="QYH4"/>
      <c r="QYI4"/>
      <c r="QYJ4"/>
      <c r="QYK4"/>
      <c r="QYL4"/>
      <c r="QYM4"/>
      <c r="QYN4"/>
      <c r="QYO4"/>
      <c r="QYP4"/>
      <c r="QYQ4"/>
      <c r="QYR4"/>
      <c r="QYS4"/>
      <c r="QYT4"/>
      <c r="QYU4"/>
      <c r="QYV4"/>
      <c r="QYW4"/>
      <c r="QYX4"/>
      <c r="QYY4"/>
      <c r="QYZ4"/>
      <c r="QZA4"/>
      <c r="QZB4"/>
      <c r="QZC4"/>
      <c r="QZD4"/>
      <c r="QZE4"/>
      <c r="QZF4"/>
      <c r="QZG4"/>
      <c r="QZH4"/>
      <c r="QZI4"/>
      <c r="QZJ4"/>
      <c r="QZK4"/>
      <c r="QZL4"/>
      <c r="QZM4"/>
      <c r="QZN4"/>
      <c r="QZO4"/>
      <c r="QZP4"/>
      <c r="QZQ4"/>
      <c r="QZR4"/>
      <c r="QZS4"/>
      <c r="QZT4"/>
      <c r="QZU4"/>
      <c r="QZV4"/>
      <c r="QZW4"/>
      <c r="QZX4"/>
      <c r="QZY4"/>
      <c r="QZZ4"/>
      <c r="RAA4"/>
      <c r="RAB4"/>
      <c r="RAC4"/>
      <c r="RAD4"/>
      <c r="RAE4"/>
      <c r="RAF4"/>
      <c r="RAG4"/>
      <c r="RAH4"/>
      <c r="RAI4"/>
      <c r="RAJ4"/>
      <c r="RAK4"/>
      <c r="RAL4"/>
      <c r="RAM4"/>
      <c r="RAN4"/>
      <c r="RAO4"/>
      <c r="RAP4"/>
      <c r="RAQ4"/>
      <c r="RAR4"/>
      <c r="RAS4"/>
      <c r="RAT4"/>
      <c r="RAU4"/>
      <c r="RAV4"/>
      <c r="RAW4"/>
      <c r="RAX4"/>
      <c r="RAY4"/>
      <c r="RAZ4"/>
      <c r="RBA4"/>
      <c r="RBB4"/>
      <c r="RBC4"/>
      <c r="RBD4"/>
      <c r="RBE4"/>
      <c r="RBF4"/>
      <c r="RBG4"/>
      <c r="RBH4"/>
      <c r="RBI4"/>
      <c r="RBJ4"/>
      <c r="RBK4"/>
      <c r="RBL4"/>
      <c r="RBM4"/>
      <c r="RBN4"/>
      <c r="RBO4"/>
      <c r="RBP4"/>
      <c r="RBQ4"/>
      <c r="RBR4"/>
      <c r="RBS4"/>
      <c r="RBT4"/>
      <c r="RBU4"/>
      <c r="RBV4"/>
      <c r="RBW4"/>
      <c r="RBX4"/>
      <c r="RBY4"/>
      <c r="RBZ4"/>
      <c r="RCA4"/>
      <c r="RCB4"/>
      <c r="RCC4"/>
      <c r="RCD4"/>
      <c r="RCE4"/>
      <c r="RCF4"/>
      <c r="RCG4"/>
      <c r="RCH4"/>
      <c r="RCI4"/>
      <c r="RCJ4"/>
      <c r="RCK4"/>
      <c r="RCL4"/>
      <c r="RCM4"/>
      <c r="RCN4"/>
      <c r="RCO4"/>
      <c r="RCP4"/>
      <c r="RCQ4"/>
      <c r="RCR4"/>
      <c r="RCS4"/>
      <c r="RCT4"/>
      <c r="RCU4"/>
      <c r="RCV4"/>
      <c r="RCW4"/>
      <c r="RCX4"/>
      <c r="RCY4"/>
      <c r="RCZ4"/>
      <c r="RDA4"/>
      <c r="RDB4"/>
      <c r="RDC4"/>
      <c r="RDD4"/>
      <c r="RDE4"/>
      <c r="RDF4"/>
      <c r="RDG4"/>
      <c r="RDH4"/>
      <c r="RDI4"/>
      <c r="RDJ4"/>
      <c r="RDK4"/>
      <c r="RDL4"/>
      <c r="RDM4"/>
      <c r="RDN4"/>
      <c r="RDO4"/>
      <c r="RDP4"/>
      <c r="RDQ4"/>
      <c r="RDR4"/>
      <c r="RDS4"/>
      <c r="RDT4"/>
      <c r="RDU4"/>
      <c r="RDV4"/>
      <c r="RDW4"/>
      <c r="RDX4"/>
      <c r="RDY4"/>
      <c r="RDZ4"/>
      <c r="REA4"/>
      <c r="REB4"/>
      <c r="REC4"/>
      <c r="RED4"/>
      <c r="REE4"/>
      <c r="REF4"/>
      <c r="REG4"/>
      <c r="REH4"/>
      <c r="REI4"/>
      <c r="REJ4"/>
      <c r="REK4"/>
      <c r="REL4"/>
      <c r="REM4"/>
      <c r="REN4"/>
      <c r="REO4"/>
      <c r="REP4"/>
      <c r="REQ4"/>
      <c r="RER4"/>
      <c r="RES4"/>
      <c r="RET4"/>
      <c r="REU4"/>
      <c r="REV4"/>
      <c r="REW4"/>
      <c r="REX4"/>
      <c r="REY4"/>
      <c r="REZ4"/>
      <c r="RFA4"/>
      <c r="RFB4"/>
      <c r="RFC4"/>
      <c r="RFD4"/>
      <c r="RFE4"/>
      <c r="RFF4"/>
      <c r="RFG4"/>
      <c r="RFH4"/>
      <c r="RFI4"/>
      <c r="RFJ4"/>
      <c r="RFK4"/>
      <c r="RFL4"/>
      <c r="RFM4"/>
      <c r="RFN4"/>
      <c r="RFO4"/>
      <c r="RFP4"/>
      <c r="RFQ4"/>
      <c r="RFR4"/>
      <c r="RFS4"/>
      <c r="RFT4"/>
      <c r="RFU4"/>
      <c r="RFV4"/>
      <c r="RFW4"/>
      <c r="RFX4"/>
      <c r="RFY4"/>
      <c r="RFZ4"/>
      <c r="RGA4"/>
      <c r="RGB4"/>
      <c r="RGC4"/>
      <c r="RGD4"/>
      <c r="RGE4"/>
      <c r="RGF4"/>
      <c r="RGG4"/>
      <c r="RGH4"/>
      <c r="RGI4"/>
      <c r="RGJ4"/>
      <c r="RGK4"/>
      <c r="RGL4"/>
      <c r="RGM4"/>
      <c r="RGN4"/>
      <c r="RGO4"/>
      <c r="RGP4"/>
      <c r="RGQ4"/>
      <c r="RGR4"/>
      <c r="RGS4"/>
      <c r="RGT4"/>
      <c r="RGU4"/>
      <c r="RGV4"/>
      <c r="RGW4"/>
      <c r="RGX4"/>
      <c r="RGY4"/>
      <c r="RGZ4"/>
      <c r="RHA4"/>
      <c r="RHB4"/>
      <c r="RHC4"/>
      <c r="RHD4"/>
      <c r="RHE4"/>
      <c r="RHF4"/>
      <c r="RHG4"/>
      <c r="RHH4"/>
      <c r="RHI4"/>
      <c r="RHJ4"/>
      <c r="RHK4"/>
      <c r="RHL4"/>
      <c r="RHM4"/>
      <c r="RHN4"/>
      <c r="RHO4"/>
      <c r="RHP4"/>
      <c r="RHQ4"/>
      <c r="RHR4"/>
      <c r="RHS4"/>
      <c r="RHT4"/>
      <c r="RHU4"/>
      <c r="RHV4"/>
      <c r="RHW4"/>
      <c r="RHX4"/>
      <c r="RHY4"/>
      <c r="RHZ4"/>
      <c r="RIA4"/>
      <c r="RIB4"/>
      <c r="RIC4"/>
      <c r="RID4"/>
      <c r="RIE4"/>
      <c r="RIF4"/>
      <c r="RIG4"/>
      <c r="RIH4"/>
      <c r="RII4"/>
      <c r="RIJ4"/>
      <c r="RIK4"/>
      <c r="RIL4"/>
      <c r="RIM4"/>
      <c r="RIN4"/>
      <c r="RIO4"/>
      <c r="RIP4"/>
      <c r="RIQ4"/>
      <c r="RIR4"/>
      <c r="RIS4"/>
      <c r="RIT4"/>
      <c r="RIU4"/>
      <c r="RIV4"/>
      <c r="RIW4"/>
      <c r="RIX4"/>
      <c r="RIY4"/>
      <c r="RIZ4"/>
      <c r="RJA4"/>
      <c r="RJB4"/>
      <c r="RJC4"/>
      <c r="RJD4"/>
      <c r="RJE4"/>
      <c r="RJF4"/>
      <c r="RJG4"/>
      <c r="RJH4"/>
      <c r="RJI4"/>
      <c r="RJJ4"/>
      <c r="RJK4"/>
      <c r="RJL4"/>
      <c r="RJM4"/>
      <c r="RJN4"/>
      <c r="RJO4"/>
      <c r="RJP4"/>
      <c r="RJQ4"/>
      <c r="RJR4"/>
      <c r="RJS4"/>
      <c r="RJT4"/>
      <c r="RJU4"/>
      <c r="RJV4"/>
      <c r="RJW4"/>
      <c r="RJX4"/>
      <c r="RJY4"/>
      <c r="RJZ4"/>
      <c r="RKA4"/>
      <c r="RKB4"/>
      <c r="RKC4"/>
      <c r="RKD4"/>
      <c r="RKE4"/>
      <c r="RKF4"/>
      <c r="RKG4"/>
      <c r="RKH4"/>
      <c r="RKI4"/>
      <c r="RKJ4"/>
      <c r="RKK4"/>
      <c r="RKL4"/>
      <c r="RKM4"/>
      <c r="RKN4"/>
      <c r="RKO4"/>
      <c r="RKP4"/>
      <c r="RKQ4"/>
      <c r="RKR4"/>
      <c r="RKS4"/>
      <c r="RKT4"/>
      <c r="RKU4"/>
      <c r="RKV4"/>
      <c r="RKW4"/>
      <c r="RKX4"/>
      <c r="RKY4"/>
      <c r="RKZ4"/>
      <c r="RLA4"/>
      <c r="RLB4"/>
      <c r="RLC4"/>
      <c r="RLD4"/>
      <c r="RLE4"/>
      <c r="RLF4"/>
      <c r="RLG4"/>
      <c r="RLH4"/>
      <c r="RLI4"/>
      <c r="RLJ4"/>
      <c r="RLK4"/>
      <c r="RLL4"/>
      <c r="RLM4"/>
      <c r="RLN4"/>
      <c r="RLO4"/>
      <c r="RLP4"/>
      <c r="RLQ4"/>
      <c r="RLR4"/>
      <c r="RLS4"/>
      <c r="RLT4"/>
      <c r="RLU4"/>
      <c r="RLV4"/>
      <c r="RLW4"/>
      <c r="RLX4"/>
      <c r="RLY4"/>
      <c r="RLZ4"/>
      <c r="RMA4"/>
      <c r="RMB4"/>
      <c r="RMC4"/>
      <c r="RMD4"/>
      <c r="RME4"/>
      <c r="RMF4"/>
      <c r="RMG4"/>
      <c r="RMH4"/>
      <c r="RMI4"/>
      <c r="RMJ4"/>
      <c r="RMK4"/>
      <c r="RML4"/>
      <c r="RMM4"/>
      <c r="RMN4"/>
      <c r="RMO4"/>
      <c r="RMP4"/>
      <c r="RMQ4"/>
      <c r="RMR4"/>
      <c r="RMS4"/>
      <c r="RMT4"/>
      <c r="RMU4"/>
      <c r="RMV4"/>
      <c r="RMW4"/>
      <c r="RMX4"/>
      <c r="RMY4"/>
      <c r="RMZ4"/>
      <c r="RNA4"/>
      <c r="RNB4"/>
      <c r="RNC4"/>
      <c r="RND4"/>
      <c r="RNE4"/>
      <c r="RNF4"/>
      <c r="RNG4"/>
      <c r="RNH4"/>
      <c r="RNI4"/>
      <c r="RNJ4"/>
      <c r="RNK4"/>
      <c r="RNL4"/>
      <c r="RNM4"/>
      <c r="RNN4"/>
      <c r="RNO4"/>
      <c r="RNP4"/>
      <c r="RNQ4"/>
      <c r="RNR4"/>
      <c r="RNS4"/>
      <c r="RNT4"/>
      <c r="RNU4"/>
      <c r="RNV4"/>
      <c r="RNW4"/>
      <c r="RNX4"/>
      <c r="RNY4"/>
      <c r="RNZ4"/>
      <c r="ROA4"/>
      <c r="ROB4"/>
      <c r="ROC4"/>
      <c r="ROD4"/>
      <c r="ROE4"/>
      <c r="ROF4"/>
      <c r="ROG4"/>
      <c r="ROH4"/>
      <c r="ROI4"/>
      <c r="ROJ4"/>
      <c r="ROK4"/>
      <c r="ROL4"/>
      <c r="ROM4"/>
      <c r="RON4"/>
      <c r="ROO4"/>
      <c r="ROP4"/>
      <c r="ROQ4"/>
      <c r="ROR4"/>
      <c r="ROS4"/>
      <c r="ROT4"/>
      <c r="ROU4"/>
      <c r="ROV4"/>
      <c r="ROW4"/>
      <c r="ROX4"/>
      <c r="ROY4"/>
      <c r="ROZ4"/>
      <c r="RPA4"/>
      <c r="RPB4"/>
      <c r="RPC4"/>
      <c r="RPD4"/>
      <c r="RPE4"/>
      <c r="RPF4"/>
      <c r="RPG4"/>
      <c r="RPH4"/>
      <c r="RPI4"/>
      <c r="RPJ4"/>
      <c r="RPK4"/>
      <c r="RPL4"/>
      <c r="RPM4"/>
      <c r="RPN4"/>
      <c r="RPO4"/>
      <c r="RPP4"/>
      <c r="RPQ4"/>
      <c r="RPR4"/>
      <c r="RPS4"/>
      <c r="RPT4"/>
      <c r="RPU4"/>
      <c r="RPV4"/>
      <c r="RPW4"/>
      <c r="RPX4"/>
      <c r="RPY4"/>
      <c r="RPZ4"/>
      <c r="RQA4"/>
      <c r="RQB4"/>
      <c r="RQC4"/>
      <c r="RQD4"/>
      <c r="RQE4"/>
      <c r="RQF4"/>
      <c r="RQG4"/>
      <c r="RQH4"/>
      <c r="RQI4"/>
      <c r="RQJ4"/>
      <c r="RQK4"/>
      <c r="RQL4"/>
      <c r="RQM4"/>
      <c r="RQN4"/>
      <c r="RQO4"/>
      <c r="RQP4"/>
      <c r="RQQ4"/>
      <c r="RQR4"/>
      <c r="RQS4"/>
      <c r="RQT4"/>
      <c r="RQU4"/>
      <c r="RQV4"/>
      <c r="RQW4"/>
      <c r="RQX4"/>
      <c r="RQY4"/>
      <c r="RQZ4"/>
      <c r="RRA4"/>
      <c r="RRB4"/>
      <c r="RRC4"/>
      <c r="RRD4"/>
      <c r="RRE4"/>
      <c r="RRF4"/>
      <c r="RRG4"/>
      <c r="RRH4"/>
      <c r="RRI4"/>
      <c r="RRJ4"/>
      <c r="RRK4"/>
      <c r="RRL4"/>
      <c r="RRM4"/>
      <c r="RRN4"/>
      <c r="RRO4"/>
      <c r="RRP4"/>
      <c r="RRQ4"/>
      <c r="RRR4"/>
      <c r="RRS4"/>
      <c r="RRT4"/>
      <c r="RRU4"/>
      <c r="RRV4"/>
      <c r="RRW4"/>
      <c r="RRX4"/>
      <c r="RRY4"/>
      <c r="RRZ4"/>
      <c r="RSA4"/>
      <c r="RSB4"/>
      <c r="RSC4"/>
      <c r="RSD4"/>
      <c r="RSE4"/>
      <c r="RSF4"/>
      <c r="RSG4"/>
      <c r="RSH4"/>
      <c r="RSI4"/>
      <c r="RSJ4"/>
      <c r="RSK4"/>
      <c r="RSL4"/>
      <c r="RSM4"/>
      <c r="RSN4"/>
      <c r="RSO4"/>
      <c r="RSP4"/>
      <c r="RSQ4"/>
      <c r="RSR4"/>
      <c r="RSS4"/>
      <c r="RST4"/>
      <c r="RSU4"/>
      <c r="RSV4"/>
      <c r="RSW4"/>
      <c r="RSX4"/>
      <c r="RSY4"/>
      <c r="RSZ4"/>
      <c r="RTA4"/>
      <c r="RTB4"/>
      <c r="RTC4"/>
      <c r="RTD4"/>
      <c r="RTE4"/>
      <c r="RTF4"/>
      <c r="RTG4"/>
      <c r="RTH4"/>
      <c r="RTI4"/>
      <c r="RTJ4"/>
      <c r="RTK4"/>
      <c r="RTL4"/>
      <c r="RTM4"/>
      <c r="RTN4"/>
      <c r="RTO4"/>
      <c r="RTP4"/>
      <c r="RTQ4"/>
      <c r="RTR4"/>
      <c r="RTS4"/>
      <c r="RTT4"/>
      <c r="RTU4"/>
      <c r="RTV4"/>
      <c r="RTW4"/>
      <c r="RTX4"/>
      <c r="RTY4"/>
      <c r="RTZ4"/>
      <c r="RUA4"/>
      <c r="RUB4"/>
      <c r="RUC4"/>
      <c r="RUD4"/>
      <c r="RUE4"/>
      <c r="RUF4"/>
      <c r="RUG4"/>
      <c r="RUH4"/>
      <c r="RUI4"/>
      <c r="RUJ4"/>
      <c r="RUK4"/>
      <c r="RUL4"/>
      <c r="RUM4"/>
      <c r="RUN4"/>
      <c r="RUO4"/>
      <c r="RUP4"/>
      <c r="RUQ4"/>
      <c r="RUR4"/>
      <c r="RUS4"/>
      <c r="RUT4"/>
      <c r="RUU4"/>
      <c r="RUV4"/>
      <c r="RUW4"/>
      <c r="RUX4"/>
      <c r="RUY4"/>
      <c r="RUZ4"/>
      <c r="RVA4"/>
      <c r="RVB4"/>
      <c r="RVC4"/>
      <c r="RVD4"/>
      <c r="RVE4"/>
      <c r="RVF4"/>
      <c r="RVG4"/>
      <c r="RVH4"/>
      <c r="RVI4"/>
      <c r="RVJ4"/>
      <c r="RVK4"/>
      <c r="RVL4"/>
      <c r="RVM4"/>
      <c r="RVN4"/>
      <c r="RVO4"/>
      <c r="RVP4"/>
      <c r="RVQ4"/>
      <c r="RVR4"/>
      <c r="RVS4"/>
      <c r="RVT4"/>
      <c r="RVU4"/>
      <c r="RVV4"/>
      <c r="RVW4"/>
      <c r="RVX4"/>
      <c r="RVY4"/>
      <c r="RVZ4"/>
      <c r="RWA4"/>
      <c r="RWB4"/>
      <c r="RWC4"/>
      <c r="RWD4"/>
      <c r="RWE4"/>
      <c r="RWF4"/>
      <c r="RWG4"/>
      <c r="RWH4"/>
      <c r="RWI4"/>
      <c r="RWJ4"/>
      <c r="RWK4"/>
      <c r="RWL4"/>
      <c r="RWM4"/>
      <c r="RWN4"/>
      <c r="RWO4"/>
      <c r="RWP4"/>
      <c r="RWQ4"/>
      <c r="RWR4"/>
      <c r="RWS4"/>
      <c r="RWT4"/>
      <c r="RWU4"/>
      <c r="RWV4"/>
      <c r="RWW4"/>
      <c r="RWX4"/>
      <c r="RWY4"/>
      <c r="RWZ4"/>
      <c r="RXA4"/>
      <c r="RXB4"/>
      <c r="RXC4"/>
      <c r="RXD4"/>
      <c r="RXE4"/>
      <c r="RXF4"/>
      <c r="RXG4"/>
      <c r="RXH4"/>
      <c r="RXI4"/>
      <c r="RXJ4"/>
      <c r="RXK4"/>
      <c r="RXL4"/>
      <c r="RXM4"/>
      <c r="RXN4"/>
      <c r="RXO4"/>
      <c r="RXP4"/>
      <c r="RXQ4"/>
      <c r="RXR4"/>
      <c r="RXS4"/>
      <c r="RXT4"/>
      <c r="RXU4"/>
      <c r="RXV4"/>
      <c r="RXW4"/>
      <c r="RXX4"/>
      <c r="RXY4"/>
      <c r="RXZ4"/>
      <c r="RYA4"/>
      <c r="RYB4"/>
      <c r="RYC4"/>
      <c r="RYD4"/>
      <c r="RYE4"/>
      <c r="RYF4"/>
      <c r="RYG4"/>
      <c r="RYH4"/>
      <c r="RYI4"/>
      <c r="RYJ4"/>
      <c r="RYK4"/>
      <c r="RYL4"/>
      <c r="RYM4"/>
      <c r="RYN4"/>
      <c r="RYO4"/>
      <c r="RYP4"/>
      <c r="RYQ4"/>
      <c r="RYR4"/>
      <c r="RYS4"/>
      <c r="RYT4"/>
      <c r="RYU4"/>
      <c r="RYV4"/>
      <c r="RYW4"/>
      <c r="RYX4"/>
      <c r="RYY4"/>
      <c r="RYZ4"/>
      <c r="RZA4"/>
      <c r="RZB4"/>
      <c r="RZC4"/>
      <c r="RZD4"/>
      <c r="RZE4"/>
      <c r="RZF4"/>
      <c r="RZG4"/>
      <c r="RZH4"/>
      <c r="RZI4"/>
      <c r="RZJ4"/>
      <c r="RZK4"/>
      <c r="RZL4"/>
      <c r="RZM4"/>
      <c r="RZN4"/>
      <c r="RZO4"/>
      <c r="RZP4"/>
      <c r="RZQ4"/>
      <c r="RZR4"/>
      <c r="RZS4"/>
      <c r="RZT4"/>
      <c r="RZU4"/>
      <c r="RZV4"/>
      <c r="RZW4"/>
      <c r="RZX4"/>
      <c r="RZY4"/>
      <c r="RZZ4"/>
      <c r="SAA4"/>
      <c r="SAB4"/>
      <c r="SAC4"/>
      <c r="SAD4"/>
      <c r="SAE4"/>
      <c r="SAF4"/>
      <c r="SAG4"/>
      <c r="SAH4"/>
      <c r="SAI4"/>
      <c r="SAJ4"/>
      <c r="SAK4"/>
      <c r="SAL4"/>
      <c r="SAM4"/>
      <c r="SAN4"/>
      <c r="SAO4"/>
      <c r="SAP4"/>
      <c r="SAQ4"/>
      <c r="SAR4"/>
      <c r="SAS4"/>
      <c r="SAT4"/>
      <c r="SAU4"/>
      <c r="SAV4"/>
      <c r="SAW4"/>
      <c r="SAX4"/>
      <c r="SAY4"/>
      <c r="SAZ4"/>
      <c r="SBA4"/>
      <c r="SBB4"/>
      <c r="SBC4"/>
      <c r="SBD4"/>
      <c r="SBE4"/>
      <c r="SBF4"/>
      <c r="SBG4"/>
      <c r="SBH4"/>
      <c r="SBI4"/>
      <c r="SBJ4"/>
      <c r="SBK4"/>
      <c r="SBL4"/>
      <c r="SBM4"/>
      <c r="SBN4"/>
      <c r="SBO4"/>
      <c r="SBP4"/>
      <c r="SBQ4"/>
      <c r="SBR4"/>
      <c r="SBS4"/>
      <c r="SBT4"/>
      <c r="SBU4"/>
      <c r="SBV4"/>
      <c r="SBW4"/>
      <c r="SBX4"/>
      <c r="SBY4"/>
      <c r="SBZ4"/>
      <c r="SCA4"/>
      <c r="SCB4"/>
      <c r="SCC4"/>
      <c r="SCD4"/>
      <c r="SCE4"/>
      <c r="SCF4"/>
      <c r="SCG4"/>
      <c r="SCH4"/>
      <c r="SCI4"/>
      <c r="SCJ4"/>
      <c r="SCK4"/>
      <c r="SCL4"/>
      <c r="SCM4"/>
      <c r="SCN4"/>
      <c r="SCO4"/>
      <c r="SCP4"/>
      <c r="SCQ4"/>
      <c r="SCR4"/>
      <c r="SCS4"/>
      <c r="SCT4"/>
      <c r="SCU4"/>
      <c r="SCV4"/>
      <c r="SCW4"/>
      <c r="SCX4"/>
      <c r="SCY4"/>
      <c r="SCZ4"/>
      <c r="SDA4"/>
      <c r="SDB4"/>
      <c r="SDC4"/>
      <c r="SDD4"/>
      <c r="SDE4"/>
      <c r="SDF4"/>
      <c r="SDG4"/>
      <c r="SDH4"/>
      <c r="SDI4"/>
      <c r="SDJ4"/>
      <c r="SDK4"/>
      <c r="SDL4"/>
      <c r="SDM4"/>
      <c r="SDN4"/>
      <c r="SDO4"/>
      <c r="SDP4"/>
      <c r="SDQ4"/>
      <c r="SDR4"/>
      <c r="SDS4"/>
      <c r="SDT4"/>
      <c r="SDU4"/>
      <c r="SDV4"/>
      <c r="SDW4"/>
      <c r="SDX4"/>
      <c r="SDY4"/>
      <c r="SDZ4"/>
      <c r="SEA4"/>
      <c r="SEB4"/>
      <c r="SEC4"/>
      <c r="SED4"/>
      <c r="SEE4"/>
      <c r="SEF4"/>
      <c r="SEG4"/>
      <c r="SEH4"/>
      <c r="SEI4"/>
      <c r="SEJ4"/>
      <c r="SEK4"/>
      <c r="SEL4"/>
      <c r="SEM4"/>
      <c r="SEN4"/>
      <c r="SEO4"/>
      <c r="SEP4"/>
      <c r="SEQ4"/>
      <c r="SER4"/>
      <c r="SES4"/>
      <c r="SET4"/>
      <c r="SEU4"/>
      <c r="SEV4"/>
      <c r="SEW4"/>
      <c r="SEX4"/>
      <c r="SEY4"/>
      <c r="SEZ4"/>
      <c r="SFA4"/>
      <c r="SFB4"/>
      <c r="SFC4"/>
      <c r="SFD4"/>
      <c r="SFE4"/>
      <c r="SFF4"/>
      <c r="SFG4"/>
      <c r="SFH4"/>
      <c r="SFI4"/>
      <c r="SFJ4"/>
      <c r="SFK4"/>
      <c r="SFL4"/>
      <c r="SFM4"/>
      <c r="SFN4"/>
      <c r="SFO4"/>
      <c r="SFP4"/>
      <c r="SFQ4"/>
      <c r="SFR4"/>
      <c r="SFS4"/>
      <c r="SFT4"/>
      <c r="SFU4"/>
      <c r="SFV4"/>
      <c r="SFW4"/>
      <c r="SFX4"/>
      <c r="SFY4"/>
      <c r="SFZ4"/>
      <c r="SGA4"/>
      <c r="SGB4"/>
      <c r="SGC4"/>
      <c r="SGD4"/>
      <c r="SGE4"/>
      <c r="SGF4"/>
      <c r="SGG4"/>
      <c r="SGH4"/>
      <c r="SGI4"/>
      <c r="SGJ4"/>
      <c r="SGK4"/>
      <c r="SGL4"/>
      <c r="SGM4"/>
      <c r="SGN4"/>
      <c r="SGO4"/>
      <c r="SGP4"/>
      <c r="SGQ4"/>
      <c r="SGR4"/>
      <c r="SGS4"/>
      <c r="SGT4"/>
      <c r="SGU4"/>
      <c r="SGV4"/>
      <c r="SGW4"/>
      <c r="SGX4"/>
      <c r="SGY4"/>
      <c r="SGZ4"/>
      <c r="SHA4"/>
      <c r="SHB4"/>
      <c r="SHC4"/>
      <c r="SHD4"/>
      <c r="SHE4"/>
      <c r="SHF4"/>
      <c r="SHG4"/>
      <c r="SHH4"/>
      <c r="SHI4"/>
      <c r="SHJ4"/>
      <c r="SHK4"/>
      <c r="SHL4"/>
      <c r="SHM4"/>
      <c r="SHN4"/>
      <c r="SHO4"/>
      <c r="SHP4"/>
      <c r="SHQ4"/>
      <c r="SHR4"/>
      <c r="SHS4"/>
      <c r="SHT4"/>
      <c r="SHU4"/>
      <c r="SHV4"/>
      <c r="SHW4"/>
      <c r="SHX4"/>
      <c r="SHY4"/>
      <c r="SHZ4"/>
      <c r="SIA4"/>
      <c r="SIB4"/>
      <c r="SIC4"/>
      <c r="SID4"/>
      <c r="SIE4"/>
      <c r="SIF4"/>
      <c r="SIG4"/>
      <c r="SIH4"/>
      <c r="SII4"/>
      <c r="SIJ4"/>
      <c r="SIK4"/>
      <c r="SIL4"/>
      <c r="SIM4"/>
      <c r="SIN4"/>
      <c r="SIO4"/>
      <c r="SIP4"/>
      <c r="SIQ4"/>
      <c r="SIR4"/>
      <c r="SIS4"/>
      <c r="SIT4"/>
      <c r="SIU4"/>
      <c r="SIV4"/>
      <c r="SIW4"/>
      <c r="SIX4"/>
      <c r="SIY4"/>
      <c r="SIZ4"/>
      <c r="SJA4"/>
      <c r="SJB4"/>
      <c r="SJC4"/>
      <c r="SJD4"/>
      <c r="SJE4"/>
      <c r="SJF4"/>
      <c r="SJG4"/>
      <c r="SJH4"/>
      <c r="SJI4"/>
      <c r="SJJ4"/>
      <c r="SJK4"/>
      <c r="SJL4"/>
      <c r="SJM4"/>
      <c r="SJN4"/>
      <c r="SJO4"/>
      <c r="SJP4"/>
      <c r="SJQ4"/>
      <c r="SJR4"/>
      <c r="SJS4"/>
      <c r="SJT4"/>
      <c r="SJU4"/>
      <c r="SJV4"/>
      <c r="SJW4"/>
      <c r="SJX4"/>
      <c r="SJY4"/>
      <c r="SJZ4"/>
      <c r="SKA4"/>
      <c r="SKB4"/>
      <c r="SKC4"/>
      <c r="SKD4"/>
      <c r="SKE4"/>
      <c r="SKF4"/>
      <c r="SKG4"/>
      <c r="SKH4"/>
      <c r="SKI4"/>
      <c r="SKJ4"/>
      <c r="SKK4"/>
      <c r="SKL4"/>
      <c r="SKM4"/>
      <c r="SKN4"/>
      <c r="SKO4"/>
      <c r="SKP4"/>
      <c r="SKQ4"/>
      <c r="SKR4"/>
      <c r="SKS4"/>
      <c r="SKT4"/>
      <c r="SKU4"/>
      <c r="SKV4"/>
      <c r="SKW4"/>
      <c r="SKX4"/>
      <c r="SKY4"/>
      <c r="SKZ4"/>
      <c r="SLA4"/>
      <c r="SLB4"/>
      <c r="SLC4"/>
      <c r="SLD4"/>
      <c r="SLE4"/>
      <c r="SLF4"/>
      <c r="SLG4"/>
      <c r="SLH4"/>
      <c r="SLI4"/>
      <c r="SLJ4"/>
      <c r="SLK4"/>
      <c r="SLL4"/>
      <c r="SLM4"/>
      <c r="SLN4"/>
      <c r="SLO4"/>
      <c r="SLP4"/>
      <c r="SLQ4"/>
      <c r="SLR4"/>
      <c r="SLS4"/>
      <c r="SLT4"/>
      <c r="SLU4"/>
      <c r="SLV4"/>
      <c r="SLW4"/>
      <c r="SLX4"/>
      <c r="SLY4"/>
      <c r="SLZ4"/>
      <c r="SMA4"/>
      <c r="SMB4"/>
      <c r="SMC4"/>
      <c r="SMD4"/>
      <c r="SME4"/>
      <c r="SMF4"/>
      <c r="SMG4"/>
      <c r="SMH4"/>
      <c r="SMI4"/>
      <c r="SMJ4"/>
      <c r="SMK4"/>
      <c r="SML4"/>
      <c r="SMM4"/>
      <c r="SMN4"/>
      <c r="SMO4"/>
      <c r="SMP4"/>
      <c r="SMQ4"/>
      <c r="SMR4"/>
      <c r="SMS4"/>
      <c r="SMT4"/>
      <c r="SMU4"/>
      <c r="SMV4"/>
      <c r="SMW4"/>
      <c r="SMX4"/>
      <c r="SMY4"/>
      <c r="SMZ4"/>
      <c r="SNA4"/>
      <c r="SNB4"/>
      <c r="SNC4"/>
      <c r="SND4"/>
      <c r="SNE4"/>
      <c r="SNF4"/>
      <c r="SNG4"/>
      <c r="SNH4"/>
      <c r="SNI4"/>
      <c r="SNJ4"/>
      <c r="SNK4"/>
      <c r="SNL4"/>
      <c r="SNM4"/>
      <c r="SNN4"/>
      <c r="SNO4"/>
      <c r="SNP4"/>
      <c r="SNQ4"/>
      <c r="SNR4"/>
      <c r="SNS4"/>
      <c r="SNT4"/>
      <c r="SNU4"/>
      <c r="SNV4"/>
      <c r="SNW4"/>
      <c r="SNX4"/>
      <c r="SNY4"/>
      <c r="SNZ4"/>
      <c r="SOA4"/>
      <c r="SOB4"/>
      <c r="SOC4"/>
      <c r="SOD4"/>
      <c r="SOE4"/>
      <c r="SOF4"/>
      <c r="SOG4"/>
      <c r="SOH4"/>
      <c r="SOI4"/>
      <c r="SOJ4"/>
      <c r="SOK4"/>
      <c r="SOL4"/>
      <c r="SOM4"/>
      <c r="SON4"/>
      <c r="SOO4"/>
      <c r="SOP4"/>
      <c r="SOQ4"/>
      <c r="SOR4"/>
      <c r="SOS4"/>
      <c r="SOT4"/>
      <c r="SOU4"/>
      <c r="SOV4"/>
      <c r="SOW4"/>
      <c r="SOX4"/>
      <c r="SOY4"/>
      <c r="SOZ4"/>
      <c r="SPA4"/>
      <c r="SPB4"/>
      <c r="SPC4"/>
      <c r="SPD4"/>
      <c r="SPE4"/>
      <c r="SPF4"/>
      <c r="SPG4"/>
      <c r="SPH4"/>
      <c r="SPI4"/>
      <c r="SPJ4"/>
      <c r="SPK4"/>
      <c r="SPL4"/>
      <c r="SPM4"/>
      <c r="SPN4"/>
      <c r="SPO4"/>
      <c r="SPP4"/>
      <c r="SPQ4"/>
      <c r="SPR4"/>
      <c r="SPS4"/>
      <c r="SPT4"/>
      <c r="SPU4"/>
      <c r="SPV4"/>
      <c r="SPW4"/>
      <c r="SPX4"/>
      <c r="SPY4"/>
      <c r="SPZ4"/>
      <c r="SQA4"/>
      <c r="SQB4"/>
      <c r="SQC4"/>
      <c r="SQD4"/>
      <c r="SQE4"/>
      <c r="SQF4"/>
      <c r="SQG4"/>
      <c r="SQH4"/>
      <c r="SQI4"/>
      <c r="SQJ4"/>
      <c r="SQK4"/>
      <c r="SQL4"/>
      <c r="SQM4"/>
      <c r="SQN4"/>
      <c r="SQO4"/>
      <c r="SQP4"/>
      <c r="SQQ4"/>
      <c r="SQR4"/>
      <c r="SQS4"/>
      <c r="SQT4"/>
      <c r="SQU4"/>
      <c r="SQV4"/>
      <c r="SQW4"/>
      <c r="SQX4"/>
      <c r="SQY4"/>
      <c r="SQZ4"/>
      <c r="SRA4"/>
      <c r="SRB4"/>
      <c r="SRC4"/>
      <c r="SRD4"/>
      <c r="SRE4"/>
      <c r="SRF4"/>
      <c r="SRG4"/>
      <c r="SRH4"/>
      <c r="SRI4"/>
      <c r="SRJ4"/>
      <c r="SRK4"/>
      <c r="SRL4"/>
      <c r="SRM4"/>
      <c r="SRN4"/>
      <c r="SRO4"/>
      <c r="SRP4"/>
      <c r="SRQ4"/>
      <c r="SRR4"/>
      <c r="SRS4"/>
      <c r="SRT4"/>
      <c r="SRU4"/>
      <c r="SRV4"/>
      <c r="SRW4"/>
      <c r="SRX4"/>
      <c r="SRY4"/>
      <c r="SRZ4"/>
      <c r="SSA4"/>
      <c r="SSB4"/>
      <c r="SSC4"/>
      <c r="SSD4"/>
      <c r="SSE4"/>
      <c r="SSF4"/>
      <c r="SSG4"/>
      <c r="SSH4"/>
      <c r="SSI4"/>
      <c r="SSJ4"/>
      <c r="SSK4"/>
      <c r="SSL4"/>
      <c r="SSM4"/>
      <c r="SSN4"/>
      <c r="SSO4"/>
      <c r="SSP4"/>
      <c r="SSQ4"/>
      <c r="SSR4"/>
      <c r="SSS4"/>
      <c r="SST4"/>
      <c r="SSU4"/>
      <c r="SSV4"/>
      <c r="SSW4"/>
      <c r="SSX4"/>
      <c r="SSY4"/>
      <c r="SSZ4"/>
      <c r="STA4"/>
      <c r="STB4"/>
      <c r="STC4"/>
      <c r="STD4"/>
      <c r="STE4"/>
      <c r="STF4"/>
      <c r="STG4"/>
      <c r="STH4"/>
      <c r="STI4"/>
      <c r="STJ4"/>
      <c r="STK4"/>
      <c r="STL4"/>
      <c r="STM4"/>
      <c r="STN4"/>
      <c r="STO4"/>
      <c r="STP4"/>
      <c r="STQ4"/>
      <c r="STR4"/>
      <c r="STS4"/>
      <c r="STT4"/>
      <c r="STU4"/>
      <c r="STV4"/>
      <c r="STW4"/>
      <c r="STX4"/>
      <c r="STY4"/>
      <c r="STZ4"/>
      <c r="SUA4"/>
      <c r="SUB4"/>
      <c r="SUC4"/>
      <c r="SUD4"/>
      <c r="SUE4"/>
      <c r="SUF4"/>
      <c r="SUG4"/>
      <c r="SUH4"/>
      <c r="SUI4"/>
      <c r="SUJ4"/>
      <c r="SUK4"/>
      <c r="SUL4"/>
      <c r="SUM4"/>
      <c r="SUN4"/>
      <c r="SUO4"/>
      <c r="SUP4"/>
      <c r="SUQ4"/>
      <c r="SUR4"/>
      <c r="SUS4"/>
      <c r="SUT4"/>
      <c r="SUU4"/>
      <c r="SUV4"/>
      <c r="SUW4"/>
      <c r="SUX4"/>
      <c r="SUY4"/>
      <c r="SUZ4"/>
      <c r="SVA4"/>
      <c r="SVB4"/>
      <c r="SVC4"/>
      <c r="SVD4"/>
      <c r="SVE4"/>
      <c r="SVF4"/>
      <c r="SVG4"/>
      <c r="SVH4"/>
      <c r="SVI4"/>
      <c r="SVJ4"/>
      <c r="SVK4"/>
      <c r="SVL4"/>
      <c r="SVM4"/>
      <c r="SVN4"/>
      <c r="SVO4"/>
      <c r="SVP4"/>
      <c r="SVQ4"/>
      <c r="SVR4"/>
      <c r="SVS4"/>
      <c r="SVT4"/>
      <c r="SVU4"/>
      <c r="SVV4"/>
      <c r="SVW4"/>
      <c r="SVX4"/>
      <c r="SVY4"/>
      <c r="SVZ4"/>
      <c r="SWA4"/>
      <c r="SWB4"/>
      <c r="SWC4"/>
      <c r="SWD4"/>
      <c r="SWE4"/>
      <c r="SWF4"/>
      <c r="SWG4"/>
      <c r="SWH4"/>
      <c r="SWI4"/>
      <c r="SWJ4"/>
      <c r="SWK4"/>
      <c r="SWL4"/>
      <c r="SWM4"/>
      <c r="SWN4"/>
      <c r="SWO4"/>
      <c r="SWP4"/>
      <c r="SWQ4"/>
      <c r="SWR4"/>
      <c r="SWS4"/>
      <c r="SWT4"/>
      <c r="SWU4"/>
      <c r="SWV4"/>
      <c r="SWW4"/>
      <c r="SWX4"/>
      <c r="SWY4"/>
      <c r="SWZ4"/>
      <c r="SXA4"/>
      <c r="SXB4"/>
      <c r="SXC4"/>
      <c r="SXD4"/>
      <c r="SXE4"/>
      <c r="SXF4"/>
      <c r="SXG4"/>
      <c r="SXH4"/>
      <c r="SXI4"/>
      <c r="SXJ4"/>
      <c r="SXK4"/>
      <c r="SXL4"/>
      <c r="SXM4"/>
      <c r="SXN4"/>
      <c r="SXO4"/>
      <c r="SXP4"/>
      <c r="SXQ4"/>
      <c r="SXR4"/>
      <c r="SXS4"/>
      <c r="SXT4"/>
      <c r="SXU4"/>
      <c r="SXV4"/>
      <c r="SXW4"/>
      <c r="SXX4"/>
      <c r="SXY4"/>
      <c r="SXZ4"/>
      <c r="SYA4"/>
      <c r="SYB4"/>
      <c r="SYC4"/>
      <c r="SYD4"/>
      <c r="SYE4"/>
      <c r="SYF4"/>
      <c r="SYG4"/>
      <c r="SYH4"/>
      <c r="SYI4"/>
      <c r="SYJ4"/>
      <c r="SYK4"/>
      <c r="SYL4"/>
      <c r="SYM4"/>
      <c r="SYN4"/>
      <c r="SYO4"/>
      <c r="SYP4"/>
      <c r="SYQ4"/>
      <c r="SYR4"/>
      <c r="SYS4"/>
      <c r="SYT4"/>
      <c r="SYU4"/>
      <c r="SYV4"/>
      <c r="SYW4"/>
      <c r="SYX4"/>
      <c r="SYY4"/>
      <c r="SYZ4"/>
      <c r="SZA4"/>
      <c r="SZB4"/>
      <c r="SZC4"/>
      <c r="SZD4"/>
      <c r="SZE4"/>
      <c r="SZF4"/>
      <c r="SZG4"/>
      <c r="SZH4"/>
      <c r="SZI4"/>
      <c r="SZJ4"/>
      <c r="SZK4"/>
      <c r="SZL4"/>
      <c r="SZM4"/>
      <c r="SZN4"/>
      <c r="SZO4"/>
      <c r="SZP4"/>
      <c r="SZQ4"/>
      <c r="SZR4"/>
      <c r="SZS4"/>
      <c r="SZT4"/>
      <c r="SZU4"/>
      <c r="SZV4"/>
      <c r="SZW4"/>
      <c r="SZX4"/>
      <c r="SZY4"/>
      <c r="SZZ4"/>
      <c r="TAA4"/>
      <c r="TAB4"/>
      <c r="TAC4"/>
      <c r="TAD4"/>
      <c r="TAE4"/>
      <c r="TAF4"/>
      <c r="TAG4"/>
      <c r="TAH4"/>
      <c r="TAI4"/>
      <c r="TAJ4"/>
      <c r="TAK4"/>
      <c r="TAL4"/>
      <c r="TAM4"/>
      <c r="TAN4"/>
      <c r="TAO4"/>
      <c r="TAP4"/>
      <c r="TAQ4"/>
      <c r="TAR4"/>
      <c r="TAS4"/>
      <c r="TAT4"/>
      <c r="TAU4"/>
      <c r="TAV4"/>
      <c r="TAW4"/>
      <c r="TAX4"/>
      <c r="TAY4"/>
      <c r="TAZ4"/>
      <c r="TBA4"/>
      <c r="TBB4"/>
      <c r="TBC4"/>
      <c r="TBD4"/>
      <c r="TBE4"/>
      <c r="TBF4"/>
      <c r="TBG4"/>
      <c r="TBH4"/>
      <c r="TBI4"/>
      <c r="TBJ4"/>
      <c r="TBK4"/>
      <c r="TBL4"/>
      <c r="TBM4"/>
      <c r="TBN4"/>
      <c r="TBO4"/>
      <c r="TBP4"/>
      <c r="TBQ4"/>
      <c r="TBR4"/>
      <c r="TBS4"/>
      <c r="TBT4"/>
      <c r="TBU4"/>
      <c r="TBV4"/>
      <c r="TBW4"/>
      <c r="TBX4"/>
      <c r="TBY4"/>
      <c r="TBZ4"/>
      <c r="TCA4"/>
      <c r="TCB4"/>
      <c r="TCC4"/>
      <c r="TCD4"/>
      <c r="TCE4"/>
      <c r="TCF4"/>
      <c r="TCG4"/>
      <c r="TCH4"/>
      <c r="TCI4"/>
      <c r="TCJ4"/>
      <c r="TCK4"/>
      <c r="TCL4"/>
      <c r="TCM4"/>
      <c r="TCN4"/>
      <c r="TCO4"/>
      <c r="TCP4"/>
      <c r="TCQ4"/>
      <c r="TCR4"/>
      <c r="TCS4"/>
      <c r="TCT4"/>
      <c r="TCU4"/>
      <c r="TCV4"/>
      <c r="TCW4"/>
      <c r="TCX4"/>
      <c r="TCY4"/>
      <c r="TCZ4"/>
      <c r="TDA4"/>
      <c r="TDB4"/>
      <c r="TDC4"/>
      <c r="TDD4"/>
      <c r="TDE4"/>
      <c r="TDF4"/>
      <c r="TDG4"/>
      <c r="TDH4"/>
      <c r="TDI4"/>
      <c r="TDJ4"/>
      <c r="TDK4"/>
      <c r="TDL4"/>
      <c r="TDM4"/>
      <c r="TDN4"/>
      <c r="TDO4"/>
      <c r="TDP4"/>
      <c r="TDQ4"/>
      <c r="TDR4"/>
      <c r="TDS4"/>
      <c r="TDT4"/>
      <c r="TDU4"/>
      <c r="TDV4"/>
      <c r="TDW4"/>
      <c r="TDX4"/>
      <c r="TDY4"/>
      <c r="TDZ4"/>
      <c r="TEA4"/>
      <c r="TEB4"/>
      <c r="TEC4"/>
      <c r="TED4"/>
      <c r="TEE4"/>
      <c r="TEF4"/>
      <c r="TEG4"/>
      <c r="TEH4"/>
      <c r="TEI4"/>
      <c r="TEJ4"/>
      <c r="TEK4"/>
      <c r="TEL4"/>
      <c r="TEM4"/>
      <c r="TEN4"/>
      <c r="TEO4"/>
      <c r="TEP4"/>
      <c r="TEQ4"/>
      <c r="TER4"/>
      <c r="TES4"/>
      <c r="TET4"/>
      <c r="TEU4"/>
      <c r="TEV4"/>
      <c r="TEW4"/>
      <c r="TEX4"/>
      <c r="TEY4"/>
      <c r="TEZ4"/>
      <c r="TFA4"/>
      <c r="TFB4"/>
      <c r="TFC4"/>
      <c r="TFD4"/>
      <c r="TFE4"/>
      <c r="TFF4"/>
      <c r="TFG4"/>
      <c r="TFH4"/>
      <c r="TFI4"/>
      <c r="TFJ4"/>
      <c r="TFK4"/>
      <c r="TFL4"/>
      <c r="TFM4"/>
      <c r="TFN4"/>
      <c r="TFO4"/>
      <c r="TFP4"/>
      <c r="TFQ4"/>
      <c r="TFR4"/>
      <c r="TFS4"/>
      <c r="TFT4"/>
      <c r="TFU4"/>
      <c r="TFV4"/>
      <c r="TFW4"/>
      <c r="TFX4"/>
      <c r="TFY4"/>
      <c r="TFZ4"/>
      <c r="TGA4"/>
      <c r="TGB4"/>
      <c r="TGC4"/>
      <c r="TGD4"/>
      <c r="TGE4"/>
      <c r="TGF4"/>
      <c r="TGG4"/>
      <c r="TGH4"/>
      <c r="TGI4"/>
      <c r="TGJ4"/>
      <c r="TGK4"/>
      <c r="TGL4"/>
      <c r="TGM4"/>
      <c r="TGN4"/>
      <c r="TGO4"/>
      <c r="TGP4"/>
      <c r="TGQ4"/>
      <c r="TGR4"/>
      <c r="TGS4"/>
      <c r="TGT4"/>
      <c r="TGU4"/>
      <c r="TGV4"/>
      <c r="TGW4"/>
      <c r="TGX4"/>
      <c r="TGY4"/>
      <c r="TGZ4"/>
      <c r="THA4"/>
      <c r="THB4"/>
      <c r="THC4"/>
      <c r="THD4"/>
      <c r="THE4"/>
      <c r="THF4"/>
      <c r="THG4"/>
      <c r="THH4"/>
      <c r="THI4"/>
      <c r="THJ4"/>
      <c r="THK4"/>
      <c r="THL4"/>
      <c r="THM4"/>
      <c r="THN4"/>
      <c r="THO4"/>
      <c r="THP4"/>
      <c r="THQ4"/>
      <c r="THR4"/>
      <c r="THS4"/>
      <c r="THT4"/>
      <c r="THU4"/>
      <c r="THV4"/>
      <c r="THW4"/>
      <c r="THX4"/>
      <c r="THY4"/>
      <c r="THZ4"/>
      <c r="TIA4"/>
      <c r="TIB4"/>
      <c r="TIC4"/>
      <c r="TID4"/>
      <c r="TIE4"/>
      <c r="TIF4"/>
      <c r="TIG4"/>
      <c r="TIH4"/>
      <c r="TII4"/>
      <c r="TIJ4"/>
      <c r="TIK4"/>
      <c r="TIL4"/>
      <c r="TIM4"/>
      <c r="TIN4"/>
      <c r="TIO4"/>
      <c r="TIP4"/>
      <c r="TIQ4"/>
      <c r="TIR4"/>
      <c r="TIS4"/>
      <c r="TIT4"/>
      <c r="TIU4"/>
      <c r="TIV4"/>
      <c r="TIW4"/>
      <c r="TIX4"/>
      <c r="TIY4"/>
      <c r="TIZ4"/>
      <c r="TJA4"/>
      <c r="TJB4"/>
      <c r="TJC4"/>
      <c r="TJD4"/>
      <c r="TJE4"/>
      <c r="TJF4"/>
      <c r="TJG4"/>
      <c r="TJH4"/>
      <c r="TJI4"/>
      <c r="TJJ4"/>
      <c r="TJK4"/>
      <c r="TJL4"/>
      <c r="TJM4"/>
      <c r="TJN4"/>
      <c r="TJO4"/>
      <c r="TJP4"/>
      <c r="TJQ4"/>
      <c r="TJR4"/>
      <c r="TJS4"/>
      <c r="TJT4"/>
      <c r="TJU4"/>
      <c r="TJV4"/>
      <c r="TJW4"/>
      <c r="TJX4"/>
      <c r="TJY4"/>
      <c r="TJZ4"/>
      <c r="TKA4"/>
      <c r="TKB4"/>
      <c r="TKC4"/>
      <c r="TKD4"/>
      <c r="TKE4"/>
      <c r="TKF4"/>
      <c r="TKG4"/>
      <c r="TKH4"/>
      <c r="TKI4"/>
      <c r="TKJ4"/>
      <c r="TKK4"/>
      <c r="TKL4"/>
      <c r="TKM4"/>
      <c r="TKN4"/>
      <c r="TKO4"/>
      <c r="TKP4"/>
      <c r="TKQ4"/>
      <c r="TKR4"/>
      <c r="TKS4"/>
      <c r="TKT4"/>
      <c r="TKU4"/>
      <c r="TKV4"/>
      <c r="TKW4"/>
      <c r="TKX4"/>
      <c r="TKY4"/>
      <c r="TKZ4"/>
      <c r="TLA4"/>
      <c r="TLB4"/>
      <c r="TLC4"/>
      <c r="TLD4"/>
      <c r="TLE4"/>
      <c r="TLF4"/>
      <c r="TLG4"/>
      <c r="TLH4"/>
      <c r="TLI4"/>
      <c r="TLJ4"/>
      <c r="TLK4"/>
      <c r="TLL4"/>
      <c r="TLM4"/>
      <c r="TLN4"/>
      <c r="TLO4"/>
      <c r="TLP4"/>
      <c r="TLQ4"/>
      <c r="TLR4"/>
      <c r="TLS4"/>
      <c r="TLT4"/>
      <c r="TLU4"/>
      <c r="TLV4"/>
      <c r="TLW4"/>
      <c r="TLX4"/>
      <c r="TLY4"/>
      <c r="TLZ4"/>
      <c r="TMA4"/>
      <c r="TMB4"/>
      <c r="TMC4"/>
      <c r="TMD4"/>
      <c r="TME4"/>
      <c r="TMF4"/>
      <c r="TMG4"/>
      <c r="TMH4"/>
      <c r="TMI4"/>
      <c r="TMJ4"/>
      <c r="TMK4"/>
      <c r="TML4"/>
      <c r="TMM4"/>
      <c r="TMN4"/>
      <c r="TMO4"/>
      <c r="TMP4"/>
      <c r="TMQ4"/>
      <c r="TMR4"/>
      <c r="TMS4"/>
      <c r="TMT4"/>
      <c r="TMU4"/>
      <c r="TMV4"/>
      <c r="TMW4"/>
      <c r="TMX4"/>
      <c r="TMY4"/>
      <c r="TMZ4"/>
      <c r="TNA4"/>
      <c r="TNB4"/>
      <c r="TNC4"/>
      <c r="TND4"/>
      <c r="TNE4"/>
      <c r="TNF4"/>
      <c r="TNG4"/>
      <c r="TNH4"/>
      <c r="TNI4"/>
      <c r="TNJ4"/>
      <c r="TNK4"/>
      <c r="TNL4"/>
      <c r="TNM4"/>
      <c r="TNN4"/>
      <c r="TNO4"/>
      <c r="TNP4"/>
      <c r="TNQ4"/>
      <c r="TNR4"/>
      <c r="TNS4"/>
      <c r="TNT4"/>
      <c r="TNU4"/>
      <c r="TNV4"/>
      <c r="TNW4"/>
      <c r="TNX4"/>
      <c r="TNY4"/>
      <c r="TNZ4"/>
      <c r="TOA4"/>
      <c r="TOB4"/>
      <c r="TOC4"/>
      <c r="TOD4"/>
      <c r="TOE4"/>
      <c r="TOF4"/>
      <c r="TOG4"/>
      <c r="TOH4"/>
      <c r="TOI4"/>
      <c r="TOJ4"/>
      <c r="TOK4"/>
      <c r="TOL4"/>
      <c r="TOM4"/>
      <c r="TON4"/>
      <c r="TOO4"/>
      <c r="TOP4"/>
      <c r="TOQ4"/>
      <c r="TOR4"/>
      <c r="TOS4"/>
      <c r="TOT4"/>
      <c r="TOU4"/>
      <c r="TOV4"/>
      <c r="TOW4"/>
      <c r="TOX4"/>
      <c r="TOY4"/>
      <c r="TOZ4"/>
      <c r="TPA4"/>
      <c r="TPB4"/>
      <c r="TPC4"/>
      <c r="TPD4"/>
      <c r="TPE4"/>
      <c r="TPF4"/>
      <c r="TPG4"/>
      <c r="TPH4"/>
      <c r="TPI4"/>
      <c r="TPJ4"/>
      <c r="TPK4"/>
      <c r="TPL4"/>
      <c r="TPM4"/>
      <c r="TPN4"/>
      <c r="TPO4"/>
      <c r="TPP4"/>
      <c r="TPQ4"/>
      <c r="TPR4"/>
      <c r="TPS4"/>
      <c r="TPT4"/>
      <c r="TPU4"/>
      <c r="TPV4"/>
      <c r="TPW4"/>
      <c r="TPX4"/>
      <c r="TPY4"/>
      <c r="TPZ4"/>
      <c r="TQA4"/>
      <c r="TQB4"/>
      <c r="TQC4"/>
      <c r="TQD4"/>
      <c r="TQE4"/>
      <c r="TQF4"/>
      <c r="TQG4"/>
      <c r="TQH4"/>
      <c r="TQI4"/>
      <c r="TQJ4"/>
      <c r="TQK4"/>
      <c r="TQL4"/>
      <c r="TQM4"/>
      <c r="TQN4"/>
      <c r="TQO4"/>
      <c r="TQP4"/>
      <c r="TQQ4"/>
      <c r="TQR4"/>
      <c r="TQS4"/>
      <c r="TQT4"/>
      <c r="TQU4"/>
      <c r="TQV4"/>
      <c r="TQW4"/>
      <c r="TQX4"/>
      <c r="TQY4"/>
      <c r="TQZ4"/>
      <c r="TRA4"/>
      <c r="TRB4"/>
      <c r="TRC4"/>
      <c r="TRD4"/>
      <c r="TRE4"/>
      <c r="TRF4"/>
      <c r="TRG4"/>
      <c r="TRH4"/>
      <c r="TRI4"/>
      <c r="TRJ4"/>
      <c r="TRK4"/>
      <c r="TRL4"/>
      <c r="TRM4"/>
      <c r="TRN4"/>
      <c r="TRO4"/>
      <c r="TRP4"/>
      <c r="TRQ4"/>
      <c r="TRR4"/>
      <c r="TRS4"/>
      <c r="TRT4"/>
      <c r="TRU4"/>
      <c r="TRV4"/>
      <c r="TRW4"/>
      <c r="TRX4"/>
      <c r="TRY4"/>
      <c r="TRZ4"/>
      <c r="TSA4"/>
      <c r="TSB4"/>
      <c r="TSC4"/>
      <c r="TSD4"/>
      <c r="TSE4"/>
      <c r="TSF4"/>
      <c r="TSG4"/>
      <c r="TSH4"/>
      <c r="TSI4"/>
      <c r="TSJ4"/>
      <c r="TSK4"/>
      <c r="TSL4"/>
      <c r="TSM4"/>
      <c r="TSN4"/>
      <c r="TSO4"/>
      <c r="TSP4"/>
      <c r="TSQ4"/>
      <c r="TSR4"/>
      <c r="TSS4"/>
      <c r="TST4"/>
      <c r="TSU4"/>
      <c r="TSV4"/>
      <c r="TSW4"/>
      <c r="TSX4"/>
      <c r="TSY4"/>
      <c r="TSZ4"/>
      <c r="TTA4"/>
      <c r="TTB4"/>
      <c r="TTC4"/>
      <c r="TTD4"/>
      <c r="TTE4"/>
      <c r="TTF4"/>
      <c r="TTG4"/>
      <c r="TTH4"/>
      <c r="TTI4"/>
      <c r="TTJ4"/>
      <c r="TTK4"/>
      <c r="TTL4"/>
      <c r="TTM4"/>
      <c r="TTN4"/>
      <c r="TTO4"/>
      <c r="TTP4"/>
      <c r="TTQ4"/>
      <c r="TTR4"/>
      <c r="TTS4"/>
      <c r="TTT4"/>
      <c r="TTU4"/>
      <c r="TTV4"/>
      <c r="TTW4"/>
      <c r="TTX4"/>
      <c r="TTY4"/>
      <c r="TTZ4"/>
      <c r="TUA4"/>
      <c r="TUB4"/>
      <c r="TUC4"/>
      <c r="TUD4"/>
      <c r="TUE4"/>
      <c r="TUF4"/>
      <c r="TUG4"/>
      <c r="TUH4"/>
      <c r="TUI4"/>
      <c r="TUJ4"/>
      <c r="TUK4"/>
      <c r="TUL4"/>
      <c r="TUM4"/>
      <c r="TUN4"/>
      <c r="TUO4"/>
      <c r="TUP4"/>
      <c r="TUQ4"/>
      <c r="TUR4"/>
      <c r="TUS4"/>
      <c r="TUT4"/>
      <c r="TUU4"/>
      <c r="TUV4"/>
      <c r="TUW4"/>
      <c r="TUX4"/>
      <c r="TUY4"/>
      <c r="TUZ4"/>
      <c r="TVA4"/>
      <c r="TVB4"/>
      <c r="TVC4"/>
      <c r="TVD4"/>
      <c r="TVE4"/>
      <c r="TVF4"/>
      <c r="TVG4"/>
      <c r="TVH4"/>
      <c r="TVI4"/>
      <c r="TVJ4"/>
      <c r="TVK4"/>
      <c r="TVL4"/>
      <c r="TVM4"/>
      <c r="TVN4"/>
      <c r="TVO4"/>
      <c r="TVP4"/>
      <c r="TVQ4"/>
      <c r="TVR4"/>
      <c r="TVS4"/>
      <c r="TVT4"/>
      <c r="TVU4"/>
      <c r="TVV4"/>
      <c r="TVW4"/>
      <c r="TVX4"/>
      <c r="TVY4"/>
      <c r="TVZ4"/>
      <c r="TWA4"/>
      <c r="TWB4"/>
      <c r="TWC4"/>
      <c r="TWD4"/>
      <c r="TWE4"/>
      <c r="TWF4"/>
      <c r="TWG4"/>
      <c r="TWH4"/>
      <c r="TWI4"/>
      <c r="TWJ4"/>
      <c r="TWK4"/>
      <c r="TWL4"/>
      <c r="TWM4"/>
      <c r="TWN4"/>
      <c r="TWO4"/>
      <c r="TWP4"/>
      <c r="TWQ4"/>
      <c r="TWR4"/>
      <c r="TWS4"/>
      <c r="TWT4"/>
      <c r="TWU4"/>
      <c r="TWV4"/>
      <c r="TWW4"/>
      <c r="TWX4"/>
      <c r="TWY4"/>
      <c r="TWZ4"/>
      <c r="TXA4"/>
      <c r="TXB4"/>
      <c r="TXC4"/>
      <c r="TXD4"/>
      <c r="TXE4"/>
      <c r="TXF4"/>
      <c r="TXG4"/>
      <c r="TXH4"/>
      <c r="TXI4"/>
      <c r="TXJ4"/>
      <c r="TXK4"/>
      <c r="TXL4"/>
      <c r="TXM4"/>
      <c r="TXN4"/>
      <c r="TXO4"/>
      <c r="TXP4"/>
      <c r="TXQ4"/>
      <c r="TXR4"/>
      <c r="TXS4"/>
      <c r="TXT4"/>
      <c r="TXU4"/>
      <c r="TXV4"/>
      <c r="TXW4"/>
      <c r="TXX4"/>
      <c r="TXY4"/>
      <c r="TXZ4"/>
      <c r="TYA4"/>
      <c r="TYB4"/>
      <c r="TYC4"/>
      <c r="TYD4"/>
      <c r="TYE4"/>
      <c r="TYF4"/>
      <c r="TYG4"/>
      <c r="TYH4"/>
      <c r="TYI4"/>
      <c r="TYJ4"/>
      <c r="TYK4"/>
      <c r="TYL4"/>
      <c r="TYM4"/>
      <c r="TYN4"/>
      <c r="TYO4"/>
      <c r="TYP4"/>
      <c r="TYQ4"/>
      <c r="TYR4"/>
      <c r="TYS4"/>
      <c r="TYT4"/>
      <c r="TYU4"/>
      <c r="TYV4"/>
      <c r="TYW4"/>
      <c r="TYX4"/>
      <c r="TYY4"/>
      <c r="TYZ4"/>
      <c r="TZA4"/>
      <c r="TZB4"/>
      <c r="TZC4"/>
      <c r="TZD4"/>
      <c r="TZE4"/>
      <c r="TZF4"/>
      <c r="TZG4"/>
      <c r="TZH4"/>
      <c r="TZI4"/>
      <c r="TZJ4"/>
      <c r="TZK4"/>
      <c r="TZL4"/>
      <c r="TZM4"/>
      <c r="TZN4"/>
      <c r="TZO4"/>
      <c r="TZP4"/>
      <c r="TZQ4"/>
      <c r="TZR4"/>
      <c r="TZS4"/>
      <c r="TZT4"/>
      <c r="TZU4"/>
      <c r="TZV4"/>
      <c r="TZW4"/>
      <c r="TZX4"/>
      <c r="TZY4"/>
      <c r="TZZ4"/>
      <c r="UAA4"/>
      <c r="UAB4"/>
      <c r="UAC4"/>
      <c r="UAD4"/>
      <c r="UAE4"/>
      <c r="UAF4"/>
      <c r="UAG4"/>
      <c r="UAH4"/>
      <c r="UAI4"/>
      <c r="UAJ4"/>
      <c r="UAK4"/>
      <c r="UAL4"/>
      <c r="UAM4"/>
      <c r="UAN4"/>
      <c r="UAO4"/>
      <c r="UAP4"/>
      <c r="UAQ4"/>
      <c r="UAR4"/>
      <c r="UAS4"/>
      <c r="UAT4"/>
      <c r="UAU4"/>
      <c r="UAV4"/>
      <c r="UAW4"/>
      <c r="UAX4"/>
      <c r="UAY4"/>
      <c r="UAZ4"/>
      <c r="UBA4"/>
      <c r="UBB4"/>
      <c r="UBC4"/>
      <c r="UBD4"/>
      <c r="UBE4"/>
      <c r="UBF4"/>
      <c r="UBG4"/>
      <c r="UBH4"/>
      <c r="UBI4"/>
      <c r="UBJ4"/>
      <c r="UBK4"/>
      <c r="UBL4"/>
      <c r="UBM4"/>
      <c r="UBN4"/>
      <c r="UBO4"/>
      <c r="UBP4"/>
      <c r="UBQ4"/>
      <c r="UBR4"/>
      <c r="UBS4"/>
      <c r="UBT4"/>
      <c r="UBU4"/>
      <c r="UBV4"/>
      <c r="UBW4"/>
      <c r="UBX4"/>
      <c r="UBY4"/>
      <c r="UBZ4"/>
      <c r="UCA4"/>
      <c r="UCB4"/>
      <c r="UCC4"/>
      <c r="UCD4"/>
      <c r="UCE4"/>
      <c r="UCF4"/>
      <c r="UCG4"/>
      <c r="UCH4"/>
      <c r="UCI4"/>
      <c r="UCJ4"/>
      <c r="UCK4"/>
      <c r="UCL4"/>
      <c r="UCM4"/>
      <c r="UCN4"/>
      <c r="UCO4"/>
      <c r="UCP4"/>
      <c r="UCQ4"/>
      <c r="UCR4"/>
      <c r="UCS4"/>
      <c r="UCT4"/>
      <c r="UCU4"/>
      <c r="UCV4"/>
      <c r="UCW4"/>
      <c r="UCX4"/>
      <c r="UCY4"/>
      <c r="UCZ4"/>
      <c r="UDA4"/>
      <c r="UDB4"/>
      <c r="UDC4"/>
      <c r="UDD4"/>
      <c r="UDE4"/>
      <c r="UDF4"/>
      <c r="UDG4"/>
      <c r="UDH4"/>
      <c r="UDI4"/>
      <c r="UDJ4"/>
      <c r="UDK4"/>
      <c r="UDL4"/>
      <c r="UDM4"/>
      <c r="UDN4"/>
      <c r="UDO4"/>
      <c r="UDP4"/>
      <c r="UDQ4"/>
      <c r="UDR4"/>
      <c r="UDS4"/>
      <c r="UDT4"/>
      <c r="UDU4"/>
      <c r="UDV4"/>
      <c r="UDW4"/>
      <c r="UDX4"/>
      <c r="UDY4"/>
      <c r="UDZ4"/>
      <c r="UEA4"/>
      <c r="UEB4"/>
      <c r="UEC4"/>
      <c r="UED4"/>
      <c r="UEE4"/>
      <c r="UEF4"/>
      <c r="UEG4"/>
      <c r="UEH4"/>
      <c r="UEI4"/>
      <c r="UEJ4"/>
      <c r="UEK4"/>
      <c r="UEL4"/>
      <c r="UEM4"/>
      <c r="UEN4"/>
      <c r="UEO4"/>
      <c r="UEP4"/>
      <c r="UEQ4"/>
      <c r="UER4"/>
      <c r="UES4"/>
      <c r="UET4"/>
      <c r="UEU4"/>
      <c r="UEV4"/>
      <c r="UEW4"/>
      <c r="UEX4"/>
      <c r="UEY4"/>
      <c r="UEZ4"/>
      <c r="UFA4"/>
      <c r="UFB4"/>
      <c r="UFC4"/>
      <c r="UFD4"/>
      <c r="UFE4"/>
      <c r="UFF4"/>
      <c r="UFG4"/>
      <c r="UFH4"/>
      <c r="UFI4"/>
      <c r="UFJ4"/>
      <c r="UFK4"/>
      <c r="UFL4"/>
      <c r="UFM4"/>
      <c r="UFN4"/>
      <c r="UFO4"/>
      <c r="UFP4"/>
      <c r="UFQ4"/>
      <c r="UFR4"/>
      <c r="UFS4"/>
      <c r="UFT4"/>
      <c r="UFU4"/>
      <c r="UFV4"/>
      <c r="UFW4"/>
      <c r="UFX4"/>
      <c r="UFY4"/>
      <c r="UFZ4"/>
      <c r="UGA4"/>
      <c r="UGB4"/>
      <c r="UGC4"/>
      <c r="UGD4"/>
      <c r="UGE4"/>
      <c r="UGF4"/>
      <c r="UGG4"/>
      <c r="UGH4"/>
      <c r="UGI4"/>
      <c r="UGJ4"/>
      <c r="UGK4"/>
      <c r="UGL4"/>
      <c r="UGM4"/>
      <c r="UGN4"/>
      <c r="UGO4"/>
      <c r="UGP4"/>
      <c r="UGQ4"/>
      <c r="UGR4"/>
      <c r="UGS4"/>
      <c r="UGT4"/>
      <c r="UGU4"/>
      <c r="UGV4"/>
      <c r="UGW4"/>
      <c r="UGX4"/>
      <c r="UGY4"/>
      <c r="UGZ4"/>
      <c r="UHA4"/>
      <c r="UHB4"/>
      <c r="UHC4"/>
      <c r="UHD4"/>
      <c r="UHE4"/>
      <c r="UHF4"/>
      <c r="UHG4"/>
      <c r="UHH4"/>
      <c r="UHI4"/>
      <c r="UHJ4"/>
      <c r="UHK4"/>
      <c r="UHL4"/>
      <c r="UHM4"/>
      <c r="UHN4"/>
      <c r="UHO4"/>
      <c r="UHP4"/>
      <c r="UHQ4"/>
      <c r="UHR4"/>
      <c r="UHS4"/>
      <c r="UHT4"/>
      <c r="UHU4"/>
      <c r="UHV4"/>
      <c r="UHW4"/>
      <c r="UHX4"/>
      <c r="UHY4"/>
      <c r="UHZ4"/>
      <c r="UIA4"/>
      <c r="UIB4"/>
      <c r="UIC4"/>
      <c r="UID4"/>
      <c r="UIE4"/>
      <c r="UIF4"/>
      <c r="UIG4"/>
      <c r="UIH4"/>
      <c r="UII4"/>
      <c r="UIJ4"/>
      <c r="UIK4"/>
      <c r="UIL4"/>
      <c r="UIM4"/>
      <c r="UIN4"/>
      <c r="UIO4"/>
      <c r="UIP4"/>
      <c r="UIQ4"/>
      <c r="UIR4"/>
      <c r="UIS4"/>
      <c r="UIT4"/>
      <c r="UIU4"/>
      <c r="UIV4"/>
      <c r="UIW4"/>
      <c r="UIX4"/>
      <c r="UIY4"/>
      <c r="UIZ4"/>
      <c r="UJA4"/>
      <c r="UJB4"/>
      <c r="UJC4"/>
      <c r="UJD4"/>
      <c r="UJE4"/>
      <c r="UJF4"/>
      <c r="UJG4"/>
      <c r="UJH4"/>
      <c r="UJI4"/>
      <c r="UJJ4"/>
      <c r="UJK4"/>
      <c r="UJL4"/>
      <c r="UJM4"/>
      <c r="UJN4"/>
      <c r="UJO4"/>
      <c r="UJP4"/>
      <c r="UJQ4"/>
      <c r="UJR4"/>
      <c r="UJS4"/>
      <c r="UJT4"/>
      <c r="UJU4"/>
      <c r="UJV4"/>
      <c r="UJW4"/>
      <c r="UJX4"/>
      <c r="UJY4"/>
      <c r="UJZ4"/>
      <c r="UKA4"/>
      <c r="UKB4"/>
      <c r="UKC4"/>
      <c r="UKD4"/>
      <c r="UKE4"/>
      <c r="UKF4"/>
      <c r="UKG4"/>
      <c r="UKH4"/>
      <c r="UKI4"/>
      <c r="UKJ4"/>
      <c r="UKK4"/>
      <c r="UKL4"/>
      <c r="UKM4"/>
      <c r="UKN4"/>
      <c r="UKO4"/>
      <c r="UKP4"/>
      <c r="UKQ4"/>
      <c r="UKR4"/>
      <c r="UKS4"/>
      <c r="UKT4"/>
      <c r="UKU4"/>
      <c r="UKV4"/>
      <c r="UKW4"/>
      <c r="UKX4"/>
      <c r="UKY4"/>
      <c r="UKZ4"/>
      <c r="ULA4"/>
      <c r="ULB4"/>
      <c r="ULC4"/>
      <c r="ULD4"/>
      <c r="ULE4"/>
      <c r="ULF4"/>
      <c r="ULG4"/>
      <c r="ULH4"/>
      <c r="ULI4"/>
      <c r="ULJ4"/>
      <c r="ULK4"/>
      <c r="ULL4"/>
      <c r="ULM4"/>
      <c r="ULN4"/>
      <c r="ULO4"/>
      <c r="ULP4"/>
      <c r="ULQ4"/>
      <c r="ULR4"/>
      <c r="ULS4"/>
      <c r="ULT4"/>
      <c r="ULU4"/>
      <c r="ULV4"/>
      <c r="ULW4"/>
      <c r="ULX4"/>
      <c r="ULY4"/>
      <c r="ULZ4"/>
      <c r="UMA4"/>
      <c r="UMB4"/>
      <c r="UMC4"/>
      <c r="UMD4"/>
      <c r="UME4"/>
      <c r="UMF4"/>
      <c r="UMG4"/>
      <c r="UMH4"/>
      <c r="UMI4"/>
      <c r="UMJ4"/>
      <c r="UMK4"/>
      <c r="UML4"/>
      <c r="UMM4"/>
      <c r="UMN4"/>
      <c r="UMO4"/>
      <c r="UMP4"/>
      <c r="UMQ4"/>
      <c r="UMR4"/>
      <c r="UMS4"/>
      <c r="UMT4"/>
      <c r="UMU4"/>
      <c r="UMV4"/>
      <c r="UMW4"/>
      <c r="UMX4"/>
      <c r="UMY4"/>
      <c r="UMZ4"/>
      <c r="UNA4"/>
      <c r="UNB4"/>
      <c r="UNC4"/>
      <c r="UND4"/>
      <c r="UNE4"/>
      <c r="UNF4"/>
      <c r="UNG4"/>
      <c r="UNH4"/>
      <c r="UNI4"/>
      <c r="UNJ4"/>
      <c r="UNK4"/>
      <c r="UNL4"/>
      <c r="UNM4"/>
      <c r="UNN4"/>
      <c r="UNO4"/>
      <c r="UNP4"/>
      <c r="UNQ4"/>
      <c r="UNR4"/>
      <c r="UNS4"/>
      <c r="UNT4"/>
      <c r="UNU4"/>
      <c r="UNV4"/>
      <c r="UNW4"/>
      <c r="UNX4"/>
      <c r="UNY4"/>
      <c r="UNZ4"/>
      <c r="UOA4"/>
      <c r="UOB4"/>
      <c r="UOC4"/>
      <c r="UOD4"/>
      <c r="UOE4"/>
      <c r="UOF4"/>
      <c r="UOG4"/>
      <c r="UOH4"/>
      <c r="UOI4"/>
      <c r="UOJ4"/>
      <c r="UOK4"/>
      <c r="UOL4"/>
      <c r="UOM4"/>
      <c r="UON4"/>
      <c r="UOO4"/>
      <c r="UOP4"/>
      <c r="UOQ4"/>
      <c r="UOR4"/>
      <c r="UOS4"/>
      <c r="UOT4"/>
      <c r="UOU4"/>
      <c r="UOV4"/>
      <c r="UOW4"/>
      <c r="UOX4"/>
      <c r="UOY4"/>
      <c r="UOZ4"/>
      <c r="UPA4"/>
      <c r="UPB4"/>
      <c r="UPC4"/>
      <c r="UPD4"/>
      <c r="UPE4"/>
      <c r="UPF4"/>
      <c r="UPG4"/>
      <c r="UPH4"/>
      <c r="UPI4"/>
      <c r="UPJ4"/>
      <c r="UPK4"/>
      <c r="UPL4"/>
      <c r="UPM4"/>
      <c r="UPN4"/>
      <c r="UPO4"/>
      <c r="UPP4"/>
      <c r="UPQ4"/>
      <c r="UPR4"/>
      <c r="UPS4"/>
      <c r="UPT4"/>
      <c r="UPU4"/>
      <c r="UPV4"/>
      <c r="UPW4"/>
      <c r="UPX4"/>
      <c r="UPY4"/>
      <c r="UPZ4"/>
      <c r="UQA4"/>
      <c r="UQB4"/>
      <c r="UQC4"/>
      <c r="UQD4"/>
      <c r="UQE4"/>
      <c r="UQF4"/>
      <c r="UQG4"/>
      <c r="UQH4"/>
      <c r="UQI4"/>
      <c r="UQJ4"/>
      <c r="UQK4"/>
      <c r="UQL4"/>
      <c r="UQM4"/>
      <c r="UQN4"/>
      <c r="UQO4"/>
      <c r="UQP4"/>
      <c r="UQQ4"/>
      <c r="UQR4"/>
      <c r="UQS4"/>
      <c r="UQT4"/>
      <c r="UQU4"/>
      <c r="UQV4"/>
      <c r="UQW4"/>
      <c r="UQX4"/>
      <c r="UQY4"/>
      <c r="UQZ4"/>
      <c r="URA4"/>
      <c r="URB4"/>
      <c r="URC4"/>
      <c r="URD4"/>
      <c r="URE4"/>
      <c r="URF4"/>
      <c r="URG4"/>
      <c r="URH4"/>
      <c r="URI4"/>
      <c r="URJ4"/>
      <c r="URK4"/>
      <c r="URL4"/>
      <c r="URM4"/>
      <c r="URN4"/>
      <c r="URO4"/>
      <c r="URP4"/>
      <c r="URQ4"/>
      <c r="URR4"/>
      <c r="URS4"/>
      <c r="URT4"/>
      <c r="URU4"/>
      <c r="URV4"/>
      <c r="URW4"/>
      <c r="URX4"/>
      <c r="URY4"/>
      <c r="URZ4"/>
      <c r="USA4"/>
      <c r="USB4"/>
      <c r="USC4"/>
      <c r="USD4"/>
      <c r="USE4"/>
      <c r="USF4"/>
      <c r="USG4"/>
      <c r="USH4"/>
      <c r="USI4"/>
      <c r="USJ4"/>
      <c r="USK4"/>
      <c r="USL4"/>
      <c r="USM4"/>
      <c r="USN4"/>
      <c r="USO4"/>
      <c r="USP4"/>
      <c r="USQ4"/>
      <c r="USR4"/>
      <c r="USS4"/>
      <c r="UST4"/>
      <c r="USU4"/>
      <c r="USV4"/>
      <c r="USW4"/>
      <c r="USX4"/>
      <c r="USY4"/>
      <c r="USZ4"/>
      <c r="UTA4"/>
      <c r="UTB4"/>
      <c r="UTC4"/>
      <c r="UTD4"/>
      <c r="UTE4"/>
      <c r="UTF4"/>
      <c r="UTG4"/>
      <c r="UTH4"/>
      <c r="UTI4"/>
      <c r="UTJ4"/>
      <c r="UTK4"/>
      <c r="UTL4"/>
      <c r="UTM4"/>
      <c r="UTN4"/>
      <c r="UTO4"/>
      <c r="UTP4"/>
      <c r="UTQ4"/>
      <c r="UTR4"/>
      <c r="UTS4"/>
      <c r="UTT4"/>
      <c r="UTU4"/>
      <c r="UTV4"/>
      <c r="UTW4"/>
      <c r="UTX4"/>
      <c r="UTY4"/>
      <c r="UTZ4"/>
      <c r="UUA4"/>
      <c r="UUB4"/>
      <c r="UUC4"/>
      <c r="UUD4"/>
      <c r="UUE4"/>
      <c r="UUF4"/>
      <c r="UUG4"/>
      <c r="UUH4"/>
      <c r="UUI4"/>
      <c r="UUJ4"/>
      <c r="UUK4"/>
      <c r="UUL4"/>
      <c r="UUM4"/>
      <c r="UUN4"/>
      <c r="UUO4"/>
      <c r="UUP4"/>
      <c r="UUQ4"/>
      <c r="UUR4"/>
      <c r="UUS4"/>
      <c r="UUT4"/>
      <c r="UUU4"/>
      <c r="UUV4"/>
      <c r="UUW4"/>
      <c r="UUX4"/>
      <c r="UUY4"/>
      <c r="UUZ4"/>
      <c r="UVA4"/>
      <c r="UVB4"/>
      <c r="UVC4"/>
      <c r="UVD4"/>
      <c r="UVE4"/>
      <c r="UVF4"/>
      <c r="UVG4"/>
      <c r="UVH4"/>
      <c r="UVI4"/>
      <c r="UVJ4"/>
      <c r="UVK4"/>
      <c r="UVL4"/>
      <c r="UVM4"/>
      <c r="UVN4"/>
      <c r="UVO4"/>
      <c r="UVP4"/>
      <c r="UVQ4"/>
      <c r="UVR4"/>
      <c r="UVS4"/>
      <c r="UVT4"/>
      <c r="UVU4"/>
      <c r="UVV4"/>
      <c r="UVW4"/>
      <c r="UVX4"/>
      <c r="UVY4"/>
      <c r="UVZ4"/>
      <c r="UWA4"/>
      <c r="UWB4"/>
      <c r="UWC4"/>
      <c r="UWD4"/>
      <c r="UWE4"/>
      <c r="UWF4"/>
      <c r="UWG4"/>
      <c r="UWH4"/>
      <c r="UWI4"/>
      <c r="UWJ4"/>
      <c r="UWK4"/>
      <c r="UWL4"/>
      <c r="UWM4"/>
      <c r="UWN4"/>
      <c r="UWO4"/>
      <c r="UWP4"/>
      <c r="UWQ4"/>
      <c r="UWR4"/>
      <c r="UWS4"/>
      <c r="UWT4"/>
      <c r="UWU4"/>
      <c r="UWV4"/>
      <c r="UWW4"/>
      <c r="UWX4"/>
      <c r="UWY4"/>
      <c r="UWZ4"/>
      <c r="UXA4"/>
      <c r="UXB4"/>
      <c r="UXC4"/>
      <c r="UXD4"/>
      <c r="UXE4"/>
      <c r="UXF4"/>
      <c r="UXG4"/>
      <c r="UXH4"/>
      <c r="UXI4"/>
      <c r="UXJ4"/>
      <c r="UXK4"/>
      <c r="UXL4"/>
      <c r="UXM4"/>
      <c r="UXN4"/>
      <c r="UXO4"/>
      <c r="UXP4"/>
      <c r="UXQ4"/>
      <c r="UXR4"/>
      <c r="UXS4"/>
      <c r="UXT4"/>
      <c r="UXU4"/>
      <c r="UXV4"/>
      <c r="UXW4"/>
      <c r="UXX4"/>
      <c r="UXY4"/>
      <c r="UXZ4"/>
      <c r="UYA4"/>
      <c r="UYB4"/>
      <c r="UYC4"/>
      <c r="UYD4"/>
      <c r="UYE4"/>
      <c r="UYF4"/>
      <c r="UYG4"/>
      <c r="UYH4"/>
      <c r="UYI4"/>
      <c r="UYJ4"/>
      <c r="UYK4"/>
      <c r="UYL4"/>
      <c r="UYM4"/>
      <c r="UYN4"/>
      <c r="UYO4"/>
      <c r="UYP4"/>
      <c r="UYQ4"/>
      <c r="UYR4"/>
      <c r="UYS4"/>
      <c r="UYT4"/>
      <c r="UYU4"/>
      <c r="UYV4"/>
      <c r="UYW4"/>
      <c r="UYX4"/>
      <c r="UYY4"/>
      <c r="UYZ4"/>
      <c r="UZA4"/>
      <c r="UZB4"/>
      <c r="UZC4"/>
      <c r="UZD4"/>
      <c r="UZE4"/>
      <c r="UZF4"/>
      <c r="UZG4"/>
      <c r="UZH4"/>
      <c r="UZI4"/>
      <c r="UZJ4"/>
      <c r="UZK4"/>
      <c r="UZL4"/>
      <c r="UZM4"/>
      <c r="UZN4"/>
      <c r="UZO4"/>
      <c r="UZP4"/>
      <c r="UZQ4"/>
      <c r="UZR4"/>
      <c r="UZS4"/>
      <c r="UZT4"/>
      <c r="UZU4"/>
      <c r="UZV4"/>
      <c r="UZW4"/>
      <c r="UZX4"/>
      <c r="UZY4"/>
      <c r="UZZ4"/>
      <c r="VAA4"/>
      <c r="VAB4"/>
      <c r="VAC4"/>
      <c r="VAD4"/>
      <c r="VAE4"/>
      <c r="VAF4"/>
      <c r="VAG4"/>
      <c r="VAH4"/>
      <c r="VAI4"/>
      <c r="VAJ4"/>
      <c r="VAK4"/>
      <c r="VAL4"/>
      <c r="VAM4"/>
      <c r="VAN4"/>
      <c r="VAO4"/>
      <c r="VAP4"/>
      <c r="VAQ4"/>
      <c r="VAR4"/>
      <c r="VAS4"/>
      <c r="VAT4"/>
      <c r="VAU4"/>
      <c r="VAV4"/>
      <c r="VAW4"/>
      <c r="VAX4"/>
      <c r="VAY4"/>
      <c r="VAZ4"/>
      <c r="VBA4"/>
      <c r="VBB4"/>
      <c r="VBC4"/>
      <c r="VBD4"/>
      <c r="VBE4"/>
      <c r="VBF4"/>
      <c r="VBG4"/>
      <c r="VBH4"/>
      <c r="VBI4"/>
      <c r="VBJ4"/>
      <c r="VBK4"/>
      <c r="VBL4"/>
      <c r="VBM4"/>
      <c r="VBN4"/>
      <c r="VBO4"/>
      <c r="VBP4"/>
      <c r="VBQ4"/>
      <c r="VBR4"/>
      <c r="VBS4"/>
      <c r="VBT4"/>
      <c r="VBU4"/>
      <c r="VBV4"/>
      <c r="VBW4"/>
      <c r="VBX4"/>
      <c r="VBY4"/>
      <c r="VBZ4"/>
      <c r="VCA4"/>
      <c r="VCB4"/>
      <c r="VCC4"/>
      <c r="VCD4"/>
      <c r="VCE4"/>
      <c r="VCF4"/>
      <c r="VCG4"/>
      <c r="VCH4"/>
      <c r="VCI4"/>
      <c r="VCJ4"/>
      <c r="VCK4"/>
      <c r="VCL4"/>
      <c r="VCM4"/>
      <c r="VCN4"/>
      <c r="VCO4"/>
      <c r="VCP4"/>
      <c r="VCQ4"/>
      <c r="VCR4"/>
      <c r="VCS4"/>
      <c r="VCT4"/>
      <c r="VCU4"/>
      <c r="VCV4"/>
      <c r="VCW4"/>
      <c r="VCX4"/>
      <c r="VCY4"/>
      <c r="VCZ4"/>
      <c r="VDA4"/>
      <c r="VDB4"/>
      <c r="VDC4"/>
      <c r="VDD4"/>
      <c r="VDE4"/>
      <c r="VDF4"/>
      <c r="VDG4"/>
      <c r="VDH4"/>
      <c r="VDI4"/>
      <c r="VDJ4"/>
      <c r="VDK4"/>
      <c r="VDL4"/>
      <c r="VDM4"/>
      <c r="VDN4"/>
      <c r="VDO4"/>
      <c r="VDP4"/>
      <c r="VDQ4"/>
      <c r="VDR4"/>
      <c r="VDS4"/>
      <c r="VDT4"/>
      <c r="VDU4"/>
      <c r="VDV4"/>
      <c r="VDW4"/>
      <c r="VDX4"/>
      <c r="VDY4"/>
      <c r="VDZ4"/>
      <c r="VEA4"/>
      <c r="VEB4"/>
      <c r="VEC4"/>
      <c r="VED4"/>
      <c r="VEE4"/>
      <c r="VEF4"/>
      <c r="VEG4"/>
      <c r="VEH4"/>
      <c r="VEI4"/>
      <c r="VEJ4"/>
      <c r="VEK4"/>
      <c r="VEL4"/>
      <c r="VEM4"/>
      <c r="VEN4"/>
      <c r="VEO4"/>
      <c r="VEP4"/>
      <c r="VEQ4"/>
      <c r="VER4"/>
      <c r="VES4"/>
      <c r="VET4"/>
      <c r="VEU4"/>
      <c r="VEV4"/>
      <c r="VEW4"/>
      <c r="VEX4"/>
      <c r="VEY4"/>
      <c r="VEZ4"/>
      <c r="VFA4"/>
      <c r="VFB4"/>
      <c r="VFC4"/>
      <c r="VFD4"/>
      <c r="VFE4"/>
      <c r="VFF4"/>
      <c r="VFG4"/>
      <c r="VFH4"/>
      <c r="VFI4"/>
      <c r="VFJ4"/>
      <c r="VFK4"/>
      <c r="VFL4"/>
      <c r="VFM4"/>
      <c r="VFN4"/>
      <c r="VFO4"/>
      <c r="VFP4"/>
      <c r="VFQ4"/>
      <c r="VFR4"/>
      <c r="VFS4"/>
      <c r="VFT4"/>
      <c r="VFU4"/>
      <c r="VFV4"/>
      <c r="VFW4"/>
      <c r="VFX4"/>
      <c r="VFY4"/>
      <c r="VFZ4"/>
      <c r="VGA4"/>
      <c r="VGB4"/>
      <c r="VGC4"/>
      <c r="VGD4"/>
      <c r="VGE4"/>
      <c r="VGF4"/>
      <c r="VGG4"/>
      <c r="VGH4"/>
      <c r="VGI4"/>
      <c r="VGJ4"/>
      <c r="VGK4"/>
      <c r="VGL4"/>
      <c r="VGM4"/>
      <c r="VGN4"/>
      <c r="VGO4"/>
      <c r="VGP4"/>
      <c r="VGQ4"/>
      <c r="VGR4"/>
      <c r="VGS4"/>
      <c r="VGT4"/>
      <c r="VGU4"/>
      <c r="VGV4"/>
      <c r="VGW4"/>
      <c r="VGX4"/>
      <c r="VGY4"/>
      <c r="VGZ4"/>
      <c r="VHA4"/>
      <c r="VHB4"/>
      <c r="VHC4"/>
      <c r="VHD4"/>
      <c r="VHE4"/>
      <c r="VHF4"/>
      <c r="VHG4"/>
      <c r="VHH4"/>
      <c r="VHI4"/>
      <c r="VHJ4"/>
      <c r="VHK4"/>
      <c r="VHL4"/>
      <c r="VHM4"/>
      <c r="VHN4"/>
      <c r="VHO4"/>
      <c r="VHP4"/>
      <c r="VHQ4"/>
      <c r="VHR4"/>
      <c r="VHS4"/>
      <c r="VHT4"/>
      <c r="VHU4"/>
      <c r="VHV4"/>
      <c r="VHW4"/>
      <c r="VHX4"/>
      <c r="VHY4"/>
      <c r="VHZ4"/>
      <c r="VIA4"/>
      <c r="VIB4"/>
      <c r="VIC4"/>
      <c r="VID4"/>
      <c r="VIE4"/>
      <c r="VIF4"/>
      <c r="VIG4"/>
      <c r="VIH4"/>
      <c r="VII4"/>
      <c r="VIJ4"/>
      <c r="VIK4"/>
      <c r="VIL4"/>
      <c r="VIM4"/>
      <c r="VIN4"/>
      <c r="VIO4"/>
      <c r="VIP4"/>
      <c r="VIQ4"/>
      <c r="VIR4"/>
      <c r="VIS4"/>
      <c r="VIT4"/>
      <c r="VIU4"/>
      <c r="VIV4"/>
      <c r="VIW4"/>
      <c r="VIX4"/>
      <c r="VIY4"/>
      <c r="VIZ4"/>
      <c r="VJA4"/>
      <c r="VJB4"/>
      <c r="VJC4"/>
      <c r="VJD4"/>
      <c r="VJE4"/>
      <c r="VJF4"/>
      <c r="VJG4"/>
      <c r="VJH4"/>
      <c r="VJI4"/>
      <c r="VJJ4"/>
      <c r="VJK4"/>
      <c r="VJL4"/>
      <c r="VJM4"/>
      <c r="VJN4"/>
      <c r="VJO4"/>
      <c r="VJP4"/>
      <c r="VJQ4"/>
      <c r="VJR4"/>
      <c r="VJS4"/>
      <c r="VJT4"/>
      <c r="VJU4"/>
      <c r="VJV4"/>
      <c r="VJW4"/>
      <c r="VJX4"/>
      <c r="VJY4"/>
      <c r="VJZ4"/>
      <c r="VKA4"/>
      <c r="VKB4"/>
      <c r="VKC4"/>
      <c r="VKD4"/>
      <c r="VKE4"/>
      <c r="VKF4"/>
      <c r="VKG4"/>
      <c r="VKH4"/>
      <c r="VKI4"/>
      <c r="VKJ4"/>
      <c r="VKK4"/>
      <c r="VKL4"/>
      <c r="VKM4"/>
      <c r="VKN4"/>
      <c r="VKO4"/>
      <c r="VKP4"/>
      <c r="VKQ4"/>
      <c r="VKR4"/>
      <c r="VKS4"/>
      <c r="VKT4"/>
      <c r="VKU4"/>
      <c r="VKV4"/>
      <c r="VKW4"/>
      <c r="VKX4"/>
      <c r="VKY4"/>
      <c r="VKZ4"/>
      <c r="VLA4"/>
      <c r="VLB4"/>
      <c r="VLC4"/>
      <c r="VLD4"/>
      <c r="VLE4"/>
      <c r="VLF4"/>
      <c r="VLG4"/>
      <c r="VLH4"/>
      <c r="VLI4"/>
      <c r="VLJ4"/>
      <c r="VLK4"/>
      <c r="VLL4"/>
      <c r="VLM4"/>
      <c r="VLN4"/>
      <c r="VLO4"/>
      <c r="VLP4"/>
      <c r="VLQ4"/>
      <c r="VLR4"/>
      <c r="VLS4"/>
      <c r="VLT4"/>
      <c r="VLU4"/>
      <c r="VLV4"/>
      <c r="VLW4"/>
      <c r="VLX4"/>
      <c r="VLY4"/>
      <c r="VLZ4"/>
      <c r="VMA4"/>
      <c r="VMB4"/>
      <c r="VMC4"/>
      <c r="VMD4"/>
      <c r="VME4"/>
      <c r="VMF4"/>
      <c r="VMG4"/>
      <c r="VMH4"/>
      <c r="VMI4"/>
      <c r="VMJ4"/>
      <c r="VMK4"/>
      <c r="VML4"/>
      <c r="VMM4"/>
      <c r="VMN4"/>
      <c r="VMO4"/>
      <c r="VMP4"/>
      <c r="VMQ4"/>
      <c r="VMR4"/>
      <c r="VMS4"/>
      <c r="VMT4"/>
      <c r="VMU4"/>
      <c r="VMV4"/>
      <c r="VMW4"/>
      <c r="VMX4"/>
      <c r="VMY4"/>
      <c r="VMZ4"/>
      <c r="VNA4"/>
      <c r="VNB4"/>
      <c r="VNC4"/>
      <c r="VND4"/>
      <c r="VNE4"/>
      <c r="VNF4"/>
      <c r="VNG4"/>
      <c r="VNH4"/>
      <c r="VNI4"/>
      <c r="VNJ4"/>
      <c r="VNK4"/>
      <c r="VNL4"/>
      <c r="VNM4"/>
      <c r="VNN4"/>
      <c r="VNO4"/>
      <c r="VNP4"/>
      <c r="VNQ4"/>
      <c r="VNR4"/>
      <c r="VNS4"/>
      <c r="VNT4"/>
      <c r="VNU4"/>
      <c r="VNV4"/>
      <c r="VNW4"/>
      <c r="VNX4"/>
      <c r="VNY4"/>
      <c r="VNZ4"/>
      <c r="VOA4"/>
      <c r="VOB4"/>
      <c r="VOC4"/>
      <c r="VOD4"/>
      <c r="VOE4"/>
      <c r="VOF4"/>
      <c r="VOG4"/>
      <c r="VOH4"/>
      <c r="VOI4"/>
      <c r="VOJ4"/>
      <c r="VOK4"/>
      <c r="VOL4"/>
      <c r="VOM4"/>
      <c r="VON4"/>
      <c r="VOO4"/>
      <c r="VOP4"/>
      <c r="VOQ4"/>
      <c r="VOR4"/>
      <c r="VOS4"/>
      <c r="VOT4"/>
      <c r="VOU4"/>
      <c r="VOV4"/>
      <c r="VOW4"/>
      <c r="VOX4"/>
      <c r="VOY4"/>
      <c r="VOZ4"/>
      <c r="VPA4"/>
      <c r="VPB4"/>
      <c r="VPC4"/>
      <c r="VPD4"/>
      <c r="VPE4"/>
      <c r="VPF4"/>
      <c r="VPG4"/>
      <c r="VPH4"/>
      <c r="VPI4"/>
      <c r="VPJ4"/>
      <c r="VPK4"/>
      <c r="VPL4"/>
      <c r="VPM4"/>
      <c r="VPN4"/>
      <c r="VPO4"/>
      <c r="VPP4"/>
      <c r="VPQ4"/>
      <c r="VPR4"/>
      <c r="VPS4"/>
      <c r="VPT4"/>
      <c r="VPU4"/>
      <c r="VPV4"/>
      <c r="VPW4"/>
      <c r="VPX4"/>
      <c r="VPY4"/>
      <c r="VPZ4"/>
      <c r="VQA4"/>
      <c r="VQB4"/>
      <c r="VQC4"/>
      <c r="VQD4"/>
      <c r="VQE4"/>
      <c r="VQF4"/>
      <c r="VQG4"/>
      <c r="VQH4"/>
      <c r="VQI4"/>
      <c r="VQJ4"/>
      <c r="VQK4"/>
      <c r="VQL4"/>
      <c r="VQM4"/>
      <c r="VQN4"/>
      <c r="VQO4"/>
      <c r="VQP4"/>
      <c r="VQQ4"/>
      <c r="VQR4"/>
      <c r="VQS4"/>
      <c r="VQT4"/>
      <c r="VQU4"/>
      <c r="VQV4"/>
      <c r="VQW4"/>
      <c r="VQX4"/>
      <c r="VQY4"/>
      <c r="VQZ4"/>
      <c r="VRA4"/>
      <c r="VRB4"/>
      <c r="VRC4"/>
      <c r="VRD4"/>
      <c r="VRE4"/>
      <c r="VRF4"/>
      <c r="VRG4"/>
      <c r="VRH4"/>
      <c r="VRI4"/>
      <c r="VRJ4"/>
      <c r="VRK4"/>
      <c r="VRL4"/>
      <c r="VRM4"/>
      <c r="VRN4"/>
      <c r="VRO4"/>
      <c r="VRP4"/>
      <c r="VRQ4"/>
      <c r="VRR4"/>
      <c r="VRS4"/>
      <c r="VRT4"/>
      <c r="VRU4"/>
      <c r="VRV4"/>
      <c r="VRW4"/>
      <c r="VRX4"/>
      <c r="VRY4"/>
      <c r="VRZ4"/>
      <c r="VSA4"/>
      <c r="VSB4"/>
      <c r="VSC4"/>
      <c r="VSD4"/>
      <c r="VSE4"/>
      <c r="VSF4"/>
      <c r="VSG4"/>
      <c r="VSH4"/>
      <c r="VSI4"/>
      <c r="VSJ4"/>
      <c r="VSK4"/>
      <c r="VSL4"/>
      <c r="VSM4"/>
      <c r="VSN4"/>
      <c r="VSO4"/>
      <c r="VSP4"/>
      <c r="VSQ4"/>
      <c r="VSR4"/>
      <c r="VSS4"/>
      <c r="VST4"/>
      <c r="VSU4"/>
      <c r="VSV4"/>
      <c r="VSW4"/>
      <c r="VSX4"/>
      <c r="VSY4"/>
      <c r="VSZ4"/>
      <c r="VTA4"/>
      <c r="VTB4"/>
      <c r="VTC4"/>
      <c r="VTD4"/>
      <c r="VTE4"/>
      <c r="VTF4"/>
      <c r="VTG4"/>
      <c r="VTH4"/>
      <c r="VTI4"/>
      <c r="VTJ4"/>
      <c r="VTK4"/>
      <c r="VTL4"/>
      <c r="VTM4"/>
      <c r="VTN4"/>
      <c r="VTO4"/>
      <c r="VTP4"/>
      <c r="VTQ4"/>
      <c r="VTR4"/>
      <c r="VTS4"/>
      <c r="VTT4"/>
      <c r="VTU4"/>
      <c r="VTV4"/>
      <c r="VTW4"/>
      <c r="VTX4"/>
      <c r="VTY4"/>
      <c r="VTZ4"/>
      <c r="VUA4"/>
      <c r="VUB4"/>
      <c r="VUC4"/>
      <c r="VUD4"/>
      <c r="VUE4"/>
      <c r="VUF4"/>
      <c r="VUG4"/>
      <c r="VUH4"/>
      <c r="VUI4"/>
      <c r="VUJ4"/>
      <c r="VUK4"/>
      <c r="VUL4"/>
      <c r="VUM4"/>
      <c r="VUN4"/>
      <c r="VUO4"/>
      <c r="VUP4"/>
      <c r="VUQ4"/>
      <c r="VUR4"/>
      <c r="VUS4"/>
      <c r="VUT4"/>
      <c r="VUU4"/>
      <c r="VUV4"/>
      <c r="VUW4"/>
      <c r="VUX4"/>
      <c r="VUY4"/>
      <c r="VUZ4"/>
      <c r="VVA4"/>
      <c r="VVB4"/>
      <c r="VVC4"/>
      <c r="VVD4"/>
      <c r="VVE4"/>
      <c r="VVF4"/>
      <c r="VVG4"/>
      <c r="VVH4"/>
      <c r="VVI4"/>
      <c r="VVJ4"/>
      <c r="VVK4"/>
      <c r="VVL4"/>
      <c r="VVM4"/>
      <c r="VVN4"/>
      <c r="VVO4"/>
      <c r="VVP4"/>
      <c r="VVQ4"/>
      <c r="VVR4"/>
      <c r="VVS4"/>
      <c r="VVT4"/>
      <c r="VVU4"/>
      <c r="VVV4"/>
      <c r="VVW4"/>
      <c r="VVX4"/>
      <c r="VVY4"/>
      <c r="VVZ4"/>
      <c r="VWA4"/>
      <c r="VWB4"/>
      <c r="VWC4"/>
      <c r="VWD4"/>
      <c r="VWE4"/>
      <c r="VWF4"/>
      <c r="VWG4"/>
      <c r="VWH4"/>
      <c r="VWI4"/>
      <c r="VWJ4"/>
      <c r="VWK4"/>
      <c r="VWL4"/>
      <c r="VWM4"/>
      <c r="VWN4"/>
      <c r="VWO4"/>
      <c r="VWP4"/>
      <c r="VWQ4"/>
      <c r="VWR4"/>
      <c r="VWS4"/>
      <c r="VWT4"/>
      <c r="VWU4"/>
      <c r="VWV4"/>
      <c r="VWW4"/>
      <c r="VWX4"/>
      <c r="VWY4"/>
      <c r="VWZ4"/>
      <c r="VXA4"/>
      <c r="VXB4"/>
      <c r="VXC4"/>
      <c r="VXD4"/>
      <c r="VXE4"/>
      <c r="VXF4"/>
      <c r="VXG4"/>
      <c r="VXH4"/>
      <c r="VXI4"/>
      <c r="VXJ4"/>
      <c r="VXK4"/>
      <c r="VXL4"/>
      <c r="VXM4"/>
      <c r="VXN4"/>
      <c r="VXO4"/>
      <c r="VXP4"/>
      <c r="VXQ4"/>
      <c r="VXR4"/>
      <c r="VXS4"/>
      <c r="VXT4"/>
      <c r="VXU4"/>
      <c r="VXV4"/>
      <c r="VXW4"/>
      <c r="VXX4"/>
      <c r="VXY4"/>
      <c r="VXZ4"/>
      <c r="VYA4"/>
      <c r="VYB4"/>
      <c r="VYC4"/>
      <c r="VYD4"/>
      <c r="VYE4"/>
      <c r="VYF4"/>
      <c r="VYG4"/>
      <c r="VYH4"/>
      <c r="VYI4"/>
      <c r="VYJ4"/>
      <c r="VYK4"/>
      <c r="VYL4"/>
      <c r="VYM4"/>
      <c r="VYN4"/>
      <c r="VYO4"/>
      <c r="VYP4"/>
      <c r="VYQ4"/>
      <c r="VYR4"/>
      <c r="VYS4"/>
      <c r="VYT4"/>
      <c r="VYU4"/>
      <c r="VYV4"/>
      <c r="VYW4"/>
      <c r="VYX4"/>
      <c r="VYY4"/>
      <c r="VYZ4"/>
      <c r="VZA4"/>
      <c r="VZB4"/>
      <c r="VZC4"/>
      <c r="VZD4"/>
      <c r="VZE4"/>
      <c r="VZF4"/>
      <c r="VZG4"/>
      <c r="VZH4"/>
      <c r="VZI4"/>
      <c r="VZJ4"/>
      <c r="VZK4"/>
      <c r="VZL4"/>
      <c r="VZM4"/>
      <c r="VZN4"/>
      <c r="VZO4"/>
      <c r="VZP4"/>
      <c r="VZQ4"/>
      <c r="VZR4"/>
      <c r="VZS4"/>
      <c r="VZT4"/>
      <c r="VZU4"/>
      <c r="VZV4"/>
      <c r="VZW4"/>
      <c r="VZX4"/>
      <c r="VZY4"/>
      <c r="VZZ4"/>
      <c r="WAA4"/>
      <c r="WAB4"/>
      <c r="WAC4"/>
      <c r="WAD4"/>
      <c r="WAE4"/>
      <c r="WAF4"/>
      <c r="WAG4"/>
      <c r="WAH4"/>
      <c r="WAI4"/>
      <c r="WAJ4"/>
      <c r="WAK4"/>
      <c r="WAL4"/>
      <c r="WAM4"/>
      <c r="WAN4"/>
      <c r="WAO4"/>
      <c r="WAP4"/>
      <c r="WAQ4"/>
      <c r="WAR4"/>
      <c r="WAS4"/>
      <c r="WAT4"/>
      <c r="WAU4"/>
      <c r="WAV4"/>
      <c r="WAW4"/>
      <c r="WAX4"/>
      <c r="WAY4"/>
      <c r="WAZ4"/>
      <c r="WBA4"/>
      <c r="WBB4"/>
      <c r="WBC4"/>
      <c r="WBD4"/>
      <c r="WBE4"/>
      <c r="WBF4"/>
      <c r="WBG4"/>
      <c r="WBH4"/>
      <c r="WBI4"/>
      <c r="WBJ4"/>
      <c r="WBK4"/>
      <c r="WBL4"/>
      <c r="WBM4"/>
      <c r="WBN4"/>
      <c r="WBO4"/>
      <c r="WBP4"/>
      <c r="WBQ4"/>
      <c r="WBR4"/>
      <c r="WBS4"/>
      <c r="WBT4"/>
      <c r="WBU4"/>
      <c r="WBV4"/>
      <c r="WBW4"/>
      <c r="WBX4"/>
      <c r="WBY4"/>
      <c r="WBZ4"/>
      <c r="WCA4"/>
      <c r="WCB4"/>
      <c r="WCC4"/>
      <c r="WCD4"/>
      <c r="WCE4"/>
      <c r="WCF4"/>
      <c r="WCG4"/>
      <c r="WCH4"/>
      <c r="WCI4"/>
      <c r="WCJ4"/>
      <c r="WCK4"/>
      <c r="WCL4"/>
      <c r="WCM4"/>
      <c r="WCN4"/>
      <c r="WCO4"/>
      <c r="WCP4"/>
      <c r="WCQ4"/>
      <c r="WCR4"/>
      <c r="WCS4"/>
      <c r="WCT4"/>
      <c r="WCU4"/>
      <c r="WCV4"/>
      <c r="WCW4"/>
      <c r="WCX4"/>
      <c r="WCY4"/>
      <c r="WCZ4"/>
      <c r="WDA4"/>
      <c r="WDB4"/>
      <c r="WDC4"/>
      <c r="WDD4"/>
      <c r="WDE4"/>
      <c r="WDF4"/>
      <c r="WDG4"/>
      <c r="WDH4"/>
      <c r="WDI4"/>
      <c r="WDJ4"/>
      <c r="WDK4"/>
      <c r="WDL4"/>
      <c r="WDM4"/>
      <c r="WDN4"/>
      <c r="WDO4"/>
      <c r="WDP4"/>
      <c r="WDQ4"/>
      <c r="WDR4"/>
      <c r="WDS4"/>
      <c r="WDT4"/>
      <c r="WDU4"/>
      <c r="WDV4"/>
      <c r="WDW4"/>
      <c r="WDX4"/>
      <c r="WDY4"/>
      <c r="WDZ4"/>
      <c r="WEA4"/>
      <c r="WEB4"/>
      <c r="WEC4"/>
      <c r="WED4"/>
      <c r="WEE4"/>
      <c r="WEF4"/>
      <c r="WEG4"/>
      <c r="WEH4"/>
      <c r="WEI4"/>
      <c r="WEJ4"/>
      <c r="WEK4"/>
      <c r="WEL4"/>
      <c r="WEM4"/>
      <c r="WEN4"/>
      <c r="WEO4"/>
      <c r="WEP4"/>
      <c r="WEQ4"/>
      <c r="WER4"/>
      <c r="WES4"/>
      <c r="WET4"/>
      <c r="WEU4"/>
      <c r="WEV4"/>
      <c r="WEW4"/>
      <c r="WEX4"/>
      <c r="WEY4"/>
      <c r="WEZ4"/>
      <c r="WFA4"/>
      <c r="WFB4"/>
      <c r="WFC4"/>
      <c r="WFD4"/>
      <c r="WFE4"/>
      <c r="WFF4"/>
      <c r="WFG4"/>
      <c r="WFH4"/>
      <c r="WFI4"/>
      <c r="WFJ4"/>
      <c r="WFK4"/>
      <c r="WFL4"/>
      <c r="WFM4"/>
      <c r="WFN4"/>
      <c r="WFO4"/>
      <c r="WFP4"/>
      <c r="WFQ4"/>
      <c r="WFR4"/>
      <c r="WFS4"/>
      <c r="WFT4"/>
      <c r="WFU4"/>
      <c r="WFV4"/>
      <c r="WFW4"/>
      <c r="WFX4"/>
      <c r="WFY4"/>
      <c r="WFZ4"/>
      <c r="WGA4"/>
      <c r="WGB4"/>
      <c r="WGC4"/>
      <c r="WGD4"/>
      <c r="WGE4"/>
      <c r="WGF4"/>
      <c r="WGG4"/>
      <c r="WGH4"/>
      <c r="WGI4"/>
      <c r="WGJ4"/>
      <c r="WGK4"/>
      <c r="WGL4"/>
      <c r="WGM4"/>
      <c r="WGN4"/>
      <c r="WGO4"/>
      <c r="WGP4"/>
      <c r="WGQ4"/>
      <c r="WGR4"/>
      <c r="WGS4"/>
      <c r="WGT4"/>
      <c r="WGU4"/>
      <c r="WGV4"/>
      <c r="WGW4"/>
      <c r="WGX4"/>
      <c r="WGY4"/>
      <c r="WGZ4"/>
      <c r="WHA4"/>
      <c r="WHB4"/>
      <c r="WHC4"/>
      <c r="WHD4"/>
      <c r="WHE4"/>
      <c r="WHF4"/>
      <c r="WHG4"/>
      <c r="WHH4"/>
      <c r="WHI4"/>
      <c r="WHJ4"/>
      <c r="WHK4"/>
      <c r="WHL4"/>
      <c r="WHM4"/>
      <c r="WHN4"/>
      <c r="WHO4"/>
      <c r="WHP4"/>
      <c r="WHQ4"/>
      <c r="WHR4"/>
      <c r="WHS4"/>
      <c r="WHT4"/>
      <c r="WHU4"/>
      <c r="WHV4"/>
      <c r="WHW4"/>
      <c r="WHX4"/>
      <c r="WHY4"/>
      <c r="WHZ4"/>
      <c r="WIA4"/>
      <c r="WIB4"/>
      <c r="WIC4"/>
      <c r="WID4"/>
      <c r="WIE4"/>
      <c r="WIF4"/>
      <c r="WIG4"/>
      <c r="WIH4"/>
      <c r="WII4"/>
      <c r="WIJ4"/>
      <c r="WIK4"/>
      <c r="WIL4"/>
      <c r="WIM4"/>
      <c r="WIN4"/>
      <c r="WIO4"/>
      <c r="WIP4"/>
      <c r="WIQ4"/>
      <c r="WIR4"/>
      <c r="WIS4"/>
      <c r="WIT4"/>
      <c r="WIU4"/>
      <c r="WIV4"/>
      <c r="WIW4"/>
      <c r="WIX4"/>
      <c r="WIY4"/>
      <c r="WIZ4"/>
      <c r="WJA4"/>
      <c r="WJB4"/>
      <c r="WJC4"/>
      <c r="WJD4"/>
      <c r="WJE4"/>
      <c r="WJF4"/>
      <c r="WJG4"/>
      <c r="WJH4"/>
      <c r="WJI4"/>
      <c r="WJJ4"/>
      <c r="WJK4"/>
      <c r="WJL4"/>
      <c r="WJM4"/>
      <c r="WJN4"/>
      <c r="WJO4"/>
      <c r="WJP4"/>
      <c r="WJQ4"/>
      <c r="WJR4"/>
      <c r="WJS4"/>
      <c r="WJT4"/>
      <c r="WJU4"/>
      <c r="WJV4"/>
      <c r="WJW4"/>
      <c r="WJX4"/>
      <c r="WJY4"/>
      <c r="WJZ4"/>
      <c r="WKA4"/>
      <c r="WKB4"/>
      <c r="WKC4"/>
      <c r="WKD4"/>
      <c r="WKE4"/>
      <c r="WKF4"/>
      <c r="WKG4"/>
      <c r="WKH4"/>
      <c r="WKI4"/>
      <c r="WKJ4"/>
      <c r="WKK4"/>
      <c r="WKL4"/>
      <c r="WKM4"/>
      <c r="WKN4"/>
      <c r="WKO4"/>
      <c r="WKP4"/>
      <c r="WKQ4"/>
      <c r="WKR4"/>
      <c r="WKS4"/>
      <c r="WKT4"/>
      <c r="WKU4"/>
      <c r="WKV4"/>
      <c r="WKW4"/>
      <c r="WKX4"/>
      <c r="WKY4"/>
      <c r="WKZ4"/>
      <c r="WLA4"/>
      <c r="WLB4"/>
      <c r="WLC4"/>
      <c r="WLD4"/>
      <c r="WLE4"/>
      <c r="WLF4"/>
      <c r="WLG4"/>
      <c r="WLH4"/>
      <c r="WLI4"/>
      <c r="WLJ4"/>
      <c r="WLK4"/>
      <c r="WLL4"/>
      <c r="WLM4"/>
      <c r="WLN4"/>
      <c r="WLO4"/>
      <c r="WLP4"/>
      <c r="WLQ4"/>
      <c r="WLR4"/>
      <c r="WLS4"/>
      <c r="WLT4"/>
      <c r="WLU4"/>
      <c r="WLV4"/>
      <c r="WLW4"/>
      <c r="WLX4"/>
      <c r="WLY4"/>
      <c r="WLZ4"/>
      <c r="WMA4"/>
      <c r="WMB4"/>
      <c r="WMC4"/>
      <c r="WMD4"/>
      <c r="WME4"/>
      <c r="WMF4"/>
      <c r="WMG4"/>
      <c r="WMH4"/>
      <c r="WMI4"/>
      <c r="WMJ4"/>
      <c r="WMK4"/>
      <c r="WML4"/>
      <c r="WMM4"/>
      <c r="WMN4"/>
      <c r="WMO4"/>
      <c r="WMP4"/>
      <c r="WMQ4"/>
      <c r="WMR4"/>
      <c r="WMS4"/>
      <c r="WMT4"/>
      <c r="WMU4"/>
      <c r="WMV4"/>
      <c r="WMW4"/>
      <c r="WMX4"/>
      <c r="WMY4"/>
      <c r="WMZ4"/>
      <c r="WNA4"/>
      <c r="WNB4"/>
      <c r="WNC4"/>
      <c r="WND4"/>
      <c r="WNE4"/>
      <c r="WNF4"/>
      <c r="WNG4"/>
      <c r="WNH4"/>
      <c r="WNI4"/>
      <c r="WNJ4"/>
      <c r="WNK4"/>
      <c r="WNL4"/>
      <c r="WNM4"/>
      <c r="WNN4"/>
      <c r="WNO4"/>
      <c r="WNP4"/>
      <c r="WNQ4"/>
      <c r="WNR4"/>
      <c r="WNS4"/>
      <c r="WNT4"/>
      <c r="WNU4"/>
      <c r="WNV4"/>
      <c r="WNW4"/>
      <c r="WNX4"/>
      <c r="WNY4"/>
      <c r="WNZ4"/>
      <c r="WOA4"/>
      <c r="WOB4"/>
      <c r="WOC4"/>
      <c r="WOD4"/>
      <c r="WOE4"/>
      <c r="WOF4"/>
      <c r="WOG4"/>
      <c r="WOH4"/>
      <c r="WOI4"/>
      <c r="WOJ4"/>
      <c r="WOK4"/>
      <c r="WOL4"/>
      <c r="WOM4"/>
      <c r="WON4"/>
      <c r="WOO4"/>
      <c r="WOP4"/>
      <c r="WOQ4"/>
      <c r="WOR4"/>
      <c r="WOS4"/>
      <c r="WOT4"/>
      <c r="WOU4"/>
      <c r="WOV4"/>
      <c r="WOW4"/>
      <c r="WOX4"/>
      <c r="WOY4"/>
      <c r="WOZ4"/>
      <c r="WPA4"/>
      <c r="WPB4"/>
      <c r="WPC4"/>
      <c r="WPD4"/>
      <c r="WPE4"/>
      <c r="WPF4"/>
      <c r="WPG4"/>
      <c r="WPH4"/>
      <c r="WPI4"/>
      <c r="WPJ4"/>
      <c r="WPK4"/>
      <c r="WPL4"/>
      <c r="WPM4"/>
      <c r="WPN4"/>
      <c r="WPO4"/>
      <c r="WPP4"/>
      <c r="WPQ4"/>
      <c r="WPR4"/>
      <c r="WPS4"/>
      <c r="WPT4"/>
      <c r="WPU4"/>
      <c r="WPV4"/>
      <c r="WPW4"/>
      <c r="WPX4"/>
      <c r="WPY4"/>
      <c r="WPZ4"/>
      <c r="WQA4"/>
      <c r="WQB4"/>
      <c r="WQC4"/>
      <c r="WQD4"/>
      <c r="WQE4"/>
      <c r="WQF4"/>
      <c r="WQG4"/>
      <c r="WQH4"/>
      <c r="WQI4"/>
      <c r="WQJ4"/>
      <c r="WQK4"/>
      <c r="WQL4"/>
      <c r="WQM4"/>
      <c r="WQN4"/>
      <c r="WQO4"/>
      <c r="WQP4"/>
      <c r="WQQ4"/>
      <c r="WQR4"/>
      <c r="WQS4"/>
      <c r="WQT4"/>
      <c r="WQU4"/>
      <c r="WQV4"/>
      <c r="WQW4"/>
      <c r="WQX4"/>
      <c r="WQY4"/>
      <c r="WQZ4"/>
      <c r="WRA4"/>
      <c r="WRB4"/>
      <c r="WRC4"/>
      <c r="WRD4"/>
      <c r="WRE4"/>
      <c r="WRF4"/>
      <c r="WRG4"/>
      <c r="WRH4"/>
      <c r="WRI4"/>
      <c r="WRJ4"/>
      <c r="WRK4"/>
      <c r="WRL4"/>
      <c r="WRM4"/>
      <c r="WRN4"/>
      <c r="WRO4"/>
      <c r="WRP4"/>
      <c r="WRQ4"/>
      <c r="WRR4"/>
      <c r="WRS4"/>
      <c r="WRT4"/>
      <c r="WRU4"/>
      <c r="WRV4"/>
      <c r="WRW4"/>
      <c r="WRX4"/>
      <c r="WRY4"/>
      <c r="WRZ4"/>
      <c r="WSA4"/>
      <c r="WSB4"/>
      <c r="WSC4"/>
      <c r="WSD4"/>
      <c r="WSE4"/>
      <c r="WSF4"/>
      <c r="WSG4"/>
      <c r="WSH4"/>
      <c r="WSI4"/>
      <c r="WSJ4"/>
      <c r="WSK4"/>
      <c r="WSL4"/>
      <c r="WSM4"/>
      <c r="WSN4"/>
      <c r="WSO4"/>
      <c r="WSP4"/>
      <c r="WSQ4"/>
      <c r="WSR4"/>
      <c r="WSS4"/>
      <c r="WST4"/>
      <c r="WSU4"/>
      <c r="WSV4"/>
      <c r="WSW4"/>
      <c r="WSX4"/>
      <c r="WSY4"/>
      <c r="WSZ4"/>
      <c r="WTA4"/>
      <c r="WTB4"/>
      <c r="WTC4"/>
      <c r="WTD4"/>
      <c r="WTE4"/>
      <c r="WTF4"/>
      <c r="WTG4"/>
      <c r="WTH4"/>
      <c r="WTI4"/>
      <c r="WTJ4"/>
      <c r="WTK4"/>
      <c r="WTL4"/>
      <c r="WTM4"/>
      <c r="WTN4"/>
      <c r="WTO4"/>
      <c r="WTP4"/>
      <c r="WTQ4"/>
      <c r="WTR4"/>
      <c r="WTS4"/>
      <c r="WTT4"/>
      <c r="WTU4"/>
      <c r="WTV4"/>
      <c r="WTW4"/>
      <c r="WTX4"/>
      <c r="WTY4"/>
      <c r="WTZ4"/>
      <c r="WUA4"/>
      <c r="WUB4"/>
      <c r="WUC4"/>
      <c r="WUD4"/>
      <c r="WUE4"/>
      <c r="WUF4"/>
      <c r="WUG4"/>
      <c r="WUH4"/>
      <c r="WUI4"/>
      <c r="WUJ4"/>
      <c r="WUK4"/>
      <c r="WUL4"/>
      <c r="WUM4"/>
      <c r="WUN4"/>
      <c r="WUO4"/>
      <c r="WUP4"/>
      <c r="WUQ4"/>
      <c r="WUR4"/>
      <c r="WUS4"/>
      <c r="WUT4"/>
      <c r="WUU4"/>
      <c r="WUV4"/>
      <c r="WUW4"/>
      <c r="WUX4"/>
      <c r="WUY4"/>
      <c r="WUZ4"/>
      <c r="WVA4"/>
      <c r="WVB4"/>
      <c r="WVC4"/>
      <c r="WVD4"/>
      <c r="WVE4"/>
      <c r="WVF4"/>
      <c r="WVG4"/>
      <c r="WVH4"/>
      <c r="WVI4"/>
      <c r="WVJ4"/>
      <c r="WVK4"/>
      <c r="WVL4"/>
      <c r="WVM4"/>
      <c r="WVN4"/>
      <c r="WVO4"/>
      <c r="WVP4"/>
      <c r="WVQ4"/>
      <c r="WVR4"/>
      <c r="WVS4"/>
      <c r="WVT4"/>
      <c r="WVU4"/>
      <c r="WVV4"/>
      <c r="WVW4"/>
      <c r="WVX4"/>
      <c r="WVY4"/>
      <c r="WVZ4"/>
      <c r="WWA4"/>
      <c r="WWB4"/>
      <c r="WWC4"/>
      <c r="WWD4"/>
      <c r="WWE4"/>
      <c r="WWF4"/>
      <c r="WWG4"/>
      <c r="WWH4"/>
      <c r="WWI4"/>
      <c r="WWJ4"/>
      <c r="WWK4"/>
      <c r="WWL4"/>
      <c r="WWM4"/>
      <c r="WWN4"/>
      <c r="WWO4"/>
      <c r="WWP4"/>
      <c r="WWQ4"/>
      <c r="WWR4"/>
      <c r="WWS4"/>
      <c r="WWT4"/>
      <c r="WWU4"/>
      <c r="WWV4"/>
      <c r="WWW4"/>
      <c r="WWX4"/>
      <c r="WWY4"/>
      <c r="WWZ4"/>
      <c r="WXA4"/>
      <c r="WXB4"/>
      <c r="WXC4"/>
      <c r="WXD4"/>
      <c r="WXE4"/>
      <c r="WXF4"/>
      <c r="WXG4"/>
      <c r="WXH4"/>
      <c r="WXI4"/>
      <c r="WXJ4"/>
      <c r="WXK4"/>
      <c r="WXL4"/>
      <c r="WXM4"/>
      <c r="WXN4"/>
      <c r="WXO4"/>
      <c r="WXP4"/>
      <c r="WXQ4"/>
      <c r="WXR4"/>
      <c r="WXS4"/>
      <c r="WXT4"/>
      <c r="WXU4"/>
      <c r="WXV4"/>
      <c r="WXW4"/>
      <c r="WXX4"/>
      <c r="WXY4"/>
      <c r="WXZ4"/>
      <c r="WYA4"/>
      <c r="WYB4"/>
      <c r="WYC4"/>
      <c r="WYD4"/>
      <c r="WYE4"/>
      <c r="WYF4"/>
      <c r="WYG4"/>
      <c r="WYH4"/>
      <c r="WYI4"/>
      <c r="WYJ4"/>
      <c r="WYK4"/>
      <c r="WYL4"/>
      <c r="WYM4"/>
      <c r="WYN4"/>
      <c r="WYO4"/>
      <c r="WYP4"/>
      <c r="WYQ4"/>
      <c r="WYR4"/>
      <c r="WYS4"/>
      <c r="WYT4"/>
      <c r="WYU4"/>
      <c r="WYV4"/>
      <c r="WYW4"/>
      <c r="WYX4"/>
      <c r="WYY4"/>
      <c r="WYZ4"/>
      <c r="WZA4"/>
      <c r="WZB4"/>
      <c r="WZC4"/>
      <c r="WZD4"/>
      <c r="WZE4"/>
      <c r="WZF4"/>
      <c r="WZG4"/>
      <c r="WZH4"/>
      <c r="WZI4"/>
      <c r="WZJ4"/>
      <c r="WZK4"/>
      <c r="WZL4"/>
      <c r="WZM4"/>
      <c r="WZN4"/>
      <c r="WZO4"/>
      <c r="WZP4"/>
      <c r="WZQ4"/>
      <c r="WZR4"/>
      <c r="WZS4"/>
      <c r="WZT4"/>
      <c r="WZU4"/>
      <c r="WZV4"/>
      <c r="WZW4"/>
      <c r="WZX4"/>
      <c r="WZY4"/>
      <c r="WZZ4"/>
      <c r="XAA4"/>
      <c r="XAB4"/>
      <c r="XAC4"/>
      <c r="XAD4"/>
      <c r="XAE4"/>
      <c r="XAF4"/>
      <c r="XAG4"/>
      <c r="XAH4"/>
      <c r="XAI4"/>
      <c r="XAJ4"/>
      <c r="XAK4"/>
      <c r="XAL4"/>
      <c r="XAM4"/>
      <c r="XAN4"/>
      <c r="XAO4"/>
      <c r="XAP4"/>
      <c r="XAQ4"/>
      <c r="XAR4"/>
      <c r="XAS4"/>
      <c r="XAT4"/>
      <c r="XAU4"/>
      <c r="XAV4"/>
      <c r="XAW4"/>
      <c r="XAX4"/>
      <c r="XAY4"/>
      <c r="XAZ4"/>
      <c r="XBA4"/>
      <c r="XBB4"/>
      <c r="XBC4"/>
      <c r="XBD4"/>
      <c r="XBE4"/>
      <c r="XBF4"/>
      <c r="XBG4"/>
      <c r="XBH4"/>
      <c r="XBI4"/>
      <c r="XBJ4"/>
      <c r="XBK4"/>
      <c r="XBL4"/>
      <c r="XBM4"/>
      <c r="XBN4"/>
      <c r="XBO4"/>
      <c r="XBP4"/>
      <c r="XBQ4"/>
      <c r="XBR4"/>
      <c r="XBS4"/>
      <c r="XBT4"/>
      <c r="XBU4"/>
      <c r="XBV4"/>
      <c r="XBW4"/>
      <c r="XBX4"/>
      <c r="XBY4"/>
      <c r="XBZ4"/>
      <c r="XCA4"/>
      <c r="XCB4"/>
      <c r="XCC4"/>
      <c r="XCD4"/>
      <c r="XCE4"/>
      <c r="XCF4"/>
      <c r="XCG4"/>
      <c r="XCH4"/>
      <c r="XCI4"/>
      <c r="XCJ4"/>
      <c r="XCK4"/>
      <c r="XCL4"/>
      <c r="XCM4"/>
      <c r="XCN4"/>
      <c r="XCO4"/>
      <c r="XCP4"/>
      <c r="XCQ4"/>
      <c r="XCR4"/>
      <c r="XCS4"/>
      <c r="XCT4"/>
      <c r="XCU4"/>
      <c r="XCV4"/>
      <c r="XCW4"/>
      <c r="XCX4"/>
      <c r="XCY4"/>
      <c r="XCZ4"/>
      <c r="XDA4"/>
      <c r="XDB4"/>
      <c r="XDC4"/>
      <c r="XDD4"/>
      <c r="XDE4"/>
      <c r="XDF4"/>
      <c r="XDG4"/>
      <c r="XDH4"/>
      <c r="XDI4"/>
      <c r="XDJ4"/>
      <c r="XDK4"/>
      <c r="XDL4"/>
      <c r="XDM4"/>
      <c r="XDN4"/>
      <c r="XDO4"/>
      <c r="XDP4"/>
      <c r="XDQ4"/>
      <c r="XDR4"/>
      <c r="XDS4"/>
      <c r="XDT4"/>
      <c r="XDU4"/>
      <c r="XDV4"/>
      <c r="XDW4"/>
      <c r="XDX4"/>
      <c r="XDY4"/>
      <c r="XDZ4"/>
      <c r="XEA4"/>
      <c r="XEB4"/>
      <c r="XEC4"/>
      <c r="XED4"/>
      <c r="XEE4"/>
      <c r="XEF4"/>
      <c r="XEG4"/>
      <c r="XEH4"/>
      <c r="XEI4"/>
      <c r="XEJ4"/>
      <c r="XEK4"/>
      <c r="XEL4"/>
      <c r="XEM4"/>
      <c r="XEN4"/>
      <c r="XEO4"/>
      <c r="XEP4"/>
      <c r="XEQ4"/>
      <c r="XER4"/>
      <c r="XES4"/>
      <c r="XET4"/>
      <c r="XEU4"/>
      <c r="XEV4"/>
      <c r="XEW4"/>
      <c r="XEX4"/>
      <c r="XEY4"/>
      <c r="XEZ4"/>
      <c r="XFA4"/>
      <c r="XFB4"/>
      <c r="XFC4"/>
      <c r="XFD4"/>
    </row>
    <row r="5" spans="1:16384" s="1692" customFormat="1" x14ac:dyDescent="0.2">
      <c r="A5"/>
      <c r="D5" s="1692" t="s">
        <v>1703</v>
      </c>
      <c r="E5" s="1692" t="s">
        <v>1698</v>
      </c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  <c r="AMQ5"/>
      <c r="AMR5"/>
      <c r="AMS5"/>
      <c r="AMT5"/>
      <c r="AMU5"/>
      <c r="AMV5"/>
      <c r="AMW5"/>
      <c r="AMX5"/>
      <c r="AMY5"/>
      <c r="AMZ5"/>
      <c r="ANA5"/>
      <c r="ANB5"/>
      <c r="ANC5"/>
      <c r="AND5"/>
      <c r="ANE5"/>
      <c r="ANF5"/>
      <c r="ANG5"/>
      <c r="ANH5"/>
      <c r="ANI5"/>
      <c r="ANJ5"/>
      <c r="ANK5"/>
      <c r="ANL5"/>
      <c r="ANM5"/>
      <c r="ANN5"/>
      <c r="ANO5"/>
      <c r="ANP5"/>
      <c r="ANQ5"/>
      <c r="ANR5"/>
      <c r="ANS5"/>
      <c r="ANT5"/>
      <c r="ANU5"/>
      <c r="ANV5"/>
      <c r="ANW5"/>
      <c r="ANX5"/>
      <c r="ANY5"/>
      <c r="ANZ5"/>
      <c r="AOA5"/>
      <c r="AOB5"/>
      <c r="AOC5"/>
      <c r="AOD5"/>
      <c r="AOE5"/>
      <c r="AOF5"/>
      <c r="AOG5"/>
      <c r="AOH5"/>
      <c r="AOI5"/>
      <c r="AOJ5"/>
      <c r="AOK5"/>
      <c r="AOL5"/>
      <c r="AOM5"/>
      <c r="AON5"/>
      <c r="AOO5"/>
      <c r="AOP5"/>
      <c r="AOQ5"/>
      <c r="AOR5"/>
      <c r="AOS5"/>
      <c r="AOT5"/>
      <c r="AOU5"/>
      <c r="AOV5"/>
      <c r="AOW5"/>
      <c r="AOX5"/>
      <c r="AOY5"/>
      <c r="AOZ5"/>
      <c r="APA5"/>
      <c r="APB5"/>
      <c r="APC5"/>
      <c r="APD5"/>
      <c r="APE5"/>
      <c r="APF5"/>
      <c r="APG5"/>
      <c r="APH5"/>
      <c r="API5"/>
      <c r="APJ5"/>
      <c r="APK5"/>
      <c r="APL5"/>
      <c r="APM5"/>
      <c r="APN5"/>
      <c r="APO5"/>
      <c r="APP5"/>
      <c r="APQ5"/>
      <c r="APR5"/>
      <c r="APS5"/>
      <c r="APT5"/>
      <c r="APU5"/>
      <c r="APV5"/>
      <c r="APW5"/>
      <c r="APX5"/>
      <c r="APY5"/>
      <c r="APZ5"/>
      <c r="AQA5"/>
      <c r="AQB5"/>
      <c r="AQC5"/>
      <c r="AQD5"/>
      <c r="AQE5"/>
      <c r="AQF5"/>
      <c r="AQG5"/>
      <c r="AQH5"/>
      <c r="AQI5"/>
      <c r="AQJ5"/>
      <c r="AQK5"/>
      <c r="AQL5"/>
      <c r="AQM5"/>
      <c r="AQN5"/>
      <c r="AQO5"/>
      <c r="AQP5"/>
      <c r="AQQ5"/>
      <c r="AQR5"/>
      <c r="AQS5"/>
      <c r="AQT5"/>
      <c r="AQU5"/>
      <c r="AQV5"/>
      <c r="AQW5"/>
      <c r="AQX5"/>
      <c r="AQY5"/>
      <c r="AQZ5"/>
      <c r="ARA5"/>
      <c r="ARB5"/>
      <c r="ARC5"/>
      <c r="ARD5"/>
      <c r="ARE5"/>
      <c r="ARF5"/>
      <c r="ARG5"/>
      <c r="ARH5"/>
      <c r="ARI5"/>
      <c r="ARJ5"/>
      <c r="ARK5"/>
      <c r="ARL5"/>
      <c r="ARM5"/>
      <c r="ARN5"/>
      <c r="ARO5"/>
      <c r="ARP5"/>
      <c r="ARQ5"/>
      <c r="ARR5"/>
      <c r="ARS5"/>
      <c r="ART5"/>
      <c r="ARU5"/>
      <c r="ARV5"/>
      <c r="ARW5"/>
      <c r="ARX5"/>
      <c r="ARY5"/>
      <c r="ARZ5"/>
      <c r="ASA5"/>
      <c r="ASB5"/>
      <c r="ASC5"/>
      <c r="ASD5"/>
      <c r="ASE5"/>
      <c r="ASF5"/>
      <c r="ASG5"/>
      <c r="ASH5"/>
      <c r="ASI5"/>
      <c r="ASJ5"/>
      <c r="ASK5"/>
      <c r="ASL5"/>
      <c r="ASM5"/>
      <c r="ASN5"/>
      <c r="ASO5"/>
      <c r="ASP5"/>
      <c r="ASQ5"/>
      <c r="ASR5"/>
      <c r="ASS5"/>
      <c r="AST5"/>
      <c r="ASU5"/>
      <c r="ASV5"/>
      <c r="ASW5"/>
      <c r="ASX5"/>
      <c r="ASY5"/>
      <c r="ASZ5"/>
      <c r="ATA5"/>
      <c r="ATB5"/>
      <c r="ATC5"/>
      <c r="ATD5"/>
      <c r="ATE5"/>
      <c r="ATF5"/>
      <c r="ATG5"/>
      <c r="ATH5"/>
      <c r="ATI5"/>
      <c r="ATJ5"/>
      <c r="ATK5"/>
      <c r="ATL5"/>
      <c r="ATM5"/>
      <c r="ATN5"/>
      <c r="ATO5"/>
      <c r="ATP5"/>
      <c r="ATQ5"/>
      <c r="ATR5"/>
      <c r="ATS5"/>
      <c r="ATT5"/>
      <c r="ATU5"/>
      <c r="ATV5"/>
      <c r="ATW5"/>
      <c r="ATX5"/>
      <c r="ATY5"/>
      <c r="ATZ5"/>
      <c r="AUA5"/>
      <c r="AUB5"/>
      <c r="AUC5"/>
      <c r="AUD5"/>
      <c r="AUE5"/>
      <c r="AUF5"/>
      <c r="AUG5"/>
      <c r="AUH5"/>
      <c r="AUI5"/>
      <c r="AUJ5"/>
      <c r="AUK5"/>
      <c r="AUL5"/>
      <c r="AUM5"/>
      <c r="AUN5"/>
      <c r="AUO5"/>
      <c r="AUP5"/>
      <c r="AUQ5"/>
      <c r="AUR5"/>
      <c r="AUS5"/>
      <c r="AUT5"/>
      <c r="AUU5"/>
      <c r="AUV5"/>
      <c r="AUW5"/>
      <c r="AUX5"/>
      <c r="AUY5"/>
      <c r="AUZ5"/>
      <c r="AVA5"/>
      <c r="AVB5"/>
      <c r="AVC5"/>
      <c r="AVD5"/>
      <c r="AVE5"/>
      <c r="AVF5"/>
      <c r="AVG5"/>
      <c r="AVH5"/>
      <c r="AVI5"/>
      <c r="AVJ5"/>
      <c r="AVK5"/>
      <c r="AVL5"/>
      <c r="AVM5"/>
      <c r="AVN5"/>
      <c r="AVO5"/>
      <c r="AVP5"/>
      <c r="AVQ5"/>
      <c r="AVR5"/>
      <c r="AVS5"/>
      <c r="AVT5"/>
      <c r="AVU5"/>
      <c r="AVV5"/>
      <c r="AVW5"/>
      <c r="AVX5"/>
      <c r="AVY5"/>
      <c r="AVZ5"/>
      <c r="AWA5"/>
      <c r="AWB5"/>
      <c r="AWC5"/>
      <c r="AWD5"/>
      <c r="AWE5"/>
      <c r="AWF5"/>
      <c r="AWG5"/>
      <c r="AWH5"/>
      <c r="AWI5"/>
      <c r="AWJ5"/>
      <c r="AWK5"/>
      <c r="AWL5"/>
      <c r="AWM5"/>
      <c r="AWN5"/>
      <c r="AWO5"/>
      <c r="AWP5"/>
      <c r="AWQ5"/>
      <c r="AWR5"/>
      <c r="AWS5"/>
      <c r="AWT5"/>
      <c r="AWU5"/>
      <c r="AWV5"/>
      <c r="AWW5"/>
      <c r="AWX5"/>
      <c r="AWY5"/>
      <c r="AWZ5"/>
      <c r="AXA5"/>
      <c r="AXB5"/>
      <c r="AXC5"/>
      <c r="AXD5"/>
      <c r="AXE5"/>
      <c r="AXF5"/>
      <c r="AXG5"/>
      <c r="AXH5"/>
      <c r="AXI5"/>
      <c r="AXJ5"/>
      <c r="AXK5"/>
      <c r="AXL5"/>
      <c r="AXM5"/>
      <c r="AXN5"/>
      <c r="AXO5"/>
      <c r="AXP5"/>
      <c r="AXQ5"/>
      <c r="AXR5"/>
      <c r="AXS5"/>
      <c r="AXT5"/>
      <c r="AXU5"/>
      <c r="AXV5"/>
      <c r="AXW5"/>
      <c r="AXX5"/>
      <c r="AXY5"/>
      <c r="AXZ5"/>
      <c r="AYA5"/>
      <c r="AYB5"/>
      <c r="AYC5"/>
      <c r="AYD5"/>
      <c r="AYE5"/>
      <c r="AYF5"/>
      <c r="AYG5"/>
      <c r="AYH5"/>
      <c r="AYI5"/>
      <c r="AYJ5"/>
      <c r="AYK5"/>
      <c r="AYL5"/>
      <c r="AYM5"/>
      <c r="AYN5"/>
      <c r="AYO5"/>
      <c r="AYP5"/>
      <c r="AYQ5"/>
      <c r="AYR5"/>
      <c r="AYS5"/>
      <c r="AYT5"/>
      <c r="AYU5"/>
      <c r="AYV5"/>
      <c r="AYW5"/>
      <c r="AYX5"/>
      <c r="AYY5"/>
      <c r="AYZ5"/>
      <c r="AZA5"/>
      <c r="AZB5"/>
      <c r="AZC5"/>
      <c r="AZD5"/>
      <c r="AZE5"/>
      <c r="AZF5"/>
      <c r="AZG5"/>
      <c r="AZH5"/>
      <c r="AZI5"/>
      <c r="AZJ5"/>
      <c r="AZK5"/>
      <c r="AZL5"/>
      <c r="AZM5"/>
      <c r="AZN5"/>
      <c r="AZO5"/>
      <c r="AZP5"/>
      <c r="AZQ5"/>
      <c r="AZR5"/>
      <c r="AZS5"/>
      <c r="AZT5"/>
      <c r="AZU5"/>
      <c r="AZV5"/>
      <c r="AZW5"/>
      <c r="AZX5"/>
      <c r="AZY5"/>
      <c r="AZZ5"/>
      <c r="BAA5"/>
      <c r="BAB5"/>
      <c r="BAC5"/>
      <c r="BAD5"/>
      <c r="BAE5"/>
      <c r="BAF5"/>
      <c r="BAG5"/>
      <c r="BAH5"/>
      <c r="BAI5"/>
      <c r="BAJ5"/>
      <c r="BAK5"/>
      <c r="BAL5"/>
      <c r="BAM5"/>
      <c r="BAN5"/>
      <c r="BAO5"/>
      <c r="BAP5"/>
      <c r="BAQ5"/>
      <c r="BAR5"/>
      <c r="BAS5"/>
      <c r="BAT5"/>
      <c r="BAU5"/>
      <c r="BAV5"/>
      <c r="BAW5"/>
      <c r="BAX5"/>
      <c r="BAY5"/>
      <c r="BAZ5"/>
      <c r="BBA5"/>
      <c r="BBB5"/>
      <c r="BBC5"/>
      <c r="BBD5"/>
      <c r="BBE5"/>
      <c r="BBF5"/>
      <c r="BBG5"/>
      <c r="BBH5"/>
      <c r="BBI5"/>
      <c r="BBJ5"/>
      <c r="BBK5"/>
      <c r="BBL5"/>
      <c r="BBM5"/>
      <c r="BBN5"/>
      <c r="BBO5"/>
      <c r="BBP5"/>
      <c r="BBQ5"/>
      <c r="BBR5"/>
      <c r="BBS5"/>
      <c r="BBT5"/>
      <c r="BBU5"/>
      <c r="BBV5"/>
      <c r="BBW5"/>
      <c r="BBX5"/>
      <c r="BBY5"/>
      <c r="BBZ5"/>
      <c r="BCA5"/>
      <c r="BCB5"/>
      <c r="BCC5"/>
      <c r="BCD5"/>
      <c r="BCE5"/>
      <c r="BCF5"/>
      <c r="BCG5"/>
      <c r="BCH5"/>
      <c r="BCI5"/>
      <c r="BCJ5"/>
      <c r="BCK5"/>
      <c r="BCL5"/>
      <c r="BCM5"/>
      <c r="BCN5"/>
      <c r="BCO5"/>
      <c r="BCP5"/>
      <c r="BCQ5"/>
      <c r="BCR5"/>
      <c r="BCS5"/>
      <c r="BCT5"/>
      <c r="BCU5"/>
      <c r="BCV5"/>
      <c r="BCW5"/>
      <c r="BCX5"/>
      <c r="BCY5"/>
      <c r="BCZ5"/>
      <c r="BDA5"/>
      <c r="BDB5"/>
      <c r="BDC5"/>
      <c r="BDD5"/>
      <c r="BDE5"/>
      <c r="BDF5"/>
      <c r="BDG5"/>
      <c r="BDH5"/>
      <c r="BDI5"/>
      <c r="BDJ5"/>
      <c r="BDK5"/>
      <c r="BDL5"/>
      <c r="BDM5"/>
      <c r="BDN5"/>
      <c r="BDO5"/>
      <c r="BDP5"/>
      <c r="BDQ5"/>
      <c r="BDR5"/>
      <c r="BDS5"/>
      <c r="BDT5"/>
      <c r="BDU5"/>
      <c r="BDV5"/>
      <c r="BDW5"/>
      <c r="BDX5"/>
      <c r="BDY5"/>
      <c r="BDZ5"/>
      <c r="BEA5"/>
      <c r="BEB5"/>
      <c r="BEC5"/>
      <c r="BED5"/>
      <c r="BEE5"/>
      <c r="BEF5"/>
      <c r="BEG5"/>
      <c r="BEH5"/>
      <c r="BEI5"/>
      <c r="BEJ5"/>
      <c r="BEK5"/>
      <c r="BEL5"/>
      <c r="BEM5"/>
      <c r="BEN5"/>
      <c r="BEO5"/>
      <c r="BEP5"/>
      <c r="BEQ5"/>
      <c r="BER5"/>
      <c r="BES5"/>
      <c r="BET5"/>
      <c r="BEU5"/>
      <c r="BEV5"/>
      <c r="BEW5"/>
      <c r="BEX5"/>
      <c r="BEY5"/>
      <c r="BEZ5"/>
      <c r="BFA5"/>
      <c r="BFB5"/>
      <c r="BFC5"/>
      <c r="BFD5"/>
      <c r="BFE5"/>
      <c r="BFF5"/>
      <c r="BFG5"/>
      <c r="BFH5"/>
      <c r="BFI5"/>
      <c r="BFJ5"/>
      <c r="BFK5"/>
      <c r="BFL5"/>
      <c r="BFM5"/>
      <c r="BFN5"/>
      <c r="BFO5"/>
      <c r="BFP5"/>
      <c r="BFQ5"/>
      <c r="BFR5"/>
      <c r="BFS5"/>
      <c r="BFT5"/>
      <c r="BFU5"/>
      <c r="BFV5"/>
      <c r="BFW5"/>
      <c r="BFX5"/>
      <c r="BFY5"/>
      <c r="BFZ5"/>
      <c r="BGA5"/>
      <c r="BGB5"/>
      <c r="BGC5"/>
      <c r="BGD5"/>
      <c r="BGE5"/>
      <c r="BGF5"/>
      <c r="BGG5"/>
      <c r="BGH5"/>
      <c r="BGI5"/>
      <c r="BGJ5"/>
      <c r="BGK5"/>
      <c r="BGL5"/>
      <c r="BGM5"/>
      <c r="BGN5"/>
      <c r="BGO5"/>
      <c r="BGP5"/>
      <c r="BGQ5"/>
      <c r="BGR5"/>
      <c r="BGS5"/>
      <c r="BGT5"/>
      <c r="BGU5"/>
      <c r="BGV5"/>
      <c r="BGW5"/>
      <c r="BGX5"/>
      <c r="BGY5"/>
      <c r="BGZ5"/>
      <c r="BHA5"/>
      <c r="BHB5"/>
      <c r="BHC5"/>
      <c r="BHD5"/>
      <c r="BHE5"/>
      <c r="BHF5"/>
      <c r="BHG5"/>
      <c r="BHH5"/>
      <c r="BHI5"/>
      <c r="BHJ5"/>
      <c r="BHK5"/>
      <c r="BHL5"/>
      <c r="BHM5"/>
      <c r="BHN5"/>
      <c r="BHO5"/>
      <c r="BHP5"/>
      <c r="BHQ5"/>
      <c r="BHR5"/>
      <c r="BHS5"/>
      <c r="BHT5"/>
      <c r="BHU5"/>
      <c r="BHV5"/>
      <c r="BHW5"/>
      <c r="BHX5"/>
      <c r="BHY5"/>
      <c r="BHZ5"/>
      <c r="BIA5"/>
      <c r="BIB5"/>
      <c r="BIC5"/>
      <c r="BID5"/>
      <c r="BIE5"/>
      <c r="BIF5"/>
      <c r="BIG5"/>
      <c r="BIH5"/>
      <c r="BII5"/>
      <c r="BIJ5"/>
      <c r="BIK5"/>
      <c r="BIL5"/>
      <c r="BIM5"/>
      <c r="BIN5"/>
      <c r="BIO5"/>
      <c r="BIP5"/>
      <c r="BIQ5"/>
      <c r="BIR5"/>
      <c r="BIS5"/>
      <c r="BIT5"/>
      <c r="BIU5"/>
      <c r="BIV5"/>
      <c r="BIW5"/>
      <c r="BIX5"/>
      <c r="BIY5"/>
      <c r="BIZ5"/>
      <c r="BJA5"/>
      <c r="BJB5"/>
      <c r="BJC5"/>
      <c r="BJD5"/>
      <c r="BJE5"/>
      <c r="BJF5"/>
      <c r="BJG5"/>
      <c r="BJH5"/>
      <c r="BJI5"/>
      <c r="BJJ5"/>
      <c r="BJK5"/>
      <c r="BJL5"/>
      <c r="BJM5"/>
      <c r="BJN5"/>
      <c r="BJO5"/>
      <c r="BJP5"/>
      <c r="BJQ5"/>
      <c r="BJR5"/>
      <c r="BJS5"/>
      <c r="BJT5"/>
      <c r="BJU5"/>
      <c r="BJV5"/>
      <c r="BJW5"/>
      <c r="BJX5"/>
      <c r="BJY5"/>
      <c r="BJZ5"/>
      <c r="BKA5"/>
      <c r="BKB5"/>
      <c r="BKC5"/>
      <c r="BKD5"/>
      <c r="BKE5"/>
      <c r="BKF5"/>
      <c r="BKG5"/>
      <c r="BKH5"/>
      <c r="BKI5"/>
      <c r="BKJ5"/>
      <c r="BKK5"/>
      <c r="BKL5"/>
      <c r="BKM5"/>
      <c r="BKN5"/>
      <c r="BKO5"/>
      <c r="BKP5"/>
      <c r="BKQ5"/>
      <c r="BKR5"/>
      <c r="BKS5"/>
      <c r="BKT5"/>
      <c r="BKU5"/>
      <c r="BKV5"/>
      <c r="BKW5"/>
      <c r="BKX5"/>
      <c r="BKY5"/>
      <c r="BKZ5"/>
      <c r="BLA5"/>
      <c r="BLB5"/>
      <c r="BLC5"/>
      <c r="BLD5"/>
      <c r="BLE5"/>
      <c r="BLF5"/>
      <c r="BLG5"/>
      <c r="BLH5"/>
      <c r="BLI5"/>
      <c r="BLJ5"/>
      <c r="BLK5"/>
      <c r="BLL5"/>
      <c r="BLM5"/>
      <c r="BLN5"/>
      <c r="BLO5"/>
      <c r="BLP5"/>
      <c r="BLQ5"/>
      <c r="BLR5"/>
      <c r="BLS5"/>
      <c r="BLT5"/>
      <c r="BLU5"/>
      <c r="BLV5"/>
      <c r="BLW5"/>
      <c r="BLX5"/>
      <c r="BLY5"/>
      <c r="BLZ5"/>
      <c r="BMA5"/>
      <c r="BMB5"/>
      <c r="BMC5"/>
      <c r="BMD5"/>
      <c r="BME5"/>
      <c r="BMF5"/>
      <c r="BMG5"/>
      <c r="BMH5"/>
      <c r="BMI5"/>
      <c r="BMJ5"/>
      <c r="BMK5"/>
      <c r="BML5"/>
      <c r="BMM5"/>
      <c r="BMN5"/>
      <c r="BMO5"/>
      <c r="BMP5"/>
      <c r="BMQ5"/>
      <c r="BMR5"/>
      <c r="BMS5"/>
      <c r="BMT5"/>
      <c r="BMU5"/>
      <c r="BMV5"/>
      <c r="BMW5"/>
      <c r="BMX5"/>
      <c r="BMY5"/>
      <c r="BMZ5"/>
      <c r="BNA5"/>
      <c r="BNB5"/>
      <c r="BNC5"/>
      <c r="BND5"/>
      <c r="BNE5"/>
      <c r="BNF5"/>
      <c r="BNG5"/>
      <c r="BNH5"/>
      <c r="BNI5"/>
      <c r="BNJ5"/>
      <c r="BNK5"/>
      <c r="BNL5"/>
      <c r="BNM5"/>
      <c r="BNN5"/>
      <c r="BNO5"/>
      <c r="BNP5"/>
      <c r="BNQ5"/>
      <c r="BNR5"/>
      <c r="BNS5"/>
      <c r="BNT5"/>
      <c r="BNU5"/>
      <c r="BNV5"/>
      <c r="BNW5"/>
      <c r="BNX5"/>
      <c r="BNY5"/>
      <c r="BNZ5"/>
      <c r="BOA5"/>
      <c r="BOB5"/>
      <c r="BOC5"/>
      <c r="BOD5"/>
      <c r="BOE5"/>
      <c r="BOF5"/>
      <c r="BOG5"/>
      <c r="BOH5"/>
      <c r="BOI5"/>
      <c r="BOJ5"/>
      <c r="BOK5"/>
      <c r="BOL5"/>
      <c r="BOM5"/>
      <c r="BON5"/>
      <c r="BOO5"/>
      <c r="BOP5"/>
      <c r="BOQ5"/>
      <c r="BOR5"/>
      <c r="BOS5"/>
      <c r="BOT5"/>
      <c r="BOU5"/>
      <c r="BOV5"/>
      <c r="BOW5"/>
      <c r="BOX5"/>
      <c r="BOY5"/>
      <c r="BOZ5"/>
      <c r="BPA5"/>
      <c r="BPB5"/>
      <c r="BPC5"/>
      <c r="BPD5"/>
      <c r="BPE5"/>
      <c r="BPF5"/>
      <c r="BPG5"/>
      <c r="BPH5"/>
      <c r="BPI5"/>
      <c r="BPJ5"/>
      <c r="BPK5"/>
      <c r="BPL5"/>
      <c r="BPM5"/>
      <c r="BPN5"/>
      <c r="BPO5"/>
      <c r="BPP5"/>
      <c r="BPQ5"/>
      <c r="BPR5"/>
      <c r="BPS5"/>
      <c r="BPT5"/>
      <c r="BPU5"/>
      <c r="BPV5"/>
      <c r="BPW5"/>
      <c r="BPX5"/>
      <c r="BPY5"/>
      <c r="BPZ5"/>
      <c r="BQA5"/>
      <c r="BQB5"/>
      <c r="BQC5"/>
      <c r="BQD5"/>
      <c r="BQE5"/>
      <c r="BQF5"/>
      <c r="BQG5"/>
      <c r="BQH5"/>
      <c r="BQI5"/>
      <c r="BQJ5"/>
      <c r="BQK5"/>
      <c r="BQL5"/>
      <c r="BQM5"/>
      <c r="BQN5"/>
      <c r="BQO5"/>
      <c r="BQP5"/>
      <c r="BQQ5"/>
      <c r="BQR5"/>
      <c r="BQS5"/>
      <c r="BQT5"/>
      <c r="BQU5"/>
      <c r="BQV5"/>
      <c r="BQW5"/>
      <c r="BQX5"/>
      <c r="BQY5"/>
      <c r="BQZ5"/>
      <c r="BRA5"/>
      <c r="BRB5"/>
      <c r="BRC5"/>
      <c r="BRD5"/>
      <c r="BRE5"/>
      <c r="BRF5"/>
      <c r="BRG5"/>
      <c r="BRH5"/>
      <c r="BRI5"/>
      <c r="BRJ5"/>
      <c r="BRK5"/>
      <c r="BRL5"/>
      <c r="BRM5"/>
      <c r="BRN5"/>
      <c r="BRO5"/>
      <c r="BRP5"/>
      <c r="BRQ5"/>
      <c r="BRR5"/>
      <c r="BRS5"/>
      <c r="BRT5"/>
      <c r="BRU5"/>
      <c r="BRV5"/>
      <c r="BRW5"/>
      <c r="BRX5"/>
      <c r="BRY5"/>
      <c r="BRZ5"/>
      <c r="BSA5"/>
      <c r="BSB5"/>
      <c r="BSC5"/>
      <c r="BSD5"/>
      <c r="BSE5"/>
      <c r="BSF5"/>
      <c r="BSG5"/>
      <c r="BSH5"/>
      <c r="BSI5"/>
      <c r="BSJ5"/>
      <c r="BSK5"/>
      <c r="BSL5"/>
      <c r="BSM5"/>
      <c r="BSN5"/>
      <c r="BSO5"/>
      <c r="BSP5"/>
      <c r="BSQ5"/>
      <c r="BSR5"/>
      <c r="BSS5"/>
      <c r="BST5"/>
      <c r="BSU5"/>
      <c r="BSV5"/>
      <c r="BSW5"/>
      <c r="BSX5"/>
      <c r="BSY5"/>
      <c r="BSZ5"/>
      <c r="BTA5"/>
      <c r="BTB5"/>
      <c r="BTC5"/>
      <c r="BTD5"/>
      <c r="BTE5"/>
      <c r="BTF5"/>
      <c r="BTG5"/>
      <c r="BTH5"/>
      <c r="BTI5"/>
      <c r="BTJ5"/>
      <c r="BTK5"/>
      <c r="BTL5"/>
      <c r="BTM5"/>
      <c r="BTN5"/>
      <c r="BTO5"/>
      <c r="BTP5"/>
      <c r="BTQ5"/>
      <c r="BTR5"/>
      <c r="BTS5"/>
      <c r="BTT5"/>
      <c r="BTU5"/>
      <c r="BTV5"/>
      <c r="BTW5"/>
      <c r="BTX5"/>
      <c r="BTY5"/>
      <c r="BTZ5"/>
      <c r="BUA5"/>
      <c r="BUB5"/>
      <c r="BUC5"/>
      <c r="BUD5"/>
      <c r="BUE5"/>
      <c r="BUF5"/>
      <c r="BUG5"/>
      <c r="BUH5"/>
      <c r="BUI5"/>
      <c r="BUJ5"/>
      <c r="BUK5"/>
      <c r="BUL5"/>
      <c r="BUM5"/>
      <c r="BUN5"/>
      <c r="BUO5"/>
      <c r="BUP5"/>
      <c r="BUQ5"/>
      <c r="BUR5"/>
      <c r="BUS5"/>
      <c r="BUT5"/>
      <c r="BUU5"/>
      <c r="BUV5"/>
      <c r="BUW5"/>
      <c r="BUX5"/>
      <c r="BUY5"/>
      <c r="BUZ5"/>
      <c r="BVA5"/>
      <c r="BVB5"/>
      <c r="BVC5"/>
      <c r="BVD5"/>
      <c r="BVE5"/>
      <c r="BVF5"/>
      <c r="BVG5"/>
      <c r="BVH5"/>
      <c r="BVI5"/>
      <c r="BVJ5"/>
      <c r="BVK5"/>
      <c r="BVL5"/>
      <c r="BVM5"/>
      <c r="BVN5"/>
      <c r="BVO5"/>
      <c r="BVP5"/>
      <c r="BVQ5"/>
      <c r="BVR5"/>
      <c r="BVS5"/>
      <c r="BVT5"/>
      <c r="BVU5"/>
      <c r="BVV5"/>
      <c r="BVW5"/>
      <c r="BVX5"/>
      <c r="BVY5"/>
      <c r="BVZ5"/>
      <c r="BWA5"/>
      <c r="BWB5"/>
      <c r="BWC5"/>
      <c r="BWD5"/>
      <c r="BWE5"/>
      <c r="BWF5"/>
      <c r="BWG5"/>
      <c r="BWH5"/>
      <c r="BWI5"/>
      <c r="BWJ5"/>
      <c r="BWK5"/>
      <c r="BWL5"/>
      <c r="BWM5"/>
      <c r="BWN5"/>
      <c r="BWO5"/>
      <c r="BWP5"/>
      <c r="BWQ5"/>
      <c r="BWR5"/>
      <c r="BWS5"/>
      <c r="BWT5"/>
      <c r="BWU5"/>
      <c r="BWV5"/>
      <c r="BWW5"/>
      <c r="BWX5"/>
      <c r="BWY5"/>
      <c r="BWZ5"/>
      <c r="BXA5"/>
      <c r="BXB5"/>
      <c r="BXC5"/>
      <c r="BXD5"/>
      <c r="BXE5"/>
      <c r="BXF5"/>
      <c r="BXG5"/>
      <c r="BXH5"/>
      <c r="BXI5"/>
      <c r="BXJ5"/>
      <c r="BXK5"/>
      <c r="BXL5"/>
      <c r="BXM5"/>
      <c r="BXN5"/>
      <c r="BXO5"/>
      <c r="BXP5"/>
      <c r="BXQ5"/>
      <c r="BXR5"/>
      <c r="BXS5"/>
      <c r="BXT5"/>
      <c r="BXU5"/>
      <c r="BXV5"/>
      <c r="BXW5"/>
      <c r="BXX5"/>
      <c r="BXY5"/>
      <c r="BXZ5"/>
      <c r="BYA5"/>
      <c r="BYB5"/>
      <c r="BYC5"/>
      <c r="BYD5"/>
      <c r="BYE5"/>
      <c r="BYF5"/>
      <c r="BYG5"/>
      <c r="BYH5"/>
      <c r="BYI5"/>
      <c r="BYJ5"/>
      <c r="BYK5"/>
      <c r="BYL5"/>
      <c r="BYM5"/>
      <c r="BYN5"/>
      <c r="BYO5"/>
      <c r="BYP5"/>
      <c r="BYQ5"/>
      <c r="BYR5"/>
      <c r="BYS5"/>
      <c r="BYT5"/>
      <c r="BYU5"/>
      <c r="BYV5"/>
      <c r="BYW5"/>
      <c r="BYX5"/>
      <c r="BYY5"/>
      <c r="BYZ5"/>
      <c r="BZA5"/>
      <c r="BZB5"/>
      <c r="BZC5"/>
      <c r="BZD5"/>
      <c r="BZE5"/>
      <c r="BZF5"/>
      <c r="BZG5"/>
      <c r="BZH5"/>
      <c r="BZI5"/>
      <c r="BZJ5"/>
      <c r="BZK5"/>
      <c r="BZL5"/>
      <c r="BZM5"/>
      <c r="BZN5"/>
      <c r="BZO5"/>
      <c r="BZP5"/>
      <c r="BZQ5"/>
      <c r="BZR5"/>
      <c r="BZS5"/>
      <c r="BZT5"/>
      <c r="BZU5"/>
      <c r="BZV5"/>
      <c r="BZW5"/>
      <c r="BZX5"/>
      <c r="BZY5"/>
      <c r="BZZ5"/>
      <c r="CAA5"/>
      <c r="CAB5"/>
      <c r="CAC5"/>
      <c r="CAD5"/>
      <c r="CAE5"/>
      <c r="CAF5"/>
      <c r="CAG5"/>
      <c r="CAH5"/>
      <c r="CAI5"/>
      <c r="CAJ5"/>
      <c r="CAK5"/>
      <c r="CAL5"/>
      <c r="CAM5"/>
      <c r="CAN5"/>
      <c r="CAO5"/>
      <c r="CAP5"/>
      <c r="CAQ5"/>
      <c r="CAR5"/>
      <c r="CAS5"/>
      <c r="CAT5"/>
      <c r="CAU5"/>
      <c r="CAV5"/>
      <c r="CAW5"/>
      <c r="CAX5"/>
      <c r="CAY5"/>
      <c r="CAZ5"/>
      <c r="CBA5"/>
      <c r="CBB5"/>
      <c r="CBC5"/>
      <c r="CBD5"/>
      <c r="CBE5"/>
      <c r="CBF5"/>
      <c r="CBG5"/>
      <c r="CBH5"/>
      <c r="CBI5"/>
      <c r="CBJ5"/>
      <c r="CBK5"/>
      <c r="CBL5"/>
      <c r="CBM5"/>
      <c r="CBN5"/>
      <c r="CBO5"/>
      <c r="CBP5"/>
      <c r="CBQ5"/>
      <c r="CBR5"/>
      <c r="CBS5"/>
      <c r="CBT5"/>
      <c r="CBU5"/>
      <c r="CBV5"/>
      <c r="CBW5"/>
      <c r="CBX5"/>
      <c r="CBY5"/>
      <c r="CBZ5"/>
      <c r="CCA5"/>
      <c r="CCB5"/>
      <c r="CCC5"/>
      <c r="CCD5"/>
      <c r="CCE5"/>
      <c r="CCF5"/>
      <c r="CCG5"/>
      <c r="CCH5"/>
      <c r="CCI5"/>
      <c r="CCJ5"/>
      <c r="CCK5"/>
      <c r="CCL5"/>
      <c r="CCM5"/>
      <c r="CCN5"/>
      <c r="CCO5"/>
      <c r="CCP5"/>
      <c r="CCQ5"/>
      <c r="CCR5"/>
      <c r="CCS5"/>
      <c r="CCT5"/>
      <c r="CCU5"/>
      <c r="CCV5"/>
      <c r="CCW5"/>
      <c r="CCX5"/>
      <c r="CCY5"/>
      <c r="CCZ5"/>
      <c r="CDA5"/>
      <c r="CDB5"/>
      <c r="CDC5"/>
      <c r="CDD5"/>
      <c r="CDE5"/>
      <c r="CDF5"/>
      <c r="CDG5"/>
      <c r="CDH5"/>
      <c r="CDI5"/>
      <c r="CDJ5"/>
      <c r="CDK5"/>
      <c r="CDL5"/>
      <c r="CDM5"/>
      <c r="CDN5"/>
      <c r="CDO5"/>
      <c r="CDP5"/>
      <c r="CDQ5"/>
      <c r="CDR5"/>
      <c r="CDS5"/>
      <c r="CDT5"/>
      <c r="CDU5"/>
      <c r="CDV5"/>
      <c r="CDW5"/>
      <c r="CDX5"/>
      <c r="CDY5"/>
      <c r="CDZ5"/>
      <c r="CEA5"/>
      <c r="CEB5"/>
      <c r="CEC5"/>
      <c r="CED5"/>
      <c r="CEE5"/>
      <c r="CEF5"/>
      <c r="CEG5"/>
      <c r="CEH5"/>
      <c r="CEI5"/>
      <c r="CEJ5"/>
      <c r="CEK5"/>
      <c r="CEL5"/>
      <c r="CEM5"/>
      <c r="CEN5"/>
      <c r="CEO5"/>
      <c r="CEP5"/>
      <c r="CEQ5"/>
      <c r="CER5"/>
      <c r="CES5"/>
      <c r="CET5"/>
      <c r="CEU5"/>
      <c r="CEV5"/>
      <c r="CEW5"/>
      <c r="CEX5"/>
      <c r="CEY5"/>
      <c r="CEZ5"/>
      <c r="CFA5"/>
      <c r="CFB5"/>
      <c r="CFC5"/>
      <c r="CFD5"/>
      <c r="CFE5"/>
      <c r="CFF5"/>
      <c r="CFG5"/>
      <c r="CFH5"/>
      <c r="CFI5"/>
      <c r="CFJ5"/>
      <c r="CFK5"/>
      <c r="CFL5"/>
      <c r="CFM5"/>
      <c r="CFN5"/>
      <c r="CFO5"/>
      <c r="CFP5"/>
      <c r="CFQ5"/>
      <c r="CFR5"/>
      <c r="CFS5"/>
      <c r="CFT5"/>
      <c r="CFU5"/>
      <c r="CFV5"/>
      <c r="CFW5"/>
      <c r="CFX5"/>
      <c r="CFY5"/>
      <c r="CFZ5"/>
      <c r="CGA5"/>
      <c r="CGB5"/>
      <c r="CGC5"/>
      <c r="CGD5"/>
      <c r="CGE5"/>
      <c r="CGF5"/>
      <c r="CGG5"/>
      <c r="CGH5"/>
      <c r="CGI5"/>
      <c r="CGJ5"/>
      <c r="CGK5"/>
      <c r="CGL5"/>
      <c r="CGM5"/>
      <c r="CGN5"/>
      <c r="CGO5"/>
      <c r="CGP5"/>
      <c r="CGQ5"/>
      <c r="CGR5"/>
      <c r="CGS5"/>
      <c r="CGT5"/>
      <c r="CGU5"/>
      <c r="CGV5"/>
      <c r="CGW5"/>
      <c r="CGX5"/>
      <c r="CGY5"/>
      <c r="CGZ5"/>
      <c r="CHA5"/>
      <c r="CHB5"/>
      <c r="CHC5"/>
      <c r="CHD5"/>
      <c r="CHE5"/>
      <c r="CHF5"/>
      <c r="CHG5"/>
      <c r="CHH5"/>
      <c r="CHI5"/>
      <c r="CHJ5"/>
      <c r="CHK5"/>
      <c r="CHL5"/>
      <c r="CHM5"/>
      <c r="CHN5"/>
      <c r="CHO5"/>
      <c r="CHP5"/>
      <c r="CHQ5"/>
      <c r="CHR5"/>
      <c r="CHS5"/>
      <c r="CHT5"/>
      <c r="CHU5"/>
      <c r="CHV5"/>
      <c r="CHW5"/>
      <c r="CHX5"/>
      <c r="CHY5"/>
      <c r="CHZ5"/>
      <c r="CIA5"/>
      <c r="CIB5"/>
      <c r="CIC5"/>
      <c r="CID5"/>
      <c r="CIE5"/>
      <c r="CIF5"/>
      <c r="CIG5"/>
      <c r="CIH5"/>
      <c r="CII5"/>
      <c r="CIJ5"/>
      <c r="CIK5"/>
      <c r="CIL5"/>
      <c r="CIM5"/>
      <c r="CIN5"/>
      <c r="CIO5"/>
      <c r="CIP5"/>
      <c r="CIQ5"/>
      <c r="CIR5"/>
      <c r="CIS5"/>
      <c r="CIT5"/>
      <c r="CIU5"/>
      <c r="CIV5"/>
      <c r="CIW5"/>
      <c r="CIX5"/>
      <c r="CIY5"/>
      <c r="CIZ5"/>
      <c r="CJA5"/>
      <c r="CJB5"/>
      <c r="CJC5"/>
      <c r="CJD5"/>
      <c r="CJE5"/>
      <c r="CJF5"/>
      <c r="CJG5"/>
      <c r="CJH5"/>
      <c r="CJI5"/>
      <c r="CJJ5"/>
      <c r="CJK5"/>
      <c r="CJL5"/>
      <c r="CJM5"/>
      <c r="CJN5"/>
      <c r="CJO5"/>
      <c r="CJP5"/>
      <c r="CJQ5"/>
      <c r="CJR5"/>
      <c r="CJS5"/>
      <c r="CJT5"/>
      <c r="CJU5"/>
      <c r="CJV5"/>
      <c r="CJW5"/>
      <c r="CJX5"/>
      <c r="CJY5"/>
      <c r="CJZ5"/>
      <c r="CKA5"/>
      <c r="CKB5"/>
      <c r="CKC5"/>
      <c r="CKD5"/>
      <c r="CKE5"/>
      <c r="CKF5"/>
      <c r="CKG5"/>
      <c r="CKH5"/>
      <c r="CKI5"/>
      <c r="CKJ5"/>
      <c r="CKK5"/>
      <c r="CKL5"/>
      <c r="CKM5"/>
      <c r="CKN5"/>
      <c r="CKO5"/>
      <c r="CKP5"/>
      <c r="CKQ5"/>
      <c r="CKR5"/>
      <c r="CKS5"/>
      <c r="CKT5"/>
      <c r="CKU5"/>
      <c r="CKV5"/>
      <c r="CKW5"/>
      <c r="CKX5"/>
      <c r="CKY5"/>
      <c r="CKZ5"/>
      <c r="CLA5"/>
      <c r="CLB5"/>
      <c r="CLC5"/>
      <c r="CLD5"/>
      <c r="CLE5"/>
      <c r="CLF5"/>
      <c r="CLG5"/>
      <c r="CLH5"/>
      <c r="CLI5"/>
      <c r="CLJ5"/>
      <c r="CLK5"/>
      <c r="CLL5"/>
      <c r="CLM5"/>
      <c r="CLN5"/>
      <c r="CLO5"/>
      <c r="CLP5"/>
      <c r="CLQ5"/>
      <c r="CLR5"/>
      <c r="CLS5"/>
      <c r="CLT5"/>
      <c r="CLU5"/>
      <c r="CLV5"/>
      <c r="CLW5"/>
      <c r="CLX5"/>
      <c r="CLY5"/>
      <c r="CLZ5"/>
      <c r="CMA5"/>
      <c r="CMB5"/>
      <c r="CMC5"/>
      <c r="CMD5"/>
      <c r="CME5"/>
      <c r="CMF5"/>
      <c r="CMG5"/>
      <c r="CMH5"/>
      <c r="CMI5"/>
      <c r="CMJ5"/>
      <c r="CMK5"/>
      <c r="CML5"/>
      <c r="CMM5"/>
      <c r="CMN5"/>
      <c r="CMO5"/>
      <c r="CMP5"/>
      <c r="CMQ5"/>
      <c r="CMR5"/>
      <c r="CMS5"/>
      <c r="CMT5"/>
      <c r="CMU5"/>
      <c r="CMV5"/>
      <c r="CMW5"/>
      <c r="CMX5"/>
      <c r="CMY5"/>
      <c r="CMZ5"/>
      <c r="CNA5"/>
      <c r="CNB5"/>
      <c r="CNC5"/>
      <c r="CND5"/>
      <c r="CNE5"/>
      <c r="CNF5"/>
      <c r="CNG5"/>
      <c r="CNH5"/>
      <c r="CNI5"/>
      <c r="CNJ5"/>
      <c r="CNK5"/>
      <c r="CNL5"/>
      <c r="CNM5"/>
      <c r="CNN5"/>
      <c r="CNO5"/>
      <c r="CNP5"/>
      <c r="CNQ5"/>
      <c r="CNR5"/>
      <c r="CNS5"/>
      <c r="CNT5"/>
      <c r="CNU5"/>
      <c r="CNV5"/>
      <c r="CNW5"/>
      <c r="CNX5"/>
      <c r="CNY5"/>
      <c r="CNZ5"/>
      <c r="COA5"/>
      <c r="COB5"/>
      <c r="COC5"/>
      <c r="COD5"/>
      <c r="COE5"/>
      <c r="COF5"/>
      <c r="COG5"/>
      <c r="COH5"/>
      <c r="COI5"/>
      <c r="COJ5"/>
      <c r="COK5"/>
      <c r="COL5"/>
      <c r="COM5"/>
      <c r="CON5"/>
      <c r="COO5"/>
      <c r="COP5"/>
      <c r="COQ5"/>
      <c r="COR5"/>
      <c r="COS5"/>
      <c r="COT5"/>
      <c r="COU5"/>
      <c r="COV5"/>
      <c r="COW5"/>
      <c r="COX5"/>
      <c r="COY5"/>
      <c r="COZ5"/>
      <c r="CPA5"/>
      <c r="CPB5"/>
      <c r="CPC5"/>
      <c r="CPD5"/>
      <c r="CPE5"/>
      <c r="CPF5"/>
      <c r="CPG5"/>
      <c r="CPH5"/>
      <c r="CPI5"/>
      <c r="CPJ5"/>
      <c r="CPK5"/>
      <c r="CPL5"/>
      <c r="CPM5"/>
      <c r="CPN5"/>
      <c r="CPO5"/>
      <c r="CPP5"/>
      <c r="CPQ5"/>
      <c r="CPR5"/>
      <c r="CPS5"/>
      <c r="CPT5"/>
      <c r="CPU5"/>
      <c r="CPV5"/>
      <c r="CPW5"/>
      <c r="CPX5"/>
      <c r="CPY5"/>
      <c r="CPZ5"/>
      <c r="CQA5"/>
      <c r="CQB5"/>
      <c r="CQC5"/>
      <c r="CQD5"/>
      <c r="CQE5"/>
      <c r="CQF5"/>
      <c r="CQG5"/>
      <c r="CQH5"/>
      <c r="CQI5"/>
      <c r="CQJ5"/>
      <c r="CQK5"/>
      <c r="CQL5"/>
      <c r="CQM5"/>
      <c r="CQN5"/>
      <c r="CQO5"/>
      <c r="CQP5"/>
      <c r="CQQ5"/>
      <c r="CQR5"/>
      <c r="CQS5"/>
      <c r="CQT5"/>
      <c r="CQU5"/>
      <c r="CQV5"/>
      <c r="CQW5"/>
      <c r="CQX5"/>
      <c r="CQY5"/>
      <c r="CQZ5"/>
      <c r="CRA5"/>
      <c r="CRB5"/>
      <c r="CRC5"/>
      <c r="CRD5"/>
      <c r="CRE5"/>
      <c r="CRF5"/>
      <c r="CRG5"/>
      <c r="CRH5"/>
      <c r="CRI5"/>
      <c r="CRJ5"/>
      <c r="CRK5"/>
      <c r="CRL5"/>
      <c r="CRM5"/>
      <c r="CRN5"/>
      <c r="CRO5"/>
      <c r="CRP5"/>
      <c r="CRQ5"/>
      <c r="CRR5"/>
      <c r="CRS5"/>
      <c r="CRT5"/>
      <c r="CRU5"/>
      <c r="CRV5"/>
      <c r="CRW5"/>
      <c r="CRX5"/>
      <c r="CRY5"/>
      <c r="CRZ5"/>
      <c r="CSA5"/>
      <c r="CSB5"/>
      <c r="CSC5"/>
      <c r="CSD5"/>
      <c r="CSE5"/>
      <c r="CSF5"/>
      <c r="CSG5"/>
      <c r="CSH5"/>
      <c r="CSI5"/>
      <c r="CSJ5"/>
      <c r="CSK5"/>
      <c r="CSL5"/>
      <c r="CSM5"/>
      <c r="CSN5"/>
      <c r="CSO5"/>
      <c r="CSP5"/>
      <c r="CSQ5"/>
      <c r="CSR5"/>
      <c r="CSS5"/>
      <c r="CST5"/>
      <c r="CSU5"/>
      <c r="CSV5"/>
      <c r="CSW5"/>
      <c r="CSX5"/>
      <c r="CSY5"/>
      <c r="CSZ5"/>
      <c r="CTA5"/>
      <c r="CTB5"/>
      <c r="CTC5"/>
      <c r="CTD5"/>
      <c r="CTE5"/>
      <c r="CTF5"/>
      <c r="CTG5"/>
      <c r="CTH5"/>
      <c r="CTI5"/>
      <c r="CTJ5"/>
      <c r="CTK5"/>
      <c r="CTL5"/>
      <c r="CTM5"/>
      <c r="CTN5"/>
      <c r="CTO5"/>
      <c r="CTP5"/>
      <c r="CTQ5"/>
      <c r="CTR5"/>
      <c r="CTS5"/>
      <c r="CTT5"/>
      <c r="CTU5"/>
      <c r="CTV5"/>
      <c r="CTW5"/>
      <c r="CTX5"/>
      <c r="CTY5"/>
      <c r="CTZ5"/>
      <c r="CUA5"/>
      <c r="CUB5"/>
      <c r="CUC5"/>
      <c r="CUD5"/>
      <c r="CUE5"/>
      <c r="CUF5"/>
      <c r="CUG5"/>
      <c r="CUH5"/>
      <c r="CUI5"/>
      <c r="CUJ5"/>
      <c r="CUK5"/>
      <c r="CUL5"/>
      <c r="CUM5"/>
      <c r="CUN5"/>
      <c r="CUO5"/>
      <c r="CUP5"/>
      <c r="CUQ5"/>
      <c r="CUR5"/>
      <c r="CUS5"/>
      <c r="CUT5"/>
      <c r="CUU5"/>
      <c r="CUV5"/>
      <c r="CUW5"/>
      <c r="CUX5"/>
      <c r="CUY5"/>
      <c r="CUZ5"/>
      <c r="CVA5"/>
      <c r="CVB5"/>
      <c r="CVC5"/>
      <c r="CVD5"/>
      <c r="CVE5"/>
      <c r="CVF5"/>
      <c r="CVG5"/>
      <c r="CVH5"/>
      <c r="CVI5"/>
      <c r="CVJ5"/>
      <c r="CVK5"/>
      <c r="CVL5"/>
      <c r="CVM5"/>
      <c r="CVN5"/>
      <c r="CVO5"/>
      <c r="CVP5"/>
      <c r="CVQ5"/>
      <c r="CVR5"/>
      <c r="CVS5"/>
      <c r="CVT5"/>
      <c r="CVU5"/>
      <c r="CVV5"/>
      <c r="CVW5"/>
      <c r="CVX5"/>
      <c r="CVY5"/>
      <c r="CVZ5"/>
      <c r="CWA5"/>
      <c r="CWB5"/>
      <c r="CWC5"/>
      <c r="CWD5"/>
      <c r="CWE5"/>
      <c r="CWF5"/>
      <c r="CWG5"/>
      <c r="CWH5"/>
      <c r="CWI5"/>
      <c r="CWJ5"/>
      <c r="CWK5"/>
      <c r="CWL5"/>
      <c r="CWM5"/>
      <c r="CWN5"/>
      <c r="CWO5"/>
      <c r="CWP5"/>
      <c r="CWQ5"/>
      <c r="CWR5"/>
      <c r="CWS5"/>
      <c r="CWT5"/>
      <c r="CWU5"/>
      <c r="CWV5"/>
      <c r="CWW5"/>
      <c r="CWX5"/>
      <c r="CWY5"/>
      <c r="CWZ5"/>
      <c r="CXA5"/>
      <c r="CXB5"/>
      <c r="CXC5"/>
      <c r="CXD5"/>
      <c r="CXE5"/>
      <c r="CXF5"/>
      <c r="CXG5"/>
      <c r="CXH5"/>
      <c r="CXI5"/>
      <c r="CXJ5"/>
      <c r="CXK5"/>
      <c r="CXL5"/>
      <c r="CXM5"/>
      <c r="CXN5"/>
      <c r="CXO5"/>
      <c r="CXP5"/>
      <c r="CXQ5"/>
      <c r="CXR5"/>
      <c r="CXS5"/>
      <c r="CXT5"/>
      <c r="CXU5"/>
      <c r="CXV5"/>
      <c r="CXW5"/>
      <c r="CXX5"/>
      <c r="CXY5"/>
      <c r="CXZ5"/>
      <c r="CYA5"/>
      <c r="CYB5"/>
      <c r="CYC5"/>
      <c r="CYD5"/>
      <c r="CYE5"/>
      <c r="CYF5"/>
      <c r="CYG5"/>
      <c r="CYH5"/>
      <c r="CYI5"/>
      <c r="CYJ5"/>
      <c r="CYK5"/>
      <c r="CYL5"/>
      <c r="CYM5"/>
      <c r="CYN5"/>
      <c r="CYO5"/>
      <c r="CYP5"/>
      <c r="CYQ5"/>
      <c r="CYR5"/>
      <c r="CYS5"/>
      <c r="CYT5"/>
      <c r="CYU5"/>
      <c r="CYV5"/>
      <c r="CYW5"/>
      <c r="CYX5"/>
      <c r="CYY5"/>
      <c r="CYZ5"/>
      <c r="CZA5"/>
      <c r="CZB5"/>
      <c r="CZC5"/>
      <c r="CZD5"/>
      <c r="CZE5"/>
      <c r="CZF5"/>
      <c r="CZG5"/>
      <c r="CZH5"/>
      <c r="CZI5"/>
      <c r="CZJ5"/>
      <c r="CZK5"/>
      <c r="CZL5"/>
      <c r="CZM5"/>
      <c r="CZN5"/>
      <c r="CZO5"/>
      <c r="CZP5"/>
      <c r="CZQ5"/>
      <c r="CZR5"/>
      <c r="CZS5"/>
      <c r="CZT5"/>
      <c r="CZU5"/>
      <c r="CZV5"/>
      <c r="CZW5"/>
      <c r="CZX5"/>
      <c r="CZY5"/>
      <c r="CZZ5"/>
      <c r="DAA5"/>
      <c r="DAB5"/>
      <c r="DAC5"/>
      <c r="DAD5"/>
      <c r="DAE5"/>
      <c r="DAF5"/>
      <c r="DAG5"/>
      <c r="DAH5"/>
      <c r="DAI5"/>
      <c r="DAJ5"/>
      <c r="DAK5"/>
      <c r="DAL5"/>
      <c r="DAM5"/>
      <c r="DAN5"/>
      <c r="DAO5"/>
      <c r="DAP5"/>
      <c r="DAQ5"/>
      <c r="DAR5"/>
      <c r="DAS5"/>
      <c r="DAT5"/>
      <c r="DAU5"/>
      <c r="DAV5"/>
      <c r="DAW5"/>
      <c r="DAX5"/>
      <c r="DAY5"/>
      <c r="DAZ5"/>
      <c r="DBA5"/>
      <c r="DBB5"/>
      <c r="DBC5"/>
      <c r="DBD5"/>
      <c r="DBE5"/>
      <c r="DBF5"/>
      <c r="DBG5"/>
      <c r="DBH5"/>
      <c r="DBI5"/>
      <c r="DBJ5"/>
      <c r="DBK5"/>
      <c r="DBL5"/>
      <c r="DBM5"/>
      <c r="DBN5"/>
      <c r="DBO5"/>
      <c r="DBP5"/>
      <c r="DBQ5"/>
      <c r="DBR5"/>
      <c r="DBS5"/>
      <c r="DBT5"/>
      <c r="DBU5"/>
      <c r="DBV5"/>
      <c r="DBW5"/>
      <c r="DBX5"/>
      <c r="DBY5"/>
      <c r="DBZ5"/>
      <c r="DCA5"/>
      <c r="DCB5"/>
      <c r="DCC5"/>
      <c r="DCD5"/>
      <c r="DCE5"/>
      <c r="DCF5"/>
      <c r="DCG5"/>
      <c r="DCH5"/>
      <c r="DCI5"/>
      <c r="DCJ5"/>
      <c r="DCK5"/>
      <c r="DCL5"/>
      <c r="DCM5"/>
      <c r="DCN5"/>
      <c r="DCO5"/>
      <c r="DCP5"/>
      <c r="DCQ5"/>
      <c r="DCR5"/>
      <c r="DCS5"/>
      <c r="DCT5"/>
      <c r="DCU5"/>
      <c r="DCV5"/>
      <c r="DCW5"/>
      <c r="DCX5"/>
      <c r="DCY5"/>
      <c r="DCZ5"/>
      <c r="DDA5"/>
      <c r="DDB5"/>
      <c r="DDC5"/>
      <c r="DDD5"/>
      <c r="DDE5"/>
      <c r="DDF5"/>
      <c r="DDG5"/>
      <c r="DDH5"/>
      <c r="DDI5"/>
      <c r="DDJ5"/>
      <c r="DDK5"/>
      <c r="DDL5"/>
      <c r="DDM5"/>
      <c r="DDN5"/>
      <c r="DDO5"/>
      <c r="DDP5"/>
      <c r="DDQ5"/>
      <c r="DDR5"/>
      <c r="DDS5"/>
      <c r="DDT5"/>
      <c r="DDU5"/>
      <c r="DDV5"/>
      <c r="DDW5"/>
      <c r="DDX5"/>
      <c r="DDY5"/>
      <c r="DDZ5"/>
      <c r="DEA5"/>
      <c r="DEB5"/>
      <c r="DEC5"/>
      <c r="DED5"/>
      <c r="DEE5"/>
      <c r="DEF5"/>
      <c r="DEG5"/>
      <c r="DEH5"/>
      <c r="DEI5"/>
      <c r="DEJ5"/>
      <c r="DEK5"/>
      <c r="DEL5"/>
      <c r="DEM5"/>
      <c r="DEN5"/>
      <c r="DEO5"/>
      <c r="DEP5"/>
      <c r="DEQ5"/>
      <c r="DER5"/>
      <c r="DES5"/>
      <c r="DET5"/>
      <c r="DEU5"/>
      <c r="DEV5"/>
      <c r="DEW5"/>
      <c r="DEX5"/>
      <c r="DEY5"/>
      <c r="DEZ5"/>
      <c r="DFA5"/>
      <c r="DFB5"/>
      <c r="DFC5"/>
      <c r="DFD5"/>
      <c r="DFE5"/>
      <c r="DFF5"/>
      <c r="DFG5"/>
      <c r="DFH5"/>
      <c r="DFI5"/>
      <c r="DFJ5"/>
      <c r="DFK5"/>
      <c r="DFL5"/>
      <c r="DFM5"/>
      <c r="DFN5"/>
      <c r="DFO5"/>
      <c r="DFP5"/>
      <c r="DFQ5"/>
      <c r="DFR5"/>
      <c r="DFS5"/>
      <c r="DFT5"/>
      <c r="DFU5"/>
      <c r="DFV5"/>
      <c r="DFW5"/>
      <c r="DFX5"/>
      <c r="DFY5"/>
      <c r="DFZ5"/>
      <c r="DGA5"/>
      <c r="DGB5"/>
      <c r="DGC5"/>
      <c r="DGD5"/>
      <c r="DGE5"/>
      <c r="DGF5"/>
      <c r="DGG5"/>
      <c r="DGH5"/>
      <c r="DGI5"/>
      <c r="DGJ5"/>
      <c r="DGK5"/>
      <c r="DGL5"/>
      <c r="DGM5"/>
      <c r="DGN5"/>
      <c r="DGO5"/>
      <c r="DGP5"/>
      <c r="DGQ5"/>
      <c r="DGR5"/>
      <c r="DGS5"/>
      <c r="DGT5"/>
      <c r="DGU5"/>
      <c r="DGV5"/>
      <c r="DGW5"/>
      <c r="DGX5"/>
      <c r="DGY5"/>
      <c r="DGZ5"/>
      <c r="DHA5"/>
      <c r="DHB5"/>
      <c r="DHC5"/>
      <c r="DHD5"/>
      <c r="DHE5"/>
      <c r="DHF5"/>
      <c r="DHG5"/>
      <c r="DHH5"/>
      <c r="DHI5"/>
      <c r="DHJ5"/>
      <c r="DHK5"/>
      <c r="DHL5"/>
      <c r="DHM5"/>
      <c r="DHN5"/>
      <c r="DHO5"/>
      <c r="DHP5"/>
      <c r="DHQ5"/>
      <c r="DHR5"/>
      <c r="DHS5"/>
      <c r="DHT5"/>
      <c r="DHU5"/>
      <c r="DHV5"/>
      <c r="DHW5"/>
      <c r="DHX5"/>
      <c r="DHY5"/>
      <c r="DHZ5"/>
      <c r="DIA5"/>
      <c r="DIB5"/>
      <c r="DIC5"/>
      <c r="DID5"/>
      <c r="DIE5"/>
      <c r="DIF5"/>
      <c r="DIG5"/>
      <c r="DIH5"/>
      <c r="DII5"/>
      <c r="DIJ5"/>
      <c r="DIK5"/>
      <c r="DIL5"/>
      <c r="DIM5"/>
      <c r="DIN5"/>
      <c r="DIO5"/>
      <c r="DIP5"/>
      <c r="DIQ5"/>
      <c r="DIR5"/>
      <c r="DIS5"/>
      <c r="DIT5"/>
      <c r="DIU5"/>
      <c r="DIV5"/>
      <c r="DIW5"/>
      <c r="DIX5"/>
      <c r="DIY5"/>
      <c r="DIZ5"/>
      <c r="DJA5"/>
      <c r="DJB5"/>
      <c r="DJC5"/>
      <c r="DJD5"/>
      <c r="DJE5"/>
      <c r="DJF5"/>
      <c r="DJG5"/>
      <c r="DJH5"/>
      <c r="DJI5"/>
      <c r="DJJ5"/>
      <c r="DJK5"/>
      <c r="DJL5"/>
      <c r="DJM5"/>
      <c r="DJN5"/>
      <c r="DJO5"/>
      <c r="DJP5"/>
      <c r="DJQ5"/>
      <c r="DJR5"/>
      <c r="DJS5"/>
      <c r="DJT5"/>
      <c r="DJU5"/>
      <c r="DJV5"/>
      <c r="DJW5"/>
      <c r="DJX5"/>
      <c r="DJY5"/>
      <c r="DJZ5"/>
      <c r="DKA5"/>
      <c r="DKB5"/>
      <c r="DKC5"/>
      <c r="DKD5"/>
      <c r="DKE5"/>
      <c r="DKF5"/>
      <c r="DKG5"/>
      <c r="DKH5"/>
      <c r="DKI5"/>
      <c r="DKJ5"/>
      <c r="DKK5"/>
      <c r="DKL5"/>
      <c r="DKM5"/>
      <c r="DKN5"/>
      <c r="DKO5"/>
      <c r="DKP5"/>
      <c r="DKQ5"/>
      <c r="DKR5"/>
      <c r="DKS5"/>
      <c r="DKT5"/>
      <c r="DKU5"/>
      <c r="DKV5"/>
      <c r="DKW5"/>
      <c r="DKX5"/>
      <c r="DKY5"/>
      <c r="DKZ5"/>
      <c r="DLA5"/>
      <c r="DLB5"/>
      <c r="DLC5"/>
      <c r="DLD5"/>
      <c r="DLE5"/>
      <c r="DLF5"/>
      <c r="DLG5"/>
      <c r="DLH5"/>
      <c r="DLI5"/>
      <c r="DLJ5"/>
      <c r="DLK5"/>
      <c r="DLL5"/>
      <c r="DLM5"/>
      <c r="DLN5"/>
      <c r="DLO5"/>
      <c r="DLP5"/>
      <c r="DLQ5"/>
      <c r="DLR5"/>
      <c r="DLS5"/>
      <c r="DLT5"/>
      <c r="DLU5"/>
      <c r="DLV5"/>
      <c r="DLW5"/>
      <c r="DLX5"/>
      <c r="DLY5"/>
      <c r="DLZ5"/>
      <c r="DMA5"/>
      <c r="DMB5"/>
      <c r="DMC5"/>
      <c r="DMD5"/>
      <c r="DME5"/>
      <c r="DMF5"/>
      <c r="DMG5"/>
      <c r="DMH5"/>
      <c r="DMI5"/>
      <c r="DMJ5"/>
      <c r="DMK5"/>
      <c r="DML5"/>
      <c r="DMM5"/>
      <c r="DMN5"/>
      <c r="DMO5"/>
      <c r="DMP5"/>
      <c r="DMQ5"/>
      <c r="DMR5"/>
      <c r="DMS5"/>
      <c r="DMT5"/>
      <c r="DMU5"/>
      <c r="DMV5"/>
      <c r="DMW5"/>
      <c r="DMX5"/>
      <c r="DMY5"/>
      <c r="DMZ5"/>
      <c r="DNA5"/>
      <c r="DNB5"/>
      <c r="DNC5"/>
      <c r="DND5"/>
      <c r="DNE5"/>
      <c r="DNF5"/>
      <c r="DNG5"/>
      <c r="DNH5"/>
      <c r="DNI5"/>
      <c r="DNJ5"/>
      <c r="DNK5"/>
      <c r="DNL5"/>
      <c r="DNM5"/>
      <c r="DNN5"/>
      <c r="DNO5"/>
      <c r="DNP5"/>
      <c r="DNQ5"/>
      <c r="DNR5"/>
      <c r="DNS5"/>
      <c r="DNT5"/>
      <c r="DNU5"/>
      <c r="DNV5"/>
      <c r="DNW5"/>
      <c r="DNX5"/>
      <c r="DNY5"/>
      <c r="DNZ5"/>
      <c r="DOA5"/>
      <c r="DOB5"/>
      <c r="DOC5"/>
      <c r="DOD5"/>
      <c r="DOE5"/>
      <c r="DOF5"/>
      <c r="DOG5"/>
      <c r="DOH5"/>
      <c r="DOI5"/>
      <c r="DOJ5"/>
      <c r="DOK5"/>
      <c r="DOL5"/>
      <c r="DOM5"/>
      <c r="DON5"/>
      <c r="DOO5"/>
      <c r="DOP5"/>
      <c r="DOQ5"/>
      <c r="DOR5"/>
      <c r="DOS5"/>
      <c r="DOT5"/>
      <c r="DOU5"/>
      <c r="DOV5"/>
      <c r="DOW5"/>
      <c r="DOX5"/>
      <c r="DOY5"/>
      <c r="DOZ5"/>
      <c r="DPA5"/>
      <c r="DPB5"/>
      <c r="DPC5"/>
      <c r="DPD5"/>
      <c r="DPE5"/>
      <c r="DPF5"/>
      <c r="DPG5"/>
      <c r="DPH5"/>
      <c r="DPI5"/>
      <c r="DPJ5"/>
      <c r="DPK5"/>
      <c r="DPL5"/>
      <c r="DPM5"/>
      <c r="DPN5"/>
      <c r="DPO5"/>
      <c r="DPP5"/>
      <c r="DPQ5"/>
      <c r="DPR5"/>
      <c r="DPS5"/>
      <c r="DPT5"/>
      <c r="DPU5"/>
      <c r="DPV5"/>
      <c r="DPW5"/>
      <c r="DPX5"/>
      <c r="DPY5"/>
      <c r="DPZ5"/>
      <c r="DQA5"/>
      <c r="DQB5"/>
      <c r="DQC5"/>
      <c r="DQD5"/>
      <c r="DQE5"/>
      <c r="DQF5"/>
      <c r="DQG5"/>
      <c r="DQH5"/>
      <c r="DQI5"/>
      <c r="DQJ5"/>
      <c r="DQK5"/>
      <c r="DQL5"/>
      <c r="DQM5"/>
      <c r="DQN5"/>
      <c r="DQO5"/>
      <c r="DQP5"/>
      <c r="DQQ5"/>
      <c r="DQR5"/>
      <c r="DQS5"/>
      <c r="DQT5"/>
      <c r="DQU5"/>
      <c r="DQV5"/>
      <c r="DQW5"/>
      <c r="DQX5"/>
      <c r="DQY5"/>
      <c r="DQZ5"/>
      <c r="DRA5"/>
      <c r="DRB5"/>
      <c r="DRC5"/>
      <c r="DRD5"/>
      <c r="DRE5"/>
      <c r="DRF5"/>
      <c r="DRG5"/>
      <c r="DRH5"/>
      <c r="DRI5"/>
      <c r="DRJ5"/>
      <c r="DRK5"/>
      <c r="DRL5"/>
      <c r="DRM5"/>
      <c r="DRN5"/>
      <c r="DRO5"/>
      <c r="DRP5"/>
      <c r="DRQ5"/>
      <c r="DRR5"/>
      <c r="DRS5"/>
      <c r="DRT5"/>
      <c r="DRU5"/>
      <c r="DRV5"/>
      <c r="DRW5"/>
      <c r="DRX5"/>
      <c r="DRY5"/>
      <c r="DRZ5"/>
      <c r="DSA5"/>
      <c r="DSB5"/>
      <c r="DSC5"/>
      <c r="DSD5"/>
      <c r="DSE5"/>
      <c r="DSF5"/>
      <c r="DSG5"/>
      <c r="DSH5"/>
      <c r="DSI5"/>
      <c r="DSJ5"/>
      <c r="DSK5"/>
      <c r="DSL5"/>
      <c r="DSM5"/>
      <c r="DSN5"/>
      <c r="DSO5"/>
      <c r="DSP5"/>
      <c r="DSQ5"/>
      <c r="DSR5"/>
      <c r="DSS5"/>
      <c r="DST5"/>
      <c r="DSU5"/>
      <c r="DSV5"/>
      <c r="DSW5"/>
      <c r="DSX5"/>
      <c r="DSY5"/>
      <c r="DSZ5"/>
      <c r="DTA5"/>
      <c r="DTB5"/>
      <c r="DTC5"/>
      <c r="DTD5"/>
      <c r="DTE5"/>
      <c r="DTF5"/>
      <c r="DTG5"/>
      <c r="DTH5"/>
      <c r="DTI5"/>
      <c r="DTJ5"/>
      <c r="DTK5"/>
      <c r="DTL5"/>
      <c r="DTM5"/>
      <c r="DTN5"/>
      <c r="DTO5"/>
      <c r="DTP5"/>
      <c r="DTQ5"/>
      <c r="DTR5"/>
      <c r="DTS5"/>
      <c r="DTT5"/>
      <c r="DTU5"/>
      <c r="DTV5"/>
      <c r="DTW5"/>
      <c r="DTX5"/>
      <c r="DTY5"/>
      <c r="DTZ5"/>
      <c r="DUA5"/>
      <c r="DUB5"/>
      <c r="DUC5"/>
      <c r="DUD5"/>
      <c r="DUE5"/>
      <c r="DUF5"/>
      <c r="DUG5"/>
      <c r="DUH5"/>
      <c r="DUI5"/>
      <c r="DUJ5"/>
      <c r="DUK5"/>
      <c r="DUL5"/>
      <c r="DUM5"/>
      <c r="DUN5"/>
      <c r="DUO5"/>
      <c r="DUP5"/>
      <c r="DUQ5"/>
      <c r="DUR5"/>
      <c r="DUS5"/>
      <c r="DUT5"/>
      <c r="DUU5"/>
      <c r="DUV5"/>
      <c r="DUW5"/>
      <c r="DUX5"/>
      <c r="DUY5"/>
      <c r="DUZ5"/>
      <c r="DVA5"/>
      <c r="DVB5"/>
      <c r="DVC5"/>
      <c r="DVD5"/>
      <c r="DVE5"/>
      <c r="DVF5"/>
      <c r="DVG5"/>
      <c r="DVH5"/>
      <c r="DVI5"/>
      <c r="DVJ5"/>
      <c r="DVK5"/>
      <c r="DVL5"/>
      <c r="DVM5"/>
      <c r="DVN5"/>
      <c r="DVO5"/>
      <c r="DVP5"/>
      <c r="DVQ5"/>
      <c r="DVR5"/>
      <c r="DVS5"/>
      <c r="DVT5"/>
      <c r="DVU5"/>
      <c r="DVV5"/>
      <c r="DVW5"/>
      <c r="DVX5"/>
      <c r="DVY5"/>
      <c r="DVZ5"/>
      <c r="DWA5"/>
      <c r="DWB5"/>
      <c r="DWC5"/>
      <c r="DWD5"/>
      <c r="DWE5"/>
      <c r="DWF5"/>
      <c r="DWG5"/>
      <c r="DWH5"/>
      <c r="DWI5"/>
      <c r="DWJ5"/>
      <c r="DWK5"/>
      <c r="DWL5"/>
      <c r="DWM5"/>
      <c r="DWN5"/>
      <c r="DWO5"/>
      <c r="DWP5"/>
      <c r="DWQ5"/>
      <c r="DWR5"/>
      <c r="DWS5"/>
      <c r="DWT5"/>
      <c r="DWU5"/>
      <c r="DWV5"/>
      <c r="DWW5"/>
      <c r="DWX5"/>
      <c r="DWY5"/>
      <c r="DWZ5"/>
      <c r="DXA5"/>
      <c r="DXB5"/>
      <c r="DXC5"/>
      <c r="DXD5"/>
      <c r="DXE5"/>
      <c r="DXF5"/>
      <c r="DXG5"/>
      <c r="DXH5"/>
      <c r="DXI5"/>
      <c r="DXJ5"/>
      <c r="DXK5"/>
      <c r="DXL5"/>
      <c r="DXM5"/>
      <c r="DXN5"/>
      <c r="DXO5"/>
      <c r="DXP5"/>
      <c r="DXQ5"/>
      <c r="DXR5"/>
      <c r="DXS5"/>
      <c r="DXT5"/>
      <c r="DXU5"/>
      <c r="DXV5"/>
      <c r="DXW5"/>
      <c r="DXX5"/>
      <c r="DXY5"/>
      <c r="DXZ5"/>
      <c r="DYA5"/>
      <c r="DYB5"/>
      <c r="DYC5"/>
      <c r="DYD5"/>
      <c r="DYE5"/>
      <c r="DYF5"/>
      <c r="DYG5"/>
      <c r="DYH5"/>
      <c r="DYI5"/>
      <c r="DYJ5"/>
      <c r="DYK5"/>
      <c r="DYL5"/>
      <c r="DYM5"/>
      <c r="DYN5"/>
      <c r="DYO5"/>
      <c r="DYP5"/>
      <c r="DYQ5"/>
      <c r="DYR5"/>
      <c r="DYS5"/>
      <c r="DYT5"/>
      <c r="DYU5"/>
      <c r="DYV5"/>
      <c r="DYW5"/>
      <c r="DYX5"/>
      <c r="DYY5"/>
      <c r="DYZ5"/>
      <c r="DZA5"/>
      <c r="DZB5"/>
      <c r="DZC5"/>
      <c r="DZD5"/>
      <c r="DZE5"/>
      <c r="DZF5"/>
      <c r="DZG5"/>
      <c r="DZH5"/>
      <c r="DZI5"/>
      <c r="DZJ5"/>
      <c r="DZK5"/>
      <c r="DZL5"/>
      <c r="DZM5"/>
      <c r="DZN5"/>
      <c r="DZO5"/>
      <c r="DZP5"/>
      <c r="DZQ5"/>
      <c r="DZR5"/>
      <c r="DZS5"/>
      <c r="DZT5"/>
      <c r="DZU5"/>
      <c r="DZV5"/>
      <c r="DZW5"/>
      <c r="DZX5"/>
      <c r="DZY5"/>
      <c r="DZZ5"/>
      <c r="EAA5"/>
      <c r="EAB5"/>
      <c r="EAC5"/>
      <c r="EAD5"/>
      <c r="EAE5"/>
      <c r="EAF5"/>
      <c r="EAG5"/>
      <c r="EAH5"/>
      <c r="EAI5"/>
      <c r="EAJ5"/>
      <c r="EAK5"/>
      <c r="EAL5"/>
      <c r="EAM5"/>
      <c r="EAN5"/>
      <c r="EAO5"/>
      <c r="EAP5"/>
      <c r="EAQ5"/>
      <c r="EAR5"/>
      <c r="EAS5"/>
      <c r="EAT5"/>
      <c r="EAU5"/>
      <c r="EAV5"/>
      <c r="EAW5"/>
      <c r="EAX5"/>
      <c r="EAY5"/>
      <c r="EAZ5"/>
      <c r="EBA5"/>
      <c r="EBB5"/>
      <c r="EBC5"/>
      <c r="EBD5"/>
      <c r="EBE5"/>
      <c r="EBF5"/>
      <c r="EBG5"/>
      <c r="EBH5"/>
      <c r="EBI5"/>
      <c r="EBJ5"/>
      <c r="EBK5"/>
      <c r="EBL5"/>
      <c r="EBM5"/>
      <c r="EBN5"/>
      <c r="EBO5"/>
      <c r="EBP5"/>
      <c r="EBQ5"/>
      <c r="EBR5"/>
      <c r="EBS5"/>
      <c r="EBT5"/>
      <c r="EBU5"/>
      <c r="EBV5"/>
      <c r="EBW5"/>
      <c r="EBX5"/>
      <c r="EBY5"/>
      <c r="EBZ5"/>
      <c r="ECA5"/>
      <c r="ECB5"/>
      <c r="ECC5"/>
      <c r="ECD5"/>
      <c r="ECE5"/>
      <c r="ECF5"/>
      <c r="ECG5"/>
      <c r="ECH5"/>
      <c r="ECI5"/>
      <c r="ECJ5"/>
      <c r="ECK5"/>
      <c r="ECL5"/>
      <c r="ECM5"/>
      <c r="ECN5"/>
      <c r="ECO5"/>
      <c r="ECP5"/>
      <c r="ECQ5"/>
      <c r="ECR5"/>
      <c r="ECS5"/>
      <c r="ECT5"/>
      <c r="ECU5"/>
      <c r="ECV5"/>
      <c r="ECW5"/>
      <c r="ECX5"/>
      <c r="ECY5"/>
      <c r="ECZ5"/>
      <c r="EDA5"/>
      <c r="EDB5"/>
      <c r="EDC5"/>
      <c r="EDD5"/>
      <c r="EDE5"/>
      <c r="EDF5"/>
      <c r="EDG5"/>
      <c r="EDH5"/>
      <c r="EDI5"/>
      <c r="EDJ5"/>
      <c r="EDK5"/>
      <c r="EDL5"/>
      <c r="EDM5"/>
      <c r="EDN5"/>
      <c r="EDO5"/>
      <c r="EDP5"/>
      <c r="EDQ5"/>
      <c r="EDR5"/>
      <c r="EDS5"/>
      <c r="EDT5"/>
      <c r="EDU5"/>
      <c r="EDV5"/>
      <c r="EDW5"/>
      <c r="EDX5"/>
      <c r="EDY5"/>
      <c r="EDZ5"/>
      <c r="EEA5"/>
      <c r="EEB5"/>
      <c r="EEC5"/>
      <c r="EED5"/>
      <c r="EEE5"/>
      <c r="EEF5"/>
      <c r="EEG5"/>
      <c r="EEH5"/>
      <c r="EEI5"/>
      <c r="EEJ5"/>
      <c r="EEK5"/>
      <c r="EEL5"/>
      <c r="EEM5"/>
      <c r="EEN5"/>
      <c r="EEO5"/>
      <c r="EEP5"/>
      <c r="EEQ5"/>
      <c r="EER5"/>
      <c r="EES5"/>
      <c r="EET5"/>
      <c r="EEU5"/>
      <c r="EEV5"/>
      <c r="EEW5"/>
      <c r="EEX5"/>
      <c r="EEY5"/>
      <c r="EEZ5"/>
      <c r="EFA5"/>
      <c r="EFB5"/>
      <c r="EFC5"/>
      <c r="EFD5"/>
      <c r="EFE5"/>
      <c r="EFF5"/>
      <c r="EFG5"/>
      <c r="EFH5"/>
      <c r="EFI5"/>
      <c r="EFJ5"/>
      <c r="EFK5"/>
      <c r="EFL5"/>
      <c r="EFM5"/>
      <c r="EFN5"/>
      <c r="EFO5"/>
      <c r="EFP5"/>
      <c r="EFQ5"/>
      <c r="EFR5"/>
      <c r="EFS5"/>
      <c r="EFT5"/>
      <c r="EFU5"/>
      <c r="EFV5"/>
      <c r="EFW5"/>
      <c r="EFX5"/>
      <c r="EFY5"/>
      <c r="EFZ5"/>
      <c r="EGA5"/>
      <c r="EGB5"/>
      <c r="EGC5"/>
      <c r="EGD5"/>
      <c r="EGE5"/>
      <c r="EGF5"/>
      <c r="EGG5"/>
      <c r="EGH5"/>
      <c r="EGI5"/>
      <c r="EGJ5"/>
      <c r="EGK5"/>
      <c r="EGL5"/>
      <c r="EGM5"/>
      <c r="EGN5"/>
      <c r="EGO5"/>
      <c r="EGP5"/>
      <c r="EGQ5"/>
      <c r="EGR5"/>
      <c r="EGS5"/>
      <c r="EGT5"/>
      <c r="EGU5"/>
      <c r="EGV5"/>
      <c r="EGW5"/>
      <c r="EGX5"/>
      <c r="EGY5"/>
      <c r="EGZ5"/>
      <c r="EHA5"/>
      <c r="EHB5"/>
      <c r="EHC5"/>
      <c r="EHD5"/>
      <c r="EHE5"/>
      <c r="EHF5"/>
      <c r="EHG5"/>
      <c r="EHH5"/>
      <c r="EHI5"/>
      <c r="EHJ5"/>
      <c r="EHK5"/>
      <c r="EHL5"/>
      <c r="EHM5"/>
      <c r="EHN5"/>
      <c r="EHO5"/>
      <c r="EHP5"/>
      <c r="EHQ5"/>
      <c r="EHR5"/>
      <c r="EHS5"/>
      <c r="EHT5"/>
      <c r="EHU5"/>
      <c r="EHV5"/>
      <c r="EHW5"/>
      <c r="EHX5"/>
      <c r="EHY5"/>
      <c r="EHZ5"/>
      <c r="EIA5"/>
      <c r="EIB5"/>
      <c r="EIC5"/>
      <c r="EID5"/>
      <c r="EIE5"/>
      <c r="EIF5"/>
      <c r="EIG5"/>
      <c r="EIH5"/>
      <c r="EII5"/>
      <c r="EIJ5"/>
      <c r="EIK5"/>
      <c r="EIL5"/>
      <c r="EIM5"/>
      <c r="EIN5"/>
      <c r="EIO5"/>
      <c r="EIP5"/>
      <c r="EIQ5"/>
      <c r="EIR5"/>
      <c r="EIS5"/>
      <c r="EIT5"/>
      <c r="EIU5"/>
      <c r="EIV5"/>
      <c r="EIW5"/>
      <c r="EIX5"/>
      <c r="EIY5"/>
      <c r="EIZ5"/>
      <c r="EJA5"/>
      <c r="EJB5"/>
      <c r="EJC5"/>
      <c r="EJD5"/>
      <c r="EJE5"/>
      <c r="EJF5"/>
      <c r="EJG5"/>
      <c r="EJH5"/>
      <c r="EJI5"/>
      <c r="EJJ5"/>
      <c r="EJK5"/>
      <c r="EJL5"/>
      <c r="EJM5"/>
      <c r="EJN5"/>
      <c r="EJO5"/>
      <c r="EJP5"/>
      <c r="EJQ5"/>
      <c r="EJR5"/>
      <c r="EJS5"/>
      <c r="EJT5"/>
      <c r="EJU5"/>
      <c r="EJV5"/>
      <c r="EJW5"/>
      <c r="EJX5"/>
      <c r="EJY5"/>
      <c r="EJZ5"/>
      <c r="EKA5"/>
      <c r="EKB5"/>
      <c r="EKC5"/>
      <c r="EKD5"/>
      <c r="EKE5"/>
      <c r="EKF5"/>
      <c r="EKG5"/>
      <c r="EKH5"/>
      <c r="EKI5"/>
      <c r="EKJ5"/>
      <c r="EKK5"/>
      <c r="EKL5"/>
      <c r="EKM5"/>
      <c r="EKN5"/>
      <c r="EKO5"/>
      <c r="EKP5"/>
      <c r="EKQ5"/>
      <c r="EKR5"/>
      <c r="EKS5"/>
      <c r="EKT5"/>
      <c r="EKU5"/>
      <c r="EKV5"/>
      <c r="EKW5"/>
      <c r="EKX5"/>
      <c r="EKY5"/>
      <c r="EKZ5"/>
      <c r="ELA5"/>
      <c r="ELB5"/>
      <c r="ELC5"/>
      <c r="ELD5"/>
      <c r="ELE5"/>
      <c r="ELF5"/>
      <c r="ELG5"/>
      <c r="ELH5"/>
      <c r="ELI5"/>
      <c r="ELJ5"/>
      <c r="ELK5"/>
      <c r="ELL5"/>
      <c r="ELM5"/>
      <c r="ELN5"/>
      <c r="ELO5"/>
      <c r="ELP5"/>
      <c r="ELQ5"/>
      <c r="ELR5"/>
      <c r="ELS5"/>
      <c r="ELT5"/>
      <c r="ELU5"/>
      <c r="ELV5"/>
      <c r="ELW5"/>
      <c r="ELX5"/>
      <c r="ELY5"/>
      <c r="ELZ5"/>
      <c r="EMA5"/>
      <c r="EMB5"/>
      <c r="EMC5"/>
      <c r="EMD5"/>
      <c r="EME5"/>
      <c r="EMF5"/>
      <c r="EMG5"/>
      <c r="EMH5"/>
      <c r="EMI5"/>
      <c r="EMJ5"/>
      <c r="EMK5"/>
      <c r="EML5"/>
      <c r="EMM5"/>
      <c r="EMN5"/>
      <c r="EMO5"/>
      <c r="EMP5"/>
      <c r="EMQ5"/>
      <c r="EMR5"/>
      <c r="EMS5"/>
      <c r="EMT5"/>
      <c r="EMU5"/>
      <c r="EMV5"/>
      <c r="EMW5"/>
      <c r="EMX5"/>
      <c r="EMY5"/>
      <c r="EMZ5"/>
      <c r="ENA5"/>
      <c r="ENB5"/>
      <c r="ENC5"/>
      <c r="END5"/>
      <c r="ENE5"/>
      <c r="ENF5"/>
      <c r="ENG5"/>
      <c r="ENH5"/>
      <c r="ENI5"/>
      <c r="ENJ5"/>
      <c r="ENK5"/>
      <c r="ENL5"/>
      <c r="ENM5"/>
      <c r="ENN5"/>
      <c r="ENO5"/>
      <c r="ENP5"/>
      <c r="ENQ5"/>
      <c r="ENR5"/>
      <c r="ENS5"/>
      <c r="ENT5"/>
      <c r="ENU5"/>
      <c r="ENV5"/>
      <c r="ENW5"/>
      <c r="ENX5"/>
      <c r="ENY5"/>
      <c r="ENZ5"/>
      <c r="EOA5"/>
      <c r="EOB5"/>
      <c r="EOC5"/>
      <c r="EOD5"/>
      <c r="EOE5"/>
      <c r="EOF5"/>
      <c r="EOG5"/>
      <c r="EOH5"/>
      <c r="EOI5"/>
      <c r="EOJ5"/>
      <c r="EOK5"/>
      <c r="EOL5"/>
      <c r="EOM5"/>
      <c r="EON5"/>
      <c r="EOO5"/>
      <c r="EOP5"/>
      <c r="EOQ5"/>
      <c r="EOR5"/>
      <c r="EOS5"/>
      <c r="EOT5"/>
      <c r="EOU5"/>
      <c r="EOV5"/>
      <c r="EOW5"/>
      <c r="EOX5"/>
      <c r="EOY5"/>
      <c r="EOZ5"/>
      <c r="EPA5"/>
      <c r="EPB5"/>
      <c r="EPC5"/>
      <c r="EPD5"/>
      <c r="EPE5"/>
      <c r="EPF5"/>
      <c r="EPG5"/>
      <c r="EPH5"/>
      <c r="EPI5"/>
      <c r="EPJ5"/>
      <c r="EPK5"/>
      <c r="EPL5"/>
      <c r="EPM5"/>
      <c r="EPN5"/>
      <c r="EPO5"/>
      <c r="EPP5"/>
      <c r="EPQ5"/>
      <c r="EPR5"/>
      <c r="EPS5"/>
      <c r="EPT5"/>
      <c r="EPU5"/>
      <c r="EPV5"/>
      <c r="EPW5"/>
      <c r="EPX5"/>
      <c r="EPY5"/>
      <c r="EPZ5"/>
      <c r="EQA5"/>
      <c r="EQB5"/>
      <c r="EQC5"/>
      <c r="EQD5"/>
      <c r="EQE5"/>
      <c r="EQF5"/>
      <c r="EQG5"/>
      <c r="EQH5"/>
      <c r="EQI5"/>
      <c r="EQJ5"/>
      <c r="EQK5"/>
      <c r="EQL5"/>
      <c r="EQM5"/>
      <c r="EQN5"/>
      <c r="EQO5"/>
      <c r="EQP5"/>
      <c r="EQQ5"/>
      <c r="EQR5"/>
      <c r="EQS5"/>
      <c r="EQT5"/>
      <c r="EQU5"/>
      <c r="EQV5"/>
      <c r="EQW5"/>
      <c r="EQX5"/>
      <c r="EQY5"/>
      <c r="EQZ5"/>
      <c r="ERA5"/>
      <c r="ERB5"/>
      <c r="ERC5"/>
      <c r="ERD5"/>
      <c r="ERE5"/>
      <c r="ERF5"/>
      <c r="ERG5"/>
      <c r="ERH5"/>
      <c r="ERI5"/>
      <c r="ERJ5"/>
      <c r="ERK5"/>
      <c r="ERL5"/>
      <c r="ERM5"/>
      <c r="ERN5"/>
      <c r="ERO5"/>
      <c r="ERP5"/>
      <c r="ERQ5"/>
      <c r="ERR5"/>
      <c r="ERS5"/>
      <c r="ERT5"/>
      <c r="ERU5"/>
      <c r="ERV5"/>
      <c r="ERW5"/>
      <c r="ERX5"/>
      <c r="ERY5"/>
      <c r="ERZ5"/>
      <c r="ESA5"/>
      <c r="ESB5"/>
      <c r="ESC5"/>
      <c r="ESD5"/>
      <c r="ESE5"/>
      <c r="ESF5"/>
      <c r="ESG5"/>
      <c r="ESH5"/>
      <c r="ESI5"/>
      <c r="ESJ5"/>
      <c r="ESK5"/>
      <c r="ESL5"/>
      <c r="ESM5"/>
      <c r="ESN5"/>
      <c r="ESO5"/>
      <c r="ESP5"/>
      <c r="ESQ5"/>
      <c r="ESR5"/>
      <c r="ESS5"/>
      <c r="EST5"/>
      <c r="ESU5"/>
      <c r="ESV5"/>
      <c r="ESW5"/>
      <c r="ESX5"/>
      <c r="ESY5"/>
      <c r="ESZ5"/>
      <c r="ETA5"/>
      <c r="ETB5"/>
      <c r="ETC5"/>
      <c r="ETD5"/>
      <c r="ETE5"/>
      <c r="ETF5"/>
      <c r="ETG5"/>
      <c r="ETH5"/>
      <c r="ETI5"/>
      <c r="ETJ5"/>
      <c r="ETK5"/>
      <c r="ETL5"/>
      <c r="ETM5"/>
      <c r="ETN5"/>
      <c r="ETO5"/>
      <c r="ETP5"/>
      <c r="ETQ5"/>
      <c r="ETR5"/>
      <c r="ETS5"/>
      <c r="ETT5"/>
      <c r="ETU5"/>
      <c r="ETV5"/>
      <c r="ETW5"/>
      <c r="ETX5"/>
      <c r="ETY5"/>
      <c r="ETZ5"/>
      <c r="EUA5"/>
      <c r="EUB5"/>
      <c r="EUC5"/>
      <c r="EUD5"/>
      <c r="EUE5"/>
      <c r="EUF5"/>
      <c r="EUG5"/>
      <c r="EUH5"/>
      <c r="EUI5"/>
      <c r="EUJ5"/>
      <c r="EUK5"/>
      <c r="EUL5"/>
      <c r="EUM5"/>
      <c r="EUN5"/>
      <c r="EUO5"/>
      <c r="EUP5"/>
      <c r="EUQ5"/>
      <c r="EUR5"/>
      <c r="EUS5"/>
      <c r="EUT5"/>
      <c r="EUU5"/>
      <c r="EUV5"/>
      <c r="EUW5"/>
      <c r="EUX5"/>
      <c r="EUY5"/>
      <c r="EUZ5"/>
      <c r="EVA5"/>
      <c r="EVB5"/>
      <c r="EVC5"/>
      <c r="EVD5"/>
      <c r="EVE5"/>
      <c r="EVF5"/>
      <c r="EVG5"/>
      <c r="EVH5"/>
      <c r="EVI5"/>
      <c r="EVJ5"/>
      <c r="EVK5"/>
      <c r="EVL5"/>
      <c r="EVM5"/>
      <c r="EVN5"/>
      <c r="EVO5"/>
      <c r="EVP5"/>
      <c r="EVQ5"/>
      <c r="EVR5"/>
      <c r="EVS5"/>
      <c r="EVT5"/>
      <c r="EVU5"/>
      <c r="EVV5"/>
      <c r="EVW5"/>
      <c r="EVX5"/>
      <c r="EVY5"/>
      <c r="EVZ5"/>
      <c r="EWA5"/>
      <c r="EWB5"/>
      <c r="EWC5"/>
      <c r="EWD5"/>
      <c r="EWE5"/>
      <c r="EWF5"/>
      <c r="EWG5"/>
      <c r="EWH5"/>
      <c r="EWI5"/>
      <c r="EWJ5"/>
      <c r="EWK5"/>
      <c r="EWL5"/>
      <c r="EWM5"/>
      <c r="EWN5"/>
      <c r="EWO5"/>
      <c r="EWP5"/>
      <c r="EWQ5"/>
      <c r="EWR5"/>
      <c r="EWS5"/>
      <c r="EWT5"/>
      <c r="EWU5"/>
      <c r="EWV5"/>
      <c r="EWW5"/>
      <c r="EWX5"/>
      <c r="EWY5"/>
      <c r="EWZ5"/>
      <c r="EXA5"/>
      <c r="EXB5"/>
      <c r="EXC5"/>
      <c r="EXD5"/>
      <c r="EXE5"/>
      <c r="EXF5"/>
      <c r="EXG5"/>
      <c r="EXH5"/>
      <c r="EXI5"/>
      <c r="EXJ5"/>
      <c r="EXK5"/>
      <c r="EXL5"/>
      <c r="EXM5"/>
      <c r="EXN5"/>
      <c r="EXO5"/>
      <c r="EXP5"/>
      <c r="EXQ5"/>
      <c r="EXR5"/>
      <c r="EXS5"/>
      <c r="EXT5"/>
      <c r="EXU5"/>
      <c r="EXV5"/>
      <c r="EXW5"/>
      <c r="EXX5"/>
      <c r="EXY5"/>
      <c r="EXZ5"/>
      <c r="EYA5"/>
      <c r="EYB5"/>
      <c r="EYC5"/>
      <c r="EYD5"/>
      <c r="EYE5"/>
      <c r="EYF5"/>
      <c r="EYG5"/>
      <c r="EYH5"/>
      <c r="EYI5"/>
      <c r="EYJ5"/>
      <c r="EYK5"/>
      <c r="EYL5"/>
      <c r="EYM5"/>
      <c r="EYN5"/>
      <c r="EYO5"/>
      <c r="EYP5"/>
      <c r="EYQ5"/>
      <c r="EYR5"/>
      <c r="EYS5"/>
      <c r="EYT5"/>
      <c r="EYU5"/>
      <c r="EYV5"/>
      <c r="EYW5"/>
      <c r="EYX5"/>
      <c r="EYY5"/>
      <c r="EYZ5"/>
      <c r="EZA5"/>
      <c r="EZB5"/>
      <c r="EZC5"/>
      <c r="EZD5"/>
      <c r="EZE5"/>
      <c r="EZF5"/>
      <c r="EZG5"/>
      <c r="EZH5"/>
      <c r="EZI5"/>
      <c r="EZJ5"/>
      <c r="EZK5"/>
      <c r="EZL5"/>
      <c r="EZM5"/>
      <c r="EZN5"/>
      <c r="EZO5"/>
      <c r="EZP5"/>
      <c r="EZQ5"/>
      <c r="EZR5"/>
      <c r="EZS5"/>
      <c r="EZT5"/>
      <c r="EZU5"/>
      <c r="EZV5"/>
      <c r="EZW5"/>
      <c r="EZX5"/>
      <c r="EZY5"/>
      <c r="EZZ5"/>
      <c r="FAA5"/>
      <c r="FAB5"/>
      <c r="FAC5"/>
      <c r="FAD5"/>
      <c r="FAE5"/>
      <c r="FAF5"/>
      <c r="FAG5"/>
      <c r="FAH5"/>
      <c r="FAI5"/>
      <c r="FAJ5"/>
      <c r="FAK5"/>
      <c r="FAL5"/>
      <c r="FAM5"/>
      <c r="FAN5"/>
      <c r="FAO5"/>
      <c r="FAP5"/>
      <c r="FAQ5"/>
      <c r="FAR5"/>
      <c r="FAS5"/>
      <c r="FAT5"/>
      <c r="FAU5"/>
      <c r="FAV5"/>
      <c r="FAW5"/>
      <c r="FAX5"/>
      <c r="FAY5"/>
      <c r="FAZ5"/>
      <c r="FBA5"/>
      <c r="FBB5"/>
      <c r="FBC5"/>
      <c r="FBD5"/>
      <c r="FBE5"/>
      <c r="FBF5"/>
      <c r="FBG5"/>
      <c r="FBH5"/>
      <c r="FBI5"/>
      <c r="FBJ5"/>
      <c r="FBK5"/>
      <c r="FBL5"/>
      <c r="FBM5"/>
      <c r="FBN5"/>
      <c r="FBO5"/>
      <c r="FBP5"/>
      <c r="FBQ5"/>
      <c r="FBR5"/>
      <c r="FBS5"/>
      <c r="FBT5"/>
      <c r="FBU5"/>
      <c r="FBV5"/>
      <c r="FBW5"/>
      <c r="FBX5"/>
      <c r="FBY5"/>
      <c r="FBZ5"/>
      <c r="FCA5"/>
      <c r="FCB5"/>
      <c r="FCC5"/>
      <c r="FCD5"/>
      <c r="FCE5"/>
      <c r="FCF5"/>
      <c r="FCG5"/>
      <c r="FCH5"/>
      <c r="FCI5"/>
      <c r="FCJ5"/>
      <c r="FCK5"/>
      <c r="FCL5"/>
      <c r="FCM5"/>
      <c r="FCN5"/>
      <c r="FCO5"/>
      <c r="FCP5"/>
      <c r="FCQ5"/>
      <c r="FCR5"/>
      <c r="FCS5"/>
      <c r="FCT5"/>
      <c r="FCU5"/>
      <c r="FCV5"/>
      <c r="FCW5"/>
      <c r="FCX5"/>
      <c r="FCY5"/>
      <c r="FCZ5"/>
      <c r="FDA5"/>
      <c r="FDB5"/>
      <c r="FDC5"/>
      <c r="FDD5"/>
      <c r="FDE5"/>
      <c r="FDF5"/>
      <c r="FDG5"/>
      <c r="FDH5"/>
      <c r="FDI5"/>
      <c r="FDJ5"/>
      <c r="FDK5"/>
      <c r="FDL5"/>
      <c r="FDM5"/>
      <c r="FDN5"/>
      <c r="FDO5"/>
      <c r="FDP5"/>
      <c r="FDQ5"/>
      <c r="FDR5"/>
      <c r="FDS5"/>
      <c r="FDT5"/>
      <c r="FDU5"/>
      <c r="FDV5"/>
      <c r="FDW5"/>
      <c r="FDX5"/>
      <c r="FDY5"/>
      <c r="FDZ5"/>
      <c r="FEA5"/>
      <c r="FEB5"/>
      <c r="FEC5"/>
      <c r="FED5"/>
      <c r="FEE5"/>
      <c r="FEF5"/>
      <c r="FEG5"/>
      <c r="FEH5"/>
      <c r="FEI5"/>
      <c r="FEJ5"/>
      <c r="FEK5"/>
      <c r="FEL5"/>
      <c r="FEM5"/>
      <c r="FEN5"/>
      <c r="FEO5"/>
      <c r="FEP5"/>
      <c r="FEQ5"/>
      <c r="FER5"/>
      <c r="FES5"/>
      <c r="FET5"/>
      <c r="FEU5"/>
      <c r="FEV5"/>
      <c r="FEW5"/>
      <c r="FEX5"/>
      <c r="FEY5"/>
      <c r="FEZ5"/>
      <c r="FFA5"/>
      <c r="FFB5"/>
      <c r="FFC5"/>
      <c r="FFD5"/>
      <c r="FFE5"/>
      <c r="FFF5"/>
      <c r="FFG5"/>
      <c r="FFH5"/>
      <c r="FFI5"/>
      <c r="FFJ5"/>
      <c r="FFK5"/>
      <c r="FFL5"/>
      <c r="FFM5"/>
      <c r="FFN5"/>
      <c r="FFO5"/>
      <c r="FFP5"/>
      <c r="FFQ5"/>
      <c r="FFR5"/>
      <c r="FFS5"/>
      <c r="FFT5"/>
      <c r="FFU5"/>
      <c r="FFV5"/>
      <c r="FFW5"/>
      <c r="FFX5"/>
      <c r="FFY5"/>
      <c r="FFZ5"/>
      <c r="FGA5"/>
      <c r="FGB5"/>
      <c r="FGC5"/>
      <c r="FGD5"/>
      <c r="FGE5"/>
      <c r="FGF5"/>
      <c r="FGG5"/>
      <c r="FGH5"/>
      <c r="FGI5"/>
      <c r="FGJ5"/>
      <c r="FGK5"/>
      <c r="FGL5"/>
      <c r="FGM5"/>
      <c r="FGN5"/>
      <c r="FGO5"/>
      <c r="FGP5"/>
      <c r="FGQ5"/>
      <c r="FGR5"/>
      <c r="FGS5"/>
      <c r="FGT5"/>
      <c r="FGU5"/>
      <c r="FGV5"/>
      <c r="FGW5"/>
      <c r="FGX5"/>
      <c r="FGY5"/>
      <c r="FGZ5"/>
      <c r="FHA5"/>
      <c r="FHB5"/>
      <c r="FHC5"/>
      <c r="FHD5"/>
      <c r="FHE5"/>
      <c r="FHF5"/>
      <c r="FHG5"/>
      <c r="FHH5"/>
      <c r="FHI5"/>
      <c r="FHJ5"/>
      <c r="FHK5"/>
      <c r="FHL5"/>
      <c r="FHM5"/>
      <c r="FHN5"/>
      <c r="FHO5"/>
      <c r="FHP5"/>
      <c r="FHQ5"/>
      <c r="FHR5"/>
      <c r="FHS5"/>
      <c r="FHT5"/>
      <c r="FHU5"/>
      <c r="FHV5"/>
      <c r="FHW5"/>
      <c r="FHX5"/>
      <c r="FHY5"/>
      <c r="FHZ5"/>
      <c r="FIA5"/>
      <c r="FIB5"/>
      <c r="FIC5"/>
      <c r="FID5"/>
      <c r="FIE5"/>
      <c r="FIF5"/>
      <c r="FIG5"/>
      <c r="FIH5"/>
      <c r="FII5"/>
      <c r="FIJ5"/>
      <c r="FIK5"/>
      <c r="FIL5"/>
      <c r="FIM5"/>
      <c r="FIN5"/>
      <c r="FIO5"/>
      <c r="FIP5"/>
      <c r="FIQ5"/>
      <c r="FIR5"/>
      <c r="FIS5"/>
      <c r="FIT5"/>
      <c r="FIU5"/>
      <c r="FIV5"/>
      <c r="FIW5"/>
      <c r="FIX5"/>
      <c r="FIY5"/>
      <c r="FIZ5"/>
      <c r="FJA5"/>
      <c r="FJB5"/>
      <c r="FJC5"/>
      <c r="FJD5"/>
      <c r="FJE5"/>
      <c r="FJF5"/>
      <c r="FJG5"/>
      <c r="FJH5"/>
      <c r="FJI5"/>
      <c r="FJJ5"/>
      <c r="FJK5"/>
      <c r="FJL5"/>
      <c r="FJM5"/>
      <c r="FJN5"/>
      <c r="FJO5"/>
      <c r="FJP5"/>
      <c r="FJQ5"/>
      <c r="FJR5"/>
      <c r="FJS5"/>
      <c r="FJT5"/>
      <c r="FJU5"/>
      <c r="FJV5"/>
      <c r="FJW5"/>
      <c r="FJX5"/>
      <c r="FJY5"/>
      <c r="FJZ5"/>
      <c r="FKA5"/>
      <c r="FKB5"/>
      <c r="FKC5"/>
      <c r="FKD5"/>
      <c r="FKE5"/>
      <c r="FKF5"/>
      <c r="FKG5"/>
      <c r="FKH5"/>
      <c r="FKI5"/>
      <c r="FKJ5"/>
      <c r="FKK5"/>
      <c r="FKL5"/>
      <c r="FKM5"/>
      <c r="FKN5"/>
      <c r="FKO5"/>
      <c r="FKP5"/>
      <c r="FKQ5"/>
      <c r="FKR5"/>
      <c r="FKS5"/>
      <c r="FKT5"/>
      <c r="FKU5"/>
      <c r="FKV5"/>
      <c r="FKW5"/>
      <c r="FKX5"/>
      <c r="FKY5"/>
      <c r="FKZ5"/>
      <c r="FLA5"/>
      <c r="FLB5"/>
      <c r="FLC5"/>
      <c r="FLD5"/>
      <c r="FLE5"/>
      <c r="FLF5"/>
      <c r="FLG5"/>
      <c r="FLH5"/>
      <c r="FLI5"/>
      <c r="FLJ5"/>
      <c r="FLK5"/>
      <c r="FLL5"/>
      <c r="FLM5"/>
      <c r="FLN5"/>
      <c r="FLO5"/>
      <c r="FLP5"/>
      <c r="FLQ5"/>
      <c r="FLR5"/>
      <c r="FLS5"/>
      <c r="FLT5"/>
      <c r="FLU5"/>
      <c r="FLV5"/>
      <c r="FLW5"/>
      <c r="FLX5"/>
      <c r="FLY5"/>
      <c r="FLZ5"/>
      <c r="FMA5"/>
      <c r="FMB5"/>
      <c r="FMC5"/>
      <c r="FMD5"/>
      <c r="FME5"/>
      <c r="FMF5"/>
      <c r="FMG5"/>
      <c r="FMH5"/>
      <c r="FMI5"/>
      <c r="FMJ5"/>
      <c r="FMK5"/>
      <c r="FML5"/>
      <c r="FMM5"/>
      <c r="FMN5"/>
      <c r="FMO5"/>
      <c r="FMP5"/>
      <c r="FMQ5"/>
      <c r="FMR5"/>
      <c r="FMS5"/>
      <c r="FMT5"/>
      <c r="FMU5"/>
      <c r="FMV5"/>
      <c r="FMW5"/>
      <c r="FMX5"/>
      <c r="FMY5"/>
      <c r="FMZ5"/>
      <c r="FNA5"/>
      <c r="FNB5"/>
      <c r="FNC5"/>
      <c r="FND5"/>
      <c r="FNE5"/>
      <c r="FNF5"/>
      <c r="FNG5"/>
      <c r="FNH5"/>
      <c r="FNI5"/>
      <c r="FNJ5"/>
      <c r="FNK5"/>
      <c r="FNL5"/>
      <c r="FNM5"/>
      <c r="FNN5"/>
      <c r="FNO5"/>
      <c r="FNP5"/>
      <c r="FNQ5"/>
      <c r="FNR5"/>
      <c r="FNS5"/>
      <c r="FNT5"/>
      <c r="FNU5"/>
      <c r="FNV5"/>
      <c r="FNW5"/>
      <c r="FNX5"/>
      <c r="FNY5"/>
      <c r="FNZ5"/>
      <c r="FOA5"/>
      <c r="FOB5"/>
      <c r="FOC5"/>
      <c r="FOD5"/>
      <c r="FOE5"/>
      <c r="FOF5"/>
      <c r="FOG5"/>
      <c r="FOH5"/>
      <c r="FOI5"/>
      <c r="FOJ5"/>
      <c r="FOK5"/>
      <c r="FOL5"/>
      <c r="FOM5"/>
      <c r="FON5"/>
      <c r="FOO5"/>
      <c r="FOP5"/>
      <c r="FOQ5"/>
      <c r="FOR5"/>
      <c r="FOS5"/>
      <c r="FOT5"/>
      <c r="FOU5"/>
      <c r="FOV5"/>
      <c r="FOW5"/>
      <c r="FOX5"/>
      <c r="FOY5"/>
      <c r="FOZ5"/>
      <c r="FPA5"/>
      <c r="FPB5"/>
      <c r="FPC5"/>
      <c r="FPD5"/>
      <c r="FPE5"/>
      <c r="FPF5"/>
      <c r="FPG5"/>
      <c r="FPH5"/>
      <c r="FPI5"/>
      <c r="FPJ5"/>
      <c r="FPK5"/>
      <c r="FPL5"/>
      <c r="FPM5"/>
      <c r="FPN5"/>
      <c r="FPO5"/>
      <c r="FPP5"/>
      <c r="FPQ5"/>
      <c r="FPR5"/>
      <c r="FPS5"/>
      <c r="FPT5"/>
      <c r="FPU5"/>
      <c r="FPV5"/>
      <c r="FPW5"/>
      <c r="FPX5"/>
      <c r="FPY5"/>
      <c r="FPZ5"/>
      <c r="FQA5"/>
      <c r="FQB5"/>
      <c r="FQC5"/>
      <c r="FQD5"/>
      <c r="FQE5"/>
      <c r="FQF5"/>
      <c r="FQG5"/>
      <c r="FQH5"/>
      <c r="FQI5"/>
      <c r="FQJ5"/>
      <c r="FQK5"/>
      <c r="FQL5"/>
      <c r="FQM5"/>
      <c r="FQN5"/>
      <c r="FQO5"/>
      <c r="FQP5"/>
      <c r="FQQ5"/>
      <c r="FQR5"/>
      <c r="FQS5"/>
      <c r="FQT5"/>
      <c r="FQU5"/>
      <c r="FQV5"/>
      <c r="FQW5"/>
      <c r="FQX5"/>
      <c r="FQY5"/>
      <c r="FQZ5"/>
      <c r="FRA5"/>
      <c r="FRB5"/>
      <c r="FRC5"/>
      <c r="FRD5"/>
      <c r="FRE5"/>
      <c r="FRF5"/>
      <c r="FRG5"/>
      <c r="FRH5"/>
      <c r="FRI5"/>
      <c r="FRJ5"/>
      <c r="FRK5"/>
      <c r="FRL5"/>
      <c r="FRM5"/>
      <c r="FRN5"/>
      <c r="FRO5"/>
      <c r="FRP5"/>
      <c r="FRQ5"/>
      <c r="FRR5"/>
      <c r="FRS5"/>
      <c r="FRT5"/>
      <c r="FRU5"/>
      <c r="FRV5"/>
      <c r="FRW5"/>
      <c r="FRX5"/>
      <c r="FRY5"/>
      <c r="FRZ5"/>
      <c r="FSA5"/>
      <c r="FSB5"/>
      <c r="FSC5"/>
      <c r="FSD5"/>
      <c r="FSE5"/>
      <c r="FSF5"/>
      <c r="FSG5"/>
      <c r="FSH5"/>
      <c r="FSI5"/>
      <c r="FSJ5"/>
      <c r="FSK5"/>
      <c r="FSL5"/>
      <c r="FSM5"/>
      <c r="FSN5"/>
      <c r="FSO5"/>
      <c r="FSP5"/>
      <c r="FSQ5"/>
      <c r="FSR5"/>
      <c r="FSS5"/>
      <c r="FST5"/>
      <c r="FSU5"/>
      <c r="FSV5"/>
      <c r="FSW5"/>
      <c r="FSX5"/>
      <c r="FSY5"/>
      <c r="FSZ5"/>
      <c r="FTA5"/>
      <c r="FTB5"/>
      <c r="FTC5"/>
      <c r="FTD5"/>
      <c r="FTE5"/>
      <c r="FTF5"/>
      <c r="FTG5"/>
      <c r="FTH5"/>
      <c r="FTI5"/>
      <c r="FTJ5"/>
      <c r="FTK5"/>
      <c r="FTL5"/>
      <c r="FTM5"/>
      <c r="FTN5"/>
      <c r="FTO5"/>
      <c r="FTP5"/>
      <c r="FTQ5"/>
      <c r="FTR5"/>
      <c r="FTS5"/>
      <c r="FTT5"/>
      <c r="FTU5"/>
      <c r="FTV5"/>
      <c r="FTW5"/>
      <c r="FTX5"/>
      <c r="FTY5"/>
      <c r="FTZ5"/>
      <c r="FUA5"/>
      <c r="FUB5"/>
      <c r="FUC5"/>
      <c r="FUD5"/>
      <c r="FUE5"/>
      <c r="FUF5"/>
      <c r="FUG5"/>
      <c r="FUH5"/>
      <c r="FUI5"/>
      <c r="FUJ5"/>
      <c r="FUK5"/>
      <c r="FUL5"/>
      <c r="FUM5"/>
      <c r="FUN5"/>
      <c r="FUO5"/>
      <c r="FUP5"/>
      <c r="FUQ5"/>
      <c r="FUR5"/>
      <c r="FUS5"/>
      <c r="FUT5"/>
      <c r="FUU5"/>
      <c r="FUV5"/>
      <c r="FUW5"/>
      <c r="FUX5"/>
      <c r="FUY5"/>
      <c r="FUZ5"/>
      <c r="FVA5"/>
      <c r="FVB5"/>
      <c r="FVC5"/>
      <c r="FVD5"/>
      <c r="FVE5"/>
      <c r="FVF5"/>
      <c r="FVG5"/>
      <c r="FVH5"/>
      <c r="FVI5"/>
      <c r="FVJ5"/>
      <c r="FVK5"/>
      <c r="FVL5"/>
      <c r="FVM5"/>
      <c r="FVN5"/>
      <c r="FVO5"/>
      <c r="FVP5"/>
      <c r="FVQ5"/>
      <c r="FVR5"/>
      <c r="FVS5"/>
      <c r="FVT5"/>
      <c r="FVU5"/>
      <c r="FVV5"/>
      <c r="FVW5"/>
      <c r="FVX5"/>
      <c r="FVY5"/>
      <c r="FVZ5"/>
      <c r="FWA5"/>
      <c r="FWB5"/>
      <c r="FWC5"/>
      <c r="FWD5"/>
      <c r="FWE5"/>
      <c r="FWF5"/>
      <c r="FWG5"/>
      <c r="FWH5"/>
      <c r="FWI5"/>
      <c r="FWJ5"/>
      <c r="FWK5"/>
      <c r="FWL5"/>
      <c r="FWM5"/>
      <c r="FWN5"/>
      <c r="FWO5"/>
      <c r="FWP5"/>
      <c r="FWQ5"/>
      <c r="FWR5"/>
      <c r="FWS5"/>
      <c r="FWT5"/>
      <c r="FWU5"/>
      <c r="FWV5"/>
      <c r="FWW5"/>
      <c r="FWX5"/>
      <c r="FWY5"/>
      <c r="FWZ5"/>
      <c r="FXA5"/>
      <c r="FXB5"/>
      <c r="FXC5"/>
      <c r="FXD5"/>
      <c r="FXE5"/>
      <c r="FXF5"/>
      <c r="FXG5"/>
      <c r="FXH5"/>
      <c r="FXI5"/>
      <c r="FXJ5"/>
      <c r="FXK5"/>
      <c r="FXL5"/>
      <c r="FXM5"/>
      <c r="FXN5"/>
      <c r="FXO5"/>
      <c r="FXP5"/>
      <c r="FXQ5"/>
      <c r="FXR5"/>
      <c r="FXS5"/>
      <c r="FXT5"/>
      <c r="FXU5"/>
      <c r="FXV5"/>
      <c r="FXW5"/>
      <c r="FXX5"/>
      <c r="FXY5"/>
      <c r="FXZ5"/>
      <c r="FYA5"/>
      <c r="FYB5"/>
      <c r="FYC5"/>
      <c r="FYD5"/>
      <c r="FYE5"/>
      <c r="FYF5"/>
      <c r="FYG5"/>
      <c r="FYH5"/>
      <c r="FYI5"/>
      <c r="FYJ5"/>
      <c r="FYK5"/>
      <c r="FYL5"/>
      <c r="FYM5"/>
      <c r="FYN5"/>
      <c r="FYO5"/>
      <c r="FYP5"/>
      <c r="FYQ5"/>
      <c r="FYR5"/>
      <c r="FYS5"/>
      <c r="FYT5"/>
      <c r="FYU5"/>
      <c r="FYV5"/>
      <c r="FYW5"/>
      <c r="FYX5"/>
      <c r="FYY5"/>
      <c r="FYZ5"/>
      <c r="FZA5"/>
      <c r="FZB5"/>
      <c r="FZC5"/>
      <c r="FZD5"/>
      <c r="FZE5"/>
      <c r="FZF5"/>
      <c r="FZG5"/>
      <c r="FZH5"/>
      <c r="FZI5"/>
      <c r="FZJ5"/>
      <c r="FZK5"/>
      <c r="FZL5"/>
      <c r="FZM5"/>
      <c r="FZN5"/>
      <c r="FZO5"/>
      <c r="FZP5"/>
      <c r="FZQ5"/>
      <c r="FZR5"/>
      <c r="FZS5"/>
      <c r="FZT5"/>
      <c r="FZU5"/>
      <c r="FZV5"/>
      <c r="FZW5"/>
      <c r="FZX5"/>
      <c r="FZY5"/>
      <c r="FZZ5"/>
      <c r="GAA5"/>
      <c r="GAB5"/>
      <c r="GAC5"/>
      <c r="GAD5"/>
      <c r="GAE5"/>
      <c r="GAF5"/>
      <c r="GAG5"/>
      <c r="GAH5"/>
      <c r="GAI5"/>
      <c r="GAJ5"/>
      <c r="GAK5"/>
      <c r="GAL5"/>
      <c r="GAM5"/>
      <c r="GAN5"/>
      <c r="GAO5"/>
      <c r="GAP5"/>
      <c r="GAQ5"/>
      <c r="GAR5"/>
      <c r="GAS5"/>
      <c r="GAT5"/>
      <c r="GAU5"/>
      <c r="GAV5"/>
      <c r="GAW5"/>
      <c r="GAX5"/>
      <c r="GAY5"/>
      <c r="GAZ5"/>
      <c r="GBA5"/>
      <c r="GBB5"/>
      <c r="GBC5"/>
      <c r="GBD5"/>
      <c r="GBE5"/>
      <c r="GBF5"/>
      <c r="GBG5"/>
      <c r="GBH5"/>
      <c r="GBI5"/>
      <c r="GBJ5"/>
      <c r="GBK5"/>
      <c r="GBL5"/>
      <c r="GBM5"/>
      <c r="GBN5"/>
      <c r="GBO5"/>
      <c r="GBP5"/>
      <c r="GBQ5"/>
      <c r="GBR5"/>
      <c r="GBS5"/>
      <c r="GBT5"/>
      <c r="GBU5"/>
      <c r="GBV5"/>
      <c r="GBW5"/>
      <c r="GBX5"/>
      <c r="GBY5"/>
      <c r="GBZ5"/>
      <c r="GCA5"/>
      <c r="GCB5"/>
      <c r="GCC5"/>
      <c r="GCD5"/>
      <c r="GCE5"/>
      <c r="GCF5"/>
      <c r="GCG5"/>
      <c r="GCH5"/>
      <c r="GCI5"/>
      <c r="GCJ5"/>
      <c r="GCK5"/>
      <c r="GCL5"/>
      <c r="GCM5"/>
      <c r="GCN5"/>
      <c r="GCO5"/>
      <c r="GCP5"/>
      <c r="GCQ5"/>
      <c r="GCR5"/>
      <c r="GCS5"/>
      <c r="GCT5"/>
      <c r="GCU5"/>
      <c r="GCV5"/>
      <c r="GCW5"/>
      <c r="GCX5"/>
      <c r="GCY5"/>
      <c r="GCZ5"/>
      <c r="GDA5"/>
      <c r="GDB5"/>
      <c r="GDC5"/>
      <c r="GDD5"/>
      <c r="GDE5"/>
      <c r="GDF5"/>
      <c r="GDG5"/>
      <c r="GDH5"/>
      <c r="GDI5"/>
      <c r="GDJ5"/>
      <c r="GDK5"/>
      <c r="GDL5"/>
      <c r="GDM5"/>
      <c r="GDN5"/>
      <c r="GDO5"/>
      <c r="GDP5"/>
      <c r="GDQ5"/>
      <c r="GDR5"/>
      <c r="GDS5"/>
      <c r="GDT5"/>
      <c r="GDU5"/>
      <c r="GDV5"/>
      <c r="GDW5"/>
      <c r="GDX5"/>
      <c r="GDY5"/>
      <c r="GDZ5"/>
      <c r="GEA5"/>
      <c r="GEB5"/>
      <c r="GEC5"/>
      <c r="GED5"/>
      <c r="GEE5"/>
      <c r="GEF5"/>
      <c r="GEG5"/>
      <c r="GEH5"/>
      <c r="GEI5"/>
      <c r="GEJ5"/>
      <c r="GEK5"/>
      <c r="GEL5"/>
      <c r="GEM5"/>
      <c r="GEN5"/>
      <c r="GEO5"/>
      <c r="GEP5"/>
      <c r="GEQ5"/>
      <c r="GER5"/>
      <c r="GES5"/>
      <c r="GET5"/>
      <c r="GEU5"/>
      <c r="GEV5"/>
      <c r="GEW5"/>
      <c r="GEX5"/>
      <c r="GEY5"/>
      <c r="GEZ5"/>
      <c r="GFA5"/>
      <c r="GFB5"/>
      <c r="GFC5"/>
      <c r="GFD5"/>
      <c r="GFE5"/>
      <c r="GFF5"/>
      <c r="GFG5"/>
      <c r="GFH5"/>
      <c r="GFI5"/>
      <c r="GFJ5"/>
      <c r="GFK5"/>
      <c r="GFL5"/>
      <c r="GFM5"/>
      <c r="GFN5"/>
      <c r="GFO5"/>
      <c r="GFP5"/>
      <c r="GFQ5"/>
      <c r="GFR5"/>
      <c r="GFS5"/>
      <c r="GFT5"/>
      <c r="GFU5"/>
      <c r="GFV5"/>
      <c r="GFW5"/>
      <c r="GFX5"/>
      <c r="GFY5"/>
      <c r="GFZ5"/>
      <c r="GGA5"/>
      <c r="GGB5"/>
      <c r="GGC5"/>
      <c r="GGD5"/>
      <c r="GGE5"/>
      <c r="GGF5"/>
      <c r="GGG5"/>
      <c r="GGH5"/>
      <c r="GGI5"/>
      <c r="GGJ5"/>
      <c r="GGK5"/>
      <c r="GGL5"/>
      <c r="GGM5"/>
      <c r="GGN5"/>
      <c r="GGO5"/>
      <c r="GGP5"/>
      <c r="GGQ5"/>
      <c r="GGR5"/>
      <c r="GGS5"/>
      <c r="GGT5"/>
      <c r="GGU5"/>
      <c r="GGV5"/>
      <c r="GGW5"/>
      <c r="GGX5"/>
      <c r="GGY5"/>
      <c r="GGZ5"/>
      <c r="GHA5"/>
      <c r="GHB5"/>
      <c r="GHC5"/>
      <c r="GHD5"/>
      <c r="GHE5"/>
      <c r="GHF5"/>
      <c r="GHG5"/>
      <c r="GHH5"/>
      <c r="GHI5"/>
      <c r="GHJ5"/>
      <c r="GHK5"/>
      <c r="GHL5"/>
      <c r="GHM5"/>
      <c r="GHN5"/>
      <c r="GHO5"/>
      <c r="GHP5"/>
      <c r="GHQ5"/>
      <c r="GHR5"/>
      <c r="GHS5"/>
      <c r="GHT5"/>
      <c r="GHU5"/>
      <c r="GHV5"/>
      <c r="GHW5"/>
      <c r="GHX5"/>
      <c r="GHY5"/>
      <c r="GHZ5"/>
      <c r="GIA5"/>
      <c r="GIB5"/>
      <c r="GIC5"/>
      <c r="GID5"/>
      <c r="GIE5"/>
      <c r="GIF5"/>
      <c r="GIG5"/>
      <c r="GIH5"/>
      <c r="GII5"/>
      <c r="GIJ5"/>
      <c r="GIK5"/>
      <c r="GIL5"/>
      <c r="GIM5"/>
      <c r="GIN5"/>
      <c r="GIO5"/>
      <c r="GIP5"/>
      <c r="GIQ5"/>
      <c r="GIR5"/>
      <c r="GIS5"/>
      <c r="GIT5"/>
      <c r="GIU5"/>
      <c r="GIV5"/>
      <c r="GIW5"/>
      <c r="GIX5"/>
      <c r="GIY5"/>
      <c r="GIZ5"/>
      <c r="GJA5"/>
      <c r="GJB5"/>
      <c r="GJC5"/>
      <c r="GJD5"/>
      <c r="GJE5"/>
      <c r="GJF5"/>
      <c r="GJG5"/>
      <c r="GJH5"/>
      <c r="GJI5"/>
      <c r="GJJ5"/>
      <c r="GJK5"/>
      <c r="GJL5"/>
      <c r="GJM5"/>
      <c r="GJN5"/>
      <c r="GJO5"/>
      <c r="GJP5"/>
      <c r="GJQ5"/>
      <c r="GJR5"/>
      <c r="GJS5"/>
      <c r="GJT5"/>
      <c r="GJU5"/>
      <c r="GJV5"/>
      <c r="GJW5"/>
      <c r="GJX5"/>
      <c r="GJY5"/>
      <c r="GJZ5"/>
      <c r="GKA5"/>
      <c r="GKB5"/>
      <c r="GKC5"/>
      <c r="GKD5"/>
      <c r="GKE5"/>
      <c r="GKF5"/>
      <c r="GKG5"/>
      <c r="GKH5"/>
      <c r="GKI5"/>
      <c r="GKJ5"/>
      <c r="GKK5"/>
      <c r="GKL5"/>
      <c r="GKM5"/>
      <c r="GKN5"/>
      <c r="GKO5"/>
      <c r="GKP5"/>
      <c r="GKQ5"/>
      <c r="GKR5"/>
      <c r="GKS5"/>
      <c r="GKT5"/>
      <c r="GKU5"/>
      <c r="GKV5"/>
      <c r="GKW5"/>
      <c r="GKX5"/>
      <c r="GKY5"/>
      <c r="GKZ5"/>
      <c r="GLA5"/>
      <c r="GLB5"/>
      <c r="GLC5"/>
      <c r="GLD5"/>
      <c r="GLE5"/>
      <c r="GLF5"/>
      <c r="GLG5"/>
      <c r="GLH5"/>
      <c r="GLI5"/>
      <c r="GLJ5"/>
      <c r="GLK5"/>
      <c r="GLL5"/>
      <c r="GLM5"/>
      <c r="GLN5"/>
      <c r="GLO5"/>
      <c r="GLP5"/>
      <c r="GLQ5"/>
      <c r="GLR5"/>
      <c r="GLS5"/>
      <c r="GLT5"/>
      <c r="GLU5"/>
      <c r="GLV5"/>
      <c r="GLW5"/>
      <c r="GLX5"/>
      <c r="GLY5"/>
      <c r="GLZ5"/>
      <c r="GMA5"/>
      <c r="GMB5"/>
      <c r="GMC5"/>
      <c r="GMD5"/>
      <c r="GME5"/>
      <c r="GMF5"/>
      <c r="GMG5"/>
      <c r="GMH5"/>
      <c r="GMI5"/>
      <c r="GMJ5"/>
      <c r="GMK5"/>
      <c r="GML5"/>
      <c r="GMM5"/>
      <c r="GMN5"/>
      <c r="GMO5"/>
      <c r="GMP5"/>
      <c r="GMQ5"/>
      <c r="GMR5"/>
      <c r="GMS5"/>
      <c r="GMT5"/>
      <c r="GMU5"/>
      <c r="GMV5"/>
      <c r="GMW5"/>
      <c r="GMX5"/>
      <c r="GMY5"/>
      <c r="GMZ5"/>
      <c r="GNA5"/>
      <c r="GNB5"/>
      <c r="GNC5"/>
      <c r="GND5"/>
      <c r="GNE5"/>
      <c r="GNF5"/>
      <c r="GNG5"/>
      <c r="GNH5"/>
      <c r="GNI5"/>
      <c r="GNJ5"/>
      <c r="GNK5"/>
      <c r="GNL5"/>
      <c r="GNM5"/>
      <c r="GNN5"/>
      <c r="GNO5"/>
      <c r="GNP5"/>
      <c r="GNQ5"/>
      <c r="GNR5"/>
      <c r="GNS5"/>
      <c r="GNT5"/>
      <c r="GNU5"/>
      <c r="GNV5"/>
      <c r="GNW5"/>
      <c r="GNX5"/>
      <c r="GNY5"/>
      <c r="GNZ5"/>
      <c r="GOA5"/>
      <c r="GOB5"/>
      <c r="GOC5"/>
      <c r="GOD5"/>
      <c r="GOE5"/>
      <c r="GOF5"/>
      <c r="GOG5"/>
      <c r="GOH5"/>
      <c r="GOI5"/>
      <c r="GOJ5"/>
      <c r="GOK5"/>
      <c r="GOL5"/>
      <c r="GOM5"/>
      <c r="GON5"/>
      <c r="GOO5"/>
      <c r="GOP5"/>
      <c r="GOQ5"/>
      <c r="GOR5"/>
      <c r="GOS5"/>
      <c r="GOT5"/>
      <c r="GOU5"/>
      <c r="GOV5"/>
      <c r="GOW5"/>
      <c r="GOX5"/>
      <c r="GOY5"/>
      <c r="GOZ5"/>
      <c r="GPA5"/>
      <c r="GPB5"/>
      <c r="GPC5"/>
      <c r="GPD5"/>
      <c r="GPE5"/>
      <c r="GPF5"/>
      <c r="GPG5"/>
      <c r="GPH5"/>
      <c r="GPI5"/>
      <c r="GPJ5"/>
      <c r="GPK5"/>
      <c r="GPL5"/>
      <c r="GPM5"/>
      <c r="GPN5"/>
      <c r="GPO5"/>
      <c r="GPP5"/>
      <c r="GPQ5"/>
      <c r="GPR5"/>
      <c r="GPS5"/>
      <c r="GPT5"/>
      <c r="GPU5"/>
      <c r="GPV5"/>
      <c r="GPW5"/>
      <c r="GPX5"/>
      <c r="GPY5"/>
      <c r="GPZ5"/>
      <c r="GQA5"/>
      <c r="GQB5"/>
      <c r="GQC5"/>
      <c r="GQD5"/>
      <c r="GQE5"/>
      <c r="GQF5"/>
      <c r="GQG5"/>
      <c r="GQH5"/>
      <c r="GQI5"/>
      <c r="GQJ5"/>
      <c r="GQK5"/>
      <c r="GQL5"/>
      <c r="GQM5"/>
      <c r="GQN5"/>
      <c r="GQO5"/>
      <c r="GQP5"/>
      <c r="GQQ5"/>
      <c r="GQR5"/>
      <c r="GQS5"/>
      <c r="GQT5"/>
      <c r="GQU5"/>
      <c r="GQV5"/>
      <c r="GQW5"/>
      <c r="GQX5"/>
      <c r="GQY5"/>
      <c r="GQZ5"/>
      <c r="GRA5"/>
      <c r="GRB5"/>
      <c r="GRC5"/>
      <c r="GRD5"/>
      <c r="GRE5"/>
      <c r="GRF5"/>
      <c r="GRG5"/>
      <c r="GRH5"/>
      <c r="GRI5"/>
      <c r="GRJ5"/>
      <c r="GRK5"/>
      <c r="GRL5"/>
      <c r="GRM5"/>
      <c r="GRN5"/>
      <c r="GRO5"/>
      <c r="GRP5"/>
      <c r="GRQ5"/>
      <c r="GRR5"/>
      <c r="GRS5"/>
      <c r="GRT5"/>
      <c r="GRU5"/>
      <c r="GRV5"/>
      <c r="GRW5"/>
      <c r="GRX5"/>
      <c r="GRY5"/>
      <c r="GRZ5"/>
      <c r="GSA5"/>
      <c r="GSB5"/>
      <c r="GSC5"/>
      <c r="GSD5"/>
      <c r="GSE5"/>
      <c r="GSF5"/>
      <c r="GSG5"/>
      <c r="GSH5"/>
      <c r="GSI5"/>
      <c r="GSJ5"/>
      <c r="GSK5"/>
      <c r="GSL5"/>
      <c r="GSM5"/>
      <c r="GSN5"/>
      <c r="GSO5"/>
      <c r="GSP5"/>
      <c r="GSQ5"/>
      <c r="GSR5"/>
      <c r="GSS5"/>
      <c r="GST5"/>
      <c r="GSU5"/>
      <c r="GSV5"/>
      <c r="GSW5"/>
      <c r="GSX5"/>
      <c r="GSY5"/>
      <c r="GSZ5"/>
      <c r="GTA5"/>
      <c r="GTB5"/>
      <c r="GTC5"/>
      <c r="GTD5"/>
      <c r="GTE5"/>
      <c r="GTF5"/>
      <c r="GTG5"/>
      <c r="GTH5"/>
      <c r="GTI5"/>
      <c r="GTJ5"/>
      <c r="GTK5"/>
      <c r="GTL5"/>
      <c r="GTM5"/>
      <c r="GTN5"/>
      <c r="GTO5"/>
      <c r="GTP5"/>
      <c r="GTQ5"/>
      <c r="GTR5"/>
      <c r="GTS5"/>
      <c r="GTT5"/>
      <c r="GTU5"/>
      <c r="GTV5"/>
      <c r="GTW5"/>
      <c r="GTX5"/>
      <c r="GTY5"/>
      <c r="GTZ5"/>
      <c r="GUA5"/>
      <c r="GUB5"/>
      <c r="GUC5"/>
      <c r="GUD5"/>
      <c r="GUE5"/>
      <c r="GUF5"/>
      <c r="GUG5"/>
      <c r="GUH5"/>
      <c r="GUI5"/>
      <c r="GUJ5"/>
      <c r="GUK5"/>
      <c r="GUL5"/>
      <c r="GUM5"/>
      <c r="GUN5"/>
      <c r="GUO5"/>
      <c r="GUP5"/>
      <c r="GUQ5"/>
      <c r="GUR5"/>
      <c r="GUS5"/>
      <c r="GUT5"/>
      <c r="GUU5"/>
      <c r="GUV5"/>
      <c r="GUW5"/>
      <c r="GUX5"/>
      <c r="GUY5"/>
      <c r="GUZ5"/>
      <c r="GVA5"/>
      <c r="GVB5"/>
      <c r="GVC5"/>
      <c r="GVD5"/>
      <c r="GVE5"/>
      <c r="GVF5"/>
      <c r="GVG5"/>
      <c r="GVH5"/>
      <c r="GVI5"/>
      <c r="GVJ5"/>
      <c r="GVK5"/>
      <c r="GVL5"/>
      <c r="GVM5"/>
      <c r="GVN5"/>
      <c r="GVO5"/>
      <c r="GVP5"/>
      <c r="GVQ5"/>
      <c r="GVR5"/>
      <c r="GVS5"/>
      <c r="GVT5"/>
      <c r="GVU5"/>
      <c r="GVV5"/>
      <c r="GVW5"/>
      <c r="GVX5"/>
      <c r="GVY5"/>
      <c r="GVZ5"/>
      <c r="GWA5"/>
      <c r="GWB5"/>
      <c r="GWC5"/>
      <c r="GWD5"/>
      <c r="GWE5"/>
      <c r="GWF5"/>
      <c r="GWG5"/>
      <c r="GWH5"/>
      <c r="GWI5"/>
      <c r="GWJ5"/>
      <c r="GWK5"/>
      <c r="GWL5"/>
      <c r="GWM5"/>
      <c r="GWN5"/>
      <c r="GWO5"/>
      <c r="GWP5"/>
      <c r="GWQ5"/>
      <c r="GWR5"/>
      <c r="GWS5"/>
      <c r="GWT5"/>
      <c r="GWU5"/>
      <c r="GWV5"/>
      <c r="GWW5"/>
      <c r="GWX5"/>
      <c r="GWY5"/>
      <c r="GWZ5"/>
      <c r="GXA5"/>
      <c r="GXB5"/>
      <c r="GXC5"/>
      <c r="GXD5"/>
      <c r="GXE5"/>
      <c r="GXF5"/>
      <c r="GXG5"/>
      <c r="GXH5"/>
      <c r="GXI5"/>
      <c r="GXJ5"/>
      <c r="GXK5"/>
      <c r="GXL5"/>
      <c r="GXM5"/>
      <c r="GXN5"/>
      <c r="GXO5"/>
      <c r="GXP5"/>
      <c r="GXQ5"/>
      <c r="GXR5"/>
      <c r="GXS5"/>
      <c r="GXT5"/>
      <c r="GXU5"/>
      <c r="GXV5"/>
      <c r="GXW5"/>
      <c r="GXX5"/>
      <c r="GXY5"/>
      <c r="GXZ5"/>
      <c r="GYA5"/>
      <c r="GYB5"/>
      <c r="GYC5"/>
      <c r="GYD5"/>
      <c r="GYE5"/>
      <c r="GYF5"/>
      <c r="GYG5"/>
      <c r="GYH5"/>
      <c r="GYI5"/>
      <c r="GYJ5"/>
      <c r="GYK5"/>
      <c r="GYL5"/>
      <c r="GYM5"/>
      <c r="GYN5"/>
      <c r="GYO5"/>
      <c r="GYP5"/>
      <c r="GYQ5"/>
      <c r="GYR5"/>
      <c r="GYS5"/>
      <c r="GYT5"/>
      <c r="GYU5"/>
      <c r="GYV5"/>
      <c r="GYW5"/>
      <c r="GYX5"/>
      <c r="GYY5"/>
      <c r="GYZ5"/>
      <c r="GZA5"/>
      <c r="GZB5"/>
      <c r="GZC5"/>
      <c r="GZD5"/>
      <c r="GZE5"/>
      <c r="GZF5"/>
      <c r="GZG5"/>
      <c r="GZH5"/>
      <c r="GZI5"/>
      <c r="GZJ5"/>
      <c r="GZK5"/>
      <c r="GZL5"/>
      <c r="GZM5"/>
      <c r="GZN5"/>
      <c r="GZO5"/>
      <c r="GZP5"/>
      <c r="GZQ5"/>
      <c r="GZR5"/>
      <c r="GZS5"/>
      <c r="GZT5"/>
      <c r="GZU5"/>
      <c r="GZV5"/>
      <c r="GZW5"/>
      <c r="GZX5"/>
      <c r="GZY5"/>
      <c r="GZZ5"/>
      <c r="HAA5"/>
      <c r="HAB5"/>
      <c r="HAC5"/>
      <c r="HAD5"/>
      <c r="HAE5"/>
      <c r="HAF5"/>
      <c r="HAG5"/>
      <c r="HAH5"/>
      <c r="HAI5"/>
      <c r="HAJ5"/>
      <c r="HAK5"/>
      <c r="HAL5"/>
      <c r="HAM5"/>
      <c r="HAN5"/>
      <c r="HAO5"/>
      <c r="HAP5"/>
      <c r="HAQ5"/>
      <c r="HAR5"/>
      <c r="HAS5"/>
      <c r="HAT5"/>
      <c r="HAU5"/>
      <c r="HAV5"/>
      <c r="HAW5"/>
      <c r="HAX5"/>
      <c r="HAY5"/>
      <c r="HAZ5"/>
      <c r="HBA5"/>
      <c r="HBB5"/>
      <c r="HBC5"/>
      <c r="HBD5"/>
      <c r="HBE5"/>
      <c r="HBF5"/>
      <c r="HBG5"/>
      <c r="HBH5"/>
      <c r="HBI5"/>
      <c r="HBJ5"/>
      <c r="HBK5"/>
      <c r="HBL5"/>
      <c r="HBM5"/>
      <c r="HBN5"/>
      <c r="HBO5"/>
      <c r="HBP5"/>
      <c r="HBQ5"/>
      <c r="HBR5"/>
      <c r="HBS5"/>
      <c r="HBT5"/>
      <c r="HBU5"/>
      <c r="HBV5"/>
      <c r="HBW5"/>
      <c r="HBX5"/>
      <c r="HBY5"/>
      <c r="HBZ5"/>
      <c r="HCA5"/>
      <c r="HCB5"/>
      <c r="HCC5"/>
      <c r="HCD5"/>
      <c r="HCE5"/>
      <c r="HCF5"/>
      <c r="HCG5"/>
      <c r="HCH5"/>
      <c r="HCI5"/>
      <c r="HCJ5"/>
      <c r="HCK5"/>
      <c r="HCL5"/>
      <c r="HCM5"/>
      <c r="HCN5"/>
      <c r="HCO5"/>
      <c r="HCP5"/>
      <c r="HCQ5"/>
      <c r="HCR5"/>
      <c r="HCS5"/>
      <c r="HCT5"/>
      <c r="HCU5"/>
      <c r="HCV5"/>
      <c r="HCW5"/>
      <c r="HCX5"/>
      <c r="HCY5"/>
      <c r="HCZ5"/>
      <c r="HDA5"/>
      <c r="HDB5"/>
      <c r="HDC5"/>
      <c r="HDD5"/>
      <c r="HDE5"/>
      <c r="HDF5"/>
      <c r="HDG5"/>
      <c r="HDH5"/>
      <c r="HDI5"/>
      <c r="HDJ5"/>
      <c r="HDK5"/>
      <c r="HDL5"/>
      <c r="HDM5"/>
      <c r="HDN5"/>
      <c r="HDO5"/>
      <c r="HDP5"/>
      <c r="HDQ5"/>
      <c r="HDR5"/>
      <c r="HDS5"/>
      <c r="HDT5"/>
      <c r="HDU5"/>
      <c r="HDV5"/>
      <c r="HDW5"/>
      <c r="HDX5"/>
      <c r="HDY5"/>
      <c r="HDZ5"/>
      <c r="HEA5"/>
      <c r="HEB5"/>
      <c r="HEC5"/>
      <c r="HED5"/>
      <c r="HEE5"/>
      <c r="HEF5"/>
      <c r="HEG5"/>
      <c r="HEH5"/>
      <c r="HEI5"/>
      <c r="HEJ5"/>
      <c r="HEK5"/>
      <c r="HEL5"/>
      <c r="HEM5"/>
      <c r="HEN5"/>
      <c r="HEO5"/>
      <c r="HEP5"/>
      <c r="HEQ5"/>
      <c r="HER5"/>
      <c r="HES5"/>
      <c r="HET5"/>
      <c r="HEU5"/>
      <c r="HEV5"/>
      <c r="HEW5"/>
      <c r="HEX5"/>
      <c r="HEY5"/>
      <c r="HEZ5"/>
      <c r="HFA5"/>
      <c r="HFB5"/>
      <c r="HFC5"/>
      <c r="HFD5"/>
      <c r="HFE5"/>
      <c r="HFF5"/>
      <c r="HFG5"/>
      <c r="HFH5"/>
      <c r="HFI5"/>
      <c r="HFJ5"/>
      <c r="HFK5"/>
      <c r="HFL5"/>
      <c r="HFM5"/>
      <c r="HFN5"/>
      <c r="HFO5"/>
      <c r="HFP5"/>
      <c r="HFQ5"/>
      <c r="HFR5"/>
      <c r="HFS5"/>
      <c r="HFT5"/>
      <c r="HFU5"/>
      <c r="HFV5"/>
      <c r="HFW5"/>
      <c r="HFX5"/>
      <c r="HFY5"/>
      <c r="HFZ5"/>
      <c r="HGA5"/>
      <c r="HGB5"/>
      <c r="HGC5"/>
      <c r="HGD5"/>
      <c r="HGE5"/>
      <c r="HGF5"/>
      <c r="HGG5"/>
      <c r="HGH5"/>
      <c r="HGI5"/>
      <c r="HGJ5"/>
      <c r="HGK5"/>
      <c r="HGL5"/>
      <c r="HGM5"/>
      <c r="HGN5"/>
      <c r="HGO5"/>
      <c r="HGP5"/>
      <c r="HGQ5"/>
      <c r="HGR5"/>
      <c r="HGS5"/>
      <c r="HGT5"/>
      <c r="HGU5"/>
      <c r="HGV5"/>
      <c r="HGW5"/>
      <c r="HGX5"/>
      <c r="HGY5"/>
      <c r="HGZ5"/>
      <c r="HHA5"/>
      <c r="HHB5"/>
      <c r="HHC5"/>
      <c r="HHD5"/>
      <c r="HHE5"/>
      <c r="HHF5"/>
      <c r="HHG5"/>
      <c r="HHH5"/>
      <c r="HHI5"/>
      <c r="HHJ5"/>
      <c r="HHK5"/>
      <c r="HHL5"/>
      <c r="HHM5"/>
      <c r="HHN5"/>
      <c r="HHO5"/>
      <c r="HHP5"/>
      <c r="HHQ5"/>
      <c r="HHR5"/>
      <c r="HHS5"/>
      <c r="HHT5"/>
      <c r="HHU5"/>
      <c r="HHV5"/>
      <c r="HHW5"/>
      <c r="HHX5"/>
      <c r="HHY5"/>
      <c r="HHZ5"/>
      <c r="HIA5"/>
      <c r="HIB5"/>
      <c r="HIC5"/>
      <c r="HID5"/>
      <c r="HIE5"/>
      <c r="HIF5"/>
      <c r="HIG5"/>
      <c r="HIH5"/>
      <c r="HII5"/>
      <c r="HIJ5"/>
      <c r="HIK5"/>
      <c r="HIL5"/>
      <c r="HIM5"/>
      <c r="HIN5"/>
      <c r="HIO5"/>
      <c r="HIP5"/>
      <c r="HIQ5"/>
      <c r="HIR5"/>
      <c r="HIS5"/>
      <c r="HIT5"/>
      <c r="HIU5"/>
      <c r="HIV5"/>
      <c r="HIW5"/>
      <c r="HIX5"/>
      <c r="HIY5"/>
      <c r="HIZ5"/>
      <c r="HJA5"/>
      <c r="HJB5"/>
      <c r="HJC5"/>
      <c r="HJD5"/>
      <c r="HJE5"/>
      <c r="HJF5"/>
      <c r="HJG5"/>
      <c r="HJH5"/>
      <c r="HJI5"/>
      <c r="HJJ5"/>
      <c r="HJK5"/>
      <c r="HJL5"/>
      <c r="HJM5"/>
      <c r="HJN5"/>
      <c r="HJO5"/>
      <c r="HJP5"/>
      <c r="HJQ5"/>
      <c r="HJR5"/>
      <c r="HJS5"/>
      <c r="HJT5"/>
      <c r="HJU5"/>
      <c r="HJV5"/>
      <c r="HJW5"/>
      <c r="HJX5"/>
      <c r="HJY5"/>
      <c r="HJZ5"/>
      <c r="HKA5"/>
      <c r="HKB5"/>
      <c r="HKC5"/>
      <c r="HKD5"/>
      <c r="HKE5"/>
      <c r="HKF5"/>
      <c r="HKG5"/>
      <c r="HKH5"/>
      <c r="HKI5"/>
      <c r="HKJ5"/>
      <c r="HKK5"/>
      <c r="HKL5"/>
      <c r="HKM5"/>
      <c r="HKN5"/>
      <c r="HKO5"/>
      <c r="HKP5"/>
      <c r="HKQ5"/>
      <c r="HKR5"/>
      <c r="HKS5"/>
      <c r="HKT5"/>
      <c r="HKU5"/>
      <c r="HKV5"/>
      <c r="HKW5"/>
      <c r="HKX5"/>
      <c r="HKY5"/>
      <c r="HKZ5"/>
      <c r="HLA5"/>
      <c r="HLB5"/>
      <c r="HLC5"/>
      <c r="HLD5"/>
      <c r="HLE5"/>
      <c r="HLF5"/>
      <c r="HLG5"/>
      <c r="HLH5"/>
      <c r="HLI5"/>
      <c r="HLJ5"/>
      <c r="HLK5"/>
      <c r="HLL5"/>
      <c r="HLM5"/>
      <c r="HLN5"/>
      <c r="HLO5"/>
      <c r="HLP5"/>
      <c r="HLQ5"/>
      <c r="HLR5"/>
      <c r="HLS5"/>
      <c r="HLT5"/>
      <c r="HLU5"/>
      <c r="HLV5"/>
      <c r="HLW5"/>
      <c r="HLX5"/>
      <c r="HLY5"/>
      <c r="HLZ5"/>
      <c r="HMA5"/>
      <c r="HMB5"/>
      <c r="HMC5"/>
      <c r="HMD5"/>
      <c r="HME5"/>
      <c r="HMF5"/>
      <c r="HMG5"/>
      <c r="HMH5"/>
      <c r="HMI5"/>
      <c r="HMJ5"/>
      <c r="HMK5"/>
      <c r="HML5"/>
      <c r="HMM5"/>
      <c r="HMN5"/>
      <c r="HMO5"/>
      <c r="HMP5"/>
      <c r="HMQ5"/>
      <c r="HMR5"/>
      <c r="HMS5"/>
      <c r="HMT5"/>
      <c r="HMU5"/>
      <c r="HMV5"/>
      <c r="HMW5"/>
      <c r="HMX5"/>
      <c r="HMY5"/>
      <c r="HMZ5"/>
      <c r="HNA5"/>
      <c r="HNB5"/>
      <c r="HNC5"/>
      <c r="HND5"/>
      <c r="HNE5"/>
      <c r="HNF5"/>
      <c r="HNG5"/>
      <c r="HNH5"/>
      <c r="HNI5"/>
      <c r="HNJ5"/>
      <c r="HNK5"/>
      <c r="HNL5"/>
      <c r="HNM5"/>
      <c r="HNN5"/>
      <c r="HNO5"/>
      <c r="HNP5"/>
      <c r="HNQ5"/>
      <c r="HNR5"/>
      <c r="HNS5"/>
      <c r="HNT5"/>
      <c r="HNU5"/>
      <c r="HNV5"/>
      <c r="HNW5"/>
      <c r="HNX5"/>
      <c r="HNY5"/>
      <c r="HNZ5"/>
      <c r="HOA5"/>
      <c r="HOB5"/>
      <c r="HOC5"/>
      <c r="HOD5"/>
      <c r="HOE5"/>
      <c r="HOF5"/>
      <c r="HOG5"/>
      <c r="HOH5"/>
      <c r="HOI5"/>
      <c r="HOJ5"/>
      <c r="HOK5"/>
      <c r="HOL5"/>
      <c r="HOM5"/>
      <c r="HON5"/>
      <c r="HOO5"/>
      <c r="HOP5"/>
      <c r="HOQ5"/>
      <c r="HOR5"/>
      <c r="HOS5"/>
      <c r="HOT5"/>
      <c r="HOU5"/>
      <c r="HOV5"/>
      <c r="HOW5"/>
      <c r="HOX5"/>
      <c r="HOY5"/>
      <c r="HOZ5"/>
      <c r="HPA5"/>
      <c r="HPB5"/>
      <c r="HPC5"/>
      <c r="HPD5"/>
      <c r="HPE5"/>
      <c r="HPF5"/>
      <c r="HPG5"/>
      <c r="HPH5"/>
      <c r="HPI5"/>
      <c r="HPJ5"/>
      <c r="HPK5"/>
      <c r="HPL5"/>
      <c r="HPM5"/>
      <c r="HPN5"/>
      <c r="HPO5"/>
      <c r="HPP5"/>
      <c r="HPQ5"/>
      <c r="HPR5"/>
      <c r="HPS5"/>
      <c r="HPT5"/>
      <c r="HPU5"/>
      <c r="HPV5"/>
      <c r="HPW5"/>
      <c r="HPX5"/>
      <c r="HPY5"/>
      <c r="HPZ5"/>
      <c r="HQA5"/>
      <c r="HQB5"/>
      <c r="HQC5"/>
      <c r="HQD5"/>
      <c r="HQE5"/>
      <c r="HQF5"/>
      <c r="HQG5"/>
      <c r="HQH5"/>
      <c r="HQI5"/>
      <c r="HQJ5"/>
      <c r="HQK5"/>
      <c r="HQL5"/>
      <c r="HQM5"/>
      <c r="HQN5"/>
      <c r="HQO5"/>
      <c r="HQP5"/>
      <c r="HQQ5"/>
      <c r="HQR5"/>
      <c r="HQS5"/>
      <c r="HQT5"/>
      <c r="HQU5"/>
      <c r="HQV5"/>
      <c r="HQW5"/>
      <c r="HQX5"/>
      <c r="HQY5"/>
      <c r="HQZ5"/>
      <c r="HRA5"/>
      <c r="HRB5"/>
      <c r="HRC5"/>
      <c r="HRD5"/>
      <c r="HRE5"/>
      <c r="HRF5"/>
      <c r="HRG5"/>
      <c r="HRH5"/>
      <c r="HRI5"/>
      <c r="HRJ5"/>
      <c r="HRK5"/>
      <c r="HRL5"/>
      <c r="HRM5"/>
      <c r="HRN5"/>
      <c r="HRO5"/>
      <c r="HRP5"/>
      <c r="HRQ5"/>
      <c r="HRR5"/>
      <c r="HRS5"/>
      <c r="HRT5"/>
      <c r="HRU5"/>
      <c r="HRV5"/>
      <c r="HRW5"/>
      <c r="HRX5"/>
      <c r="HRY5"/>
      <c r="HRZ5"/>
      <c r="HSA5"/>
      <c r="HSB5"/>
      <c r="HSC5"/>
      <c r="HSD5"/>
      <c r="HSE5"/>
      <c r="HSF5"/>
      <c r="HSG5"/>
      <c r="HSH5"/>
      <c r="HSI5"/>
      <c r="HSJ5"/>
      <c r="HSK5"/>
      <c r="HSL5"/>
      <c r="HSM5"/>
      <c r="HSN5"/>
      <c r="HSO5"/>
      <c r="HSP5"/>
      <c r="HSQ5"/>
      <c r="HSR5"/>
      <c r="HSS5"/>
      <c r="HST5"/>
      <c r="HSU5"/>
      <c r="HSV5"/>
      <c r="HSW5"/>
      <c r="HSX5"/>
      <c r="HSY5"/>
      <c r="HSZ5"/>
      <c r="HTA5"/>
      <c r="HTB5"/>
      <c r="HTC5"/>
      <c r="HTD5"/>
      <c r="HTE5"/>
      <c r="HTF5"/>
      <c r="HTG5"/>
      <c r="HTH5"/>
      <c r="HTI5"/>
      <c r="HTJ5"/>
      <c r="HTK5"/>
      <c r="HTL5"/>
      <c r="HTM5"/>
      <c r="HTN5"/>
      <c r="HTO5"/>
      <c r="HTP5"/>
      <c r="HTQ5"/>
      <c r="HTR5"/>
      <c r="HTS5"/>
      <c r="HTT5"/>
      <c r="HTU5"/>
      <c r="HTV5"/>
      <c r="HTW5"/>
      <c r="HTX5"/>
      <c r="HTY5"/>
      <c r="HTZ5"/>
      <c r="HUA5"/>
      <c r="HUB5"/>
      <c r="HUC5"/>
      <c r="HUD5"/>
      <c r="HUE5"/>
      <c r="HUF5"/>
      <c r="HUG5"/>
      <c r="HUH5"/>
      <c r="HUI5"/>
      <c r="HUJ5"/>
      <c r="HUK5"/>
      <c r="HUL5"/>
      <c r="HUM5"/>
      <c r="HUN5"/>
      <c r="HUO5"/>
      <c r="HUP5"/>
      <c r="HUQ5"/>
      <c r="HUR5"/>
      <c r="HUS5"/>
      <c r="HUT5"/>
      <c r="HUU5"/>
      <c r="HUV5"/>
      <c r="HUW5"/>
      <c r="HUX5"/>
      <c r="HUY5"/>
      <c r="HUZ5"/>
      <c r="HVA5"/>
      <c r="HVB5"/>
      <c r="HVC5"/>
      <c r="HVD5"/>
      <c r="HVE5"/>
      <c r="HVF5"/>
      <c r="HVG5"/>
      <c r="HVH5"/>
      <c r="HVI5"/>
      <c r="HVJ5"/>
      <c r="HVK5"/>
      <c r="HVL5"/>
      <c r="HVM5"/>
      <c r="HVN5"/>
      <c r="HVO5"/>
      <c r="HVP5"/>
      <c r="HVQ5"/>
      <c r="HVR5"/>
      <c r="HVS5"/>
      <c r="HVT5"/>
      <c r="HVU5"/>
      <c r="HVV5"/>
      <c r="HVW5"/>
      <c r="HVX5"/>
      <c r="HVY5"/>
      <c r="HVZ5"/>
      <c r="HWA5"/>
      <c r="HWB5"/>
      <c r="HWC5"/>
      <c r="HWD5"/>
      <c r="HWE5"/>
      <c r="HWF5"/>
      <c r="HWG5"/>
      <c r="HWH5"/>
      <c r="HWI5"/>
      <c r="HWJ5"/>
      <c r="HWK5"/>
      <c r="HWL5"/>
      <c r="HWM5"/>
      <c r="HWN5"/>
      <c r="HWO5"/>
      <c r="HWP5"/>
      <c r="HWQ5"/>
      <c r="HWR5"/>
      <c r="HWS5"/>
      <c r="HWT5"/>
      <c r="HWU5"/>
      <c r="HWV5"/>
      <c r="HWW5"/>
      <c r="HWX5"/>
      <c r="HWY5"/>
      <c r="HWZ5"/>
      <c r="HXA5"/>
      <c r="HXB5"/>
      <c r="HXC5"/>
      <c r="HXD5"/>
      <c r="HXE5"/>
      <c r="HXF5"/>
      <c r="HXG5"/>
      <c r="HXH5"/>
      <c r="HXI5"/>
      <c r="HXJ5"/>
      <c r="HXK5"/>
      <c r="HXL5"/>
      <c r="HXM5"/>
      <c r="HXN5"/>
      <c r="HXO5"/>
      <c r="HXP5"/>
      <c r="HXQ5"/>
      <c r="HXR5"/>
      <c r="HXS5"/>
      <c r="HXT5"/>
      <c r="HXU5"/>
      <c r="HXV5"/>
      <c r="HXW5"/>
      <c r="HXX5"/>
      <c r="HXY5"/>
      <c r="HXZ5"/>
      <c r="HYA5"/>
      <c r="HYB5"/>
      <c r="HYC5"/>
      <c r="HYD5"/>
      <c r="HYE5"/>
      <c r="HYF5"/>
      <c r="HYG5"/>
      <c r="HYH5"/>
      <c r="HYI5"/>
      <c r="HYJ5"/>
      <c r="HYK5"/>
      <c r="HYL5"/>
      <c r="HYM5"/>
      <c r="HYN5"/>
      <c r="HYO5"/>
      <c r="HYP5"/>
      <c r="HYQ5"/>
      <c r="HYR5"/>
      <c r="HYS5"/>
      <c r="HYT5"/>
      <c r="HYU5"/>
      <c r="HYV5"/>
      <c r="HYW5"/>
      <c r="HYX5"/>
      <c r="HYY5"/>
      <c r="HYZ5"/>
      <c r="HZA5"/>
      <c r="HZB5"/>
      <c r="HZC5"/>
      <c r="HZD5"/>
      <c r="HZE5"/>
      <c r="HZF5"/>
      <c r="HZG5"/>
      <c r="HZH5"/>
      <c r="HZI5"/>
      <c r="HZJ5"/>
      <c r="HZK5"/>
      <c r="HZL5"/>
      <c r="HZM5"/>
      <c r="HZN5"/>
      <c r="HZO5"/>
      <c r="HZP5"/>
      <c r="HZQ5"/>
      <c r="HZR5"/>
      <c r="HZS5"/>
      <c r="HZT5"/>
      <c r="HZU5"/>
      <c r="HZV5"/>
      <c r="HZW5"/>
      <c r="HZX5"/>
      <c r="HZY5"/>
      <c r="HZZ5"/>
      <c r="IAA5"/>
      <c r="IAB5"/>
      <c r="IAC5"/>
      <c r="IAD5"/>
      <c r="IAE5"/>
      <c r="IAF5"/>
      <c r="IAG5"/>
      <c r="IAH5"/>
      <c r="IAI5"/>
      <c r="IAJ5"/>
      <c r="IAK5"/>
      <c r="IAL5"/>
      <c r="IAM5"/>
      <c r="IAN5"/>
      <c r="IAO5"/>
      <c r="IAP5"/>
      <c r="IAQ5"/>
      <c r="IAR5"/>
      <c r="IAS5"/>
      <c r="IAT5"/>
      <c r="IAU5"/>
      <c r="IAV5"/>
      <c r="IAW5"/>
      <c r="IAX5"/>
      <c r="IAY5"/>
      <c r="IAZ5"/>
      <c r="IBA5"/>
      <c r="IBB5"/>
      <c r="IBC5"/>
      <c r="IBD5"/>
      <c r="IBE5"/>
      <c r="IBF5"/>
      <c r="IBG5"/>
      <c r="IBH5"/>
      <c r="IBI5"/>
      <c r="IBJ5"/>
      <c r="IBK5"/>
      <c r="IBL5"/>
      <c r="IBM5"/>
      <c r="IBN5"/>
      <c r="IBO5"/>
      <c r="IBP5"/>
      <c r="IBQ5"/>
      <c r="IBR5"/>
      <c r="IBS5"/>
      <c r="IBT5"/>
      <c r="IBU5"/>
      <c r="IBV5"/>
      <c r="IBW5"/>
      <c r="IBX5"/>
      <c r="IBY5"/>
      <c r="IBZ5"/>
      <c r="ICA5"/>
      <c r="ICB5"/>
      <c r="ICC5"/>
      <c r="ICD5"/>
      <c r="ICE5"/>
      <c r="ICF5"/>
      <c r="ICG5"/>
      <c r="ICH5"/>
      <c r="ICI5"/>
      <c r="ICJ5"/>
      <c r="ICK5"/>
      <c r="ICL5"/>
      <c r="ICM5"/>
      <c r="ICN5"/>
      <c r="ICO5"/>
      <c r="ICP5"/>
      <c r="ICQ5"/>
      <c r="ICR5"/>
      <c r="ICS5"/>
      <c r="ICT5"/>
      <c r="ICU5"/>
      <c r="ICV5"/>
      <c r="ICW5"/>
      <c r="ICX5"/>
      <c r="ICY5"/>
      <c r="ICZ5"/>
      <c r="IDA5"/>
      <c r="IDB5"/>
      <c r="IDC5"/>
      <c r="IDD5"/>
      <c r="IDE5"/>
      <c r="IDF5"/>
      <c r="IDG5"/>
      <c r="IDH5"/>
      <c r="IDI5"/>
      <c r="IDJ5"/>
      <c r="IDK5"/>
      <c r="IDL5"/>
      <c r="IDM5"/>
      <c r="IDN5"/>
      <c r="IDO5"/>
      <c r="IDP5"/>
      <c r="IDQ5"/>
      <c r="IDR5"/>
      <c r="IDS5"/>
      <c r="IDT5"/>
      <c r="IDU5"/>
      <c r="IDV5"/>
      <c r="IDW5"/>
      <c r="IDX5"/>
      <c r="IDY5"/>
      <c r="IDZ5"/>
      <c r="IEA5"/>
      <c r="IEB5"/>
      <c r="IEC5"/>
      <c r="IED5"/>
      <c r="IEE5"/>
      <c r="IEF5"/>
      <c r="IEG5"/>
      <c r="IEH5"/>
      <c r="IEI5"/>
      <c r="IEJ5"/>
      <c r="IEK5"/>
      <c r="IEL5"/>
      <c r="IEM5"/>
      <c r="IEN5"/>
      <c r="IEO5"/>
      <c r="IEP5"/>
      <c r="IEQ5"/>
      <c r="IER5"/>
      <c r="IES5"/>
      <c r="IET5"/>
      <c r="IEU5"/>
      <c r="IEV5"/>
      <c r="IEW5"/>
      <c r="IEX5"/>
      <c r="IEY5"/>
      <c r="IEZ5"/>
      <c r="IFA5"/>
      <c r="IFB5"/>
      <c r="IFC5"/>
      <c r="IFD5"/>
      <c r="IFE5"/>
      <c r="IFF5"/>
      <c r="IFG5"/>
      <c r="IFH5"/>
      <c r="IFI5"/>
      <c r="IFJ5"/>
      <c r="IFK5"/>
      <c r="IFL5"/>
      <c r="IFM5"/>
      <c r="IFN5"/>
      <c r="IFO5"/>
      <c r="IFP5"/>
      <c r="IFQ5"/>
      <c r="IFR5"/>
      <c r="IFS5"/>
      <c r="IFT5"/>
      <c r="IFU5"/>
      <c r="IFV5"/>
      <c r="IFW5"/>
      <c r="IFX5"/>
      <c r="IFY5"/>
      <c r="IFZ5"/>
      <c r="IGA5"/>
      <c r="IGB5"/>
      <c r="IGC5"/>
      <c r="IGD5"/>
      <c r="IGE5"/>
      <c r="IGF5"/>
      <c r="IGG5"/>
      <c r="IGH5"/>
      <c r="IGI5"/>
      <c r="IGJ5"/>
      <c r="IGK5"/>
      <c r="IGL5"/>
      <c r="IGM5"/>
      <c r="IGN5"/>
      <c r="IGO5"/>
      <c r="IGP5"/>
      <c r="IGQ5"/>
      <c r="IGR5"/>
      <c r="IGS5"/>
      <c r="IGT5"/>
      <c r="IGU5"/>
      <c r="IGV5"/>
      <c r="IGW5"/>
      <c r="IGX5"/>
      <c r="IGY5"/>
      <c r="IGZ5"/>
      <c r="IHA5"/>
      <c r="IHB5"/>
      <c r="IHC5"/>
      <c r="IHD5"/>
      <c r="IHE5"/>
      <c r="IHF5"/>
      <c r="IHG5"/>
      <c r="IHH5"/>
      <c r="IHI5"/>
      <c r="IHJ5"/>
      <c r="IHK5"/>
      <c r="IHL5"/>
      <c r="IHM5"/>
      <c r="IHN5"/>
      <c r="IHO5"/>
      <c r="IHP5"/>
      <c r="IHQ5"/>
      <c r="IHR5"/>
      <c r="IHS5"/>
      <c r="IHT5"/>
      <c r="IHU5"/>
      <c r="IHV5"/>
      <c r="IHW5"/>
      <c r="IHX5"/>
      <c r="IHY5"/>
      <c r="IHZ5"/>
      <c r="IIA5"/>
      <c r="IIB5"/>
      <c r="IIC5"/>
      <c r="IID5"/>
      <c r="IIE5"/>
      <c r="IIF5"/>
      <c r="IIG5"/>
      <c r="IIH5"/>
      <c r="III5"/>
      <c r="IIJ5"/>
      <c r="IIK5"/>
      <c r="IIL5"/>
      <c r="IIM5"/>
      <c r="IIN5"/>
      <c r="IIO5"/>
      <c r="IIP5"/>
      <c r="IIQ5"/>
      <c r="IIR5"/>
      <c r="IIS5"/>
      <c r="IIT5"/>
      <c r="IIU5"/>
      <c r="IIV5"/>
      <c r="IIW5"/>
      <c r="IIX5"/>
      <c r="IIY5"/>
      <c r="IIZ5"/>
      <c r="IJA5"/>
      <c r="IJB5"/>
      <c r="IJC5"/>
      <c r="IJD5"/>
      <c r="IJE5"/>
      <c r="IJF5"/>
      <c r="IJG5"/>
      <c r="IJH5"/>
      <c r="IJI5"/>
      <c r="IJJ5"/>
      <c r="IJK5"/>
      <c r="IJL5"/>
      <c r="IJM5"/>
      <c r="IJN5"/>
      <c r="IJO5"/>
      <c r="IJP5"/>
      <c r="IJQ5"/>
      <c r="IJR5"/>
      <c r="IJS5"/>
      <c r="IJT5"/>
      <c r="IJU5"/>
      <c r="IJV5"/>
      <c r="IJW5"/>
      <c r="IJX5"/>
      <c r="IJY5"/>
      <c r="IJZ5"/>
      <c r="IKA5"/>
      <c r="IKB5"/>
      <c r="IKC5"/>
      <c r="IKD5"/>
      <c r="IKE5"/>
      <c r="IKF5"/>
      <c r="IKG5"/>
      <c r="IKH5"/>
      <c r="IKI5"/>
      <c r="IKJ5"/>
      <c r="IKK5"/>
      <c r="IKL5"/>
      <c r="IKM5"/>
      <c r="IKN5"/>
      <c r="IKO5"/>
      <c r="IKP5"/>
      <c r="IKQ5"/>
      <c r="IKR5"/>
      <c r="IKS5"/>
      <c r="IKT5"/>
      <c r="IKU5"/>
      <c r="IKV5"/>
      <c r="IKW5"/>
      <c r="IKX5"/>
      <c r="IKY5"/>
      <c r="IKZ5"/>
      <c r="ILA5"/>
      <c r="ILB5"/>
      <c r="ILC5"/>
      <c r="ILD5"/>
      <c r="ILE5"/>
      <c r="ILF5"/>
      <c r="ILG5"/>
      <c r="ILH5"/>
      <c r="ILI5"/>
      <c r="ILJ5"/>
      <c r="ILK5"/>
      <c r="ILL5"/>
      <c r="ILM5"/>
      <c r="ILN5"/>
      <c r="ILO5"/>
      <c r="ILP5"/>
      <c r="ILQ5"/>
      <c r="ILR5"/>
      <c r="ILS5"/>
      <c r="ILT5"/>
      <c r="ILU5"/>
      <c r="ILV5"/>
      <c r="ILW5"/>
      <c r="ILX5"/>
      <c r="ILY5"/>
      <c r="ILZ5"/>
      <c r="IMA5"/>
      <c r="IMB5"/>
      <c r="IMC5"/>
      <c r="IMD5"/>
      <c r="IME5"/>
      <c r="IMF5"/>
      <c r="IMG5"/>
      <c r="IMH5"/>
      <c r="IMI5"/>
      <c r="IMJ5"/>
      <c r="IMK5"/>
      <c r="IML5"/>
      <c r="IMM5"/>
      <c r="IMN5"/>
      <c r="IMO5"/>
      <c r="IMP5"/>
      <c r="IMQ5"/>
      <c r="IMR5"/>
      <c r="IMS5"/>
      <c r="IMT5"/>
      <c r="IMU5"/>
      <c r="IMV5"/>
      <c r="IMW5"/>
      <c r="IMX5"/>
      <c r="IMY5"/>
      <c r="IMZ5"/>
      <c r="INA5"/>
      <c r="INB5"/>
      <c r="INC5"/>
      <c r="IND5"/>
      <c r="INE5"/>
      <c r="INF5"/>
      <c r="ING5"/>
      <c r="INH5"/>
      <c r="INI5"/>
      <c r="INJ5"/>
      <c r="INK5"/>
      <c r="INL5"/>
      <c r="INM5"/>
      <c r="INN5"/>
      <c r="INO5"/>
      <c r="INP5"/>
      <c r="INQ5"/>
      <c r="INR5"/>
      <c r="INS5"/>
      <c r="INT5"/>
      <c r="INU5"/>
      <c r="INV5"/>
      <c r="INW5"/>
      <c r="INX5"/>
      <c r="INY5"/>
      <c r="INZ5"/>
      <c r="IOA5"/>
      <c r="IOB5"/>
      <c r="IOC5"/>
      <c r="IOD5"/>
      <c r="IOE5"/>
      <c r="IOF5"/>
      <c r="IOG5"/>
      <c r="IOH5"/>
      <c r="IOI5"/>
      <c r="IOJ5"/>
      <c r="IOK5"/>
      <c r="IOL5"/>
      <c r="IOM5"/>
      <c r="ION5"/>
      <c r="IOO5"/>
      <c r="IOP5"/>
      <c r="IOQ5"/>
      <c r="IOR5"/>
      <c r="IOS5"/>
      <c r="IOT5"/>
      <c r="IOU5"/>
      <c r="IOV5"/>
      <c r="IOW5"/>
      <c r="IOX5"/>
      <c r="IOY5"/>
      <c r="IOZ5"/>
      <c r="IPA5"/>
      <c r="IPB5"/>
      <c r="IPC5"/>
      <c r="IPD5"/>
      <c r="IPE5"/>
      <c r="IPF5"/>
      <c r="IPG5"/>
      <c r="IPH5"/>
      <c r="IPI5"/>
      <c r="IPJ5"/>
      <c r="IPK5"/>
      <c r="IPL5"/>
      <c r="IPM5"/>
      <c r="IPN5"/>
      <c r="IPO5"/>
      <c r="IPP5"/>
      <c r="IPQ5"/>
      <c r="IPR5"/>
      <c r="IPS5"/>
      <c r="IPT5"/>
      <c r="IPU5"/>
      <c r="IPV5"/>
      <c r="IPW5"/>
      <c r="IPX5"/>
      <c r="IPY5"/>
      <c r="IPZ5"/>
      <c r="IQA5"/>
      <c r="IQB5"/>
      <c r="IQC5"/>
      <c r="IQD5"/>
      <c r="IQE5"/>
      <c r="IQF5"/>
      <c r="IQG5"/>
      <c r="IQH5"/>
      <c r="IQI5"/>
      <c r="IQJ5"/>
      <c r="IQK5"/>
      <c r="IQL5"/>
      <c r="IQM5"/>
      <c r="IQN5"/>
      <c r="IQO5"/>
      <c r="IQP5"/>
      <c r="IQQ5"/>
      <c r="IQR5"/>
      <c r="IQS5"/>
      <c r="IQT5"/>
      <c r="IQU5"/>
      <c r="IQV5"/>
      <c r="IQW5"/>
      <c r="IQX5"/>
      <c r="IQY5"/>
      <c r="IQZ5"/>
      <c r="IRA5"/>
      <c r="IRB5"/>
      <c r="IRC5"/>
      <c r="IRD5"/>
      <c r="IRE5"/>
      <c r="IRF5"/>
      <c r="IRG5"/>
      <c r="IRH5"/>
      <c r="IRI5"/>
      <c r="IRJ5"/>
      <c r="IRK5"/>
      <c r="IRL5"/>
      <c r="IRM5"/>
      <c r="IRN5"/>
      <c r="IRO5"/>
      <c r="IRP5"/>
      <c r="IRQ5"/>
      <c r="IRR5"/>
      <c r="IRS5"/>
      <c r="IRT5"/>
      <c r="IRU5"/>
      <c r="IRV5"/>
      <c r="IRW5"/>
      <c r="IRX5"/>
      <c r="IRY5"/>
      <c r="IRZ5"/>
      <c r="ISA5"/>
      <c r="ISB5"/>
      <c r="ISC5"/>
      <c r="ISD5"/>
      <c r="ISE5"/>
      <c r="ISF5"/>
      <c r="ISG5"/>
      <c r="ISH5"/>
      <c r="ISI5"/>
      <c r="ISJ5"/>
      <c r="ISK5"/>
      <c r="ISL5"/>
      <c r="ISM5"/>
      <c r="ISN5"/>
      <c r="ISO5"/>
      <c r="ISP5"/>
      <c r="ISQ5"/>
      <c r="ISR5"/>
      <c r="ISS5"/>
      <c r="IST5"/>
      <c r="ISU5"/>
      <c r="ISV5"/>
      <c r="ISW5"/>
      <c r="ISX5"/>
      <c r="ISY5"/>
      <c r="ISZ5"/>
      <c r="ITA5"/>
      <c r="ITB5"/>
      <c r="ITC5"/>
      <c r="ITD5"/>
      <c r="ITE5"/>
      <c r="ITF5"/>
      <c r="ITG5"/>
      <c r="ITH5"/>
      <c r="ITI5"/>
      <c r="ITJ5"/>
      <c r="ITK5"/>
      <c r="ITL5"/>
      <c r="ITM5"/>
      <c r="ITN5"/>
      <c r="ITO5"/>
      <c r="ITP5"/>
      <c r="ITQ5"/>
      <c r="ITR5"/>
      <c r="ITS5"/>
      <c r="ITT5"/>
      <c r="ITU5"/>
      <c r="ITV5"/>
      <c r="ITW5"/>
      <c r="ITX5"/>
      <c r="ITY5"/>
      <c r="ITZ5"/>
      <c r="IUA5"/>
      <c r="IUB5"/>
      <c r="IUC5"/>
      <c r="IUD5"/>
      <c r="IUE5"/>
      <c r="IUF5"/>
      <c r="IUG5"/>
      <c r="IUH5"/>
      <c r="IUI5"/>
      <c r="IUJ5"/>
      <c r="IUK5"/>
      <c r="IUL5"/>
      <c r="IUM5"/>
      <c r="IUN5"/>
      <c r="IUO5"/>
      <c r="IUP5"/>
      <c r="IUQ5"/>
      <c r="IUR5"/>
      <c r="IUS5"/>
      <c r="IUT5"/>
      <c r="IUU5"/>
      <c r="IUV5"/>
      <c r="IUW5"/>
      <c r="IUX5"/>
      <c r="IUY5"/>
      <c r="IUZ5"/>
      <c r="IVA5"/>
      <c r="IVB5"/>
      <c r="IVC5"/>
      <c r="IVD5"/>
      <c r="IVE5"/>
      <c r="IVF5"/>
      <c r="IVG5"/>
      <c r="IVH5"/>
      <c r="IVI5"/>
      <c r="IVJ5"/>
      <c r="IVK5"/>
      <c r="IVL5"/>
      <c r="IVM5"/>
      <c r="IVN5"/>
      <c r="IVO5"/>
      <c r="IVP5"/>
      <c r="IVQ5"/>
      <c r="IVR5"/>
      <c r="IVS5"/>
      <c r="IVT5"/>
      <c r="IVU5"/>
      <c r="IVV5"/>
      <c r="IVW5"/>
      <c r="IVX5"/>
      <c r="IVY5"/>
      <c r="IVZ5"/>
      <c r="IWA5"/>
      <c r="IWB5"/>
      <c r="IWC5"/>
      <c r="IWD5"/>
      <c r="IWE5"/>
      <c r="IWF5"/>
      <c r="IWG5"/>
      <c r="IWH5"/>
      <c r="IWI5"/>
      <c r="IWJ5"/>
      <c r="IWK5"/>
      <c r="IWL5"/>
      <c r="IWM5"/>
      <c r="IWN5"/>
      <c r="IWO5"/>
      <c r="IWP5"/>
      <c r="IWQ5"/>
      <c r="IWR5"/>
      <c r="IWS5"/>
      <c r="IWT5"/>
      <c r="IWU5"/>
      <c r="IWV5"/>
      <c r="IWW5"/>
      <c r="IWX5"/>
      <c r="IWY5"/>
      <c r="IWZ5"/>
      <c r="IXA5"/>
      <c r="IXB5"/>
      <c r="IXC5"/>
      <c r="IXD5"/>
      <c r="IXE5"/>
      <c r="IXF5"/>
      <c r="IXG5"/>
      <c r="IXH5"/>
      <c r="IXI5"/>
      <c r="IXJ5"/>
      <c r="IXK5"/>
      <c r="IXL5"/>
      <c r="IXM5"/>
      <c r="IXN5"/>
      <c r="IXO5"/>
      <c r="IXP5"/>
      <c r="IXQ5"/>
      <c r="IXR5"/>
      <c r="IXS5"/>
      <c r="IXT5"/>
      <c r="IXU5"/>
      <c r="IXV5"/>
      <c r="IXW5"/>
      <c r="IXX5"/>
      <c r="IXY5"/>
      <c r="IXZ5"/>
      <c r="IYA5"/>
      <c r="IYB5"/>
      <c r="IYC5"/>
      <c r="IYD5"/>
      <c r="IYE5"/>
      <c r="IYF5"/>
      <c r="IYG5"/>
      <c r="IYH5"/>
      <c r="IYI5"/>
      <c r="IYJ5"/>
      <c r="IYK5"/>
      <c r="IYL5"/>
      <c r="IYM5"/>
      <c r="IYN5"/>
      <c r="IYO5"/>
      <c r="IYP5"/>
      <c r="IYQ5"/>
      <c r="IYR5"/>
      <c r="IYS5"/>
      <c r="IYT5"/>
      <c r="IYU5"/>
      <c r="IYV5"/>
      <c r="IYW5"/>
      <c r="IYX5"/>
      <c r="IYY5"/>
      <c r="IYZ5"/>
      <c r="IZA5"/>
      <c r="IZB5"/>
      <c r="IZC5"/>
      <c r="IZD5"/>
      <c r="IZE5"/>
      <c r="IZF5"/>
      <c r="IZG5"/>
      <c r="IZH5"/>
      <c r="IZI5"/>
      <c r="IZJ5"/>
      <c r="IZK5"/>
      <c r="IZL5"/>
      <c r="IZM5"/>
      <c r="IZN5"/>
      <c r="IZO5"/>
      <c r="IZP5"/>
      <c r="IZQ5"/>
      <c r="IZR5"/>
      <c r="IZS5"/>
      <c r="IZT5"/>
      <c r="IZU5"/>
      <c r="IZV5"/>
      <c r="IZW5"/>
      <c r="IZX5"/>
      <c r="IZY5"/>
      <c r="IZZ5"/>
      <c r="JAA5"/>
      <c r="JAB5"/>
      <c r="JAC5"/>
      <c r="JAD5"/>
      <c r="JAE5"/>
      <c r="JAF5"/>
      <c r="JAG5"/>
      <c r="JAH5"/>
      <c r="JAI5"/>
      <c r="JAJ5"/>
      <c r="JAK5"/>
      <c r="JAL5"/>
      <c r="JAM5"/>
      <c r="JAN5"/>
      <c r="JAO5"/>
      <c r="JAP5"/>
      <c r="JAQ5"/>
      <c r="JAR5"/>
      <c r="JAS5"/>
      <c r="JAT5"/>
      <c r="JAU5"/>
      <c r="JAV5"/>
      <c r="JAW5"/>
      <c r="JAX5"/>
      <c r="JAY5"/>
      <c r="JAZ5"/>
      <c r="JBA5"/>
      <c r="JBB5"/>
      <c r="JBC5"/>
      <c r="JBD5"/>
      <c r="JBE5"/>
      <c r="JBF5"/>
      <c r="JBG5"/>
      <c r="JBH5"/>
      <c r="JBI5"/>
      <c r="JBJ5"/>
      <c r="JBK5"/>
      <c r="JBL5"/>
      <c r="JBM5"/>
      <c r="JBN5"/>
      <c r="JBO5"/>
      <c r="JBP5"/>
      <c r="JBQ5"/>
      <c r="JBR5"/>
      <c r="JBS5"/>
      <c r="JBT5"/>
      <c r="JBU5"/>
      <c r="JBV5"/>
      <c r="JBW5"/>
      <c r="JBX5"/>
      <c r="JBY5"/>
      <c r="JBZ5"/>
      <c r="JCA5"/>
      <c r="JCB5"/>
      <c r="JCC5"/>
      <c r="JCD5"/>
      <c r="JCE5"/>
      <c r="JCF5"/>
      <c r="JCG5"/>
      <c r="JCH5"/>
      <c r="JCI5"/>
      <c r="JCJ5"/>
      <c r="JCK5"/>
      <c r="JCL5"/>
      <c r="JCM5"/>
      <c r="JCN5"/>
      <c r="JCO5"/>
      <c r="JCP5"/>
      <c r="JCQ5"/>
      <c r="JCR5"/>
      <c r="JCS5"/>
      <c r="JCT5"/>
      <c r="JCU5"/>
      <c r="JCV5"/>
      <c r="JCW5"/>
      <c r="JCX5"/>
      <c r="JCY5"/>
      <c r="JCZ5"/>
      <c r="JDA5"/>
      <c r="JDB5"/>
      <c r="JDC5"/>
      <c r="JDD5"/>
      <c r="JDE5"/>
      <c r="JDF5"/>
      <c r="JDG5"/>
      <c r="JDH5"/>
      <c r="JDI5"/>
      <c r="JDJ5"/>
      <c r="JDK5"/>
      <c r="JDL5"/>
      <c r="JDM5"/>
      <c r="JDN5"/>
      <c r="JDO5"/>
      <c r="JDP5"/>
      <c r="JDQ5"/>
      <c r="JDR5"/>
      <c r="JDS5"/>
      <c r="JDT5"/>
      <c r="JDU5"/>
      <c r="JDV5"/>
      <c r="JDW5"/>
      <c r="JDX5"/>
      <c r="JDY5"/>
      <c r="JDZ5"/>
      <c r="JEA5"/>
      <c r="JEB5"/>
      <c r="JEC5"/>
      <c r="JED5"/>
      <c r="JEE5"/>
      <c r="JEF5"/>
      <c r="JEG5"/>
      <c r="JEH5"/>
      <c r="JEI5"/>
      <c r="JEJ5"/>
      <c r="JEK5"/>
      <c r="JEL5"/>
      <c r="JEM5"/>
      <c r="JEN5"/>
      <c r="JEO5"/>
      <c r="JEP5"/>
      <c r="JEQ5"/>
      <c r="JER5"/>
      <c r="JES5"/>
      <c r="JET5"/>
      <c r="JEU5"/>
      <c r="JEV5"/>
      <c r="JEW5"/>
      <c r="JEX5"/>
      <c r="JEY5"/>
      <c r="JEZ5"/>
      <c r="JFA5"/>
      <c r="JFB5"/>
      <c r="JFC5"/>
      <c r="JFD5"/>
      <c r="JFE5"/>
      <c r="JFF5"/>
      <c r="JFG5"/>
      <c r="JFH5"/>
      <c r="JFI5"/>
      <c r="JFJ5"/>
      <c r="JFK5"/>
      <c r="JFL5"/>
      <c r="JFM5"/>
      <c r="JFN5"/>
      <c r="JFO5"/>
      <c r="JFP5"/>
      <c r="JFQ5"/>
      <c r="JFR5"/>
      <c r="JFS5"/>
      <c r="JFT5"/>
      <c r="JFU5"/>
      <c r="JFV5"/>
      <c r="JFW5"/>
      <c r="JFX5"/>
      <c r="JFY5"/>
      <c r="JFZ5"/>
      <c r="JGA5"/>
      <c r="JGB5"/>
      <c r="JGC5"/>
      <c r="JGD5"/>
      <c r="JGE5"/>
      <c r="JGF5"/>
      <c r="JGG5"/>
      <c r="JGH5"/>
      <c r="JGI5"/>
      <c r="JGJ5"/>
      <c r="JGK5"/>
      <c r="JGL5"/>
      <c r="JGM5"/>
      <c r="JGN5"/>
      <c r="JGO5"/>
      <c r="JGP5"/>
      <c r="JGQ5"/>
      <c r="JGR5"/>
      <c r="JGS5"/>
      <c r="JGT5"/>
      <c r="JGU5"/>
      <c r="JGV5"/>
      <c r="JGW5"/>
      <c r="JGX5"/>
      <c r="JGY5"/>
      <c r="JGZ5"/>
      <c r="JHA5"/>
      <c r="JHB5"/>
      <c r="JHC5"/>
      <c r="JHD5"/>
      <c r="JHE5"/>
      <c r="JHF5"/>
      <c r="JHG5"/>
      <c r="JHH5"/>
      <c r="JHI5"/>
      <c r="JHJ5"/>
      <c r="JHK5"/>
      <c r="JHL5"/>
      <c r="JHM5"/>
      <c r="JHN5"/>
      <c r="JHO5"/>
      <c r="JHP5"/>
      <c r="JHQ5"/>
      <c r="JHR5"/>
      <c r="JHS5"/>
      <c r="JHT5"/>
      <c r="JHU5"/>
      <c r="JHV5"/>
      <c r="JHW5"/>
      <c r="JHX5"/>
      <c r="JHY5"/>
      <c r="JHZ5"/>
      <c r="JIA5"/>
      <c r="JIB5"/>
      <c r="JIC5"/>
      <c r="JID5"/>
      <c r="JIE5"/>
      <c r="JIF5"/>
      <c r="JIG5"/>
      <c r="JIH5"/>
      <c r="JII5"/>
      <c r="JIJ5"/>
      <c r="JIK5"/>
      <c r="JIL5"/>
      <c r="JIM5"/>
      <c r="JIN5"/>
      <c r="JIO5"/>
      <c r="JIP5"/>
      <c r="JIQ5"/>
      <c r="JIR5"/>
      <c r="JIS5"/>
      <c r="JIT5"/>
      <c r="JIU5"/>
      <c r="JIV5"/>
      <c r="JIW5"/>
      <c r="JIX5"/>
      <c r="JIY5"/>
      <c r="JIZ5"/>
      <c r="JJA5"/>
      <c r="JJB5"/>
      <c r="JJC5"/>
      <c r="JJD5"/>
      <c r="JJE5"/>
      <c r="JJF5"/>
      <c r="JJG5"/>
      <c r="JJH5"/>
      <c r="JJI5"/>
      <c r="JJJ5"/>
      <c r="JJK5"/>
      <c r="JJL5"/>
      <c r="JJM5"/>
      <c r="JJN5"/>
      <c r="JJO5"/>
      <c r="JJP5"/>
      <c r="JJQ5"/>
      <c r="JJR5"/>
      <c r="JJS5"/>
      <c r="JJT5"/>
      <c r="JJU5"/>
      <c r="JJV5"/>
      <c r="JJW5"/>
      <c r="JJX5"/>
      <c r="JJY5"/>
      <c r="JJZ5"/>
      <c r="JKA5"/>
      <c r="JKB5"/>
      <c r="JKC5"/>
      <c r="JKD5"/>
      <c r="JKE5"/>
      <c r="JKF5"/>
      <c r="JKG5"/>
      <c r="JKH5"/>
      <c r="JKI5"/>
      <c r="JKJ5"/>
      <c r="JKK5"/>
      <c r="JKL5"/>
      <c r="JKM5"/>
      <c r="JKN5"/>
      <c r="JKO5"/>
      <c r="JKP5"/>
      <c r="JKQ5"/>
      <c r="JKR5"/>
      <c r="JKS5"/>
      <c r="JKT5"/>
      <c r="JKU5"/>
      <c r="JKV5"/>
      <c r="JKW5"/>
      <c r="JKX5"/>
      <c r="JKY5"/>
      <c r="JKZ5"/>
      <c r="JLA5"/>
      <c r="JLB5"/>
      <c r="JLC5"/>
      <c r="JLD5"/>
      <c r="JLE5"/>
      <c r="JLF5"/>
      <c r="JLG5"/>
      <c r="JLH5"/>
      <c r="JLI5"/>
      <c r="JLJ5"/>
      <c r="JLK5"/>
      <c r="JLL5"/>
      <c r="JLM5"/>
      <c r="JLN5"/>
      <c r="JLO5"/>
      <c r="JLP5"/>
      <c r="JLQ5"/>
      <c r="JLR5"/>
      <c r="JLS5"/>
      <c r="JLT5"/>
      <c r="JLU5"/>
      <c r="JLV5"/>
      <c r="JLW5"/>
      <c r="JLX5"/>
      <c r="JLY5"/>
      <c r="JLZ5"/>
      <c r="JMA5"/>
      <c r="JMB5"/>
      <c r="JMC5"/>
      <c r="JMD5"/>
      <c r="JME5"/>
      <c r="JMF5"/>
      <c r="JMG5"/>
      <c r="JMH5"/>
      <c r="JMI5"/>
      <c r="JMJ5"/>
      <c r="JMK5"/>
      <c r="JML5"/>
      <c r="JMM5"/>
      <c r="JMN5"/>
      <c r="JMO5"/>
      <c r="JMP5"/>
      <c r="JMQ5"/>
      <c r="JMR5"/>
      <c r="JMS5"/>
      <c r="JMT5"/>
      <c r="JMU5"/>
      <c r="JMV5"/>
      <c r="JMW5"/>
      <c r="JMX5"/>
      <c r="JMY5"/>
      <c r="JMZ5"/>
      <c r="JNA5"/>
      <c r="JNB5"/>
      <c r="JNC5"/>
      <c r="JND5"/>
      <c r="JNE5"/>
      <c r="JNF5"/>
      <c r="JNG5"/>
      <c r="JNH5"/>
      <c r="JNI5"/>
      <c r="JNJ5"/>
      <c r="JNK5"/>
      <c r="JNL5"/>
      <c r="JNM5"/>
      <c r="JNN5"/>
      <c r="JNO5"/>
      <c r="JNP5"/>
      <c r="JNQ5"/>
      <c r="JNR5"/>
      <c r="JNS5"/>
      <c r="JNT5"/>
      <c r="JNU5"/>
      <c r="JNV5"/>
      <c r="JNW5"/>
      <c r="JNX5"/>
      <c r="JNY5"/>
      <c r="JNZ5"/>
      <c r="JOA5"/>
      <c r="JOB5"/>
      <c r="JOC5"/>
      <c r="JOD5"/>
      <c r="JOE5"/>
      <c r="JOF5"/>
      <c r="JOG5"/>
      <c r="JOH5"/>
      <c r="JOI5"/>
      <c r="JOJ5"/>
      <c r="JOK5"/>
      <c r="JOL5"/>
      <c r="JOM5"/>
      <c r="JON5"/>
      <c r="JOO5"/>
      <c r="JOP5"/>
      <c r="JOQ5"/>
      <c r="JOR5"/>
      <c r="JOS5"/>
      <c r="JOT5"/>
      <c r="JOU5"/>
      <c r="JOV5"/>
      <c r="JOW5"/>
      <c r="JOX5"/>
      <c r="JOY5"/>
      <c r="JOZ5"/>
      <c r="JPA5"/>
      <c r="JPB5"/>
      <c r="JPC5"/>
      <c r="JPD5"/>
      <c r="JPE5"/>
      <c r="JPF5"/>
      <c r="JPG5"/>
      <c r="JPH5"/>
      <c r="JPI5"/>
      <c r="JPJ5"/>
      <c r="JPK5"/>
      <c r="JPL5"/>
      <c r="JPM5"/>
      <c r="JPN5"/>
      <c r="JPO5"/>
      <c r="JPP5"/>
      <c r="JPQ5"/>
      <c r="JPR5"/>
      <c r="JPS5"/>
      <c r="JPT5"/>
      <c r="JPU5"/>
      <c r="JPV5"/>
      <c r="JPW5"/>
      <c r="JPX5"/>
      <c r="JPY5"/>
      <c r="JPZ5"/>
      <c r="JQA5"/>
      <c r="JQB5"/>
      <c r="JQC5"/>
      <c r="JQD5"/>
      <c r="JQE5"/>
      <c r="JQF5"/>
      <c r="JQG5"/>
      <c r="JQH5"/>
      <c r="JQI5"/>
      <c r="JQJ5"/>
      <c r="JQK5"/>
      <c r="JQL5"/>
      <c r="JQM5"/>
      <c r="JQN5"/>
      <c r="JQO5"/>
      <c r="JQP5"/>
      <c r="JQQ5"/>
      <c r="JQR5"/>
      <c r="JQS5"/>
      <c r="JQT5"/>
      <c r="JQU5"/>
      <c r="JQV5"/>
      <c r="JQW5"/>
      <c r="JQX5"/>
      <c r="JQY5"/>
      <c r="JQZ5"/>
      <c r="JRA5"/>
      <c r="JRB5"/>
      <c r="JRC5"/>
      <c r="JRD5"/>
      <c r="JRE5"/>
      <c r="JRF5"/>
      <c r="JRG5"/>
      <c r="JRH5"/>
      <c r="JRI5"/>
      <c r="JRJ5"/>
      <c r="JRK5"/>
      <c r="JRL5"/>
      <c r="JRM5"/>
      <c r="JRN5"/>
      <c r="JRO5"/>
      <c r="JRP5"/>
      <c r="JRQ5"/>
      <c r="JRR5"/>
      <c r="JRS5"/>
      <c r="JRT5"/>
      <c r="JRU5"/>
      <c r="JRV5"/>
      <c r="JRW5"/>
      <c r="JRX5"/>
      <c r="JRY5"/>
      <c r="JRZ5"/>
      <c r="JSA5"/>
      <c r="JSB5"/>
      <c r="JSC5"/>
      <c r="JSD5"/>
      <c r="JSE5"/>
      <c r="JSF5"/>
      <c r="JSG5"/>
      <c r="JSH5"/>
      <c r="JSI5"/>
      <c r="JSJ5"/>
      <c r="JSK5"/>
      <c r="JSL5"/>
      <c r="JSM5"/>
      <c r="JSN5"/>
      <c r="JSO5"/>
      <c r="JSP5"/>
      <c r="JSQ5"/>
      <c r="JSR5"/>
      <c r="JSS5"/>
      <c r="JST5"/>
      <c r="JSU5"/>
      <c r="JSV5"/>
      <c r="JSW5"/>
      <c r="JSX5"/>
      <c r="JSY5"/>
      <c r="JSZ5"/>
      <c r="JTA5"/>
      <c r="JTB5"/>
      <c r="JTC5"/>
      <c r="JTD5"/>
      <c r="JTE5"/>
      <c r="JTF5"/>
      <c r="JTG5"/>
      <c r="JTH5"/>
      <c r="JTI5"/>
      <c r="JTJ5"/>
      <c r="JTK5"/>
      <c r="JTL5"/>
      <c r="JTM5"/>
      <c r="JTN5"/>
      <c r="JTO5"/>
      <c r="JTP5"/>
      <c r="JTQ5"/>
      <c r="JTR5"/>
      <c r="JTS5"/>
      <c r="JTT5"/>
      <c r="JTU5"/>
      <c r="JTV5"/>
      <c r="JTW5"/>
      <c r="JTX5"/>
      <c r="JTY5"/>
      <c r="JTZ5"/>
      <c r="JUA5"/>
      <c r="JUB5"/>
      <c r="JUC5"/>
      <c r="JUD5"/>
      <c r="JUE5"/>
      <c r="JUF5"/>
      <c r="JUG5"/>
      <c r="JUH5"/>
      <c r="JUI5"/>
      <c r="JUJ5"/>
      <c r="JUK5"/>
      <c r="JUL5"/>
      <c r="JUM5"/>
      <c r="JUN5"/>
      <c r="JUO5"/>
      <c r="JUP5"/>
      <c r="JUQ5"/>
      <c r="JUR5"/>
      <c r="JUS5"/>
      <c r="JUT5"/>
      <c r="JUU5"/>
      <c r="JUV5"/>
      <c r="JUW5"/>
      <c r="JUX5"/>
      <c r="JUY5"/>
      <c r="JUZ5"/>
      <c r="JVA5"/>
      <c r="JVB5"/>
      <c r="JVC5"/>
      <c r="JVD5"/>
      <c r="JVE5"/>
      <c r="JVF5"/>
      <c r="JVG5"/>
      <c r="JVH5"/>
      <c r="JVI5"/>
      <c r="JVJ5"/>
      <c r="JVK5"/>
      <c r="JVL5"/>
      <c r="JVM5"/>
      <c r="JVN5"/>
      <c r="JVO5"/>
      <c r="JVP5"/>
      <c r="JVQ5"/>
      <c r="JVR5"/>
      <c r="JVS5"/>
      <c r="JVT5"/>
      <c r="JVU5"/>
      <c r="JVV5"/>
      <c r="JVW5"/>
      <c r="JVX5"/>
      <c r="JVY5"/>
      <c r="JVZ5"/>
      <c r="JWA5"/>
      <c r="JWB5"/>
      <c r="JWC5"/>
      <c r="JWD5"/>
      <c r="JWE5"/>
      <c r="JWF5"/>
      <c r="JWG5"/>
      <c r="JWH5"/>
      <c r="JWI5"/>
      <c r="JWJ5"/>
      <c r="JWK5"/>
      <c r="JWL5"/>
      <c r="JWM5"/>
      <c r="JWN5"/>
      <c r="JWO5"/>
      <c r="JWP5"/>
      <c r="JWQ5"/>
      <c r="JWR5"/>
      <c r="JWS5"/>
      <c r="JWT5"/>
      <c r="JWU5"/>
      <c r="JWV5"/>
      <c r="JWW5"/>
      <c r="JWX5"/>
      <c r="JWY5"/>
      <c r="JWZ5"/>
      <c r="JXA5"/>
      <c r="JXB5"/>
      <c r="JXC5"/>
      <c r="JXD5"/>
      <c r="JXE5"/>
      <c r="JXF5"/>
      <c r="JXG5"/>
      <c r="JXH5"/>
      <c r="JXI5"/>
      <c r="JXJ5"/>
      <c r="JXK5"/>
      <c r="JXL5"/>
      <c r="JXM5"/>
      <c r="JXN5"/>
      <c r="JXO5"/>
      <c r="JXP5"/>
      <c r="JXQ5"/>
      <c r="JXR5"/>
      <c r="JXS5"/>
      <c r="JXT5"/>
      <c r="JXU5"/>
      <c r="JXV5"/>
      <c r="JXW5"/>
      <c r="JXX5"/>
      <c r="JXY5"/>
      <c r="JXZ5"/>
      <c r="JYA5"/>
      <c r="JYB5"/>
      <c r="JYC5"/>
      <c r="JYD5"/>
      <c r="JYE5"/>
      <c r="JYF5"/>
      <c r="JYG5"/>
      <c r="JYH5"/>
      <c r="JYI5"/>
      <c r="JYJ5"/>
      <c r="JYK5"/>
      <c r="JYL5"/>
      <c r="JYM5"/>
      <c r="JYN5"/>
      <c r="JYO5"/>
      <c r="JYP5"/>
      <c r="JYQ5"/>
      <c r="JYR5"/>
      <c r="JYS5"/>
      <c r="JYT5"/>
      <c r="JYU5"/>
      <c r="JYV5"/>
      <c r="JYW5"/>
      <c r="JYX5"/>
      <c r="JYY5"/>
      <c r="JYZ5"/>
      <c r="JZA5"/>
      <c r="JZB5"/>
      <c r="JZC5"/>
      <c r="JZD5"/>
      <c r="JZE5"/>
      <c r="JZF5"/>
      <c r="JZG5"/>
      <c r="JZH5"/>
      <c r="JZI5"/>
      <c r="JZJ5"/>
      <c r="JZK5"/>
      <c r="JZL5"/>
      <c r="JZM5"/>
      <c r="JZN5"/>
      <c r="JZO5"/>
      <c r="JZP5"/>
      <c r="JZQ5"/>
      <c r="JZR5"/>
      <c r="JZS5"/>
      <c r="JZT5"/>
      <c r="JZU5"/>
      <c r="JZV5"/>
      <c r="JZW5"/>
      <c r="JZX5"/>
      <c r="JZY5"/>
      <c r="JZZ5"/>
      <c r="KAA5"/>
      <c r="KAB5"/>
      <c r="KAC5"/>
      <c r="KAD5"/>
      <c r="KAE5"/>
      <c r="KAF5"/>
      <c r="KAG5"/>
      <c r="KAH5"/>
      <c r="KAI5"/>
      <c r="KAJ5"/>
      <c r="KAK5"/>
      <c r="KAL5"/>
      <c r="KAM5"/>
      <c r="KAN5"/>
      <c r="KAO5"/>
      <c r="KAP5"/>
      <c r="KAQ5"/>
      <c r="KAR5"/>
      <c r="KAS5"/>
      <c r="KAT5"/>
      <c r="KAU5"/>
      <c r="KAV5"/>
      <c r="KAW5"/>
      <c r="KAX5"/>
      <c r="KAY5"/>
      <c r="KAZ5"/>
      <c r="KBA5"/>
      <c r="KBB5"/>
      <c r="KBC5"/>
      <c r="KBD5"/>
      <c r="KBE5"/>
      <c r="KBF5"/>
      <c r="KBG5"/>
      <c r="KBH5"/>
      <c r="KBI5"/>
      <c r="KBJ5"/>
      <c r="KBK5"/>
      <c r="KBL5"/>
      <c r="KBM5"/>
      <c r="KBN5"/>
      <c r="KBO5"/>
      <c r="KBP5"/>
      <c r="KBQ5"/>
      <c r="KBR5"/>
      <c r="KBS5"/>
      <c r="KBT5"/>
      <c r="KBU5"/>
      <c r="KBV5"/>
      <c r="KBW5"/>
      <c r="KBX5"/>
      <c r="KBY5"/>
      <c r="KBZ5"/>
      <c r="KCA5"/>
      <c r="KCB5"/>
      <c r="KCC5"/>
      <c r="KCD5"/>
      <c r="KCE5"/>
      <c r="KCF5"/>
      <c r="KCG5"/>
      <c r="KCH5"/>
      <c r="KCI5"/>
      <c r="KCJ5"/>
      <c r="KCK5"/>
      <c r="KCL5"/>
      <c r="KCM5"/>
      <c r="KCN5"/>
      <c r="KCO5"/>
      <c r="KCP5"/>
      <c r="KCQ5"/>
      <c r="KCR5"/>
      <c r="KCS5"/>
      <c r="KCT5"/>
      <c r="KCU5"/>
      <c r="KCV5"/>
      <c r="KCW5"/>
      <c r="KCX5"/>
      <c r="KCY5"/>
      <c r="KCZ5"/>
      <c r="KDA5"/>
      <c r="KDB5"/>
      <c r="KDC5"/>
      <c r="KDD5"/>
      <c r="KDE5"/>
      <c r="KDF5"/>
      <c r="KDG5"/>
      <c r="KDH5"/>
      <c r="KDI5"/>
      <c r="KDJ5"/>
      <c r="KDK5"/>
      <c r="KDL5"/>
      <c r="KDM5"/>
      <c r="KDN5"/>
      <c r="KDO5"/>
      <c r="KDP5"/>
      <c r="KDQ5"/>
      <c r="KDR5"/>
      <c r="KDS5"/>
      <c r="KDT5"/>
      <c r="KDU5"/>
      <c r="KDV5"/>
      <c r="KDW5"/>
      <c r="KDX5"/>
      <c r="KDY5"/>
      <c r="KDZ5"/>
      <c r="KEA5"/>
      <c r="KEB5"/>
      <c r="KEC5"/>
      <c r="KED5"/>
      <c r="KEE5"/>
      <c r="KEF5"/>
      <c r="KEG5"/>
      <c r="KEH5"/>
      <c r="KEI5"/>
      <c r="KEJ5"/>
      <c r="KEK5"/>
      <c r="KEL5"/>
      <c r="KEM5"/>
      <c r="KEN5"/>
      <c r="KEO5"/>
      <c r="KEP5"/>
      <c r="KEQ5"/>
      <c r="KER5"/>
      <c r="KES5"/>
      <c r="KET5"/>
      <c r="KEU5"/>
      <c r="KEV5"/>
      <c r="KEW5"/>
      <c r="KEX5"/>
      <c r="KEY5"/>
      <c r="KEZ5"/>
      <c r="KFA5"/>
      <c r="KFB5"/>
      <c r="KFC5"/>
      <c r="KFD5"/>
      <c r="KFE5"/>
      <c r="KFF5"/>
      <c r="KFG5"/>
      <c r="KFH5"/>
      <c r="KFI5"/>
      <c r="KFJ5"/>
      <c r="KFK5"/>
      <c r="KFL5"/>
      <c r="KFM5"/>
      <c r="KFN5"/>
      <c r="KFO5"/>
      <c r="KFP5"/>
      <c r="KFQ5"/>
      <c r="KFR5"/>
      <c r="KFS5"/>
      <c r="KFT5"/>
      <c r="KFU5"/>
      <c r="KFV5"/>
      <c r="KFW5"/>
      <c r="KFX5"/>
      <c r="KFY5"/>
      <c r="KFZ5"/>
      <c r="KGA5"/>
      <c r="KGB5"/>
      <c r="KGC5"/>
      <c r="KGD5"/>
      <c r="KGE5"/>
      <c r="KGF5"/>
      <c r="KGG5"/>
      <c r="KGH5"/>
      <c r="KGI5"/>
      <c r="KGJ5"/>
      <c r="KGK5"/>
      <c r="KGL5"/>
      <c r="KGM5"/>
      <c r="KGN5"/>
      <c r="KGO5"/>
      <c r="KGP5"/>
      <c r="KGQ5"/>
      <c r="KGR5"/>
      <c r="KGS5"/>
      <c r="KGT5"/>
      <c r="KGU5"/>
      <c r="KGV5"/>
      <c r="KGW5"/>
      <c r="KGX5"/>
      <c r="KGY5"/>
      <c r="KGZ5"/>
      <c r="KHA5"/>
      <c r="KHB5"/>
      <c r="KHC5"/>
      <c r="KHD5"/>
      <c r="KHE5"/>
      <c r="KHF5"/>
      <c r="KHG5"/>
      <c r="KHH5"/>
      <c r="KHI5"/>
      <c r="KHJ5"/>
      <c r="KHK5"/>
      <c r="KHL5"/>
      <c r="KHM5"/>
      <c r="KHN5"/>
      <c r="KHO5"/>
      <c r="KHP5"/>
      <c r="KHQ5"/>
      <c r="KHR5"/>
      <c r="KHS5"/>
      <c r="KHT5"/>
      <c r="KHU5"/>
      <c r="KHV5"/>
      <c r="KHW5"/>
      <c r="KHX5"/>
      <c r="KHY5"/>
      <c r="KHZ5"/>
      <c r="KIA5"/>
      <c r="KIB5"/>
      <c r="KIC5"/>
      <c r="KID5"/>
      <c r="KIE5"/>
      <c r="KIF5"/>
      <c r="KIG5"/>
      <c r="KIH5"/>
      <c r="KII5"/>
      <c r="KIJ5"/>
      <c r="KIK5"/>
      <c r="KIL5"/>
      <c r="KIM5"/>
      <c r="KIN5"/>
      <c r="KIO5"/>
      <c r="KIP5"/>
      <c r="KIQ5"/>
      <c r="KIR5"/>
      <c r="KIS5"/>
      <c r="KIT5"/>
      <c r="KIU5"/>
      <c r="KIV5"/>
      <c r="KIW5"/>
      <c r="KIX5"/>
      <c r="KIY5"/>
      <c r="KIZ5"/>
      <c r="KJA5"/>
      <c r="KJB5"/>
      <c r="KJC5"/>
      <c r="KJD5"/>
      <c r="KJE5"/>
      <c r="KJF5"/>
      <c r="KJG5"/>
      <c r="KJH5"/>
      <c r="KJI5"/>
      <c r="KJJ5"/>
      <c r="KJK5"/>
      <c r="KJL5"/>
      <c r="KJM5"/>
      <c r="KJN5"/>
      <c r="KJO5"/>
      <c r="KJP5"/>
      <c r="KJQ5"/>
      <c r="KJR5"/>
      <c r="KJS5"/>
      <c r="KJT5"/>
      <c r="KJU5"/>
      <c r="KJV5"/>
      <c r="KJW5"/>
      <c r="KJX5"/>
      <c r="KJY5"/>
      <c r="KJZ5"/>
      <c r="KKA5"/>
      <c r="KKB5"/>
      <c r="KKC5"/>
      <c r="KKD5"/>
      <c r="KKE5"/>
      <c r="KKF5"/>
      <c r="KKG5"/>
      <c r="KKH5"/>
      <c r="KKI5"/>
      <c r="KKJ5"/>
      <c r="KKK5"/>
      <c r="KKL5"/>
      <c r="KKM5"/>
      <c r="KKN5"/>
      <c r="KKO5"/>
      <c r="KKP5"/>
      <c r="KKQ5"/>
      <c r="KKR5"/>
      <c r="KKS5"/>
      <c r="KKT5"/>
      <c r="KKU5"/>
      <c r="KKV5"/>
      <c r="KKW5"/>
      <c r="KKX5"/>
      <c r="KKY5"/>
      <c r="KKZ5"/>
      <c r="KLA5"/>
      <c r="KLB5"/>
      <c r="KLC5"/>
      <c r="KLD5"/>
      <c r="KLE5"/>
      <c r="KLF5"/>
      <c r="KLG5"/>
      <c r="KLH5"/>
      <c r="KLI5"/>
      <c r="KLJ5"/>
      <c r="KLK5"/>
      <c r="KLL5"/>
      <c r="KLM5"/>
      <c r="KLN5"/>
      <c r="KLO5"/>
      <c r="KLP5"/>
      <c r="KLQ5"/>
      <c r="KLR5"/>
      <c r="KLS5"/>
      <c r="KLT5"/>
      <c r="KLU5"/>
      <c r="KLV5"/>
      <c r="KLW5"/>
      <c r="KLX5"/>
      <c r="KLY5"/>
      <c r="KLZ5"/>
      <c r="KMA5"/>
      <c r="KMB5"/>
      <c r="KMC5"/>
      <c r="KMD5"/>
      <c r="KME5"/>
      <c r="KMF5"/>
      <c r="KMG5"/>
      <c r="KMH5"/>
      <c r="KMI5"/>
      <c r="KMJ5"/>
      <c r="KMK5"/>
      <c r="KML5"/>
      <c r="KMM5"/>
      <c r="KMN5"/>
      <c r="KMO5"/>
      <c r="KMP5"/>
      <c r="KMQ5"/>
      <c r="KMR5"/>
      <c r="KMS5"/>
      <c r="KMT5"/>
      <c r="KMU5"/>
      <c r="KMV5"/>
      <c r="KMW5"/>
      <c r="KMX5"/>
      <c r="KMY5"/>
      <c r="KMZ5"/>
      <c r="KNA5"/>
      <c r="KNB5"/>
      <c r="KNC5"/>
      <c r="KND5"/>
      <c r="KNE5"/>
      <c r="KNF5"/>
      <c r="KNG5"/>
      <c r="KNH5"/>
      <c r="KNI5"/>
      <c r="KNJ5"/>
      <c r="KNK5"/>
      <c r="KNL5"/>
      <c r="KNM5"/>
      <c r="KNN5"/>
      <c r="KNO5"/>
      <c r="KNP5"/>
      <c r="KNQ5"/>
      <c r="KNR5"/>
      <c r="KNS5"/>
      <c r="KNT5"/>
      <c r="KNU5"/>
      <c r="KNV5"/>
      <c r="KNW5"/>
      <c r="KNX5"/>
      <c r="KNY5"/>
      <c r="KNZ5"/>
      <c r="KOA5"/>
      <c r="KOB5"/>
      <c r="KOC5"/>
      <c r="KOD5"/>
      <c r="KOE5"/>
      <c r="KOF5"/>
      <c r="KOG5"/>
      <c r="KOH5"/>
      <c r="KOI5"/>
      <c r="KOJ5"/>
      <c r="KOK5"/>
      <c r="KOL5"/>
      <c r="KOM5"/>
      <c r="KON5"/>
      <c r="KOO5"/>
      <c r="KOP5"/>
      <c r="KOQ5"/>
      <c r="KOR5"/>
      <c r="KOS5"/>
      <c r="KOT5"/>
      <c r="KOU5"/>
      <c r="KOV5"/>
      <c r="KOW5"/>
      <c r="KOX5"/>
      <c r="KOY5"/>
      <c r="KOZ5"/>
      <c r="KPA5"/>
      <c r="KPB5"/>
      <c r="KPC5"/>
      <c r="KPD5"/>
      <c r="KPE5"/>
      <c r="KPF5"/>
      <c r="KPG5"/>
      <c r="KPH5"/>
      <c r="KPI5"/>
      <c r="KPJ5"/>
      <c r="KPK5"/>
      <c r="KPL5"/>
      <c r="KPM5"/>
      <c r="KPN5"/>
      <c r="KPO5"/>
      <c r="KPP5"/>
      <c r="KPQ5"/>
      <c r="KPR5"/>
      <c r="KPS5"/>
      <c r="KPT5"/>
      <c r="KPU5"/>
      <c r="KPV5"/>
      <c r="KPW5"/>
      <c r="KPX5"/>
      <c r="KPY5"/>
      <c r="KPZ5"/>
      <c r="KQA5"/>
      <c r="KQB5"/>
      <c r="KQC5"/>
      <c r="KQD5"/>
      <c r="KQE5"/>
      <c r="KQF5"/>
      <c r="KQG5"/>
      <c r="KQH5"/>
      <c r="KQI5"/>
      <c r="KQJ5"/>
      <c r="KQK5"/>
      <c r="KQL5"/>
      <c r="KQM5"/>
      <c r="KQN5"/>
      <c r="KQO5"/>
      <c r="KQP5"/>
      <c r="KQQ5"/>
      <c r="KQR5"/>
      <c r="KQS5"/>
      <c r="KQT5"/>
      <c r="KQU5"/>
      <c r="KQV5"/>
      <c r="KQW5"/>
      <c r="KQX5"/>
      <c r="KQY5"/>
      <c r="KQZ5"/>
      <c r="KRA5"/>
      <c r="KRB5"/>
      <c r="KRC5"/>
      <c r="KRD5"/>
      <c r="KRE5"/>
      <c r="KRF5"/>
      <c r="KRG5"/>
      <c r="KRH5"/>
      <c r="KRI5"/>
      <c r="KRJ5"/>
      <c r="KRK5"/>
      <c r="KRL5"/>
      <c r="KRM5"/>
      <c r="KRN5"/>
      <c r="KRO5"/>
      <c r="KRP5"/>
      <c r="KRQ5"/>
      <c r="KRR5"/>
      <c r="KRS5"/>
      <c r="KRT5"/>
      <c r="KRU5"/>
      <c r="KRV5"/>
      <c r="KRW5"/>
      <c r="KRX5"/>
      <c r="KRY5"/>
      <c r="KRZ5"/>
      <c r="KSA5"/>
      <c r="KSB5"/>
      <c r="KSC5"/>
      <c r="KSD5"/>
      <c r="KSE5"/>
      <c r="KSF5"/>
      <c r="KSG5"/>
      <c r="KSH5"/>
      <c r="KSI5"/>
      <c r="KSJ5"/>
      <c r="KSK5"/>
      <c r="KSL5"/>
      <c r="KSM5"/>
      <c r="KSN5"/>
      <c r="KSO5"/>
      <c r="KSP5"/>
      <c r="KSQ5"/>
      <c r="KSR5"/>
      <c r="KSS5"/>
      <c r="KST5"/>
      <c r="KSU5"/>
      <c r="KSV5"/>
      <c r="KSW5"/>
      <c r="KSX5"/>
      <c r="KSY5"/>
      <c r="KSZ5"/>
      <c r="KTA5"/>
      <c r="KTB5"/>
      <c r="KTC5"/>
      <c r="KTD5"/>
      <c r="KTE5"/>
      <c r="KTF5"/>
      <c r="KTG5"/>
      <c r="KTH5"/>
      <c r="KTI5"/>
      <c r="KTJ5"/>
      <c r="KTK5"/>
      <c r="KTL5"/>
      <c r="KTM5"/>
      <c r="KTN5"/>
      <c r="KTO5"/>
      <c r="KTP5"/>
      <c r="KTQ5"/>
      <c r="KTR5"/>
      <c r="KTS5"/>
      <c r="KTT5"/>
      <c r="KTU5"/>
      <c r="KTV5"/>
      <c r="KTW5"/>
      <c r="KTX5"/>
      <c r="KTY5"/>
      <c r="KTZ5"/>
      <c r="KUA5"/>
      <c r="KUB5"/>
      <c r="KUC5"/>
      <c r="KUD5"/>
      <c r="KUE5"/>
      <c r="KUF5"/>
      <c r="KUG5"/>
      <c r="KUH5"/>
      <c r="KUI5"/>
      <c r="KUJ5"/>
      <c r="KUK5"/>
      <c r="KUL5"/>
      <c r="KUM5"/>
      <c r="KUN5"/>
      <c r="KUO5"/>
      <c r="KUP5"/>
      <c r="KUQ5"/>
      <c r="KUR5"/>
      <c r="KUS5"/>
      <c r="KUT5"/>
      <c r="KUU5"/>
      <c r="KUV5"/>
      <c r="KUW5"/>
      <c r="KUX5"/>
      <c r="KUY5"/>
      <c r="KUZ5"/>
      <c r="KVA5"/>
      <c r="KVB5"/>
      <c r="KVC5"/>
      <c r="KVD5"/>
      <c r="KVE5"/>
      <c r="KVF5"/>
      <c r="KVG5"/>
      <c r="KVH5"/>
      <c r="KVI5"/>
      <c r="KVJ5"/>
      <c r="KVK5"/>
      <c r="KVL5"/>
      <c r="KVM5"/>
      <c r="KVN5"/>
      <c r="KVO5"/>
      <c r="KVP5"/>
      <c r="KVQ5"/>
      <c r="KVR5"/>
      <c r="KVS5"/>
      <c r="KVT5"/>
      <c r="KVU5"/>
      <c r="KVV5"/>
      <c r="KVW5"/>
      <c r="KVX5"/>
      <c r="KVY5"/>
      <c r="KVZ5"/>
      <c r="KWA5"/>
      <c r="KWB5"/>
      <c r="KWC5"/>
      <c r="KWD5"/>
      <c r="KWE5"/>
      <c r="KWF5"/>
      <c r="KWG5"/>
      <c r="KWH5"/>
      <c r="KWI5"/>
      <c r="KWJ5"/>
      <c r="KWK5"/>
      <c r="KWL5"/>
      <c r="KWM5"/>
      <c r="KWN5"/>
      <c r="KWO5"/>
      <c r="KWP5"/>
      <c r="KWQ5"/>
      <c r="KWR5"/>
      <c r="KWS5"/>
      <c r="KWT5"/>
      <c r="KWU5"/>
      <c r="KWV5"/>
      <c r="KWW5"/>
      <c r="KWX5"/>
      <c r="KWY5"/>
      <c r="KWZ5"/>
      <c r="KXA5"/>
      <c r="KXB5"/>
      <c r="KXC5"/>
      <c r="KXD5"/>
      <c r="KXE5"/>
      <c r="KXF5"/>
      <c r="KXG5"/>
      <c r="KXH5"/>
      <c r="KXI5"/>
      <c r="KXJ5"/>
      <c r="KXK5"/>
      <c r="KXL5"/>
      <c r="KXM5"/>
      <c r="KXN5"/>
      <c r="KXO5"/>
      <c r="KXP5"/>
      <c r="KXQ5"/>
      <c r="KXR5"/>
      <c r="KXS5"/>
      <c r="KXT5"/>
      <c r="KXU5"/>
      <c r="KXV5"/>
      <c r="KXW5"/>
      <c r="KXX5"/>
      <c r="KXY5"/>
      <c r="KXZ5"/>
      <c r="KYA5"/>
      <c r="KYB5"/>
      <c r="KYC5"/>
      <c r="KYD5"/>
      <c r="KYE5"/>
      <c r="KYF5"/>
      <c r="KYG5"/>
      <c r="KYH5"/>
      <c r="KYI5"/>
      <c r="KYJ5"/>
      <c r="KYK5"/>
      <c r="KYL5"/>
      <c r="KYM5"/>
      <c r="KYN5"/>
      <c r="KYO5"/>
      <c r="KYP5"/>
      <c r="KYQ5"/>
      <c r="KYR5"/>
      <c r="KYS5"/>
      <c r="KYT5"/>
      <c r="KYU5"/>
      <c r="KYV5"/>
      <c r="KYW5"/>
      <c r="KYX5"/>
      <c r="KYY5"/>
      <c r="KYZ5"/>
      <c r="KZA5"/>
      <c r="KZB5"/>
      <c r="KZC5"/>
      <c r="KZD5"/>
      <c r="KZE5"/>
      <c r="KZF5"/>
      <c r="KZG5"/>
      <c r="KZH5"/>
      <c r="KZI5"/>
      <c r="KZJ5"/>
      <c r="KZK5"/>
      <c r="KZL5"/>
      <c r="KZM5"/>
      <c r="KZN5"/>
      <c r="KZO5"/>
      <c r="KZP5"/>
      <c r="KZQ5"/>
      <c r="KZR5"/>
      <c r="KZS5"/>
      <c r="KZT5"/>
      <c r="KZU5"/>
      <c r="KZV5"/>
      <c r="KZW5"/>
      <c r="KZX5"/>
      <c r="KZY5"/>
      <c r="KZZ5"/>
      <c r="LAA5"/>
      <c r="LAB5"/>
      <c r="LAC5"/>
      <c r="LAD5"/>
      <c r="LAE5"/>
      <c r="LAF5"/>
      <c r="LAG5"/>
      <c r="LAH5"/>
      <c r="LAI5"/>
      <c r="LAJ5"/>
      <c r="LAK5"/>
      <c r="LAL5"/>
      <c r="LAM5"/>
      <c r="LAN5"/>
      <c r="LAO5"/>
      <c r="LAP5"/>
      <c r="LAQ5"/>
      <c r="LAR5"/>
      <c r="LAS5"/>
      <c r="LAT5"/>
      <c r="LAU5"/>
      <c r="LAV5"/>
      <c r="LAW5"/>
      <c r="LAX5"/>
      <c r="LAY5"/>
      <c r="LAZ5"/>
      <c r="LBA5"/>
      <c r="LBB5"/>
      <c r="LBC5"/>
      <c r="LBD5"/>
      <c r="LBE5"/>
      <c r="LBF5"/>
      <c r="LBG5"/>
      <c r="LBH5"/>
      <c r="LBI5"/>
      <c r="LBJ5"/>
      <c r="LBK5"/>
      <c r="LBL5"/>
      <c r="LBM5"/>
      <c r="LBN5"/>
      <c r="LBO5"/>
      <c r="LBP5"/>
      <c r="LBQ5"/>
      <c r="LBR5"/>
      <c r="LBS5"/>
      <c r="LBT5"/>
      <c r="LBU5"/>
      <c r="LBV5"/>
      <c r="LBW5"/>
      <c r="LBX5"/>
      <c r="LBY5"/>
      <c r="LBZ5"/>
      <c r="LCA5"/>
      <c r="LCB5"/>
      <c r="LCC5"/>
      <c r="LCD5"/>
      <c r="LCE5"/>
      <c r="LCF5"/>
      <c r="LCG5"/>
      <c r="LCH5"/>
      <c r="LCI5"/>
      <c r="LCJ5"/>
      <c r="LCK5"/>
      <c r="LCL5"/>
      <c r="LCM5"/>
      <c r="LCN5"/>
      <c r="LCO5"/>
      <c r="LCP5"/>
      <c r="LCQ5"/>
      <c r="LCR5"/>
      <c r="LCS5"/>
      <c r="LCT5"/>
      <c r="LCU5"/>
      <c r="LCV5"/>
      <c r="LCW5"/>
      <c r="LCX5"/>
      <c r="LCY5"/>
      <c r="LCZ5"/>
      <c r="LDA5"/>
      <c r="LDB5"/>
      <c r="LDC5"/>
      <c r="LDD5"/>
      <c r="LDE5"/>
      <c r="LDF5"/>
      <c r="LDG5"/>
      <c r="LDH5"/>
      <c r="LDI5"/>
      <c r="LDJ5"/>
      <c r="LDK5"/>
      <c r="LDL5"/>
      <c r="LDM5"/>
      <c r="LDN5"/>
      <c r="LDO5"/>
      <c r="LDP5"/>
      <c r="LDQ5"/>
      <c r="LDR5"/>
      <c r="LDS5"/>
      <c r="LDT5"/>
      <c r="LDU5"/>
      <c r="LDV5"/>
      <c r="LDW5"/>
      <c r="LDX5"/>
      <c r="LDY5"/>
      <c r="LDZ5"/>
      <c r="LEA5"/>
      <c r="LEB5"/>
      <c r="LEC5"/>
      <c r="LED5"/>
      <c r="LEE5"/>
      <c r="LEF5"/>
      <c r="LEG5"/>
      <c r="LEH5"/>
      <c r="LEI5"/>
      <c r="LEJ5"/>
      <c r="LEK5"/>
      <c r="LEL5"/>
      <c r="LEM5"/>
      <c r="LEN5"/>
      <c r="LEO5"/>
      <c r="LEP5"/>
      <c r="LEQ5"/>
      <c r="LER5"/>
      <c r="LES5"/>
      <c r="LET5"/>
      <c r="LEU5"/>
      <c r="LEV5"/>
      <c r="LEW5"/>
      <c r="LEX5"/>
      <c r="LEY5"/>
      <c r="LEZ5"/>
      <c r="LFA5"/>
      <c r="LFB5"/>
      <c r="LFC5"/>
      <c r="LFD5"/>
      <c r="LFE5"/>
      <c r="LFF5"/>
      <c r="LFG5"/>
      <c r="LFH5"/>
      <c r="LFI5"/>
      <c r="LFJ5"/>
      <c r="LFK5"/>
      <c r="LFL5"/>
      <c r="LFM5"/>
      <c r="LFN5"/>
      <c r="LFO5"/>
      <c r="LFP5"/>
      <c r="LFQ5"/>
      <c r="LFR5"/>
      <c r="LFS5"/>
      <c r="LFT5"/>
      <c r="LFU5"/>
      <c r="LFV5"/>
      <c r="LFW5"/>
      <c r="LFX5"/>
      <c r="LFY5"/>
      <c r="LFZ5"/>
      <c r="LGA5"/>
      <c r="LGB5"/>
      <c r="LGC5"/>
      <c r="LGD5"/>
      <c r="LGE5"/>
      <c r="LGF5"/>
      <c r="LGG5"/>
      <c r="LGH5"/>
      <c r="LGI5"/>
      <c r="LGJ5"/>
      <c r="LGK5"/>
      <c r="LGL5"/>
      <c r="LGM5"/>
      <c r="LGN5"/>
      <c r="LGO5"/>
      <c r="LGP5"/>
      <c r="LGQ5"/>
      <c r="LGR5"/>
      <c r="LGS5"/>
      <c r="LGT5"/>
      <c r="LGU5"/>
      <c r="LGV5"/>
      <c r="LGW5"/>
      <c r="LGX5"/>
      <c r="LGY5"/>
      <c r="LGZ5"/>
      <c r="LHA5"/>
      <c r="LHB5"/>
      <c r="LHC5"/>
      <c r="LHD5"/>
      <c r="LHE5"/>
      <c r="LHF5"/>
      <c r="LHG5"/>
      <c r="LHH5"/>
      <c r="LHI5"/>
      <c r="LHJ5"/>
      <c r="LHK5"/>
      <c r="LHL5"/>
      <c r="LHM5"/>
      <c r="LHN5"/>
      <c r="LHO5"/>
      <c r="LHP5"/>
      <c r="LHQ5"/>
      <c r="LHR5"/>
      <c r="LHS5"/>
      <c r="LHT5"/>
      <c r="LHU5"/>
      <c r="LHV5"/>
      <c r="LHW5"/>
      <c r="LHX5"/>
      <c r="LHY5"/>
      <c r="LHZ5"/>
      <c r="LIA5"/>
      <c r="LIB5"/>
      <c r="LIC5"/>
      <c r="LID5"/>
      <c r="LIE5"/>
      <c r="LIF5"/>
      <c r="LIG5"/>
      <c r="LIH5"/>
      <c r="LII5"/>
      <c r="LIJ5"/>
      <c r="LIK5"/>
      <c r="LIL5"/>
      <c r="LIM5"/>
      <c r="LIN5"/>
      <c r="LIO5"/>
      <c r="LIP5"/>
      <c r="LIQ5"/>
      <c r="LIR5"/>
      <c r="LIS5"/>
      <c r="LIT5"/>
      <c r="LIU5"/>
      <c r="LIV5"/>
      <c r="LIW5"/>
      <c r="LIX5"/>
      <c r="LIY5"/>
      <c r="LIZ5"/>
      <c r="LJA5"/>
      <c r="LJB5"/>
      <c r="LJC5"/>
      <c r="LJD5"/>
      <c r="LJE5"/>
      <c r="LJF5"/>
      <c r="LJG5"/>
      <c r="LJH5"/>
      <c r="LJI5"/>
      <c r="LJJ5"/>
      <c r="LJK5"/>
      <c r="LJL5"/>
      <c r="LJM5"/>
      <c r="LJN5"/>
      <c r="LJO5"/>
      <c r="LJP5"/>
      <c r="LJQ5"/>
      <c r="LJR5"/>
      <c r="LJS5"/>
      <c r="LJT5"/>
      <c r="LJU5"/>
      <c r="LJV5"/>
      <c r="LJW5"/>
      <c r="LJX5"/>
      <c r="LJY5"/>
      <c r="LJZ5"/>
      <c r="LKA5"/>
      <c r="LKB5"/>
      <c r="LKC5"/>
      <c r="LKD5"/>
      <c r="LKE5"/>
      <c r="LKF5"/>
      <c r="LKG5"/>
      <c r="LKH5"/>
      <c r="LKI5"/>
      <c r="LKJ5"/>
      <c r="LKK5"/>
      <c r="LKL5"/>
      <c r="LKM5"/>
      <c r="LKN5"/>
      <c r="LKO5"/>
      <c r="LKP5"/>
      <c r="LKQ5"/>
      <c r="LKR5"/>
      <c r="LKS5"/>
      <c r="LKT5"/>
      <c r="LKU5"/>
      <c r="LKV5"/>
      <c r="LKW5"/>
      <c r="LKX5"/>
      <c r="LKY5"/>
      <c r="LKZ5"/>
      <c r="LLA5"/>
      <c r="LLB5"/>
      <c r="LLC5"/>
      <c r="LLD5"/>
      <c r="LLE5"/>
      <c r="LLF5"/>
      <c r="LLG5"/>
      <c r="LLH5"/>
      <c r="LLI5"/>
      <c r="LLJ5"/>
      <c r="LLK5"/>
      <c r="LLL5"/>
      <c r="LLM5"/>
      <c r="LLN5"/>
      <c r="LLO5"/>
      <c r="LLP5"/>
      <c r="LLQ5"/>
      <c r="LLR5"/>
      <c r="LLS5"/>
      <c r="LLT5"/>
      <c r="LLU5"/>
      <c r="LLV5"/>
      <c r="LLW5"/>
      <c r="LLX5"/>
      <c r="LLY5"/>
      <c r="LLZ5"/>
      <c r="LMA5"/>
      <c r="LMB5"/>
      <c r="LMC5"/>
      <c r="LMD5"/>
      <c r="LME5"/>
      <c r="LMF5"/>
      <c r="LMG5"/>
      <c r="LMH5"/>
      <c r="LMI5"/>
      <c r="LMJ5"/>
      <c r="LMK5"/>
      <c r="LML5"/>
      <c r="LMM5"/>
      <c r="LMN5"/>
      <c r="LMO5"/>
      <c r="LMP5"/>
      <c r="LMQ5"/>
      <c r="LMR5"/>
      <c r="LMS5"/>
      <c r="LMT5"/>
      <c r="LMU5"/>
      <c r="LMV5"/>
      <c r="LMW5"/>
      <c r="LMX5"/>
      <c r="LMY5"/>
      <c r="LMZ5"/>
      <c r="LNA5"/>
      <c r="LNB5"/>
      <c r="LNC5"/>
      <c r="LND5"/>
      <c r="LNE5"/>
      <c r="LNF5"/>
      <c r="LNG5"/>
      <c r="LNH5"/>
      <c r="LNI5"/>
      <c r="LNJ5"/>
      <c r="LNK5"/>
      <c r="LNL5"/>
      <c r="LNM5"/>
      <c r="LNN5"/>
      <c r="LNO5"/>
      <c r="LNP5"/>
      <c r="LNQ5"/>
      <c r="LNR5"/>
      <c r="LNS5"/>
      <c r="LNT5"/>
      <c r="LNU5"/>
      <c r="LNV5"/>
      <c r="LNW5"/>
      <c r="LNX5"/>
      <c r="LNY5"/>
      <c r="LNZ5"/>
      <c r="LOA5"/>
      <c r="LOB5"/>
      <c r="LOC5"/>
      <c r="LOD5"/>
      <c r="LOE5"/>
      <c r="LOF5"/>
      <c r="LOG5"/>
      <c r="LOH5"/>
      <c r="LOI5"/>
      <c r="LOJ5"/>
      <c r="LOK5"/>
      <c r="LOL5"/>
      <c r="LOM5"/>
      <c r="LON5"/>
      <c r="LOO5"/>
      <c r="LOP5"/>
      <c r="LOQ5"/>
      <c r="LOR5"/>
      <c r="LOS5"/>
      <c r="LOT5"/>
      <c r="LOU5"/>
      <c r="LOV5"/>
      <c r="LOW5"/>
      <c r="LOX5"/>
      <c r="LOY5"/>
      <c r="LOZ5"/>
      <c r="LPA5"/>
      <c r="LPB5"/>
      <c r="LPC5"/>
      <c r="LPD5"/>
      <c r="LPE5"/>
      <c r="LPF5"/>
      <c r="LPG5"/>
      <c r="LPH5"/>
      <c r="LPI5"/>
      <c r="LPJ5"/>
      <c r="LPK5"/>
      <c r="LPL5"/>
      <c r="LPM5"/>
      <c r="LPN5"/>
      <c r="LPO5"/>
      <c r="LPP5"/>
      <c r="LPQ5"/>
      <c r="LPR5"/>
      <c r="LPS5"/>
      <c r="LPT5"/>
      <c r="LPU5"/>
      <c r="LPV5"/>
      <c r="LPW5"/>
      <c r="LPX5"/>
      <c r="LPY5"/>
      <c r="LPZ5"/>
      <c r="LQA5"/>
      <c r="LQB5"/>
      <c r="LQC5"/>
      <c r="LQD5"/>
      <c r="LQE5"/>
      <c r="LQF5"/>
      <c r="LQG5"/>
      <c r="LQH5"/>
      <c r="LQI5"/>
      <c r="LQJ5"/>
      <c r="LQK5"/>
      <c r="LQL5"/>
      <c r="LQM5"/>
      <c r="LQN5"/>
      <c r="LQO5"/>
      <c r="LQP5"/>
      <c r="LQQ5"/>
      <c r="LQR5"/>
      <c r="LQS5"/>
      <c r="LQT5"/>
      <c r="LQU5"/>
      <c r="LQV5"/>
      <c r="LQW5"/>
      <c r="LQX5"/>
      <c r="LQY5"/>
      <c r="LQZ5"/>
      <c r="LRA5"/>
      <c r="LRB5"/>
      <c r="LRC5"/>
      <c r="LRD5"/>
      <c r="LRE5"/>
      <c r="LRF5"/>
      <c r="LRG5"/>
      <c r="LRH5"/>
      <c r="LRI5"/>
      <c r="LRJ5"/>
      <c r="LRK5"/>
      <c r="LRL5"/>
      <c r="LRM5"/>
      <c r="LRN5"/>
      <c r="LRO5"/>
      <c r="LRP5"/>
      <c r="LRQ5"/>
      <c r="LRR5"/>
      <c r="LRS5"/>
      <c r="LRT5"/>
      <c r="LRU5"/>
      <c r="LRV5"/>
      <c r="LRW5"/>
      <c r="LRX5"/>
      <c r="LRY5"/>
      <c r="LRZ5"/>
      <c r="LSA5"/>
      <c r="LSB5"/>
      <c r="LSC5"/>
      <c r="LSD5"/>
      <c r="LSE5"/>
      <c r="LSF5"/>
      <c r="LSG5"/>
      <c r="LSH5"/>
      <c r="LSI5"/>
      <c r="LSJ5"/>
      <c r="LSK5"/>
      <c r="LSL5"/>
      <c r="LSM5"/>
      <c r="LSN5"/>
      <c r="LSO5"/>
      <c r="LSP5"/>
      <c r="LSQ5"/>
      <c r="LSR5"/>
      <c r="LSS5"/>
      <c r="LST5"/>
      <c r="LSU5"/>
      <c r="LSV5"/>
      <c r="LSW5"/>
      <c r="LSX5"/>
      <c r="LSY5"/>
      <c r="LSZ5"/>
      <c r="LTA5"/>
      <c r="LTB5"/>
      <c r="LTC5"/>
      <c r="LTD5"/>
      <c r="LTE5"/>
      <c r="LTF5"/>
      <c r="LTG5"/>
      <c r="LTH5"/>
      <c r="LTI5"/>
      <c r="LTJ5"/>
      <c r="LTK5"/>
      <c r="LTL5"/>
      <c r="LTM5"/>
      <c r="LTN5"/>
      <c r="LTO5"/>
      <c r="LTP5"/>
      <c r="LTQ5"/>
      <c r="LTR5"/>
      <c r="LTS5"/>
      <c r="LTT5"/>
      <c r="LTU5"/>
      <c r="LTV5"/>
      <c r="LTW5"/>
      <c r="LTX5"/>
      <c r="LTY5"/>
      <c r="LTZ5"/>
      <c r="LUA5"/>
      <c r="LUB5"/>
      <c r="LUC5"/>
      <c r="LUD5"/>
      <c r="LUE5"/>
      <c r="LUF5"/>
      <c r="LUG5"/>
      <c r="LUH5"/>
      <c r="LUI5"/>
      <c r="LUJ5"/>
      <c r="LUK5"/>
      <c r="LUL5"/>
      <c r="LUM5"/>
      <c r="LUN5"/>
      <c r="LUO5"/>
      <c r="LUP5"/>
      <c r="LUQ5"/>
      <c r="LUR5"/>
      <c r="LUS5"/>
      <c r="LUT5"/>
      <c r="LUU5"/>
      <c r="LUV5"/>
      <c r="LUW5"/>
      <c r="LUX5"/>
      <c r="LUY5"/>
      <c r="LUZ5"/>
      <c r="LVA5"/>
      <c r="LVB5"/>
      <c r="LVC5"/>
      <c r="LVD5"/>
      <c r="LVE5"/>
      <c r="LVF5"/>
      <c r="LVG5"/>
      <c r="LVH5"/>
      <c r="LVI5"/>
      <c r="LVJ5"/>
      <c r="LVK5"/>
      <c r="LVL5"/>
      <c r="LVM5"/>
      <c r="LVN5"/>
      <c r="LVO5"/>
      <c r="LVP5"/>
      <c r="LVQ5"/>
      <c r="LVR5"/>
      <c r="LVS5"/>
      <c r="LVT5"/>
      <c r="LVU5"/>
      <c r="LVV5"/>
      <c r="LVW5"/>
      <c r="LVX5"/>
      <c r="LVY5"/>
      <c r="LVZ5"/>
      <c r="LWA5"/>
      <c r="LWB5"/>
      <c r="LWC5"/>
      <c r="LWD5"/>
      <c r="LWE5"/>
      <c r="LWF5"/>
      <c r="LWG5"/>
      <c r="LWH5"/>
      <c r="LWI5"/>
      <c r="LWJ5"/>
      <c r="LWK5"/>
      <c r="LWL5"/>
      <c r="LWM5"/>
      <c r="LWN5"/>
      <c r="LWO5"/>
      <c r="LWP5"/>
      <c r="LWQ5"/>
      <c r="LWR5"/>
      <c r="LWS5"/>
      <c r="LWT5"/>
      <c r="LWU5"/>
      <c r="LWV5"/>
      <c r="LWW5"/>
      <c r="LWX5"/>
      <c r="LWY5"/>
      <c r="LWZ5"/>
      <c r="LXA5"/>
      <c r="LXB5"/>
      <c r="LXC5"/>
      <c r="LXD5"/>
      <c r="LXE5"/>
      <c r="LXF5"/>
      <c r="LXG5"/>
      <c r="LXH5"/>
      <c r="LXI5"/>
      <c r="LXJ5"/>
      <c r="LXK5"/>
      <c r="LXL5"/>
      <c r="LXM5"/>
      <c r="LXN5"/>
      <c r="LXO5"/>
      <c r="LXP5"/>
      <c r="LXQ5"/>
      <c r="LXR5"/>
      <c r="LXS5"/>
      <c r="LXT5"/>
      <c r="LXU5"/>
      <c r="LXV5"/>
      <c r="LXW5"/>
      <c r="LXX5"/>
      <c r="LXY5"/>
      <c r="LXZ5"/>
      <c r="LYA5"/>
      <c r="LYB5"/>
      <c r="LYC5"/>
      <c r="LYD5"/>
      <c r="LYE5"/>
      <c r="LYF5"/>
      <c r="LYG5"/>
      <c r="LYH5"/>
      <c r="LYI5"/>
      <c r="LYJ5"/>
      <c r="LYK5"/>
      <c r="LYL5"/>
      <c r="LYM5"/>
      <c r="LYN5"/>
      <c r="LYO5"/>
      <c r="LYP5"/>
      <c r="LYQ5"/>
      <c r="LYR5"/>
      <c r="LYS5"/>
      <c r="LYT5"/>
      <c r="LYU5"/>
      <c r="LYV5"/>
      <c r="LYW5"/>
      <c r="LYX5"/>
      <c r="LYY5"/>
      <c r="LYZ5"/>
      <c r="LZA5"/>
      <c r="LZB5"/>
      <c r="LZC5"/>
      <c r="LZD5"/>
      <c r="LZE5"/>
      <c r="LZF5"/>
      <c r="LZG5"/>
      <c r="LZH5"/>
      <c r="LZI5"/>
      <c r="LZJ5"/>
      <c r="LZK5"/>
      <c r="LZL5"/>
      <c r="LZM5"/>
      <c r="LZN5"/>
      <c r="LZO5"/>
      <c r="LZP5"/>
      <c r="LZQ5"/>
      <c r="LZR5"/>
      <c r="LZS5"/>
      <c r="LZT5"/>
      <c r="LZU5"/>
      <c r="LZV5"/>
      <c r="LZW5"/>
      <c r="LZX5"/>
      <c r="LZY5"/>
      <c r="LZZ5"/>
      <c r="MAA5"/>
      <c r="MAB5"/>
      <c r="MAC5"/>
      <c r="MAD5"/>
      <c r="MAE5"/>
      <c r="MAF5"/>
      <c r="MAG5"/>
      <c r="MAH5"/>
      <c r="MAI5"/>
      <c r="MAJ5"/>
      <c r="MAK5"/>
      <c r="MAL5"/>
      <c r="MAM5"/>
      <c r="MAN5"/>
      <c r="MAO5"/>
      <c r="MAP5"/>
      <c r="MAQ5"/>
      <c r="MAR5"/>
      <c r="MAS5"/>
      <c r="MAT5"/>
      <c r="MAU5"/>
      <c r="MAV5"/>
      <c r="MAW5"/>
      <c r="MAX5"/>
      <c r="MAY5"/>
      <c r="MAZ5"/>
      <c r="MBA5"/>
      <c r="MBB5"/>
      <c r="MBC5"/>
      <c r="MBD5"/>
      <c r="MBE5"/>
      <c r="MBF5"/>
      <c r="MBG5"/>
      <c r="MBH5"/>
      <c r="MBI5"/>
      <c r="MBJ5"/>
      <c r="MBK5"/>
      <c r="MBL5"/>
      <c r="MBM5"/>
      <c r="MBN5"/>
      <c r="MBO5"/>
      <c r="MBP5"/>
      <c r="MBQ5"/>
      <c r="MBR5"/>
      <c r="MBS5"/>
      <c r="MBT5"/>
      <c r="MBU5"/>
      <c r="MBV5"/>
      <c r="MBW5"/>
      <c r="MBX5"/>
      <c r="MBY5"/>
      <c r="MBZ5"/>
      <c r="MCA5"/>
      <c r="MCB5"/>
      <c r="MCC5"/>
      <c r="MCD5"/>
      <c r="MCE5"/>
      <c r="MCF5"/>
      <c r="MCG5"/>
      <c r="MCH5"/>
      <c r="MCI5"/>
      <c r="MCJ5"/>
      <c r="MCK5"/>
      <c r="MCL5"/>
      <c r="MCM5"/>
      <c r="MCN5"/>
      <c r="MCO5"/>
      <c r="MCP5"/>
      <c r="MCQ5"/>
      <c r="MCR5"/>
      <c r="MCS5"/>
      <c r="MCT5"/>
      <c r="MCU5"/>
      <c r="MCV5"/>
      <c r="MCW5"/>
      <c r="MCX5"/>
      <c r="MCY5"/>
      <c r="MCZ5"/>
      <c r="MDA5"/>
      <c r="MDB5"/>
      <c r="MDC5"/>
      <c r="MDD5"/>
      <c r="MDE5"/>
      <c r="MDF5"/>
      <c r="MDG5"/>
      <c r="MDH5"/>
      <c r="MDI5"/>
      <c r="MDJ5"/>
      <c r="MDK5"/>
      <c r="MDL5"/>
      <c r="MDM5"/>
      <c r="MDN5"/>
      <c r="MDO5"/>
      <c r="MDP5"/>
      <c r="MDQ5"/>
      <c r="MDR5"/>
      <c r="MDS5"/>
      <c r="MDT5"/>
      <c r="MDU5"/>
      <c r="MDV5"/>
      <c r="MDW5"/>
      <c r="MDX5"/>
      <c r="MDY5"/>
      <c r="MDZ5"/>
      <c r="MEA5"/>
      <c r="MEB5"/>
      <c r="MEC5"/>
      <c r="MED5"/>
      <c r="MEE5"/>
      <c r="MEF5"/>
      <c r="MEG5"/>
      <c r="MEH5"/>
      <c r="MEI5"/>
      <c r="MEJ5"/>
      <c r="MEK5"/>
      <c r="MEL5"/>
      <c r="MEM5"/>
      <c r="MEN5"/>
      <c r="MEO5"/>
      <c r="MEP5"/>
      <c r="MEQ5"/>
      <c r="MER5"/>
      <c r="MES5"/>
      <c r="MET5"/>
      <c r="MEU5"/>
      <c r="MEV5"/>
      <c r="MEW5"/>
      <c r="MEX5"/>
      <c r="MEY5"/>
      <c r="MEZ5"/>
      <c r="MFA5"/>
      <c r="MFB5"/>
      <c r="MFC5"/>
      <c r="MFD5"/>
      <c r="MFE5"/>
      <c r="MFF5"/>
      <c r="MFG5"/>
      <c r="MFH5"/>
      <c r="MFI5"/>
      <c r="MFJ5"/>
      <c r="MFK5"/>
      <c r="MFL5"/>
      <c r="MFM5"/>
      <c r="MFN5"/>
      <c r="MFO5"/>
      <c r="MFP5"/>
      <c r="MFQ5"/>
      <c r="MFR5"/>
      <c r="MFS5"/>
      <c r="MFT5"/>
      <c r="MFU5"/>
      <c r="MFV5"/>
      <c r="MFW5"/>
      <c r="MFX5"/>
      <c r="MFY5"/>
      <c r="MFZ5"/>
      <c r="MGA5"/>
      <c r="MGB5"/>
      <c r="MGC5"/>
      <c r="MGD5"/>
      <c r="MGE5"/>
      <c r="MGF5"/>
      <c r="MGG5"/>
      <c r="MGH5"/>
      <c r="MGI5"/>
      <c r="MGJ5"/>
      <c r="MGK5"/>
      <c r="MGL5"/>
      <c r="MGM5"/>
      <c r="MGN5"/>
      <c r="MGO5"/>
      <c r="MGP5"/>
      <c r="MGQ5"/>
      <c r="MGR5"/>
      <c r="MGS5"/>
      <c r="MGT5"/>
      <c r="MGU5"/>
      <c r="MGV5"/>
      <c r="MGW5"/>
      <c r="MGX5"/>
      <c r="MGY5"/>
      <c r="MGZ5"/>
      <c r="MHA5"/>
      <c r="MHB5"/>
      <c r="MHC5"/>
      <c r="MHD5"/>
      <c r="MHE5"/>
      <c r="MHF5"/>
      <c r="MHG5"/>
      <c r="MHH5"/>
      <c r="MHI5"/>
      <c r="MHJ5"/>
      <c r="MHK5"/>
      <c r="MHL5"/>
      <c r="MHM5"/>
      <c r="MHN5"/>
      <c r="MHO5"/>
      <c r="MHP5"/>
      <c r="MHQ5"/>
      <c r="MHR5"/>
      <c r="MHS5"/>
      <c r="MHT5"/>
      <c r="MHU5"/>
      <c r="MHV5"/>
      <c r="MHW5"/>
      <c r="MHX5"/>
      <c r="MHY5"/>
      <c r="MHZ5"/>
      <c r="MIA5"/>
      <c r="MIB5"/>
      <c r="MIC5"/>
      <c r="MID5"/>
      <c r="MIE5"/>
      <c r="MIF5"/>
      <c r="MIG5"/>
      <c r="MIH5"/>
      <c r="MII5"/>
      <c r="MIJ5"/>
      <c r="MIK5"/>
      <c r="MIL5"/>
      <c r="MIM5"/>
      <c r="MIN5"/>
      <c r="MIO5"/>
      <c r="MIP5"/>
      <c r="MIQ5"/>
      <c r="MIR5"/>
      <c r="MIS5"/>
      <c r="MIT5"/>
      <c r="MIU5"/>
      <c r="MIV5"/>
      <c r="MIW5"/>
      <c r="MIX5"/>
      <c r="MIY5"/>
      <c r="MIZ5"/>
      <c r="MJA5"/>
      <c r="MJB5"/>
      <c r="MJC5"/>
      <c r="MJD5"/>
      <c r="MJE5"/>
      <c r="MJF5"/>
      <c r="MJG5"/>
      <c r="MJH5"/>
      <c r="MJI5"/>
      <c r="MJJ5"/>
      <c r="MJK5"/>
      <c r="MJL5"/>
      <c r="MJM5"/>
      <c r="MJN5"/>
      <c r="MJO5"/>
      <c r="MJP5"/>
      <c r="MJQ5"/>
      <c r="MJR5"/>
      <c r="MJS5"/>
      <c r="MJT5"/>
      <c r="MJU5"/>
      <c r="MJV5"/>
      <c r="MJW5"/>
      <c r="MJX5"/>
      <c r="MJY5"/>
      <c r="MJZ5"/>
      <c r="MKA5"/>
      <c r="MKB5"/>
      <c r="MKC5"/>
      <c r="MKD5"/>
      <c r="MKE5"/>
      <c r="MKF5"/>
      <c r="MKG5"/>
      <c r="MKH5"/>
      <c r="MKI5"/>
      <c r="MKJ5"/>
      <c r="MKK5"/>
      <c r="MKL5"/>
      <c r="MKM5"/>
      <c r="MKN5"/>
      <c r="MKO5"/>
      <c r="MKP5"/>
      <c r="MKQ5"/>
      <c r="MKR5"/>
      <c r="MKS5"/>
      <c r="MKT5"/>
      <c r="MKU5"/>
      <c r="MKV5"/>
      <c r="MKW5"/>
      <c r="MKX5"/>
      <c r="MKY5"/>
      <c r="MKZ5"/>
      <c r="MLA5"/>
      <c r="MLB5"/>
      <c r="MLC5"/>
      <c r="MLD5"/>
      <c r="MLE5"/>
      <c r="MLF5"/>
      <c r="MLG5"/>
      <c r="MLH5"/>
      <c r="MLI5"/>
      <c r="MLJ5"/>
      <c r="MLK5"/>
      <c r="MLL5"/>
      <c r="MLM5"/>
      <c r="MLN5"/>
      <c r="MLO5"/>
      <c r="MLP5"/>
      <c r="MLQ5"/>
      <c r="MLR5"/>
      <c r="MLS5"/>
      <c r="MLT5"/>
      <c r="MLU5"/>
      <c r="MLV5"/>
      <c r="MLW5"/>
      <c r="MLX5"/>
      <c r="MLY5"/>
      <c r="MLZ5"/>
      <c r="MMA5"/>
      <c r="MMB5"/>
      <c r="MMC5"/>
      <c r="MMD5"/>
      <c r="MME5"/>
      <c r="MMF5"/>
      <c r="MMG5"/>
      <c r="MMH5"/>
      <c r="MMI5"/>
      <c r="MMJ5"/>
      <c r="MMK5"/>
      <c r="MML5"/>
      <c r="MMM5"/>
      <c r="MMN5"/>
      <c r="MMO5"/>
      <c r="MMP5"/>
      <c r="MMQ5"/>
      <c r="MMR5"/>
      <c r="MMS5"/>
      <c r="MMT5"/>
      <c r="MMU5"/>
      <c r="MMV5"/>
      <c r="MMW5"/>
      <c r="MMX5"/>
      <c r="MMY5"/>
      <c r="MMZ5"/>
      <c r="MNA5"/>
      <c r="MNB5"/>
      <c r="MNC5"/>
      <c r="MND5"/>
      <c r="MNE5"/>
      <c r="MNF5"/>
      <c r="MNG5"/>
      <c r="MNH5"/>
      <c r="MNI5"/>
      <c r="MNJ5"/>
      <c r="MNK5"/>
      <c r="MNL5"/>
      <c r="MNM5"/>
      <c r="MNN5"/>
      <c r="MNO5"/>
      <c r="MNP5"/>
      <c r="MNQ5"/>
      <c r="MNR5"/>
      <c r="MNS5"/>
      <c r="MNT5"/>
      <c r="MNU5"/>
      <c r="MNV5"/>
      <c r="MNW5"/>
      <c r="MNX5"/>
      <c r="MNY5"/>
      <c r="MNZ5"/>
      <c r="MOA5"/>
      <c r="MOB5"/>
      <c r="MOC5"/>
      <c r="MOD5"/>
      <c r="MOE5"/>
      <c r="MOF5"/>
      <c r="MOG5"/>
      <c r="MOH5"/>
      <c r="MOI5"/>
      <c r="MOJ5"/>
      <c r="MOK5"/>
      <c r="MOL5"/>
      <c r="MOM5"/>
      <c r="MON5"/>
      <c r="MOO5"/>
      <c r="MOP5"/>
      <c r="MOQ5"/>
      <c r="MOR5"/>
      <c r="MOS5"/>
      <c r="MOT5"/>
      <c r="MOU5"/>
      <c r="MOV5"/>
      <c r="MOW5"/>
      <c r="MOX5"/>
      <c r="MOY5"/>
      <c r="MOZ5"/>
      <c r="MPA5"/>
      <c r="MPB5"/>
      <c r="MPC5"/>
      <c r="MPD5"/>
      <c r="MPE5"/>
      <c r="MPF5"/>
      <c r="MPG5"/>
      <c r="MPH5"/>
      <c r="MPI5"/>
      <c r="MPJ5"/>
      <c r="MPK5"/>
      <c r="MPL5"/>
      <c r="MPM5"/>
      <c r="MPN5"/>
      <c r="MPO5"/>
      <c r="MPP5"/>
      <c r="MPQ5"/>
      <c r="MPR5"/>
      <c r="MPS5"/>
      <c r="MPT5"/>
      <c r="MPU5"/>
      <c r="MPV5"/>
      <c r="MPW5"/>
      <c r="MPX5"/>
      <c r="MPY5"/>
      <c r="MPZ5"/>
      <c r="MQA5"/>
      <c r="MQB5"/>
      <c r="MQC5"/>
      <c r="MQD5"/>
      <c r="MQE5"/>
      <c r="MQF5"/>
      <c r="MQG5"/>
      <c r="MQH5"/>
      <c r="MQI5"/>
      <c r="MQJ5"/>
      <c r="MQK5"/>
      <c r="MQL5"/>
      <c r="MQM5"/>
      <c r="MQN5"/>
      <c r="MQO5"/>
      <c r="MQP5"/>
      <c r="MQQ5"/>
      <c r="MQR5"/>
      <c r="MQS5"/>
      <c r="MQT5"/>
      <c r="MQU5"/>
      <c r="MQV5"/>
      <c r="MQW5"/>
      <c r="MQX5"/>
      <c r="MQY5"/>
      <c r="MQZ5"/>
      <c r="MRA5"/>
      <c r="MRB5"/>
      <c r="MRC5"/>
      <c r="MRD5"/>
      <c r="MRE5"/>
      <c r="MRF5"/>
      <c r="MRG5"/>
      <c r="MRH5"/>
      <c r="MRI5"/>
      <c r="MRJ5"/>
      <c r="MRK5"/>
      <c r="MRL5"/>
      <c r="MRM5"/>
      <c r="MRN5"/>
      <c r="MRO5"/>
      <c r="MRP5"/>
      <c r="MRQ5"/>
      <c r="MRR5"/>
      <c r="MRS5"/>
      <c r="MRT5"/>
      <c r="MRU5"/>
      <c r="MRV5"/>
      <c r="MRW5"/>
      <c r="MRX5"/>
      <c r="MRY5"/>
      <c r="MRZ5"/>
      <c r="MSA5"/>
      <c r="MSB5"/>
      <c r="MSC5"/>
      <c r="MSD5"/>
      <c r="MSE5"/>
      <c r="MSF5"/>
      <c r="MSG5"/>
      <c r="MSH5"/>
      <c r="MSI5"/>
      <c r="MSJ5"/>
      <c r="MSK5"/>
      <c r="MSL5"/>
      <c r="MSM5"/>
      <c r="MSN5"/>
      <c r="MSO5"/>
      <c r="MSP5"/>
      <c r="MSQ5"/>
      <c r="MSR5"/>
      <c r="MSS5"/>
      <c r="MST5"/>
      <c r="MSU5"/>
      <c r="MSV5"/>
      <c r="MSW5"/>
      <c r="MSX5"/>
      <c r="MSY5"/>
      <c r="MSZ5"/>
      <c r="MTA5"/>
      <c r="MTB5"/>
      <c r="MTC5"/>
      <c r="MTD5"/>
      <c r="MTE5"/>
      <c r="MTF5"/>
      <c r="MTG5"/>
      <c r="MTH5"/>
      <c r="MTI5"/>
      <c r="MTJ5"/>
      <c r="MTK5"/>
      <c r="MTL5"/>
      <c r="MTM5"/>
      <c r="MTN5"/>
      <c r="MTO5"/>
      <c r="MTP5"/>
      <c r="MTQ5"/>
      <c r="MTR5"/>
      <c r="MTS5"/>
      <c r="MTT5"/>
      <c r="MTU5"/>
      <c r="MTV5"/>
      <c r="MTW5"/>
      <c r="MTX5"/>
      <c r="MTY5"/>
      <c r="MTZ5"/>
      <c r="MUA5"/>
      <c r="MUB5"/>
      <c r="MUC5"/>
      <c r="MUD5"/>
      <c r="MUE5"/>
      <c r="MUF5"/>
      <c r="MUG5"/>
      <c r="MUH5"/>
      <c r="MUI5"/>
      <c r="MUJ5"/>
      <c r="MUK5"/>
      <c r="MUL5"/>
      <c r="MUM5"/>
      <c r="MUN5"/>
      <c r="MUO5"/>
      <c r="MUP5"/>
      <c r="MUQ5"/>
      <c r="MUR5"/>
      <c r="MUS5"/>
      <c r="MUT5"/>
      <c r="MUU5"/>
      <c r="MUV5"/>
      <c r="MUW5"/>
      <c r="MUX5"/>
      <c r="MUY5"/>
      <c r="MUZ5"/>
      <c r="MVA5"/>
      <c r="MVB5"/>
      <c r="MVC5"/>
      <c r="MVD5"/>
      <c r="MVE5"/>
      <c r="MVF5"/>
      <c r="MVG5"/>
      <c r="MVH5"/>
      <c r="MVI5"/>
      <c r="MVJ5"/>
      <c r="MVK5"/>
      <c r="MVL5"/>
      <c r="MVM5"/>
      <c r="MVN5"/>
      <c r="MVO5"/>
      <c r="MVP5"/>
      <c r="MVQ5"/>
      <c r="MVR5"/>
      <c r="MVS5"/>
      <c r="MVT5"/>
      <c r="MVU5"/>
      <c r="MVV5"/>
      <c r="MVW5"/>
      <c r="MVX5"/>
      <c r="MVY5"/>
      <c r="MVZ5"/>
      <c r="MWA5"/>
      <c r="MWB5"/>
      <c r="MWC5"/>
      <c r="MWD5"/>
      <c r="MWE5"/>
      <c r="MWF5"/>
      <c r="MWG5"/>
      <c r="MWH5"/>
      <c r="MWI5"/>
      <c r="MWJ5"/>
      <c r="MWK5"/>
      <c r="MWL5"/>
      <c r="MWM5"/>
      <c r="MWN5"/>
      <c r="MWO5"/>
      <c r="MWP5"/>
      <c r="MWQ5"/>
      <c r="MWR5"/>
      <c r="MWS5"/>
      <c r="MWT5"/>
      <c r="MWU5"/>
      <c r="MWV5"/>
      <c r="MWW5"/>
      <c r="MWX5"/>
      <c r="MWY5"/>
      <c r="MWZ5"/>
      <c r="MXA5"/>
      <c r="MXB5"/>
      <c r="MXC5"/>
      <c r="MXD5"/>
      <c r="MXE5"/>
      <c r="MXF5"/>
      <c r="MXG5"/>
      <c r="MXH5"/>
      <c r="MXI5"/>
      <c r="MXJ5"/>
      <c r="MXK5"/>
      <c r="MXL5"/>
      <c r="MXM5"/>
      <c r="MXN5"/>
      <c r="MXO5"/>
      <c r="MXP5"/>
      <c r="MXQ5"/>
      <c r="MXR5"/>
      <c r="MXS5"/>
      <c r="MXT5"/>
      <c r="MXU5"/>
      <c r="MXV5"/>
      <c r="MXW5"/>
      <c r="MXX5"/>
      <c r="MXY5"/>
      <c r="MXZ5"/>
      <c r="MYA5"/>
      <c r="MYB5"/>
      <c r="MYC5"/>
      <c r="MYD5"/>
      <c r="MYE5"/>
      <c r="MYF5"/>
      <c r="MYG5"/>
      <c r="MYH5"/>
      <c r="MYI5"/>
      <c r="MYJ5"/>
      <c r="MYK5"/>
      <c r="MYL5"/>
      <c r="MYM5"/>
      <c r="MYN5"/>
      <c r="MYO5"/>
      <c r="MYP5"/>
      <c r="MYQ5"/>
      <c r="MYR5"/>
      <c r="MYS5"/>
      <c r="MYT5"/>
      <c r="MYU5"/>
      <c r="MYV5"/>
      <c r="MYW5"/>
      <c r="MYX5"/>
      <c r="MYY5"/>
      <c r="MYZ5"/>
      <c r="MZA5"/>
      <c r="MZB5"/>
      <c r="MZC5"/>
      <c r="MZD5"/>
      <c r="MZE5"/>
      <c r="MZF5"/>
      <c r="MZG5"/>
      <c r="MZH5"/>
      <c r="MZI5"/>
      <c r="MZJ5"/>
      <c r="MZK5"/>
      <c r="MZL5"/>
      <c r="MZM5"/>
      <c r="MZN5"/>
      <c r="MZO5"/>
      <c r="MZP5"/>
      <c r="MZQ5"/>
      <c r="MZR5"/>
      <c r="MZS5"/>
      <c r="MZT5"/>
      <c r="MZU5"/>
      <c r="MZV5"/>
      <c r="MZW5"/>
      <c r="MZX5"/>
      <c r="MZY5"/>
      <c r="MZZ5"/>
      <c r="NAA5"/>
      <c r="NAB5"/>
      <c r="NAC5"/>
      <c r="NAD5"/>
      <c r="NAE5"/>
      <c r="NAF5"/>
      <c r="NAG5"/>
      <c r="NAH5"/>
      <c r="NAI5"/>
      <c r="NAJ5"/>
      <c r="NAK5"/>
      <c r="NAL5"/>
      <c r="NAM5"/>
      <c r="NAN5"/>
      <c r="NAO5"/>
      <c r="NAP5"/>
      <c r="NAQ5"/>
      <c r="NAR5"/>
      <c r="NAS5"/>
      <c r="NAT5"/>
      <c r="NAU5"/>
      <c r="NAV5"/>
      <c r="NAW5"/>
      <c r="NAX5"/>
      <c r="NAY5"/>
      <c r="NAZ5"/>
      <c r="NBA5"/>
      <c r="NBB5"/>
      <c r="NBC5"/>
      <c r="NBD5"/>
      <c r="NBE5"/>
      <c r="NBF5"/>
      <c r="NBG5"/>
      <c r="NBH5"/>
      <c r="NBI5"/>
      <c r="NBJ5"/>
      <c r="NBK5"/>
      <c r="NBL5"/>
      <c r="NBM5"/>
      <c r="NBN5"/>
      <c r="NBO5"/>
      <c r="NBP5"/>
      <c r="NBQ5"/>
      <c r="NBR5"/>
      <c r="NBS5"/>
      <c r="NBT5"/>
      <c r="NBU5"/>
      <c r="NBV5"/>
      <c r="NBW5"/>
      <c r="NBX5"/>
      <c r="NBY5"/>
      <c r="NBZ5"/>
      <c r="NCA5"/>
      <c r="NCB5"/>
      <c r="NCC5"/>
      <c r="NCD5"/>
      <c r="NCE5"/>
      <c r="NCF5"/>
      <c r="NCG5"/>
      <c r="NCH5"/>
      <c r="NCI5"/>
      <c r="NCJ5"/>
      <c r="NCK5"/>
      <c r="NCL5"/>
      <c r="NCM5"/>
      <c r="NCN5"/>
      <c r="NCO5"/>
      <c r="NCP5"/>
      <c r="NCQ5"/>
      <c r="NCR5"/>
      <c r="NCS5"/>
      <c r="NCT5"/>
      <c r="NCU5"/>
      <c r="NCV5"/>
      <c r="NCW5"/>
      <c r="NCX5"/>
      <c r="NCY5"/>
      <c r="NCZ5"/>
      <c r="NDA5"/>
      <c r="NDB5"/>
      <c r="NDC5"/>
      <c r="NDD5"/>
      <c r="NDE5"/>
      <c r="NDF5"/>
      <c r="NDG5"/>
      <c r="NDH5"/>
      <c r="NDI5"/>
      <c r="NDJ5"/>
      <c r="NDK5"/>
      <c r="NDL5"/>
      <c r="NDM5"/>
      <c r="NDN5"/>
      <c r="NDO5"/>
      <c r="NDP5"/>
      <c r="NDQ5"/>
      <c r="NDR5"/>
      <c r="NDS5"/>
      <c r="NDT5"/>
      <c r="NDU5"/>
      <c r="NDV5"/>
      <c r="NDW5"/>
      <c r="NDX5"/>
      <c r="NDY5"/>
      <c r="NDZ5"/>
      <c r="NEA5"/>
      <c r="NEB5"/>
      <c r="NEC5"/>
      <c r="NED5"/>
      <c r="NEE5"/>
      <c r="NEF5"/>
      <c r="NEG5"/>
      <c r="NEH5"/>
      <c r="NEI5"/>
      <c r="NEJ5"/>
      <c r="NEK5"/>
      <c r="NEL5"/>
      <c r="NEM5"/>
      <c r="NEN5"/>
      <c r="NEO5"/>
      <c r="NEP5"/>
      <c r="NEQ5"/>
      <c r="NER5"/>
      <c r="NES5"/>
      <c r="NET5"/>
      <c r="NEU5"/>
      <c r="NEV5"/>
      <c r="NEW5"/>
      <c r="NEX5"/>
      <c r="NEY5"/>
      <c r="NEZ5"/>
      <c r="NFA5"/>
      <c r="NFB5"/>
      <c r="NFC5"/>
      <c r="NFD5"/>
      <c r="NFE5"/>
      <c r="NFF5"/>
      <c r="NFG5"/>
      <c r="NFH5"/>
      <c r="NFI5"/>
      <c r="NFJ5"/>
      <c r="NFK5"/>
      <c r="NFL5"/>
      <c r="NFM5"/>
      <c r="NFN5"/>
      <c r="NFO5"/>
      <c r="NFP5"/>
      <c r="NFQ5"/>
      <c r="NFR5"/>
      <c r="NFS5"/>
      <c r="NFT5"/>
      <c r="NFU5"/>
      <c r="NFV5"/>
      <c r="NFW5"/>
      <c r="NFX5"/>
      <c r="NFY5"/>
      <c r="NFZ5"/>
      <c r="NGA5"/>
      <c r="NGB5"/>
      <c r="NGC5"/>
      <c r="NGD5"/>
      <c r="NGE5"/>
      <c r="NGF5"/>
      <c r="NGG5"/>
      <c r="NGH5"/>
      <c r="NGI5"/>
      <c r="NGJ5"/>
      <c r="NGK5"/>
      <c r="NGL5"/>
      <c r="NGM5"/>
      <c r="NGN5"/>
      <c r="NGO5"/>
      <c r="NGP5"/>
      <c r="NGQ5"/>
      <c r="NGR5"/>
      <c r="NGS5"/>
      <c r="NGT5"/>
      <c r="NGU5"/>
      <c r="NGV5"/>
      <c r="NGW5"/>
      <c r="NGX5"/>
      <c r="NGY5"/>
      <c r="NGZ5"/>
      <c r="NHA5"/>
      <c r="NHB5"/>
      <c r="NHC5"/>
      <c r="NHD5"/>
      <c r="NHE5"/>
      <c r="NHF5"/>
      <c r="NHG5"/>
      <c r="NHH5"/>
      <c r="NHI5"/>
      <c r="NHJ5"/>
      <c r="NHK5"/>
      <c r="NHL5"/>
      <c r="NHM5"/>
      <c r="NHN5"/>
      <c r="NHO5"/>
      <c r="NHP5"/>
      <c r="NHQ5"/>
      <c r="NHR5"/>
      <c r="NHS5"/>
      <c r="NHT5"/>
      <c r="NHU5"/>
      <c r="NHV5"/>
      <c r="NHW5"/>
      <c r="NHX5"/>
      <c r="NHY5"/>
      <c r="NHZ5"/>
      <c r="NIA5"/>
      <c r="NIB5"/>
      <c r="NIC5"/>
      <c r="NID5"/>
      <c r="NIE5"/>
      <c r="NIF5"/>
      <c r="NIG5"/>
      <c r="NIH5"/>
      <c r="NII5"/>
      <c r="NIJ5"/>
      <c r="NIK5"/>
      <c r="NIL5"/>
      <c r="NIM5"/>
      <c r="NIN5"/>
      <c r="NIO5"/>
      <c r="NIP5"/>
      <c r="NIQ5"/>
      <c r="NIR5"/>
      <c r="NIS5"/>
      <c r="NIT5"/>
      <c r="NIU5"/>
      <c r="NIV5"/>
      <c r="NIW5"/>
      <c r="NIX5"/>
      <c r="NIY5"/>
      <c r="NIZ5"/>
      <c r="NJA5"/>
      <c r="NJB5"/>
      <c r="NJC5"/>
      <c r="NJD5"/>
      <c r="NJE5"/>
      <c r="NJF5"/>
      <c r="NJG5"/>
      <c r="NJH5"/>
      <c r="NJI5"/>
      <c r="NJJ5"/>
      <c r="NJK5"/>
      <c r="NJL5"/>
      <c r="NJM5"/>
      <c r="NJN5"/>
      <c r="NJO5"/>
      <c r="NJP5"/>
      <c r="NJQ5"/>
      <c r="NJR5"/>
      <c r="NJS5"/>
      <c r="NJT5"/>
      <c r="NJU5"/>
      <c r="NJV5"/>
      <c r="NJW5"/>
      <c r="NJX5"/>
      <c r="NJY5"/>
      <c r="NJZ5"/>
      <c r="NKA5"/>
      <c r="NKB5"/>
      <c r="NKC5"/>
      <c r="NKD5"/>
      <c r="NKE5"/>
      <c r="NKF5"/>
      <c r="NKG5"/>
      <c r="NKH5"/>
      <c r="NKI5"/>
      <c r="NKJ5"/>
      <c r="NKK5"/>
      <c r="NKL5"/>
      <c r="NKM5"/>
      <c r="NKN5"/>
      <c r="NKO5"/>
      <c r="NKP5"/>
      <c r="NKQ5"/>
      <c r="NKR5"/>
      <c r="NKS5"/>
      <c r="NKT5"/>
      <c r="NKU5"/>
      <c r="NKV5"/>
      <c r="NKW5"/>
      <c r="NKX5"/>
      <c r="NKY5"/>
      <c r="NKZ5"/>
      <c r="NLA5"/>
      <c r="NLB5"/>
      <c r="NLC5"/>
      <c r="NLD5"/>
      <c r="NLE5"/>
      <c r="NLF5"/>
      <c r="NLG5"/>
      <c r="NLH5"/>
      <c r="NLI5"/>
      <c r="NLJ5"/>
      <c r="NLK5"/>
      <c r="NLL5"/>
      <c r="NLM5"/>
      <c r="NLN5"/>
      <c r="NLO5"/>
      <c r="NLP5"/>
      <c r="NLQ5"/>
      <c r="NLR5"/>
      <c r="NLS5"/>
      <c r="NLT5"/>
      <c r="NLU5"/>
      <c r="NLV5"/>
      <c r="NLW5"/>
      <c r="NLX5"/>
      <c r="NLY5"/>
      <c r="NLZ5"/>
      <c r="NMA5"/>
      <c r="NMB5"/>
      <c r="NMC5"/>
      <c r="NMD5"/>
      <c r="NME5"/>
      <c r="NMF5"/>
      <c r="NMG5"/>
      <c r="NMH5"/>
      <c r="NMI5"/>
      <c r="NMJ5"/>
      <c r="NMK5"/>
      <c r="NML5"/>
      <c r="NMM5"/>
      <c r="NMN5"/>
      <c r="NMO5"/>
      <c r="NMP5"/>
      <c r="NMQ5"/>
      <c r="NMR5"/>
      <c r="NMS5"/>
      <c r="NMT5"/>
      <c r="NMU5"/>
      <c r="NMV5"/>
      <c r="NMW5"/>
      <c r="NMX5"/>
      <c r="NMY5"/>
      <c r="NMZ5"/>
      <c r="NNA5"/>
      <c r="NNB5"/>
      <c r="NNC5"/>
      <c r="NND5"/>
      <c r="NNE5"/>
      <c r="NNF5"/>
      <c r="NNG5"/>
      <c r="NNH5"/>
      <c r="NNI5"/>
      <c r="NNJ5"/>
      <c r="NNK5"/>
      <c r="NNL5"/>
      <c r="NNM5"/>
      <c r="NNN5"/>
      <c r="NNO5"/>
      <c r="NNP5"/>
      <c r="NNQ5"/>
      <c r="NNR5"/>
      <c r="NNS5"/>
      <c r="NNT5"/>
      <c r="NNU5"/>
      <c r="NNV5"/>
      <c r="NNW5"/>
      <c r="NNX5"/>
      <c r="NNY5"/>
      <c r="NNZ5"/>
      <c r="NOA5"/>
      <c r="NOB5"/>
      <c r="NOC5"/>
      <c r="NOD5"/>
      <c r="NOE5"/>
      <c r="NOF5"/>
      <c r="NOG5"/>
      <c r="NOH5"/>
      <c r="NOI5"/>
      <c r="NOJ5"/>
      <c r="NOK5"/>
      <c r="NOL5"/>
      <c r="NOM5"/>
      <c r="NON5"/>
      <c r="NOO5"/>
      <c r="NOP5"/>
      <c r="NOQ5"/>
      <c r="NOR5"/>
      <c r="NOS5"/>
      <c r="NOT5"/>
      <c r="NOU5"/>
      <c r="NOV5"/>
      <c r="NOW5"/>
      <c r="NOX5"/>
      <c r="NOY5"/>
      <c r="NOZ5"/>
      <c r="NPA5"/>
      <c r="NPB5"/>
      <c r="NPC5"/>
      <c r="NPD5"/>
      <c r="NPE5"/>
      <c r="NPF5"/>
      <c r="NPG5"/>
      <c r="NPH5"/>
      <c r="NPI5"/>
      <c r="NPJ5"/>
      <c r="NPK5"/>
      <c r="NPL5"/>
      <c r="NPM5"/>
      <c r="NPN5"/>
      <c r="NPO5"/>
      <c r="NPP5"/>
      <c r="NPQ5"/>
      <c r="NPR5"/>
      <c r="NPS5"/>
      <c r="NPT5"/>
      <c r="NPU5"/>
      <c r="NPV5"/>
      <c r="NPW5"/>
      <c r="NPX5"/>
      <c r="NPY5"/>
      <c r="NPZ5"/>
      <c r="NQA5"/>
      <c r="NQB5"/>
      <c r="NQC5"/>
      <c r="NQD5"/>
      <c r="NQE5"/>
      <c r="NQF5"/>
      <c r="NQG5"/>
      <c r="NQH5"/>
      <c r="NQI5"/>
      <c r="NQJ5"/>
      <c r="NQK5"/>
      <c r="NQL5"/>
      <c r="NQM5"/>
      <c r="NQN5"/>
      <c r="NQO5"/>
      <c r="NQP5"/>
      <c r="NQQ5"/>
      <c r="NQR5"/>
      <c r="NQS5"/>
      <c r="NQT5"/>
      <c r="NQU5"/>
      <c r="NQV5"/>
      <c r="NQW5"/>
      <c r="NQX5"/>
      <c r="NQY5"/>
      <c r="NQZ5"/>
      <c r="NRA5"/>
      <c r="NRB5"/>
      <c r="NRC5"/>
      <c r="NRD5"/>
      <c r="NRE5"/>
      <c r="NRF5"/>
      <c r="NRG5"/>
      <c r="NRH5"/>
      <c r="NRI5"/>
      <c r="NRJ5"/>
      <c r="NRK5"/>
      <c r="NRL5"/>
      <c r="NRM5"/>
      <c r="NRN5"/>
      <c r="NRO5"/>
      <c r="NRP5"/>
      <c r="NRQ5"/>
      <c r="NRR5"/>
      <c r="NRS5"/>
      <c r="NRT5"/>
      <c r="NRU5"/>
      <c r="NRV5"/>
      <c r="NRW5"/>
      <c r="NRX5"/>
      <c r="NRY5"/>
      <c r="NRZ5"/>
      <c r="NSA5"/>
      <c r="NSB5"/>
      <c r="NSC5"/>
      <c r="NSD5"/>
      <c r="NSE5"/>
      <c r="NSF5"/>
      <c r="NSG5"/>
      <c r="NSH5"/>
      <c r="NSI5"/>
      <c r="NSJ5"/>
      <c r="NSK5"/>
      <c r="NSL5"/>
      <c r="NSM5"/>
      <c r="NSN5"/>
      <c r="NSO5"/>
      <c r="NSP5"/>
      <c r="NSQ5"/>
      <c r="NSR5"/>
      <c r="NSS5"/>
      <c r="NST5"/>
      <c r="NSU5"/>
      <c r="NSV5"/>
      <c r="NSW5"/>
      <c r="NSX5"/>
      <c r="NSY5"/>
      <c r="NSZ5"/>
      <c r="NTA5"/>
      <c r="NTB5"/>
      <c r="NTC5"/>
      <c r="NTD5"/>
      <c r="NTE5"/>
      <c r="NTF5"/>
      <c r="NTG5"/>
      <c r="NTH5"/>
      <c r="NTI5"/>
      <c r="NTJ5"/>
      <c r="NTK5"/>
      <c r="NTL5"/>
      <c r="NTM5"/>
      <c r="NTN5"/>
      <c r="NTO5"/>
      <c r="NTP5"/>
      <c r="NTQ5"/>
      <c r="NTR5"/>
      <c r="NTS5"/>
      <c r="NTT5"/>
      <c r="NTU5"/>
      <c r="NTV5"/>
      <c r="NTW5"/>
      <c r="NTX5"/>
      <c r="NTY5"/>
      <c r="NTZ5"/>
      <c r="NUA5"/>
      <c r="NUB5"/>
      <c r="NUC5"/>
      <c r="NUD5"/>
      <c r="NUE5"/>
      <c r="NUF5"/>
      <c r="NUG5"/>
      <c r="NUH5"/>
      <c r="NUI5"/>
      <c r="NUJ5"/>
      <c r="NUK5"/>
      <c r="NUL5"/>
      <c r="NUM5"/>
      <c r="NUN5"/>
      <c r="NUO5"/>
      <c r="NUP5"/>
      <c r="NUQ5"/>
      <c r="NUR5"/>
      <c r="NUS5"/>
      <c r="NUT5"/>
      <c r="NUU5"/>
      <c r="NUV5"/>
      <c r="NUW5"/>
      <c r="NUX5"/>
      <c r="NUY5"/>
      <c r="NUZ5"/>
      <c r="NVA5"/>
      <c r="NVB5"/>
      <c r="NVC5"/>
      <c r="NVD5"/>
      <c r="NVE5"/>
      <c r="NVF5"/>
      <c r="NVG5"/>
      <c r="NVH5"/>
      <c r="NVI5"/>
      <c r="NVJ5"/>
      <c r="NVK5"/>
      <c r="NVL5"/>
      <c r="NVM5"/>
      <c r="NVN5"/>
      <c r="NVO5"/>
      <c r="NVP5"/>
      <c r="NVQ5"/>
      <c r="NVR5"/>
      <c r="NVS5"/>
      <c r="NVT5"/>
      <c r="NVU5"/>
      <c r="NVV5"/>
      <c r="NVW5"/>
      <c r="NVX5"/>
      <c r="NVY5"/>
      <c r="NVZ5"/>
      <c r="NWA5"/>
      <c r="NWB5"/>
      <c r="NWC5"/>
      <c r="NWD5"/>
      <c r="NWE5"/>
      <c r="NWF5"/>
      <c r="NWG5"/>
      <c r="NWH5"/>
      <c r="NWI5"/>
      <c r="NWJ5"/>
      <c r="NWK5"/>
      <c r="NWL5"/>
      <c r="NWM5"/>
      <c r="NWN5"/>
      <c r="NWO5"/>
      <c r="NWP5"/>
      <c r="NWQ5"/>
      <c r="NWR5"/>
      <c r="NWS5"/>
      <c r="NWT5"/>
      <c r="NWU5"/>
      <c r="NWV5"/>
      <c r="NWW5"/>
      <c r="NWX5"/>
      <c r="NWY5"/>
      <c r="NWZ5"/>
      <c r="NXA5"/>
      <c r="NXB5"/>
      <c r="NXC5"/>
      <c r="NXD5"/>
      <c r="NXE5"/>
      <c r="NXF5"/>
      <c r="NXG5"/>
      <c r="NXH5"/>
      <c r="NXI5"/>
      <c r="NXJ5"/>
      <c r="NXK5"/>
      <c r="NXL5"/>
      <c r="NXM5"/>
      <c r="NXN5"/>
      <c r="NXO5"/>
      <c r="NXP5"/>
      <c r="NXQ5"/>
      <c r="NXR5"/>
      <c r="NXS5"/>
      <c r="NXT5"/>
      <c r="NXU5"/>
      <c r="NXV5"/>
      <c r="NXW5"/>
      <c r="NXX5"/>
      <c r="NXY5"/>
      <c r="NXZ5"/>
      <c r="NYA5"/>
      <c r="NYB5"/>
      <c r="NYC5"/>
      <c r="NYD5"/>
      <c r="NYE5"/>
      <c r="NYF5"/>
      <c r="NYG5"/>
      <c r="NYH5"/>
      <c r="NYI5"/>
      <c r="NYJ5"/>
      <c r="NYK5"/>
      <c r="NYL5"/>
      <c r="NYM5"/>
      <c r="NYN5"/>
      <c r="NYO5"/>
      <c r="NYP5"/>
      <c r="NYQ5"/>
      <c r="NYR5"/>
      <c r="NYS5"/>
      <c r="NYT5"/>
      <c r="NYU5"/>
      <c r="NYV5"/>
      <c r="NYW5"/>
      <c r="NYX5"/>
      <c r="NYY5"/>
      <c r="NYZ5"/>
      <c r="NZA5"/>
      <c r="NZB5"/>
      <c r="NZC5"/>
      <c r="NZD5"/>
      <c r="NZE5"/>
      <c r="NZF5"/>
      <c r="NZG5"/>
      <c r="NZH5"/>
      <c r="NZI5"/>
      <c r="NZJ5"/>
      <c r="NZK5"/>
      <c r="NZL5"/>
      <c r="NZM5"/>
      <c r="NZN5"/>
      <c r="NZO5"/>
      <c r="NZP5"/>
      <c r="NZQ5"/>
      <c r="NZR5"/>
      <c r="NZS5"/>
      <c r="NZT5"/>
      <c r="NZU5"/>
      <c r="NZV5"/>
      <c r="NZW5"/>
      <c r="NZX5"/>
      <c r="NZY5"/>
      <c r="NZZ5"/>
      <c r="OAA5"/>
      <c r="OAB5"/>
      <c r="OAC5"/>
      <c r="OAD5"/>
      <c r="OAE5"/>
      <c r="OAF5"/>
      <c r="OAG5"/>
      <c r="OAH5"/>
      <c r="OAI5"/>
      <c r="OAJ5"/>
      <c r="OAK5"/>
      <c r="OAL5"/>
      <c r="OAM5"/>
      <c r="OAN5"/>
      <c r="OAO5"/>
      <c r="OAP5"/>
      <c r="OAQ5"/>
      <c r="OAR5"/>
      <c r="OAS5"/>
      <c r="OAT5"/>
      <c r="OAU5"/>
      <c r="OAV5"/>
      <c r="OAW5"/>
      <c r="OAX5"/>
      <c r="OAY5"/>
      <c r="OAZ5"/>
      <c r="OBA5"/>
      <c r="OBB5"/>
      <c r="OBC5"/>
      <c r="OBD5"/>
      <c r="OBE5"/>
      <c r="OBF5"/>
      <c r="OBG5"/>
      <c r="OBH5"/>
      <c r="OBI5"/>
      <c r="OBJ5"/>
      <c r="OBK5"/>
      <c r="OBL5"/>
      <c r="OBM5"/>
      <c r="OBN5"/>
      <c r="OBO5"/>
      <c r="OBP5"/>
      <c r="OBQ5"/>
      <c r="OBR5"/>
      <c r="OBS5"/>
      <c r="OBT5"/>
      <c r="OBU5"/>
      <c r="OBV5"/>
      <c r="OBW5"/>
      <c r="OBX5"/>
      <c r="OBY5"/>
      <c r="OBZ5"/>
      <c r="OCA5"/>
      <c r="OCB5"/>
      <c r="OCC5"/>
      <c r="OCD5"/>
      <c r="OCE5"/>
      <c r="OCF5"/>
      <c r="OCG5"/>
      <c r="OCH5"/>
      <c r="OCI5"/>
      <c r="OCJ5"/>
      <c r="OCK5"/>
      <c r="OCL5"/>
      <c r="OCM5"/>
      <c r="OCN5"/>
      <c r="OCO5"/>
      <c r="OCP5"/>
      <c r="OCQ5"/>
      <c r="OCR5"/>
      <c r="OCS5"/>
      <c r="OCT5"/>
      <c r="OCU5"/>
      <c r="OCV5"/>
      <c r="OCW5"/>
      <c r="OCX5"/>
      <c r="OCY5"/>
      <c r="OCZ5"/>
      <c r="ODA5"/>
      <c r="ODB5"/>
      <c r="ODC5"/>
      <c r="ODD5"/>
      <c r="ODE5"/>
      <c r="ODF5"/>
      <c r="ODG5"/>
      <c r="ODH5"/>
      <c r="ODI5"/>
      <c r="ODJ5"/>
      <c r="ODK5"/>
      <c r="ODL5"/>
      <c r="ODM5"/>
      <c r="ODN5"/>
      <c r="ODO5"/>
      <c r="ODP5"/>
      <c r="ODQ5"/>
      <c r="ODR5"/>
      <c r="ODS5"/>
      <c r="ODT5"/>
      <c r="ODU5"/>
      <c r="ODV5"/>
      <c r="ODW5"/>
      <c r="ODX5"/>
      <c r="ODY5"/>
      <c r="ODZ5"/>
      <c r="OEA5"/>
      <c r="OEB5"/>
      <c r="OEC5"/>
      <c r="OED5"/>
      <c r="OEE5"/>
      <c r="OEF5"/>
      <c r="OEG5"/>
      <c r="OEH5"/>
      <c r="OEI5"/>
      <c r="OEJ5"/>
      <c r="OEK5"/>
      <c r="OEL5"/>
      <c r="OEM5"/>
      <c r="OEN5"/>
      <c r="OEO5"/>
      <c r="OEP5"/>
      <c r="OEQ5"/>
      <c r="OER5"/>
      <c r="OES5"/>
      <c r="OET5"/>
      <c r="OEU5"/>
      <c r="OEV5"/>
      <c r="OEW5"/>
      <c r="OEX5"/>
      <c r="OEY5"/>
      <c r="OEZ5"/>
      <c r="OFA5"/>
      <c r="OFB5"/>
      <c r="OFC5"/>
      <c r="OFD5"/>
      <c r="OFE5"/>
      <c r="OFF5"/>
      <c r="OFG5"/>
      <c r="OFH5"/>
      <c r="OFI5"/>
      <c r="OFJ5"/>
      <c r="OFK5"/>
      <c r="OFL5"/>
      <c r="OFM5"/>
      <c r="OFN5"/>
      <c r="OFO5"/>
      <c r="OFP5"/>
      <c r="OFQ5"/>
      <c r="OFR5"/>
      <c r="OFS5"/>
      <c r="OFT5"/>
      <c r="OFU5"/>
      <c r="OFV5"/>
      <c r="OFW5"/>
      <c r="OFX5"/>
      <c r="OFY5"/>
      <c r="OFZ5"/>
      <c r="OGA5"/>
      <c r="OGB5"/>
      <c r="OGC5"/>
      <c r="OGD5"/>
      <c r="OGE5"/>
      <c r="OGF5"/>
      <c r="OGG5"/>
      <c r="OGH5"/>
      <c r="OGI5"/>
      <c r="OGJ5"/>
      <c r="OGK5"/>
      <c r="OGL5"/>
      <c r="OGM5"/>
      <c r="OGN5"/>
      <c r="OGO5"/>
      <c r="OGP5"/>
      <c r="OGQ5"/>
      <c r="OGR5"/>
      <c r="OGS5"/>
      <c r="OGT5"/>
      <c r="OGU5"/>
      <c r="OGV5"/>
      <c r="OGW5"/>
      <c r="OGX5"/>
      <c r="OGY5"/>
      <c r="OGZ5"/>
      <c r="OHA5"/>
      <c r="OHB5"/>
      <c r="OHC5"/>
      <c r="OHD5"/>
      <c r="OHE5"/>
      <c r="OHF5"/>
      <c r="OHG5"/>
      <c r="OHH5"/>
      <c r="OHI5"/>
      <c r="OHJ5"/>
      <c r="OHK5"/>
      <c r="OHL5"/>
      <c r="OHM5"/>
      <c r="OHN5"/>
      <c r="OHO5"/>
      <c r="OHP5"/>
      <c r="OHQ5"/>
      <c r="OHR5"/>
      <c r="OHS5"/>
      <c r="OHT5"/>
      <c r="OHU5"/>
      <c r="OHV5"/>
      <c r="OHW5"/>
      <c r="OHX5"/>
      <c r="OHY5"/>
      <c r="OHZ5"/>
      <c r="OIA5"/>
      <c r="OIB5"/>
      <c r="OIC5"/>
      <c r="OID5"/>
      <c r="OIE5"/>
      <c r="OIF5"/>
      <c r="OIG5"/>
      <c r="OIH5"/>
      <c r="OII5"/>
      <c r="OIJ5"/>
      <c r="OIK5"/>
      <c r="OIL5"/>
      <c r="OIM5"/>
      <c r="OIN5"/>
      <c r="OIO5"/>
      <c r="OIP5"/>
      <c r="OIQ5"/>
      <c r="OIR5"/>
      <c r="OIS5"/>
      <c r="OIT5"/>
      <c r="OIU5"/>
      <c r="OIV5"/>
      <c r="OIW5"/>
      <c r="OIX5"/>
      <c r="OIY5"/>
      <c r="OIZ5"/>
      <c r="OJA5"/>
      <c r="OJB5"/>
      <c r="OJC5"/>
      <c r="OJD5"/>
      <c r="OJE5"/>
      <c r="OJF5"/>
      <c r="OJG5"/>
      <c r="OJH5"/>
      <c r="OJI5"/>
      <c r="OJJ5"/>
      <c r="OJK5"/>
      <c r="OJL5"/>
      <c r="OJM5"/>
      <c r="OJN5"/>
      <c r="OJO5"/>
      <c r="OJP5"/>
      <c r="OJQ5"/>
      <c r="OJR5"/>
      <c r="OJS5"/>
      <c r="OJT5"/>
      <c r="OJU5"/>
      <c r="OJV5"/>
      <c r="OJW5"/>
      <c r="OJX5"/>
      <c r="OJY5"/>
      <c r="OJZ5"/>
      <c r="OKA5"/>
      <c r="OKB5"/>
      <c r="OKC5"/>
      <c r="OKD5"/>
      <c r="OKE5"/>
      <c r="OKF5"/>
      <c r="OKG5"/>
      <c r="OKH5"/>
      <c r="OKI5"/>
      <c r="OKJ5"/>
      <c r="OKK5"/>
      <c r="OKL5"/>
      <c r="OKM5"/>
      <c r="OKN5"/>
      <c r="OKO5"/>
      <c r="OKP5"/>
      <c r="OKQ5"/>
      <c r="OKR5"/>
      <c r="OKS5"/>
      <c r="OKT5"/>
      <c r="OKU5"/>
      <c r="OKV5"/>
      <c r="OKW5"/>
      <c r="OKX5"/>
      <c r="OKY5"/>
      <c r="OKZ5"/>
      <c r="OLA5"/>
      <c r="OLB5"/>
      <c r="OLC5"/>
      <c r="OLD5"/>
      <c r="OLE5"/>
      <c r="OLF5"/>
      <c r="OLG5"/>
      <c r="OLH5"/>
      <c r="OLI5"/>
      <c r="OLJ5"/>
      <c r="OLK5"/>
      <c r="OLL5"/>
      <c r="OLM5"/>
      <c r="OLN5"/>
      <c r="OLO5"/>
      <c r="OLP5"/>
      <c r="OLQ5"/>
      <c r="OLR5"/>
      <c r="OLS5"/>
      <c r="OLT5"/>
      <c r="OLU5"/>
      <c r="OLV5"/>
      <c r="OLW5"/>
      <c r="OLX5"/>
      <c r="OLY5"/>
      <c r="OLZ5"/>
      <c r="OMA5"/>
      <c r="OMB5"/>
      <c r="OMC5"/>
      <c r="OMD5"/>
      <c r="OME5"/>
      <c r="OMF5"/>
      <c r="OMG5"/>
      <c r="OMH5"/>
      <c r="OMI5"/>
      <c r="OMJ5"/>
      <c r="OMK5"/>
      <c r="OML5"/>
      <c r="OMM5"/>
      <c r="OMN5"/>
      <c r="OMO5"/>
      <c r="OMP5"/>
      <c r="OMQ5"/>
      <c r="OMR5"/>
      <c r="OMS5"/>
      <c r="OMT5"/>
      <c r="OMU5"/>
      <c r="OMV5"/>
      <c r="OMW5"/>
      <c r="OMX5"/>
      <c r="OMY5"/>
      <c r="OMZ5"/>
      <c r="ONA5"/>
      <c r="ONB5"/>
      <c r="ONC5"/>
      <c r="OND5"/>
      <c r="ONE5"/>
      <c r="ONF5"/>
      <c r="ONG5"/>
      <c r="ONH5"/>
      <c r="ONI5"/>
      <c r="ONJ5"/>
      <c r="ONK5"/>
      <c r="ONL5"/>
      <c r="ONM5"/>
      <c r="ONN5"/>
      <c r="ONO5"/>
      <c r="ONP5"/>
      <c r="ONQ5"/>
      <c r="ONR5"/>
      <c r="ONS5"/>
      <c r="ONT5"/>
      <c r="ONU5"/>
      <c r="ONV5"/>
      <c r="ONW5"/>
      <c r="ONX5"/>
      <c r="ONY5"/>
      <c r="ONZ5"/>
      <c r="OOA5"/>
      <c r="OOB5"/>
      <c r="OOC5"/>
      <c r="OOD5"/>
      <c r="OOE5"/>
      <c r="OOF5"/>
      <c r="OOG5"/>
      <c r="OOH5"/>
      <c r="OOI5"/>
      <c r="OOJ5"/>
      <c r="OOK5"/>
      <c r="OOL5"/>
      <c r="OOM5"/>
      <c r="OON5"/>
      <c r="OOO5"/>
      <c r="OOP5"/>
      <c r="OOQ5"/>
      <c r="OOR5"/>
      <c r="OOS5"/>
      <c r="OOT5"/>
      <c r="OOU5"/>
      <c r="OOV5"/>
      <c r="OOW5"/>
      <c r="OOX5"/>
      <c r="OOY5"/>
      <c r="OOZ5"/>
      <c r="OPA5"/>
      <c r="OPB5"/>
      <c r="OPC5"/>
      <c r="OPD5"/>
      <c r="OPE5"/>
      <c r="OPF5"/>
      <c r="OPG5"/>
      <c r="OPH5"/>
      <c r="OPI5"/>
      <c r="OPJ5"/>
      <c r="OPK5"/>
      <c r="OPL5"/>
      <c r="OPM5"/>
      <c r="OPN5"/>
      <c r="OPO5"/>
      <c r="OPP5"/>
      <c r="OPQ5"/>
      <c r="OPR5"/>
      <c r="OPS5"/>
      <c r="OPT5"/>
      <c r="OPU5"/>
      <c r="OPV5"/>
      <c r="OPW5"/>
      <c r="OPX5"/>
      <c r="OPY5"/>
      <c r="OPZ5"/>
      <c r="OQA5"/>
      <c r="OQB5"/>
      <c r="OQC5"/>
      <c r="OQD5"/>
      <c r="OQE5"/>
      <c r="OQF5"/>
      <c r="OQG5"/>
      <c r="OQH5"/>
      <c r="OQI5"/>
      <c r="OQJ5"/>
      <c r="OQK5"/>
      <c r="OQL5"/>
      <c r="OQM5"/>
      <c r="OQN5"/>
      <c r="OQO5"/>
      <c r="OQP5"/>
      <c r="OQQ5"/>
      <c r="OQR5"/>
      <c r="OQS5"/>
      <c r="OQT5"/>
      <c r="OQU5"/>
      <c r="OQV5"/>
      <c r="OQW5"/>
      <c r="OQX5"/>
      <c r="OQY5"/>
      <c r="OQZ5"/>
      <c r="ORA5"/>
      <c r="ORB5"/>
      <c r="ORC5"/>
      <c r="ORD5"/>
      <c r="ORE5"/>
      <c r="ORF5"/>
      <c r="ORG5"/>
      <c r="ORH5"/>
      <c r="ORI5"/>
      <c r="ORJ5"/>
      <c r="ORK5"/>
      <c r="ORL5"/>
      <c r="ORM5"/>
      <c r="ORN5"/>
      <c r="ORO5"/>
      <c r="ORP5"/>
      <c r="ORQ5"/>
      <c r="ORR5"/>
      <c r="ORS5"/>
      <c r="ORT5"/>
      <c r="ORU5"/>
      <c r="ORV5"/>
      <c r="ORW5"/>
      <c r="ORX5"/>
      <c r="ORY5"/>
      <c r="ORZ5"/>
      <c r="OSA5"/>
      <c r="OSB5"/>
      <c r="OSC5"/>
      <c r="OSD5"/>
      <c r="OSE5"/>
      <c r="OSF5"/>
      <c r="OSG5"/>
      <c r="OSH5"/>
      <c r="OSI5"/>
      <c r="OSJ5"/>
      <c r="OSK5"/>
      <c r="OSL5"/>
      <c r="OSM5"/>
      <c r="OSN5"/>
      <c r="OSO5"/>
      <c r="OSP5"/>
      <c r="OSQ5"/>
      <c r="OSR5"/>
      <c r="OSS5"/>
      <c r="OST5"/>
      <c r="OSU5"/>
      <c r="OSV5"/>
      <c r="OSW5"/>
      <c r="OSX5"/>
      <c r="OSY5"/>
      <c r="OSZ5"/>
      <c r="OTA5"/>
      <c r="OTB5"/>
      <c r="OTC5"/>
      <c r="OTD5"/>
      <c r="OTE5"/>
      <c r="OTF5"/>
      <c r="OTG5"/>
      <c r="OTH5"/>
      <c r="OTI5"/>
      <c r="OTJ5"/>
      <c r="OTK5"/>
      <c r="OTL5"/>
      <c r="OTM5"/>
      <c r="OTN5"/>
      <c r="OTO5"/>
      <c r="OTP5"/>
      <c r="OTQ5"/>
      <c r="OTR5"/>
      <c r="OTS5"/>
      <c r="OTT5"/>
      <c r="OTU5"/>
      <c r="OTV5"/>
      <c r="OTW5"/>
      <c r="OTX5"/>
      <c r="OTY5"/>
      <c r="OTZ5"/>
      <c r="OUA5"/>
      <c r="OUB5"/>
      <c r="OUC5"/>
      <c r="OUD5"/>
      <c r="OUE5"/>
      <c r="OUF5"/>
      <c r="OUG5"/>
      <c r="OUH5"/>
      <c r="OUI5"/>
      <c r="OUJ5"/>
      <c r="OUK5"/>
      <c r="OUL5"/>
      <c r="OUM5"/>
      <c r="OUN5"/>
      <c r="OUO5"/>
      <c r="OUP5"/>
      <c r="OUQ5"/>
      <c r="OUR5"/>
      <c r="OUS5"/>
      <c r="OUT5"/>
      <c r="OUU5"/>
      <c r="OUV5"/>
      <c r="OUW5"/>
      <c r="OUX5"/>
      <c r="OUY5"/>
      <c r="OUZ5"/>
      <c r="OVA5"/>
      <c r="OVB5"/>
      <c r="OVC5"/>
      <c r="OVD5"/>
      <c r="OVE5"/>
      <c r="OVF5"/>
      <c r="OVG5"/>
      <c r="OVH5"/>
      <c r="OVI5"/>
      <c r="OVJ5"/>
      <c r="OVK5"/>
      <c r="OVL5"/>
      <c r="OVM5"/>
      <c r="OVN5"/>
      <c r="OVO5"/>
      <c r="OVP5"/>
      <c r="OVQ5"/>
      <c r="OVR5"/>
      <c r="OVS5"/>
      <c r="OVT5"/>
      <c r="OVU5"/>
      <c r="OVV5"/>
      <c r="OVW5"/>
      <c r="OVX5"/>
      <c r="OVY5"/>
      <c r="OVZ5"/>
      <c r="OWA5"/>
      <c r="OWB5"/>
      <c r="OWC5"/>
      <c r="OWD5"/>
      <c r="OWE5"/>
      <c r="OWF5"/>
      <c r="OWG5"/>
      <c r="OWH5"/>
      <c r="OWI5"/>
      <c r="OWJ5"/>
      <c r="OWK5"/>
      <c r="OWL5"/>
      <c r="OWM5"/>
      <c r="OWN5"/>
      <c r="OWO5"/>
      <c r="OWP5"/>
      <c r="OWQ5"/>
      <c r="OWR5"/>
      <c r="OWS5"/>
      <c r="OWT5"/>
      <c r="OWU5"/>
      <c r="OWV5"/>
      <c r="OWW5"/>
      <c r="OWX5"/>
      <c r="OWY5"/>
      <c r="OWZ5"/>
      <c r="OXA5"/>
      <c r="OXB5"/>
      <c r="OXC5"/>
      <c r="OXD5"/>
      <c r="OXE5"/>
      <c r="OXF5"/>
      <c r="OXG5"/>
      <c r="OXH5"/>
      <c r="OXI5"/>
      <c r="OXJ5"/>
      <c r="OXK5"/>
      <c r="OXL5"/>
      <c r="OXM5"/>
      <c r="OXN5"/>
      <c r="OXO5"/>
      <c r="OXP5"/>
      <c r="OXQ5"/>
      <c r="OXR5"/>
      <c r="OXS5"/>
      <c r="OXT5"/>
      <c r="OXU5"/>
      <c r="OXV5"/>
      <c r="OXW5"/>
      <c r="OXX5"/>
      <c r="OXY5"/>
      <c r="OXZ5"/>
      <c r="OYA5"/>
      <c r="OYB5"/>
      <c r="OYC5"/>
      <c r="OYD5"/>
      <c r="OYE5"/>
      <c r="OYF5"/>
      <c r="OYG5"/>
      <c r="OYH5"/>
      <c r="OYI5"/>
      <c r="OYJ5"/>
      <c r="OYK5"/>
      <c r="OYL5"/>
      <c r="OYM5"/>
      <c r="OYN5"/>
      <c r="OYO5"/>
      <c r="OYP5"/>
      <c r="OYQ5"/>
      <c r="OYR5"/>
      <c r="OYS5"/>
      <c r="OYT5"/>
      <c r="OYU5"/>
      <c r="OYV5"/>
      <c r="OYW5"/>
      <c r="OYX5"/>
      <c r="OYY5"/>
      <c r="OYZ5"/>
      <c r="OZA5"/>
      <c r="OZB5"/>
      <c r="OZC5"/>
      <c r="OZD5"/>
      <c r="OZE5"/>
      <c r="OZF5"/>
      <c r="OZG5"/>
      <c r="OZH5"/>
      <c r="OZI5"/>
      <c r="OZJ5"/>
      <c r="OZK5"/>
      <c r="OZL5"/>
      <c r="OZM5"/>
      <c r="OZN5"/>
      <c r="OZO5"/>
      <c r="OZP5"/>
      <c r="OZQ5"/>
      <c r="OZR5"/>
      <c r="OZS5"/>
      <c r="OZT5"/>
      <c r="OZU5"/>
      <c r="OZV5"/>
      <c r="OZW5"/>
      <c r="OZX5"/>
      <c r="OZY5"/>
      <c r="OZZ5"/>
      <c r="PAA5"/>
      <c r="PAB5"/>
      <c r="PAC5"/>
      <c r="PAD5"/>
      <c r="PAE5"/>
      <c r="PAF5"/>
      <c r="PAG5"/>
      <c r="PAH5"/>
      <c r="PAI5"/>
      <c r="PAJ5"/>
      <c r="PAK5"/>
      <c r="PAL5"/>
      <c r="PAM5"/>
      <c r="PAN5"/>
      <c r="PAO5"/>
      <c r="PAP5"/>
      <c r="PAQ5"/>
      <c r="PAR5"/>
      <c r="PAS5"/>
      <c r="PAT5"/>
      <c r="PAU5"/>
      <c r="PAV5"/>
      <c r="PAW5"/>
      <c r="PAX5"/>
      <c r="PAY5"/>
      <c r="PAZ5"/>
      <c r="PBA5"/>
      <c r="PBB5"/>
      <c r="PBC5"/>
      <c r="PBD5"/>
      <c r="PBE5"/>
      <c r="PBF5"/>
      <c r="PBG5"/>
      <c r="PBH5"/>
      <c r="PBI5"/>
      <c r="PBJ5"/>
      <c r="PBK5"/>
      <c r="PBL5"/>
      <c r="PBM5"/>
      <c r="PBN5"/>
      <c r="PBO5"/>
      <c r="PBP5"/>
      <c r="PBQ5"/>
      <c r="PBR5"/>
      <c r="PBS5"/>
      <c r="PBT5"/>
      <c r="PBU5"/>
      <c r="PBV5"/>
      <c r="PBW5"/>
      <c r="PBX5"/>
      <c r="PBY5"/>
      <c r="PBZ5"/>
      <c r="PCA5"/>
      <c r="PCB5"/>
      <c r="PCC5"/>
      <c r="PCD5"/>
      <c r="PCE5"/>
      <c r="PCF5"/>
      <c r="PCG5"/>
      <c r="PCH5"/>
      <c r="PCI5"/>
      <c r="PCJ5"/>
      <c r="PCK5"/>
      <c r="PCL5"/>
      <c r="PCM5"/>
      <c r="PCN5"/>
      <c r="PCO5"/>
      <c r="PCP5"/>
      <c r="PCQ5"/>
      <c r="PCR5"/>
      <c r="PCS5"/>
      <c r="PCT5"/>
      <c r="PCU5"/>
      <c r="PCV5"/>
      <c r="PCW5"/>
      <c r="PCX5"/>
      <c r="PCY5"/>
      <c r="PCZ5"/>
      <c r="PDA5"/>
      <c r="PDB5"/>
      <c r="PDC5"/>
      <c r="PDD5"/>
      <c r="PDE5"/>
      <c r="PDF5"/>
      <c r="PDG5"/>
      <c r="PDH5"/>
      <c r="PDI5"/>
      <c r="PDJ5"/>
      <c r="PDK5"/>
      <c r="PDL5"/>
      <c r="PDM5"/>
      <c r="PDN5"/>
      <c r="PDO5"/>
      <c r="PDP5"/>
      <c r="PDQ5"/>
      <c r="PDR5"/>
      <c r="PDS5"/>
      <c r="PDT5"/>
      <c r="PDU5"/>
      <c r="PDV5"/>
      <c r="PDW5"/>
      <c r="PDX5"/>
      <c r="PDY5"/>
      <c r="PDZ5"/>
      <c r="PEA5"/>
      <c r="PEB5"/>
      <c r="PEC5"/>
      <c r="PED5"/>
      <c r="PEE5"/>
      <c r="PEF5"/>
      <c r="PEG5"/>
      <c r="PEH5"/>
      <c r="PEI5"/>
      <c r="PEJ5"/>
      <c r="PEK5"/>
      <c r="PEL5"/>
      <c r="PEM5"/>
      <c r="PEN5"/>
      <c r="PEO5"/>
      <c r="PEP5"/>
      <c r="PEQ5"/>
      <c r="PER5"/>
      <c r="PES5"/>
      <c r="PET5"/>
      <c r="PEU5"/>
      <c r="PEV5"/>
      <c r="PEW5"/>
      <c r="PEX5"/>
      <c r="PEY5"/>
      <c r="PEZ5"/>
      <c r="PFA5"/>
      <c r="PFB5"/>
      <c r="PFC5"/>
      <c r="PFD5"/>
      <c r="PFE5"/>
      <c r="PFF5"/>
      <c r="PFG5"/>
      <c r="PFH5"/>
      <c r="PFI5"/>
      <c r="PFJ5"/>
      <c r="PFK5"/>
      <c r="PFL5"/>
      <c r="PFM5"/>
      <c r="PFN5"/>
      <c r="PFO5"/>
      <c r="PFP5"/>
      <c r="PFQ5"/>
      <c r="PFR5"/>
      <c r="PFS5"/>
      <c r="PFT5"/>
      <c r="PFU5"/>
      <c r="PFV5"/>
      <c r="PFW5"/>
      <c r="PFX5"/>
      <c r="PFY5"/>
      <c r="PFZ5"/>
      <c r="PGA5"/>
      <c r="PGB5"/>
      <c r="PGC5"/>
      <c r="PGD5"/>
      <c r="PGE5"/>
      <c r="PGF5"/>
      <c r="PGG5"/>
      <c r="PGH5"/>
      <c r="PGI5"/>
      <c r="PGJ5"/>
      <c r="PGK5"/>
      <c r="PGL5"/>
      <c r="PGM5"/>
      <c r="PGN5"/>
      <c r="PGO5"/>
      <c r="PGP5"/>
      <c r="PGQ5"/>
      <c r="PGR5"/>
      <c r="PGS5"/>
      <c r="PGT5"/>
      <c r="PGU5"/>
      <c r="PGV5"/>
      <c r="PGW5"/>
      <c r="PGX5"/>
      <c r="PGY5"/>
      <c r="PGZ5"/>
      <c r="PHA5"/>
      <c r="PHB5"/>
      <c r="PHC5"/>
      <c r="PHD5"/>
      <c r="PHE5"/>
      <c r="PHF5"/>
      <c r="PHG5"/>
      <c r="PHH5"/>
      <c r="PHI5"/>
      <c r="PHJ5"/>
      <c r="PHK5"/>
      <c r="PHL5"/>
      <c r="PHM5"/>
      <c r="PHN5"/>
      <c r="PHO5"/>
      <c r="PHP5"/>
      <c r="PHQ5"/>
      <c r="PHR5"/>
      <c r="PHS5"/>
      <c r="PHT5"/>
      <c r="PHU5"/>
      <c r="PHV5"/>
      <c r="PHW5"/>
      <c r="PHX5"/>
      <c r="PHY5"/>
      <c r="PHZ5"/>
      <c r="PIA5"/>
      <c r="PIB5"/>
      <c r="PIC5"/>
      <c r="PID5"/>
      <c r="PIE5"/>
      <c r="PIF5"/>
      <c r="PIG5"/>
      <c r="PIH5"/>
      <c r="PII5"/>
      <c r="PIJ5"/>
      <c r="PIK5"/>
      <c r="PIL5"/>
      <c r="PIM5"/>
      <c r="PIN5"/>
      <c r="PIO5"/>
      <c r="PIP5"/>
      <c r="PIQ5"/>
      <c r="PIR5"/>
      <c r="PIS5"/>
      <c r="PIT5"/>
      <c r="PIU5"/>
      <c r="PIV5"/>
      <c r="PIW5"/>
      <c r="PIX5"/>
      <c r="PIY5"/>
      <c r="PIZ5"/>
      <c r="PJA5"/>
      <c r="PJB5"/>
      <c r="PJC5"/>
      <c r="PJD5"/>
      <c r="PJE5"/>
      <c r="PJF5"/>
      <c r="PJG5"/>
      <c r="PJH5"/>
      <c r="PJI5"/>
      <c r="PJJ5"/>
      <c r="PJK5"/>
      <c r="PJL5"/>
      <c r="PJM5"/>
      <c r="PJN5"/>
      <c r="PJO5"/>
      <c r="PJP5"/>
      <c r="PJQ5"/>
      <c r="PJR5"/>
      <c r="PJS5"/>
      <c r="PJT5"/>
      <c r="PJU5"/>
      <c r="PJV5"/>
      <c r="PJW5"/>
      <c r="PJX5"/>
      <c r="PJY5"/>
      <c r="PJZ5"/>
      <c r="PKA5"/>
      <c r="PKB5"/>
      <c r="PKC5"/>
      <c r="PKD5"/>
      <c r="PKE5"/>
      <c r="PKF5"/>
      <c r="PKG5"/>
      <c r="PKH5"/>
      <c r="PKI5"/>
      <c r="PKJ5"/>
      <c r="PKK5"/>
      <c r="PKL5"/>
      <c r="PKM5"/>
      <c r="PKN5"/>
      <c r="PKO5"/>
      <c r="PKP5"/>
      <c r="PKQ5"/>
      <c r="PKR5"/>
      <c r="PKS5"/>
      <c r="PKT5"/>
      <c r="PKU5"/>
      <c r="PKV5"/>
      <c r="PKW5"/>
      <c r="PKX5"/>
      <c r="PKY5"/>
      <c r="PKZ5"/>
      <c r="PLA5"/>
      <c r="PLB5"/>
      <c r="PLC5"/>
      <c r="PLD5"/>
      <c r="PLE5"/>
      <c r="PLF5"/>
      <c r="PLG5"/>
      <c r="PLH5"/>
      <c r="PLI5"/>
      <c r="PLJ5"/>
      <c r="PLK5"/>
      <c r="PLL5"/>
      <c r="PLM5"/>
      <c r="PLN5"/>
      <c r="PLO5"/>
      <c r="PLP5"/>
      <c r="PLQ5"/>
      <c r="PLR5"/>
      <c r="PLS5"/>
      <c r="PLT5"/>
      <c r="PLU5"/>
      <c r="PLV5"/>
      <c r="PLW5"/>
      <c r="PLX5"/>
      <c r="PLY5"/>
      <c r="PLZ5"/>
      <c r="PMA5"/>
      <c r="PMB5"/>
      <c r="PMC5"/>
      <c r="PMD5"/>
      <c r="PME5"/>
      <c r="PMF5"/>
      <c r="PMG5"/>
      <c r="PMH5"/>
      <c r="PMI5"/>
      <c r="PMJ5"/>
      <c r="PMK5"/>
      <c r="PML5"/>
      <c r="PMM5"/>
      <c r="PMN5"/>
      <c r="PMO5"/>
      <c r="PMP5"/>
      <c r="PMQ5"/>
      <c r="PMR5"/>
      <c r="PMS5"/>
      <c r="PMT5"/>
      <c r="PMU5"/>
      <c r="PMV5"/>
      <c r="PMW5"/>
      <c r="PMX5"/>
      <c r="PMY5"/>
      <c r="PMZ5"/>
      <c r="PNA5"/>
      <c r="PNB5"/>
      <c r="PNC5"/>
      <c r="PND5"/>
      <c r="PNE5"/>
      <c r="PNF5"/>
      <c r="PNG5"/>
      <c r="PNH5"/>
      <c r="PNI5"/>
      <c r="PNJ5"/>
      <c r="PNK5"/>
      <c r="PNL5"/>
      <c r="PNM5"/>
      <c r="PNN5"/>
      <c r="PNO5"/>
      <c r="PNP5"/>
      <c r="PNQ5"/>
      <c r="PNR5"/>
      <c r="PNS5"/>
      <c r="PNT5"/>
      <c r="PNU5"/>
      <c r="PNV5"/>
      <c r="PNW5"/>
      <c r="PNX5"/>
      <c r="PNY5"/>
      <c r="PNZ5"/>
      <c r="POA5"/>
      <c r="POB5"/>
      <c r="POC5"/>
      <c r="POD5"/>
      <c r="POE5"/>
      <c r="POF5"/>
      <c r="POG5"/>
      <c r="POH5"/>
      <c r="POI5"/>
      <c r="POJ5"/>
      <c r="POK5"/>
      <c r="POL5"/>
      <c r="POM5"/>
      <c r="PON5"/>
      <c r="POO5"/>
      <c r="POP5"/>
      <c r="POQ5"/>
      <c r="POR5"/>
      <c r="POS5"/>
      <c r="POT5"/>
      <c r="POU5"/>
      <c r="POV5"/>
      <c r="POW5"/>
      <c r="POX5"/>
      <c r="POY5"/>
      <c r="POZ5"/>
      <c r="PPA5"/>
      <c r="PPB5"/>
      <c r="PPC5"/>
      <c r="PPD5"/>
      <c r="PPE5"/>
      <c r="PPF5"/>
      <c r="PPG5"/>
      <c r="PPH5"/>
      <c r="PPI5"/>
      <c r="PPJ5"/>
      <c r="PPK5"/>
      <c r="PPL5"/>
      <c r="PPM5"/>
      <c r="PPN5"/>
      <c r="PPO5"/>
      <c r="PPP5"/>
      <c r="PPQ5"/>
      <c r="PPR5"/>
      <c r="PPS5"/>
      <c r="PPT5"/>
      <c r="PPU5"/>
      <c r="PPV5"/>
      <c r="PPW5"/>
      <c r="PPX5"/>
      <c r="PPY5"/>
      <c r="PPZ5"/>
      <c r="PQA5"/>
      <c r="PQB5"/>
      <c r="PQC5"/>
      <c r="PQD5"/>
      <c r="PQE5"/>
      <c r="PQF5"/>
      <c r="PQG5"/>
      <c r="PQH5"/>
      <c r="PQI5"/>
      <c r="PQJ5"/>
      <c r="PQK5"/>
      <c r="PQL5"/>
      <c r="PQM5"/>
      <c r="PQN5"/>
      <c r="PQO5"/>
      <c r="PQP5"/>
      <c r="PQQ5"/>
      <c r="PQR5"/>
      <c r="PQS5"/>
      <c r="PQT5"/>
      <c r="PQU5"/>
      <c r="PQV5"/>
      <c r="PQW5"/>
      <c r="PQX5"/>
      <c r="PQY5"/>
      <c r="PQZ5"/>
      <c r="PRA5"/>
      <c r="PRB5"/>
      <c r="PRC5"/>
      <c r="PRD5"/>
      <c r="PRE5"/>
      <c r="PRF5"/>
      <c r="PRG5"/>
      <c r="PRH5"/>
      <c r="PRI5"/>
      <c r="PRJ5"/>
      <c r="PRK5"/>
      <c r="PRL5"/>
      <c r="PRM5"/>
      <c r="PRN5"/>
      <c r="PRO5"/>
      <c r="PRP5"/>
      <c r="PRQ5"/>
      <c r="PRR5"/>
      <c r="PRS5"/>
      <c r="PRT5"/>
      <c r="PRU5"/>
      <c r="PRV5"/>
      <c r="PRW5"/>
      <c r="PRX5"/>
      <c r="PRY5"/>
      <c r="PRZ5"/>
      <c r="PSA5"/>
      <c r="PSB5"/>
      <c r="PSC5"/>
      <c r="PSD5"/>
      <c r="PSE5"/>
      <c r="PSF5"/>
      <c r="PSG5"/>
      <c r="PSH5"/>
      <c r="PSI5"/>
      <c r="PSJ5"/>
      <c r="PSK5"/>
      <c r="PSL5"/>
      <c r="PSM5"/>
      <c r="PSN5"/>
      <c r="PSO5"/>
      <c r="PSP5"/>
      <c r="PSQ5"/>
      <c r="PSR5"/>
      <c r="PSS5"/>
      <c r="PST5"/>
      <c r="PSU5"/>
      <c r="PSV5"/>
      <c r="PSW5"/>
      <c r="PSX5"/>
      <c r="PSY5"/>
      <c r="PSZ5"/>
      <c r="PTA5"/>
      <c r="PTB5"/>
      <c r="PTC5"/>
      <c r="PTD5"/>
      <c r="PTE5"/>
      <c r="PTF5"/>
      <c r="PTG5"/>
      <c r="PTH5"/>
      <c r="PTI5"/>
      <c r="PTJ5"/>
      <c r="PTK5"/>
      <c r="PTL5"/>
      <c r="PTM5"/>
      <c r="PTN5"/>
      <c r="PTO5"/>
      <c r="PTP5"/>
      <c r="PTQ5"/>
      <c r="PTR5"/>
      <c r="PTS5"/>
      <c r="PTT5"/>
      <c r="PTU5"/>
      <c r="PTV5"/>
      <c r="PTW5"/>
      <c r="PTX5"/>
      <c r="PTY5"/>
      <c r="PTZ5"/>
      <c r="PUA5"/>
      <c r="PUB5"/>
      <c r="PUC5"/>
      <c r="PUD5"/>
      <c r="PUE5"/>
      <c r="PUF5"/>
      <c r="PUG5"/>
      <c r="PUH5"/>
      <c r="PUI5"/>
      <c r="PUJ5"/>
      <c r="PUK5"/>
      <c r="PUL5"/>
      <c r="PUM5"/>
      <c r="PUN5"/>
      <c r="PUO5"/>
      <c r="PUP5"/>
      <c r="PUQ5"/>
      <c r="PUR5"/>
      <c r="PUS5"/>
      <c r="PUT5"/>
      <c r="PUU5"/>
      <c r="PUV5"/>
      <c r="PUW5"/>
      <c r="PUX5"/>
      <c r="PUY5"/>
      <c r="PUZ5"/>
      <c r="PVA5"/>
      <c r="PVB5"/>
      <c r="PVC5"/>
      <c r="PVD5"/>
      <c r="PVE5"/>
      <c r="PVF5"/>
      <c r="PVG5"/>
      <c r="PVH5"/>
      <c r="PVI5"/>
      <c r="PVJ5"/>
      <c r="PVK5"/>
      <c r="PVL5"/>
      <c r="PVM5"/>
      <c r="PVN5"/>
      <c r="PVO5"/>
      <c r="PVP5"/>
      <c r="PVQ5"/>
      <c r="PVR5"/>
      <c r="PVS5"/>
      <c r="PVT5"/>
      <c r="PVU5"/>
      <c r="PVV5"/>
      <c r="PVW5"/>
      <c r="PVX5"/>
      <c r="PVY5"/>
      <c r="PVZ5"/>
      <c r="PWA5"/>
      <c r="PWB5"/>
      <c r="PWC5"/>
      <c r="PWD5"/>
      <c r="PWE5"/>
      <c r="PWF5"/>
      <c r="PWG5"/>
      <c r="PWH5"/>
      <c r="PWI5"/>
      <c r="PWJ5"/>
      <c r="PWK5"/>
      <c r="PWL5"/>
      <c r="PWM5"/>
      <c r="PWN5"/>
      <c r="PWO5"/>
      <c r="PWP5"/>
      <c r="PWQ5"/>
      <c r="PWR5"/>
      <c r="PWS5"/>
      <c r="PWT5"/>
      <c r="PWU5"/>
      <c r="PWV5"/>
      <c r="PWW5"/>
      <c r="PWX5"/>
      <c r="PWY5"/>
      <c r="PWZ5"/>
      <c r="PXA5"/>
      <c r="PXB5"/>
      <c r="PXC5"/>
      <c r="PXD5"/>
      <c r="PXE5"/>
      <c r="PXF5"/>
      <c r="PXG5"/>
      <c r="PXH5"/>
      <c r="PXI5"/>
      <c r="PXJ5"/>
      <c r="PXK5"/>
      <c r="PXL5"/>
      <c r="PXM5"/>
      <c r="PXN5"/>
      <c r="PXO5"/>
      <c r="PXP5"/>
      <c r="PXQ5"/>
      <c r="PXR5"/>
      <c r="PXS5"/>
      <c r="PXT5"/>
      <c r="PXU5"/>
      <c r="PXV5"/>
      <c r="PXW5"/>
      <c r="PXX5"/>
      <c r="PXY5"/>
      <c r="PXZ5"/>
      <c r="PYA5"/>
      <c r="PYB5"/>
      <c r="PYC5"/>
      <c r="PYD5"/>
      <c r="PYE5"/>
      <c r="PYF5"/>
      <c r="PYG5"/>
      <c r="PYH5"/>
      <c r="PYI5"/>
      <c r="PYJ5"/>
      <c r="PYK5"/>
      <c r="PYL5"/>
      <c r="PYM5"/>
      <c r="PYN5"/>
      <c r="PYO5"/>
      <c r="PYP5"/>
      <c r="PYQ5"/>
      <c r="PYR5"/>
      <c r="PYS5"/>
      <c r="PYT5"/>
      <c r="PYU5"/>
      <c r="PYV5"/>
      <c r="PYW5"/>
      <c r="PYX5"/>
      <c r="PYY5"/>
      <c r="PYZ5"/>
      <c r="PZA5"/>
      <c r="PZB5"/>
      <c r="PZC5"/>
      <c r="PZD5"/>
      <c r="PZE5"/>
      <c r="PZF5"/>
      <c r="PZG5"/>
      <c r="PZH5"/>
      <c r="PZI5"/>
      <c r="PZJ5"/>
      <c r="PZK5"/>
      <c r="PZL5"/>
      <c r="PZM5"/>
      <c r="PZN5"/>
      <c r="PZO5"/>
      <c r="PZP5"/>
      <c r="PZQ5"/>
      <c r="PZR5"/>
      <c r="PZS5"/>
      <c r="PZT5"/>
      <c r="PZU5"/>
      <c r="PZV5"/>
      <c r="PZW5"/>
      <c r="PZX5"/>
      <c r="PZY5"/>
      <c r="PZZ5"/>
      <c r="QAA5"/>
      <c r="QAB5"/>
      <c r="QAC5"/>
      <c r="QAD5"/>
      <c r="QAE5"/>
      <c r="QAF5"/>
      <c r="QAG5"/>
      <c r="QAH5"/>
      <c r="QAI5"/>
      <c r="QAJ5"/>
      <c r="QAK5"/>
      <c r="QAL5"/>
      <c r="QAM5"/>
      <c r="QAN5"/>
      <c r="QAO5"/>
      <c r="QAP5"/>
      <c r="QAQ5"/>
      <c r="QAR5"/>
      <c r="QAS5"/>
      <c r="QAT5"/>
      <c r="QAU5"/>
      <c r="QAV5"/>
      <c r="QAW5"/>
      <c r="QAX5"/>
      <c r="QAY5"/>
      <c r="QAZ5"/>
      <c r="QBA5"/>
      <c r="QBB5"/>
      <c r="QBC5"/>
      <c r="QBD5"/>
      <c r="QBE5"/>
      <c r="QBF5"/>
      <c r="QBG5"/>
      <c r="QBH5"/>
      <c r="QBI5"/>
      <c r="QBJ5"/>
      <c r="QBK5"/>
      <c r="QBL5"/>
      <c r="QBM5"/>
      <c r="QBN5"/>
      <c r="QBO5"/>
      <c r="QBP5"/>
      <c r="QBQ5"/>
      <c r="QBR5"/>
      <c r="QBS5"/>
      <c r="QBT5"/>
      <c r="QBU5"/>
      <c r="QBV5"/>
      <c r="QBW5"/>
      <c r="QBX5"/>
      <c r="QBY5"/>
      <c r="QBZ5"/>
      <c r="QCA5"/>
      <c r="QCB5"/>
      <c r="QCC5"/>
      <c r="QCD5"/>
      <c r="QCE5"/>
      <c r="QCF5"/>
      <c r="QCG5"/>
      <c r="QCH5"/>
      <c r="QCI5"/>
      <c r="QCJ5"/>
      <c r="QCK5"/>
      <c r="QCL5"/>
      <c r="QCM5"/>
      <c r="QCN5"/>
      <c r="QCO5"/>
      <c r="QCP5"/>
      <c r="QCQ5"/>
      <c r="QCR5"/>
      <c r="QCS5"/>
      <c r="QCT5"/>
      <c r="QCU5"/>
      <c r="QCV5"/>
      <c r="QCW5"/>
      <c r="QCX5"/>
      <c r="QCY5"/>
      <c r="QCZ5"/>
      <c r="QDA5"/>
      <c r="QDB5"/>
      <c r="QDC5"/>
      <c r="QDD5"/>
      <c r="QDE5"/>
      <c r="QDF5"/>
      <c r="QDG5"/>
      <c r="QDH5"/>
      <c r="QDI5"/>
      <c r="QDJ5"/>
      <c r="QDK5"/>
      <c r="QDL5"/>
      <c r="QDM5"/>
      <c r="QDN5"/>
      <c r="QDO5"/>
      <c r="QDP5"/>
      <c r="QDQ5"/>
      <c r="QDR5"/>
      <c r="QDS5"/>
      <c r="QDT5"/>
      <c r="QDU5"/>
      <c r="QDV5"/>
      <c r="QDW5"/>
      <c r="QDX5"/>
      <c r="QDY5"/>
      <c r="QDZ5"/>
      <c r="QEA5"/>
      <c r="QEB5"/>
      <c r="QEC5"/>
      <c r="QED5"/>
      <c r="QEE5"/>
      <c r="QEF5"/>
      <c r="QEG5"/>
      <c r="QEH5"/>
      <c r="QEI5"/>
      <c r="QEJ5"/>
      <c r="QEK5"/>
      <c r="QEL5"/>
      <c r="QEM5"/>
      <c r="QEN5"/>
      <c r="QEO5"/>
      <c r="QEP5"/>
      <c r="QEQ5"/>
      <c r="QER5"/>
      <c r="QES5"/>
      <c r="QET5"/>
      <c r="QEU5"/>
      <c r="QEV5"/>
      <c r="QEW5"/>
      <c r="QEX5"/>
      <c r="QEY5"/>
      <c r="QEZ5"/>
      <c r="QFA5"/>
      <c r="QFB5"/>
      <c r="QFC5"/>
      <c r="QFD5"/>
      <c r="QFE5"/>
      <c r="QFF5"/>
      <c r="QFG5"/>
      <c r="QFH5"/>
      <c r="QFI5"/>
      <c r="QFJ5"/>
      <c r="QFK5"/>
      <c r="QFL5"/>
      <c r="QFM5"/>
      <c r="QFN5"/>
      <c r="QFO5"/>
      <c r="QFP5"/>
      <c r="QFQ5"/>
      <c r="QFR5"/>
      <c r="QFS5"/>
      <c r="QFT5"/>
      <c r="QFU5"/>
      <c r="QFV5"/>
      <c r="QFW5"/>
      <c r="QFX5"/>
      <c r="QFY5"/>
      <c r="QFZ5"/>
      <c r="QGA5"/>
      <c r="QGB5"/>
      <c r="QGC5"/>
      <c r="QGD5"/>
      <c r="QGE5"/>
      <c r="QGF5"/>
      <c r="QGG5"/>
      <c r="QGH5"/>
      <c r="QGI5"/>
      <c r="QGJ5"/>
      <c r="QGK5"/>
      <c r="QGL5"/>
      <c r="QGM5"/>
      <c r="QGN5"/>
      <c r="QGO5"/>
      <c r="QGP5"/>
      <c r="QGQ5"/>
      <c r="QGR5"/>
      <c r="QGS5"/>
      <c r="QGT5"/>
      <c r="QGU5"/>
      <c r="QGV5"/>
      <c r="QGW5"/>
      <c r="QGX5"/>
      <c r="QGY5"/>
      <c r="QGZ5"/>
      <c r="QHA5"/>
      <c r="QHB5"/>
      <c r="QHC5"/>
      <c r="QHD5"/>
      <c r="QHE5"/>
      <c r="QHF5"/>
      <c r="QHG5"/>
      <c r="QHH5"/>
      <c r="QHI5"/>
      <c r="QHJ5"/>
      <c r="QHK5"/>
      <c r="QHL5"/>
      <c r="QHM5"/>
      <c r="QHN5"/>
      <c r="QHO5"/>
      <c r="QHP5"/>
      <c r="QHQ5"/>
      <c r="QHR5"/>
      <c r="QHS5"/>
      <c r="QHT5"/>
      <c r="QHU5"/>
      <c r="QHV5"/>
      <c r="QHW5"/>
      <c r="QHX5"/>
      <c r="QHY5"/>
      <c r="QHZ5"/>
      <c r="QIA5"/>
      <c r="QIB5"/>
      <c r="QIC5"/>
      <c r="QID5"/>
      <c r="QIE5"/>
      <c r="QIF5"/>
      <c r="QIG5"/>
      <c r="QIH5"/>
      <c r="QII5"/>
      <c r="QIJ5"/>
      <c r="QIK5"/>
      <c r="QIL5"/>
      <c r="QIM5"/>
      <c r="QIN5"/>
      <c r="QIO5"/>
      <c r="QIP5"/>
      <c r="QIQ5"/>
      <c r="QIR5"/>
      <c r="QIS5"/>
      <c r="QIT5"/>
      <c r="QIU5"/>
      <c r="QIV5"/>
      <c r="QIW5"/>
      <c r="QIX5"/>
      <c r="QIY5"/>
      <c r="QIZ5"/>
      <c r="QJA5"/>
      <c r="QJB5"/>
      <c r="QJC5"/>
      <c r="QJD5"/>
      <c r="QJE5"/>
      <c r="QJF5"/>
      <c r="QJG5"/>
      <c r="QJH5"/>
      <c r="QJI5"/>
      <c r="QJJ5"/>
      <c r="QJK5"/>
      <c r="QJL5"/>
      <c r="QJM5"/>
      <c r="QJN5"/>
      <c r="QJO5"/>
      <c r="QJP5"/>
      <c r="QJQ5"/>
      <c r="QJR5"/>
      <c r="QJS5"/>
      <c r="QJT5"/>
      <c r="QJU5"/>
      <c r="QJV5"/>
      <c r="QJW5"/>
      <c r="QJX5"/>
      <c r="QJY5"/>
      <c r="QJZ5"/>
      <c r="QKA5"/>
      <c r="QKB5"/>
      <c r="QKC5"/>
      <c r="QKD5"/>
      <c r="QKE5"/>
      <c r="QKF5"/>
      <c r="QKG5"/>
      <c r="QKH5"/>
      <c r="QKI5"/>
      <c r="QKJ5"/>
      <c r="QKK5"/>
      <c r="QKL5"/>
      <c r="QKM5"/>
      <c r="QKN5"/>
      <c r="QKO5"/>
      <c r="QKP5"/>
      <c r="QKQ5"/>
      <c r="QKR5"/>
      <c r="QKS5"/>
      <c r="QKT5"/>
      <c r="QKU5"/>
      <c r="QKV5"/>
      <c r="QKW5"/>
      <c r="QKX5"/>
      <c r="QKY5"/>
      <c r="QKZ5"/>
      <c r="QLA5"/>
      <c r="QLB5"/>
      <c r="QLC5"/>
      <c r="QLD5"/>
      <c r="QLE5"/>
      <c r="QLF5"/>
      <c r="QLG5"/>
      <c r="QLH5"/>
      <c r="QLI5"/>
      <c r="QLJ5"/>
      <c r="QLK5"/>
      <c r="QLL5"/>
      <c r="QLM5"/>
      <c r="QLN5"/>
      <c r="QLO5"/>
      <c r="QLP5"/>
      <c r="QLQ5"/>
      <c r="QLR5"/>
      <c r="QLS5"/>
      <c r="QLT5"/>
      <c r="QLU5"/>
      <c r="QLV5"/>
      <c r="QLW5"/>
      <c r="QLX5"/>
      <c r="QLY5"/>
      <c r="QLZ5"/>
      <c r="QMA5"/>
      <c r="QMB5"/>
      <c r="QMC5"/>
      <c r="QMD5"/>
      <c r="QME5"/>
      <c r="QMF5"/>
      <c r="QMG5"/>
      <c r="QMH5"/>
      <c r="QMI5"/>
      <c r="QMJ5"/>
      <c r="QMK5"/>
      <c r="QML5"/>
      <c r="QMM5"/>
      <c r="QMN5"/>
      <c r="QMO5"/>
      <c r="QMP5"/>
      <c r="QMQ5"/>
      <c r="QMR5"/>
      <c r="QMS5"/>
      <c r="QMT5"/>
      <c r="QMU5"/>
      <c r="QMV5"/>
      <c r="QMW5"/>
      <c r="QMX5"/>
      <c r="QMY5"/>
      <c r="QMZ5"/>
      <c r="QNA5"/>
      <c r="QNB5"/>
      <c r="QNC5"/>
      <c r="QND5"/>
      <c r="QNE5"/>
      <c r="QNF5"/>
      <c r="QNG5"/>
      <c r="QNH5"/>
      <c r="QNI5"/>
      <c r="QNJ5"/>
      <c r="QNK5"/>
      <c r="QNL5"/>
      <c r="QNM5"/>
      <c r="QNN5"/>
      <c r="QNO5"/>
      <c r="QNP5"/>
      <c r="QNQ5"/>
      <c r="QNR5"/>
      <c r="QNS5"/>
      <c r="QNT5"/>
      <c r="QNU5"/>
      <c r="QNV5"/>
      <c r="QNW5"/>
      <c r="QNX5"/>
      <c r="QNY5"/>
      <c r="QNZ5"/>
      <c r="QOA5"/>
      <c r="QOB5"/>
      <c r="QOC5"/>
      <c r="QOD5"/>
      <c r="QOE5"/>
      <c r="QOF5"/>
      <c r="QOG5"/>
      <c r="QOH5"/>
      <c r="QOI5"/>
      <c r="QOJ5"/>
      <c r="QOK5"/>
      <c r="QOL5"/>
      <c r="QOM5"/>
      <c r="QON5"/>
      <c r="QOO5"/>
      <c r="QOP5"/>
      <c r="QOQ5"/>
      <c r="QOR5"/>
      <c r="QOS5"/>
      <c r="QOT5"/>
      <c r="QOU5"/>
      <c r="QOV5"/>
      <c r="QOW5"/>
      <c r="QOX5"/>
      <c r="QOY5"/>
      <c r="QOZ5"/>
      <c r="QPA5"/>
      <c r="QPB5"/>
      <c r="QPC5"/>
      <c r="QPD5"/>
      <c r="QPE5"/>
      <c r="QPF5"/>
      <c r="QPG5"/>
      <c r="QPH5"/>
      <c r="QPI5"/>
      <c r="QPJ5"/>
      <c r="QPK5"/>
      <c r="QPL5"/>
      <c r="QPM5"/>
      <c r="QPN5"/>
      <c r="QPO5"/>
      <c r="QPP5"/>
      <c r="QPQ5"/>
      <c r="QPR5"/>
      <c r="QPS5"/>
      <c r="QPT5"/>
      <c r="QPU5"/>
      <c r="QPV5"/>
      <c r="QPW5"/>
      <c r="QPX5"/>
      <c r="QPY5"/>
      <c r="QPZ5"/>
      <c r="QQA5"/>
      <c r="QQB5"/>
      <c r="QQC5"/>
      <c r="QQD5"/>
      <c r="QQE5"/>
      <c r="QQF5"/>
      <c r="QQG5"/>
      <c r="QQH5"/>
      <c r="QQI5"/>
      <c r="QQJ5"/>
      <c r="QQK5"/>
      <c r="QQL5"/>
      <c r="QQM5"/>
      <c r="QQN5"/>
      <c r="QQO5"/>
      <c r="QQP5"/>
      <c r="QQQ5"/>
      <c r="QQR5"/>
      <c r="QQS5"/>
      <c r="QQT5"/>
      <c r="QQU5"/>
      <c r="QQV5"/>
      <c r="QQW5"/>
      <c r="QQX5"/>
      <c r="QQY5"/>
      <c r="QQZ5"/>
      <c r="QRA5"/>
      <c r="QRB5"/>
      <c r="QRC5"/>
      <c r="QRD5"/>
      <c r="QRE5"/>
      <c r="QRF5"/>
      <c r="QRG5"/>
      <c r="QRH5"/>
      <c r="QRI5"/>
      <c r="QRJ5"/>
      <c r="QRK5"/>
      <c r="QRL5"/>
      <c r="QRM5"/>
      <c r="QRN5"/>
      <c r="QRO5"/>
      <c r="QRP5"/>
      <c r="QRQ5"/>
      <c r="QRR5"/>
      <c r="QRS5"/>
      <c r="QRT5"/>
      <c r="QRU5"/>
      <c r="QRV5"/>
      <c r="QRW5"/>
      <c r="QRX5"/>
      <c r="QRY5"/>
      <c r="QRZ5"/>
      <c r="QSA5"/>
      <c r="QSB5"/>
      <c r="QSC5"/>
      <c r="QSD5"/>
      <c r="QSE5"/>
      <c r="QSF5"/>
      <c r="QSG5"/>
      <c r="QSH5"/>
      <c r="QSI5"/>
      <c r="QSJ5"/>
      <c r="QSK5"/>
      <c r="QSL5"/>
      <c r="QSM5"/>
      <c r="QSN5"/>
      <c r="QSO5"/>
      <c r="QSP5"/>
      <c r="QSQ5"/>
      <c r="QSR5"/>
      <c r="QSS5"/>
      <c r="QST5"/>
      <c r="QSU5"/>
      <c r="QSV5"/>
      <c r="QSW5"/>
      <c r="QSX5"/>
      <c r="QSY5"/>
      <c r="QSZ5"/>
      <c r="QTA5"/>
      <c r="QTB5"/>
      <c r="QTC5"/>
      <c r="QTD5"/>
      <c r="QTE5"/>
      <c r="QTF5"/>
      <c r="QTG5"/>
      <c r="QTH5"/>
      <c r="QTI5"/>
      <c r="QTJ5"/>
      <c r="QTK5"/>
      <c r="QTL5"/>
      <c r="QTM5"/>
      <c r="QTN5"/>
      <c r="QTO5"/>
      <c r="QTP5"/>
      <c r="QTQ5"/>
      <c r="QTR5"/>
      <c r="QTS5"/>
      <c r="QTT5"/>
      <c r="QTU5"/>
      <c r="QTV5"/>
      <c r="QTW5"/>
      <c r="QTX5"/>
      <c r="QTY5"/>
      <c r="QTZ5"/>
      <c r="QUA5"/>
      <c r="QUB5"/>
      <c r="QUC5"/>
      <c r="QUD5"/>
      <c r="QUE5"/>
      <c r="QUF5"/>
      <c r="QUG5"/>
      <c r="QUH5"/>
      <c r="QUI5"/>
      <c r="QUJ5"/>
      <c r="QUK5"/>
      <c r="QUL5"/>
      <c r="QUM5"/>
      <c r="QUN5"/>
      <c r="QUO5"/>
      <c r="QUP5"/>
      <c r="QUQ5"/>
      <c r="QUR5"/>
      <c r="QUS5"/>
      <c r="QUT5"/>
      <c r="QUU5"/>
      <c r="QUV5"/>
      <c r="QUW5"/>
      <c r="QUX5"/>
      <c r="QUY5"/>
      <c r="QUZ5"/>
      <c r="QVA5"/>
      <c r="QVB5"/>
      <c r="QVC5"/>
      <c r="QVD5"/>
      <c r="QVE5"/>
      <c r="QVF5"/>
      <c r="QVG5"/>
      <c r="QVH5"/>
      <c r="QVI5"/>
      <c r="QVJ5"/>
      <c r="QVK5"/>
      <c r="QVL5"/>
      <c r="QVM5"/>
      <c r="QVN5"/>
      <c r="QVO5"/>
      <c r="QVP5"/>
      <c r="QVQ5"/>
      <c r="QVR5"/>
      <c r="QVS5"/>
      <c r="QVT5"/>
      <c r="QVU5"/>
      <c r="QVV5"/>
      <c r="QVW5"/>
      <c r="QVX5"/>
      <c r="QVY5"/>
      <c r="QVZ5"/>
      <c r="QWA5"/>
      <c r="QWB5"/>
      <c r="QWC5"/>
      <c r="QWD5"/>
      <c r="QWE5"/>
      <c r="QWF5"/>
      <c r="QWG5"/>
      <c r="QWH5"/>
      <c r="QWI5"/>
      <c r="QWJ5"/>
      <c r="QWK5"/>
      <c r="QWL5"/>
      <c r="QWM5"/>
      <c r="QWN5"/>
      <c r="QWO5"/>
      <c r="QWP5"/>
      <c r="QWQ5"/>
      <c r="QWR5"/>
      <c r="QWS5"/>
      <c r="QWT5"/>
      <c r="QWU5"/>
      <c r="QWV5"/>
      <c r="QWW5"/>
      <c r="QWX5"/>
      <c r="QWY5"/>
      <c r="QWZ5"/>
      <c r="QXA5"/>
      <c r="QXB5"/>
      <c r="QXC5"/>
      <c r="QXD5"/>
      <c r="QXE5"/>
      <c r="QXF5"/>
      <c r="QXG5"/>
      <c r="QXH5"/>
      <c r="QXI5"/>
      <c r="QXJ5"/>
      <c r="QXK5"/>
      <c r="QXL5"/>
      <c r="QXM5"/>
      <c r="QXN5"/>
      <c r="QXO5"/>
      <c r="QXP5"/>
      <c r="QXQ5"/>
      <c r="QXR5"/>
      <c r="QXS5"/>
      <c r="QXT5"/>
      <c r="QXU5"/>
      <c r="QXV5"/>
      <c r="QXW5"/>
      <c r="QXX5"/>
      <c r="QXY5"/>
      <c r="QXZ5"/>
      <c r="QYA5"/>
      <c r="QYB5"/>
      <c r="QYC5"/>
      <c r="QYD5"/>
      <c r="QYE5"/>
      <c r="QYF5"/>
      <c r="QYG5"/>
      <c r="QYH5"/>
      <c r="QYI5"/>
      <c r="QYJ5"/>
      <c r="QYK5"/>
      <c r="QYL5"/>
      <c r="QYM5"/>
      <c r="QYN5"/>
      <c r="QYO5"/>
      <c r="QYP5"/>
      <c r="QYQ5"/>
      <c r="QYR5"/>
      <c r="QYS5"/>
      <c r="QYT5"/>
      <c r="QYU5"/>
      <c r="QYV5"/>
      <c r="QYW5"/>
      <c r="QYX5"/>
      <c r="QYY5"/>
      <c r="QYZ5"/>
      <c r="QZA5"/>
      <c r="QZB5"/>
      <c r="QZC5"/>
      <c r="QZD5"/>
      <c r="QZE5"/>
      <c r="QZF5"/>
      <c r="QZG5"/>
      <c r="QZH5"/>
      <c r="QZI5"/>
      <c r="QZJ5"/>
      <c r="QZK5"/>
      <c r="QZL5"/>
      <c r="QZM5"/>
      <c r="QZN5"/>
      <c r="QZO5"/>
      <c r="QZP5"/>
      <c r="QZQ5"/>
      <c r="QZR5"/>
      <c r="QZS5"/>
      <c r="QZT5"/>
      <c r="QZU5"/>
      <c r="QZV5"/>
      <c r="QZW5"/>
      <c r="QZX5"/>
      <c r="QZY5"/>
      <c r="QZZ5"/>
      <c r="RAA5"/>
      <c r="RAB5"/>
      <c r="RAC5"/>
      <c r="RAD5"/>
      <c r="RAE5"/>
      <c r="RAF5"/>
      <c r="RAG5"/>
      <c r="RAH5"/>
      <c r="RAI5"/>
      <c r="RAJ5"/>
      <c r="RAK5"/>
      <c r="RAL5"/>
      <c r="RAM5"/>
      <c r="RAN5"/>
      <c r="RAO5"/>
      <c r="RAP5"/>
      <c r="RAQ5"/>
      <c r="RAR5"/>
      <c r="RAS5"/>
      <c r="RAT5"/>
      <c r="RAU5"/>
      <c r="RAV5"/>
      <c r="RAW5"/>
      <c r="RAX5"/>
      <c r="RAY5"/>
      <c r="RAZ5"/>
      <c r="RBA5"/>
      <c r="RBB5"/>
      <c r="RBC5"/>
      <c r="RBD5"/>
      <c r="RBE5"/>
      <c r="RBF5"/>
      <c r="RBG5"/>
      <c r="RBH5"/>
      <c r="RBI5"/>
      <c r="RBJ5"/>
      <c r="RBK5"/>
      <c r="RBL5"/>
      <c r="RBM5"/>
      <c r="RBN5"/>
      <c r="RBO5"/>
      <c r="RBP5"/>
      <c r="RBQ5"/>
      <c r="RBR5"/>
      <c r="RBS5"/>
      <c r="RBT5"/>
      <c r="RBU5"/>
      <c r="RBV5"/>
      <c r="RBW5"/>
      <c r="RBX5"/>
      <c r="RBY5"/>
      <c r="RBZ5"/>
      <c r="RCA5"/>
      <c r="RCB5"/>
      <c r="RCC5"/>
      <c r="RCD5"/>
      <c r="RCE5"/>
      <c r="RCF5"/>
      <c r="RCG5"/>
      <c r="RCH5"/>
      <c r="RCI5"/>
      <c r="RCJ5"/>
      <c r="RCK5"/>
      <c r="RCL5"/>
      <c r="RCM5"/>
      <c r="RCN5"/>
      <c r="RCO5"/>
      <c r="RCP5"/>
      <c r="RCQ5"/>
      <c r="RCR5"/>
      <c r="RCS5"/>
      <c r="RCT5"/>
      <c r="RCU5"/>
      <c r="RCV5"/>
      <c r="RCW5"/>
      <c r="RCX5"/>
      <c r="RCY5"/>
      <c r="RCZ5"/>
      <c r="RDA5"/>
      <c r="RDB5"/>
      <c r="RDC5"/>
      <c r="RDD5"/>
      <c r="RDE5"/>
      <c r="RDF5"/>
      <c r="RDG5"/>
      <c r="RDH5"/>
      <c r="RDI5"/>
      <c r="RDJ5"/>
      <c r="RDK5"/>
      <c r="RDL5"/>
      <c r="RDM5"/>
      <c r="RDN5"/>
      <c r="RDO5"/>
      <c r="RDP5"/>
      <c r="RDQ5"/>
      <c r="RDR5"/>
      <c r="RDS5"/>
      <c r="RDT5"/>
      <c r="RDU5"/>
      <c r="RDV5"/>
      <c r="RDW5"/>
      <c r="RDX5"/>
      <c r="RDY5"/>
      <c r="RDZ5"/>
      <c r="REA5"/>
      <c r="REB5"/>
      <c r="REC5"/>
      <c r="RED5"/>
      <c r="REE5"/>
      <c r="REF5"/>
      <c r="REG5"/>
      <c r="REH5"/>
      <c r="REI5"/>
      <c r="REJ5"/>
      <c r="REK5"/>
      <c r="REL5"/>
      <c r="REM5"/>
      <c r="REN5"/>
      <c r="REO5"/>
      <c r="REP5"/>
      <c r="REQ5"/>
      <c r="RER5"/>
      <c r="RES5"/>
      <c r="RET5"/>
      <c r="REU5"/>
      <c r="REV5"/>
      <c r="REW5"/>
      <c r="REX5"/>
      <c r="REY5"/>
      <c r="REZ5"/>
      <c r="RFA5"/>
      <c r="RFB5"/>
      <c r="RFC5"/>
      <c r="RFD5"/>
      <c r="RFE5"/>
      <c r="RFF5"/>
      <c r="RFG5"/>
      <c r="RFH5"/>
      <c r="RFI5"/>
      <c r="RFJ5"/>
      <c r="RFK5"/>
      <c r="RFL5"/>
      <c r="RFM5"/>
      <c r="RFN5"/>
      <c r="RFO5"/>
      <c r="RFP5"/>
      <c r="RFQ5"/>
      <c r="RFR5"/>
      <c r="RFS5"/>
      <c r="RFT5"/>
      <c r="RFU5"/>
      <c r="RFV5"/>
      <c r="RFW5"/>
      <c r="RFX5"/>
      <c r="RFY5"/>
      <c r="RFZ5"/>
      <c r="RGA5"/>
      <c r="RGB5"/>
      <c r="RGC5"/>
      <c r="RGD5"/>
      <c r="RGE5"/>
      <c r="RGF5"/>
      <c r="RGG5"/>
      <c r="RGH5"/>
      <c r="RGI5"/>
      <c r="RGJ5"/>
      <c r="RGK5"/>
      <c r="RGL5"/>
      <c r="RGM5"/>
      <c r="RGN5"/>
      <c r="RGO5"/>
      <c r="RGP5"/>
      <c r="RGQ5"/>
      <c r="RGR5"/>
      <c r="RGS5"/>
      <c r="RGT5"/>
      <c r="RGU5"/>
      <c r="RGV5"/>
      <c r="RGW5"/>
      <c r="RGX5"/>
      <c r="RGY5"/>
      <c r="RGZ5"/>
      <c r="RHA5"/>
      <c r="RHB5"/>
      <c r="RHC5"/>
      <c r="RHD5"/>
      <c r="RHE5"/>
      <c r="RHF5"/>
      <c r="RHG5"/>
      <c r="RHH5"/>
      <c r="RHI5"/>
      <c r="RHJ5"/>
      <c r="RHK5"/>
      <c r="RHL5"/>
      <c r="RHM5"/>
      <c r="RHN5"/>
      <c r="RHO5"/>
      <c r="RHP5"/>
      <c r="RHQ5"/>
      <c r="RHR5"/>
      <c r="RHS5"/>
      <c r="RHT5"/>
      <c r="RHU5"/>
      <c r="RHV5"/>
      <c r="RHW5"/>
      <c r="RHX5"/>
      <c r="RHY5"/>
      <c r="RHZ5"/>
      <c r="RIA5"/>
      <c r="RIB5"/>
      <c r="RIC5"/>
      <c r="RID5"/>
      <c r="RIE5"/>
      <c r="RIF5"/>
      <c r="RIG5"/>
      <c r="RIH5"/>
      <c r="RII5"/>
      <c r="RIJ5"/>
      <c r="RIK5"/>
      <c r="RIL5"/>
      <c r="RIM5"/>
      <c r="RIN5"/>
      <c r="RIO5"/>
      <c r="RIP5"/>
      <c r="RIQ5"/>
      <c r="RIR5"/>
      <c r="RIS5"/>
      <c r="RIT5"/>
      <c r="RIU5"/>
      <c r="RIV5"/>
      <c r="RIW5"/>
      <c r="RIX5"/>
      <c r="RIY5"/>
      <c r="RIZ5"/>
      <c r="RJA5"/>
      <c r="RJB5"/>
      <c r="RJC5"/>
      <c r="RJD5"/>
      <c r="RJE5"/>
      <c r="RJF5"/>
      <c r="RJG5"/>
      <c r="RJH5"/>
      <c r="RJI5"/>
      <c r="RJJ5"/>
      <c r="RJK5"/>
      <c r="RJL5"/>
      <c r="RJM5"/>
      <c r="RJN5"/>
      <c r="RJO5"/>
      <c r="RJP5"/>
      <c r="RJQ5"/>
      <c r="RJR5"/>
      <c r="RJS5"/>
      <c r="RJT5"/>
      <c r="RJU5"/>
      <c r="RJV5"/>
      <c r="RJW5"/>
      <c r="RJX5"/>
      <c r="RJY5"/>
      <c r="RJZ5"/>
      <c r="RKA5"/>
      <c r="RKB5"/>
      <c r="RKC5"/>
      <c r="RKD5"/>
      <c r="RKE5"/>
      <c r="RKF5"/>
      <c r="RKG5"/>
      <c r="RKH5"/>
      <c r="RKI5"/>
      <c r="RKJ5"/>
      <c r="RKK5"/>
      <c r="RKL5"/>
      <c r="RKM5"/>
      <c r="RKN5"/>
      <c r="RKO5"/>
      <c r="RKP5"/>
      <c r="RKQ5"/>
      <c r="RKR5"/>
      <c r="RKS5"/>
      <c r="RKT5"/>
      <c r="RKU5"/>
      <c r="RKV5"/>
      <c r="RKW5"/>
      <c r="RKX5"/>
      <c r="RKY5"/>
      <c r="RKZ5"/>
      <c r="RLA5"/>
      <c r="RLB5"/>
      <c r="RLC5"/>
      <c r="RLD5"/>
      <c r="RLE5"/>
      <c r="RLF5"/>
      <c r="RLG5"/>
      <c r="RLH5"/>
      <c r="RLI5"/>
      <c r="RLJ5"/>
      <c r="RLK5"/>
      <c r="RLL5"/>
      <c r="RLM5"/>
      <c r="RLN5"/>
      <c r="RLO5"/>
      <c r="RLP5"/>
      <c r="RLQ5"/>
      <c r="RLR5"/>
      <c r="RLS5"/>
      <c r="RLT5"/>
      <c r="RLU5"/>
      <c r="RLV5"/>
      <c r="RLW5"/>
      <c r="RLX5"/>
      <c r="RLY5"/>
      <c r="RLZ5"/>
      <c r="RMA5"/>
      <c r="RMB5"/>
      <c r="RMC5"/>
      <c r="RMD5"/>
      <c r="RME5"/>
      <c r="RMF5"/>
      <c r="RMG5"/>
      <c r="RMH5"/>
      <c r="RMI5"/>
      <c r="RMJ5"/>
      <c r="RMK5"/>
      <c r="RML5"/>
      <c r="RMM5"/>
      <c r="RMN5"/>
      <c r="RMO5"/>
      <c r="RMP5"/>
      <c r="RMQ5"/>
      <c r="RMR5"/>
      <c r="RMS5"/>
      <c r="RMT5"/>
      <c r="RMU5"/>
      <c r="RMV5"/>
      <c r="RMW5"/>
      <c r="RMX5"/>
      <c r="RMY5"/>
      <c r="RMZ5"/>
      <c r="RNA5"/>
      <c r="RNB5"/>
      <c r="RNC5"/>
      <c r="RND5"/>
      <c r="RNE5"/>
      <c r="RNF5"/>
      <c r="RNG5"/>
      <c r="RNH5"/>
      <c r="RNI5"/>
      <c r="RNJ5"/>
      <c r="RNK5"/>
      <c r="RNL5"/>
      <c r="RNM5"/>
      <c r="RNN5"/>
      <c r="RNO5"/>
      <c r="RNP5"/>
      <c r="RNQ5"/>
      <c r="RNR5"/>
      <c r="RNS5"/>
      <c r="RNT5"/>
      <c r="RNU5"/>
      <c r="RNV5"/>
      <c r="RNW5"/>
      <c r="RNX5"/>
      <c r="RNY5"/>
      <c r="RNZ5"/>
      <c r="ROA5"/>
      <c r="ROB5"/>
      <c r="ROC5"/>
      <c r="ROD5"/>
      <c r="ROE5"/>
      <c r="ROF5"/>
      <c r="ROG5"/>
      <c r="ROH5"/>
      <c r="ROI5"/>
      <c r="ROJ5"/>
      <c r="ROK5"/>
      <c r="ROL5"/>
      <c r="ROM5"/>
      <c r="RON5"/>
      <c r="ROO5"/>
      <c r="ROP5"/>
      <c r="ROQ5"/>
      <c r="ROR5"/>
      <c r="ROS5"/>
      <c r="ROT5"/>
      <c r="ROU5"/>
      <c r="ROV5"/>
      <c r="ROW5"/>
      <c r="ROX5"/>
      <c r="ROY5"/>
      <c r="ROZ5"/>
      <c r="RPA5"/>
      <c r="RPB5"/>
      <c r="RPC5"/>
      <c r="RPD5"/>
      <c r="RPE5"/>
      <c r="RPF5"/>
      <c r="RPG5"/>
      <c r="RPH5"/>
      <c r="RPI5"/>
      <c r="RPJ5"/>
      <c r="RPK5"/>
      <c r="RPL5"/>
      <c r="RPM5"/>
      <c r="RPN5"/>
      <c r="RPO5"/>
      <c r="RPP5"/>
      <c r="RPQ5"/>
      <c r="RPR5"/>
      <c r="RPS5"/>
      <c r="RPT5"/>
      <c r="RPU5"/>
      <c r="RPV5"/>
      <c r="RPW5"/>
      <c r="RPX5"/>
      <c r="RPY5"/>
      <c r="RPZ5"/>
      <c r="RQA5"/>
      <c r="RQB5"/>
      <c r="RQC5"/>
      <c r="RQD5"/>
      <c r="RQE5"/>
      <c r="RQF5"/>
      <c r="RQG5"/>
      <c r="RQH5"/>
      <c r="RQI5"/>
      <c r="RQJ5"/>
      <c r="RQK5"/>
      <c r="RQL5"/>
      <c r="RQM5"/>
      <c r="RQN5"/>
      <c r="RQO5"/>
      <c r="RQP5"/>
      <c r="RQQ5"/>
      <c r="RQR5"/>
      <c r="RQS5"/>
      <c r="RQT5"/>
      <c r="RQU5"/>
      <c r="RQV5"/>
      <c r="RQW5"/>
      <c r="RQX5"/>
      <c r="RQY5"/>
      <c r="RQZ5"/>
      <c r="RRA5"/>
      <c r="RRB5"/>
      <c r="RRC5"/>
      <c r="RRD5"/>
      <c r="RRE5"/>
      <c r="RRF5"/>
      <c r="RRG5"/>
      <c r="RRH5"/>
      <c r="RRI5"/>
      <c r="RRJ5"/>
      <c r="RRK5"/>
      <c r="RRL5"/>
      <c r="RRM5"/>
      <c r="RRN5"/>
      <c r="RRO5"/>
      <c r="RRP5"/>
      <c r="RRQ5"/>
      <c r="RRR5"/>
      <c r="RRS5"/>
      <c r="RRT5"/>
      <c r="RRU5"/>
      <c r="RRV5"/>
      <c r="RRW5"/>
      <c r="RRX5"/>
      <c r="RRY5"/>
      <c r="RRZ5"/>
      <c r="RSA5"/>
      <c r="RSB5"/>
      <c r="RSC5"/>
      <c r="RSD5"/>
      <c r="RSE5"/>
      <c r="RSF5"/>
      <c r="RSG5"/>
      <c r="RSH5"/>
      <c r="RSI5"/>
      <c r="RSJ5"/>
      <c r="RSK5"/>
      <c r="RSL5"/>
      <c r="RSM5"/>
      <c r="RSN5"/>
      <c r="RSO5"/>
      <c r="RSP5"/>
      <c r="RSQ5"/>
      <c r="RSR5"/>
      <c r="RSS5"/>
      <c r="RST5"/>
      <c r="RSU5"/>
      <c r="RSV5"/>
      <c r="RSW5"/>
      <c r="RSX5"/>
      <c r="RSY5"/>
      <c r="RSZ5"/>
      <c r="RTA5"/>
      <c r="RTB5"/>
      <c r="RTC5"/>
      <c r="RTD5"/>
      <c r="RTE5"/>
      <c r="RTF5"/>
      <c r="RTG5"/>
      <c r="RTH5"/>
      <c r="RTI5"/>
      <c r="RTJ5"/>
      <c r="RTK5"/>
      <c r="RTL5"/>
      <c r="RTM5"/>
      <c r="RTN5"/>
      <c r="RTO5"/>
      <c r="RTP5"/>
      <c r="RTQ5"/>
      <c r="RTR5"/>
      <c r="RTS5"/>
      <c r="RTT5"/>
      <c r="RTU5"/>
      <c r="RTV5"/>
      <c r="RTW5"/>
      <c r="RTX5"/>
      <c r="RTY5"/>
      <c r="RTZ5"/>
      <c r="RUA5"/>
      <c r="RUB5"/>
      <c r="RUC5"/>
      <c r="RUD5"/>
      <c r="RUE5"/>
      <c r="RUF5"/>
      <c r="RUG5"/>
      <c r="RUH5"/>
      <c r="RUI5"/>
      <c r="RUJ5"/>
      <c r="RUK5"/>
      <c r="RUL5"/>
      <c r="RUM5"/>
      <c r="RUN5"/>
      <c r="RUO5"/>
      <c r="RUP5"/>
      <c r="RUQ5"/>
      <c r="RUR5"/>
      <c r="RUS5"/>
      <c r="RUT5"/>
      <c r="RUU5"/>
      <c r="RUV5"/>
      <c r="RUW5"/>
      <c r="RUX5"/>
      <c r="RUY5"/>
      <c r="RUZ5"/>
      <c r="RVA5"/>
      <c r="RVB5"/>
      <c r="RVC5"/>
      <c r="RVD5"/>
      <c r="RVE5"/>
      <c r="RVF5"/>
      <c r="RVG5"/>
      <c r="RVH5"/>
      <c r="RVI5"/>
      <c r="RVJ5"/>
      <c r="RVK5"/>
      <c r="RVL5"/>
      <c r="RVM5"/>
      <c r="RVN5"/>
      <c r="RVO5"/>
      <c r="RVP5"/>
      <c r="RVQ5"/>
      <c r="RVR5"/>
      <c r="RVS5"/>
      <c r="RVT5"/>
      <c r="RVU5"/>
      <c r="RVV5"/>
      <c r="RVW5"/>
      <c r="RVX5"/>
      <c r="RVY5"/>
      <c r="RVZ5"/>
      <c r="RWA5"/>
      <c r="RWB5"/>
      <c r="RWC5"/>
      <c r="RWD5"/>
      <c r="RWE5"/>
      <c r="RWF5"/>
      <c r="RWG5"/>
      <c r="RWH5"/>
      <c r="RWI5"/>
      <c r="RWJ5"/>
      <c r="RWK5"/>
      <c r="RWL5"/>
      <c r="RWM5"/>
      <c r="RWN5"/>
      <c r="RWO5"/>
      <c r="RWP5"/>
      <c r="RWQ5"/>
      <c r="RWR5"/>
      <c r="RWS5"/>
      <c r="RWT5"/>
      <c r="RWU5"/>
      <c r="RWV5"/>
      <c r="RWW5"/>
      <c r="RWX5"/>
      <c r="RWY5"/>
      <c r="RWZ5"/>
      <c r="RXA5"/>
      <c r="RXB5"/>
      <c r="RXC5"/>
      <c r="RXD5"/>
      <c r="RXE5"/>
      <c r="RXF5"/>
      <c r="RXG5"/>
      <c r="RXH5"/>
      <c r="RXI5"/>
      <c r="RXJ5"/>
      <c r="RXK5"/>
      <c r="RXL5"/>
      <c r="RXM5"/>
      <c r="RXN5"/>
      <c r="RXO5"/>
      <c r="RXP5"/>
      <c r="RXQ5"/>
      <c r="RXR5"/>
      <c r="RXS5"/>
      <c r="RXT5"/>
      <c r="RXU5"/>
      <c r="RXV5"/>
      <c r="RXW5"/>
      <c r="RXX5"/>
      <c r="RXY5"/>
      <c r="RXZ5"/>
      <c r="RYA5"/>
      <c r="RYB5"/>
      <c r="RYC5"/>
      <c r="RYD5"/>
      <c r="RYE5"/>
      <c r="RYF5"/>
      <c r="RYG5"/>
      <c r="RYH5"/>
      <c r="RYI5"/>
      <c r="RYJ5"/>
      <c r="RYK5"/>
      <c r="RYL5"/>
      <c r="RYM5"/>
      <c r="RYN5"/>
      <c r="RYO5"/>
      <c r="RYP5"/>
      <c r="RYQ5"/>
      <c r="RYR5"/>
      <c r="RYS5"/>
      <c r="RYT5"/>
      <c r="RYU5"/>
      <c r="RYV5"/>
      <c r="RYW5"/>
      <c r="RYX5"/>
      <c r="RYY5"/>
      <c r="RYZ5"/>
      <c r="RZA5"/>
      <c r="RZB5"/>
      <c r="RZC5"/>
      <c r="RZD5"/>
      <c r="RZE5"/>
      <c r="RZF5"/>
      <c r="RZG5"/>
      <c r="RZH5"/>
      <c r="RZI5"/>
      <c r="RZJ5"/>
      <c r="RZK5"/>
      <c r="RZL5"/>
      <c r="RZM5"/>
      <c r="RZN5"/>
      <c r="RZO5"/>
      <c r="RZP5"/>
      <c r="RZQ5"/>
      <c r="RZR5"/>
      <c r="RZS5"/>
      <c r="RZT5"/>
      <c r="RZU5"/>
      <c r="RZV5"/>
      <c r="RZW5"/>
      <c r="RZX5"/>
      <c r="RZY5"/>
      <c r="RZZ5"/>
      <c r="SAA5"/>
      <c r="SAB5"/>
      <c r="SAC5"/>
      <c r="SAD5"/>
      <c r="SAE5"/>
      <c r="SAF5"/>
      <c r="SAG5"/>
      <c r="SAH5"/>
      <c r="SAI5"/>
      <c r="SAJ5"/>
      <c r="SAK5"/>
      <c r="SAL5"/>
      <c r="SAM5"/>
      <c r="SAN5"/>
      <c r="SAO5"/>
      <c r="SAP5"/>
      <c r="SAQ5"/>
      <c r="SAR5"/>
      <c r="SAS5"/>
      <c r="SAT5"/>
      <c r="SAU5"/>
      <c r="SAV5"/>
      <c r="SAW5"/>
      <c r="SAX5"/>
      <c r="SAY5"/>
      <c r="SAZ5"/>
      <c r="SBA5"/>
      <c r="SBB5"/>
      <c r="SBC5"/>
      <c r="SBD5"/>
      <c r="SBE5"/>
      <c r="SBF5"/>
      <c r="SBG5"/>
      <c r="SBH5"/>
      <c r="SBI5"/>
      <c r="SBJ5"/>
      <c r="SBK5"/>
      <c r="SBL5"/>
      <c r="SBM5"/>
      <c r="SBN5"/>
      <c r="SBO5"/>
      <c r="SBP5"/>
      <c r="SBQ5"/>
      <c r="SBR5"/>
      <c r="SBS5"/>
      <c r="SBT5"/>
      <c r="SBU5"/>
      <c r="SBV5"/>
      <c r="SBW5"/>
      <c r="SBX5"/>
      <c r="SBY5"/>
      <c r="SBZ5"/>
      <c r="SCA5"/>
      <c r="SCB5"/>
      <c r="SCC5"/>
      <c r="SCD5"/>
      <c r="SCE5"/>
      <c r="SCF5"/>
      <c r="SCG5"/>
      <c r="SCH5"/>
      <c r="SCI5"/>
      <c r="SCJ5"/>
      <c r="SCK5"/>
      <c r="SCL5"/>
      <c r="SCM5"/>
      <c r="SCN5"/>
      <c r="SCO5"/>
      <c r="SCP5"/>
      <c r="SCQ5"/>
      <c r="SCR5"/>
      <c r="SCS5"/>
      <c r="SCT5"/>
      <c r="SCU5"/>
      <c r="SCV5"/>
      <c r="SCW5"/>
      <c r="SCX5"/>
      <c r="SCY5"/>
      <c r="SCZ5"/>
      <c r="SDA5"/>
      <c r="SDB5"/>
      <c r="SDC5"/>
      <c r="SDD5"/>
      <c r="SDE5"/>
      <c r="SDF5"/>
      <c r="SDG5"/>
      <c r="SDH5"/>
      <c r="SDI5"/>
      <c r="SDJ5"/>
      <c r="SDK5"/>
      <c r="SDL5"/>
      <c r="SDM5"/>
      <c r="SDN5"/>
      <c r="SDO5"/>
      <c r="SDP5"/>
      <c r="SDQ5"/>
      <c r="SDR5"/>
      <c r="SDS5"/>
      <c r="SDT5"/>
      <c r="SDU5"/>
      <c r="SDV5"/>
      <c r="SDW5"/>
      <c r="SDX5"/>
      <c r="SDY5"/>
      <c r="SDZ5"/>
      <c r="SEA5"/>
      <c r="SEB5"/>
      <c r="SEC5"/>
      <c r="SED5"/>
      <c r="SEE5"/>
      <c r="SEF5"/>
      <c r="SEG5"/>
      <c r="SEH5"/>
      <c r="SEI5"/>
      <c r="SEJ5"/>
      <c r="SEK5"/>
      <c r="SEL5"/>
      <c r="SEM5"/>
      <c r="SEN5"/>
      <c r="SEO5"/>
      <c r="SEP5"/>
      <c r="SEQ5"/>
      <c r="SER5"/>
      <c r="SES5"/>
      <c r="SET5"/>
      <c r="SEU5"/>
      <c r="SEV5"/>
      <c r="SEW5"/>
      <c r="SEX5"/>
      <c r="SEY5"/>
      <c r="SEZ5"/>
      <c r="SFA5"/>
      <c r="SFB5"/>
      <c r="SFC5"/>
      <c r="SFD5"/>
      <c r="SFE5"/>
      <c r="SFF5"/>
      <c r="SFG5"/>
      <c r="SFH5"/>
      <c r="SFI5"/>
      <c r="SFJ5"/>
      <c r="SFK5"/>
      <c r="SFL5"/>
      <c r="SFM5"/>
      <c r="SFN5"/>
      <c r="SFO5"/>
      <c r="SFP5"/>
      <c r="SFQ5"/>
      <c r="SFR5"/>
      <c r="SFS5"/>
      <c r="SFT5"/>
      <c r="SFU5"/>
      <c r="SFV5"/>
      <c r="SFW5"/>
      <c r="SFX5"/>
      <c r="SFY5"/>
      <c r="SFZ5"/>
      <c r="SGA5"/>
      <c r="SGB5"/>
      <c r="SGC5"/>
      <c r="SGD5"/>
      <c r="SGE5"/>
      <c r="SGF5"/>
      <c r="SGG5"/>
      <c r="SGH5"/>
      <c r="SGI5"/>
      <c r="SGJ5"/>
      <c r="SGK5"/>
      <c r="SGL5"/>
      <c r="SGM5"/>
      <c r="SGN5"/>
      <c r="SGO5"/>
      <c r="SGP5"/>
      <c r="SGQ5"/>
      <c r="SGR5"/>
      <c r="SGS5"/>
      <c r="SGT5"/>
      <c r="SGU5"/>
      <c r="SGV5"/>
      <c r="SGW5"/>
      <c r="SGX5"/>
      <c r="SGY5"/>
      <c r="SGZ5"/>
      <c r="SHA5"/>
      <c r="SHB5"/>
      <c r="SHC5"/>
      <c r="SHD5"/>
      <c r="SHE5"/>
      <c r="SHF5"/>
      <c r="SHG5"/>
      <c r="SHH5"/>
      <c r="SHI5"/>
      <c r="SHJ5"/>
      <c r="SHK5"/>
      <c r="SHL5"/>
      <c r="SHM5"/>
      <c r="SHN5"/>
      <c r="SHO5"/>
      <c r="SHP5"/>
      <c r="SHQ5"/>
      <c r="SHR5"/>
      <c r="SHS5"/>
      <c r="SHT5"/>
      <c r="SHU5"/>
      <c r="SHV5"/>
      <c r="SHW5"/>
      <c r="SHX5"/>
      <c r="SHY5"/>
      <c r="SHZ5"/>
      <c r="SIA5"/>
      <c r="SIB5"/>
      <c r="SIC5"/>
      <c r="SID5"/>
      <c r="SIE5"/>
      <c r="SIF5"/>
      <c r="SIG5"/>
      <c r="SIH5"/>
      <c r="SII5"/>
      <c r="SIJ5"/>
      <c r="SIK5"/>
      <c r="SIL5"/>
      <c r="SIM5"/>
      <c r="SIN5"/>
      <c r="SIO5"/>
      <c r="SIP5"/>
      <c r="SIQ5"/>
      <c r="SIR5"/>
      <c r="SIS5"/>
      <c r="SIT5"/>
      <c r="SIU5"/>
      <c r="SIV5"/>
      <c r="SIW5"/>
      <c r="SIX5"/>
      <c r="SIY5"/>
      <c r="SIZ5"/>
      <c r="SJA5"/>
      <c r="SJB5"/>
      <c r="SJC5"/>
      <c r="SJD5"/>
      <c r="SJE5"/>
      <c r="SJF5"/>
      <c r="SJG5"/>
      <c r="SJH5"/>
      <c r="SJI5"/>
      <c r="SJJ5"/>
      <c r="SJK5"/>
      <c r="SJL5"/>
      <c r="SJM5"/>
      <c r="SJN5"/>
      <c r="SJO5"/>
      <c r="SJP5"/>
      <c r="SJQ5"/>
      <c r="SJR5"/>
      <c r="SJS5"/>
      <c r="SJT5"/>
      <c r="SJU5"/>
      <c r="SJV5"/>
      <c r="SJW5"/>
      <c r="SJX5"/>
      <c r="SJY5"/>
      <c r="SJZ5"/>
      <c r="SKA5"/>
      <c r="SKB5"/>
      <c r="SKC5"/>
      <c r="SKD5"/>
      <c r="SKE5"/>
      <c r="SKF5"/>
      <c r="SKG5"/>
      <c r="SKH5"/>
      <c r="SKI5"/>
      <c r="SKJ5"/>
      <c r="SKK5"/>
      <c r="SKL5"/>
      <c r="SKM5"/>
      <c r="SKN5"/>
      <c r="SKO5"/>
      <c r="SKP5"/>
      <c r="SKQ5"/>
      <c r="SKR5"/>
      <c r="SKS5"/>
      <c r="SKT5"/>
      <c r="SKU5"/>
      <c r="SKV5"/>
      <c r="SKW5"/>
      <c r="SKX5"/>
      <c r="SKY5"/>
      <c r="SKZ5"/>
      <c r="SLA5"/>
      <c r="SLB5"/>
      <c r="SLC5"/>
      <c r="SLD5"/>
      <c r="SLE5"/>
      <c r="SLF5"/>
      <c r="SLG5"/>
      <c r="SLH5"/>
      <c r="SLI5"/>
      <c r="SLJ5"/>
      <c r="SLK5"/>
      <c r="SLL5"/>
      <c r="SLM5"/>
      <c r="SLN5"/>
      <c r="SLO5"/>
      <c r="SLP5"/>
      <c r="SLQ5"/>
      <c r="SLR5"/>
      <c r="SLS5"/>
      <c r="SLT5"/>
      <c r="SLU5"/>
      <c r="SLV5"/>
      <c r="SLW5"/>
      <c r="SLX5"/>
      <c r="SLY5"/>
      <c r="SLZ5"/>
      <c r="SMA5"/>
      <c r="SMB5"/>
      <c r="SMC5"/>
      <c r="SMD5"/>
      <c r="SME5"/>
      <c r="SMF5"/>
      <c r="SMG5"/>
      <c r="SMH5"/>
      <c r="SMI5"/>
      <c r="SMJ5"/>
      <c r="SMK5"/>
      <c r="SML5"/>
      <c r="SMM5"/>
      <c r="SMN5"/>
      <c r="SMO5"/>
      <c r="SMP5"/>
      <c r="SMQ5"/>
      <c r="SMR5"/>
      <c r="SMS5"/>
      <c r="SMT5"/>
      <c r="SMU5"/>
      <c r="SMV5"/>
      <c r="SMW5"/>
      <c r="SMX5"/>
      <c r="SMY5"/>
      <c r="SMZ5"/>
      <c r="SNA5"/>
      <c r="SNB5"/>
      <c r="SNC5"/>
      <c r="SND5"/>
      <c r="SNE5"/>
      <c r="SNF5"/>
      <c r="SNG5"/>
      <c r="SNH5"/>
      <c r="SNI5"/>
      <c r="SNJ5"/>
      <c r="SNK5"/>
      <c r="SNL5"/>
      <c r="SNM5"/>
      <c r="SNN5"/>
      <c r="SNO5"/>
      <c r="SNP5"/>
      <c r="SNQ5"/>
      <c r="SNR5"/>
      <c r="SNS5"/>
      <c r="SNT5"/>
      <c r="SNU5"/>
      <c r="SNV5"/>
      <c r="SNW5"/>
      <c r="SNX5"/>
      <c r="SNY5"/>
      <c r="SNZ5"/>
      <c r="SOA5"/>
      <c r="SOB5"/>
      <c r="SOC5"/>
      <c r="SOD5"/>
      <c r="SOE5"/>
      <c r="SOF5"/>
      <c r="SOG5"/>
      <c r="SOH5"/>
      <c r="SOI5"/>
      <c r="SOJ5"/>
      <c r="SOK5"/>
      <c r="SOL5"/>
      <c r="SOM5"/>
      <c r="SON5"/>
      <c r="SOO5"/>
      <c r="SOP5"/>
      <c r="SOQ5"/>
      <c r="SOR5"/>
      <c r="SOS5"/>
      <c r="SOT5"/>
      <c r="SOU5"/>
      <c r="SOV5"/>
      <c r="SOW5"/>
      <c r="SOX5"/>
      <c r="SOY5"/>
      <c r="SOZ5"/>
      <c r="SPA5"/>
      <c r="SPB5"/>
      <c r="SPC5"/>
      <c r="SPD5"/>
      <c r="SPE5"/>
      <c r="SPF5"/>
      <c r="SPG5"/>
      <c r="SPH5"/>
      <c r="SPI5"/>
      <c r="SPJ5"/>
      <c r="SPK5"/>
      <c r="SPL5"/>
      <c r="SPM5"/>
      <c r="SPN5"/>
      <c r="SPO5"/>
      <c r="SPP5"/>
      <c r="SPQ5"/>
      <c r="SPR5"/>
      <c r="SPS5"/>
      <c r="SPT5"/>
      <c r="SPU5"/>
      <c r="SPV5"/>
      <c r="SPW5"/>
      <c r="SPX5"/>
      <c r="SPY5"/>
      <c r="SPZ5"/>
      <c r="SQA5"/>
      <c r="SQB5"/>
      <c r="SQC5"/>
      <c r="SQD5"/>
      <c r="SQE5"/>
      <c r="SQF5"/>
      <c r="SQG5"/>
      <c r="SQH5"/>
      <c r="SQI5"/>
      <c r="SQJ5"/>
      <c r="SQK5"/>
      <c r="SQL5"/>
      <c r="SQM5"/>
      <c r="SQN5"/>
      <c r="SQO5"/>
      <c r="SQP5"/>
      <c r="SQQ5"/>
      <c r="SQR5"/>
      <c r="SQS5"/>
      <c r="SQT5"/>
      <c r="SQU5"/>
      <c r="SQV5"/>
      <c r="SQW5"/>
      <c r="SQX5"/>
      <c r="SQY5"/>
      <c r="SQZ5"/>
      <c r="SRA5"/>
      <c r="SRB5"/>
      <c r="SRC5"/>
      <c r="SRD5"/>
      <c r="SRE5"/>
      <c r="SRF5"/>
      <c r="SRG5"/>
      <c r="SRH5"/>
      <c r="SRI5"/>
      <c r="SRJ5"/>
      <c r="SRK5"/>
      <c r="SRL5"/>
      <c r="SRM5"/>
      <c r="SRN5"/>
      <c r="SRO5"/>
      <c r="SRP5"/>
      <c r="SRQ5"/>
      <c r="SRR5"/>
      <c r="SRS5"/>
      <c r="SRT5"/>
      <c r="SRU5"/>
      <c r="SRV5"/>
      <c r="SRW5"/>
      <c r="SRX5"/>
      <c r="SRY5"/>
      <c r="SRZ5"/>
      <c r="SSA5"/>
      <c r="SSB5"/>
      <c r="SSC5"/>
      <c r="SSD5"/>
      <c r="SSE5"/>
      <c r="SSF5"/>
      <c r="SSG5"/>
      <c r="SSH5"/>
      <c r="SSI5"/>
      <c r="SSJ5"/>
      <c r="SSK5"/>
      <c r="SSL5"/>
      <c r="SSM5"/>
      <c r="SSN5"/>
      <c r="SSO5"/>
      <c r="SSP5"/>
      <c r="SSQ5"/>
      <c r="SSR5"/>
      <c r="SSS5"/>
      <c r="SST5"/>
      <c r="SSU5"/>
      <c r="SSV5"/>
      <c r="SSW5"/>
      <c r="SSX5"/>
      <c r="SSY5"/>
      <c r="SSZ5"/>
      <c r="STA5"/>
      <c r="STB5"/>
      <c r="STC5"/>
      <c r="STD5"/>
      <c r="STE5"/>
      <c r="STF5"/>
      <c r="STG5"/>
      <c r="STH5"/>
      <c r="STI5"/>
      <c r="STJ5"/>
      <c r="STK5"/>
      <c r="STL5"/>
      <c r="STM5"/>
      <c r="STN5"/>
      <c r="STO5"/>
      <c r="STP5"/>
      <c r="STQ5"/>
      <c r="STR5"/>
      <c r="STS5"/>
      <c r="STT5"/>
      <c r="STU5"/>
      <c r="STV5"/>
      <c r="STW5"/>
      <c r="STX5"/>
      <c r="STY5"/>
      <c r="STZ5"/>
      <c r="SUA5"/>
      <c r="SUB5"/>
      <c r="SUC5"/>
      <c r="SUD5"/>
      <c r="SUE5"/>
      <c r="SUF5"/>
      <c r="SUG5"/>
      <c r="SUH5"/>
      <c r="SUI5"/>
      <c r="SUJ5"/>
      <c r="SUK5"/>
      <c r="SUL5"/>
      <c r="SUM5"/>
      <c r="SUN5"/>
      <c r="SUO5"/>
      <c r="SUP5"/>
      <c r="SUQ5"/>
      <c r="SUR5"/>
      <c r="SUS5"/>
      <c r="SUT5"/>
      <c r="SUU5"/>
      <c r="SUV5"/>
      <c r="SUW5"/>
      <c r="SUX5"/>
      <c r="SUY5"/>
      <c r="SUZ5"/>
      <c r="SVA5"/>
      <c r="SVB5"/>
      <c r="SVC5"/>
      <c r="SVD5"/>
      <c r="SVE5"/>
      <c r="SVF5"/>
      <c r="SVG5"/>
      <c r="SVH5"/>
      <c r="SVI5"/>
      <c r="SVJ5"/>
      <c r="SVK5"/>
      <c r="SVL5"/>
      <c r="SVM5"/>
      <c r="SVN5"/>
      <c r="SVO5"/>
      <c r="SVP5"/>
      <c r="SVQ5"/>
      <c r="SVR5"/>
      <c r="SVS5"/>
      <c r="SVT5"/>
      <c r="SVU5"/>
      <c r="SVV5"/>
      <c r="SVW5"/>
      <c r="SVX5"/>
      <c r="SVY5"/>
      <c r="SVZ5"/>
      <c r="SWA5"/>
      <c r="SWB5"/>
      <c r="SWC5"/>
      <c r="SWD5"/>
      <c r="SWE5"/>
      <c r="SWF5"/>
      <c r="SWG5"/>
      <c r="SWH5"/>
      <c r="SWI5"/>
      <c r="SWJ5"/>
      <c r="SWK5"/>
      <c r="SWL5"/>
      <c r="SWM5"/>
      <c r="SWN5"/>
      <c r="SWO5"/>
      <c r="SWP5"/>
      <c r="SWQ5"/>
      <c r="SWR5"/>
      <c r="SWS5"/>
      <c r="SWT5"/>
      <c r="SWU5"/>
      <c r="SWV5"/>
      <c r="SWW5"/>
      <c r="SWX5"/>
      <c r="SWY5"/>
      <c r="SWZ5"/>
      <c r="SXA5"/>
      <c r="SXB5"/>
      <c r="SXC5"/>
      <c r="SXD5"/>
      <c r="SXE5"/>
      <c r="SXF5"/>
      <c r="SXG5"/>
      <c r="SXH5"/>
      <c r="SXI5"/>
      <c r="SXJ5"/>
      <c r="SXK5"/>
      <c r="SXL5"/>
      <c r="SXM5"/>
      <c r="SXN5"/>
      <c r="SXO5"/>
      <c r="SXP5"/>
      <c r="SXQ5"/>
      <c r="SXR5"/>
      <c r="SXS5"/>
      <c r="SXT5"/>
      <c r="SXU5"/>
      <c r="SXV5"/>
      <c r="SXW5"/>
      <c r="SXX5"/>
      <c r="SXY5"/>
      <c r="SXZ5"/>
      <c r="SYA5"/>
      <c r="SYB5"/>
      <c r="SYC5"/>
      <c r="SYD5"/>
      <c r="SYE5"/>
      <c r="SYF5"/>
      <c r="SYG5"/>
      <c r="SYH5"/>
      <c r="SYI5"/>
      <c r="SYJ5"/>
      <c r="SYK5"/>
      <c r="SYL5"/>
      <c r="SYM5"/>
      <c r="SYN5"/>
      <c r="SYO5"/>
      <c r="SYP5"/>
      <c r="SYQ5"/>
      <c r="SYR5"/>
      <c r="SYS5"/>
      <c r="SYT5"/>
      <c r="SYU5"/>
      <c r="SYV5"/>
      <c r="SYW5"/>
      <c r="SYX5"/>
      <c r="SYY5"/>
      <c r="SYZ5"/>
      <c r="SZA5"/>
      <c r="SZB5"/>
      <c r="SZC5"/>
      <c r="SZD5"/>
      <c r="SZE5"/>
      <c r="SZF5"/>
      <c r="SZG5"/>
      <c r="SZH5"/>
      <c r="SZI5"/>
      <c r="SZJ5"/>
      <c r="SZK5"/>
      <c r="SZL5"/>
      <c r="SZM5"/>
      <c r="SZN5"/>
      <c r="SZO5"/>
      <c r="SZP5"/>
      <c r="SZQ5"/>
      <c r="SZR5"/>
      <c r="SZS5"/>
      <c r="SZT5"/>
      <c r="SZU5"/>
      <c r="SZV5"/>
      <c r="SZW5"/>
      <c r="SZX5"/>
      <c r="SZY5"/>
      <c r="SZZ5"/>
      <c r="TAA5"/>
      <c r="TAB5"/>
      <c r="TAC5"/>
      <c r="TAD5"/>
      <c r="TAE5"/>
      <c r="TAF5"/>
      <c r="TAG5"/>
      <c r="TAH5"/>
      <c r="TAI5"/>
      <c r="TAJ5"/>
      <c r="TAK5"/>
      <c r="TAL5"/>
      <c r="TAM5"/>
      <c r="TAN5"/>
      <c r="TAO5"/>
      <c r="TAP5"/>
      <c r="TAQ5"/>
      <c r="TAR5"/>
      <c r="TAS5"/>
      <c r="TAT5"/>
      <c r="TAU5"/>
      <c r="TAV5"/>
      <c r="TAW5"/>
      <c r="TAX5"/>
      <c r="TAY5"/>
      <c r="TAZ5"/>
      <c r="TBA5"/>
      <c r="TBB5"/>
      <c r="TBC5"/>
      <c r="TBD5"/>
      <c r="TBE5"/>
      <c r="TBF5"/>
      <c r="TBG5"/>
      <c r="TBH5"/>
      <c r="TBI5"/>
      <c r="TBJ5"/>
      <c r="TBK5"/>
      <c r="TBL5"/>
      <c r="TBM5"/>
      <c r="TBN5"/>
      <c r="TBO5"/>
      <c r="TBP5"/>
      <c r="TBQ5"/>
      <c r="TBR5"/>
      <c r="TBS5"/>
      <c r="TBT5"/>
      <c r="TBU5"/>
      <c r="TBV5"/>
      <c r="TBW5"/>
      <c r="TBX5"/>
      <c r="TBY5"/>
      <c r="TBZ5"/>
      <c r="TCA5"/>
      <c r="TCB5"/>
      <c r="TCC5"/>
      <c r="TCD5"/>
      <c r="TCE5"/>
      <c r="TCF5"/>
      <c r="TCG5"/>
      <c r="TCH5"/>
      <c r="TCI5"/>
      <c r="TCJ5"/>
      <c r="TCK5"/>
      <c r="TCL5"/>
      <c r="TCM5"/>
      <c r="TCN5"/>
      <c r="TCO5"/>
      <c r="TCP5"/>
      <c r="TCQ5"/>
      <c r="TCR5"/>
      <c r="TCS5"/>
      <c r="TCT5"/>
      <c r="TCU5"/>
      <c r="TCV5"/>
      <c r="TCW5"/>
      <c r="TCX5"/>
      <c r="TCY5"/>
      <c r="TCZ5"/>
      <c r="TDA5"/>
      <c r="TDB5"/>
      <c r="TDC5"/>
      <c r="TDD5"/>
      <c r="TDE5"/>
      <c r="TDF5"/>
      <c r="TDG5"/>
      <c r="TDH5"/>
      <c r="TDI5"/>
      <c r="TDJ5"/>
      <c r="TDK5"/>
      <c r="TDL5"/>
      <c r="TDM5"/>
      <c r="TDN5"/>
      <c r="TDO5"/>
      <c r="TDP5"/>
      <c r="TDQ5"/>
      <c r="TDR5"/>
      <c r="TDS5"/>
      <c r="TDT5"/>
      <c r="TDU5"/>
      <c r="TDV5"/>
      <c r="TDW5"/>
      <c r="TDX5"/>
      <c r="TDY5"/>
      <c r="TDZ5"/>
      <c r="TEA5"/>
      <c r="TEB5"/>
      <c r="TEC5"/>
      <c r="TED5"/>
      <c r="TEE5"/>
      <c r="TEF5"/>
      <c r="TEG5"/>
      <c r="TEH5"/>
      <c r="TEI5"/>
      <c r="TEJ5"/>
      <c r="TEK5"/>
      <c r="TEL5"/>
      <c r="TEM5"/>
      <c r="TEN5"/>
      <c r="TEO5"/>
      <c r="TEP5"/>
      <c r="TEQ5"/>
      <c r="TER5"/>
      <c r="TES5"/>
      <c r="TET5"/>
      <c r="TEU5"/>
      <c r="TEV5"/>
      <c r="TEW5"/>
      <c r="TEX5"/>
      <c r="TEY5"/>
      <c r="TEZ5"/>
      <c r="TFA5"/>
      <c r="TFB5"/>
      <c r="TFC5"/>
      <c r="TFD5"/>
      <c r="TFE5"/>
      <c r="TFF5"/>
      <c r="TFG5"/>
      <c r="TFH5"/>
      <c r="TFI5"/>
      <c r="TFJ5"/>
      <c r="TFK5"/>
      <c r="TFL5"/>
      <c r="TFM5"/>
      <c r="TFN5"/>
      <c r="TFO5"/>
      <c r="TFP5"/>
      <c r="TFQ5"/>
      <c r="TFR5"/>
      <c r="TFS5"/>
      <c r="TFT5"/>
      <c r="TFU5"/>
      <c r="TFV5"/>
      <c r="TFW5"/>
      <c r="TFX5"/>
      <c r="TFY5"/>
      <c r="TFZ5"/>
      <c r="TGA5"/>
      <c r="TGB5"/>
      <c r="TGC5"/>
      <c r="TGD5"/>
      <c r="TGE5"/>
      <c r="TGF5"/>
      <c r="TGG5"/>
      <c r="TGH5"/>
      <c r="TGI5"/>
      <c r="TGJ5"/>
      <c r="TGK5"/>
      <c r="TGL5"/>
      <c r="TGM5"/>
      <c r="TGN5"/>
      <c r="TGO5"/>
      <c r="TGP5"/>
      <c r="TGQ5"/>
      <c r="TGR5"/>
      <c r="TGS5"/>
      <c r="TGT5"/>
      <c r="TGU5"/>
      <c r="TGV5"/>
      <c r="TGW5"/>
      <c r="TGX5"/>
      <c r="TGY5"/>
      <c r="TGZ5"/>
      <c r="THA5"/>
      <c r="THB5"/>
      <c r="THC5"/>
      <c r="THD5"/>
      <c r="THE5"/>
      <c r="THF5"/>
      <c r="THG5"/>
      <c r="THH5"/>
      <c r="THI5"/>
      <c r="THJ5"/>
      <c r="THK5"/>
      <c r="THL5"/>
      <c r="THM5"/>
      <c r="THN5"/>
      <c r="THO5"/>
      <c r="THP5"/>
      <c r="THQ5"/>
      <c r="THR5"/>
      <c r="THS5"/>
      <c r="THT5"/>
      <c r="THU5"/>
      <c r="THV5"/>
      <c r="THW5"/>
      <c r="THX5"/>
      <c r="THY5"/>
      <c r="THZ5"/>
      <c r="TIA5"/>
      <c r="TIB5"/>
      <c r="TIC5"/>
      <c r="TID5"/>
      <c r="TIE5"/>
      <c r="TIF5"/>
      <c r="TIG5"/>
      <c r="TIH5"/>
      <c r="TII5"/>
      <c r="TIJ5"/>
      <c r="TIK5"/>
      <c r="TIL5"/>
      <c r="TIM5"/>
      <c r="TIN5"/>
      <c r="TIO5"/>
      <c r="TIP5"/>
      <c r="TIQ5"/>
      <c r="TIR5"/>
      <c r="TIS5"/>
      <c r="TIT5"/>
      <c r="TIU5"/>
      <c r="TIV5"/>
      <c r="TIW5"/>
      <c r="TIX5"/>
      <c r="TIY5"/>
      <c r="TIZ5"/>
      <c r="TJA5"/>
      <c r="TJB5"/>
      <c r="TJC5"/>
      <c r="TJD5"/>
      <c r="TJE5"/>
      <c r="TJF5"/>
      <c r="TJG5"/>
      <c r="TJH5"/>
      <c r="TJI5"/>
      <c r="TJJ5"/>
      <c r="TJK5"/>
      <c r="TJL5"/>
      <c r="TJM5"/>
      <c r="TJN5"/>
      <c r="TJO5"/>
      <c r="TJP5"/>
      <c r="TJQ5"/>
      <c r="TJR5"/>
      <c r="TJS5"/>
      <c r="TJT5"/>
      <c r="TJU5"/>
      <c r="TJV5"/>
      <c r="TJW5"/>
      <c r="TJX5"/>
      <c r="TJY5"/>
      <c r="TJZ5"/>
      <c r="TKA5"/>
      <c r="TKB5"/>
      <c r="TKC5"/>
      <c r="TKD5"/>
      <c r="TKE5"/>
      <c r="TKF5"/>
      <c r="TKG5"/>
      <c r="TKH5"/>
      <c r="TKI5"/>
      <c r="TKJ5"/>
      <c r="TKK5"/>
      <c r="TKL5"/>
      <c r="TKM5"/>
      <c r="TKN5"/>
      <c r="TKO5"/>
      <c r="TKP5"/>
      <c r="TKQ5"/>
      <c r="TKR5"/>
      <c r="TKS5"/>
      <c r="TKT5"/>
      <c r="TKU5"/>
      <c r="TKV5"/>
      <c r="TKW5"/>
      <c r="TKX5"/>
      <c r="TKY5"/>
      <c r="TKZ5"/>
      <c r="TLA5"/>
      <c r="TLB5"/>
      <c r="TLC5"/>
      <c r="TLD5"/>
      <c r="TLE5"/>
      <c r="TLF5"/>
      <c r="TLG5"/>
      <c r="TLH5"/>
      <c r="TLI5"/>
      <c r="TLJ5"/>
      <c r="TLK5"/>
      <c r="TLL5"/>
      <c r="TLM5"/>
      <c r="TLN5"/>
      <c r="TLO5"/>
      <c r="TLP5"/>
      <c r="TLQ5"/>
      <c r="TLR5"/>
      <c r="TLS5"/>
      <c r="TLT5"/>
      <c r="TLU5"/>
      <c r="TLV5"/>
      <c r="TLW5"/>
      <c r="TLX5"/>
      <c r="TLY5"/>
      <c r="TLZ5"/>
      <c r="TMA5"/>
      <c r="TMB5"/>
      <c r="TMC5"/>
      <c r="TMD5"/>
      <c r="TME5"/>
      <c r="TMF5"/>
      <c r="TMG5"/>
      <c r="TMH5"/>
      <c r="TMI5"/>
      <c r="TMJ5"/>
      <c r="TMK5"/>
      <c r="TML5"/>
      <c r="TMM5"/>
      <c r="TMN5"/>
      <c r="TMO5"/>
      <c r="TMP5"/>
      <c r="TMQ5"/>
      <c r="TMR5"/>
      <c r="TMS5"/>
      <c r="TMT5"/>
      <c r="TMU5"/>
      <c r="TMV5"/>
      <c r="TMW5"/>
      <c r="TMX5"/>
      <c r="TMY5"/>
      <c r="TMZ5"/>
      <c r="TNA5"/>
      <c r="TNB5"/>
      <c r="TNC5"/>
      <c r="TND5"/>
      <c r="TNE5"/>
      <c r="TNF5"/>
      <c r="TNG5"/>
      <c r="TNH5"/>
      <c r="TNI5"/>
      <c r="TNJ5"/>
      <c r="TNK5"/>
      <c r="TNL5"/>
      <c r="TNM5"/>
      <c r="TNN5"/>
      <c r="TNO5"/>
      <c r="TNP5"/>
      <c r="TNQ5"/>
      <c r="TNR5"/>
      <c r="TNS5"/>
      <c r="TNT5"/>
      <c r="TNU5"/>
      <c r="TNV5"/>
      <c r="TNW5"/>
      <c r="TNX5"/>
      <c r="TNY5"/>
      <c r="TNZ5"/>
      <c r="TOA5"/>
      <c r="TOB5"/>
      <c r="TOC5"/>
      <c r="TOD5"/>
      <c r="TOE5"/>
      <c r="TOF5"/>
      <c r="TOG5"/>
      <c r="TOH5"/>
      <c r="TOI5"/>
      <c r="TOJ5"/>
      <c r="TOK5"/>
      <c r="TOL5"/>
      <c r="TOM5"/>
      <c r="TON5"/>
      <c r="TOO5"/>
      <c r="TOP5"/>
      <c r="TOQ5"/>
      <c r="TOR5"/>
      <c r="TOS5"/>
      <c r="TOT5"/>
      <c r="TOU5"/>
      <c r="TOV5"/>
      <c r="TOW5"/>
      <c r="TOX5"/>
      <c r="TOY5"/>
      <c r="TOZ5"/>
      <c r="TPA5"/>
      <c r="TPB5"/>
      <c r="TPC5"/>
      <c r="TPD5"/>
      <c r="TPE5"/>
      <c r="TPF5"/>
      <c r="TPG5"/>
      <c r="TPH5"/>
      <c r="TPI5"/>
      <c r="TPJ5"/>
      <c r="TPK5"/>
      <c r="TPL5"/>
      <c r="TPM5"/>
      <c r="TPN5"/>
      <c r="TPO5"/>
      <c r="TPP5"/>
      <c r="TPQ5"/>
      <c r="TPR5"/>
      <c r="TPS5"/>
      <c r="TPT5"/>
      <c r="TPU5"/>
      <c r="TPV5"/>
      <c r="TPW5"/>
      <c r="TPX5"/>
      <c r="TPY5"/>
      <c r="TPZ5"/>
      <c r="TQA5"/>
      <c r="TQB5"/>
      <c r="TQC5"/>
      <c r="TQD5"/>
      <c r="TQE5"/>
      <c r="TQF5"/>
      <c r="TQG5"/>
      <c r="TQH5"/>
      <c r="TQI5"/>
      <c r="TQJ5"/>
      <c r="TQK5"/>
      <c r="TQL5"/>
      <c r="TQM5"/>
      <c r="TQN5"/>
      <c r="TQO5"/>
      <c r="TQP5"/>
      <c r="TQQ5"/>
      <c r="TQR5"/>
      <c r="TQS5"/>
      <c r="TQT5"/>
      <c r="TQU5"/>
      <c r="TQV5"/>
      <c r="TQW5"/>
      <c r="TQX5"/>
      <c r="TQY5"/>
      <c r="TQZ5"/>
      <c r="TRA5"/>
      <c r="TRB5"/>
      <c r="TRC5"/>
      <c r="TRD5"/>
      <c r="TRE5"/>
      <c r="TRF5"/>
      <c r="TRG5"/>
      <c r="TRH5"/>
      <c r="TRI5"/>
      <c r="TRJ5"/>
      <c r="TRK5"/>
      <c r="TRL5"/>
      <c r="TRM5"/>
      <c r="TRN5"/>
      <c r="TRO5"/>
      <c r="TRP5"/>
      <c r="TRQ5"/>
      <c r="TRR5"/>
      <c r="TRS5"/>
      <c r="TRT5"/>
      <c r="TRU5"/>
      <c r="TRV5"/>
      <c r="TRW5"/>
      <c r="TRX5"/>
      <c r="TRY5"/>
      <c r="TRZ5"/>
      <c r="TSA5"/>
      <c r="TSB5"/>
      <c r="TSC5"/>
      <c r="TSD5"/>
      <c r="TSE5"/>
      <c r="TSF5"/>
      <c r="TSG5"/>
      <c r="TSH5"/>
      <c r="TSI5"/>
      <c r="TSJ5"/>
      <c r="TSK5"/>
      <c r="TSL5"/>
      <c r="TSM5"/>
      <c r="TSN5"/>
      <c r="TSO5"/>
      <c r="TSP5"/>
      <c r="TSQ5"/>
      <c r="TSR5"/>
      <c r="TSS5"/>
      <c r="TST5"/>
      <c r="TSU5"/>
      <c r="TSV5"/>
      <c r="TSW5"/>
      <c r="TSX5"/>
      <c r="TSY5"/>
      <c r="TSZ5"/>
      <c r="TTA5"/>
      <c r="TTB5"/>
      <c r="TTC5"/>
      <c r="TTD5"/>
      <c r="TTE5"/>
      <c r="TTF5"/>
      <c r="TTG5"/>
      <c r="TTH5"/>
      <c r="TTI5"/>
      <c r="TTJ5"/>
      <c r="TTK5"/>
      <c r="TTL5"/>
      <c r="TTM5"/>
      <c r="TTN5"/>
      <c r="TTO5"/>
      <c r="TTP5"/>
      <c r="TTQ5"/>
      <c r="TTR5"/>
      <c r="TTS5"/>
      <c r="TTT5"/>
      <c r="TTU5"/>
      <c r="TTV5"/>
      <c r="TTW5"/>
      <c r="TTX5"/>
      <c r="TTY5"/>
      <c r="TTZ5"/>
      <c r="TUA5"/>
      <c r="TUB5"/>
      <c r="TUC5"/>
      <c r="TUD5"/>
      <c r="TUE5"/>
      <c r="TUF5"/>
      <c r="TUG5"/>
      <c r="TUH5"/>
      <c r="TUI5"/>
      <c r="TUJ5"/>
      <c r="TUK5"/>
      <c r="TUL5"/>
      <c r="TUM5"/>
      <c r="TUN5"/>
      <c r="TUO5"/>
      <c r="TUP5"/>
      <c r="TUQ5"/>
      <c r="TUR5"/>
      <c r="TUS5"/>
      <c r="TUT5"/>
      <c r="TUU5"/>
      <c r="TUV5"/>
      <c r="TUW5"/>
      <c r="TUX5"/>
      <c r="TUY5"/>
      <c r="TUZ5"/>
      <c r="TVA5"/>
      <c r="TVB5"/>
      <c r="TVC5"/>
      <c r="TVD5"/>
      <c r="TVE5"/>
      <c r="TVF5"/>
      <c r="TVG5"/>
      <c r="TVH5"/>
      <c r="TVI5"/>
      <c r="TVJ5"/>
      <c r="TVK5"/>
      <c r="TVL5"/>
      <c r="TVM5"/>
      <c r="TVN5"/>
      <c r="TVO5"/>
      <c r="TVP5"/>
      <c r="TVQ5"/>
      <c r="TVR5"/>
      <c r="TVS5"/>
      <c r="TVT5"/>
      <c r="TVU5"/>
      <c r="TVV5"/>
      <c r="TVW5"/>
      <c r="TVX5"/>
      <c r="TVY5"/>
      <c r="TVZ5"/>
      <c r="TWA5"/>
      <c r="TWB5"/>
      <c r="TWC5"/>
      <c r="TWD5"/>
      <c r="TWE5"/>
      <c r="TWF5"/>
      <c r="TWG5"/>
      <c r="TWH5"/>
      <c r="TWI5"/>
      <c r="TWJ5"/>
      <c r="TWK5"/>
      <c r="TWL5"/>
      <c r="TWM5"/>
      <c r="TWN5"/>
      <c r="TWO5"/>
      <c r="TWP5"/>
      <c r="TWQ5"/>
      <c r="TWR5"/>
      <c r="TWS5"/>
      <c r="TWT5"/>
      <c r="TWU5"/>
      <c r="TWV5"/>
      <c r="TWW5"/>
      <c r="TWX5"/>
      <c r="TWY5"/>
      <c r="TWZ5"/>
      <c r="TXA5"/>
      <c r="TXB5"/>
      <c r="TXC5"/>
      <c r="TXD5"/>
      <c r="TXE5"/>
      <c r="TXF5"/>
      <c r="TXG5"/>
      <c r="TXH5"/>
      <c r="TXI5"/>
      <c r="TXJ5"/>
      <c r="TXK5"/>
      <c r="TXL5"/>
      <c r="TXM5"/>
      <c r="TXN5"/>
      <c r="TXO5"/>
      <c r="TXP5"/>
      <c r="TXQ5"/>
      <c r="TXR5"/>
      <c r="TXS5"/>
      <c r="TXT5"/>
      <c r="TXU5"/>
      <c r="TXV5"/>
      <c r="TXW5"/>
      <c r="TXX5"/>
      <c r="TXY5"/>
      <c r="TXZ5"/>
      <c r="TYA5"/>
      <c r="TYB5"/>
      <c r="TYC5"/>
      <c r="TYD5"/>
      <c r="TYE5"/>
      <c r="TYF5"/>
      <c r="TYG5"/>
      <c r="TYH5"/>
      <c r="TYI5"/>
      <c r="TYJ5"/>
      <c r="TYK5"/>
      <c r="TYL5"/>
      <c r="TYM5"/>
      <c r="TYN5"/>
      <c r="TYO5"/>
      <c r="TYP5"/>
      <c r="TYQ5"/>
      <c r="TYR5"/>
      <c r="TYS5"/>
      <c r="TYT5"/>
      <c r="TYU5"/>
      <c r="TYV5"/>
      <c r="TYW5"/>
      <c r="TYX5"/>
      <c r="TYY5"/>
      <c r="TYZ5"/>
      <c r="TZA5"/>
      <c r="TZB5"/>
      <c r="TZC5"/>
      <c r="TZD5"/>
      <c r="TZE5"/>
      <c r="TZF5"/>
      <c r="TZG5"/>
      <c r="TZH5"/>
      <c r="TZI5"/>
      <c r="TZJ5"/>
      <c r="TZK5"/>
      <c r="TZL5"/>
      <c r="TZM5"/>
      <c r="TZN5"/>
      <c r="TZO5"/>
      <c r="TZP5"/>
      <c r="TZQ5"/>
      <c r="TZR5"/>
      <c r="TZS5"/>
      <c r="TZT5"/>
      <c r="TZU5"/>
      <c r="TZV5"/>
      <c r="TZW5"/>
      <c r="TZX5"/>
      <c r="TZY5"/>
      <c r="TZZ5"/>
      <c r="UAA5"/>
      <c r="UAB5"/>
      <c r="UAC5"/>
      <c r="UAD5"/>
      <c r="UAE5"/>
      <c r="UAF5"/>
      <c r="UAG5"/>
      <c r="UAH5"/>
      <c r="UAI5"/>
      <c r="UAJ5"/>
      <c r="UAK5"/>
      <c r="UAL5"/>
      <c r="UAM5"/>
      <c r="UAN5"/>
      <c r="UAO5"/>
      <c r="UAP5"/>
      <c r="UAQ5"/>
      <c r="UAR5"/>
      <c r="UAS5"/>
      <c r="UAT5"/>
      <c r="UAU5"/>
      <c r="UAV5"/>
      <c r="UAW5"/>
      <c r="UAX5"/>
      <c r="UAY5"/>
      <c r="UAZ5"/>
      <c r="UBA5"/>
      <c r="UBB5"/>
      <c r="UBC5"/>
      <c r="UBD5"/>
      <c r="UBE5"/>
      <c r="UBF5"/>
      <c r="UBG5"/>
      <c r="UBH5"/>
      <c r="UBI5"/>
      <c r="UBJ5"/>
      <c r="UBK5"/>
      <c r="UBL5"/>
      <c r="UBM5"/>
      <c r="UBN5"/>
      <c r="UBO5"/>
      <c r="UBP5"/>
      <c r="UBQ5"/>
      <c r="UBR5"/>
      <c r="UBS5"/>
      <c r="UBT5"/>
      <c r="UBU5"/>
      <c r="UBV5"/>
      <c r="UBW5"/>
      <c r="UBX5"/>
      <c r="UBY5"/>
      <c r="UBZ5"/>
      <c r="UCA5"/>
      <c r="UCB5"/>
      <c r="UCC5"/>
      <c r="UCD5"/>
      <c r="UCE5"/>
      <c r="UCF5"/>
      <c r="UCG5"/>
      <c r="UCH5"/>
      <c r="UCI5"/>
      <c r="UCJ5"/>
      <c r="UCK5"/>
      <c r="UCL5"/>
      <c r="UCM5"/>
      <c r="UCN5"/>
      <c r="UCO5"/>
      <c r="UCP5"/>
      <c r="UCQ5"/>
      <c r="UCR5"/>
      <c r="UCS5"/>
      <c r="UCT5"/>
      <c r="UCU5"/>
      <c r="UCV5"/>
      <c r="UCW5"/>
      <c r="UCX5"/>
      <c r="UCY5"/>
      <c r="UCZ5"/>
      <c r="UDA5"/>
      <c r="UDB5"/>
      <c r="UDC5"/>
      <c r="UDD5"/>
      <c r="UDE5"/>
      <c r="UDF5"/>
      <c r="UDG5"/>
      <c r="UDH5"/>
      <c r="UDI5"/>
      <c r="UDJ5"/>
      <c r="UDK5"/>
      <c r="UDL5"/>
      <c r="UDM5"/>
      <c r="UDN5"/>
      <c r="UDO5"/>
      <c r="UDP5"/>
      <c r="UDQ5"/>
      <c r="UDR5"/>
      <c r="UDS5"/>
      <c r="UDT5"/>
      <c r="UDU5"/>
      <c r="UDV5"/>
      <c r="UDW5"/>
      <c r="UDX5"/>
      <c r="UDY5"/>
      <c r="UDZ5"/>
      <c r="UEA5"/>
      <c r="UEB5"/>
      <c r="UEC5"/>
      <c r="UED5"/>
      <c r="UEE5"/>
      <c r="UEF5"/>
      <c r="UEG5"/>
      <c r="UEH5"/>
      <c r="UEI5"/>
      <c r="UEJ5"/>
      <c r="UEK5"/>
      <c r="UEL5"/>
      <c r="UEM5"/>
      <c r="UEN5"/>
      <c r="UEO5"/>
      <c r="UEP5"/>
      <c r="UEQ5"/>
      <c r="UER5"/>
      <c r="UES5"/>
      <c r="UET5"/>
      <c r="UEU5"/>
      <c r="UEV5"/>
      <c r="UEW5"/>
      <c r="UEX5"/>
      <c r="UEY5"/>
      <c r="UEZ5"/>
      <c r="UFA5"/>
      <c r="UFB5"/>
      <c r="UFC5"/>
      <c r="UFD5"/>
      <c r="UFE5"/>
      <c r="UFF5"/>
      <c r="UFG5"/>
      <c r="UFH5"/>
      <c r="UFI5"/>
      <c r="UFJ5"/>
      <c r="UFK5"/>
      <c r="UFL5"/>
      <c r="UFM5"/>
      <c r="UFN5"/>
      <c r="UFO5"/>
      <c r="UFP5"/>
      <c r="UFQ5"/>
      <c r="UFR5"/>
      <c r="UFS5"/>
      <c r="UFT5"/>
      <c r="UFU5"/>
      <c r="UFV5"/>
      <c r="UFW5"/>
      <c r="UFX5"/>
      <c r="UFY5"/>
      <c r="UFZ5"/>
      <c r="UGA5"/>
      <c r="UGB5"/>
      <c r="UGC5"/>
      <c r="UGD5"/>
      <c r="UGE5"/>
      <c r="UGF5"/>
      <c r="UGG5"/>
      <c r="UGH5"/>
      <c r="UGI5"/>
      <c r="UGJ5"/>
      <c r="UGK5"/>
      <c r="UGL5"/>
      <c r="UGM5"/>
      <c r="UGN5"/>
      <c r="UGO5"/>
      <c r="UGP5"/>
      <c r="UGQ5"/>
      <c r="UGR5"/>
      <c r="UGS5"/>
      <c r="UGT5"/>
      <c r="UGU5"/>
      <c r="UGV5"/>
      <c r="UGW5"/>
      <c r="UGX5"/>
      <c r="UGY5"/>
      <c r="UGZ5"/>
      <c r="UHA5"/>
      <c r="UHB5"/>
      <c r="UHC5"/>
      <c r="UHD5"/>
      <c r="UHE5"/>
      <c r="UHF5"/>
      <c r="UHG5"/>
      <c r="UHH5"/>
      <c r="UHI5"/>
      <c r="UHJ5"/>
      <c r="UHK5"/>
      <c r="UHL5"/>
      <c r="UHM5"/>
      <c r="UHN5"/>
      <c r="UHO5"/>
      <c r="UHP5"/>
      <c r="UHQ5"/>
      <c r="UHR5"/>
      <c r="UHS5"/>
      <c r="UHT5"/>
      <c r="UHU5"/>
      <c r="UHV5"/>
      <c r="UHW5"/>
      <c r="UHX5"/>
      <c r="UHY5"/>
      <c r="UHZ5"/>
      <c r="UIA5"/>
      <c r="UIB5"/>
      <c r="UIC5"/>
      <c r="UID5"/>
      <c r="UIE5"/>
      <c r="UIF5"/>
      <c r="UIG5"/>
      <c r="UIH5"/>
      <c r="UII5"/>
      <c r="UIJ5"/>
      <c r="UIK5"/>
      <c r="UIL5"/>
      <c r="UIM5"/>
      <c r="UIN5"/>
      <c r="UIO5"/>
      <c r="UIP5"/>
      <c r="UIQ5"/>
      <c r="UIR5"/>
      <c r="UIS5"/>
      <c r="UIT5"/>
      <c r="UIU5"/>
      <c r="UIV5"/>
      <c r="UIW5"/>
      <c r="UIX5"/>
      <c r="UIY5"/>
      <c r="UIZ5"/>
      <c r="UJA5"/>
      <c r="UJB5"/>
      <c r="UJC5"/>
      <c r="UJD5"/>
      <c r="UJE5"/>
      <c r="UJF5"/>
      <c r="UJG5"/>
      <c r="UJH5"/>
      <c r="UJI5"/>
      <c r="UJJ5"/>
      <c r="UJK5"/>
      <c r="UJL5"/>
      <c r="UJM5"/>
      <c r="UJN5"/>
      <c r="UJO5"/>
      <c r="UJP5"/>
      <c r="UJQ5"/>
      <c r="UJR5"/>
      <c r="UJS5"/>
      <c r="UJT5"/>
      <c r="UJU5"/>
      <c r="UJV5"/>
      <c r="UJW5"/>
      <c r="UJX5"/>
      <c r="UJY5"/>
      <c r="UJZ5"/>
      <c r="UKA5"/>
      <c r="UKB5"/>
      <c r="UKC5"/>
      <c r="UKD5"/>
      <c r="UKE5"/>
      <c r="UKF5"/>
      <c r="UKG5"/>
      <c r="UKH5"/>
      <c r="UKI5"/>
      <c r="UKJ5"/>
      <c r="UKK5"/>
      <c r="UKL5"/>
      <c r="UKM5"/>
      <c r="UKN5"/>
      <c r="UKO5"/>
      <c r="UKP5"/>
      <c r="UKQ5"/>
      <c r="UKR5"/>
      <c r="UKS5"/>
      <c r="UKT5"/>
      <c r="UKU5"/>
      <c r="UKV5"/>
      <c r="UKW5"/>
      <c r="UKX5"/>
      <c r="UKY5"/>
      <c r="UKZ5"/>
      <c r="ULA5"/>
      <c r="ULB5"/>
      <c r="ULC5"/>
      <c r="ULD5"/>
      <c r="ULE5"/>
      <c r="ULF5"/>
      <c r="ULG5"/>
      <c r="ULH5"/>
      <c r="ULI5"/>
      <c r="ULJ5"/>
      <c r="ULK5"/>
      <c r="ULL5"/>
      <c r="ULM5"/>
      <c r="ULN5"/>
      <c r="ULO5"/>
      <c r="ULP5"/>
      <c r="ULQ5"/>
      <c r="ULR5"/>
      <c r="ULS5"/>
      <c r="ULT5"/>
      <c r="ULU5"/>
      <c r="ULV5"/>
      <c r="ULW5"/>
      <c r="ULX5"/>
      <c r="ULY5"/>
      <c r="ULZ5"/>
      <c r="UMA5"/>
      <c r="UMB5"/>
      <c r="UMC5"/>
      <c r="UMD5"/>
      <c r="UME5"/>
      <c r="UMF5"/>
      <c r="UMG5"/>
      <c r="UMH5"/>
      <c r="UMI5"/>
      <c r="UMJ5"/>
      <c r="UMK5"/>
      <c r="UML5"/>
      <c r="UMM5"/>
      <c r="UMN5"/>
      <c r="UMO5"/>
      <c r="UMP5"/>
      <c r="UMQ5"/>
      <c r="UMR5"/>
      <c r="UMS5"/>
      <c r="UMT5"/>
      <c r="UMU5"/>
      <c r="UMV5"/>
      <c r="UMW5"/>
      <c r="UMX5"/>
      <c r="UMY5"/>
      <c r="UMZ5"/>
      <c r="UNA5"/>
      <c r="UNB5"/>
      <c r="UNC5"/>
      <c r="UND5"/>
      <c r="UNE5"/>
      <c r="UNF5"/>
      <c r="UNG5"/>
      <c r="UNH5"/>
      <c r="UNI5"/>
      <c r="UNJ5"/>
      <c r="UNK5"/>
      <c r="UNL5"/>
      <c r="UNM5"/>
      <c r="UNN5"/>
      <c r="UNO5"/>
      <c r="UNP5"/>
      <c r="UNQ5"/>
      <c r="UNR5"/>
      <c r="UNS5"/>
      <c r="UNT5"/>
      <c r="UNU5"/>
      <c r="UNV5"/>
      <c r="UNW5"/>
      <c r="UNX5"/>
      <c r="UNY5"/>
      <c r="UNZ5"/>
      <c r="UOA5"/>
      <c r="UOB5"/>
      <c r="UOC5"/>
      <c r="UOD5"/>
      <c r="UOE5"/>
      <c r="UOF5"/>
      <c r="UOG5"/>
      <c r="UOH5"/>
      <c r="UOI5"/>
      <c r="UOJ5"/>
      <c r="UOK5"/>
      <c r="UOL5"/>
      <c r="UOM5"/>
      <c r="UON5"/>
      <c r="UOO5"/>
      <c r="UOP5"/>
      <c r="UOQ5"/>
      <c r="UOR5"/>
      <c r="UOS5"/>
      <c r="UOT5"/>
      <c r="UOU5"/>
      <c r="UOV5"/>
      <c r="UOW5"/>
      <c r="UOX5"/>
      <c r="UOY5"/>
      <c r="UOZ5"/>
      <c r="UPA5"/>
      <c r="UPB5"/>
      <c r="UPC5"/>
      <c r="UPD5"/>
      <c r="UPE5"/>
      <c r="UPF5"/>
      <c r="UPG5"/>
      <c r="UPH5"/>
      <c r="UPI5"/>
      <c r="UPJ5"/>
      <c r="UPK5"/>
      <c r="UPL5"/>
      <c r="UPM5"/>
      <c r="UPN5"/>
      <c r="UPO5"/>
      <c r="UPP5"/>
      <c r="UPQ5"/>
      <c r="UPR5"/>
      <c r="UPS5"/>
      <c r="UPT5"/>
      <c r="UPU5"/>
      <c r="UPV5"/>
      <c r="UPW5"/>
      <c r="UPX5"/>
      <c r="UPY5"/>
      <c r="UPZ5"/>
      <c r="UQA5"/>
      <c r="UQB5"/>
      <c r="UQC5"/>
      <c r="UQD5"/>
      <c r="UQE5"/>
      <c r="UQF5"/>
      <c r="UQG5"/>
      <c r="UQH5"/>
      <c r="UQI5"/>
      <c r="UQJ5"/>
      <c r="UQK5"/>
      <c r="UQL5"/>
      <c r="UQM5"/>
      <c r="UQN5"/>
      <c r="UQO5"/>
      <c r="UQP5"/>
      <c r="UQQ5"/>
      <c r="UQR5"/>
      <c r="UQS5"/>
      <c r="UQT5"/>
      <c r="UQU5"/>
      <c r="UQV5"/>
      <c r="UQW5"/>
      <c r="UQX5"/>
      <c r="UQY5"/>
      <c r="UQZ5"/>
      <c r="URA5"/>
      <c r="URB5"/>
      <c r="URC5"/>
      <c r="URD5"/>
      <c r="URE5"/>
      <c r="URF5"/>
      <c r="URG5"/>
      <c r="URH5"/>
      <c r="URI5"/>
      <c r="URJ5"/>
      <c r="URK5"/>
      <c r="URL5"/>
      <c r="URM5"/>
      <c r="URN5"/>
      <c r="URO5"/>
      <c r="URP5"/>
      <c r="URQ5"/>
      <c r="URR5"/>
      <c r="URS5"/>
      <c r="URT5"/>
      <c r="URU5"/>
      <c r="URV5"/>
      <c r="URW5"/>
      <c r="URX5"/>
      <c r="URY5"/>
      <c r="URZ5"/>
      <c r="USA5"/>
      <c r="USB5"/>
      <c r="USC5"/>
      <c r="USD5"/>
      <c r="USE5"/>
      <c r="USF5"/>
      <c r="USG5"/>
      <c r="USH5"/>
      <c r="USI5"/>
      <c r="USJ5"/>
      <c r="USK5"/>
      <c r="USL5"/>
      <c r="USM5"/>
      <c r="USN5"/>
      <c r="USO5"/>
      <c r="USP5"/>
      <c r="USQ5"/>
      <c r="USR5"/>
      <c r="USS5"/>
      <c r="UST5"/>
      <c r="USU5"/>
      <c r="USV5"/>
      <c r="USW5"/>
      <c r="USX5"/>
      <c r="USY5"/>
      <c r="USZ5"/>
      <c r="UTA5"/>
      <c r="UTB5"/>
      <c r="UTC5"/>
      <c r="UTD5"/>
      <c r="UTE5"/>
      <c r="UTF5"/>
      <c r="UTG5"/>
      <c r="UTH5"/>
      <c r="UTI5"/>
      <c r="UTJ5"/>
      <c r="UTK5"/>
      <c r="UTL5"/>
      <c r="UTM5"/>
      <c r="UTN5"/>
      <c r="UTO5"/>
      <c r="UTP5"/>
      <c r="UTQ5"/>
      <c r="UTR5"/>
      <c r="UTS5"/>
      <c r="UTT5"/>
      <c r="UTU5"/>
      <c r="UTV5"/>
      <c r="UTW5"/>
      <c r="UTX5"/>
      <c r="UTY5"/>
      <c r="UTZ5"/>
      <c r="UUA5"/>
      <c r="UUB5"/>
      <c r="UUC5"/>
      <c r="UUD5"/>
      <c r="UUE5"/>
      <c r="UUF5"/>
      <c r="UUG5"/>
      <c r="UUH5"/>
      <c r="UUI5"/>
      <c r="UUJ5"/>
      <c r="UUK5"/>
      <c r="UUL5"/>
      <c r="UUM5"/>
      <c r="UUN5"/>
      <c r="UUO5"/>
      <c r="UUP5"/>
      <c r="UUQ5"/>
      <c r="UUR5"/>
      <c r="UUS5"/>
      <c r="UUT5"/>
      <c r="UUU5"/>
      <c r="UUV5"/>
      <c r="UUW5"/>
      <c r="UUX5"/>
      <c r="UUY5"/>
      <c r="UUZ5"/>
      <c r="UVA5"/>
      <c r="UVB5"/>
      <c r="UVC5"/>
      <c r="UVD5"/>
      <c r="UVE5"/>
      <c r="UVF5"/>
      <c r="UVG5"/>
      <c r="UVH5"/>
      <c r="UVI5"/>
      <c r="UVJ5"/>
      <c r="UVK5"/>
      <c r="UVL5"/>
      <c r="UVM5"/>
      <c r="UVN5"/>
      <c r="UVO5"/>
      <c r="UVP5"/>
      <c r="UVQ5"/>
      <c r="UVR5"/>
      <c r="UVS5"/>
      <c r="UVT5"/>
      <c r="UVU5"/>
      <c r="UVV5"/>
      <c r="UVW5"/>
      <c r="UVX5"/>
      <c r="UVY5"/>
      <c r="UVZ5"/>
      <c r="UWA5"/>
      <c r="UWB5"/>
      <c r="UWC5"/>
      <c r="UWD5"/>
      <c r="UWE5"/>
      <c r="UWF5"/>
      <c r="UWG5"/>
      <c r="UWH5"/>
      <c r="UWI5"/>
      <c r="UWJ5"/>
      <c r="UWK5"/>
      <c r="UWL5"/>
      <c r="UWM5"/>
      <c r="UWN5"/>
      <c r="UWO5"/>
      <c r="UWP5"/>
      <c r="UWQ5"/>
      <c r="UWR5"/>
      <c r="UWS5"/>
      <c r="UWT5"/>
      <c r="UWU5"/>
      <c r="UWV5"/>
      <c r="UWW5"/>
      <c r="UWX5"/>
      <c r="UWY5"/>
      <c r="UWZ5"/>
      <c r="UXA5"/>
      <c r="UXB5"/>
      <c r="UXC5"/>
      <c r="UXD5"/>
      <c r="UXE5"/>
      <c r="UXF5"/>
      <c r="UXG5"/>
      <c r="UXH5"/>
      <c r="UXI5"/>
      <c r="UXJ5"/>
      <c r="UXK5"/>
      <c r="UXL5"/>
      <c r="UXM5"/>
      <c r="UXN5"/>
      <c r="UXO5"/>
      <c r="UXP5"/>
      <c r="UXQ5"/>
      <c r="UXR5"/>
      <c r="UXS5"/>
      <c r="UXT5"/>
      <c r="UXU5"/>
      <c r="UXV5"/>
      <c r="UXW5"/>
      <c r="UXX5"/>
      <c r="UXY5"/>
      <c r="UXZ5"/>
      <c r="UYA5"/>
      <c r="UYB5"/>
      <c r="UYC5"/>
      <c r="UYD5"/>
      <c r="UYE5"/>
      <c r="UYF5"/>
      <c r="UYG5"/>
      <c r="UYH5"/>
      <c r="UYI5"/>
      <c r="UYJ5"/>
      <c r="UYK5"/>
      <c r="UYL5"/>
      <c r="UYM5"/>
      <c r="UYN5"/>
      <c r="UYO5"/>
      <c r="UYP5"/>
      <c r="UYQ5"/>
      <c r="UYR5"/>
      <c r="UYS5"/>
      <c r="UYT5"/>
      <c r="UYU5"/>
      <c r="UYV5"/>
      <c r="UYW5"/>
      <c r="UYX5"/>
      <c r="UYY5"/>
      <c r="UYZ5"/>
      <c r="UZA5"/>
      <c r="UZB5"/>
      <c r="UZC5"/>
      <c r="UZD5"/>
      <c r="UZE5"/>
      <c r="UZF5"/>
      <c r="UZG5"/>
      <c r="UZH5"/>
      <c r="UZI5"/>
      <c r="UZJ5"/>
      <c r="UZK5"/>
      <c r="UZL5"/>
      <c r="UZM5"/>
      <c r="UZN5"/>
      <c r="UZO5"/>
      <c r="UZP5"/>
      <c r="UZQ5"/>
      <c r="UZR5"/>
      <c r="UZS5"/>
      <c r="UZT5"/>
      <c r="UZU5"/>
      <c r="UZV5"/>
      <c r="UZW5"/>
      <c r="UZX5"/>
      <c r="UZY5"/>
      <c r="UZZ5"/>
      <c r="VAA5"/>
      <c r="VAB5"/>
      <c r="VAC5"/>
      <c r="VAD5"/>
      <c r="VAE5"/>
      <c r="VAF5"/>
      <c r="VAG5"/>
      <c r="VAH5"/>
      <c r="VAI5"/>
      <c r="VAJ5"/>
      <c r="VAK5"/>
      <c r="VAL5"/>
      <c r="VAM5"/>
      <c r="VAN5"/>
      <c r="VAO5"/>
      <c r="VAP5"/>
      <c r="VAQ5"/>
      <c r="VAR5"/>
      <c r="VAS5"/>
      <c r="VAT5"/>
      <c r="VAU5"/>
      <c r="VAV5"/>
      <c r="VAW5"/>
      <c r="VAX5"/>
      <c r="VAY5"/>
      <c r="VAZ5"/>
      <c r="VBA5"/>
      <c r="VBB5"/>
      <c r="VBC5"/>
      <c r="VBD5"/>
      <c r="VBE5"/>
      <c r="VBF5"/>
      <c r="VBG5"/>
      <c r="VBH5"/>
      <c r="VBI5"/>
      <c r="VBJ5"/>
      <c r="VBK5"/>
      <c r="VBL5"/>
      <c r="VBM5"/>
      <c r="VBN5"/>
      <c r="VBO5"/>
      <c r="VBP5"/>
      <c r="VBQ5"/>
      <c r="VBR5"/>
      <c r="VBS5"/>
      <c r="VBT5"/>
      <c r="VBU5"/>
      <c r="VBV5"/>
      <c r="VBW5"/>
      <c r="VBX5"/>
      <c r="VBY5"/>
      <c r="VBZ5"/>
      <c r="VCA5"/>
      <c r="VCB5"/>
      <c r="VCC5"/>
      <c r="VCD5"/>
      <c r="VCE5"/>
      <c r="VCF5"/>
      <c r="VCG5"/>
      <c r="VCH5"/>
      <c r="VCI5"/>
      <c r="VCJ5"/>
      <c r="VCK5"/>
      <c r="VCL5"/>
      <c r="VCM5"/>
      <c r="VCN5"/>
      <c r="VCO5"/>
      <c r="VCP5"/>
      <c r="VCQ5"/>
      <c r="VCR5"/>
      <c r="VCS5"/>
      <c r="VCT5"/>
      <c r="VCU5"/>
      <c r="VCV5"/>
      <c r="VCW5"/>
      <c r="VCX5"/>
      <c r="VCY5"/>
      <c r="VCZ5"/>
      <c r="VDA5"/>
      <c r="VDB5"/>
      <c r="VDC5"/>
      <c r="VDD5"/>
      <c r="VDE5"/>
      <c r="VDF5"/>
      <c r="VDG5"/>
      <c r="VDH5"/>
      <c r="VDI5"/>
      <c r="VDJ5"/>
      <c r="VDK5"/>
      <c r="VDL5"/>
      <c r="VDM5"/>
      <c r="VDN5"/>
      <c r="VDO5"/>
      <c r="VDP5"/>
      <c r="VDQ5"/>
      <c r="VDR5"/>
      <c r="VDS5"/>
      <c r="VDT5"/>
      <c r="VDU5"/>
      <c r="VDV5"/>
      <c r="VDW5"/>
      <c r="VDX5"/>
      <c r="VDY5"/>
      <c r="VDZ5"/>
      <c r="VEA5"/>
      <c r="VEB5"/>
      <c r="VEC5"/>
      <c r="VED5"/>
      <c r="VEE5"/>
      <c r="VEF5"/>
      <c r="VEG5"/>
      <c r="VEH5"/>
      <c r="VEI5"/>
      <c r="VEJ5"/>
      <c r="VEK5"/>
      <c r="VEL5"/>
      <c r="VEM5"/>
      <c r="VEN5"/>
      <c r="VEO5"/>
      <c r="VEP5"/>
      <c r="VEQ5"/>
      <c r="VER5"/>
      <c r="VES5"/>
      <c r="VET5"/>
      <c r="VEU5"/>
      <c r="VEV5"/>
      <c r="VEW5"/>
      <c r="VEX5"/>
      <c r="VEY5"/>
      <c r="VEZ5"/>
      <c r="VFA5"/>
      <c r="VFB5"/>
      <c r="VFC5"/>
      <c r="VFD5"/>
      <c r="VFE5"/>
      <c r="VFF5"/>
      <c r="VFG5"/>
      <c r="VFH5"/>
      <c r="VFI5"/>
      <c r="VFJ5"/>
      <c r="VFK5"/>
      <c r="VFL5"/>
      <c r="VFM5"/>
      <c r="VFN5"/>
      <c r="VFO5"/>
      <c r="VFP5"/>
      <c r="VFQ5"/>
      <c r="VFR5"/>
      <c r="VFS5"/>
      <c r="VFT5"/>
      <c r="VFU5"/>
      <c r="VFV5"/>
      <c r="VFW5"/>
      <c r="VFX5"/>
      <c r="VFY5"/>
      <c r="VFZ5"/>
      <c r="VGA5"/>
      <c r="VGB5"/>
      <c r="VGC5"/>
      <c r="VGD5"/>
      <c r="VGE5"/>
      <c r="VGF5"/>
      <c r="VGG5"/>
      <c r="VGH5"/>
      <c r="VGI5"/>
      <c r="VGJ5"/>
      <c r="VGK5"/>
      <c r="VGL5"/>
      <c r="VGM5"/>
      <c r="VGN5"/>
      <c r="VGO5"/>
      <c r="VGP5"/>
      <c r="VGQ5"/>
      <c r="VGR5"/>
      <c r="VGS5"/>
      <c r="VGT5"/>
      <c r="VGU5"/>
      <c r="VGV5"/>
      <c r="VGW5"/>
      <c r="VGX5"/>
      <c r="VGY5"/>
      <c r="VGZ5"/>
      <c r="VHA5"/>
      <c r="VHB5"/>
      <c r="VHC5"/>
      <c r="VHD5"/>
      <c r="VHE5"/>
      <c r="VHF5"/>
      <c r="VHG5"/>
      <c r="VHH5"/>
      <c r="VHI5"/>
      <c r="VHJ5"/>
      <c r="VHK5"/>
      <c r="VHL5"/>
      <c r="VHM5"/>
      <c r="VHN5"/>
      <c r="VHO5"/>
      <c r="VHP5"/>
      <c r="VHQ5"/>
      <c r="VHR5"/>
      <c r="VHS5"/>
      <c r="VHT5"/>
      <c r="VHU5"/>
      <c r="VHV5"/>
      <c r="VHW5"/>
      <c r="VHX5"/>
      <c r="VHY5"/>
      <c r="VHZ5"/>
      <c r="VIA5"/>
      <c r="VIB5"/>
      <c r="VIC5"/>
      <c r="VID5"/>
      <c r="VIE5"/>
      <c r="VIF5"/>
      <c r="VIG5"/>
      <c r="VIH5"/>
      <c r="VII5"/>
      <c r="VIJ5"/>
      <c r="VIK5"/>
      <c r="VIL5"/>
      <c r="VIM5"/>
      <c r="VIN5"/>
      <c r="VIO5"/>
      <c r="VIP5"/>
      <c r="VIQ5"/>
      <c r="VIR5"/>
      <c r="VIS5"/>
      <c r="VIT5"/>
      <c r="VIU5"/>
      <c r="VIV5"/>
      <c r="VIW5"/>
      <c r="VIX5"/>
      <c r="VIY5"/>
      <c r="VIZ5"/>
      <c r="VJA5"/>
      <c r="VJB5"/>
      <c r="VJC5"/>
      <c r="VJD5"/>
      <c r="VJE5"/>
      <c r="VJF5"/>
      <c r="VJG5"/>
      <c r="VJH5"/>
      <c r="VJI5"/>
      <c r="VJJ5"/>
      <c r="VJK5"/>
      <c r="VJL5"/>
      <c r="VJM5"/>
      <c r="VJN5"/>
      <c r="VJO5"/>
      <c r="VJP5"/>
      <c r="VJQ5"/>
      <c r="VJR5"/>
      <c r="VJS5"/>
      <c r="VJT5"/>
      <c r="VJU5"/>
      <c r="VJV5"/>
      <c r="VJW5"/>
      <c r="VJX5"/>
      <c r="VJY5"/>
      <c r="VJZ5"/>
      <c r="VKA5"/>
      <c r="VKB5"/>
      <c r="VKC5"/>
      <c r="VKD5"/>
      <c r="VKE5"/>
      <c r="VKF5"/>
      <c r="VKG5"/>
      <c r="VKH5"/>
      <c r="VKI5"/>
      <c r="VKJ5"/>
      <c r="VKK5"/>
      <c r="VKL5"/>
      <c r="VKM5"/>
      <c r="VKN5"/>
      <c r="VKO5"/>
      <c r="VKP5"/>
      <c r="VKQ5"/>
      <c r="VKR5"/>
      <c r="VKS5"/>
      <c r="VKT5"/>
      <c r="VKU5"/>
      <c r="VKV5"/>
      <c r="VKW5"/>
      <c r="VKX5"/>
      <c r="VKY5"/>
      <c r="VKZ5"/>
      <c r="VLA5"/>
      <c r="VLB5"/>
      <c r="VLC5"/>
      <c r="VLD5"/>
      <c r="VLE5"/>
      <c r="VLF5"/>
      <c r="VLG5"/>
      <c r="VLH5"/>
      <c r="VLI5"/>
      <c r="VLJ5"/>
      <c r="VLK5"/>
      <c r="VLL5"/>
      <c r="VLM5"/>
      <c r="VLN5"/>
      <c r="VLO5"/>
      <c r="VLP5"/>
      <c r="VLQ5"/>
      <c r="VLR5"/>
      <c r="VLS5"/>
      <c r="VLT5"/>
      <c r="VLU5"/>
      <c r="VLV5"/>
      <c r="VLW5"/>
      <c r="VLX5"/>
      <c r="VLY5"/>
      <c r="VLZ5"/>
      <c r="VMA5"/>
      <c r="VMB5"/>
      <c r="VMC5"/>
      <c r="VMD5"/>
      <c r="VME5"/>
      <c r="VMF5"/>
      <c r="VMG5"/>
      <c r="VMH5"/>
      <c r="VMI5"/>
      <c r="VMJ5"/>
      <c r="VMK5"/>
      <c r="VML5"/>
      <c r="VMM5"/>
      <c r="VMN5"/>
      <c r="VMO5"/>
      <c r="VMP5"/>
      <c r="VMQ5"/>
      <c r="VMR5"/>
      <c r="VMS5"/>
      <c r="VMT5"/>
      <c r="VMU5"/>
      <c r="VMV5"/>
      <c r="VMW5"/>
      <c r="VMX5"/>
      <c r="VMY5"/>
      <c r="VMZ5"/>
      <c r="VNA5"/>
      <c r="VNB5"/>
      <c r="VNC5"/>
      <c r="VND5"/>
      <c r="VNE5"/>
      <c r="VNF5"/>
      <c r="VNG5"/>
      <c r="VNH5"/>
      <c r="VNI5"/>
      <c r="VNJ5"/>
      <c r="VNK5"/>
      <c r="VNL5"/>
      <c r="VNM5"/>
      <c r="VNN5"/>
      <c r="VNO5"/>
      <c r="VNP5"/>
      <c r="VNQ5"/>
      <c r="VNR5"/>
      <c r="VNS5"/>
      <c r="VNT5"/>
      <c r="VNU5"/>
      <c r="VNV5"/>
      <c r="VNW5"/>
      <c r="VNX5"/>
      <c r="VNY5"/>
      <c r="VNZ5"/>
      <c r="VOA5"/>
      <c r="VOB5"/>
      <c r="VOC5"/>
      <c r="VOD5"/>
      <c r="VOE5"/>
      <c r="VOF5"/>
      <c r="VOG5"/>
      <c r="VOH5"/>
      <c r="VOI5"/>
      <c r="VOJ5"/>
      <c r="VOK5"/>
      <c r="VOL5"/>
      <c r="VOM5"/>
      <c r="VON5"/>
      <c r="VOO5"/>
      <c r="VOP5"/>
      <c r="VOQ5"/>
      <c r="VOR5"/>
      <c r="VOS5"/>
      <c r="VOT5"/>
      <c r="VOU5"/>
      <c r="VOV5"/>
      <c r="VOW5"/>
      <c r="VOX5"/>
      <c r="VOY5"/>
      <c r="VOZ5"/>
      <c r="VPA5"/>
      <c r="VPB5"/>
      <c r="VPC5"/>
      <c r="VPD5"/>
      <c r="VPE5"/>
      <c r="VPF5"/>
      <c r="VPG5"/>
      <c r="VPH5"/>
      <c r="VPI5"/>
      <c r="VPJ5"/>
      <c r="VPK5"/>
      <c r="VPL5"/>
      <c r="VPM5"/>
      <c r="VPN5"/>
      <c r="VPO5"/>
      <c r="VPP5"/>
      <c r="VPQ5"/>
      <c r="VPR5"/>
      <c r="VPS5"/>
      <c r="VPT5"/>
      <c r="VPU5"/>
      <c r="VPV5"/>
      <c r="VPW5"/>
      <c r="VPX5"/>
      <c r="VPY5"/>
      <c r="VPZ5"/>
      <c r="VQA5"/>
      <c r="VQB5"/>
      <c r="VQC5"/>
      <c r="VQD5"/>
      <c r="VQE5"/>
      <c r="VQF5"/>
      <c r="VQG5"/>
      <c r="VQH5"/>
      <c r="VQI5"/>
      <c r="VQJ5"/>
      <c r="VQK5"/>
      <c r="VQL5"/>
      <c r="VQM5"/>
      <c r="VQN5"/>
      <c r="VQO5"/>
      <c r="VQP5"/>
      <c r="VQQ5"/>
      <c r="VQR5"/>
      <c r="VQS5"/>
      <c r="VQT5"/>
      <c r="VQU5"/>
      <c r="VQV5"/>
      <c r="VQW5"/>
      <c r="VQX5"/>
      <c r="VQY5"/>
      <c r="VQZ5"/>
      <c r="VRA5"/>
      <c r="VRB5"/>
      <c r="VRC5"/>
      <c r="VRD5"/>
      <c r="VRE5"/>
      <c r="VRF5"/>
      <c r="VRG5"/>
      <c r="VRH5"/>
      <c r="VRI5"/>
      <c r="VRJ5"/>
      <c r="VRK5"/>
      <c r="VRL5"/>
      <c r="VRM5"/>
      <c r="VRN5"/>
      <c r="VRO5"/>
      <c r="VRP5"/>
      <c r="VRQ5"/>
      <c r="VRR5"/>
      <c r="VRS5"/>
      <c r="VRT5"/>
      <c r="VRU5"/>
      <c r="VRV5"/>
      <c r="VRW5"/>
      <c r="VRX5"/>
      <c r="VRY5"/>
      <c r="VRZ5"/>
      <c r="VSA5"/>
      <c r="VSB5"/>
      <c r="VSC5"/>
      <c r="VSD5"/>
      <c r="VSE5"/>
      <c r="VSF5"/>
      <c r="VSG5"/>
      <c r="VSH5"/>
      <c r="VSI5"/>
      <c r="VSJ5"/>
      <c r="VSK5"/>
      <c r="VSL5"/>
      <c r="VSM5"/>
      <c r="VSN5"/>
      <c r="VSO5"/>
      <c r="VSP5"/>
      <c r="VSQ5"/>
      <c r="VSR5"/>
      <c r="VSS5"/>
      <c r="VST5"/>
      <c r="VSU5"/>
      <c r="VSV5"/>
      <c r="VSW5"/>
      <c r="VSX5"/>
      <c r="VSY5"/>
      <c r="VSZ5"/>
      <c r="VTA5"/>
      <c r="VTB5"/>
      <c r="VTC5"/>
      <c r="VTD5"/>
      <c r="VTE5"/>
      <c r="VTF5"/>
      <c r="VTG5"/>
      <c r="VTH5"/>
      <c r="VTI5"/>
      <c r="VTJ5"/>
      <c r="VTK5"/>
      <c r="VTL5"/>
      <c r="VTM5"/>
      <c r="VTN5"/>
      <c r="VTO5"/>
      <c r="VTP5"/>
      <c r="VTQ5"/>
      <c r="VTR5"/>
      <c r="VTS5"/>
      <c r="VTT5"/>
      <c r="VTU5"/>
      <c r="VTV5"/>
      <c r="VTW5"/>
      <c r="VTX5"/>
      <c r="VTY5"/>
      <c r="VTZ5"/>
      <c r="VUA5"/>
      <c r="VUB5"/>
      <c r="VUC5"/>
      <c r="VUD5"/>
      <c r="VUE5"/>
      <c r="VUF5"/>
      <c r="VUG5"/>
      <c r="VUH5"/>
      <c r="VUI5"/>
      <c r="VUJ5"/>
      <c r="VUK5"/>
      <c r="VUL5"/>
      <c r="VUM5"/>
      <c r="VUN5"/>
      <c r="VUO5"/>
      <c r="VUP5"/>
      <c r="VUQ5"/>
      <c r="VUR5"/>
      <c r="VUS5"/>
      <c r="VUT5"/>
      <c r="VUU5"/>
      <c r="VUV5"/>
      <c r="VUW5"/>
      <c r="VUX5"/>
      <c r="VUY5"/>
      <c r="VUZ5"/>
      <c r="VVA5"/>
      <c r="VVB5"/>
      <c r="VVC5"/>
      <c r="VVD5"/>
      <c r="VVE5"/>
      <c r="VVF5"/>
      <c r="VVG5"/>
      <c r="VVH5"/>
      <c r="VVI5"/>
      <c r="VVJ5"/>
      <c r="VVK5"/>
      <c r="VVL5"/>
      <c r="VVM5"/>
      <c r="VVN5"/>
      <c r="VVO5"/>
      <c r="VVP5"/>
      <c r="VVQ5"/>
      <c r="VVR5"/>
      <c r="VVS5"/>
      <c r="VVT5"/>
      <c r="VVU5"/>
      <c r="VVV5"/>
      <c r="VVW5"/>
      <c r="VVX5"/>
      <c r="VVY5"/>
      <c r="VVZ5"/>
      <c r="VWA5"/>
      <c r="VWB5"/>
      <c r="VWC5"/>
      <c r="VWD5"/>
      <c r="VWE5"/>
      <c r="VWF5"/>
      <c r="VWG5"/>
      <c r="VWH5"/>
      <c r="VWI5"/>
      <c r="VWJ5"/>
      <c r="VWK5"/>
      <c r="VWL5"/>
      <c r="VWM5"/>
      <c r="VWN5"/>
      <c r="VWO5"/>
      <c r="VWP5"/>
      <c r="VWQ5"/>
      <c r="VWR5"/>
      <c r="VWS5"/>
      <c r="VWT5"/>
      <c r="VWU5"/>
      <c r="VWV5"/>
      <c r="VWW5"/>
      <c r="VWX5"/>
      <c r="VWY5"/>
      <c r="VWZ5"/>
      <c r="VXA5"/>
      <c r="VXB5"/>
      <c r="VXC5"/>
      <c r="VXD5"/>
      <c r="VXE5"/>
      <c r="VXF5"/>
      <c r="VXG5"/>
      <c r="VXH5"/>
      <c r="VXI5"/>
      <c r="VXJ5"/>
      <c r="VXK5"/>
      <c r="VXL5"/>
      <c r="VXM5"/>
      <c r="VXN5"/>
      <c r="VXO5"/>
      <c r="VXP5"/>
      <c r="VXQ5"/>
      <c r="VXR5"/>
      <c r="VXS5"/>
      <c r="VXT5"/>
      <c r="VXU5"/>
      <c r="VXV5"/>
      <c r="VXW5"/>
      <c r="VXX5"/>
      <c r="VXY5"/>
      <c r="VXZ5"/>
      <c r="VYA5"/>
      <c r="VYB5"/>
      <c r="VYC5"/>
      <c r="VYD5"/>
      <c r="VYE5"/>
      <c r="VYF5"/>
      <c r="VYG5"/>
      <c r="VYH5"/>
      <c r="VYI5"/>
      <c r="VYJ5"/>
      <c r="VYK5"/>
      <c r="VYL5"/>
      <c r="VYM5"/>
      <c r="VYN5"/>
      <c r="VYO5"/>
      <c r="VYP5"/>
      <c r="VYQ5"/>
      <c r="VYR5"/>
      <c r="VYS5"/>
      <c r="VYT5"/>
      <c r="VYU5"/>
      <c r="VYV5"/>
      <c r="VYW5"/>
      <c r="VYX5"/>
      <c r="VYY5"/>
      <c r="VYZ5"/>
      <c r="VZA5"/>
      <c r="VZB5"/>
      <c r="VZC5"/>
      <c r="VZD5"/>
      <c r="VZE5"/>
      <c r="VZF5"/>
      <c r="VZG5"/>
      <c r="VZH5"/>
      <c r="VZI5"/>
      <c r="VZJ5"/>
      <c r="VZK5"/>
      <c r="VZL5"/>
      <c r="VZM5"/>
      <c r="VZN5"/>
      <c r="VZO5"/>
      <c r="VZP5"/>
      <c r="VZQ5"/>
      <c r="VZR5"/>
      <c r="VZS5"/>
      <c r="VZT5"/>
      <c r="VZU5"/>
      <c r="VZV5"/>
      <c r="VZW5"/>
      <c r="VZX5"/>
      <c r="VZY5"/>
      <c r="VZZ5"/>
      <c r="WAA5"/>
      <c r="WAB5"/>
      <c r="WAC5"/>
      <c r="WAD5"/>
      <c r="WAE5"/>
      <c r="WAF5"/>
      <c r="WAG5"/>
      <c r="WAH5"/>
      <c r="WAI5"/>
      <c r="WAJ5"/>
      <c r="WAK5"/>
      <c r="WAL5"/>
      <c r="WAM5"/>
      <c r="WAN5"/>
      <c r="WAO5"/>
      <c r="WAP5"/>
      <c r="WAQ5"/>
      <c r="WAR5"/>
      <c r="WAS5"/>
      <c r="WAT5"/>
      <c r="WAU5"/>
      <c r="WAV5"/>
      <c r="WAW5"/>
      <c r="WAX5"/>
      <c r="WAY5"/>
      <c r="WAZ5"/>
      <c r="WBA5"/>
      <c r="WBB5"/>
      <c r="WBC5"/>
      <c r="WBD5"/>
      <c r="WBE5"/>
      <c r="WBF5"/>
      <c r="WBG5"/>
      <c r="WBH5"/>
      <c r="WBI5"/>
      <c r="WBJ5"/>
      <c r="WBK5"/>
      <c r="WBL5"/>
      <c r="WBM5"/>
      <c r="WBN5"/>
      <c r="WBO5"/>
      <c r="WBP5"/>
      <c r="WBQ5"/>
      <c r="WBR5"/>
      <c r="WBS5"/>
      <c r="WBT5"/>
      <c r="WBU5"/>
      <c r="WBV5"/>
      <c r="WBW5"/>
      <c r="WBX5"/>
      <c r="WBY5"/>
      <c r="WBZ5"/>
      <c r="WCA5"/>
      <c r="WCB5"/>
      <c r="WCC5"/>
      <c r="WCD5"/>
      <c r="WCE5"/>
      <c r="WCF5"/>
      <c r="WCG5"/>
      <c r="WCH5"/>
      <c r="WCI5"/>
      <c r="WCJ5"/>
      <c r="WCK5"/>
      <c r="WCL5"/>
      <c r="WCM5"/>
      <c r="WCN5"/>
      <c r="WCO5"/>
      <c r="WCP5"/>
      <c r="WCQ5"/>
      <c r="WCR5"/>
      <c r="WCS5"/>
      <c r="WCT5"/>
      <c r="WCU5"/>
      <c r="WCV5"/>
      <c r="WCW5"/>
      <c r="WCX5"/>
      <c r="WCY5"/>
      <c r="WCZ5"/>
      <c r="WDA5"/>
      <c r="WDB5"/>
      <c r="WDC5"/>
      <c r="WDD5"/>
      <c r="WDE5"/>
      <c r="WDF5"/>
      <c r="WDG5"/>
      <c r="WDH5"/>
      <c r="WDI5"/>
      <c r="WDJ5"/>
      <c r="WDK5"/>
      <c r="WDL5"/>
      <c r="WDM5"/>
      <c r="WDN5"/>
      <c r="WDO5"/>
      <c r="WDP5"/>
      <c r="WDQ5"/>
      <c r="WDR5"/>
      <c r="WDS5"/>
      <c r="WDT5"/>
      <c r="WDU5"/>
      <c r="WDV5"/>
      <c r="WDW5"/>
      <c r="WDX5"/>
      <c r="WDY5"/>
      <c r="WDZ5"/>
      <c r="WEA5"/>
      <c r="WEB5"/>
      <c r="WEC5"/>
      <c r="WED5"/>
      <c r="WEE5"/>
      <c r="WEF5"/>
      <c r="WEG5"/>
      <c r="WEH5"/>
      <c r="WEI5"/>
      <c r="WEJ5"/>
      <c r="WEK5"/>
      <c r="WEL5"/>
      <c r="WEM5"/>
      <c r="WEN5"/>
      <c r="WEO5"/>
      <c r="WEP5"/>
      <c r="WEQ5"/>
      <c r="WER5"/>
      <c r="WES5"/>
      <c r="WET5"/>
      <c r="WEU5"/>
      <c r="WEV5"/>
      <c r="WEW5"/>
      <c r="WEX5"/>
      <c r="WEY5"/>
      <c r="WEZ5"/>
      <c r="WFA5"/>
      <c r="WFB5"/>
      <c r="WFC5"/>
      <c r="WFD5"/>
      <c r="WFE5"/>
      <c r="WFF5"/>
      <c r="WFG5"/>
      <c r="WFH5"/>
      <c r="WFI5"/>
      <c r="WFJ5"/>
      <c r="WFK5"/>
      <c r="WFL5"/>
      <c r="WFM5"/>
      <c r="WFN5"/>
      <c r="WFO5"/>
      <c r="WFP5"/>
      <c r="WFQ5"/>
      <c r="WFR5"/>
      <c r="WFS5"/>
      <c r="WFT5"/>
      <c r="WFU5"/>
      <c r="WFV5"/>
      <c r="WFW5"/>
      <c r="WFX5"/>
      <c r="WFY5"/>
      <c r="WFZ5"/>
      <c r="WGA5"/>
      <c r="WGB5"/>
      <c r="WGC5"/>
      <c r="WGD5"/>
      <c r="WGE5"/>
      <c r="WGF5"/>
      <c r="WGG5"/>
      <c r="WGH5"/>
      <c r="WGI5"/>
      <c r="WGJ5"/>
      <c r="WGK5"/>
      <c r="WGL5"/>
      <c r="WGM5"/>
      <c r="WGN5"/>
      <c r="WGO5"/>
      <c r="WGP5"/>
      <c r="WGQ5"/>
      <c r="WGR5"/>
      <c r="WGS5"/>
      <c r="WGT5"/>
      <c r="WGU5"/>
      <c r="WGV5"/>
      <c r="WGW5"/>
      <c r="WGX5"/>
      <c r="WGY5"/>
      <c r="WGZ5"/>
      <c r="WHA5"/>
      <c r="WHB5"/>
      <c r="WHC5"/>
      <c r="WHD5"/>
      <c r="WHE5"/>
      <c r="WHF5"/>
      <c r="WHG5"/>
      <c r="WHH5"/>
      <c r="WHI5"/>
      <c r="WHJ5"/>
      <c r="WHK5"/>
      <c r="WHL5"/>
      <c r="WHM5"/>
      <c r="WHN5"/>
      <c r="WHO5"/>
      <c r="WHP5"/>
      <c r="WHQ5"/>
      <c r="WHR5"/>
      <c r="WHS5"/>
      <c r="WHT5"/>
      <c r="WHU5"/>
      <c r="WHV5"/>
      <c r="WHW5"/>
      <c r="WHX5"/>
      <c r="WHY5"/>
      <c r="WHZ5"/>
      <c r="WIA5"/>
      <c r="WIB5"/>
      <c r="WIC5"/>
      <c r="WID5"/>
      <c r="WIE5"/>
      <c r="WIF5"/>
      <c r="WIG5"/>
      <c r="WIH5"/>
      <c r="WII5"/>
      <c r="WIJ5"/>
      <c r="WIK5"/>
      <c r="WIL5"/>
      <c r="WIM5"/>
      <c r="WIN5"/>
      <c r="WIO5"/>
      <c r="WIP5"/>
      <c r="WIQ5"/>
      <c r="WIR5"/>
      <c r="WIS5"/>
      <c r="WIT5"/>
      <c r="WIU5"/>
      <c r="WIV5"/>
      <c r="WIW5"/>
      <c r="WIX5"/>
      <c r="WIY5"/>
      <c r="WIZ5"/>
      <c r="WJA5"/>
      <c r="WJB5"/>
      <c r="WJC5"/>
      <c r="WJD5"/>
      <c r="WJE5"/>
      <c r="WJF5"/>
      <c r="WJG5"/>
      <c r="WJH5"/>
      <c r="WJI5"/>
      <c r="WJJ5"/>
      <c r="WJK5"/>
      <c r="WJL5"/>
      <c r="WJM5"/>
      <c r="WJN5"/>
      <c r="WJO5"/>
      <c r="WJP5"/>
      <c r="WJQ5"/>
      <c r="WJR5"/>
      <c r="WJS5"/>
      <c r="WJT5"/>
      <c r="WJU5"/>
      <c r="WJV5"/>
      <c r="WJW5"/>
      <c r="WJX5"/>
      <c r="WJY5"/>
      <c r="WJZ5"/>
      <c r="WKA5"/>
      <c r="WKB5"/>
      <c r="WKC5"/>
      <c r="WKD5"/>
      <c r="WKE5"/>
      <c r="WKF5"/>
      <c r="WKG5"/>
      <c r="WKH5"/>
      <c r="WKI5"/>
      <c r="WKJ5"/>
      <c r="WKK5"/>
      <c r="WKL5"/>
      <c r="WKM5"/>
      <c r="WKN5"/>
      <c r="WKO5"/>
      <c r="WKP5"/>
      <c r="WKQ5"/>
      <c r="WKR5"/>
      <c r="WKS5"/>
      <c r="WKT5"/>
      <c r="WKU5"/>
      <c r="WKV5"/>
      <c r="WKW5"/>
      <c r="WKX5"/>
      <c r="WKY5"/>
      <c r="WKZ5"/>
      <c r="WLA5"/>
      <c r="WLB5"/>
      <c r="WLC5"/>
      <c r="WLD5"/>
      <c r="WLE5"/>
      <c r="WLF5"/>
      <c r="WLG5"/>
      <c r="WLH5"/>
      <c r="WLI5"/>
      <c r="WLJ5"/>
      <c r="WLK5"/>
      <c r="WLL5"/>
      <c r="WLM5"/>
      <c r="WLN5"/>
      <c r="WLO5"/>
      <c r="WLP5"/>
      <c r="WLQ5"/>
      <c r="WLR5"/>
      <c r="WLS5"/>
      <c r="WLT5"/>
      <c r="WLU5"/>
      <c r="WLV5"/>
      <c r="WLW5"/>
      <c r="WLX5"/>
      <c r="WLY5"/>
      <c r="WLZ5"/>
      <c r="WMA5"/>
      <c r="WMB5"/>
      <c r="WMC5"/>
      <c r="WMD5"/>
      <c r="WME5"/>
      <c r="WMF5"/>
      <c r="WMG5"/>
      <c r="WMH5"/>
      <c r="WMI5"/>
      <c r="WMJ5"/>
      <c r="WMK5"/>
      <c r="WML5"/>
      <c r="WMM5"/>
      <c r="WMN5"/>
      <c r="WMO5"/>
      <c r="WMP5"/>
      <c r="WMQ5"/>
      <c r="WMR5"/>
      <c r="WMS5"/>
      <c r="WMT5"/>
      <c r="WMU5"/>
      <c r="WMV5"/>
      <c r="WMW5"/>
      <c r="WMX5"/>
      <c r="WMY5"/>
      <c r="WMZ5"/>
      <c r="WNA5"/>
      <c r="WNB5"/>
      <c r="WNC5"/>
      <c r="WND5"/>
      <c r="WNE5"/>
      <c r="WNF5"/>
      <c r="WNG5"/>
      <c r="WNH5"/>
      <c r="WNI5"/>
      <c r="WNJ5"/>
      <c r="WNK5"/>
      <c r="WNL5"/>
      <c r="WNM5"/>
      <c r="WNN5"/>
      <c r="WNO5"/>
      <c r="WNP5"/>
      <c r="WNQ5"/>
      <c r="WNR5"/>
      <c r="WNS5"/>
      <c r="WNT5"/>
      <c r="WNU5"/>
      <c r="WNV5"/>
      <c r="WNW5"/>
      <c r="WNX5"/>
      <c r="WNY5"/>
      <c r="WNZ5"/>
      <c r="WOA5"/>
      <c r="WOB5"/>
      <c r="WOC5"/>
      <c r="WOD5"/>
      <c r="WOE5"/>
      <c r="WOF5"/>
      <c r="WOG5"/>
      <c r="WOH5"/>
      <c r="WOI5"/>
      <c r="WOJ5"/>
      <c r="WOK5"/>
      <c r="WOL5"/>
      <c r="WOM5"/>
      <c r="WON5"/>
      <c r="WOO5"/>
      <c r="WOP5"/>
      <c r="WOQ5"/>
      <c r="WOR5"/>
      <c r="WOS5"/>
      <c r="WOT5"/>
      <c r="WOU5"/>
      <c r="WOV5"/>
      <c r="WOW5"/>
      <c r="WOX5"/>
      <c r="WOY5"/>
      <c r="WOZ5"/>
      <c r="WPA5"/>
      <c r="WPB5"/>
      <c r="WPC5"/>
      <c r="WPD5"/>
      <c r="WPE5"/>
      <c r="WPF5"/>
      <c r="WPG5"/>
      <c r="WPH5"/>
      <c r="WPI5"/>
      <c r="WPJ5"/>
      <c r="WPK5"/>
      <c r="WPL5"/>
      <c r="WPM5"/>
      <c r="WPN5"/>
      <c r="WPO5"/>
      <c r="WPP5"/>
      <c r="WPQ5"/>
      <c r="WPR5"/>
      <c r="WPS5"/>
      <c r="WPT5"/>
      <c r="WPU5"/>
      <c r="WPV5"/>
      <c r="WPW5"/>
      <c r="WPX5"/>
      <c r="WPY5"/>
      <c r="WPZ5"/>
      <c r="WQA5"/>
      <c r="WQB5"/>
      <c r="WQC5"/>
      <c r="WQD5"/>
      <c r="WQE5"/>
      <c r="WQF5"/>
      <c r="WQG5"/>
      <c r="WQH5"/>
      <c r="WQI5"/>
      <c r="WQJ5"/>
      <c r="WQK5"/>
      <c r="WQL5"/>
      <c r="WQM5"/>
      <c r="WQN5"/>
      <c r="WQO5"/>
      <c r="WQP5"/>
      <c r="WQQ5"/>
      <c r="WQR5"/>
      <c r="WQS5"/>
      <c r="WQT5"/>
      <c r="WQU5"/>
      <c r="WQV5"/>
      <c r="WQW5"/>
      <c r="WQX5"/>
      <c r="WQY5"/>
      <c r="WQZ5"/>
      <c r="WRA5"/>
      <c r="WRB5"/>
      <c r="WRC5"/>
      <c r="WRD5"/>
      <c r="WRE5"/>
      <c r="WRF5"/>
      <c r="WRG5"/>
      <c r="WRH5"/>
      <c r="WRI5"/>
      <c r="WRJ5"/>
      <c r="WRK5"/>
      <c r="WRL5"/>
      <c r="WRM5"/>
      <c r="WRN5"/>
      <c r="WRO5"/>
      <c r="WRP5"/>
      <c r="WRQ5"/>
      <c r="WRR5"/>
      <c r="WRS5"/>
      <c r="WRT5"/>
      <c r="WRU5"/>
      <c r="WRV5"/>
      <c r="WRW5"/>
      <c r="WRX5"/>
      <c r="WRY5"/>
      <c r="WRZ5"/>
      <c r="WSA5"/>
      <c r="WSB5"/>
      <c r="WSC5"/>
      <c r="WSD5"/>
      <c r="WSE5"/>
      <c r="WSF5"/>
      <c r="WSG5"/>
      <c r="WSH5"/>
      <c r="WSI5"/>
      <c r="WSJ5"/>
      <c r="WSK5"/>
      <c r="WSL5"/>
      <c r="WSM5"/>
      <c r="WSN5"/>
      <c r="WSO5"/>
      <c r="WSP5"/>
      <c r="WSQ5"/>
      <c r="WSR5"/>
      <c r="WSS5"/>
      <c r="WST5"/>
      <c r="WSU5"/>
      <c r="WSV5"/>
      <c r="WSW5"/>
      <c r="WSX5"/>
      <c r="WSY5"/>
      <c r="WSZ5"/>
      <c r="WTA5"/>
      <c r="WTB5"/>
      <c r="WTC5"/>
      <c r="WTD5"/>
      <c r="WTE5"/>
      <c r="WTF5"/>
      <c r="WTG5"/>
      <c r="WTH5"/>
      <c r="WTI5"/>
      <c r="WTJ5"/>
      <c r="WTK5"/>
      <c r="WTL5"/>
      <c r="WTM5"/>
      <c r="WTN5"/>
      <c r="WTO5"/>
      <c r="WTP5"/>
      <c r="WTQ5"/>
      <c r="WTR5"/>
      <c r="WTS5"/>
      <c r="WTT5"/>
      <c r="WTU5"/>
      <c r="WTV5"/>
      <c r="WTW5"/>
      <c r="WTX5"/>
      <c r="WTY5"/>
      <c r="WTZ5"/>
      <c r="WUA5"/>
      <c r="WUB5"/>
      <c r="WUC5"/>
      <c r="WUD5"/>
      <c r="WUE5"/>
      <c r="WUF5"/>
      <c r="WUG5"/>
      <c r="WUH5"/>
      <c r="WUI5"/>
      <c r="WUJ5"/>
      <c r="WUK5"/>
      <c r="WUL5"/>
      <c r="WUM5"/>
      <c r="WUN5"/>
      <c r="WUO5"/>
      <c r="WUP5"/>
      <c r="WUQ5"/>
      <c r="WUR5"/>
      <c r="WUS5"/>
      <c r="WUT5"/>
      <c r="WUU5"/>
      <c r="WUV5"/>
      <c r="WUW5"/>
      <c r="WUX5"/>
      <c r="WUY5"/>
      <c r="WUZ5"/>
      <c r="WVA5"/>
      <c r="WVB5"/>
      <c r="WVC5"/>
      <c r="WVD5"/>
      <c r="WVE5"/>
      <c r="WVF5"/>
      <c r="WVG5"/>
      <c r="WVH5"/>
      <c r="WVI5"/>
      <c r="WVJ5"/>
      <c r="WVK5"/>
      <c r="WVL5"/>
      <c r="WVM5"/>
      <c r="WVN5"/>
      <c r="WVO5"/>
      <c r="WVP5"/>
      <c r="WVQ5"/>
      <c r="WVR5"/>
      <c r="WVS5"/>
      <c r="WVT5"/>
      <c r="WVU5"/>
      <c r="WVV5"/>
      <c r="WVW5"/>
      <c r="WVX5"/>
      <c r="WVY5"/>
      <c r="WVZ5"/>
      <c r="WWA5"/>
      <c r="WWB5"/>
      <c r="WWC5"/>
      <c r="WWD5"/>
      <c r="WWE5"/>
      <c r="WWF5"/>
      <c r="WWG5"/>
      <c r="WWH5"/>
      <c r="WWI5"/>
      <c r="WWJ5"/>
      <c r="WWK5"/>
      <c r="WWL5"/>
      <c r="WWM5"/>
      <c r="WWN5"/>
      <c r="WWO5"/>
      <c r="WWP5"/>
      <c r="WWQ5"/>
      <c r="WWR5"/>
      <c r="WWS5"/>
      <c r="WWT5"/>
      <c r="WWU5"/>
      <c r="WWV5"/>
      <c r="WWW5"/>
      <c r="WWX5"/>
      <c r="WWY5"/>
      <c r="WWZ5"/>
      <c r="WXA5"/>
      <c r="WXB5"/>
      <c r="WXC5"/>
      <c r="WXD5"/>
      <c r="WXE5"/>
      <c r="WXF5"/>
      <c r="WXG5"/>
      <c r="WXH5"/>
      <c r="WXI5"/>
      <c r="WXJ5"/>
      <c r="WXK5"/>
      <c r="WXL5"/>
      <c r="WXM5"/>
      <c r="WXN5"/>
      <c r="WXO5"/>
      <c r="WXP5"/>
      <c r="WXQ5"/>
      <c r="WXR5"/>
      <c r="WXS5"/>
      <c r="WXT5"/>
      <c r="WXU5"/>
      <c r="WXV5"/>
      <c r="WXW5"/>
      <c r="WXX5"/>
      <c r="WXY5"/>
      <c r="WXZ5"/>
      <c r="WYA5"/>
      <c r="WYB5"/>
      <c r="WYC5"/>
      <c r="WYD5"/>
      <c r="WYE5"/>
      <c r="WYF5"/>
      <c r="WYG5"/>
      <c r="WYH5"/>
      <c r="WYI5"/>
      <c r="WYJ5"/>
      <c r="WYK5"/>
      <c r="WYL5"/>
      <c r="WYM5"/>
      <c r="WYN5"/>
      <c r="WYO5"/>
      <c r="WYP5"/>
      <c r="WYQ5"/>
      <c r="WYR5"/>
      <c r="WYS5"/>
      <c r="WYT5"/>
      <c r="WYU5"/>
      <c r="WYV5"/>
      <c r="WYW5"/>
      <c r="WYX5"/>
      <c r="WYY5"/>
      <c r="WYZ5"/>
      <c r="WZA5"/>
      <c r="WZB5"/>
      <c r="WZC5"/>
      <c r="WZD5"/>
      <c r="WZE5"/>
      <c r="WZF5"/>
      <c r="WZG5"/>
      <c r="WZH5"/>
      <c r="WZI5"/>
      <c r="WZJ5"/>
      <c r="WZK5"/>
      <c r="WZL5"/>
      <c r="WZM5"/>
      <c r="WZN5"/>
      <c r="WZO5"/>
      <c r="WZP5"/>
      <c r="WZQ5"/>
      <c r="WZR5"/>
      <c r="WZS5"/>
      <c r="WZT5"/>
      <c r="WZU5"/>
      <c r="WZV5"/>
      <c r="WZW5"/>
      <c r="WZX5"/>
      <c r="WZY5"/>
      <c r="WZZ5"/>
      <c r="XAA5"/>
      <c r="XAB5"/>
      <c r="XAC5"/>
      <c r="XAD5"/>
      <c r="XAE5"/>
      <c r="XAF5"/>
      <c r="XAG5"/>
      <c r="XAH5"/>
      <c r="XAI5"/>
      <c r="XAJ5"/>
      <c r="XAK5"/>
      <c r="XAL5"/>
      <c r="XAM5"/>
      <c r="XAN5"/>
      <c r="XAO5"/>
      <c r="XAP5"/>
      <c r="XAQ5"/>
      <c r="XAR5"/>
      <c r="XAS5"/>
      <c r="XAT5"/>
      <c r="XAU5"/>
      <c r="XAV5"/>
      <c r="XAW5"/>
      <c r="XAX5"/>
      <c r="XAY5"/>
      <c r="XAZ5"/>
      <c r="XBA5"/>
      <c r="XBB5"/>
      <c r="XBC5"/>
      <c r="XBD5"/>
      <c r="XBE5"/>
      <c r="XBF5"/>
      <c r="XBG5"/>
      <c r="XBH5"/>
      <c r="XBI5"/>
      <c r="XBJ5"/>
      <c r="XBK5"/>
      <c r="XBL5"/>
      <c r="XBM5"/>
      <c r="XBN5"/>
      <c r="XBO5"/>
      <c r="XBP5"/>
      <c r="XBQ5"/>
      <c r="XBR5"/>
      <c r="XBS5"/>
      <c r="XBT5"/>
      <c r="XBU5"/>
      <c r="XBV5"/>
      <c r="XBW5"/>
      <c r="XBX5"/>
      <c r="XBY5"/>
      <c r="XBZ5"/>
      <c r="XCA5"/>
      <c r="XCB5"/>
      <c r="XCC5"/>
      <c r="XCD5"/>
      <c r="XCE5"/>
      <c r="XCF5"/>
      <c r="XCG5"/>
      <c r="XCH5"/>
      <c r="XCI5"/>
      <c r="XCJ5"/>
      <c r="XCK5"/>
      <c r="XCL5"/>
      <c r="XCM5"/>
      <c r="XCN5"/>
      <c r="XCO5"/>
      <c r="XCP5"/>
      <c r="XCQ5"/>
      <c r="XCR5"/>
      <c r="XCS5"/>
      <c r="XCT5"/>
      <c r="XCU5"/>
      <c r="XCV5"/>
      <c r="XCW5"/>
      <c r="XCX5"/>
      <c r="XCY5"/>
      <c r="XCZ5"/>
      <c r="XDA5"/>
      <c r="XDB5"/>
      <c r="XDC5"/>
      <c r="XDD5"/>
      <c r="XDE5"/>
      <c r="XDF5"/>
      <c r="XDG5"/>
      <c r="XDH5"/>
      <c r="XDI5"/>
      <c r="XDJ5"/>
      <c r="XDK5"/>
      <c r="XDL5"/>
      <c r="XDM5"/>
      <c r="XDN5"/>
      <c r="XDO5"/>
      <c r="XDP5"/>
      <c r="XDQ5"/>
      <c r="XDR5"/>
      <c r="XDS5"/>
      <c r="XDT5"/>
      <c r="XDU5"/>
      <c r="XDV5"/>
      <c r="XDW5"/>
      <c r="XDX5"/>
      <c r="XDY5"/>
      <c r="XDZ5"/>
      <c r="XEA5"/>
      <c r="XEB5"/>
      <c r="XEC5"/>
      <c r="XED5"/>
      <c r="XEE5"/>
      <c r="XEF5"/>
      <c r="XEG5"/>
      <c r="XEH5"/>
      <c r="XEI5"/>
      <c r="XEJ5"/>
      <c r="XEK5"/>
      <c r="XEL5"/>
      <c r="XEM5"/>
      <c r="XEN5"/>
      <c r="XEO5"/>
      <c r="XEP5"/>
      <c r="XEQ5"/>
      <c r="XER5"/>
      <c r="XES5"/>
      <c r="XET5"/>
      <c r="XEU5"/>
      <c r="XEV5"/>
      <c r="XEW5"/>
      <c r="XEX5"/>
      <c r="XEY5"/>
      <c r="XEZ5"/>
      <c r="XFA5"/>
      <c r="XFB5"/>
      <c r="XFC5"/>
      <c r="XFD5"/>
    </row>
    <row r="6" spans="1:16384" s="1692" customFormat="1" x14ac:dyDescent="0.2">
      <c r="A6"/>
      <c r="E6" s="1692" t="s">
        <v>1700</v>
      </c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  <c r="ARW6"/>
      <c r="ARX6"/>
      <c r="ARY6"/>
      <c r="ARZ6"/>
      <c r="ASA6"/>
      <c r="ASB6"/>
      <c r="ASC6"/>
      <c r="ASD6"/>
      <c r="ASE6"/>
      <c r="ASF6"/>
      <c r="ASG6"/>
      <c r="ASH6"/>
      <c r="ASI6"/>
      <c r="ASJ6"/>
      <c r="ASK6"/>
      <c r="ASL6"/>
      <c r="ASM6"/>
      <c r="ASN6"/>
      <c r="ASO6"/>
      <c r="ASP6"/>
      <c r="ASQ6"/>
      <c r="ASR6"/>
      <c r="ASS6"/>
      <c r="AST6"/>
      <c r="ASU6"/>
      <c r="ASV6"/>
      <c r="ASW6"/>
      <c r="ASX6"/>
      <c r="ASY6"/>
      <c r="ASZ6"/>
      <c r="ATA6"/>
      <c r="ATB6"/>
      <c r="ATC6"/>
      <c r="ATD6"/>
      <c r="ATE6"/>
      <c r="ATF6"/>
      <c r="ATG6"/>
      <c r="ATH6"/>
      <c r="ATI6"/>
      <c r="ATJ6"/>
      <c r="ATK6"/>
      <c r="ATL6"/>
      <c r="ATM6"/>
      <c r="ATN6"/>
      <c r="ATO6"/>
      <c r="ATP6"/>
      <c r="ATQ6"/>
      <c r="ATR6"/>
      <c r="ATS6"/>
      <c r="ATT6"/>
      <c r="ATU6"/>
      <c r="ATV6"/>
      <c r="ATW6"/>
      <c r="ATX6"/>
      <c r="ATY6"/>
      <c r="ATZ6"/>
      <c r="AUA6"/>
      <c r="AUB6"/>
      <c r="AUC6"/>
      <c r="AUD6"/>
      <c r="AUE6"/>
      <c r="AUF6"/>
      <c r="AUG6"/>
      <c r="AUH6"/>
      <c r="AUI6"/>
      <c r="AUJ6"/>
      <c r="AUK6"/>
      <c r="AUL6"/>
      <c r="AUM6"/>
      <c r="AUN6"/>
      <c r="AUO6"/>
      <c r="AUP6"/>
      <c r="AUQ6"/>
      <c r="AUR6"/>
      <c r="AUS6"/>
      <c r="AUT6"/>
      <c r="AUU6"/>
      <c r="AUV6"/>
      <c r="AUW6"/>
      <c r="AUX6"/>
      <c r="AUY6"/>
      <c r="AUZ6"/>
      <c r="AVA6"/>
      <c r="AVB6"/>
      <c r="AVC6"/>
      <c r="AVD6"/>
      <c r="AVE6"/>
      <c r="AVF6"/>
      <c r="AVG6"/>
      <c r="AVH6"/>
      <c r="AVI6"/>
      <c r="AVJ6"/>
      <c r="AVK6"/>
      <c r="AVL6"/>
      <c r="AVM6"/>
      <c r="AVN6"/>
      <c r="AVO6"/>
      <c r="AVP6"/>
      <c r="AVQ6"/>
      <c r="AVR6"/>
      <c r="AVS6"/>
      <c r="AVT6"/>
      <c r="AVU6"/>
      <c r="AVV6"/>
      <c r="AVW6"/>
      <c r="AVX6"/>
      <c r="AVY6"/>
      <c r="AVZ6"/>
      <c r="AWA6"/>
      <c r="AWB6"/>
      <c r="AWC6"/>
      <c r="AWD6"/>
      <c r="AWE6"/>
      <c r="AWF6"/>
      <c r="AWG6"/>
      <c r="AWH6"/>
      <c r="AWI6"/>
      <c r="AWJ6"/>
      <c r="AWK6"/>
      <c r="AWL6"/>
      <c r="AWM6"/>
      <c r="AWN6"/>
      <c r="AWO6"/>
      <c r="AWP6"/>
      <c r="AWQ6"/>
      <c r="AWR6"/>
      <c r="AWS6"/>
      <c r="AWT6"/>
      <c r="AWU6"/>
      <c r="AWV6"/>
      <c r="AWW6"/>
      <c r="AWX6"/>
      <c r="AWY6"/>
      <c r="AWZ6"/>
      <c r="AXA6"/>
      <c r="AXB6"/>
      <c r="AXC6"/>
      <c r="AXD6"/>
      <c r="AXE6"/>
      <c r="AXF6"/>
      <c r="AXG6"/>
      <c r="AXH6"/>
      <c r="AXI6"/>
      <c r="AXJ6"/>
      <c r="AXK6"/>
      <c r="AXL6"/>
      <c r="AXM6"/>
      <c r="AXN6"/>
      <c r="AXO6"/>
      <c r="AXP6"/>
      <c r="AXQ6"/>
      <c r="AXR6"/>
      <c r="AXS6"/>
      <c r="AXT6"/>
      <c r="AXU6"/>
      <c r="AXV6"/>
      <c r="AXW6"/>
      <c r="AXX6"/>
      <c r="AXY6"/>
      <c r="AXZ6"/>
      <c r="AYA6"/>
      <c r="AYB6"/>
      <c r="AYC6"/>
      <c r="AYD6"/>
      <c r="AYE6"/>
      <c r="AYF6"/>
      <c r="AYG6"/>
      <c r="AYH6"/>
      <c r="AYI6"/>
      <c r="AYJ6"/>
      <c r="AYK6"/>
      <c r="AYL6"/>
      <c r="AYM6"/>
      <c r="AYN6"/>
      <c r="AYO6"/>
      <c r="AYP6"/>
      <c r="AYQ6"/>
      <c r="AYR6"/>
      <c r="AYS6"/>
      <c r="AYT6"/>
      <c r="AYU6"/>
      <c r="AYV6"/>
      <c r="AYW6"/>
      <c r="AYX6"/>
      <c r="AYY6"/>
      <c r="AYZ6"/>
      <c r="AZA6"/>
      <c r="AZB6"/>
      <c r="AZC6"/>
      <c r="AZD6"/>
      <c r="AZE6"/>
      <c r="AZF6"/>
      <c r="AZG6"/>
      <c r="AZH6"/>
      <c r="AZI6"/>
      <c r="AZJ6"/>
      <c r="AZK6"/>
      <c r="AZL6"/>
      <c r="AZM6"/>
      <c r="AZN6"/>
      <c r="AZO6"/>
      <c r="AZP6"/>
      <c r="AZQ6"/>
      <c r="AZR6"/>
      <c r="AZS6"/>
      <c r="AZT6"/>
      <c r="AZU6"/>
      <c r="AZV6"/>
      <c r="AZW6"/>
      <c r="AZX6"/>
      <c r="AZY6"/>
      <c r="AZZ6"/>
      <c r="BAA6"/>
      <c r="BAB6"/>
      <c r="BAC6"/>
      <c r="BAD6"/>
      <c r="BAE6"/>
      <c r="BAF6"/>
      <c r="BAG6"/>
      <c r="BAH6"/>
      <c r="BAI6"/>
      <c r="BAJ6"/>
      <c r="BAK6"/>
      <c r="BAL6"/>
      <c r="BAM6"/>
      <c r="BAN6"/>
      <c r="BAO6"/>
      <c r="BAP6"/>
      <c r="BAQ6"/>
      <c r="BAR6"/>
      <c r="BAS6"/>
      <c r="BAT6"/>
      <c r="BAU6"/>
      <c r="BAV6"/>
      <c r="BAW6"/>
      <c r="BAX6"/>
      <c r="BAY6"/>
      <c r="BAZ6"/>
      <c r="BBA6"/>
      <c r="BBB6"/>
      <c r="BBC6"/>
      <c r="BBD6"/>
      <c r="BBE6"/>
      <c r="BBF6"/>
      <c r="BBG6"/>
      <c r="BBH6"/>
      <c r="BBI6"/>
      <c r="BBJ6"/>
      <c r="BBK6"/>
      <c r="BBL6"/>
      <c r="BBM6"/>
      <c r="BBN6"/>
      <c r="BBO6"/>
      <c r="BBP6"/>
      <c r="BBQ6"/>
      <c r="BBR6"/>
      <c r="BBS6"/>
      <c r="BBT6"/>
      <c r="BBU6"/>
      <c r="BBV6"/>
      <c r="BBW6"/>
      <c r="BBX6"/>
      <c r="BBY6"/>
      <c r="BBZ6"/>
      <c r="BCA6"/>
      <c r="BCB6"/>
      <c r="BCC6"/>
      <c r="BCD6"/>
      <c r="BCE6"/>
      <c r="BCF6"/>
      <c r="BCG6"/>
      <c r="BCH6"/>
      <c r="BCI6"/>
      <c r="BCJ6"/>
      <c r="BCK6"/>
      <c r="BCL6"/>
      <c r="BCM6"/>
      <c r="BCN6"/>
      <c r="BCO6"/>
      <c r="BCP6"/>
      <c r="BCQ6"/>
      <c r="BCR6"/>
      <c r="BCS6"/>
      <c r="BCT6"/>
      <c r="BCU6"/>
      <c r="BCV6"/>
      <c r="BCW6"/>
      <c r="BCX6"/>
      <c r="BCY6"/>
      <c r="BCZ6"/>
      <c r="BDA6"/>
      <c r="BDB6"/>
      <c r="BDC6"/>
      <c r="BDD6"/>
      <c r="BDE6"/>
      <c r="BDF6"/>
      <c r="BDG6"/>
      <c r="BDH6"/>
      <c r="BDI6"/>
      <c r="BDJ6"/>
      <c r="BDK6"/>
      <c r="BDL6"/>
      <c r="BDM6"/>
      <c r="BDN6"/>
      <c r="BDO6"/>
      <c r="BDP6"/>
      <c r="BDQ6"/>
      <c r="BDR6"/>
      <c r="BDS6"/>
      <c r="BDT6"/>
      <c r="BDU6"/>
      <c r="BDV6"/>
      <c r="BDW6"/>
      <c r="BDX6"/>
      <c r="BDY6"/>
      <c r="BDZ6"/>
      <c r="BEA6"/>
      <c r="BEB6"/>
      <c r="BEC6"/>
      <c r="BED6"/>
      <c r="BEE6"/>
      <c r="BEF6"/>
      <c r="BEG6"/>
      <c r="BEH6"/>
      <c r="BEI6"/>
      <c r="BEJ6"/>
      <c r="BEK6"/>
      <c r="BEL6"/>
      <c r="BEM6"/>
      <c r="BEN6"/>
      <c r="BEO6"/>
      <c r="BEP6"/>
      <c r="BEQ6"/>
      <c r="BER6"/>
      <c r="BES6"/>
      <c r="BET6"/>
      <c r="BEU6"/>
      <c r="BEV6"/>
      <c r="BEW6"/>
      <c r="BEX6"/>
      <c r="BEY6"/>
      <c r="BEZ6"/>
      <c r="BFA6"/>
      <c r="BFB6"/>
      <c r="BFC6"/>
      <c r="BFD6"/>
      <c r="BFE6"/>
      <c r="BFF6"/>
      <c r="BFG6"/>
      <c r="BFH6"/>
      <c r="BFI6"/>
      <c r="BFJ6"/>
      <c r="BFK6"/>
      <c r="BFL6"/>
      <c r="BFM6"/>
      <c r="BFN6"/>
      <c r="BFO6"/>
      <c r="BFP6"/>
      <c r="BFQ6"/>
      <c r="BFR6"/>
      <c r="BFS6"/>
      <c r="BFT6"/>
      <c r="BFU6"/>
      <c r="BFV6"/>
      <c r="BFW6"/>
      <c r="BFX6"/>
      <c r="BFY6"/>
      <c r="BFZ6"/>
      <c r="BGA6"/>
      <c r="BGB6"/>
      <c r="BGC6"/>
      <c r="BGD6"/>
      <c r="BGE6"/>
      <c r="BGF6"/>
      <c r="BGG6"/>
      <c r="BGH6"/>
      <c r="BGI6"/>
      <c r="BGJ6"/>
      <c r="BGK6"/>
      <c r="BGL6"/>
      <c r="BGM6"/>
      <c r="BGN6"/>
      <c r="BGO6"/>
      <c r="BGP6"/>
      <c r="BGQ6"/>
      <c r="BGR6"/>
      <c r="BGS6"/>
      <c r="BGT6"/>
      <c r="BGU6"/>
      <c r="BGV6"/>
      <c r="BGW6"/>
      <c r="BGX6"/>
      <c r="BGY6"/>
      <c r="BGZ6"/>
      <c r="BHA6"/>
      <c r="BHB6"/>
      <c r="BHC6"/>
      <c r="BHD6"/>
      <c r="BHE6"/>
      <c r="BHF6"/>
      <c r="BHG6"/>
      <c r="BHH6"/>
      <c r="BHI6"/>
      <c r="BHJ6"/>
      <c r="BHK6"/>
      <c r="BHL6"/>
      <c r="BHM6"/>
      <c r="BHN6"/>
      <c r="BHO6"/>
      <c r="BHP6"/>
      <c r="BHQ6"/>
      <c r="BHR6"/>
      <c r="BHS6"/>
      <c r="BHT6"/>
      <c r="BHU6"/>
      <c r="BHV6"/>
      <c r="BHW6"/>
      <c r="BHX6"/>
      <c r="BHY6"/>
      <c r="BHZ6"/>
      <c r="BIA6"/>
      <c r="BIB6"/>
      <c r="BIC6"/>
      <c r="BID6"/>
      <c r="BIE6"/>
      <c r="BIF6"/>
      <c r="BIG6"/>
      <c r="BIH6"/>
      <c r="BII6"/>
      <c r="BIJ6"/>
      <c r="BIK6"/>
      <c r="BIL6"/>
      <c r="BIM6"/>
      <c r="BIN6"/>
      <c r="BIO6"/>
      <c r="BIP6"/>
      <c r="BIQ6"/>
      <c r="BIR6"/>
      <c r="BIS6"/>
      <c r="BIT6"/>
      <c r="BIU6"/>
      <c r="BIV6"/>
      <c r="BIW6"/>
      <c r="BIX6"/>
      <c r="BIY6"/>
      <c r="BIZ6"/>
      <c r="BJA6"/>
      <c r="BJB6"/>
      <c r="BJC6"/>
      <c r="BJD6"/>
      <c r="BJE6"/>
      <c r="BJF6"/>
      <c r="BJG6"/>
      <c r="BJH6"/>
      <c r="BJI6"/>
      <c r="BJJ6"/>
      <c r="BJK6"/>
      <c r="BJL6"/>
      <c r="BJM6"/>
      <c r="BJN6"/>
      <c r="BJO6"/>
      <c r="BJP6"/>
      <c r="BJQ6"/>
      <c r="BJR6"/>
      <c r="BJS6"/>
      <c r="BJT6"/>
      <c r="BJU6"/>
      <c r="BJV6"/>
      <c r="BJW6"/>
      <c r="BJX6"/>
      <c r="BJY6"/>
      <c r="BJZ6"/>
      <c r="BKA6"/>
      <c r="BKB6"/>
      <c r="BKC6"/>
      <c r="BKD6"/>
      <c r="BKE6"/>
      <c r="BKF6"/>
      <c r="BKG6"/>
      <c r="BKH6"/>
      <c r="BKI6"/>
      <c r="BKJ6"/>
      <c r="BKK6"/>
      <c r="BKL6"/>
      <c r="BKM6"/>
      <c r="BKN6"/>
      <c r="BKO6"/>
      <c r="BKP6"/>
      <c r="BKQ6"/>
      <c r="BKR6"/>
      <c r="BKS6"/>
      <c r="BKT6"/>
      <c r="BKU6"/>
      <c r="BKV6"/>
      <c r="BKW6"/>
      <c r="BKX6"/>
      <c r="BKY6"/>
      <c r="BKZ6"/>
      <c r="BLA6"/>
      <c r="BLB6"/>
      <c r="BLC6"/>
      <c r="BLD6"/>
      <c r="BLE6"/>
      <c r="BLF6"/>
      <c r="BLG6"/>
      <c r="BLH6"/>
      <c r="BLI6"/>
      <c r="BLJ6"/>
      <c r="BLK6"/>
      <c r="BLL6"/>
      <c r="BLM6"/>
      <c r="BLN6"/>
      <c r="BLO6"/>
      <c r="BLP6"/>
      <c r="BLQ6"/>
      <c r="BLR6"/>
      <c r="BLS6"/>
      <c r="BLT6"/>
      <c r="BLU6"/>
      <c r="BLV6"/>
      <c r="BLW6"/>
      <c r="BLX6"/>
      <c r="BLY6"/>
      <c r="BLZ6"/>
      <c r="BMA6"/>
      <c r="BMB6"/>
      <c r="BMC6"/>
      <c r="BMD6"/>
      <c r="BME6"/>
      <c r="BMF6"/>
      <c r="BMG6"/>
      <c r="BMH6"/>
      <c r="BMI6"/>
      <c r="BMJ6"/>
      <c r="BMK6"/>
      <c r="BML6"/>
      <c r="BMM6"/>
      <c r="BMN6"/>
      <c r="BMO6"/>
      <c r="BMP6"/>
      <c r="BMQ6"/>
      <c r="BMR6"/>
      <c r="BMS6"/>
      <c r="BMT6"/>
      <c r="BMU6"/>
      <c r="BMV6"/>
      <c r="BMW6"/>
      <c r="BMX6"/>
      <c r="BMY6"/>
      <c r="BMZ6"/>
      <c r="BNA6"/>
      <c r="BNB6"/>
      <c r="BNC6"/>
      <c r="BND6"/>
      <c r="BNE6"/>
      <c r="BNF6"/>
      <c r="BNG6"/>
      <c r="BNH6"/>
      <c r="BNI6"/>
      <c r="BNJ6"/>
      <c r="BNK6"/>
      <c r="BNL6"/>
      <c r="BNM6"/>
      <c r="BNN6"/>
      <c r="BNO6"/>
      <c r="BNP6"/>
      <c r="BNQ6"/>
      <c r="BNR6"/>
      <c r="BNS6"/>
      <c r="BNT6"/>
      <c r="BNU6"/>
      <c r="BNV6"/>
      <c r="BNW6"/>
      <c r="BNX6"/>
      <c r="BNY6"/>
      <c r="BNZ6"/>
      <c r="BOA6"/>
      <c r="BOB6"/>
      <c r="BOC6"/>
      <c r="BOD6"/>
      <c r="BOE6"/>
      <c r="BOF6"/>
      <c r="BOG6"/>
      <c r="BOH6"/>
      <c r="BOI6"/>
      <c r="BOJ6"/>
      <c r="BOK6"/>
      <c r="BOL6"/>
      <c r="BOM6"/>
      <c r="BON6"/>
      <c r="BOO6"/>
      <c r="BOP6"/>
      <c r="BOQ6"/>
      <c r="BOR6"/>
      <c r="BOS6"/>
      <c r="BOT6"/>
      <c r="BOU6"/>
      <c r="BOV6"/>
      <c r="BOW6"/>
      <c r="BOX6"/>
      <c r="BOY6"/>
      <c r="BOZ6"/>
      <c r="BPA6"/>
      <c r="BPB6"/>
      <c r="BPC6"/>
      <c r="BPD6"/>
      <c r="BPE6"/>
      <c r="BPF6"/>
      <c r="BPG6"/>
      <c r="BPH6"/>
      <c r="BPI6"/>
      <c r="BPJ6"/>
      <c r="BPK6"/>
      <c r="BPL6"/>
      <c r="BPM6"/>
      <c r="BPN6"/>
      <c r="BPO6"/>
      <c r="BPP6"/>
      <c r="BPQ6"/>
      <c r="BPR6"/>
      <c r="BPS6"/>
      <c r="BPT6"/>
      <c r="BPU6"/>
      <c r="BPV6"/>
      <c r="BPW6"/>
      <c r="BPX6"/>
      <c r="BPY6"/>
      <c r="BPZ6"/>
      <c r="BQA6"/>
      <c r="BQB6"/>
      <c r="BQC6"/>
      <c r="BQD6"/>
      <c r="BQE6"/>
      <c r="BQF6"/>
      <c r="BQG6"/>
      <c r="BQH6"/>
      <c r="BQI6"/>
      <c r="BQJ6"/>
      <c r="BQK6"/>
      <c r="BQL6"/>
      <c r="BQM6"/>
      <c r="BQN6"/>
      <c r="BQO6"/>
      <c r="BQP6"/>
      <c r="BQQ6"/>
      <c r="BQR6"/>
      <c r="BQS6"/>
      <c r="BQT6"/>
      <c r="BQU6"/>
      <c r="BQV6"/>
      <c r="BQW6"/>
      <c r="BQX6"/>
      <c r="BQY6"/>
      <c r="BQZ6"/>
      <c r="BRA6"/>
      <c r="BRB6"/>
      <c r="BRC6"/>
      <c r="BRD6"/>
      <c r="BRE6"/>
      <c r="BRF6"/>
      <c r="BRG6"/>
      <c r="BRH6"/>
      <c r="BRI6"/>
      <c r="BRJ6"/>
      <c r="BRK6"/>
      <c r="BRL6"/>
      <c r="BRM6"/>
      <c r="BRN6"/>
      <c r="BRO6"/>
      <c r="BRP6"/>
      <c r="BRQ6"/>
      <c r="BRR6"/>
      <c r="BRS6"/>
      <c r="BRT6"/>
      <c r="BRU6"/>
      <c r="BRV6"/>
      <c r="BRW6"/>
      <c r="BRX6"/>
      <c r="BRY6"/>
      <c r="BRZ6"/>
      <c r="BSA6"/>
      <c r="BSB6"/>
      <c r="BSC6"/>
      <c r="BSD6"/>
      <c r="BSE6"/>
      <c r="BSF6"/>
      <c r="BSG6"/>
      <c r="BSH6"/>
      <c r="BSI6"/>
      <c r="BSJ6"/>
      <c r="BSK6"/>
      <c r="BSL6"/>
      <c r="BSM6"/>
      <c r="BSN6"/>
      <c r="BSO6"/>
      <c r="BSP6"/>
      <c r="BSQ6"/>
      <c r="BSR6"/>
      <c r="BSS6"/>
      <c r="BST6"/>
      <c r="BSU6"/>
      <c r="BSV6"/>
      <c r="BSW6"/>
      <c r="BSX6"/>
      <c r="BSY6"/>
      <c r="BSZ6"/>
      <c r="BTA6"/>
      <c r="BTB6"/>
      <c r="BTC6"/>
      <c r="BTD6"/>
      <c r="BTE6"/>
      <c r="BTF6"/>
      <c r="BTG6"/>
      <c r="BTH6"/>
      <c r="BTI6"/>
      <c r="BTJ6"/>
      <c r="BTK6"/>
      <c r="BTL6"/>
      <c r="BTM6"/>
      <c r="BTN6"/>
      <c r="BTO6"/>
      <c r="BTP6"/>
      <c r="BTQ6"/>
      <c r="BTR6"/>
      <c r="BTS6"/>
      <c r="BTT6"/>
      <c r="BTU6"/>
      <c r="BTV6"/>
      <c r="BTW6"/>
      <c r="BTX6"/>
      <c r="BTY6"/>
      <c r="BTZ6"/>
      <c r="BUA6"/>
      <c r="BUB6"/>
      <c r="BUC6"/>
      <c r="BUD6"/>
      <c r="BUE6"/>
      <c r="BUF6"/>
      <c r="BUG6"/>
      <c r="BUH6"/>
      <c r="BUI6"/>
      <c r="BUJ6"/>
      <c r="BUK6"/>
      <c r="BUL6"/>
      <c r="BUM6"/>
      <c r="BUN6"/>
      <c r="BUO6"/>
      <c r="BUP6"/>
      <c r="BUQ6"/>
      <c r="BUR6"/>
      <c r="BUS6"/>
      <c r="BUT6"/>
      <c r="BUU6"/>
      <c r="BUV6"/>
      <c r="BUW6"/>
      <c r="BUX6"/>
      <c r="BUY6"/>
      <c r="BUZ6"/>
      <c r="BVA6"/>
      <c r="BVB6"/>
      <c r="BVC6"/>
      <c r="BVD6"/>
      <c r="BVE6"/>
      <c r="BVF6"/>
      <c r="BVG6"/>
      <c r="BVH6"/>
      <c r="BVI6"/>
      <c r="BVJ6"/>
      <c r="BVK6"/>
      <c r="BVL6"/>
      <c r="BVM6"/>
      <c r="BVN6"/>
      <c r="BVO6"/>
      <c r="BVP6"/>
      <c r="BVQ6"/>
      <c r="BVR6"/>
      <c r="BVS6"/>
      <c r="BVT6"/>
      <c r="BVU6"/>
      <c r="BVV6"/>
      <c r="BVW6"/>
      <c r="BVX6"/>
      <c r="BVY6"/>
      <c r="BVZ6"/>
      <c r="BWA6"/>
      <c r="BWB6"/>
      <c r="BWC6"/>
      <c r="BWD6"/>
      <c r="BWE6"/>
      <c r="BWF6"/>
      <c r="BWG6"/>
      <c r="BWH6"/>
      <c r="BWI6"/>
      <c r="BWJ6"/>
      <c r="BWK6"/>
      <c r="BWL6"/>
      <c r="BWM6"/>
      <c r="BWN6"/>
      <c r="BWO6"/>
      <c r="BWP6"/>
      <c r="BWQ6"/>
      <c r="BWR6"/>
      <c r="BWS6"/>
      <c r="BWT6"/>
      <c r="BWU6"/>
      <c r="BWV6"/>
      <c r="BWW6"/>
      <c r="BWX6"/>
      <c r="BWY6"/>
      <c r="BWZ6"/>
      <c r="BXA6"/>
      <c r="BXB6"/>
      <c r="BXC6"/>
      <c r="BXD6"/>
      <c r="BXE6"/>
      <c r="BXF6"/>
      <c r="BXG6"/>
      <c r="BXH6"/>
      <c r="BXI6"/>
      <c r="BXJ6"/>
      <c r="BXK6"/>
      <c r="BXL6"/>
      <c r="BXM6"/>
      <c r="BXN6"/>
      <c r="BXO6"/>
      <c r="BXP6"/>
      <c r="BXQ6"/>
      <c r="BXR6"/>
      <c r="BXS6"/>
      <c r="BXT6"/>
      <c r="BXU6"/>
      <c r="BXV6"/>
      <c r="BXW6"/>
      <c r="BXX6"/>
      <c r="BXY6"/>
      <c r="BXZ6"/>
      <c r="BYA6"/>
      <c r="BYB6"/>
      <c r="BYC6"/>
      <c r="BYD6"/>
      <c r="BYE6"/>
      <c r="BYF6"/>
      <c r="BYG6"/>
      <c r="BYH6"/>
      <c r="BYI6"/>
      <c r="BYJ6"/>
      <c r="BYK6"/>
      <c r="BYL6"/>
      <c r="BYM6"/>
      <c r="BYN6"/>
      <c r="BYO6"/>
      <c r="BYP6"/>
      <c r="BYQ6"/>
      <c r="BYR6"/>
      <c r="BYS6"/>
      <c r="BYT6"/>
      <c r="BYU6"/>
      <c r="BYV6"/>
      <c r="BYW6"/>
      <c r="BYX6"/>
      <c r="BYY6"/>
      <c r="BYZ6"/>
      <c r="BZA6"/>
      <c r="BZB6"/>
      <c r="BZC6"/>
      <c r="BZD6"/>
      <c r="BZE6"/>
      <c r="BZF6"/>
      <c r="BZG6"/>
      <c r="BZH6"/>
      <c r="BZI6"/>
      <c r="BZJ6"/>
      <c r="BZK6"/>
      <c r="BZL6"/>
      <c r="BZM6"/>
      <c r="BZN6"/>
      <c r="BZO6"/>
      <c r="BZP6"/>
      <c r="BZQ6"/>
      <c r="BZR6"/>
      <c r="BZS6"/>
      <c r="BZT6"/>
      <c r="BZU6"/>
      <c r="BZV6"/>
      <c r="BZW6"/>
      <c r="BZX6"/>
      <c r="BZY6"/>
      <c r="BZZ6"/>
      <c r="CAA6"/>
      <c r="CAB6"/>
      <c r="CAC6"/>
      <c r="CAD6"/>
      <c r="CAE6"/>
      <c r="CAF6"/>
      <c r="CAG6"/>
      <c r="CAH6"/>
      <c r="CAI6"/>
      <c r="CAJ6"/>
      <c r="CAK6"/>
      <c r="CAL6"/>
      <c r="CAM6"/>
      <c r="CAN6"/>
      <c r="CAO6"/>
      <c r="CAP6"/>
      <c r="CAQ6"/>
      <c r="CAR6"/>
      <c r="CAS6"/>
      <c r="CAT6"/>
      <c r="CAU6"/>
      <c r="CAV6"/>
      <c r="CAW6"/>
      <c r="CAX6"/>
      <c r="CAY6"/>
      <c r="CAZ6"/>
      <c r="CBA6"/>
      <c r="CBB6"/>
      <c r="CBC6"/>
      <c r="CBD6"/>
      <c r="CBE6"/>
      <c r="CBF6"/>
      <c r="CBG6"/>
      <c r="CBH6"/>
      <c r="CBI6"/>
      <c r="CBJ6"/>
      <c r="CBK6"/>
      <c r="CBL6"/>
      <c r="CBM6"/>
      <c r="CBN6"/>
      <c r="CBO6"/>
      <c r="CBP6"/>
      <c r="CBQ6"/>
      <c r="CBR6"/>
      <c r="CBS6"/>
      <c r="CBT6"/>
      <c r="CBU6"/>
      <c r="CBV6"/>
      <c r="CBW6"/>
      <c r="CBX6"/>
      <c r="CBY6"/>
      <c r="CBZ6"/>
      <c r="CCA6"/>
      <c r="CCB6"/>
      <c r="CCC6"/>
      <c r="CCD6"/>
      <c r="CCE6"/>
      <c r="CCF6"/>
      <c r="CCG6"/>
      <c r="CCH6"/>
      <c r="CCI6"/>
      <c r="CCJ6"/>
      <c r="CCK6"/>
      <c r="CCL6"/>
      <c r="CCM6"/>
      <c r="CCN6"/>
      <c r="CCO6"/>
      <c r="CCP6"/>
      <c r="CCQ6"/>
      <c r="CCR6"/>
      <c r="CCS6"/>
      <c r="CCT6"/>
      <c r="CCU6"/>
      <c r="CCV6"/>
      <c r="CCW6"/>
      <c r="CCX6"/>
      <c r="CCY6"/>
      <c r="CCZ6"/>
      <c r="CDA6"/>
      <c r="CDB6"/>
      <c r="CDC6"/>
      <c r="CDD6"/>
      <c r="CDE6"/>
      <c r="CDF6"/>
      <c r="CDG6"/>
      <c r="CDH6"/>
      <c r="CDI6"/>
      <c r="CDJ6"/>
      <c r="CDK6"/>
      <c r="CDL6"/>
      <c r="CDM6"/>
      <c r="CDN6"/>
      <c r="CDO6"/>
      <c r="CDP6"/>
      <c r="CDQ6"/>
      <c r="CDR6"/>
      <c r="CDS6"/>
      <c r="CDT6"/>
      <c r="CDU6"/>
      <c r="CDV6"/>
      <c r="CDW6"/>
      <c r="CDX6"/>
      <c r="CDY6"/>
      <c r="CDZ6"/>
      <c r="CEA6"/>
      <c r="CEB6"/>
      <c r="CEC6"/>
      <c r="CED6"/>
      <c r="CEE6"/>
      <c r="CEF6"/>
      <c r="CEG6"/>
      <c r="CEH6"/>
      <c r="CEI6"/>
      <c r="CEJ6"/>
      <c r="CEK6"/>
      <c r="CEL6"/>
      <c r="CEM6"/>
      <c r="CEN6"/>
      <c r="CEO6"/>
      <c r="CEP6"/>
      <c r="CEQ6"/>
      <c r="CER6"/>
      <c r="CES6"/>
      <c r="CET6"/>
      <c r="CEU6"/>
      <c r="CEV6"/>
      <c r="CEW6"/>
      <c r="CEX6"/>
      <c r="CEY6"/>
      <c r="CEZ6"/>
      <c r="CFA6"/>
      <c r="CFB6"/>
      <c r="CFC6"/>
      <c r="CFD6"/>
      <c r="CFE6"/>
      <c r="CFF6"/>
      <c r="CFG6"/>
      <c r="CFH6"/>
      <c r="CFI6"/>
      <c r="CFJ6"/>
      <c r="CFK6"/>
      <c r="CFL6"/>
      <c r="CFM6"/>
      <c r="CFN6"/>
      <c r="CFO6"/>
      <c r="CFP6"/>
      <c r="CFQ6"/>
      <c r="CFR6"/>
      <c r="CFS6"/>
      <c r="CFT6"/>
      <c r="CFU6"/>
      <c r="CFV6"/>
      <c r="CFW6"/>
      <c r="CFX6"/>
      <c r="CFY6"/>
      <c r="CFZ6"/>
      <c r="CGA6"/>
      <c r="CGB6"/>
      <c r="CGC6"/>
      <c r="CGD6"/>
      <c r="CGE6"/>
      <c r="CGF6"/>
      <c r="CGG6"/>
      <c r="CGH6"/>
      <c r="CGI6"/>
      <c r="CGJ6"/>
      <c r="CGK6"/>
      <c r="CGL6"/>
      <c r="CGM6"/>
      <c r="CGN6"/>
      <c r="CGO6"/>
      <c r="CGP6"/>
      <c r="CGQ6"/>
      <c r="CGR6"/>
      <c r="CGS6"/>
      <c r="CGT6"/>
      <c r="CGU6"/>
      <c r="CGV6"/>
      <c r="CGW6"/>
      <c r="CGX6"/>
      <c r="CGY6"/>
      <c r="CGZ6"/>
      <c r="CHA6"/>
      <c r="CHB6"/>
      <c r="CHC6"/>
      <c r="CHD6"/>
      <c r="CHE6"/>
      <c r="CHF6"/>
      <c r="CHG6"/>
      <c r="CHH6"/>
      <c r="CHI6"/>
      <c r="CHJ6"/>
      <c r="CHK6"/>
      <c r="CHL6"/>
      <c r="CHM6"/>
      <c r="CHN6"/>
      <c r="CHO6"/>
      <c r="CHP6"/>
      <c r="CHQ6"/>
      <c r="CHR6"/>
      <c r="CHS6"/>
      <c r="CHT6"/>
      <c r="CHU6"/>
      <c r="CHV6"/>
      <c r="CHW6"/>
      <c r="CHX6"/>
      <c r="CHY6"/>
      <c r="CHZ6"/>
      <c r="CIA6"/>
      <c r="CIB6"/>
      <c r="CIC6"/>
      <c r="CID6"/>
      <c r="CIE6"/>
      <c r="CIF6"/>
      <c r="CIG6"/>
      <c r="CIH6"/>
      <c r="CII6"/>
      <c r="CIJ6"/>
      <c r="CIK6"/>
      <c r="CIL6"/>
      <c r="CIM6"/>
      <c r="CIN6"/>
      <c r="CIO6"/>
      <c r="CIP6"/>
      <c r="CIQ6"/>
      <c r="CIR6"/>
      <c r="CIS6"/>
      <c r="CIT6"/>
      <c r="CIU6"/>
      <c r="CIV6"/>
      <c r="CIW6"/>
      <c r="CIX6"/>
      <c r="CIY6"/>
      <c r="CIZ6"/>
      <c r="CJA6"/>
      <c r="CJB6"/>
      <c r="CJC6"/>
      <c r="CJD6"/>
      <c r="CJE6"/>
      <c r="CJF6"/>
      <c r="CJG6"/>
      <c r="CJH6"/>
      <c r="CJI6"/>
      <c r="CJJ6"/>
      <c r="CJK6"/>
      <c r="CJL6"/>
      <c r="CJM6"/>
      <c r="CJN6"/>
      <c r="CJO6"/>
      <c r="CJP6"/>
      <c r="CJQ6"/>
      <c r="CJR6"/>
      <c r="CJS6"/>
      <c r="CJT6"/>
      <c r="CJU6"/>
      <c r="CJV6"/>
      <c r="CJW6"/>
      <c r="CJX6"/>
      <c r="CJY6"/>
      <c r="CJZ6"/>
      <c r="CKA6"/>
      <c r="CKB6"/>
      <c r="CKC6"/>
      <c r="CKD6"/>
      <c r="CKE6"/>
      <c r="CKF6"/>
      <c r="CKG6"/>
      <c r="CKH6"/>
      <c r="CKI6"/>
      <c r="CKJ6"/>
      <c r="CKK6"/>
      <c r="CKL6"/>
      <c r="CKM6"/>
      <c r="CKN6"/>
      <c r="CKO6"/>
      <c r="CKP6"/>
      <c r="CKQ6"/>
      <c r="CKR6"/>
      <c r="CKS6"/>
      <c r="CKT6"/>
      <c r="CKU6"/>
      <c r="CKV6"/>
      <c r="CKW6"/>
      <c r="CKX6"/>
      <c r="CKY6"/>
      <c r="CKZ6"/>
      <c r="CLA6"/>
      <c r="CLB6"/>
      <c r="CLC6"/>
      <c r="CLD6"/>
      <c r="CLE6"/>
      <c r="CLF6"/>
      <c r="CLG6"/>
      <c r="CLH6"/>
      <c r="CLI6"/>
      <c r="CLJ6"/>
      <c r="CLK6"/>
      <c r="CLL6"/>
      <c r="CLM6"/>
      <c r="CLN6"/>
      <c r="CLO6"/>
      <c r="CLP6"/>
      <c r="CLQ6"/>
      <c r="CLR6"/>
      <c r="CLS6"/>
      <c r="CLT6"/>
      <c r="CLU6"/>
      <c r="CLV6"/>
      <c r="CLW6"/>
      <c r="CLX6"/>
      <c r="CLY6"/>
      <c r="CLZ6"/>
      <c r="CMA6"/>
      <c r="CMB6"/>
      <c r="CMC6"/>
      <c r="CMD6"/>
      <c r="CME6"/>
      <c r="CMF6"/>
      <c r="CMG6"/>
      <c r="CMH6"/>
      <c r="CMI6"/>
      <c r="CMJ6"/>
      <c r="CMK6"/>
      <c r="CML6"/>
      <c r="CMM6"/>
      <c r="CMN6"/>
      <c r="CMO6"/>
      <c r="CMP6"/>
      <c r="CMQ6"/>
      <c r="CMR6"/>
      <c r="CMS6"/>
      <c r="CMT6"/>
      <c r="CMU6"/>
      <c r="CMV6"/>
      <c r="CMW6"/>
      <c r="CMX6"/>
      <c r="CMY6"/>
      <c r="CMZ6"/>
      <c r="CNA6"/>
      <c r="CNB6"/>
      <c r="CNC6"/>
      <c r="CND6"/>
      <c r="CNE6"/>
      <c r="CNF6"/>
      <c r="CNG6"/>
      <c r="CNH6"/>
      <c r="CNI6"/>
      <c r="CNJ6"/>
      <c r="CNK6"/>
      <c r="CNL6"/>
      <c r="CNM6"/>
      <c r="CNN6"/>
      <c r="CNO6"/>
      <c r="CNP6"/>
      <c r="CNQ6"/>
      <c r="CNR6"/>
      <c r="CNS6"/>
      <c r="CNT6"/>
      <c r="CNU6"/>
      <c r="CNV6"/>
      <c r="CNW6"/>
      <c r="CNX6"/>
      <c r="CNY6"/>
      <c r="CNZ6"/>
      <c r="COA6"/>
      <c r="COB6"/>
      <c r="COC6"/>
      <c r="COD6"/>
      <c r="COE6"/>
      <c r="COF6"/>
      <c r="COG6"/>
      <c r="COH6"/>
      <c r="COI6"/>
      <c r="COJ6"/>
      <c r="COK6"/>
      <c r="COL6"/>
      <c r="COM6"/>
      <c r="CON6"/>
      <c r="COO6"/>
      <c r="COP6"/>
      <c r="COQ6"/>
      <c r="COR6"/>
      <c r="COS6"/>
      <c r="COT6"/>
      <c r="COU6"/>
      <c r="COV6"/>
      <c r="COW6"/>
      <c r="COX6"/>
      <c r="COY6"/>
      <c r="COZ6"/>
      <c r="CPA6"/>
      <c r="CPB6"/>
      <c r="CPC6"/>
      <c r="CPD6"/>
      <c r="CPE6"/>
      <c r="CPF6"/>
      <c r="CPG6"/>
      <c r="CPH6"/>
      <c r="CPI6"/>
      <c r="CPJ6"/>
      <c r="CPK6"/>
      <c r="CPL6"/>
      <c r="CPM6"/>
      <c r="CPN6"/>
      <c r="CPO6"/>
      <c r="CPP6"/>
      <c r="CPQ6"/>
      <c r="CPR6"/>
      <c r="CPS6"/>
      <c r="CPT6"/>
      <c r="CPU6"/>
      <c r="CPV6"/>
      <c r="CPW6"/>
      <c r="CPX6"/>
      <c r="CPY6"/>
      <c r="CPZ6"/>
      <c r="CQA6"/>
      <c r="CQB6"/>
      <c r="CQC6"/>
      <c r="CQD6"/>
      <c r="CQE6"/>
      <c r="CQF6"/>
      <c r="CQG6"/>
      <c r="CQH6"/>
      <c r="CQI6"/>
      <c r="CQJ6"/>
      <c r="CQK6"/>
      <c r="CQL6"/>
      <c r="CQM6"/>
      <c r="CQN6"/>
      <c r="CQO6"/>
      <c r="CQP6"/>
      <c r="CQQ6"/>
      <c r="CQR6"/>
      <c r="CQS6"/>
      <c r="CQT6"/>
      <c r="CQU6"/>
      <c r="CQV6"/>
      <c r="CQW6"/>
      <c r="CQX6"/>
      <c r="CQY6"/>
      <c r="CQZ6"/>
      <c r="CRA6"/>
      <c r="CRB6"/>
      <c r="CRC6"/>
      <c r="CRD6"/>
      <c r="CRE6"/>
      <c r="CRF6"/>
      <c r="CRG6"/>
      <c r="CRH6"/>
      <c r="CRI6"/>
      <c r="CRJ6"/>
      <c r="CRK6"/>
      <c r="CRL6"/>
      <c r="CRM6"/>
      <c r="CRN6"/>
      <c r="CRO6"/>
      <c r="CRP6"/>
      <c r="CRQ6"/>
      <c r="CRR6"/>
      <c r="CRS6"/>
      <c r="CRT6"/>
      <c r="CRU6"/>
      <c r="CRV6"/>
      <c r="CRW6"/>
      <c r="CRX6"/>
      <c r="CRY6"/>
      <c r="CRZ6"/>
      <c r="CSA6"/>
      <c r="CSB6"/>
      <c r="CSC6"/>
      <c r="CSD6"/>
      <c r="CSE6"/>
      <c r="CSF6"/>
      <c r="CSG6"/>
      <c r="CSH6"/>
      <c r="CSI6"/>
      <c r="CSJ6"/>
      <c r="CSK6"/>
      <c r="CSL6"/>
      <c r="CSM6"/>
      <c r="CSN6"/>
      <c r="CSO6"/>
      <c r="CSP6"/>
      <c r="CSQ6"/>
      <c r="CSR6"/>
      <c r="CSS6"/>
      <c r="CST6"/>
      <c r="CSU6"/>
      <c r="CSV6"/>
      <c r="CSW6"/>
      <c r="CSX6"/>
      <c r="CSY6"/>
      <c r="CSZ6"/>
      <c r="CTA6"/>
      <c r="CTB6"/>
      <c r="CTC6"/>
      <c r="CTD6"/>
      <c r="CTE6"/>
      <c r="CTF6"/>
      <c r="CTG6"/>
      <c r="CTH6"/>
      <c r="CTI6"/>
      <c r="CTJ6"/>
      <c r="CTK6"/>
      <c r="CTL6"/>
      <c r="CTM6"/>
      <c r="CTN6"/>
      <c r="CTO6"/>
      <c r="CTP6"/>
      <c r="CTQ6"/>
      <c r="CTR6"/>
      <c r="CTS6"/>
      <c r="CTT6"/>
      <c r="CTU6"/>
      <c r="CTV6"/>
      <c r="CTW6"/>
      <c r="CTX6"/>
      <c r="CTY6"/>
      <c r="CTZ6"/>
      <c r="CUA6"/>
      <c r="CUB6"/>
      <c r="CUC6"/>
      <c r="CUD6"/>
      <c r="CUE6"/>
      <c r="CUF6"/>
      <c r="CUG6"/>
      <c r="CUH6"/>
      <c r="CUI6"/>
      <c r="CUJ6"/>
      <c r="CUK6"/>
      <c r="CUL6"/>
      <c r="CUM6"/>
      <c r="CUN6"/>
      <c r="CUO6"/>
      <c r="CUP6"/>
      <c r="CUQ6"/>
      <c r="CUR6"/>
      <c r="CUS6"/>
      <c r="CUT6"/>
      <c r="CUU6"/>
      <c r="CUV6"/>
      <c r="CUW6"/>
      <c r="CUX6"/>
      <c r="CUY6"/>
      <c r="CUZ6"/>
      <c r="CVA6"/>
      <c r="CVB6"/>
      <c r="CVC6"/>
      <c r="CVD6"/>
      <c r="CVE6"/>
      <c r="CVF6"/>
      <c r="CVG6"/>
      <c r="CVH6"/>
      <c r="CVI6"/>
      <c r="CVJ6"/>
      <c r="CVK6"/>
      <c r="CVL6"/>
      <c r="CVM6"/>
      <c r="CVN6"/>
      <c r="CVO6"/>
      <c r="CVP6"/>
      <c r="CVQ6"/>
      <c r="CVR6"/>
      <c r="CVS6"/>
      <c r="CVT6"/>
      <c r="CVU6"/>
      <c r="CVV6"/>
      <c r="CVW6"/>
      <c r="CVX6"/>
      <c r="CVY6"/>
      <c r="CVZ6"/>
      <c r="CWA6"/>
      <c r="CWB6"/>
      <c r="CWC6"/>
      <c r="CWD6"/>
      <c r="CWE6"/>
      <c r="CWF6"/>
      <c r="CWG6"/>
      <c r="CWH6"/>
      <c r="CWI6"/>
      <c r="CWJ6"/>
      <c r="CWK6"/>
      <c r="CWL6"/>
      <c r="CWM6"/>
      <c r="CWN6"/>
      <c r="CWO6"/>
      <c r="CWP6"/>
      <c r="CWQ6"/>
      <c r="CWR6"/>
      <c r="CWS6"/>
      <c r="CWT6"/>
      <c r="CWU6"/>
      <c r="CWV6"/>
      <c r="CWW6"/>
      <c r="CWX6"/>
      <c r="CWY6"/>
      <c r="CWZ6"/>
      <c r="CXA6"/>
      <c r="CXB6"/>
      <c r="CXC6"/>
      <c r="CXD6"/>
      <c r="CXE6"/>
      <c r="CXF6"/>
      <c r="CXG6"/>
      <c r="CXH6"/>
      <c r="CXI6"/>
      <c r="CXJ6"/>
      <c r="CXK6"/>
      <c r="CXL6"/>
      <c r="CXM6"/>
      <c r="CXN6"/>
      <c r="CXO6"/>
      <c r="CXP6"/>
      <c r="CXQ6"/>
      <c r="CXR6"/>
      <c r="CXS6"/>
      <c r="CXT6"/>
      <c r="CXU6"/>
      <c r="CXV6"/>
      <c r="CXW6"/>
      <c r="CXX6"/>
      <c r="CXY6"/>
      <c r="CXZ6"/>
      <c r="CYA6"/>
      <c r="CYB6"/>
      <c r="CYC6"/>
      <c r="CYD6"/>
      <c r="CYE6"/>
      <c r="CYF6"/>
      <c r="CYG6"/>
      <c r="CYH6"/>
      <c r="CYI6"/>
      <c r="CYJ6"/>
      <c r="CYK6"/>
      <c r="CYL6"/>
      <c r="CYM6"/>
      <c r="CYN6"/>
      <c r="CYO6"/>
      <c r="CYP6"/>
      <c r="CYQ6"/>
      <c r="CYR6"/>
      <c r="CYS6"/>
      <c r="CYT6"/>
      <c r="CYU6"/>
      <c r="CYV6"/>
      <c r="CYW6"/>
      <c r="CYX6"/>
      <c r="CYY6"/>
      <c r="CYZ6"/>
      <c r="CZA6"/>
      <c r="CZB6"/>
      <c r="CZC6"/>
      <c r="CZD6"/>
      <c r="CZE6"/>
      <c r="CZF6"/>
      <c r="CZG6"/>
      <c r="CZH6"/>
      <c r="CZI6"/>
      <c r="CZJ6"/>
      <c r="CZK6"/>
      <c r="CZL6"/>
      <c r="CZM6"/>
      <c r="CZN6"/>
      <c r="CZO6"/>
      <c r="CZP6"/>
      <c r="CZQ6"/>
      <c r="CZR6"/>
      <c r="CZS6"/>
      <c r="CZT6"/>
      <c r="CZU6"/>
      <c r="CZV6"/>
      <c r="CZW6"/>
      <c r="CZX6"/>
      <c r="CZY6"/>
      <c r="CZZ6"/>
      <c r="DAA6"/>
      <c r="DAB6"/>
      <c r="DAC6"/>
      <c r="DAD6"/>
      <c r="DAE6"/>
      <c r="DAF6"/>
      <c r="DAG6"/>
      <c r="DAH6"/>
      <c r="DAI6"/>
      <c r="DAJ6"/>
      <c r="DAK6"/>
      <c r="DAL6"/>
      <c r="DAM6"/>
      <c r="DAN6"/>
      <c r="DAO6"/>
      <c r="DAP6"/>
      <c r="DAQ6"/>
      <c r="DAR6"/>
      <c r="DAS6"/>
      <c r="DAT6"/>
      <c r="DAU6"/>
      <c r="DAV6"/>
      <c r="DAW6"/>
      <c r="DAX6"/>
      <c r="DAY6"/>
      <c r="DAZ6"/>
      <c r="DBA6"/>
      <c r="DBB6"/>
      <c r="DBC6"/>
      <c r="DBD6"/>
      <c r="DBE6"/>
      <c r="DBF6"/>
      <c r="DBG6"/>
      <c r="DBH6"/>
      <c r="DBI6"/>
      <c r="DBJ6"/>
      <c r="DBK6"/>
      <c r="DBL6"/>
      <c r="DBM6"/>
      <c r="DBN6"/>
      <c r="DBO6"/>
      <c r="DBP6"/>
      <c r="DBQ6"/>
      <c r="DBR6"/>
      <c r="DBS6"/>
      <c r="DBT6"/>
      <c r="DBU6"/>
      <c r="DBV6"/>
      <c r="DBW6"/>
      <c r="DBX6"/>
      <c r="DBY6"/>
      <c r="DBZ6"/>
      <c r="DCA6"/>
      <c r="DCB6"/>
      <c r="DCC6"/>
      <c r="DCD6"/>
      <c r="DCE6"/>
      <c r="DCF6"/>
      <c r="DCG6"/>
      <c r="DCH6"/>
      <c r="DCI6"/>
      <c r="DCJ6"/>
      <c r="DCK6"/>
      <c r="DCL6"/>
      <c r="DCM6"/>
      <c r="DCN6"/>
      <c r="DCO6"/>
      <c r="DCP6"/>
      <c r="DCQ6"/>
      <c r="DCR6"/>
      <c r="DCS6"/>
      <c r="DCT6"/>
      <c r="DCU6"/>
      <c r="DCV6"/>
      <c r="DCW6"/>
      <c r="DCX6"/>
      <c r="DCY6"/>
      <c r="DCZ6"/>
      <c r="DDA6"/>
      <c r="DDB6"/>
      <c r="DDC6"/>
      <c r="DDD6"/>
      <c r="DDE6"/>
      <c r="DDF6"/>
      <c r="DDG6"/>
      <c r="DDH6"/>
      <c r="DDI6"/>
      <c r="DDJ6"/>
      <c r="DDK6"/>
      <c r="DDL6"/>
      <c r="DDM6"/>
      <c r="DDN6"/>
      <c r="DDO6"/>
      <c r="DDP6"/>
      <c r="DDQ6"/>
      <c r="DDR6"/>
      <c r="DDS6"/>
      <c r="DDT6"/>
      <c r="DDU6"/>
      <c r="DDV6"/>
      <c r="DDW6"/>
      <c r="DDX6"/>
      <c r="DDY6"/>
      <c r="DDZ6"/>
      <c r="DEA6"/>
      <c r="DEB6"/>
      <c r="DEC6"/>
      <c r="DED6"/>
      <c r="DEE6"/>
      <c r="DEF6"/>
      <c r="DEG6"/>
      <c r="DEH6"/>
      <c r="DEI6"/>
      <c r="DEJ6"/>
      <c r="DEK6"/>
      <c r="DEL6"/>
      <c r="DEM6"/>
      <c r="DEN6"/>
      <c r="DEO6"/>
      <c r="DEP6"/>
      <c r="DEQ6"/>
      <c r="DER6"/>
      <c r="DES6"/>
      <c r="DET6"/>
      <c r="DEU6"/>
      <c r="DEV6"/>
      <c r="DEW6"/>
      <c r="DEX6"/>
      <c r="DEY6"/>
      <c r="DEZ6"/>
      <c r="DFA6"/>
      <c r="DFB6"/>
      <c r="DFC6"/>
      <c r="DFD6"/>
      <c r="DFE6"/>
      <c r="DFF6"/>
      <c r="DFG6"/>
      <c r="DFH6"/>
      <c r="DFI6"/>
      <c r="DFJ6"/>
      <c r="DFK6"/>
      <c r="DFL6"/>
      <c r="DFM6"/>
      <c r="DFN6"/>
      <c r="DFO6"/>
      <c r="DFP6"/>
      <c r="DFQ6"/>
      <c r="DFR6"/>
      <c r="DFS6"/>
      <c r="DFT6"/>
      <c r="DFU6"/>
      <c r="DFV6"/>
      <c r="DFW6"/>
      <c r="DFX6"/>
      <c r="DFY6"/>
      <c r="DFZ6"/>
      <c r="DGA6"/>
      <c r="DGB6"/>
      <c r="DGC6"/>
      <c r="DGD6"/>
      <c r="DGE6"/>
      <c r="DGF6"/>
      <c r="DGG6"/>
      <c r="DGH6"/>
      <c r="DGI6"/>
      <c r="DGJ6"/>
      <c r="DGK6"/>
      <c r="DGL6"/>
      <c r="DGM6"/>
      <c r="DGN6"/>
      <c r="DGO6"/>
      <c r="DGP6"/>
      <c r="DGQ6"/>
      <c r="DGR6"/>
      <c r="DGS6"/>
      <c r="DGT6"/>
      <c r="DGU6"/>
      <c r="DGV6"/>
      <c r="DGW6"/>
      <c r="DGX6"/>
      <c r="DGY6"/>
      <c r="DGZ6"/>
      <c r="DHA6"/>
      <c r="DHB6"/>
      <c r="DHC6"/>
      <c r="DHD6"/>
      <c r="DHE6"/>
      <c r="DHF6"/>
      <c r="DHG6"/>
      <c r="DHH6"/>
      <c r="DHI6"/>
      <c r="DHJ6"/>
      <c r="DHK6"/>
      <c r="DHL6"/>
      <c r="DHM6"/>
      <c r="DHN6"/>
      <c r="DHO6"/>
      <c r="DHP6"/>
      <c r="DHQ6"/>
      <c r="DHR6"/>
      <c r="DHS6"/>
      <c r="DHT6"/>
      <c r="DHU6"/>
      <c r="DHV6"/>
      <c r="DHW6"/>
      <c r="DHX6"/>
      <c r="DHY6"/>
      <c r="DHZ6"/>
      <c r="DIA6"/>
      <c r="DIB6"/>
      <c r="DIC6"/>
      <c r="DID6"/>
      <c r="DIE6"/>
      <c r="DIF6"/>
      <c r="DIG6"/>
      <c r="DIH6"/>
      <c r="DII6"/>
      <c r="DIJ6"/>
      <c r="DIK6"/>
      <c r="DIL6"/>
      <c r="DIM6"/>
      <c r="DIN6"/>
      <c r="DIO6"/>
      <c r="DIP6"/>
      <c r="DIQ6"/>
      <c r="DIR6"/>
      <c r="DIS6"/>
      <c r="DIT6"/>
      <c r="DIU6"/>
      <c r="DIV6"/>
      <c r="DIW6"/>
      <c r="DIX6"/>
      <c r="DIY6"/>
      <c r="DIZ6"/>
      <c r="DJA6"/>
      <c r="DJB6"/>
      <c r="DJC6"/>
      <c r="DJD6"/>
      <c r="DJE6"/>
      <c r="DJF6"/>
      <c r="DJG6"/>
      <c r="DJH6"/>
      <c r="DJI6"/>
      <c r="DJJ6"/>
      <c r="DJK6"/>
      <c r="DJL6"/>
      <c r="DJM6"/>
      <c r="DJN6"/>
      <c r="DJO6"/>
      <c r="DJP6"/>
      <c r="DJQ6"/>
      <c r="DJR6"/>
      <c r="DJS6"/>
      <c r="DJT6"/>
      <c r="DJU6"/>
      <c r="DJV6"/>
      <c r="DJW6"/>
      <c r="DJX6"/>
      <c r="DJY6"/>
      <c r="DJZ6"/>
      <c r="DKA6"/>
      <c r="DKB6"/>
      <c r="DKC6"/>
      <c r="DKD6"/>
      <c r="DKE6"/>
      <c r="DKF6"/>
      <c r="DKG6"/>
      <c r="DKH6"/>
      <c r="DKI6"/>
      <c r="DKJ6"/>
      <c r="DKK6"/>
      <c r="DKL6"/>
      <c r="DKM6"/>
      <c r="DKN6"/>
      <c r="DKO6"/>
      <c r="DKP6"/>
      <c r="DKQ6"/>
      <c r="DKR6"/>
      <c r="DKS6"/>
      <c r="DKT6"/>
      <c r="DKU6"/>
      <c r="DKV6"/>
      <c r="DKW6"/>
      <c r="DKX6"/>
      <c r="DKY6"/>
      <c r="DKZ6"/>
      <c r="DLA6"/>
      <c r="DLB6"/>
      <c r="DLC6"/>
      <c r="DLD6"/>
      <c r="DLE6"/>
      <c r="DLF6"/>
      <c r="DLG6"/>
      <c r="DLH6"/>
      <c r="DLI6"/>
      <c r="DLJ6"/>
      <c r="DLK6"/>
      <c r="DLL6"/>
      <c r="DLM6"/>
      <c r="DLN6"/>
      <c r="DLO6"/>
      <c r="DLP6"/>
      <c r="DLQ6"/>
      <c r="DLR6"/>
      <c r="DLS6"/>
      <c r="DLT6"/>
      <c r="DLU6"/>
      <c r="DLV6"/>
      <c r="DLW6"/>
      <c r="DLX6"/>
      <c r="DLY6"/>
      <c r="DLZ6"/>
      <c r="DMA6"/>
      <c r="DMB6"/>
      <c r="DMC6"/>
      <c r="DMD6"/>
      <c r="DME6"/>
      <c r="DMF6"/>
      <c r="DMG6"/>
      <c r="DMH6"/>
      <c r="DMI6"/>
      <c r="DMJ6"/>
      <c r="DMK6"/>
      <c r="DML6"/>
      <c r="DMM6"/>
      <c r="DMN6"/>
      <c r="DMO6"/>
      <c r="DMP6"/>
      <c r="DMQ6"/>
      <c r="DMR6"/>
      <c r="DMS6"/>
      <c r="DMT6"/>
      <c r="DMU6"/>
      <c r="DMV6"/>
      <c r="DMW6"/>
      <c r="DMX6"/>
      <c r="DMY6"/>
      <c r="DMZ6"/>
      <c r="DNA6"/>
      <c r="DNB6"/>
      <c r="DNC6"/>
      <c r="DND6"/>
      <c r="DNE6"/>
      <c r="DNF6"/>
      <c r="DNG6"/>
      <c r="DNH6"/>
      <c r="DNI6"/>
      <c r="DNJ6"/>
      <c r="DNK6"/>
      <c r="DNL6"/>
      <c r="DNM6"/>
      <c r="DNN6"/>
      <c r="DNO6"/>
      <c r="DNP6"/>
      <c r="DNQ6"/>
      <c r="DNR6"/>
      <c r="DNS6"/>
      <c r="DNT6"/>
      <c r="DNU6"/>
      <c r="DNV6"/>
      <c r="DNW6"/>
      <c r="DNX6"/>
      <c r="DNY6"/>
      <c r="DNZ6"/>
      <c r="DOA6"/>
      <c r="DOB6"/>
      <c r="DOC6"/>
      <c r="DOD6"/>
      <c r="DOE6"/>
      <c r="DOF6"/>
      <c r="DOG6"/>
      <c r="DOH6"/>
      <c r="DOI6"/>
      <c r="DOJ6"/>
      <c r="DOK6"/>
      <c r="DOL6"/>
      <c r="DOM6"/>
      <c r="DON6"/>
      <c r="DOO6"/>
      <c r="DOP6"/>
      <c r="DOQ6"/>
      <c r="DOR6"/>
      <c r="DOS6"/>
      <c r="DOT6"/>
      <c r="DOU6"/>
      <c r="DOV6"/>
      <c r="DOW6"/>
      <c r="DOX6"/>
      <c r="DOY6"/>
      <c r="DOZ6"/>
      <c r="DPA6"/>
      <c r="DPB6"/>
      <c r="DPC6"/>
      <c r="DPD6"/>
      <c r="DPE6"/>
      <c r="DPF6"/>
      <c r="DPG6"/>
      <c r="DPH6"/>
      <c r="DPI6"/>
      <c r="DPJ6"/>
      <c r="DPK6"/>
      <c r="DPL6"/>
      <c r="DPM6"/>
      <c r="DPN6"/>
      <c r="DPO6"/>
      <c r="DPP6"/>
      <c r="DPQ6"/>
      <c r="DPR6"/>
      <c r="DPS6"/>
      <c r="DPT6"/>
      <c r="DPU6"/>
      <c r="DPV6"/>
      <c r="DPW6"/>
      <c r="DPX6"/>
      <c r="DPY6"/>
      <c r="DPZ6"/>
      <c r="DQA6"/>
      <c r="DQB6"/>
      <c r="DQC6"/>
      <c r="DQD6"/>
      <c r="DQE6"/>
      <c r="DQF6"/>
      <c r="DQG6"/>
      <c r="DQH6"/>
      <c r="DQI6"/>
      <c r="DQJ6"/>
      <c r="DQK6"/>
      <c r="DQL6"/>
      <c r="DQM6"/>
      <c r="DQN6"/>
      <c r="DQO6"/>
      <c r="DQP6"/>
      <c r="DQQ6"/>
      <c r="DQR6"/>
      <c r="DQS6"/>
      <c r="DQT6"/>
      <c r="DQU6"/>
      <c r="DQV6"/>
      <c r="DQW6"/>
      <c r="DQX6"/>
      <c r="DQY6"/>
      <c r="DQZ6"/>
      <c r="DRA6"/>
      <c r="DRB6"/>
      <c r="DRC6"/>
      <c r="DRD6"/>
      <c r="DRE6"/>
      <c r="DRF6"/>
      <c r="DRG6"/>
      <c r="DRH6"/>
      <c r="DRI6"/>
      <c r="DRJ6"/>
      <c r="DRK6"/>
      <c r="DRL6"/>
      <c r="DRM6"/>
      <c r="DRN6"/>
      <c r="DRO6"/>
      <c r="DRP6"/>
      <c r="DRQ6"/>
      <c r="DRR6"/>
      <c r="DRS6"/>
      <c r="DRT6"/>
      <c r="DRU6"/>
      <c r="DRV6"/>
      <c r="DRW6"/>
      <c r="DRX6"/>
      <c r="DRY6"/>
      <c r="DRZ6"/>
      <c r="DSA6"/>
      <c r="DSB6"/>
      <c r="DSC6"/>
      <c r="DSD6"/>
      <c r="DSE6"/>
      <c r="DSF6"/>
      <c r="DSG6"/>
      <c r="DSH6"/>
      <c r="DSI6"/>
      <c r="DSJ6"/>
      <c r="DSK6"/>
      <c r="DSL6"/>
      <c r="DSM6"/>
      <c r="DSN6"/>
      <c r="DSO6"/>
      <c r="DSP6"/>
      <c r="DSQ6"/>
      <c r="DSR6"/>
      <c r="DSS6"/>
      <c r="DST6"/>
      <c r="DSU6"/>
      <c r="DSV6"/>
      <c r="DSW6"/>
      <c r="DSX6"/>
      <c r="DSY6"/>
      <c r="DSZ6"/>
      <c r="DTA6"/>
      <c r="DTB6"/>
      <c r="DTC6"/>
      <c r="DTD6"/>
      <c r="DTE6"/>
      <c r="DTF6"/>
      <c r="DTG6"/>
      <c r="DTH6"/>
      <c r="DTI6"/>
      <c r="DTJ6"/>
      <c r="DTK6"/>
      <c r="DTL6"/>
      <c r="DTM6"/>
      <c r="DTN6"/>
      <c r="DTO6"/>
      <c r="DTP6"/>
      <c r="DTQ6"/>
      <c r="DTR6"/>
      <c r="DTS6"/>
      <c r="DTT6"/>
      <c r="DTU6"/>
      <c r="DTV6"/>
      <c r="DTW6"/>
      <c r="DTX6"/>
      <c r="DTY6"/>
      <c r="DTZ6"/>
      <c r="DUA6"/>
      <c r="DUB6"/>
      <c r="DUC6"/>
      <c r="DUD6"/>
      <c r="DUE6"/>
      <c r="DUF6"/>
      <c r="DUG6"/>
      <c r="DUH6"/>
      <c r="DUI6"/>
      <c r="DUJ6"/>
      <c r="DUK6"/>
      <c r="DUL6"/>
      <c r="DUM6"/>
      <c r="DUN6"/>
      <c r="DUO6"/>
      <c r="DUP6"/>
      <c r="DUQ6"/>
      <c r="DUR6"/>
      <c r="DUS6"/>
      <c r="DUT6"/>
      <c r="DUU6"/>
      <c r="DUV6"/>
      <c r="DUW6"/>
      <c r="DUX6"/>
      <c r="DUY6"/>
      <c r="DUZ6"/>
      <c r="DVA6"/>
      <c r="DVB6"/>
      <c r="DVC6"/>
      <c r="DVD6"/>
      <c r="DVE6"/>
      <c r="DVF6"/>
      <c r="DVG6"/>
      <c r="DVH6"/>
      <c r="DVI6"/>
      <c r="DVJ6"/>
      <c r="DVK6"/>
      <c r="DVL6"/>
      <c r="DVM6"/>
      <c r="DVN6"/>
      <c r="DVO6"/>
      <c r="DVP6"/>
      <c r="DVQ6"/>
      <c r="DVR6"/>
      <c r="DVS6"/>
      <c r="DVT6"/>
      <c r="DVU6"/>
      <c r="DVV6"/>
      <c r="DVW6"/>
      <c r="DVX6"/>
      <c r="DVY6"/>
      <c r="DVZ6"/>
      <c r="DWA6"/>
      <c r="DWB6"/>
      <c r="DWC6"/>
      <c r="DWD6"/>
      <c r="DWE6"/>
      <c r="DWF6"/>
      <c r="DWG6"/>
      <c r="DWH6"/>
      <c r="DWI6"/>
      <c r="DWJ6"/>
      <c r="DWK6"/>
      <c r="DWL6"/>
      <c r="DWM6"/>
      <c r="DWN6"/>
      <c r="DWO6"/>
      <c r="DWP6"/>
      <c r="DWQ6"/>
      <c r="DWR6"/>
      <c r="DWS6"/>
      <c r="DWT6"/>
      <c r="DWU6"/>
      <c r="DWV6"/>
      <c r="DWW6"/>
      <c r="DWX6"/>
      <c r="DWY6"/>
      <c r="DWZ6"/>
      <c r="DXA6"/>
      <c r="DXB6"/>
      <c r="DXC6"/>
      <c r="DXD6"/>
      <c r="DXE6"/>
      <c r="DXF6"/>
      <c r="DXG6"/>
      <c r="DXH6"/>
      <c r="DXI6"/>
      <c r="DXJ6"/>
      <c r="DXK6"/>
      <c r="DXL6"/>
      <c r="DXM6"/>
      <c r="DXN6"/>
      <c r="DXO6"/>
      <c r="DXP6"/>
      <c r="DXQ6"/>
      <c r="DXR6"/>
      <c r="DXS6"/>
      <c r="DXT6"/>
      <c r="DXU6"/>
      <c r="DXV6"/>
      <c r="DXW6"/>
      <c r="DXX6"/>
      <c r="DXY6"/>
      <c r="DXZ6"/>
      <c r="DYA6"/>
      <c r="DYB6"/>
      <c r="DYC6"/>
      <c r="DYD6"/>
      <c r="DYE6"/>
      <c r="DYF6"/>
      <c r="DYG6"/>
      <c r="DYH6"/>
      <c r="DYI6"/>
      <c r="DYJ6"/>
      <c r="DYK6"/>
      <c r="DYL6"/>
      <c r="DYM6"/>
      <c r="DYN6"/>
      <c r="DYO6"/>
      <c r="DYP6"/>
      <c r="DYQ6"/>
      <c r="DYR6"/>
      <c r="DYS6"/>
      <c r="DYT6"/>
      <c r="DYU6"/>
      <c r="DYV6"/>
      <c r="DYW6"/>
      <c r="DYX6"/>
      <c r="DYY6"/>
      <c r="DYZ6"/>
      <c r="DZA6"/>
      <c r="DZB6"/>
      <c r="DZC6"/>
      <c r="DZD6"/>
      <c r="DZE6"/>
      <c r="DZF6"/>
      <c r="DZG6"/>
      <c r="DZH6"/>
      <c r="DZI6"/>
      <c r="DZJ6"/>
      <c r="DZK6"/>
      <c r="DZL6"/>
      <c r="DZM6"/>
      <c r="DZN6"/>
      <c r="DZO6"/>
      <c r="DZP6"/>
      <c r="DZQ6"/>
      <c r="DZR6"/>
      <c r="DZS6"/>
      <c r="DZT6"/>
      <c r="DZU6"/>
      <c r="DZV6"/>
      <c r="DZW6"/>
      <c r="DZX6"/>
      <c r="DZY6"/>
      <c r="DZZ6"/>
      <c r="EAA6"/>
      <c r="EAB6"/>
      <c r="EAC6"/>
      <c r="EAD6"/>
      <c r="EAE6"/>
      <c r="EAF6"/>
      <c r="EAG6"/>
      <c r="EAH6"/>
      <c r="EAI6"/>
      <c r="EAJ6"/>
      <c r="EAK6"/>
      <c r="EAL6"/>
      <c r="EAM6"/>
      <c r="EAN6"/>
      <c r="EAO6"/>
      <c r="EAP6"/>
      <c r="EAQ6"/>
      <c r="EAR6"/>
      <c r="EAS6"/>
      <c r="EAT6"/>
      <c r="EAU6"/>
      <c r="EAV6"/>
      <c r="EAW6"/>
      <c r="EAX6"/>
      <c r="EAY6"/>
      <c r="EAZ6"/>
      <c r="EBA6"/>
      <c r="EBB6"/>
      <c r="EBC6"/>
      <c r="EBD6"/>
      <c r="EBE6"/>
      <c r="EBF6"/>
      <c r="EBG6"/>
      <c r="EBH6"/>
      <c r="EBI6"/>
      <c r="EBJ6"/>
      <c r="EBK6"/>
      <c r="EBL6"/>
      <c r="EBM6"/>
      <c r="EBN6"/>
      <c r="EBO6"/>
      <c r="EBP6"/>
      <c r="EBQ6"/>
      <c r="EBR6"/>
      <c r="EBS6"/>
      <c r="EBT6"/>
      <c r="EBU6"/>
      <c r="EBV6"/>
      <c r="EBW6"/>
      <c r="EBX6"/>
      <c r="EBY6"/>
      <c r="EBZ6"/>
      <c r="ECA6"/>
      <c r="ECB6"/>
      <c r="ECC6"/>
      <c r="ECD6"/>
      <c r="ECE6"/>
      <c r="ECF6"/>
      <c r="ECG6"/>
      <c r="ECH6"/>
      <c r="ECI6"/>
      <c r="ECJ6"/>
      <c r="ECK6"/>
      <c r="ECL6"/>
      <c r="ECM6"/>
      <c r="ECN6"/>
      <c r="ECO6"/>
      <c r="ECP6"/>
      <c r="ECQ6"/>
      <c r="ECR6"/>
      <c r="ECS6"/>
      <c r="ECT6"/>
      <c r="ECU6"/>
      <c r="ECV6"/>
      <c r="ECW6"/>
      <c r="ECX6"/>
      <c r="ECY6"/>
      <c r="ECZ6"/>
      <c r="EDA6"/>
      <c r="EDB6"/>
      <c r="EDC6"/>
      <c r="EDD6"/>
      <c r="EDE6"/>
      <c r="EDF6"/>
      <c r="EDG6"/>
      <c r="EDH6"/>
      <c r="EDI6"/>
      <c r="EDJ6"/>
      <c r="EDK6"/>
      <c r="EDL6"/>
      <c r="EDM6"/>
      <c r="EDN6"/>
      <c r="EDO6"/>
      <c r="EDP6"/>
      <c r="EDQ6"/>
      <c r="EDR6"/>
      <c r="EDS6"/>
      <c r="EDT6"/>
      <c r="EDU6"/>
      <c r="EDV6"/>
      <c r="EDW6"/>
      <c r="EDX6"/>
      <c r="EDY6"/>
      <c r="EDZ6"/>
      <c r="EEA6"/>
      <c r="EEB6"/>
      <c r="EEC6"/>
      <c r="EED6"/>
      <c r="EEE6"/>
      <c r="EEF6"/>
      <c r="EEG6"/>
      <c r="EEH6"/>
      <c r="EEI6"/>
      <c r="EEJ6"/>
      <c r="EEK6"/>
      <c r="EEL6"/>
      <c r="EEM6"/>
      <c r="EEN6"/>
      <c r="EEO6"/>
      <c r="EEP6"/>
      <c r="EEQ6"/>
      <c r="EER6"/>
      <c r="EES6"/>
      <c r="EET6"/>
      <c r="EEU6"/>
      <c r="EEV6"/>
      <c r="EEW6"/>
      <c r="EEX6"/>
      <c r="EEY6"/>
      <c r="EEZ6"/>
      <c r="EFA6"/>
      <c r="EFB6"/>
      <c r="EFC6"/>
      <c r="EFD6"/>
      <c r="EFE6"/>
      <c r="EFF6"/>
      <c r="EFG6"/>
      <c r="EFH6"/>
      <c r="EFI6"/>
      <c r="EFJ6"/>
      <c r="EFK6"/>
      <c r="EFL6"/>
      <c r="EFM6"/>
      <c r="EFN6"/>
      <c r="EFO6"/>
      <c r="EFP6"/>
      <c r="EFQ6"/>
      <c r="EFR6"/>
      <c r="EFS6"/>
      <c r="EFT6"/>
      <c r="EFU6"/>
      <c r="EFV6"/>
      <c r="EFW6"/>
      <c r="EFX6"/>
      <c r="EFY6"/>
      <c r="EFZ6"/>
      <c r="EGA6"/>
      <c r="EGB6"/>
      <c r="EGC6"/>
      <c r="EGD6"/>
      <c r="EGE6"/>
      <c r="EGF6"/>
      <c r="EGG6"/>
      <c r="EGH6"/>
      <c r="EGI6"/>
      <c r="EGJ6"/>
      <c r="EGK6"/>
      <c r="EGL6"/>
      <c r="EGM6"/>
      <c r="EGN6"/>
      <c r="EGO6"/>
      <c r="EGP6"/>
      <c r="EGQ6"/>
      <c r="EGR6"/>
      <c r="EGS6"/>
      <c r="EGT6"/>
      <c r="EGU6"/>
      <c r="EGV6"/>
      <c r="EGW6"/>
      <c r="EGX6"/>
      <c r="EGY6"/>
      <c r="EGZ6"/>
      <c r="EHA6"/>
      <c r="EHB6"/>
      <c r="EHC6"/>
      <c r="EHD6"/>
      <c r="EHE6"/>
      <c r="EHF6"/>
      <c r="EHG6"/>
      <c r="EHH6"/>
      <c r="EHI6"/>
      <c r="EHJ6"/>
      <c r="EHK6"/>
      <c r="EHL6"/>
      <c r="EHM6"/>
      <c r="EHN6"/>
      <c r="EHO6"/>
      <c r="EHP6"/>
      <c r="EHQ6"/>
      <c r="EHR6"/>
      <c r="EHS6"/>
      <c r="EHT6"/>
      <c r="EHU6"/>
      <c r="EHV6"/>
      <c r="EHW6"/>
      <c r="EHX6"/>
      <c r="EHY6"/>
      <c r="EHZ6"/>
      <c r="EIA6"/>
      <c r="EIB6"/>
      <c r="EIC6"/>
      <c r="EID6"/>
      <c r="EIE6"/>
      <c r="EIF6"/>
      <c r="EIG6"/>
      <c r="EIH6"/>
      <c r="EII6"/>
      <c r="EIJ6"/>
      <c r="EIK6"/>
      <c r="EIL6"/>
      <c r="EIM6"/>
      <c r="EIN6"/>
      <c r="EIO6"/>
      <c r="EIP6"/>
      <c r="EIQ6"/>
      <c r="EIR6"/>
      <c r="EIS6"/>
      <c r="EIT6"/>
      <c r="EIU6"/>
      <c r="EIV6"/>
      <c r="EIW6"/>
      <c r="EIX6"/>
      <c r="EIY6"/>
      <c r="EIZ6"/>
      <c r="EJA6"/>
      <c r="EJB6"/>
      <c r="EJC6"/>
      <c r="EJD6"/>
      <c r="EJE6"/>
      <c r="EJF6"/>
      <c r="EJG6"/>
      <c r="EJH6"/>
      <c r="EJI6"/>
      <c r="EJJ6"/>
      <c r="EJK6"/>
      <c r="EJL6"/>
      <c r="EJM6"/>
      <c r="EJN6"/>
      <c r="EJO6"/>
      <c r="EJP6"/>
      <c r="EJQ6"/>
      <c r="EJR6"/>
      <c r="EJS6"/>
      <c r="EJT6"/>
      <c r="EJU6"/>
      <c r="EJV6"/>
      <c r="EJW6"/>
      <c r="EJX6"/>
      <c r="EJY6"/>
      <c r="EJZ6"/>
      <c r="EKA6"/>
      <c r="EKB6"/>
      <c r="EKC6"/>
      <c r="EKD6"/>
      <c r="EKE6"/>
      <c r="EKF6"/>
      <c r="EKG6"/>
      <c r="EKH6"/>
      <c r="EKI6"/>
      <c r="EKJ6"/>
      <c r="EKK6"/>
      <c r="EKL6"/>
      <c r="EKM6"/>
      <c r="EKN6"/>
      <c r="EKO6"/>
      <c r="EKP6"/>
      <c r="EKQ6"/>
      <c r="EKR6"/>
      <c r="EKS6"/>
      <c r="EKT6"/>
      <c r="EKU6"/>
      <c r="EKV6"/>
      <c r="EKW6"/>
      <c r="EKX6"/>
      <c r="EKY6"/>
      <c r="EKZ6"/>
      <c r="ELA6"/>
      <c r="ELB6"/>
      <c r="ELC6"/>
      <c r="ELD6"/>
      <c r="ELE6"/>
      <c r="ELF6"/>
      <c r="ELG6"/>
      <c r="ELH6"/>
      <c r="ELI6"/>
      <c r="ELJ6"/>
      <c r="ELK6"/>
      <c r="ELL6"/>
      <c r="ELM6"/>
      <c r="ELN6"/>
      <c r="ELO6"/>
      <c r="ELP6"/>
      <c r="ELQ6"/>
      <c r="ELR6"/>
      <c r="ELS6"/>
      <c r="ELT6"/>
      <c r="ELU6"/>
      <c r="ELV6"/>
      <c r="ELW6"/>
      <c r="ELX6"/>
      <c r="ELY6"/>
      <c r="ELZ6"/>
      <c r="EMA6"/>
      <c r="EMB6"/>
      <c r="EMC6"/>
      <c r="EMD6"/>
      <c r="EME6"/>
      <c r="EMF6"/>
      <c r="EMG6"/>
      <c r="EMH6"/>
      <c r="EMI6"/>
      <c r="EMJ6"/>
      <c r="EMK6"/>
      <c r="EML6"/>
      <c r="EMM6"/>
      <c r="EMN6"/>
      <c r="EMO6"/>
      <c r="EMP6"/>
      <c r="EMQ6"/>
      <c r="EMR6"/>
      <c r="EMS6"/>
      <c r="EMT6"/>
      <c r="EMU6"/>
      <c r="EMV6"/>
      <c r="EMW6"/>
      <c r="EMX6"/>
      <c r="EMY6"/>
      <c r="EMZ6"/>
      <c r="ENA6"/>
      <c r="ENB6"/>
      <c r="ENC6"/>
      <c r="END6"/>
      <c r="ENE6"/>
      <c r="ENF6"/>
      <c r="ENG6"/>
      <c r="ENH6"/>
      <c r="ENI6"/>
      <c r="ENJ6"/>
      <c r="ENK6"/>
      <c r="ENL6"/>
      <c r="ENM6"/>
      <c r="ENN6"/>
      <c r="ENO6"/>
      <c r="ENP6"/>
      <c r="ENQ6"/>
      <c r="ENR6"/>
      <c r="ENS6"/>
      <c r="ENT6"/>
      <c r="ENU6"/>
      <c r="ENV6"/>
      <c r="ENW6"/>
      <c r="ENX6"/>
      <c r="ENY6"/>
      <c r="ENZ6"/>
      <c r="EOA6"/>
      <c r="EOB6"/>
      <c r="EOC6"/>
      <c r="EOD6"/>
      <c r="EOE6"/>
      <c r="EOF6"/>
      <c r="EOG6"/>
      <c r="EOH6"/>
      <c r="EOI6"/>
      <c r="EOJ6"/>
      <c r="EOK6"/>
      <c r="EOL6"/>
      <c r="EOM6"/>
      <c r="EON6"/>
      <c r="EOO6"/>
      <c r="EOP6"/>
      <c r="EOQ6"/>
      <c r="EOR6"/>
      <c r="EOS6"/>
      <c r="EOT6"/>
      <c r="EOU6"/>
      <c r="EOV6"/>
      <c r="EOW6"/>
      <c r="EOX6"/>
      <c r="EOY6"/>
      <c r="EOZ6"/>
      <c r="EPA6"/>
      <c r="EPB6"/>
      <c r="EPC6"/>
      <c r="EPD6"/>
      <c r="EPE6"/>
      <c r="EPF6"/>
      <c r="EPG6"/>
      <c r="EPH6"/>
      <c r="EPI6"/>
      <c r="EPJ6"/>
      <c r="EPK6"/>
      <c r="EPL6"/>
      <c r="EPM6"/>
      <c r="EPN6"/>
      <c r="EPO6"/>
      <c r="EPP6"/>
      <c r="EPQ6"/>
      <c r="EPR6"/>
      <c r="EPS6"/>
      <c r="EPT6"/>
      <c r="EPU6"/>
      <c r="EPV6"/>
      <c r="EPW6"/>
      <c r="EPX6"/>
      <c r="EPY6"/>
      <c r="EPZ6"/>
      <c r="EQA6"/>
      <c r="EQB6"/>
      <c r="EQC6"/>
      <c r="EQD6"/>
      <c r="EQE6"/>
      <c r="EQF6"/>
      <c r="EQG6"/>
      <c r="EQH6"/>
      <c r="EQI6"/>
      <c r="EQJ6"/>
      <c r="EQK6"/>
      <c r="EQL6"/>
      <c r="EQM6"/>
      <c r="EQN6"/>
      <c r="EQO6"/>
      <c r="EQP6"/>
      <c r="EQQ6"/>
      <c r="EQR6"/>
      <c r="EQS6"/>
      <c r="EQT6"/>
      <c r="EQU6"/>
      <c r="EQV6"/>
      <c r="EQW6"/>
      <c r="EQX6"/>
      <c r="EQY6"/>
      <c r="EQZ6"/>
      <c r="ERA6"/>
      <c r="ERB6"/>
      <c r="ERC6"/>
      <c r="ERD6"/>
      <c r="ERE6"/>
      <c r="ERF6"/>
      <c r="ERG6"/>
      <c r="ERH6"/>
      <c r="ERI6"/>
      <c r="ERJ6"/>
      <c r="ERK6"/>
      <c r="ERL6"/>
      <c r="ERM6"/>
      <c r="ERN6"/>
      <c r="ERO6"/>
      <c r="ERP6"/>
      <c r="ERQ6"/>
      <c r="ERR6"/>
      <c r="ERS6"/>
      <c r="ERT6"/>
      <c r="ERU6"/>
      <c r="ERV6"/>
      <c r="ERW6"/>
      <c r="ERX6"/>
      <c r="ERY6"/>
      <c r="ERZ6"/>
      <c r="ESA6"/>
      <c r="ESB6"/>
      <c r="ESC6"/>
      <c r="ESD6"/>
      <c r="ESE6"/>
      <c r="ESF6"/>
      <c r="ESG6"/>
      <c r="ESH6"/>
      <c r="ESI6"/>
      <c r="ESJ6"/>
      <c r="ESK6"/>
      <c r="ESL6"/>
      <c r="ESM6"/>
      <c r="ESN6"/>
      <c r="ESO6"/>
      <c r="ESP6"/>
      <c r="ESQ6"/>
      <c r="ESR6"/>
      <c r="ESS6"/>
      <c r="EST6"/>
      <c r="ESU6"/>
      <c r="ESV6"/>
      <c r="ESW6"/>
      <c r="ESX6"/>
      <c r="ESY6"/>
      <c r="ESZ6"/>
      <c r="ETA6"/>
      <c r="ETB6"/>
      <c r="ETC6"/>
      <c r="ETD6"/>
      <c r="ETE6"/>
      <c r="ETF6"/>
      <c r="ETG6"/>
      <c r="ETH6"/>
      <c r="ETI6"/>
      <c r="ETJ6"/>
      <c r="ETK6"/>
      <c r="ETL6"/>
      <c r="ETM6"/>
      <c r="ETN6"/>
      <c r="ETO6"/>
      <c r="ETP6"/>
      <c r="ETQ6"/>
      <c r="ETR6"/>
      <c r="ETS6"/>
      <c r="ETT6"/>
      <c r="ETU6"/>
      <c r="ETV6"/>
      <c r="ETW6"/>
      <c r="ETX6"/>
      <c r="ETY6"/>
      <c r="ETZ6"/>
      <c r="EUA6"/>
      <c r="EUB6"/>
      <c r="EUC6"/>
      <c r="EUD6"/>
      <c r="EUE6"/>
      <c r="EUF6"/>
      <c r="EUG6"/>
      <c r="EUH6"/>
      <c r="EUI6"/>
      <c r="EUJ6"/>
      <c r="EUK6"/>
      <c r="EUL6"/>
      <c r="EUM6"/>
      <c r="EUN6"/>
      <c r="EUO6"/>
      <c r="EUP6"/>
      <c r="EUQ6"/>
      <c r="EUR6"/>
      <c r="EUS6"/>
      <c r="EUT6"/>
      <c r="EUU6"/>
      <c r="EUV6"/>
      <c r="EUW6"/>
      <c r="EUX6"/>
      <c r="EUY6"/>
      <c r="EUZ6"/>
      <c r="EVA6"/>
      <c r="EVB6"/>
      <c r="EVC6"/>
      <c r="EVD6"/>
      <c r="EVE6"/>
      <c r="EVF6"/>
      <c r="EVG6"/>
      <c r="EVH6"/>
      <c r="EVI6"/>
      <c r="EVJ6"/>
      <c r="EVK6"/>
      <c r="EVL6"/>
      <c r="EVM6"/>
      <c r="EVN6"/>
      <c r="EVO6"/>
      <c r="EVP6"/>
      <c r="EVQ6"/>
      <c r="EVR6"/>
      <c r="EVS6"/>
      <c r="EVT6"/>
      <c r="EVU6"/>
      <c r="EVV6"/>
      <c r="EVW6"/>
      <c r="EVX6"/>
      <c r="EVY6"/>
      <c r="EVZ6"/>
      <c r="EWA6"/>
      <c r="EWB6"/>
      <c r="EWC6"/>
      <c r="EWD6"/>
      <c r="EWE6"/>
      <c r="EWF6"/>
      <c r="EWG6"/>
      <c r="EWH6"/>
      <c r="EWI6"/>
      <c r="EWJ6"/>
      <c r="EWK6"/>
      <c r="EWL6"/>
      <c r="EWM6"/>
      <c r="EWN6"/>
      <c r="EWO6"/>
      <c r="EWP6"/>
      <c r="EWQ6"/>
      <c r="EWR6"/>
      <c r="EWS6"/>
      <c r="EWT6"/>
      <c r="EWU6"/>
      <c r="EWV6"/>
      <c r="EWW6"/>
      <c r="EWX6"/>
      <c r="EWY6"/>
      <c r="EWZ6"/>
      <c r="EXA6"/>
      <c r="EXB6"/>
      <c r="EXC6"/>
      <c r="EXD6"/>
      <c r="EXE6"/>
      <c r="EXF6"/>
      <c r="EXG6"/>
      <c r="EXH6"/>
      <c r="EXI6"/>
      <c r="EXJ6"/>
      <c r="EXK6"/>
      <c r="EXL6"/>
      <c r="EXM6"/>
      <c r="EXN6"/>
      <c r="EXO6"/>
      <c r="EXP6"/>
      <c r="EXQ6"/>
      <c r="EXR6"/>
      <c r="EXS6"/>
      <c r="EXT6"/>
      <c r="EXU6"/>
      <c r="EXV6"/>
      <c r="EXW6"/>
      <c r="EXX6"/>
      <c r="EXY6"/>
      <c r="EXZ6"/>
      <c r="EYA6"/>
      <c r="EYB6"/>
      <c r="EYC6"/>
      <c r="EYD6"/>
      <c r="EYE6"/>
      <c r="EYF6"/>
      <c r="EYG6"/>
      <c r="EYH6"/>
      <c r="EYI6"/>
      <c r="EYJ6"/>
      <c r="EYK6"/>
      <c r="EYL6"/>
      <c r="EYM6"/>
      <c r="EYN6"/>
      <c r="EYO6"/>
      <c r="EYP6"/>
      <c r="EYQ6"/>
      <c r="EYR6"/>
      <c r="EYS6"/>
      <c r="EYT6"/>
      <c r="EYU6"/>
      <c r="EYV6"/>
      <c r="EYW6"/>
      <c r="EYX6"/>
      <c r="EYY6"/>
      <c r="EYZ6"/>
      <c r="EZA6"/>
      <c r="EZB6"/>
      <c r="EZC6"/>
      <c r="EZD6"/>
      <c r="EZE6"/>
      <c r="EZF6"/>
      <c r="EZG6"/>
      <c r="EZH6"/>
      <c r="EZI6"/>
      <c r="EZJ6"/>
      <c r="EZK6"/>
      <c r="EZL6"/>
      <c r="EZM6"/>
      <c r="EZN6"/>
      <c r="EZO6"/>
      <c r="EZP6"/>
      <c r="EZQ6"/>
      <c r="EZR6"/>
      <c r="EZS6"/>
      <c r="EZT6"/>
      <c r="EZU6"/>
      <c r="EZV6"/>
      <c r="EZW6"/>
      <c r="EZX6"/>
      <c r="EZY6"/>
      <c r="EZZ6"/>
      <c r="FAA6"/>
      <c r="FAB6"/>
      <c r="FAC6"/>
      <c r="FAD6"/>
      <c r="FAE6"/>
      <c r="FAF6"/>
      <c r="FAG6"/>
      <c r="FAH6"/>
      <c r="FAI6"/>
      <c r="FAJ6"/>
      <c r="FAK6"/>
      <c r="FAL6"/>
      <c r="FAM6"/>
      <c r="FAN6"/>
      <c r="FAO6"/>
      <c r="FAP6"/>
      <c r="FAQ6"/>
      <c r="FAR6"/>
      <c r="FAS6"/>
      <c r="FAT6"/>
      <c r="FAU6"/>
      <c r="FAV6"/>
      <c r="FAW6"/>
      <c r="FAX6"/>
      <c r="FAY6"/>
      <c r="FAZ6"/>
      <c r="FBA6"/>
      <c r="FBB6"/>
      <c r="FBC6"/>
      <c r="FBD6"/>
      <c r="FBE6"/>
      <c r="FBF6"/>
      <c r="FBG6"/>
      <c r="FBH6"/>
      <c r="FBI6"/>
      <c r="FBJ6"/>
      <c r="FBK6"/>
      <c r="FBL6"/>
      <c r="FBM6"/>
      <c r="FBN6"/>
      <c r="FBO6"/>
      <c r="FBP6"/>
      <c r="FBQ6"/>
      <c r="FBR6"/>
      <c r="FBS6"/>
      <c r="FBT6"/>
      <c r="FBU6"/>
      <c r="FBV6"/>
      <c r="FBW6"/>
      <c r="FBX6"/>
      <c r="FBY6"/>
      <c r="FBZ6"/>
      <c r="FCA6"/>
      <c r="FCB6"/>
      <c r="FCC6"/>
      <c r="FCD6"/>
      <c r="FCE6"/>
      <c r="FCF6"/>
      <c r="FCG6"/>
      <c r="FCH6"/>
      <c r="FCI6"/>
      <c r="FCJ6"/>
      <c r="FCK6"/>
      <c r="FCL6"/>
      <c r="FCM6"/>
      <c r="FCN6"/>
      <c r="FCO6"/>
      <c r="FCP6"/>
      <c r="FCQ6"/>
      <c r="FCR6"/>
      <c r="FCS6"/>
      <c r="FCT6"/>
      <c r="FCU6"/>
      <c r="FCV6"/>
      <c r="FCW6"/>
      <c r="FCX6"/>
      <c r="FCY6"/>
      <c r="FCZ6"/>
      <c r="FDA6"/>
      <c r="FDB6"/>
      <c r="FDC6"/>
      <c r="FDD6"/>
      <c r="FDE6"/>
      <c r="FDF6"/>
      <c r="FDG6"/>
      <c r="FDH6"/>
      <c r="FDI6"/>
      <c r="FDJ6"/>
      <c r="FDK6"/>
      <c r="FDL6"/>
      <c r="FDM6"/>
      <c r="FDN6"/>
      <c r="FDO6"/>
      <c r="FDP6"/>
      <c r="FDQ6"/>
      <c r="FDR6"/>
      <c r="FDS6"/>
      <c r="FDT6"/>
      <c r="FDU6"/>
      <c r="FDV6"/>
      <c r="FDW6"/>
      <c r="FDX6"/>
      <c r="FDY6"/>
      <c r="FDZ6"/>
      <c r="FEA6"/>
      <c r="FEB6"/>
      <c r="FEC6"/>
      <c r="FED6"/>
      <c r="FEE6"/>
      <c r="FEF6"/>
      <c r="FEG6"/>
      <c r="FEH6"/>
      <c r="FEI6"/>
      <c r="FEJ6"/>
      <c r="FEK6"/>
      <c r="FEL6"/>
      <c r="FEM6"/>
      <c r="FEN6"/>
      <c r="FEO6"/>
      <c r="FEP6"/>
      <c r="FEQ6"/>
      <c r="FER6"/>
      <c r="FES6"/>
      <c r="FET6"/>
      <c r="FEU6"/>
      <c r="FEV6"/>
      <c r="FEW6"/>
      <c r="FEX6"/>
      <c r="FEY6"/>
      <c r="FEZ6"/>
      <c r="FFA6"/>
      <c r="FFB6"/>
      <c r="FFC6"/>
      <c r="FFD6"/>
      <c r="FFE6"/>
      <c r="FFF6"/>
      <c r="FFG6"/>
      <c r="FFH6"/>
      <c r="FFI6"/>
      <c r="FFJ6"/>
      <c r="FFK6"/>
      <c r="FFL6"/>
      <c r="FFM6"/>
      <c r="FFN6"/>
      <c r="FFO6"/>
      <c r="FFP6"/>
      <c r="FFQ6"/>
      <c r="FFR6"/>
      <c r="FFS6"/>
      <c r="FFT6"/>
      <c r="FFU6"/>
      <c r="FFV6"/>
      <c r="FFW6"/>
      <c r="FFX6"/>
      <c r="FFY6"/>
      <c r="FFZ6"/>
      <c r="FGA6"/>
      <c r="FGB6"/>
      <c r="FGC6"/>
      <c r="FGD6"/>
      <c r="FGE6"/>
      <c r="FGF6"/>
      <c r="FGG6"/>
      <c r="FGH6"/>
      <c r="FGI6"/>
      <c r="FGJ6"/>
      <c r="FGK6"/>
      <c r="FGL6"/>
      <c r="FGM6"/>
      <c r="FGN6"/>
      <c r="FGO6"/>
      <c r="FGP6"/>
      <c r="FGQ6"/>
      <c r="FGR6"/>
      <c r="FGS6"/>
      <c r="FGT6"/>
      <c r="FGU6"/>
      <c r="FGV6"/>
      <c r="FGW6"/>
      <c r="FGX6"/>
      <c r="FGY6"/>
      <c r="FGZ6"/>
      <c r="FHA6"/>
      <c r="FHB6"/>
      <c r="FHC6"/>
      <c r="FHD6"/>
      <c r="FHE6"/>
      <c r="FHF6"/>
      <c r="FHG6"/>
      <c r="FHH6"/>
      <c r="FHI6"/>
      <c r="FHJ6"/>
      <c r="FHK6"/>
      <c r="FHL6"/>
      <c r="FHM6"/>
      <c r="FHN6"/>
      <c r="FHO6"/>
      <c r="FHP6"/>
      <c r="FHQ6"/>
      <c r="FHR6"/>
      <c r="FHS6"/>
      <c r="FHT6"/>
      <c r="FHU6"/>
      <c r="FHV6"/>
      <c r="FHW6"/>
      <c r="FHX6"/>
      <c r="FHY6"/>
      <c r="FHZ6"/>
      <c r="FIA6"/>
      <c r="FIB6"/>
      <c r="FIC6"/>
      <c r="FID6"/>
      <c r="FIE6"/>
      <c r="FIF6"/>
      <c r="FIG6"/>
      <c r="FIH6"/>
      <c r="FII6"/>
      <c r="FIJ6"/>
      <c r="FIK6"/>
      <c r="FIL6"/>
      <c r="FIM6"/>
      <c r="FIN6"/>
      <c r="FIO6"/>
      <c r="FIP6"/>
      <c r="FIQ6"/>
      <c r="FIR6"/>
      <c r="FIS6"/>
      <c r="FIT6"/>
      <c r="FIU6"/>
      <c r="FIV6"/>
      <c r="FIW6"/>
      <c r="FIX6"/>
      <c r="FIY6"/>
      <c r="FIZ6"/>
      <c r="FJA6"/>
      <c r="FJB6"/>
      <c r="FJC6"/>
      <c r="FJD6"/>
      <c r="FJE6"/>
      <c r="FJF6"/>
      <c r="FJG6"/>
      <c r="FJH6"/>
      <c r="FJI6"/>
      <c r="FJJ6"/>
      <c r="FJK6"/>
      <c r="FJL6"/>
      <c r="FJM6"/>
      <c r="FJN6"/>
      <c r="FJO6"/>
      <c r="FJP6"/>
      <c r="FJQ6"/>
      <c r="FJR6"/>
      <c r="FJS6"/>
      <c r="FJT6"/>
      <c r="FJU6"/>
      <c r="FJV6"/>
      <c r="FJW6"/>
      <c r="FJX6"/>
      <c r="FJY6"/>
      <c r="FJZ6"/>
      <c r="FKA6"/>
      <c r="FKB6"/>
      <c r="FKC6"/>
      <c r="FKD6"/>
      <c r="FKE6"/>
      <c r="FKF6"/>
      <c r="FKG6"/>
      <c r="FKH6"/>
      <c r="FKI6"/>
      <c r="FKJ6"/>
      <c r="FKK6"/>
      <c r="FKL6"/>
      <c r="FKM6"/>
      <c r="FKN6"/>
      <c r="FKO6"/>
      <c r="FKP6"/>
      <c r="FKQ6"/>
      <c r="FKR6"/>
      <c r="FKS6"/>
      <c r="FKT6"/>
      <c r="FKU6"/>
      <c r="FKV6"/>
      <c r="FKW6"/>
      <c r="FKX6"/>
      <c r="FKY6"/>
      <c r="FKZ6"/>
      <c r="FLA6"/>
      <c r="FLB6"/>
      <c r="FLC6"/>
      <c r="FLD6"/>
      <c r="FLE6"/>
      <c r="FLF6"/>
      <c r="FLG6"/>
      <c r="FLH6"/>
      <c r="FLI6"/>
      <c r="FLJ6"/>
      <c r="FLK6"/>
      <c r="FLL6"/>
      <c r="FLM6"/>
      <c r="FLN6"/>
      <c r="FLO6"/>
      <c r="FLP6"/>
      <c r="FLQ6"/>
      <c r="FLR6"/>
      <c r="FLS6"/>
      <c r="FLT6"/>
      <c r="FLU6"/>
      <c r="FLV6"/>
      <c r="FLW6"/>
      <c r="FLX6"/>
      <c r="FLY6"/>
      <c r="FLZ6"/>
      <c r="FMA6"/>
      <c r="FMB6"/>
      <c r="FMC6"/>
      <c r="FMD6"/>
      <c r="FME6"/>
      <c r="FMF6"/>
      <c r="FMG6"/>
      <c r="FMH6"/>
      <c r="FMI6"/>
      <c r="FMJ6"/>
      <c r="FMK6"/>
      <c r="FML6"/>
      <c r="FMM6"/>
      <c r="FMN6"/>
      <c r="FMO6"/>
      <c r="FMP6"/>
      <c r="FMQ6"/>
      <c r="FMR6"/>
      <c r="FMS6"/>
      <c r="FMT6"/>
      <c r="FMU6"/>
      <c r="FMV6"/>
      <c r="FMW6"/>
      <c r="FMX6"/>
      <c r="FMY6"/>
      <c r="FMZ6"/>
      <c r="FNA6"/>
      <c r="FNB6"/>
      <c r="FNC6"/>
      <c r="FND6"/>
      <c r="FNE6"/>
      <c r="FNF6"/>
      <c r="FNG6"/>
      <c r="FNH6"/>
      <c r="FNI6"/>
      <c r="FNJ6"/>
      <c r="FNK6"/>
      <c r="FNL6"/>
      <c r="FNM6"/>
      <c r="FNN6"/>
      <c r="FNO6"/>
      <c r="FNP6"/>
      <c r="FNQ6"/>
      <c r="FNR6"/>
      <c r="FNS6"/>
      <c r="FNT6"/>
      <c r="FNU6"/>
      <c r="FNV6"/>
      <c r="FNW6"/>
      <c r="FNX6"/>
      <c r="FNY6"/>
      <c r="FNZ6"/>
      <c r="FOA6"/>
      <c r="FOB6"/>
      <c r="FOC6"/>
      <c r="FOD6"/>
      <c r="FOE6"/>
      <c r="FOF6"/>
      <c r="FOG6"/>
      <c r="FOH6"/>
      <c r="FOI6"/>
      <c r="FOJ6"/>
      <c r="FOK6"/>
      <c r="FOL6"/>
      <c r="FOM6"/>
      <c r="FON6"/>
      <c r="FOO6"/>
      <c r="FOP6"/>
      <c r="FOQ6"/>
      <c r="FOR6"/>
      <c r="FOS6"/>
      <c r="FOT6"/>
      <c r="FOU6"/>
      <c r="FOV6"/>
      <c r="FOW6"/>
      <c r="FOX6"/>
      <c r="FOY6"/>
      <c r="FOZ6"/>
      <c r="FPA6"/>
      <c r="FPB6"/>
      <c r="FPC6"/>
      <c r="FPD6"/>
      <c r="FPE6"/>
      <c r="FPF6"/>
      <c r="FPG6"/>
      <c r="FPH6"/>
      <c r="FPI6"/>
      <c r="FPJ6"/>
      <c r="FPK6"/>
      <c r="FPL6"/>
      <c r="FPM6"/>
      <c r="FPN6"/>
      <c r="FPO6"/>
      <c r="FPP6"/>
      <c r="FPQ6"/>
      <c r="FPR6"/>
      <c r="FPS6"/>
      <c r="FPT6"/>
      <c r="FPU6"/>
      <c r="FPV6"/>
      <c r="FPW6"/>
      <c r="FPX6"/>
      <c r="FPY6"/>
      <c r="FPZ6"/>
      <c r="FQA6"/>
      <c r="FQB6"/>
      <c r="FQC6"/>
      <c r="FQD6"/>
      <c r="FQE6"/>
      <c r="FQF6"/>
      <c r="FQG6"/>
      <c r="FQH6"/>
      <c r="FQI6"/>
      <c r="FQJ6"/>
      <c r="FQK6"/>
      <c r="FQL6"/>
      <c r="FQM6"/>
      <c r="FQN6"/>
      <c r="FQO6"/>
      <c r="FQP6"/>
      <c r="FQQ6"/>
      <c r="FQR6"/>
      <c r="FQS6"/>
      <c r="FQT6"/>
      <c r="FQU6"/>
      <c r="FQV6"/>
      <c r="FQW6"/>
      <c r="FQX6"/>
      <c r="FQY6"/>
      <c r="FQZ6"/>
      <c r="FRA6"/>
      <c r="FRB6"/>
      <c r="FRC6"/>
      <c r="FRD6"/>
      <c r="FRE6"/>
      <c r="FRF6"/>
      <c r="FRG6"/>
      <c r="FRH6"/>
      <c r="FRI6"/>
      <c r="FRJ6"/>
      <c r="FRK6"/>
      <c r="FRL6"/>
      <c r="FRM6"/>
      <c r="FRN6"/>
      <c r="FRO6"/>
      <c r="FRP6"/>
      <c r="FRQ6"/>
      <c r="FRR6"/>
      <c r="FRS6"/>
      <c r="FRT6"/>
      <c r="FRU6"/>
      <c r="FRV6"/>
      <c r="FRW6"/>
      <c r="FRX6"/>
      <c r="FRY6"/>
      <c r="FRZ6"/>
      <c r="FSA6"/>
      <c r="FSB6"/>
      <c r="FSC6"/>
      <c r="FSD6"/>
      <c r="FSE6"/>
      <c r="FSF6"/>
      <c r="FSG6"/>
      <c r="FSH6"/>
      <c r="FSI6"/>
      <c r="FSJ6"/>
      <c r="FSK6"/>
      <c r="FSL6"/>
      <c r="FSM6"/>
      <c r="FSN6"/>
      <c r="FSO6"/>
      <c r="FSP6"/>
      <c r="FSQ6"/>
      <c r="FSR6"/>
      <c r="FSS6"/>
      <c r="FST6"/>
      <c r="FSU6"/>
      <c r="FSV6"/>
      <c r="FSW6"/>
      <c r="FSX6"/>
      <c r="FSY6"/>
      <c r="FSZ6"/>
      <c r="FTA6"/>
      <c r="FTB6"/>
      <c r="FTC6"/>
      <c r="FTD6"/>
      <c r="FTE6"/>
      <c r="FTF6"/>
      <c r="FTG6"/>
      <c r="FTH6"/>
      <c r="FTI6"/>
      <c r="FTJ6"/>
      <c r="FTK6"/>
      <c r="FTL6"/>
      <c r="FTM6"/>
      <c r="FTN6"/>
      <c r="FTO6"/>
      <c r="FTP6"/>
      <c r="FTQ6"/>
      <c r="FTR6"/>
      <c r="FTS6"/>
      <c r="FTT6"/>
      <c r="FTU6"/>
      <c r="FTV6"/>
      <c r="FTW6"/>
      <c r="FTX6"/>
      <c r="FTY6"/>
      <c r="FTZ6"/>
      <c r="FUA6"/>
      <c r="FUB6"/>
      <c r="FUC6"/>
      <c r="FUD6"/>
      <c r="FUE6"/>
      <c r="FUF6"/>
      <c r="FUG6"/>
      <c r="FUH6"/>
      <c r="FUI6"/>
      <c r="FUJ6"/>
      <c r="FUK6"/>
      <c r="FUL6"/>
      <c r="FUM6"/>
      <c r="FUN6"/>
      <c r="FUO6"/>
      <c r="FUP6"/>
      <c r="FUQ6"/>
      <c r="FUR6"/>
      <c r="FUS6"/>
      <c r="FUT6"/>
      <c r="FUU6"/>
      <c r="FUV6"/>
      <c r="FUW6"/>
      <c r="FUX6"/>
      <c r="FUY6"/>
      <c r="FUZ6"/>
      <c r="FVA6"/>
      <c r="FVB6"/>
      <c r="FVC6"/>
      <c r="FVD6"/>
      <c r="FVE6"/>
      <c r="FVF6"/>
      <c r="FVG6"/>
      <c r="FVH6"/>
      <c r="FVI6"/>
      <c r="FVJ6"/>
      <c r="FVK6"/>
      <c r="FVL6"/>
      <c r="FVM6"/>
      <c r="FVN6"/>
      <c r="FVO6"/>
      <c r="FVP6"/>
      <c r="FVQ6"/>
      <c r="FVR6"/>
      <c r="FVS6"/>
      <c r="FVT6"/>
      <c r="FVU6"/>
      <c r="FVV6"/>
      <c r="FVW6"/>
      <c r="FVX6"/>
      <c r="FVY6"/>
      <c r="FVZ6"/>
      <c r="FWA6"/>
      <c r="FWB6"/>
      <c r="FWC6"/>
      <c r="FWD6"/>
      <c r="FWE6"/>
      <c r="FWF6"/>
      <c r="FWG6"/>
      <c r="FWH6"/>
      <c r="FWI6"/>
      <c r="FWJ6"/>
      <c r="FWK6"/>
      <c r="FWL6"/>
      <c r="FWM6"/>
      <c r="FWN6"/>
      <c r="FWO6"/>
      <c r="FWP6"/>
      <c r="FWQ6"/>
      <c r="FWR6"/>
      <c r="FWS6"/>
      <c r="FWT6"/>
      <c r="FWU6"/>
      <c r="FWV6"/>
      <c r="FWW6"/>
      <c r="FWX6"/>
      <c r="FWY6"/>
      <c r="FWZ6"/>
      <c r="FXA6"/>
      <c r="FXB6"/>
      <c r="FXC6"/>
      <c r="FXD6"/>
      <c r="FXE6"/>
      <c r="FXF6"/>
      <c r="FXG6"/>
      <c r="FXH6"/>
      <c r="FXI6"/>
      <c r="FXJ6"/>
      <c r="FXK6"/>
      <c r="FXL6"/>
      <c r="FXM6"/>
      <c r="FXN6"/>
      <c r="FXO6"/>
      <c r="FXP6"/>
      <c r="FXQ6"/>
      <c r="FXR6"/>
      <c r="FXS6"/>
      <c r="FXT6"/>
      <c r="FXU6"/>
      <c r="FXV6"/>
      <c r="FXW6"/>
      <c r="FXX6"/>
      <c r="FXY6"/>
      <c r="FXZ6"/>
      <c r="FYA6"/>
      <c r="FYB6"/>
      <c r="FYC6"/>
      <c r="FYD6"/>
      <c r="FYE6"/>
      <c r="FYF6"/>
      <c r="FYG6"/>
      <c r="FYH6"/>
      <c r="FYI6"/>
      <c r="FYJ6"/>
      <c r="FYK6"/>
      <c r="FYL6"/>
      <c r="FYM6"/>
      <c r="FYN6"/>
      <c r="FYO6"/>
      <c r="FYP6"/>
      <c r="FYQ6"/>
      <c r="FYR6"/>
      <c r="FYS6"/>
      <c r="FYT6"/>
      <c r="FYU6"/>
      <c r="FYV6"/>
      <c r="FYW6"/>
      <c r="FYX6"/>
      <c r="FYY6"/>
      <c r="FYZ6"/>
      <c r="FZA6"/>
      <c r="FZB6"/>
      <c r="FZC6"/>
      <c r="FZD6"/>
      <c r="FZE6"/>
      <c r="FZF6"/>
      <c r="FZG6"/>
      <c r="FZH6"/>
      <c r="FZI6"/>
      <c r="FZJ6"/>
      <c r="FZK6"/>
      <c r="FZL6"/>
      <c r="FZM6"/>
      <c r="FZN6"/>
      <c r="FZO6"/>
      <c r="FZP6"/>
      <c r="FZQ6"/>
      <c r="FZR6"/>
      <c r="FZS6"/>
      <c r="FZT6"/>
      <c r="FZU6"/>
      <c r="FZV6"/>
      <c r="FZW6"/>
      <c r="FZX6"/>
      <c r="FZY6"/>
      <c r="FZZ6"/>
      <c r="GAA6"/>
      <c r="GAB6"/>
      <c r="GAC6"/>
      <c r="GAD6"/>
      <c r="GAE6"/>
      <c r="GAF6"/>
      <c r="GAG6"/>
      <c r="GAH6"/>
      <c r="GAI6"/>
      <c r="GAJ6"/>
      <c r="GAK6"/>
      <c r="GAL6"/>
      <c r="GAM6"/>
      <c r="GAN6"/>
      <c r="GAO6"/>
      <c r="GAP6"/>
      <c r="GAQ6"/>
      <c r="GAR6"/>
      <c r="GAS6"/>
      <c r="GAT6"/>
      <c r="GAU6"/>
      <c r="GAV6"/>
      <c r="GAW6"/>
      <c r="GAX6"/>
      <c r="GAY6"/>
      <c r="GAZ6"/>
      <c r="GBA6"/>
      <c r="GBB6"/>
      <c r="GBC6"/>
      <c r="GBD6"/>
      <c r="GBE6"/>
      <c r="GBF6"/>
      <c r="GBG6"/>
      <c r="GBH6"/>
      <c r="GBI6"/>
      <c r="GBJ6"/>
      <c r="GBK6"/>
      <c r="GBL6"/>
      <c r="GBM6"/>
      <c r="GBN6"/>
      <c r="GBO6"/>
      <c r="GBP6"/>
      <c r="GBQ6"/>
      <c r="GBR6"/>
      <c r="GBS6"/>
      <c r="GBT6"/>
      <c r="GBU6"/>
      <c r="GBV6"/>
      <c r="GBW6"/>
      <c r="GBX6"/>
      <c r="GBY6"/>
      <c r="GBZ6"/>
      <c r="GCA6"/>
      <c r="GCB6"/>
      <c r="GCC6"/>
      <c r="GCD6"/>
      <c r="GCE6"/>
      <c r="GCF6"/>
      <c r="GCG6"/>
      <c r="GCH6"/>
      <c r="GCI6"/>
      <c r="GCJ6"/>
      <c r="GCK6"/>
      <c r="GCL6"/>
      <c r="GCM6"/>
      <c r="GCN6"/>
      <c r="GCO6"/>
      <c r="GCP6"/>
      <c r="GCQ6"/>
      <c r="GCR6"/>
      <c r="GCS6"/>
      <c r="GCT6"/>
      <c r="GCU6"/>
      <c r="GCV6"/>
      <c r="GCW6"/>
      <c r="GCX6"/>
      <c r="GCY6"/>
      <c r="GCZ6"/>
      <c r="GDA6"/>
      <c r="GDB6"/>
      <c r="GDC6"/>
      <c r="GDD6"/>
      <c r="GDE6"/>
      <c r="GDF6"/>
      <c r="GDG6"/>
      <c r="GDH6"/>
      <c r="GDI6"/>
      <c r="GDJ6"/>
      <c r="GDK6"/>
      <c r="GDL6"/>
      <c r="GDM6"/>
      <c r="GDN6"/>
      <c r="GDO6"/>
      <c r="GDP6"/>
      <c r="GDQ6"/>
      <c r="GDR6"/>
      <c r="GDS6"/>
      <c r="GDT6"/>
      <c r="GDU6"/>
      <c r="GDV6"/>
      <c r="GDW6"/>
      <c r="GDX6"/>
      <c r="GDY6"/>
      <c r="GDZ6"/>
      <c r="GEA6"/>
      <c r="GEB6"/>
      <c r="GEC6"/>
      <c r="GED6"/>
      <c r="GEE6"/>
      <c r="GEF6"/>
      <c r="GEG6"/>
      <c r="GEH6"/>
      <c r="GEI6"/>
      <c r="GEJ6"/>
      <c r="GEK6"/>
      <c r="GEL6"/>
      <c r="GEM6"/>
      <c r="GEN6"/>
      <c r="GEO6"/>
      <c r="GEP6"/>
      <c r="GEQ6"/>
      <c r="GER6"/>
      <c r="GES6"/>
      <c r="GET6"/>
      <c r="GEU6"/>
      <c r="GEV6"/>
      <c r="GEW6"/>
      <c r="GEX6"/>
      <c r="GEY6"/>
      <c r="GEZ6"/>
      <c r="GFA6"/>
      <c r="GFB6"/>
      <c r="GFC6"/>
      <c r="GFD6"/>
      <c r="GFE6"/>
      <c r="GFF6"/>
      <c r="GFG6"/>
      <c r="GFH6"/>
      <c r="GFI6"/>
      <c r="GFJ6"/>
      <c r="GFK6"/>
      <c r="GFL6"/>
      <c r="GFM6"/>
      <c r="GFN6"/>
      <c r="GFO6"/>
      <c r="GFP6"/>
      <c r="GFQ6"/>
      <c r="GFR6"/>
      <c r="GFS6"/>
      <c r="GFT6"/>
      <c r="GFU6"/>
      <c r="GFV6"/>
      <c r="GFW6"/>
      <c r="GFX6"/>
      <c r="GFY6"/>
      <c r="GFZ6"/>
      <c r="GGA6"/>
      <c r="GGB6"/>
      <c r="GGC6"/>
      <c r="GGD6"/>
      <c r="GGE6"/>
      <c r="GGF6"/>
      <c r="GGG6"/>
      <c r="GGH6"/>
      <c r="GGI6"/>
      <c r="GGJ6"/>
      <c r="GGK6"/>
      <c r="GGL6"/>
      <c r="GGM6"/>
      <c r="GGN6"/>
      <c r="GGO6"/>
      <c r="GGP6"/>
      <c r="GGQ6"/>
      <c r="GGR6"/>
      <c r="GGS6"/>
      <c r="GGT6"/>
      <c r="GGU6"/>
      <c r="GGV6"/>
      <c r="GGW6"/>
      <c r="GGX6"/>
      <c r="GGY6"/>
      <c r="GGZ6"/>
      <c r="GHA6"/>
      <c r="GHB6"/>
      <c r="GHC6"/>
      <c r="GHD6"/>
      <c r="GHE6"/>
      <c r="GHF6"/>
      <c r="GHG6"/>
      <c r="GHH6"/>
      <c r="GHI6"/>
      <c r="GHJ6"/>
      <c r="GHK6"/>
      <c r="GHL6"/>
      <c r="GHM6"/>
      <c r="GHN6"/>
      <c r="GHO6"/>
      <c r="GHP6"/>
      <c r="GHQ6"/>
      <c r="GHR6"/>
      <c r="GHS6"/>
      <c r="GHT6"/>
      <c r="GHU6"/>
      <c r="GHV6"/>
      <c r="GHW6"/>
      <c r="GHX6"/>
      <c r="GHY6"/>
      <c r="GHZ6"/>
      <c r="GIA6"/>
      <c r="GIB6"/>
      <c r="GIC6"/>
      <c r="GID6"/>
      <c r="GIE6"/>
      <c r="GIF6"/>
      <c r="GIG6"/>
      <c r="GIH6"/>
      <c r="GII6"/>
      <c r="GIJ6"/>
      <c r="GIK6"/>
      <c r="GIL6"/>
      <c r="GIM6"/>
      <c r="GIN6"/>
      <c r="GIO6"/>
      <c r="GIP6"/>
      <c r="GIQ6"/>
      <c r="GIR6"/>
      <c r="GIS6"/>
      <c r="GIT6"/>
      <c r="GIU6"/>
      <c r="GIV6"/>
      <c r="GIW6"/>
      <c r="GIX6"/>
      <c r="GIY6"/>
      <c r="GIZ6"/>
      <c r="GJA6"/>
      <c r="GJB6"/>
      <c r="GJC6"/>
      <c r="GJD6"/>
      <c r="GJE6"/>
      <c r="GJF6"/>
      <c r="GJG6"/>
      <c r="GJH6"/>
      <c r="GJI6"/>
      <c r="GJJ6"/>
      <c r="GJK6"/>
      <c r="GJL6"/>
      <c r="GJM6"/>
      <c r="GJN6"/>
      <c r="GJO6"/>
      <c r="GJP6"/>
      <c r="GJQ6"/>
      <c r="GJR6"/>
      <c r="GJS6"/>
      <c r="GJT6"/>
      <c r="GJU6"/>
      <c r="GJV6"/>
      <c r="GJW6"/>
      <c r="GJX6"/>
      <c r="GJY6"/>
      <c r="GJZ6"/>
      <c r="GKA6"/>
      <c r="GKB6"/>
      <c r="GKC6"/>
      <c r="GKD6"/>
      <c r="GKE6"/>
      <c r="GKF6"/>
      <c r="GKG6"/>
      <c r="GKH6"/>
      <c r="GKI6"/>
      <c r="GKJ6"/>
      <c r="GKK6"/>
      <c r="GKL6"/>
      <c r="GKM6"/>
      <c r="GKN6"/>
      <c r="GKO6"/>
      <c r="GKP6"/>
      <c r="GKQ6"/>
      <c r="GKR6"/>
      <c r="GKS6"/>
      <c r="GKT6"/>
      <c r="GKU6"/>
      <c r="GKV6"/>
      <c r="GKW6"/>
      <c r="GKX6"/>
      <c r="GKY6"/>
      <c r="GKZ6"/>
      <c r="GLA6"/>
      <c r="GLB6"/>
      <c r="GLC6"/>
      <c r="GLD6"/>
      <c r="GLE6"/>
      <c r="GLF6"/>
      <c r="GLG6"/>
      <c r="GLH6"/>
      <c r="GLI6"/>
      <c r="GLJ6"/>
      <c r="GLK6"/>
      <c r="GLL6"/>
      <c r="GLM6"/>
      <c r="GLN6"/>
      <c r="GLO6"/>
      <c r="GLP6"/>
      <c r="GLQ6"/>
      <c r="GLR6"/>
      <c r="GLS6"/>
      <c r="GLT6"/>
      <c r="GLU6"/>
      <c r="GLV6"/>
      <c r="GLW6"/>
      <c r="GLX6"/>
      <c r="GLY6"/>
      <c r="GLZ6"/>
      <c r="GMA6"/>
      <c r="GMB6"/>
      <c r="GMC6"/>
      <c r="GMD6"/>
      <c r="GME6"/>
      <c r="GMF6"/>
      <c r="GMG6"/>
      <c r="GMH6"/>
      <c r="GMI6"/>
      <c r="GMJ6"/>
      <c r="GMK6"/>
      <c r="GML6"/>
      <c r="GMM6"/>
      <c r="GMN6"/>
      <c r="GMO6"/>
      <c r="GMP6"/>
      <c r="GMQ6"/>
      <c r="GMR6"/>
      <c r="GMS6"/>
      <c r="GMT6"/>
      <c r="GMU6"/>
      <c r="GMV6"/>
      <c r="GMW6"/>
      <c r="GMX6"/>
      <c r="GMY6"/>
      <c r="GMZ6"/>
      <c r="GNA6"/>
      <c r="GNB6"/>
      <c r="GNC6"/>
      <c r="GND6"/>
      <c r="GNE6"/>
      <c r="GNF6"/>
      <c r="GNG6"/>
      <c r="GNH6"/>
      <c r="GNI6"/>
      <c r="GNJ6"/>
      <c r="GNK6"/>
      <c r="GNL6"/>
      <c r="GNM6"/>
      <c r="GNN6"/>
      <c r="GNO6"/>
      <c r="GNP6"/>
      <c r="GNQ6"/>
      <c r="GNR6"/>
      <c r="GNS6"/>
      <c r="GNT6"/>
      <c r="GNU6"/>
      <c r="GNV6"/>
      <c r="GNW6"/>
      <c r="GNX6"/>
      <c r="GNY6"/>
      <c r="GNZ6"/>
      <c r="GOA6"/>
      <c r="GOB6"/>
      <c r="GOC6"/>
      <c r="GOD6"/>
      <c r="GOE6"/>
      <c r="GOF6"/>
      <c r="GOG6"/>
      <c r="GOH6"/>
      <c r="GOI6"/>
      <c r="GOJ6"/>
      <c r="GOK6"/>
      <c r="GOL6"/>
      <c r="GOM6"/>
      <c r="GON6"/>
      <c r="GOO6"/>
      <c r="GOP6"/>
      <c r="GOQ6"/>
      <c r="GOR6"/>
      <c r="GOS6"/>
      <c r="GOT6"/>
      <c r="GOU6"/>
      <c r="GOV6"/>
      <c r="GOW6"/>
      <c r="GOX6"/>
      <c r="GOY6"/>
      <c r="GOZ6"/>
      <c r="GPA6"/>
      <c r="GPB6"/>
      <c r="GPC6"/>
      <c r="GPD6"/>
      <c r="GPE6"/>
      <c r="GPF6"/>
      <c r="GPG6"/>
      <c r="GPH6"/>
      <c r="GPI6"/>
      <c r="GPJ6"/>
      <c r="GPK6"/>
      <c r="GPL6"/>
      <c r="GPM6"/>
      <c r="GPN6"/>
      <c r="GPO6"/>
      <c r="GPP6"/>
      <c r="GPQ6"/>
      <c r="GPR6"/>
      <c r="GPS6"/>
      <c r="GPT6"/>
      <c r="GPU6"/>
      <c r="GPV6"/>
      <c r="GPW6"/>
      <c r="GPX6"/>
      <c r="GPY6"/>
      <c r="GPZ6"/>
      <c r="GQA6"/>
      <c r="GQB6"/>
      <c r="GQC6"/>
      <c r="GQD6"/>
      <c r="GQE6"/>
      <c r="GQF6"/>
      <c r="GQG6"/>
      <c r="GQH6"/>
      <c r="GQI6"/>
      <c r="GQJ6"/>
      <c r="GQK6"/>
      <c r="GQL6"/>
      <c r="GQM6"/>
      <c r="GQN6"/>
      <c r="GQO6"/>
      <c r="GQP6"/>
      <c r="GQQ6"/>
      <c r="GQR6"/>
      <c r="GQS6"/>
      <c r="GQT6"/>
      <c r="GQU6"/>
      <c r="GQV6"/>
      <c r="GQW6"/>
      <c r="GQX6"/>
      <c r="GQY6"/>
      <c r="GQZ6"/>
      <c r="GRA6"/>
      <c r="GRB6"/>
      <c r="GRC6"/>
      <c r="GRD6"/>
      <c r="GRE6"/>
      <c r="GRF6"/>
      <c r="GRG6"/>
      <c r="GRH6"/>
      <c r="GRI6"/>
      <c r="GRJ6"/>
      <c r="GRK6"/>
      <c r="GRL6"/>
      <c r="GRM6"/>
      <c r="GRN6"/>
      <c r="GRO6"/>
      <c r="GRP6"/>
      <c r="GRQ6"/>
      <c r="GRR6"/>
      <c r="GRS6"/>
      <c r="GRT6"/>
      <c r="GRU6"/>
      <c r="GRV6"/>
      <c r="GRW6"/>
      <c r="GRX6"/>
      <c r="GRY6"/>
      <c r="GRZ6"/>
      <c r="GSA6"/>
      <c r="GSB6"/>
      <c r="GSC6"/>
      <c r="GSD6"/>
      <c r="GSE6"/>
      <c r="GSF6"/>
      <c r="GSG6"/>
      <c r="GSH6"/>
      <c r="GSI6"/>
      <c r="GSJ6"/>
      <c r="GSK6"/>
      <c r="GSL6"/>
      <c r="GSM6"/>
      <c r="GSN6"/>
      <c r="GSO6"/>
      <c r="GSP6"/>
      <c r="GSQ6"/>
      <c r="GSR6"/>
      <c r="GSS6"/>
      <c r="GST6"/>
      <c r="GSU6"/>
      <c r="GSV6"/>
      <c r="GSW6"/>
      <c r="GSX6"/>
      <c r="GSY6"/>
      <c r="GSZ6"/>
      <c r="GTA6"/>
      <c r="GTB6"/>
      <c r="GTC6"/>
      <c r="GTD6"/>
      <c r="GTE6"/>
      <c r="GTF6"/>
      <c r="GTG6"/>
      <c r="GTH6"/>
      <c r="GTI6"/>
      <c r="GTJ6"/>
      <c r="GTK6"/>
      <c r="GTL6"/>
      <c r="GTM6"/>
      <c r="GTN6"/>
      <c r="GTO6"/>
      <c r="GTP6"/>
      <c r="GTQ6"/>
      <c r="GTR6"/>
      <c r="GTS6"/>
      <c r="GTT6"/>
      <c r="GTU6"/>
      <c r="GTV6"/>
      <c r="GTW6"/>
      <c r="GTX6"/>
      <c r="GTY6"/>
      <c r="GTZ6"/>
      <c r="GUA6"/>
      <c r="GUB6"/>
      <c r="GUC6"/>
      <c r="GUD6"/>
      <c r="GUE6"/>
      <c r="GUF6"/>
      <c r="GUG6"/>
      <c r="GUH6"/>
      <c r="GUI6"/>
      <c r="GUJ6"/>
      <c r="GUK6"/>
      <c r="GUL6"/>
      <c r="GUM6"/>
      <c r="GUN6"/>
      <c r="GUO6"/>
      <c r="GUP6"/>
      <c r="GUQ6"/>
      <c r="GUR6"/>
      <c r="GUS6"/>
      <c r="GUT6"/>
      <c r="GUU6"/>
      <c r="GUV6"/>
      <c r="GUW6"/>
      <c r="GUX6"/>
      <c r="GUY6"/>
      <c r="GUZ6"/>
      <c r="GVA6"/>
      <c r="GVB6"/>
      <c r="GVC6"/>
      <c r="GVD6"/>
      <c r="GVE6"/>
      <c r="GVF6"/>
      <c r="GVG6"/>
      <c r="GVH6"/>
      <c r="GVI6"/>
      <c r="GVJ6"/>
      <c r="GVK6"/>
      <c r="GVL6"/>
      <c r="GVM6"/>
      <c r="GVN6"/>
      <c r="GVO6"/>
      <c r="GVP6"/>
      <c r="GVQ6"/>
      <c r="GVR6"/>
      <c r="GVS6"/>
      <c r="GVT6"/>
      <c r="GVU6"/>
      <c r="GVV6"/>
      <c r="GVW6"/>
      <c r="GVX6"/>
      <c r="GVY6"/>
      <c r="GVZ6"/>
      <c r="GWA6"/>
      <c r="GWB6"/>
      <c r="GWC6"/>
      <c r="GWD6"/>
      <c r="GWE6"/>
      <c r="GWF6"/>
      <c r="GWG6"/>
      <c r="GWH6"/>
      <c r="GWI6"/>
      <c r="GWJ6"/>
      <c r="GWK6"/>
      <c r="GWL6"/>
      <c r="GWM6"/>
      <c r="GWN6"/>
      <c r="GWO6"/>
      <c r="GWP6"/>
      <c r="GWQ6"/>
      <c r="GWR6"/>
      <c r="GWS6"/>
      <c r="GWT6"/>
      <c r="GWU6"/>
      <c r="GWV6"/>
      <c r="GWW6"/>
      <c r="GWX6"/>
      <c r="GWY6"/>
      <c r="GWZ6"/>
      <c r="GXA6"/>
      <c r="GXB6"/>
      <c r="GXC6"/>
      <c r="GXD6"/>
      <c r="GXE6"/>
      <c r="GXF6"/>
      <c r="GXG6"/>
      <c r="GXH6"/>
      <c r="GXI6"/>
      <c r="GXJ6"/>
      <c r="GXK6"/>
      <c r="GXL6"/>
      <c r="GXM6"/>
      <c r="GXN6"/>
      <c r="GXO6"/>
      <c r="GXP6"/>
      <c r="GXQ6"/>
      <c r="GXR6"/>
      <c r="GXS6"/>
      <c r="GXT6"/>
      <c r="GXU6"/>
      <c r="GXV6"/>
      <c r="GXW6"/>
      <c r="GXX6"/>
      <c r="GXY6"/>
      <c r="GXZ6"/>
      <c r="GYA6"/>
      <c r="GYB6"/>
      <c r="GYC6"/>
      <c r="GYD6"/>
      <c r="GYE6"/>
      <c r="GYF6"/>
      <c r="GYG6"/>
      <c r="GYH6"/>
      <c r="GYI6"/>
      <c r="GYJ6"/>
      <c r="GYK6"/>
      <c r="GYL6"/>
      <c r="GYM6"/>
      <c r="GYN6"/>
      <c r="GYO6"/>
      <c r="GYP6"/>
      <c r="GYQ6"/>
      <c r="GYR6"/>
      <c r="GYS6"/>
      <c r="GYT6"/>
      <c r="GYU6"/>
      <c r="GYV6"/>
      <c r="GYW6"/>
      <c r="GYX6"/>
      <c r="GYY6"/>
      <c r="GYZ6"/>
      <c r="GZA6"/>
      <c r="GZB6"/>
      <c r="GZC6"/>
      <c r="GZD6"/>
      <c r="GZE6"/>
      <c r="GZF6"/>
      <c r="GZG6"/>
      <c r="GZH6"/>
      <c r="GZI6"/>
      <c r="GZJ6"/>
      <c r="GZK6"/>
      <c r="GZL6"/>
      <c r="GZM6"/>
      <c r="GZN6"/>
      <c r="GZO6"/>
      <c r="GZP6"/>
      <c r="GZQ6"/>
      <c r="GZR6"/>
      <c r="GZS6"/>
      <c r="GZT6"/>
      <c r="GZU6"/>
      <c r="GZV6"/>
      <c r="GZW6"/>
      <c r="GZX6"/>
      <c r="GZY6"/>
      <c r="GZZ6"/>
      <c r="HAA6"/>
      <c r="HAB6"/>
      <c r="HAC6"/>
      <c r="HAD6"/>
      <c r="HAE6"/>
      <c r="HAF6"/>
      <c r="HAG6"/>
      <c r="HAH6"/>
      <c r="HAI6"/>
      <c r="HAJ6"/>
      <c r="HAK6"/>
      <c r="HAL6"/>
      <c r="HAM6"/>
      <c r="HAN6"/>
      <c r="HAO6"/>
      <c r="HAP6"/>
      <c r="HAQ6"/>
      <c r="HAR6"/>
      <c r="HAS6"/>
      <c r="HAT6"/>
      <c r="HAU6"/>
      <c r="HAV6"/>
      <c r="HAW6"/>
      <c r="HAX6"/>
      <c r="HAY6"/>
      <c r="HAZ6"/>
      <c r="HBA6"/>
      <c r="HBB6"/>
      <c r="HBC6"/>
      <c r="HBD6"/>
      <c r="HBE6"/>
      <c r="HBF6"/>
      <c r="HBG6"/>
      <c r="HBH6"/>
      <c r="HBI6"/>
      <c r="HBJ6"/>
      <c r="HBK6"/>
      <c r="HBL6"/>
      <c r="HBM6"/>
      <c r="HBN6"/>
      <c r="HBO6"/>
      <c r="HBP6"/>
      <c r="HBQ6"/>
      <c r="HBR6"/>
      <c r="HBS6"/>
      <c r="HBT6"/>
      <c r="HBU6"/>
      <c r="HBV6"/>
      <c r="HBW6"/>
      <c r="HBX6"/>
      <c r="HBY6"/>
      <c r="HBZ6"/>
      <c r="HCA6"/>
      <c r="HCB6"/>
      <c r="HCC6"/>
      <c r="HCD6"/>
      <c r="HCE6"/>
      <c r="HCF6"/>
      <c r="HCG6"/>
      <c r="HCH6"/>
      <c r="HCI6"/>
      <c r="HCJ6"/>
      <c r="HCK6"/>
      <c r="HCL6"/>
      <c r="HCM6"/>
      <c r="HCN6"/>
      <c r="HCO6"/>
      <c r="HCP6"/>
      <c r="HCQ6"/>
      <c r="HCR6"/>
      <c r="HCS6"/>
      <c r="HCT6"/>
      <c r="HCU6"/>
      <c r="HCV6"/>
      <c r="HCW6"/>
      <c r="HCX6"/>
      <c r="HCY6"/>
      <c r="HCZ6"/>
      <c r="HDA6"/>
      <c r="HDB6"/>
      <c r="HDC6"/>
      <c r="HDD6"/>
      <c r="HDE6"/>
      <c r="HDF6"/>
      <c r="HDG6"/>
      <c r="HDH6"/>
      <c r="HDI6"/>
      <c r="HDJ6"/>
      <c r="HDK6"/>
      <c r="HDL6"/>
      <c r="HDM6"/>
      <c r="HDN6"/>
      <c r="HDO6"/>
      <c r="HDP6"/>
      <c r="HDQ6"/>
      <c r="HDR6"/>
      <c r="HDS6"/>
      <c r="HDT6"/>
      <c r="HDU6"/>
      <c r="HDV6"/>
      <c r="HDW6"/>
      <c r="HDX6"/>
      <c r="HDY6"/>
      <c r="HDZ6"/>
      <c r="HEA6"/>
      <c r="HEB6"/>
      <c r="HEC6"/>
      <c r="HED6"/>
      <c r="HEE6"/>
      <c r="HEF6"/>
      <c r="HEG6"/>
      <c r="HEH6"/>
      <c r="HEI6"/>
      <c r="HEJ6"/>
      <c r="HEK6"/>
      <c r="HEL6"/>
      <c r="HEM6"/>
      <c r="HEN6"/>
      <c r="HEO6"/>
      <c r="HEP6"/>
      <c r="HEQ6"/>
      <c r="HER6"/>
      <c r="HES6"/>
      <c r="HET6"/>
      <c r="HEU6"/>
      <c r="HEV6"/>
      <c r="HEW6"/>
      <c r="HEX6"/>
      <c r="HEY6"/>
      <c r="HEZ6"/>
      <c r="HFA6"/>
      <c r="HFB6"/>
      <c r="HFC6"/>
      <c r="HFD6"/>
      <c r="HFE6"/>
      <c r="HFF6"/>
      <c r="HFG6"/>
      <c r="HFH6"/>
      <c r="HFI6"/>
      <c r="HFJ6"/>
      <c r="HFK6"/>
      <c r="HFL6"/>
      <c r="HFM6"/>
      <c r="HFN6"/>
      <c r="HFO6"/>
      <c r="HFP6"/>
      <c r="HFQ6"/>
      <c r="HFR6"/>
      <c r="HFS6"/>
      <c r="HFT6"/>
      <c r="HFU6"/>
      <c r="HFV6"/>
      <c r="HFW6"/>
      <c r="HFX6"/>
      <c r="HFY6"/>
      <c r="HFZ6"/>
      <c r="HGA6"/>
      <c r="HGB6"/>
      <c r="HGC6"/>
      <c r="HGD6"/>
      <c r="HGE6"/>
      <c r="HGF6"/>
      <c r="HGG6"/>
      <c r="HGH6"/>
      <c r="HGI6"/>
      <c r="HGJ6"/>
      <c r="HGK6"/>
      <c r="HGL6"/>
      <c r="HGM6"/>
      <c r="HGN6"/>
      <c r="HGO6"/>
      <c r="HGP6"/>
      <c r="HGQ6"/>
      <c r="HGR6"/>
      <c r="HGS6"/>
      <c r="HGT6"/>
      <c r="HGU6"/>
      <c r="HGV6"/>
      <c r="HGW6"/>
      <c r="HGX6"/>
      <c r="HGY6"/>
      <c r="HGZ6"/>
      <c r="HHA6"/>
      <c r="HHB6"/>
      <c r="HHC6"/>
      <c r="HHD6"/>
      <c r="HHE6"/>
      <c r="HHF6"/>
      <c r="HHG6"/>
      <c r="HHH6"/>
      <c r="HHI6"/>
      <c r="HHJ6"/>
      <c r="HHK6"/>
      <c r="HHL6"/>
      <c r="HHM6"/>
      <c r="HHN6"/>
      <c r="HHO6"/>
      <c r="HHP6"/>
      <c r="HHQ6"/>
      <c r="HHR6"/>
      <c r="HHS6"/>
      <c r="HHT6"/>
      <c r="HHU6"/>
      <c r="HHV6"/>
      <c r="HHW6"/>
      <c r="HHX6"/>
      <c r="HHY6"/>
      <c r="HHZ6"/>
      <c r="HIA6"/>
      <c r="HIB6"/>
      <c r="HIC6"/>
      <c r="HID6"/>
      <c r="HIE6"/>
      <c r="HIF6"/>
      <c r="HIG6"/>
      <c r="HIH6"/>
      <c r="HII6"/>
      <c r="HIJ6"/>
      <c r="HIK6"/>
      <c r="HIL6"/>
      <c r="HIM6"/>
      <c r="HIN6"/>
      <c r="HIO6"/>
      <c r="HIP6"/>
      <c r="HIQ6"/>
      <c r="HIR6"/>
      <c r="HIS6"/>
      <c r="HIT6"/>
      <c r="HIU6"/>
      <c r="HIV6"/>
      <c r="HIW6"/>
      <c r="HIX6"/>
      <c r="HIY6"/>
      <c r="HIZ6"/>
      <c r="HJA6"/>
      <c r="HJB6"/>
      <c r="HJC6"/>
      <c r="HJD6"/>
      <c r="HJE6"/>
      <c r="HJF6"/>
      <c r="HJG6"/>
      <c r="HJH6"/>
      <c r="HJI6"/>
      <c r="HJJ6"/>
      <c r="HJK6"/>
      <c r="HJL6"/>
      <c r="HJM6"/>
      <c r="HJN6"/>
      <c r="HJO6"/>
      <c r="HJP6"/>
      <c r="HJQ6"/>
      <c r="HJR6"/>
      <c r="HJS6"/>
      <c r="HJT6"/>
      <c r="HJU6"/>
      <c r="HJV6"/>
      <c r="HJW6"/>
      <c r="HJX6"/>
      <c r="HJY6"/>
      <c r="HJZ6"/>
      <c r="HKA6"/>
      <c r="HKB6"/>
      <c r="HKC6"/>
      <c r="HKD6"/>
      <c r="HKE6"/>
      <c r="HKF6"/>
      <c r="HKG6"/>
      <c r="HKH6"/>
      <c r="HKI6"/>
      <c r="HKJ6"/>
      <c r="HKK6"/>
      <c r="HKL6"/>
      <c r="HKM6"/>
      <c r="HKN6"/>
      <c r="HKO6"/>
      <c r="HKP6"/>
      <c r="HKQ6"/>
      <c r="HKR6"/>
      <c r="HKS6"/>
      <c r="HKT6"/>
      <c r="HKU6"/>
      <c r="HKV6"/>
      <c r="HKW6"/>
      <c r="HKX6"/>
      <c r="HKY6"/>
      <c r="HKZ6"/>
      <c r="HLA6"/>
      <c r="HLB6"/>
      <c r="HLC6"/>
      <c r="HLD6"/>
      <c r="HLE6"/>
      <c r="HLF6"/>
      <c r="HLG6"/>
      <c r="HLH6"/>
      <c r="HLI6"/>
      <c r="HLJ6"/>
      <c r="HLK6"/>
      <c r="HLL6"/>
      <c r="HLM6"/>
      <c r="HLN6"/>
      <c r="HLO6"/>
      <c r="HLP6"/>
      <c r="HLQ6"/>
      <c r="HLR6"/>
      <c r="HLS6"/>
      <c r="HLT6"/>
      <c r="HLU6"/>
      <c r="HLV6"/>
      <c r="HLW6"/>
      <c r="HLX6"/>
      <c r="HLY6"/>
      <c r="HLZ6"/>
      <c r="HMA6"/>
      <c r="HMB6"/>
      <c r="HMC6"/>
      <c r="HMD6"/>
      <c r="HME6"/>
      <c r="HMF6"/>
      <c r="HMG6"/>
      <c r="HMH6"/>
      <c r="HMI6"/>
      <c r="HMJ6"/>
      <c r="HMK6"/>
      <c r="HML6"/>
      <c r="HMM6"/>
      <c r="HMN6"/>
      <c r="HMO6"/>
      <c r="HMP6"/>
      <c r="HMQ6"/>
      <c r="HMR6"/>
      <c r="HMS6"/>
      <c r="HMT6"/>
      <c r="HMU6"/>
      <c r="HMV6"/>
      <c r="HMW6"/>
      <c r="HMX6"/>
      <c r="HMY6"/>
      <c r="HMZ6"/>
      <c r="HNA6"/>
      <c r="HNB6"/>
      <c r="HNC6"/>
      <c r="HND6"/>
      <c r="HNE6"/>
      <c r="HNF6"/>
      <c r="HNG6"/>
      <c r="HNH6"/>
      <c r="HNI6"/>
      <c r="HNJ6"/>
      <c r="HNK6"/>
      <c r="HNL6"/>
      <c r="HNM6"/>
      <c r="HNN6"/>
      <c r="HNO6"/>
      <c r="HNP6"/>
      <c r="HNQ6"/>
      <c r="HNR6"/>
      <c r="HNS6"/>
      <c r="HNT6"/>
      <c r="HNU6"/>
      <c r="HNV6"/>
      <c r="HNW6"/>
      <c r="HNX6"/>
      <c r="HNY6"/>
      <c r="HNZ6"/>
      <c r="HOA6"/>
      <c r="HOB6"/>
      <c r="HOC6"/>
      <c r="HOD6"/>
      <c r="HOE6"/>
      <c r="HOF6"/>
      <c r="HOG6"/>
      <c r="HOH6"/>
      <c r="HOI6"/>
      <c r="HOJ6"/>
      <c r="HOK6"/>
      <c r="HOL6"/>
      <c r="HOM6"/>
      <c r="HON6"/>
      <c r="HOO6"/>
      <c r="HOP6"/>
      <c r="HOQ6"/>
      <c r="HOR6"/>
      <c r="HOS6"/>
      <c r="HOT6"/>
      <c r="HOU6"/>
      <c r="HOV6"/>
      <c r="HOW6"/>
      <c r="HOX6"/>
      <c r="HOY6"/>
      <c r="HOZ6"/>
      <c r="HPA6"/>
      <c r="HPB6"/>
      <c r="HPC6"/>
      <c r="HPD6"/>
      <c r="HPE6"/>
      <c r="HPF6"/>
      <c r="HPG6"/>
      <c r="HPH6"/>
      <c r="HPI6"/>
      <c r="HPJ6"/>
      <c r="HPK6"/>
      <c r="HPL6"/>
      <c r="HPM6"/>
      <c r="HPN6"/>
      <c r="HPO6"/>
      <c r="HPP6"/>
      <c r="HPQ6"/>
      <c r="HPR6"/>
      <c r="HPS6"/>
      <c r="HPT6"/>
      <c r="HPU6"/>
      <c r="HPV6"/>
      <c r="HPW6"/>
      <c r="HPX6"/>
      <c r="HPY6"/>
      <c r="HPZ6"/>
      <c r="HQA6"/>
      <c r="HQB6"/>
      <c r="HQC6"/>
      <c r="HQD6"/>
      <c r="HQE6"/>
      <c r="HQF6"/>
      <c r="HQG6"/>
      <c r="HQH6"/>
      <c r="HQI6"/>
      <c r="HQJ6"/>
      <c r="HQK6"/>
      <c r="HQL6"/>
      <c r="HQM6"/>
      <c r="HQN6"/>
      <c r="HQO6"/>
      <c r="HQP6"/>
      <c r="HQQ6"/>
      <c r="HQR6"/>
      <c r="HQS6"/>
      <c r="HQT6"/>
      <c r="HQU6"/>
      <c r="HQV6"/>
      <c r="HQW6"/>
      <c r="HQX6"/>
      <c r="HQY6"/>
      <c r="HQZ6"/>
      <c r="HRA6"/>
      <c r="HRB6"/>
      <c r="HRC6"/>
      <c r="HRD6"/>
      <c r="HRE6"/>
      <c r="HRF6"/>
      <c r="HRG6"/>
      <c r="HRH6"/>
      <c r="HRI6"/>
      <c r="HRJ6"/>
      <c r="HRK6"/>
      <c r="HRL6"/>
      <c r="HRM6"/>
      <c r="HRN6"/>
      <c r="HRO6"/>
      <c r="HRP6"/>
      <c r="HRQ6"/>
      <c r="HRR6"/>
      <c r="HRS6"/>
      <c r="HRT6"/>
      <c r="HRU6"/>
      <c r="HRV6"/>
      <c r="HRW6"/>
      <c r="HRX6"/>
      <c r="HRY6"/>
      <c r="HRZ6"/>
      <c r="HSA6"/>
      <c r="HSB6"/>
      <c r="HSC6"/>
      <c r="HSD6"/>
      <c r="HSE6"/>
      <c r="HSF6"/>
      <c r="HSG6"/>
      <c r="HSH6"/>
      <c r="HSI6"/>
      <c r="HSJ6"/>
      <c r="HSK6"/>
      <c r="HSL6"/>
      <c r="HSM6"/>
      <c r="HSN6"/>
      <c r="HSO6"/>
      <c r="HSP6"/>
      <c r="HSQ6"/>
      <c r="HSR6"/>
      <c r="HSS6"/>
      <c r="HST6"/>
      <c r="HSU6"/>
      <c r="HSV6"/>
      <c r="HSW6"/>
      <c r="HSX6"/>
      <c r="HSY6"/>
      <c r="HSZ6"/>
      <c r="HTA6"/>
      <c r="HTB6"/>
      <c r="HTC6"/>
      <c r="HTD6"/>
      <c r="HTE6"/>
      <c r="HTF6"/>
      <c r="HTG6"/>
      <c r="HTH6"/>
      <c r="HTI6"/>
      <c r="HTJ6"/>
      <c r="HTK6"/>
      <c r="HTL6"/>
      <c r="HTM6"/>
      <c r="HTN6"/>
      <c r="HTO6"/>
      <c r="HTP6"/>
      <c r="HTQ6"/>
      <c r="HTR6"/>
      <c r="HTS6"/>
      <c r="HTT6"/>
      <c r="HTU6"/>
      <c r="HTV6"/>
      <c r="HTW6"/>
      <c r="HTX6"/>
      <c r="HTY6"/>
      <c r="HTZ6"/>
      <c r="HUA6"/>
      <c r="HUB6"/>
      <c r="HUC6"/>
      <c r="HUD6"/>
      <c r="HUE6"/>
      <c r="HUF6"/>
      <c r="HUG6"/>
      <c r="HUH6"/>
      <c r="HUI6"/>
      <c r="HUJ6"/>
      <c r="HUK6"/>
      <c r="HUL6"/>
      <c r="HUM6"/>
      <c r="HUN6"/>
      <c r="HUO6"/>
      <c r="HUP6"/>
      <c r="HUQ6"/>
      <c r="HUR6"/>
      <c r="HUS6"/>
      <c r="HUT6"/>
      <c r="HUU6"/>
      <c r="HUV6"/>
      <c r="HUW6"/>
      <c r="HUX6"/>
      <c r="HUY6"/>
      <c r="HUZ6"/>
      <c r="HVA6"/>
      <c r="HVB6"/>
      <c r="HVC6"/>
      <c r="HVD6"/>
      <c r="HVE6"/>
      <c r="HVF6"/>
      <c r="HVG6"/>
      <c r="HVH6"/>
      <c r="HVI6"/>
      <c r="HVJ6"/>
      <c r="HVK6"/>
      <c r="HVL6"/>
      <c r="HVM6"/>
      <c r="HVN6"/>
      <c r="HVO6"/>
      <c r="HVP6"/>
      <c r="HVQ6"/>
      <c r="HVR6"/>
      <c r="HVS6"/>
      <c r="HVT6"/>
      <c r="HVU6"/>
      <c r="HVV6"/>
      <c r="HVW6"/>
      <c r="HVX6"/>
      <c r="HVY6"/>
      <c r="HVZ6"/>
      <c r="HWA6"/>
      <c r="HWB6"/>
      <c r="HWC6"/>
      <c r="HWD6"/>
      <c r="HWE6"/>
      <c r="HWF6"/>
      <c r="HWG6"/>
      <c r="HWH6"/>
      <c r="HWI6"/>
      <c r="HWJ6"/>
      <c r="HWK6"/>
      <c r="HWL6"/>
      <c r="HWM6"/>
      <c r="HWN6"/>
      <c r="HWO6"/>
      <c r="HWP6"/>
      <c r="HWQ6"/>
      <c r="HWR6"/>
      <c r="HWS6"/>
      <c r="HWT6"/>
      <c r="HWU6"/>
      <c r="HWV6"/>
      <c r="HWW6"/>
      <c r="HWX6"/>
      <c r="HWY6"/>
      <c r="HWZ6"/>
      <c r="HXA6"/>
      <c r="HXB6"/>
      <c r="HXC6"/>
      <c r="HXD6"/>
      <c r="HXE6"/>
      <c r="HXF6"/>
      <c r="HXG6"/>
      <c r="HXH6"/>
      <c r="HXI6"/>
      <c r="HXJ6"/>
      <c r="HXK6"/>
      <c r="HXL6"/>
      <c r="HXM6"/>
      <c r="HXN6"/>
      <c r="HXO6"/>
      <c r="HXP6"/>
      <c r="HXQ6"/>
      <c r="HXR6"/>
      <c r="HXS6"/>
      <c r="HXT6"/>
      <c r="HXU6"/>
      <c r="HXV6"/>
      <c r="HXW6"/>
      <c r="HXX6"/>
      <c r="HXY6"/>
      <c r="HXZ6"/>
      <c r="HYA6"/>
      <c r="HYB6"/>
      <c r="HYC6"/>
      <c r="HYD6"/>
      <c r="HYE6"/>
      <c r="HYF6"/>
      <c r="HYG6"/>
      <c r="HYH6"/>
      <c r="HYI6"/>
      <c r="HYJ6"/>
      <c r="HYK6"/>
      <c r="HYL6"/>
      <c r="HYM6"/>
      <c r="HYN6"/>
      <c r="HYO6"/>
      <c r="HYP6"/>
      <c r="HYQ6"/>
      <c r="HYR6"/>
      <c r="HYS6"/>
      <c r="HYT6"/>
      <c r="HYU6"/>
      <c r="HYV6"/>
      <c r="HYW6"/>
      <c r="HYX6"/>
      <c r="HYY6"/>
      <c r="HYZ6"/>
      <c r="HZA6"/>
      <c r="HZB6"/>
      <c r="HZC6"/>
      <c r="HZD6"/>
      <c r="HZE6"/>
      <c r="HZF6"/>
      <c r="HZG6"/>
      <c r="HZH6"/>
      <c r="HZI6"/>
      <c r="HZJ6"/>
      <c r="HZK6"/>
      <c r="HZL6"/>
      <c r="HZM6"/>
      <c r="HZN6"/>
      <c r="HZO6"/>
      <c r="HZP6"/>
      <c r="HZQ6"/>
      <c r="HZR6"/>
      <c r="HZS6"/>
      <c r="HZT6"/>
      <c r="HZU6"/>
      <c r="HZV6"/>
      <c r="HZW6"/>
      <c r="HZX6"/>
      <c r="HZY6"/>
      <c r="HZZ6"/>
      <c r="IAA6"/>
      <c r="IAB6"/>
      <c r="IAC6"/>
      <c r="IAD6"/>
      <c r="IAE6"/>
      <c r="IAF6"/>
      <c r="IAG6"/>
      <c r="IAH6"/>
      <c r="IAI6"/>
      <c r="IAJ6"/>
      <c r="IAK6"/>
      <c r="IAL6"/>
      <c r="IAM6"/>
      <c r="IAN6"/>
      <c r="IAO6"/>
      <c r="IAP6"/>
      <c r="IAQ6"/>
      <c r="IAR6"/>
      <c r="IAS6"/>
      <c r="IAT6"/>
      <c r="IAU6"/>
      <c r="IAV6"/>
      <c r="IAW6"/>
      <c r="IAX6"/>
      <c r="IAY6"/>
      <c r="IAZ6"/>
      <c r="IBA6"/>
      <c r="IBB6"/>
      <c r="IBC6"/>
      <c r="IBD6"/>
      <c r="IBE6"/>
      <c r="IBF6"/>
      <c r="IBG6"/>
      <c r="IBH6"/>
      <c r="IBI6"/>
      <c r="IBJ6"/>
      <c r="IBK6"/>
      <c r="IBL6"/>
      <c r="IBM6"/>
      <c r="IBN6"/>
      <c r="IBO6"/>
      <c r="IBP6"/>
      <c r="IBQ6"/>
      <c r="IBR6"/>
      <c r="IBS6"/>
      <c r="IBT6"/>
      <c r="IBU6"/>
      <c r="IBV6"/>
      <c r="IBW6"/>
      <c r="IBX6"/>
      <c r="IBY6"/>
      <c r="IBZ6"/>
      <c r="ICA6"/>
      <c r="ICB6"/>
      <c r="ICC6"/>
      <c r="ICD6"/>
      <c r="ICE6"/>
      <c r="ICF6"/>
      <c r="ICG6"/>
      <c r="ICH6"/>
      <c r="ICI6"/>
      <c r="ICJ6"/>
      <c r="ICK6"/>
      <c r="ICL6"/>
      <c r="ICM6"/>
      <c r="ICN6"/>
      <c r="ICO6"/>
      <c r="ICP6"/>
      <c r="ICQ6"/>
      <c r="ICR6"/>
      <c r="ICS6"/>
      <c r="ICT6"/>
      <c r="ICU6"/>
      <c r="ICV6"/>
      <c r="ICW6"/>
      <c r="ICX6"/>
      <c r="ICY6"/>
      <c r="ICZ6"/>
      <c r="IDA6"/>
      <c r="IDB6"/>
      <c r="IDC6"/>
      <c r="IDD6"/>
      <c r="IDE6"/>
      <c r="IDF6"/>
      <c r="IDG6"/>
      <c r="IDH6"/>
      <c r="IDI6"/>
      <c r="IDJ6"/>
      <c r="IDK6"/>
      <c r="IDL6"/>
      <c r="IDM6"/>
      <c r="IDN6"/>
      <c r="IDO6"/>
      <c r="IDP6"/>
      <c r="IDQ6"/>
      <c r="IDR6"/>
      <c r="IDS6"/>
      <c r="IDT6"/>
      <c r="IDU6"/>
      <c r="IDV6"/>
      <c r="IDW6"/>
      <c r="IDX6"/>
      <c r="IDY6"/>
      <c r="IDZ6"/>
      <c r="IEA6"/>
      <c r="IEB6"/>
      <c r="IEC6"/>
      <c r="IED6"/>
      <c r="IEE6"/>
      <c r="IEF6"/>
      <c r="IEG6"/>
      <c r="IEH6"/>
      <c r="IEI6"/>
      <c r="IEJ6"/>
      <c r="IEK6"/>
      <c r="IEL6"/>
      <c r="IEM6"/>
      <c r="IEN6"/>
      <c r="IEO6"/>
      <c r="IEP6"/>
      <c r="IEQ6"/>
      <c r="IER6"/>
      <c r="IES6"/>
      <c r="IET6"/>
      <c r="IEU6"/>
      <c r="IEV6"/>
      <c r="IEW6"/>
      <c r="IEX6"/>
      <c r="IEY6"/>
      <c r="IEZ6"/>
      <c r="IFA6"/>
      <c r="IFB6"/>
      <c r="IFC6"/>
      <c r="IFD6"/>
      <c r="IFE6"/>
      <c r="IFF6"/>
      <c r="IFG6"/>
      <c r="IFH6"/>
      <c r="IFI6"/>
      <c r="IFJ6"/>
      <c r="IFK6"/>
      <c r="IFL6"/>
      <c r="IFM6"/>
      <c r="IFN6"/>
      <c r="IFO6"/>
      <c r="IFP6"/>
      <c r="IFQ6"/>
      <c r="IFR6"/>
      <c r="IFS6"/>
      <c r="IFT6"/>
      <c r="IFU6"/>
      <c r="IFV6"/>
      <c r="IFW6"/>
      <c r="IFX6"/>
      <c r="IFY6"/>
      <c r="IFZ6"/>
      <c r="IGA6"/>
      <c r="IGB6"/>
      <c r="IGC6"/>
      <c r="IGD6"/>
      <c r="IGE6"/>
      <c r="IGF6"/>
      <c r="IGG6"/>
      <c r="IGH6"/>
      <c r="IGI6"/>
      <c r="IGJ6"/>
      <c r="IGK6"/>
      <c r="IGL6"/>
      <c r="IGM6"/>
      <c r="IGN6"/>
      <c r="IGO6"/>
      <c r="IGP6"/>
      <c r="IGQ6"/>
      <c r="IGR6"/>
      <c r="IGS6"/>
      <c r="IGT6"/>
      <c r="IGU6"/>
      <c r="IGV6"/>
      <c r="IGW6"/>
      <c r="IGX6"/>
      <c r="IGY6"/>
      <c r="IGZ6"/>
      <c r="IHA6"/>
      <c r="IHB6"/>
      <c r="IHC6"/>
      <c r="IHD6"/>
      <c r="IHE6"/>
      <c r="IHF6"/>
      <c r="IHG6"/>
      <c r="IHH6"/>
      <c r="IHI6"/>
      <c r="IHJ6"/>
      <c r="IHK6"/>
      <c r="IHL6"/>
      <c r="IHM6"/>
      <c r="IHN6"/>
      <c r="IHO6"/>
      <c r="IHP6"/>
      <c r="IHQ6"/>
      <c r="IHR6"/>
      <c r="IHS6"/>
      <c r="IHT6"/>
      <c r="IHU6"/>
      <c r="IHV6"/>
      <c r="IHW6"/>
      <c r="IHX6"/>
      <c r="IHY6"/>
      <c r="IHZ6"/>
      <c r="IIA6"/>
      <c r="IIB6"/>
      <c r="IIC6"/>
      <c r="IID6"/>
      <c r="IIE6"/>
      <c r="IIF6"/>
      <c r="IIG6"/>
      <c r="IIH6"/>
      <c r="III6"/>
      <c r="IIJ6"/>
      <c r="IIK6"/>
      <c r="IIL6"/>
      <c r="IIM6"/>
      <c r="IIN6"/>
      <c r="IIO6"/>
      <c r="IIP6"/>
      <c r="IIQ6"/>
      <c r="IIR6"/>
      <c r="IIS6"/>
      <c r="IIT6"/>
      <c r="IIU6"/>
      <c r="IIV6"/>
      <c r="IIW6"/>
      <c r="IIX6"/>
      <c r="IIY6"/>
      <c r="IIZ6"/>
      <c r="IJA6"/>
      <c r="IJB6"/>
      <c r="IJC6"/>
      <c r="IJD6"/>
      <c r="IJE6"/>
      <c r="IJF6"/>
      <c r="IJG6"/>
      <c r="IJH6"/>
      <c r="IJI6"/>
      <c r="IJJ6"/>
      <c r="IJK6"/>
      <c r="IJL6"/>
      <c r="IJM6"/>
      <c r="IJN6"/>
      <c r="IJO6"/>
      <c r="IJP6"/>
      <c r="IJQ6"/>
      <c r="IJR6"/>
      <c r="IJS6"/>
      <c r="IJT6"/>
      <c r="IJU6"/>
      <c r="IJV6"/>
      <c r="IJW6"/>
      <c r="IJX6"/>
      <c r="IJY6"/>
      <c r="IJZ6"/>
      <c r="IKA6"/>
      <c r="IKB6"/>
      <c r="IKC6"/>
      <c r="IKD6"/>
      <c r="IKE6"/>
      <c r="IKF6"/>
      <c r="IKG6"/>
      <c r="IKH6"/>
      <c r="IKI6"/>
      <c r="IKJ6"/>
      <c r="IKK6"/>
      <c r="IKL6"/>
      <c r="IKM6"/>
      <c r="IKN6"/>
      <c r="IKO6"/>
      <c r="IKP6"/>
      <c r="IKQ6"/>
      <c r="IKR6"/>
      <c r="IKS6"/>
      <c r="IKT6"/>
      <c r="IKU6"/>
      <c r="IKV6"/>
      <c r="IKW6"/>
      <c r="IKX6"/>
      <c r="IKY6"/>
      <c r="IKZ6"/>
      <c r="ILA6"/>
      <c r="ILB6"/>
      <c r="ILC6"/>
      <c r="ILD6"/>
      <c r="ILE6"/>
      <c r="ILF6"/>
      <c r="ILG6"/>
      <c r="ILH6"/>
      <c r="ILI6"/>
      <c r="ILJ6"/>
      <c r="ILK6"/>
      <c r="ILL6"/>
      <c r="ILM6"/>
      <c r="ILN6"/>
      <c r="ILO6"/>
      <c r="ILP6"/>
      <c r="ILQ6"/>
      <c r="ILR6"/>
      <c r="ILS6"/>
      <c r="ILT6"/>
      <c r="ILU6"/>
      <c r="ILV6"/>
      <c r="ILW6"/>
      <c r="ILX6"/>
      <c r="ILY6"/>
      <c r="ILZ6"/>
      <c r="IMA6"/>
      <c r="IMB6"/>
      <c r="IMC6"/>
      <c r="IMD6"/>
      <c r="IME6"/>
      <c r="IMF6"/>
      <c r="IMG6"/>
      <c r="IMH6"/>
      <c r="IMI6"/>
      <c r="IMJ6"/>
      <c r="IMK6"/>
      <c r="IML6"/>
      <c r="IMM6"/>
      <c r="IMN6"/>
      <c r="IMO6"/>
      <c r="IMP6"/>
      <c r="IMQ6"/>
      <c r="IMR6"/>
      <c r="IMS6"/>
      <c r="IMT6"/>
      <c r="IMU6"/>
      <c r="IMV6"/>
      <c r="IMW6"/>
      <c r="IMX6"/>
      <c r="IMY6"/>
      <c r="IMZ6"/>
      <c r="INA6"/>
      <c r="INB6"/>
      <c r="INC6"/>
      <c r="IND6"/>
      <c r="INE6"/>
      <c r="INF6"/>
      <c r="ING6"/>
      <c r="INH6"/>
      <c r="INI6"/>
      <c r="INJ6"/>
      <c r="INK6"/>
      <c r="INL6"/>
      <c r="INM6"/>
      <c r="INN6"/>
      <c r="INO6"/>
      <c r="INP6"/>
      <c r="INQ6"/>
      <c r="INR6"/>
      <c r="INS6"/>
      <c r="INT6"/>
      <c r="INU6"/>
      <c r="INV6"/>
      <c r="INW6"/>
      <c r="INX6"/>
      <c r="INY6"/>
      <c r="INZ6"/>
      <c r="IOA6"/>
      <c r="IOB6"/>
      <c r="IOC6"/>
      <c r="IOD6"/>
      <c r="IOE6"/>
      <c r="IOF6"/>
      <c r="IOG6"/>
      <c r="IOH6"/>
      <c r="IOI6"/>
      <c r="IOJ6"/>
      <c r="IOK6"/>
      <c r="IOL6"/>
      <c r="IOM6"/>
      <c r="ION6"/>
      <c r="IOO6"/>
      <c r="IOP6"/>
      <c r="IOQ6"/>
      <c r="IOR6"/>
      <c r="IOS6"/>
      <c r="IOT6"/>
      <c r="IOU6"/>
      <c r="IOV6"/>
      <c r="IOW6"/>
      <c r="IOX6"/>
      <c r="IOY6"/>
      <c r="IOZ6"/>
      <c r="IPA6"/>
      <c r="IPB6"/>
      <c r="IPC6"/>
      <c r="IPD6"/>
      <c r="IPE6"/>
      <c r="IPF6"/>
      <c r="IPG6"/>
      <c r="IPH6"/>
      <c r="IPI6"/>
      <c r="IPJ6"/>
      <c r="IPK6"/>
      <c r="IPL6"/>
      <c r="IPM6"/>
      <c r="IPN6"/>
      <c r="IPO6"/>
      <c r="IPP6"/>
      <c r="IPQ6"/>
      <c r="IPR6"/>
      <c r="IPS6"/>
      <c r="IPT6"/>
      <c r="IPU6"/>
      <c r="IPV6"/>
      <c r="IPW6"/>
      <c r="IPX6"/>
      <c r="IPY6"/>
      <c r="IPZ6"/>
      <c r="IQA6"/>
      <c r="IQB6"/>
      <c r="IQC6"/>
      <c r="IQD6"/>
      <c r="IQE6"/>
      <c r="IQF6"/>
      <c r="IQG6"/>
      <c r="IQH6"/>
      <c r="IQI6"/>
      <c r="IQJ6"/>
      <c r="IQK6"/>
      <c r="IQL6"/>
      <c r="IQM6"/>
      <c r="IQN6"/>
      <c r="IQO6"/>
      <c r="IQP6"/>
      <c r="IQQ6"/>
      <c r="IQR6"/>
      <c r="IQS6"/>
      <c r="IQT6"/>
      <c r="IQU6"/>
      <c r="IQV6"/>
      <c r="IQW6"/>
      <c r="IQX6"/>
      <c r="IQY6"/>
      <c r="IQZ6"/>
      <c r="IRA6"/>
      <c r="IRB6"/>
      <c r="IRC6"/>
      <c r="IRD6"/>
      <c r="IRE6"/>
      <c r="IRF6"/>
      <c r="IRG6"/>
      <c r="IRH6"/>
      <c r="IRI6"/>
      <c r="IRJ6"/>
      <c r="IRK6"/>
      <c r="IRL6"/>
      <c r="IRM6"/>
      <c r="IRN6"/>
      <c r="IRO6"/>
      <c r="IRP6"/>
      <c r="IRQ6"/>
      <c r="IRR6"/>
      <c r="IRS6"/>
      <c r="IRT6"/>
      <c r="IRU6"/>
      <c r="IRV6"/>
      <c r="IRW6"/>
      <c r="IRX6"/>
      <c r="IRY6"/>
      <c r="IRZ6"/>
      <c r="ISA6"/>
      <c r="ISB6"/>
      <c r="ISC6"/>
      <c r="ISD6"/>
      <c r="ISE6"/>
      <c r="ISF6"/>
      <c r="ISG6"/>
      <c r="ISH6"/>
      <c r="ISI6"/>
      <c r="ISJ6"/>
      <c r="ISK6"/>
      <c r="ISL6"/>
      <c r="ISM6"/>
      <c r="ISN6"/>
      <c r="ISO6"/>
      <c r="ISP6"/>
      <c r="ISQ6"/>
      <c r="ISR6"/>
      <c r="ISS6"/>
      <c r="IST6"/>
      <c r="ISU6"/>
      <c r="ISV6"/>
      <c r="ISW6"/>
      <c r="ISX6"/>
      <c r="ISY6"/>
      <c r="ISZ6"/>
      <c r="ITA6"/>
      <c r="ITB6"/>
      <c r="ITC6"/>
      <c r="ITD6"/>
      <c r="ITE6"/>
      <c r="ITF6"/>
      <c r="ITG6"/>
      <c r="ITH6"/>
      <c r="ITI6"/>
      <c r="ITJ6"/>
      <c r="ITK6"/>
      <c r="ITL6"/>
      <c r="ITM6"/>
      <c r="ITN6"/>
      <c r="ITO6"/>
      <c r="ITP6"/>
      <c r="ITQ6"/>
      <c r="ITR6"/>
      <c r="ITS6"/>
      <c r="ITT6"/>
      <c r="ITU6"/>
      <c r="ITV6"/>
      <c r="ITW6"/>
      <c r="ITX6"/>
      <c r="ITY6"/>
      <c r="ITZ6"/>
      <c r="IUA6"/>
      <c r="IUB6"/>
      <c r="IUC6"/>
      <c r="IUD6"/>
      <c r="IUE6"/>
      <c r="IUF6"/>
      <c r="IUG6"/>
      <c r="IUH6"/>
      <c r="IUI6"/>
      <c r="IUJ6"/>
      <c r="IUK6"/>
      <c r="IUL6"/>
      <c r="IUM6"/>
      <c r="IUN6"/>
      <c r="IUO6"/>
      <c r="IUP6"/>
      <c r="IUQ6"/>
      <c r="IUR6"/>
      <c r="IUS6"/>
      <c r="IUT6"/>
      <c r="IUU6"/>
      <c r="IUV6"/>
      <c r="IUW6"/>
      <c r="IUX6"/>
      <c r="IUY6"/>
      <c r="IUZ6"/>
      <c r="IVA6"/>
      <c r="IVB6"/>
      <c r="IVC6"/>
      <c r="IVD6"/>
      <c r="IVE6"/>
      <c r="IVF6"/>
      <c r="IVG6"/>
      <c r="IVH6"/>
      <c r="IVI6"/>
      <c r="IVJ6"/>
      <c r="IVK6"/>
      <c r="IVL6"/>
      <c r="IVM6"/>
      <c r="IVN6"/>
      <c r="IVO6"/>
      <c r="IVP6"/>
      <c r="IVQ6"/>
      <c r="IVR6"/>
      <c r="IVS6"/>
      <c r="IVT6"/>
      <c r="IVU6"/>
      <c r="IVV6"/>
      <c r="IVW6"/>
      <c r="IVX6"/>
      <c r="IVY6"/>
      <c r="IVZ6"/>
      <c r="IWA6"/>
      <c r="IWB6"/>
      <c r="IWC6"/>
      <c r="IWD6"/>
      <c r="IWE6"/>
      <c r="IWF6"/>
      <c r="IWG6"/>
      <c r="IWH6"/>
      <c r="IWI6"/>
      <c r="IWJ6"/>
      <c r="IWK6"/>
      <c r="IWL6"/>
      <c r="IWM6"/>
      <c r="IWN6"/>
      <c r="IWO6"/>
      <c r="IWP6"/>
      <c r="IWQ6"/>
      <c r="IWR6"/>
      <c r="IWS6"/>
      <c r="IWT6"/>
      <c r="IWU6"/>
      <c r="IWV6"/>
      <c r="IWW6"/>
      <c r="IWX6"/>
      <c r="IWY6"/>
      <c r="IWZ6"/>
      <c r="IXA6"/>
      <c r="IXB6"/>
      <c r="IXC6"/>
      <c r="IXD6"/>
      <c r="IXE6"/>
      <c r="IXF6"/>
      <c r="IXG6"/>
      <c r="IXH6"/>
      <c r="IXI6"/>
      <c r="IXJ6"/>
      <c r="IXK6"/>
      <c r="IXL6"/>
      <c r="IXM6"/>
      <c r="IXN6"/>
      <c r="IXO6"/>
      <c r="IXP6"/>
      <c r="IXQ6"/>
      <c r="IXR6"/>
      <c r="IXS6"/>
      <c r="IXT6"/>
      <c r="IXU6"/>
      <c r="IXV6"/>
      <c r="IXW6"/>
      <c r="IXX6"/>
      <c r="IXY6"/>
      <c r="IXZ6"/>
      <c r="IYA6"/>
      <c r="IYB6"/>
      <c r="IYC6"/>
      <c r="IYD6"/>
      <c r="IYE6"/>
      <c r="IYF6"/>
      <c r="IYG6"/>
      <c r="IYH6"/>
      <c r="IYI6"/>
      <c r="IYJ6"/>
      <c r="IYK6"/>
      <c r="IYL6"/>
      <c r="IYM6"/>
      <c r="IYN6"/>
      <c r="IYO6"/>
      <c r="IYP6"/>
      <c r="IYQ6"/>
      <c r="IYR6"/>
      <c r="IYS6"/>
      <c r="IYT6"/>
      <c r="IYU6"/>
      <c r="IYV6"/>
      <c r="IYW6"/>
      <c r="IYX6"/>
      <c r="IYY6"/>
      <c r="IYZ6"/>
      <c r="IZA6"/>
      <c r="IZB6"/>
      <c r="IZC6"/>
      <c r="IZD6"/>
      <c r="IZE6"/>
      <c r="IZF6"/>
      <c r="IZG6"/>
      <c r="IZH6"/>
      <c r="IZI6"/>
      <c r="IZJ6"/>
      <c r="IZK6"/>
      <c r="IZL6"/>
      <c r="IZM6"/>
      <c r="IZN6"/>
      <c r="IZO6"/>
      <c r="IZP6"/>
      <c r="IZQ6"/>
      <c r="IZR6"/>
      <c r="IZS6"/>
      <c r="IZT6"/>
      <c r="IZU6"/>
      <c r="IZV6"/>
      <c r="IZW6"/>
      <c r="IZX6"/>
      <c r="IZY6"/>
      <c r="IZZ6"/>
      <c r="JAA6"/>
      <c r="JAB6"/>
      <c r="JAC6"/>
      <c r="JAD6"/>
      <c r="JAE6"/>
      <c r="JAF6"/>
      <c r="JAG6"/>
      <c r="JAH6"/>
      <c r="JAI6"/>
      <c r="JAJ6"/>
      <c r="JAK6"/>
      <c r="JAL6"/>
      <c r="JAM6"/>
      <c r="JAN6"/>
      <c r="JAO6"/>
      <c r="JAP6"/>
      <c r="JAQ6"/>
      <c r="JAR6"/>
      <c r="JAS6"/>
      <c r="JAT6"/>
      <c r="JAU6"/>
      <c r="JAV6"/>
      <c r="JAW6"/>
      <c r="JAX6"/>
      <c r="JAY6"/>
      <c r="JAZ6"/>
      <c r="JBA6"/>
      <c r="JBB6"/>
      <c r="JBC6"/>
      <c r="JBD6"/>
      <c r="JBE6"/>
      <c r="JBF6"/>
      <c r="JBG6"/>
      <c r="JBH6"/>
      <c r="JBI6"/>
      <c r="JBJ6"/>
      <c r="JBK6"/>
      <c r="JBL6"/>
      <c r="JBM6"/>
      <c r="JBN6"/>
      <c r="JBO6"/>
      <c r="JBP6"/>
      <c r="JBQ6"/>
      <c r="JBR6"/>
      <c r="JBS6"/>
      <c r="JBT6"/>
      <c r="JBU6"/>
      <c r="JBV6"/>
      <c r="JBW6"/>
      <c r="JBX6"/>
      <c r="JBY6"/>
      <c r="JBZ6"/>
      <c r="JCA6"/>
      <c r="JCB6"/>
      <c r="JCC6"/>
      <c r="JCD6"/>
      <c r="JCE6"/>
      <c r="JCF6"/>
      <c r="JCG6"/>
      <c r="JCH6"/>
      <c r="JCI6"/>
      <c r="JCJ6"/>
      <c r="JCK6"/>
      <c r="JCL6"/>
      <c r="JCM6"/>
      <c r="JCN6"/>
      <c r="JCO6"/>
      <c r="JCP6"/>
      <c r="JCQ6"/>
      <c r="JCR6"/>
      <c r="JCS6"/>
      <c r="JCT6"/>
      <c r="JCU6"/>
      <c r="JCV6"/>
      <c r="JCW6"/>
      <c r="JCX6"/>
      <c r="JCY6"/>
      <c r="JCZ6"/>
      <c r="JDA6"/>
      <c r="JDB6"/>
      <c r="JDC6"/>
      <c r="JDD6"/>
      <c r="JDE6"/>
      <c r="JDF6"/>
      <c r="JDG6"/>
      <c r="JDH6"/>
      <c r="JDI6"/>
      <c r="JDJ6"/>
      <c r="JDK6"/>
      <c r="JDL6"/>
      <c r="JDM6"/>
      <c r="JDN6"/>
      <c r="JDO6"/>
      <c r="JDP6"/>
      <c r="JDQ6"/>
      <c r="JDR6"/>
      <c r="JDS6"/>
      <c r="JDT6"/>
      <c r="JDU6"/>
      <c r="JDV6"/>
      <c r="JDW6"/>
      <c r="JDX6"/>
      <c r="JDY6"/>
      <c r="JDZ6"/>
      <c r="JEA6"/>
      <c r="JEB6"/>
      <c r="JEC6"/>
      <c r="JED6"/>
      <c r="JEE6"/>
      <c r="JEF6"/>
      <c r="JEG6"/>
      <c r="JEH6"/>
      <c r="JEI6"/>
      <c r="JEJ6"/>
      <c r="JEK6"/>
      <c r="JEL6"/>
      <c r="JEM6"/>
      <c r="JEN6"/>
      <c r="JEO6"/>
      <c r="JEP6"/>
      <c r="JEQ6"/>
      <c r="JER6"/>
      <c r="JES6"/>
      <c r="JET6"/>
      <c r="JEU6"/>
      <c r="JEV6"/>
      <c r="JEW6"/>
      <c r="JEX6"/>
      <c r="JEY6"/>
      <c r="JEZ6"/>
      <c r="JFA6"/>
      <c r="JFB6"/>
      <c r="JFC6"/>
      <c r="JFD6"/>
      <c r="JFE6"/>
      <c r="JFF6"/>
      <c r="JFG6"/>
      <c r="JFH6"/>
      <c r="JFI6"/>
      <c r="JFJ6"/>
      <c r="JFK6"/>
      <c r="JFL6"/>
      <c r="JFM6"/>
      <c r="JFN6"/>
      <c r="JFO6"/>
      <c r="JFP6"/>
      <c r="JFQ6"/>
      <c r="JFR6"/>
      <c r="JFS6"/>
      <c r="JFT6"/>
      <c r="JFU6"/>
      <c r="JFV6"/>
      <c r="JFW6"/>
      <c r="JFX6"/>
      <c r="JFY6"/>
      <c r="JFZ6"/>
      <c r="JGA6"/>
      <c r="JGB6"/>
      <c r="JGC6"/>
      <c r="JGD6"/>
      <c r="JGE6"/>
      <c r="JGF6"/>
      <c r="JGG6"/>
      <c r="JGH6"/>
      <c r="JGI6"/>
      <c r="JGJ6"/>
      <c r="JGK6"/>
      <c r="JGL6"/>
      <c r="JGM6"/>
      <c r="JGN6"/>
      <c r="JGO6"/>
      <c r="JGP6"/>
      <c r="JGQ6"/>
      <c r="JGR6"/>
      <c r="JGS6"/>
      <c r="JGT6"/>
      <c r="JGU6"/>
      <c r="JGV6"/>
      <c r="JGW6"/>
      <c r="JGX6"/>
      <c r="JGY6"/>
      <c r="JGZ6"/>
      <c r="JHA6"/>
      <c r="JHB6"/>
      <c r="JHC6"/>
      <c r="JHD6"/>
      <c r="JHE6"/>
      <c r="JHF6"/>
      <c r="JHG6"/>
      <c r="JHH6"/>
      <c r="JHI6"/>
      <c r="JHJ6"/>
      <c r="JHK6"/>
      <c r="JHL6"/>
      <c r="JHM6"/>
      <c r="JHN6"/>
      <c r="JHO6"/>
      <c r="JHP6"/>
      <c r="JHQ6"/>
      <c r="JHR6"/>
      <c r="JHS6"/>
      <c r="JHT6"/>
      <c r="JHU6"/>
      <c r="JHV6"/>
      <c r="JHW6"/>
      <c r="JHX6"/>
      <c r="JHY6"/>
      <c r="JHZ6"/>
      <c r="JIA6"/>
      <c r="JIB6"/>
      <c r="JIC6"/>
      <c r="JID6"/>
      <c r="JIE6"/>
      <c r="JIF6"/>
      <c r="JIG6"/>
      <c r="JIH6"/>
      <c r="JII6"/>
      <c r="JIJ6"/>
      <c r="JIK6"/>
      <c r="JIL6"/>
      <c r="JIM6"/>
      <c r="JIN6"/>
      <c r="JIO6"/>
      <c r="JIP6"/>
      <c r="JIQ6"/>
      <c r="JIR6"/>
      <c r="JIS6"/>
      <c r="JIT6"/>
      <c r="JIU6"/>
      <c r="JIV6"/>
      <c r="JIW6"/>
      <c r="JIX6"/>
      <c r="JIY6"/>
      <c r="JIZ6"/>
      <c r="JJA6"/>
      <c r="JJB6"/>
      <c r="JJC6"/>
      <c r="JJD6"/>
      <c r="JJE6"/>
      <c r="JJF6"/>
      <c r="JJG6"/>
      <c r="JJH6"/>
      <c r="JJI6"/>
      <c r="JJJ6"/>
      <c r="JJK6"/>
      <c r="JJL6"/>
      <c r="JJM6"/>
      <c r="JJN6"/>
      <c r="JJO6"/>
      <c r="JJP6"/>
      <c r="JJQ6"/>
      <c r="JJR6"/>
      <c r="JJS6"/>
      <c r="JJT6"/>
      <c r="JJU6"/>
      <c r="JJV6"/>
      <c r="JJW6"/>
      <c r="JJX6"/>
      <c r="JJY6"/>
      <c r="JJZ6"/>
      <c r="JKA6"/>
      <c r="JKB6"/>
      <c r="JKC6"/>
      <c r="JKD6"/>
      <c r="JKE6"/>
      <c r="JKF6"/>
      <c r="JKG6"/>
      <c r="JKH6"/>
      <c r="JKI6"/>
      <c r="JKJ6"/>
      <c r="JKK6"/>
      <c r="JKL6"/>
      <c r="JKM6"/>
      <c r="JKN6"/>
      <c r="JKO6"/>
      <c r="JKP6"/>
      <c r="JKQ6"/>
      <c r="JKR6"/>
      <c r="JKS6"/>
      <c r="JKT6"/>
      <c r="JKU6"/>
      <c r="JKV6"/>
      <c r="JKW6"/>
      <c r="JKX6"/>
      <c r="JKY6"/>
      <c r="JKZ6"/>
      <c r="JLA6"/>
      <c r="JLB6"/>
      <c r="JLC6"/>
      <c r="JLD6"/>
      <c r="JLE6"/>
      <c r="JLF6"/>
      <c r="JLG6"/>
      <c r="JLH6"/>
      <c r="JLI6"/>
      <c r="JLJ6"/>
      <c r="JLK6"/>
      <c r="JLL6"/>
      <c r="JLM6"/>
      <c r="JLN6"/>
      <c r="JLO6"/>
      <c r="JLP6"/>
      <c r="JLQ6"/>
      <c r="JLR6"/>
      <c r="JLS6"/>
      <c r="JLT6"/>
      <c r="JLU6"/>
      <c r="JLV6"/>
      <c r="JLW6"/>
      <c r="JLX6"/>
      <c r="JLY6"/>
      <c r="JLZ6"/>
      <c r="JMA6"/>
      <c r="JMB6"/>
      <c r="JMC6"/>
      <c r="JMD6"/>
      <c r="JME6"/>
      <c r="JMF6"/>
      <c r="JMG6"/>
      <c r="JMH6"/>
      <c r="JMI6"/>
      <c r="JMJ6"/>
      <c r="JMK6"/>
      <c r="JML6"/>
      <c r="JMM6"/>
      <c r="JMN6"/>
      <c r="JMO6"/>
      <c r="JMP6"/>
      <c r="JMQ6"/>
      <c r="JMR6"/>
      <c r="JMS6"/>
      <c r="JMT6"/>
      <c r="JMU6"/>
      <c r="JMV6"/>
      <c r="JMW6"/>
      <c r="JMX6"/>
      <c r="JMY6"/>
      <c r="JMZ6"/>
      <c r="JNA6"/>
      <c r="JNB6"/>
      <c r="JNC6"/>
      <c r="JND6"/>
      <c r="JNE6"/>
      <c r="JNF6"/>
      <c r="JNG6"/>
      <c r="JNH6"/>
      <c r="JNI6"/>
      <c r="JNJ6"/>
      <c r="JNK6"/>
      <c r="JNL6"/>
      <c r="JNM6"/>
      <c r="JNN6"/>
      <c r="JNO6"/>
      <c r="JNP6"/>
      <c r="JNQ6"/>
      <c r="JNR6"/>
      <c r="JNS6"/>
      <c r="JNT6"/>
      <c r="JNU6"/>
      <c r="JNV6"/>
      <c r="JNW6"/>
      <c r="JNX6"/>
      <c r="JNY6"/>
      <c r="JNZ6"/>
      <c r="JOA6"/>
      <c r="JOB6"/>
      <c r="JOC6"/>
      <c r="JOD6"/>
      <c r="JOE6"/>
      <c r="JOF6"/>
      <c r="JOG6"/>
      <c r="JOH6"/>
      <c r="JOI6"/>
      <c r="JOJ6"/>
      <c r="JOK6"/>
      <c r="JOL6"/>
      <c r="JOM6"/>
      <c r="JON6"/>
      <c r="JOO6"/>
      <c r="JOP6"/>
      <c r="JOQ6"/>
      <c r="JOR6"/>
      <c r="JOS6"/>
      <c r="JOT6"/>
      <c r="JOU6"/>
      <c r="JOV6"/>
      <c r="JOW6"/>
      <c r="JOX6"/>
      <c r="JOY6"/>
      <c r="JOZ6"/>
      <c r="JPA6"/>
      <c r="JPB6"/>
      <c r="JPC6"/>
      <c r="JPD6"/>
      <c r="JPE6"/>
      <c r="JPF6"/>
      <c r="JPG6"/>
      <c r="JPH6"/>
      <c r="JPI6"/>
      <c r="JPJ6"/>
      <c r="JPK6"/>
      <c r="JPL6"/>
      <c r="JPM6"/>
      <c r="JPN6"/>
      <c r="JPO6"/>
      <c r="JPP6"/>
      <c r="JPQ6"/>
      <c r="JPR6"/>
      <c r="JPS6"/>
      <c r="JPT6"/>
      <c r="JPU6"/>
      <c r="JPV6"/>
      <c r="JPW6"/>
      <c r="JPX6"/>
      <c r="JPY6"/>
      <c r="JPZ6"/>
      <c r="JQA6"/>
      <c r="JQB6"/>
      <c r="JQC6"/>
      <c r="JQD6"/>
      <c r="JQE6"/>
      <c r="JQF6"/>
      <c r="JQG6"/>
      <c r="JQH6"/>
      <c r="JQI6"/>
      <c r="JQJ6"/>
      <c r="JQK6"/>
      <c r="JQL6"/>
      <c r="JQM6"/>
      <c r="JQN6"/>
      <c r="JQO6"/>
      <c r="JQP6"/>
      <c r="JQQ6"/>
      <c r="JQR6"/>
      <c r="JQS6"/>
      <c r="JQT6"/>
      <c r="JQU6"/>
      <c r="JQV6"/>
      <c r="JQW6"/>
      <c r="JQX6"/>
      <c r="JQY6"/>
      <c r="JQZ6"/>
      <c r="JRA6"/>
      <c r="JRB6"/>
      <c r="JRC6"/>
      <c r="JRD6"/>
      <c r="JRE6"/>
      <c r="JRF6"/>
      <c r="JRG6"/>
      <c r="JRH6"/>
      <c r="JRI6"/>
      <c r="JRJ6"/>
      <c r="JRK6"/>
      <c r="JRL6"/>
      <c r="JRM6"/>
      <c r="JRN6"/>
      <c r="JRO6"/>
      <c r="JRP6"/>
      <c r="JRQ6"/>
      <c r="JRR6"/>
      <c r="JRS6"/>
      <c r="JRT6"/>
      <c r="JRU6"/>
      <c r="JRV6"/>
      <c r="JRW6"/>
      <c r="JRX6"/>
      <c r="JRY6"/>
      <c r="JRZ6"/>
      <c r="JSA6"/>
      <c r="JSB6"/>
      <c r="JSC6"/>
      <c r="JSD6"/>
      <c r="JSE6"/>
      <c r="JSF6"/>
      <c r="JSG6"/>
      <c r="JSH6"/>
      <c r="JSI6"/>
      <c r="JSJ6"/>
      <c r="JSK6"/>
      <c r="JSL6"/>
      <c r="JSM6"/>
      <c r="JSN6"/>
      <c r="JSO6"/>
      <c r="JSP6"/>
      <c r="JSQ6"/>
      <c r="JSR6"/>
      <c r="JSS6"/>
      <c r="JST6"/>
      <c r="JSU6"/>
      <c r="JSV6"/>
      <c r="JSW6"/>
      <c r="JSX6"/>
      <c r="JSY6"/>
      <c r="JSZ6"/>
      <c r="JTA6"/>
      <c r="JTB6"/>
      <c r="JTC6"/>
      <c r="JTD6"/>
      <c r="JTE6"/>
      <c r="JTF6"/>
      <c r="JTG6"/>
      <c r="JTH6"/>
      <c r="JTI6"/>
      <c r="JTJ6"/>
      <c r="JTK6"/>
      <c r="JTL6"/>
      <c r="JTM6"/>
      <c r="JTN6"/>
      <c r="JTO6"/>
      <c r="JTP6"/>
      <c r="JTQ6"/>
      <c r="JTR6"/>
      <c r="JTS6"/>
      <c r="JTT6"/>
      <c r="JTU6"/>
      <c r="JTV6"/>
      <c r="JTW6"/>
      <c r="JTX6"/>
      <c r="JTY6"/>
      <c r="JTZ6"/>
      <c r="JUA6"/>
      <c r="JUB6"/>
      <c r="JUC6"/>
      <c r="JUD6"/>
      <c r="JUE6"/>
      <c r="JUF6"/>
      <c r="JUG6"/>
      <c r="JUH6"/>
      <c r="JUI6"/>
      <c r="JUJ6"/>
      <c r="JUK6"/>
      <c r="JUL6"/>
      <c r="JUM6"/>
      <c r="JUN6"/>
      <c r="JUO6"/>
      <c r="JUP6"/>
      <c r="JUQ6"/>
      <c r="JUR6"/>
      <c r="JUS6"/>
      <c r="JUT6"/>
      <c r="JUU6"/>
      <c r="JUV6"/>
      <c r="JUW6"/>
      <c r="JUX6"/>
      <c r="JUY6"/>
      <c r="JUZ6"/>
      <c r="JVA6"/>
      <c r="JVB6"/>
      <c r="JVC6"/>
      <c r="JVD6"/>
      <c r="JVE6"/>
      <c r="JVF6"/>
      <c r="JVG6"/>
      <c r="JVH6"/>
      <c r="JVI6"/>
      <c r="JVJ6"/>
      <c r="JVK6"/>
      <c r="JVL6"/>
      <c r="JVM6"/>
      <c r="JVN6"/>
      <c r="JVO6"/>
      <c r="JVP6"/>
      <c r="JVQ6"/>
      <c r="JVR6"/>
      <c r="JVS6"/>
      <c r="JVT6"/>
      <c r="JVU6"/>
      <c r="JVV6"/>
      <c r="JVW6"/>
      <c r="JVX6"/>
      <c r="JVY6"/>
      <c r="JVZ6"/>
      <c r="JWA6"/>
      <c r="JWB6"/>
      <c r="JWC6"/>
      <c r="JWD6"/>
      <c r="JWE6"/>
      <c r="JWF6"/>
      <c r="JWG6"/>
      <c r="JWH6"/>
      <c r="JWI6"/>
      <c r="JWJ6"/>
      <c r="JWK6"/>
      <c r="JWL6"/>
      <c r="JWM6"/>
      <c r="JWN6"/>
      <c r="JWO6"/>
      <c r="JWP6"/>
      <c r="JWQ6"/>
      <c r="JWR6"/>
      <c r="JWS6"/>
      <c r="JWT6"/>
      <c r="JWU6"/>
      <c r="JWV6"/>
      <c r="JWW6"/>
      <c r="JWX6"/>
      <c r="JWY6"/>
      <c r="JWZ6"/>
      <c r="JXA6"/>
      <c r="JXB6"/>
      <c r="JXC6"/>
      <c r="JXD6"/>
      <c r="JXE6"/>
      <c r="JXF6"/>
      <c r="JXG6"/>
      <c r="JXH6"/>
      <c r="JXI6"/>
      <c r="JXJ6"/>
      <c r="JXK6"/>
      <c r="JXL6"/>
      <c r="JXM6"/>
      <c r="JXN6"/>
      <c r="JXO6"/>
      <c r="JXP6"/>
      <c r="JXQ6"/>
      <c r="JXR6"/>
      <c r="JXS6"/>
      <c r="JXT6"/>
      <c r="JXU6"/>
      <c r="JXV6"/>
      <c r="JXW6"/>
      <c r="JXX6"/>
      <c r="JXY6"/>
      <c r="JXZ6"/>
      <c r="JYA6"/>
      <c r="JYB6"/>
      <c r="JYC6"/>
      <c r="JYD6"/>
      <c r="JYE6"/>
      <c r="JYF6"/>
      <c r="JYG6"/>
      <c r="JYH6"/>
      <c r="JYI6"/>
      <c r="JYJ6"/>
      <c r="JYK6"/>
      <c r="JYL6"/>
      <c r="JYM6"/>
      <c r="JYN6"/>
      <c r="JYO6"/>
      <c r="JYP6"/>
      <c r="JYQ6"/>
      <c r="JYR6"/>
      <c r="JYS6"/>
      <c r="JYT6"/>
      <c r="JYU6"/>
      <c r="JYV6"/>
      <c r="JYW6"/>
      <c r="JYX6"/>
      <c r="JYY6"/>
      <c r="JYZ6"/>
      <c r="JZA6"/>
      <c r="JZB6"/>
      <c r="JZC6"/>
      <c r="JZD6"/>
      <c r="JZE6"/>
      <c r="JZF6"/>
      <c r="JZG6"/>
      <c r="JZH6"/>
      <c r="JZI6"/>
      <c r="JZJ6"/>
      <c r="JZK6"/>
      <c r="JZL6"/>
      <c r="JZM6"/>
      <c r="JZN6"/>
      <c r="JZO6"/>
      <c r="JZP6"/>
      <c r="JZQ6"/>
      <c r="JZR6"/>
      <c r="JZS6"/>
      <c r="JZT6"/>
      <c r="JZU6"/>
      <c r="JZV6"/>
      <c r="JZW6"/>
      <c r="JZX6"/>
      <c r="JZY6"/>
      <c r="JZZ6"/>
      <c r="KAA6"/>
      <c r="KAB6"/>
      <c r="KAC6"/>
      <c r="KAD6"/>
      <c r="KAE6"/>
      <c r="KAF6"/>
      <c r="KAG6"/>
      <c r="KAH6"/>
      <c r="KAI6"/>
      <c r="KAJ6"/>
      <c r="KAK6"/>
      <c r="KAL6"/>
      <c r="KAM6"/>
      <c r="KAN6"/>
      <c r="KAO6"/>
      <c r="KAP6"/>
      <c r="KAQ6"/>
      <c r="KAR6"/>
      <c r="KAS6"/>
      <c r="KAT6"/>
      <c r="KAU6"/>
      <c r="KAV6"/>
      <c r="KAW6"/>
      <c r="KAX6"/>
      <c r="KAY6"/>
      <c r="KAZ6"/>
      <c r="KBA6"/>
      <c r="KBB6"/>
      <c r="KBC6"/>
      <c r="KBD6"/>
      <c r="KBE6"/>
      <c r="KBF6"/>
      <c r="KBG6"/>
      <c r="KBH6"/>
      <c r="KBI6"/>
      <c r="KBJ6"/>
      <c r="KBK6"/>
      <c r="KBL6"/>
      <c r="KBM6"/>
      <c r="KBN6"/>
      <c r="KBO6"/>
      <c r="KBP6"/>
      <c r="KBQ6"/>
      <c r="KBR6"/>
      <c r="KBS6"/>
      <c r="KBT6"/>
      <c r="KBU6"/>
      <c r="KBV6"/>
      <c r="KBW6"/>
      <c r="KBX6"/>
      <c r="KBY6"/>
      <c r="KBZ6"/>
      <c r="KCA6"/>
      <c r="KCB6"/>
      <c r="KCC6"/>
      <c r="KCD6"/>
      <c r="KCE6"/>
      <c r="KCF6"/>
      <c r="KCG6"/>
      <c r="KCH6"/>
      <c r="KCI6"/>
      <c r="KCJ6"/>
      <c r="KCK6"/>
      <c r="KCL6"/>
      <c r="KCM6"/>
      <c r="KCN6"/>
      <c r="KCO6"/>
      <c r="KCP6"/>
      <c r="KCQ6"/>
      <c r="KCR6"/>
      <c r="KCS6"/>
      <c r="KCT6"/>
      <c r="KCU6"/>
      <c r="KCV6"/>
      <c r="KCW6"/>
      <c r="KCX6"/>
      <c r="KCY6"/>
      <c r="KCZ6"/>
      <c r="KDA6"/>
      <c r="KDB6"/>
      <c r="KDC6"/>
      <c r="KDD6"/>
      <c r="KDE6"/>
      <c r="KDF6"/>
      <c r="KDG6"/>
      <c r="KDH6"/>
      <c r="KDI6"/>
      <c r="KDJ6"/>
      <c r="KDK6"/>
      <c r="KDL6"/>
      <c r="KDM6"/>
      <c r="KDN6"/>
      <c r="KDO6"/>
      <c r="KDP6"/>
      <c r="KDQ6"/>
      <c r="KDR6"/>
      <c r="KDS6"/>
      <c r="KDT6"/>
      <c r="KDU6"/>
      <c r="KDV6"/>
      <c r="KDW6"/>
      <c r="KDX6"/>
      <c r="KDY6"/>
      <c r="KDZ6"/>
      <c r="KEA6"/>
      <c r="KEB6"/>
      <c r="KEC6"/>
      <c r="KED6"/>
      <c r="KEE6"/>
      <c r="KEF6"/>
      <c r="KEG6"/>
      <c r="KEH6"/>
      <c r="KEI6"/>
      <c r="KEJ6"/>
      <c r="KEK6"/>
      <c r="KEL6"/>
      <c r="KEM6"/>
      <c r="KEN6"/>
      <c r="KEO6"/>
      <c r="KEP6"/>
      <c r="KEQ6"/>
      <c r="KER6"/>
      <c r="KES6"/>
      <c r="KET6"/>
      <c r="KEU6"/>
      <c r="KEV6"/>
      <c r="KEW6"/>
      <c r="KEX6"/>
      <c r="KEY6"/>
      <c r="KEZ6"/>
      <c r="KFA6"/>
      <c r="KFB6"/>
      <c r="KFC6"/>
      <c r="KFD6"/>
      <c r="KFE6"/>
      <c r="KFF6"/>
      <c r="KFG6"/>
      <c r="KFH6"/>
      <c r="KFI6"/>
      <c r="KFJ6"/>
      <c r="KFK6"/>
      <c r="KFL6"/>
      <c r="KFM6"/>
      <c r="KFN6"/>
      <c r="KFO6"/>
      <c r="KFP6"/>
      <c r="KFQ6"/>
      <c r="KFR6"/>
      <c r="KFS6"/>
      <c r="KFT6"/>
      <c r="KFU6"/>
      <c r="KFV6"/>
      <c r="KFW6"/>
      <c r="KFX6"/>
      <c r="KFY6"/>
      <c r="KFZ6"/>
      <c r="KGA6"/>
      <c r="KGB6"/>
      <c r="KGC6"/>
      <c r="KGD6"/>
      <c r="KGE6"/>
      <c r="KGF6"/>
      <c r="KGG6"/>
      <c r="KGH6"/>
      <c r="KGI6"/>
      <c r="KGJ6"/>
      <c r="KGK6"/>
      <c r="KGL6"/>
      <c r="KGM6"/>
      <c r="KGN6"/>
      <c r="KGO6"/>
      <c r="KGP6"/>
      <c r="KGQ6"/>
      <c r="KGR6"/>
      <c r="KGS6"/>
      <c r="KGT6"/>
      <c r="KGU6"/>
      <c r="KGV6"/>
      <c r="KGW6"/>
      <c r="KGX6"/>
      <c r="KGY6"/>
      <c r="KGZ6"/>
      <c r="KHA6"/>
      <c r="KHB6"/>
      <c r="KHC6"/>
      <c r="KHD6"/>
      <c r="KHE6"/>
      <c r="KHF6"/>
      <c r="KHG6"/>
      <c r="KHH6"/>
      <c r="KHI6"/>
      <c r="KHJ6"/>
      <c r="KHK6"/>
      <c r="KHL6"/>
      <c r="KHM6"/>
      <c r="KHN6"/>
      <c r="KHO6"/>
      <c r="KHP6"/>
      <c r="KHQ6"/>
      <c r="KHR6"/>
      <c r="KHS6"/>
      <c r="KHT6"/>
      <c r="KHU6"/>
      <c r="KHV6"/>
      <c r="KHW6"/>
      <c r="KHX6"/>
      <c r="KHY6"/>
      <c r="KHZ6"/>
      <c r="KIA6"/>
      <c r="KIB6"/>
      <c r="KIC6"/>
      <c r="KID6"/>
      <c r="KIE6"/>
      <c r="KIF6"/>
      <c r="KIG6"/>
      <c r="KIH6"/>
      <c r="KII6"/>
      <c r="KIJ6"/>
      <c r="KIK6"/>
      <c r="KIL6"/>
      <c r="KIM6"/>
      <c r="KIN6"/>
      <c r="KIO6"/>
      <c r="KIP6"/>
      <c r="KIQ6"/>
      <c r="KIR6"/>
      <c r="KIS6"/>
      <c r="KIT6"/>
      <c r="KIU6"/>
      <c r="KIV6"/>
      <c r="KIW6"/>
      <c r="KIX6"/>
      <c r="KIY6"/>
      <c r="KIZ6"/>
      <c r="KJA6"/>
      <c r="KJB6"/>
      <c r="KJC6"/>
      <c r="KJD6"/>
      <c r="KJE6"/>
      <c r="KJF6"/>
      <c r="KJG6"/>
      <c r="KJH6"/>
      <c r="KJI6"/>
      <c r="KJJ6"/>
      <c r="KJK6"/>
      <c r="KJL6"/>
      <c r="KJM6"/>
      <c r="KJN6"/>
      <c r="KJO6"/>
      <c r="KJP6"/>
      <c r="KJQ6"/>
      <c r="KJR6"/>
      <c r="KJS6"/>
      <c r="KJT6"/>
      <c r="KJU6"/>
      <c r="KJV6"/>
      <c r="KJW6"/>
      <c r="KJX6"/>
      <c r="KJY6"/>
      <c r="KJZ6"/>
      <c r="KKA6"/>
      <c r="KKB6"/>
      <c r="KKC6"/>
      <c r="KKD6"/>
      <c r="KKE6"/>
      <c r="KKF6"/>
      <c r="KKG6"/>
      <c r="KKH6"/>
      <c r="KKI6"/>
      <c r="KKJ6"/>
      <c r="KKK6"/>
      <c r="KKL6"/>
      <c r="KKM6"/>
      <c r="KKN6"/>
      <c r="KKO6"/>
      <c r="KKP6"/>
      <c r="KKQ6"/>
      <c r="KKR6"/>
      <c r="KKS6"/>
      <c r="KKT6"/>
      <c r="KKU6"/>
      <c r="KKV6"/>
      <c r="KKW6"/>
      <c r="KKX6"/>
      <c r="KKY6"/>
      <c r="KKZ6"/>
      <c r="KLA6"/>
      <c r="KLB6"/>
      <c r="KLC6"/>
      <c r="KLD6"/>
      <c r="KLE6"/>
      <c r="KLF6"/>
      <c r="KLG6"/>
      <c r="KLH6"/>
      <c r="KLI6"/>
      <c r="KLJ6"/>
      <c r="KLK6"/>
      <c r="KLL6"/>
      <c r="KLM6"/>
      <c r="KLN6"/>
      <c r="KLO6"/>
      <c r="KLP6"/>
      <c r="KLQ6"/>
      <c r="KLR6"/>
      <c r="KLS6"/>
      <c r="KLT6"/>
      <c r="KLU6"/>
      <c r="KLV6"/>
      <c r="KLW6"/>
      <c r="KLX6"/>
      <c r="KLY6"/>
      <c r="KLZ6"/>
      <c r="KMA6"/>
      <c r="KMB6"/>
      <c r="KMC6"/>
      <c r="KMD6"/>
      <c r="KME6"/>
      <c r="KMF6"/>
      <c r="KMG6"/>
      <c r="KMH6"/>
      <c r="KMI6"/>
      <c r="KMJ6"/>
      <c r="KMK6"/>
      <c r="KML6"/>
      <c r="KMM6"/>
      <c r="KMN6"/>
      <c r="KMO6"/>
      <c r="KMP6"/>
      <c r="KMQ6"/>
      <c r="KMR6"/>
      <c r="KMS6"/>
      <c r="KMT6"/>
      <c r="KMU6"/>
      <c r="KMV6"/>
      <c r="KMW6"/>
      <c r="KMX6"/>
      <c r="KMY6"/>
      <c r="KMZ6"/>
      <c r="KNA6"/>
      <c r="KNB6"/>
      <c r="KNC6"/>
      <c r="KND6"/>
      <c r="KNE6"/>
      <c r="KNF6"/>
      <c r="KNG6"/>
      <c r="KNH6"/>
      <c r="KNI6"/>
      <c r="KNJ6"/>
      <c r="KNK6"/>
      <c r="KNL6"/>
      <c r="KNM6"/>
      <c r="KNN6"/>
      <c r="KNO6"/>
      <c r="KNP6"/>
      <c r="KNQ6"/>
      <c r="KNR6"/>
      <c r="KNS6"/>
      <c r="KNT6"/>
      <c r="KNU6"/>
      <c r="KNV6"/>
      <c r="KNW6"/>
      <c r="KNX6"/>
      <c r="KNY6"/>
      <c r="KNZ6"/>
      <c r="KOA6"/>
      <c r="KOB6"/>
      <c r="KOC6"/>
      <c r="KOD6"/>
      <c r="KOE6"/>
      <c r="KOF6"/>
      <c r="KOG6"/>
      <c r="KOH6"/>
      <c r="KOI6"/>
      <c r="KOJ6"/>
      <c r="KOK6"/>
      <c r="KOL6"/>
      <c r="KOM6"/>
      <c r="KON6"/>
      <c r="KOO6"/>
      <c r="KOP6"/>
      <c r="KOQ6"/>
      <c r="KOR6"/>
      <c r="KOS6"/>
      <c r="KOT6"/>
      <c r="KOU6"/>
      <c r="KOV6"/>
      <c r="KOW6"/>
      <c r="KOX6"/>
      <c r="KOY6"/>
      <c r="KOZ6"/>
      <c r="KPA6"/>
      <c r="KPB6"/>
      <c r="KPC6"/>
      <c r="KPD6"/>
      <c r="KPE6"/>
      <c r="KPF6"/>
      <c r="KPG6"/>
      <c r="KPH6"/>
      <c r="KPI6"/>
      <c r="KPJ6"/>
      <c r="KPK6"/>
      <c r="KPL6"/>
      <c r="KPM6"/>
      <c r="KPN6"/>
      <c r="KPO6"/>
      <c r="KPP6"/>
      <c r="KPQ6"/>
      <c r="KPR6"/>
      <c r="KPS6"/>
      <c r="KPT6"/>
      <c r="KPU6"/>
      <c r="KPV6"/>
      <c r="KPW6"/>
      <c r="KPX6"/>
      <c r="KPY6"/>
      <c r="KPZ6"/>
      <c r="KQA6"/>
      <c r="KQB6"/>
      <c r="KQC6"/>
      <c r="KQD6"/>
      <c r="KQE6"/>
      <c r="KQF6"/>
      <c r="KQG6"/>
      <c r="KQH6"/>
      <c r="KQI6"/>
      <c r="KQJ6"/>
      <c r="KQK6"/>
      <c r="KQL6"/>
      <c r="KQM6"/>
      <c r="KQN6"/>
      <c r="KQO6"/>
      <c r="KQP6"/>
      <c r="KQQ6"/>
      <c r="KQR6"/>
      <c r="KQS6"/>
      <c r="KQT6"/>
      <c r="KQU6"/>
      <c r="KQV6"/>
      <c r="KQW6"/>
      <c r="KQX6"/>
      <c r="KQY6"/>
      <c r="KQZ6"/>
      <c r="KRA6"/>
      <c r="KRB6"/>
      <c r="KRC6"/>
      <c r="KRD6"/>
      <c r="KRE6"/>
      <c r="KRF6"/>
      <c r="KRG6"/>
      <c r="KRH6"/>
      <c r="KRI6"/>
      <c r="KRJ6"/>
      <c r="KRK6"/>
      <c r="KRL6"/>
      <c r="KRM6"/>
      <c r="KRN6"/>
      <c r="KRO6"/>
      <c r="KRP6"/>
      <c r="KRQ6"/>
      <c r="KRR6"/>
      <c r="KRS6"/>
      <c r="KRT6"/>
      <c r="KRU6"/>
      <c r="KRV6"/>
      <c r="KRW6"/>
      <c r="KRX6"/>
      <c r="KRY6"/>
      <c r="KRZ6"/>
      <c r="KSA6"/>
      <c r="KSB6"/>
      <c r="KSC6"/>
      <c r="KSD6"/>
      <c r="KSE6"/>
      <c r="KSF6"/>
      <c r="KSG6"/>
      <c r="KSH6"/>
      <c r="KSI6"/>
      <c r="KSJ6"/>
      <c r="KSK6"/>
      <c r="KSL6"/>
      <c r="KSM6"/>
      <c r="KSN6"/>
      <c r="KSO6"/>
      <c r="KSP6"/>
      <c r="KSQ6"/>
      <c r="KSR6"/>
      <c r="KSS6"/>
      <c r="KST6"/>
      <c r="KSU6"/>
      <c r="KSV6"/>
      <c r="KSW6"/>
      <c r="KSX6"/>
      <c r="KSY6"/>
      <c r="KSZ6"/>
      <c r="KTA6"/>
      <c r="KTB6"/>
      <c r="KTC6"/>
      <c r="KTD6"/>
      <c r="KTE6"/>
      <c r="KTF6"/>
      <c r="KTG6"/>
      <c r="KTH6"/>
      <c r="KTI6"/>
      <c r="KTJ6"/>
      <c r="KTK6"/>
      <c r="KTL6"/>
      <c r="KTM6"/>
      <c r="KTN6"/>
      <c r="KTO6"/>
      <c r="KTP6"/>
      <c r="KTQ6"/>
      <c r="KTR6"/>
      <c r="KTS6"/>
      <c r="KTT6"/>
      <c r="KTU6"/>
      <c r="KTV6"/>
      <c r="KTW6"/>
      <c r="KTX6"/>
      <c r="KTY6"/>
      <c r="KTZ6"/>
      <c r="KUA6"/>
      <c r="KUB6"/>
      <c r="KUC6"/>
      <c r="KUD6"/>
      <c r="KUE6"/>
      <c r="KUF6"/>
      <c r="KUG6"/>
      <c r="KUH6"/>
      <c r="KUI6"/>
      <c r="KUJ6"/>
      <c r="KUK6"/>
      <c r="KUL6"/>
      <c r="KUM6"/>
      <c r="KUN6"/>
      <c r="KUO6"/>
      <c r="KUP6"/>
      <c r="KUQ6"/>
      <c r="KUR6"/>
      <c r="KUS6"/>
      <c r="KUT6"/>
      <c r="KUU6"/>
      <c r="KUV6"/>
      <c r="KUW6"/>
      <c r="KUX6"/>
      <c r="KUY6"/>
      <c r="KUZ6"/>
      <c r="KVA6"/>
      <c r="KVB6"/>
      <c r="KVC6"/>
      <c r="KVD6"/>
      <c r="KVE6"/>
      <c r="KVF6"/>
      <c r="KVG6"/>
      <c r="KVH6"/>
      <c r="KVI6"/>
      <c r="KVJ6"/>
      <c r="KVK6"/>
      <c r="KVL6"/>
      <c r="KVM6"/>
      <c r="KVN6"/>
      <c r="KVO6"/>
      <c r="KVP6"/>
      <c r="KVQ6"/>
      <c r="KVR6"/>
      <c r="KVS6"/>
      <c r="KVT6"/>
      <c r="KVU6"/>
      <c r="KVV6"/>
      <c r="KVW6"/>
      <c r="KVX6"/>
      <c r="KVY6"/>
      <c r="KVZ6"/>
      <c r="KWA6"/>
      <c r="KWB6"/>
      <c r="KWC6"/>
      <c r="KWD6"/>
      <c r="KWE6"/>
      <c r="KWF6"/>
      <c r="KWG6"/>
      <c r="KWH6"/>
      <c r="KWI6"/>
      <c r="KWJ6"/>
      <c r="KWK6"/>
      <c r="KWL6"/>
      <c r="KWM6"/>
      <c r="KWN6"/>
      <c r="KWO6"/>
      <c r="KWP6"/>
      <c r="KWQ6"/>
      <c r="KWR6"/>
      <c r="KWS6"/>
      <c r="KWT6"/>
      <c r="KWU6"/>
      <c r="KWV6"/>
      <c r="KWW6"/>
      <c r="KWX6"/>
      <c r="KWY6"/>
      <c r="KWZ6"/>
      <c r="KXA6"/>
      <c r="KXB6"/>
      <c r="KXC6"/>
      <c r="KXD6"/>
      <c r="KXE6"/>
      <c r="KXF6"/>
      <c r="KXG6"/>
      <c r="KXH6"/>
      <c r="KXI6"/>
      <c r="KXJ6"/>
      <c r="KXK6"/>
      <c r="KXL6"/>
      <c r="KXM6"/>
      <c r="KXN6"/>
      <c r="KXO6"/>
      <c r="KXP6"/>
      <c r="KXQ6"/>
      <c r="KXR6"/>
      <c r="KXS6"/>
      <c r="KXT6"/>
      <c r="KXU6"/>
      <c r="KXV6"/>
      <c r="KXW6"/>
      <c r="KXX6"/>
      <c r="KXY6"/>
      <c r="KXZ6"/>
      <c r="KYA6"/>
      <c r="KYB6"/>
      <c r="KYC6"/>
      <c r="KYD6"/>
      <c r="KYE6"/>
      <c r="KYF6"/>
      <c r="KYG6"/>
      <c r="KYH6"/>
      <c r="KYI6"/>
      <c r="KYJ6"/>
      <c r="KYK6"/>
      <c r="KYL6"/>
      <c r="KYM6"/>
      <c r="KYN6"/>
      <c r="KYO6"/>
      <c r="KYP6"/>
      <c r="KYQ6"/>
      <c r="KYR6"/>
      <c r="KYS6"/>
      <c r="KYT6"/>
      <c r="KYU6"/>
      <c r="KYV6"/>
      <c r="KYW6"/>
      <c r="KYX6"/>
      <c r="KYY6"/>
      <c r="KYZ6"/>
      <c r="KZA6"/>
      <c r="KZB6"/>
      <c r="KZC6"/>
      <c r="KZD6"/>
      <c r="KZE6"/>
      <c r="KZF6"/>
      <c r="KZG6"/>
      <c r="KZH6"/>
      <c r="KZI6"/>
      <c r="KZJ6"/>
      <c r="KZK6"/>
      <c r="KZL6"/>
      <c r="KZM6"/>
      <c r="KZN6"/>
      <c r="KZO6"/>
      <c r="KZP6"/>
      <c r="KZQ6"/>
      <c r="KZR6"/>
      <c r="KZS6"/>
      <c r="KZT6"/>
      <c r="KZU6"/>
      <c r="KZV6"/>
      <c r="KZW6"/>
      <c r="KZX6"/>
      <c r="KZY6"/>
      <c r="KZZ6"/>
      <c r="LAA6"/>
      <c r="LAB6"/>
      <c r="LAC6"/>
      <c r="LAD6"/>
      <c r="LAE6"/>
      <c r="LAF6"/>
      <c r="LAG6"/>
      <c r="LAH6"/>
      <c r="LAI6"/>
      <c r="LAJ6"/>
      <c r="LAK6"/>
      <c r="LAL6"/>
      <c r="LAM6"/>
      <c r="LAN6"/>
      <c r="LAO6"/>
      <c r="LAP6"/>
      <c r="LAQ6"/>
      <c r="LAR6"/>
      <c r="LAS6"/>
      <c r="LAT6"/>
      <c r="LAU6"/>
      <c r="LAV6"/>
      <c r="LAW6"/>
      <c r="LAX6"/>
      <c r="LAY6"/>
      <c r="LAZ6"/>
      <c r="LBA6"/>
      <c r="LBB6"/>
      <c r="LBC6"/>
      <c r="LBD6"/>
      <c r="LBE6"/>
      <c r="LBF6"/>
      <c r="LBG6"/>
      <c r="LBH6"/>
      <c r="LBI6"/>
      <c r="LBJ6"/>
      <c r="LBK6"/>
      <c r="LBL6"/>
      <c r="LBM6"/>
      <c r="LBN6"/>
      <c r="LBO6"/>
      <c r="LBP6"/>
      <c r="LBQ6"/>
      <c r="LBR6"/>
      <c r="LBS6"/>
      <c r="LBT6"/>
      <c r="LBU6"/>
      <c r="LBV6"/>
      <c r="LBW6"/>
      <c r="LBX6"/>
      <c r="LBY6"/>
      <c r="LBZ6"/>
      <c r="LCA6"/>
      <c r="LCB6"/>
      <c r="LCC6"/>
      <c r="LCD6"/>
      <c r="LCE6"/>
      <c r="LCF6"/>
      <c r="LCG6"/>
      <c r="LCH6"/>
      <c r="LCI6"/>
      <c r="LCJ6"/>
      <c r="LCK6"/>
      <c r="LCL6"/>
      <c r="LCM6"/>
      <c r="LCN6"/>
      <c r="LCO6"/>
      <c r="LCP6"/>
      <c r="LCQ6"/>
      <c r="LCR6"/>
      <c r="LCS6"/>
      <c r="LCT6"/>
      <c r="LCU6"/>
      <c r="LCV6"/>
      <c r="LCW6"/>
      <c r="LCX6"/>
      <c r="LCY6"/>
      <c r="LCZ6"/>
      <c r="LDA6"/>
      <c r="LDB6"/>
      <c r="LDC6"/>
      <c r="LDD6"/>
      <c r="LDE6"/>
      <c r="LDF6"/>
      <c r="LDG6"/>
      <c r="LDH6"/>
      <c r="LDI6"/>
      <c r="LDJ6"/>
      <c r="LDK6"/>
      <c r="LDL6"/>
      <c r="LDM6"/>
      <c r="LDN6"/>
      <c r="LDO6"/>
      <c r="LDP6"/>
      <c r="LDQ6"/>
      <c r="LDR6"/>
      <c r="LDS6"/>
      <c r="LDT6"/>
      <c r="LDU6"/>
      <c r="LDV6"/>
      <c r="LDW6"/>
      <c r="LDX6"/>
      <c r="LDY6"/>
      <c r="LDZ6"/>
      <c r="LEA6"/>
      <c r="LEB6"/>
      <c r="LEC6"/>
      <c r="LED6"/>
      <c r="LEE6"/>
      <c r="LEF6"/>
      <c r="LEG6"/>
      <c r="LEH6"/>
      <c r="LEI6"/>
      <c r="LEJ6"/>
      <c r="LEK6"/>
      <c r="LEL6"/>
      <c r="LEM6"/>
      <c r="LEN6"/>
      <c r="LEO6"/>
      <c r="LEP6"/>
      <c r="LEQ6"/>
      <c r="LER6"/>
      <c r="LES6"/>
      <c r="LET6"/>
      <c r="LEU6"/>
      <c r="LEV6"/>
      <c r="LEW6"/>
      <c r="LEX6"/>
      <c r="LEY6"/>
      <c r="LEZ6"/>
      <c r="LFA6"/>
      <c r="LFB6"/>
      <c r="LFC6"/>
      <c r="LFD6"/>
      <c r="LFE6"/>
      <c r="LFF6"/>
      <c r="LFG6"/>
      <c r="LFH6"/>
      <c r="LFI6"/>
      <c r="LFJ6"/>
      <c r="LFK6"/>
      <c r="LFL6"/>
      <c r="LFM6"/>
      <c r="LFN6"/>
      <c r="LFO6"/>
      <c r="LFP6"/>
      <c r="LFQ6"/>
      <c r="LFR6"/>
      <c r="LFS6"/>
      <c r="LFT6"/>
      <c r="LFU6"/>
      <c r="LFV6"/>
      <c r="LFW6"/>
      <c r="LFX6"/>
      <c r="LFY6"/>
      <c r="LFZ6"/>
      <c r="LGA6"/>
      <c r="LGB6"/>
      <c r="LGC6"/>
      <c r="LGD6"/>
      <c r="LGE6"/>
      <c r="LGF6"/>
      <c r="LGG6"/>
      <c r="LGH6"/>
      <c r="LGI6"/>
      <c r="LGJ6"/>
      <c r="LGK6"/>
      <c r="LGL6"/>
      <c r="LGM6"/>
      <c r="LGN6"/>
      <c r="LGO6"/>
      <c r="LGP6"/>
      <c r="LGQ6"/>
      <c r="LGR6"/>
      <c r="LGS6"/>
      <c r="LGT6"/>
      <c r="LGU6"/>
      <c r="LGV6"/>
      <c r="LGW6"/>
      <c r="LGX6"/>
      <c r="LGY6"/>
      <c r="LGZ6"/>
      <c r="LHA6"/>
      <c r="LHB6"/>
      <c r="LHC6"/>
      <c r="LHD6"/>
      <c r="LHE6"/>
      <c r="LHF6"/>
      <c r="LHG6"/>
      <c r="LHH6"/>
      <c r="LHI6"/>
      <c r="LHJ6"/>
      <c r="LHK6"/>
      <c r="LHL6"/>
      <c r="LHM6"/>
      <c r="LHN6"/>
      <c r="LHO6"/>
      <c r="LHP6"/>
      <c r="LHQ6"/>
      <c r="LHR6"/>
      <c r="LHS6"/>
      <c r="LHT6"/>
      <c r="LHU6"/>
      <c r="LHV6"/>
      <c r="LHW6"/>
      <c r="LHX6"/>
      <c r="LHY6"/>
      <c r="LHZ6"/>
      <c r="LIA6"/>
      <c r="LIB6"/>
      <c r="LIC6"/>
      <c r="LID6"/>
      <c r="LIE6"/>
      <c r="LIF6"/>
      <c r="LIG6"/>
      <c r="LIH6"/>
      <c r="LII6"/>
      <c r="LIJ6"/>
      <c r="LIK6"/>
      <c r="LIL6"/>
      <c r="LIM6"/>
      <c r="LIN6"/>
      <c r="LIO6"/>
      <c r="LIP6"/>
      <c r="LIQ6"/>
      <c r="LIR6"/>
      <c r="LIS6"/>
      <c r="LIT6"/>
      <c r="LIU6"/>
      <c r="LIV6"/>
      <c r="LIW6"/>
      <c r="LIX6"/>
      <c r="LIY6"/>
      <c r="LIZ6"/>
      <c r="LJA6"/>
      <c r="LJB6"/>
      <c r="LJC6"/>
      <c r="LJD6"/>
      <c r="LJE6"/>
      <c r="LJF6"/>
      <c r="LJG6"/>
      <c r="LJH6"/>
      <c r="LJI6"/>
      <c r="LJJ6"/>
      <c r="LJK6"/>
      <c r="LJL6"/>
      <c r="LJM6"/>
      <c r="LJN6"/>
      <c r="LJO6"/>
      <c r="LJP6"/>
      <c r="LJQ6"/>
      <c r="LJR6"/>
      <c r="LJS6"/>
      <c r="LJT6"/>
      <c r="LJU6"/>
      <c r="LJV6"/>
      <c r="LJW6"/>
      <c r="LJX6"/>
      <c r="LJY6"/>
      <c r="LJZ6"/>
      <c r="LKA6"/>
      <c r="LKB6"/>
      <c r="LKC6"/>
      <c r="LKD6"/>
      <c r="LKE6"/>
      <c r="LKF6"/>
      <c r="LKG6"/>
      <c r="LKH6"/>
      <c r="LKI6"/>
      <c r="LKJ6"/>
      <c r="LKK6"/>
      <c r="LKL6"/>
      <c r="LKM6"/>
      <c r="LKN6"/>
      <c r="LKO6"/>
      <c r="LKP6"/>
      <c r="LKQ6"/>
      <c r="LKR6"/>
      <c r="LKS6"/>
      <c r="LKT6"/>
      <c r="LKU6"/>
      <c r="LKV6"/>
      <c r="LKW6"/>
      <c r="LKX6"/>
      <c r="LKY6"/>
      <c r="LKZ6"/>
      <c r="LLA6"/>
      <c r="LLB6"/>
      <c r="LLC6"/>
      <c r="LLD6"/>
      <c r="LLE6"/>
      <c r="LLF6"/>
      <c r="LLG6"/>
      <c r="LLH6"/>
      <c r="LLI6"/>
      <c r="LLJ6"/>
      <c r="LLK6"/>
      <c r="LLL6"/>
      <c r="LLM6"/>
      <c r="LLN6"/>
      <c r="LLO6"/>
      <c r="LLP6"/>
      <c r="LLQ6"/>
      <c r="LLR6"/>
      <c r="LLS6"/>
      <c r="LLT6"/>
      <c r="LLU6"/>
      <c r="LLV6"/>
      <c r="LLW6"/>
      <c r="LLX6"/>
      <c r="LLY6"/>
      <c r="LLZ6"/>
      <c r="LMA6"/>
      <c r="LMB6"/>
      <c r="LMC6"/>
      <c r="LMD6"/>
      <c r="LME6"/>
      <c r="LMF6"/>
      <c r="LMG6"/>
      <c r="LMH6"/>
      <c r="LMI6"/>
      <c r="LMJ6"/>
      <c r="LMK6"/>
      <c r="LML6"/>
      <c r="LMM6"/>
      <c r="LMN6"/>
      <c r="LMO6"/>
      <c r="LMP6"/>
      <c r="LMQ6"/>
      <c r="LMR6"/>
      <c r="LMS6"/>
      <c r="LMT6"/>
      <c r="LMU6"/>
      <c r="LMV6"/>
      <c r="LMW6"/>
      <c r="LMX6"/>
      <c r="LMY6"/>
      <c r="LMZ6"/>
      <c r="LNA6"/>
      <c r="LNB6"/>
      <c r="LNC6"/>
      <c r="LND6"/>
      <c r="LNE6"/>
      <c r="LNF6"/>
      <c r="LNG6"/>
      <c r="LNH6"/>
      <c r="LNI6"/>
      <c r="LNJ6"/>
      <c r="LNK6"/>
      <c r="LNL6"/>
      <c r="LNM6"/>
      <c r="LNN6"/>
      <c r="LNO6"/>
      <c r="LNP6"/>
      <c r="LNQ6"/>
      <c r="LNR6"/>
      <c r="LNS6"/>
      <c r="LNT6"/>
      <c r="LNU6"/>
      <c r="LNV6"/>
      <c r="LNW6"/>
      <c r="LNX6"/>
      <c r="LNY6"/>
      <c r="LNZ6"/>
      <c r="LOA6"/>
      <c r="LOB6"/>
      <c r="LOC6"/>
      <c r="LOD6"/>
      <c r="LOE6"/>
      <c r="LOF6"/>
      <c r="LOG6"/>
      <c r="LOH6"/>
      <c r="LOI6"/>
      <c r="LOJ6"/>
      <c r="LOK6"/>
      <c r="LOL6"/>
      <c r="LOM6"/>
      <c r="LON6"/>
      <c r="LOO6"/>
      <c r="LOP6"/>
      <c r="LOQ6"/>
      <c r="LOR6"/>
      <c r="LOS6"/>
      <c r="LOT6"/>
      <c r="LOU6"/>
      <c r="LOV6"/>
      <c r="LOW6"/>
      <c r="LOX6"/>
      <c r="LOY6"/>
      <c r="LOZ6"/>
      <c r="LPA6"/>
      <c r="LPB6"/>
      <c r="LPC6"/>
      <c r="LPD6"/>
      <c r="LPE6"/>
      <c r="LPF6"/>
      <c r="LPG6"/>
      <c r="LPH6"/>
      <c r="LPI6"/>
      <c r="LPJ6"/>
      <c r="LPK6"/>
      <c r="LPL6"/>
      <c r="LPM6"/>
      <c r="LPN6"/>
      <c r="LPO6"/>
      <c r="LPP6"/>
      <c r="LPQ6"/>
      <c r="LPR6"/>
      <c r="LPS6"/>
      <c r="LPT6"/>
      <c r="LPU6"/>
      <c r="LPV6"/>
      <c r="LPW6"/>
      <c r="LPX6"/>
      <c r="LPY6"/>
      <c r="LPZ6"/>
      <c r="LQA6"/>
      <c r="LQB6"/>
      <c r="LQC6"/>
      <c r="LQD6"/>
      <c r="LQE6"/>
      <c r="LQF6"/>
      <c r="LQG6"/>
      <c r="LQH6"/>
      <c r="LQI6"/>
      <c r="LQJ6"/>
      <c r="LQK6"/>
      <c r="LQL6"/>
      <c r="LQM6"/>
      <c r="LQN6"/>
      <c r="LQO6"/>
      <c r="LQP6"/>
      <c r="LQQ6"/>
      <c r="LQR6"/>
      <c r="LQS6"/>
      <c r="LQT6"/>
      <c r="LQU6"/>
      <c r="LQV6"/>
      <c r="LQW6"/>
      <c r="LQX6"/>
      <c r="LQY6"/>
      <c r="LQZ6"/>
      <c r="LRA6"/>
      <c r="LRB6"/>
      <c r="LRC6"/>
      <c r="LRD6"/>
      <c r="LRE6"/>
      <c r="LRF6"/>
      <c r="LRG6"/>
      <c r="LRH6"/>
      <c r="LRI6"/>
      <c r="LRJ6"/>
      <c r="LRK6"/>
      <c r="LRL6"/>
      <c r="LRM6"/>
      <c r="LRN6"/>
      <c r="LRO6"/>
      <c r="LRP6"/>
      <c r="LRQ6"/>
      <c r="LRR6"/>
      <c r="LRS6"/>
      <c r="LRT6"/>
      <c r="LRU6"/>
      <c r="LRV6"/>
      <c r="LRW6"/>
      <c r="LRX6"/>
      <c r="LRY6"/>
      <c r="LRZ6"/>
      <c r="LSA6"/>
      <c r="LSB6"/>
      <c r="LSC6"/>
      <c r="LSD6"/>
      <c r="LSE6"/>
      <c r="LSF6"/>
      <c r="LSG6"/>
      <c r="LSH6"/>
      <c r="LSI6"/>
      <c r="LSJ6"/>
      <c r="LSK6"/>
      <c r="LSL6"/>
      <c r="LSM6"/>
      <c r="LSN6"/>
      <c r="LSO6"/>
      <c r="LSP6"/>
      <c r="LSQ6"/>
      <c r="LSR6"/>
      <c r="LSS6"/>
      <c r="LST6"/>
      <c r="LSU6"/>
      <c r="LSV6"/>
      <c r="LSW6"/>
      <c r="LSX6"/>
      <c r="LSY6"/>
      <c r="LSZ6"/>
      <c r="LTA6"/>
      <c r="LTB6"/>
      <c r="LTC6"/>
      <c r="LTD6"/>
      <c r="LTE6"/>
      <c r="LTF6"/>
      <c r="LTG6"/>
      <c r="LTH6"/>
      <c r="LTI6"/>
      <c r="LTJ6"/>
      <c r="LTK6"/>
      <c r="LTL6"/>
      <c r="LTM6"/>
      <c r="LTN6"/>
      <c r="LTO6"/>
      <c r="LTP6"/>
      <c r="LTQ6"/>
      <c r="LTR6"/>
      <c r="LTS6"/>
      <c r="LTT6"/>
      <c r="LTU6"/>
      <c r="LTV6"/>
      <c r="LTW6"/>
      <c r="LTX6"/>
      <c r="LTY6"/>
      <c r="LTZ6"/>
      <c r="LUA6"/>
      <c r="LUB6"/>
      <c r="LUC6"/>
      <c r="LUD6"/>
      <c r="LUE6"/>
      <c r="LUF6"/>
      <c r="LUG6"/>
      <c r="LUH6"/>
      <c r="LUI6"/>
      <c r="LUJ6"/>
      <c r="LUK6"/>
      <c r="LUL6"/>
      <c r="LUM6"/>
      <c r="LUN6"/>
      <c r="LUO6"/>
      <c r="LUP6"/>
      <c r="LUQ6"/>
      <c r="LUR6"/>
      <c r="LUS6"/>
      <c r="LUT6"/>
      <c r="LUU6"/>
      <c r="LUV6"/>
      <c r="LUW6"/>
      <c r="LUX6"/>
      <c r="LUY6"/>
      <c r="LUZ6"/>
      <c r="LVA6"/>
      <c r="LVB6"/>
      <c r="LVC6"/>
      <c r="LVD6"/>
      <c r="LVE6"/>
      <c r="LVF6"/>
      <c r="LVG6"/>
      <c r="LVH6"/>
      <c r="LVI6"/>
      <c r="LVJ6"/>
      <c r="LVK6"/>
      <c r="LVL6"/>
      <c r="LVM6"/>
      <c r="LVN6"/>
      <c r="LVO6"/>
      <c r="LVP6"/>
      <c r="LVQ6"/>
      <c r="LVR6"/>
      <c r="LVS6"/>
      <c r="LVT6"/>
      <c r="LVU6"/>
      <c r="LVV6"/>
      <c r="LVW6"/>
      <c r="LVX6"/>
      <c r="LVY6"/>
      <c r="LVZ6"/>
      <c r="LWA6"/>
      <c r="LWB6"/>
      <c r="LWC6"/>
      <c r="LWD6"/>
      <c r="LWE6"/>
      <c r="LWF6"/>
      <c r="LWG6"/>
      <c r="LWH6"/>
      <c r="LWI6"/>
      <c r="LWJ6"/>
      <c r="LWK6"/>
      <c r="LWL6"/>
      <c r="LWM6"/>
      <c r="LWN6"/>
      <c r="LWO6"/>
      <c r="LWP6"/>
      <c r="LWQ6"/>
      <c r="LWR6"/>
      <c r="LWS6"/>
      <c r="LWT6"/>
      <c r="LWU6"/>
      <c r="LWV6"/>
      <c r="LWW6"/>
      <c r="LWX6"/>
      <c r="LWY6"/>
      <c r="LWZ6"/>
      <c r="LXA6"/>
      <c r="LXB6"/>
      <c r="LXC6"/>
      <c r="LXD6"/>
      <c r="LXE6"/>
      <c r="LXF6"/>
      <c r="LXG6"/>
      <c r="LXH6"/>
      <c r="LXI6"/>
      <c r="LXJ6"/>
      <c r="LXK6"/>
      <c r="LXL6"/>
      <c r="LXM6"/>
      <c r="LXN6"/>
      <c r="LXO6"/>
      <c r="LXP6"/>
      <c r="LXQ6"/>
      <c r="LXR6"/>
      <c r="LXS6"/>
      <c r="LXT6"/>
      <c r="LXU6"/>
      <c r="LXV6"/>
      <c r="LXW6"/>
      <c r="LXX6"/>
      <c r="LXY6"/>
      <c r="LXZ6"/>
      <c r="LYA6"/>
      <c r="LYB6"/>
      <c r="LYC6"/>
      <c r="LYD6"/>
      <c r="LYE6"/>
      <c r="LYF6"/>
      <c r="LYG6"/>
      <c r="LYH6"/>
      <c r="LYI6"/>
      <c r="LYJ6"/>
      <c r="LYK6"/>
      <c r="LYL6"/>
      <c r="LYM6"/>
      <c r="LYN6"/>
      <c r="LYO6"/>
      <c r="LYP6"/>
      <c r="LYQ6"/>
      <c r="LYR6"/>
      <c r="LYS6"/>
      <c r="LYT6"/>
      <c r="LYU6"/>
      <c r="LYV6"/>
      <c r="LYW6"/>
      <c r="LYX6"/>
      <c r="LYY6"/>
      <c r="LYZ6"/>
      <c r="LZA6"/>
      <c r="LZB6"/>
      <c r="LZC6"/>
      <c r="LZD6"/>
      <c r="LZE6"/>
      <c r="LZF6"/>
      <c r="LZG6"/>
      <c r="LZH6"/>
      <c r="LZI6"/>
      <c r="LZJ6"/>
      <c r="LZK6"/>
      <c r="LZL6"/>
      <c r="LZM6"/>
      <c r="LZN6"/>
      <c r="LZO6"/>
      <c r="LZP6"/>
      <c r="LZQ6"/>
      <c r="LZR6"/>
      <c r="LZS6"/>
      <c r="LZT6"/>
      <c r="LZU6"/>
      <c r="LZV6"/>
      <c r="LZW6"/>
      <c r="LZX6"/>
      <c r="LZY6"/>
      <c r="LZZ6"/>
      <c r="MAA6"/>
      <c r="MAB6"/>
      <c r="MAC6"/>
      <c r="MAD6"/>
      <c r="MAE6"/>
      <c r="MAF6"/>
      <c r="MAG6"/>
      <c r="MAH6"/>
      <c r="MAI6"/>
      <c r="MAJ6"/>
      <c r="MAK6"/>
      <c r="MAL6"/>
      <c r="MAM6"/>
      <c r="MAN6"/>
      <c r="MAO6"/>
      <c r="MAP6"/>
      <c r="MAQ6"/>
      <c r="MAR6"/>
      <c r="MAS6"/>
      <c r="MAT6"/>
      <c r="MAU6"/>
      <c r="MAV6"/>
      <c r="MAW6"/>
      <c r="MAX6"/>
      <c r="MAY6"/>
      <c r="MAZ6"/>
      <c r="MBA6"/>
      <c r="MBB6"/>
      <c r="MBC6"/>
      <c r="MBD6"/>
      <c r="MBE6"/>
      <c r="MBF6"/>
      <c r="MBG6"/>
      <c r="MBH6"/>
      <c r="MBI6"/>
      <c r="MBJ6"/>
      <c r="MBK6"/>
      <c r="MBL6"/>
      <c r="MBM6"/>
      <c r="MBN6"/>
      <c r="MBO6"/>
      <c r="MBP6"/>
      <c r="MBQ6"/>
      <c r="MBR6"/>
      <c r="MBS6"/>
      <c r="MBT6"/>
      <c r="MBU6"/>
      <c r="MBV6"/>
      <c r="MBW6"/>
      <c r="MBX6"/>
      <c r="MBY6"/>
      <c r="MBZ6"/>
      <c r="MCA6"/>
      <c r="MCB6"/>
      <c r="MCC6"/>
      <c r="MCD6"/>
      <c r="MCE6"/>
      <c r="MCF6"/>
      <c r="MCG6"/>
      <c r="MCH6"/>
      <c r="MCI6"/>
      <c r="MCJ6"/>
      <c r="MCK6"/>
      <c r="MCL6"/>
      <c r="MCM6"/>
      <c r="MCN6"/>
      <c r="MCO6"/>
      <c r="MCP6"/>
      <c r="MCQ6"/>
      <c r="MCR6"/>
      <c r="MCS6"/>
      <c r="MCT6"/>
      <c r="MCU6"/>
      <c r="MCV6"/>
      <c r="MCW6"/>
      <c r="MCX6"/>
      <c r="MCY6"/>
      <c r="MCZ6"/>
      <c r="MDA6"/>
      <c r="MDB6"/>
      <c r="MDC6"/>
      <c r="MDD6"/>
      <c r="MDE6"/>
      <c r="MDF6"/>
      <c r="MDG6"/>
      <c r="MDH6"/>
      <c r="MDI6"/>
      <c r="MDJ6"/>
      <c r="MDK6"/>
      <c r="MDL6"/>
      <c r="MDM6"/>
      <c r="MDN6"/>
      <c r="MDO6"/>
      <c r="MDP6"/>
      <c r="MDQ6"/>
      <c r="MDR6"/>
      <c r="MDS6"/>
      <c r="MDT6"/>
      <c r="MDU6"/>
      <c r="MDV6"/>
      <c r="MDW6"/>
      <c r="MDX6"/>
      <c r="MDY6"/>
      <c r="MDZ6"/>
      <c r="MEA6"/>
      <c r="MEB6"/>
      <c r="MEC6"/>
      <c r="MED6"/>
      <c r="MEE6"/>
      <c r="MEF6"/>
      <c r="MEG6"/>
      <c r="MEH6"/>
      <c r="MEI6"/>
      <c r="MEJ6"/>
      <c r="MEK6"/>
      <c r="MEL6"/>
      <c r="MEM6"/>
      <c r="MEN6"/>
      <c r="MEO6"/>
      <c r="MEP6"/>
      <c r="MEQ6"/>
      <c r="MER6"/>
      <c r="MES6"/>
      <c r="MET6"/>
      <c r="MEU6"/>
      <c r="MEV6"/>
      <c r="MEW6"/>
      <c r="MEX6"/>
      <c r="MEY6"/>
      <c r="MEZ6"/>
      <c r="MFA6"/>
      <c r="MFB6"/>
      <c r="MFC6"/>
      <c r="MFD6"/>
      <c r="MFE6"/>
      <c r="MFF6"/>
      <c r="MFG6"/>
      <c r="MFH6"/>
      <c r="MFI6"/>
      <c r="MFJ6"/>
      <c r="MFK6"/>
      <c r="MFL6"/>
      <c r="MFM6"/>
      <c r="MFN6"/>
      <c r="MFO6"/>
      <c r="MFP6"/>
      <c r="MFQ6"/>
      <c r="MFR6"/>
      <c r="MFS6"/>
      <c r="MFT6"/>
      <c r="MFU6"/>
      <c r="MFV6"/>
      <c r="MFW6"/>
      <c r="MFX6"/>
      <c r="MFY6"/>
      <c r="MFZ6"/>
      <c r="MGA6"/>
      <c r="MGB6"/>
      <c r="MGC6"/>
      <c r="MGD6"/>
      <c r="MGE6"/>
      <c r="MGF6"/>
      <c r="MGG6"/>
      <c r="MGH6"/>
      <c r="MGI6"/>
      <c r="MGJ6"/>
      <c r="MGK6"/>
      <c r="MGL6"/>
      <c r="MGM6"/>
      <c r="MGN6"/>
      <c r="MGO6"/>
      <c r="MGP6"/>
      <c r="MGQ6"/>
      <c r="MGR6"/>
      <c r="MGS6"/>
      <c r="MGT6"/>
      <c r="MGU6"/>
      <c r="MGV6"/>
      <c r="MGW6"/>
      <c r="MGX6"/>
      <c r="MGY6"/>
      <c r="MGZ6"/>
      <c r="MHA6"/>
      <c r="MHB6"/>
      <c r="MHC6"/>
      <c r="MHD6"/>
      <c r="MHE6"/>
      <c r="MHF6"/>
      <c r="MHG6"/>
      <c r="MHH6"/>
      <c r="MHI6"/>
      <c r="MHJ6"/>
      <c r="MHK6"/>
      <c r="MHL6"/>
      <c r="MHM6"/>
      <c r="MHN6"/>
      <c r="MHO6"/>
      <c r="MHP6"/>
      <c r="MHQ6"/>
      <c r="MHR6"/>
      <c r="MHS6"/>
      <c r="MHT6"/>
      <c r="MHU6"/>
      <c r="MHV6"/>
      <c r="MHW6"/>
      <c r="MHX6"/>
      <c r="MHY6"/>
      <c r="MHZ6"/>
      <c r="MIA6"/>
      <c r="MIB6"/>
      <c r="MIC6"/>
      <c r="MID6"/>
      <c r="MIE6"/>
      <c r="MIF6"/>
      <c r="MIG6"/>
      <c r="MIH6"/>
      <c r="MII6"/>
      <c r="MIJ6"/>
      <c r="MIK6"/>
      <c r="MIL6"/>
      <c r="MIM6"/>
      <c r="MIN6"/>
      <c r="MIO6"/>
      <c r="MIP6"/>
      <c r="MIQ6"/>
      <c r="MIR6"/>
      <c r="MIS6"/>
      <c r="MIT6"/>
      <c r="MIU6"/>
      <c r="MIV6"/>
      <c r="MIW6"/>
      <c r="MIX6"/>
      <c r="MIY6"/>
      <c r="MIZ6"/>
      <c r="MJA6"/>
      <c r="MJB6"/>
      <c r="MJC6"/>
      <c r="MJD6"/>
      <c r="MJE6"/>
      <c r="MJF6"/>
      <c r="MJG6"/>
      <c r="MJH6"/>
      <c r="MJI6"/>
      <c r="MJJ6"/>
      <c r="MJK6"/>
      <c r="MJL6"/>
      <c r="MJM6"/>
      <c r="MJN6"/>
      <c r="MJO6"/>
      <c r="MJP6"/>
      <c r="MJQ6"/>
      <c r="MJR6"/>
      <c r="MJS6"/>
      <c r="MJT6"/>
      <c r="MJU6"/>
      <c r="MJV6"/>
      <c r="MJW6"/>
      <c r="MJX6"/>
      <c r="MJY6"/>
      <c r="MJZ6"/>
      <c r="MKA6"/>
      <c r="MKB6"/>
      <c r="MKC6"/>
      <c r="MKD6"/>
      <c r="MKE6"/>
      <c r="MKF6"/>
      <c r="MKG6"/>
      <c r="MKH6"/>
      <c r="MKI6"/>
      <c r="MKJ6"/>
      <c r="MKK6"/>
      <c r="MKL6"/>
      <c r="MKM6"/>
      <c r="MKN6"/>
      <c r="MKO6"/>
      <c r="MKP6"/>
      <c r="MKQ6"/>
      <c r="MKR6"/>
      <c r="MKS6"/>
      <c r="MKT6"/>
      <c r="MKU6"/>
      <c r="MKV6"/>
      <c r="MKW6"/>
      <c r="MKX6"/>
      <c r="MKY6"/>
      <c r="MKZ6"/>
      <c r="MLA6"/>
      <c r="MLB6"/>
      <c r="MLC6"/>
      <c r="MLD6"/>
      <c r="MLE6"/>
      <c r="MLF6"/>
      <c r="MLG6"/>
      <c r="MLH6"/>
      <c r="MLI6"/>
      <c r="MLJ6"/>
      <c r="MLK6"/>
      <c r="MLL6"/>
      <c r="MLM6"/>
      <c r="MLN6"/>
      <c r="MLO6"/>
      <c r="MLP6"/>
      <c r="MLQ6"/>
      <c r="MLR6"/>
      <c r="MLS6"/>
      <c r="MLT6"/>
      <c r="MLU6"/>
      <c r="MLV6"/>
      <c r="MLW6"/>
      <c r="MLX6"/>
      <c r="MLY6"/>
      <c r="MLZ6"/>
      <c r="MMA6"/>
      <c r="MMB6"/>
      <c r="MMC6"/>
      <c r="MMD6"/>
      <c r="MME6"/>
      <c r="MMF6"/>
      <c r="MMG6"/>
      <c r="MMH6"/>
      <c r="MMI6"/>
      <c r="MMJ6"/>
      <c r="MMK6"/>
      <c r="MML6"/>
      <c r="MMM6"/>
      <c r="MMN6"/>
      <c r="MMO6"/>
      <c r="MMP6"/>
      <c r="MMQ6"/>
      <c r="MMR6"/>
      <c r="MMS6"/>
      <c r="MMT6"/>
      <c r="MMU6"/>
      <c r="MMV6"/>
      <c r="MMW6"/>
      <c r="MMX6"/>
      <c r="MMY6"/>
      <c r="MMZ6"/>
      <c r="MNA6"/>
      <c r="MNB6"/>
      <c r="MNC6"/>
      <c r="MND6"/>
      <c r="MNE6"/>
      <c r="MNF6"/>
      <c r="MNG6"/>
      <c r="MNH6"/>
      <c r="MNI6"/>
      <c r="MNJ6"/>
      <c r="MNK6"/>
      <c r="MNL6"/>
      <c r="MNM6"/>
      <c r="MNN6"/>
      <c r="MNO6"/>
      <c r="MNP6"/>
      <c r="MNQ6"/>
      <c r="MNR6"/>
      <c r="MNS6"/>
      <c r="MNT6"/>
      <c r="MNU6"/>
      <c r="MNV6"/>
      <c r="MNW6"/>
      <c r="MNX6"/>
      <c r="MNY6"/>
      <c r="MNZ6"/>
      <c r="MOA6"/>
      <c r="MOB6"/>
      <c r="MOC6"/>
      <c r="MOD6"/>
      <c r="MOE6"/>
      <c r="MOF6"/>
      <c r="MOG6"/>
      <c r="MOH6"/>
      <c r="MOI6"/>
      <c r="MOJ6"/>
      <c r="MOK6"/>
      <c r="MOL6"/>
      <c r="MOM6"/>
      <c r="MON6"/>
      <c r="MOO6"/>
      <c r="MOP6"/>
      <c r="MOQ6"/>
      <c r="MOR6"/>
      <c r="MOS6"/>
      <c r="MOT6"/>
      <c r="MOU6"/>
      <c r="MOV6"/>
      <c r="MOW6"/>
      <c r="MOX6"/>
      <c r="MOY6"/>
      <c r="MOZ6"/>
      <c r="MPA6"/>
      <c r="MPB6"/>
      <c r="MPC6"/>
      <c r="MPD6"/>
      <c r="MPE6"/>
      <c r="MPF6"/>
      <c r="MPG6"/>
      <c r="MPH6"/>
      <c r="MPI6"/>
      <c r="MPJ6"/>
      <c r="MPK6"/>
      <c r="MPL6"/>
      <c r="MPM6"/>
      <c r="MPN6"/>
      <c r="MPO6"/>
      <c r="MPP6"/>
      <c r="MPQ6"/>
      <c r="MPR6"/>
      <c r="MPS6"/>
      <c r="MPT6"/>
      <c r="MPU6"/>
      <c r="MPV6"/>
      <c r="MPW6"/>
      <c r="MPX6"/>
      <c r="MPY6"/>
      <c r="MPZ6"/>
      <c r="MQA6"/>
      <c r="MQB6"/>
      <c r="MQC6"/>
      <c r="MQD6"/>
      <c r="MQE6"/>
      <c r="MQF6"/>
      <c r="MQG6"/>
      <c r="MQH6"/>
      <c r="MQI6"/>
      <c r="MQJ6"/>
      <c r="MQK6"/>
      <c r="MQL6"/>
      <c r="MQM6"/>
      <c r="MQN6"/>
      <c r="MQO6"/>
      <c r="MQP6"/>
      <c r="MQQ6"/>
      <c r="MQR6"/>
      <c r="MQS6"/>
      <c r="MQT6"/>
      <c r="MQU6"/>
      <c r="MQV6"/>
      <c r="MQW6"/>
      <c r="MQX6"/>
      <c r="MQY6"/>
      <c r="MQZ6"/>
      <c r="MRA6"/>
      <c r="MRB6"/>
      <c r="MRC6"/>
      <c r="MRD6"/>
      <c r="MRE6"/>
      <c r="MRF6"/>
      <c r="MRG6"/>
      <c r="MRH6"/>
      <c r="MRI6"/>
      <c r="MRJ6"/>
      <c r="MRK6"/>
      <c r="MRL6"/>
      <c r="MRM6"/>
      <c r="MRN6"/>
      <c r="MRO6"/>
      <c r="MRP6"/>
      <c r="MRQ6"/>
      <c r="MRR6"/>
      <c r="MRS6"/>
      <c r="MRT6"/>
      <c r="MRU6"/>
      <c r="MRV6"/>
      <c r="MRW6"/>
      <c r="MRX6"/>
      <c r="MRY6"/>
      <c r="MRZ6"/>
      <c r="MSA6"/>
      <c r="MSB6"/>
      <c r="MSC6"/>
      <c r="MSD6"/>
      <c r="MSE6"/>
      <c r="MSF6"/>
      <c r="MSG6"/>
      <c r="MSH6"/>
      <c r="MSI6"/>
      <c r="MSJ6"/>
      <c r="MSK6"/>
      <c r="MSL6"/>
      <c r="MSM6"/>
      <c r="MSN6"/>
      <c r="MSO6"/>
      <c r="MSP6"/>
      <c r="MSQ6"/>
      <c r="MSR6"/>
      <c r="MSS6"/>
      <c r="MST6"/>
      <c r="MSU6"/>
      <c r="MSV6"/>
      <c r="MSW6"/>
      <c r="MSX6"/>
      <c r="MSY6"/>
      <c r="MSZ6"/>
      <c r="MTA6"/>
      <c r="MTB6"/>
      <c r="MTC6"/>
      <c r="MTD6"/>
      <c r="MTE6"/>
      <c r="MTF6"/>
      <c r="MTG6"/>
      <c r="MTH6"/>
      <c r="MTI6"/>
      <c r="MTJ6"/>
      <c r="MTK6"/>
      <c r="MTL6"/>
      <c r="MTM6"/>
      <c r="MTN6"/>
      <c r="MTO6"/>
      <c r="MTP6"/>
      <c r="MTQ6"/>
      <c r="MTR6"/>
      <c r="MTS6"/>
      <c r="MTT6"/>
      <c r="MTU6"/>
      <c r="MTV6"/>
      <c r="MTW6"/>
      <c r="MTX6"/>
      <c r="MTY6"/>
      <c r="MTZ6"/>
      <c r="MUA6"/>
      <c r="MUB6"/>
      <c r="MUC6"/>
      <c r="MUD6"/>
      <c r="MUE6"/>
      <c r="MUF6"/>
      <c r="MUG6"/>
      <c r="MUH6"/>
      <c r="MUI6"/>
      <c r="MUJ6"/>
      <c r="MUK6"/>
      <c r="MUL6"/>
      <c r="MUM6"/>
      <c r="MUN6"/>
      <c r="MUO6"/>
      <c r="MUP6"/>
      <c r="MUQ6"/>
      <c r="MUR6"/>
      <c r="MUS6"/>
      <c r="MUT6"/>
      <c r="MUU6"/>
      <c r="MUV6"/>
      <c r="MUW6"/>
      <c r="MUX6"/>
      <c r="MUY6"/>
      <c r="MUZ6"/>
      <c r="MVA6"/>
      <c r="MVB6"/>
      <c r="MVC6"/>
      <c r="MVD6"/>
      <c r="MVE6"/>
      <c r="MVF6"/>
      <c r="MVG6"/>
      <c r="MVH6"/>
      <c r="MVI6"/>
      <c r="MVJ6"/>
      <c r="MVK6"/>
      <c r="MVL6"/>
      <c r="MVM6"/>
      <c r="MVN6"/>
      <c r="MVO6"/>
      <c r="MVP6"/>
      <c r="MVQ6"/>
      <c r="MVR6"/>
      <c r="MVS6"/>
      <c r="MVT6"/>
      <c r="MVU6"/>
      <c r="MVV6"/>
      <c r="MVW6"/>
      <c r="MVX6"/>
      <c r="MVY6"/>
      <c r="MVZ6"/>
      <c r="MWA6"/>
      <c r="MWB6"/>
      <c r="MWC6"/>
      <c r="MWD6"/>
      <c r="MWE6"/>
      <c r="MWF6"/>
      <c r="MWG6"/>
      <c r="MWH6"/>
      <c r="MWI6"/>
      <c r="MWJ6"/>
      <c r="MWK6"/>
      <c r="MWL6"/>
      <c r="MWM6"/>
      <c r="MWN6"/>
      <c r="MWO6"/>
      <c r="MWP6"/>
      <c r="MWQ6"/>
      <c r="MWR6"/>
      <c r="MWS6"/>
      <c r="MWT6"/>
      <c r="MWU6"/>
      <c r="MWV6"/>
      <c r="MWW6"/>
      <c r="MWX6"/>
      <c r="MWY6"/>
      <c r="MWZ6"/>
      <c r="MXA6"/>
      <c r="MXB6"/>
      <c r="MXC6"/>
      <c r="MXD6"/>
      <c r="MXE6"/>
      <c r="MXF6"/>
      <c r="MXG6"/>
      <c r="MXH6"/>
      <c r="MXI6"/>
      <c r="MXJ6"/>
      <c r="MXK6"/>
      <c r="MXL6"/>
      <c r="MXM6"/>
      <c r="MXN6"/>
      <c r="MXO6"/>
      <c r="MXP6"/>
      <c r="MXQ6"/>
      <c r="MXR6"/>
      <c r="MXS6"/>
      <c r="MXT6"/>
      <c r="MXU6"/>
      <c r="MXV6"/>
      <c r="MXW6"/>
      <c r="MXX6"/>
      <c r="MXY6"/>
      <c r="MXZ6"/>
      <c r="MYA6"/>
      <c r="MYB6"/>
      <c r="MYC6"/>
      <c r="MYD6"/>
      <c r="MYE6"/>
      <c r="MYF6"/>
      <c r="MYG6"/>
      <c r="MYH6"/>
      <c r="MYI6"/>
      <c r="MYJ6"/>
      <c r="MYK6"/>
      <c r="MYL6"/>
      <c r="MYM6"/>
      <c r="MYN6"/>
      <c r="MYO6"/>
      <c r="MYP6"/>
      <c r="MYQ6"/>
      <c r="MYR6"/>
      <c r="MYS6"/>
      <c r="MYT6"/>
      <c r="MYU6"/>
      <c r="MYV6"/>
      <c r="MYW6"/>
      <c r="MYX6"/>
      <c r="MYY6"/>
      <c r="MYZ6"/>
      <c r="MZA6"/>
      <c r="MZB6"/>
      <c r="MZC6"/>
      <c r="MZD6"/>
      <c r="MZE6"/>
      <c r="MZF6"/>
      <c r="MZG6"/>
      <c r="MZH6"/>
      <c r="MZI6"/>
      <c r="MZJ6"/>
      <c r="MZK6"/>
      <c r="MZL6"/>
      <c r="MZM6"/>
      <c r="MZN6"/>
      <c r="MZO6"/>
      <c r="MZP6"/>
      <c r="MZQ6"/>
      <c r="MZR6"/>
      <c r="MZS6"/>
      <c r="MZT6"/>
      <c r="MZU6"/>
      <c r="MZV6"/>
      <c r="MZW6"/>
      <c r="MZX6"/>
      <c r="MZY6"/>
      <c r="MZZ6"/>
      <c r="NAA6"/>
      <c r="NAB6"/>
      <c r="NAC6"/>
      <c r="NAD6"/>
      <c r="NAE6"/>
      <c r="NAF6"/>
      <c r="NAG6"/>
      <c r="NAH6"/>
      <c r="NAI6"/>
      <c r="NAJ6"/>
      <c r="NAK6"/>
      <c r="NAL6"/>
      <c r="NAM6"/>
      <c r="NAN6"/>
      <c r="NAO6"/>
      <c r="NAP6"/>
      <c r="NAQ6"/>
      <c r="NAR6"/>
      <c r="NAS6"/>
      <c r="NAT6"/>
      <c r="NAU6"/>
      <c r="NAV6"/>
      <c r="NAW6"/>
      <c r="NAX6"/>
      <c r="NAY6"/>
      <c r="NAZ6"/>
      <c r="NBA6"/>
      <c r="NBB6"/>
      <c r="NBC6"/>
      <c r="NBD6"/>
      <c r="NBE6"/>
      <c r="NBF6"/>
      <c r="NBG6"/>
      <c r="NBH6"/>
      <c r="NBI6"/>
      <c r="NBJ6"/>
      <c r="NBK6"/>
      <c r="NBL6"/>
      <c r="NBM6"/>
      <c r="NBN6"/>
      <c r="NBO6"/>
      <c r="NBP6"/>
      <c r="NBQ6"/>
      <c r="NBR6"/>
      <c r="NBS6"/>
      <c r="NBT6"/>
      <c r="NBU6"/>
      <c r="NBV6"/>
      <c r="NBW6"/>
      <c r="NBX6"/>
      <c r="NBY6"/>
      <c r="NBZ6"/>
      <c r="NCA6"/>
      <c r="NCB6"/>
      <c r="NCC6"/>
      <c r="NCD6"/>
      <c r="NCE6"/>
      <c r="NCF6"/>
      <c r="NCG6"/>
      <c r="NCH6"/>
      <c r="NCI6"/>
      <c r="NCJ6"/>
      <c r="NCK6"/>
      <c r="NCL6"/>
      <c r="NCM6"/>
      <c r="NCN6"/>
      <c r="NCO6"/>
      <c r="NCP6"/>
      <c r="NCQ6"/>
      <c r="NCR6"/>
      <c r="NCS6"/>
      <c r="NCT6"/>
      <c r="NCU6"/>
      <c r="NCV6"/>
      <c r="NCW6"/>
      <c r="NCX6"/>
      <c r="NCY6"/>
      <c r="NCZ6"/>
      <c r="NDA6"/>
      <c r="NDB6"/>
      <c r="NDC6"/>
      <c r="NDD6"/>
      <c r="NDE6"/>
      <c r="NDF6"/>
      <c r="NDG6"/>
      <c r="NDH6"/>
      <c r="NDI6"/>
      <c r="NDJ6"/>
      <c r="NDK6"/>
      <c r="NDL6"/>
      <c r="NDM6"/>
      <c r="NDN6"/>
      <c r="NDO6"/>
      <c r="NDP6"/>
      <c r="NDQ6"/>
      <c r="NDR6"/>
      <c r="NDS6"/>
      <c r="NDT6"/>
      <c r="NDU6"/>
      <c r="NDV6"/>
      <c r="NDW6"/>
      <c r="NDX6"/>
      <c r="NDY6"/>
      <c r="NDZ6"/>
      <c r="NEA6"/>
      <c r="NEB6"/>
      <c r="NEC6"/>
      <c r="NED6"/>
      <c r="NEE6"/>
      <c r="NEF6"/>
      <c r="NEG6"/>
      <c r="NEH6"/>
      <c r="NEI6"/>
      <c r="NEJ6"/>
      <c r="NEK6"/>
      <c r="NEL6"/>
      <c r="NEM6"/>
      <c r="NEN6"/>
      <c r="NEO6"/>
      <c r="NEP6"/>
      <c r="NEQ6"/>
      <c r="NER6"/>
      <c r="NES6"/>
      <c r="NET6"/>
      <c r="NEU6"/>
      <c r="NEV6"/>
      <c r="NEW6"/>
      <c r="NEX6"/>
      <c r="NEY6"/>
      <c r="NEZ6"/>
      <c r="NFA6"/>
      <c r="NFB6"/>
      <c r="NFC6"/>
      <c r="NFD6"/>
      <c r="NFE6"/>
      <c r="NFF6"/>
      <c r="NFG6"/>
      <c r="NFH6"/>
      <c r="NFI6"/>
      <c r="NFJ6"/>
      <c r="NFK6"/>
      <c r="NFL6"/>
      <c r="NFM6"/>
      <c r="NFN6"/>
      <c r="NFO6"/>
      <c r="NFP6"/>
      <c r="NFQ6"/>
      <c r="NFR6"/>
      <c r="NFS6"/>
      <c r="NFT6"/>
      <c r="NFU6"/>
      <c r="NFV6"/>
      <c r="NFW6"/>
      <c r="NFX6"/>
      <c r="NFY6"/>
      <c r="NFZ6"/>
      <c r="NGA6"/>
      <c r="NGB6"/>
      <c r="NGC6"/>
      <c r="NGD6"/>
      <c r="NGE6"/>
      <c r="NGF6"/>
      <c r="NGG6"/>
      <c r="NGH6"/>
      <c r="NGI6"/>
      <c r="NGJ6"/>
      <c r="NGK6"/>
      <c r="NGL6"/>
      <c r="NGM6"/>
      <c r="NGN6"/>
      <c r="NGO6"/>
      <c r="NGP6"/>
      <c r="NGQ6"/>
      <c r="NGR6"/>
      <c r="NGS6"/>
      <c r="NGT6"/>
      <c r="NGU6"/>
      <c r="NGV6"/>
      <c r="NGW6"/>
      <c r="NGX6"/>
      <c r="NGY6"/>
      <c r="NGZ6"/>
      <c r="NHA6"/>
      <c r="NHB6"/>
      <c r="NHC6"/>
      <c r="NHD6"/>
      <c r="NHE6"/>
      <c r="NHF6"/>
      <c r="NHG6"/>
      <c r="NHH6"/>
      <c r="NHI6"/>
      <c r="NHJ6"/>
      <c r="NHK6"/>
      <c r="NHL6"/>
      <c r="NHM6"/>
      <c r="NHN6"/>
      <c r="NHO6"/>
      <c r="NHP6"/>
      <c r="NHQ6"/>
      <c r="NHR6"/>
      <c r="NHS6"/>
      <c r="NHT6"/>
      <c r="NHU6"/>
      <c r="NHV6"/>
      <c r="NHW6"/>
      <c r="NHX6"/>
      <c r="NHY6"/>
      <c r="NHZ6"/>
      <c r="NIA6"/>
      <c r="NIB6"/>
      <c r="NIC6"/>
      <c r="NID6"/>
      <c r="NIE6"/>
      <c r="NIF6"/>
      <c r="NIG6"/>
      <c r="NIH6"/>
      <c r="NII6"/>
      <c r="NIJ6"/>
      <c r="NIK6"/>
      <c r="NIL6"/>
      <c r="NIM6"/>
      <c r="NIN6"/>
      <c r="NIO6"/>
      <c r="NIP6"/>
      <c r="NIQ6"/>
      <c r="NIR6"/>
      <c r="NIS6"/>
      <c r="NIT6"/>
      <c r="NIU6"/>
      <c r="NIV6"/>
      <c r="NIW6"/>
      <c r="NIX6"/>
      <c r="NIY6"/>
      <c r="NIZ6"/>
      <c r="NJA6"/>
      <c r="NJB6"/>
      <c r="NJC6"/>
      <c r="NJD6"/>
      <c r="NJE6"/>
      <c r="NJF6"/>
      <c r="NJG6"/>
      <c r="NJH6"/>
      <c r="NJI6"/>
      <c r="NJJ6"/>
      <c r="NJK6"/>
      <c r="NJL6"/>
      <c r="NJM6"/>
      <c r="NJN6"/>
      <c r="NJO6"/>
      <c r="NJP6"/>
      <c r="NJQ6"/>
      <c r="NJR6"/>
      <c r="NJS6"/>
      <c r="NJT6"/>
      <c r="NJU6"/>
      <c r="NJV6"/>
      <c r="NJW6"/>
      <c r="NJX6"/>
      <c r="NJY6"/>
      <c r="NJZ6"/>
      <c r="NKA6"/>
      <c r="NKB6"/>
      <c r="NKC6"/>
      <c r="NKD6"/>
      <c r="NKE6"/>
      <c r="NKF6"/>
      <c r="NKG6"/>
      <c r="NKH6"/>
      <c r="NKI6"/>
      <c r="NKJ6"/>
      <c r="NKK6"/>
      <c r="NKL6"/>
      <c r="NKM6"/>
      <c r="NKN6"/>
      <c r="NKO6"/>
      <c r="NKP6"/>
      <c r="NKQ6"/>
      <c r="NKR6"/>
      <c r="NKS6"/>
      <c r="NKT6"/>
      <c r="NKU6"/>
      <c r="NKV6"/>
      <c r="NKW6"/>
      <c r="NKX6"/>
      <c r="NKY6"/>
      <c r="NKZ6"/>
      <c r="NLA6"/>
      <c r="NLB6"/>
      <c r="NLC6"/>
      <c r="NLD6"/>
      <c r="NLE6"/>
      <c r="NLF6"/>
      <c r="NLG6"/>
      <c r="NLH6"/>
      <c r="NLI6"/>
      <c r="NLJ6"/>
      <c r="NLK6"/>
      <c r="NLL6"/>
      <c r="NLM6"/>
      <c r="NLN6"/>
      <c r="NLO6"/>
      <c r="NLP6"/>
      <c r="NLQ6"/>
      <c r="NLR6"/>
      <c r="NLS6"/>
      <c r="NLT6"/>
      <c r="NLU6"/>
      <c r="NLV6"/>
      <c r="NLW6"/>
      <c r="NLX6"/>
      <c r="NLY6"/>
      <c r="NLZ6"/>
      <c r="NMA6"/>
      <c r="NMB6"/>
      <c r="NMC6"/>
      <c r="NMD6"/>
      <c r="NME6"/>
      <c r="NMF6"/>
      <c r="NMG6"/>
      <c r="NMH6"/>
      <c r="NMI6"/>
      <c r="NMJ6"/>
      <c r="NMK6"/>
      <c r="NML6"/>
      <c r="NMM6"/>
      <c r="NMN6"/>
      <c r="NMO6"/>
      <c r="NMP6"/>
      <c r="NMQ6"/>
      <c r="NMR6"/>
      <c r="NMS6"/>
      <c r="NMT6"/>
      <c r="NMU6"/>
      <c r="NMV6"/>
      <c r="NMW6"/>
      <c r="NMX6"/>
      <c r="NMY6"/>
      <c r="NMZ6"/>
      <c r="NNA6"/>
      <c r="NNB6"/>
      <c r="NNC6"/>
      <c r="NND6"/>
      <c r="NNE6"/>
      <c r="NNF6"/>
      <c r="NNG6"/>
      <c r="NNH6"/>
      <c r="NNI6"/>
      <c r="NNJ6"/>
      <c r="NNK6"/>
      <c r="NNL6"/>
      <c r="NNM6"/>
      <c r="NNN6"/>
      <c r="NNO6"/>
      <c r="NNP6"/>
      <c r="NNQ6"/>
      <c r="NNR6"/>
      <c r="NNS6"/>
      <c r="NNT6"/>
      <c r="NNU6"/>
      <c r="NNV6"/>
      <c r="NNW6"/>
      <c r="NNX6"/>
      <c r="NNY6"/>
      <c r="NNZ6"/>
      <c r="NOA6"/>
      <c r="NOB6"/>
      <c r="NOC6"/>
      <c r="NOD6"/>
      <c r="NOE6"/>
      <c r="NOF6"/>
      <c r="NOG6"/>
      <c r="NOH6"/>
      <c r="NOI6"/>
      <c r="NOJ6"/>
      <c r="NOK6"/>
      <c r="NOL6"/>
      <c r="NOM6"/>
      <c r="NON6"/>
      <c r="NOO6"/>
      <c r="NOP6"/>
      <c r="NOQ6"/>
      <c r="NOR6"/>
      <c r="NOS6"/>
      <c r="NOT6"/>
      <c r="NOU6"/>
      <c r="NOV6"/>
      <c r="NOW6"/>
      <c r="NOX6"/>
      <c r="NOY6"/>
      <c r="NOZ6"/>
      <c r="NPA6"/>
      <c r="NPB6"/>
      <c r="NPC6"/>
      <c r="NPD6"/>
      <c r="NPE6"/>
      <c r="NPF6"/>
      <c r="NPG6"/>
      <c r="NPH6"/>
      <c r="NPI6"/>
      <c r="NPJ6"/>
      <c r="NPK6"/>
      <c r="NPL6"/>
      <c r="NPM6"/>
      <c r="NPN6"/>
      <c r="NPO6"/>
      <c r="NPP6"/>
      <c r="NPQ6"/>
      <c r="NPR6"/>
      <c r="NPS6"/>
      <c r="NPT6"/>
      <c r="NPU6"/>
      <c r="NPV6"/>
      <c r="NPW6"/>
      <c r="NPX6"/>
      <c r="NPY6"/>
      <c r="NPZ6"/>
      <c r="NQA6"/>
      <c r="NQB6"/>
      <c r="NQC6"/>
      <c r="NQD6"/>
      <c r="NQE6"/>
      <c r="NQF6"/>
      <c r="NQG6"/>
      <c r="NQH6"/>
      <c r="NQI6"/>
      <c r="NQJ6"/>
      <c r="NQK6"/>
      <c r="NQL6"/>
      <c r="NQM6"/>
      <c r="NQN6"/>
      <c r="NQO6"/>
      <c r="NQP6"/>
      <c r="NQQ6"/>
      <c r="NQR6"/>
      <c r="NQS6"/>
      <c r="NQT6"/>
      <c r="NQU6"/>
      <c r="NQV6"/>
      <c r="NQW6"/>
      <c r="NQX6"/>
      <c r="NQY6"/>
      <c r="NQZ6"/>
      <c r="NRA6"/>
      <c r="NRB6"/>
      <c r="NRC6"/>
      <c r="NRD6"/>
      <c r="NRE6"/>
      <c r="NRF6"/>
      <c r="NRG6"/>
      <c r="NRH6"/>
      <c r="NRI6"/>
      <c r="NRJ6"/>
      <c r="NRK6"/>
      <c r="NRL6"/>
      <c r="NRM6"/>
      <c r="NRN6"/>
      <c r="NRO6"/>
      <c r="NRP6"/>
      <c r="NRQ6"/>
      <c r="NRR6"/>
      <c r="NRS6"/>
      <c r="NRT6"/>
      <c r="NRU6"/>
      <c r="NRV6"/>
      <c r="NRW6"/>
      <c r="NRX6"/>
      <c r="NRY6"/>
      <c r="NRZ6"/>
      <c r="NSA6"/>
      <c r="NSB6"/>
      <c r="NSC6"/>
      <c r="NSD6"/>
      <c r="NSE6"/>
      <c r="NSF6"/>
      <c r="NSG6"/>
      <c r="NSH6"/>
      <c r="NSI6"/>
      <c r="NSJ6"/>
      <c r="NSK6"/>
      <c r="NSL6"/>
      <c r="NSM6"/>
      <c r="NSN6"/>
      <c r="NSO6"/>
      <c r="NSP6"/>
      <c r="NSQ6"/>
      <c r="NSR6"/>
      <c r="NSS6"/>
      <c r="NST6"/>
      <c r="NSU6"/>
      <c r="NSV6"/>
      <c r="NSW6"/>
      <c r="NSX6"/>
      <c r="NSY6"/>
      <c r="NSZ6"/>
      <c r="NTA6"/>
      <c r="NTB6"/>
      <c r="NTC6"/>
      <c r="NTD6"/>
      <c r="NTE6"/>
      <c r="NTF6"/>
      <c r="NTG6"/>
      <c r="NTH6"/>
      <c r="NTI6"/>
      <c r="NTJ6"/>
      <c r="NTK6"/>
      <c r="NTL6"/>
      <c r="NTM6"/>
      <c r="NTN6"/>
      <c r="NTO6"/>
      <c r="NTP6"/>
      <c r="NTQ6"/>
      <c r="NTR6"/>
      <c r="NTS6"/>
      <c r="NTT6"/>
      <c r="NTU6"/>
      <c r="NTV6"/>
      <c r="NTW6"/>
      <c r="NTX6"/>
      <c r="NTY6"/>
      <c r="NTZ6"/>
      <c r="NUA6"/>
      <c r="NUB6"/>
      <c r="NUC6"/>
      <c r="NUD6"/>
      <c r="NUE6"/>
      <c r="NUF6"/>
      <c r="NUG6"/>
      <c r="NUH6"/>
      <c r="NUI6"/>
      <c r="NUJ6"/>
      <c r="NUK6"/>
      <c r="NUL6"/>
      <c r="NUM6"/>
      <c r="NUN6"/>
      <c r="NUO6"/>
      <c r="NUP6"/>
      <c r="NUQ6"/>
      <c r="NUR6"/>
      <c r="NUS6"/>
      <c r="NUT6"/>
      <c r="NUU6"/>
      <c r="NUV6"/>
      <c r="NUW6"/>
      <c r="NUX6"/>
      <c r="NUY6"/>
      <c r="NUZ6"/>
      <c r="NVA6"/>
      <c r="NVB6"/>
      <c r="NVC6"/>
      <c r="NVD6"/>
      <c r="NVE6"/>
      <c r="NVF6"/>
      <c r="NVG6"/>
      <c r="NVH6"/>
      <c r="NVI6"/>
      <c r="NVJ6"/>
      <c r="NVK6"/>
      <c r="NVL6"/>
      <c r="NVM6"/>
      <c r="NVN6"/>
      <c r="NVO6"/>
      <c r="NVP6"/>
      <c r="NVQ6"/>
      <c r="NVR6"/>
      <c r="NVS6"/>
      <c r="NVT6"/>
      <c r="NVU6"/>
      <c r="NVV6"/>
      <c r="NVW6"/>
      <c r="NVX6"/>
      <c r="NVY6"/>
      <c r="NVZ6"/>
      <c r="NWA6"/>
      <c r="NWB6"/>
      <c r="NWC6"/>
      <c r="NWD6"/>
      <c r="NWE6"/>
      <c r="NWF6"/>
      <c r="NWG6"/>
      <c r="NWH6"/>
      <c r="NWI6"/>
      <c r="NWJ6"/>
      <c r="NWK6"/>
      <c r="NWL6"/>
      <c r="NWM6"/>
      <c r="NWN6"/>
      <c r="NWO6"/>
      <c r="NWP6"/>
      <c r="NWQ6"/>
      <c r="NWR6"/>
      <c r="NWS6"/>
      <c r="NWT6"/>
      <c r="NWU6"/>
      <c r="NWV6"/>
      <c r="NWW6"/>
      <c r="NWX6"/>
      <c r="NWY6"/>
      <c r="NWZ6"/>
      <c r="NXA6"/>
      <c r="NXB6"/>
      <c r="NXC6"/>
      <c r="NXD6"/>
      <c r="NXE6"/>
      <c r="NXF6"/>
      <c r="NXG6"/>
      <c r="NXH6"/>
      <c r="NXI6"/>
      <c r="NXJ6"/>
      <c r="NXK6"/>
      <c r="NXL6"/>
      <c r="NXM6"/>
      <c r="NXN6"/>
      <c r="NXO6"/>
      <c r="NXP6"/>
      <c r="NXQ6"/>
      <c r="NXR6"/>
      <c r="NXS6"/>
      <c r="NXT6"/>
      <c r="NXU6"/>
      <c r="NXV6"/>
      <c r="NXW6"/>
      <c r="NXX6"/>
      <c r="NXY6"/>
      <c r="NXZ6"/>
      <c r="NYA6"/>
      <c r="NYB6"/>
      <c r="NYC6"/>
      <c r="NYD6"/>
      <c r="NYE6"/>
      <c r="NYF6"/>
      <c r="NYG6"/>
      <c r="NYH6"/>
      <c r="NYI6"/>
      <c r="NYJ6"/>
      <c r="NYK6"/>
      <c r="NYL6"/>
      <c r="NYM6"/>
      <c r="NYN6"/>
      <c r="NYO6"/>
      <c r="NYP6"/>
      <c r="NYQ6"/>
      <c r="NYR6"/>
      <c r="NYS6"/>
      <c r="NYT6"/>
      <c r="NYU6"/>
      <c r="NYV6"/>
      <c r="NYW6"/>
      <c r="NYX6"/>
      <c r="NYY6"/>
      <c r="NYZ6"/>
      <c r="NZA6"/>
      <c r="NZB6"/>
      <c r="NZC6"/>
      <c r="NZD6"/>
      <c r="NZE6"/>
      <c r="NZF6"/>
      <c r="NZG6"/>
      <c r="NZH6"/>
      <c r="NZI6"/>
      <c r="NZJ6"/>
      <c r="NZK6"/>
      <c r="NZL6"/>
      <c r="NZM6"/>
      <c r="NZN6"/>
      <c r="NZO6"/>
      <c r="NZP6"/>
      <c r="NZQ6"/>
      <c r="NZR6"/>
      <c r="NZS6"/>
      <c r="NZT6"/>
      <c r="NZU6"/>
      <c r="NZV6"/>
      <c r="NZW6"/>
      <c r="NZX6"/>
      <c r="NZY6"/>
      <c r="NZZ6"/>
      <c r="OAA6"/>
      <c r="OAB6"/>
      <c r="OAC6"/>
      <c r="OAD6"/>
      <c r="OAE6"/>
      <c r="OAF6"/>
      <c r="OAG6"/>
      <c r="OAH6"/>
      <c r="OAI6"/>
      <c r="OAJ6"/>
      <c r="OAK6"/>
      <c r="OAL6"/>
      <c r="OAM6"/>
      <c r="OAN6"/>
      <c r="OAO6"/>
      <c r="OAP6"/>
      <c r="OAQ6"/>
      <c r="OAR6"/>
      <c r="OAS6"/>
      <c r="OAT6"/>
      <c r="OAU6"/>
      <c r="OAV6"/>
      <c r="OAW6"/>
      <c r="OAX6"/>
      <c r="OAY6"/>
      <c r="OAZ6"/>
      <c r="OBA6"/>
      <c r="OBB6"/>
      <c r="OBC6"/>
      <c r="OBD6"/>
      <c r="OBE6"/>
      <c r="OBF6"/>
      <c r="OBG6"/>
      <c r="OBH6"/>
      <c r="OBI6"/>
      <c r="OBJ6"/>
      <c r="OBK6"/>
      <c r="OBL6"/>
      <c r="OBM6"/>
      <c r="OBN6"/>
      <c r="OBO6"/>
      <c r="OBP6"/>
      <c r="OBQ6"/>
      <c r="OBR6"/>
      <c r="OBS6"/>
      <c r="OBT6"/>
      <c r="OBU6"/>
      <c r="OBV6"/>
      <c r="OBW6"/>
      <c r="OBX6"/>
      <c r="OBY6"/>
      <c r="OBZ6"/>
      <c r="OCA6"/>
      <c r="OCB6"/>
      <c r="OCC6"/>
      <c r="OCD6"/>
      <c r="OCE6"/>
      <c r="OCF6"/>
      <c r="OCG6"/>
      <c r="OCH6"/>
      <c r="OCI6"/>
      <c r="OCJ6"/>
      <c r="OCK6"/>
      <c r="OCL6"/>
      <c r="OCM6"/>
      <c r="OCN6"/>
      <c r="OCO6"/>
      <c r="OCP6"/>
      <c r="OCQ6"/>
      <c r="OCR6"/>
      <c r="OCS6"/>
      <c r="OCT6"/>
      <c r="OCU6"/>
      <c r="OCV6"/>
      <c r="OCW6"/>
      <c r="OCX6"/>
      <c r="OCY6"/>
      <c r="OCZ6"/>
      <c r="ODA6"/>
      <c r="ODB6"/>
      <c r="ODC6"/>
      <c r="ODD6"/>
      <c r="ODE6"/>
      <c r="ODF6"/>
      <c r="ODG6"/>
      <c r="ODH6"/>
      <c r="ODI6"/>
      <c r="ODJ6"/>
      <c r="ODK6"/>
      <c r="ODL6"/>
      <c r="ODM6"/>
      <c r="ODN6"/>
      <c r="ODO6"/>
      <c r="ODP6"/>
      <c r="ODQ6"/>
      <c r="ODR6"/>
      <c r="ODS6"/>
      <c r="ODT6"/>
      <c r="ODU6"/>
      <c r="ODV6"/>
      <c r="ODW6"/>
      <c r="ODX6"/>
      <c r="ODY6"/>
      <c r="ODZ6"/>
      <c r="OEA6"/>
      <c r="OEB6"/>
      <c r="OEC6"/>
      <c r="OED6"/>
      <c r="OEE6"/>
      <c r="OEF6"/>
      <c r="OEG6"/>
      <c r="OEH6"/>
      <c r="OEI6"/>
      <c r="OEJ6"/>
      <c r="OEK6"/>
      <c r="OEL6"/>
      <c r="OEM6"/>
      <c r="OEN6"/>
      <c r="OEO6"/>
      <c r="OEP6"/>
      <c r="OEQ6"/>
      <c r="OER6"/>
      <c r="OES6"/>
      <c r="OET6"/>
      <c r="OEU6"/>
      <c r="OEV6"/>
      <c r="OEW6"/>
      <c r="OEX6"/>
      <c r="OEY6"/>
      <c r="OEZ6"/>
      <c r="OFA6"/>
      <c r="OFB6"/>
      <c r="OFC6"/>
      <c r="OFD6"/>
      <c r="OFE6"/>
      <c r="OFF6"/>
      <c r="OFG6"/>
      <c r="OFH6"/>
      <c r="OFI6"/>
      <c r="OFJ6"/>
      <c r="OFK6"/>
      <c r="OFL6"/>
      <c r="OFM6"/>
      <c r="OFN6"/>
      <c r="OFO6"/>
      <c r="OFP6"/>
      <c r="OFQ6"/>
      <c r="OFR6"/>
      <c r="OFS6"/>
      <c r="OFT6"/>
      <c r="OFU6"/>
      <c r="OFV6"/>
      <c r="OFW6"/>
      <c r="OFX6"/>
      <c r="OFY6"/>
      <c r="OFZ6"/>
      <c r="OGA6"/>
      <c r="OGB6"/>
      <c r="OGC6"/>
      <c r="OGD6"/>
      <c r="OGE6"/>
      <c r="OGF6"/>
      <c r="OGG6"/>
      <c r="OGH6"/>
      <c r="OGI6"/>
      <c r="OGJ6"/>
      <c r="OGK6"/>
      <c r="OGL6"/>
      <c r="OGM6"/>
      <c r="OGN6"/>
      <c r="OGO6"/>
      <c r="OGP6"/>
      <c r="OGQ6"/>
      <c r="OGR6"/>
      <c r="OGS6"/>
      <c r="OGT6"/>
      <c r="OGU6"/>
      <c r="OGV6"/>
      <c r="OGW6"/>
      <c r="OGX6"/>
      <c r="OGY6"/>
      <c r="OGZ6"/>
      <c r="OHA6"/>
      <c r="OHB6"/>
      <c r="OHC6"/>
      <c r="OHD6"/>
      <c r="OHE6"/>
      <c r="OHF6"/>
      <c r="OHG6"/>
      <c r="OHH6"/>
      <c r="OHI6"/>
      <c r="OHJ6"/>
      <c r="OHK6"/>
      <c r="OHL6"/>
      <c r="OHM6"/>
      <c r="OHN6"/>
      <c r="OHO6"/>
      <c r="OHP6"/>
      <c r="OHQ6"/>
      <c r="OHR6"/>
      <c r="OHS6"/>
      <c r="OHT6"/>
      <c r="OHU6"/>
      <c r="OHV6"/>
      <c r="OHW6"/>
      <c r="OHX6"/>
      <c r="OHY6"/>
      <c r="OHZ6"/>
      <c r="OIA6"/>
      <c r="OIB6"/>
      <c r="OIC6"/>
      <c r="OID6"/>
      <c r="OIE6"/>
      <c r="OIF6"/>
      <c r="OIG6"/>
      <c r="OIH6"/>
      <c r="OII6"/>
      <c r="OIJ6"/>
      <c r="OIK6"/>
      <c r="OIL6"/>
      <c r="OIM6"/>
      <c r="OIN6"/>
      <c r="OIO6"/>
      <c r="OIP6"/>
      <c r="OIQ6"/>
      <c r="OIR6"/>
      <c r="OIS6"/>
      <c r="OIT6"/>
      <c r="OIU6"/>
      <c r="OIV6"/>
      <c r="OIW6"/>
      <c r="OIX6"/>
      <c r="OIY6"/>
      <c r="OIZ6"/>
      <c r="OJA6"/>
      <c r="OJB6"/>
      <c r="OJC6"/>
      <c r="OJD6"/>
      <c r="OJE6"/>
      <c r="OJF6"/>
      <c r="OJG6"/>
      <c r="OJH6"/>
      <c r="OJI6"/>
      <c r="OJJ6"/>
      <c r="OJK6"/>
      <c r="OJL6"/>
      <c r="OJM6"/>
      <c r="OJN6"/>
      <c r="OJO6"/>
      <c r="OJP6"/>
      <c r="OJQ6"/>
      <c r="OJR6"/>
      <c r="OJS6"/>
      <c r="OJT6"/>
      <c r="OJU6"/>
      <c r="OJV6"/>
      <c r="OJW6"/>
      <c r="OJX6"/>
      <c r="OJY6"/>
      <c r="OJZ6"/>
      <c r="OKA6"/>
      <c r="OKB6"/>
      <c r="OKC6"/>
      <c r="OKD6"/>
      <c r="OKE6"/>
      <c r="OKF6"/>
      <c r="OKG6"/>
      <c r="OKH6"/>
      <c r="OKI6"/>
      <c r="OKJ6"/>
      <c r="OKK6"/>
      <c r="OKL6"/>
      <c r="OKM6"/>
      <c r="OKN6"/>
      <c r="OKO6"/>
      <c r="OKP6"/>
      <c r="OKQ6"/>
      <c r="OKR6"/>
      <c r="OKS6"/>
      <c r="OKT6"/>
      <c r="OKU6"/>
      <c r="OKV6"/>
      <c r="OKW6"/>
      <c r="OKX6"/>
      <c r="OKY6"/>
      <c r="OKZ6"/>
      <c r="OLA6"/>
      <c r="OLB6"/>
      <c r="OLC6"/>
      <c r="OLD6"/>
      <c r="OLE6"/>
      <c r="OLF6"/>
      <c r="OLG6"/>
      <c r="OLH6"/>
      <c r="OLI6"/>
      <c r="OLJ6"/>
      <c r="OLK6"/>
      <c r="OLL6"/>
      <c r="OLM6"/>
      <c r="OLN6"/>
      <c r="OLO6"/>
      <c r="OLP6"/>
      <c r="OLQ6"/>
      <c r="OLR6"/>
      <c r="OLS6"/>
      <c r="OLT6"/>
      <c r="OLU6"/>
      <c r="OLV6"/>
      <c r="OLW6"/>
      <c r="OLX6"/>
      <c r="OLY6"/>
      <c r="OLZ6"/>
      <c r="OMA6"/>
      <c r="OMB6"/>
      <c r="OMC6"/>
      <c r="OMD6"/>
      <c r="OME6"/>
      <c r="OMF6"/>
      <c r="OMG6"/>
      <c r="OMH6"/>
      <c r="OMI6"/>
      <c r="OMJ6"/>
      <c r="OMK6"/>
      <c r="OML6"/>
      <c r="OMM6"/>
      <c r="OMN6"/>
      <c r="OMO6"/>
      <c r="OMP6"/>
      <c r="OMQ6"/>
      <c r="OMR6"/>
      <c r="OMS6"/>
      <c r="OMT6"/>
      <c r="OMU6"/>
      <c r="OMV6"/>
      <c r="OMW6"/>
      <c r="OMX6"/>
      <c r="OMY6"/>
      <c r="OMZ6"/>
      <c r="ONA6"/>
      <c r="ONB6"/>
      <c r="ONC6"/>
      <c r="OND6"/>
      <c r="ONE6"/>
      <c r="ONF6"/>
      <c r="ONG6"/>
      <c r="ONH6"/>
      <c r="ONI6"/>
      <c r="ONJ6"/>
      <c r="ONK6"/>
      <c r="ONL6"/>
      <c r="ONM6"/>
      <c r="ONN6"/>
      <c r="ONO6"/>
      <c r="ONP6"/>
      <c r="ONQ6"/>
      <c r="ONR6"/>
      <c r="ONS6"/>
      <c r="ONT6"/>
      <c r="ONU6"/>
      <c r="ONV6"/>
      <c r="ONW6"/>
      <c r="ONX6"/>
      <c r="ONY6"/>
      <c r="ONZ6"/>
      <c r="OOA6"/>
      <c r="OOB6"/>
      <c r="OOC6"/>
      <c r="OOD6"/>
      <c r="OOE6"/>
      <c r="OOF6"/>
      <c r="OOG6"/>
      <c r="OOH6"/>
      <c r="OOI6"/>
      <c r="OOJ6"/>
      <c r="OOK6"/>
      <c r="OOL6"/>
      <c r="OOM6"/>
      <c r="OON6"/>
      <c r="OOO6"/>
      <c r="OOP6"/>
      <c r="OOQ6"/>
      <c r="OOR6"/>
      <c r="OOS6"/>
      <c r="OOT6"/>
      <c r="OOU6"/>
      <c r="OOV6"/>
      <c r="OOW6"/>
      <c r="OOX6"/>
      <c r="OOY6"/>
      <c r="OOZ6"/>
      <c r="OPA6"/>
      <c r="OPB6"/>
      <c r="OPC6"/>
      <c r="OPD6"/>
      <c r="OPE6"/>
      <c r="OPF6"/>
      <c r="OPG6"/>
      <c r="OPH6"/>
      <c r="OPI6"/>
      <c r="OPJ6"/>
      <c r="OPK6"/>
      <c r="OPL6"/>
      <c r="OPM6"/>
      <c r="OPN6"/>
      <c r="OPO6"/>
      <c r="OPP6"/>
      <c r="OPQ6"/>
      <c r="OPR6"/>
      <c r="OPS6"/>
      <c r="OPT6"/>
      <c r="OPU6"/>
      <c r="OPV6"/>
      <c r="OPW6"/>
      <c r="OPX6"/>
      <c r="OPY6"/>
      <c r="OPZ6"/>
      <c r="OQA6"/>
      <c r="OQB6"/>
      <c r="OQC6"/>
      <c r="OQD6"/>
      <c r="OQE6"/>
      <c r="OQF6"/>
      <c r="OQG6"/>
      <c r="OQH6"/>
      <c r="OQI6"/>
      <c r="OQJ6"/>
      <c r="OQK6"/>
      <c r="OQL6"/>
      <c r="OQM6"/>
      <c r="OQN6"/>
      <c r="OQO6"/>
      <c r="OQP6"/>
      <c r="OQQ6"/>
      <c r="OQR6"/>
      <c r="OQS6"/>
      <c r="OQT6"/>
      <c r="OQU6"/>
      <c r="OQV6"/>
      <c r="OQW6"/>
      <c r="OQX6"/>
      <c r="OQY6"/>
      <c r="OQZ6"/>
      <c r="ORA6"/>
      <c r="ORB6"/>
      <c r="ORC6"/>
      <c r="ORD6"/>
      <c r="ORE6"/>
      <c r="ORF6"/>
      <c r="ORG6"/>
      <c r="ORH6"/>
      <c r="ORI6"/>
      <c r="ORJ6"/>
      <c r="ORK6"/>
      <c r="ORL6"/>
      <c r="ORM6"/>
      <c r="ORN6"/>
      <c r="ORO6"/>
      <c r="ORP6"/>
      <c r="ORQ6"/>
      <c r="ORR6"/>
      <c r="ORS6"/>
      <c r="ORT6"/>
      <c r="ORU6"/>
      <c r="ORV6"/>
      <c r="ORW6"/>
      <c r="ORX6"/>
      <c r="ORY6"/>
      <c r="ORZ6"/>
      <c r="OSA6"/>
      <c r="OSB6"/>
      <c r="OSC6"/>
      <c r="OSD6"/>
      <c r="OSE6"/>
      <c r="OSF6"/>
      <c r="OSG6"/>
      <c r="OSH6"/>
      <c r="OSI6"/>
      <c r="OSJ6"/>
      <c r="OSK6"/>
      <c r="OSL6"/>
      <c r="OSM6"/>
      <c r="OSN6"/>
      <c r="OSO6"/>
      <c r="OSP6"/>
      <c r="OSQ6"/>
      <c r="OSR6"/>
      <c r="OSS6"/>
      <c r="OST6"/>
      <c r="OSU6"/>
      <c r="OSV6"/>
      <c r="OSW6"/>
      <c r="OSX6"/>
      <c r="OSY6"/>
      <c r="OSZ6"/>
      <c r="OTA6"/>
      <c r="OTB6"/>
      <c r="OTC6"/>
      <c r="OTD6"/>
      <c r="OTE6"/>
      <c r="OTF6"/>
      <c r="OTG6"/>
      <c r="OTH6"/>
      <c r="OTI6"/>
      <c r="OTJ6"/>
      <c r="OTK6"/>
      <c r="OTL6"/>
      <c r="OTM6"/>
      <c r="OTN6"/>
      <c r="OTO6"/>
      <c r="OTP6"/>
      <c r="OTQ6"/>
      <c r="OTR6"/>
      <c r="OTS6"/>
      <c r="OTT6"/>
      <c r="OTU6"/>
      <c r="OTV6"/>
      <c r="OTW6"/>
      <c r="OTX6"/>
      <c r="OTY6"/>
      <c r="OTZ6"/>
      <c r="OUA6"/>
      <c r="OUB6"/>
      <c r="OUC6"/>
      <c r="OUD6"/>
      <c r="OUE6"/>
      <c r="OUF6"/>
      <c r="OUG6"/>
      <c r="OUH6"/>
      <c r="OUI6"/>
      <c r="OUJ6"/>
      <c r="OUK6"/>
      <c r="OUL6"/>
      <c r="OUM6"/>
      <c r="OUN6"/>
      <c r="OUO6"/>
      <c r="OUP6"/>
      <c r="OUQ6"/>
      <c r="OUR6"/>
      <c r="OUS6"/>
      <c r="OUT6"/>
      <c r="OUU6"/>
      <c r="OUV6"/>
      <c r="OUW6"/>
      <c r="OUX6"/>
      <c r="OUY6"/>
      <c r="OUZ6"/>
      <c r="OVA6"/>
      <c r="OVB6"/>
      <c r="OVC6"/>
      <c r="OVD6"/>
      <c r="OVE6"/>
      <c r="OVF6"/>
      <c r="OVG6"/>
      <c r="OVH6"/>
      <c r="OVI6"/>
      <c r="OVJ6"/>
      <c r="OVK6"/>
      <c r="OVL6"/>
      <c r="OVM6"/>
      <c r="OVN6"/>
      <c r="OVO6"/>
      <c r="OVP6"/>
      <c r="OVQ6"/>
      <c r="OVR6"/>
      <c r="OVS6"/>
      <c r="OVT6"/>
      <c r="OVU6"/>
      <c r="OVV6"/>
      <c r="OVW6"/>
      <c r="OVX6"/>
      <c r="OVY6"/>
      <c r="OVZ6"/>
      <c r="OWA6"/>
      <c r="OWB6"/>
      <c r="OWC6"/>
      <c r="OWD6"/>
      <c r="OWE6"/>
      <c r="OWF6"/>
      <c r="OWG6"/>
      <c r="OWH6"/>
      <c r="OWI6"/>
      <c r="OWJ6"/>
      <c r="OWK6"/>
      <c r="OWL6"/>
      <c r="OWM6"/>
      <c r="OWN6"/>
      <c r="OWO6"/>
      <c r="OWP6"/>
      <c r="OWQ6"/>
      <c r="OWR6"/>
      <c r="OWS6"/>
      <c r="OWT6"/>
      <c r="OWU6"/>
      <c r="OWV6"/>
      <c r="OWW6"/>
      <c r="OWX6"/>
      <c r="OWY6"/>
      <c r="OWZ6"/>
      <c r="OXA6"/>
      <c r="OXB6"/>
      <c r="OXC6"/>
      <c r="OXD6"/>
      <c r="OXE6"/>
      <c r="OXF6"/>
      <c r="OXG6"/>
      <c r="OXH6"/>
      <c r="OXI6"/>
      <c r="OXJ6"/>
      <c r="OXK6"/>
      <c r="OXL6"/>
      <c r="OXM6"/>
      <c r="OXN6"/>
      <c r="OXO6"/>
      <c r="OXP6"/>
      <c r="OXQ6"/>
      <c r="OXR6"/>
      <c r="OXS6"/>
      <c r="OXT6"/>
      <c r="OXU6"/>
      <c r="OXV6"/>
      <c r="OXW6"/>
      <c r="OXX6"/>
      <c r="OXY6"/>
      <c r="OXZ6"/>
      <c r="OYA6"/>
      <c r="OYB6"/>
      <c r="OYC6"/>
      <c r="OYD6"/>
      <c r="OYE6"/>
      <c r="OYF6"/>
      <c r="OYG6"/>
      <c r="OYH6"/>
      <c r="OYI6"/>
      <c r="OYJ6"/>
      <c r="OYK6"/>
      <c r="OYL6"/>
      <c r="OYM6"/>
      <c r="OYN6"/>
      <c r="OYO6"/>
      <c r="OYP6"/>
      <c r="OYQ6"/>
      <c r="OYR6"/>
      <c r="OYS6"/>
      <c r="OYT6"/>
      <c r="OYU6"/>
      <c r="OYV6"/>
      <c r="OYW6"/>
      <c r="OYX6"/>
      <c r="OYY6"/>
      <c r="OYZ6"/>
      <c r="OZA6"/>
      <c r="OZB6"/>
      <c r="OZC6"/>
      <c r="OZD6"/>
      <c r="OZE6"/>
      <c r="OZF6"/>
      <c r="OZG6"/>
      <c r="OZH6"/>
      <c r="OZI6"/>
      <c r="OZJ6"/>
      <c r="OZK6"/>
      <c r="OZL6"/>
      <c r="OZM6"/>
      <c r="OZN6"/>
      <c r="OZO6"/>
      <c r="OZP6"/>
      <c r="OZQ6"/>
      <c r="OZR6"/>
      <c r="OZS6"/>
      <c r="OZT6"/>
      <c r="OZU6"/>
      <c r="OZV6"/>
      <c r="OZW6"/>
      <c r="OZX6"/>
      <c r="OZY6"/>
      <c r="OZZ6"/>
      <c r="PAA6"/>
      <c r="PAB6"/>
      <c r="PAC6"/>
      <c r="PAD6"/>
      <c r="PAE6"/>
      <c r="PAF6"/>
      <c r="PAG6"/>
      <c r="PAH6"/>
      <c r="PAI6"/>
      <c r="PAJ6"/>
      <c r="PAK6"/>
      <c r="PAL6"/>
      <c r="PAM6"/>
      <c r="PAN6"/>
      <c r="PAO6"/>
      <c r="PAP6"/>
      <c r="PAQ6"/>
      <c r="PAR6"/>
      <c r="PAS6"/>
      <c r="PAT6"/>
      <c r="PAU6"/>
      <c r="PAV6"/>
      <c r="PAW6"/>
      <c r="PAX6"/>
      <c r="PAY6"/>
      <c r="PAZ6"/>
      <c r="PBA6"/>
      <c r="PBB6"/>
      <c r="PBC6"/>
      <c r="PBD6"/>
      <c r="PBE6"/>
      <c r="PBF6"/>
      <c r="PBG6"/>
      <c r="PBH6"/>
      <c r="PBI6"/>
      <c r="PBJ6"/>
      <c r="PBK6"/>
      <c r="PBL6"/>
      <c r="PBM6"/>
      <c r="PBN6"/>
      <c r="PBO6"/>
      <c r="PBP6"/>
      <c r="PBQ6"/>
      <c r="PBR6"/>
      <c r="PBS6"/>
      <c r="PBT6"/>
      <c r="PBU6"/>
      <c r="PBV6"/>
      <c r="PBW6"/>
      <c r="PBX6"/>
      <c r="PBY6"/>
      <c r="PBZ6"/>
      <c r="PCA6"/>
      <c r="PCB6"/>
      <c r="PCC6"/>
      <c r="PCD6"/>
      <c r="PCE6"/>
      <c r="PCF6"/>
      <c r="PCG6"/>
      <c r="PCH6"/>
      <c r="PCI6"/>
      <c r="PCJ6"/>
      <c r="PCK6"/>
      <c r="PCL6"/>
      <c r="PCM6"/>
      <c r="PCN6"/>
      <c r="PCO6"/>
      <c r="PCP6"/>
      <c r="PCQ6"/>
      <c r="PCR6"/>
      <c r="PCS6"/>
      <c r="PCT6"/>
      <c r="PCU6"/>
      <c r="PCV6"/>
      <c r="PCW6"/>
      <c r="PCX6"/>
      <c r="PCY6"/>
      <c r="PCZ6"/>
      <c r="PDA6"/>
      <c r="PDB6"/>
      <c r="PDC6"/>
      <c r="PDD6"/>
      <c r="PDE6"/>
      <c r="PDF6"/>
      <c r="PDG6"/>
      <c r="PDH6"/>
      <c r="PDI6"/>
      <c r="PDJ6"/>
      <c r="PDK6"/>
      <c r="PDL6"/>
      <c r="PDM6"/>
      <c r="PDN6"/>
      <c r="PDO6"/>
      <c r="PDP6"/>
      <c r="PDQ6"/>
      <c r="PDR6"/>
      <c r="PDS6"/>
      <c r="PDT6"/>
      <c r="PDU6"/>
      <c r="PDV6"/>
      <c r="PDW6"/>
      <c r="PDX6"/>
      <c r="PDY6"/>
      <c r="PDZ6"/>
      <c r="PEA6"/>
      <c r="PEB6"/>
      <c r="PEC6"/>
      <c r="PED6"/>
      <c r="PEE6"/>
      <c r="PEF6"/>
      <c r="PEG6"/>
      <c r="PEH6"/>
      <c r="PEI6"/>
      <c r="PEJ6"/>
      <c r="PEK6"/>
      <c r="PEL6"/>
      <c r="PEM6"/>
      <c r="PEN6"/>
      <c r="PEO6"/>
      <c r="PEP6"/>
      <c r="PEQ6"/>
      <c r="PER6"/>
      <c r="PES6"/>
      <c r="PET6"/>
      <c r="PEU6"/>
      <c r="PEV6"/>
      <c r="PEW6"/>
      <c r="PEX6"/>
      <c r="PEY6"/>
      <c r="PEZ6"/>
      <c r="PFA6"/>
      <c r="PFB6"/>
      <c r="PFC6"/>
      <c r="PFD6"/>
      <c r="PFE6"/>
      <c r="PFF6"/>
      <c r="PFG6"/>
      <c r="PFH6"/>
      <c r="PFI6"/>
      <c r="PFJ6"/>
      <c r="PFK6"/>
      <c r="PFL6"/>
      <c r="PFM6"/>
      <c r="PFN6"/>
      <c r="PFO6"/>
      <c r="PFP6"/>
      <c r="PFQ6"/>
      <c r="PFR6"/>
      <c r="PFS6"/>
      <c r="PFT6"/>
      <c r="PFU6"/>
      <c r="PFV6"/>
      <c r="PFW6"/>
      <c r="PFX6"/>
      <c r="PFY6"/>
      <c r="PFZ6"/>
      <c r="PGA6"/>
      <c r="PGB6"/>
      <c r="PGC6"/>
      <c r="PGD6"/>
      <c r="PGE6"/>
      <c r="PGF6"/>
      <c r="PGG6"/>
      <c r="PGH6"/>
      <c r="PGI6"/>
      <c r="PGJ6"/>
      <c r="PGK6"/>
      <c r="PGL6"/>
      <c r="PGM6"/>
      <c r="PGN6"/>
      <c r="PGO6"/>
      <c r="PGP6"/>
      <c r="PGQ6"/>
      <c r="PGR6"/>
      <c r="PGS6"/>
      <c r="PGT6"/>
      <c r="PGU6"/>
      <c r="PGV6"/>
      <c r="PGW6"/>
      <c r="PGX6"/>
      <c r="PGY6"/>
      <c r="PGZ6"/>
      <c r="PHA6"/>
      <c r="PHB6"/>
      <c r="PHC6"/>
      <c r="PHD6"/>
      <c r="PHE6"/>
      <c r="PHF6"/>
      <c r="PHG6"/>
      <c r="PHH6"/>
      <c r="PHI6"/>
      <c r="PHJ6"/>
      <c r="PHK6"/>
      <c r="PHL6"/>
      <c r="PHM6"/>
      <c r="PHN6"/>
      <c r="PHO6"/>
      <c r="PHP6"/>
      <c r="PHQ6"/>
      <c r="PHR6"/>
      <c r="PHS6"/>
      <c r="PHT6"/>
      <c r="PHU6"/>
      <c r="PHV6"/>
      <c r="PHW6"/>
      <c r="PHX6"/>
      <c r="PHY6"/>
      <c r="PHZ6"/>
      <c r="PIA6"/>
      <c r="PIB6"/>
      <c r="PIC6"/>
      <c r="PID6"/>
      <c r="PIE6"/>
      <c r="PIF6"/>
      <c r="PIG6"/>
      <c r="PIH6"/>
      <c r="PII6"/>
      <c r="PIJ6"/>
      <c r="PIK6"/>
      <c r="PIL6"/>
      <c r="PIM6"/>
      <c r="PIN6"/>
      <c r="PIO6"/>
      <c r="PIP6"/>
      <c r="PIQ6"/>
      <c r="PIR6"/>
      <c r="PIS6"/>
      <c r="PIT6"/>
      <c r="PIU6"/>
      <c r="PIV6"/>
      <c r="PIW6"/>
      <c r="PIX6"/>
      <c r="PIY6"/>
      <c r="PIZ6"/>
      <c r="PJA6"/>
      <c r="PJB6"/>
      <c r="PJC6"/>
      <c r="PJD6"/>
      <c r="PJE6"/>
      <c r="PJF6"/>
      <c r="PJG6"/>
      <c r="PJH6"/>
      <c r="PJI6"/>
      <c r="PJJ6"/>
      <c r="PJK6"/>
      <c r="PJL6"/>
      <c r="PJM6"/>
      <c r="PJN6"/>
      <c r="PJO6"/>
      <c r="PJP6"/>
      <c r="PJQ6"/>
      <c r="PJR6"/>
      <c r="PJS6"/>
      <c r="PJT6"/>
      <c r="PJU6"/>
      <c r="PJV6"/>
      <c r="PJW6"/>
      <c r="PJX6"/>
      <c r="PJY6"/>
      <c r="PJZ6"/>
      <c r="PKA6"/>
      <c r="PKB6"/>
      <c r="PKC6"/>
      <c r="PKD6"/>
      <c r="PKE6"/>
      <c r="PKF6"/>
      <c r="PKG6"/>
      <c r="PKH6"/>
      <c r="PKI6"/>
      <c r="PKJ6"/>
      <c r="PKK6"/>
      <c r="PKL6"/>
      <c r="PKM6"/>
      <c r="PKN6"/>
      <c r="PKO6"/>
      <c r="PKP6"/>
      <c r="PKQ6"/>
      <c r="PKR6"/>
      <c r="PKS6"/>
      <c r="PKT6"/>
      <c r="PKU6"/>
      <c r="PKV6"/>
      <c r="PKW6"/>
      <c r="PKX6"/>
      <c r="PKY6"/>
      <c r="PKZ6"/>
      <c r="PLA6"/>
      <c r="PLB6"/>
      <c r="PLC6"/>
      <c r="PLD6"/>
      <c r="PLE6"/>
      <c r="PLF6"/>
      <c r="PLG6"/>
      <c r="PLH6"/>
      <c r="PLI6"/>
      <c r="PLJ6"/>
      <c r="PLK6"/>
      <c r="PLL6"/>
      <c r="PLM6"/>
      <c r="PLN6"/>
      <c r="PLO6"/>
      <c r="PLP6"/>
      <c r="PLQ6"/>
      <c r="PLR6"/>
      <c r="PLS6"/>
      <c r="PLT6"/>
      <c r="PLU6"/>
      <c r="PLV6"/>
      <c r="PLW6"/>
      <c r="PLX6"/>
      <c r="PLY6"/>
      <c r="PLZ6"/>
      <c r="PMA6"/>
      <c r="PMB6"/>
      <c r="PMC6"/>
      <c r="PMD6"/>
      <c r="PME6"/>
      <c r="PMF6"/>
      <c r="PMG6"/>
      <c r="PMH6"/>
      <c r="PMI6"/>
      <c r="PMJ6"/>
      <c r="PMK6"/>
      <c r="PML6"/>
      <c r="PMM6"/>
      <c r="PMN6"/>
      <c r="PMO6"/>
      <c r="PMP6"/>
      <c r="PMQ6"/>
      <c r="PMR6"/>
      <c r="PMS6"/>
      <c r="PMT6"/>
      <c r="PMU6"/>
      <c r="PMV6"/>
      <c r="PMW6"/>
      <c r="PMX6"/>
      <c r="PMY6"/>
      <c r="PMZ6"/>
      <c r="PNA6"/>
      <c r="PNB6"/>
      <c r="PNC6"/>
      <c r="PND6"/>
      <c r="PNE6"/>
      <c r="PNF6"/>
      <c r="PNG6"/>
      <c r="PNH6"/>
      <c r="PNI6"/>
      <c r="PNJ6"/>
      <c r="PNK6"/>
      <c r="PNL6"/>
      <c r="PNM6"/>
      <c r="PNN6"/>
      <c r="PNO6"/>
      <c r="PNP6"/>
      <c r="PNQ6"/>
      <c r="PNR6"/>
      <c r="PNS6"/>
      <c r="PNT6"/>
      <c r="PNU6"/>
      <c r="PNV6"/>
      <c r="PNW6"/>
      <c r="PNX6"/>
      <c r="PNY6"/>
      <c r="PNZ6"/>
      <c r="POA6"/>
      <c r="POB6"/>
      <c r="POC6"/>
      <c r="POD6"/>
      <c r="POE6"/>
      <c r="POF6"/>
      <c r="POG6"/>
      <c r="POH6"/>
      <c r="POI6"/>
      <c r="POJ6"/>
      <c r="POK6"/>
      <c r="POL6"/>
      <c r="POM6"/>
      <c r="PON6"/>
      <c r="POO6"/>
      <c r="POP6"/>
      <c r="POQ6"/>
      <c r="POR6"/>
      <c r="POS6"/>
      <c r="POT6"/>
      <c r="POU6"/>
      <c r="POV6"/>
      <c r="POW6"/>
      <c r="POX6"/>
      <c r="POY6"/>
      <c r="POZ6"/>
      <c r="PPA6"/>
      <c r="PPB6"/>
      <c r="PPC6"/>
      <c r="PPD6"/>
      <c r="PPE6"/>
      <c r="PPF6"/>
      <c r="PPG6"/>
      <c r="PPH6"/>
      <c r="PPI6"/>
      <c r="PPJ6"/>
      <c r="PPK6"/>
      <c r="PPL6"/>
      <c r="PPM6"/>
      <c r="PPN6"/>
      <c r="PPO6"/>
      <c r="PPP6"/>
      <c r="PPQ6"/>
      <c r="PPR6"/>
      <c r="PPS6"/>
      <c r="PPT6"/>
      <c r="PPU6"/>
      <c r="PPV6"/>
      <c r="PPW6"/>
      <c r="PPX6"/>
      <c r="PPY6"/>
      <c r="PPZ6"/>
      <c r="PQA6"/>
      <c r="PQB6"/>
      <c r="PQC6"/>
      <c r="PQD6"/>
      <c r="PQE6"/>
      <c r="PQF6"/>
      <c r="PQG6"/>
      <c r="PQH6"/>
      <c r="PQI6"/>
      <c r="PQJ6"/>
      <c r="PQK6"/>
      <c r="PQL6"/>
      <c r="PQM6"/>
      <c r="PQN6"/>
      <c r="PQO6"/>
      <c r="PQP6"/>
      <c r="PQQ6"/>
      <c r="PQR6"/>
      <c r="PQS6"/>
      <c r="PQT6"/>
      <c r="PQU6"/>
      <c r="PQV6"/>
      <c r="PQW6"/>
      <c r="PQX6"/>
      <c r="PQY6"/>
      <c r="PQZ6"/>
      <c r="PRA6"/>
      <c r="PRB6"/>
      <c r="PRC6"/>
      <c r="PRD6"/>
      <c r="PRE6"/>
      <c r="PRF6"/>
      <c r="PRG6"/>
      <c r="PRH6"/>
      <c r="PRI6"/>
      <c r="PRJ6"/>
      <c r="PRK6"/>
      <c r="PRL6"/>
      <c r="PRM6"/>
      <c r="PRN6"/>
      <c r="PRO6"/>
      <c r="PRP6"/>
      <c r="PRQ6"/>
      <c r="PRR6"/>
      <c r="PRS6"/>
      <c r="PRT6"/>
      <c r="PRU6"/>
      <c r="PRV6"/>
      <c r="PRW6"/>
      <c r="PRX6"/>
      <c r="PRY6"/>
      <c r="PRZ6"/>
      <c r="PSA6"/>
      <c r="PSB6"/>
      <c r="PSC6"/>
      <c r="PSD6"/>
      <c r="PSE6"/>
      <c r="PSF6"/>
      <c r="PSG6"/>
      <c r="PSH6"/>
      <c r="PSI6"/>
      <c r="PSJ6"/>
      <c r="PSK6"/>
      <c r="PSL6"/>
      <c r="PSM6"/>
      <c r="PSN6"/>
      <c r="PSO6"/>
      <c r="PSP6"/>
      <c r="PSQ6"/>
      <c r="PSR6"/>
      <c r="PSS6"/>
      <c r="PST6"/>
      <c r="PSU6"/>
      <c r="PSV6"/>
      <c r="PSW6"/>
      <c r="PSX6"/>
      <c r="PSY6"/>
      <c r="PSZ6"/>
      <c r="PTA6"/>
      <c r="PTB6"/>
      <c r="PTC6"/>
      <c r="PTD6"/>
      <c r="PTE6"/>
      <c r="PTF6"/>
      <c r="PTG6"/>
      <c r="PTH6"/>
      <c r="PTI6"/>
      <c r="PTJ6"/>
      <c r="PTK6"/>
      <c r="PTL6"/>
      <c r="PTM6"/>
      <c r="PTN6"/>
      <c r="PTO6"/>
      <c r="PTP6"/>
      <c r="PTQ6"/>
      <c r="PTR6"/>
      <c r="PTS6"/>
      <c r="PTT6"/>
      <c r="PTU6"/>
      <c r="PTV6"/>
      <c r="PTW6"/>
      <c r="PTX6"/>
      <c r="PTY6"/>
      <c r="PTZ6"/>
      <c r="PUA6"/>
      <c r="PUB6"/>
      <c r="PUC6"/>
      <c r="PUD6"/>
      <c r="PUE6"/>
      <c r="PUF6"/>
      <c r="PUG6"/>
      <c r="PUH6"/>
      <c r="PUI6"/>
      <c r="PUJ6"/>
      <c r="PUK6"/>
      <c r="PUL6"/>
      <c r="PUM6"/>
      <c r="PUN6"/>
      <c r="PUO6"/>
      <c r="PUP6"/>
      <c r="PUQ6"/>
      <c r="PUR6"/>
      <c r="PUS6"/>
      <c r="PUT6"/>
      <c r="PUU6"/>
      <c r="PUV6"/>
      <c r="PUW6"/>
      <c r="PUX6"/>
      <c r="PUY6"/>
      <c r="PUZ6"/>
      <c r="PVA6"/>
      <c r="PVB6"/>
      <c r="PVC6"/>
      <c r="PVD6"/>
      <c r="PVE6"/>
      <c r="PVF6"/>
      <c r="PVG6"/>
      <c r="PVH6"/>
      <c r="PVI6"/>
      <c r="PVJ6"/>
      <c r="PVK6"/>
      <c r="PVL6"/>
      <c r="PVM6"/>
      <c r="PVN6"/>
      <c r="PVO6"/>
      <c r="PVP6"/>
      <c r="PVQ6"/>
      <c r="PVR6"/>
      <c r="PVS6"/>
      <c r="PVT6"/>
      <c r="PVU6"/>
      <c r="PVV6"/>
      <c r="PVW6"/>
      <c r="PVX6"/>
      <c r="PVY6"/>
      <c r="PVZ6"/>
      <c r="PWA6"/>
      <c r="PWB6"/>
      <c r="PWC6"/>
      <c r="PWD6"/>
      <c r="PWE6"/>
      <c r="PWF6"/>
      <c r="PWG6"/>
      <c r="PWH6"/>
      <c r="PWI6"/>
      <c r="PWJ6"/>
      <c r="PWK6"/>
      <c r="PWL6"/>
      <c r="PWM6"/>
      <c r="PWN6"/>
      <c r="PWO6"/>
      <c r="PWP6"/>
      <c r="PWQ6"/>
      <c r="PWR6"/>
      <c r="PWS6"/>
      <c r="PWT6"/>
      <c r="PWU6"/>
      <c r="PWV6"/>
      <c r="PWW6"/>
      <c r="PWX6"/>
      <c r="PWY6"/>
      <c r="PWZ6"/>
      <c r="PXA6"/>
      <c r="PXB6"/>
      <c r="PXC6"/>
      <c r="PXD6"/>
      <c r="PXE6"/>
      <c r="PXF6"/>
      <c r="PXG6"/>
      <c r="PXH6"/>
      <c r="PXI6"/>
      <c r="PXJ6"/>
      <c r="PXK6"/>
      <c r="PXL6"/>
      <c r="PXM6"/>
      <c r="PXN6"/>
      <c r="PXO6"/>
      <c r="PXP6"/>
      <c r="PXQ6"/>
      <c r="PXR6"/>
      <c r="PXS6"/>
      <c r="PXT6"/>
      <c r="PXU6"/>
      <c r="PXV6"/>
      <c r="PXW6"/>
      <c r="PXX6"/>
      <c r="PXY6"/>
      <c r="PXZ6"/>
      <c r="PYA6"/>
      <c r="PYB6"/>
      <c r="PYC6"/>
      <c r="PYD6"/>
      <c r="PYE6"/>
      <c r="PYF6"/>
      <c r="PYG6"/>
      <c r="PYH6"/>
      <c r="PYI6"/>
      <c r="PYJ6"/>
      <c r="PYK6"/>
      <c r="PYL6"/>
      <c r="PYM6"/>
      <c r="PYN6"/>
      <c r="PYO6"/>
      <c r="PYP6"/>
      <c r="PYQ6"/>
      <c r="PYR6"/>
      <c r="PYS6"/>
      <c r="PYT6"/>
      <c r="PYU6"/>
      <c r="PYV6"/>
      <c r="PYW6"/>
      <c r="PYX6"/>
      <c r="PYY6"/>
      <c r="PYZ6"/>
      <c r="PZA6"/>
      <c r="PZB6"/>
      <c r="PZC6"/>
      <c r="PZD6"/>
      <c r="PZE6"/>
      <c r="PZF6"/>
      <c r="PZG6"/>
      <c r="PZH6"/>
      <c r="PZI6"/>
      <c r="PZJ6"/>
      <c r="PZK6"/>
      <c r="PZL6"/>
      <c r="PZM6"/>
      <c r="PZN6"/>
      <c r="PZO6"/>
      <c r="PZP6"/>
      <c r="PZQ6"/>
      <c r="PZR6"/>
      <c r="PZS6"/>
      <c r="PZT6"/>
      <c r="PZU6"/>
      <c r="PZV6"/>
      <c r="PZW6"/>
      <c r="PZX6"/>
      <c r="PZY6"/>
      <c r="PZZ6"/>
      <c r="QAA6"/>
      <c r="QAB6"/>
      <c r="QAC6"/>
      <c r="QAD6"/>
      <c r="QAE6"/>
      <c r="QAF6"/>
      <c r="QAG6"/>
      <c r="QAH6"/>
      <c r="QAI6"/>
      <c r="QAJ6"/>
      <c r="QAK6"/>
      <c r="QAL6"/>
      <c r="QAM6"/>
      <c r="QAN6"/>
      <c r="QAO6"/>
      <c r="QAP6"/>
      <c r="QAQ6"/>
      <c r="QAR6"/>
      <c r="QAS6"/>
      <c r="QAT6"/>
      <c r="QAU6"/>
      <c r="QAV6"/>
      <c r="QAW6"/>
      <c r="QAX6"/>
      <c r="QAY6"/>
      <c r="QAZ6"/>
      <c r="QBA6"/>
      <c r="QBB6"/>
      <c r="QBC6"/>
      <c r="QBD6"/>
      <c r="QBE6"/>
      <c r="QBF6"/>
      <c r="QBG6"/>
      <c r="QBH6"/>
      <c r="QBI6"/>
      <c r="QBJ6"/>
      <c r="QBK6"/>
      <c r="QBL6"/>
      <c r="QBM6"/>
      <c r="QBN6"/>
      <c r="QBO6"/>
      <c r="QBP6"/>
      <c r="QBQ6"/>
      <c r="QBR6"/>
      <c r="QBS6"/>
      <c r="QBT6"/>
      <c r="QBU6"/>
      <c r="QBV6"/>
      <c r="QBW6"/>
      <c r="QBX6"/>
      <c r="QBY6"/>
      <c r="QBZ6"/>
      <c r="QCA6"/>
      <c r="QCB6"/>
      <c r="QCC6"/>
      <c r="QCD6"/>
      <c r="QCE6"/>
      <c r="QCF6"/>
      <c r="QCG6"/>
      <c r="QCH6"/>
      <c r="QCI6"/>
      <c r="QCJ6"/>
      <c r="QCK6"/>
      <c r="QCL6"/>
      <c r="QCM6"/>
      <c r="QCN6"/>
      <c r="QCO6"/>
      <c r="QCP6"/>
      <c r="QCQ6"/>
      <c r="QCR6"/>
      <c r="QCS6"/>
      <c r="QCT6"/>
      <c r="QCU6"/>
      <c r="QCV6"/>
      <c r="QCW6"/>
      <c r="QCX6"/>
      <c r="QCY6"/>
      <c r="QCZ6"/>
      <c r="QDA6"/>
      <c r="QDB6"/>
      <c r="QDC6"/>
      <c r="QDD6"/>
      <c r="QDE6"/>
      <c r="QDF6"/>
      <c r="QDG6"/>
      <c r="QDH6"/>
      <c r="QDI6"/>
      <c r="QDJ6"/>
      <c r="QDK6"/>
      <c r="QDL6"/>
      <c r="QDM6"/>
      <c r="QDN6"/>
      <c r="QDO6"/>
      <c r="QDP6"/>
      <c r="QDQ6"/>
      <c r="QDR6"/>
      <c r="QDS6"/>
      <c r="QDT6"/>
      <c r="QDU6"/>
      <c r="QDV6"/>
      <c r="QDW6"/>
      <c r="QDX6"/>
      <c r="QDY6"/>
      <c r="QDZ6"/>
      <c r="QEA6"/>
      <c r="QEB6"/>
      <c r="QEC6"/>
      <c r="QED6"/>
      <c r="QEE6"/>
      <c r="QEF6"/>
      <c r="QEG6"/>
      <c r="QEH6"/>
      <c r="QEI6"/>
      <c r="QEJ6"/>
      <c r="QEK6"/>
      <c r="QEL6"/>
      <c r="QEM6"/>
      <c r="QEN6"/>
      <c r="QEO6"/>
      <c r="QEP6"/>
      <c r="QEQ6"/>
      <c r="QER6"/>
      <c r="QES6"/>
      <c r="QET6"/>
      <c r="QEU6"/>
      <c r="QEV6"/>
      <c r="QEW6"/>
      <c r="QEX6"/>
      <c r="QEY6"/>
      <c r="QEZ6"/>
      <c r="QFA6"/>
      <c r="QFB6"/>
      <c r="QFC6"/>
      <c r="QFD6"/>
      <c r="QFE6"/>
      <c r="QFF6"/>
      <c r="QFG6"/>
      <c r="QFH6"/>
      <c r="QFI6"/>
      <c r="QFJ6"/>
      <c r="QFK6"/>
      <c r="QFL6"/>
      <c r="QFM6"/>
      <c r="QFN6"/>
      <c r="QFO6"/>
      <c r="QFP6"/>
      <c r="QFQ6"/>
      <c r="QFR6"/>
      <c r="QFS6"/>
      <c r="QFT6"/>
      <c r="QFU6"/>
      <c r="QFV6"/>
      <c r="QFW6"/>
      <c r="QFX6"/>
      <c r="QFY6"/>
      <c r="QFZ6"/>
      <c r="QGA6"/>
      <c r="QGB6"/>
      <c r="QGC6"/>
      <c r="QGD6"/>
      <c r="QGE6"/>
      <c r="QGF6"/>
      <c r="QGG6"/>
      <c r="QGH6"/>
      <c r="QGI6"/>
      <c r="QGJ6"/>
      <c r="QGK6"/>
      <c r="QGL6"/>
      <c r="QGM6"/>
      <c r="QGN6"/>
      <c r="QGO6"/>
      <c r="QGP6"/>
      <c r="QGQ6"/>
      <c r="QGR6"/>
      <c r="QGS6"/>
      <c r="QGT6"/>
      <c r="QGU6"/>
      <c r="QGV6"/>
      <c r="QGW6"/>
      <c r="QGX6"/>
      <c r="QGY6"/>
      <c r="QGZ6"/>
      <c r="QHA6"/>
      <c r="QHB6"/>
      <c r="QHC6"/>
      <c r="QHD6"/>
      <c r="QHE6"/>
      <c r="QHF6"/>
      <c r="QHG6"/>
      <c r="QHH6"/>
      <c r="QHI6"/>
      <c r="QHJ6"/>
      <c r="QHK6"/>
      <c r="QHL6"/>
      <c r="QHM6"/>
      <c r="QHN6"/>
      <c r="QHO6"/>
      <c r="QHP6"/>
      <c r="QHQ6"/>
      <c r="QHR6"/>
      <c r="QHS6"/>
      <c r="QHT6"/>
      <c r="QHU6"/>
      <c r="QHV6"/>
      <c r="QHW6"/>
      <c r="QHX6"/>
      <c r="QHY6"/>
      <c r="QHZ6"/>
      <c r="QIA6"/>
      <c r="QIB6"/>
      <c r="QIC6"/>
      <c r="QID6"/>
      <c r="QIE6"/>
      <c r="QIF6"/>
      <c r="QIG6"/>
      <c r="QIH6"/>
      <c r="QII6"/>
      <c r="QIJ6"/>
      <c r="QIK6"/>
      <c r="QIL6"/>
      <c r="QIM6"/>
      <c r="QIN6"/>
      <c r="QIO6"/>
      <c r="QIP6"/>
      <c r="QIQ6"/>
      <c r="QIR6"/>
      <c r="QIS6"/>
      <c r="QIT6"/>
      <c r="QIU6"/>
      <c r="QIV6"/>
      <c r="QIW6"/>
      <c r="QIX6"/>
      <c r="QIY6"/>
      <c r="QIZ6"/>
      <c r="QJA6"/>
      <c r="QJB6"/>
      <c r="QJC6"/>
      <c r="QJD6"/>
      <c r="QJE6"/>
      <c r="QJF6"/>
      <c r="QJG6"/>
      <c r="QJH6"/>
      <c r="QJI6"/>
      <c r="QJJ6"/>
      <c r="QJK6"/>
      <c r="QJL6"/>
      <c r="QJM6"/>
      <c r="QJN6"/>
      <c r="QJO6"/>
      <c r="QJP6"/>
      <c r="QJQ6"/>
      <c r="QJR6"/>
      <c r="QJS6"/>
      <c r="QJT6"/>
      <c r="QJU6"/>
      <c r="QJV6"/>
      <c r="QJW6"/>
      <c r="QJX6"/>
      <c r="QJY6"/>
      <c r="QJZ6"/>
      <c r="QKA6"/>
      <c r="QKB6"/>
      <c r="QKC6"/>
      <c r="QKD6"/>
      <c r="QKE6"/>
      <c r="QKF6"/>
      <c r="QKG6"/>
      <c r="QKH6"/>
      <c r="QKI6"/>
      <c r="QKJ6"/>
      <c r="QKK6"/>
      <c r="QKL6"/>
      <c r="QKM6"/>
      <c r="QKN6"/>
      <c r="QKO6"/>
      <c r="QKP6"/>
      <c r="QKQ6"/>
      <c r="QKR6"/>
      <c r="QKS6"/>
      <c r="QKT6"/>
      <c r="QKU6"/>
      <c r="QKV6"/>
      <c r="QKW6"/>
      <c r="QKX6"/>
      <c r="QKY6"/>
      <c r="QKZ6"/>
      <c r="QLA6"/>
      <c r="QLB6"/>
      <c r="QLC6"/>
      <c r="QLD6"/>
      <c r="QLE6"/>
      <c r="QLF6"/>
      <c r="QLG6"/>
      <c r="QLH6"/>
      <c r="QLI6"/>
      <c r="QLJ6"/>
      <c r="QLK6"/>
      <c r="QLL6"/>
      <c r="QLM6"/>
      <c r="QLN6"/>
      <c r="QLO6"/>
      <c r="QLP6"/>
      <c r="QLQ6"/>
      <c r="QLR6"/>
      <c r="QLS6"/>
      <c r="QLT6"/>
      <c r="QLU6"/>
      <c r="QLV6"/>
      <c r="QLW6"/>
      <c r="QLX6"/>
      <c r="QLY6"/>
      <c r="QLZ6"/>
      <c r="QMA6"/>
      <c r="QMB6"/>
      <c r="QMC6"/>
      <c r="QMD6"/>
      <c r="QME6"/>
      <c r="QMF6"/>
      <c r="QMG6"/>
      <c r="QMH6"/>
      <c r="QMI6"/>
      <c r="QMJ6"/>
      <c r="QMK6"/>
      <c r="QML6"/>
      <c r="QMM6"/>
      <c r="QMN6"/>
      <c r="QMO6"/>
      <c r="QMP6"/>
      <c r="QMQ6"/>
      <c r="QMR6"/>
      <c r="QMS6"/>
      <c r="QMT6"/>
      <c r="QMU6"/>
      <c r="QMV6"/>
      <c r="QMW6"/>
      <c r="QMX6"/>
      <c r="QMY6"/>
      <c r="QMZ6"/>
      <c r="QNA6"/>
      <c r="QNB6"/>
      <c r="QNC6"/>
      <c r="QND6"/>
      <c r="QNE6"/>
      <c r="QNF6"/>
      <c r="QNG6"/>
      <c r="QNH6"/>
      <c r="QNI6"/>
      <c r="QNJ6"/>
      <c r="QNK6"/>
      <c r="QNL6"/>
      <c r="QNM6"/>
      <c r="QNN6"/>
      <c r="QNO6"/>
      <c r="QNP6"/>
      <c r="QNQ6"/>
      <c r="QNR6"/>
      <c r="QNS6"/>
      <c r="QNT6"/>
      <c r="QNU6"/>
      <c r="QNV6"/>
      <c r="QNW6"/>
      <c r="QNX6"/>
      <c r="QNY6"/>
      <c r="QNZ6"/>
      <c r="QOA6"/>
      <c r="QOB6"/>
      <c r="QOC6"/>
      <c r="QOD6"/>
      <c r="QOE6"/>
      <c r="QOF6"/>
      <c r="QOG6"/>
      <c r="QOH6"/>
      <c r="QOI6"/>
      <c r="QOJ6"/>
      <c r="QOK6"/>
      <c r="QOL6"/>
      <c r="QOM6"/>
      <c r="QON6"/>
      <c r="QOO6"/>
      <c r="QOP6"/>
      <c r="QOQ6"/>
      <c r="QOR6"/>
      <c r="QOS6"/>
      <c r="QOT6"/>
      <c r="QOU6"/>
      <c r="QOV6"/>
      <c r="QOW6"/>
      <c r="QOX6"/>
      <c r="QOY6"/>
      <c r="QOZ6"/>
      <c r="QPA6"/>
      <c r="QPB6"/>
      <c r="QPC6"/>
      <c r="QPD6"/>
      <c r="QPE6"/>
      <c r="QPF6"/>
      <c r="QPG6"/>
      <c r="QPH6"/>
      <c r="QPI6"/>
      <c r="QPJ6"/>
      <c r="QPK6"/>
      <c r="QPL6"/>
      <c r="QPM6"/>
      <c r="QPN6"/>
      <c r="QPO6"/>
      <c r="QPP6"/>
      <c r="QPQ6"/>
      <c r="QPR6"/>
      <c r="QPS6"/>
      <c r="QPT6"/>
      <c r="QPU6"/>
      <c r="QPV6"/>
      <c r="QPW6"/>
      <c r="QPX6"/>
      <c r="QPY6"/>
      <c r="QPZ6"/>
      <c r="QQA6"/>
      <c r="QQB6"/>
      <c r="QQC6"/>
      <c r="QQD6"/>
      <c r="QQE6"/>
      <c r="QQF6"/>
      <c r="QQG6"/>
      <c r="QQH6"/>
      <c r="QQI6"/>
      <c r="QQJ6"/>
      <c r="QQK6"/>
      <c r="QQL6"/>
      <c r="QQM6"/>
      <c r="QQN6"/>
      <c r="QQO6"/>
      <c r="QQP6"/>
      <c r="QQQ6"/>
      <c r="QQR6"/>
      <c r="QQS6"/>
      <c r="QQT6"/>
      <c r="QQU6"/>
      <c r="QQV6"/>
      <c r="QQW6"/>
      <c r="QQX6"/>
      <c r="QQY6"/>
      <c r="QQZ6"/>
      <c r="QRA6"/>
      <c r="QRB6"/>
      <c r="QRC6"/>
      <c r="QRD6"/>
      <c r="QRE6"/>
      <c r="QRF6"/>
      <c r="QRG6"/>
      <c r="QRH6"/>
      <c r="QRI6"/>
      <c r="QRJ6"/>
      <c r="QRK6"/>
      <c r="QRL6"/>
      <c r="QRM6"/>
      <c r="QRN6"/>
      <c r="QRO6"/>
      <c r="QRP6"/>
      <c r="QRQ6"/>
      <c r="QRR6"/>
      <c r="QRS6"/>
      <c r="QRT6"/>
      <c r="QRU6"/>
      <c r="QRV6"/>
      <c r="QRW6"/>
      <c r="QRX6"/>
      <c r="QRY6"/>
      <c r="QRZ6"/>
      <c r="QSA6"/>
      <c r="QSB6"/>
      <c r="QSC6"/>
      <c r="QSD6"/>
      <c r="QSE6"/>
      <c r="QSF6"/>
      <c r="QSG6"/>
      <c r="QSH6"/>
      <c r="QSI6"/>
      <c r="QSJ6"/>
      <c r="QSK6"/>
      <c r="QSL6"/>
      <c r="QSM6"/>
      <c r="QSN6"/>
      <c r="QSO6"/>
      <c r="QSP6"/>
      <c r="QSQ6"/>
      <c r="QSR6"/>
      <c r="QSS6"/>
      <c r="QST6"/>
      <c r="QSU6"/>
      <c r="QSV6"/>
      <c r="QSW6"/>
      <c r="QSX6"/>
      <c r="QSY6"/>
      <c r="QSZ6"/>
      <c r="QTA6"/>
      <c r="QTB6"/>
      <c r="QTC6"/>
      <c r="QTD6"/>
      <c r="QTE6"/>
      <c r="QTF6"/>
      <c r="QTG6"/>
      <c r="QTH6"/>
      <c r="QTI6"/>
      <c r="QTJ6"/>
      <c r="QTK6"/>
      <c r="QTL6"/>
      <c r="QTM6"/>
      <c r="QTN6"/>
      <c r="QTO6"/>
      <c r="QTP6"/>
      <c r="QTQ6"/>
      <c r="QTR6"/>
      <c r="QTS6"/>
      <c r="QTT6"/>
      <c r="QTU6"/>
      <c r="QTV6"/>
      <c r="QTW6"/>
      <c r="QTX6"/>
      <c r="QTY6"/>
      <c r="QTZ6"/>
      <c r="QUA6"/>
      <c r="QUB6"/>
      <c r="QUC6"/>
      <c r="QUD6"/>
      <c r="QUE6"/>
      <c r="QUF6"/>
      <c r="QUG6"/>
      <c r="QUH6"/>
      <c r="QUI6"/>
      <c r="QUJ6"/>
      <c r="QUK6"/>
      <c r="QUL6"/>
      <c r="QUM6"/>
      <c r="QUN6"/>
      <c r="QUO6"/>
      <c r="QUP6"/>
      <c r="QUQ6"/>
      <c r="QUR6"/>
      <c r="QUS6"/>
      <c r="QUT6"/>
      <c r="QUU6"/>
      <c r="QUV6"/>
      <c r="QUW6"/>
      <c r="QUX6"/>
      <c r="QUY6"/>
      <c r="QUZ6"/>
      <c r="QVA6"/>
      <c r="QVB6"/>
      <c r="QVC6"/>
      <c r="QVD6"/>
      <c r="QVE6"/>
      <c r="QVF6"/>
      <c r="QVG6"/>
      <c r="QVH6"/>
      <c r="QVI6"/>
      <c r="QVJ6"/>
      <c r="QVK6"/>
      <c r="QVL6"/>
      <c r="QVM6"/>
      <c r="QVN6"/>
      <c r="QVO6"/>
      <c r="QVP6"/>
      <c r="QVQ6"/>
      <c r="QVR6"/>
      <c r="QVS6"/>
      <c r="QVT6"/>
      <c r="QVU6"/>
      <c r="QVV6"/>
      <c r="QVW6"/>
      <c r="QVX6"/>
      <c r="QVY6"/>
      <c r="QVZ6"/>
      <c r="QWA6"/>
      <c r="QWB6"/>
      <c r="QWC6"/>
      <c r="QWD6"/>
      <c r="QWE6"/>
      <c r="QWF6"/>
      <c r="QWG6"/>
      <c r="QWH6"/>
      <c r="QWI6"/>
      <c r="QWJ6"/>
      <c r="QWK6"/>
      <c r="QWL6"/>
      <c r="QWM6"/>
      <c r="QWN6"/>
      <c r="QWO6"/>
      <c r="QWP6"/>
      <c r="QWQ6"/>
      <c r="QWR6"/>
      <c r="QWS6"/>
      <c r="QWT6"/>
      <c r="QWU6"/>
      <c r="QWV6"/>
      <c r="QWW6"/>
      <c r="QWX6"/>
      <c r="QWY6"/>
      <c r="QWZ6"/>
      <c r="QXA6"/>
      <c r="QXB6"/>
      <c r="QXC6"/>
      <c r="QXD6"/>
      <c r="QXE6"/>
      <c r="QXF6"/>
      <c r="QXG6"/>
      <c r="QXH6"/>
      <c r="QXI6"/>
      <c r="QXJ6"/>
      <c r="QXK6"/>
      <c r="QXL6"/>
      <c r="QXM6"/>
      <c r="QXN6"/>
      <c r="QXO6"/>
      <c r="QXP6"/>
      <c r="QXQ6"/>
      <c r="QXR6"/>
      <c r="QXS6"/>
      <c r="QXT6"/>
      <c r="QXU6"/>
      <c r="QXV6"/>
      <c r="QXW6"/>
      <c r="QXX6"/>
      <c r="QXY6"/>
      <c r="QXZ6"/>
      <c r="QYA6"/>
      <c r="QYB6"/>
      <c r="QYC6"/>
      <c r="QYD6"/>
      <c r="QYE6"/>
      <c r="QYF6"/>
      <c r="QYG6"/>
      <c r="QYH6"/>
      <c r="QYI6"/>
      <c r="QYJ6"/>
      <c r="QYK6"/>
      <c r="QYL6"/>
      <c r="QYM6"/>
      <c r="QYN6"/>
      <c r="QYO6"/>
      <c r="QYP6"/>
      <c r="QYQ6"/>
      <c r="QYR6"/>
      <c r="QYS6"/>
      <c r="QYT6"/>
      <c r="QYU6"/>
      <c r="QYV6"/>
      <c r="QYW6"/>
      <c r="QYX6"/>
      <c r="QYY6"/>
      <c r="QYZ6"/>
      <c r="QZA6"/>
      <c r="QZB6"/>
      <c r="QZC6"/>
      <c r="QZD6"/>
      <c r="QZE6"/>
      <c r="QZF6"/>
      <c r="QZG6"/>
      <c r="QZH6"/>
      <c r="QZI6"/>
      <c r="QZJ6"/>
      <c r="QZK6"/>
      <c r="QZL6"/>
      <c r="QZM6"/>
      <c r="QZN6"/>
      <c r="QZO6"/>
      <c r="QZP6"/>
      <c r="QZQ6"/>
      <c r="QZR6"/>
      <c r="QZS6"/>
      <c r="QZT6"/>
      <c r="QZU6"/>
      <c r="QZV6"/>
      <c r="QZW6"/>
      <c r="QZX6"/>
      <c r="QZY6"/>
      <c r="QZZ6"/>
      <c r="RAA6"/>
      <c r="RAB6"/>
      <c r="RAC6"/>
      <c r="RAD6"/>
      <c r="RAE6"/>
      <c r="RAF6"/>
      <c r="RAG6"/>
      <c r="RAH6"/>
      <c r="RAI6"/>
      <c r="RAJ6"/>
      <c r="RAK6"/>
      <c r="RAL6"/>
      <c r="RAM6"/>
      <c r="RAN6"/>
      <c r="RAO6"/>
      <c r="RAP6"/>
      <c r="RAQ6"/>
      <c r="RAR6"/>
      <c r="RAS6"/>
      <c r="RAT6"/>
      <c r="RAU6"/>
      <c r="RAV6"/>
      <c r="RAW6"/>
      <c r="RAX6"/>
      <c r="RAY6"/>
      <c r="RAZ6"/>
      <c r="RBA6"/>
      <c r="RBB6"/>
      <c r="RBC6"/>
      <c r="RBD6"/>
      <c r="RBE6"/>
      <c r="RBF6"/>
      <c r="RBG6"/>
      <c r="RBH6"/>
      <c r="RBI6"/>
      <c r="RBJ6"/>
      <c r="RBK6"/>
      <c r="RBL6"/>
      <c r="RBM6"/>
      <c r="RBN6"/>
      <c r="RBO6"/>
      <c r="RBP6"/>
      <c r="RBQ6"/>
      <c r="RBR6"/>
      <c r="RBS6"/>
      <c r="RBT6"/>
      <c r="RBU6"/>
      <c r="RBV6"/>
      <c r="RBW6"/>
      <c r="RBX6"/>
      <c r="RBY6"/>
      <c r="RBZ6"/>
      <c r="RCA6"/>
      <c r="RCB6"/>
      <c r="RCC6"/>
      <c r="RCD6"/>
      <c r="RCE6"/>
      <c r="RCF6"/>
      <c r="RCG6"/>
      <c r="RCH6"/>
      <c r="RCI6"/>
      <c r="RCJ6"/>
      <c r="RCK6"/>
      <c r="RCL6"/>
      <c r="RCM6"/>
      <c r="RCN6"/>
      <c r="RCO6"/>
      <c r="RCP6"/>
      <c r="RCQ6"/>
      <c r="RCR6"/>
      <c r="RCS6"/>
      <c r="RCT6"/>
      <c r="RCU6"/>
      <c r="RCV6"/>
      <c r="RCW6"/>
      <c r="RCX6"/>
      <c r="RCY6"/>
      <c r="RCZ6"/>
      <c r="RDA6"/>
      <c r="RDB6"/>
      <c r="RDC6"/>
      <c r="RDD6"/>
      <c r="RDE6"/>
      <c r="RDF6"/>
      <c r="RDG6"/>
      <c r="RDH6"/>
      <c r="RDI6"/>
      <c r="RDJ6"/>
      <c r="RDK6"/>
      <c r="RDL6"/>
      <c r="RDM6"/>
      <c r="RDN6"/>
      <c r="RDO6"/>
      <c r="RDP6"/>
      <c r="RDQ6"/>
      <c r="RDR6"/>
      <c r="RDS6"/>
      <c r="RDT6"/>
      <c r="RDU6"/>
      <c r="RDV6"/>
      <c r="RDW6"/>
      <c r="RDX6"/>
      <c r="RDY6"/>
      <c r="RDZ6"/>
      <c r="REA6"/>
      <c r="REB6"/>
      <c r="REC6"/>
      <c r="RED6"/>
      <c r="REE6"/>
      <c r="REF6"/>
      <c r="REG6"/>
      <c r="REH6"/>
      <c r="REI6"/>
      <c r="REJ6"/>
      <c r="REK6"/>
      <c r="REL6"/>
      <c r="REM6"/>
      <c r="REN6"/>
      <c r="REO6"/>
      <c r="REP6"/>
      <c r="REQ6"/>
      <c r="RER6"/>
      <c r="RES6"/>
      <c r="RET6"/>
      <c r="REU6"/>
      <c r="REV6"/>
      <c r="REW6"/>
      <c r="REX6"/>
      <c r="REY6"/>
      <c r="REZ6"/>
      <c r="RFA6"/>
      <c r="RFB6"/>
      <c r="RFC6"/>
      <c r="RFD6"/>
      <c r="RFE6"/>
      <c r="RFF6"/>
      <c r="RFG6"/>
      <c r="RFH6"/>
      <c r="RFI6"/>
      <c r="RFJ6"/>
      <c r="RFK6"/>
      <c r="RFL6"/>
      <c r="RFM6"/>
      <c r="RFN6"/>
      <c r="RFO6"/>
      <c r="RFP6"/>
      <c r="RFQ6"/>
      <c r="RFR6"/>
      <c r="RFS6"/>
      <c r="RFT6"/>
      <c r="RFU6"/>
      <c r="RFV6"/>
      <c r="RFW6"/>
      <c r="RFX6"/>
      <c r="RFY6"/>
      <c r="RFZ6"/>
      <c r="RGA6"/>
      <c r="RGB6"/>
      <c r="RGC6"/>
      <c r="RGD6"/>
      <c r="RGE6"/>
      <c r="RGF6"/>
      <c r="RGG6"/>
      <c r="RGH6"/>
      <c r="RGI6"/>
      <c r="RGJ6"/>
      <c r="RGK6"/>
      <c r="RGL6"/>
      <c r="RGM6"/>
      <c r="RGN6"/>
      <c r="RGO6"/>
      <c r="RGP6"/>
      <c r="RGQ6"/>
      <c r="RGR6"/>
      <c r="RGS6"/>
      <c r="RGT6"/>
      <c r="RGU6"/>
      <c r="RGV6"/>
      <c r="RGW6"/>
      <c r="RGX6"/>
      <c r="RGY6"/>
      <c r="RGZ6"/>
      <c r="RHA6"/>
      <c r="RHB6"/>
      <c r="RHC6"/>
      <c r="RHD6"/>
      <c r="RHE6"/>
      <c r="RHF6"/>
      <c r="RHG6"/>
      <c r="RHH6"/>
      <c r="RHI6"/>
      <c r="RHJ6"/>
      <c r="RHK6"/>
      <c r="RHL6"/>
      <c r="RHM6"/>
      <c r="RHN6"/>
      <c r="RHO6"/>
      <c r="RHP6"/>
      <c r="RHQ6"/>
      <c r="RHR6"/>
      <c r="RHS6"/>
      <c r="RHT6"/>
      <c r="RHU6"/>
      <c r="RHV6"/>
      <c r="RHW6"/>
      <c r="RHX6"/>
      <c r="RHY6"/>
      <c r="RHZ6"/>
      <c r="RIA6"/>
      <c r="RIB6"/>
      <c r="RIC6"/>
      <c r="RID6"/>
      <c r="RIE6"/>
      <c r="RIF6"/>
      <c r="RIG6"/>
      <c r="RIH6"/>
      <c r="RII6"/>
      <c r="RIJ6"/>
      <c r="RIK6"/>
      <c r="RIL6"/>
      <c r="RIM6"/>
      <c r="RIN6"/>
      <c r="RIO6"/>
      <c r="RIP6"/>
      <c r="RIQ6"/>
      <c r="RIR6"/>
      <c r="RIS6"/>
      <c r="RIT6"/>
      <c r="RIU6"/>
      <c r="RIV6"/>
      <c r="RIW6"/>
      <c r="RIX6"/>
      <c r="RIY6"/>
      <c r="RIZ6"/>
      <c r="RJA6"/>
      <c r="RJB6"/>
      <c r="RJC6"/>
      <c r="RJD6"/>
      <c r="RJE6"/>
      <c r="RJF6"/>
      <c r="RJG6"/>
      <c r="RJH6"/>
      <c r="RJI6"/>
      <c r="RJJ6"/>
      <c r="RJK6"/>
      <c r="RJL6"/>
      <c r="RJM6"/>
      <c r="RJN6"/>
      <c r="RJO6"/>
      <c r="RJP6"/>
      <c r="RJQ6"/>
      <c r="RJR6"/>
      <c r="RJS6"/>
      <c r="RJT6"/>
      <c r="RJU6"/>
      <c r="RJV6"/>
      <c r="RJW6"/>
      <c r="RJX6"/>
      <c r="RJY6"/>
      <c r="RJZ6"/>
      <c r="RKA6"/>
      <c r="RKB6"/>
      <c r="RKC6"/>
      <c r="RKD6"/>
      <c r="RKE6"/>
      <c r="RKF6"/>
      <c r="RKG6"/>
      <c r="RKH6"/>
      <c r="RKI6"/>
      <c r="RKJ6"/>
      <c r="RKK6"/>
      <c r="RKL6"/>
      <c r="RKM6"/>
      <c r="RKN6"/>
      <c r="RKO6"/>
      <c r="RKP6"/>
      <c r="RKQ6"/>
      <c r="RKR6"/>
      <c r="RKS6"/>
      <c r="RKT6"/>
      <c r="RKU6"/>
      <c r="RKV6"/>
      <c r="RKW6"/>
      <c r="RKX6"/>
      <c r="RKY6"/>
      <c r="RKZ6"/>
      <c r="RLA6"/>
      <c r="RLB6"/>
      <c r="RLC6"/>
      <c r="RLD6"/>
      <c r="RLE6"/>
      <c r="RLF6"/>
      <c r="RLG6"/>
      <c r="RLH6"/>
      <c r="RLI6"/>
      <c r="RLJ6"/>
      <c r="RLK6"/>
      <c r="RLL6"/>
      <c r="RLM6"/>
      <c r="RLN6"/>
      <c r="RLO6"/>
      <c r="RLP6"/>
      <c r="RLQ6"/>
      <c r="RLR6"/>
      <c r="RLS6"/>
      <c r="RLT6"/>
      <c r="RLU6"/>
      <c r="RLV6"/>
      <c r="RLW6"/>
      <c r="RLX6"/>
      <c r="RLY6"/>
      <c r="RLZ6"/>
      <c r="RMA6"/>
      <c r="RMB6"/>
      <c r="RMC6"/>
      <c r="RMD6"/>
      <c r="RME6"/>
      <c r="RMF6"/>
      <c r="RMG6"/>
      <c r="RMH6"/>
      <c r="RMI6"/>
      <c r="RMJ6"/>
      <c r="RMK6"/>
      <c r="RML6"/>
      <c r="RMM6"/>
      <c r="RMN6"/>
      <c r="RMO6"/>
      <c r="RMP6"/>
      <c r="RMQ6"/>
      <c r="RMR6"/>
      <c r="RMS6"/>
      <c r="RMT6"/>
      <c r="RMU6"/>
      <c r="RMV6"/>
      <c r="RMW6"/>
      <c r="RMX6"/>
      <c r="RMY6"/>
      <c r="RMZ6"/>
      <c r="RNA6"/>
      <c r="RNB6"/>
      <c r="RNC6"/>
      <c r="RND6"/>
      <c r="RNE6"/>
      <c r="RNF6"/>
      <c r="RNG6"/>
      <c r="RNH6"/>
      <c r="RNI6"/>
      <c r="RNJ6"/>
      <c r="RNK6"/>
      <c r="RNL6"/>
      <c r="RNM6"/>
      <c r="RNN6"/>
      <c r="RNO6"/>
      <c r="RNP6"/>
      <c r="RNQ6"/>
      <c r="RNR6"/>
      <c r="RNS6"/>
      <c r="RNT6"/>
      <c r="RNU6"/>
      <c r="RNV6"/>
      <c r="RNW6"/>
      <c r="RNX6"/>
      <c r="RNY6"/>
      <c r="RNZ6"/>
      <c r="ROA6"/>
      <c r="ROB6"/>
      <c r="ROC6"/>
      <c r="ROD6"/>
      <c r="ROE6"/>
      <c r="ROF6"/>
      <c r="ROG6"/>
      <c r="ROH6"/>
      <c r="ROI6"/>
      <c r="ROJ6"/>
      <c r="ROK6"/>
      <c r="ROL6"/>
      <c r="ROM6"/>
      <c r="RON6"/>
      <c r="ROO6"/>
      <c r="ROP6"/>
      <c r="ROQ6"/>
      <c r="ROR6"/>
      <c r="ROS6"/>
      <c r="ROT6"/>
      <c r="ROU6"/>
      <c r="ROV6"/>
      <c r="ROW6"/>
      <c r="ROX6"/>
      <c r="ROY6"/>
      <c r="ROZ6"/>
      <c r="RPA6"/>
      <c r="RPB6"/>
      <c r="RPC6"/>
      <c r="RPD6"/>
      <c r="RPE6"/>
      <c r="RPF6"/>
      <c r="RPG6"/>
      <c r="RPH6"/>
      <c r="RPI6"/>
      <c r="RPJ6"/>
      <c r="RPK6"/>
      <c r="RPL6"/>
      <c r="RPM6"/>
      <c r="RPN6"/>
      <c r="RPO6"/>
      <c r="RPP6"/>
      <c r="RPQ6"/>
      <c r="RPR6"/>
      <c r="RPS6"/>
      <c r="RPT6"/>
      <c r="RPU6"/>
      <c r="RPV6"/>
      <c r="RPW6"/>
      <c r="RPX6"/>
      <c r="RPY6"/>
      <c r="RPZ6"/>
      <c r="RQA6"/>
      <c r="RQB6"/>
      <c r="RQC6"/>
      <c r="RQD6"/>
      <c r="RQE6"/>
      <c r="RQF6"/>
      <c r="RQG6"/>
      <c r="RQH6"/>
      <c r="RQI6"/>
      <c r="RQJ6"/>
      <c r="RQK6"/>
      <c r="RQL6"/>
      <c r="RQM6"/>
      <c r="RQN6"/>
      <c r="RQO6"/>
      <c r="RQP6"/>
      <c r="RQQ6"/>
      <c r="RQR6"/>
      <c r="RQS6"/>
      <c r="RQT6"/>
      <c r="RQU6"/>
      <c r="RQV6"/>
      <c r="RQW6"/>
      <c r="RQX6"/>
      <c r="RQY6"/>
      <c r="RQZ6"/>
      <c r="RRA6"/>
      <c r="RRB6"/>
      <c r="RRC6"/>
      <c r="RRD6"/>
      <c r="RRE6"/>
      <c r="RRF6"/>
      <c r="RRG6"/>
      <c r="RRH6"/>
      <c r="RRI6"/>
      <c r="RRJ6"/>
      <c r="RRK6"/>
      <c r="RRL6"/>
      <c r="RRM6"/>
      <c r="RRN6"/>
      <c r="RRO6"/>
      <c r="RRP6"/>
      <c r="RRQ6"/>
      <c r="RRR6"/>
      <c r="RRS6"/>
      <c r="RRT6"/>
      <c r="RRU6"/>
      <c r="RRV6"/>
      <c r="RRW6"/>
      <c r="RRX6"/>
      <c r="RRY6"/>
      <c r="RRZ6"/>
      <c r="RSA6"/>
      <c r="RSB6"/>
      <c r="RSC6"/>
      <c r="RSD6"/>
      <c r="RSE6"/>
      <c r="RSF6"/>
      <c r="RSG6"/>
      <c r="RSH6"/>
      <c r="RSI6"/>
      <c r="RSJ6"/>
      <c r="RSK6"/>
      <c r="RSL6"/>
      <c r="RSM6"/>
      <c r="RSN6"/>
      <c r="RSO6"/>
      <c r="RSP6"/>
      <c r="RSQ6"/>
      <c r="RSR6"/>
      <c r="RSS6"/>
      <c r="RST6"/>
      <c r="RSU6"/>
      <c r="RSV6"/>
      <c r="RSW6"/>
      <c r="RSX6"/>
      <c r="RSY6"/>
      <c r="RSZ6"/>
      <c r="RTA6"/>
      <c r="RTB6"/>
      <c r="RTC6"/>
      <c r="RTD6"/>
      <c r="RTE6"/>
      <c r="RTF6"/>
      <c r="RTG6"/>
      <c r="RTH6"/>
      <c r="RTI6"/>
      <c r="RTJ6"/>
      <c r="RTK6"/>
      <c r="RTL6"/>
      <c r="RTM6"/>
      <c r="RTN6"/>
      <c r="RTO6"/>
      <c r="RTP6"/>
      <c r="RTQ6"/>
      <c r="RTR6"/>
      <c r="RTS6"/>
      <c r="RTT6"/>
      <c r="RTU6"/>
      <c r="RTV6"/>
      <c r="RTW6"/>
      <c r="RTX6"/>
      <c r="RTY6"/>
      <c r="RTZ6"/>
      <c r="RUA6"/>
      <c r="RUB6"/>
      <c r="RUC6"/>
      <c r="RUD6"/>
      <c r="RUE6"/>
      <c r="RUF6"/>
      <c r="RUG6"/>
      <c r="RUH6"/>
      <c r="RUI6"/>
      <c r="RUJ6"/>
      <c r="RUK6"/>
      <c r="RUL6"/>
      <c r="RUM6"/>
      <c r="RUN6"/>
      <c r="RUO6"/>
      <c r="RUP6"/>
      <c r="RUQ6"/>
      <c r="RUR6"/>
      <c r="RUS6"/>
      <c r="RUT6"/>
      <c r="RUU6"/>
      <c r="RUV6"/>
      <c r="RUW6"/>
      <c r="RUX6"/>
      <c r="RUY6"/>
      <c r="RUZ6"/>
      <c r="RVA6"/>
      <c r="RVB6"/>
      <c r="RVC6"/>
      <c r="RVD6"/>
      <c r="RVE6"/>
      <c r="RVF6"/>
      <c r="RVG6"/>
      <c r="RVH6"/>
      <c r="RVI6"/>
      <c r="RVJ6"/>
      <c r="RVK6"/>
      <c r="RVL6"/>
      <c r="RVM6"/>
      <c r="RVN6"/>
      <c r="RVO6"/>
      <c r="RVP6"/>
      <c r="RVQ6"/>
      <c r="RVR6"/>
      <c r="RVS6"/>
      <c r="RVT6"/>
      <c r="RVU6"/>
      <c r="RVV6"/>
      <c r="RVW6"/>
      <c r="RVX6"/>
      <c r="RVY6"/>
      <c r="RVZ6"/>
      <c r="RWA6"/>
      <c r="RWB6"/>
      <c r="RWC6"/>
      <c r="RWD6"/>
      <c r="RWE6"/>
      <c r="RWF6"/>
      <c r="RWG6"/>
      <c r="RWH6"/>
      <c r="RWI6"/>
      <c r="RWJ6"/>
      <c r="RWK6"/>
      <c r="RWL6"/>
      <c r="RWM6"/>
      <c r="RWN6"/>
      <c r="RWO6"/>
      <c r="RWP6"/>
      <c r="RWQ6"/>
      <c r="RWR6"/>
      <c r="RWS6"/>
      <c r="RWT6"/>
      <c r="RWU6"/>
      <c r="RWV6"/>
      <c r="RWW6"/>
      <c r="RWX6"/>
      <c r="RWY6"/>
      <c r="RWZ6"/>
      <c r="RXA6"/>
      <c r="RXB6"/>
      <c r="RXC6"/>
      <c r="RXD6"/>
      <c r="RXE6"/>
      <c r="RXF6"/>
      <c r="RXG6"/>
      <c r="RXH6"/>
      <c r="RXI6"/>
      <c r="RXJ6"/>
      <c r="RXK6"/>
      <c r="RXL6"/>
      <c r="RXM6"/>
      <c r="RXN6"/>
      <c r="RXO6"/>
      <c r="RXP6"/>
      <c r="RXQ6"/>
      <c r="RXR6"/>
      <c r="RXS6"/>
      <c r="RXT6"/>
      <c r="RXU6"/>
      <c r="RXV6"/>
      <c r="RXW6"/>
      <c r="RXX6"/>
      <c r="RXY6"/>
      <c r="RXZ6"/>
      <c r="RYA6"/>
      <c r="RYB6"/>
      <c r="RYC6"/>
      <c r="RYD6"/>
      <c r="RYE6"/>
      <c r="RYF6"/>
      <c r="RYG6"/>
      <c r="RYH6"/>
      <c r="RYI6"/>
      <c r="RYJ6"/>
      <c r="RYK6"/>
      <c r="RYL6"/>
      <c r="RYM6"/>
      <c r="RYN6"/>
      <c r="RYO6"/>
      <c r="RYP6"/>
      <c r="RYQ6"/>
      <c r="RYR6"/>
      <c r="RYS6"/>
      <c r="RYT6"/>
      <c r="RYU6"/>
      <c r="RYV6"/>
      <c r="RYW6"/>
      <c r="RYX6"/>
      <c r="RYY6"/>
      <c r="RYZ6"/>
      <c r="RZA6"/>
      <c r="RZB6"/>
      <c r="RZC6"/>
      <c r="RZD6"/>
      <c r="RZE6"/>
      <c r="RZF6"/>
      <c r="RZG6"/>
      <c r="RZH6"/>
      <c r="RZI6"/>
      <c r="RZJ6"/>
      <c r="RZK6"/>
      <c r="RZL6"/>
      <c r="RZM6"/>
      <c r="RZN6"/>
      <c r="RZO6"/>
      <c r="RZP6"/>
      <c r="RZQ6"/>
      <c r="RZR6"/>
      <c r="RZS6"/>
      <c r="RZT6"/>
      <c r="RZU6"/>
      <c r="RZV6"/>
      <c r="RZW6"/>
      <c r="RZX6"/>
      <c r="RZY6"/>
      <c r="RZZ6"/>
      <c r="SAA6"/>
      <c r="SAB6"/>
      <c r="SAC6"/>
      <c r="SAD6"/>
      <c r="SAE6"/>
      <c r="SAF6"/>
      <c r="SAG6"/>
      <c r="SAH6"/>
      <c r="SAI6"/>
      <c r="SAJ6"/>
      <c r="SAK6"/>
      <c r="SAL6"/>
      <c r="SAM6"/>
      <c r="SAN6"/>
      <c r="SAO6"/>
      <c r="SAP6"/>
      <c r="SAQ6"/>
      <c r="SAR6"/>
      <c r="SAS6"/>
      <c r="SAT6"/>
      <c r="SAU6"/>
      <c r="SAV6"/>
      <c r="SAW6"/>
      <c r="SAX6"/>
      <c r="SAY6"/>
      <c r="SAZ6"/>
      <c r="SBA6"/>
      <c r="SBB6"/>
      <c r="SBC6"/>
      <c r="SBD6"/>
      <c r="SBE6"/>
      <c r="SBF6"/>
      <c r="SBG6"/>
      <c r="SBH6"/>
      <c r="SBI6"/>
      <c r="SBJ6"/>
      <c r="SBK6"/>
      <c r="SBL6"/>
      <c r="SBM6"/>
      <c r="SBN6"/>
      <c r="SBO6"/>
      <c r="SBP6"/>
      <c r="SBQ6"/>
      <c r="SBR6"/>
      <c r="SBS6"/>
      <c r="SBT6"/>
      <c r="SBU6"/>
      <c r="SBV6"/>
      <c r="SBW6"/>
      <c r="SBX6"/>
      <c r="SBY6"/>
      <c r="SBZ6"/>
      <c r="SCA6"/>
      <c r="SCB6"/>
      <c r="SCC6"/>
      <c r="SCD6"/>
      <c r="SCE6"/>
      <c r="SCF6"/>
      <c r="SCG6"/>
      <c r="SCH6"/>
      <c r="SCI6"/>
      <c r="SCJ6"/>
      <c r="SCK6"/>
      <c r="SCL6"/>
      <c r="SCM6"/>
      <c r="SCN6"/>
      <c r="SCO6"/>
      <c r="SCP6"/>
      <c r="SCQ6"/>
      <c r="SCR6"/>
      <c r="SCS6"/>
      <c r="SCT6"/>
      <c r="SCU6"/>
      <c r="SCV6"/>
      <c r="SCW6"/>
      <c r="SCX6"/>
      <c r="SCY6"/>
      <c r="SCZ6"/>
      <c r="SDA6"/>
      <c r="SDB6"/>
      <c r="SDC6"/>
      <c r="SDD6"/>
      <c r="SDE6"/>
      <c r="SDF6"/>
      <c r="SDG6"/>
      <c r="SDH6"/>
      <c r="SDI6"/>
      <c r="SDJ6"/>
      <c r="SDK6"/>
      <c r="SDL6"/>
      <c r="SDM6"/>
      <c r="SDN6"/>
      <c r="SDO6"/>
      <c r="SDP6"/>
      <c r="SDQ6"/>
      <c r="SDR6"/>
      <c r="SDS6"/>
      <c r="SDT6"/>
      <c r="SDU6"/>
      <c r="SDV6"/>
      <c r="SDW6"/>
      <c r="SDX6"/>
      <c r="SDY6"/>
      <c r="SDZ6"/>
      <c r="SEA6"/>
      <c r="SEB6"/>
      <c r="SEC6"/>
      <c r="SED6"/>
      <c r="SEE6"/>
      <c r="SEF6"/>
      <c r="SEG6"/>
      <c r="SEH6"/>
      <c r="SEI6"/>
      <c r="SEJ6"/>
      <c r="SEK6"/>
      <c r="SEL6"/>
      <c r="SEM6"/>
      <c r="SEN6"/>
      <c r="SEO6"/>
      <c r="SEP6"/>
      <c r="SEQ6"/>
      <c r="SER6"/>
      <c r="SES6"/>
      <c r="SET6"/>
      <c r="SEU6"/>
      <c r="SEV6"/>
      <c r="SEW6"/>
      <c r="SEX6"/>
      <c r="SEY6"/>
      <c r="SEZ6"/>
      <c r="SFA6"/>
      <c r="SFB6"/>
      <c r="SFC6"/>
      <c r="SFD6"/>
      <c r="SFE6"/>
      <c r="SFF6"/>
      <c r="SFG6"/>
      <c r="SFH6"/>
      <c r="SFI6"/>
      <c r="SFJ6"/>
      <c r="SFK6"/>
      <c r="SFL6"/>
      <c r="SFM6"/>
      <c r="SFN6"/>
      <c r="SFO6"/>
      <c r="SFP6"/>
      <c r="SFQ6"/>
      <c r="SFR6"/>
      <c r="SFS6"/>
      <c r="SFT6"/>
      <c r="SFU6"/>
      <c r="SFV6"/>
      <c r="SFW6"/>
      <c r="SFX6"/>
      <c r="SFY6"/>
      <c r="SFZ6"/>
      <c r="SGA6"/>
      <c r="SGB6"/>
      <c r="SGC6"/>
      <c r="SGD6"/>
      <c r="SGE6"/>
      <c r="SGF6"/>
      <c r="SGG6"/>
      <c r="SGH6"/>
      <c r="SGI6"/>
      <c r="SGJ6"/>
      <c r="SGK6"/>
      <c r="SGL6"/>
      <c r="SGM6"/>
      <c r="SGN6"/>
      <c r="SGO6"/>
      <c r="SGP6"/>
      <c r="SGQ6"/>
      <c r="SGR6"/>
      <c r="SGS6"/>
      <c r="SGT6"/>
      <c r="SGU6"/>
      <c r="SGV6"/>
      <c r="SGW6"/>
      <c r="SGX6"/>
      <c r="SGY6"/>
      <c r="SGZ6"/>
      <c r="SHA6"/>
      <c r="SHB6"/>
      <c r="SHC6"/>
      <c r="SHD6"/>
      <c r="SHE6"/>
      <c r="SHF6"/>
      <c r="SHG6"/>
      <c r="SHH6"/>
      <c r="SHI6"/>
      <c r="SHJ6"/>
      <c r="SHK6"/>
      <c r="SHL6"/>
      <c r="SHM6"/>
      <c r="SHN6"/>
      <c r="SHO6"/>
      <c r="SHP6"/>
      <c r="SHQ6"/>
      <c r="SHR6"/>
      <c r="SHS6"/>
      <c r="SHT6"/>
      <c r="SHU6"/>
      <c r="SHV6"/>
      <c r="SHW6"/>
      <c r="SHX6"/>
      <c r="SHY6"/>
      <c r="SHZ6"/>
      <c r="SIA6"/>
      <c r="SIB6"/>
      <c r="SIC6"/>
      <c r="SID6"/>
      <c r="SIE6"/>
      <c r="SIF6"/>
      <c r="SIG6"/>
      <c r="SIH6"/>
      <c r="SII6"/>
      <c r="SIJ6"/>
      <c r="SIK6"/>
      <c r="SIL6"/>
      <c r="SIM6"/>
      <c r="SIN6"/>
      <c r="SIO6"/>
      <c r="SIP6"/>
      <c r="SIQ6"/>
      <c r="SIR6"/>
      <c r="SIS6"/>
      <c r="SIT6"/>
      <c r="SIU6"/>
      <c r="SIV6"/>
      <c r="SIW6"/>
      <c r="SIX6"/>
      <c r="SIY6"/>
      <c r="SIZ6"/>
      <c r="SJA6"/>
      <c r="SJB6"/>
      <c r="SJC6"/>
      <c r="SJD6"/>
      <c r="SJE6"/>
      <c r="SJF6"/>
      <c r="SJG6"/>
      <c r="SJH6"/>
      <c r="SJI6"/>
      <c r="SJJ6"/>
      <c r="SJK6"/>
      <c r="SJL6"/>
      <c r="SJM6"/>
      <c r="SJN6"/>
      <c r="SJO6"/>
      <c r="SJP6"/>
      <c r="SJQ6"/>
      <c r="SJR6"/>
      <c r="SJS6"/>
      <c r="SJT6"/>
      <c r="SJU6"/>
      <c r="SJV6"/>
      <c r="SJW6"/>
      <c r="SJX6"/>
      <c r="SJY6"/>
      <c r="SJZ6"/>
      <c r="SKA6"/>
      <c r="SKB6"/>
      <c r="SKC6"/>
      <c r="SKD6"/>
      <c r="SKE6"/>
      <c r="SKF6"/>
      <c r="SKG6"/>
      <c r="SKH6"/>
      <c r="SKI6"/>
      <c r="SKJ6"/>
      <c r="SKK6"/>
      <c r="SKL6"/>
      <c r="SKM6"/>
      <c r="SKN6"/>
      <c r="SKO6"/>
      <c r="SKP6"/>
      <c r="SKQ6"/>
      <c r="SKR6"/>
      <c r="SKS6"/>
      <c r="SKT6"/>
      <c r="SKU6"/>
      <c r="SKV6"/>
      <c r="SKW6"/>
      <c r="SKX6"/>
      <c r="SKY6"/>
      <c r="SKZ6"/>
      <c r="SLA6"/>
      <c r="SLB6"/>
      <c r="SLC6"/>
      <c r="SLD6"/>
      <c r="SLE6"/>
      <c r="SLF6"/>
      <c r="SLG6"/>
      <c r="SLH6"/>
      <c r="SLI6"/>
      <c r="SLJ6"/>
      <c r="SLK6"/>
      <c r="SLL6"/>
      <c r="SLM6"/>
      <c r="SLN6"/>
      <c r="SLO6"/>
      <c r="SLP6"/>
      <c r="SLQ6"/>
      <c r="SLR6"/>
      <c r="SLS6"/>
      <c r="SLT6"/>
      <c r="SLU6"/>
      <c r="SLV6"/>
      <c r="SLW6"/>
      <c r="SLX6"/>
      <c r="SLY6"/>
      <c r="SLZ6"/>
      <c r="SMA6"/>
      <c r="SMB6"/>
      <c r="SMC6"/>
      <c r="SMD6"/>
      <c r="SME6"/>
      <c r="SMF6"/>
      <c r="SMG6"/>
      <c r="SMH6"/>
      <c r="SMI6"/>
      <c r="SMJ6"/>
      <c r="SMK6"/>
      <c r="SML6"/>
      <c r="SMM6"/>
      <c r="SMN6"/>
      <c r="SMO6"/>
      <c r="SMP6"/>
      <c r="SMQ6"/>
      <c r="SMR6"/>
      <c r="SMS6"/>
      <c r="SMT6"/>
      <c r="SMU6"/>
      <c r="SMV6"/>
      <c r="SMW6"/>
      <c r="SMX6"/>
      <c r="SMY6"/>
      <c r="SMZ6"/>
      <c r="SNA6"/>
      <c r="SNB6"/>
      <c r="SNC6"/>
      <c r="SND6"/>
      <c r="SNE6"/>
      <c r="SNF6"/>
      <c r="SNG6"/>
      <c r="SNH6"/>
      <c r="SNI6"/>
      <c r="SNJ6"/>
      <c r="SNK6"/>
      <c r="SNL6"/>
      <c r="SNM6"/>
      <c r="SNN6"/>
      <c r="SNO6"/>
      <c r="SNP6"/>
      <c r="SNQ6"/>
      <c r="SNR6"/>
      <c r="SNS6"/>
      <c r="SNT6"/>
      <c r="SNU6"/>
      <c r="SNV6"/>
      <c r="SNW6"/>
      <c r="SNX6"/>
      <c r="SNY6"/>
      <c r="SNZ6"/>
      <c r="SOA6"/>
      <c r="SOB6"/>
      <c r="SOC6"/>
      <c r="SOD6"/>
      <c r="SOE6"/>
      <c r="SOF6"/>
      <c r="SOG6"/>
      <c r="SOH6"/>
      <c r="SOI6"/>
      <c r="SOJ6"/>
      <c r="SOK6"/>
      <c r="SOL6"/>
      <c r="SOM6"/>
      <c r="SON6"/>
      <c r="SOO6"/>
      <c r="SOP6"/>
      <c r="SOQ6"/>
      <c r="SOR6"/>
      <c r="SOS6"/>
      <c r="SOT6"/>
      <c r="SOU6"/>
      <c r="SOV6"/>
      <c r="SOW6"/>
      <c r="SOX6"/>
      <c r="SOY6"/>
      <c r="SOZ6"/>
      <c r="SPA6"/>
      <c r="SPB6"/>
      <c r="SPC6"/>
      <c r="SPD6"/>
      <c r="SPE6"/>
      <c r="SPF6"/>
      <c r="SPG6"/>
      <c r="SPH6"/>
      <c r="SPI6"/>
      <c r="SPJ6"/>
      <c r="SPK6"/>
      <c r="SPL6"/>
      <c r="SPM6"/>
      <c r="SPN6"/>
      <c r="SPO6"/>
      <c r="SPP6"/>
      <c r="SPQ6"/>
      <c r="SPR6"/>
      <c r="SPS6"/>
      <c r="SPT6"/>
      <c r="SPU6"/>
      <c r="SPV6"/>
      <c r="SPW6"/>
      <c r="SPX6"/>
      <c r="SPY6"/>
      <c r="SPZ6"/>
      <c r="SQA6"/>
      <c r="SQB6"/>
      <c r="SQC6"/>
      <c r="SQD6"/>
      <c r="SQE6"/>
      <c r="SQF6"/>
      <c r="SQG6"/>
      <c r="SQH6"/>
      <c r="SQI6"/>
      <c r="SQJ6"/>
      <c r="SQK6"/>
      <c r="SQL6"/>
      <c r="SQM6"/>
      <c r="SQN6"/>
      <c r="SQO6"/>
      <c r="SQP6"/>
      <c r="SQQ6"/>
      <c r="SQR6"/>
      <c r="SQS6"/>
      <c r="SQT6"/>
      <c r="SQU6"/>
      <c r="SQV6"/>
      <c r="SQW6"/>
      <c r="SQX6"/>
      <c r="SQY6"/>
      <c r="SQZ6"/>
      <c r="SRA6"/>
      <c r="SRB6"/>
      <c r="SRC6"/>
      <c r="SRD6"/>
      <c r="SRE6"/>
      <c r="SRF6"/>
      <c r="SRG6"/>
      <c r="SRH6"/>
      <c r="SRI6"/>
      <c r="SRJ6"/>
      <c r="SRK6"/>
      <c r="SRL6"/>
      <c r="SRM6"/>
      <c r="SRN6"/>
      <c r="SRO6"/>
      <c r="SRP6"/>
      <c r="SRQ6"/>
      <c r="SRR6"/>
      <c r="SRS6"/>
      <c r="SRT6"/>
      <c r="SRU6"/>
      <c r="SRV6"/>
      <c r="SRW6"/>
      <c r="SRX6"/>
      <c r="SRY6"/>
      <c r="SRZ6"/>
      <c r="SSA6"/>
      <c r="SSB6"/>
      <c r="SSC6"/>
      <c r="SSD6"/>
      <c r="SSE6"/>
      <c r="SSF6"/>
      <c r="SSG6"/>
      <c r="SSH6"/>
      <c r="SSI6"/>
      <c r="SSJ6"/>
      <c r="SSK6"/>
      <c r="SSL6"/>
      <c r="SSM6"/>
      <c r="SSN6"/>
      <c r="SSO6"/>
      <c r="SSP6"/>
      <c r="SSQ6"/>
      <c r="SSR6"/>
      <c r="SSS6"/>
      <c r="SST6"/>
      <c r="SSU6"/>
      <c r="SSV6"/>
      <c r="SSW6"/>
      <c r="SSX6"/>
      <c r="SSY6"/>
      <c r="SSZ6"/>
      <c r="STA6"/>
      <c r="STB6"/>
      <c r="STC6"/>
      <c r="STD6"/>
      <c r="STE6"/>
      <c r="STF6"/>
      <c r="STG6"/>
      <c r="STH6"/>
      <c r="STI6"/>
      <c r="STJ6"/>
      <c r="STK6"/>
      <c r="STL6"/>
      <c r="STM6"/>
      <c r="STN6"/>
      <c r="STO6"/>
      <c r="STP6"/>
      <c r="STQ6"/>
      <c r="STR6"/>
      <c r="STS6"/>
      <c r="STT6"/>
      <c r="STU6"/>
      <c r="STV6"/>
      <c r="STW6"/>
      <c r="STX6"/>
      <c r="STY6"/>
      <c r="STZ6"/>
      <c r="SUA6"/>
      <c r="SUB6"/>
      <c r="SUC6"/>
      <c r="SUD6"/>
      <c r="SUE6"/>
      <c r="SUF6"/>
      <c r="SUG6"/>
      <c r="SUH6"/>
      <c r="SUI6"/>
      <c r="SUJ6"/>
      <c r="SUK6"/>
      <c r="SUL6"/>
      <c r="SUM6"/>
      <c r="SUN6"/>
      <c r="SUO6"/>
      <c r="SUP6"/>
      <c r="SUQ6"/>
      <c r="SUR6"/>
      <c r="SUS6"/>
      <c r="SUT6"/>
      <c r="SUU6"/>
      <c r="SUV6"/>
      <c r="SUW6"/>
      <c r="SUX6"/>
      <c r="SUY6"/>
      <c r="SUZ6"/>
      <c r="SVA6"/>
      <c r="SVB6"/>
      <c r="SVC6"/>
      <c r="SVD6"/>
      <c r="SVE6"/>
      <c r="SVF6"/>
      <c r="SVG6"/>
      <c r="SVH6"/>
      <c r="SVI6"/>
      <c r="SVJ6"/>
      <c r="SVK6"/>
      <c r="SVL6"/>
      <c r="SVM6"/>
      <c r="SVN6"/>
      <c r="SVO6"/>
      <c r="SVP6"/>
      <c r="SVQ6"/>
      <c r="SVR6"/>
      <c r="SVS6"/>
      <c r="SVT6"/>
      <c r="SVU6"/>
      <c r="SVV6"/>
      <c r="SVW6"/>
      <c r="SVX6"/>
      <c r="SVY6"/>
      <c r="SVZ6"/>
      <c r="SWA6"/>
      <c r="SWB6"/>
      <c r="SWC6"/>
      <c r="SWD6"/>
      <c r="SWE6"/>
      <c r="SWF6"/>
      <c r="SWG6"/>
      <c r="SWH6"/>
      <c r="SWI6"/>
      <c r="SWJ6"/>
      <c r="SWK6"/>
      <c r="SWL6"/>
      <c r="SWM6"/>
      <c r="SWN6"/>
      <c r="SWO6"/>
      <c r="SWP6"/>
      <c r="SWQ6"/>
      <c r="SWR6"/>
      <c r="SWS6"/>
      <c r="SWT6"/>
      <c r="SWU6"/>
      <c r="SWV6"/>
      <c r="SWW6"/>
      <c r="SWX6"/>
      <c r="SWY6"/>
      <c r="SWZ6"/>
      <c r="SXA6"/>
      <c r="SXB6"/>
      <c r="SXC6"/>
      <c r="SXD6"/>
      <c r="SXE6"/>
      <c r="SXF6"/>
      <c r="SXG6"/>
      <c r="SXH6"/>
      <c r="SXI6"/>
      <c r="SXJ6"/>
      <c r="SXK6"/>
      <c r="SXL6"/>
      <c r="SXM6"/>
      <c r="SXN6"/>
      <c r="SXO6"/>
      <c r="SXP6"/>
      <c r="SXQ6"/>
      <c r="SXR6"/>
      <c r="SXS6"/>
      <c r="SXT6"/>
      <c r="SXU6"/>
      <c r="SXV6"/>
      <c r="SXW6"/>
      <c r="SXX6"/>
      <c r="SXY6"/>
      <c r="SXZ6"/>
      <c r="SYA6"/>
      <c r="SYB6"/>
      <c r="SYC6"/>
      <c r="SYD6"/>
      <c r="SYE6"/>
      <c r="SYF6"/>
      <c r="SYG6"/>
      <c r="SYH6"/>
      <c r="SYI6"/>
      <c r="SYJ6"/>
      <c r="SYK6"/>
      <c r="SYL6"/>
      <c r="SYM6"/>
      <c r="SYN6"/>
      <c r="SYO6"/>
      <c r="SYP6"/>
      <c r="SYQ6"/>
      <c r="SYR6"/>
      <c r="SYS6"/>
      <c r="SYT6"/>
      <c r="SYU6"/>
      <c r="SYV6"/>
      <c r="SYW6"/>
      <c r="SYX6"/>
      <c r="SYY6"/>
      <c r="SYZ6"/>
      <c r="SZA6"/>
      <c r="SZB6"/>
      <c r="SZC6"/>
      <c r="SZD6"/>
      <c r="SZE6"/>
      <c r="SZF6"/>
      <c r="SZG6"/>
      <c r="SZH6"/>
      <c r="SZI6"/>
      <c r="SZJ6"/>
      <c r="SZK6"/>
      <c r="SZL6"/>
      <c r="SZM6"/>
      <c r="SZN6"/>
      <c r="SZO6"/>
      <c r="SZP6"/>
      <c r="SZQ6"/>
      <c r="SZR6"/>
      <c r="SZS6"/>
      <c r="SZT6"/>
      <c r="SZU6"/>
      <c r="SZV6"/>
      <c r="SZW6"/>
      <c r="SZX6"/>
      <c r="SZY6"/>
      <c r="SZZ6"/>
      <c r="TAA6"/>
      <c r="TAB6"/>
      <c r="TAC6"/>
      <c r="TAD6"/>
      <c r="TAE6"/>
      <c r="TAF6"/>
      <c r="TAG6"/>
      <c r="TAH6"/>
      <c r="TAI6"/>
      <c r="TAJ6"/>
      <c r="TAK6"/>
      <c r="TAL6"/>
      <c r="TAM6"/>
      <c r="TAN6"/>
      <c r="TAO6"/>
      <c r="TAP6"/>
      <c r="TAQ6"/>
      <c r="TAR6"/>
      <c r="TAS6"/>
      <c r="TAT6"/>
      <c r="TAU6"/>
      <c r="TAV6"/>
      <c r="TAW6"/>
      <c r="TAX6"/>
      <c r="TAY6"/>
      <c r="TAZ6"/>
      <c r="TBA6"/>
      <c r="TBB6"/>
      <c r="TBC6"/>
      <c r="TBD6"/>
      <c r="TBE6"/>
      <c r="TBF6"/>
      <c r="TBG6"/>
      <c r="TBH6"/>
      <c r="TBI6"/>
      <c r="TBJ6"/>
      <c r="TBK6"/>
      <c r="TBL6"/>
      <c r="TBM6"/>
      <c r="TBN6"/>
      <c r="TBO6"/>
      <c r="TBP6"/>
      <c r="TBQ6"/>
      <c r="TBR6"/>
      <c r="TBS6"/>
      <c r="TBT6"/>
      <c r="TBU6"/>
      <c r="TBV6"/>
      <c r="TBW6"/>
      <c r="TBX6"/>
      <c r="TBY6"/>
      <c r="TBZ6"/>
      <c r="TCA6"/>
      <c r="TCB6"/>
      <c r="TCC6"/>
      <c r="TCD6"/>
      <c r="TCE6"/>
      <c r="TCF6"/>
      <c r="TCG6"/>
      <c r="TCH6"/>
      <c r="TCI6"/>
      <c r="TCJ6"/>
      <c r="TCK6"/>
      <c r="TCL6"/>
      <c r="TCM6"/>
      <c r="TCN6"/>
      <c r="TCO6"/>
      <c r="TCP6"/>
      <c r="TCQ6"/>
      <c r="TCR6"/>
      <c r="TCS6"/>
      <c r="TCT6"/>
      <c r="TCU6"/>
      <c r="TCV6"/>
      <c r="TCW6"/>
      <c r="TCX6"/>
      <c r="TCY6"/>
      <c r="TCZ6"/>
      <c r="TDA6"/>
      <c r="TDB6"/>
      <c r="TDC6"/>
      <c r="TDD6"/>
      <c r="TDE6"/>
      <c r="TDF6"/>
      <c r="TDG6"/>
      <c r="TDH6"/>
      <c r="TDI6"/>
      <c r="TDJ6"/>
      <c r="TDK6"/>
      <c r="TDL6"/>
      <c r="TDM6"/>
      <c r="TDN6"/>
      <c r="TDO6"/>
      <c r="TDP6"/>
      <c r="TDQ6"/>
      <c r="TDR6"/>
      <c r="TDS6"/>
      <c r="TDT6"/>
      <c r="TDU6"/>
      <c r="TDV6"/>
      <c r="TDW6"/>
      <c r="TDX6"/>
      <c r="TDY6"/>
      <c r="TDZ6"/>
      <c r="TEA6"/>
      <c r="TEB6"/>
      <c r="TEC6"/>
      <c r="TED6"/>
      <c r="TEE6"/>
      <c r="TEF6"/>
      <c r="TEG6"/>
      <c r="TEH6"/>
      <c r="TEI6"/>
      <c r="TEJ6"/>
      <c r="TEK6"/>
      <c r="TEL6"/>
      <c r="TEM6"/>
      <c r="TEN6"/>
      <c r="TEO6"/>
      <c r="TEP6"/>
      <c r="TEQ6"/>
      <c r="TER6"/>
      <c r="TES6"/>
      <c r="TET6"/>
      <c r="TEU6"/>
      <c r="TEV6"/>
      <c r="TEW6"/>
      <c r="TEX6"/>
      <c r="TEY6"/>
      <c r="TEZ6"/>
      <c r="TFA6"/>
      <c r="TFB6"/>
      <c r="TFC6"/>
      <c r="TFD6"/>
      <c r="TFE6"/>
      <c r="TFF6"/>
      <c r="TFG6"/>
      <c r="TFH6"/>
      <c r="TFI6"/>
      <c r="TFJ6"/>
      <c r="TFK6"/>
      <c r="TFL6"/>
      <c r="TFM6"/>
      <c r="TFN6"/>
      <c r="TFO6"/>
      <c r="TFP6"/>
      <c r="TFQ6"/>
      <c r="TFR6"/>
      <c r="TFS6"/>
      <c r="TFT6"/>
      <c r="TFU6"/>
      <c r="TFV6"/>
      <c r="TFW6"/>
      <c r="TFX6"/>
      <c r="TFY6"/>
      <c r="TFZ6"/>
      <c r="TGA6"/>
      <c r="TGB6"/>
      <c r="TGC6"/>
      <c r="TGD6"/>
      <c r="TGE6"/>
      <c r="TGF6"/>
      <c r="TGG6"/>
      <c r="TGH6"/>
      <c r="TGI6"/>
      <c r="TGJ6"/>
      <c r="TGK6"/>
      <c r="TGL6"/>
      <c r="TGM6"/>
      <c r="TGN6"/>
      <c r="TGO6"/>
      <c r="TGP6"/>
      <c r="TGQ6"/>
      <c r="TGR6"/>
      <c r="TGS6"/>
      <c r="TGT6"/>
      <c r="TGU6"/>
      <c r="TGV6"/>
      <c r="TGW6"/>
      <c r="TGX6"/>
      <c r="TGY6"/>
      <c r="TGZ6"/>
      <c r="THA6"/>
      <c r="THB6"/>
      <c r="THC6"/>
      <c r="THD6"/>
      <c r="THE6"/>
      <c r="THF6"/>
      <c r="THG6"/>
      <c r="THH6"/>
      <c r="THI6"/>
      <c r="THJ6"/>
      <c r="THK6"/>
      <c r="THL6"/>
      <c r="THM6"/>
      <c r="THN6"/>
      <c r="THO6"/>
      <c r="THP6"/>
      <c r="THQ6"/>
      <c r="THR6"/>
      <c r="THS6"/>
      <c r="THT6"/>
      <c r="THU6"/>
      <c r="THV6"/>
      <c r="THW6"/>
      <c r="THX6"/>
      <c r="THY6"/>
      <c r="THZ6"/>
      <c r="TIA6"/>
      <c r="TIB6"/>
      <c r="TIC6"/>
      <c r="TID6"/>
      <c r="TIE6"/>
      <c r="TIF6"/>
      <c r="TIG6"/>
      <c r="TIH6"/>
      <c r="TII6"/>
      <c r="TIJ6"/>
      <c r="TIK6"/>
      <c r="TIL6"/>
      <c r="TIM6"/>
      <c r="TIN6"/>
      <c r="TIO6"/>
      <c r="TIP6"/>
      <c r="TIQ6"/>
      <c r="TIR6"/>
      <c r="TIS6"/>
      <c r="TIT6"/>
      <c r="TIU6"/>
      <c r="TIV6"/>
      <c r="TIW6"/>
      <c r="TIX6"/>
      <c r="TIY6"/>
      <c r="TIZ6"/>
      <c r="TJA6"/>
      <c r="TJB6"/>
      <c r="TJC6"/>
      <c r="TJD6"/>
      <c r="TJE6"/>
      <c r="TJF6"/>
      <c r="TJG6"/>
      <c r="TJH6"/>
      <c r="TJI6"/>
      <c r="TJJ6"/>
      <c r="TJK6"/>
      <c r="TJL6"/>
      <c r="TJM6"/>
      <c r="TJN6"/>
      <c r="TJO6"/>
      <c r="TJP6"/>
      <c r="TJQ6"/>
      <c r="TJR6"/>
      <c r="TJS6"/>
      <c r="TJT6"/>
      <c r="TJU6"/>
      <c r="TJV6"/>
      <c r="TJW6"/>
      <c r="TJX6"/>
      <c r="TJY6"/>
      <c r="TJZ6"/>
      <c r="TKA6"/>
      <c r="TKB6"/>
      <c r="TKC6"/>
      <c r="TKD6"/>
      <c r="TKE6"/>
      <c r="TKF6"/>
      <c r="TKG6"/>
      <c r="TKH6"/>
      <c r="TKI6"/>
      <c r="TKJ6"/>
      <c r="TKK6"/>
      <c r="TKL6"/>
      <c r="TKM6"/>
      <c r="TKN6"/>
      <c r="TKO6"/>
      <c r="TKP6"/>
      <c r="TKQ6"/>
      <c r="TKR6"/>
      <c r="TKS6"/>
      <c r="TKT6"/>
      <c r="TKU6"/>
      <c r="TKV6"/>
      <c r="TKW6"/>
      <c r="TKX6"/>
      <c r="TKY6"/>
      <c r="TKZ6"/>
      <c r="TLA6"/>
      <c r="TLB6"/>
      <c r="TLC6"/>
      <c r="TLD6"/>
      <c r="TLE6"/>
      <c r="TLF6"/>
      <c r="TLG6"/>
      <c r="TLH6"/>
      <c r="TLI6"/>
      <c r="TLJ6"/>
      <c r="TLK6"/>
      <c r="TLL6"/>
      <c r="TLM6"/>
      <c r="TLN6"/>
      <c r="TLO6"/>
      <c r="TLP6"/>
      <c r="TLQ6"/>
      <c r="TLR6"/>
      <c r="TLS6"/>
      <c r="TLT6"/>
      <c r="TLU6"/>
      <c r="TLV6"/>
      <c r="TLW6"/>
      <c r="TLX6"/>
      <c r="TLY6"/>
      <c r="TLZ6"/>
      <c r="TMA6"/>
      <c r="TMB6"/>
      <c r="TMC6"/>
      <c r="TMD6"/>
      <c r="TME6"/>
      <c r="TMF6"/>
      <c r="TMG6"/>
      <c r="TMH6"/>
      <c r="TMI6"/>
      <c r="TMJ6"/>
      <c r="TMK6"/>
      <c r="TML6"/>
      <c r="TMM6"/>
      <c r="TMN6"/>
      <c r="TMO6"/>
      <c r="TMP6"/>
      <c r="TMQ6"/>
      <c r="TMR6"/>
      <c r="TMS6"/>
      <c r="TMT6"/>
      <c r="TMU6"/>
      <c r="TMV6"/>
      <c r="TMW6"/>
      <c r="TMX6"/>
      <c r="TMY6"/>
      <c r="TMZ6"/>
      <c r="TNA6"/>
      <c r="TNB6"/>
      <c r="TNC6"/>
      <c r="TND6"/>
      <c r="TNE6"/>
      <c r="TNF6"/>
      <c r="TNG6"/>
      <c r="TNH6"/>
      <c r="TNI6"/>
      <c r="TNJ6"/>
      <c r="TNK6"/>
      <c r="TNL6"/>
      <c r="TNM6"/>
      <c r="TNN6"/>
      <c r="TNO6"/>
      <c r="TNP6"/>
      <c r="TNQ6"/>
      <c r="TNR6"/>
      <c r="TNS6"/>
      <c r="TNT6"/>
      <c r="TNU6"/>
      <c r="TNV6"/>
      <c r="TNW6"/>
      <c r="TNX6"/>
      <c r="TNY6"/>
      <c r="TNZ6"/>
      <c r="TOA6"/>
      <c r="TOB6"/>
      <c r="TOC6"/>
      <c r="TOD6"/>
      <c r="TOE6"/>
      <c r="TOF6"/>
      <c r="TOG6"/>
      <c r="TOH6"/>
      <c r="TOI6"/>
      <c r="TOJ6"/>
      <c r="TOK6"/>
      <c r="TOL6"/>
      <c r="TOM6"/>
      <c r="TON6"/>
      <c r="TOO6"/>
      <c r="TOP6"/>
      <c r="TOQ6"/>
      <c r="TOR6"/>
      <c r="TOS6"/>
      <c r="TOT6"/>
      <c r="TOU6"/>
      <c r="TOV6"/>
      <c r="TOW6"/>
      <c r="TOX6"/>
      <c r="TOY6"/>
      <c r="TOZ6"/>
      <c r="TPA6"/>
      <c r="TPB6"/>
      <c r="TPC6"/>
      <c r="TPD6"/>
      <c r="TPE6"/>
      <c r="TPF6"/>
      <c r="TPG6"/>
      <c r="TPH6"/>
      <c r="TPI6"/>
      <c r="TPJ6"/>
      <c r="TPK6"/>
      <c r="TPL6"/>
      <c r="TPM6"/>
      <c r="TPN6"/>
      <c r="TPO6"/>
      <c r="TPP6"/>
      <c r="TPQ6"/>
      <c r="TPR6"/>
      <c r="TPS6"/>
      <c r="TPT6"/>
      <c r="TPU6"/>
      <c r="TPV6"/>
      <c r="TPW6"/>
      <c r="TPX6"/>
      <c r="TPY6"/>
      <c r="TPZ6"/>
      <c r="TQA6"/>
      <c r="TQB6"/>
      <c r="TQC6"/>
      <c r="TQD6"/>
      <c r="TQE6"/>
      <c r="TQF6"/>
      <c r="TQG6"/>
      <c r="TQH6"/>
      <c r="TQI6"/>
      <c r="TQJ6"/>
      <c r="TQK6"/>
      <c r="TQL6"/>
      <c r="TQM6"/>
      <c r="TQN6"/>
      <c r="TQO6"/>
      <c r="TQP6"/>
      <c r="TQQ6"/>
      <c r="TQR6"/>
      <c r="TQS6"/>
      <c r="TQT6"/>
      <c r="TQU6"/>
      <c r="TQV6"/>
      <c r="TQW6"/>
      <c r="TQX6"/>
      <c r="TQY6"/>
      <c r="TQZ6"/>
      <c r="TRA6"/>
      <c r="TRB6"/>
      <c r="TRC6"/>
      <c r="TRD6"/>
      <c r="TRE6"/>
      <c r="TRF6"/>
      <c r="TRG6"/>
      <c r="TRH6"/>
      <c r="TRI6"/>
      <c r="TRJ6"/>
      <c r="TRK6"/>
      <c r="TRL6"/>
      <c r="TRM6"/>
      <c r="TRN6"/>
      <c r="TRO6"/>
      <c r="TRP6"/>
      <c r="TRQ6"/>
      <c r="TRR6"/>
      <c r="TRS6"/>
      <c r="TRT6"/>
      <c r="TRU6"/>
      <c r="TRV6"/>
      <c r="TRW6"/>
      <c r="TRX6"/>
      <c r="TRY6"/>
      <c r="TRZ6"/>
      <c r="TSA6"/>
      <c r="TSB6"/>
      <c r="TSC6"/>
      <c r="TSD6"/>
      <c r="TSE6"/>
      <c r="TSF6"/>
      <c r="TSG6"/>
      <c r="TSH6"/>
      <c r="TSI6"/>
      <c r="TSJ6"/>
      <c r="TSK6"/>
      <c r="TSL6"/>
      <c r="TSM6"/>
      <c r="TSN6"/>
      <c r="TSO6"/>
      <c r="TSP6"/>
      <c r="TSQ6"/>
      <c r="TSR6"/>
      <c r="TSS6"/>
      <c r="TST6"/>
      <c r="TSU6"/>
      <c r="TSV6"/>
      <c r="TSW6"/>
      <c r="TSX6"/>
      <c r="TSY6"/>
      <c r="TSZ6"/>
      <c r="TTA6"/>
      <c r="TTB6"/>
      <c r="TTC6"/>
      <c r="TTD6"/>
      <c r="TTE6"/>
      <c r="TTF6"/>
      <c r="TTG6"/>
      <c r="TTH6"/>
      <c r="TTI6"/>
      <c r="TTJ6"/>
      <c r="TTK6"/>
      <c r="TTL6"/>
      <c r="TTM6"/>
      <c r="TTN6"/>
      <c r="TTO6"/>
      <c r="TTP6"/>
      <c r="TTQ6"/>
      <c r="TTR6"/>
      <c r="TTS6"/>
      <c r="TTT6"/>
      <c r="TTU6"/>
      <c r="TTV6"/>
      <c r="TTW6"/>
      <c r="TTX6"/>
      <c r="TTY6"/>
      <c r="TTZ6"/>
      <c r="TUA6"/>
      <c r="TUB6"/>
      <c r="TUC6"/>
      <c r="TUD6"/>
      <c r="TUE6"/>
      <c r="TUF6"/>
      <c r="TUG6"/>
      <c r="TUH6"/>
      <c r="TUI6"/>
      <c r="TUJ6"/>
      <c r="TUK6"/>
      <c r="TUL6"/>
      <c r="TUM6"/>
      <c r="TUN6"/>
      <c r="TUO6"/>
      <c r="TUP6"/>
      <c r="TUQ6"/>
      <c r="TUR6"/>
      <c r="TUS6"/>
      <c r="TUT6"/>
      <c r="TUU6"/>
      <c r="TUV6"/>
      <c r="TUW6"/>
      <c r="TUX6"/>
      <c r="TUY6"/>
      <c r="TUZ6"/>
      <c r="TVA6"/>
      <c r="TVB6"/>
      <c r="TVC6"/>
      <c r="TVD6"/>
      <c r="TVE6"/>
      <c r="TVF6"/>
      <c r="TVG6"/>
      <c r="TVH6"/>
      <c r="TVI6"/>
      <c r="TVJ6"/>
      <c r="TVK6"/>
      <c r="TVL6"/>
      <c r="TVM6"/>
      <c r="TVN6"/>
      <c r="TVO6"/>
      <c r="TVP6"/>
      <c r="TVQ6"/>
      <c r="TVR6"/>
      <c r="TVS6"/>
      <c r="TVT6"/>
      <c r="TVU6"/>
      <c r="TVV6"/>
      <c r="TVW6"/>
      <c r="TVX6"/>
      <c r="TVY6"/>
      <c r="TVZ6"/>
      <c r="TWA6"/>
      <c r="TWB6"/>
      <c r="TWC6"/>
      <c r="TWD6"/>
      <c r="TWE6"/>
      <c r="TWF6"/>
      <c r="TWG6"/>
      <c r="TWH6"/>
      <c r="TWI6"/>
      <c r="TWJ6"/>
      <c r="TWK6"/>
      <c r="TWL6"/>
      <c r="TWM6"/>
      <c r="TWN6"/>
      <c r="TWO6"/>
      <c r="TWP6"/>
      <c r="TWQ6"/>
      <c r="TWR6"/>
      <c r="TWS6"/>
      <c r="TWT6"/>
      <c r="TWU6"/>
      <c r="TWV6"/>
      <c r="TWW6"/>
      <c r="TWX6"/>
      <c r="TWY6"/>
      <c r="TWZ6"/>
      <c r="TXA6"/>
      <c r="TXB6"/>
      <c r="TXC6"/>
      <c r="TXD6"/>
      <c r="TXE6"/>
      <c r="TXF6"/>
      <c r="TXG6"/>
      <c r="TXH6"/>
      <c r="TXI6"/>
      <c r="TXJ6"/>
      <c r="TXK6"/>
      <c r="TXL6"/>
      <c r="TXM6"/>
      <c r="TXN6"/>
      <c r="TXO6"/>
      <c r="TXP6"/>
      <c r="TXQ6"/>
      <c r="TXR6"/>
      <c r="TXS6"/>
      <c r="TXT6"/>
      <c r="TXU6"/>
      <c r="TXV6"/>
      <c r="TXW6"/>
      <c r="TXX6"/>
      <c r="TXY6"/>
      <c r="TXZ6"/>
      <c r="TYA6"/>
      <c r="TYB6"/>
      <c r="TYC6"/>
      <c r="TYD6"/>
      <c r="TYE6"/>
      <c r="TYF6"/>
      <c r="TYG6"/>
      <c r="TYH6"/>
      <c r="TYI6"/>
      <c r="TYJ6"/>
      <c r="TYK6"/>
      <c r="TYL6"/>
      <c r="TYM6"/>
      <c r="TYN6"/>
      <c r="TYO6"/>
      <c r="TYP6"/>
      <c r="TYQ6"/>
      <c r="TYR6"/>
      <c r="TYS6"/>
      <c r="TYT6"/>
      <c r="TYU6"/>
      <c r="TYV6"/>
      <c r="TYW6"/>
      <c r="TYX6"/>
      <c r="TYY6"/>
      <c r="TYZ6"/>
      <c r="TZA6"/>
      <c r="TZB6"/>
      <c r="TZC6"/>
      <c r="TZD6"/>
      <c r="TZE6"/>
      <c r="TZF6"/>
      <c r="TZG6"/>
      <c r="TZH6"/>
      <c r="TZI6"/>
      <c r="TZJ6"/>
      <c r="TZK6"/>
      <c r="TZL6"/>
      <c r="TZM6"/>
      <c r="TZN6"/>
      <c r="TZO6"/>
      <c r="TZP6"/>
      <c r="TZQ6"/>
      <c r="TZR6"/>
      <c r="TZS6"/>
      <c r="TZT6"/>
      <c r="TZU6"/>
      <c r="TZV6"/>
      <c r="TZW6"/>
      <c r="TZX6"/>
      <c r="TZY6"/>
      <c r="TZZ6"/>
      <c r="UAA6"/>
      <c r="UAB6"/>
      <c r="UAC6"/>
      <c r="UAD6"/>
      <c r="UAE6"/>
      <c r="UAF6"/>
      <c r="UAG6"/>
      <c r="UAH6"/>
      <c r="UAI6"/>
      <c r="UAJ6"/>
      <c r="UAK6"/>
      <c r="UAL6"/>
      <c r="UAM6"/>
      <c r="UAN6"/>
      <c r="UAO6"/>
      <c r="UAP6"/>
      <c r="UAQ6"/>
      <c r="UAR6"/>
      <c r="UAS6"/>
      <c r="UAT6"/>
      <c r="UAU6"/>
      <c r="UAV6"/>
      <c r="UAW6"/>
      <c r="UAX6"/>
      <c r="UAY6"/>
      <c r="UAZ6"/>
      <c r="UBA6"/>
      <c r="UBB6"/>
      <c r="UBC6"/>
      <c r="UBD6"/>
      <c r="UBE6"/>
      <c r="UBF6"/>
      <c r="UBG6"/>
      <c r="UBH6"/>
      <c r="UBI6"/>
      <c r="UBJ6"/>
      <c r="UBK6"/>
      <c r="UBL6"/>
      <c r="UBM6"/>
      <c r="UBN6"/>
      <c r="UBO6"/>
      <c r="UBP6"/>
      <c r="UBQ6"/>
      <c r="UBR6"/>
      <c r="UBS6"/>
      <c r="UBT6"/>
      <c r="UBU6"/>
      <c r="UBV6"/>
      <c r="UBW6"/>
      <c r="UBX6"/>
      <c r="UBY6"/>
      <c r="UBZ6"/>
      <c r="UCA6"/>
      <c r="UCB6"/>
      <c r="UCC6"/>
      <c r="UCD6"/>
      <c r="UCE6"/>
      <c r="UCF6"/>
      <c r="UCG6"/>
      <c r="UCH6"/>
      <c r="UCI6"/>
      <c r="UCJ6"/>
      <c r="UCK6"/>
      <c r="UCL6"/>
      <c r="UCM6"/>
      <c r="UCN6"/>
      <c r="UCO6"/>
      <c r="UCP6"/>
      <c r="UCQ6"/>
      <c r="UCR6"/>
      <c r="UCS6"/>
      <c r="UCT6"/>
      <c r="UCU6"/>
      <c r="UCV6"/>
      <c r="UCW6"/>
      <c r="UCX6"/>
      <c r="UCY6"/>
      <c r="UCZ6"/>
      <c r="UDA6"/>
      <c r="UDB6"/>
      <c r="UDC6"/>
      <c r="UDD6"/>
      <c r="UDE6"/>
      <c r="UDF6"/>
      <c r="UDG6"/>
      <c r="UDH6"/>
      <c r="UDI6"/>
      <c r="UDJ6"/>
      <c r="UDK6"/>
      <c r="UDL6"/>
      <c r="UDM6"/>
      <c r="UDN6"/>
      <c r="UDO6"/>
      <c r="UDP6"/>
      <c r="UDQ6"/>
      <c r="UDR6"/>
      <c r="UDS6"/>
      <c r="UDT6"/>
      <c r="UDU6"/>
      <c r="UDV6"/>
      <c r="UDW6"/>
      <c r="UDX6"/>
      <c r="UDY6"/>
      <c r="UDZ6"/>
      <c r="UEA6"/>
      <c r="UEB6"/>
      <c r="UEC6"/>
      <c r="UED6"/>
      <c r="UEE6"/>
      <c r="UEF6"/>
      <c r="UEG6"/>
      <c r="UEH6"/>
      <c r="UEI6"/>
      <c r="UEJ6"/>
      <c r="UEK6"/>
      <c r="UEL6"/>
      <c r="UEM6"/>
      <c r="UEN6"/>
      <c r="UEO6"/>
      <c r="UEP6"/>
      <c r="UEQ6"/>
      <c r="UER6"/>
      <c r="UES6"/>
      <c r="UET6"/>
      <c r="UEU6"/>
      <c r="UEV6"/>
      <c r="UEW6"/>
      <c r="UEX6"/>
      <c r="UEY6"/>
      <c r="UEZ6"/>
      <c r="UFA6"/>
      <c r="UFB6"/>
      <c r="UFC6"/>
      <c r="UFD6"/>
      <c r="UFE6"/>
      <c r="UFF6"/>
      <c r="UFG6"/>
      <c r="UFH6"/>
      <c r="UFI6"/>
      <c r="UFJ6"/>
      <c r="UFK6"/>
      <c r="UFL6"/>
      <c r="UFM6"/>
      <c r="UFN6"/>
      <c r="UFO6"/>
      <c r="UFP6"/>
      <c r="UFQ6"/>
      <c r="UFR6"/>
      <c r="UFS6"/>
      <c r="UFT6"/>
      <c r="UFU6"/>
      <c r="UFV6"/>
      <c r="UFW6"/>
      <c r="UFX6"/>
      <c r="UFY6"/>
      <c r="UFZ6"/>
      <c r="UGA6"/>
      <c r="UGB6"/>
      <c r="UGC6"/>
      <c r="UGD6"/>
      <c r="UGE6"/>
      <c r="UGF6"/>
      <c r="UGG6"/>
      <c r="UGH6"/>
      <c r="UGI6"/>
      <c r="UGJ6"/>
      <c r="UGK6"/>
      <c r="UGL6"/>
      <c r="UGM6"/>
      <c r="UGN6"/>
      <c r="UGO6"/>
      <c r="UGP6"/>
      <c r="UGQ6"/>
      <c r="UGR6"/>
      <c r="UGS6"/>
      <c r="UGT6"/>
      <c r="UGU6"/>
      <c r="UGV6"/>
      <c r="UGW6"/>
      <c r="UGX6"/>
      <c r="UGY6"/>
      <c r="UGZ6"/>
      <c r="UHA6"/>
      <c r="UHB6"/>
      <c r="UHC6"/>
      <c r="UHD6"/>
      <c r="UHE6"/>
      <c r="UHF6"/>
      <c r="UHG6"/>
      <c r="UHH6"/>
      <c r="UHI6"/>
      <c r="UHJ6"/>
      <c r="UHK6"/>
      <c r="UHL6"/>
      <c r="UHM6"/>
      <c r="UHN6"/>
      <c r="UHO6"/>
      <c r="UHP6"/>
      <c r="UHQ6"/>
      <c r="UHR6"/>
      <c r="UHS6"/>
      <c r="UHT6"/>
      <c r="UHU6"/>
      <c r="UHV6"/>
      <c r="UHW6"/>
      <c r="UHX6"/>
      <c r="UHY6"/>
      <c r="UHZ6"/>
      <c r="UIA6"/>
      <c r="UIB6"/>
      <c r="UIC6"/>
      <c r="UID6"/>
      <c r="UIE6"/>
      <c r="UIF6"/>
      <c r="UIG6"/>
      <c r="UIH6"/>
      <c r="UII6"/>
      <c r="UIJ6"/>
      <c r="UIK6"/>
      <c r="UIL6"/>
      <c r="UIM6"/>
      <c r="UIN6"/>
      <c r="UIO6"/>
      <c r="UIP6"/>
      <c r="UIQ6"/>
      <c r="UIR6"/>
      <c r="UIS6"/>
      <c r="UIT6"/>
      <c r="UIU6"/>
      <c r="UIV6"/>
      <c r="UIW6"/>
      <c r="UIX6"/>
      <c r="UIY6"/>
      <c r="UIZ6"/>
      <c r="UJA6"/>
      <c r="UJB6"/>
      <c r="UJC6"/>
      <c r="UJD6"/>
      <c r="UJE6"/>
      <c r="UJF6"/>
      <c r="UJG6"/>
      <c r="UJH6"/>
      <c r="UJI6"/>
      <c r="UJJ6"/>
      <c r="UJK6"/>
      <c r="UJL6"/>
      <c r="UJM6"/>
      <c r="UJN6"/>
      <c r="UJO6"/>
      <c r="UJP6"/>
      <c r="UJQ6"/>
      <c r="UJR6"/>
      <c r="UJS6"/>
      <c r="UJT6"/>
      <c r="UJU6"/>
      <c r="UJV6"/>
      <c r="UJW6"/>
      <c r="UJX6"/>
      <c r="UJY6"/>
      <c r="UJZ6"/>
      <c r="UKA6"/>
      <c r="UKB6"/>
      <c r="UKC6"/>
      <c r="UKD6"/>
      <c r="UKE6"/>
      <c r="UKF6"/>
      <c r="UKG6"/>
      <c r="UKH6"/>
      <c r="UKI6"/>
      <c r="UKJ6"/>
      <c r="UKK6"/>
      <c r="UKL6"/>
      <c r="UKM6"/>
      <c r="UKN6"/>
      <c r="UKO6"/>
      <c r="UKP6"/>
      <c r="UKQ6"/>
      <c r="UKR6"/>
      <c r="UKS6"/>
      <c r="UKT6"/>
      <c r="UKU6"/>
      <c r="UKV6"/>
      <c r="UKW6"/>
      <c r="UKX6"/>
      <c r="UKY6"/>
      <c r="UKZ6"/>
      <c r="ULA6"/>
      <c r="ULB6"/>
      <c r="ULC6"/>
      <c r="ULD6"/>
      <c r="ULE6"/>
      <c r="ULF6"/>
      <c r="ULG6"/>
      <c r="ULH6"/>
      <c r="ULI6"/>
      <c r="ULJ6"/>
      <c r="ULK6"/>
      <c r="ULL6"/>
      <c r="ULM6"/>
      <c r="ULN6"/>
      <c r="ULO6"/>
      <c r="ULP6"/>
      <c r="ULQ6"/>
      <c r="ULR6"/>
      <c r="ULS6"/>
      <c r="ULT6"/>
      <c r="ULU6"/>
      <c r="ULV6"/>
      <c r="ULW6"/>
      <c r="ULX6"/>
      <c r="ULY6"/>
      <c r="ULZ6"/>
      <c r="UMA6"/>
      <c r="UMB6"/>
      <c r="UMC6"/>
      <c r="UMD6"/>
      <c r="UME6"/>
      <c r="UMF6"/>
      <c r="UMG6"/>
      <c r="UMH6"/>
      <c r="UMI6"/>
      <c r="UMJ6"/>
      <c r="UMK6"/>
      <c r="UML6"/>
      <c r="UMM6"/>
      <c r="UMN6"/>
      <c r="UMO6"/>
      <c r="UMP6"/>
      <c r="UMQ6"/>
      <c r="UMR6"/>
      <c r="UMS6"/>
      <c r="UMT6"/>
      <c r="UMU6"/>
      <c r="UMV6"/>
      <c r="UMW6"/>
      <c r="UMX6"/>
      <c r="UMY6"/>
      <c r="UMZ6"/>
      <c r="UNA6"/>
      <c r="UNB6"/>
      <c r="UNC6"/>
      <c r="UND6"/>
      <c r="UNE6"/>
      <c r="UNF6"/>
      <c r="UNG6"/>
      <c r="UNH6"/>
      <c r="UNI6"/>
      <c r="UNJ6"/>
      <c r="UNK6"/>
      <c r="UNL6"/>
      <c r="UNM6"/>
      <c r="UNN6"/>
      <c r="UNO6"/>
      <c r="UNP6"/>
      <c r="UNQ6"/>
      <c r="UNR6"/>
      <c r="UNS6"/>
      <c r="UNT6"/>
      <c r="UNU6"/>
      <c r="UNV6"/>
      <c r="UNW6"/>
      <c r="UNX6"/>
      <c r="UNY6"/>
      <c r="UNZ6"/>
      <c r="UOA6"/>
      <c r="UOB6"/>
      <c r="UOC6"/>
      <c r="UOD6"/>
      <c r="UOE6"/>
      <c r="UOF6"/>
      <c r="UOG6"/>
      <c r="UOH6"/>
      <c r="UOI6"/>
      <c r="UOJ6"/>
      <c r="UOK6"/>
      <c r="UOL6"/>
      <c r="UOM6"/>
      <c r="UON6"/>
      <c r="UOO6"/>
      <c r="UOP6"/>
      <c r="UOQ6"/>
      <c r="UOR6"/>
      <c r="UOS6"/>
      <c r="UOT6"/>
      <c r="UOU6"/>
      <c r="UOV6"/>
      <c r="UOW6"/>
      <c r="UOX6"/>
      <c r="UOY6"/>
      <c r="UOZ6"/>
      <c r="UPA6"/>
      <c r="UPB6"/>
      <c r="UPC6"/>
      <c r="UPD6"/>
      <c r="UPE6"/>
      <c r="UPF6"/>
      <c r="UPG6"/>
      <c r="UPH6"/>
      <c r="UPI6"/>
      <c r="UPJ6"/>
      <c r="UPK6"/>
      <c r="UPL6"/>
      <c r="UPM6"/>
      <c r="UPN6"/>
      <c r="UPO6"/>
      <c r="UPP6"/>
      <c r="UPQ6"/>
      <c r="UPR6"/>
      <c r="UPS6"/>
      <c r="UPT6"/>
      <c r="UPU6"/>
      <c r="UPV6"/>
      <c r="UPW6"/>
      <c r="UPX6"/>
      <c r="UPY6"/>
      <c r="UPZ6"/>
      <c r="UQA6"/>
      <c r="UQB6"/>
      <c r="UQC6"/>
      <c r="UQD6"/>
      <c r="UQE6"/>
      <c r="UQF6"/>
      <c r="UQG6"/>
      <c r="UQH6"/>
      <c r="UQI6"/>
      <c r="UQJ6"/>
      <c r="UQK6"/>
      <c r="UQL6"/>
      <c r="UQM6"/>
      <c r="UQN6"/>
      <c r="UQO6"/>
      <c r="UQP6"/>
      <c r="UQQ6"/>
      <c r="UQR6"/>
      <c r="UQS6"/>
      <c r="UQT6"/>
      <c r="UQU6"/>
      <c r="UQV6"/>
      <c r="UQW6"/>
      <c r="UQX6"/>
      <c r="UQY6"/>
      <c r="UQZ6"/>
      <c r="URA6"/>
      <c r="URB6"/>
      <c r="URC6"/>
      <c r="URD6"/>
      <c r="URE6"/>
      <c r="URF6"/>
      <c r="URG6"/>
      <c r="URH6"/>
      <c r="URI6"/>
      <c r="URJ6"/>
      <c r="URK6"/>
      <c r="URL6"/>
      <c r="URM6"/>
      <c r="URN6"/>
      <c r="URO6"/>
      <c r="URP6"/>
      <c r="URQ6"/>
      <c r="URR6"/>
      <c r="URS6"/>
      <c r="URT6"/>
      <c r="URU6"/>
      <c r="URV6"/>
      <c r="URW6"/>
      <c r="URX6"/>
      <c r="URY6"/>
      <c r="URZ6"/>
      <c r="USA6"/>
      <c r="USB6"/>
      <c r="USC6"/>
      <c r="USD6"/>
      <c r="USE6"/>
      <c r="USF6"/>
      <c r="USG6"/>
      <c r="USH6"/>
      <c r="USI6"/>
      <c r="USJ6"/>
      <c r="USK6"/>
      <c r="USL6"/>
      <c r="USM6"/>
      <c r="USN6"/>
      <c r="USO6"/>
      <c r="USP6"/>
      <c r="USQ6"/>
      <c r="USR6"/>
      <c r="USS6"/>
      <c r="UST6"/>
      <c r="USU6"/>
      <c r="USV6"/>
      <c r="USW6"/>
      <c r="USX6"/>
      <c r="USY6"/>
      <c r="USZ6"/>
      <c r="UTA6"/>
      <c r="UTB6"/>
      <c r="UTC6"/>
      <c r="UTD6"/>
      <c r="UTE6"/>
      <c r="UTF6"/>
      <c r="UTG6"/>
      <c r="UTH6"/>
      <c r="UTI6"/>
      <c r="UTJ6"/>
      <c r="UTK6"/>
      <c r="UTL6"/>
      <c r="UTM6"/>
      <c r="UTN6"/>
      <c r="UTO6"/>
      <c r="UTP6"/>
      <c r="UTQ6"/>
      <c r="UTR6"/>
      <c r="UTS6"/>
      <c r="UTT6"/>
      <c r="UTU6"/>
      <c r="UTV6"/>
      <c r="UTW6"/>
      <c r="UTX6"/>
      <c r="UTY6"/>
      <c r="UTZ6"/>
      <c r="UUA6"/>
      <c r="UUB6"/>
      <c r="UUC6"/>
      <c r="UUD6"/>
      <c r="UUE6"/>
      <c r="UUF6"/>
      <c r="UUG6"/>
      <c r="UUH6"/>
      <c r="UUI6"/>
      <c r="UUJ6"/>
      <c r="UUK6"/>
      <c r="UUL6"/>
      <c r="UUM6"/>
      <c r="UUN6"/>
      <c r="UUO6"/>
      <c r="UUP6"/>
      <c r="UUQ6"/>
      <c r="UUR6"/>
      <c r="UUS6"/>
      <c r="UUT6"/>
      <c r="UUU6"/>
      <c r="UUV6"/>
      <c r="UUW6"/>
      <c r="UUX6"/>
      <c r="UUY6"/>
      <c r="UUZ6"/>
      <c r="UVA6"/>
      <c r="UVB6"/>
      <c r="UVC6"/>
      <c r="UVD6"/>
      <c r="UVE6"/>
      <c r="UVF6"/>
      <c r="UVG6"/>
      <c r="UVH6"/>
      <c r="UVI6"/>
      <c r="UVJ6"/>
      <c r="UVK6"/>
      <c r="UVL6"/>
      <c r="UVM6"/>
      <c r="UVN6"/>
      <c r="UVO6"/>
      <c r="UVP6"/>
      <c r="UVQ6"/>
      <c r="UVR6"/>
      <c r="UVS6"/>
      <c r="UVT6"/>
      <c r="UVU6"/>
      <c r="UVV6"/>
      <c r="UVW6"/>
      <c r="UVX6"/>
      <c r="UVY6"/>
      <c r="UVZ6"/>
      <c r="UWA6"/>
      <c r="UWB6"/>
      <c r="UWC6"/>
      <c r="UWD6"/>
      <c r="UWE6"/>
      <c r="UWF6"/>
      <c r="UWG6"/>
      <c r="UWH6"/>
      <c r="UWI6"/>
      <c r="UWJ6"/>
      <c r="UWK6"/>
      <c r="UWL6"/>
      <c r="UWM6"/>
      <c r="UWN6"/>
      <c r="UWO6"/>
      <c r="UWP6"/>
      <c r="UWQ6"/>
      <c r="UWR6"/>
      <c r="UWS6"/>
      <c r="UWT6"/>
      <c r="UWU6"/>
      <c r="UWV6"/>
      <c r="UWW6"/>
      <c r="UWX6"/>
      <c r="UWY6"/>
      <c r="UWZ6"/>
      <c r="UXA6"/>
      <c r="UXB6"/>
      <c r="UXC6"/>
      <c r="UXD6"/>
      <c r="UXE6"/>
      <c r="UXF6"/>
      <c r="UXG6"/>
      <c r="UXH6"/>
      <c r="UXI6"/>
      <c r="UXJ6"/>
      <c r="UXK6"/>
      <c r="UXL6"/>
      <c r="UXM6"/>
      <c r="UXN6"/>
      <c r="UXO6"/>
      <c r="UXP6"/>
      <c r="UXQ6"/>
      <c r="UXR6"/>
      <c r="UXS6"/>
      <c r="UXT6"/>
      <c r="UXU6"/>
      <c r="UXV6"/>
      <c r="UXW6"/>
      <c r="UXX6"/>
      <c r="UXY6"/>
      <c r="UXZ6"/>
      <c r="UYA6"/>
      <c r="UYB6"/>
      <c r="UYC6"/>
      <c r="UYD6"/>
      <c r="UYE6"/>
      <c r="UYF6"/>
      <c r="UYG6"/>
      <c r="UYH6"/>
      <c r="UYI6"/>
      <c r="UYJ6"/>
      <c r="UYK6"/>
      <c r="UYL6"/>
      <c r="UYM6"/>
      <c r="UYN6"/>
      <c r="UYO6"/>
      <c r="UYP6"/>
      <c r="UYQ6"/>
      <c r="UYR6"/>
      <c r="UYS6"/>
      <c r="UYT6"/>
      <c r="UYU6"/>
      <c r="UYV6"/>
      <c r="UYW6"/>
      <c r="UYX6"/>
      <c r="UYY6"/>
      <c r="UYZ6"/>
      <c r="UZA6"/>
      <c r="UZB6"/>
      <c r="UZC6"/>
      <c r="UZD6"/>
      <c r="UZE6"/>
      <c r="UZF6"/>
      <c r="UZG6"/>
      <c r="UZH6"/>
      <c r="UZI6"/>
      <c r="UZJ6"/>
      <c r="UZK6"/>
      <c r="UZL6"/>
      <c r="UZM6"/>
      <c r="UZN6"/>
      <c r="UZO6"/>
      <c r="UZP6"/>
      <c r="UZQ6"/>
      <c r="UZR6"/>
      <c r="UZS6"/>
      <c r="UZT6"/>
      <c r="UZU6"/>
      <c r="UZV6"/>
      <c r="UZW6"/>
      <c r="UZX6"/>
      <c r="UZY6"/>
      <c r="UZZ6"/>
      <c r="VAA6"/>
      <c r="VAB6"/>
      <c r="VAC6"/>
      <c r="VAD6"/>
      <c r="VAE6"/>
      <c r="VAF6"/>
      <c r="VAG6"/>
      <c r="VAH6"/>
      <c r="VAI6"/>
      <c r="VAJ6"/>
      <c r="VAK6"/>
      <c r="VAL6"/>
      <c r="VAM6"/>
      <c r="VAN6"/>
      <c r="VAO6"/>
      <c r="VAP6"/>
      <c r="VAQ6"/>
      <c r="VAR6"/>
      <c r="VAS6"/>
      <c r="VAT6"/>
      <c r="VAU6"/>
      <c r="VAV6"/>
      <c r="VAW6"/>
      <c r="VAX6"/>
      <c r="VAY6"/>
      <c r="VAZ6"/>
      <c r="VBA6"/>
      <c r="VBB6"/>
      <c r="VBC6"/>
      <c r="VBD6"/>
      <c r="VBE6"/>
      <c r="VBF6"/>
      <c r="VBG6"/>
      <c r="VBH6"/>
      <c r="VBI6"/>
      <c r="VBJ6"/>
      <c r="VBK6"/>
      <c r="VBL6"/>
      <c r="VBM6"/>
      <c r="VBN6"/>
      <c r="VBO6"/>
      <c r="VBP6"/>
      <c r="VBQ6"/>
      <c r="VBR6"/>
      <c r="VBS6"/>
      <c r="VBT6"/>
      <c r="VBU6"/>
      <c r="VBV6"/>
      <c r="VBW6"/>
      <c r="VBX6"/>
      <c r="VBY6"/>
      <c r="VBZ6"/>
      <c r="VCA6"/>
      <c r="VCB6"/>
      <c r="VCC6"/>
      <c r="VCD6"/>
      <c r="VCE6"/>
      <c r="VCF6"/>
      <c r="VCG6"/>
      <c r="VCH6"/>
      <c r="VCI6"/>
      <c r="VCJ6"/>
      <c r="VCK6"/>
      <c r="VCL6"/>
      <c r="VCM6"/>
      <c r="VCN6"/>
      <c r="VCO6"/>
      <c r="VCP6"/>
      <c r="VCQ6"/>
      <c r="VCR6"/>
      <c r="VCS6"/>
      <c r="VCT6"/>
      <c r="VCU6"/>
      <c r="VCV6"/>
      <c r="VCW6"/>
      <c r="VCX6"/>
      <c r="VCY6"/>
      <c r="VCZ6"/>
      <c r="VDA6"/>
      <c r="VDB6"/>
      <c r="VDC6"/>
      <c r="VDD6"/>
      <c r="VDE6"/>
      <c r="VDF6"/>
      <c r="VDG6"/>
      <c r="VDH6"/>
      <c r="VDI6"/>
      <c r="VDJ6"/>
      <c r="VDK6"/>
      <c r="VDL6"/>
      <c r="VDM6"/>
      <c r="VDN6"/>
      <c r="VDO6"/>
      <c r="VDP6"/>
      <c r="VDQ6"/>
      <c r="VDR6"/>
      <c r="VDS6"/>
      <c r="VDT6"/>
      <c r="VDU6"/>
      <c r="VDV6"/>
      <c r="VDW6"/>
      <c r="VDX6"/>
      <c r="VDY6"/>
      <c r="VDZ6"/>
      <c r="VEA6"/>
      <c r="VEB6"/>
      <c r="VEC6"/>
      <c r="VED6"/>
      <c r="VEE6"/>
      <c r="VEF6"/>
      <c r="VEG6"/>
      <c r="VEH6"/>
      <c r="VEI6"/>
      <c r="VEJ6"/>
      <c r="VEK6"/>
      <c r="VEL6"/>
      <c r="VEM6"/>
      <c r="VEN6"/>
      <c r="VEO6"/>
      <c r="VEP6"/>
      <c r="VEQ6"/>
      <c r="VER6"/>
      <c r="VES6"/>
      <c r="VET6"/>
      <c r="VEU6"/>
      <c r="VEV6"/>
      <c r="VEW6"/>
      <c r="VEX6"/>
      <c r="VEY6"/>
      <c r="VEZ6"/>
      <c r="VFA6"/>
      <c r="VFB6"/>
      <c r="VFC6"/>
      <c r="VFD6"/>
      <c r="VFE6"/>
      <c r="VFF6"/>
      <c r="VFG6"/>
      <c r="VFH6"/>
      <c r="VFI6"/>
      <c r="VFJ6"/>
      <c r="VFK6"/>
      <c r="VFL6"/>
      <c r="VFM6"/>
      <c r="VFN6"/>
      <c r="VFO6"/>
      <c r="VFP6"/>
      <c r="VFQ6"/>
      <c r="VFR6"/>
      <c r="VFS6"/>
      <c r="VFT6"/>
      <c r="VFU6"/>
      <c r="VFV6"/>
      <c r="VFW6"/>
      <c r="VFX6"/>
      <c r="VFY6"/>
      <c r="VFZ6"/>
      <c r="VGA6"/>
      <c r="VGB6"/>
      <c r="VGC6"/>
      <c r="VGD6"/>
      <c r="VGE6"/>
      <c r="VGF6"/>
      <c r="VGG6"/>
      <c r="VGH6"/>
      <c r="VGI6"/>
      <c r="VGJ6"/>
      <c r="VGK6"/>
      <c r="VGL6"/>
      <c r="VGM6"/>
      <c r="VGN6"/>
      <c r="VGO6"/>
      <c r="VGP6"/>
      <c r="VGQ6"/>
      <c r="VGR6"/>
      <c r="VGS6"/>
      <c r="VGT6"/>
      <c r="VGU6"/>
      <c r="VGV6"/>
      <c r="VGW6"/>
      <c r="VGX6"/>
      <c r="VGY6"/>
      <c r="VGZ6"/>
      <c r="VHA6"/>
      <c r="VHB6"/>
      <c r="VHC6"/>
      <c r="VHD6"/>
      <c r="VHE6"/>
      <c r="VHF6"/>
      <c r="VHG6"/>
      <c r="VHH6"/>
      <c r="VHI6"/>
      <c r="VHJ6"/>
      <c r="VHK6"/>
      <c r="VHL6"/>
      <c r="VHM6"/>
      <c r="VHN6"/>
      <c r="VHO6"/>
      <c r="VHP6"/>
      <c r="VHQ6"/>
      <c r="VHR6"/>
      <c r="VHS6"/>
      <c r="VHT6"/>
      <c r="VHU6"/>
      <c r="VHV6"/>
      <c r="VHW6"/>
      <c r="VHX6"/>
      <c r="VHY6"/>
      <c r="VHZ6"/>
      <c r="VIA6"/>
      <c r="VIB6"/>
      <c r="VIC6"/>
      <c r="VID6"/>
      <c r="VIE6"/>
      <c r="VIF6"/>
      <c r="VIG6"/>
      <c r="VIH6"/>
      <c r="VII6"/>
      <c r="VIJ6"/>
      <c r="VIK6"/>
      <c r="VIL6"/>
      <c r="VIM6"/>
      <c r="VIN6"/>
      <c r="VIO6"/>
      <c r="VIP6"/>
      <c r="VIQ6"/>
      <c r="VIR6"/>
      <c r="VIS6"/>
      <c r="VIT6"/>
      <c r="VIU6"/>
      <c r="VIV6"/>
      <c r="VIW6"/>
      <c r="VIX6"/>
      <c r="VIY6"/>
      <c r="VIZ6"/>
      <c r="VJA6"/>
      <c r="VJB6"/>
      <c r="VJC6"/>
      <c r="VJD6"/>
      <c r="VJE6"/>
      <c r="VJF6"/>
      <c r="VJG6"/>
      <c r="VJH6"/>
      <c r="VJI6"/>
      <c r="VJJ6"/>
      <c r="VJK6"/>
      <c r="VJL6"/>
      <c r="VJM6"/>
      <c r="VJN6"/>
      <c r="VJO6"/>
      <c r="VJP6"/>
      <c r="VJQ6"/>
      <c r="VJR6"/>
      <c r="VJS6"/>
      <c r="VJT6"/>
      <c r="VJU6"/>
      <c r="VJV6"/>
      <c r="VJW6"/>
      <c r="VJX6"/>
      <c r="VJY6"/>
      <c r="VJZ6"/>
      <c r="VKA6"/>
      <c r="VKB6"/>
      <c r="VKC6"/>
      <c r="VKD6"/>
      <c r="VKE6"/>
      <c r="VKF6"/>
      <c r="VKG6"/>
      <c r="VKH6"/>
      <c r="VKI6"/>
      <c r="VKJ6"/>
      <c r="VKK6"/>
      <c r="VKL6"/>
      <c r="VKM6"/>
      <c r="VKN6"/>
      <c r="VKO6"/>
      <c r="VKP6"/>
      <c r="VKQ6"/>
      <c r="VKR6"/>
      <c r="VKS6"/>
      <c r="VKT6"/>
      <c r="VKU6"/>
      <c r="VKV6"/>
      <c r="VKW6"/>
      <c r="VKX6"/>
      <c r="VKY6"/>
      <c r="VKZ6"/>
      <c r="VLA6"/>
      <c r="VLB6"/>
      <c r="VLC6"/>
      <c r="VLD6"/>
      <c r="VLE6"/>
      <c r="VLF6"/>
      <c r="VLG6"/>
      <c r="VLH6"/>
      <c r="VLI6"/>
      <c r="VLJ6"/>
      <c r="VLK6"/>
      <c r="VLL6"/>
      <c r="VLM6"/>
      <c r="VLN6"/>
      <c r="VLO6"/>
      <c r="VLP6"/>
      <c r="VLQ6"/>
      <c r="VLR6"/>
      <c r="VLS6"/>
      <c r="VLT6"/>
      <c r="VLU6"/>
      <c r="VLV6"/>
      <c r="VLW6"/>
      <c r="VLX6"/>
      <c r="VLY6"/>
      <c r="VLZ6"/>
      <c r="VMA6"/>
      <c r="VMB6"/>
      <c r="VMC6"/>
      <c r="VMD6"/>
      <c r="VME6"/>
      <c r="VMF6"/>
      <c r="VMG6"/>
      <c r="VMH6"/>
      <c r="VMI6"/>
      <c r="VMJ6"/>
      <c r="VMK6"/>
      <c r="VML6"/>
      <c r="VMM6"/>
      <c r="VMN6"/>
      <c r="VMO6"/>
      <c r="VMP6"/>
      <c r="VMQ6"/>
      <c r="VMR6"/>
      <c r="VMS6"/>
      <c r="VMT6"/>
      <c r="VMU6"/>
      <c r="VMV6"/>
      <c r="VMW6"/>
      <c r="VMX6"/>
      <c r="VMY6"/>
      <c r="VMZ6"/>
      <c r="VNA6"/>
      <c r="VNB6"/>
      <c r="VNC6"/>
      <c r="VND6"/>
      <c r="VNE6"/>
      <c r="VNF6"/>
      <c r="VNG6"/>
      <c r="VNH6"/>
      <c r="VNI6"/>
      <c r="VNJ6"/>
      <c r="VNK6"/>
      <c r="VNL6"/>
      <c r="VNM6"/>
      <c r="VNN6"/>
      <c r="VNO6"/>
      <c r="VNP6"/>
      <c r="VNQ6"/>
      <c r="VNR6"/>
      <c r="VNS6"/>
      <c r="VNT6"/>
      <c r="VNU6"/>
      <c r="VNV6"/>
      <c r="VNW6"/>
      <c r="VNX6"/>
      <c r="VNY6"/>
      <c r="VNZ6"/>
      <c r="VOA6"/>
      <c r="VOB6"/>
      <c r="VOC6"/>
      <c r="VOD6"/>
      <c r="VOE6"/>
      <c r="VOF6"/>
      <c r="VOG6"/>
      <c r="VOH6"/>
      <c r="VOI6"/>
      <c r="VOJ6"/>
      <c r="VOK6"/>
      <c r="VOL6"/>
      <c r="VOM6"/>
      <c r="VON6"/>
      <c r="VOO6"/>
      <c r="VOP6"/>
      <c r="VOQ6"/>
      <c r="VOR6"/>
      <c r="VOS6"/>
      <c r="VOT6"/>
      <c r="VOU6"/>
      <c r="VOV6"/>
      <c r="VOW6"/>
      <c r="VOX6"/>
      <c r="VOY6"/>
      <c r="VOZ6"/>
      <c r="VPA6"/>
      <c r="VPB6"/>
      <c r="VPC6"/>
      <c r="VPD6"/>
      <c r="VPE6"/>
      <c r="VPF6"/>
      <c r="VPG6"/>
      <c r="VPH6"/>
      <c r="VPI6"/>
      <c r="VPJ6"/>
      <c r="VPK6"/>
      <c r="VPL6"/>
      <c r="VPM6"/>
      <c r="VPN6"/>
      <c r="VPO6"/>
      <c r="VPP6"/>
      <c r="VPQ6"/>
      <c r="VPR6"/>
      <c r="VPS6"/>
      <c r="VPT6"/>
      <c r="VPU6"/>
      <c r="VPV6"/>
      <c r="VPW6"/>
      <c r="VPX6"/>
      <c r="VPY6"/>
      <c r="VPZ6"/>
      <c r="VQA6"/>
      <c r="VQB6"/>
      <c r="VQC6"/>
      <c r="VQD6"/>
      <c r="VQE6"/>
      <c r="VQF6"/>
      <c r="VQG6"/>
      <c r="VQH6"/>
      <c r="VQI6"/>
      <c r="VQJ6"/>
      <c r="VQK6"/>
      <c r="VQL6"/>
      <c r="VQM6"/>
      <c r="VQN6"/>
      <c r="VQO6"/>
      <c r="VQP6"/>
      <c r="VQQ6"/>
      <c r="VQR6"/>
      <c r="VQS6"/>
      <c r="VQT6"/>
      <c r="VQU6"/>
      <c r="VQV6"/>
      <c r="VQW6"/>
      <c r="VQX6"/>
      <c r="VQY6"/>
      <c r="VQZ6"/>
      <c r="VRA6"/>
      <c r="VRB6"/>
      <c r="VRC6"/>
      <c r="VRD6"/>
      <c r="VRE6"/>
      <c r="VRF6"/>
      <c r="VRG6"/>
      <c r="VRH6"/>
      <c r="VRI6"/>
      <c r="VRJ6"/>
      <c r="VRK6"/>
      <c r="VRL6"/>
      <c r="VRM6"/>
      <c r="VRN6"/>
      <c r="VRO6"/>
      <c r="VRP6"/>
      <c r="VRQ6"/>
      <c r="VRR6"/>
      <c r="VRS6"/>
      <c r="VRT6"/>
      <c r="VRU6"/>
      <c r="VRV6"/>
      <c r="VRW6"/>
      <c r="VRX6"/>
      <c r="VRY6"/>
      <c r="VRZ6"/>
      <c r="VSA6"/>
      <c r="VSB6"/>
      <c r="VSC6"/>
      <c r="VSD6"/>
      <c r="VSE6"/>
      <c r="VSF6"/>
      <c r="VSG6"/>
      <c r="VSH6"/>
      <c r="VSI6"/>
      <c r="VSJ6"/>
      <c r="VSK6"/>
      <c r="VSL6"/>
      <c r="VSM6"/>
      <c r="VSN6"/>
      <c r="VSO6"/>
      <c r="VSP6"/>
      <c r="VSQ6"/>
      <c r="VSR6"/>
      <c r="VSS6"/>
      <c r="VST6"/>
      <c r="VSU6"/>
      <c r="VSV6"/>
      <c r="VSW6"/>
      <c r="VSX6"/>
      <c r="VSY6"/>
      <c r="VSZ6"/>
      <c r="VTA6"/>
      <c r="VTB6"/>
      <c r="VTC6"/>
      <c r="VTD6"/>
      <c r="VTE6"/>
      <c r="VTF6"/>
      <c r="VTG6"/>
      <c r="VTH6"/>
      <c r="VTI6"/>
      <c r="VTJ6"/>
      <c r="VTK6"/>
      <c r="VTL6"/>
      <c r="VTM6"/>
      <c r="VTN6"/>
      <c r="VTO6"/>
      <c r="VTP6"/>
      <c r="VTQ6"/>
      <c r="VTR6"/>
      <c r="VTS6"/>
      <c r="VTT6"/>
      <c r="VTU6"/>
      <c r="VTV6"/>
      <c r="VTW6"/>
      <c r="VTX6"/>
      <c r="VTY6"/>
      <c r="VTZ6"/>
      <c r="VUA6"/>
      <c r="VUB6"/>
      <c r="VUC6"/>
      <c r="VUD6"/>
      <c r="VUE6"/>
      <c r="VUF6"/>
      <c r="VUG6"/>
      <c r="VUH6"/>
      <c r="VUI6"/>
      <c r="VUJ6"/>
      <c r="VUK6"/>
      <c r="VUL6"/>
      <c r="VUM6"/>
      <c r="VUN6"/>
      <c r="VUO6"/>
      <c r="VUP6"/>
      <c r="VUQ6"/>
      <c r="VUR6"/>
      <c r="VUS6"/>
      <c r="VUT6"/>
      <c r="VUU6"/>
      <c r="VUV6"/>
      <c r="VUW6"/>
      <c r="VUX6"/>
      <c r="VUY6"/>
      <c r="VUZ6"/>
      <c r="VVA6"/>
      <c r="VVB6"/>
      <c r="VVC6"/>
      <c r="VVD6"/>
      <c r="VVE6"/>
      <c r="VVF6"/>
      <c r="VVG6"/>
      <c r="VVH6"/>
      <c r="VVI6"/>
      <c r="VVJ6"/>
      <c r="VVK6"/>
      <c r="VVL6"/>
      <c r="VVM6"/>
      <c r="VVN6"/>
      <c r="VVO6"/>
      <c r="VVP6"/>
      <c r="VVQ6"/>
      <c r="VVR6"/>
      <c r="VVS6"/>
      <c r="VVT6"/>
      <c r="VVU6"/>
      <c r="VVV6"/>
      <c r="VVW6"/>
      <c r="VVX6"/>
      <c r="VVY6"/>
      <c r="VVZ6"/>
      <c r="VWA6"/>
      <c r="VWB6"/>
      <c r="VWC6"/>
      <c r="VWD6"/>
      <c r="VWE6"/>
      <c r="VWF6"/>
      <c r="VWG6"/>
      <c r="VWH6"/>
      <c r="VWI6"/>
      <c r="VWJ6"/>
      <c r="VWK6"/>
      <c r="VWL6"/>
      <c r="VWM6"/>
      <c r="VWN6"/>
      <c r="VWO6"/>
      <c r="VWP6"/>
      <c r="VWQ6"/>
      <c r="VWR6"/>
      <c r="VWS6"/>
      <c r="VWT6"/>
      <c r="VWU6"/>
      <c r="VWV6"/>
      <c r="VWW6"/>
      <c r="VWX6"/>
      <c r="VWY6"/>
      <c r="VWZ6"/>
      <c r="VXA6"/>
      <c r="VXB6"/>
      <c r="VXC6"/>
      <c r="VXD6"/>
      <c r="VXE6"/>
      <c r="VXF6"/>
      <c r="VXG6"/>
      <c r="VXH6"/>
      <c r="VXI6"/>
      <c r="VXJ6"/>
      <c r="VXK6"/>
      <c r="VXL6"/>
      <c r="VXM6"/>
      <c r="VXN6"/>
      <c r="VXO6"/>
      <c r="VXP6"/>
      <c r="VXQ6"/>
      <c r="VXR6"/>
      <c r="VXS6"/>
      <c r="VXT6"/>
      <c r="VXU6"/>
      <c r="VXV6"/>
      <c r="VXW6"/>
      <c r="VXX6"/>
      <c r="VXY6"/>
      <c r="VXZ6"/>
      <c r="VYA6"/>
      <c r="VYB6"/>
      <c r="VYC6"/>
      <c r="VYD6"/>
      <c r="VYE6"/>
      <c r="VYF6"/>
      <c r="VYG6"/>
      <c r="VYH6"/>
      <c r="VYI6"/>
      <c r="VYJ6"/>
      <c r="VYK6"/>
      <c r="VYL6"/>
      <c r="VYM6"/>
      <c r="VYN6"/>
      <c r="VYO6"/>
      <c r="VYP6"/>
      <c r="VYQ6"/>
      <c r="VYR6"/>
      <c r="VYS6"/>
      <c r="VYT6"/>
      <c r="VYU6"/>
      <c r="VYV6"/>
      <c r="VYW6"/>
      <c r="VYX6"/>
      <c r="VYY6"/>
      <c r="VYZ6"/>
      <c r="VZA6"/>
      <c r="VZB6"/>
      <c r="VZC6"/>
      <c r="VZD6"/>
      <c r="VZE6"/>
      <c r="VZF6"/>
      <c r="VZG6"/>
      <c r="VZH6"/>
      <c r="VZI6"/>
      <c r="VZJ6"/>
      <c r="VZK6"/>
      <c r="VZL6"/>
      <c r="VZM6"/>
      <c r="VZN6"/>
      <c r="VZO6"/>
      <c r="VZP6"/>
      <c r="VZQ6"/>
      <c r="VZR6"/>
      <c r="VZS6"/>
      <c r="VZT6"/>
      <c r="VZU6"/>
      <c r="VZV6"/>
      <c r="VZW6"/>
      <c r="VZX6"/>
      <c r="VZY6"/>
      <c r="VZZ6"/>
      <c r="WAA6"/>
      <c r="WAB6"/>
      <c r="WAC6"/>
      <c r="WAD6"/>
      <c r="WAE6"/>
      <c r="WAF6"/>
      <c r="WAG6"/>
      <c r="WAH6"/>
      <c r="WAI6"/>
      <c r="WAJ6"/>
      <c r="WAK6"/>
      <c r="WAL6"/>
      <c r="WAM6"/>
      <c r="WAN6"/>
      <c r="WAO6"/>
      <c r="WAP6"/>
      <c r="WAQ6"/>
      <c r="WAR6"/>
      <c r="WAS6"/>
      <c r="WAT6"/>
      <c r="WAU6"/>
      <c r="WAV6"/>
      <c r="WAW6"/>
      <c r="WAX6"/>
      <c r="WAY6"/>
      <c r="WAZ6"/>
      <c r="WBA6"/>
      <c r="WBB6"/>
      <c r="WBC6"/>
      <c r="WBD6"/>
      <c r="WBE6"/>
      <c r="WBF6"/>
      <c r="WBG6"/>
      <c r="WBH6"/>
      <c r="WBI6"/>
      <c r="WBJ6"/>
      <c r="WBK6"/>
      <c r="WBL6"/>
      <c r="WBM6"/>
      <c r="WBN6"/>
      <c r="WBO6"/>
      <c r="WBP6"/>
      <c r="WBQ6"/>
      <c r="WBR6"/>
      <c r="WBS6"/>
      <c r="WBT6"/>
      <c r="WBU6"/>
      <c r="WBV6"/>
      <c r="WBW6"/>
      <c r="WBX6"/>
      <c r="WBY6"/>
      <c r="WBZ6"/>
      <c r="WCA6"/>
      <c r="WCB6"/>
      <c r="WCC6"/>
      <c r="WCD6"/>
      <c r="WCE6"/>
      <c r="WCF6"/>
      <c r="WCG6"/>
      <c r="WCH6"/>
      <c r="WCI6"/>
      <c r="WCJ6"/>
      <c r="WCK6"/>
      <c r="WCL6"/>
      <c r="WCM6"/>
      <c r="WCN6"/>
      <c r="WCO6"/>
      <c r="WCP6"/>
      <c r="WCQ6"/>
      <c r="WCR6"/>
      <c r="WCS6"/>
      <c r="WCT6"/>
      <c r="WCU6"/>
      <c r="WCV6"/>
      <c r="WCW6"/>
      <c r="WCX6"/>
      <c r="WCY6"/>
      <c r="WCZ6"/>
      <c r="WDA6"/>
      <c r="WDB6"/>
      <c r="WDC6"/>
      <c r="WDD6"/>
      <c r="WDE6"/>
      <c r="WDF6"/>
      <c r="WDG6"/>
      <c r="WDH6"/>
      <c r="WDI6"/>
      <c r="WDJ6"/>
      <c r="WDK6"/>
      <c r="WDL6"/>
      <c r="WDM6"/>
      <c r="WDN6"/>
      <c r="WDO6"/>
      <c r="WDP6"/>
      <c r="WDQ6"/>
      <c r="WDR6"/>
      <c r="WDS6"/>
      <c r="WDT6"/>
      <c r="WDU6"/>
      <c r="WDV6"/>
      <c r="WDW6"/>
      <c r="WDX6"/>
      <c r="WDY6"/>
      <c r="WDZ6"/>
      <c r="WEA6"/>
      <c r="WEB6"/>
      <c r="WEC6"/>
      <c r="WED6"/>
      <c r="WEE6"/>
      <c r="WEF6"/>
      <c r="WEG6"/>
      <c r="WEH6"/>
      <c r="WEI6"/>
      <c r="WEJ6"/>
      <c r="WEK6"/>
      <c r="WEL6"/>
      <c r="WEM6"/>
      <c r="WEN6"/>
      <c r="WEO6"/>
      <c r="WEP6"/>
      <c r="WEQ6"/>
      <c r="WER6"/>
      <c r="WES6"/>
      <c r="WET6"/>
      <c r="WEU6"/>
      <c r="WEV6"/>
      <c r="WEW6"/>
      <c r="WEX6"/>
      <c r="WEY6"/>
      <c r="WEZ6"/>
      <c r="WFA6"/>
      <c r="WFB6"/>
      <c r="WFC6"/>
      <c r="WFD6"/>
      <c r="WFE6"/>
      <c r="WFF6"/>
      <c r="WFG6"/>
      <c r="WFH6"/>
      <c r="WFI6"/>
      <c r="WFJ6"/>
      <c r="WFK6"/>
      <c r="WFL6"/>
      <c r="WFM6"/>
      <c r="WFN6"/>
      <c r="WFO6"/>
      <c r="WFP6"/>
      <c r="WFQ6"/>
      <c r="WFR6"/>
      <c r="WFS6"/>
      <c r="WFT6"/>
      <c r="WFU6"/>
      <c r="WFV6"/>
      <c r="WFW6"/>
      <c r="WFX6"/>
      <c r="WFY6"/>
      <c r="WFZ6"/>
      <c r="WGA6"/>
      <c r="WGB6"/>
      <c r="WGC6"/>
      <c r="WGD6"/>
      <c r="WGE6"/>
      <c r="WGF6"/>
      <c r="WGG6"/>
      <c r="WGH6"/>
      <c r="WGI6"/>
      <c r="WGJ6"/>
      <c r="WGK6"/>
      <c r="WGL6"/>
      <c r="WGM6"/>
      <c r="WGN6"/>
      <c r="WGO6"/>
      <c r="WGP6"/>
      <c r="WGQ6"/>
      <c r="WGR6"/>
      <c r="WGS6"/>
      <c r="WGT6"/>
      <c r="WGU6"/>
      <c r="WGV6"/>
      <c r="WGW6"/>
      <c r="WGX6"/>
      <c r="WGY6"/>
      <c r="WGZ6"/>
      <c r="WHA6"/>
      <c r="WHB6"/>
      <c r="WHC6"/>
      <c r="WHD6"/>
      <c r="WHE6"/>
      <c r="WHF6"/>
      <c r="WHG6"/>
      <c r="WHH6"/>
      <c r="WHI6"/>
      <c r="WHJ6"/>
      <c r="WHK6"/>
      <c r="WHL6"/>
      <c r="WHM6"/>
      <c r="WHN6"/>
      <c r="WHO6"/>
      <c r="WHP6"/>
      <c r="WHQ6"/>
      <c r="WHR6"/>
      <c r="WHS6"/>
      <c r="WHT6"/>
      <c r="WHU6"/>
      <c r="WHV6"/>
      <c r="WHW6"/>
      <c r="WHX6"/>
      <c r="WHY6"/>
      <c r="WHZ6"/>
      <c r="WIA6"/>
      <c r="WIB6"/>
      <c r="WIC6"/>
      <c r="WID6"/>
      <c r="WIE6"/>
      <c r="WIF6"/>
      <c r="WIG6"/>
      <c r="WIH6"/>
      <c r="WII6"/>
      <c r="WIJ6"/>
      <c r="WIK6"/>
      <c r="WIL6"/>
      <c r="WIM6"/>
      <c r="WIN6"/>
      <c r="WIO6"/>
      <c r="WIP6"/>
      <c r="WIQ6"/>
      <c r="WIR6"/>
      <c r="WIS6"/>
      <c r="WIT6"/>
      <c r="WIU6"/>
      <c r="WIV6"/>
      <c r="WIW6"/>
      <c r="WIX6"/>
      <c r="WIY6"/>
      <c r="WIZ6"/>
      <c r="WJA6"/>
      <c r="WJB6"/>
      <c r="WJC6"/>
      <c r="WJD6"/>
      <c r="WJE6"/>
      <c r="WJF6"/>
      <c r="WJG6"/>
      <c r="WJH6"/>
      <c r="WJI6"/>
      <c r="WJJ6"/>
      <c r="WJK6"/>
      <c r="WJL6"/>
      <c r="WJM6"/>
      <c r="WJN6"/>
      <c r="WJO6"/>
      <c r="WJP6"/>
      <c r="WJQ6"/>
      <c r="WJR6"/>
      <c r="WJS6"/>
      <c r="WJT6"/>
      <c r="WJU6"/>
      <c r="WJV6"/>
      <c r="WJW6"/>
      <c r="WJX6"/>
      <c r="WJY6"/>
      <c r="WJZ6"/>
      <c r="WKA6"/>
      <c r="WKB6"/>
      <c r="WKC6"/>
      <c r="WKD6"/>
      <c r="WKE6"/>
      <c r="WKF6"/>
      <c r="WKG6"/>
      <c r="WKH6"/>
      <c r="WKI6"/>
      <c r="WKJ6"/>
      <c r="WKK6"/>
      <c r="WKL6"/>
      <c r="WKM6"/>
      <c r="WKN6"/>
      <c r="WKO6"/>
      <c r="WKP6"/>
      <c r="WKQ6"/>
      <c r="WKR6"/>
      <c r="WKS6"/>
      <c r="WKT6"/>
      <c r="WKU6"/>
      <c r="WKV6"/>
      <c r="WKW6"/>
      <c r="WKX6"/>
      <c r="WKY6"/>
      <c r="WKZ6"/>
      <c r="WLA6"/>
      <c r="WLB6"/>
      <c r="WLC6"/>
      <c r="WLD6"/>
      <c r="WLE6"/>
      <c r="WLF6"/>
      <c r="WLG6"/>
      <c r="WLH6"/>
      <c r="WLI6"/>
      <c r="WLJ6"/>
      <c r="WLK6"/>
      <c r="WLL6"/>
      <c r="WLM6"/>
      <c r="WLN6"/>
      <c r="WLO6"/>
      <c r="WLP6"/>
      <c r="WLQ6"/>
      <c r="WLR6"/>
      <c r="WLS6"/>
      <c r="WLT6"/>
      <c r="WLU6"/>
      <c r="WLV6"/>
      <c r="WLW6"/>
      <c r="WLX6"/>
      <c r="WLY6"/>
      <c r="WLZ6"/>
      <c r="WMA6"/>
      <c r="WMB6"/>
      <c r="WMC6"/>
      <c r="WMD6"/>
      <c r="WME6"/>
      <c r="WMF6"/>
      <c r="WMG6"/>
      <c r="WMH6"/>
      <c r="WMI6"/>
      <c r="WMJ6"/>
      <c r="WMK6"/>
      <c r="WML6"/>
      <c r="WMM6"/>
      <c r="WMN6"/>
      <c r="WMO6"/>
      <c r="WMP6"/>
      <c r="WMQ6"/>
      <c r="WMR6"/>
      <c r="WMS6"/>
      <c r="WMT6"/>
      <c r="WMU6"/>
      <c r="WMV6"/>
      <c r="WMW6"/>
      <c r="WMX6"/>
      <c r="WMY6"/>
      <c r="WMZ6"/>
      <c r="WNA6"/>
      <c r="WNB6"/>
      <c r="WNC6"/>
      <c r="WND6"/>
      <c r="WNE6"/>
      <c r="WNF6"/>
      <c r="WNG6"/>
      <c r="WNH6"/>
      <c r="WNI6"/>
      <c r="WNJ6"/>
      <c r="WNK6"/>
      <c r="WNL6"/>
      <c r="WNM6"/>
      <c r="WNN6"/>
      <c r="WNO6"/>
      <c r="WNP6"/>
      <c r="WNQ6"/>
      <c r="WNR6"/>
      <c r="WNS6"/>
      <c r="WNT6"/>
      <c r="WNU6"/>
      <c r="WNV6"/>
      <c r="WNW6"/>
      <c r="WNX6"/>
      <c r="WNY6"/>
      <c r="WNZ6"/>
      <c r="WOA6"/>
      <c r="WOB6"/>
      <c r="WOC6"/>
      <c r="WOD6"/>
      <c r="WOE6"/>
      <c r="WOF6"/>
      <c r="WOG6"/>
      <c r="WOH6"/>
      <c r="WOI6"/>
      <c r="WOJ6"/>
      <c r="WOK6"/>
      <c r="WOL6"/>
      <c r="WOM6"/>
      <c r="WON6"/>
      <c r="WOO6"/>
      <c r="WOP6"/>
      <c r="WOQ6"/>
      <c r="WOR6"/>
      <c r="WOS6"/>
      <c r="WOT6"/>
      <c r="WOU6"/>
      <c r="WOV6"/>
      <c r="WOW6"/>
      <c r="WOX6"/>
      <c r="WOY6"/>
      <c r="WOZ6"/>
      <c r="WPA6"/>
      <c r="WPB6"/>
      <c r="WPC6"/>
      <c r="WPD6"/>
      <c r="WPE6"/>
      <c r="WPF6"/>
      <c r="WPG6"/>
      <c r="WPH6"/>
      <c r="WPI6"/>
      <c r="WPJ6"/>
      <c r="WPK6"/>
      <c r="WPL6"/>
      <c r="WPM6"/>
      <c r="WPN6"/>
      <c r="WPO6"/>
      <c r="WPP6"/>
      <c r="WPQ6"/>
      <c r="WPR6"/>
      <c r="WPS6"/>
      <c r="WPT6"/>
      <c r="WPU6"/>
      <c r="WPV6"/>
      <c r="WPW6"/>
      <c r="WPX6"/>
      <c r="WPY6"/>
      <c r="WPZ6"/>
      <c r="WQA6"/>
      <c r="WQB6"/>
      <c r="WQC6"/>
      <c r="WQD6"/>
      <c r="WQE6"/>
      <c r="WQF6"/>
      <c r="WQG6"/>
      <c r="WQH6"/>
      <c r="WQI6"/>
      <c r="WQJ6"/>
      <c r="WQK6"/>
      <c r="WQL6"/>
      <c r="WQM6"/>
      <c r="WQN6"/>
      <c r="WQO6"/>
      <c r="WQP6"/>
      <c r="WQQ6"/>
      <c r="WQR6"/>
      <c r="WQS6"/>
      <c r="WQT6"/>
      <c r="WQU6"/>
      <c r="WQV6"/>
      <c r="WQW6"/>
      <c r="WQX6"/>
      <c r="WQY6"/>
      <c r="WQZ6"/>
      <c r="WRA6"/>
      <c r="WRB6"/>
      <c r="WRC6"/>
      <c r="WRD6"/>
      <c r="WRE6"/>
      <c r="WRF6"/>
      <c r="WRG6"/>
      <c r="WRH6"/>
      <c r="WRI6"/>
      <c r="WRJ6"/>
      <c r="WRK6"/>
      <c r="WRL6"/>
      <c r="WRM6"/>
      <c r="WRN6"/>
      <c r="WRO6"/>
      <c r="WRP6"/>
      <c r="WRQ6"/>
      <c r="WRR6"/>
      <c r="WRS6"/>
      <c r="WRT6"/>
      <c r="WRU6"/>
      <c r="WRV6"/>
      <c r="WRW6"/>
      <c r="WRX6"/>
      <c r="WRY6"/>
      <c r="WRZ6"/>
      <c r="WSA6"/>
      <c r="WSB6"/>
      <c r="WSC6"/>
      <c r="WSD6"/>
      <c r="WSE6"/>
      <c r="WSF6"/>
      <c r="WSG6"/>
      <c r="WSH6"/>
      <c r="WSI6"/>
      <c r="WSJ6"/>
      <c r="WSK6"/>
      <c r="WSL6"/>
      <c r="WSM6"/>
      <c r="WSN6"/>
      <c r="WSO6"/>
      <c r="WSP6"/>
      <c r="WSQ6"/>
      <c r="WSR6"/>
      <c r="WSS6"/>
      <c r="WST6"/>
      <c r="WSU6"/>
      <c r="WSV6"/>
      <c r="WSW6"/>
      <c r="WSX6"/>
      <c r="WSY6"/>
      <c r="WSZ6"/>
      <c r="WTA6"/>
      <c r="WTB6"/>
      <c r="WTC6"/>
      <c r="WTD6"/>
      <c r="WTE6"/>
      <c r="WTF6"/>
      <c r="WTG6"/>
      <c r="WTH6"/>
      <c r="WTI6"/>
      <c r="WTJ6"/>
      <c r="WTK6"/>
      <c r="WTL6"/>
      <c r="WTM6"/>
      <c r="WTN6"/>
      <c r="WTO6"/>
      <c r="WTP6"/>
      <c r="WTQ6"/>
      <c r="WTR6"/>
      <c r="WTS6"/>
      <c r="WTT6"/>
      <c r="WTU6"/>
      <c r="WTV6"/>
      <c r="WTW6"/>
      <c r="WTX6"/>
      <c r="WTY6"/>
      <c r="WTZ6"/>
      <c r="WUA6"/>
      <c r="WUB6"/>
      <c r="WUC6"/>
      <c r="WUD6"/>
      <c r="WUE6"/>
      <c r="WUF6"/>
      <c r="WUG6"/>
      <c r="WUH6"/>
      <c r="WUI6"/>
      <c r="WUJ6"/>
      <c r="WUK6"/>
      <c r="WUL6"/>
      <c r="WUM6"/>
      <c r="WUN6"/>
      <c r="WUO6"/>
      <c r="WUP6"/>
      <c r="WUQ6"/>
      <c r="WUR6"/>
      <c r="WUS6"/>
      <c r="WUT6"/>
      <c r="WUU6"/>
      <c r="WUV6"/>
      <c r="WUW6"/>
      <c r="WUX6"/>
      <c r="WUY6"/>
      <c r="WUZ6"/>
      <c r="WVA6"/>
      <c r="WVB6"/>
      <c r="WVC6"/>
      <c r="WVD6"/>
      <c r="WVE6"/>
      <c r="WVF6"/>
      <c r="WVG6"/>
      <c r="WVH6"/>
      <c r="WVI6"/>
      <c r="WVJ6"/>
      <c r="WVK6"/>
      <c r="WVL6"/>
      <c r="WVM6"/>
      <c r="WVN6"/>
      <c r="WVO6"/>
      <c r="WVP6"/>
      <c r="WVQ6"/>
      <c r="WVR6"/>
      <c r="WVS6"/>
      <c r="WVT6"/>
      <c r="WVU6"/>
      <c r="WVV6"/>
      <c r="WVW6"/>
      <c r="WVX6"/>
      <c r="WVY6"/>
      <c r="WVZ6"/>
      <c r="WWA6"/>
      <c r="WWB6"/>
      <c r="WWC6"/>
      <c r="WWD6"/>
      <c r="WWE6"/>
      <c r="WWF6"/>
      <c r="WWG6"/>
      <c r="WWH6"/>
      <c r="WWI6"/>
      <c r="WWJ6"/>
      <c r="WWK6"/>
      <c r="WWL6"/>
      <c r="WWM6"/>
      <c r="WWN6"/>
      <c r="WWO6"/>
      <c r="WWP6"/>
      <c r="WWQ6"/>
      <c r="WWR6"/>
      <c r="WWS6"/>
      <c r="WWT6"/>
      <c r="WWU6"/>
      <c r="WWV6"/>
      <c r="WWW6"/>
      <c r="WWX6"/>
      <c r="WWY6"/>
      <c r="WWZ6"/>
      <c r="WXA6"/>
      <c r="WXB6"/>
      <c r="WXC6"/>
      <c r="WXD6"/>
      <c r="WXE6"/>
      <c r="WXF6"/>
      <c r="WXG6"/>
      <c r="WXH6"/>
      <c r="WXI6"/>
      <c r="WXJ6"/>
      <c r="WXK6"/>
      <c r="WXL6"/>
      <c r="WXM6"/>
      <c r="WXN6"/>
      <c r="WXO6"/>
      <c r="WXP6"/>
      <c r="WXQ6"/>
      <c r="WXR6"/>
      <c r="WXS6"/>
      <c r="WXT6"/>
      <c r="WXU6"/>
      <c r="WXV6"/>
      <c r="WXW6"/>
      <c r="WXX6"/>
      <c r="WXY6"/>
      <c r="WXZ6"/>
      <c r="WYA6"/>
      <c r="WYB6"/>
      <c r="WYC6"/>
      <c r="WYD6"/>
      <c r="WYE6"/>
      <c r="WYF6"/>
      <c r="WYG6"/>
      <c r="WYH6"/>
      <c r="WYI6"/>
      <c r="WYJ6"/>
      <c r="WYK6"/>
      <c r="WYL6"/>
      <c r="WYM6"/>
      <c r="WYN6"/>
      <c r="WYO6"/>
      <c r="WYP6"/>
      <c r="WYQ6"/>
      <c r="WYR6"/>
      <c r="WYS6"/>
      <c r="WYT6"/>
      <c r="WYU6"/>
      <c r="WYV6"/>
      <c r="WYW6"/>
      <c r="WYX6"/>
      <c r="WYY6"/>
      <c r="WYZ6"/>
      <c r="WZA6"/>
      <c r="WZB6"/>
      <c r="WZC6"/>
      <c r="WZD6"/>
      <c r="WZE6"/>
      <c r="WZF6"/>
      <c r="WZG6"/>
      <c r="WZH6"/>
      <c r="WZI6"/>
      <c r="WZJ6"/>
      <c r="WZK6"/>
      <c r="WZL6"/>
      <c r="WZM6"/>
      <c r="WZN6"/>
      <c r="WZO6"/>
      <c r="WZP6"/>
      <c r="WZQ6"/>
      <c r="WZR6"/>
      <c r="WZS6"/>
      <c r="WZT6"/>
      <c r="WZU6"/>
      <c r="WZV6"/>
      <c r="WZW6"/>
      <c r="WZX6"/>
      <c r="WZY6"/>
      <c r="WZZ6"/>
      <c r="XAA6"/>
      <c r="XAB6"/>
      <c r="XAC6"/>
      <c r="XAD6"/>
      <c r="XAE6"/>
      <c r="XAF6"/>
      <c r="XAG6"/>
      <c r="XAH6"/>
      <c r="XAI6"/>
      <c r="XAJ6"/>
      <c r="XAK6"/>
      <c r="XAL6"/>
      <c r="XAM6"/>
      <c r="XAN6"/>
      <c r="XAO6"/>
      <c r="XAP6"/>
      <c r="XAQ6"/>
      <c r="XAR6"/>
      <c r="XAS6"/>
      <c r="XAT6"/>
      <c r="XAU6"/>
      <c r="XAV6"/>
      <c r="XAW6"/>
      <c r="XAX6"/>
      <c r="XAY6"/>
      <c r="XAZ6"/>
      <c r="XBA6"/>
      <c r="XBB6"/>
      <c r="XBC6"/>
      <c r="XBD6"/>
      <c r="XBE6"/>
      <c r="XBF6"/>
      <c r="XBG6"/>
      <c r="XBH6"/>
      <c r="XBI6"/>
      <c r="XBJ6"/>
      <c r="XBK6"/>
      <c r="XBL6"/>
      <c r="XBM6"/>
      <c r="XBN6"/>
      <c r="XBO6"/>
      <c r="XBP6"/>
      <c r="XBQ6"/>
      <c r="XBR6"/>
      <c r="XBS6"/>
      <c r="XBT6"/>
      <c r="XBU6"/>
      <c r="XBV6"/>
      <c r="XBW6"/>
      <c r="XBX6"/>
      <c r="XBY6"/>
      <c r="XBZ6"/>
      <c r="XCA6"/>
      <c r="XCB6"/>
      <c r="XCC6"/>
      <c r="XCD6"/>
      <c r="XCE6"/>
      <c r="XCF6"/>
      <c r="XCG6"/>
      <c r="XCH6"/>
      <c r="XCI6"/>
      <c r="XCJ6"/>
      <c r="XCK6"/>
      <c r="XCL6"/>
      <c r="XCM6"/>
      <c r="XCN6"/>
      <c r="XCO6"/>
      <c r="XCP6"/>
      <c r="XCQ6"/>
      <c r="XCR6"/>
      <c r="XCS6"/>
      <c r="XCT6"/>
      <c r="XCU6"/>
      <c r="XCV6"/>
      <c r="XCW6"/>
      <c r="XCX6"/>
      <c r="XCY6"/>
      <c r="XCZ6"/>
      <c r="XDA6"/>
      <c r="XDB6"/>
      <c r="XDC6"/>
      <c r="XDD6"/>
      <c r="XDE6"/>
      <c r="XDF6"/>
      <c r="XDG6"/>
      <c r="XDH6"/>
      <c r="XDI6"/>
      <c r="XDJ6"/>
      <c r="XDK6"/>
      <c r="XDL6"/>
      <c r="XDM6"/>
      <c r="XDN6"/>
      <c r="XDO6"/>
      <c r="XDP6"/>
      <c r="XDQ6"/>
      <c r="XDR6"/>
      <c r="XDS6"/>
      <c r="XDT6"/>
      <c r="XDU6"/>
      <c r="XDV6"/>
      <c r="XDW6"/>
      <c r="XDX6"/>
      <c r="XDY6"/>
      <c r="XDZ6"/>
      <c r="XEA6"/>
      <c r="XEB6"/>
      <c r="XEC6"/>
      <c r="XED6"/>
      <c r="XEE6"/>
      <c r="XEF6"/>
      <c r="XEG6"/>
      <c r="XEH6"/>
      <c r="XEI6"/>
      <c r="XEJ6"/>
      <c r="XEK6"/>
      <c r="XEL6"/>
      <c r="XEM6"/>
      <c r="XEN6"/>
      <c r="XEO6"/>
      <c r="XEP6"/>
      <c r="XEQ6"/>
      <c r="XER6"/>
      <c r="XES6"/>
      <c r="XET6"/>
      <c r="XEU6"/>
      <c r="XEV6"/>
      <c r="XEW6"/>
      <c r="XEX6"/>
      <c r="XEY6"/>
      <c r="XEZ6"/>
      <c r="XFA6"/>
      <c r="XFB6"/>
      <c r="XFC6"/>
      <c r="XFD6"/>
    </row>
    <row r="7" spans="1:16384" s="1692" customFormat="1" x14ac:dyDescent="0.2">
      <c r="A7"/>
      <c r="E7" s="1692" t="s">
        <v>1699</v>
      </c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/>
      <c r="AMS7"/>
      <c r="AMT7"/>
      <c r="AMU7"/>
      <c r="AMV7"/>
      <c r="AMW7"/>
      <c r="AMX7"/>
      <c r="AMY7"/>
      <c r="AMZ7"/>
      <c r="ANA7"/>
      <c r="ANB7"/>
      <c r="ANC7"/>
      <c r="AND7"/>
      <c r="ANE7"/>
      <c r="ANF7"/>
      <c r="ANG7"/>
      <c r="ANH7"/>
      <c r="ANI7"/>
      <c r="ANJ7"/>
      <c r="ANK7"/>
      <c r="ANL7"/>
      <c r="ANM7"/>
      <c r="ANN7"/>
      <c r="ANO7"/>
      <c r="ANP7"/>
      <c r="ANQ7"/>
      <c r="ANR7"/>
      <c r="ANS7"/>
      <c r="ANT7"/>
      <c r="ANU7"/>
      <c r="ANV7"/>
      <c r="ANW7"/>
      <c r="ANX7"/>
      <c r="ANY7"/>
      <c r="ANZ7"/>
      <c r="AOA7"/>
      <c r="AOB7"/>
      <c r="AOC7"/>
      <c r="AOD7"/>
      <c r="AOE7"/>
      <c r="AOF7"/>
      <c r="AOG7"/>
      <c r="AOH7"/>
      <c r="AOI7"/>
      <c r="AOJ7"/>
      <c r="AOK7"/>
      <c r="AOL7"/>
      <c r="AOM7"/>
      <c r="AON7"/>
      <c r="AOO7"/>
      <c r="AOP7"/>
      <c r="AOQ7"/>
      <c r="AOR7"/>
      <c r="AOS7"/>
      <c r="AOT7"/>
      <c r="AOU7"/>
      <c r="AOV7"/>
      <c r="AOW7"/>
      <c r="AOX7"/>
      <c r="AOY7"/>
      <c r="AOZ7"/>
      <c r="APA7"/>
      <c r="APB7"/>
      <c r="APC7"/>
      <c r="APD7"/>
      <c r="APE7"/>
      <c r="APF7"/>
      <c r="APG7"/>
      <c r="APH7"/>
      <c r="API7"/>
      <c r="APJ7"/>
      <c r="APK7"/>
      <c r="APL7"/>
      <c r="APM7"/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  <c r="AQL7"/>
      <c r="AQM7"/>
      <c r="AQN7"/>
      <c r="AQO7"/>
      <c r="AQP7"/>
      <c r="AQQ7"/>
      <c r="AQR7"/>
      <c r="AQS7"/>
      <c r="AQT7"/>
      <c r="AQU7"/>
      <c r="AQV7"/>
      <c r="AQW7"/>
      <c r="AQX7"/>
      <c r="AQY7"/>
      <c r="AQZ7"/>
      <c r="ARA7"/>
      <c r="ARB7"/>
      <c r="ARC7"/>
      <c r="ARD7"/>
      <c r="ARE7"/>
      <c r="ARF7"/>
      <c r="ARG7"/>
      <c r="ARH7"/>
      <c r="ARI7"/>
      <c r="ARJ7"/>
      <c r="ARK7"/>
      <c r="ARL7"/>
      <c r="ARM7"/>
      <c r="ARN7"/>
      <c r="ARO7"/>
      <c r="ARP7"/>
      <c r="ARQ7"/>
      <c r="ARR7"/>
      <c r="ARS7"/>
      <c r="ART7"/>
      <c r="ARU7"/>
      <c r="ARV7"/>
      <c r="ARW7"/>
      <c r="ARX7"/>
      <c r="ARY7"/>
      <c r="ARZ7"/>
      <c r="ASA7"/>
      <c r="ASB7"/>
      <c r="ASC7"/>
      <c r="ASD7"/>
      <c r="ASE7"/>
      <c r="ASF7"/>
      <c r="ASG7"/>
      <c r="ASH7"/>
      <c r="ASI7"/>
      <c r="ASJ7"/>
      <c r="ASK7"/>
      <c r="ASL7"/>
      <c r="ASM7"/>
      <c r="ASN7"/>
      <c r="ASO7"/>
      <c r="ASP7"/>
      <c r="ASQ7"/>
      <c r="ASR7"/>
      <c r="ASS7"/>
      <c r="AST7"/>
      <c r="ASU7"/>
      <c r="ASV7"/>
      <c r="ASW7"/>
      <c r="ASX7"/>
      <c r="ASY7"/>
      <c r="ASZ7"/>
      <c r="ATA7"/>
      <c r="ATB7"/>
      <c r="ATC7"/>
      <c r="ATD7"/>
      <c r="ATE7"/>
      <c r="ATF7"/>
      <c r="ATG7"/>
      <c r="ATH7"/>
      <c r="ATI7"/>
      <c r="ATJ7"/>
      <c r="ATK7"/>
      <c r="ATL7"/>
      <c r="ATM7"/>
      <c r="ATN7"/>
      <c r="ATO7"/>
      <c r="ATP7"/>
      <c r="ATQ7"/>
      <c r="ATR7"/>
      <c r="ATS7"/>
      <c r="ATT7"/>
      <c r="ATU7"/>
      <c r="ATV7"/>
      <c r="ATW7"/>
      <c r="ATX7"/>
      <c r="ATY7"/>
      <c r="ATZ7"/>
      <c r="AUA7"/>
      <c r="AUB7"/>
      <c r="AUC7"/>
      <c r="AUD7"/>
      <c r="AUE7"/>
      <c r="AUF7"/>
      <c r="AUG7"/>
      <c r="AUH7"/>
      <c r="AUI7"/>
      <c r="AUJ7"/>
      <c r="AUK7"/>
      <c r="AUL7"/>
      <c r="AUM7"/>
      <c r="AUN7"/>
      <c r="AUO7"/>
      <c r="AUP7"/>
      <c r="AUQ7"/>
      <c r="AUR7"/>
      <c r="AUS7"/>
      <c r="AUT7"/>
      <c r="AUU7"/>
      <c r="AUV7"/>
      <c r="AUW7"/>
      <c r="AUX7"/>
      <c r="AUY7"/>
      <c r="AUZ7"/>
      <c r="AVA7"/>
      <c r="AVB7"/>
      <c r="AVC7"/>
      <c r="AVD7"/>
      <c r="AVE7"/>
      <c r="AVF7"/>
      <c r="AVG7"/>
      <c r="AVH7"/>
      <c r="AVI7"/>
      <c r="AVJ7"/>
      <c r="AVK7"/>
      <c r="AVL7"/>
      <c r="AVM7"/>
      <c r="AVN7"/>
      <c r="AVO7"/>
      <c r="AVP7"/>
      <c r="AVQ7"/>
      <c r="AVR7"/>
      <c r="AVS7"/>
      <c r="AVT7"/>
      <c r="AVU7"/>
      <c r="AVV7"/>
      <c r="AVW7"/>
      <c r="AVX7"/>
      <c r="AVY7"/>
      <c r="AVZ7"/>
      <c r="AWA7"/>
      <c r="AWB7"/>
      <c r="AWC7"/>
      <c r="AWD7"/>
      <c r="AWE7"/>
      <c r="AWF7"/>
      <c r="AWG7"/>
      <c r="AWH7"/>
      <c r="AWI7"/>
      <c r="AWJ7"/>
      <c r="AWK7"/>
      <c r="AWL7"/>
      <c r="AWM7"/>
      <c r="AWN7"/>
      <c r="AWO7"/>
      <c r="AWP7"/>
      <c r="AWQ7"/>
      <c r="AWR7"/>
      <c r="AWS7"/>
      <c r="AWT7"/>
      <c r="AWU7"/>
      <c r="AWV7"/>
      <c r="AWW7"/>
      <c r="AWX7"/>
      <c r="AWY7"/>
      <c r="AWZ7"/>
      <c r="AXA7"/>
      <c r="AXB7"/>
      <c r="AXC7"/>
      <c r="AXD7"/>
      <c r="AXE7"/>
      <c r="AXF7"/>
      <c r="AXG7"/>
      <c r="AXH7"/>
      <c r="AXI7"/>
      <c r="AXJ7"/>
      <c r="AXK7"/>
      <c r="AXL7"/>
      <c r="AXM7"/>
      <c r="AXN7"/>
      <c r="AXO7"/>
      <c r="AXP7"/>
      <c r="AXQ7"/>
      <c r="AXR7"/>
      <c r="AXS7"/>
      <c r="AXT7"/>
      <c r="AXU7"/>
      <c r="AXV7"/>
      <c r="AXW7"/>
      <c r="AXX7"/>
      <c r="AXY7"/>
      <c r="AXZ7"/>
      <c r="AYA7"/>
      <c r="AYB7"/>
      <c r="AYC7"/>
      <c r="AYD7"/>
      <c r="AYE7"/>
      <c r="AYF7"/>
      <c r="AYG7"/>
      <c r="AYH7"/>
      <c r="AYI7"/>
      <c r="AYJ7"/>
      <c r="AYK7"/>
      <c r="AYL7"/>
      <c r="AYM7"/>
      <c r="AYN7"/>
      <c r="AYO7"/>
      <c r="AYP7"/>
      <c r="AYQ7"/>
      <c r="AYR7"/>
      <c r="AYS7"/>
      <c r="AYT7"/>
      <c r="AYU7"/>
      <c r="AYV7"/>
      <c r="AYW7"/>
      <c r="AYX7"/>
      <c r="AYY7"/>
      <c r="AYZ7"/>
      <c r="AZA7"/>
      <c r="AZB7"/>
      <c r="AZC7"/>
      <c r="AZD7"/>
      <c r="AZE7"/>
      <c r="AZF7"/>
      <c r="AZG7"/>
      <c r="AZH7"/>
      <c r="AZI7"/>
      <c r="AZJ7"/>
      <c r="AZK7"/>
      <c r="AZL7"/>
      <c r="AZM7"/>
      <c r="AZN7"/>
      <c r="AZO7"/>
      <c r="AZP7"/>
      <c r="AZQ7"/>
      <c r="AZR7"/>
      <c r="AZS7"/>
      <c r="AZT7"/>
      <c r="AZU7"/>
      <c r="AZV7"/>
      <c r="AZW7"/>
      <c r="AZX7"/>
      <c r="AZY7"/>
      <c r="AZZ7"/>
      <c r="BAA7"/>
      <c r="BAB7"/>
      <c r="BAC7"/>
      <c r="BAD7"/>
      <c r="BAE7"/>
      <c r="BAF7"/>
      <c r="BAG7"/>
      <c r="BAH7"/>
      <c r="BAI7"/>
      <c r="BAJ7"/>
      <c r="BAK7"/>
      <c r="BAL7"/>
      <c r="BAM7"/>
      <c r="BAN7"/>
      <c r="BAO7"/>
      <c r="BAP7"/>
      <c r="BAQ7"/>
      <c r="BAR7"/>
      <c r="BAS7"/>
      <c r="BAT7"/>
      <c r="BAU7"/>
      <c r="BAV7"/>
      <c r="BAW7"/>
      <c r="BAX7"/>
      <c r="BAY7"/>
      <c r="BAZ7"/>
      <c r="BBA7"/>
      <c r="BBB7"/>
      <c r="BBC7"/>
      <c r="BBD7"/>
      <c r="BBE7"/>
      <c r="BBF7"/>
      <c r="BBG7"/>
      <c r="BBH7"/>
      <c r="BBI7"/>
      <c r="BBJ7"/>
      <c r="BBK7"/>
      <c r="BBL7"/>
      <c r="BBM7"/>
      <c r="BBN7"/>
      <c r="BBO7"/>
      <c r="BBP7"/>
      <c r="BBQ7"/>
      <c r="BBR7"/>
      <c r="BBS7"/>
      <c r="BBT7"/>
      <c r="BBU7"/>
      <c r="BBV7"/>
      <c r="BBW7"/>
      <c r="BBX7"/>
      <c r="BBY7"/>
      <c r="BBZ7"/>
      <c r="BCA7"/>
      <c r="BCB7"/>
      <c r="BCC7"/>
      <c r="BCD7"/>
      <c r="BCE7"/>
      <c r="BCF7"/>
      <c r="BCG7"/>
      <c r="BCH7"/>
      <c r="BCI7"/>
      <c r="BCJ7"/>
      <c r="BCK7"/>
      <c r="BCL7"/>
      <c r="BCM7"/>
      <c r="BCN7"/>
      <c r="BCO7"/>
      <c r="BCP7"/>
      <c r="BCQ7"/>
      <c r="BCR7"/>
      <c r="BCS7"/>
      <c r="BCT7"/>
      <c r="BCU7"/>
      <c r="BCV7"/>
      <c r="BCW7"/>
      <c r="BCX7"/>
      <c r="BCY7"/>
      <c r="BCZ7"/>
      <c r="BDA7"/>
      <c r="BDB7"/>
      <c r="BDC7"/>
      <c r="BDD7"/>
      <c r="BDE7"/>
      <c r="BDF7"/>
      <c r="BDG7"/>
      <c r="BDH7"/>
      <c r="BDI7"/>
      <c r="BDJ7"/>
      <c r="BDK7"/>
      <c r="BDL7"/>
      <c r="BDM7"/>
      <c r="BDN7"/>
      <c r="BDO7"/>
      <c r="BDP7"/>
      <c r="BDQ7"/>
      <c r="BDR7"/>
      <c r="BDS7"/>
      <c r="BDT7"/>
      <c r="BDU7"/>
      <c r="BDV7"/>
      <c r="BDW7"/>
      <c r="BDX7"/>
      <c r="BDY7"/>
      <c r="BDZ7"/>
      <c r="BEA7"/>
      <c r="BEB7"/>
      <c r="BEC7"/>
      <c r="BED7"/>
      <c r="BEE7"/>
      <c r="BEF7"/>
      <c r="BEG7"/>
      <c r="BEH7"/>
      <c r="BEI7"/>
      <c r="BEJ7"/>
      <c r="BEK7"/>
      <c r="BEL7"/>
      <c r="BEM7"/>
      <c r="BEN7"/>
      <c r="BEO7"/>
      <c r="BEP7"/>
      <c r="BEQ7"/>
      <c r="BER7"/>
      <c r="BES7"/>
      <c r="BET7"/>
      <c r="BEU7"/>
      <c r="BEV7"/>
      <c r="BEW7"/>
      <c r="BEX7"/>
      <c r="BEY7"/>
      <c r="BEZ7"/>
      <c r="BFA7"/>
      <c r="BFB7"/>
      <c r="BFC7"/>
      <c r="BFD7"/>
      <c r="BFE7"/>
      <c r="BFF7"/>
      <c r="BFG7"/>
      <c r="BFH7"/>
      <c r="BFI7"/>
      <c r="BFJ7"/>
      <c r="BFK7"/>
      <c r="BFL7"/>
      <c r="BFM7"/>
      <c r="BFN7"/>
      <c r="BFO7"/>
      <c r="BFP7"/>
      <c r="BFQ7"/>
      <c r="BFR7"/>
      <c r="BFS7"/>
      <c r="BFT7"/>
      <c r="BFU7"/>
      <c r="BFV7"/>
      <c r="BFW7"/>
      <c r="BFX7"/>
      <c r="BFY7"/>
      <c r="BFZ7"/>
      <c r="BGA7"/>
      <c r="BGB7"/>
      <c r="BGC7"/>
      <c r="BGD7"/>
      <c r="BGE7"/>
      <c r="BGF7"/>
      <c r="BGG7"/>
      <c r="BGH7"/>
      <c r="BGI7"/>
      <c r="BGJ7"/>
      <c r="BGK7"/>
      <c r="BGL7"/>
      <c r="BGM7"/>
      <c r="BGN7"/>
      <c r="BGO7"/>
      <c r="BGP7"/>
      <c r="BGQ7"/>
      <c r="BGR7"/>
      <c r="BGS7"/>
      <c r="BGT7"/>
      <c r="BGU7"/>
      <c r="BGV7"/>
      <c r="BGW7"/>
      <c r="BGX7"/>
      <c r="BGY7"/>
      <c r="BGZ7"/>
      <c r="BHA7"/>
      <c r="BHB7"/>
      <c r="BHC7"/>
      <c r="BHD7"/>
      <c r="BHE7"/>
      <c r="BHF7"/>
      <c r="BHG7"/>
      <c r="BHH7"/>
      <c r="BHI7"/>
      <c r="BHJ7"/>
      <c r="BHK7"/>
      <c r="BHL7"/>
      <c r="BHM7"/>
      <c r="BHN7"/>
      <c r="BHO7"/>
      <c r="BHP7"/>
      <c r="BHQ7"/>
      <c r="BHR7"/>
      <c r="BHS7"/>
      <c r="BHT7"/>
      <c r="BHU7"/>
      <c r="BHV7"/>
      <c r="BHW7"/>
      <c r="BHX7"/>
      <c r="BHY7"/>
      <c r="BHZ7"/>
      <c r="BIA7"/>
      <c r="BIB7"/>
      <c r="BIC7"/>
      <c r="BID7"/>
      <c r="BIE7"/>
      <c r="BIF7"/>
      <c r="BIG7"/>
      <c r="BIH7"/>
      <c r="BII7"/>
      <c r="BIJ7"/>
      <c r="BIK7"/>
      <c r="BIL7"/>
      <c r="BIM7"/>
      <c r="BIN7"/>
      <c r="BIO7"/>
      <c r="BIP7"/>
      <c r="BIQ7"/>
      <c r="BIR7"/>
      <c r="BIS7"/>
      <c r="BIT7"/>
      <c r="BIU7"/>
      <c r="BIV7"/>
      <c r="BIW7"/>
      <c r="BIX7"/>
      <c r="BIY7"/>
      <c r="BIZ7"/>
      <c r="BJA7"/>
      <c r="BJB7"/>
      <c r="BJC7"/>
      <c r="BJD7"/>
      <c r="BJE7"/>
      <c r="BJF7"/>
      <c r="BJG7"/>
      <c r="BJH7"/>
      <c r="BJI7"/>
      <c r="BJJ7"/>
      <c r="BJK7"/>
      <c r="BJL7"/>
      <c r="BJM7"/>
      <c r="BJN7"/>
      <c r="BJO7"/>
      <c r="BJP7"/>
      <c r="BJQ7"/>
      <c r="BJR7"/>
      <c r="BJS7"/>
      <c r="BJT7"/>
      <c r="BJU7"/>
      <c r="BJV7"/>
      <c r="BJW7"/>
      <c r="BJX7"/>
      <c r="BJY7"/>
      <c r="BJZ7"/>
      <c r="BKA7"/>
      <c r="BKB7"/>
      <c r="BKC7"/>
      <c r="BKD7"/>
      <c r="BKE7"/>
      <c r="BKF7"/>
      <c r="BKG7"/>
      <c r="BKH7"/>
      <c r="BKI7"/>
      <c r="BKJ7"/>
      <c r="BKK7"/>
      <c r="BKL7"/>
      <c r="BKM7"/>
      <c r="BKN7"/>
      <c r="BKO7"/>
      <c r="BKP7"/>
      <c r="BKQ7"/>
      <c r="BKR7"/>
      <c r="BKS7"/>
      <c r="BKT7"/>
      <c r="BKU7"/>
      <c r="BKV7"/>
      <c r="BKW7"/>
      <c r="BKX7"/>
      <c r="BKY7"/>
      <c r="BKZ7"/>
      <c r="BLA7"/>
      <c r="BLB7"/>
      <c r="BLC7"/>
      <c r="BLD7"/>
      <c r="BLE7"/>
      <c r="BLF7"/>
      <c r="BLG7"/>
      <c r="BLH7"/>
      <c r="BLI7"/>
      <c r="BLJ7"/>
      <c r="BLK7"/>
      <c r="BLL7"/>
      <c r="BLM7"/>
      <c r="BLN7"/>
      <c r="BLO7"/>
      <c r="BLP7"/>
      <c r="BLQ7"/>
      <c r="BLR7"/>
      <c r="BLS7"/>
      <c r="BLT7"/>
      <c r="BLU7"/>
      <c r="BLV7"/>
      <c r="BLW7"/>
      <c r="BLX7"/>
      <c r="BLY7"/>
      <c r="BLZ7"/>
      <c r="BMA7"/>
      <c r="BMB7"/>
      <c r="BMC7"/>
      <c r="BMD7"/>
      <c r="BME7"/>
      <c r="BMF7"/>
      <c r="BMG7"/>
      <c r="BMH7"/>
      <c r="BMI7"/>
      <c r="BMJ7"/>
      <c r="BMK7"/>
      <c r="BML7"/>
      <c r="BMM7"/>
      <c r="BMN7"/>
      <c r="BMO7"/>
      <c r="BMP7"/>
      <c r="BMQ7"/>
      <c r="BMR7"/>
      <c r="BMS7"/>
      <c r="BMT7"/>
      <c r="BMU7"/>
      <c r="BMV7"/>
      <c r="BMW7"/>
      <c r="BMX7"/>
      <c r="BMY7"/>
      <c r="BMZ7"/>
      <c r="BNA7"/>
      <c r="BNB7"/>
      <c r="BNC7"/>
      <c r="BND7"/>
      <c r="BNE7"/>
      <c r="BNF7"/>
      <c r="BNG7"/>
      <c r="BNH7"/>
      <c r="BNI7"/>
      <c r="BNJ7"/>
      <c r="BNK7"/>
      <c r="BNL7"/>
      <c r="BNM7"/>
      <c r="BNN7"/>
      <c r="BNO7"/>
      <c r="BNP7"/>
      <c r="BNQ7"/>
      <c r="BNR7"/>
      <c r="BNS7"/>
      <c r="BNT7"/>
      <c r="BNU7"/>
      <c r="BNV7"/>
      <c r="BNW7"/>
      <c r="BNX7"/>
      <c r="BNY7"/>
      <c r="BNZ7"/>
      <c r="BOA7"/>
      <c r="BOB7"/>
      <c r="BOC7"/>
      <c r="BOD7"/>
      <c r="BOE7"/>
      <c r="BOF7"/>
      <c r="BOG7"/>
      <c r="BOH7"/>
      <c r="BOI7"/>
      <c r="BOJ7"/>
      <c r="BOK7"/>
      <c r="BOL7"/>
      <c r="BOM7"/>
      <c r="BON7"/>
      <c r="BOO7"/>
      <c r="BOP7"/>
      <c r="BOQ7"/>
      <c r="BOR7"/>
      <c r="BOS7"/>
      <c r="BOT7"/>
      <c r="BOU7"/>
      <c r="BOV7"/>
      <c r="BOW7"/>
      <c r="BOX7"/>
      <c r="BOY7"/>
      <c r="BOZ7"/>
      <c r="BPA7"/>
      <c r="BPB7"/>
      <c r="BPC7"/>
      <c r="BPD7"/>
      <c r="BPE7"/>
      <c r="BPF7"/>
      <c r="BPG7"/>
      <c r="BPH7"/>
      <c r="BPI7"/>
      <c r="BPJ7"/>
      <c r="BPK7"/>
      <c r="BPL7"/>
      <c r="BPM7"/>
      <c r="BPN7"/>
      <c r="BPO7"/>
      <c r="BPP7"/>
      <c r="BPQ7"/>
      <c r="BPR7"/>
      <c r="BPS7"/>
      <c r="BPT7"/>
      <c r="BPU7"/>
      <c r="BPV7"/>
      <c r="BPW7"/>
      <c r="BPX7"/>
      <c r="BPY7"/>
      <c r="BPZ7"/>
      <c r="BQA7"/>
      <c r="BQB7"/>
      <c r="BQC7"/>
      <c r="BQD7"/>
      <c r="BQE7"/>
      <c r="BQF7"/>
      <c r="BQG7"/>
      <c r="BQH7"/>
      <c r="BQI7"/>
      <c r="BQJ7"/>
      <c r="BQK7"/>
      <c r="BQL7"/>
      <c r="BQM7"/>
      <c r="BQN7"/>
      <c r="BQO7"/>
      <c r="BQP7"/>
      <c r="BQQ7"/>
      <c r="BQR7"/>
      <c r="BQS7"/>
      <c r="BQT7"/>
      <c r="BQU7"/>
      <c r="BQV7"/>
      <c r="BQW7"/>
      <c r="BQX7"/>
      <c r="BQY7"/>
      <c r="BQZ7"/>
      <c r="BRA7"/>
      <c r="BRB7"/>
      <c r="BRC7"/>
      <c r="BRD7"/>
      <c r="BRE7"/>
      <c r="BRF7"/>
      <c r="BRG7"/>
      <c r="BRH7"/>
      <c r="BRI7"/>
      <c r="BRJ7"/>
      <c r="BRK7"/>
      <c r="BRL7"/>
      <c r="BRM7"/>
      <c r="BRN7"/>
      <c r="BRO7"/>
      <c r="BRP7"/>
      <c r="BRQ7"/>
      <c r="BRR7"/>
      <c r="BRS7"/>
      <c r="BRT7"/>
      <c r="BRU7"/>
      <c r="BRV7"/>
      <c r="BRW7"/>
      <c r="BRX7"/>
      <c r="BRY7"/>
      <c r="BRZ7"/>
      <c r="BSA7"/>
      <c r="BSB7"/>
      <c r="BSC7"/>
      <c r="BSD7"/>
      <c r="BSE7"/>
      <c r="BSF7"/>
      <c r="BSG7"/>
      <c r="BSH7"/>
      <c r="BSI7"/>
      <c r="BSJ7"/>
      <c r="BSK7"/>
      <c r="BSL7"/>
      <c r="BSM7"/>
      <c r="BSN7"/>
      <c r="BSO7"/>
      <c r="BSP7"/>
      <c r="BSQ7"/>
      <c r="BSR7"/>
      <c r="BSS7"/>
      <c r="BST7"/>
      <c r="BSU7"/>
      <c r="BSV7"/>
      <c r="BSW7"/>
      <c r="BSX7"/>
      <c r="BSY7"/>
      <c r="BSZ7"/>
      <c r="BTA7"/>
      <c r="BTB7"/>
      <c r="BTC7"/>
      <c r="BTD7"/>
      <c r="BTE7"/>
      <c r="BTF7"/>
      <c r="BTG7"/>
      <c r="BTH7"/>
      <c r="BTI7"/>
      <c r="BTJ7"/>
      <c r="BTK7"/>
      <c r="BTL7"/>
      <c r="BTM7"/>
      <c r="BTN7"/>
      <c r="BTO7"/>
      <c r="BTP7"/>
      <c r="BTQ7"/>
      <c r="BTR7"/>
      <c r="BTS7"/>
      <c r="BTT7"/>
      <c r="BTU7"/>
      <c r="BTV7"/>
      <c r="BTW7"/>
      <c r="BTX7"/>
      <c r="BTY7"/>
      <c r="BTZ7"/>
      <c r="BUA7"/>
      <c r="BUB7"/>
      <c r="BUC7"/>
      <c r="BUD7"/>
      <c r="BUE7"/>
      <c r="BUF7"/>
      <c r="BUG7"/>
      <c r="BUH7"/>
      <c r="BUI7"/>
      <c r="BUJ7"/>
      <c r="BUK7"/>
      <c r="BUL7"/>
      <c r="BUM7"/>
      <c r="BUN7"/>
      <c r="BUO7"/>
      <c r="BUP7"/>
      <c r="BUQ7"/>
      <c r="BUR7"/>
      <c r="BUS7"/>
      <c r="BUT7"/>
      <c r="BUU7"/>
      <c r="BUV7"/>
      <c r="BUW7"/>
      <c r="BUX7"/>
      <c r="BUY7"/>
      <c r="BUZ7"/>
      <c r="BVA7"/>
      <c r="BVB7"/>
      <c r="BVC7"/>
      <c r="BVD7"/>
      <c r="BVE7"/>
      <c r="BVF7"/>
      <c r="BVG7"/>
      <c r="BVH7"/>
      <c r="BVI7"/>
      <c r="BVJ7"/>
      <c r="BVK7"/>
      <c r="BVL7"/>
      <c r="BVM7"/>
      <c r="BVN7"/>
      <c r="BVO7"/>
      <c r="BVP7"/>
      <c r="BVQ7"/>
      <c r="BVR7"/>
      <c r="BVS7"/>
      <c r="BVT7"/>
      <c r="BVU7"/>
      <c r="BVV7"/>
      <c r="BVW7"/>
      <c r="BVX7"/>
      <c r="BVY7"/>
      <c r="BVZ7"/>
      <c r="BWA7"/>
      <c r="BWB7"/>
      <c r="BWC7"/>
      <c r="BWD7"/>
      <c r="BWE7"/>
      <c r="BWF7"/>
      <c r="BWG7"/>
      <c r="BWH7"/>
      <c r="BWI7"/>
      <c r="BWJ7"/>
      <c r="BWK7"/>
      <c r="BWL7"/>
      <c r="BWM7"/>
      <c r="BWN7"/>
      <c r="BWO7"/>
      <c r="BWP7"/>
      <c r="BWQ7"/>
      <c r="BWR7"/>
      <c r="BWS7"/>
      <c r="BWT7"/>
      <c r="BWU7"/>
      <c r="BWV7"/>
      <c r="BWW7"/>
      <c r="BWX7"/>
      <c r="BWY7"/>
      <c r="BWZ7"/>
      <c r="BXA7"/>
      <c r="BXB7"/>
      <c r="BXC7"/>
      <c r="BXD7"/>
      <c r="BXE7"/>
      <c r="BXF7"/>
      <c r="BXG7"/>
      <c r="BXH7"/>
      <c r="BXI7"/>
      <c r="BXJ7"/>
      <c r="BXK7"/>
      <c r="BXL7"/>
      <c r="BXM7"/>
      <c r="BXN7"/>
      <c r="BXO7"/>
      <c r="BXP7"/>
      <c r="BXQ7"/>
      <c r="BXR7"/>
      <c r="BXS7"/>
      <c r="BXT7"/>
      <c r="BXU7"/>
      <c r="BXV7"/>
      <c r="BXW7"/>
      <c r="BXX7"/>
      <c r="BXY7"/>
      <c r="BXZ7"/>
      <c r="BYA7"/>
      <c r="BYB7"/>
      <c r="BYC7"/>
      <c r="BYD7"/>
      <c r="BYE7"/>
      <c r="BYF7"/>
      <c r="BYG7"/>
      <c r="BYH7"/>
      <c r="BYI7"/>
      <c r="BYJ7"/>
      <c r="BYK7"/>
      <c r="BYL7"/>
      <c r="BYM7"/>
      <c r="BYN7"/>
      <c r="BYO7"/>
      <c r="BYP7"/>
      <c r="BYQ7"/>
      <c r="BYR7"/>
      <c r="BYS7"/>
      <c r="BYT7"/>
      <c r="BYU7"/>
      <c r="BYV7"/>
      <c r="BYW7"/>
      <c r="BYX7"/>
      <c r="BYY7"/>
      <c r="BYZ7"/>
      <c r="BZA7"/>
      <c r="BZB7"/>
      <c r="BZC7"/>
      <c r="BZD7"/>
      <c r="BZE7"/>
      <c r="BZF7"/>
      <c r="BZG7"/>
      <c r="BZH7"/>
      <c r="BZI7"/>
      <c r="BZJ7"/>
      <c r="BZK7"/>
      <c r="BZL7"/>
      <c r="BZM7"/>
      <c r="BZN7"/>
      <c r="BZO7"/>
      <c r="BZP7"/>
      <c r="BZQ7"/>
      <c r="BZR7"/>
      <c r="BZS7"/>
      <c r="BZT7"/>
      <c r="BZU7"/>
      <c r="BZV7"/>
      <c r="BZW7"/>
      <c r="BZX7"/>
      <c r="BZY7"/>
      <c r="BZZ7"/>
      <c r="CAA7"/>
      <c r="CAB7"/>
      <c r="CAC7"/>
      <c r="CAD7"/>
      <c r="CAE7"/>
      <c r="CAF7"/>
      <c r="CAG7"/>
      <c r="CAH7"/>
      <c r="CAI7"/>
      <c r="CAJ7"/>
      <c r="CAK7"/>
      <c r="CAL7"/>
      <c r="CAM7"/>
      <c r="CAN7"/>
      <c r="CAO7"/>
      <c r="CAP7"/>
      <c r="CAQ7"/>
      <c r="CAR7"/>
      <c r="CAS7"/>
      <c r="CAT7"/>
      <c r="CAU7"/>
      <c r="CAV7"/>
      <c r="CAW7"/>
      <c r="CAX7"/>
      <c r="CAY7"/>
      <c r="CAZ7"/>
      <c r="CBA7"/>
      <c r="CBB7"/>
      <c r="CBC7"/>
      <c r="CBD7"/>
      <c r="CBE7"/>
      <c r="CBF7"/>
      <c r="CBG7"/>
      <c r="CBH7"/>
      <c r="CBI7"/>
      <c r="CBJ7"/>
      <c r="CBK7"/>
      <c r="CBL7"/>
      <c r="CBM7"/>
      <c r="CBN7"/>
      <c r="CBO7"/>
      <c r="CBP7"/>
      <c r="CBQ7"/>
      <c r="CBR7"/>
      <c r="CBS7"/>
      <c r="CBT7"/>
      <c r="CBU7"/>
      <c r="CBV7"/>
      <c r="CBW7"/>
      <c r="CBX7"/>
      <c r="CBY7"/>
      <c r="CBZ7"/>
      <c r="CCA7"/>
      <c r="CCB7"/>
      <c r="CCC7"/>
      <c r="CCD7"/>
      <c r="CCE7"/>
      <c r="CCF7"/>
      <c r="CCG7"/>
      <c r="CCH7"/>
      <c r="CCI7"/>
      <c r="CCJ7"/>
      <c r="CCK7"/>
      <c r="CCL7"/>
      <c r="CCM7"/>
      <c r="CCN7"/>
      <c r="CCO7"/>
      <c r="CCP7"/>
      <c r="CCQ7"/>
      <c r="CCR7"/>
      <c r="CCS7"/>
      <c r="CCT7"/>
      <c r="CCU7"/>
      <c r="CCV7"/>
      <c r="CCW7"/>
      <c r="CCX7"/>
      <c r="CCY7"/>
      <c r="CCZ7"/>
      <c r="CDA7"/>
      <c r="CDB7"/>
      <c r="CDC7"/>
      <c r="CDD7"/>
      <c r="CDE7"/>
      <c r="CDF7"/>
      <c r="CDG7"/>
      <c r="CDH7"/>
      <c r="CDI7"/>
      <c r="CDJ7"/>
      <c r="CDK7"/>
      <c r="CDL7"/>
      <c r="CDM7"/>
      <c r="CDN7"/>
      <c r="CDO7"/>
      <c r="CDP7"/>
      <c r="CDQ7"/>
      <c r="CDR7"/>
      <c r="CDS7"/>
      <c r="CDT7"/>
      <c r="CDU7"/>
      <c r="CDV7"/>
      <c r="CDW7"/>
      <c r="CDX7"/>
      <c r="CDY7"/>
      <c r="CDZ7"/>
      <c r="CEA7"/>
      <c r="CEB7"/>
      <c r="CEC7"/>
      <c r="CED7"/>
      <c r="CEE7"/>
      <c r="CEF7"/>
      <c r="CEG7"/>
      <c r="CEH7"/>
      <c r="CEI7"/>
      <c r="CEJ7"/>
      <c r="CEK7"/>
      <c r="CEL7"/>
      <c r="CEM7"/>
      <c r="CEN7"/>
      <c r="CEO7"/>
      <c r="CEP7"/>
      <c r="CEQ7"/>
      <c r="CER7"/>
      <c r="CES7"/>
      <c r="CET7"/>
      <c r="CEU7"/>
      <c r="CEV7"/>
      <c r="CEW7"/>
      <c r="CEX7"/>
      <c r="CEY7"/>
      <c r="CEZ7"/>
      <c r="CFA7"/>
      <c r="CFB7"/>
      <c r="CFC7"/>
      <c r="CFD7"/>
      <c r="CFE7"/>
      <c r="CFF7"/>
      <c r="CFG7"/>
      <c r="CFH7"/>
      <c r="CFI7"/>
      <c r="CFJ7"/>
      <c r="CFK7"/>
      <c r="CFL7"/>
      <c r="CFM7"/>
      <c r="CFN7"/>
      <c r="CFO7"/>
      <c r="CFP7"/>
      <c r="CFQ7"/>
      <c r="CFR7"/>
      <c r="CFS7"/>
      <c r="CFT7"/>
      <c r="CFU7"/>
      <c r="CFV7"/>
      <c r="CFW7"/>
      <c r="CFX7"/>
      <c r="CFY7"/>
      <c r="CFZ7"/>
      <c r="CGA7"/>
      <c r="CGB7"/>
      <c r="CGC7"/>
      <c r="CGD7"/>
      <c r="CGE7"/>
      <c r="CGF7"/>
      <c r="CGG7"/>
      <c r="CGH7"/>
      <c r="CGI7"/>
      <c r="CGJ7"/>
      <c r="CGK7"/>
      <c r="CGL7"/>
      <c r="CGM7"/>
      <c r="CGN7"/>
      <c r="CGO7"/>
      <c r="CGP7"/>
      <c r="CGQ7"/>
      <c r="CGR7"/>
      <c r="CGS7"/>
      <c r="CGT7"/>
      <c r="CGU7"/>
      <c r="CGV7"/>
      <c r="CGW7"/>
      <c r="CGX7"/>
      <c r="CGY7"/>
      <c r="CGZ7"/>
      <c r="CHA7"/>
      <c r="CHB7"/>
      <c r="CHC7"/>
      <c r="CHD7"/>
      <c r="CHE7"/>
      <c r="CHF7"/>
      <c r="CHG7"/>
      <c r="CHH7"/>
      <c r="CHI7"/>
      <c r="CHJ7"/>
      <c r="CHK7"/>
      <c r="CHL7"/>
      <c r="CHM7"/>
      <c r="CHN7"/>
      <c r="CHO7"/>
      <c r="CHP7"/>
      <c r="CHQ7"/>
      <c r="CHR7"/>
      <c r="CHS7"/>
      <c r="CHT7"/>
      <c r="CHU7"/>
      <c r="CHV7"/>
      <c r="CHW7"/>
      <c r="CHX7"/>
      <c r="CHY7"/>
      <c r="CHZ7"/>
      <c r="CIA7"/>
      <c r="CIB7"/>
      <c r="CIC7"/>
      <c r="CID7"/>
      <c r="CIE7"/>
      <c r="CIF7"/>
      <c r="CIG7"/>
      <c r="CIH7"/>
      <c r="CII7"/>
      <c r="CIJ7"/>
      <c r="CIK7"/>
      <c r="CIL7"/>
      <c r="CIM7"/>
      <c r="CIN7"/>
      <c r="CIO7"/>
      <c r="CIP7"/>
      <c r="CIQ7"/>
      <c r="CIR7"/>
      <c r="CIS7"/>
      <c r="CIT7"/>
      <c r="CIU7"/>
      <c r="CIV7"/>
      <c r="CIW7"/>
      <c r="CIX7"/>
      <c r="CIY7"/>
      <c r="CIZ7"/>
      <c r="CJA7"/>
      <c r="CJB7"/>
      <c r="CJC7"/>
      <c r="CJD7"/>
      <c r="CJE7"/>
      <c r="CJF7"/>
      <c r="CJG7"/>
      <c r="CJH7"/>
      <c r="CJI7"/>
      <c r="CJJ7"/>
      <c r="CJK7"/>
      <c r="CJL7"/>
      <c r="CJM7"/>
      <c r="CJN7"/>
      <c r="CJO7"/>
      <c r="CJP7"/>
      <c r="CJQ7"/>
      <c r="CJR7"/>
      <c r="CJS7"/>
      <c r="CJT7"/>
      <c r="CJU7"/>
      <c r="CJV7"/>
      <c r="CJW7"/>
      <c r="CJX7"/>
      <c r="CJY7"/>
      <c r="CJZ7"/>
      <c r="CKA7"/>
      <c r="CKB7"/>
      <c r="CKC7"/>
      <c r="CKD7"/>
      <c r="CKE7"/>
      <c r="CKF7"/>
      <c r="CKG7"/>
      <c r="CKH7"/>
      <c r="CKI7"/>
      <c r="CKJ7"/>
      <c r="CKK7"/>
      <c r="CKL7"/>
      <c r="CKM7"/>
      <c r="CKN7"/>
      <c r="CKO7"/>
      <c r="CKP7"/>
      <c r="CKQ7"/>
      <c r="CKR7"/>
      <c r="CKS7"/>
      <c r="CKT7"/>
      <c r="CKU7"/>
      <c r="CKV7"/>
      <c r="CKW7"/>
      <c r="CKX7"/>
      <c r="CKY7"/>
      <c r="CKZ7"/>
      <c r="CLA7"/>
      <c r="CLB7"/>
      <c r="CLC7"/>
      <c r="CLD7"/>
      <c r="CLE7"/>
      <c r="CLF7"/>
      <c r="CLG7"/>
      <c r="CLH7"/>
      <c r="CLI7"/>
      <c r="CLJ7"/>
      <c r="CLK7"/>
      <c r="CLL7"/>
      <c r="CLM7"/>
      <c r="CLN7"/>
      <c r="CLO7"/>
      <c r="CLP7"/>
      <c r="CLQ7"/>
      <c r="CLR7"/>
      <c r="CLS7"/>
      <c r="CLT7"/>
      <c r="CLU7"/>
      <c r="CLV7"/>
      <c r="CLW7"/>
      <c r="CLX7"/>
      <c r="CLY7"/>
      <c r="CLZ7"/>
      <c r="CMA7"/>
      <c r="CMB7"/>
      <c r="CMC7"/>
      <c r="CMD7"/>
      <c r="CME7"/>
      <c r="CMF7"/>
      <c r="CMG7"/>
      <c r="CMH7"/>
      <c r="CMI7"/>
      <c r="CMJ7"/>
      <c r="CMK7"/>
      <c r="CML7"/>
      <c r="CMM7"/>
      <c r="CMN7"/>
      <c r="CMO7"/>
      <c r="CMP7"/>
      <c r="CMQ7"/>
      <c r="CMR7"/>
      <c r="CMS7"/>
      <c r="CMT7"/>
      <c r="CMU7"/>
      <c r="CMV7"/>
      <c r="CMW7"/>
      <c r="CMX7"/>
      <c r="CMY7"/>
      <c r="CMZ7"/>
      <c r="CNA7"/>
      <c r="CNB7"/>
      <c r="CNC7"/>
      <c r="CND7"/>
      <c r="CNE7"/>
      <c r="CNF7"/>
      <c r="CNG7"/>
      <c r="CNH7"/>
      <c r="CNI7"/>
      <c r="CNJ7"/>
      <c r="CNK7"/>
      <c r="CNL7"/>
      <c r="CNM7"/>
      <c r="CNN7"/>
      <c r="CNO7"/>
      <c r="CNP7"/>
      <c r="CNQ7"/>
      <c r="CNR7"/>
      <c r="CNS7"/>
      <c r="CNT7"/>
      <c r="CNU7"/>
      <c r="CNV7"/>
      <c r="CNW7"/>
      <c r="CNX7"/>
      <c r="CNY7"/>
      <c r="CNZ7"/>
      <c r="COA7"/>
      <c r="COB7"/>
      <c r="COC7"/>
      <c r="COD7"/>
      <c r="COE7"/>
      <c r="COF7"/>
      <c r="COG7"/>
      <c r="COH7"/>
      <c r="COI7"/>
      <c r="COJ7"/>
      <c r="COK7"/>
      <c r="COL7"/>
      <c r="COM7"/>
      <c r="CON7"/>
      <c r="COO7"/>
      <c r="COP7"/>
      <c r="COQ7"/>
      <c r="COR7"/>
      <c r="COS7"/>
      <c r="COT7"/>
      <c r="COU7"/>
      <c r="COV7"/>
      <c r="COW7"/>
      <c r="COX7"/>
      <c r="COY7"/>
      <c r="COZ7"/>
      <c r="CPA7"/>
      <c r="CPB7"/>
      <c r="CPC7"/>
      <c r="CPD7"/>
      <c r="CPE7"/>
      <c r="CPF7"/>
      <c r="CPG7"/>
      <c r="CPH7"/>
      <c r="CPI7"/>
      <c r="CPJ7"/>
      <c r="CPK7"/>
      <c r="CPL7"/>
      <c r="CPM7"/>
      <c r="CPN7"/>
      <c r="CPO7"/>
      <c r="CPP7"/>
      <c r="CPQ7"/>
      <c r="CPR7"/>
      <c r="CPS7"/>
      <c r="CPT7"/>
      <c r="CPU7"/>
      <c r="CPV7"/>
      <c r="CPW7"/>
      <c r="CPX7"/>
      <c r="CPY7"/>
      <c r="CPZ7"/>
      <c r="CQA7"/>
      <c r="CQB7"/>
      <c r="CQC7"/>
      <c r="CQD7"/>
      <c r="CQE7"/>
      <c r="CQF7"/>
      <c r="CQG7"/>
      <c r="CQH7"/>
      <c r="CQI7"/>
      <c r="CQJ7"/>
      <c r="CQK7"/>
      <c r="CQL7"/>
      <c r="CQM7"/>
      <c r="CQN7"/>
      <c r="CQO7"/>
      <c r="CQP7"/>
      <c r="CQQ7"/>
      <c r="CQR7"/>
      <c r="CQS7"/>
      <c r="CQT7"/>
      <c r="CQU7"/>
      <c r="CQV7"/>
      <c r="CQW7"/>
      <c r="CQX7"/>
      <c r="CQY7"/>
      <c r="CQZ7"/>
      <c r="CRA7"/>
      <c r="CRB7"/>
      <c r="CRC7"/>
      <c r="CRD7"/>
      <c r="CRE7"/>
      <c r="CRF7"/>
      <c r="CRG7"/>
      <c r="CRH7"/>
      <c r="CRI7"/>
      <c r="CRJ7"/>
      <c r="CRK7"/>
      <c r="CRL7"/>
      <c r="CRM7"/>
      <c r="CRN7"/>
      <c r="CRO7"/>
      <c r="CRP7"/>
      <c r="CRQ7"/>
      <c r="CRR7"/>
      <c r="CRS7"/>
      <c r="CRT7"/>
      <c r="CRU7"/>
      <c r="CRV7"/>
      <c r="CRW7"/>
      <c r="CRX7"/>
      <c r="CRY7"/>
      <c r="CRZ7"/>
      <c r="CSA7"/>
      <c r="CSB7"/>
      <c r="CSC7"/>
      <c r="CSD7"/>
      <c r="CSE7"/>
      <c r="CSF7"/>
      <c r="CSG7"/>
      <c r="CSH7"/>
      <c r="CSI7"/>
      <c r="CSJ7"/>
      <c r="CSK7"/>
      <c r="CSL7"/>
      <c r="CSM7"/>
      <c r="CSN7"/>
      <c r="CSO7"/>
      <c r="CSP7"/>
      <c r="CSQ7"/>
      <c r="CSR7"/>
      <c r="CSS7"/>
      <c r="CST7"/>
      <c r="CSU7"/>
      <c r="CSV7"/>
      <c r="CSW7"/>
      <c r="CSX7"/>
      <c r="CSY7"/>
      <c r="CSZ7"/>
      <c r="CTA7"/>
      <c r="CTB7"/>
      <c r="CTC7"/>
      <c r="CTD7"/>
      <c r="CTE7"/>
      <c r="CTF7"/>
      <c r="CTG7"/>
      <c r="CTH7"/>
      <c r="CTI7"/>
      <c r="CTJ7"/>
      <c r="CTK7"/>
      <c r="CTL7"/>
      <c r="CTM7"/>
      <c r="CTN7"/>
      <c r="CTO7"/>
      <c r="CTP7"/>
      <c r="CTQ7"/>
      <c r="CTR7"/>
      <c r="CTS7"/>
      <c r="CTT7"/>
      <c r="CTU7"/>
      <c r="CTV7"/>
      <c r="CTW7"/>
      <c r="CTX7"/>
      <c r="CTY7"/>
      <c r="CTZ7"/>
      <c r="CUA7"/>
      <c r="CUB7"/>
      <c r="CUC7"/>
      <c r="CUD7"/>
      <c r="CUE7"/>
      <c r="CUF7"/>
      <c r="CUG7"/>
      <c r="CUH7"/>
      <c r="CUI7"/>
      <c r="CUJ7"/>
      <c r="CUK7"/>
      <c r="CUL7"/>
      <c r="CUM7"/>
      <c r="CUN7"/>
      <c r="CUO7"/>
      <c r="CUP7"/>
      <c r="CUQ7"/>
      <c r="CUR7"/>
      <c r="CUS7"/>
      <c r="CUT7"/>
      <c r="CUU7"/>
      <c r="CUV7"/>
      <c r="CUW7"/>
      <c r="CUX7"/>
      <c r="CUY7"/>
      <c r="CUZ7"/>
      <c r="CVA7"/>
      <c r="CVB7"/>
      <c r="CVC7"/>
      <c r="CVD7"/>
      <c r="CVE7"/>
      <c r="CVF7"/>
      <c r="CVG7"/>
      <c r="CVH7"/>
      <c r="CVI7"/>
      <c r="CVJ7"/>
      <c r="CVK7"/>
      <c r="CVL7"/>
      <c r="CVM7"/>
      <c r="CVN7"/>
      <c r="CVO7"/>
      <c r="CVP7"/>
      <c r="CVQ7"/>
      <c r="CVR7"/>
      <c r="CVS7"/>
      <c r="CVT7"/>
      <c r="CVU7"/>
      <c r="CVV7"/>
      <c r="CVW7"/>
      <c r="CVX7"/>
      <c r="CVY7"/>
      <c r="CVZ7"/>
      <c r="CWA7"/>
      <c r="CWB7"/>
      <c r="CWC7"/>
      <c r="CWD7"/>
      <c r="CWE7"/>
      <c r="CWF7"/>
      <c r="CWG7"/>
      <c r="CWH7"/>
      <c r="CWI7"/>
      <c r="CWJ7"/>
      <c r="CWK7"/>
      <c r="CWL7"/>
      <c r="CWM7"/>
      <c r="CWN7"/>
      <c r="CWO7"/>
      <c r="CWP7"/>
      <c r="CWQ7"/>
      <c r="CWR7"/>
      <c r="CWS7"/>
      <c r="CWT7"/>
      <c r="CWU7"/>
      <c r="CWV7"/>
      <c r="CWW7"/>
      <c r="CWX7"/>
      <c r="CWY7"/>
      <c r="CWZ7"/>
      <c r="CXA7"/>
      <c r="CXB7"/>
      <c r="CXC7"/>
      <c r="CXD7"/>
      <c r="CXE7"/>
      <c r="CXF7"/>
      <c r="CXG7"/>
      <c r="CXH7"/>
      <c r="CXI7"/>
      <c r="CXJ7"/>
      <c r="CXK7"/>
      <c r="CXL7"/>
      <c r="CXM7"/>
      <c r="CXN7"/>
      <c r="CXO7"/>
      <c r="CXP7"/>
      <c r="CXQ7"/>
      <c r="CXR7"/>
      <c r="CXS7"/>
      <c r="CXT7"/>
      <c r="CXU7"/>
      <c r="CXV7"/>
      <c r="CXW7"/>
      <c r="CXX7"/>
      <c r="CXY7"/>
      <c r="CXZ7"/>
      <c r="CYA7"/>
      <c r="CYB7"/>
      <c r="CYC7"/>
      <c r="CYD7"/>
      <c r="CYE7"/>
      <c r="CYF7"/>
      <c r="CYG7"/>
      <c r="CYH7"/>
      <c r="CYI7"/>
      <c r="CYJ7"/>
      <c r="CYK7"/>
      <c r="CYL7"/>
      <c r="CYM7"/>
      <c r="CYN7"/>
      <c r="CYO7"/>
      <c r="CYP7"/>
      <c r="CYQ7"/>
      <c r="CYR7"/>
      <c r="CYS7"/>
      <c r="CYT7"/>
      <c r="CYU7"/>
      <c r="CYV7"/>
      <c r="CYW7"/>
      <c r="CYX7"/>
      <c r="CYY7"/>
      <c r="CYZ7"/>
      <c r="CZA7"/>
      <c r="CZB7"/>
      <c r="CZC7"/>
      <c r="CZD7"/>
      <c r="CZE7"/>
      <c r="CZF7"/>
      <c r="CZG7"/>
      <c r="CZH7"/>
      <c r="CZI7"/>
      <c r="CZJ7"/>
      <c r="CZK7"/>
      <c r="CZL7"/>
      <c r="CZM7"/>
      <c r="CZN7"/>
      <c r="CZO7"/>
      <c r="CZP7"/>
      <c r="CZQ7"/>
      <c r="CZR7"/>
      <c r="CZS7"/>
      <c r="CZT7"/>
      <c r="CZU7"/>
      <c r="CZV7"/>
      <c r="CZW7"/>
      <c r="CZX7"/>
      <c r="CZY7"/>
      <c r="CZZ7"/>
      <c r="DAA7"/>
      <c r="DAB7"/>
      <c r="DAC7"/>
      <c r="DAD7"/>
      <c r="DAE7"/>
      <c r="DAF7"/>
      <c r="DAG7"/>
      <c r="DAH7"/>
      <c r="DAI7"/>
      <c r="DAJ7"/>
      <c r="DAK7"/>
      <c r="DAL7"/>
      <c r="DAM7"/>
      <c r="DAN7"/>
      <c r="DAO7"/>
      <c r="DAP7"/>
      <c r="DAQ7"/>
      <c r="DAR7"/>
      <c r="DAS7"/>
      <c r="DAT7"/>
      <c r="DAU7"/>
      <c r="DAV7"/>
      <c r="DAW7"/>
      <c r="DAX7"/>
      <c r="DAY7"/>
      <c r="DAZ7"/>
      <c r="DBA7"/>
      <c r="DBB7"/>
      <c r="DBC7"/>
      <c r="DBD7"/>
      <c r="DBE7"/>
      <c r="DBF7"/>
      <c r="DBG7"/>
      <c r="DBH7"/>
      <c r="DBI7"/>
      <c r="DBJ7"/>
      <c r="DBK7"/>
      <c r="DBL7"/>
      <c r="DBM7"/>
      <c r="DBN7"/>
      <c r="DBO7"/>
      <c r="DBP7"/>
      <c r="DBQ7"/>
      <c r="DBR7"/>
      <c r="DBS7"/>
      <c r="DBT7"/>
      <c r="DBU7"/>
      <c r="DBV7"/>
      <c r="DBW7"/>
      <c r="DBX7"/>
      <c r="DBY7"/>
      <c r="DBZ7"/>
      <c r="DCA7"/>
      <c r="DCB7"/>
      <c r="DCC7"/>
      <c r="DCD7"/>
      <c r="DCE7"/>
      <c r="DCF7"/>
      <c r="DCG7"/>
      <c r="DCH7"/>
      <c r="DCI7"/>
      <c r="DCJ7"/>
      <c r="DCK7"/>
      <c r="DCL7"/>
      <c r="DCM7"/>
      <c r="DCN7"/>
      <c r="DCO7"/>
      <c r="DCP7"/>
      <c r="DCQ7"/>
      <c r="DCR7"/>
      <c r="DCS7"/>
      <c r="DCT7"/>
      <c r="DCU7"/>
      <c r="DCV7"/>
      <c r="DCW7"/>
      <c r="DCX7"/>
      <c r="DCY7"/>
      <c r="DCZ7"/>
      <c r="DDA7"/>
      <c r="DDB7"/>
      <c r="DDC7"/>
      <c r="DDD7"/>
      <c r="DDE7"/>
      <c r="DDF7"/>
      <c r="DDG7"/>
      <c r="DDH7"/>
      <c r="DDI7"/>
      <c r="DDJ7"/>
      <c r="DDK7"/>
      <c r="DDL7"/>
      <c r="DDM7"/>
      <c r="DDN7"/>
      <c r="DDO7"/>
      <c r="DDP7"/>
      <c r="DDQ7"/>
      <c r="DDR7"/>
      <c r="DDS7"/>
      <c r="DDT7"/>
      <c r="DDU7"/>
      <c r="DDV7"/>
      <c r="DDW7"/>
      <c r="DDX7"/>
      <c r="DDY7"/>
      <c r="DDZ7"/>
      <c r="DEA7"/>
      <c r="DEB7"/>
      <c r="DEC7"/>
      <c r="DED7"/>
      <c r="DEE7"/>
      <c r="DEF7"/>
      <c r="DEG7"/>
      <c r="DEH7"/>
      <c r="DEI7"/>
      <c r="DEJ7"/>
      <c r="DEK7"/>
      <c r="DEL7"/>
      <c r="DEM7"/>
      <c r="DEN7"/>
      <c r="DEO7"/>
      <c r="DEP7"/>
      <c r="DEQ7"/>
      <c r="DER7"/>
      <c r="DES7"/>
      <c r="DET7"/>
      <c r="DEU7"/>
      <c r="DEV7"/>
      <c r="DEW7"/>
      <c r="DEX7"/>
      <c r="DEY7"/>
      <c r="DEZ7"/>
      <c r="DFA7"/>
      <c r="DFB7"/>
      <c r="DFC7"/>
      <c r="DFD7"/>
      <c r="DFE7"/>
      <c r="DFF7"/>
      <c r="DFG7"/>
      <c r="DFH7"/>
      <c r="DFI7"/>
      <c r="DFJ7"/>
      <c r="DFK7"/>
      <c r="DFL7"/>
      <c r="DFM7"/>
      <c r="DFN7"/>
      <c r="DFO7"/>
      <c r="DFP7"/>
      <c r="DFQ7"/>
      <c r="DFR7"/>
      <c r="DFS7"/>
      <c r="DFT7"/>
      <c r="DFU7"/>
      <c r="DFV7"/>
      <c r="DFW7"/>
      <c r="DFX7"/>
      <c r="DFY7"/>
      <c r="DFZ7"/>
      <c r="DGA7"/>
      <c r="DGB7"/>
      <c r="DGC7"/>
      <c r="DGD7"/>
      <c r="DGE7"/>
      <c r="DGF7"/>
      <c r="DGG7"/>
      <c r="DGH7"/>
      <c r="DGI7"/>
      <c r="DGJ7"/>
      <c r="DGK7"/>
      <c r="DGL7"/>
      <c r="DGM7"/>
      <c r="DGN7"/>
      <c r="DGO7"/>
      <c r="DGP7"/>
      <c r="DGQ7"/>
      <c r="DGR7"/>
      <c r="DGS7"/>
      <c r="DGT7"/>
      <c r="DGU7"/>
      <c r="DGV7"/>
      <c r="DGW7"/>
      <c r="DGX7"/>
      <c r="DGY7"/>
      <c r="DGZ7"/>
      <c r="DHA7"/>
      <c r="DHB7"/>
      <c r="DHC7"/>
      <c r="DHD7"/>
      <c r="DHE7"/>
      <c r="DHF7"/>
      <c r="DHG7"/>
      <c r="DHH7"/>
      <c r="DHI7"/>
      <c r="DHJ7"/>
      <c r="DHK7"/>
      <c r="DHL7"/>
      <c r="DHM7"/>
      <c r="DHN7"/>
      <c r="DHO7"/>
      <c r="DHP7"/>
      <c r="DHQ7"/>
      <c r="DHR7"/>
      <c r="DHS7"/>
      <c r="DHT7"/>
      <c r="DHU7"/>
      <c r="DHV7"/>
      <c r="DHW7"/>
      <c r="DHX7"/>
      <c r="DHY7"/>
      <c r="DHZ7"/>
      <c r="DIA7"/>
      <c r="DIB7"/>
      <c r="DIC7"/>
      <c r="DID7"/>
      <c r="DIE7"/>
      <c r="DIF7"/>
      <c r="DIG7"/>
      <c r="DIH7"/>
      <c r="DII7"/>
      <c r="DIJ7"/>
      <c r="DIK7"/>
      <c r="DIL7"/>
      <c r="DIM7"/>
      <c r="DIN7"/>
      <c r="DIO7"/>
      <c r="DIP7"/>
      <c r="DIQ7"/>
      <c r="DIR7"/>
      <c r="DIS7"/>
      <c r="DIT7"/>
      <c r="DIU7"/>
      <c r="DIV7"/>
      <c r="DIW7"/>
      <c r="DIX7"/>
      <c r="DIY7"/>
      <c r="DIZ7"/>
      <c r="DJA7"/>
      <c r="DJB7"/>
      <c r="DJC7"/>
      <c r="DJD7"/>
      <c r="DJE7"/>
      <c r="DJF7"/>
      <c r="DJG7"/>
      <c r="DJH7"/>
      <c r="DJI7"/>
      <c r="DJJ7"/>
      <c r="DJK7"/>
      <c r="DJL7"/>
      <c r="DJM7"/>
      <c r="DJN7"/>
      <c r="DJO7"/>
      <c r="DJP7"/>
      <c r="DJQ7"/>
      <c r="DJR7"/>
      <c r="DJS7"/>
      <c r="DJT7"/>
      <c r="DJU7"/>
      <c r="DJV7"/>
      <c r="DJW7"/>
      <c r="DJX7"/>
      <c r="DJY7"/>
      <c r="DJZ7"/>
      <c r="DKA7"/>
      <c r="DKB7"/>
      <c r="DKC7"/>
      <c r="DKD7"/>
      <c r="DKE7"/>
      <c r="DKF7"/>
      <c r="DKG7"/>
      <c r="DKH7"/>
      <c r="DKI7"/>
      <c r="DKJ7"/>
      <c r="DKK7"/>
      <c r="DKL7"/>
      <c r="DKM7"/>
      <c r="DKN7"/>
      <c r="DKO7"/>
      <c r="DKP7"/>
      <c r="DKQ7"/>
      <c r="DKR7"/>
      <c r="DKS7"/>
      <c r="DKT7"/>
      <c r="DKU7"/>
      <c r="DKV7"/>
      <c r="DKW7"/>
      <c r="DKX7"/>
      <c r="DKY7"/>
      <c r="DKZ7"/>
      <c r="DLA7"/>
      <c r="DLB7"/>
      <c r="DLC7"/>
      <c r="DLD7"/>
      <c r="DLE7"/>
      <c r="DLF7"/>
      <c r="DLG7"/>
      <c r="DLH7"/>
      <c r="DLI7"/>
      <c r="DLJ7"/>
      <c r="DLK7"/>
      <c r="DLL7"/>
      <c r="DLM7"/>
      <c r="DLN7"/>
      <c r="DLO7"/>
      <c r="DLP7"/>
      <c r="DLQ7"/>
      <c r="DLR7"/>
      <c r="DLS7"/>
      <c r="DLT7"/>
      <c r="DLU7"/>
      <c r="DLV7"/>
      <c r="DLW7"/>
      <c r="DLX7"/>
      <c r="DLY7"/>
      <c r="DLZ7"/>
      <c r="DMA7"/>
      <c r="DMB7"/>
      <c r="DMC7"/>
      <c r="DMD7"/>
      <c r="DME7"/>
      <c r="DMF7"/>
      <c r="DMG7"/>
      <c r="DMH7"/>
      <c r="DMI7"/>
      <c r="DMJ7"/>
      <c r="DMK7"/>
      <c r="DML7"/>
      <c r="DMM7"/>
      <c r="DMN7"/>
      <c r="DMO7"/>
      <c r="DMP7"/>
      <c r="DMQ7"/>
      <c r="DMR7"/>
      <c r="DMS7"/>
      <c r="DMT7"/>
      <c r="DMU7"/>
      <c r="DMV7"/>
      <c r="DMW7"/>
      <c r="DMX7"/>
      <c r="DMY7"/>
      <c r="DMZ7"/>
      <c r="DNA7"/>
      <c r="DNB7"/>
      <c r="DNC7"/>
      <c r="DND7"/>
      <c r="DNE7"/>
      <c r="DNF7"/>
      <c r="DNG7"/>
      <c r="DNH7"/>
      <c r="DNI7"/>
      <c r="DNJ7"/>
      <c r="DNK7"/>
      <c r="DNL7"/>
      <c r="DNM7"/>
      <c r="DNN7"/>
      <c r="DNO7"/>
      <c r="DNP7"/>
      <c r="DNQ7"/>
      <c r="DNR7"/>
      <c r="DNS7"/>
      <c r="DNT7"/>
      <c r="DNU7"/>
      <c r="DNV7"/>
      <c r="DNW7"/>
      <c r="DNX7"/>
      <c r="DNY7"/>
      <c r="DNZ7"/>
      <c r="DOA7"/>
      <c r="DOB7"/>
      <c r="DOC7"/>
      <c r="DOD7"/>
      <c r="DOE7"/>
      <c r="DOF7"/>
      <c r="DOG7"/>
      <c r="DOH7"/>
      <c r="DOI7"/>
      <c r="DOJ7"/>
      <c r="DOK7"/>
      <c r="DOL7"/>
      <c r="DOM7"/>
      <c r="DON7"/>
      <c r="DOO7"/>
      <c r="DOP7"/>
      <c r="DOQ7"/>
      <c r="DOR7"/>
      <c r="DOS7"/>
      <c r="DOT7"/>
      <c r="DOU7"/>
      <c r="DOV7"/>
      <c r="DOW7"/>
      <c r="DOX7"/>
      <c r="DOY7"/>
      <c r="DOZ7"/>
      <c r="DPA7"/>
      <c r="DPB7"/>
      <c r="DPC7"/>
      <c r="DPD7"/>
      <c r="DPE7"/>
      <c r="DPF7"/>
      <c r="DPG7"/>
      <c r="DPH7"/>
      <c r="DPI7"/>
      <c r="DPJ7"/>
      <c r="DPK7"/>
      <c r="DPL7"/>
      <c r="DPM7"/>
      <c r="DPN7"/>
      <c r="DPO7"/>
      <c r="DPP7"/>
      <c r="DPQ7"/>
      <c r="DPR7"/>
      <c r="DPS7"/>
      <c r="DPT7"/>
      <c r="DPU7"/>
      <c r="DPV7"/>
      <c r="DPW7"/>
      <c r="DPX7"/>
      <c r="DPY7"/>
      <c r="DPZ7"/>
      <c r="DQA7"/>
      <c r="DQB7"/>
      <c r="DQC7"/>
      <c r="DQD7"/>
      <c r="DQE7"/>
      <c r="DQF7"/>
      <c r="DQG7"/>
      <c r="DQH7"/>
      <c r="DQI7"/>
      <c r="DQJ7"/>
      <c r="DQK7"/>
      <c r="DQL7"/>
      <c r="DQM7"/>
      <c r="DQN7"/>
      <c r="DQO7"/>
      <c r="DQP7"/>
      <c r="DQQ7"/>
      <c r="DQR7"/>
      <c r="DQS7"/>
      <c r="DQT7"/>
      <c r="DQU7"/>
      <c r="DQV7"/>
      <c r="DQW7"/>
      <c r="DQX7"/>
      <c r="DQY7"/>
      <c r="DQZ7"/>
      <c r="DRA7"/>
      <c r="DRB7"/>
      <c r="DRC7"/>
      <c r="DRD7"/>
      <c r="DRE7"/>
      <c r="DRF7"/>
      <c r="DRG7"/>
      <c r="DRH7"/>
      <c r="DRI7"/>
      <c r="DRJ7"/>
      <c r="DRK7"/>
      <c r="DRL7"/>
      <c r="DRM7"/>
      <c r="DRN7"/>
      <c r="DRO7"/>
      <c r="DRP7"/>
      <c r="DRQ7"/>
      <c r="DRR7"/>
      <c r="DRS7"/>
      <c r="DRT7"/>
      <c r="DRU7"/>
      <c r="DRV7"/>
      <c r="DRW7"/>
      <c r="DRX7"/>
      <c r="DRY7"/>
      <c r="DRZ7"/>
      <c r="DSA7"/>
      <c r="DSB7"/>
      <c r="DSC7"/>
      <c r="DSD7"/>
      <c r="DSE7"/>
      <c r="DSF7"/>
      <c r="DSG7"/>
      <c r="DSH7"/>
      <c r="DSI7"/>
      <c r="DSJ7"/>
      <c r="DSK7"/>
      <c r="DSL7"/>
      <c r="DSM7"/>
      <c r="DSN7"/>
      <c r="DSO7"/>
      <c r="DSP7"/>
      <c r="DSQ7"/>
      <c r="DSR7"/>
      <c r="DSS7"/>
      <c r="DST7"/>
      <c r="DSU7"/>
      <c r="DSV7"/>
      <c r="DSW7"/>
      <c r="DSX7"/>
      <c r="DSY7"/>
      <c r="DSZ7"/>
      <c r="DTA7"/>
      <c r="DTB7"/>
      <c r="DTC7"/>
      <c r="DTD7"/>
      <c r="DTE7"/>
      <c r="DTF7"/>
      <c r="DTG7"/>
      <c r="DTH7"/>
      <c r="DTI7"/>
      <c r="DTJ7"/>
      <c r="DTK7"/>
      <c r="DTL7"/>
      <c r="DTM7"/>
      <c r="DTN7"/>
      <c r="DTO7"/>
      <c r="DTP7"/>
      <c r="DTQ7"/>
      <c r="DTR7"/>
      <c r="DTS7"/>
      <c r="DTT7"/>
      <c r="DTU7"/>
      <c r="DTV7"/>
      <c r="DTW7"/>
      <c r="DTX7"/>
      <c r="DTY7"/>
      <c r="DTZ7"/>
      <c r="DUA7"/>
      <c r="DUB7"/>
      <c r="DUC7"/>
      <c r="DUD7"/>
      <c r="DUE7"/>
      <c r="DUF7"/>
      <c r="DUG7"/>
      <c r="DUH7"/>
      <c r="DUI7"/>
      <c r="DUJ7"/>
      <c r="DUK7"/>
      <c r="DUL7"/>
      <c r="DUM7"/>
      <c r="DUN7"/>
      <c r="DUO7"/>
      <c r="DUP7"/>
      <c r="DUQ7"/>
      <c r="DUR7"/>
      <c r="DUS7"/>
      <c r="DUT7"/>
      <c r="DUU7"/>
      <c r="DUV7"/>
      <c r="DUW7"/>
      <c r="DUX7"/>
      <c r="DUY7"/>
      <c r="DUZ7"/>
      <c r="DVA7"/>
      <c r="DVB7"/>
      <c r="DVC7"/>
      <c r="DVD7"/>
      <c r="DVE7"/>
      <c r="DVF7"/>
      <c r="DVG7"/>
      <c r="DVH7"/>
      <c r="DVI7"/>
      <c r="DVJ7"/>
      <c r="DVK7"/>
      <c r="DVL7"/>
      <c r="DVM7"/>
      <c r="DVN7"/>
      <c r="DVO7"/>
      <c r="DVP7"/>
      <c r="DVQ7"/>
      <c r="DVR7"/>
      <c r="DVS7"/>
      <c r="DVT7"/>
      <c r="DVU7"/>
      <c r="DVV7"/>
      <c r="DVW7"/>
      <c r="DVX7"/>
      <c r="DVY7"/>
      <c r="DVZ7"/>
      <c r="DWA7"/>
      <c r="DWB7"/>
      <c r="DWC7"/>
      <c r="DWD7"/>
      <c r="DWE7"/>
      <c r="DWF7"/>
      <c r="DWG7"/>
      <c r="DWH7"/>
      <c r="DWI7"/>
      <c r="DWJ7"/>
      <c r="DWK7"/>
      <c r="DWL7"/>
      <c r="DWM7"/>
      <c r="DWN7"/>
      <c r="DWO7"/>
      <c r="DWP7"/>
      <c r="DWQ7"/>
      <c r="DWR7"/>
      <c r="DWS7"/>
      <c r="DWT7"/>
      <c r="DWU7"/>
      <c r="DWV7"/>
      <c r="DWW7"/>
      <c r="DWX7"/>
      <c r="DWY7"/>
      <c r="DWZ7"/>
      <c r="DXA7"/>
      <c r="DXB7"/>
      <c r="DXC7"/>
      <c r="DXD7"/>
      <c r="DXE7"/>
      <c r="DXF7"/>
      <c r="DXG7"/>
      <c r="DXH7"/>
      <c r="DXI7"/>
      <c r="DXJ7"/>
      <c r="DXK7"/>
      <c r="DXL7"/>
      <c r="DXM7"/>
      <c r="DXN7"/>
      <c r="DXO7"/>
      <c r="DXP7"/>
      <c r="DXQ7"/>
      <c r="DXR7"/>
      <c r="DXS7"/>
      <c r="DXT7"/>
      <c r="DXU7"/>
      <c r="DXV7"/>
      <c r="DXW7"/>
      <c r="DXX7"/>
      <c r="DXY7"/>
      <c r="DXZ7"/>
      <c r="DYA7"/>
      <c r="DYB7"/>
      <c r="DYC7"/>
      <c r="DYD7"/>
      <c r="DYE7"/>
      <c r="DYF7"/>
      <c r="DYG7"/>
      <c r="DYH7"/>
      <c r="DYI7"/>
      <c r="DYJ7"/>
      <c r="DYK7"/>
      <c r="DYL7"/>
      <c r="DYM7"/>
      <c r="DYN7"/>
      <c r="DYO7"/>
      <c r="DYP7"/>
      <c r="DYQ7"/>
      <c r="DYR7"/>
      <c r="DYS7"/>
      <c r="DYT7"/>
      <c r="DYU7"/>
      <c r="DYV7"/>
      <c r="DYW7"/>
      <c r="DYX7"/>
      <c r="DYY7"/>
      <c r="DYZ7"/>
      <c r="DZA7"/>
      <c r="DZB7"/>
      <c r="DZC7"/>
      <c r="DZD7"/>
      <c r="DZE7"/>
      <c r="DZF7"/>
      <c r="DZG7"/>
      <c r="DZH7"/>
      <c r="DZI7"/>
      <c r="DZJ7"/>
      <c r="DZK7"/>
      <c r="DZL7"/>
      <c r="DZM7"/>
      <c r="DZN7"/>
      <c r="DZO7"/>
      <c r="DZP7"/>
      <c r="DZQ7"/>
      <c r="DZR7"/>
      <c r="DZS7"/>
      <c r="DZT7"/>
      <c r="DZU7"/>
      <c r="DZV7"/>
      <c r="DZW7"/>
      <c r="DZX7"/>
      <c r="DZY7"/>
      <c r="DZZ7"/>
      <c r="EAA7"/>
      <c r="EAB7"/>
      <c r="EAC7"/>
      <c r="EAD7"/>
      <c r="EAE7"/>
      <c r="EAF7"/>
      <c r="EAG7"/>
      <c r="EAH7"/>
      <c r="EAI7"/>
      <c r="EAJ7"/>
      <c r="EAK7"/>
      <c r="EAL7"/>
      <c r="EAM7"/>
      <c r="EAN7"/>
      <c r="EAO7"/>
      <c r="EAP7"/>
      <c r="EAQ7"/>
      <c r="EAR7"/>
      <c r="EAS7"/>
      <c r="EAT7"/>
      <c r="EAU7"/>
      <c r="EAV7"/>
      <c r="EAW7"/>
      <c r="EAX7"/>
      <c r="EAY7"/>
      <c r="EAZ7"/>
      <c r="EBA7"/>
      <c r="EBB7"/>
      <c r="EBC7"/>
      <c r="EBD7"/>
      <c r="EBE7"/>
      <c r="EBF7"/>
      <c r="EBG7"/>
      <c r="EBH7"/>
      <c r="EBI7"/>
      <c r="EBJ7"/>
      <c r="EBK7"/>
      <c r="EBL7"/>
      <c r="EBM7"/>
      <c r="EBN7"/>
      <c r="EBO7"/>
      <c r="EBP7"/>
      <c r="EBQ7"/>
      <c r="EBR7"/>
      <c r="EBS7"/>
      <c r="EBT7"/>
      <c r="EBU7"/>
      <c r="EBV7"/>
      <c r="EBW7"/>
      <c r="EBX7"/>
      <c r="EBY7"/>
      <c r="EBZ7"/>
      <c r="ECA7"/>
      <c r="ECB7"/>
      <c r="ECC7"/>
      <c r="ECD7"/>
      <c r="ECE7"/>
      <c r="ECF7"/>
      <c r="ECG7"/>
      <c r="ECH7"/>
      <c r="ECI7"/>
      <c r="ECJ7"/>
      <c r="ECK7"/>
      <c r="ECL7"/>
      <c r="ECM7"/>
      <c r="ECN7"/>
      <c r="ECO7"/>
      <c r="ECP7"/>
      <c r="ECQ7"/>
      <c r="ECR7"/>
      <c r="ECS7"/>
      <c r="ECT7"/>
      <c r="ECU7"/>
      <c r="ECV7"/>
      <c r="ECW7"/>
      <c r="ECX7"/>
      <c r="ECY7"/>
      <c r="ECZ7"/>
      <c r="EDA7"/>
      <c r="EDB7"/>
      <c r="EDC7"/>
      <c r="EDD7"/>
      <c r="EDE7"/>
      <c r="EDF7"/>
      <c r="EDG7"/>
      <c r="EDH7"/>
      <c r="EDI7"/>
      <c r="EDJ7"/>
      <c r="EDK7"/>
      <c r="EDL7"/>
      <c r="EDM7"/>
      <c r="EDN7"/>
      <c r="EDO7"/>
      <c r="EDP7"/>
      <c r="EDQ7"/>
      <c r="EDR7"/>
      <c r="EDS7"/>
      <c r="EDT7"/>
      <c r="EDU7"/>
      <c r="EDV7"/>
      <c r="EDW7"/>
      <c r="EDX7"/>
      <c r="EDY7"/>
      <c r="EDZ7"/>
      <c r="EEA7"/>
      <c r="EEB7"/>
      <c r="EEC7"/>
      <c r="EED7"/>
      <c r="EEE7"/>
      <c r="EEF7"/>
      <c r="EEG7"/>
      <c r="EEH7"/>
      <c r="EEI7"/>
      <c r="EEJ7"/>
      <c r="EEK7"/>
      <c r="EEL7"/>
      <c r="EEM7"/>
      <c r="EEN7"/>
      <c r="EEO7"/>
      <c r="EEP7"/>
      <c r="EEQ7"/>
      <c r="EER7"/>
      <c r="EES7"/>
      <c r="EET7"/>
      <c r="EEU7"/>
      <c r="EEV7"/>
      <c r="EEW7"/>
      <c r="EEX7"/>
      <c r="EEY7"/>
      <c r="EEZ7"/>
      <c r="EFA7"/>
      <c r="EFB7"/>
      <c r="EFC7"/>
      <c r="EFD7"/>
      <c r="EFE7"/>
      <c r="EFF7"/>
      <c r="EFG7"/>
      <c r="EFH7"/>
      <c r="EFI7"/>
      <c r="EFJ7"/>
      <c r="EFK7"/>
      <c r="EFL7"/>
      <c r="EFM7"/>
      <c r="EFN7"/>
      <c r="EFO7"/>
      <c r="EFP7"/>
      <c r="EFQ7"/>
      <c r="EFR7"/>
      <c r="EFS7"/>
      <c r="EFT7"/>
      <c r="EFU7"/>
      <c r="EFV7"/>
      <c r="EFW7"/>
      <c r="EFX7"/>
      <c r="EFY7"/>
      <c r="EFZ7"/>
      <c r="EGA7"/>
      <c r="EGB7"/>
      <c r="EGC7"/>
      <c r="EGD7"/>
      <c r="EGE7"/>
      <c r="EGF7"/>
      <c r="EGG7"/>
      <c r="EGH7"/>
      <c r="EGI7"/>
      <c r="EGJ7"/>
      <c r="EGK7"/>
      <c r="EGL7"/>
      <c r="EGM7"/>
      <c r="EGN7"/>
      <c r="EGO7"/>
      <c r="EGP7"/>
      <c r="EGQ7"/>
      <c r="EGR7"/>
      <c r="EGS7"/>
      <c r="EGT7"/>
      <c r="EGU7"/>
      <c r="EGV7"/>
      <c r="EGW7"/>
      <c r="EGX7"/>
      <c r="EGY7"/>
      <c r="EGZ7"/>
      <c r="EHA7"/>
      <c r="EHB7"/>
      <c r="EHC7"/>
      <c r="EHD7"/>
      <c r="EHE7"/>
      <c r="EHF7"/>
      <c r="EHG7"/>
      <c r="EHH7"/>
      <c r="EHI7"/>
      <c r="EHJ7"/>
      <c r="EHK7"/>
      <c r="EHL7"/>
      <c r="EHM7"/>
      <c r="EHN7"/>
      <c r="EHO7"/>
      <c r="EHP7"/>
      <c r="EHQ7"/>
      <c r="EHR7"/>
      <c r="EHS7"/>
      <c r="EHT7"/>
      <c r="EHU7"/>
      <c r="EHV7"/>
      <c r="EHW7"/>
      <c r="EHX7"/>
      <c r="EHY7"/>
      <c r="EHZ7"/>
      <c r="EIA7"/>
      <c r="EIB7"/>
      <c r="EIC7"/>
      <c r="EID7"/>
      <c r="EIE7"/>
      <c r="EIF7"/>
      <c r="EIG7"/>
      <c r="EIH7"/>
      <c r="EII7"/>
      <c r="EIJ7"/>
      <c r="EIK7"/>
      <c r="EIL7"/>
      <c r="EIM7"/>
      <c r="EIN7"/>
      <c r="EIO7"/>
      <c r="EIP7"/>
      <c r="EIQ7"/>
      <c r="EIR7"/>
      <c r="EIS7"/>
      <c r="EIT7"/>
      <c r="EIU7"/>
      <c r="EIV7"/>
      <c r="EIW7"/>
      <c r="EIX7"/>
      <c r="EIY7"/>
      <c r="EIZ7"/>
      <c r="EJA7"/>
      <c r="EJB7"/>
      <c r="EJC7"/>
      <c r="EJD7"/>
      <c r="EJE7"/>
      <c r="EJF7"/>
      <c r="EJG7"/>
      <c r="EJH7"/>
      <c r="EJI7"/>
      <c r="EJJ7"/>
      <c r="EJK7"/>
      <c r="EJL7"/>
      <c r="EJM7"/>
      <c r="EJN7"/>
      <c r="EJO7"/>
      <c r="EJP7"/>
      <c r="EJQ7"/>
      <c r="EJR7"/>
      <c r="EJS7"/>
      <c r="EJT7"/>
      <c r="EJU7"/>
      <c r="EJV7"/>
      <c r="EJW7"/>
      <c r="EJX7"/>
      <c r="EJY7"/>
      <c r="EJZ7"/>
      <c r="EKA7"/>
      <c r="EKB7"/>
      <c r="EKC7"/>
      <c r="EKD7"/>
      <c r="EKE7"/>
      <c r="EKF7"/>
      <c r="EKG7"/>
      <c r="EKH7"/>
      <c r="EKI7"/>
      <c r="EKJ7"/>
      <c r="EKK7"/>
      <c r="EKL7"/>
      <c r="EKM7"/>
      <c r="EKN7"/>
      <c r="EKO7"/>
      <c r="EKP7"/>
      <c r="EKQ7"/>
      <c r="EKR7"/>
      <c r="EKS7"/>
      <c r="EKT7"/>
      <c r="EKU7"/>
      <c r="EKV7"/>
      <c r="EKW7"/>
      <c r="EKX7"/>
      <c r="EKY7"/>
      <c r="EKZ7"/>
      <c r="ELA7"/>
      <c r="ELB7"/>
      <c r="ELC7"/>
      <c r="ELD7"/>
      <c r="ELE7"/>
      <c r="ELF7"/>
      <c r="ELG7"/>
      <c r="ELH7"/>
      <c r="ELI7"/>
      <c r="ELJ7"/>
      <c r="ELK7"/>
      <c r="ELL7"/>
      <c r="ELM7"/>
      <c r="ELN7"/>
      <c r="ELO7"/>
      <c r="ELP7"/>
      <c r="ELQ7"/>
      <c r="ELR7"/>
      <c r="ELS7"/>
      <c r="ELT7"/>
      <c r="ELU7"/>
      <c r="ELV7"/>
      <c r="ELW7"/>
      <c r="ELX7"/>
      <c r="ELY7"/>
      <c r="ELZ7"/>
      <c r="EMA7"/>
      <c r="EMB7"/>
      <c r="EMC7"/>
      <c r="EMD7"/>
      <c r="EME7"/>
      <c r="EMF7"/>
      <c r="EMG7"/>
      <c r="EMH7"/>
      <c r="EMI7"/>
      <c r="EMJ7"/>
      <c r="EMK7"/>
      <c r="EML7"/>
      <c r="EMM7"/>
      <c r="EMN7"/>
      <c r="EMO7"/>
      <c r="EMP7"/>
      <c r="EMQ7"/>
      <c r="EMR7"/>
      <c r="EMS7"/>
      <c r="EMT7"/>
      <c r="EMU7"/>
      <c r="EMV7"/>
      <c r="EMW7"/>
      <c r="EMX7"/>
      <c r="EMY7"/>
      <c r="EMZ7"/>
      <c r="ENA7"/>
      <c r="ENB7"/>
      <c r="ENC7"/>
      <c r="END7"/>
      <c r="ENE7"/>
      <c r="ENF7"/>
      <c r="ENG7"/>
      <c r="ENH7"/>
      <c r="ENI7"/>
      <c r="ENJ7"/>
      <c r="ENK7"/>
      <c r="ENL7"/>
      <c r="ENM7"/>
      <c r="ENN7"/>
      <c r="ENO7"/>
      <c r="ENP7"/>
      <c r="ENQ7"/>
      <c r="ENR7"/>
      <c r="ENS7"/>
      <c r="ENT7"/>
      <c r="ENU7"/>
      <c r="ENV7"/>
      <c r="ENW7"/>
      <c r="ENX7"/>
      <c r="ENY7"/>
      <c r="ENZ7"/>
      <c r="EOA7"/>
      <c r="EOB7"/>
      <c r="EOC7"/>
      <c r="EOD7"/>
      <c r="EOE7"/>
      <c r="EOF7"/>
      <c r="EOG7"/>
      <c r="EOH7"/>
      <c r="EOI7"/>
      <c r="EOJ7"/>
      <c r="EOK7"/>
      <c r="EOL7"/>
      <c r="EOM7"/>
      <c r="EON7"/>
      <c r="EOO7"/>
      <c r="EOP7"/>
      <c r="EOQ7"/>
      <c r="EOR7"/>
      <c r="EOS7"/>
      <c r="EOT7"/>
      <c r="EOU7"/>
      <c r="EOV7"/>
      <c r="EOW7"/>
      <c r="EOX7"/>
      <c r="EOY7"/>
      <c r="EOZ7"/>
      <c r="EPA7"/>
      <c r="EPB7"/>
      <c r="EPC7"/>
      <c r="EPD7"/>
      <c r="EPE7"/>
      <c r="EPF7"/>
      <c r="EPG7"/>
      <c r="EPH7"/>
      <c r="EPI7"/>
      <c r="EPJ7"/>
      <c r="EPK7"/>
      <c r="EPL7"/>
      <c r="EPM7"/>
      <c r="EPN7"/>
      <c r="EPO7"/>
      <c r="EPP7"/>
      <c r="EPQ7"/>
      <c r="EPR7"/>
      <c r="EPS7"/>
      <c r="EPT7"/>
      <c r="EPU7"/>
      <c r="EPV7"/>
      <c r="EPW7"/>
      <c r="EPX7"/>
      <c r="EPY7"/>
      <c r="EPZ7"/>
      <c r="EQA7"/>
      <c r="EQB7"/>
      <c r="EQC7"/>
      <c r="EQD7"/>
      <c r="EQE7"/>
      <c r="EQF7"/>
      <c r="EQG7"/>
      <c r="EQH7"/>
      <c r="EQI7"/>
      <c r="EQJ7"/>
      <c r="EQK7"/>
      <c r="EQL7"/>
      <c r="EQM7"/>
      <c r="EQN7"/>
      <c r="EQO7"/>
      <c r="EQP7"/>
      <c r="EQQ7"/>
      <c r="EQR7"/>
      <c r="EQS7"/>
      <c r="EQT7"/>
      <c r="EQU7"/>
      <c r="EQV7"/>
      <c r="EQW7"/>
      <c r="EQX7"/>
      <c r="EQY7"/>
      <c r="EQZ7"/>
      <c r="ERA7"/>
      <c r="ERB7"/>
      <c r="ERC7"/>
      <c r="ERD7"/>
      <c r="ERE7"/>
      <c r="ERF7"/>
      <c r="ERG7"/>
      <c r="ERH7"/>
      <c r="ERI7"/>
      <c r="ERJ7"/>
      <c r="ERK7"/>
      <c r="ERL7"/>
      <c r="ERM7"/>
      <c r="ERN7"/>
      <c r="ERO7"/>
      <c r="ERP7"/>
      <c r="ERQ7"/>
      <c r="ERR7"/>
      <c r="ERS7"/>
      <c r="ERT7"/>
      <c r="ERU7"/>
      <c r="ERV7"/>
      <c r="ERW7"/>
      <c r="ERX7"/>
      <c r="ERY7"/>
      <c r="ERZ7"/>
      <c r="ESA7"/>
      <c r="ESB7"/>
      <c r="ESC7"/>
      <c r="ESD7"/>
      <c r="ESE7"/>
      <c r="ESF7"/>
      <c r="ESG7"/>
      <c r="ESH7"/>
      <c r="ESI7"/>
      <c r="ESJ7"/>
      <c r="ESK7"/>
      <c r="ESL7"/>
      <c r="ESM7"/>
      <c r="ESN7"/>
      <c r="ESO7"/>
      <c r="ESP7"/>
      <c r="ESQ7"/>
      <c r="ESR7"/>
      <c r="ESS7"/>
      <c r="EST7"/>
      <c r="ESU7"/>
      <c r="ESV7"/>
      <c r="ESW7"/>
      <c r="ESX7"/>
      <c r="ESY7"/>
      <c r="ESZ7"/>
      <c r="ETA7"/>
      <c r="ETB7"/>
      <c r="ETC7"/>
      <c r="ETD7"/>
      <c r="ETE7"/>
      <c r="ETF7"/>
      <c r="ETG7"/>
      <c r="ETH7"/>
      <c r="ETI7"/>
      <c r="ETJ7"/>
      <c r="ETK7"/>
      <c r="ETL7"/>
      <c r="ETM7"/>
      <c r="ETN7"/>
      <c r="ETO7"/>
      <c r="ETP7"/>
      <c r="ETQ7"/>
      <c r="ETR7"/>
      <c r="ETS7"/>
      <c r="ETT7"/>
      <c r="ETU7"/>
      <c r="ETV7"/>
      <c r="ETW7"/>
      <c r="ETX7"/>
      <c r="ETY7"/>
      <c r="ETZ7"/>
      <c r="EUA7"/>
      <c r="EUB7"/>
      <c r="EUC7"/>
      <c r="EUD7"/>
      <c r="EUE7"/>
      <c r="EUF7"/>
      <c r="EUG7"/>
      <c r="EUH7"/>
      <c r="EUI7"/>
      <c r="EUJ7"/>
      <c r="EUK7"/>
      <c r="EUL7"/>
      <c r="EUM7"/>
      <c r="EUN7"/>
      <c r="EUO7"/>
      <c r="EUP7"/>
      <c r="EUQ7"/>
      <c r="EUR7"/>
      <c r="EUS7"/>
      <c r="EUT7"/>
      <c r="EUU7"/>
      <c r="EUV7"/>
      <c r="EUW7"/>
      <c r="EUX7"/>
      <c r="EUY7"/>
      <c r="EUZ7"/>
      <c r="EVA7"/>
      <c r="EVB7"/>
      <c r="EVC7"/>
      <c r="EVD7"/>
      <c r="EVE7"/>
      <c r="EVF7"/>
      <c r="EVG7"/>
      <c r="EVH7"/>
      <c r="EVI7"/>
      <c r="EVJ7"/>
      <c r="EVK7"/>
      <c r="EVL7"/>
      <c r="EVM7"/>
      <c r="EVN7"/>
      <c r="EVO7"/>
      <c r="EVP7"/>
      <c r="EVQ7"/>
      <c r="EVR7"/>
      <c r="EVS7"/>
      <c r="EVT7"/>
      <c r="EVU7"/>
      <c r="EVV7"/>
      <c r="EVW7"/>
      <c r="EVX7"/>
      <c r="EVY7"/>
      <c r="EVZ7"/>
      <c r="EWA7"/>
      <c r="EWB7"/>
      <c r="EWC7"/>
      <c r="EWD7"/>
      <c r="EWE7"/>
      <c r="EWF7"/>
      <c r="EWG7"/>
      <c r="EWH7"/>
      <c r="EWI7"/>
      <c r="EWJ7"/>
      <c r="EWK7"/>
      <c r="EWL7"/>
      <c r="EWM7"/>
      <c r="EWN7"/>
      <c r="EWO7"/>
      <c r="EWP7"/>
      <c r="EWQ7"/>
      <c r="EWR7"/>
      <c r="EWS7"/>
      <c r="EWT7"/>
      <c r="EWU7"/>
      <c r="EWV7"/>
      <c r="EWW7"/>
      <c r="EWX7"/>
      <c r="EWY7"/>
      <c r="EWZ7"/>
      <c r="EXA7"/>
      <c r="EXB7"/>
      <c r="EXC7"/>
      <c r="EXD7"/>
      <c r="EXE7"/>
      <c r="EXF7"/>
      <c r="EXG7"/>
      <c r="EXH7"/>
      <c r="EXI7"/>
      <c r="EXJ7"/>
      <c r="EXK7"/>
      <c r="EXL7"/>
      <c r="EXM7"/>
      <c r="EXN7"/>
      <c r="EXO7"/>
      <c r="EXP7"/>
      <c r="EXQ7"/>
      <c r="EXR7"/>
      <c r="EXS7"/>
      <c r="EXT7"/>
      <c r="EXU7"/>
      <c r="EXV7"/>
      <c r="EXW7"/>
      <c r="EXX7"/>
      <c r="EXY7"/>
      <c r="EXZ7"/>
      <c r="EYA7"/>
      <c r="EYB7"/>
      <c r="EYC7"/>
      <c r="EYD7"/>
      <c r="EYE7"/>
      <c r="EYF7"/>
      <c r="EYG7"/>
      <c r="EYH7"/>
      <c r="EYI7"/>
      <c r="EYJ7"/>
      <c r="EYK7"/>
      <c r="EYL7"/>
      <c r="EYM7"/>
      <c r="EYN7"/>
      <c r="EYO7"/>
      <c r="EYP7"/>
      <c r="EYQ7"/>
      <c r="EYR7"/>
      <c r="EYS7"/>
      <c r="EYT7"/>
      <c r="EYU7"/>
      <c r="EYV7"/>
      <c r="EYW7"/>
      <c r="EYX7"/>
      <c r="EYY7"/>
      <c r="EYZ7"/>
      <c r="EZA7"/>
      <c r="EZB7"/>
      <c r="EZC7"/>
      <c r="EZD7"/>
      <c r="EZE7"/>
      <c r="EZF7"/>
      <c r="EZG7"/>
      <c r="EZH7"/>
      <c r="EZI7"/>
      <c r="EZJ7"/>
      <c r="EZK7"/>
      <c r="EZL7"/>
      <c r="EZM7"/>
      <c r="EZN7"/>
      <c r="EZO7"/>
      <c r="EZP7"/>
      <c r="EZQ7"/>
      <c r="EZR7"/>
      <c r="EZS7"/>
      <c r="EZT7"/>
      <c r="EZU7"/>
      <c r="EZV7"/>
      <c r="EZW7"/>
      <c r="EZX7"/>
      <c r="EZY7"/>
      <c r="EZZ7"/>
      <c r="FAA7"/>
      <c r="FAB7"/>
      <c r="FAC7"/>
      <c r="FAD7"/>
      <c r="FAE7"/>
      <c r="FAF7"/>
      <c r="FAG7"/>
      <c r="FAH7"/>
      <c r="FAI7"/>
      <c r="FAJ7"/>
      <c r="FAK7"/>
      <c r="FAL7"/>
      <c r="FAM7"/>
      <c r="FAN7"/>
      <c r="FAO7"/>
      <c r="FAP7"/>
      <c r="FAQ7"/>
      <c r="FAR7"/>
      <c r="FAS7"/>
      <c r="FAT7"/>
      <c r="FAU7"/>
      <c r="FAV7"/>
      <c r="FAW7"/>
      <c r="FAX7"/>
      <c r="FAY7"/>
      <c r="FAZ7"/>
      <c r="FBA7"/>
      <c r="FBB7"/>
      <c r="FBC7"/>
      <c r="FBD7"/>
      <c r="FBE7"/>
      <c r="FBF7"/>
      <c r="FBG7"/>
      <c r="FBH7"/>
      <c r="FBI7"/>
      <c r="FBJ7"/>
      <c r="FBK7"/>
      <c r="FBL7"/>
      <c r="FBM7"/>
      <c r="FBN7"/>
      <c r="FBO7"/>
      <c r="FBP7"/>
      <c r="FBQ7"/>
      <c r="FBR7"/>
      <c r="FBS7"/>
      <c r="FBT7"/>
      <c r="FBU7"/>
      <c r="FBV7"/>
      <c r="FBW7"/>
      <c r="FBX7"/>
      <c r="FBY7"/>
      <c r="FBZ7"/>
      <c r="FCA7"/>
      <c r="FCB7"/>
      <c r="FCC7"/>
      <c r="FCD7"/>
      <c r="FCE7"/>
      <c r="FCF7"/>
      <c r="FCG7"/>
      <c r="FCH7"/>
      <c r="FCI7"/>
      <c r="FCJ7"/>
      <c r="FCK7"/>
      <c r="FCL7"/>
      <c r="FCM7"/>
      <c r="FCN7"/>
      <c r="FCO7"/>
      <c r="FCP7"/>
      <c r="FCQ7"/>
      <c r="FCR7"/>
      <c r="FCS7"/>
      <c r="FCT7"/>
      <c r="FCU7"/>
      <c r="FCV7"/>
      <c r="FCW7"/>
      <c r="FCX7"/>
      <c r="FCY7"/>
      <c r="FCZ7"/>
      <c r="FDA7"/>
      <c r="FDB7"/>
      <c r="FDC7"/>
      <c r="FDD7"/>
      <c r="FDE7"/>
      <c r="FDF7"/>
      <c r="FDG7"/>
      <c r="FDH7"/>
      <c r="FDI7"/>
      <c r="FDJ7"/>
      <c r="FDK7"/>
      <c r="FDL7"/>
      <c r="FDM7"/>
      <c r="FDN7"/>
      <c r="FDO7"/>
      <c r="FDP7"/>
      <c r="FDQ7"/>
      <c r="FDR7"/>
      <c r="FDS7"/>
      <c r="FDT7"/>
      <c r="FDU7"/>
      <c r="FDV7"/>
      <c r="FDW7"/>
      <c r="FDX7"/>
      <c r="FDY7"/>
      <c r="FDZ7"/>
      <c r="FEA7"/>
      <c r="FEB7"/>
      <c r="FEC7"/>
      <c r="FED7"/>
      <c r="FEE7"/>
      <c r="FEF7"/>
      <c r="FEG7"/>
      <c r="FEH7"/>
      <c r="FEI7"/>
      <c r="FEJ7"/>
      <c r="FEK7"/>
      <c r="FEL7"/>
      <c r="FEM7"/>
      <c r="FEN7"/>
      <c r="FEO7"/>
      <c r="FEP7"/>
      <c r="FEQ7"/>
      <c r="FER7"/>
      <c r="FES7"/>
      <c r="FET7"/>
      <c r="FEU7"/>
      <c r="FEV7"/>
      <c r="FEW7"/>
      <c r="FEX7"/>
      <c r="FEY7"/>
      <c r="FEZ7"/>
      <c r="FFA7"/>
      <c r="FFB7"/>
      <c r="FFC7"/>
      <c r="FFD7"/>
      <c r="FFE7"/>
      <c r="FFF7"/>
      <c r="FFG7"/>
      <c r="FFH7"/>
      <c r="FFI7"/>
      <c r="FFJ7"/>
      <c r="FFK7"/>
      <c r="FFL7"/>
      <c r="FFM7"/>
      <c r="FFN7"/>
      <c r="FFO7"/>
      <c r="FFP7"/>
      <c r="FFQ7"/>
      <c r="FFR7"/>
      <c r="FFS7"/>
      <c r="FFT7"/>
      <c r="FFU7"/>
      <c r="FFV7"/>
      <c r="FFW7"/>
      <c r="FFX7"/>
      <c r="FFY7"/>
      <c r="FFZ7"/>
      <c r="FGA7"/>
      <c r="FGB7"/>
      <c r="FGC7"/>
      <c r="FGD7"/>
      <c r="FGE7"/>
      <c r="FGF7"/>
      <c r="FGG7"/>
      <c r="FGH7"/>
      <c r="FGI7"/>
      <c r="FGJ7"/>
      <c r="FGK7"/>
      <c r="FGL7"/>
      <c r="FGM7"/>
      <c r="FGN7"/>
      <c r="FGO7"/>
      <c r="FGP7"/>
      <c r="FGQ7"/>
      <c r="FGR7"/>
      <c r="FGS7"/>
      <c r="FGT7"/>
      <c r="FGU7"/>
      <c r="FGV7"/>
      <c r="FGW7"/>
      <c r="FGX7"/>
      <c r="FGY7"/>
      <c r="FGZ7"/>
      <c r="FHA7"/>
      <c r="FHB7"/>
      <c r="FHC7"/>
      <c r="FHD7"/>
      <c r="FHE7"/>
      <c r="FHF7"/>
      <c r="FHG7"/>
      <c r="FHH7"/>
      <c r="FHI7"/>
      <c r="FHJ7"/>
      <c r="FHK7"/>
      <c r="FHL7"/>
      <c r="FHM7"/>
      <c r="FHN7"/>
      <c r="FHO7"/>
      <c r="FHP7"/>
      <c r="FHQ7"/>
      <c r="FHR7"/>
      <c r="FHS7"/>
      <c r="FHT7"/>
      <c r="FHU7"/>
      <c r="FHV7"/>
      <c r="FHW7"/>
      <c r="FHX7"/>
      <c r="FHY7"/>
      <c r="FHZ7"/>
      <c r="FIA7"/>
      <c r="FIB7"/>
      <c r="FIC7"/>
      <c r="FID7"/>
      <c r="FIE7"/>
      <c r="FIF7"/>
      <c r="FIG7"/>
      <c r="FIH7"/>
      <c r="FII7"/>
      <c r="FIJ7"/>
      <c r="FIK7"/>
      <c r="FIL7"/>
      <c r="FIM7"/>
      <c r="FIN7"/>
      <c r="FIO7"/>
      <c r="FIP7"/>
      <c r="FIQ7"/>
      <c r="FIR7"/>
      <c r="FIS7"/>
      <c r="FIT7"/>
      <c r="FIU7"/>
      <c r="FIV7"/>
      <c r="FIW7"/>
      <c r="FIX7"/>
      <c r="FIY7"/>
      <c r="FIZ7"/>
      <c r="FJA7"/>
      <c r="FJB7"/>
      <c r="FJC7"/>
      <c r="FJD7"/>
      <c r="FJE7"/>
      <c r="FJF7"/>
      <c r="FJG7"/>
      <c r="FJH7"/>
      <c r="FJI7"/>
      <c r="FJJ7"/>
      <c r="FJK7"/>
      <c r="FJL7"/>
      <c r="FJM7"/>
      <c r="FJN7"/>
      <c r="FJO7"/>
      <c r="FJP7"/>
      <c r="FJQ7"/>
      <c r="FJR7"/>
      <c r="FJS7"/>
      <c r="FJT7"/>
      <c r="FJU7"/>
      <c r="FJV7"/>
      <c r="FJW7"/>
      <c r="FJX7"/>
      <c r="FJY7"/>
      <c r="FJZ7"/>
      <c r="FKA7"/>
      <c r="FKB7"/>
      <c r="FKC7"/>
      <c r="FKD7"/>
      <c r="FKE7"/>
      <c r="FKF7"/>
      <c r="FKG7"/>
      <c r="FKH7"/>
      <c r="FKI7"/>
      <c r="FKJ7"/>
      <c r="FKK7"/>
      <c r="FKL7"/>
      <c r="FKM7"/>
      <c r="FKN7"/>
      <c r="FKO7"/>
      <c r="FKP7"/>
      <c r="FKQ7"/>
      <c r="FKR7"/>
      <c r="FKS7"/>
      <c r="FKT7"/>
      <c r="FKU7"/>
      <c r="FKV7"/>
      <c r="FKW7"/>
      <c r="FKX7"/>
      <c r="FKY7"/>
      <c r="FKZ7"/>
      <c r="FLA7"/>
      <c r="FLB7"/>
      <c r="FLC7"/>
      <c r="FLD7"/>
      <c r="FLE7"/>
      <c r="FLF7"/>
      <c r="FLG7"/>
      <c r="FLH7"/>
      <c r="FLI7"/>
      <c r="FLJ7"/>
      <c r="FLK7"/>
      <c r="FLL7"/>
      <c r="FLM7"/>
      <c r="FLN7"/>
      <c r="FLO7"/>
      <c r="FLP7"/>
      <c r="FLQ7"/>
      <c r="FLR7"/>
      <c r="FLS7"/>
      <c r="FLT7"/>
      <c r="FLU7"/>
      <c r="FLV7"/>
      <c r="FLW7"/>
      <c r="FLX7"/>
      <c r="FLY7"/>
      <c r="FLZ7"/>
      <c r="FMA7"/>
      <c r="FMB7"/>
      <c r="FMC7"/>
      <c r="FMD7"/>
      <c r="FME7"/>
      <c r="FMF7"/>
      <c r="FMG7"/>
      <c r="FMH7"/>
      <c r="FMI7"/>
      <c r="FMJ7"/>
      <c r="FMK7"/>
      <c r="FML7"/>
      <c r="FMM7"/>
      <c r="FMN7"/>
      <c r="FMO7"/>
      <c r="FMP7"/>
      <c r="FMQ7"/>
      <c r="FMR7"/>
      <c r="FMS7"/>
      <c r="FMT7"/>
      <c r="FMU7"/>
      <c r="FMV7"/>
      <c r="FMW7"/>
      <c r="FMX7"/>
      <c r="FMY7"/>
      <c r="FMZ7"/>
      <c r="FNA7"/>
      <c r="FNB7"/>
      <c r="FNC7"/>
      <c r="FND7"/>
      <c r="FNE7"/>
      <c r="FNF7"/>
      <c r="FNG7"/>
      <c r="FNH7"/>
      <c r="FNI7"/>
      <c r="FNJ7"/>
      <c r="FNK7"/>
      <c r="FNL7"/>
      <c r="FNM7"/>
      <c r="FNN7"/>
      <c r="FNO7"/>
      <c r="FNP7"/>
      <c r="FNQ7"/>
      <c r="FNR7"/>
      <c r="FNS7"/>
      <c r="FNT7"/>
      <c r="FNU7"/>
      <c r="FNV7"/>
      <c r="FNW7"/>
      <c r="FNX7"/>
      <c r="FNY7"/>
      <c r="FNZ7"/>
      <c r="FOA7"/>
      <c r="FOB7"/>
      <c r="FOC7"/>
      <c r="FOD7"/>
      <c r="FOE7"/>
      <c r="FOF7"/>
      <c r="FOG7"/>
      <c r="FOH7"/>
      <c r="FOI7"/>
      <c r="FOJ7"/>
      <c r="FOK7"/>
      <c r="FOL7"/>
      <c r="FOM7"/>
      <c r="FON7"/>
      <c r="FOO7"/>
      <c r="FOP7"/>
      <c r="FOQ7"/>
      <c r="FOR7"/>
      <c r="FOS7"/>
      <c r="FOT7"/>
      <c r="FOU7"/>
      <c r="FOV7"/>
      <c r="FOW7"/>
      <c r="FOX7"/>
      <c r="FOY7"/>
      <c r="FOZ7"/>
      <c r="FPA7"/>
      <c r="FPB7"/>
      <c r="FPC7"/>
      <c r="FPD7"/>
      <c r="FPE7"/>
      <c r="FPF7"/>
      <c r="FPG7"/>
      <c r="FPH7"/>
      <c r="FPI7"/>
      <c r="FPJ7"/>
      <c r="FPK7"/>
      <c r="FPL7"/>
      <c r="FPM7"/>
      <c r="FPN7"/>
      <c r="FPO7"/>
      <c r="FPP7"/>
      <c r="FPQ7"/>
      <c r="FPR7"/>
      <c r="FPS7"/>
      <c r="FPT7"/>
      <c r="FPU7"/>
      <c r="FPV7"/>
      <c r="FPW7"/>
      <c r="FPX7"/>
      <c r="FPY7"/>
      <c r="FPZ7"/>
      <c r="FQA7"/>
      <c r="FQB7"/>
      <c r="FQC7"/>
      <c r="FQD7"/>
      <c r="FQE7"/>
      <c r="FQF7"/>
      <c r="FQG7"/>
      <c r="FQH7"/>
      <c r="FQI7"/>
      <c r="FQJ7"/>
      <c r="FQK7"/>
      <c r="FQL7"/>
      <c r="FQM7"/>
      <c r="FQN7"/>
      <c r="FQO7"/>
      <c r="FQP7"/>
      <c r="FQQ7"/>
      <c r="FQR7"/>
      <c r="FQS7"/>
      <c r="FQT7"/>
      <c r="FQU7"/>
      <c r="FQV7"/>
      <c r="FQW7"/>
      <c r="FQX7"/>
      <c r="FQY7"/>
      <c r="FQZ7"/>
      <c r="FRA7"/>
      <c r="FRB7"/>
      <c r="FRC7"/>
      <c r="FRD7"/>
      <c r="FRE7"/>
      <c r="FRF7"/>
      <c r="FRG7"/>
      <c r="FRH7"/>
      <c r="FRI7"/>
      <c r="FRJ7"/>
      <c r="FRK7"/>
      <c r="FRL7"/>
      <c r="FRM7"/>
      <c r="FRN7"/>
      <c r="FRO7"/>
      <c r="FRP7"/>
      <c r="FRQ7"/>
      <c r="FRR7"/>
      <c r="FRS7"/>
      <c r="FRT7"/>
      <c r="FRU7"/>
      <c r="FRV7"/>
      <c r="FRW7"/>
      <c r="FRX7"/>
      <c r="FRY7"/>
      <c r="FRZ7"/>
      <c r="FSA7"/>
      <c r="FSB7"/>
      <c r="FSC7"/>
      <c r="FSD7"/>
      <c r="FSE7"/>
      <c r="FSF7"/>
      <c r="FSG7"/>
      <c r="FSH7"/>
      <c r="FSI7"/>
      <c r="FSJ7"/>
      <c r="FSK7"/>
      <c r="FSL7"/>
      <c r="FSM7"/>
      <c r="FSN7"/>
      <c r="FSO7"/>
      <c r="FSP7"/>
      <c r="FSQ7"/>
      <c r="FSR7"/>
      <c r="FSS7"/>
      <c r="FST7"/>
      <c r="FSU7"/>
      <c r="FSV7"/>
      <c r="FSW7"/>
      <c r="FSX7"/>
      <c r="FSY7"/>
      <c r="FSZ7"/>
      <c r="FTA7"/>
      <c r="FTB7"/>
      <c r="FTC7"/>
      <c r="FTD7"/>
      <c r="FTE7"/>
      <c r="FTF7"/>
      <c r="FTG7"/>
      <c r="FTH7"/>
      <c r="FTI7"/>
      <c r="FTJ7"/>
      <c r="FTK7"/>
      <c r="FTL7"/>
      <c r="FTM7"/>
      <c r="FTN7"/>
      <c r="FTO7"/>
      <c r="FTP7"/>
      <c r="FTQ7"/>
      <c r="FTR7"/>
      <c r="FTS7"/>
      <c r="FTT7"/>
      <c r="FTU7"/>
      <c r="FTV7"/>
      <c r="FTW7"/>
      <c r="FTX7"/>
      <c r="FTY7"/>
      <c r="FTZ7"/>
      <c r="FUA7"/>
      <c r="FUB7"/>
      <c r="FUC7"/>
      <c r="FUD7"/>
      <c r="FUE7"/>
      <c r="FUF7"/>
      <c r="FUG7"/>
      <c r="FUH7"/>
      <c r="FUI7"/>
      <c r="FUJ7"/>
      <c r="FUK7"/>
      <c r="FUL7"/>
      <c r="FUM7"/>
      <c r="FUN7"/>
      <c r="FUO7"/>
      <c r="FUP7"/>
      <c r="FUQ7"/>
      <c r="FUR7"/>
      <c r="FUS7"/>
      <c r="FUT7"/>
      <c r="FUU7"/>
      <c r="FUV7"/>
      <c r="FUW7"/>
      <c r="FUX7"/>
      <c r="FUY7"/>
      <c r="FUZ7"/>
      <c r="FVA7"/>
      <c r="FVB7"/>
      <c r="FVC7"/>
      <c r="FVD7"/>
      <c r="FVE7"/>
      <c r="FVF7"/>
      <c r="FVG7"/>
      <c r="FVH7"/>
      <c r="FVI7"/>
      <c r="FVJ7"/>
      <c r="FVK7"/>
      <c r="FVL7"/>
      <c r="FVM7"/>
      <c r="FVN7"/>
      <c r="FVO7"/>
      <c r="FVP7"/>
      <c r="FVQ7"/>
      <c r="FVR7"/>
      <c r="FVS7"/>
      <c r="FVT7"/>
      <c r="FVU7"/>
      <c r="FVV7"/>
      <c r="FVW7"/>
      <c r="FVX7"/>
      <c r="FVY7"/>
      <c r="FVZ7"/>
      <c r="FWA7"/>
      <c r="FWB7"/>
      <c r="FWC7"/>
      <c r="FWD7"/>
      <c r="FWE7"/>
      <c r="FWF7"/>
      <c r="FWG7"/>
      <c r="FWH7"/>
      <c r="FWI7"/>
      <c r="FWJ7"/>
      <c r="FWK7"/>
      <c r="FWL7"/>
      <c r="FWM7"/>
      <c r="FWN7"/>
      <c r="FWO7"/>
      <c r="FWP7"/>
      <c r="FWQ7"/>
      <c r="FWR7"/>
      <c r="FWS7"/>
      <c r="FWT7"/>
      <c r="FWU7"/>
      <c r="FWV7"/>
      <c r="FWW7"/>
      <c r="FWX7"/>
      <c r="FWY7"/>
      <c r="FWZ7"/>
      <c r="FXA7"/>
      <c r="FXB7"/>
      <c r="FXC7"/>
      <c r="FXD7"/>
      <c r="FXE7"/>
      <c r="FXF7"/>
      <c r="FXG7"/>
      <c r="FXH7"/>
      <c r="FXI7"/>
      <c r="FXJ7"/>
      <c r="FXK7"/>
      <c r="FXL7"/>
      <c r="FXM7"/>
      <c r="FXN7"/>
      <c r="FXO7"/>
      <c r="FXP7"/>
      <c r="FXQ7"/>
      <c r="FXR7"/>
      <c r="FXS7"/>
      <c r="FXT7"/>
      <c r="FXU7"/>
      <c r="FXV7"/>
      <c r="FXW7"/>
      <c r="FXX7"/>
      <c r="FXY7"/>
      <c r="FXZ7"/>
      <c r="FYA7"/>
      <c r="FYB7"/>
      <c r="FYC7"/>
      <c r="FYD7"/>
      <c r="FYE7"/>
      <c r="FYF7"/>
      <c r="FYG7"/>
      <c r="FYH7"/>
      <c r="FYI7"/>
      <c r="FYJ7"/>
      <c r="FYK7"/>
      <c r="FYL7"/>
      <c r="FYM7"/>
      <c r="FYN7"/>
      <c r="FYO7"/>
      <c r="FYP7"/>
      <c r="FYQ7"/>
      <c r="FYR7"/>
      <c r="FYS7"/>
      <c r="FYT7"/>
      <c r="FYU7"/>
      <c r="FYV7"/>
      <c r="FYW7"/>
      <c r="FYX7"/>
      <c r="FYY7"/>
      <c r="FYZ7"/>
      <c r="FZA7"/>
      <c r="FZB7"/>
      <c r="FZC7"/>
      <c r="FZD7"/>
      <c r="FZE7"/>
      <c r="FZF7"/>
      <c r="FZG7"/>
      <c r="FZH7"/>
      <c r="FZI7"/>
      <c r="FZJ7"/>
      <c r="FZK7"/>
      <c r="FZL7"/>
      <c r="FZM7"/>
      <c r="FZN7"/>
      <c r="FZO7"/>
      <c r="FZP7"/>
      <c r="FZQ7"/>
      <c r="FZR7"/>
      <c r="FZS7"/>
      <c r="FZT7"/>
      <c r="FZU7"/>
      <c r="FZV7"/>
      <c r="FZW7"/>
      <c r="FZX7"/>
      <c r="FZY7"/>
      <c r="FZZ7"/>
      <c r="GAA7"/>
      <c r="GAB7"/>
      <c r="GAC7"/>
      <c r="GAD7"/>
      <c r="GAE7"/>
      <c r="GAF7"/>
      <c r="GAG7"/>
      <c r="GAH7"/>
      <c r="GAI7"/>
      <c r="GAJ7"/>
      <c r="GAK7"/>
      <c r="GAL7"/>
      <c r="GAM7"/>
      <c r="GAN7"/>
      <c r="GAO7"/>
      <c r="GAP7"/>
      <c r="GAQ7"/>
      <c r="GAR7"/>
      <c r="GAS7"/>
      <c r="GAT7"/>
      <c r="GAU7"/>
      <c r="GAV7"/>
      <c r="GAW7"/>
      <c r="GAX7"/>
      <c r="GAY7"/>
      <c r="GAZ7"/>
      <c r="GBA7"/>
      <c r="GBB7"/>
      <c r="GBC7"/>
      <c r="GBD7"/>
      <c r="GBE7"/>
      <c r="GBF7"/>
      <c r="GBG7"/>
      <c r="GBH7"/>
      <c r="GBI7"/>
      <c r="GBJ7"/>
      <c r="GBK7"/>
      <c r="GBL7"/>
      <c r="GBM7"/>
      <c r="GBN7"/>
      <c r="GBO7"/>
      <c r="GBP7"/>
      <c r="GBQ7"/>
      <c r="GBR7"/>
      <c r="GBS7"/>
      <c r="GBT7"/>
      <c r="GBU7"/>
      <c r="GBV7"/>
      <c r="GBW7"/>
      <c r="GBX7"/>
      <c r="GBY7"/>
      <c r="GBZ7"/>
      <c r="GCA7"/>
      <c r="GCB7"/>
      <c r="GCC7"/>
      <c r="GCD7"/>
      <c r="GCE7"/>
      <c r="GCF7"/>
      <c r="GCG7"/>
      <c r="GCH7"/>
      <c r="GCI7"/>
      <c r="GCJ7"/>
      <c r="GCK7"/>
      <c r="GCL7"/>
      <c r="GCM7"/>
      <c r="GCN7"/>
      <c r="GCO7"/>
      <c r="GCP7"/>
      <c r="GCQ7"/>
      <c r="GCR7"/>
      <c r="GCS7"/>
      <c r="GCT7"/>
      <c r="GCU7"/>
      <c r="GCV7"/>
      <c r="GCW7"/>
      <c r="GCX7"/>
      <c r="GCY7"/>
      <c r="GCZ7"/>
      <c r="GDA7"/>
      <c r="GDB7"/>
      <c r="GDC7"/>
      <c r="GDD7"/>
      <c r="GDE7"/>
      <c r="GDF7"/>
      <c r="GDG7"/>
      <c r="GDH7"/>
      <c r="GDI7"/>
      <c r="GDJ7"/>
      <c r="GDK7"/>
      <c r="GDL7"/>
      <c r="GDM7"/>
      <c r="GDN7"/>
      <c r="GDO7"/>
      <c r="GDP7"/>
      <c r="GDQ7"/>
      <c r="GDR7"/>
      <c r="GDS7"/>
      <c r="GDT7"/>
      <c r="GDU7"/>
      <c r="GDV7"/>
      <c r="GDW7"/>
      <c r="GDX7"/>
      <c r="GDY7"/>
      <c r="GDZ7"/>
      <c r="GEA7"/>
      <c r="GEB7"/>
      <c r="GEC7"/>
      <c r="GED7"/>
      <c r="GEE7"/>
      <c r="GEF7"/>
      <c r="GEG7"/>
      <c r="GEH7"/>
      <c r="GEI7"/>
      <c r="GEJ7"/>
      <c r="GEK7"/>
      <c r="GEL7"/>
      <c r="GEM7"/>
      <c r="GEN7"/>
      <c r="GEO7"/>
      <c r="GEP7"/>
      <c r="GEQ7"/>
      <c r="GER7"/>
      <c r="GES7"/>
      <c r="GET7"/>
      <c r="GEU7"/>
      <c r="GEV7"/>
      <c r="GEW7"/>
      <c r="GEX7"/>
      <c r="GEY7"/>
      <c r="GEZ7"/>
      <c r="GFA7"/>
      <c r="GFB7"/>
      <c r="GFC7"/>
      <c r="GFD7"/>
      <c r="GFE7"/>
      <c r="GFF7"/>
      <c r="GFG7"/>
      <c r="GFH7"/>
      <c r="GFI7"/>
      <c r="GFJ7"/>
      <c r="GFK7"/>
      <c r="GFL7"/>
      <c r="GFM7"/>
      <c r="GFN7"/>
      <c r="GFO7"/>
      <c r="GFP7"/>
      <c r="GFQ7"/>
      <c r="GFR7"/>
      <c r="GFS7"/>
      <c r="GFT7"/>
      <c r="GFU7"/>
      <c r="GFV7"/>
      <c r="GFW7"/>
      <c r="GFX7"/>
      <c r="GFY7"/>
      <c r="GFZ7"/>
      <c r="GGA7"/>
      <c r="GGB7"/>
      <c r="GGC7"/>
      <c r="GGD7"/>
      <c r="GGE7"/>
      <c r="GGF7"/>
      <c r="GGG7"/>
      <c r="GGH7"/>
      <c r="GGI7"/>
      <c r="GGJ7"/>
      <c r="GGK7"/>
      <c r="GGL7"/>
      <c r="GGM7"/>
      <c r="GGN7"/>
      <c r="GGO7"/>
      <c r="GGP7"/>
      <c r="GGQ7"/>
      <c r="GGR7"/>
      <c r="GGS7"/>
      <c r="GGT7"/>
      <c r="GGU7"/>
      <c r="GGV7"/>
      <c r="GGW7"/>
      <c r="GGX7"/>
      <c r="GGY7"/>
      <c r="GGZ7"/>
      <c r="GHA7"/>
      <c r="GHB7"/>
      <c r="GHC7"/>
      <c r="GHD7"/>
      <c r="GHE7"/>
      <c r="GHF7"/>
      <c r="GHG7"/>
      <c r="GHH7"/>
      <c r="GHI7"/>
      <c r="GHJ7"/>
      <c r="GHK7"/>
      <c r="GHL7"/>
      <c r="GHM7"/>
      <c r="GHN7"/>
      <c r="GHO7"/>
      <c r="GHP7"/>
      <c r="GHQ7"/>
      <c r="GHR7"/>
      <c r="GHS7"/>
      <c r="GHT7"/>
      <c r="GHU7"/>
      <c r="GHV7"/>
      <c r="GHW7"/>
      <c r="GHX7"/>
      <c r="GHY7"/>
      <c r="GHZ7"/>
      <c r="GIA7"/>
      <c r="GIB7"/>
      <c r="GIC7"/>
      <c r="GID7"/>
      <c r="GIE7"/>
      <c r="GIF7"/>
      <c r="GIG7"/>
      <c r="GIH7"/>
      <c r="GII7"/>
      <c r="GIJ7"/>
      <c r="GIK7"/>
      <c r="GIL7"/>
      <c r="GIM7"/>
      <c r="GIN7"/>
      <c r="GIO7"/>
      <c r="GIP7"/>
      <c r="GIQ7"/>
      <c r="GIR7"/>
      <c r="GIS7"/>
      <c r="GIT7"/>
      <c r="GIU7"/>
      <c r="GIV7"/>
      <c r="GIW7"/>
      <c r="GIX7"/>
      <c r="GIY7"/>
      <c r="GIZ7"/>
      <c r="GJA7"/>
      <c r="GJB7"/>
      <c r="GJC7"/>
      <c r="GJD7"/>
      <c r="GJE7"/>
      <c r="GJF7"/>
      <c r="GJG7"/>
      <c r="GJH7"/>
      <c r="GJI7"/>
      <c r="GJJ7"/>
      <c r="GJK7"/>
      <c r="GJL7"/>
      <c r="GJM7"/>
      <c r="GJN7"/>
      <c r="GJO7"/>
      <c r="GJP7"/>
      <c r="GJQ7"/>
      <c r="GJR7"/>
      <c r="GJS7"/>
      <c r="GJT7"/>
      <c r="GJU7"/>
      <c r="GJV7"/>
      <c r="GJW7"/>
      <c r="GJX7"/>
      <c r="GJY7"/>
      <c r="GJZ7"/>
      <c r="GKA7"/>
      <c r="GKB7"/>
      <c r="GKC7"/>
      <c r="GKD7"/>
      <c r="GKE7"/>
      <c r="GKF7"/>
      <c r="GKG7"/>
      <c r="GKH7"/>
      <c r="GKI7"/>
      <c r="GKJ7"/>
      <c r="GKK7"/>
      <c r="GKL7"/>
      <c r="GKM7"/>
      <c r="GKN7"/>
      <c r="GKO7"/>
      <c r="GKP7"/>
      <c r="GKQ7"/>
      <c r="GKR7"/>
      <c r="GKS7"/>
      <c r="GKT7"/>
      <c r="GKU7"/>
      <c r="GKV7"/>
      <c r="GKW7"/>
      <c r="GKX7"/>
      <c r="GKY7"/>
      <c r="GKZ7"/>
      <c r="GLA7"/>
      <c r="GLB7"/>
      <c r="GLC7"/>
      <c r="GLD7"/>
      <c r="GLE7"/>
      <c r="GLF7"/>
      <c r="GLG7"/>
      <c r="GLH7"/>
      <c r="GLI7"/>
      <c r="GLJ7"/>
      <c r="GLK7"/>
      <c r="GLL7"/>
      <c r="GLM7"/>
      <c r="GLN7"/>
      <c r="GLO7"/>
      <c r="GLP7"/>
      <c r="GLQ7"/>
      <c r="GLR7"/>
      <c r="GLS7"/>
      <c r="GLT7"/>
      <c r="GLU7"/>
      <c r="GLV7"/>
      <c r="GLW7"/>
      <c r="GLX7"/>
      <c r="GLY7"/>
      <c r="GLZ7"/>
      <c r="GMA7"/>
      <c r="GMB7"/>
      <c r="GMC7"/>
      <c r="GMD7"/>
      <c r="GME7"/>
      <c r="GMF7"/>
      <c r="GMG7"/>
      <c r="GMH7"/>
      <c r="GMI7"/>
      <c r="GMJ7"/>
      <c r="GMK7"/>
      <c r="GML7"/>
      <c r="GMM7"/>
      <c r="GMN7"/>
      <c r="GMO7"/>
      <c r="GMP7"/>
      <c r="GMQ7"/>
      <c r="GMR7"/>
      <c r="GMS7"/>
      <c r="GMT7"/>
      <c r="GMU7"/>
      <c r="GMV7"/>
      <c r="GMW7"/>
      <c r="GMX7"/>
      <c r="GMY7"/>
      <c r="GMZ7"/>
      <c r="GNA7"/>
      <c r="GNB7"/>
      <c r="GNC7"/>
      <c r="GND7"/>
      <c r="GNE7"/>
      <c r="GNF7"/>
      <c r="GNG7"/>
      <c r="GNH7"/>
      <c r="GNI7"/>
      <c r="GNJ7"/>
      <c r="GNK7"/>
      <c r="GNL7"/>
      <c r="GNM7"/>
      <c r="GNN7"/>
      <c r="GNO7"/>
      <c r="GNP7"/>
      <c r="GNQ7"/>
      <c r="GNR7"/>
      <c r="GNS7"/>
      <c r="GNT7"/>
      <c r="GNU7"/>
      <c r="GNV7"/>
      <c r="GNW7"/>
      <c r="GNX7"/>
      <c r="GNY7"/>
      <c r="GNZ7"/>
      <c r="GOA7"/>
      <c r="GOB7"/>
      <c r="GOC7"/>
      <c r="GOD7"/>
      <c r="GOE7"/>
      <c r="GOF7"/>
      <c r="GOG7"/>
      <c r="GOH7"/>
      <c r="GOI7"/>
      <c r="GOJ7"/>
      <c r="GOK7"/>
      <c r="GOL7"/>
      <c r="GOM7"/>
      <c r="GON7"/>
      <c r="GOO7"/>
      <c r="GOP7"/>
      <c r="GOQ7"/>
      <c r="GOR7"/>
      <c r="GOS7"/>
      <c r="GOT7"/>
      <c r="GOU7"/>
      <c r="GOV7"/>
      <c r="GOW7"/>
      <c r="GOX7"/>
      <c r="GOY7"/>
      <c r="GOZ7"/>
      <c r="GPA7"/>
      <c r="GPB7"/>
      <c r="GPC7"/>
      <c r="GPD7"/>
      <c r="GPE7"/>
      <c r="GPF7"/>
      <c r="GPG7"/>
      <c r="GPH7"/>
      <c r="GPI7"/>
      <c r="GPJ7"/>
      <c r="GPK7"/>
      <c r="GPL7"/>
      <c r="GPM7"/>
      <c r="GPN7"/>
      <c r="GPO7"/>
      <c r="GPP7"/>
      <c r="GPQ7"/>
      <c r="GPR7"/>
      <c r="GPS7"/>
      <c r="GPT7"/>
      <c r="GPU7"/>
      <c r="GPV7"/>
      <c r="GPW7"/>
      <c r="GPX7"/>
      <c r="GPY7"/>
      <c r="GPZ7"/>
      <c r="GQA7"/>
      <c r="GQB7"/>
      <c r="GQC7"/>
      <c r="GQD7"/>
      <c r="GQE7"/>
      <c r="GQF7"/>
      <c r="GQG7"/>
      <c r="GQH7"/>
      <c r="GQI7"/>
      <c r="GQJ7"/>
      <c r="GQK7"/>
      <c r="GQL7"/>
      <c r="GQM7"/>
      <c r="GQN7"/>
      <c r="GQO7"/>
      <c r="GQP7"/>
      <c r="GQQ7"/>
      <c r="GQR7"/>
      <c r="GQS7"/>
      <c r="GQT7"/>
      <c r="GQU7"/>
      <c r="GQV7"/>
      <c r="GQW7"/>
      <c r="GQX7"/>
      <c r="GQY7"/>
      <c r="GQZ7"/>
      <c r="GRA7"/>
      <c r="GRB7"/>
      <c r="GRC7"/>
      <c r="GRD7"/>
      <c r="GRE7"/>
      <c r="GRF7"/>
      <c r="GRG7"/>
      <c r="GRH7"/>
      <c r="GRI7"/>
      <c r="GRJ7"/>
      <c r="GRK7"/>
      <c r="GRL7"/>
      <c r="GRM7"/>
      <c r="GRN7"/>
      <c r="GRO7"/>
      <c r="GRP7"/>
      <c r="GRQ7"/>
      <c r="GRR7"/>
      <c r="GRS7"/>
      <c r="GRT7"/>
      <c r="GRU7"/>
      <c r="GRV7"/>
      <c r="GRW7"/>
      <c r="GRX7"/>
      <c r="GRY7"/>
      <c r="GRZ7"/>
      <c r="GSA7"/>
      <c r="GSB7"/>
      <c r="GSC7"/>
      <c r="GSD7"/>
      <c r="GSE7"/>
      <c r="GSF7"/>
      <c r="GSG7"/>
      <c r="GSH7"/>
      <c r="GSI7"/>
      <c r="GSJ7"/>
      <c r="GSK7"/>
      <c r="GSL7"/>
      <c r="GSM7"/>
      <c r="GSN7"/>
      <c r="GSO7"/>
      <c r="GSP7"/>
      <c r="GSQ7"/>
      <c r="GSR7"/>
      <c r="GSS7"/>
      <c r="GST7"/>
      <c r="GSU7"/>
      <c r="GSV7"/>
      <c r="GSW7"/>
      <c r="GSX7"/>
      <c r="GSY7"/>
      <c r="GSZ7"/>
      <c r="GTA7"/>
      <c r="GTB7"/>
      <c r="GTC7"/>
      <c r="GTD7"/>
      <c r="GTE7"/>
      <c r="GTF7"/>
      <c r="GTG7"/>
      <c r="GTH7"/>
      <c r="GTI7"/>
      <c r="GTJ7"/>
      <c r="GTK7"/>
      <c r="GTL7"/>
      <c r="GTM7"/>
      <c r="GTN7"/>
      <c r="GTO7"/>
      <c r="GTP7"/>
      <c r="GTQ7"/>
      <c r="GTR7"/>
      <c r="GTS7"/>
      <c r="GTT7"/>
      <c r="GTU7"/>
      <c r="GTV7"/>
      <c r="GTW7"/>
      <c r="GTX7"/>
      <c r="GTY7"/>
      <c r="GTZ7"/>
      <c r="GUA7"/>
      <c r="GUB7"/>
      <c r="GUC7"/>
      <c r="GUD7"/>
      <c r="GUE7"/>
      <c r="GUF7"/>
      <c r="GUG7"/>
      <c r="GUH7"/>
      <c r="GUI7"/>
      <c r="GUJ7"/>
      <c r="GUK7"/>
      <c r="GUL7"/>
      <c r="GUM7"/>
      <c r="GUN7"/>
      <c r="GUO7"/>
      <c r="GUP7"/>
      <c r="GUQ7"/>
      <c r="GUR7"/>
      <c r="GUS7"/>
      <c r="GUT7"/>
      <c r="GUU7"/>
      <c r="GUV7"/>
      <c r="GUW7"/>
      <c r="GUX7"/>
      <c r="GUY7"/>
      <c r="GUZ7"/>
      <c r="GVA7"/>
      <c r="GVB7"/>
      <c r="GVC7"/>
      <c r="GVD7"/>
      <c r="GVE7"/>
      <c r="GVF7"/>
      <c r="GVG7"/>
      <c r="GVH7"/>
      <c r="GVI7"/>
      <c r="GVJ7"/>
      <c r="GVK7"/>
      <c r="GVL7"/>
      <c r="GVM7"/>
      <c r="GVN7"/>
      <c r="GVO7"/>
      <c r="GVP7"/>
      <c r="GVQ7"/>
      <c r="GVR7"/>
      <c r="GVS7"/>
      <c r="GVT7"/>
      <c r="GVU7"/>
      <c r="GVV7"/>
      <c r="GVW7"/>
      <c r="GVX7"/>
      <c r="GVY7"/>
      <c r="GVZ7"/>
      <c r="GWA7"/>
      <c r="GWB7"/>
      <c r="GWC7"/>
      <c r="GWD7"/>
      <c r="GWE7"/>
      <c r="GWF7"/>
      <c r="GWG7"/>
      <c r="GWH7"/>
      <c r="GWI7"/>
      <c r="GWJ7"/>
      <c r="GWK7"/>
      <c r="GWL7"/>
      <c r="GWM7"/>
      <c r="GWN7"/>
      <c r="GWO7"/>
      <c r="GWP7"/>
      <c r="GWQ7"/>
      <c r="GWR7"/>
      <c r="GWS7"/>
      <c r="GWT7"/>
      <c r="GWU7"/>
      <c r="GWV7"/>
      <c r="GWW7"/>
      <c r="GWX7"/>
      <c r="GWY7"/>
      <c r="GWZ7"/>
      <c r="GXA7"/>
      <c r="GXB7"/>
      <c r="GXC7"/>
      <c r="GXD7"/>
      <c r="GXE7"/>
      <c r="GXF7"/>
      <c r="GXG7"/>
      <c r="GXH7"/>
      <c r="GXI7"/>
      <c r="GXJ7"/>
      <c r="GXK7"/>
      <c r="GXL7"/>
      <c r="GXM7"/>
      <c r="GXN7"/>
      <c r="GXO7"/>
      <c r="GXP7"/>
      <c r="GXQ7"/>
      <c r="GXR7"/>
      <c r="GXS7"/>
      <c r="GXT7"/>
      <c r="GXU7"/>
      <c r="GXV7"/>
      <c r="GXW7"/>
      <c r="GXX7"/>
      <c r="GXY7"/>
      <c r="GXZ7"/>
      <c r="GYA7"/>
      <c r="GYB7"/>
      <c r="GYC7"/>
      <c r="GYD7"/>
      <c r="GYE7"/>
      <c r="GYF7"/>
      <c r="GYG7"/>
      <c r="GYH7"/>
      <c r="GYI7"/>
      <c r="GYJ7"/>
      <c r="GYK7"/>
      <c r="GYL7"/>
      <c r="GYM7"/>
      <c r="GYN7"/>
      <c r="GYO7"/>
      <c r="GYP7"/>
      <c r="GYQ7"/>
      <c r="GYR7"/>
      <c r="GYS7"/>
      <c r="GYT7"/>
      <c r="GYU7"/>
      <c r="GYV7"/>
      <c r="GYW7"/>
      <c r="GYX7"/>
      <c r="GYY7"/>
      <c r="GYZ7"/>
      <c r="GZA7"/>
      <c r="GZB7"/>
      <c r="GZC7"/>
      <c r="GZD7"/>
      <c r="GZE7"/>
      <c r="GZF7"/>
      <c r="GZG7"/>
      <c r="GZH7"/>
      <c r="GZI7"/>
      <c r="GZJ7"/>
      <c r="GZK7"/>
      <c r="GZL7"/>
      <c r="GZM7"/>
      <c r="GZN7"/>
      <c r="GZO7"/>
      <c r="GZP7"/>
      <c r="GZQ7"/>
      <c r="GZR7"/>
      <c r="GZS7"/>
      <c r="GZT7"/>
      <c r="GZU7"/>
      <c r="GZV7"/>
      <c r="GZW7"/>
      <c r="GZX7"/>
      <c r="GZY7"/>
      <c r="GZZ7"/>
      <c r="HAA7"/>
      <c r="HAB7"/>
      <c r="HAC7"/>
      <c r="HAD7"/>
      <c r="HAE7"/>
      <c r="HAF7"/>
      <c r="HAG7"/>
      <c r="HAH7"/>
      <c r="HAI7"/>
      <c r="HAJ7"/>
      <c r="HAK7"/>
      <c r="HAL7"/>
      <c r="HAM7"/>
      <c r="HAN7"/>
      <c r="HAO7"/>
      <c r="HAP7"/>
      <c r="HAQ7"/>
      <c r="HAR7"/>
      <c r="HAS7"/>
      <c r="HAT7"/>
      <c r="HAU7"/>
      <c r="HAV7"/>
      <c r="HAW7"/>
      <c r="HAX7"/>
      <c r="HAY7"/>
      <c r="HAZ7"/>
      <c r="HBA7"/>
      <c r="HBB7"/>
      <c r="HBC7"/>
      <c r="HBD7"/>
      <c r="HBE7"/>
      <c r="HBF7"/>
      <c r="HBG7"/>
      <c r="HBH7"/>
      <c r="HBI7"/>
      <c r="HBJ7"/>
      <c r="HBK7"/>
      <c r="HBL7"/>
      <c r="HBM7"/>
      <c r="HBN7"/>
      <c r="HBO7"/>
      <c r="HBP7"/>
      <c r="HBQ7"/>
      <c r="HBR7"/>
      <c r="HBS7"/>
      <c r="HBT7"/>
      <c r="HBU7"/>
      <c r="HBV7"/>
      <c r="HBW7"/>
      <c r="HBX7"/>
      <c r="HBY7"/>
      <c r="HBZ7"/>
      <c r="HCA7"/>
      <c r="HCB7"/>
      <c r="HCC7"/>
      <c r="HCD7"/>
      <c r="HCE7"/>
      <c r="HCF7"/>
      <c r="HCG7"/>
      <c r="HCH7"/>
      <c r="HCI7"/>
      <c r="HCJ7"/>
      <c r="HCK7"/>
      <c r="HCL7"/>
      <c r="HCM7"/>
      <c r="HCN7"/>
      <c r="HCO7"/>
      <c r="HCP7"/>
      <c r="HCQ7"/>
      <c r="HCR7"/>
      <c r="HCS7"/>
      <c r="HCT7"/>
      <c r="HCU7"/>
      <c r="HCV7"/>
      <c r="HCW7"/>
      <c r="HCX7"/>
      <c r="HCY7"/>
      <c r="HCZ7"/>
      <c r="HDA7"/>
      <c r="HDB7"/>
      <c r="HDC7"/>
      <c r="HDD7"/>
      <c r="HDE7"/>
      <c r="HDF7"/>
      <c r="HDG7"/>
      <c r="HDH7"/>
      <c r="HDI7"/>
      <c r="HDJ7"/>
      <c r="HDK7"/>
      <c r="HDL7"/>
      <c r="HDM7"/>
      <c r="HDN7"/>
      <c r="HDO7"/>
      <c r="HDP7"/>
      <c r="HDQ7"/>
      <c r="HDR7"/>
      <c r="HDS7"/>
      <c r="HDT7"/>
      <c r="HDU7"/>
      <c r="HDV7"/>
      <c r="HDW7"/>
      <c r="HDX7"/>
      <c r="HDY7"/>
      <c r="HDZ7"/>
      <c r="HEA7"/>
      <c r="HEB7"/>
      <c r="HEC7"/>
      <c r="HED7"/>
      <c r="HEE7"/>
      <c r="HEF7"/>
      <c r="HEG7"/>
      <c r="HEH7"/>
      <c r="HEI7"/>
      <c r="HEJ7"/>
      <c r="HEK7"/>
      <c r="HEL7"/>
      <c r="HEM7"/>
      <c r="HEN7"/>
      <c r="HEO7"/>
      <c r="HEP7"/>
      <c r="HEQ7"/>
      <c r="HER7"/>
      <c r="HES7"/>
      <c r="HET7"/>
      <c r="HEU7"/>
      <c r="HEV7"/>
      <c r="HEW7"/>
      <c r="HEX7"/>
      <c r="HEY7"/>
      <c r="HEZ7"/>
      <c r="HFA7"/>
      <c r="HFB7"/>
      <c r="HFC7"/>
      <c r="HFD7"/>
      <c r="HFE7"/>
      <c r="HFF7"/>
      <c r="HFG7"/>
      <c r="HFH7"/>
      <c r="HFI7"/>
      <c r="HFJ7"/>
      <c r="HFK7"/>
      <c r="HFL7"/>
      <c r="HFM7"/>
      <c r="HFN7"/>
      <c r="HFO7"/>
      <c r="HFP7"/>
      <c r="HFQ7"/>
      <c r="HFR7"/>
      <c r="HFS7"/>
      <c r="HFT7"/>
      <c r="HFU7"/>
      <c r="HFV7"/>
      <c r="HFW7"/>
      <c r="HFX7"/>
      <c r="HFY7"/>
      <c r="HFZ7"/>
      <c r="HGA7"/>
      <c r="HGB7"/>
      <c r="HGC7"/>
      <c r="HGD7"/>
      <c r="HGE7"/>
      <c r="HGF7"/>
      <c r="HGG7"/>
      <c r="HGH7"/>
      <c r="HGI7"/>
      <c r="HGJ7"/>
      <c r="HGK7"/>
      <c r="HGL7"/>
      <c r="HGM7"/>
      <c r="HGN7"/>
      <c r="HGO7"/>
      <c r="HGP7"/>
      <c r="HGQ7"/>
      <c r="HGR7"/>
      <c r="HGS7"/>
      <c r="HGT7"/>
      <c r="HGU7"/>
      <c r="HGV7"/>
      <c r="HGW7"/>
      <c r="HGX7"/>
      <c r="HGY7"/>
      <c r="HGZ7"/>
      <c r="HHA7"/>
      <c r="HHB7"/>
      <c r="HHC7"/>
      <c r="HHD7"/>
      <c r="HHE7"/>
      <c r="HHF7"/>
      <c r="HHG7"/>
      <c r="HHH7"/>
      <c r="HHI7"/>
      <c r="HHJ7"/>
      <c r="HHK7"/>
      <c r="HHL7"/>
      <c r="HHM7"/>
      <c r="HHN7"/>
      <c r="HHO7"/>
      <c r="HHP7"/>
      <c r="HHQ7"/>
      <c r="HHR7"/>
      <c r="HHS7"/>
      <c r="HHT7"/>
      <c r="HHU7"/>
      <c r="HHV7"/>
      <c r="HHW7"/>
      <c r="HHX7"/>
      <c r="HHY7"/>
      <c r="HHZ7"/>
      <c r="HIA7"/>
      <c r="HIB7"/>
      <c r="HIC7"/>
      <c r="HID7"/>
      <c r="HIE7"/>
      <c r="HIF7"/>
      <c r="HIG7"/>
      <c r="HIH7"/>
      <c r="HII7"/>
      <c r="HIJ7"/>
      <c r="HIK7"/>
      <c r="HIL7"/>
      <c r="HIM7"/>
      <c r="HIN7"/>
      <c r="HIO7"/>
      <c r="HIP7"/>
      <c r="HIQ7"/>
      <c r="HIR7"/>
      <c r="HIS7"/>
      <c r="HIT7"/>
      <c r="HIU7"/>
      <c r="HIV7"/>
      <c r="HIW7"/>
      <c r="HIX7"/>
      <c r="HIY7"/>
      <c r="HIZ7"/>
      <c r="HJA7"/>
      <c r="HJB7"/>
      <c r="HJC7"/>
      <c r="HJD7"/>
      <c r="HJE7"/>
      <c r="HJF7"/>
      <c r="HJG7"/>
      <c r="HJH7"/>
      <c r="HJI7"/>
      <c r="HJJ7"/>
      <c r="HJK7"/>
      <c r="HJL7"/>
      <c r="HJM7"/>
      <c r="HJN7"/>
      <c r="HJO7"/>
      <c r="HJP7"/>
      <c r="HJQ7"/>
      <c r="HJR7"/>
      <c r="HJS7"/>
      <c r="HJT7"/>
      <c r="HJU7"/>
      <c r="HJV7"/>
      <c r="HJW7"/>
      <c r="HJX7"/>
      <c r="HJY7"/>
      <c r="HJZ7"/>
      <c r="HKA7"/>
      <c r="HKB7"/>
      <c r="HKC7"/>
      <c r="HKD7"/>
      <c r="HKE7"/>
      <c r="HKF7"/>
      <c r="HKG7"/>
      <c r="HKH7"/>
      <c r="HKI7"/>
      <c r="HKJ7"/>
      <c r="HKK7"/>
      <c r="HKL7"/>
      <c r="HKM7"/>
      <c r="HKN7"/>
      <c r="HKO7"/>
      <c r="HKP7"/>
      <c r="HKQ7"/>
      <c r="HKR7"/>
      <c r="HKS7"/>
      <c r="HKT7"/>
      <c r="HKU7"/>
      <c r="HKV7"/>
      <c r="HKW7"/>
      <c r="HKX7"/>
      <c r="HKY7"/>
      <c r="HKZ7"/>
      <c r="HLA7"/>
      <c r="HLB7"/>
      <c r="HLC7"/>
      <c r="HLD7"/>
      <c r="HLE7"/>
      <c r="HLF7"/>
      <c r="HLG7"/>
      <c r="HLH7"/>
      <c r="HLI7"/>
      <c r="HLJ7"/>
      <c r="HLK7"/>
      <c r="HLL7"/>
      <c r="HLM7"/>
      <c r="HLN7"/>
      <c r="HLO7"/>
      <c r="HLP7"/>
      <c r="HLQ7"/>
      <c r="HLR7"/>
      <c r="HLS7"/>
      <c r="HLT7"/>
      <c r="HLU7"/>
      <c r="HLV7"/>
      <c r="HLW7"/>
      <c r="HLX7"/>
      <c r="HLY7"/>
      <c r="HLZ7"/>
      <c r="HMA7"/>
      <c r="HMB7"/>
      <c r="HMC7"/>
      <c r="HMD7"/>
      <c r="HME7"/>
      <c r="HMF7"/>
      <c r="HMG7"/>
      <c r="HMH7"/>
      <c r="HMI7"/>
      <c r="HMJ7"/>
      <c r="HMK7"/>
      <c r="HML7"/>
      <c r="HMM7"/>
      <c r="HMN7"/>
      <c r="HMO7"/>
      <c r="HMP7"/>
      <c r="HMQ7"/>
      <c r="HMR7"/>
      <c r="HMS7"/>
      <c r="HMT7"/>
      <c r="HMU7"/>
      <c r="HMV7"/>
      <c r="HMW7"/>
      <c r="HMX7"/>
      <c r="HMY7"/>
      <c r="HMZ7"/>
      <c r="HNA7"/>
      <c r="HNB7"/>
      <c r="HNC7"/>
      <c r="HND7"/>
      <c r="HNE7"/>
      <c r="HNF7"/>
      <c r="HNG7"/>
      <c r="HNH7"/>
      <c r="HNI7"/>
      <c r="HNJ7"/>
      <c r="HNK7"/>
      <c r="HNL7"/>
      <c r="HNM7"/>
      <c r="HNN7"/>
      <c r="HNO7"/>
      <c r="HNP7"/>
      <c r="HNQ7"/>
      <c r="HNR7"/>
      <c r="HNS7"/>
      <c r="HNT7"/>
      <c r="HNU7"/>
      <c r="HNV7"/>
      <c r="HNW7"/>
      <c r="HNX7"/>
      <c r="HNY7"/>
      <c r="HNZ7"/>
      <c r="HOA7"/>
      <c r="HOB7"/>
      <c r="HOC7"/>
      <c r="HOD7"/>
      <c r="HOE7"/>
      <c r="HOF7"/>
      <c r="HOG7"/>
      <c r="HOH7"/>
      <c r="HOI7"/>
      <c r="HOJ7"/>
      <c r="HOK7"/>
      <c r="HOL7"/>
      <c r="HOM7"/>
      <c r="HON7"/>
      <c r="HOO7"/>
      <c r="HOP7"/>
      <c r="HOQ7"/>
      <c r="HOR7"/>
      <c r="HOS7"/>
      <c r="HOT7"/>
      <c r="HOU7"/>
      <c r="HOV7"/>
      <c r="HOW7"/>
      <c r="HOX7"/>
      <c r="HOY7"/>
      <c r="HOZ7"/>
      <c r="HPA7"/>
      <c r="HPB7"/>
      <c r="HPC7"/>
      <c r="HPD7"/>
      <c r="HPE7"/>
      <c r="HPF7"/>
      <c r="HPG7"/>
      <c r="HPH7"/>
      <c r="HPI7"/>
      <c r="HPJ7"/>
      <c r="HPK7"/>
      <c r="HPL7"/>
      <c r="HPM7"/>
      <c r="HPN7"/>
      <c r="HPO7"/>
      <c r="HPP7"/>
      <c r="HPQ7"/>
      <c r="HPR7"/>
      <c r="HPS7"/>
      <c r="HPT7"/>
      <c r="HPU7"/>
      <c r="HPV7"/>
      <c r="HPW7"/>
      <c r="HPX7"/>
      <c r="HPY7"/>
      <c r="HPZ7"/>
      <c r="HQA7"/>
      <c r="HQB7"/>
      <c r="HQC7"/>
      <c r="HQD7"/>
      <c r="HQE7"/>
      <c r="HQF7"/>
      <c r="HQG7"/>
      <c r="HQH7"/>
      <c r="HQI7"/>
      <c r="HQJ7"/>
      <c r="HQK7"/>
      <c r="HQL7"/>
      <c r="HQM7"/>
      <c r="HQN7"/>
      <c r="HQO7"/>
      <c r="HQP7"/>
      <c r="HQQ7"/>
      <c r="HQR7"/>
      <c r="HQS7"/>
      <c r="HQT7"/>
      <c r="HQU7"/>
      <c r="HQV7"/>
      <c r="HQW7"/>
      <c r="HQX7"/>
      <c r="HQY7"/>
      <c r="HQZ7"/>
      <c r="HRA7"/>
      <c r="HRB7"/>
      <c r="HRC7"/>
      <c r="HRD7"/>
      <c r="HRE7"/>
      <c r="HRF7"/>
      <c r="HRG7"/>
      <c r="HRH7"/>
      <c r="HRI7"/>
      <c r="HRJ7"/>
      <c r="HRK7"/>
      <c r="HRL7"/>
      <c r="HRM7"/>
      <c r="HRN7"/>
      <c r="HRO7"/>
      <c r="HRP7"/>
      <c r="HRQ7"/>
      <c r="HRR7"/>
      <c r="HRS7"/>
      <c r="HRT7"/>
      <c r="HRU7"/>
      <c r="HRV7"/>
      <c r="HRW7"/>
      <c r="HRX7"/>
      <c r="HRY7"/>
      <c r="HRZ7"/>
      <c r="HSA7"/>
      <c r="HSB7"/>
      <c r="HSC7"/>
      <c r="HSD7"/>
      <c r="HSE7"/>
      <c r="HSF7"/>
      <c r="HSG7"/>
      <c r="HSH7"/>
      <c r="HSI7"/>
      <c r="HSJ7"/>
      <c r="HSK7"/>
      <c r="HSL7"/>
      <c r="HSM7"/>
      <c r="HSN7"/>
      <c r="HSO7"/>
      <c r="HSP7"/>
      <c r="HSQ7"/>
      <c r="HSR7"/>
      <c r="HSS7"/>
      <c r="HST7"/>
      <c r="HSU7"/>
      <c r="HSV7"/>
      <c r="HSW7"/>
      <c r="HSX7"/>
      <c r="HSY7"/>
      <c r="HSZ7"/>
      <c r="HTA7"/>
      <c r="HTB7"/>
      <c r="HTC7"/>
      <c r="HTD7"/>
      <c r="HTE7"/>
      <c r="HTF7"/>
      <c r="HTG7"/>
      <c r="HTH7"/>
      <c r="HTI7"/>
      <c r="HTJ7"/>
      <c r="HTK7"/>
      <c r="HTL7"/>
      <c r="HTM7"/>
      <c r="HTN7"/>
      <c r="HTO7"/>
      <c r="HTP7"/>
      <c r="HTQ7"/>
      <c r="HTR7"/>
      <c r="HTS7"/>
      <c r="HTT7"/>
      <c r="HTU7"/>
      <c r="HTV7"/>
      <c r="HTW7"/>
      <c r="HTX7"/>
      <c r="HTY7"/>
      <c r="HTZ7"/>
      <c r="HUA7"/>
      <c r="HUB7"/>
      <c r="HUC7"/>
      <c r="HUD7"/>
      <c r="HUE7"/>
      <c r="HUF7"/>
      <c r="HUG7"/>
      <c r="HUH7"/>
      <c r="HUI7"/>
      <c r="HUJ7"/>
      <c r="HUK7"/>
      <c r="HUL7"/>
      <c r="HUM7"/>
      <c r="HUN7"/>
      <c r="HUO7"/>
      <c r="HUP7"/>
      <c r="HUQ7"/>
      <c r="HUR7"/>
      <c r="HUS7"/>
      <c r="HUT7"/>
      <c r="HUU7"/>
      <c r="HUV7"/>
      <c r="HUW7"/>
      <c r="HUX7"/>
      <c r="HUY7"/>
      <c r="HUZ7"/>
      <c r="HVA7"/>
      <c r="HVB7"/>
      <c r="HVC7"/>
      <c r="HVD7"/>
      <c r="HVE7"/>
      <c r="HVF7"/>
      <c r="HVG7"/>
      <c r="HVH7"/>
      <c r="HVI7"/>
      <c r="HVJ7"/>
      <c r="HVK7"/>
      <c r="HVL7"/>
      <c r="HVM7"/>
      <c r="HVN7"/>
      <c r="HVO7"/>
      <c r="HVP7"/>
      <c r="HVQ7"/>
      <c r="HVR7"/>
      <c r="HVS7"/>
      <c r="HVT7"/>
      <c r="HVU7"/>
      <c r="HVV7"/>
      <c r="HVW7"/>
      <c r="HVX7"/>
      <c r="HVY7"/>
      <c r="HVZ7"/>
      <c r="HWA7"/>
      <c r="HWB7"/>
      <c r="HWC7"/>
      <c r="HWD7"/>
      <c r="HWE7"/>
      <c r="HWF7"/>
      <c r="HWG7"/>
      <c r="HWH7"/>
      <c r="HWI7"/>
      <c r="HWJ7"/>
      <c r="HWK7"/>
      <c r="HWL7"/>
      <c r="HWM7"/>
      <c r="HWN7"/>
      <c r="HWO7"/>
      <c r="HWP7"/>
      <c r="HWQ7"/>
      <c r="HWR7"/>
      <c r="HWS7"/>
      <c r="HWT7"/>
      <c r="HWU7"/>
      <c r="HWV7"/>
      <c r="HWW7"/>
      <c r="HWX7"/>
      <c r="HWY7"/>
      <c r="HWZ7"/>
      <c r="HXA7"/>
      <c r="HXB7"/>
      <c r="HXC7"/>
      <c r="HXD7"/>
      <c r="HXE7"/>
      <c r="HXF7"/>
      <c r="HXG7"/>
      <c r="HXH7"/>
      <c r="HXI7"/>
      <c r="HXJ7"/>
      <c r="HXK7"/>
      <c r="HXL7"/>
      <c r="HXM7"/>
      <c r="HXN7"/>
      <c r="HXO7"/>
      <c r="HXP7"/>
      <c r="HXQ7"/>
      <c r="HXR7"/>
      <c r="HXS7"/>
      <c r="HXT7"/>
      <c r="HXU7"/>
      <c r="HXV7"/>
      <c r="HXW7"/>
      <c r="HXX7"/>
      <c r="HXY7"/>
      <c r="HXZ7"/>
      <c r="HYA7"/>
      <c r="HYB7"/>
      <c r="HYC7"/>
      <c r="HYD7"/>
      <c r="HYE7"/>
      <c r="HYF7"/>
      <c r="HYG7"/>
      <c r="HYH7"/>
      <c r="HYI7"/>
      <c r="HYJ7"/>
      <c r="HYK7"/>
      <c r="HYL7"/>
      <c r="HYM7"/>
      <c r="HYN7"/>
      <c r="HYO7"/>
      <c r="HYP7"/>
      <c r="HYQ7"/>
      <c r="HYR7"/>
      <c r="HYS7"/>
      <c r="HYT7"/>
      <c r="HYU7"/>
      <c r="HYV7"/>
      <c r="HYW7"/>
      <c r="HYX7"/>
      <c r="HYY7"/>
      <c r="HYZ7"/>
      <c r="HZA7"/>
      <c r="HZB7"/>
      <c r="HZC7"/>
      <c r="HZD7"/>
      <c r="HZE7"/>
      <c r="HZF7"/>
      <c r="HZG7"/>
      <c r="HZH7"/>
      <c r="HZI7"/>
      <c r="HZJ7"/>
      <c r="HZK7"/>
      <c r="HZL7"/>
      <c r="HZM7"/>
      <c r="HZN7"/>
      <c r="HZO7"/>
      <c r="HZP7"/>
      <c r="HZQ7"/>
      <c r="HZR7"/>
      <c r="HZS7"/>
      <c r="HZT7"/>
      <c r="HZU7"/>
      <c r="HZV7"/>
      <c r="HZW7"/>
      <c r="HZX7"/>
      <c r="HZY7"/>
      <c r="HZZ7"/>
      <c r="IAA7"/>
      <c r="IAB7"/>
      <c r="IAC7"/>
      <c r="IAD7"/>
      <c r="IAE7"/>
      <c r="IAF7"/>
      <c r="IAG7"/>
      <c r="IAH7"/>
      <c r="IAI7"/>
      <c r="IAJ7"/>
      <c r="IAK7"/>
      <c r="IAL7"/>
      <c r="IAM7"/>
      <c r="IAN7"/>
      <c r="IAO7"/>
      <c r="IAP7"/>
      <c r="IAQ7"/>
      <c r="IAR7"/>
      <c r="IAS7"/>
      <c r="IAT7"/>
      <c r="IAU7"/>
      <c r="IAV7"/>
      <c r="IAW7"/>
      <c r="IAX7"/>
      <c r="IAY7"/>
      <c r="IAZ7"/>
      <c r="IBA7"/>
      <c r="IBB7"/>
      <c r="IBC7"/>
      <c r="IBD7"/>
      <c r="IBE7"/>
      <c r="IBF7"/>
      <c r="IBG7"/>
      <c r="IBH7"/>
      <c r="IBI7"/>
      <c r="IBJ7"/>
      <c r="IBK7"/>
      <c r="IBL7"/>
      <c r="IBM7"/>
      <c r="IBN7"/>
      <c r="IBO7"/>
      <c r="IBP7"/>
      <c r="IBQ7"/>
      <c r="IBR7"/>
      <c r="IBS7"/>
      <c r="IBT7"/>
      <c r="IBU7"/>
      <c r="IBV7"/>
      <c r="IBW7"/>
      <c r="IBX7"/>
      <c r="IBY7"/>
      <c r="IBZ7"/>
      <c r="ICA7"/>
      <c r="ICB7"/>
      <c r="ICC7"/>
      <c r="ICD7"/>
      <c r="ICE7"/>
      <c r="ICF7"/>
      <c r="ICG7"/>
      <c r="ICH7"/>
      <c r="ICI7"/>
      <c r="ICJ7"/>
      <c r="ICK7"/>
      <c r="ICL7"/>
      <c r="ICM7"/>
      <c r="ICN7"/>
      <c r="ICO7"/>
      <c r="ICP7"/>
      <c r="ICQ7"/>
      <c r="ICR7"/>
      <c r="ICS7"/>
      <c r="ICT7"/>
      <c r="ICU7"/>
      <c r="ICV7"/>
      <c r="ICW7"/>
      <c r="ICX7"/>
      <c r="ICY7"/>
      <c r="ICZ7"/>
      <c r="IDA7"/>
      <c r="IDB7"/>
      <c r="IDC7"/>
      <c r="IDD7"/>
      <c r="IDE7"/>
      <c r="IDF7"/>
      <c r="IDG7"/>
      <c r="IDH7"/>
      <c r="IDI7"/>
      <c r="IDJ7"/>
      <c r="IDK7"/>
      <c r="IDL7"/>
      <c r="IDM7"/>
      <c r="IDN7"/>
      <c r="IDO7"/>
      <c r="IDP7"/>
      <c r="IDQ7"/>
      <c r="IDR7"/>
      <c r="IDS7"/>
      <c r="IDT7"/>
      <c r="IDU7"/>
      <c r="IDV7"/>
      <c r="IDW7"/>
      <c r="IDX7"/>
      <c r="IDY7"/>
      <c r="IDZ7"/>
      <c r="IEA7"/>
      <c r="IEB7"/>
      <c r="IEC7"/>
      <c r="IED7"/>
      <c r="IEE7"/>
      <c r="IEF7"/>
      <c r="IEG7"/>
      <c r="IEH7"/>
      <c r="IEI7"/>
      <c r="IEJ7"/>
      <c r="IEK7"/>
      <c r="IEL7"/>
      <c r="IEM7"/>
      <c r="IEN7"/>
      <c r="IEO7"/>
      <c r="IEP7"/>
      <c r="IEQ7"/>
      <c r="IER7"/>
      <c r="IES7"/>
      <c r="IET7"/>
      <c r="IEU7"/>
      <c r="IEV7"/>
      <c r="IEW7"/>
      <c r="IEX7"/>
      <c r="IEY7"/>
      <c r="IEZ7"/>
      <c r="IFA7"/>
      <c r="IFB7"/>
      <c r="IFC7"/>
      <c r="IFD7"/>
      <c r="IFE7"/>
      <c r="IFF7"/>
      <c r="IFG7"/>
      <c r="IFH7"/>
      <c r="IFI7"/>
      <c r="IFJ7"/>
      <c r="IFK7"/>
      <c r="IFL7"/>
      <c r="IFM7"/>
      <c r="IFN7"/>
      <c r="IFO7"/>
      <c r="IFP7"/>
      <c r="IFQ7"/>
      <c r="IFR7"/>
      <c r="IFS7"/>
      <c r="IFT7"/>
      <c r="IFU7"/>
      <c r="IFV7"/>
      <c r="IFW7"/>
      <c r="IFX7"/>
      <c r="IFY7"/>
      <c r="IFZ7"/>
      <c r="IGA7"/>
      <c r="IGB7"/>
      <c r="IGC7"/>
      <c r="IGD7"/>
      <c r="IGE7"/>
      <c r="IGF7"/>
      <c r="IGG7"/>
      <c r="IGH7"/>
      <c r="IGI7"/>
      <c r="IGJ7"/>
      <c r="IGK7"/>
      <c r="IGL7"/>
      <c r="IGM7"/>
      <c r="IGN7"/>
      <c r="IGO7"/>
      <c r="IGP7"/>
      <c r="IGQ7"/>
      <c r="IGR7"/>
      <c r="IGS7"/>
      <c r="IGT7"/>
      <c r="IGU7"/>
      <c r="IGV7"/>
      <c r="IGW7"/>
      <c r="IGX7"/>
      <c r="IGY7"/>
      <c r="IGZ7"/>
      <c r="IHA7"/>
      <c r="IHB7"/>
      <c r="IHC7"/>
      <c r="IHD7"/>
      <c r="IHE7"/>
      <c r="IHF7"/>
      <c r="IHG7"/>
      <c r="IHH7"/>
      <c r="IHI7"/>
      <c r="IHJ7"/>
      <c r="IHK7"/>
      <c r="IHL7"/>
      <c r="IHM7"/>
      <c r="IHN7"/>
      <c r="IHO7"/>
      <c r="IHP7"/>
      <c r="IHQ7"/>
      <c r="IHR7"/>
      <c r="IHS7"/>
      <c r="IHT7"/>
      <c r="IHU7"/>
      <c r="IHV7"/>
      <c r="IHW7"/>
      <c r="IHX7"/>
      <c r="IHY7"/>
      <c r="IHZ7"/>
      <c r="IIA7"/>
      <c r="IIB7"/>
      <c r="IIC7"/>
      <c r="IID7"/>
      <c r="IIE7"/>
      <c r="IIF7"/>
      <c r="IIG7"/>
      <c r="IIH7"/>
      <c r="III7"/>
      <c r="IIJ7"/>
      <c r="IIK7"/>
      <c r="IIL7"/>
      <c r="IIM7"/>
      <c r="IIN7"/>
      <c r="IIO7"/>
      <c r="IIP7"/>
      <c r="IIQ7"/>
      <c r="IIR7"/>
      <c r="IIS7"/>
      <c r="IIT7"/>
      <c r="IIU7"/>
      <c r="IIV7"/>
      <c r="IIW7"/>
      <c r="IIX7"/>
      <c r="IIY7"/>
      <c r="IIZ7"/>
      <c r="IJA7"/>
      <c r="IJB7"/>
      <c r="IJC7"/>
      <c r="IJD7"/>
      <c r="IJE7"/>
      <c r="IJF7"/>
      <c r="IJG7"/>
      <c r="IJH7"/>
      <c r="IJI7"/>
      <c r="IJJ7"/>
      <c r="IJK7"/>
      <c r="IJL7"/>
      <c r="IJM7"/>
      <c r="IJN7"/>
      <c r="IJO7"/>
      <c r="IJP7"/>
      <c r="IJQ7"/>
      <c r="IJR7"/>
      <c r="IJS7"/>
      <c r="IJT7"/>
      <c r="IJU7"/>
      <c r="IJV7"/>
      <c r="IJW7"/>
      <c r="IJX7"/>
      <c r="IJY7"/>
      <c r="IJZ7"/>
      <c r="IKA7"/>
      <c r="IKB7"/>
      <c r="IKC7"/>
      <c r="IKD7"/>
      <c r="IKE7"/>
      <c r="IKF7"/>
      <c r="IKG7"/>
      <c r="IKH7"/>
      <c r="IKI7"/>
      <c r="IKJ7"/>
      <c r="IKK7"/>
      <c r="IKL7"/>
      <c r="IKM7"/>
      <c r="IKN7"/>
      <c r="IKO7"/>
      <c r="IKP7"/>
      <c r="IKQ7"/>
      <c r="IKR7"/>
      <c r="IKS7"/>
      <c r="IKT7"/>
      <c r="IKU7"/>
      <c r="IKV7"/>
      <c r="IKW7"/>
      <c r="IKX7"/>
      <c r="IKY7"/>
      <c r="IKZ7"/>
      <c r="ILA7"/>
      <c r="ILB7"/>
      <c r="ILC7"/>
      <c r="ILD7"/>
      <c r="ILE7"/>
      <c r="ILF7"/>
      <c r="ILG7"/>
      <c r="ILH7"/>
      <c r="ILI7"/>
      <c r="ILJ7"/>
      <c r="ILK7"/>
      <c r="ILL7"/>
      <c r="ILM7"/>
      <c r="ILN7"/>
      <c r="ILO7"/>
      <c r="ILP7"/>
      <c r="ILQ7"/>
      <c r="ILR7"/>
      <c r="ILS7"/>
      <c r="ILT7"/>
      <c r="ILU7"/>
      <c r="ILV7"/>
      <c r="ILW7"/>
      <c r="ILX7"/>
      <c r="ILY7"/>
      <c r="ILZ7"/>
      <c r="IMA7"/>
      <c r="IMB7"/>
      <c r="IMC7"/>
      <c r="IMD7"/>
      <c r="IME7"/>
      <c r="IMF7"/>
      <c r="IMG7"/>
      <c r="IMH7"/>
      <c r="IMI7"/>
      <c r="IMJ7"/>
      <c r="IMK7"/>
      <c r="IML7"/>
      <c r="IMM7"/>
      <c r="IMN7"/>
      <c r="IMO7"/>
      <c r="IMP7"/>
      <c r="IMQ7"/>
      <c r="IMR7"/>
      <c r="IMS7"/>
      <c r="IMT7"/>
      <c r="IMU7"/>
      <c r="IMV7"/>
      <c r="IMW7"/>
      <c r="IMX7"/>
      <c r="IMY7"/>
      <c r="IMZ7"/>
      <c r="INA7"/>
      <c r="INB7"/>
      <c r="INC7"/>
      <c r="IND7"/>
      <c r="INE7"/>
      <c r="INF7"/>
      <c r="ING7"/>
      <c r="INH7"/>
      <c r="INI7"/>
      <c r="INJ7"/>
      <c r="INK7"/>
      <c r="INL7"/>
      <c r="INM7"/>
      <c r="INN7"/>
      <c r="INO7"/>
      <c r="INP7"/>
      <c r="INQ7"/>
      <c r="INR7"/>
      <c r="INS7"/>
      <c r="INT7"/>
      <c r="INU7"/>
      <c r="INV7"/>
      <c r="INW7"/>
      <c r="INX7"/>
      <c r="INY7"/>
      <c r="INZ7"/>
      <c r="IOA7"/>
      <c r="IOB7"/>
      <c r="IOC7"/>
      <c r="IOD7"/>
      <c r="IOE7"/>
      <c r="IOF7"/>
      <c r="IOG7"/>
      <c r="IOH7"/>
      <c r="IOI7"/>
      <c r="IOJ7"/>
      <c r="IOK7"/>
      <c r="IOL7"/>
      <c r="IOM7"/>
      <c r="ION7"/>
      <c r="IOO7"/>
      <c r="IOP7"/>
      <c r="IOQ7"/>
      <c r="IOR7"/>
      <c r="IOS7"/>
      <c r="IOT7"/>
      <c r="IOU7"/>
      <c r="IOV7"/>
      <c r="IOW7"/>
      <c r="IOX7"/>
      <c r="IOY7"/>
      <c r="IOZ7"/>
      <c r="IPA7"/>
      <c r="IPB7"/>
      <c r="IPC7"/>
      <c r="IPD7"/>
      <c r="IPE7"/>
      <c r="IPF7"/>
      <c r="IPG7"/>
      <c r="IPH7"/>
      <c r="IPI7"/>
      <c r="IPJ7"/>
      <c r="IPK7"/>
      <c r="IPL7"/>
      <c r="IPM7"/>
      <c r="IPN7"/>
      <c r="IPO7"/>
      <c r="IPP7"/>
      <c r="IPQ7"/>
      <c r="IPR7"/>
      <c r="IPS7"/>
      <c r="IPT7"/>
      <c r="IPU7"/>
      <c r="IPV7"/>
      <c r="IPW7"/>
      <c r="IPX7"/>
      <c r="IPY7"/>
      <c r="IPZ7"/>
      <c r="IQA7"/>
      <c r="IQB7"/>
      <c r="IQC7"/>
      <c r="IQD7"/>
      <c r="IQE7"/>
      <c r="IQF7"/>
      <c r="IQG7"/>
      <c r="IQH7"/>
      <c r="IQI7"/>
      <c r="IQJ7"/>
      <c r="IQK7"/>
      <c r="IQL7"/>
      <c r="IQM7"/>
      <c r="IQN7"/>
      <c r="IQO7"/>
      <c r="IQP7"/>
      <c r="IQQ7"/>
      <c r="IQR7"/>
      <c r="IQS7"/>
      <c r="IQT7"/>
      <c r="IQU7"/>
      <c r="IQV7"/>
      <c r="IQW7"/>
      <c r="IQX7"/>
      <c r="IQY7"/>
      <c r="IQZ7"/>
      <c r="IRA7"/>
      <c r="IRB7"/>
      <c r="IRC7"/>
      <c r="IRD7"/>
      <c r="IRE7"/>
      <c r="IRF7"/>
      <c r="IRG7"/>
      <c r="IRH7"/>
      <c r="IRI7"/>
      <c r="IRJ7"/>
      <c r="IRK7"/>
      <c r="IRL7"/>
      <c r="IRM7"/>
      <c r="IRN7"/>
      <c r="IRO7"/>
      <c r="IRP7"/>
      <c r="IRQ7"/>
      <c r="IRR7"/>
      <c r="IRS7"/>
      <c r="IRT7"/>
      <c r="IRU7"/>
      <c r="IRV7"/>
      <c r="IRW7"/>
      <c r="IRX7"/>
      <c r="IRY7"/>
      <c r="IRZ7"/>
      <c r="ISA7"/>
      <c r="ISB7"/>
      <c r="ISC7"/>
      <c r="ISD7"/>
      <c r="ISE7"/>
      <c r="ISF7"/>
      <c r="ISG7"/>
      <c r="ISH7"/>
      <c r="ISI7"/>
      <c r="ISJ7"/>
      <c r="ISK7"/>
      <c r="ISL7"/>
      <c r="ISM7"/>
      <c r="ISN7"/>
      <c r="ISO7"/>
      <c r="ISP7"/>
      <c r="ISQ7"/>
      <c r="ISR7"/>
      <c r="ISS7"/>
      <c r="IST7"/>
      <c r="ISU7"/>
      <c r="ISV7"/>
      <c r="ISW7"/>
      <c r="ISX7"/>
      <c r="ISY7"/>
      <c r="ISZ7"/>
      <c r="ITA7"/>
      <c r="ITB7"/>
      <c r="ITC7"/>
      <c r="ITD7"/>
      <c r="ITE7"/>
      <c r="ITF7"/>
      <c r="ITG7"/>
      <c r="ITH7"/>
      <c r="ITI7"/>
      <c r="ITJ7"/>
      <c r="ITK7"/>
      <c r="ITL7"/>
      <c r="ITM7"/>
      <c r="ITN7"/>
      <c r="ITO7"/>
      <c r="ITP7"/>
      <c r="ITQ7"/>
      <c r="ITR7"/>
      <c r="ITS7"/>
      <c r="ITT7"/>
      <c r="ITU7"/>
      <c r="ITV7"/>
      <c r="ITW7"/>
      <c r="ITX7"/>
      <c r="ITY7"/>
      <c r="ITZ7"/>
      <c r="IUA7"/>
      <c r="IUB7"/>
      <c r="IUC7"/>
      <c r="IUD7"/>
      <c r="IUE7"/>
      <c r="IUF7"/>
      <c r="IUG7"/>
      <c r="IUH7"/>
      <c r="IUI7"/>
      <c r="IUJ7"/>
      <c r="IUK7"/>
      <c r="IUL7"/>
      <c r="IUM7"/>
      <c r="IUN7"/>
      <c r="IUO7"/>
      <c r="IUP7"/>
      <c r="IUQ7"/>
      <c r="IUR7"/>
      <c r="IUS7"/>
      <c r="IUT7"/>
      <c r="IUU7"/>
      <c r="IUV7"/>
      <c r="IUW7"/>
      <c r="IUX7"/>
      <c r="IUY7"/>
      <c r="IUZ7"/>
      <c r="IVA7"/>
      <c r="IVB7"/>
      <c r="IVC7"/>
      <c r="IVD7"/>
      <c r="IVE7"/>
      <c r="IVF7"/>
      <c r="IVG7"/>
      <c r="IVH7"/>
      <c r="IVI7"/>
      <c r="IVJ7"/>
      <c r="IVK7"/>
      <c r="IVL7"/>
      <c r="IVM7"/>
      <c r="IVN7"/>
      <c r="IVO7"/>
      <c r="IVP7"/>
      <c r="IVQ7"/>
      <c r="IVR7"/>
      <c r="IVS7"/>
      <c r="IVT7"/>
      <c r="IVU7"/>
      <c r="IVV7"/>
      <c r="IVW7"/>
      <c r="IVX7"/>
      <c r="IVY7"/>
      <c r="IVZ7"/>
      <c r="IWA7"/>
      <c r="IWB7"/>
      <c r="IWC7"/>
      <c r="IWD7"/>
      <c r="IWE7"/>
      <c r="IWF7"/>
      <c r="IWG7"/>
      <c r="IWH7"/>
      <c r="IWI7"/>
      <c r="IWJ7"/>
      <c r="IWK7"/>
      <c r="IWL7"/>
      <c r="IWM7"/>
      <c r="IWN7"/>
      <c r="IWO7"/>
      <c r="IWP7"/>
      <c r="IWQ7"/>
      <c r="IWR7"/>
      <c r="IWS7"/>
      <c r="IWT7"/>
      <c r="IWU7"/>
      <c r="IWV7"/>
      <c r="IWW7"/>
      <c r="IWX7"/>
      <c r="IWY7"/>
      <c r="IWZ7"/>
      <c r="IXA7"/>
      <c r="IXB7"/>
      <c r="IXC7"/>
      <c r="IXD7"/>
      <c r="IXE7"/>
      <c r="IXF7"/>
      <c r="IXG7"/>
      <c r="IXH7"/>
      <c r="IXI7"/>
      <c r="IXJ7"/>
      <c r="IXK7"/>
      <c r="IXL7"/>
      <c r="IXM7"/>
      <c r="IXN7"/>
      <c r="IXO7"/>
      <c r="IXP7"/>
      <c r="IXQ7"/>
      <c r="IXR7"/>
      <c r="IXS7"/>
      <c r="IXT7"/>
      <c r="IXU7"/>
      <c r="IXV7"/>
      <c r="IXW7"/>
      <c r="IXX7"/>
      <c r="IXY7"/>
      <c r="IXZ7"/>
      <c r="IYA7"/>
      <c r="IYB7"/>
      <c r="IYC7"/>
      <c r="IYD7"/>
      <c r="IYE7"/>
      <c r="IYF7"/>
      <c r="IYG7"/>
      <c r="IYH7"/>
      <c r="IYI7"/>
      <c r="IYJ7"/>
      <c r="IYK7"/>
      <c r="IYL7"/>
      <c r="IYM7"/>
      <c r="IYN7"/>
      <c r="IYO7"/>
      <c r="IYP7"/>
      <c r="IYQ7"/>
      <c r="IYR7"/>
      <c r="IYS7"/>
      <c r="IYT7"/>
      <c r="IYU7"/>
      <c r="IYV7"/>
      <c r="IYW7"/>
      <c r="IYX7"/>
      <c r="IYY7"/>
      <c r="IYZ7"/>
      <c r="IZA7"/>
      <c r="IZB7"/>
      <c r="IZC7"/>
      <c r="IZD7"/>
      <c r="IZE7"/>
      <c r="IZF7"/>
      <c r="IZG7"/>
      <c r="IZH7"/>
      <c r="IZI7"/>
      <c r="IZJ7"/>
      <c r="IZK7"/>
      <c r="IZL7"/>
      <c r="IZM7"/>
      <c r="IZN7"/>
      <c r="IZO7"/>
      <c r="IZP7"/>
      <c r="IZQ7"/>
      <c r="IZR7"/>
      <c r="IZS7"/>
      <c r="IZT7"/>
      <c r="IZU7"/>
      <c r="IZV7"/>
      <c r="IZW7"/>
      <c r="IZX7"/>
      <c r="IZY7"/>
      <c r="IZZ7"/>
      <c r="JAA7"/>
      <c r="JAB7"/>
      <c r="JAC7"/>
      <c r="JAD7"/>
      <c r="JAE7"/>
      <c r="JAF7"/>
      <c r="JAG7"/>
      <c r="JAH7"/>
      <c r="JAI7"/>
      <c r="JAJ7"/>
      <c r="JAK7"/>
      <c r="JAL7"/>
      <c r="JAM7"/>
      <c r="JAN7"/>
      <c r="JAO7"/>
      <c r="JAP7"/>
      <c r="JAQ7"/>
      <c r="JAR7"/>
      <c r="JAS7"/>
      <c r="JAT7"/>
      <c r="JAU7"/>
      <c r="JAV7"/>
      <c r="JAW7"/>
      <c r="JAX7"/>
      <c r="JAY7"/>
      <c r="JAZ7"/>
      <c r="JBA7"/>
      <c r="JBB7"/>
      <c r="JBC7"/>
      <c r="JBD7"/>
      <c r="JBE7"/>
      <c r="JBF7"/>
      <c r="JBG7"/>
      <c r="JBH7"/>
      <c r="JBI7"/>
      <c r="JBJ7"/>
      <c r="JBK7"/>
      <c r="JBL7"/>
      <c r="JBM7"/>
      <c r="JBN7"/>
      <c r="JBO7"/>
      <c r="JBP7"/>
      <c r="JBQ7"/>
      <c r="JBR7"/>
      <c r="JBS7"/>
      <c r="JBT7"/>
      <c r="JBU7"/>
      <c r="JBV7"/>
      <c r="JBW7"/>
      <c r="JBX7"/>
      <c r="JBY7"/>
      <c r="JBZ7"/>
      <c r="JCA7"/>
      <c r="JCB7"/>
      <c r="JCC7"/>
      <c r="JCD7"/>
      <c r="JCE7"/>
      <c r="JCF7"/>
      <c r="JCG7"/>
      <c r="JCH7"/>
      <c r="JCI7"/>
      <c r="JCJ7"/>
      <c r="JCK7"/>
      <c r="JCL7"/>
      <c r="JCM7"/>
      <c r="JCN7"/>
      <c r="JCO7"/>
      <c r="JCP7"/>
      <c r="JCQ7"/>
      <c r="JCR7"/>
      <c r="JCS7"/>
      <c r="JCT7"/>
      <c r="JCU7"/>
      <c r="JCV7"/>
      <c r="JCW7"/>
      <c r="JCX7"/>
      <c r="JCY7"/>
      <c r="JCZ7"/>
      <c r="JDA7"/>
      <c r="JDB7"/>
      <c r="JDC7"/>
      <c r="JDD7"/>
      <c r="JDE7"/>
      <c r="JDF7"/>
      <c r="JDG7"/>
      <c r="JDH7"/>
      <c r="JDI7"/>
      <c r="JDJ7"/>
      <c r="JDK7"/>
      <c r="JDL7"/>
      <c r="JDM7"/>
      <c r="JDN7"/>
      <c r="JDO7"/>
      <c r="JDP7"/>
      <c r="JDQ7"/>
      <c r="JDR7"/>
      <c r="JDS7"/>
      <c r="JDT7"/>
      <c r="JDU7"/>
      <c r="JDV7"/>
      <c r="JDW7"/>
      <c r="JDX7"/>
      <c r="JDY7"/>
      <c r="JDZ7"/>
      <c r="JEA7"/>
      <c r="JEB7"/>
      <c r="JEC7"/>
      <c r="JED7"/>
      <c r="JEE7"/>
      <c r="JEF7"/>
      <c r="JEG7"/>
      <c r="JEH7"/>
      <c r="JEI7"/>
      <c r="JEJ7"/>
      <c r="JEK7"/>
      <c r="JEL7"/>
      <c r="JEM7"/>
      <c r="JEN7"/>
      <c r="JEO7"/>
      <c r="JEP7"/>
      <c r="JEQ7"/>
      <c r="JER7"/>
      <c r="JES7"/>
      <c r="JET7"/>
      <c r="JEU7"/>
      <c r="JEV7"/>
      <c r="JEW7"/>
      <c r="JEX7"/>
      <c r="JEY7"/>
      <c r="JEZ7"/>
      <c r="JFA7"/>
      <c r="JFB7"/>
      <c r="JFC7"/>
      <c r="JFD7"/>
      <c r="JFE7"/>
      <c r="JFF7"/>
      <c r="JFG7"/>
      <c r="JFH7"/>
      <c r="JFI7"/>
      <c r="JFJ7"/>
      <c r="JFK7"/>
      <c r="JFL7"/>
      <c r="JFM7"/>
      <c r="JFN7"/>
      <c r="JFO7"/>
      <c r="JFP7"/>
      <c r="JFQ7"/>
      <c r="JFR7"/>
      <c r="JFS7"/>
      <c r="JFT7"/>
      <c r="JFU7"/>
      <c r="JFV7"/>
      <c r="JFW7"/>
      <c r="JFX7"/>
      <c r="JFY7"/>
      <c r="JFZ7"/>
      <c r="JGA7"/>
      <c r="JGB7"/>
      <c r="JGC7"/>
      <c r="JGD7"/>
      <c r="JGE7"/>
      <c r="JGF7"/>
      <c r="JGG7"/>
      <c r="JGH7"/>
      <c r="JGI7"/>
      <c r="JGJ7"/>
      <c r="JGK7"/>
      <c r="JGL7"/>
      <c r="JGM7"/>
      <c r="JGN7"/>
      <c r="JGO7"/>
      <c r="JGP7"/>
      <c r="JGQ7"/>
      <c r="JGR7"/>
      <c r="JGS7"/>
      <c r="JGT7"/>
      <c r="JGU7"/>
      <c r="JGV7"/>
      <c r="JGW7"/>
      <c r="JGX7"/>
      <c r="JGY7"/>
      <c r="JGZ7"/>
      <c r="JHA7"/>
      <c r="JHB7"/>
      <c r="JHC7"/>
      <c r="JHD7"/>
      <c r="JHE7"/>
      <c r="JHF7"/>
      <c r="JHG7"/>
      <c r="JHH7"/>
      <c r="JHI7"/>
      <c r="JHJ7"/>
      <c r="JHK7"/>
      <c r="JHL7"/>
      <c r="JHM7"/>
      <c r="JHN7"/>
      <c r="JHO7"/>
      <c r="JHP7"/>
      <c r="JHQ7"/>
      <c r="JHR7"/>
      <c r="JHS7"/>
      <c r="JHT7"/>
      <c r="JHU7"/>
      <c r="JHV7"/>
      <c r="JHW7"/>
      <c r="JHX7"/>
      <c r="JHY7"/>
      <c r="JHZ7"/>
      <c r="JIA7"/>
      <c r="JIB7"/>
      <c r="JIC7"/>
      <c r="JID7"/>
      <c r="JIE7"/>
      <c r="JIF7"/>
      <c r="JIG7"/>
      <c r="JIH7"/>
      <c r="JII7"/>
      <c r="JIJ7"/>
      <c r="JIK7"/>
      <c r="JIL7"/>
      <c r="JIM7"/>
      <c r="JIN7"/>
      <c r="JIO7"/>
      <c r="JIP7"/>
      <c r="JIQ7"/>
      <c r="JIR7"/>
      <c r="JIS7"/>
      <c r="JIT7"/>
      <c r="JIU7"/>
      <c r="JIV7"/>
      <c r="JIW7"/>
      <c r="JIX7"/>
      <c r="JIY7"/>
      <c r="JIZ7"/>
      <c r="JJA7"/>
      <c r="JJB7"/>
      <c r="JJC7"/>
      <c r="JJD7"/>
      <c r="JJE7"/>
      <c r="JJF7"/>
      <c r="JJG7"/>
      <c r="JJH7"/>
      <c r="JJI7"/>
      <c r="JJJ7"/>
      <c r="JJK7"/>
      <c r="JJL7"/>
      <c r="JJM7"/>
      <c r="JJN7"/>
      <c r="JJO7"/>
      <c r="JJP7"/>
      <c r="JJQ7"/>
      <c r="JJR7"/>
      <c r="JJS7"/>
      <c r="JJT7"/>
      <c r="JJU7"/>
      <c r="JJV7"/>
      <c r="JJW7"/>
      <c r="JJX7"/>
      <c r="JJY7"/>
      <c r="JJZ7"/>
      <c r="JKA7"/>
      <c r="JKB7"/>
      <c r="JKC7"/>
      <c r="JKD7"/>
      <c r="JKE7"/>
      <c r="JKF7"/>
      <c r="JKG7"/>
      <c r="JKH7"/>
      <c r="JKI7"/>
      <c r="JKJ7"/>
      <c r="JKK7"/>
      <c r="JKL7"/>
      <c r="JKM7"/>
      <c r="JKN7"/>
      <c r="JKO7"/>
      <c r="JKP7"/>
      <c r="JKQ7"/>
      <c r="JKR7"/>
      <c r="JKS7"/>
      <c r="JKT7"/>
      <c r="JKU7"/>
      <c r="JKV7"/>
      <c r="JKW7"/>
      <c r="JKX7"/>
      <c r="JKY7"/>
      <c r="JKZ7"/>
      <c r="JLA7"/>
      <c r="JLB7"/>
      <c r="JLC7"/>
      <c r="JLD7"/>
      <c r="JLE7"/>
      <c r="JLF7"/>
      <c r="JLG7"/>
      <c r="JLH7"/>
      <c r="JLI7"/>
      <c r="JLJ7"/>
      <c r="JLK7"/>
      <c r="JLL7"/>
      <c r="JLM7"/>
      <c r="JLN7"/>
      <c r="JLO7"/>
      <c r="JLP7"/>
      <c r="JLQ7"/>
      <c r="JLR7"/>
      <c r="JLS7"/>
      <c r="JLT7"/>
      <c r="JLU7"/>
      <c r="JLV7"/>
      <c r="JLW7"/>
      <c r="JLX7"/>
      <c r="JLY7"/>
      <c r="JLZ7"/>
      <c r="JMA7"/>
      <c r="JMB7"/>
      <c r="JMC7"/>
      <c r="JMD7"/>
      <c r="JME7"/>
      <c r="JMF7"/>
      <c r="JMG7"/>
      <c r="JMH7"/>
      <c r="JMI7"/>
      <c r="JMJ7"/>
      <c r="JMK7"/>
      <c r="JML7"/>
      <c r="JMM7"/>
      <c r="JMN7"/>
      <c r="JMO7"/>
      <c r="JMP7"/>
      <c r="JMQ7"/>
      <c r="JMR7"/>
      <c r="JMS7"/>
      <c r="JMT7"/>
      <c r="JMU7"/>
      <c r="JMV7"/>
      <c r="JMW7"/>
      <c r="JMX7"/>
      <c r="JMY7"/>
      <c r="JMZ7"/>
      <c r="JNA7"/>
      <c r="JNB7"/>
      <c r="JNC7"/>
      <c r="JND7"/>
      <c r="JNE7"/>
      <c r="JNF7"/>
      <c r="JNG7"/>
      <c r="JNH7"/>
      <c r="JNI7"/>
      <c r="JNJ7"/>
      <c r="JNK7"/>
      <c r="JNL7"/>
      <c r="JNM7"/>
      <c r="JNN7"/>
      <c r="JNO7"/>
      <c r="JNP7"/>
      <c r="JNQ7"/>
      <c r="JNR7"/>
      <c r="JNS7"/>
      <c r="JNT7"/>
      <c r="JNU7"/>
      <c r="JNV7"/>
      <c r="JNW7"/>
      <c r="JNX7"/>
      <c r="JNY7"/>
      <c r="JNZ7"/>
      <c r="JOA7"/>
      <c r="JOB7"/>
      <c r="JOC7"/>
      <c r="JOD7"/>
      <c r="JOE7"/>
      <c r="JOF7"/>
      <c r="JOG7"/>
      <c r="JOH7"/>
      <c r="JOI7"/>
      <c r="JOJ7"/>
      <c r="JOK7"/>
      <c r="JOL7"/>
      <c r="JOM7"/>
      <c r="JON7"/>
      <c r="JOO7"/>
      <c r="JOP7"/>
      <c r="JOQ7"/>
      <c r="JOR7"/>
      <c r="JOS7"/>
      <c r="JOT7"/>
      <c r="JOU7"/>
      <c r="JOV7"/>
      <c r="JOW7"/>
      <c r="JOX7"/>
      <c r="JOY7"/>
      <c r="JOZ7"/>
      <c r="JPA7"/>
      <c r="JPB7"/>
      <c r="JPC7"/>
      <c r="JPD7"/>
      <c r="JPE7"/>
      <c r="JPF7"/>
      <c r="JPG7"/>
      <c r="JPH7"/>
      <c r="JPI7"/>
      <c r="JPJ7"/>
      <c r="JPK7"/>
      <c r="JPL7"/>
      <c r="JPM7"/>
      <c r="JPN7"/>
      <c r="JPO7"/>
      <c r="JPP7"/>
      <c r="JPQ7"/>
      <c r="JPR7"/>
      <c r="JPS7"/>
      <c r="JPT7"/>
      <c r="JPU7"/>
      <c r="JPV7"/>
      <c r="JPW7"/>
      <c r="JPX7"/>
      <c r="JPY7"/>
      <c r="JPZ7"/>
      <c r="JQA7"/>
      <c r="JQB7"/>
      <c r="JQC7"/>
      <c r="JQD7"/>
      <c r="JQE7"/>
      <c r="JQF7"/>
      <c r="JQG7"/>
      <c r="JQH7"/>
      <c r="JQI7"/>
      <c r="JQJ7"/>
      <c r="JQK7"/>
      <c r="JQL7"/>
      <c r="JQM7"/>
      <c r="JQN7"/>
      <c r="JQO7"/>
      <c r="JQP7"/>
      <c r="JQQ7"/>
      <c r="JQR7"/>
      <c r="JQS7"/>
      <c r="JQT7"/>
      <c r="JQU7"/>
      <c r="JQV7"/>
      <c r="JQW7"/>
      <c r="JQX7"/>
      <c r="JQY7"/>
      <c r="JQZ7"/>
      <c r="JRA7"/>
      <c r="JRB7"/>
      <c r="JRC7"/>
      <c r="JRD7"/>
      <c r="JRE7"/>
      <c r="JRF7"/>
      <c r="JRG7"/>
      <c r="JRH7"/>
      <c r="JRI7"/>
      <c r="JRJ7"/>
      <c r="JRK7"/>
      <c r="JRL7"/>
      <c r="JRM7"/>
      <c r="JRN7"/>
      <c r="JRO7"/>
      <c r="JRP7"/>
      <c r="JRQ7"/>
      <c r="JRR7"/>
      <c r="JRS7"/>
      <c r="JRT7"/>
      <c r="JRU7"/>
      <c r="JRV7"/>
      <c r="JRW7"/>
      <c r="JRX7"/>
      <c r="JRY7"/>
      <c r="JRZ7"/>
      <c r="JSA7"/>
      <c r="JSB7"/>
      <c r="JSC7"/>
      <c r="JSD7"/>
      <c r="JSE7"/>
      <c r="JSF7"/>
      <c r="JSG7"/>
      <c r="JSH7"/>
      <c r="JSI7"/>
      <c r="JSJ7"/>
      <c r="JSK7"/>
      <c r="JSL7"/>
      <c r="JSM7"/>
      <c r="JSN7"/>
      <c r="JSO7"/>
      <c r="JSP7"/>
      <c r="JSQ7"/>
      <c r="JSR7"/>
      <c r="JSS7"/>
      <c r="JST7"/>
      <c r="JSU7"/>
      <c r="JSV7"/>
      <c r="JSW7"/>
      <c r="JSX7"/>
      <c r="JSY7"/>
      <c r="JSZ7"/>
      <c r="JTA7"/>
      <c r="JTB7"/>
      <c r="JTC7"/>
      <c r="JTD7"/>
      <c r="JTE7"/>
      <c r="JTF7"/>
      <c r="JTG7"/>
      <c r="JTH7"/>
      <c r="JTI7"/>
      <c r="JTJ7"/>
      <c r="JTK7"/>
      <c r="JTL7"/>
      <c r="JTM7"/>
      <c r="JTN7"/>
      <c r="JTO7"/>
      <c r="JTP7"/>
      <c r="JTQ7"/>
      <c r="JTR7"/>
      <c r="JTS7"/>
      <c r="JTT7"/>
      <c r="JTU7"/>
      <c r="JTV7"/>
      <c r="JTW7"/>
      <c r="JTX7"/>
      <c r="JTY7"/>
      <c r="JTZ7"/>
      <c r="JUA7"/>
      <c r="JUB7"/>
      <c r="JUC7"/>
      <c r="JUD7"/>
      <c r="JUE7"/>
      <c r="JUF7"/>
      <c r="JUG7"/>
      <c r="JUH7"/>
      <c r="JUI7"/>
      <c r="JUJ7"/>
      <c r="JUK7"/>
      <c r="JUL7"/>
      <c r="JUM7"/>
      <c r="JUN7"/>
      <c r="JUO7"/>
      <c r="JUP7"/>
      <c r="JUQ7"/>
      <c r="JUR7"/>
      <c r="JUS7"/>
      <c r="JUT7"/>
      <c r="JUU7"/>
      <c r="JUV7"/>
      <c r="JUW7"/>
      <c r="JUX7"/>
      <c r="JUY7"/>
      <c r="JUZ7"/>
      <c r="JVA7"/>
      <c r="JVB7"/>
      <c r="JVC7"/>
      <c r="JVD7"/>
      <c r="JVE7"/>
      <c r="JVF7"/>
      <c r="JVG7"/>
      <c r="JVH7"/>
      <c r="JVI7"/>
      <c r="JVJ7"/>
      <c r="JVK7"/>
      <c r="JVL7"/>
      <c r="JVM7"/>
      <c r="JVN7"/>
      <c r="JVO7"/>
      <c r="JVP7"/>
      <c r="JVQ7"/>
      <c r="JVR7"/>
      <c r="JVS7"/>
      <c r="JVT7"/>
      <c r="JVU7"/>
      <c r="JVV7"/>
      <c r="JVW7"/>
      <c r="JVX7"/>
      <c r="JVY7"/>
      <c r="JVZ7"/>
      <c r="JWA7"/>
      <c r="JWB7"/>
      <c r="JWC7"/>
      <c r="JWD7"/>
      <c r="JWE7"/>
      <c r="JWF7"/>
      <c r="JWG7"/>
      <c r="JWH7"/>
      <c r="JWI7"/>
      <c r="JWJ7"/>
      <c r="JWK7"/>
      <c r="JWL7"/>
      <c r="JWM7"/>
      <c r="JWN7"/>
      <c r="JWO7"/>
      <c r="JWP7"/>
      <c r="JWQ7"/>
      <c r="JWR7"/>
      <c r="JWS7"/>
      <c r="JWT7"/>
      <c r="JWU7"/>
      <c r="JWV7"/>
      <c r="JWW7"/>
      <c r="JWX7"/>
      <c r="JWY7"/>
      <c r="JWZ7"/>
      <c r="JXA7"/>
      <c r="JXB7"/>
      <c r="JXC7"/>
      <c r="JXD7"/>
      <c r="JXE7"/>
      <c r="JXF7"/>
      <c r="JXG7"/>
      <c r="JXH7"/>
      <c r="JXI7"/>
      <c r="JXJ7"/>
      <c r="JXK7"/>
      <c r="JXL7"/>
      <c r="JXM7"/>
      <c r="JXN7"/>
      <c r="JXO7"/>
      <c r="JXP7"/>
      <c r="JXQ7"/>
      <c r="JXR7"/>
      <c r="JXS7"/>
      <c r="JXT7"/>
      <c r="JXU7"/>
      <c r="JXV7"/>
      <c r="JXW7"/>
      <c r="JXX7"/>
      <c r="JXY7"/>
      <c r="JXZ7"/>
      <c r="JYA7"/>
      <c r="JYB7"/>
      <c r="JYC7"/>
      <c r="JYD7"/>
      <c r="JYE7"/>
      <c r="JYF7"/>
      <c r="JYG7"/>
      <c r="JYH7"/>
      <c r="JYI7"/>
      <c r="JYJ7"/>
      <c r="JYK7"/>
      <c r="JYL7"/>
      <c r="JYM7"/>
      <c r="JYN7"/>
      <c r="JYO7"/>
      <c r="JYP7"/>
      <c r="JYQ7"/>
      <c r="JYR7"/>
      <c r="JYS7"/>
      <c r="JYT7"/>
      <c r="JYU7"/>
      <c r="JYV7"/>
      <c r="JYW7"/>
      <c r="JYX7"/>
      <c r="JYY7"/>
      <c r="JYZ7"/>
      <c r="JZA7"/>
      <c r="JZB7"/>
      <c r="JZC7"/>
      <c r="JZD7"/>
      <c r="JZE7"/>
      <c r="JZF7"/>
      <c r="JZG7"/>
      <c r="JZH7"/>
      <c r="JZI7"/>
      <c r="JZJ7"/>
      <c r="JZK7"/>
      <c r="JZL7"/>
      <c r="JZM7"/>
      <c r="JZN7"/>
      <c r="JZO7"/>
      <c r="JZP7"/>
      <c r="JZQ7"/>
      <c r="JZR7"/>
      <c r="JZS7"/>
      <c r="JZT7"/>
      <c r="JZU7"/>
      <c r="JZV7"/>
      <c r="JZW7"/>
      <c r="JZX7"/>
      <c r="JZY7"/>
      <c r="JZZ7"/>
      <c r="KAA7"/>
      <c r="KAB7"/>
      <c r="KAC7"/>
      <c r="KAD7"/>
      <c r="KAE7"/>
      <c r="KAF7"/>
      <c r="KAG7"/>
      <c r="KAH7"/>
      <c r="KAI7"/>
      <c r="KAJ7"/>
      <c r="KAK7"/>
      <c r="KAL7"/>
      <c r="KAM7"/>
      <c r="KAN7"/>
      <c r="KAO7"/>
      <c r="KAP7"/>
      <c r="KAQ7"/>
      <c r="KAR7"/>
      <c r="KAS7"/>
      <c r="KAT7"/>
      <c r="KAU7"/>
      <c r="KAV7"/>
      <c r="KAW7"/>
      <c r="KAX7"/>
      <c r="KAY7"/>
      <c r="KAZ7"/>
      <c r="KBA7"/>
      <c r="KBB7"/>
      <c r="KBC7"/>
      <c r="KBD7"/>
      <c r="KBE7"/>
      <c r="KBF7"/>
      <c r="KBG7"/>
      <c r="KBH7"/>
      <c r="KBI7"/>
      <c r="KBJ7"/>
      <c r="KBK7"/>
      <c r="KBL7"/>
      <c r="KBM7"/>
      <c r="KBN7"/>
      <c r="KBO7"/>
      <c r="KBP7"/>
      <c r="KBQ7"/>
      <c r="KBR7"/>
      <c r="KBS7"/>
      <c r="KBT7"/>
      <c r="KBU7"/>
      <c r="KBV7"/>
      <c r="KBW7"/>
      <c r="KBX7"/>
      <c r="KBY7"/>
      <c r="KBZ7"/>
      <c r="KCA7"/>
      <c r="KCB7"/>
      <c r="KCC7"/>
      <c r="KCD7"/>
      <c r="KCE7"/>
      <c r="KCF7"/>
      <c r="KCG7"/>
      <c r="KCH7"/>
      <c r="KCI7"/>
      <c r="KCJ7"/>
      <c r="KCK7"/>
      <c r="KCL7"/>
      <c r="KCM7"/>
      <c r="KCN7"/>
      <c r="KCO7"/>
      <c r="KCP7"/>
      <c r="KCQ7"/>
      <c r="KCR7"/>
      <c r="KCS7"/>
      <c r="KCT7"/>
      <c r="KCU7"/>
      <c r="KCV7"/>
      <c r="KCW7"/>
      <c r="KCX7"/>
      <c r="KCY7"/>
      <c r="KCZ7"/>
      <c r="KDA7"/>
      <c r="KDB7"/>
      <c r="KDC7"/>
      <c r="KDD7"/>
      <c r="KDE7"/>
      <c r="KDF7"/>
      <c r="KDG7"/>
      <c r="KDH7"/>
      <c r="KDI7"/>
      <c r="KDJ7"/>
      <c r="KDK7"/>
      <c r="KDL7"/>
      <c r="KDM7"/>
      <c r="KDN7"/>
      <c r="KDO7"/>
      <c r="KDP7"/>
      <c r="KDQ7"/>
      <c r="KDR7"/>
      <c r="KDS7"/>
      <c r="KDT7"/>
      <c r="KDU7"/>
      <c r="KDV7"/>
      <c r="KDW7"/>
      <c r="KDX7"/>
      <c r="KDY7"/>
      <c r="KDZ7"/>
      <c r="KEA7"/>
      <c r="KEB7"/>
      <c r="KEC7"/>
      <c r="KED7"/>
      <c r="KEE7"/>
      <c r="KEF7"/>
      <c r="KEG7"/>
      <c r="KEH7"/>
      <c r="KEI7"/>
      <c r="KEJ7"/>
      <c r="KEK7"/>
      <c r="KEL7"/>
      <c r="KEM7"/>
      <c r="KEN7"/>
      <c r="KEO7"/>
      <c r="KEP7"/>
      <c r="KEQ7"/>
      <c r="KER7"/>
      <c r="KES7"/>
      <c r="KET7"/>
      <c r="KEU7"/>
      <c r="KEV7"/>
      <c r="KEW7"/>
      <c r="KEX7"/>
      <c r="KEY7"/>
      <c r="KEZ7"/>
      <c r="KFA7"/>
      <c r="KFB7"/>
      <c r="KFC7"/>
      <c r="KFD7"/>
      <c r="KFE7"/>
      <c r="KFF7"/>
      <c r="KFG7"/>
      <c r="KFH7"/>
      <c r="KFI7"/>
      <c r="KFJ7"/>
      <c r="KFK7"/>
      <c r="KFL7"/>
      <c r="KFM7"/>
      <c r="KFN7"/>
      <c r="KFO7"/>
      <c r="KFP7"/>
      <c r="KFQ7"/>
      <c r="KFR7"/>
      <c r="KFS7"/>
      <c r="KFT7"/>
      <c r="KFU7"/>
      <c r="KFV7"/>
      <c r="KFW7"/>
      <c r="KFX7"/>
      <c r="KFY7"/>
      <c r="KFZ7"/>
      <c r="KGA7"/>
      <c r="KGB7"/>
      <c r="KGC7"/>
      <c r="KGD7"/>
      <c r="KGE7"/>
      <c r="KGF7"/>
      <c r="KGG7"/>
      <c r="KGH7"/>
      <c r="KGI7"/>
      <c r="KGJ7"/>
      <c r="KGK7"/>
      <c r="KGL7"/>
      <c r="KGM7"/>
      <c r="KGN7"/>
      <c r="KGO7"/>
      <c r="KGP7"/>
      <c r="KGQ7"/>
      <c r="KGR7"/>
      <c r="KGS7"/>
      <c r="KGT7"/>
      <c r="KGU7"/>
      <c r="KGV7"/>
      <c r="KGW7"/>
      <c r="KGX7"/>
      <c r="KGY7"/>
      <c r="KGZ7"/>
      <c r="KHA7"/>
      <c r="KHB7"/>
      <c r="KHC7"/>
      <c r="KHD7"/>
      <c r="KHE7"/>
      <c r="KHF7"/>
      <c r="KHG7"/>
      <c r="KHH7"/>
      <c r="KHI7"/>
      <c r="KHJ7"/>
      <c r="KHK7"/>
      <c r="KHL7"/>
      <c r="KHM7"/>
      <c r="KHN7"/>
      <c r="KHO7"/>
      <c r="KHP7"/>
      <c r="KHQ7"/>
      <c r="KHR7"/>
      <c r="KHS7"/>
      <c r="KHT7"/>
      <c r="KHU7"/>
      <c r="KHV7"/>
      <c r="KHW7"/>
      <c r="KHX7"/>
      <c r="KHY7"/>
      <c r="KHZ7"/>
      <c r="KIA7"/>
      <c r="KIB7"/>
      <c r="KIC7"/>
      <c r="KID7"/>
      <c r="KIE7"/>
      <c r="KIF7"/>
      <c r="KIG7"/>
      <c r="KIH7"/>
      <c r="KII7"/>
      <c r="KIJ7"/>
      <c r="KIK7"/>
      <c r="KIL7"/>
      <c r="KIM7"/>
      <c r="KIN7"/>
      <c r="KIO7"/>
      <c r="KIP7"/>
      <c r="KIQ7"/>
      <c r="KIR7"/>
      <c r="KIS7"/>
      <c r="KIT7"/>
      <c r="KIU7"/>
      <c r="KIV7"/>
      <c r="KIW7"/>
      <c r="KIX7"/>
      <c r="KIY7"/>
      <c r="KIZ7"/>
      <c r="KJA7"/>
      <c r="KJB7"/>
      <c r="KJC7"/>
      <c r="KJD7"/>
      <c r="KJE7"/>
      <c r="KJF7"/>
      <c r="KJG7"/>
      <c r="KJH7"/>
      <c r="KJI7"/>
      <c r="KJJ7"/>
      <c r="KJK7"/>
      <c r="KJL7"/>
      <c r="KJM7"/>
      <c r="KJN7"/>
      <c r="KJO7"/>
      <c r="KJP7"/>
      <c r="KJQ7"/>
      <c r="KJR7"/>
      <c r="KJS7"/>
      <c r="KJT7"/>
      <c r="KJU7"/>
      <c r="KJV7"/>
      <c r="KJW7"/>
      <c r="KJX7"/>
      <c r="KJY7"/>
      <c r="KJZ7"/>
      <c r="KKA7"/>
      <c r="KKB7"/>
      <c r="KKC7"/>
      <c r="KKD7"/>
      <c r="KKE7"/>
      <c r="KKF7"/>
      <c r="KKG7"/>
      <c r="KKH7"/>
      <c r="KKI7"/>
      <c r="KKJ7"/>
      <c r="KKK7"/>
      <c r="KKL7"/>
      <c r="KKM7"/>
      <c r="KKN7"/>
      <c r="KKO7"/>
      <c r="KKP7"/>
      <c r="KKQ7"/>
      <c r="KKR7"/>
      <c r="KKS7"/>
      <c r="KKT7"/>
      <c r="KKU7"/>
      <c r="KKV7"/>
      <c r="KKW7"/>
      <c r="KKX7"/>
      <c r="KKY7"/>
      <c r="KKZ7"/>
      <c r="KLA7"/>
      <c r="KLB7"/>
      <c r="KLC7"/>
      <c r="KLD7"/>
      <c r="KLE7"/>
      <c r="KLF7"/>
      <c r="KLG7"/>
      <c r="KLH7"/>
      <c r="KLI7"/>
      <c r="KLJ7"/>
      <c r="KLK7"/>
      <c r="KLL7"/>
      <c r="KLM7"/>
      <c r="KLN7"/>
      <c r="KLO7"/>
      <c r="KLP7"/>
      <c r="KLQ7"/>
      <c r="KLR7"/>
      <c r="KLS7"/>
      <c r="KLT7"/>
      <c r="KLU7"/>
      <c r="KLV7"/>
      <c r="KLW7"/>
      <c r="KLX7"/>
      <c r="KLY7"/>
      <c r="KLZ7"/>
      <c r="KMA7"/>
      <c r="KMB7"/>
      <c r="KMC7"/>
      <c r="KMD7"/>
      <c r="KME7"/>
      <c r="KMF7"/>
      <c r="KMG7"/>
      <c r="KMH7"/>
      <c r="KMI7"/>
      <c r="KMJ7"/>
      <c r="KMK7"/>
      <c r="KML7"/>
      <c r="KMM7"/>
      <c r="KMN7"/>
      <c r="KMO7"/>
      <c r="KMP7"/>
      <c r="KMQ7"/>
      <c r="KMR7"/>
      <c r="KMS7"/>
      <c r="KMT7"/>
      <c r="KMU7"/>
      <c r="KMV7"/>
      <c r="KMW7"/>
      <c r="KMX7"/>
      <c r="KMY7"/>
      <c r="KMZ7"/>
      <c r="KNA7"/>
      <c r="KNB7"/>
      <c r="KNC7"/>
      <c r="KND7"/>
      <c r="KNE7"/>
      <c r="KNF7"/>
      <c r="KNG7"/>
      <c r="KNH7"/>
      <c r="KNI7"/>
      <c r="KNJ7"/>
      <c r="KNK7"/>
      <c r="KNL7"/>
      <c r="KNM7"/>
      <c r="KNN7"/>
      <c r="KNO7"/>
      <c r="KNP7"/>
      <c r="KNQ7"/>
      <c r="KNR7"/>
      <c r="KNS7"/>
      <c r="KNT7"/>
      <c r="KNU7"/>
      <c r="KNV7"/>
      <c r="KNW7"/>
      <c r="KNX7"/>
      <c r="KNY7"/>
      <c r="KNZ7"/>
      <c r="KOA7"/>
      <c r="KOB7"/>
      <c r="KOC7"/>
      <c r="KOD7"/>
      <c r="KOE7"/>
      <c r="KOF7"/>
      <c r="KOG7"/>
      <c r="KOH7"/>
      <c r="KOI7"/>
      <c r="KOJ7"/>
      <c r="KOK7"/>
      <c r="KOL7"/>
      <c r="KOM7"/>
      <c r="KON7"/>
      <c r="KOO7"/>
      <c r="KOP7"/>
      <c r="KOQ7"/>
      <c r="KOR7"/>
      <c r="KOS7"/>
      <c r="KOT7"/>
      <c r="KOU7"/>
      <c r="KOV7"/>
      <c r="KOW7"/>
      <c r="KOX7"/>
      <c r="KOY7"/>
      <c r="KOZ7"/>
      <c r="KPA7"/>
      <c r="KPB7"/>
      <c r="KPC7"/>
      <c r="KPD7"/>
      <c r="KPE7"/>
      <c r="KPF7"/>
      <c r="KPG7"/>
      <c r="KPH7"/>
      <c r="KPI7"/>
      <c r="KPJ7"/>
      <c r="KPK7"/>
      <c r="KPL7"/>
      <c r="KPM7"/>
      <c r="KPN7"/>
      <c r="KPO7"/>
      <c r="KPP7"/>
      <c r="KPQ7"/>
      <c r="KPR7"/>
      <c r="KPS7"/>
      <c r="KPT7"/>
      <c r="KPU7"/>
      <c r="KPV7"/>
      <c r="KPW7"/>
      <c r="KPX7"/>
      <c r="KPY7"/>
      <c r="KPZ7"/>
      <c r="KQA7"/>
      <c r="KQB7"/>
      <c r="KQC7"/>
      <c r="KQD7"/>
      <c r="KQE7"/>
      <c r="KQF7"/>
      <c r="KQG7"/>
      <c r="KQH7"/>
      <c r="KQI7"/>
      <c r="KQJ7"/>
      <c r="KQK7"/>
      <c r="KQL7"/>
      <c r="KQM7"/>
      <c r="KQN7"/>
      <c r="KQO7"/>
      <c r="KQP7"/>
      <c r="KQQ7"/>
      <c r="KQR7"/>
      <c r="KQS7"/>
      <c r="KQT7"/>
      <c r="KQU7"/>
      <c r="KQV7"/>
      <c r="KQW7"/>
      <c r="KQX7"/>
      <c r="KQY7"/>
      <c r="KQZ7"/>
      <c r="KRA7"/>
      <c r="KRB7"/>
      <c r="KRC7"/>
      <c r="KRD7"/>
      <c r="KRE7"/>
      <c r="KRF7"/>
      <c r="KRG7"/>
      <c r="KRH7"/>
      <c r="KRI7"/>
      <c r="KRJ7"/>
      <c r="KRK7"/>
      <c r="KRL7"/>
      <c r="KRM7"/>
      <c r="KRN7"/>
      <c r="KRO7"/>
      <c r="KRP7"/>
      <c r="KRQ7"/>
      <c r="KRR7"/>
      <c r="KRS7"/>
      <c r="KRT7"/>
      <c r="KRU7"/>
      <c r="KRV7"/>
      <c r="KRW7"/>
      <c r="KRX7"/>
      <c r="KRY7"/>
      <c r="KRZ7"/>
      <c r="KSA7"/>
      <c r="KSB7"/>
      <c r="KSC7"/>
      <c r="KSD7"/>
      <c r="KSE7"/>
      <c r="KSF7"/>
      <c r="KSG7"/>
      <c r="KSH7"/>
      <c r="KSI7"/>
      <c r="KSJ7"/>
      <c r="KSK7"/>
      <c r="KSL7"/>
      <c r="KSM7"/>
      <c r="KSN7"/>
      <c r="KSO7"/>
      <c r="KSP7"/>
      <c r="KSQ7"/>
      <c r="KSR7"/>
      <c r="KSS7"/>
      <c r="KST7"/>
      <c r="KSU7"/>
      <c r="KSV7"/>
      <c r="KSW7"/>
      <c r="KSX7"/>
      <c r="KSY7"/>
      <c r="KSZ7"/>
      <c r="KTA7"/>
      <c r="KTB7"/>
      <c r="KTC7"/>
      <c r="KTD7"/>
      <c r="KTE7"/>
      <c r="KTF7"/>
      <c r="KTG7"/>
      <c r="KTH7"/>
      <c r="KTI7"/>
      <c r="KTJ7"/>
      <c r="KTK7"/>
      <c r="KTL7"/>
      <c r="KTM7"/>
      <c r="KTN7"/>
      <c r="KTO7"/>
      <c r="KTP7"/>
      <c r="KTQ7"/>
      <c r="KTR7"/>
      <c r="KTS7"/>
      <c r="KTT7"/>
      <c r="KTU7"/>
      <c r="KTV7"/>
      <c r="KTW7"/>
      <c r="KTX7"/>
      <c r="KTY7"/>
      <c r="KTZ7"/>
      <c r="KUA7"/>
      <c r="KUB7"/>
      <c r="KUC7"/>
      <c r="KUD7"/>
      <c r="KUE7"/>
      <c r="KUF7"/>
      <c r="KUG7"/>
      <c r="KUH7"/>
      <c r="KUI7"/>
      <c r="KUJ7"/>
      <c r="KUK7"/>
      <c r="KUL7"/>
      <c r="KUM7"/>
      <c r="KUN7"/>
      <c r="KUO7"/>
      <c r="KUP7"/>
      <c r="KUQ7"/>
      <c r="KUR7"/>
      <c r="KUS7"/>
      <c r="KUT7"/>
      <c r="KUU7"/>
      <c r="KUV7"/>
      <c r="KUW7"/>
      <c r="KUX7"/>
      <c r="KUY7"/>
      <c r="KUZ7"/>
      <c r="KVA7"/>
      <c r="KVB7"/>
      <c r="KVC7"/>
      <c r="KVD7"/>
      <c r="KVE7"/>
      <c r="KVF7"/>
      <c r="KVG7"/>
      <c r="KVH7"/>
      <c r="KVI7"/>
      <c r="KVJ7"/>
      <c r="KVK7"/>
      <c r="KVL7"/>
      <c r="KVM7"/>
      <c r="KVN7"/>
      <c r="KVO7"/>
      <c r="KVP7"/>
      <c r="KVQ7"/>
      <c r="KVR7"/>
      <c r="KVS7"/>
      <c r="KVT7"/>
      <c r="KVU7"/>
      <c r="KVV7"/>
      <c r="KVW7"/>
      <c r="KVX7"/>
      <c r="KVY7"/>
      <c r="KVZ7"/>
      <c r="KWA7"/>
      <c r="KWB7"/>
      <c r="KWC7"/>
      <c r="KWD7"/>
      <c r="KWE7"/>
      <c r="KWF7"/>
      <c r="KWG7"/>
      <c r="KWH7"/>
      <c r="KWI7"/>
      <c r="KWJ7"/>
      <c r="KWK7"/>
      <c r="KWL7"/>
      <c r="KWM7"/>
      <c r="KWN7"/>
      <c r="KWO7"/>
      <c r="KWP7"/>
      <c r="KWQ7"/>
      <c r="KWR7"/>
      <c r="KWS7"/>
      <c r="KWT7"/>
      <c r="KWU7"/>
      <c r="KWV7"/>
      <c r="KWW7"/>
      <c r="KWX7"/>
      <c r="KWY7"/>
      <c r="KWZ7"/>
      <c r="KXA7"/>
      <c r="KXB7"/>
      <c r="KXC7"/>
      <c r="KXD7"/>
      <c r="KXE7"/>
      <c r="KXF7"/>
      <c r="KXG7"/>
      <c r="KXH7"/>
      <c r="KXI7"/>
      <c r="KXJ7"/>
      <c r="KXK7"/>
      <c r="KXL7"/>
      <c r="KXM7"/>
      <c r="KXN7"/>
      <c r="KXO7"/>
      <c r="KXP7"/>
      <c r="KXQ7"/>
      <c r="KXR7"/>
      <c r="KXS7"/>
      <c r="KXT7"/>
      <c r="KXU7"/>
      <c r="KXV7"/>
      <c r="KXW7"/>
      <c r="KXX7"/>
      <c r="KXY7"/>
      <c r="KXZ7"/>
      <c r="KYA7"/>
      <c r="KYB7"/>
      <c r="KYC7"/>
      <c r="KYD7"/>
      <c r="KYE7"/>
      <c r="KYF7"/>
      <c r="KYG7"/>
      <c r="KYH7"/>
      <c r="KYI7"/>
      <c r="KYJ7"/>
      <c r="KYK7"/>
      <c r="KYL7"/>
      <c r="KYM7"/>
      <c r="KYN7"/>
      <c r="KYO7"/>
      <c r="KYP7"/>
      <c r="KYQ7"/>
      <c r="KYR7"/>
      <c r="KYS7"/>
      <c r="KYT7"/>
      <c r="KYU7"/>
      <c r="KYV7"/>
      <c r="KYW7"/>
      <c r="KYX7"/>
      <c r="KYY7"/>
      <c r="KYZ7"/>
      <c r="KZA7"/>
      <c r="KZB7"/>
      <c r="KZC7"/>
      <c r="KZD7"/>
      <c r="KZE7"/>
      <c r="KZF7"/>
      <c r="KZG7"/>
      <c r="KZH7"/>
      <c r="KZI7"/>
      <c r="KZJ7"/>
      <c r="KZK7"/>
      <c r="KZL7"/>
      <c r="KZM7"/>
      <c r="KZN7"/>
      <c r="KZO7"/>
      <c r="KZP7"/>
      <c r="KZQ7"/>
      <c r="KZR7"/>
      <c r="KZS7"/>
      <c r="KZT7"/>
      <c r="KZU7"/>
      <c r="KZV7"/>
      <c r="KZW7"/>
      <c r="KZX7"/>
      <c r="KZY7"/>
      <c r="KZZ7"/>
      <c r="LAA7"/>
      <c r="LAB7"/>
      <c r="LAC7"/>
      <c r="LAD7"/>
      <c r="LAE7"/>
      <c r="LAF7"/>
      <c r="LAG7"/>
      <c r="LAH7"/>
      <c r="LAI7"/>
      <c r="LAJ7"/>
      <c r="LAK7"/>
      <c r="LAL7"/>
      <c r="LAM7"/>
      <c r="LAN7"/>
      <c r="LAO7"/>
      <c r="LAP7"/>
      <c r="LAQ7"/>
      <c r="LAR7"/>
      <c r="LAS7"/>
      <c r="LAT7"/>
      <c r="LAU7"/>
      <c r="LAV7"/>
      <c r="LAW7"/>
      <c r="LAX7"/>
      <c r="LAY7"/>
      <c r="LAZ7"/>
      <c r="LBA7"/>
      <c r="LBB7"/>
      <c r="LBC7"/>
      <c r="LBD7"/>
      <c r="LBE7"/>
      <c r="LBF7"/>
      <c r="LBG7"/>
      <c r="LBH7"/>
      <c r="LBI7"/>
      <c r="LBJ7"/>
      <c r="LBK7"/>
      <c r="LBL7"/>
      <c r="LBM7"/>
      <c r="LBN7"/>
      <c r="LBO7"/>
      <c r="LBP7"/>
      <c r="LBQ7"/>
      <c r="LBR7"/>
      <c r="LBS7"/>
      <c r="LBT7"/>
      <c r="LBU7"/>
      <c r="LBV7"/>
      <c r="LBW7"/>
      <c r="LBX7"/>
      <c r="LBY7"/>
      <c r="LBZ7"/>
      <c r="LCA7"/>
      <c r="LCB7"/>
      <c r="LCC7"/>
      <c r="LCD7"/>
      <c r="LCE7"/>
      <c r="LCF7"/>
      <c r="LCG7"/>
      <c r="LCH7"/>
      <c r="LCI7"/>
      <c r="LCJ7"/>
      <c r="LCK7"/>
      <c r="LCL7"/>
      <c r="LCM7"/>
      <c r="LCN7"/>
      <c r="LCO7"/>
      <c r="LCP7"/>
      <c r="LCQ7"/>
      <c r="LCR7"/>
      <c r="LCS7"/>
      <c r="LCT7"/>
      <c r="LCU7"/>
      <c r="LCV7"/>
      <c r="LCW7"/>
      <c r="LCX7"/>
      <c r="LCY7"/>
      <c r="LCZ7"/>
      <c r="LDA7"/>
      <c r="LDB7"/>
      <c r="LDC7"/>
      <c r="LDD7"/>
      <c r="LDE7"/>
      <c r="LDF7"/>
      <c r="LDG7"/>
      <c r="LDH7"/>
      <c r="LDI7"/>
      <c r="LDJ7"/>
      <c r="LDK7"/>
      <c r="LDL7"/>
      <c r="LDM7"/>
      <c r="LDN7"/>
      <c r="LDO7"/>
      <c r="LDP7"/>
      <c r="LDQ7"/>
      <c r="LDR7"/>
      <c r="LDS7"/>
      <c r="LDT7"/>
      <c r="LDU7"/>
      <c r="LDV7"/>
      <c r="LDW7"/>
      <c r="LDX7"/>
      <c r="LDY7"/>
      <c r="LDZ7"/>
      <c r="LEA7"/>
      <c r="LEB7"/>
      <c r="LEC7"/>
      <c r="LED7"/>
      <c r="LEE7"/>
      <c r="LEF7"/>
      <c r="LEG7"/>
      <c r="LEH7"/>
      <c r="LEI7"/>
      <c r="LEJ7"/>
      <c r="LEK7"/>
      <c r="LEL7"/>
      <c r="LEM7"/>
      <c r="LEN7"/>
      <c r="LEO7"/>
      <c r="LEP7"/>
      <c r="LEQ7"/>
      <c r="LER7"/>
      <c r="LES7"/>
      <c r="LET7"/>
      <c r="LEU7"/>
      <c r="LEV7"/>
      <c r="LEW7"/>
      <c r="LEX7"/>
      <c r="LEY7"/>
      <c r="LEZ7"/>
      <c r="LFA7"/>
      <c r="LFB7"/>
      <c r="LFC7"/>
      <c r="LFD7"/>
      <c r="LFE7"/>
      <c r="LFF7"/>
      <c r="LFG7"/>
      <c r="LFH7"/>
      <c r="LFI7"/>
      <c r="LFJ7"/>
      <c r="LFK7"/>
      <c r="LFL7"/>
      <c r="LFM7"/>
      <c r="LFN7"/>
      <c r="LFO7"/>
      <c r="LFP7"/>
      <c r="LFQ7"/>
      <c r="LFR7"/>
      <c r="LFS7"/>
      <c r="LFT7"/>
      <c r="LFU7"/>
      <c r="LFV7"/>
      <c r="LFW7"/>
      <c r="LFX7"/>
      <c r="LFY7"/>
      <c r="LFZ7"/>
      <c r="LGA7"/>
      <c r="LGB7"/>
      <c r="LGC7"/>
      <c r="LGD7"/>
      <c r="LGE7"/>
      <c r="LGF7"/>
      <c r="LGG7"/>
      <c r="LGH7"/>
      <c r="LGI7"/>
      <c r="LGJ7"/>
      <c r="LGK7"/>
      <c r="LGL7"/>
      <c r="LGM7"/>
      <c r="LGN7"/>
      <c r="LGO7"/>
      <c r="LGP7"/>
      <c r="LGQ7"/>
      <c r="LGR7"/>
      <c r="LGS7"/>
      <c r="LGT7"/>
      <c r="LGU7"/>
      <c r="LGV7"/>
      <c r="LGW7"/>
      <c r="LGX7"/>
      <c r="LGY7"/>
      <c r="LGZ7"/>
      <c r="LHA7"/>
      <c r="LHB7"/>
      <c r="LHC7"/>
      <c r="LHD7"/>
      <c r="LHE7"/>
      <c r="LHF7"/>
      <c r="LHG7"/>
      <c r="LHH7"/>
      <c r="LHI7"/>
      <c r="LHJ7"/>
      <c r="LHK7"/>
      <c r="LHL7"/>
      <c r="LHM7"/>
      <c r="LHN7"/>
      <c r="LHO7"/>
      <c r="LHP7"/>
      <c r="LHQ7"/>
      <c r="LHR7"/>
      <c r="LHS7"/>
      <c r="LHT7"/>
      <c r="LHU7"/>
      <c r="LHV7"/>
      <c r="LHW7"/>
      <c r="LHX7"/>
      <c r="LHY7"/>
      <c r="LHZ7"/>
      <c r="LIA7"/>
      <c r="LIB7"/>
      <c r="LIC7"/>
      <c r="LID7"/>
      <c r="LIE7"/>
      <c r="LIF7"/>
      <c r="LIG7"/>
      <c r="LIH7"/>
      <c r="LII7"/>
      <c r="LIJ7"/>
      <c r="LIK7"/>
      <c r="LIL7"/>
      <c r="LIM7"/>
      <c r="LIN7"/>
      <c r="LIO7"/>
      <c r="LIP7"/>
      <c r="LIQ7"/>
      <c r="LIR7"/>
      <c r="LIS7"/>
      <c r="LIT7"/>
      <c r="LIU7"/>
      <c r="LIV7"/>
      <c r="LIW7"/>
      <c r="LIX7"/>
      <c r="LIY7"/>
      <c r="LIZ7"/>
      <c r="LJA7"/>
      <c r="LJB7"/>
      <c r="LJC7"/>
      <c r="LJD7"/>
      <c r="LJE7"/>
      <c r="LJF7"/>
      <c r="LJG7"/>
      <c r="LJH7"/>
      <c r="LJI7"/>
      <c r="LJJ7"/>
      <c r="LJK7"/>
      <c r="LJL7"/>
      <c r="LJM7"/>
      <c r="LJN7"/>
      <c r="LJO7"/>
      <c r="LJP7"/>
      <c r="LJQ7"/>
      <c r="LJR7"/>
      <c r="LJS7"/>
      <c r="LJT7"/>
      <c r="LJU7"/>
      <c r="LJV7"/>
      <c r="LJW7"/>
      <c r="LJX7"/>
      <c r="LJY7"/>
      <c r="LJZ7"/>
      <c r="LKA7"/>
      <c r="LKB7"/>
      <c r="LKC7"/>
      <c r="LKD7"/>
      <c r="LKE7"/>
      <c r="LKF7"/>
      <c r="LKG7"/>
      <c r="LKH7"/>
      <c r="LKI7"/>
      <c r="LKJ7"/>
      <c r="LKK7"/>
      <c r="LKL7"/>
      <c r="LKM7"/>
      <c r="LKN7"/>
      <c r="LKO7"/>
      <c r="LKP7"/>
      <c r="LKQ7"/>
      <c r="LKR7"/>
      <c r="LKS7"/>
      <c r="LKT7"/>
      <c r="LKU7"/>
      <c r="LKV7"/>
      <c r="LKW7"/>
      <c r="LKX7"/>
      <c r="LKY7"/>
      <c r="LKZ7"/>
      <c r="LLA7"/>
      <c r="LLB7"/>
      <c r="LLC7"/>
      <c r="LLD7"/>
      <c r="LLE7"/>
      <c r="LLF7"/>
      <c r="LLG7"/>
      <c r="LLH7"/>
      <c r="LLI7"/>
      <c r="LLJ7"/>
      <c r="LLK7"/>
      <c r="LLL7"/>
      <c r="LLM7"/>
      <c r="LLN7"/>
      <c r="LLO7"/>
      <c r="LLP7"/>
      <c r="LLQ7"/>
      <c r="LLR7"/>
      <c r="LLS7"/>
      <c r="LLT7"/>
      <c r="LLU7"/>
      <c r="LLV7"/>
      <c r="LLW7"/>
      <c r="LLX7"/>
      <c r="LLY7"/>
      <c r="LLZ7"/>
      <c r="LMA7"/>
      <c r="LMB7"/>
      <c r="LMC7"/>
      <c r="LMD7"/>
      <c r="LME7"/>
      <c r="LMF7"/>
      <c r="LMG7"/>
      <c r="LMH7"/>
      <c r="LMI7"/>
      <c r="LMJ7"/>
      <c r="LMK7"/>
      <c r="LML7"/>
      <c r="LMM7"/>
      <c r="LMN7"/>
      <c r="LMO7"/>
      <c r="LMP7"/>
      <c r="LMQ7"/>
      <c r="LMR7"/>
      <c r="LMS7"/>
      <c r="LMT7"/>
      <c r="LMU7"/>
      <c r="LMV7"/>
      <c r="LMW7"/>
      <c r="LMX7"/>
      <c r="LMY7"/>
      <c r="LMZ7"/>
      <c r="LNA7"/>
      <c r="LNB7"/>
      <c r="LNC7"/>
      <c r="LND7"/>
      <c r="LNE7"/>
      <c r="LNF7"/>
      <c r="LNG7"/>
      <c r="LNH7"/>
      <c r="LNI7"/>
      <c r="LNJ7"/>
      <c r="LNK7"/>
      <c r="LNL7"/>
      <c r="LNM7"/>
      <c r="LNN7"/>
      <c r="LNO7"/>
      <c r="LNP7"/>
      <c r="LNQ7"/>
      <c r="LNR7"/>
      <c r="LNS7"/>
      <c r="LNT7"/>
      <c r="LNU7"/>
      <c r="LNV7"/>
      <c r="LNW7"/>
      <c r="LNX7"/>
      <c r="LNY7"/>
      <c r="LNZ7"/>
      <c r="LOA7"/>
      <c r="LOB7"/>
      <c r="LOC7"/>
      <c r="LOD7"/>
      <c r="LOE7"/>
      <c r="LOF7"/>
      <c r="LOG7"/>
      <c r="LOH7"/>
      <c r="LOI7"/>
      <c r="LOJ7"/>
      <c r="LOK7"/>
      <c r="LOL7"/>
      <c r="LOM7"/>
      <c r="LON7"/>
      <c r="LOO7"/>
      <c r="LOP7"/>
      <c r="LOQ7"/>
      <c r="LOR7"/>
      <c r="LOS7"/>
      <c r="LOT7"/>
      <c r="LOU7"/>
      <c r="LOV7"/>
      <c r="LOW7"/>
      <c r="LOX7"/>
      <c r="LOY7"/>
      <c r="LOZ7"/>
      <c r="LPA7"/>
      <c r="LPB7"/>
      <c r="LPC7"/>
      <c r="LPD7"/>
      <c r="LPE7"/>
      <c r="LPF7"/>
      <c r="LPG7"/>
      <c r="LPH7"/>
      <c r="LPI7"/>
      <c r="LPJ7"/>
      <c r="LPK7"/>
      <c r="LPL7"/>
      <c r="LPM7"/>
      <c r="LPN7"/>
      <c r="LPO7"/>
      <c r="LPP7"/>
      <c r="LPQ7"/>
      <c r="LPR7"/>
      <c r="LPS7"/>
      <c r="LPT7"/>
      <c r="LPU7"/>
      <c r="LPV7"/>
      <c r="LPW7"/>
      <c r="LPX7"/>
      <c r="LPY7"/>
      <c r="LPZ7"/>
      <c r="LQA7"/>
      <c r="LQB7"/>
      <c r="LQC7"/>
      <c r="LQD7"/>
      <c r="LQE7"/>
      <c r="LQF7"/>
      <c r="LQG7"/>
      <c r="LQH7"/>
      <c r="LQI7"/>
      <c r="LQJ7"/>
      <c r="LQK7"/>
      <c r="LQL7"/>
      <c r="LQM7"/>
      <c r="LQN7"/>
      <c r="LQO7"/>
      <c r="LQP7"/>
      <c r="LQQ7"/>
      <c r="LQR7"/>
      <c r="LQS7"/>
      <c r="LQT7"/>
      <c r="LQU7"/>
      <c r="LQV7"/>
      <c r="LQW7"/>
      <c r="LQX7"/>
      <c r="LQY7"/>
      <c r="LQZ7"/>
      <c r="LRA7"/>
      <c r="LRB7"/>
      <c r="LRC7"/>
      <c r="LRD7"/>
      <c r="LRE7"/>
      <c r="LRF7"/>
      <c r="LRG7"/>
      <c r="LRH7"/>
      <c r="LRI7"/>
      <c r="LRJ7"/>
      <c r="LRK7"/>
      <c r="LRL7"/>
      <c r="LRM7"/>
      <c r="LRN7"/>
      <c r="LRO7"/>
      <c r="LRP7"/>
      <c r="LRQ7"/>
      <c r="LRR7"/>
      <c r="LRS7"/>
      <c r="LRT7"/>
      <c r="LRU7"/>
      <c r="LRV7"/>
      <c r="LRW7"/>
      <c r="LRX7"/>
      <c r="LRY7"/>
      <c r="LRZ7"/>
      <c r="LSA7"/>
      <c r="LSB7"/>
      <c r="LSC7"/>
      <c r="LSD7"/>
      <c r="LSE7"/>
      <c r="LSF7"/>
      <c r="LSG7"/>
      <c r="LSH7"/>
      <c r="LSI7"/>
      <c r="LSJ7"/>
      <c r="LSK7"/>
      <c r="LSL7"/>
      <c r="LSM7"/>
      <c r="LSN7"/>
      <c r="LSO7"/>
      <c r="LSP7"/>
      <c r="LSQ7"/>
      <c r="LSR7"/>
      <c r="LSS7"/>
      <c r="LST7"/>
      <c r="LSU7"/>
      <c r="LSV7"/>
      <c r="LSW7"/>
      <c r="LSX7"/>
      <c r="LSY7"/>
      <c r="LSZ7"/>
      <c r="LTA7"/>
      <c r="LTB7"/>
      <c r="LTC7"/>
      <c r="LTD7"/>
      <c r="LTE7"/>
      <c r="LTF7"/>
      <c r="LTG7"/>
      <c r="LTH7"/>
      <c r="LTI7"/>
      <c r="LTJ7"/>
      <c r="LTK7"/>
      <c r="LTL7"/>
      <c r="LTM7"/>
      <c r="LTN7"/>
      <c r="LTO7"/>
      <c r="LTP7"/>
      <c r="LTQ7"/>
      <c r="LTR7"/>
      <c r="LTS7"/>
      <c r="LTT7"/>
      <c r="LTU7"/>
      <c r="LTV7"/>
      <c r="LTW7"/>
      <c r="LTX7"/>
      <c r="LTY7"/>
      <c r="LTZ7"/>
      <c r="LUA7"/>
      <c r="LUB7"/>
      <c r="LUC7"/>
      <c r="LUD7"/>
      <c r="LUE7"/>
      <c r="LUF7"/>
      <c r="LUG7"/>
      <c r="LUH7"/>
      <c r="LUI7"/>
      <c r="LUJ7"/>
      <c r="LUK7"/>
      <c r="LUL7"/>
      <c r="LUM7"/>
      <c r="LUN7"/>
      <c r="LUO7"/>
      <c r="LUP7"/>
      <c r="LUQ7"/>
      <c r="LUR7"/>
      <c r="LUS7"/>
      <c r="LUT7"/>
      <c r="LUU7"/>
      <c r="LUV7"/>
      <c r="LUW7"/>
      <c r="LUX7"/>
      <c r="LUY7"/>
      <c r="LUZ7"/>
      <c r="LVA7"/>
      <c r="LVB7"/>
      <c r="LVC7"/>
      <c r="LVD7"/>
      <c r="LVE7"/>
      <c r="LVF7"/>
      <c r="LVG7"/>
      <c r="LVH7"/>
      <c r="LVI7"/>
      <c r="LVJ7"/>
      <c r="LVK7"/>
      <c r="LVL7"/>
      <c r="LVM7"/>
      <c r="LVN7"/>
      <c r="LVO7"/>
      <c r="LVP7"/>
      <c r="LVQ7"/>
      <c r="LVR7"/>
      <c r="LVS7"/>
      <c r="LVT7"/>
      <c r="LVU7"/>
      <c r="LVV7"/>
      <c r="LVW7"/>
      <c r="LVX7"/>
      <c r="LVY7"/>
      <c r="LVZ7"/>
      <c r="LWA7"/>
      <c r="LWB7"/>
      <c r="LWC7"/>
      <c r="LWD7"/>
      <c r="LWE7"/>
      <c r="LWF7"/>
      <c r="LWG7"/>
      <c r="LWH7"/>
      <c r="LWI7"/>
      <c r="LWJ7"/>
      <c r="LWK7"/>
      <c r="LWL7"/>
      <c r="LWM7"/>
      <c r="LWN7"/>
      <c r="LWO7"/>
      <c r="LWP7"/>
      <c r="LWQ7"/>
      <c r="LWR7"/>
      <c r="LWS7"/>
      <c r="LWT7"/>
      <c r="LWU7"/>
      <c r="LWV7"/>
      <c r="LWW7"/>
      <c r="LWX7"/>
      <c r="LWY7"/>
      <c r="LWZ7"/>
      <c r="LXA7"/>
      <c r="LXB7"/>
      <c r="LXC7"/>
      <c r="LXD7"/>
      <c r="LXE7"/>
      <c r="LXF7"/>
      <c r="LXG7"/>
      <c r="LXH7"/>
      <c r="LXI7"/>
      <c r="LXJ7"/>
      <c r="LXK7"/>
      <c r="LXL7"/>
      <c r="LXM7"/>
      <c r="LXN7"/>
      <c r="LXO7"/>
      <c r="LXP7"/>
      <c r="LXQ7"/>
      <c r="LXR7"/>
      <c r="LXS7"/>
      <c r="LXT7"/>
      <c r="LXU7"/>
      <c r="LXV7"/>
      <c r="LXW7"/>
      <c r="LXX7"/>
      <c r="LXY7"/>
      <c r="LXZ7"/>
      <c r="LYA7"/>
      <c r="LYB7"/>
      <c r="LYC7"/>
      <c r="LYD7"/>
      <c r="LYE7"/>
      <c r="LYF7"/>
      <c r="LYG7"/>
      <c r="LYH7"/>
      <c r="LYI7"/>
      <c r="LYJ7"/>
      <c r="LYK7"/>
      <c r="LYL7"/>
      <c r="LYM7"/>
      <c r="LYN7"/>
      <c r="LYO7"/>
      <c r="LYP7"/>
      <c r="LYQ7"/>
      <c r="LYR7"/>
      <c r="LYS7"/>
      <c r="LYT7"/>
      <c r="LYU7"/>
      <c r="LYV7"/>
      <c r="LYW7"/>
      <c r="LYX7"/>
      <c r="LYY7"/>
      <c r="LYZ7"/>
      <c r="LZA7"/>
      <c r="LZB7"/>
      <c r="LZC7"/>
      <c r="LZD7"/>
      <c r="LZE7"/>
      <c r="LZF7"/>
      <c r="LZG7"/>
      <c r="LZH7"/>
      <c r="LZI7"/>
      <c r="LZJ7"/>
      <c r="LZK7"/>
      <c r="LZL7"/>
      <c r="LZM7"/>
      <c r="LZN7"/>
      <c r="LZO7"/>
      <c r="LZP7"/>
      <c r="LZQ7"/>
      <c r="LZR7"/>
      <c r="LZS7"/>
      <c r="LZT7"/>
      <c r="LZU7"/>
      <c r="LZV7"/>
      <c r="LZW7"/>
      <c r="LZX7"/>
      <c r="LZY7"/>
      <c r="LZZ7"/>
      <c r="MAA7"/>
      <c r="MAB7"/>
      <c r="MAC7"/>
      <c r="MAD7"/>
      <c r="MAE7"/>
      <c r="MAF7"/>
      <c r="MAG7"/>
      <c r="MAH7"/>
      <c r="MAI7"/>
      <c r="MAJ7"/>
      <c r="MAK7"/>
      <c r="MAL7"/>
      <c r="MAM7"/>
      <c r="MAN7"/>
      <c r="MAO7"/>
      <c r="MAP7"/>
      <c r="MAQ7"/>
      <c r="MAR7"/>
      <c r="MAS7"/>
      <c r="MAT7"/>
      <c r="MAU7"/>
      <c r="MAV7"/>
      <c r="MAW7"/>
      <c r="MAX7"/>
      <c r="MAY7"/>
      <c r="MAZ7"/>
      <c r="MBA7"/>
      <c r="MBB7"/>
      <c r="MBC7"/>
      <c r="MBD7"/>
      <c r="MBE7"/>
      <c r="MBF7"/>
      <c r="MBG7"/>
      <c r="MBH7"/>
      <c r="MBI7"/>
      <c r="MBJ7"/>
      <c r="MBK7"/>
      <c r="MBL7"/>
      <c r="MBM7"/>
      <c r="MBN7"/>
      <c r="MBO7"/>
      <c r="MBP7"/>
      <c r="MBQ7"/>
      <c r="MBR7"/>
      <c r="MBS7"/>
      <c r="MBT7"/>
      <c r="MBU7"/>
      <c r="MBV7"/>
      <c r="MBW7"/>
      <c r="MBX7"/>
      <c r="MBY7"/>
      <c r="MBZ7"/>
      <c r="MCA7"/>
      <c r="MCB7"/>
      <c r="MCC7"/>
      <c r="MCD7"/>
      <c r="MCE7"/>
      <c r="MCF7"/>
      <c r="MCG7"/>
      <c r="MCH7"/>
      <c r="MCI7"/>
      <c r="MCJ7"/>
      <c r="MCK7"/>
      <c r="MCL7"/>
      <c r="MCM7"/>
      <c r="MCN7"/>
      <c r="MCO7"/>
      <c r="MCP7"/>
      <c r="MCQ7"/>
      <c r="MCR7"/>
      <c r="MCS7"/>
      <c r="MCT7"/>
      <c r="MCU7"/>
      <c r="MCV7"/>
      <c r="MCW7"/>
      <c r="MCX7"/>
      <c r="MCY7"/>
      <c r="MCZ7"/>
      <c r="MDA7"/>
      <c r="MDB7"/>
      <c r="MDC7"/>
      <c r="MDD7"/>
      <c r="MDE7"/>
      <c r="MDF7"/>
      <c r="MDG7"/>
      <c r="MDH7"/>
      <c r="MDI7"/>
      <c r="MDJ7"/>
      <c r="MDK7"/>
      <c r="MDL7"/>
      <c r="MDM7"/>
      <c r="MDN7"/>
      <c r="MDO7"/>
      <c r="MDP7"/>
      <c r="MDQ7"/>
      <c r="MDR7"/>
      <c r="MDS7"/>
      <c r="MDT7"/>
      <c r="MDU7"/>
      <c r="MDV7"/>
      <c r="MDW7"/>
      <c r="MDX7"/>
      <c r="MDY7"/>
      <c r="MDZ7"/>
      <c r="MEA7"/>
      <c r="MEB7"/>
      <c r="MEC7"/>
      <c r="MED7"/>
      <c r="MEE7"/>
      <c r="MEF7"/>
      <c r="MEG7"/>
      <c r="MEH7"/>
      <c r="MEI7"/>
      <c r="MEJ7"/>
      <c r="MEK7"/>
      <c r="MEL7"/>
      <c r="MEM7"/>
      <c r="MEN7"/>
      <c r="MEO7"/>
      <c r="MEP7"/>
      <c r="MEQ7"/>
      <c r="MER7"/>
      <c r="MES7"/>
      <c r="MET7"/>
      <c r="MEU7"/>
      <c r="MEV7"/>
      <c r="MEW7"/>
      <c r="MEX7"/>
      <c r="MEY7"/>
      <c r="MEZ7"/>
      <c r="MFA7"/>
      <c r="MFB7"/>
      <c r="MFC7"/>
      <c r="MFD7"/>
      <c r="MFE7"/>
      <c r="MFF7"/>
      <c r="MFG7"/>
      <c r="MFH7"/>
      <c r="MFI7"/>
      <c r="MFJ7"/>
      <c r="MFK7"/>
      <c r="MFL7"/>
      <c r="MFM7"/>
      <c r="MFN7"/>
      <c r="MFO7"/>
      <c r="MFP7"/>
      <c r="MFQ7"/>
      <c r="MFR7"/>
      <c r="MFS7"/>
      <c r="MFT7"/>
      <c r="MFU7"/>
      <c r="MFV7"/>
      <c r="MFW7"/>
      <c r="MFX7"/>
      <c r="MFY7"/>
      <c r="MFZ7"/>
      <c r="MGA7"/>
      <c r="MGB7"/>
      <c r="MGC7"/>
      <c r="MGD7"/>
      <c r="MGE7"/>
      <c r="MGF7"/>
      <c r="MGG7"/>
      <c r="MGH7"/>
      <c r="MGI7"/>
      <c r="MGJ7"/>
      <c r="MGK7"/>
      <c r="MGL7"/>
      <c r="MGM7"/>
      <c r="MGN7"/>
      <c r="MGO7"/>
      <c r="MGP7"/>
      <c r="MGQ7"/>
      <c r="MGR7"/>
      <c r="MGS7"/>
      <c r="MGT7"/>
      <c r="MGU7"/>
      <c r="MGV7"/>
      <c r="MGW7"/>
      <c r="MGX7"/>
      <c r="MGY7"/>
      <c r="MGZ7"/>
      <c r="MHA7"/>
      <c r="MHB7"/>
      <c r="MHC7"/>
      <c r="MHD7"/>
      <c r="MHE7"/>
      <c r="MHF7"/>
      <c r="MHG7"/>
      <c r="MHH7"/>
      <c r="MHI7"/>
      <c r="MHJ7"/>
      <c r="MHK7"/>
      <c r="MHL7"/>
      <c r="MHM7"/>
      <c r="MHN7"/>
      <c r="MHO7"/>
      <c r="MHP7"/>
      <c r="MHQ7"/>
      <c r="MHR7"/>
      <c r="MHS7"/>
      <c r="MHT7"/>
      <c r="MHU7"/>
      <c r="MHV7"/>
      <c r="MHW7"/>
      <c r="MHX7"/>
      <c r="MHY7"/>
      <c r="MHZ7"/>
      <c r="MIA7"/>
      <c r="MIB7"/>
      <c r="MIC7"/>
      <c r="MID7"/>
      <c r="MIE7"/>
      <c r="MIF7"/>
      <c r="MIG7"/>
      <c r="MIH7"/>
      <c r="MII7"/>
      <c r="MIJ7"/>
      <c r="MIK7"/>
      <c r="MIL7"/>
      <c r="MIM7"/>
      <c r="MIN7"/>
      <c r="MIO7"/>
      <c r="MIP7"/>
      <c r="MIQ7"/>
      <c r="MIR7"/>
      <c r="MIS7"/>
      <c r="MIT7"/>
      <c r="MIU7"/>
      <c r="MIV7"/>
      <c r="MIW7"/>
      <c r="MIX7"/>
      <c r="MIY7"/>
      <c r="MIZ7"/>
      <c r="MJA7"/>
      <c r="MJB7"/>
      <c r="MJC7"/>
      <c r="MJD7"/>
      <c r="MJE7"/>
      <c r="MJF7"/>
      <c r="MJG7"/>
      <c r="MJH7"/>
      <c r="MJI7"/>
      <c r="MJJ7"/>
      <c r="MJK7"/>
      <c r="MJL7"/>
      <c r="MJM7"/>
      <c r="MJN7"/>
      <c r="MJO7"/>
      <c r="MJP7"/>
      <c r="MJQ7"/>
      <c r="MJR7"/>
      <c r="MJS7"/>
      <c r="MJT7"/>
      <c r="MJU7"/>
      <c r="MJV7"/>
      <c r="MJW7"/>
      <c r="MJX7"/>
      <c r="MJY7"/>
      <c r="MJZ7"/>
      <c r="MKA7"/>
      <c r="MKB7"/>
      <c r="MKC7"/>
      <c r="MKD7"/>
      <c r="MKE7"/>
      <c r="MKF7"/>
      <c r="MKG7"/>
      <c r="MKH7"/>
      <c r="MKI7"/>
      <c r="MKJ7"/>
      <c r="MKK7"/>
      <c r="MKL7"/>
      <c r="MKM7"/>
      <c r="MKN7"/>
      <c r="MKO7"/>
      <c r="MKP7"/>
      <c r="MKQ7"/>
      <c r="MKR7"/>
      <c r="MKS7"/>
      <c r="MKT7"/>
      <c r="MKU7"/>
      <c r="MKV7"/>
      <c r="MKW7"/>
      <c r="MKX7"/>
      <c r="MKY7"/>
      <c r="MKZ7"/>
      <c r="MLA7"/>
      <c r="MLB7"/>
      <c r="MLC7"/>
      <c r="MLD7"/>
      <c r="MLE7"/>
      <c r="MLF7"/>
      <c r="MLG7"/>
      <c r="MLH7"/>
      <c r="MLI7"/>
      <c r="MLJ7"/>
      <c r="MLK7"/>
      <c r="MLL7"/>
      <c r="MLM7"/>
      <c r="MLN7"/>
      <c r="MLO7"/>
      <c r="MLP7"/>
      <c r="MLQ7"/>
      <c r="MLR7"/>
      <c r="MLS7"/>
      <c r="MLT7"/>
      <c r="MLU7"/>
      <c r="MLV7"/>
      <c r="MLW7"/>
      <c r="MLX7"/>
      <c r="MLY7"/>
      <c r="MLZ7"/>
      <c r="MMA7"/>
      <c r="MMB7"/>
      <c r="MMC7"/>
      <c r="MMD7"/>
      <c r="MME7"/>
      <c r="MMF7"/>
      <c r="MMG7"/>
      <c r="MMH7"/>
      <c r="MMI7"/>
      <c r="MMJ7"/>
      <c r="MMK7"/>
      <c r="MML7"/>
      <c r="MMM7"/>
      <c r="MMN7"/>
      <c r="MMO7"/>
      <c r="MMP7"/>
      <c r="MMQ7"/>
      <c r="MMR7"/>
      <c r="MMS7"/>
      <c r="MMT7"/>
      <c r="MMU7"/>
      <c r="MMV7"/>
      <c r="MMW7"/>
      <c r="MMX7"/>
      <c r="MMY7"/>
      <c r="MMZ7"/>
      <c r="MNA7"/>
      <c r="MNB7"/>
      <c r="MNC7"/>
      <c r="MND7"/>
      <c r="MNE7"/>
      <c r="MNF7"/>
      <c r="MNG7"/>
      <c r="MNH7"/>
      <c r="MNI7"/>
      <c r="MNJ7"/>
      <c r="MNK7"/>
      <c r="MNL7"/>
      <c r="MNM7"/>
      <c r="MNN7"/>
      <c r="MNO7"/>
      <c r="MNP7"/>
      <c r="MNQ7"/>
      <c r="MNR7"/>
      <c r="MNS7"/>
      <c r="MNT7"/>
      <c r="MNU7"/>
      <c r="MNV7"/>
      <c r="MNW7"/>
      <c r="MNX7"/>
      <c r="MNY7"/>
      <c r="MNZ7"/>
      <c r="MOA7"/>
      <c r="MOB7"/>
      <c r="MOC7"/>
      <c r="MOD7"/>
      <c r="MOE7"/>
      <c r="MOF7"/>
      <c r="MOG7"/>
      <c r="MOH7"/>
      <c r="MOI7"/>
      <c r="MOJ7"/>
      <c r="MOK7"/>
      <c r="MOL7"/>
      <c r="MOM7"/>
      <c r="MON7"/>
      <c r="MOO7"/>
      <c r="MOP7"/>
      <c r="MOQ7"/>
      <c r="MOR7"/>
      <c r="MOS7"/>
      <c r="MOT7"/>
      <c r="MOU7"/>
      <c r="MOV7"/>
      <c r="MOW7"/>
      <c r="MOX7"/>
      <c r="MOY7"/>
      <c r="MOZ7"/>
      <c r="MPA7"/>
      <c r="MPB7"/>
      <c r="MPC7"/>
      <c r="MPD7"/>
      <c r="MPE7"/>
      <c r="MPF7"/>
      <c r="MPG7"/>
      <c r="MPH7"/>
      <c r="MPI7"/>
      <c r="MPJ7"/>
      <c r="MPK7"/>
      <c r="MPL7"/>
      <c r="MPM7"/>
      <c r="MPN7"/>
      <c r="MPO7"/>
      <c r="MPP7"/>
      <c r="MPQ7"/>
      <c r="MPR7"/>
      <c r="MPS7"/>
      <c r="MPT7"/>
      <c r="MPU7"/>
      <c r="MPV7"/>
      <c r="MPW7"/>
      <c r="MPX7"/>
      <c r="MPY7"/>
      <c r="MPZ7"/>
      <c r="MQA7"/>
      <c r="MQB7"/>
      <c r="MQC7"/>
      <c r="MQD7"/>
      <c r="MQE7"/>
      <c r="MQF7"/>
      <c r="MQG7"/>
      <c r="MQH7"/>
      <c r="MQI7"/>
      <c r="MQJ7"/>
      <c r="MQK7"/>
      <c r="MQL7"/>
      <c r="MQM7"/>
      <c r="MQN7"/>
      <c r="MQO7"/>
      <c r="MQP7"/>
      <c r="MQQ7"/>
      <c r="MQR7"/>
      <c r="MQS7"/>
      <c r="MQT7"/>
      <c r="MQU7"/>
      <c r="MQV7"/>
      <c r="MQW7"/>
      <c r="MQX7"/>
      <c r="MQY7"/>
      <c r="MQZ7"/>
      <c r="MRA7"/>
      <c r="MRB7"/>
      <c r="MRC7"/>
      <c r="MRD7"/>
      <c r="MRE7"/>
      <c r="MRF7"/>
      <c r="MRG7"/>
      <c r="MRH7"/>
      <c r="MRI7"/>
      <c r="MRJ7"/>
      <c r="MRK7"/>
      <c r="MRL7"/>
      <c r="MRM7"/>
      <c r="MRN7"/>
      <c r="MRO7"/>
      <c r="MRP7"/>
      <c r="MRQ7"/>
      <c r="MRR7"/>
      <c r="MRS7"/>
      <c r="MRT7"/>
      <c r="MRU7"/>
      <c r="MRV7"/>
      <c r="MRW7"/>
      <c r="MRX7"/>
      <c r="MRY7"/>
      <c r="MRZ7"/>
      <c r="MSA7"/>
      <c r="MSB7"/>
      <c r="MSC7"/>
      <c r="MSD7"/>
      <c r="MSE7"/>
      <c r="MSF7"/>
      <c r="MSG7"/>
      <c r="MSH7"/>
      <c r="MSI7"/>
      <c r="MSJ7"/>
      <c r="MSK7"/>
      <c r="MSL7"/>
      <c r="MSM7"/>
      <c r="MSN7"/>
      <c r="MSO7"/>
      <c r="MSP7"/>
      <c r="MSQ7"/>
      <c r="MSR7"/>
      <c r="MSS7"/>
      <c r="MST7"/>
      <c r="MSU7"/>
      <c r="MSV7"/>
      <c r="MSW7"/>
      <c r="MSX7"/>
      <c r="MSY7"/>
      <c r="MSZ7"/>
      <c r="MTA7"/>
      <c r="MTB7"/>
      <c r="MTC7"/>
      <c r="MTD7"/>
      <c r="MTE7"/>
      <c r="MTF7"/>
      <c r="MTG7"/>
      <c r="MTH7"/>
      <c r="MTI7"/>
      <c r="MTJ7"/>
      <c r="MTK7"/>
      <c r="MTL7"/>
      <c r="MTM7"/>
      <c r="MTN7"/>
      <c r="MTO7"/>
      <c r="MTP7"/>
      <c r="MTQ7"/>
      <c r="MTR7"/>
      <c r="MTS7"/>
      <c r="MTT7"/>
      <c r="MTU7"/>
      <c r="MTV7"/>
      <c r="MTW7"/>
      <c r="MTX7"/>
      <c r="MTY7"/>
      <c r="MTZ7"/>
      <c r="MUA7"/>
      <c r="MUB7"/>
      <c r="MUC7"/>
      <c r="MUD7"/>
      <c r="MUE7"/>
      <c r="MUF7"/>
      <c r="MUG7"/>
      <c r="MUH7"/>
      <c r="MUI7"/>
      <c r="MUJ7"/>
      <c r="MUK7"/>
      <c r="MUL7"/>
      <c r="MUM7"/>
      <c r="MUN7"/>
      <c r="MUO7"/>
      <c r="MUP7"/>
      <c r="MUQ7"/>
      <c r="MUR7"/>
      <c r="MUS7"/>
      <c r="MUT7"/>
      <c r="MUU7"/>
      <c r="MUV7"/>
      <c r="MUW7"/>
      <c r="MUX7"/>
      <c r="MUY7"/>
      <c r="MUZ7"/>
      <c r="MVA7"/>
      <c r="MVB7"/>
      <c r="MVC7"/>
      <c r="MVD7"/>
      <c r="MVE7"/>
      <c r="MVF7"/>
      <c r="MVG7"/>
      <c r="MVH7"/>
      <c r="MVI7"/>
      <c r="MVJ7"/>
      <c r="MVK7"/>
      <c r="MVL7"/>
      <c r="MVM7"/>
      <c r="MVN7"/>
      <c r="MVO7"/>
      <c r="MVP7"/>
      <c r="MVQ7"/>
      <c r="MVR7"/>
      <c r="MVS7"/>
      <c r="MVT7"/>
      <c r="MVU7"/>
      <c r="MVV7"/>
      <c r="MVW7"/>
      <c r="MVX7"/>
      <c r="MVY7"/>
      <c r="MVZ7"/>
      <c r="MWA7"/>
      <c r="MWB7"/>
      <c r="MWC7"/>
      <c r="MWD7"/>
      <c r="MWE7"/>
      <c r="MWF7"/>
      <c r="MWG7"/>
      <c r="MWH7"/>
      <c r="MWI7"/>
      <c r="MWJ7"/>
      <c r="MWK7"/>
      <c r="MWL7"/>
      <c r="MWM7"/>
      <c r="MWN7"/>
      <c r="MWO7"/>
      <c r="MWP7"/>
      <c r="MWQ7"/>
      <c r="MWR7"/>
      <c r="MWS7"/>
      <c r="MWT7"/>
      <c r="MWU7"/>
      <c r="MWV7"/>
      <c r="MWW7"/>
      <c r="MWX7"/>
      <c r="MWY7"/>
      <c r="MWZ7"/>
      <c r="MXA7"/>
      <c r="MXB7"/>
      <c r="MXC7"/>
      <c r="MXD7"/>
      <c r="MXE7"/>
      <c r="MXF7"/>
      <c r="MXG7"/>
      <c r="MXH7"/>
      <c r="MXI7"/>
      <c r="MXJ7"/>
      <c r="MXK7"/>
      <c r="MXL7"/>
      <c r="MXM7"/>
      <c r="MXN7"/>
      <c r="MXO7"/>
      <c r="MXP7"/>
      <c r="MXQ7"/>
      <c r="MXR7"/>
      <c r="MXS7"/>
      <c r="MXT7"/>
      <c r="MXU7"/>
      <c r="MXV7"/>
      <c r="MXW7"/>
      <c r="MXX7"/>
      <c r="MXY7"/>
      <c r="MXZ7"/>
      <c r="MYA7"/>
      <c r="MYB7"/>
      <c r="MYC7"/>
      <c r="MYD7"/>
      <c r="MYE7"/>
      <c r="MYF7"/>
      <c r="MYG7"/>
      <c r="MYH7"/>
      <c r="MYI7"/>
      <c r="MYJ7"/>
      <c r="MYK7"/>
      <c r="MYL7"/>
      <c r="MYM7"/>
      <c r="MYN7"/>
      <c r="MYO7"/>
      <c r="MYP7"/>
      <c r="MYQ7"/>
      <c r="MYR7"/>
      <c r="MYS7"/>
      <c r="MYT7"/>
      <c r="MYU7"/>
      <c r="MYV7"/>
      <c r="MYW7"/>
      <c r="MYX7"/>
      <c r="MYY7"/>
      <c r="MYZ7"/>
      <c r="MZA7"/>
      <c r="MZB7"/>
      <c r="MZC7"/>
      <c r="MZD7"/>
      <c r="MZE7"/>
      <c r="MZF7"/>
      <c r="MZG7"/>
      <c r="MZH7"/>
      <c r="MZI7"/>
      <c r="MZJ7"/>
      <c r="MZK7"/>
      <c r="MZL7"/>
      <c r="MZM7"/>
      <c r="MZN7"/>
      <c r="MZO7"/>
      <c r="MZP7"/>
      <c r="MZQ7"/>
      <c r="MZR7"/>
      <c r="MZS7"/>
      <c r="MZT7"/>
      <c r="MZU7"/>
      <c r="MZV7"/>
      <c r="MZW7"/>
      <c r="MZX7"/>
      <c r="MZY7"/>
      <c r="MZZ7"/>
      <c r="NAA7"/>
      <c r="NAB7"/>
      <c r="NAC7"/>
      <c r="NAD7"/>
      <c r="NAE7"/>
      <c r="NAF7"/>
      <c r="NAG7"/>
      <c r="NAH7"/>
      <c r="NAI7"/>
      <c r="NAJ7"/>
      <c r="NAK7"/>
      <c r="NAL7"/>
      <c r="NAM7"/>
      <c r="NAN7"/>
      <c r="NAO7"/>
      <c r="NAP7"/>
      <c r="NAQ7"/>
      <c r="NAR7"/>
      <c r="NAS7"/>
      <c r="NAT7"/>
      <c r="NAU7"/>
      <c r="NAV7"/>
      <c r="NAW7"/>
      <c r="NAX7"/>
      <c r="NAY7"/>
      <c r="NAZ7"/>
      <c r="NBA7"/>
      <c r="NBB7"/>
      <c r="NBC7"/>
      <c r="NBD7"/>
      <c r="NBE7"/>
      <c r="NBF7"/>
      <c r="NBG7"/>
      <c r="NBH7"/>
      <c r="NBI7"/>
      <c r="NBJ7"/>
      <c r="NBK7"/>
      <c r="NBL7"/>
      <c r="NBM7"/>
      <c r="NBN7"/>
      <c r="NBO7"/>
      <c r="NBP7"/>
      <c r="NBQ7"/>
      <c r="NBR7"/>
      <c r="NBS7"/>
      <c r="NBT7"/>
      <c r="NBU7"/>
      <c r="NBV7"/>
      <c r="NBW7"/>
      <c r="NBX7"/>
      <c r="NBY7"/>
      <c r="NBZ7"/>
      <c r="NCA7"/>
      <c r="NCB7"/>
      <c r="NCC7"/>
      <c r="NCD7"/>
      <c r="NCE7"/>
      <c r="NCF7"/>
      <c r="NCG7"/>
      <c r="NCH7"/>
      <c r="NCI7"/>
      <c r="NCJ7"/>
      <c r="NCK7"/>
      <c r="NCL7"/>
      <c r="NCM7"/>
      <c r="NCN7"/>
      <c r="NCO7"/>
      <c r="NCP7"/>
      <c r="NCQ7"/>
      <c r="NCR7"/>
      <c r="NCS7"/>
      <c r="NCT7"/>
      <c r="NCU7"/>
      <c r="NCV7"/>
      <c r="NCW7"/>
      <c r="NCX7"/>
      <c r="NCY7"/>
      <c r="NCZ7"/>
      <c r="NDA7"/>
      <c r="NDB7"/>
      <c r="NDC7"/>
      <c r="NDD7"/>
      <c r="NDE7"/>
      <c r="NDF7"/>
      <c r="NDG7"/>
      <c r="NDH7"/>
      <c r="NDI7"/>
      <c r="NDJ7"/>
      <c r="NDK7"/>
      <c r="NDL7"/>
      <c r="NDM7"/>
      <c r="NDN7"/>
      <c r="NDO7"/>
      <c r="NDP7"/>
      <c r="NDQ7"/>
      <c r="NDR7"/>
      <c r="NDS7"/>
      <c r="NDT7"/>
      <c r="NDU7"/>
      <c r="NDV7"/>
      <c r="NDW7"/>
      <c r="NDX7"/>
      <c r="NDY7"/>
      <c r="NDZ7"/>
      <c r="NEA7"/>
      <c r="NEB7"/>
      <c r="NEC7"/>
      <c r="NED7"/>
      <c r="NEE7"/>
      <c r="NEF7"/>
      <c r="NEG7"/>
      <c r="NEH7"/>
      <c r="NEI7"/>
      <c r="NEJ7"/>
      <c r="NEK7"/>
      <c r="NEL7"/>
      <c r="NEM7"/>
      <c r="NEN7"/>
      <c r="NEO7"/>
      <c r="NEP7"/>
      <c r="NEQ7"/>
      <c r="NER7"/>
      <c r="NES7"/>
      <c r="NET7"/>
      <c r="NEU7"/>
      <c r="NEV7"/>
      <c r="NEW7"/>
      <c r="NEX7"/>
      <c r="NEY7"/>
      <c r="NEZ7"/>
      <c r="NFA7"/>
      <c r="NFB7"/>
      <c r="NFC7"/>
      <c r="NFD7"/>
      <c r="NFE7"/>
      <c r="NFF7"/>
      <c r="NFG7"/>
      <c r="NFH7"/>
      <c r="NFI7"/>
      <c r="NFJ7"/>
      <c r="NFK7"/>
      <c r="NFL7"/>
      <c r="NFM7"/>
      <c r="NFN7"/>
      <c r="NFO7"/>
      <c r="NFP7"/>
      <c r="NFQ7"/>
      <c r="NFR7"/>
      <c r="NFS7"/>
      <c r="NFT7"/>
      <c r="NFU7"/>
      <c r="NFV7"/>
      <c r="NFW7"/>
      <c r="NFX7"/>
      <c r="NFY7"/>
      <c r="NFZ7"/>
      <c r="NGA7"/>
      <c r="NGB7"/>
      <c r="NGC7"/>
      <c r="NGD7"/>
      <c r="NGE7"/>
      <c r="NGF7"/>
      <c r="NGG7"/>
      <c r="NGH7"/>
      <c r="NGI7"/>
      <c r="NGJ7"/>
      <c r="NGK7"/>
      <c r="NGL7"/>
      <c r="NGM7"/>
      <c r="NGN7"/>
      <c r="NGO7"/>
      <c r="NGP7"/>
      <c r="NGQ7"/>
      <c r="NGR7"/>
      <c r="NGS7"/>
      <c r="NGT7"/>
      <c r="NGU7"/>
      <c r="NGV7"/>
      <c r="NGW7"/>
      <c r="NGX7"/>
      <c r="NGY7"/>
      <c r="NGZ7"/>
      <c r="NHA7"/>
      <c r="NHB7"/>
      <c r="NHC7"/>
      <c r="NHD7"/>
      <c r="NHE7"/>
      <c r="NHF7"/>
      <c r="NHG7"/>
      <c r="NHH7"/>
      <c r="NHI7"/>
      <c r="NHJ7"/>
      <c r="NHK7"/>
      <c r="NHL7"/>
      <c r="NHM7"/>
      <c r="NHN7"/>
      <c r="NHO7"/>
      <c r="NHP7"/>
      <c r="NHQ7"/>
      <c r="NHR7"/>
      <c r="NHS7"/>
      <c r="NHT7"/>
      <c r="NHU7"/>
      <c r="NHV7"/>
      <c r="NHW7"/>
      <c r="NHX7"/>
      <c r="NHY7"/>
      <c r="NHZ7"/>
      <c r="NIA7"/>
      <c r="NIB7"/>
      <c r="NIC7"/>
      <c r="NID7"/>
      <c r="NIE7"/>
      <c r="NIF7"/>
      <c r="NIG7"/>
      <c r="NIH7"/>
      <c r="NII7"/>
      <c r="NIJ7"/>
      <c r="NIK7"/>
      <c r="NIL7"/>
      <c r="NIM7"/>
      <c r="NIN7"/>
      <c r="NIO7"/>
      <c r="NIP7"/>
      <c r="NIQ7"/>
      <c r="NIR7"/>
      <c r="NIS7"/>
      <c r="NIT7"/>
      <c r="NIU7"/>
      <c r="NIV7"/>
      <c r="NIW7"/>
      <c r="NIX7"/>
      <c r="NIY7"/>
      <c r="NIZ7"/>
      <c r="NJA7"/>
      <c r="NJB7"/>
      <c r="NJC7"/>
      <c r="NJD7"/>
      <c r="NJE7"/>
      <c r="NJF7"/>
      <c r="NJG7"/>
      <c r="NJH7"/>
      <c r="NJI7"/>
      <c r="NJJ7"/>
      <c r="NJK7"/>
      <c r="NJL7"/>
      <c r="NJM7"/>
      <c r="NJN7"/>
      <c r="NJO7"/>
      <c r="NJP7"/>
      <c r="NJQ7"/>
      <c r="NJR7"/>
      <c r="NJS7"/>
      <c r="NJT7"/>
      <c r="NJU7"/>
      <c r="NJV7"/>
      <c r="NJW7"/>
      <c r="NJX7"/>
      <c r="NJY7"/>
      <c r="NJZ7"/>
      <c r="NKA7"/>
      <c r="NKB7"/>
      <c r="NKC7"/>
      <c r="NKD7"/>
      <c r="NKE7"/>
      <c r="NKF7"/>
      <c r="NKG7"/>
      <c r="NKH7"/>
      <c r="NKI7"/>
      <c r="NKJ7"/>
      <c r="NKK7"/>
      <c r="NKL7"/>
      <c r="NKM7"/>
      <c r="NKN7"/>
      <c r="NKO7"/>
      <c r="NKP7"/>
      <c r="NKQ7"/>
      <c r="NKR7"/>
      <c r="NKS7"/>
      <c r="NKT7"/>
      <c r="NKU7"/>
      <c r="NKV7"/>
      <c r="NKW7"/>
      <c r="NKX7"/>
      <c r="NKY7"/>
      <c r="NKZ7"/>
      <c r="NLA7"/>
      <c r="NLB7"/>
      <c r="NLC7"/>
      <c r="NLD7"/>
      <c r="NLE7"/>
      <c r="NLF7"/>
      <c r="NLG7"/>
      <c r="NLH7"/>
      <c r="NLI7"/>
      <c r="NLJ7"/>
      <c r="NLK7"/>
      <c r="NLL7"/>
      <c r="NLM7"/>
      <c r="NLN7"/>
      <c r="NLO7"/>
      <c r="NLP7"/>
      <c r="NLQ7"/>
      <c r="NLR7"/>
      <c r="NLS7"/>
      <c r="NLT7"/>
      <c r="NLU7"/>
      <c r="NLV7"/>
      <c r="NLW7"/>
      <c r="NLX7"/>
      <c r="NLY7"/>
      <c r="NLZ7"/>
      <c r="NMA7"/>
      <c r="NMB7"/>
      <c r="NMC7"/>
      <c r="NMD7"/>
      <c r="NME7"/>
      <c r="NMF7"/>
      <c r="NMG7"/>
      <c r="NMH7"/>
      <c r="NMI7"/>
      <c r="NMJ7"/>
      <c r="NMK7"/>
      <c r="NML7"/>
      <c r="NMM7"/>
      <c r="NMN7"/>
      <c r="NMO7"/>
      <c r="NMP7"/>
      <c r="NMQ7"/>
      <c r="NMR7"/>
      <c r="NMS7"/>
      <c r="NMT7"/>
      <c r="NMU7"/>
      <c r="NMV7"/>
      <c r="NMW7"/>
      <c r="NMX7"/>
      <c r="NMY7"/>
      <c r="NMZ7"/>
      <c r="NNA7"/>
      <c r="NNB7"/>
      <c r="NNC7"/>
      <c r="NND7"/>
      <c r="NNE7"/>
      <c r="NNF7"/>
      <c r="NNG7"/>
      <c r="NNH7"/>
      <c r="NNI7"/>
      <c r="NNJ7"/>
      <c r="NNK7"/>
      <c r="NNL7"/>
      <c r="NNM7"/>
      <c r="NNN7"/>
      <c r="NNO7"/>
      <c r="NNP7"/>
      <c r="NNQ7"/>
      <c r="NNR7"/>
      <c r="NNS7"/>
      <c r="NNT7"/>
      <c r="NNU7"/>
      <c r="NNV7"/>
      <c r="NNW7"/>
      <c r="NNX7"/>
      <c r="NNY7"/>
      <c r="NNZ7"/>
      <c r="NOA7"/>
      <c r="NOB7"/>
      <c r="NOC7"/>
      <c r="NOD7"/>
      <c r="NOE7"/>
      <c r="NOF7"/>
      <c r="NOG7"/>
      <c r="NOH7"/>
      <c r="NOI7"/>
      <c r="NOJ7"/>
      <c r="NOK7"/>
      <c r="NOL7"/>
      <c r="NOM7"/>
      <c r="NON7"/>
      <c r="NOO7"/>
      <c r="NOP7"/>
      <c r="NOQ7"/>
      <c r="NOR7"/>
      <c r="NOS7"/>
      <c r="NOT7"/>
      <c r="NOU7"/>
      <c r="NOV7"/>
      <c r="NOW7"/>
      <c r="NOX7"/>
      <c r="NOY7"/>
      <c r="NOZ7"/>
      <c r="NPA7"/>
      <c r="NPB7"/>
      <c r="NPC7"/>
      <c r="NPD7"/>
      <c r="NPE7"/>
      <c r="NPF7"/>
      <c r="NPG7"/>
      <c r="NPH7"/>
      <c r="NPI7"/>
      <c r="NPJ7"/>
      <c r="NPK7"/>
      <c r="NPL7"/>
      <c r="NPM7"/>
      <c r="NPN7"/>
      <c r="NPO7"/>
      <c r="NPP7"/>
      <c r="NPQ7"/>
      <c r="NPR7"/>
      <c r="NPS7"/>
      <c r="NPT7"/>
      <c r="NPU7"/>
      <c r="NPV7"/>
      <c r="NPW7"/>
      <c r="NPX7"/>
      <c r="NPY7"/>
      <c r="NPZ7"/>
      <c r="NQA7"/>
      <c r="NQB7"/>
      <c r="NQC7"/>
      <c r="NQD7"/>
      <c r="NQE7"/>
      <c r="NQF7"/>
      <c r="NQG7"/>
      <c r="NQH7"/>
      <c r="NQI7"/>
      <c r="NQJ7"/>
      <c r="NQK7"/>
      <c r="NQL7"/>
      <c r="NQM7"/>
      <c r="NQN7"/>
      <c r="NQO7"/>
      <c r="NQP7"/>
      <c r="NQQ7"/>
      <c r="NQR7"/>
      <c r="NQS7"/>
      <c r="NQT7"/>
      <c r="NQU7"/>
      <c r="NQV7"/>
      <c r="NQW7"/>
      <c r="NQX7"/>
      <c r="NQY7"/>
      <c r="NQZ7"/>
      <c r="NRA7"/>
      <c r="NRB7"/>
      <c r="NRC7"/>
      <c r="NRD7"/>
      <c r="NRE7"/>
      <c r="NRF7"/>
      <c r="NRG7"/>
      <c r="NRH7"/>
      <c r="NRI7"/>
      <c r="NRJ7"/>
      <c r="NRK7"/>
      <c r="NRL7"/>
      <c r="NRM7"/>
      <c r="NRN7"/>
      <c r="NRO7"/>
      <c r="NRP7"/>
      <c r="NRQ7"/>
      <c r="NRR7"/>
      <c r="NRS7"/>
      <c r="NRT7"/>
      <c r="NRU7"/>
      <c r="NRV7"/>
      <c r="NRW7"/>
      <c r="NRX7"/>
      <c r="NRY7"/>
      <c r="NRZ7"/>
      <c r="NSA7"/>
      <c r="NSB7"/>
      <c r="NSC7"/>
      <c r="NSD7"/>
      <c r="NSE7"/>
      <c r="NSF7"/>
      <c r="NSG7"/>
      <c r="NSH7"/>
      <c r="NSI7"/>
      <c r="NSJ7"/>
      <c r="NSK7"/>
      <c r="NSL7"/>
      <c r="NSM7"/>
      <c r="NSN7"/>
      <c r="NSO7"/>
      <c r="NSP7"/>
      <c r="NSQ7"/>
      <c r="NSR7"/>
      <c r="NSS7"/>
      <c r="NST7"/>
      <c r="NSU7"/>
      <c r="NSV7"/>
      <c r="NSW7"/>
      <c r="NSX7"/>
      <c r="NSY7"/>
      <c r="NSZ7"/>
      <c r="NTA7"/>
      <c r="NTB7"/>
      <c r="NTC7"/>
      <c r="NTD7"/>
      <c r="NTE7"/>
      <c r="NTF7"/>
      <c r="NTG7"/>
      <c r="NTH7"/>
      <c r="NTI7"/>
      <c r="NTJ7"/>
      <c r="NTK7"/>
      <c r="NTL7"/>
      <c r="NTM7"/>
      <c r="NTN7"/>
      <c r="NTO7"/>
      <c r="NTP7"/>
      <c r="NTQ7"/>
      <c r="NTR7"/>
      <c r="NTS7"/>
      <c r="NTT7"/>
      <c r="NTU7"/>
      <c r="NTV7"/>
      <c r="NTW7"/>
      <c r="NTX7"/>
      <c r="NTY7"/>
      <c r="NTZ7"/>
      <c r="NUA7"/>
      <c r="NUB7"/>
      <c r="NUC7"/>
      <c r="NUD7"/>
      <c r="NUE7"/>
      <c r="NUF7"/>
      <c r="NUG7"/>
      <c r="NUH7"/>
      <c r="NUI7"/>
      <c r="NUJ7"/>
      <c r="NUK7"/>
      <c r="NUL7"/>
      <c r="NUM7"/>
      <c r="NUN7"/>
      <c r="NUO7"/>
      <c r="NUP7"/>
      <c r="NUQ7"/>
      <c r="NUR7"/>
      <c r="NUS7"/>
      <c r="NUT7"/>
      <c r="NUU7"/>
      <c r="NUV7"/>
      <c r="NUW7"/>
      <c r="NUX7"/>
      <c r="NUY7"/>
      <c r="NUZ7"/>
      <c r="NVA7"/>
      <c r="NVB7"/>
      <c r="NVC7"/>
      <c r="NVD7"/>
      <c r="NVE7"/>
      <c r="NVF7"/>
      <c r="NVG7"/>
      <c r="NVH7"/>
      <c r="NVI7"/>
      <c r="NVJ7"/>
      <c r="NVK7"/>
      <c r="NVL7"/>
      <c r="NVM7"/>
      <c r="NVN7"/>
      <c r="NVO7"/>
      <c r="NVP7"/>
      <c r="NVQ7"/>
      <c r="NVR7"/>
      <c r="NVS7"/>
      <c r="NVT7"/>
      <c r="NVU7"/>
      <c r="NVV7"/>
      <c r="NVW7"/>
      <c r="NVX7"/>
      <c r="NVY7"/>
      <c r="NVZ7"/>
      <c r="NWA7"/>
      <c r="NWB7"/>
      <c r="NWC7"/>
      <c r="NWD7"/>
      <c r="NWE7"/>
      <c r="NWF7"/>
      <c r="NWG7"/>
      <c r="NWH7"/>
      <c r="NWI7"/>
      <c r="NWJ7"/>
      <c r="NWK7"/>
      <c r="NWL7"/>
      <c r="NWM7"/>
      <c r="NWN7"/>
      <c r="NWO7"/>
      <c r="NWP7"/>
      <c r="NWQ7"/>
      <c r="NWR7"/>
      <c r="NWS7"/>
      <c r="NWT7"/>
      <c r="NWU7"/>
      <c r="NWV7"/>
      <c r="NWW7"/>
      <c r="NWX7"/>
      <c r="NWY7"/>
      <c r="NWZ7"/>
      <c r="NXA7"/>
      <c r="NXB7"/>
      <c r="NXC7"/>
      <c r="NXD7"/>
      <c r="NXE7"/>
      <c r="NXF7"/>
      <c r="NXG7"/>
      <c r="NXH7"/>
      <c r="NXI7"/>
      <c r="NXJ7"/>
      <c r="NXK7"/>
      <c r="NXL7"/>
      <c r="NXM7"/>
      <c r="NXN7"/>
      <c r="NXO7"/>
      <c r="NXP7"/>
      <c r="NXQ7"/>
      <c r="NXR7"/>
      <c r="NXS7"/>
      <c r="NXT7"/>
      <c r="NXU7"/>
      <c r="NXV7"/>
      <c r="NXW7"/>
      <c r="NXX7"/>
      <c r="NXY7"/>
      <c r="NXZ7"/>
      <c r="NYA7"/>
      <c r="NYB7"/>
      <c r="NYC7"/>
      <c r="NYD7"/>
      <c r="NYE7"/>
      <c r="NYF7"/>
      <c r="NYG7"/>
      <c r="NYH7"/>
      <c r="NYI7"/>
      <c r="NYJ7"/>
      <c r="NYK7"/>
      <c r="NYL7"/>
      <c r="NYM7"/>
      <c r="NYN7"/>
      <c r="NYO7"/>
      <c r="NYP7"/>
      <c r="NYQ7"/>
      <c r="NYR7"/>
      <c r="NYS7"/>
      <c r="NYT7"/>
      <c r="NYU7"/>
      <c r="NYV7"/>
      <c r="NYW7"/>
      <c r="NYX7"/>
      <c r="NYY7"/>
      <c r="NYZ7"/>
      <c r="NZA7"/>
      <c r="NZB7"/>
      <c r="NZC7"/>
      <c r="NZD7"/>
      <c r="NZE7"/>
      <c r="NZF7"/>
      <c r="NZG7"/>
      <c r="NZH7"/>
      <c r="NZI7"/>
      <c r="NZJ7"/>
      <c r="NZK7"/>
      <c r="NZL7"/>
      <c r="NZM7"/>
      <c r="NZN7"/>
      <c r="NZO7"/>
      <c r="NZP7"/>
      <c r="NZQ7"/>
      <c r="NZR7"/>
      <c r="NZS7"/>
      <c r="NZT7"/>
      <c r="NZU7"/>
      <c r="NZV7"/>
      <c r="NZW7"/>
      <c r="NZX7"/>
      <c r="NZY7"/>
      <c r="NZZ7"/>
      <c r="OAA7"/>
      <c r="OAB7"/>
      <c r="OAC7"/>
      <c r="OAD7"/>
      <c r="OAE7"/>
      <c r="OAF7"/>
      <c r="OAG7"/>
      <c r="OAH7"/>
      <c r="OAI7"/>
      <c r="OAJ7"/>
      <c r="OAK7"/>
      <c r="OAL7"/>
      <c r="OAM7"/>
      <c r="OAN7"/>
      <c r="OAO7"/>
      <c r="OAP7"/>
      <c r="OAQ7"/>
      <c r="OAR7"/>
      <c r="OAS7"/>
      <c r="OAT7"/>
      <c r="OAU7"/>
      <c r="OAV7"/>
      <c r="OAW7"/>
      <c r="OAX7"/>
      <c r="OAY7"/>
      <c r="OAZ7"/>
      <c r="OBA7"/>
      <c r="OBB7"/>
      <c r="OBC7"/>
      <c r="OBD7"/>
      <c r="OBE7"/>
      <c r="OBF7"/>
      <c r="OBG7"/>
      <c r="OBH7"/>
      <c r="OBI7"/>
      <c r="OBJ7"/>
      <c r="OBK7"/>
      <c r="OBL7"/>
      <c r="OBM7"/>
      <c r="OBN7"/>
      <c r="OBO7"/>
      <c r="OBP7"/>
      <c r="OBQ7"/>
      <c r="OBR7"/>
      <c r="OBS7"/>
      <c r="OBT7"/>
      <c r="OBU7"/>
      <c r="OBV7"/>
      <c r="OBW7"/>
      <c r="OBX7"/>
      <c r="OBY7"/>
      <c r="OBZ7"/>
      <c r="OCA7"/>
      <c r="OCB7"/>
      <c r="OCC7"/>
      <c r="OCD7"/>
      <c r="OCE7"/>
      <c r="OCF7"/>
      <c r="OCG7"/>
      <c r="OCH7"/>
      <c r="OCI7"/>
      <c r="OCJ7"/>
      <c r="OCK7"/>
      <c r="OCL7"/>
      <c r="OCM7"/>
      <c r="OCN7"/>
      <c r="OCO7"/>
      <c r="OCP7"/>
      <c r="OCQ7"/>
      <c r="OCR7"/>
      <c r="OCS7"/>
      <c r="OCT7"/>
      <c r="OCU7"/>
      <c r="OCV7"/>
      <c r="OCW7"/>
      <c r="OCX7"/>
      <c r="OCY7"/>
      <c r="OCZ7"/>
      <c r="ODA7"/>
      <c r="ODB7"/>
      <c r="ODC7"/>
      <c r="ODD7"/>
      <c r="ODE7"/>
      <c r="ODF7"/>
      <c r="ODG7"/>
      <c r="ODH7"/>
      <c r="ODI7"/>
      <c r="ODJ7"/>
      <c r="ODK7"/>
      <c r="ODL7"/>
      <c r="ODM7"/>
      <c r="ODN7"/>
      <c r="ODO7"/>
      <c r="ODP7"/>
      <c r="ODQ7"/>
      <c r="ODR7"/>
      <c r="ODS7"/>
      <c r="ODT7"/>
      <c r="ODU7"/>
      <c r="ODV7"/>
      <c r="ODW7"/>
      <c r="ODX7"/>
      <c r="ODY7"/>
      <c r="ODZ7"/>
      <c r="OEA7"/>
      <c r="OEB7"/>
      <c r="OEC7"/>
      <c r="OED7"/>
      <c r="OEE7"/>
      <c r="OEF7"/>
      <c r="OEG7"/>
      <c r="OEH7"/>
      <c r="OEI7"/>
      <c r="OEJ7"/>
      <c r="OEK7"/>
      <c r="OEL7"/>
      <c r="OEM7"/>
      <c r="OEN7"/>
      <c r="OEO7"/>
      <c r="OEP7"/>
      <c r="OEQ7"/>
      <c r="OER7"/>
      <c r="OES7"/>
      <c r="OET7"/>
      <c r="OEU7"/>
      <c r="OEV7"/>
      <c r="OEW7"/>
      <c r="OEX7"/>
      <c r="OEY7"/>
      <c r="OEZ7"/>
      <c r="OFA7"/>
      <c r="OFB7"/>
      <c r="OFC7"/>
      <c r="OFD7"/>
      <c r="OFE7"/>
      <c r="OFF7"/>
      <c r="OFG7"/>
      <c r="OFH7"/>
      <c r="OFI7"/>
      <c r="OFJ7"/>
      <c r="OFK7"/>
      <c r="OFL7"/>
      <c r="OFM7"/>
      <c r="OFN7"/>
      <c r="OFO7"/>
      <c r="OFP7"/>
      <c r="OFQ7"/>
      <c r="OFR7"/>
      <c r="OFS7"/>
      <c r="OFT7"/>
      <c r="OFU7"/>
      <c r="OFV7"/>
      <c r="OFW7"/>
      <c r="OFX7"/>
      <c r="OFY7"/>
      <c r="OFZ7"/>
      <c r="OGA7"/>
      <c r="OGB7"/>
      <c r="OGC7"/>
      <c r="OGD7"/>
      <c r="OGE7"/>
      <c r="OGF7"/>
      <c r="OGG7"/>
      <c r="OGH7"/>
      <c r="OGI7"/>
      <c r="OGJ7"/>
      <c r="OGK7"/>
      <c r="OGL7"/>
      <c r="OGM7"/>
      <c r="OGN7"/>
      <c r="OGO7"/>
      <c r="OGP7"/>
      <c r="OGQ7"/>
      <c r="OGR7"/>
      <c r="OGS7"/>
      <c r="OGT7"/>
      <c r="OGU7"/>
      <c r="OGV7"/>
      <c r="OGW7"/>
      <c r="OGX7"/>
      <c r="OGY7"/>
      <c r="OGZ7"/>
      <c r="OHA7"/>
      <c r="OHB7"/>
      <c r="OHC7"/>
      <c r="OHD7"/>
      <c r="OHE7"/>
      <c r="OHF7"/>
      <c r="OHG7"/>
      <c r="OHH7"/>
      <c r="OHI7"/>
      <c r="OHJ7"/>
      <c r="OHK7"/>
      <c r="OHL7"/>
      <c r="OHM7"/>
      <c r="OHN7"/>
      <c r="OHO7"/>
      <c r="OHP7"/>
      <c r="OHQ7"/>
      <c r="OHR7"/>
      <c r="OHS7"/>
      <c r="OHT7"/>
      <c r="OHU7"/>
      <c r="OHV7"/>
      <c r="OHW7"/>
      <c r="OHX7"/>
      <c r="OHY7"/>
      <c r="OHZ7"/>
      <c r="OIA7"/>
      <c r="OIB7"/>
      <c r="OIC7"/>
      <c r="OID7"/>
      <c r="OIE7"/>
      <c r="OIF7"/>
      <c r="OIG7"/>
      <c r="OIH7"/>
      <c r="OII7"/>
      <c r="OIJ7"/>
      <c r="OIK7"/>
      <c r="OIL7"/>
      <c r="OIM7"/>
      <c r="OIN7"/>
      <c r="OIO7"/>
      <c r="OIP7"/>
      <c r="OIQ7"/>
      <c r="OIR7"/>
      <c r="OIS7"/>
      <c r="OIT7"/>
      <c r="OIU7"/>
      <c r="OIV7"/>
      <c r="OIW7"/>
      <c r="OIX7"/>
      <c r="OIY7"/>
      <c r="OIZ7"/>
      <c r="OJA7"/>
      <c r="OJB7"/>
      <c r="OJC7"/>
      <c r="OJD7"/>
      <c r="OJE7"/>
      <c r="OJF7"/>
      <c r="OJG7"/>
      <c r="OJH7"/>
      <c r="OJI7"/>
      <c r="OJJ7"/>
      <c r="OJK7"/>
      <c r="OJL7"/>
      <c r="OJM7"/>
      <c r="OJN7"/>
      <c r="OJO7"/>
      <c r="OJP7"/>
      <c r="OJQ7"/>
      <c r="OJR7"/>
      <c r="OJS7"/>
      <c r="OJT7"/>
      <c r="OJU7"/>
      <c r="OJV7"/>
      <c r="OJW7"/>
      <c r="OJX7"/>
      <c r="OJY7"/>
      <c r="OJZ7"/>
      <c r="OKA7"/>
      <c r="OKB7"/>
      <c r="OKC7"/>
      <c r="OKD7"/>
      <c r="OKE7"/>
      <c r="OKF7"/>
      <c r="OKG7"/>
      <c r="OKH7"/>
      <c r="OKI7"/>
      <c r="OKJ7"/>
      <c r="OKK7"/>
      <c r="OKL7"/>
      <c r="OKM7"/>
      <c r="OKN7"/>
      <c r="OKO7"/>
      <c r="OKP7"/>
      <c r="OKQ7"/>
      <c r="OKR7"/>
      <c r="OKS7"/>
      <c r="OKT7"/>
      <c r="OKU7"/>
      <c r="OKV7"/>
      <c r="OKW7"/>
      <c r="OKX7"/>
      <c r="OKY7"/>
      <c r="OKZ7"/>
      <c r="OLA7"/>
      <c r="OLB7"/>
      <c r="OLC7"/>
      <c r="OLD7"/>
      <c r="OLE7"/>
      <c r="OLF7"/>
      <c r="OLG7"/>
      <c r="OLH7"/>
      <c r="OLI7"/>
      <c r="OLJ7"/>
      <c r="OLK7"/>
      <c r="OLL7"/>
      <c r="OLM7"/>
      <c r="OLN7"/>
      <c r="OLO7"/>
      <c r="OLP7"/>
      <c r="OLQ7"/>
      <c r="OLR7"/>
      <c r="OLS7"/>
      <c r="OLT7"/>
      <c r="OLU7"/>
      <c r="OLV7"/>
      <c r="OLW7"/>
      <c r="OLX7"/>
      <c r="OLY7"/>
      <c r="OLZ7"/>
      <c r="OMA7"/>
      <c r="OMB7"/>
      <c r="OMC7"/>
      <c r="OMD7"/>
      <c r="OME7"/>
      <c r="OMF7"/>
      <c r="OMG7"/>
      <c r="OMH7"/>
      <c r="OMI7"/>
      <c r="OMJ7"/>
      <c r="OMK7"/>
      <c r="OML7"/>
      <c r="OMM7"/>
      <c r="OMN7"/>
      <c r="OMO7"/>
      <c r="OMP7"/>
      <c r="OMQ7"/>
      <c r="OMR7"/>
      <c r="OMS7"/>
      <c r="OMT7"/>
      <c r="OMU7"/>
      <c r="OMV7"/>
      <c r="OMW7"/>
      <c r="OMX7"/>
      <c r="OMY7"/>
      <c r="OMZ7"/>
      <c r="ONA7"/>
      <c r="ONB7"/>
      <c r="ONC7"/>
      <c r="OND7"/>
      <c r="ONE7"/>
      <c r="ONF7"/>
      <c r="ONG7"/>
      <c r="ONH7"/>
      <c r="ONI7"/>
      <c r="ONJ7"/>
      <c r="ONK7"/>
      <c r="ONL7"/>
      <c r="ONM7"/>
      <c r="ONN7"/>
      <c r="ONO7"/>
      <c r="ONP7"/>
      <c r="ONQ7"/>
      <c r="ONR7"/>
      <c r="ONS7"/>
      <c r="ONT7"/>
      <c r="ONU7"/>
      <c r="ONV7"/>
      <c r="ONW7"/>
      <c r="ONX7"/>
      <c r="ONY7"/>
      <c r="ONZ7"/>
      <c r="OOA7"/>
      <c r="OOB7"/>
      <c r="OOC7"/>
      <c r="OOD7"/>
      <c r="OOE7"/>
      <c r="OOF7"/>
      <c r="OOG7"/>
      <c r="OOH7"/>
      <c r="OOI7"/>
      <c r="OOJ7"/>
      <c r="OOK7"/>
      <c r="OOL7"/>
      <c r="OOM7"/>
      <c r="OON7"/>
      <c r="OOO7"/>
      <c r="OOP7"/>
      <c r="OOQ7"/>
      <c r="OOR7"/>
      <c r="OOS7"/>
      <c r="OOT7"/>
      <c r="OOU7"/>
      <c r="OOV7"/>
      <c r="OOW7"/>
      <c r="OOX7"/>
      <c r="OOY7"/>
      <c r="OOZ7"/>
      <c r="OPA7"/>
      <c r="OPB7"/>
      <c r="OPC7"/>
      <c r="OPD7"/>
      <c r="OPE7"/>
      <c r="OPF7"/>
      <c r="OPG7"/>
      <c r="OPH7"/>
      <c r="OPI7"/>
      <c r="OPJ7"/>
      <c r="OPK7"/>
      <c r="OPL7"/>
      <c r="OPM7"/>
      <c r="OPN7"/>
      <c r="OPO7"/>
      <c r="OPP7"/>
      <c r="OPQ7"/>
      <c r="OPR7"/>
      <c r="OPS7"/>
      <c r="OPT7"/>
      <c r="OPU7"/>
      <c r="OPV7"/>
      <c r="OPW7"/>
      <c r="OPX7"/>
      <c r="OPY7"/>
      <c r="OPZ7"/>
      <c r="OQA7"/>
      <c r="OQB7"/>
      <c r="OQC7"/>
      <c r="OQD7"/>
      <c r="OQE7"/>
      <c r="OQF7"/>
      <c r="OQG7"/>
      <c r="OQH7"/>
      <c r="OQI7"/>
      <c r="OQJ7"/>
      <c r="OQK7"/>
      <c r="OQL7"/>
      <c r="OQM7"/>
      <c r="OQN7"/>
      <c r="OQO7"/>
      <c r="OQP7"/>
      <c r="OQQ7"/>
      <c r="OQR7"/>
      <c r="OQS7"/>
      <c r="OQT7"/>
      <c r="OQU7"/>
      <c r="OQV7"/>
      <c r="OQW7"/>
      <c r="OQX7"/>
      <c r="OQY7"/>
      <c r="OQZ7"/>
      <c r="ORA7"/>
      <c r="ORB7"/>
      <c r="ORC7"/>
      <c r="ORD7"/>
      <c r="ORE7"/>
      <c r="ORF7"/>
      <c r="ORG7"/>
      <c r="ORH7"/>
      <c r="ORI7"/>
      <c r="ORJ7"/>
      <c r="ORK7"/>
      <c r="ORL7"/>
      <c r="ORM7"/>
      <c r="ORN7"/>
      <c r="ORO7"/>
      <c r="ORP7"/>
      <c r="ORQ7"/>
      <c r="ORR7"/>
      <c r="ORS7"/>
      <c r="ORT7"/>
      <c r="ORU7"/>
      <c r="ORV7"/>
      <c r="ORW7"/>
      <c r="ORX7"/>
      <c r="ORY7"/>
      <c r="ORZ7"/>
      <c r="OSA7"/>
      <c r="OSB7"/>
      <c r="OSC7"/>
      <c r="OSD7"/>
      <c r="OSE7"/>
      <c r="OSF7"/>
      <c r="OSG7"/>
      <c r="OSH7"/>
      <c r="OSI7"/>
      <c r="OSJ7"/>
      <c r="OSK7"/>
      <c r="OSL7"/>
      <c r="OSM7"/>
      <c r="OSN7"/>
      <c r="OSO7"/>
      <c r="OSP7"/>
      <c r="OSQ7"/>
      <c r="OSR7"/>
      <c r="OSS7"/>
      <c r="OST7"/>
      <c r="OSU7"/>
      <c r="OSV7"/>
      <c r="OSW7"/>
      <c r="OSX7"/>
      <c r="OSY7"/>
      <c r="OSZ7"/>
      <c r="OTA7"/>
      <c r="OTB7"/>
      <c r="OTC7"/>
      <c r="OTD7"/>
      <c r="OTE7"/>
      <c r="OTF7"/>
      <c r="OTG7"/>
      <c r="OTH7"/>
      <c r="OTI7"/>
      <c r="OTJ7"/>
      <c r="OTK7"/>
      <c r="OTL7"/>
      <c r="OTM7"/>
      <c r="OTN7"/>
      <c r="OTO7"/>
      <c r="OTP7"/>
      <c r="OTQ7"/>
      <c r="OTR7"/>
      <c r="OTS7"/>
      <c r="OTT7"/>
      <c r="OTU7"/>
      <c r="OTV7"/>
      <c r="OTW7"/>
      <c r="OTX7"/>
      <c r="OTY7"/>
      <c r="OTZ7"/>
      <c r="OUA7"/>
      <c r="OUB7"/>
      <c r="OUC7"/>
      <c r="OUD7"/>
      <c r="OUE7"/>
      <c r="OUF7"/>
      <c r="OUG7"/>
      <c r="OUH7"/>
      <c r="OUI7"/>
      <c r="OUJ7"/>
      <c r="OUK7"/>
      <c r="OUL7"/>
      <c r="OUM7"/>
      <c r="OUN7"/>
      <c r="OUO7"/>
      <c r="OUP7"/>
      <c r="OUQ7"/>
      <c r="OUR7"/>
      <c r="OUS7"/>
      <c r="OUT7"/>
      <c r="OUU7"/>
      <c r="OUV7"/>
      <c r="OUW7"/>
      <c r="OUX7"/>
      <c r="OUY7"/>
      <c r="OUZ7"/>
      <c r="OVA7"/>
      <c r="OVB7"/>
      <c r="OVC7"/>
      <c r="OVD7"/>
      <c r="OVE7"/>
      <c r="OVF7"/>
      <c r="OVG7"/>
      <c r="OVH7"/>
      <c r="OVI7"/>
      <c r="OVJ7"/>
      <c r="OVK7"/>
      <c r="OVL7"/>
      <c r="OVM7"/>
      <c r="OVN7"/>
      <c r="OVO7"/>
      <c r="OVP7"/>
      <c r="OVQ7"/>
      <c r="OVR7"/>
      <c r="OVS7"/>
      <c r="OVT7"/>
      <c r="OVU7"/>
      <c r="OVV7"/>
      <c r="OVW7"/>
      <c r="OVX7"/>
      <c r="OVY7"/>
      <c r="OVZ7"/>
      <c r="OWA7"/>
      <c r="OWB7"/>
      <c r="OWC7"/>
      <c r="OWD7"/>
      <c r="OWE7"/>
      <c r="OWF7"/>
      <c r="OWG7"/>
      <c r="OWH7"/>
      <c r="OWI7"/>
      <c r="OWJ7"/>
      <c r="OWK7"/>
      <c r="OWL7"/>
      <c r="OWM7"/>
      <c r="OWN7"/>
      <c r="OWO7"/>
      <c r="OWP7"/>
      <c r="OWQ7"/>
      <c r="OWR7"/>
      <c r="OWS7"/>
      <c r="OWT7"/>
      <c r="OWU7"/>
      <c r="OWV7"/>
      <c r="OWW7"/>
      <c r="OWX7"/>
      <c r="OWY7"/>
      <c r="OWZ7"/>
      <c r="OXA7"/>
      <c r="OXB7"/>
      <c r="OXC7"/>
      <c r="OXD7"/>
      <c r="OXE7"/>
      <c r="OXF7"/>
      <c r="OXG7"/>
      <c r="OXH7"/>
      <c r="OXI7"/>
      <c r="OXJ7"/>
      <c r="OXK7"/>
      <c r="OXL7"/>
      <c r="OXM7"/>
      <c r="OXN7"/>
      <c r="OXO7"/>
      <c r="OXP7"/>
      <c r="OXQ7"/>
      <c r="OXR7"/>
      <c r="OXS7"/>
      <c r="OXT7"/>
      <c r="OXU7"/>
      <c r="OXV7"/>
      <c r="OXW7"/>
      <c r="OXX7"/>
      <c r="OXY7"/>
      <c r="OXZ7"/>
      <c r="OYA7"/>
      <c r="OYB7"/>
      <c r="OYC7"/>
      <c r="OYD7"/>
      <c r="OYE7"/>
      <c r="OYF7"/>
      <c r="OYG7"/>
      <c r="OYH7"/>
      <c r="OYI7"/>
      <c r="OYJ7"/>
      <c r="OYK7"/>
      <c r="OYL7"/>
      <c r="OYM7"/>
      <c r="OYN7"/>
      <c r="OYO7"/>
      <c r="OYP7"/>
      <c r="OYQ7"/>
      <c r="OYR7"/>
      <c r="OYS7"/>
      <c r="OYT7"/>
      <c r="OYU7"/>
      <c r="OYV7"/>
      <c r="OYW7"/>
      <c r="OYX7"/>
      <c r="OYY7"/>
      <c r="OYZ7"/>
      <c r="OZA7"/>
      <c r="OZB7"/>
      <c r="OZC7"/>
      <c r="OZD7"/>
      <c r="OZE7"/>
      <c r="OZF7"/>
      <c r="OZG7"/>
      <c r="OZH7"/>
      <c r="OZI7"/>
      <c r="OZJ7"/>
      <c r="OZK7"/>
      <c r="OZL7"/>
      <c r="OZM7"/>
      <c r="OZN7"/>
      <c r="OZO7"/>
      <c r="OZP7"/>
      <c r="OZQ7"/>
      <c r="OZR7"/>
      <c r="OZS7"/>
      <c r="OZT7"/>
      <c r="OZU7"/>
      <c r="OZV7"/>
      <c r="OZW7"/>
      <c r="OZX7"/>
      <c r="OZY7"/>
      <c r="OZZ7"/>
      <c r="PAA7"/>
      <c r="PAB7"/>
      <c r="PAC7"/>
      <c r="PAD7"/>
      <c r="PAE7"/>
      <c r="PAF7"/>
      <c r="PAG7"/>
      <c r="PAH7"/>
      <c r="PAI7"/>
      <c r="PAJ7"/>
      <c r="PAK7"/>
      <c r="PAL7"/>
      <c r="PAM7"/>
      <c r="PAN7"/>
      <c r="PAO7"/>
      <c r="PAP7"/>
      <c r="PAQ7"/>
      <c r="PAR7"/>
      <c r="PAS7"/>
      <c r="PAT7"/>
      <c r="PAU7"/>
      <c r="PAV7"/>
      <c r="PAW7"/>
      <c r="PAX7"/>
      <c r="PAY7"/>
      <c r="PAZ7"/>
      <c r="PBA7"/>
      <c r="PBB7"/>
      <c r="PBC7"/>
      <c r="PBD7"/>
      <c r="PBE7"/>
      <c r="PBF7"/>
      <c r="PBG7"/>
      <c r="PBH7"/>
      <c r="PBI7"/>
      <c r="PBJ7"/>
      <c r="PBK7"/>
      <c r="PBL7"/>
      <c r="PBM7"/>
      <c r="PBN7"/>
      <c r="PBO7"/>
      <c r="PBP7"/>
      <c r="PBQ7"/>
      <c r="PBR7"/>
      <c r="PBS7"/>
      <c r="PBT7"/>
      <c r="PBU7"/>
      <c r="PBV7"/>
      <c r="PBW7"/>
      <c r="PBX7"/>
      <c r="PBY7"/>
      <c r="PBZ7"/>
      <c r="PCA7"/>
      <c r="PCB7"/>
      <c r="PCC7"/>
      <c r="PCD7"/>
      <c r="PCE7"/>
      <c r="PCF7"/>
      <c r="PCG7"/>
      <c r="PCH7"/>
      <c r="PCI7"/>
      <c r="PCJ7"/>
      <c r="PCK7"/>
      <c r="PCL7"/>
      <c r="PCM7"/>
      <c r="PCN7"/>
      <c r="PCO7"/>
      <c r="PCP7"/>
      <c r="PCQ7"/>
      <c r="PCR7"/>
      <c r="PCS7"/>
      <c r="PCT7"/>
      <c r="PCU7"/>
      <c r="PCV7"/>
      <c r="PCW7"/>
      <c r="PCX7"/>
      <c r="PCY7"/>
      <c r="PCZ7"/>
      <c r="PDA7"/>
      <c r="PDB7"/>
      <c r="PDC7"/>
      <c r="PDD7"/>
      <c r="PDE7"/>
      <c r="PDF7"/>
      <c r="PDG7"/>
      <c r="PDH7"/>
      <c r="PDI7"/>
      <c r="PDJ7"/>
      <c r="PDK7"/>
      <c r="PDL7"/>
      <c r="PDM7"/>
      <c r="PDN7"/>
      <c r="PDO7"/>
      <c r="PDP7"/>
      <c r="PDQ7"/>
      <c r="PDR7"/>
      <c r="PDS7"/>
      <c r="PDT7"/>
      <c r="PDU7"/>
      <c r="PDV7"/>
      <c r="PDW7"/>
      <c r="PDX7"/>
      <c r="PDY7"/>
      <c r="PDZ7"/>
      <c r="PEA7"/>
      <c r="PEB7"/>
      <c r="PEC7"/>
      <c r="PED7"/>
      <c r="PEE7"/>
      <c r="PEF7"/>
      <c r="PEG7"/>
      <c r="PEH7"/>
      <c r="PEI7"/>
      <c r="PEJ7"/>
      <c r="PEK7"/>
      <c r="PEL7"/>
      <c r="PEM7"/>
      <c r="PEN7"/>
      <c r="PEO7"/>
      <c r="PEP7"/>
      <c r="PEQ7"/>
      <c r="PER7"/>
      <c r="PES7"/>
      <c r="PET7"/>
      <c r="PEU7"/>
      <c r="PEV7"/>
      <c r="PEW7"/>
      <c r="PEX7"/>
      <c r="PEY7"/>
      <c r="PEZ7"/>
      <c r="PFA7"/>
      <c r="PFB7"/>
      <c r="PFC7"/>
      <c r="PFD7"/>
      <c r="PFE7"/>
      <c r="PFF7"/>
      <c r="PFG7"/>
      <c r="PFH7"/>
      <c r="PFI7"/>
      <c r="PFJ7"/>
      <c r="PFK7"/>
      <c r="PFL7"/>
      <c r="PFM7"/>
      <c r="PFN7"/>
      <c r="PFO7"/>
      <c r="PFP7"/>
      <c r="PFQ7"/>
      <c r="PFR7"/>
      <c r="PFS7"/>
      <c r="PFT7"/>
      <c r="PFU7"/>
      <c r="PFV7"/>
      <c r="PFW7"/>
      <c r="PFX7"/>
      <c r="PFY7"/>
      <c r="PFZ7"/>
      <c r="PGA7"/>
      <c r="PGB7"/>
      <c r="PGC7"/>
      <c r="PGD7"/>
      <c r="PGE7"/>
      <c r="PGF7"/>
      <c r="PGG7"/>
      <c r="PGH7"/>
      <c r="PGI7"/>
      <c r="PGJ7"/>
      <c r="PGK7"/>
      <c r="PGL7"/>
      <c r="PGM7"/>
      <c r="PGN7"/>
      <c r="PGO7"/>
      <c r="PGP7"/>
      <c r="PGQ7"/>
      <c r="PGR7"/>
      <c r="PGS7"/>
      <c r="PGT7"/>
      <c r="PGU7"/>
      <c r="PGV7"/>
      <c r="PGW7"/>
      <c r="PGX7"/>
      <c r="PGY7"/>
      <c r="PGZ7"/>
      <c r="PHA7"/>
      <c r="PHB7"/>
      <c r="PHC7"/>
      <c r="PHD7"/>
      <c r="PHE7"/>
      <c r="PHF7"/>
      <c r="PHG7"/>
      <c r="PHH7"/>
      <c r="PHI7"/>
      <c r="PHJ7"/>
      <c r="PHK7"/>
      <c r="PHL7"/>
      <c r="PHM7"/>
      <c r="PHN7"/>
      <c r="PHO7"/>
      <c r="PHP7"/>
      <c r="PHQ7"/>
      <c r="PHR7"/>
      <c r="PHS7"/>
      <c r="PHT7"/>
      <c r="PHU7"/>
      <c r="PHV7"/>
      <c r="PHW7"/>
      <c r="PHX7"/>
      <c r="PHY7"/>
      <c r="PHZ7"/>
      <c r="PIA7"/>
      <c r="PIB7"/>
      <c r="PIC7"/>
      <c r="PID7"/>
      <c r="PIE7"/>
      <c r="PIF7"/>
      <c r="PIG7"/>
      <c r="PIH7"/>
      <c r="PII7"/>
      <c r="PIJ7"/>
      <c r="PIK7"/>
      <c r="PIL7"/>
      <c r="PIM7"/>
      <c r="PIN7"/>
      <c r="PIO7"/>
      <c r="PIP7"/>
      <c r="PIQ7"/>
      <c r="PIR7"/>
      <c r="PIS7"/>
      <c r="PIT7"/>
      <c r="PIU7"/>
      <c r="PIV7"/>
      <c r="PIW7"/>
      <c r="PIX7"/>
      <c r="PIY7"/>
      <c r="PIZ7"/>
      <c r="PJA7"/>
      <c r="PJB7"/>
      <c r="PJC7"/>
      <c r="PJD7"/>
      <c r="PJE7"/>
      <c r="PJF7"/>
      <c r="PJG7"/>
      <c r="PJH7"/>
      <c r="PJI7"/>
      <c r="PJJ7"/>
      <c r="PJK7"/>
      <c r="PJL7"/>
      <c r="PJM7"/>
      <c r="PJN7"/>
      <c r="PJO7"/>
      <c r="PJP7"/>
      <c r="PJQ7"/>
      <c r="PJR7"/>
      <c r="PJS7"/>
      <c r="PJT7"/>
      <c r="PJU7"/>
      <c r="PJV7"/>
      <c r="PJW7"/>
      <c r="PJX7"/>
      <c r="PJY7"/>
      <c r="PJZ7"/>
      <c r="PKA7"/>
      <c r="PKB7"/>
      <c r="PKC7"/>
      <c r="PKD7"/>
      <c r="PKE7"/>
      <c r="PKF7"/>
      <c r="PKG7"/>
      <c r="PKH7"/>
      <c r="PKI7"/>
      <c r="PKJ7"/>
      <c r="PKK7"/>
      <c r="PKL7"/>
      <c r="PKM7"/>
      <c r="PKN7"/>
      <c r="PKO7"/>
      <c r="PKP7"/>
      <c r="PKQ7"/>
      <c r="PKR7"/>
      <c r="PKS7"/>
      <c r="PKT7"/>
      <c r="PKU7"/>
      <c r="PKV7"/>
      <c r="PKW7"/>
      <c r="PKX7"/>
      <c r="PKY7"/>
      <c r="PKZ7"/>
      <c r="PLA7"/>
      <c r="PLB7"/>
      <c r="PLC7"/>
      <c r="PLD7"/>
      <c r="PLE7"/>
      <c r="PLF7"/>
      <c r="PLG7"/>
      <c r="PLH7"/>
      <c r="PLI7"/>
      <c r="PLJ7"/>
      <c r="PLK7"/>
      <c r="PLL7"/>
      <c r="PLM7"/>
      <c r="PLN7"/>
      <c r="PLO7"/>
      <c r="PLP7"/>
      <c r="PLQ7"/>
      <c r="PLR7"/>
      <c r="PLS7"/>
      <c r="PLT7"/>
      <c r="PLU7"/>
      <c r="PLV7"/>
      <c r="PLW7"/>
      <c r="PLX7"/>
      <c r="PLY7"/>
      <c r="PLZ7"/>
      <c r="PMA7"/>
      <c r="PMB7"/>
      <c r="PMC7"/>
      <c r="PMD7"/>
      <c r="PME7"/>
      <c r="PMF7"/>
      <c r="PMG7"/>
      <c r="PMH7"/>
      <c r="PMI7"/>
      <c r="PMJ7"/>
      <c r="PMK7"/>
      <c r="PML7"/>
      <c r="PMM7"/>
      <c r="PMN7"/>
      <c r="PMO7"/>
      <c r="PMP7"/>
      <c r="PMQ7"/>
      <c r="PMR7"/>
      <c r="PMS7"/>
      <c r="PMT7"/>
      <c r="PMU7"/>
      <c r="PMV7"/>
      <c r="PMW7"/>
      <c r="PMX7"/>
      <c r="PMY7"/>
      <c r="PMZ7"/>
      <c r="PNA7"/>
      <c r="PNB7"/>
      <c r="PNC7"/>
      <c r="PND7"/>
      <c r="PNE7"/>
      <c r="PNF7"/>
      <c r="PNG7"/>
      <c r="PNH7"/>
      <c r="PNI7"/>
      <c r="PNJ7"/>
      <c r="PNK7"/>
      <c r="PNL7"/>
      <c r="PNM7"/>
      <c r="PNN7"/>
      <c r="PNO7"/>
      <c r="PNP7"/>
      <c r="PNQ7"/>
      <c r="PNR7"/>
      <c r="PNS7"/>
      <c r="PNT7"/>
      <c r="PNU7"/>
      <c r="PNV7"/>
      <c r="PNW7"/>
      <c r="PNX7"/>
      <c r="PNY7"/>
      <c r="PNZ7"/>
      <c r="POA7"/>
      <c r="POB7"/>
      <c r="POC7"/>
      <c r="POD7"/>
      <c r="POE7"/>
      <c r="POF7"/>
      <c r="POG7"/>
      <c r="POH7"/>
      <c r="POI7"/>
      <c r="POJ7"/>
      <c r="POK7"/>
      <c r="POL7"/>
      <c r="POM7"/>
      <c r="PON7"/>
      <c r="POO7"/>
      <c r="POP7"/>
      <c r="POQ7"/>
      <c r="POR7"/>
      <c r="POS7"/>
      <c r="POT7"/>
      <c r="POU7"/>
      <c r="POV7"/>
      <c r="POW7"/>
      <c r="POX7"/>
      <c r="POY7"/>
      <c r="POZ7"/>
      <c r="PPA7"/>
      <c r="PPB7"/>
      <c r="PPC7"/>
      <c r="PPD7"/>
      <c r="PPE7"/>
      <c r="PPF7"/>
      <c r="PPG7"/>
      <c r="PPH7"/>
      <c r="PPI7"/>
      <c r="PPJ7"/>
      <c r="PPK7"/>
      <c r="PPL7"/>
      <c r="PPM7"/>
      <c r="PPN7"/>
      <c r="PPO7"/>
      <c r="PPP7"/>
      <c r="PPQ7"/>
      <c r="PPR7"/>
      <c r="PPS7"/>
      <c r="PPT7"/>
      <c r="PPU7"/>
      <c r="PPV7"/>
      <c r="PPW7"/>
      <c r="PPX7"/>
      <c r="PPY7"/>
      <c r="PPZ7"/>
      <c r="PQA7"/>
      <c r="PQB7"/>
      <c r="PQC7"/>
      <c r="PQD7"/>
      <c r="PQE7"/>
      <c r="PQF7"/>
      <c r="PQG7"/>
      <c r="PQH7"/>
      <c r="PQI7"/>
      <c r="PQJ7"/>
      <c r="PQK7"/>
      <c r="PQL7"/>
      <c r="PQM7"/>
      <c r="PQN7"/>
      <c r="PQO7"/>
      <c r="PQP7"/>
      <c r="PQQ7"/>
      <c r="PQR7"/>
      <c r="PQS7"/>
      <c r="PQT7"/>
      <c r="PQU7"/>
      <c r="PQV7"/>
      <c r="PQW7"/>
      <c r="PQX7"/>
      <c r="PQY7"/>
      <c r="PQZ7"/>
      <c r="PRA7"/>
      <c r="PRB7"/>
      <c r="PRC7"/>
      <c r="PRD7"/>
      <c r="PRE7"/>
      <c r="PRF7"/>
      <c r="PRG7"/>
      <c r="PRH7"/>
      <c r="PRI7"/>
      <c r="PRJ7"/>
      <c r="PRK7"/>
      <c r="PRL7"/>
      <c r="PRM7"/>
      <c r="PRN7"/>
      <c r="PRO7"/>
      <c r="PRP7"/>
      <c r="PRQ7"/>
      <c r="PRR7"/>
      <c r="PRS7"/>
      <c r="PRT7"/>
      <c r="PRU7"/>
      <c r="PRV7"/>
      <c r="PRW7"/>
      <c r="PRX7"/>
      <c r="PRY7"/>
      <c r="PRZ7"/>
      <c r="PSA7"/>
      <c r="PSB7"/>
      <c r="PSC7"/>
      <c r="PSD7"/>
      <c r="PSE7"/>
      <c r="PSF7"/>
      <c r="PSG7"/>
      <c r="PSH7"/>
      <c r="PSI7"/>
      <c r="PSJ7"/>
      <c r="PSK7"/>
      <c r="PSL7"/>
      <c r="PSM7"/>
      <c r="PSN7"/>
      <c r="PSO7"/>
      <c r="PSP7"/>
      <c r="PSQ7"/>
      <c r="PSR7"/>
      <c r="PSS7"/>
      <c r="PST7"/>
      <c r="PSU7"/>
      <c r="PSV7"/>
      <c r="PSW7"/>
      <c r="PSX7"/>
      <c r="PSY7"/>
      <c r="PSZ7"/>
      <c r="PTA7"/>
      <c r="PTB7"/>
      <c r="PTC7"/>
      <c r="PTD7"/>
      <c r="PTE7"/>
      <c r="PTF7"/>
      <c r="PTG7"/>
      <c r="PTH7"/>
      <c r="PTI7"/>
      <c r="PTJ7"/>
      <c r="PTK7"/>
      <c r="PTL7"/>
      <c r="PTM7"/>
      <c r="PTN7"/>
      <c r="PTO7"/>
      <c r="PTP7"/>
      <c r="PTQ7"/>
      <c r="PTR7"/>
      <c r="PTS7"/>
      <c r="PTT7"/>
      <c r="PTU7"/>
      <c r="PTV7"/>
      <c r="PTW7"/>
      <c r="PTX7"/>
      <c r="PTY7"/>
      <c r="PTZ7"/>
      <c r="PUA7"/>
      <c r="PUB7"/>
      <c r="PUC7"/>
      <c r="PUD7"/>
      <c r="PUE7"/>
      <c r="PUF7"/>
      <c r="PUG7"/>
      <c r="PUH7"/>
      <c r="PUI7"/>
      <c r="PUJ7"/>
      <c r="PUK7"/>
      <c r="PUL7"/>
      <c r="PUM7"/>
      <c r="PUN7"/>
      <c r="PUO7"/>
      <c r="PUP7"/>
      <c r="PUQ7"/>
      <c r="PUR7"/>
      <c r="PUS7"/>
      <c r="PUT7"/>
      <c r="PUU7"/>
      <c r="PUV7"/>
      <c r="PUW7"/>
      <c r="PUX7"/>
      <c r="PUY7"/>
      <c r="PUZ7"/>
      <c r="PVA7"/>
      <c r="PVB7"/>
      <c r="PVC7"/>
      <c r="PVD7"/>
      <c r="PVE7"/>
      <c r="PVF7"/>
      <c r="PVG7"/>
      <c r="PVH7"/>
      <c r="PVI7"/>
      <c r="PVJ7"/>
      <c r="PVK7"/>
      <c r="PVL7"/>
      <c r="PVM7"/>
      <c r="PVN7"/>
      <c r="PVO7"/>
      <c r="PVP7"/>
      <c r="PVQ7"/>
      <c r="PVR7"/>
      <c r="PVS7"/>
      <c r="PVT7"/>
      <c r="PVU7"/>
      <c r="PVV7"/>
      <c r="PVW7"/>
      <c r="PVX7"/>
      <c r="PVY7"/>
      <c r="PVZ7"/>
      <c r="PWA7"/>
      <c r="PWB7"/>
      <c r="PWC7"/>
      <c r="PWD7"/>
      <c r="PWE7"/>
      <c r="PWF7"/>
      <c r="PWG7"/>
      <c r="PWH7"/>
      <c r="PWI7"/>
      <c r="PWJ7"/>
      <c r="PWK7"/>
      <c r="PWL7"/>
      <c r="PWM7"/>
      <c r="PWN7"/>
      <c r="PWO7"/>
      <c r="PWP7"/>
      <c r="PWQ7"/>
      <c r="PWR7"/>
      <c r="PWS7"/>
      <c r="PWT7"/>
      <c r="PWU7"/>
      <c r="PWV7"/>
      <c r="PWW7"/>
      <c r="PWX7"/>
      <c r="PWY7"/>
      <c r="PWZ7"/>
      <c r="PXA7"/>
      <c r="PXB7"/>
      <c r="PXC7"/>
      <c r="PXD7"/>
      <c r="PXE7"/>
      <c r="PXF7"/>
      <c r="PXG7"/>
      <c r="PXH7"/>
      <c r="PXI7"/>
      <c r="PXJ7"/>
      <c r="PXK7"/>
      <c r="PXL7"/>
      <c r="PXM7"/>
      <c r="PXN7"/>
      <c r="PXO7"/>
      <c r="PXP7"/>
      <c r="PXQ7"/>
      <c r="PXR7"/>
      <c r="PXS7"/>
      <c r="PXT7"/>
      <c r="PXU7"/>
      <c r="PXV7"/>
      <c r="PXW7"/>
      <c r="PXX7"/>
      <c r="PXY7"/>
      <c r="PXZ7"/>
      <c r="PYA7"/>
      <c r="PYB7"/>
      <c r="PYC7"/>
      <c r="PYD7"/>
      <c r="PYE7"/>
      <c r="PYF7"/>
      <c r="PYG7"/>
      <c r="PYH7"/>
      <c r="PYI7"/>
      <c r="PYJ7"/>
      <c r="PYK7"/>
      <c r="PYL7"/>
      <c r="PYM7"/>
      <c r="PYN7"/>
      <c r="PYO7"/>
      <c r="PYP7"/>
      <c r="PYQ7"/>
      <c r="PYR7"/>
      <c r="PYS7"/>
      <c r="PYT7"/>
      <c r="PYU7"/>
      <c r="PYV7"/>
      <c r="PYW7"/>
      <c r="PYX7"/>
      <c r="PYY7"/>
      <c r="PYZ7"/>
      <c r="PZA7"/>
      <c r="PZB7"/>
      <c r="PZC7"/>
      <c r="PZD7"/>
      <c r="PZE7"/>
      <c r="PZF7"/>
      <c r="PZG7"/>
      <c r="PZH7"/>
      <c r="PZI7"/>
      <c r="PZJ7"/>
      <c r="PZK7"/>
      <c r="PZL7"/>
      <c r="PZM7"/>
      <c r="PZN7"/>
      <c r="PZO7"/>
      <c r="PZP7"/>
      <c r="PZQ7"/>
      <c r="PZR7"/>
      <c r="PZS7"/>
      <c r="PZT7"/>
      <c r="PZU7"/>
      <c r="PZV7"/>
      <c r="PZW7"/>
      <c r="PZX7"/>
      <c r="PZY7"/>
      <c r="PZZ7"/>
      <c r="QAA7"/>
      <c r="QAB7"/>
      <c r="QAC7"/>
      <c r="QAD7"/>
      <c r="QAE7"/>
      <c r="QAF7"/>
      <c r="QAG7"/>
      <c r="QAH7"/>
      <c r="QAI7"/>
      <c r="QAJ7"/>
      <c r="QAK7"/>
      <c r="QAL7"/>
      <c r="QAM7"/>
      <c r="QAN7"/>
      <c r="QAO7"/>
      <c r="QAP7"/>
      <c r="QAQ7"/>
      <c r="QAR7"/>
      <c r="QAS7"/>
      <c r="QAT7"/>
      <c r="QAU7"/>
      <c r="QAV7"/>
      <c r="QAW7"/>
      <c r="QAX7"/>
      <c r="QAY7"/>
      <c r="QAZ7"/>
      <c r="QBA7"/>
      <c r="QBB7"/>
      <c r="QBC7"/>
      <c r="QBD7"/>
      <c r="QBE7"/>
      <c r="QBF7"/>
      <c r="QBG7"/>
      <c r="QBH7"/>
      <c r="QBI7"/>
      <c r="QBJ7"/>
      <c r="QBK7"/>
      <c r="QBL7"/>
      <c r="QBM7"/>
      <c r="QBN7"/>
      <c r="QBO7"/>
      <c r="QBP7"/>
      <c r="QBQ7"/>
      <c r="QBR7"/>
      <c r="QBS7"/>
      <c r="QBT7"/>
      <c r="QBU7"/>
      <c r="QBV7"/>
      <c r="QBW7"/>
      <c r="QBX7"/>
      <c r="QBY7"/>
      <c r="QBZ7"/>
      <c r="QCA7"/>
      <c r="QCB7"/>
      <c r="QCC7"/>
      <c r="QCD7"/>
      <c r="QCE7"/>
      <c r="QCF7"/>
      <c r="QCG7"/>
      <c r="QCH7"/>
      <c r="QCI7"/>
      <c r="QCJ7"/>
      <c r="QCK7"/>
      <c r="QCL7"/>
      <c r="QCM7"/>
      <c r="QCN7"/>
      <c r="QCO7"/>
      <c r="QCP7"/>
      <c r="QCQ7"/>
      <c r="QCR7"/>
      <c r="QCS7"/>
      <c r="QCT7"/>
      <c r="QCU7"/>
      <c r="QCV7"/>
      <c r="QCW7"/>
      <c r="QCX7"/>
      <c r="QCY7"/>
      <c r="QCZ7"/>
      <c r="QDA7"/>
      <c r="QDB7"/>
      <c r="QDC7"/>
      <c r="QDD7"/>
      <c r="QDE7"/>
      <c r="QDF7"/>
      <c r="QDG7"/>
      <c r="QDH7"/>
      <c r="QDI7"/>
      <c r="QDJ7"/>
      <c r="QDK7"/>
      <c r="QDL7"/>
      <c r="QDM7"/>
      <c r="QDN7"/>
      <c r="QDO7"/>
      <c r="QDP7"/>
      <c r="QDQ7"/>
      <c r="QDR7"/>
      <c r="QDS7"/>
      <c r="QDT7"/>
      <c r="QDU7"/>
      <c r="QDV7"/>
      <c r="QDW7"/>
      <c r="QDX7"/>
      <c r="QDY7"/>
      <c r="QDZ7"/>
      <c r="QEA7"/>
      <c r="QEB7"/>
      <c r="QEC7"/>
      <c r="QED7"/>
      <c r="QEE7"/>
      <c r="QEF7"/>
      <c r="QEG7"/>
      <c r="QEH7"/>
      <c r="QEI7"/>
      <c r="QEJ7"/>
      <c r="QEK7"/>
      <c r="QEL7"/>
      <c r="QEM7"/>
      <c r="QEN7"/>
      <c r="QEO7"/>
      <c r="QEP7"/>
      <c r="QEQ7"/>
      <c r="QER7"/>
      <c r="QES7"/>
      <c r="QET7"/>
      <c r="QEU7"/>
      <c r="QEV7"/>
      <c r="QEW7"/>
      <c r="QEX7"/>
      <c r="QEY7"/>
      <c r="QEZ7"/>
      <c r="QFA7"/>
      <c r="QFB7"/>
      <c r="QFC7"/>
      <c r="QFD7"/>
      <c r="QFE7"/>
      <c r="QFF7"/>
      <c r="QFG7"/>
      <c r="QFH7"/>
      <c r="QFI7"/>
      <c r="QFJ7"/>
      <c r="QFK7"/>
      <c r="QFL7"/>
      <c r="QFM7"/>
      <c r="QFN7"/>
      <c r="QFO7"/>
      <c r="QFP7"/>
      <c r="QFQ7"/>
      <c r="QFR7"/>
      <c r="QFS7"/>
      <c r="QFT7"/>
      <c r="QFU7"/>
      <c r="QFV7"/>
      <c r="QFW7"/>
      <c r="QFX7"/>
      <c r="QFY7"/>
      <c r="QFZ7"/>
      <c r="QGA7"/>
      <c r="QGB7"/>
      <c r="QGC7"/>
      <c r="QGD7"/>
      <c r="QGE7"/>
      <c r="QGF7"/>
      <c r="QGG7"/>
      <c r="QGH7"/>
      <c r="QGI7"/>
      <c r="QGJ7"/>
      <c r="QGK7"/>
      <c r="QGL7"/>
      <c r="QGM7"/>
      <c r="QGN7"/>
      <c r="QGO7"/>
      <c r="QGP7"/>
      <c r="QGQ7"/>
      <c r="QGR7"/>
      <c r="QGS7"/>
      <c r="QGT7"/>
      <c r="QGU7"/>
      <c r="QGV7"/>
      <c r="QGW7"/>
      <c r="QGX7"/>
      <c r="QGY7"/>
      <c r="QGZ7"/>
      <c r="QHA7"/>
      <c r="QHB7"/>
      <c r="QHC7"/>
      <c r="QHD7"/>
      <c r="QHE7"/>
      <c r="QHF7"/>
      <c r="QHG7"/>
      <c r="QHH7"/>
      <c r="QHI7"/>
      <c r="QHJ7"/>
      <c r="QHK7"/>
      <c r="QHL7"/>
      <c r="QHM7"/>
      <c r="QHN7"/>
      <c r="QHO7"/>
      <c r="QHP7"/>
      <c r="QHQ7"/>
      <c r="QHR7"/>
      <c r="QHS7"/>
      <c r="QHT7"/>
      <c r="QHU7"/>
      <c r="QHV7"/>
      <c r="QHW7"/>
      <c r="QHX7"/>
      <c r="QHY7"/>
      <c r="QHZ7"/>
      <c r="QIA7"/>
      <c r="QIB7"/>
      <c r="QIC7"/>
      <c r="QID7"/>
      <c r="QIE7"/>
      <c r="QIF7"/>
      <c r="QIG7"/>
      <c r="QIH7"/>
      <c r="QII7"/>
      <c r="QIJ7"/>
      <c r="QIK7"/>
      <c r="QIL7"/>
      <c r="QIM7"/>
      <c r="QIN7"/>
      <c r="QIO7"/>
      <c r="QIP7"/>
      <c r="QIQ7"/>
      <c r="QIR7"/>
      <c r="QIS7"/>
      <c r="QIT7"/>
      <c r="QIU7"/>
      <c r="QIV7"/>
      <c r="QIW7"/>
      <c r="QIX7"/>
      <c r="QIY7"/>
      <c r="QIZ7"/>
      <c r="QJA7"/>
      <c r="QJB7"/>
      <c r="QJC7"/>
      <c r="QJD7"/>
      <c r="QJE7"/>
      <c r="QJF7"/>
      <c r="QJG7"/>
      <c r="QJH7"/>
      <c r="QJI7"/>
      <c r="QJJ7"/>
      <c r="QJK7"/>
      <c r="QJL7"/>
      <c r="QJM7"/>
      <c r="QJN7"/>
      <c r="QJO7"/>
      <c r="QJP7"/>
      <c r="QJQ7"/>
      <c r="QJR7"/>
      <c r="QJS7"/>
      <c r="QJT7"/>
      <c r="QJU7"/>
      <c r="QJV7"/>
      <c r="QJW7"/>
      <c r="QJX7"/>
      <c r="QJY7"/>
      <c r="QJZ7"/>
      <c r="QKA7"/>
      <c r="QKB7"/>
      <c r="QKC7"/>
      <c r="QKD7"/>
      <c r="QKE7"/>
      <c r="QKF7"/>
      <c r="QKG7"/>
      <c r="QKH7"/>
      <c r="QKI7"/>
      <c r="QKJ7"/>
      <c r="QKK7"/>
      <c r="QKL7"/>
      <c r="QKM7"/>
      <c r="QKN7"/>
      <c r="QKO7"/>
      <c r="QKP7"/>
      <c r="QKQ7"/>
      <c r="QKR7"/>
      <c r="QKS7"/>
      <c r="QKT7"/>
      <c r="QKU7"/>
      <c r="QKV7"/>
      <c r="QKW7"/>
      <c r="QKX7"/>
      <c r="QKY7"/>
      <c r="QKZ7"/>
      <c r="QLA7"/>
      <c r="QLB7"/>
      <c r="QLC7"/>
      <c r="QLD7"/>
      <c r="QLE7"/>
      <c r="QLF7"/>
      <c r="QLG7"/>
      <c r="QLH7"/>
      <c r="QLI7"/>
      <c r="QLJ7"/>
      <c r="QLK7"/>
      <c r="QLL7"/>
      <c r="QLM7"/>
      <c r="QLN7"/>
      <c r="QLO7"/>
      <c r="QLP7"/>
      <c r="QLQ7"/>
      <c r="QLR7"/>
      <c r="QLS7"/>
      <c r="QLT7"/>
      <c r="QLU7"/>
      <c r="QLV7"/>
      <c r="QLW7"/>
      <c r="QLX7"/>
      <c r="QLY7"/>
      <c r="QLZ7"/>
      <c r="QMA7"/>
      <c r="QMB7"/>
      <c r="QMC7"/>
      <c r="QMD7"/>
      <c r="QME7"/>
      <c r="QMF7"/>
      <c r="QMG7"/>
      <c r="QMH7"/>
      <c r="QMI7"/>
      <c r="QMJ7"/>
      <c r="QMK7"/>
      <c r="QML7"/>
      <c r="QMM7"/>
      <c r="QMN7"/>
      <c r="QMO7"/>
      <c r="QMP7"/>
      <c r="QMQ7"/>
      <c r="QMR7"/>
      <c r="QMS7"/>
      <c r="QMT7"/>
      <c r="QMU7"/>
      <c r="QMV7"/>
      <c r="QMW7"/>
      <c r="QMX7"/>
      <c r="QMY7"/>
      <c r="QMZ7"/>
      <c r="QNA7"/>
      <c r="QNB7"/>
      <c r="QNC7"/>
      <c r="QND7"/>
      <c r="QNE7"/>
      <c r="QNF7"/>
      <c r="QNG7"/>
      <c r="QNH7"/>
      <c r="QNI7"/>
      <c r="QNJ7"/>
      <c r="QNK7"/>
      <c r="QNL7"/>
      <c r="QNM7"/>
      <c r="QNN7"/>
      <c r="QNO7"/>
      <c r="QNP7"/>
      <c r="QNQ7"/>
      <c r="QNR7"/>
      <c r="QNS7"/>
      <c r="QNT7"/>
      <c r="QNU7"/>
      <c r="QNV7"/>
      <c r="QNW7"/>
      <c r="QNX7"/>
      <c r="QNY7"/>
      <c r="QNZ7"/>
      <c r="QOA7"/>
      <c r="QOB7"/>
      <c r="QOC7"/>
      <c r="QOD7"/>
      <c r="QOE7"/>
      <c r="QOF7"/>
      <c r="QOG7"/>
      <c r="QOH7"/>
      <c r="QOI7"/>
      <c r="QOJ7"/>
      <c r="QOK7"/>
      <c r="QOL7"/>
      <c r="QOM7"/>
      <c r="QON7"/>
      <c r="QOO7"/>
      <c r="QOP7"/>
      <c r="QOQ7"/>
      <c r="QOR7"/>
      <c r="QOS7"/>
      <c r="QOT7"/>
      <c r="QOU7"/>
      <c r="QOV7"/>
      <c r="QOW7"/>
      <c r="QOX7"/>
      <c r="QOY7"/>
      <c r="QOZ7"/>
      <c r="QPA7"/>
      <c r="QPB7"/>
      <c r="QPC7"/>
      <c r="QPD7"/>
      <c r="QPE7"/>
      <c r="QPF7"/>
      <c r="QPG7"/>
      <c r="QPH7"/>
      <c r="QPI7"/>
      <c r="QPJ7"/>
      <c r="QPK7"/>
      <c r="QPL7"/>
      <c r="QPM7"/>
      <c r="QPN7"/>
      <c r="QPO7"/>
      <c r="QPP7"/>
      <c r="QPQ7"/>
      <c r="QPR7"/>
      <c r="QPS7"/>
      <c r="QPT7"/>
      <c r="QPU7"/>
      <c r="QPV7"/>
      <c r="QPW7"/>
      <c r="QPX7"/>
      <c r="QPY7"/>
      <c r="QPZ7"/>
      <c r="QQA7"/>
      <c r="QQB7"/>
      <c r="QQC7"/>
      <c r="QQD7"/>
      <c r="QQE7"/>
      <c r="QQF7"/>
      <c r="QQG7"/>
      <c r="QQH7"/>
      <c r="QQI7"/>
      <c r="QQJ7"/>
      <c r="QQK7"/>
      <c r="QQL7"/>
      <c r="QQM7"/>
      <c r="QQN7"/>
      <c r="QQO7"/>
      <c r="QQP7"/>
      <c r="QQQ7"/>
      <c r="QQR7"/>
      <c r="QQS7"/>
      <c r="QQT7"/>
      <c r="QQU7"/>
      <c r="QQV7"/>
      <c r="QQW7"/>
      <c r="QQX7"/>
      <c r="QQY7"/>
      <c r="QQZ7"/>
      <c r="QRA7"/>
      <c r="QRB7"/>
      <c r="QRC7"/>
      <c r="QRD7"/>
      <c r="QRE7"/>
      <c r="QRF7"/>
      <c r="QRG7"/>
      <c r="QRH7"/>
      <c r="QRI7"/>
      <c r="QRJ7"/>
      <c r="QRK7"/>
      <c r="QRL7"/>
      <c r="QRM7"/>
      <c r="QRN7"/>
      <c r="QRO7"/>
      <c r="QRP7"/>
      <c r="QRQ7"/>
      <c r="QRR7"/>
      <c r="QRS7"/>
      <c r="QRT7"/>
      <c r="QRU7"/>
      <c r="QRV7"/>
      <c r="QRW7"/>
      <c r="QRX7"/>
      <c r="QRY7"/>
      <c r="QRZ7"/>
      <c r="QSA7"/>
      <c r="QSB7"/>
      <c r="QSC7"/>
      <c r="QSD7"/>
      <c r="QSE7"/>
      <c r="QSF7"/>
      <c r="QSG7"/>
      <c r="QSH7"/>
      <c r="QSI7"/>
      <c r="QSJ7"/>
      <c r="QSK7"/>
      <c r="QSL7"/>
      <c r="QSM7"/>
      <c r="QSN7"/>
      <c r="QSO7"/>
      <c r="QSP7"/>
      <c r="QSQ7"/>
      <c r="QSR7"/>
      <c r="QSS7"/>
      <c r="QST7"/>
      <c r="QSU7"/>
      <c r="QSV7"/>
      <c r="QSW7"/>
      <c r="QSX7"/>
      <c r="QSY7"/>
      <c r="QSZ7"/>
      <c r="QTA7"/>
      <c r="QTB7"/>
      <c r="QTC7"/>
      <c r="QTD7"/>
      <c r="QTE7"/>
      <c r="QTF7"/>
      <c r="QTG7"/>
      <c r="QTH7"/>
      <c r="QTI7"/>
      <c r="QTJ7"/>
      <c r="QTK7"/>
      <c r="QTL7"/>
      <c r="QTM7"/>
      <c r="QTN7"/>
      <c r="QTO7"/>
      <c r="QTP7"/>
      <c r="QTQ7"/>
      <c r="QTR7"/>
      <c r="QTS7"/>
      <c r="QTT7"/>
      <c r="QTU7"/>
      <c r="QTV7"/>
      <c r="QTW7"/>
      <c r="QTX7"/>
      <c r="QTY7"/>
      <c r="QTZ7"/>
      <c r="QUA7"/>
      <c r="QUB7"/>
      <c r="QUC7"/>
      <c r="QUD7"/>
      <c r="QUE7"/>
      <c r="QUF7"/>
      <c r="QUG7"/>
      <c r="QUH7"/>
      <c r="QUI7"/>
      <c r="QUJ7"/>
      <c r="QUK7"/>
      <c r="QUL7"/>
      <c r="QUM7"/>
      <c r="QUN7"/>
      <c r="QUO7"/>
      <c r="QUP7"/>
      <c r="QUQ7"/>
      <c r="QUR7"/>
      <c r="QUS7"/>
      <c r="QUT7"/>
      <c r="QUU7"/>
      <c r="QUV7"/>
      <c r="QUW7"/>
      <c r="QUX7"/>
      <c r="QUY7"/>
      <c r="QUZ7"/>
      <c r="QVA7"/>
      <c r="QVB7"/>
      <c r="QVC7"/>
      <c r="QVD7"/>
      <c r="QVE7"/>
      <c r="QVF7"/>
      <c r="QVG7"/>
      <c r="QVH7"/>
      <c r="QVI7"/>
      <c r="QVJ7"/>
      <c r="QVK7"/>
      <c r="QVL7"/>
      <c r="QVM7"/>
      <c r="QVN7"/>
      <c r="QVO7"/>
      <c r="QVP7"/>
      <c r="QVQ7"/>
      <c r="QVR7"/>
      <c r="QVS7"/>
      <c r="QVT7"/>
      <c r="QVU7"/>
      <c r="QVV7"/>
      <c r="QVW7"/>
      <c r="QVX7"/>
      <c r="QVY7"/>
      <c r="QVZ7"/>
      <c r="QWA7"/>
      <c r="QWB7"/>
      <c r="QWC7"/>
      <c r="QWD7"/>
      <c r="QWE7"/>
      <c r="QWF7"/>
      <c r="QWG7"/>
      <c r="QWH7"/>
      <c r="QWI7"/>
      <c r="QWJ7"/>
      <c r="QWK7"/>
      <c r="QWL7"/>
      <c r="QWM7"/>
      <c r="QWN7"/>
      <c r="QWO7"/>
      <c r="QWP7"/>
      <c r="QWQ7"/>
      <c r="QWR7"/>
      <c r="QWS7"/>
      <c r="QWT7"/>
      <c r="QWU7"/>
      <c r="QWV7"/>
      <c r="QWW7"/>
      <c r="QWX7"/>
      <c r="QWY7"/>
      <c r="QWZ7"/>
      <c r="QXA7"/>
      <c r="QXB7"/>
      <c r="QXC7"/>
      <c r="QXD7"/>
      <c r="QXE7"/>
      <c r="QXF7"/>
      <c r="QXG7"/>
      <c r="QXH7"/>
      <c r="QXI7"/>
      <c r="QXJ7"/>
      <c r="QXK7"/>
      <c r="QXL7"/>
      <c r="QXM7"/>
      <c r="QXN7"/>
      <c r="QXO7"/>
      <c r="QXP7"/>
      <c r="QXQ7"/>
      <c r="QXR7"/>
      <c r="QXS7"/>
      <c r="QXT7"/>
      <c r="QXU7"/>
      <c r="QXV7"/>
      <c r="QXW7"/>
      <c r="QXX7"/>
      <c r="QXY7"/>
      <c r="QXZ7"/>
      <c r="QYA7"/>
      <c r="QYB7"/>
      <c r="QYC7"/>
      <c r="QYD7"/>
      <c r="QYE7"/>
      <c r="QYF7"/>
      <c r="QYG7"/>
      <c r="QYH7"/>
      <c r="QYI7"/>
      <c r="QYJ7"/>
      <c r="QYK7"/>
      <c r="QYL7"/>
      <c r="QYM7"/>
      <c r="QYN7"/>
      <c r="QYO7"/>
      <c r="QYP7"/>
      <c r="QYQ7"/>
      <c r="QYR7"/>
      <c r="QYS7"/>
      <c r="QYT7"/>
      <c r="QYU7"/>
      <c r="QYV7"/>
      <c r="QYW7"/>
      <c r="QYX7"/>
      <c r="QYY7"/>
      <c r="QYZ7"/>
      <c r="QZA7"/>
      <c r="QZB7"/>
      <c r="QZC7"/>
      <c r="QZD7"/>
      <c r="QZE7"/>
      <c r="QZF7"/>
      <c r="QZG7"/>
      <c r="QZH7"/>
      <c r="QZI7"/>
      <c r="QZJ7"/>
      <c r="QZK7"/>
      <c r="QZL7"/>
      <c r="QZM7"/>
      <c r="QZN7"/>
      <c r="QZO7"/>
      <c r="QZP7"/>
      <c r="QZQ7"/>
      <c r="QZR7"/>
      <c r="QZS7"/>
      <c r="QZT7"/>
      <c r="QZU7"/>
      <c r="QZV7"/>
      <c r="QZW7"/>
      <c r="QZX7"/>
      <c r="QZY7"/>
      <c r="QZZ7"/>
      <c r="RAA7"/>
      <c r="RAB7"/>
      <c r="RAC7"/>
      <c r="RAD7"/>
      <c r="RAE7"/>
      <c r="RAF7"/>
      <c r="RAG7"/>
      <c r="RAH7"/>
      <c r="RAI7"/>
      <c r="RAJ7"/>
      <c r="RAK7"/>
      <c r="RAL7"/>
      <c r="RAM7"/>
      <c r="RAN7"/>
      <c r="RAO7"/>
      <c r="RAP7"/>
      <c r="RAQ7"/>
      <c r="RAR7"/>
      <c r="RAS7"/>
      <c r="RAT7"/>
      <c r="RAU7"/>
      <c r="RAV7"/>
      <c r="RAW7"/>
      <c r="RAX7"/>
      <c r="RAY7"/>
      <c r="RAZ7"/>
      <c r="RBA7"/>
      <c r="RBB7"/>
      <c r="RBC7"/>
      <c r="RBD7"/>
      <c r="RBE7"/>
      <c r="RBF7"/>
      <c r="RBG7"/>
      <c r="RBH7"/>
      <c r="RBI7"/>
      <c r="RBJ7"/>
      <c r="RBK7"/>
      <c r="RBL7"/>
      <c r="RBM7"/>
      <c r="RBN7"/>
      <c r="RBO7"/>
      <c r="RBP7"/>
      <c r="RBQ7"/>
      <c r="RBR7"/>
      <c r="RBS7"/>
      <c r="RBT7"/>
      <c r="RBU7"/>
      <c r="RBV7"/>
      <c r="RBW7"/>
      <c r="RBX7"/>
      <c r="RBY7"/>
      <c r="RBZ7"/>
      <c r="RCA7"/>
      <c r="RCB7"/>
      <c r="RCC7"/>
      <c r="RCD7"/>
      <c r="RCE7"/>
      <c r="RCF7"/>
      <c r="RCG7"/>
      <c r="RCH7"/>
      <c r="RCI7"/>
      <c r="RCJ7"/>
      <c r="RCK7"/>
      <c r="RCL7"/>
      <c r="RCM7"/>
      <c r="RCN7"/>
      <c r="RCO7"/>
      <c r="RCP7"/>
      <c r="RCQ7"/>
      <c r="RCR7"/>
      <c r="RCS7"/>
      <c r="RCT7"/>
      <c r="RCU7"/>
      <c r="RCV7"/>
      <c r="RCW7"/>
      <c r="RCX7"/>
      <c r="RCY7"/>
      <c r="RCZ7"/>
      <c r="RDA7"/>
      <c r="RDB7"/>
      <c r="RDC7"/>
      <c r="RDD7"/>
      <c r="RDE7"/>
      <c r="RDF7"/>
      <c r="RDG7"/>
      <c r="RDH7"/>
      <c r="RDI7"/>
      <c r="RDJ7"/>
      <c r="RDK7"/>
      <c r="RDL7"/>
      <c r="RDM7"/>
      <c r="RDN7"/>
      <c r="RDO7"/>
      <c r="RDP7"/>
      <c r="RDQ7"/>
      <c r="RDR7"/>
      <c r="RDS7"/>
      <c r="RDT7"/>
      <c r="RDU7"/>
      <c r="RDV7"/>
      <c r="RDW7"/>
      <c r="RDX7"/>
      <c r="RDY7"/>
      <c r="RDZ7"/>
      <c r="REA7"/>
      <c r="REB7"/>
      <c r="REC7"/>
      <c r="RED7"/>
      <c r="REE7"/>
      <c r="REF7"/>
      <c r="REG7"/>
      <c r="REH7"/>
      <c r="REI7"/>
      <c r="REJ7"/>
      <c r="REK7"/>
      <c r="REL7"/>
      <c r="REM7"/>
      <c r="REN7"/>
      <c r="REO7"/>
      <c r="REP7"/>
      <c r="REQ7"/>
      <c r="RER7"/>
      <c r="RES7"/>
      <c r="RET7"/>
      <c r="REU7"/>
      <c r="REV7"/>
      <c r="REW7"/>
      <c r="REX7"/>
      <c r="REY7"/>
      <c r="REZ7"/>
      <c r="RFA7"/>
      <c r="RFB7"/>
      <c r="RFC7"/>
      <c r="RFD7"/>
      <c r="RFE7"/>
      <c r="RFF7"/>
      <c r="RFG7"/>
      <c r="RFH7"/>
      <c r="RFI7"/>
      <c r="RFJ7"/>
      <c r="RFK7"/>
      <c r="RFL7"/>
      <c r="RFM7"/>
      <c r="RFN7"/>
      <c r="RFO7"/>
      <c r="RFP7"/>
      <c r="RFQ7"/>
      <c r="RFR7"/>
      <c r="RFS7"/>
      <c r="RFT7"/>
      <c r="RFU7"/>
      <c r="RFV7"/>
      <c r="RFW7"/>
      <c r="RFX7"/>
      <c r="RFY7"/>
      <c r="RFZ7"/>
      <c r="RGA7"/>
      <c r="RGB7"/>
      <c r="RGC7"/>
      <c r="RGD7"/>
      <c r="RGE7"/>
      <c r="RGF7"/>
      <c r="RGG7"/>
      <c r="RGH7"/>
      <c r="RGI7"/>
      <c r="RGJ7"/>
      <c r="RGK7"/>
      <c r="RGL7"/>
      <c r="RGM7"/>
      <c r="RGN7"/>
      <c r="RGO7"/>
      <c r="RGP7"/>
      <c r="RGQ7"/>
      <c r="RGR7"/>
      <c r="RGS7"/>
      <c r="RGT7"/>
      <c r="RGU7"/>
      <c r="RGV7"/>
      <c r="RGW7"/>
      <c r="RGX7"/>
      <c r="RGY7"/>
      <c r="RGZ7"/>
      <c r="RHA7"/>
      <c r="RHB7"/>
      <c r="RHC7"/>
      <c r="RHD7"/>
      <c r="RHE7"/>
      <c r="RHF7"/>
      <c r="RHG7"/>
      <c r="RHH7"/>
      <c r="RHI7"/>
      <c r="RHJ7"/>
      <c r="RHK7"/>
      <c r="RHL7"/>
      <c r="RHM7"/>
      <c r="RHN7"/>
      <c r="RHO7"/>
      <c r="RHP7"/>
      <c r="RHQ7"/>
      <c r="RHR7"/>
      <c r="RHS7"/>
      <c r="RHT7"/>
      <c r="RHU7"/>
      <c r="RHV7"/>
      <c r="RHW7"/>
      <c r="RHX7"/>
      <c r="RHY7"/>
      <c r="RHZ7"/>
      <c r="RIA7"/>
      <c r="RIB7"/>
      <c r="RIC7"/>
      <c r="RID7"/>
      <c r="RIE7"/>
      <c r="RIF7"/>
      <c r="RIG7"/>
      <c r="RIH7"/>
      <c r="RII7"/>
      <c r="RIJ7"/>
      <c r="RIK7"/>
      <c r="RIL7"/>
      <c r="RIM7"/>
      <c r="RIN7"/>
      <c r="RIO7"/>
      <c r="RIP7"/>
      <c r="RIQ7"/>
      <c r="RIR7"/>
      <c r="RIS7"/>
      <c r="RIT7"/>
      <c r="RIU7"/>
      <c r="RIV7"/>
      <c r="RIW7"/>
      <c r="RIX7"/>
      <c r="RIY7"/>
      <c r="RIZ7"/>
      <c r="RJA7"/>
      <c r="RJB7"/>
      <c r="RJC7"/>
      <c r="RJD7"/>
      <c r="RJE7"/>
      <c r="RJF7"/>
      <c r="RJG7"/>
      <c r="RJH7"/>
      <c r="RJI7"/>
      <c r="RJJ7"/>
      <c r="RJK7"/>
      <c r="RJL7"/>
      <c r="RJM7"/>
      <c r="RJN7"/>
      <c r="RJO7"/>
      <c r="RJP7"/>
      <c r="RJQ7"/>
      <c r="RJR7"/>
      <c r="RJS7"/>
      <c r="RJT7"/>
      <c r="RJU7"/>
      <c r="RJV7"/>
      <c r="RJW7"/>
      <c r="RJX7"/>
      <c r="RJY7"/>
      <c r="RJZ7"/>
      <c r="RKA7"/>
      <c r="RKB7"/>
      <c r="RKC7"/>
      <c r="RKD7"/>
      <c r="RKE7"/>
      <c r="RKF7"/>
      <c r="RKG7"/>
      <c r="RKH7"/>
      <c r="RKI7"/>
      <c r="RKJ7"/>
      <c r="RKK7"/>
      <c r="RKL7"/>
      <c r="RKM7"/>
      <c r="RKN7"/>
      <c r="RKO7"/>
      <c r="RKP7"/>
      <c r="RKQ7"/>
      <c r="RKR7"/>
      <c r="RKS7"/>
      <c r="RKT7"/>
      <c r="RKU7"/>
      <c r="RKV7"/>
      <c r="RKW7"/>
      <c r="RKX7"/>
      <c r="RKY7"/>
      <c r="RKZ7"/>
      <c r="RLA7"/>
      <c r="RLB7"/>
      <c r="RLC7"/>
      <c r="RLD7"/>
      <c r="RLE7"/>
      <c r="RLF7"/>
      <c r="RLG7"/>
      <c r="RLH7"/>
      <c r="RLI7"/>
      <c r="RLJ7"/>
      <c r="RLK7"/>
      <c r="RLL7"/>
      <c r="RLM7"/>
      <c r="RLN7"/>
      <c r="RLO7"/>
      <c r="RLP7"/>
      <c r="RLQ7"/>
      <c r="RLR7"/>
      <c r="RLS7"/>
      <c r="RLT7"/>
      <c r="RLU7"/>
      <c r="RLV7"/>
      <c r="RLW7"/>
      <c r="RLX7"/>
      <c r="RLY7"/>
      <c r="RLZ7"/>
      <c r="RMA7"/>
      <c r="RMB7"/>
      <c r="RMC7"/>
      <c r="RMD7"/>
      <c r="RME7"/>
      <c r="RMF7"/>
      <c r="RMG7"/>
      <c r="RMH7"/>
      <c r="RMI7"/>
      <c r="RMJ7"/>
      <c r="RMK7"/>
      <c r="RML7"/>
      <c r="RMM7"/>
      <c r="RMN7"/>
      <c r="RMO7"/>
      <c r="RMP7"/>
      <c r="RMQ7"/>
      <c r="RMR7"/>
      <c r="RMS7"/>
      <c r="RMT7"/>
      <c r="RMU7"/>
      <c r="RMV7"/>
      <c r="RMW7"/>
      <c r="RMX7"/>
      <c r="RMY7"/>
      <c r="RMZ7"/>
      <c r="RNA7"/>
      <c r="RNB7"/>
      <c r="RNC7"/>
      <c r="RND7"/>
      <c r="RNE7"/>
      <c r="RNF7"/>
      <c r="RNG7"/>
      <c r="RNH7"/>
      <c r="RNI7"/>
      <c r="RNJ7"/>
      <c r="RNK7"/>
      <c r="RNL7"/>
      <c r="RNM7"/>
      <c r="RNN7"/>
      <c r="RNO7"/>
      <c r="RNP7"/>
      <c r="RNQ7"/>
      <c r="RNR7"/>
      <c r="RNS7"/>
      <c r="RNT7"/>
      <c r="RNU7"/>
      <c r="RNV7"/>
      <c r="RNW7"/>
      <c r="RNX7"/>
      <c r="RNY7"/>
      <c r="RNZ7"/>
      <c r="ROA7"/>
      <c r="ROB7"/>
      <c r="ROC7"/>
      <c r="ROD7"/>
      <c r="ROE7"/>
      <c r="ROF7"/>
      <c r="ROG7"/>
      <c r="ROH7"/>
      <c r="ROI7"/>
      <c r="ROJ7"/>
      <c r="ROK7"/>
      <c r="ROL7"/>
      <c r="ROM7"/>
      <c r="RON7"/>
      <c r="ROO7"/>
      <c r="ROP7"/>
      <c r="ROQ7"/>
      <c r="ROR7"/>
      <c r="ROS7"/>
      <c r="ROT7"/>
      <c r="ROU7"/>
      <c r="ROV7"/>
      <c r="ROW7"/>
      <c r="ROX7"/>
      <c r="ROY7"/>
      <c r="ROZ7"/>
      <c r="RPA7"/>
      <c r="RPB7"/>
      <c r="RPC7"/>
      <c r="RPD7"/>
      <c r="RPE7"/>
      <c r="RPF7"/>
      <c r="RPG7"/>
      <c r="RPH7"/>
      <c r="RPI7"/>
      <c r="RPJ7"/>
      <c r="RPK7"/>
      <c r="RPL7"/>
      <c r="RPM7"/>
      <c r="RPN7"/>
      <c r="RPO7"/>
      <c r="RPP7"/>
      <c r="RPQ7"/>
      <c r="RPR7"/>
      <c r="RPS7"/>
      <c r="RPT7"/>
      <c r="RPU7"/>
      <c r="RPV7"/>
      <c r="RPW7"/>
      <c r="RPX7"/>
      <c r="RPY7"/>
      <c r="RPZ7"/>
      <c r="RQA7"/>
      <c r="RQB7"/>
      <c r="RQC7"/>
      <c r="RQD7"/>
      <c r="RQE7"/>
      <c r="RQF7"/>
      <c r="RQG7"/>
      <c r="RQH7"/>
      <c r="RQI7"/>
      <c r="RQJ7"/>
      <c r="RQK7"/>
      <c r="RQL7"/>
      <c r="RQM7"/>
      <c r="RQN7"/>
      <c r="RQO7"/>
      <c r="RQP7"/>
      <c r="RQQ7"/>
      <c r="RQR7"/>
      <c r="RQS7"/>
      <c r="RQT7"/>
      <c r="RQU7"/>
      <c r="RQV7"/>
      <c r="RQW7"/>
      <c r="RQX7"/>
      <c r="RQY7"/>
      <c r="RQZ7"/>
      <c r="RRA7"/>
      <c r="RRB7"/>
      <c r="RRC7"/>
      <c r="RRD7"/>
      <c r="RRE7"/>
      <c r="RRF7"/>
      <c r="RRG7"/>
      <c r="RRH7"/>
      <c r="RRI7"/>
      <c r="RRJ7"/>
      <c r="RRK7"/>
      <c r="RRL7"/>
      <c r="RRM7"/>
      <c r="RRN7"/>
      <c r="RRO7"/>
      <c r="RRP7"/>
      <c r="RRQ7"/>
      <c r="RRR7"/>
      <c r="RRS7"/>
      <c r="RRT7"/>
      <c r="RRU7"/>
      <c r="RRV7"/>
      <c r="RRW7"/>
      <c r="RRX7"/>
      <c r="RRY7"/>
      <c r="RRZ7"/>
      <c r="RSA7"/>
      <c r="RSB7"/>
      <c r="RSC7"/>
      <c r="RSD7"/>
      <c r="RSE7"/>
      <c r="RSF7"/>
      <c r="RSG7"/>
      <c r="RSH7"/>
      <c r="RSI7"/>
      <c r="RSJ7"/>
      <c r="RSK7"/>
      <c r="RSL7"/>
      <c r="RSM7"/>
      <c r="RSN7"/>
      <c r="RSO7"/>
      <c r="RSP7"/>
      <c r="RSQ7"/>
      <c r="RSR7"/>
      <c r="RSS7"/>
      <c r="RST7"/>
      <c r="RSU7"/>
      <c r="RSV7"/>
      <c r="RSW7"/>
      <c r="RSX7"/>
      <c r="RSY7"/>
      <c r="RSZ7"/>
      <c r="RTA7"/>
      <c r="RTB7"/>
      <c r="RTC7"/>
      <c r="RTD7"/>
      <c r="RTE7"/>
      <c r="RTF7"/>
      <c r="RTG7"/>
      <c r="RTH7"/>
      <c r="RTI7"/>
      <c r="RTJ7"/>
      <c r="RTK7"/>
      <c r="RTL7"/>
      <c r="RTM7"/>
      <c r="RTN7"/>
      <c r="RTO7"/>
      <c r="RTP7"/>
      <c r="RTQ7"/>
      <c r="RTR7"/>
      <c r="RTS7"/>
      <c r="RTT7"/>
      <c r="RTU7"/>
      <c r="RTV7"/>
      <c r="RTW7"/>
      <c r="RTX7"/>
      <c r="RTY7"/>
      <c r="RTZ7"/>
      <c r="RUA7"/>
      <c r="RUB7"/>
      <c r="RUC7"/>
      <c r="RUD7"/>
      <c r="RUE7"/>
      <c r="RUF7"/>
      <c r="RUG7"/>
      <c r="RUH7"/>
      <c r="RUI7"/>
      <c r="RUJ7"/>
      <c r="RUK7"/>
      <c r="RUL7"/>
      <c r="RUM7"/>
      <c r="RUN7"/>
      <c r="RUO7"/>
      <c r="RUP7"/>
      <c r="RUQ7"/>
      <c r="RUR7"/>
      <c r="RUS7"/>
      <c r="RUT7"/>
      <c r="RUU7"/>
      <c r="RUV7"/>
      <c r="RUW7"/>
      <c r="RUX7"/>
      <c r="RUY7"/>
      <c r="RUZ7"/>
      <c r="RVA7"/>
      <c r="RVB7"/>
      <c r="RVC7"/>
      <c r="RVD7"/>
      <c r="RVE7"/>
      <c r="RVF7"/>
      <c r="RVG7"/>
      <c r="RVH7"/>
      <c r="RVI7"/>
      <c r="RVJ7"/>
      <c r="RVK7"/>
      <c r="RVL7"/>
      <c r="RVM7"/>
      <c r="RVN7"/>
      <c r="RVO7"/>
      <c r="RVP7"/>
      <c r="RVQ7"/>
      <c r="RVR7"/>
      <c r="RVS7"/>
      <c r="RVT7"/>
      <c r="RVU7"/>
      <c r="RVV7"/>
      <c r="RVW7"/>
      <c r="RVX7"/>
      <c r="RVY7"/>
      <c r="RVZ7"/>
      <c r="RWA7"/>
      <c r="RWB7"/>
      <c r="RWC7"/>
      <c r="RWD7"/>
      <c r="RWE7"/>
      <c r="RWF7"/>
      <c r="RWG7"/>
      <c r="RWH7"/>
      <c r="RWI7"/>
      <c r="RWJ7"/>
      <c r="RWK7"/>
      <c r="RWL7"/>
      <c r="RWM7"/>
      <c r="RWN7"/>
      <c r="RWO7"/>
      <c r="RWP7"/>
      <c r="RWQ7"/>
      <c r="RWR7"/>
      <c r="RWS7"/>
      <c r="RWT7"/>
      <c r="RWU7"/>
      <c r="RWV7"/>
      <c r="RWW7"/>
      <c r="RWX7"/>
      <c r="RWY7"/>
      <c r="RWZ7"/>
      <c r="RXA7"/>
      <c r="RXB7"/>
      <c r="RXC7"/>
      <c r="RXD7"/>
      <c r="RXE7"/>
      <c r="RXF7"/>
      <c r="RXG7"/>
      <c r="RXH7"/>
      <c r="RXI7"/>
      <c r="RXJ7"/>
      <c r="RXK7"/>
      <c r="RXL7"/>
      <c r="RXM7"/>
      <c r="RXN7"/>
      <c r="RXO7"/>
      <c r="RXP7"/>
      <c r="RXQ7"/>
      <c r="RXR7"/>
      <c r="RXS7"/>
      <c r="RXT7"/>
      <c r="RXU7"/>
      <c r="RXV7"/>
      <c r="RXW7"/>
      <c r="RXX7"/>
      <c r="RXY7"/>
      <c r="RXZ7"/>
      <c r="RYA7"/>
      <c r="RYB7"/>
      <c r="RYC7"/>
      <c r="RYD7"/>
      <c r="RYE7"/>
      <c r="RYF7"/>
      <c r="RYG7"/>
      <c r="RYH7"/>
      <c r="RYI7"/>
      <c r="RYJ7"/>
      <c r="RYK7"/>
      <c r="RYL7"/>
      <c r="RYM7"/>
      <c r="RYN7"/>
      <c r="RYO7"/>
      <c r="RYP7"/>
      <c r="RYQ7"/>
      <c r="RYR7"/>
      <c r="RYS7"/>
      <c r="RYT7"/>
      <c r="RYU7"/>
      <c r="RYV7"/>
      <c r="RYW7"/>
      <c r="RYX7"/>
      <c r="RYY7"/>
      <c r="RYZ7"/>
      <c r="RZA7"/>
      <c r="RZB7"/>
      <c r="RZC7"/>
      <c r="RZD7"/>
      <c r="RZE7"/>
      <c r="RZF7"/>
      <c r="RZG7"/>
      <c r="RZH7"/>
      <c r="RZI7"/>
      <c r="RZJ7"/>
      <c r="RZK7"/>
      <c r="RZL7"/>
      <c r="RZM7"/>
      <c r="RZN7"/>
      <c r="RZO7"/>
      <c r="RZP7"/>
      <c r="RZQ7"/>
      <c r="RZR7"/>
      <c r="RZS7"/>
      <c r="RZT7"/>
      <c r="RZU7"/>
      <c r="RZV7"/>
      <c r="RZW7"/>
      <c r="RZX7"/>
      <c r="RZY7"/>
      <c r="RZZ7"/>
      <c r="SAA7"/>
      <c r="SAB7"/>
      <c r="SAC7"/>
      <c r="SAD7"/>
      <c r="SAE7"/>
      <c r="SAF7"/>
      <c r="SAG7"/>
      <c r="SAH7"/>
      <c r="SAI7"/>
      <c r="SAJ7"/>
      <c r="SAK7"/>
      <c r="SAL7"/>
      <c r="SAM7"/>
      <c r="SAN7"/>
      <c r="SAO7"/>
      <c r="SAP7"/>
      <c r="SAQ7"/>
      <c r="SAR7"/>
      <c r="SAS7"/>
      <c r="SAT7"/>
      <c r="SAU7"/>
      <c r="SAV7"/>
      <c r="SAW7"/>
      <c r="SAX7"/>
      <c r="SAY7"/>
      <c r="SAZ7"/>
      <c r="SBA7"/>
      <c r="SBB7"/>
      <c r="SBC7"/>
      <c r="SBD7"/>
      <c r="SBE7"/>
      <c r="SBF7"/>
      <c r="SBG7"/>
      <c r="SBH7"/>
      <c r="SBI7"/>
      <c r="SBJ7"/>
      <c r="SBK7"/>
      <c r="SBL7"/>
      <c r="SBM7"/>
      <c r="SBN7"/>
      <c r="SBO7"/>
      <c r="SBP7"/>
      <c r="SBQ7"/>
      <c r="SBR7"/>
      <c r="SBS7"/>
      <c r="SBT7"/>
      <c r="SBU7"/>
      <c r="SBV7"/>
      <c r="SBW7"/>
      <c r="SBX7"/>
      <c r="SBY7"/>
      <c r="SBZ7"/>
      <c r="SCA7"/>
      <c r="SCB7"/>
      <c r="SCC7"/>
      <c r="SCD7"/>
      <c r="SCE7"/>
      <c r="SCF7"/>
      <c r="SCG7"/>
      <c r="SCH7"/>
      <c r="SCI7"/>
      <c r="SCJ7"/>
      <c r="SCK7"/>
      <c r="SCL7"/>
      <c r="SCM7"/>
      <c r="SCN7"/>
      <c r="SCO7"/>
      <c r="SCP7"/>
      <c r="SCQ7"/>
      <c r="SCR7"/>
      <c r="SCS7"/>
      <c r="SCT7"/>
      <c r="SCU7"/>
      <c r="SCV7"/>
      <c r="SCW7"/>
      <c r="SCX7"/>
      <c r="SCY7"/>
      <c r="SCZ7"/>
      <c r="SDA7"/>
      <c r="SDB7"/>
      <c r="SDC7"/>
      <c r="SDD7"/>
      <c r="SDE7"/>
      <c r="SDF7"/>
      <c r="SDG7"/>
      <c r="SDH7"/>
      <c r="SDI7"/>
      <c r="SDJ7"/>
      <c r="SDK7"/>
      <c r="SDL7"/>
      <c r="SDM7"/>
      <c r="SDN7"/>
      <c r="SDO7"/>
      <c r="SDP7"/>
      <c r="SDQ7"/>
      <c r="SDR7"/>
      <c r="SDS7"/>
      <c r="SDT7"/>
      <c r="SDU7"/>
      <c r="SDV7"/>
      <c r="SDW7"/>
      <c r="SDX7"/>
      <c r="SDY7"/>
      <c r="SDZ7"/>
      <c r="SEA7"/>
      <c r="SEB7"/>
      <c r="SEC7"/>
      <c r="SED7"/>
      <c r="SEE7"/>
      <c r="SEF7"/>
      <c r="SEG7"/>
      <c r="SEH7"/>
      <c r="SEI7"/>
      <c r="SEJ7"/>
      <c r="SEK7"/>
      <c r="SEL7"/>
      <c r="SEM7"/>
      <c r="SEN7"/>
      <c r="SEO7"/>
      <c r="SEP7"/>
      <c r="SEQ7"/>
      <c r="SER7"/>
      <c r="SES7"/>
      <c r="SET7"/>
      <c r="SEU7"/>
      <c r="SEV7"/>
      <c r="SEW7"/>
      <c r="SEX7"/>
      <c r="SEY7"/>
      <c r="SEZ7"/>
      <c r="SFA7"/>
      <c r="SFB7"/>
      <c r="SFC7"/>
      <c r="SFD7"/>
      <c r="SFE7"/>
      <c r="SFF7"/>
      <c r="SFG7"/>
      <c r="SFH7"/>
      <c r="SFI7"/>
      <c r="SFJ7"/>
      <c r="SFK7"/>
      <c r="SFL7"/>
      <c r="SFM7"/>
      <c r="SFN7"/>
      <c r="SFO7"/>
      <c r="SFP7"/>
      <c r="SFQ7"/>
      <c r="SFR7"/>
      <c r="SFS7"/>
      <c r="SFT7"/>
      <c r="SFU7"/>
      <c r="SFV7"/>
      <c r="SFW7"/>
      <c r="SFX7"/>
      <c r="SFY7"/>
      <c r="SFZ7"/>
      <c r="SGA7"/>
      <c r="SGB7"/>
      <c r="SGC7"/>
      <c r="SGD7"/>
      <c r="SGE7"/>
      <c r="SGF7"/>
      <c r="SGG7"/>
      <c r="SGH7"/>
      <c r="SGI7"/>
      <c r="SGJ7"/>
      <c r="SGK7"/>
      <c r="SGL7"/>
      <c r="SGM7"/>
      <c r="SGN7"/>
      <c r="SGO7"/>
      <c r="SGP7"/>
      <c r="SGQ7"/>
      <c r="SGR7"/>
      <c r="SGS7"/>
      <c r="SGT7"/>
      <c r="SGU7"/>
      <c r="SGV7"/>
      <c r="SGW7"/>
      <c r="SGX7"/>
      <c r="SGY7"/>
      <c r="SGZ7"/>
      <c r="SHA7"/>
      <c r="SHB7"/>
      <c r="SHC7"/>
      <c r="SHD7"/>
      <c r="SHE7"/>
      <c r="SHF7"/>
      <c r="SHG7"/>
      <c r="SHH7"/>
      <c r="SHI7"/>
      <c r="SHJ7"/>
      <c r="SHK7"/>
      <c r="SHL7"/>
      <c r="SHM7"/>
      <c r="SHN7"/>
      <c r="SHO7"/>
      <c r="SHP7"/>
      <c r="SHQ7"/>
      <c r="SHR7"/>
      <c r="SHS7"/>
      <c r="SHT7"/>
      <c r="SHU7"/>
      <c r="SHV7"/>
      <c r="SHW7"/>
      <c r="SHX7"/>
      <c r="SHY7"/>
      <c r="SHZ7"/>
      <c r="SIA7"/>
      <c r="SIB7"/>
      <c r="SIC7"/>
      <c r="SID7"/>
      <c r="SIE7"/>
      <c r="SIF7"/>
      <c r="SIG7"/>
      <c r="SIH7"/>
      <c r="SII7"/>
      <c r="SIJ7"/>
      <c r="SIK7"/>
      <c r="SIL7"/>
      <c r="SIM7"/>
      <c r="SIN7"/>
      <c r="SIO7"/>
      <c r="SIP7"/>
      <c r="SIQ7"/>
      <c r="SIR7"/>
      <c r="SIS7"/>
      <c r="SIT7"/>
      <c r="SIU7"/>
      <c r="SIV7"/>
      <c r="SIW7"/>
      <c r="SIX7"/>
      <c r="SIY7"/>
      <c r="SIZ7"/>
      <c r="SJA7"/>
      <c r="SJB7"/>
      <c r="SJC7"/>
      <c r="SJD7"/>
      <c r="SJE7"/>
      <c r="SJF7"/>
      <c r="SJG7"/>
      <c r="SJH7"/>
      <c r="SJI7"/>
      <c r="SJJ7"/>
      <c r="SJK7"/>
      <c r="SJL7"/>
      <c r="SJM7"/>
      <c r="SJN7"/>
      <c r="SJO7"/>
      <c r="SJP7"/>
      <c r="SJQ7"/>
      <c r="SJR7"/>
      <c r="SJS7"/>
      <c r="SJT7"/>
      <c r="SJU7"/>
      <c r="SJV7"/>
      <c r="SJW7"/>
      <c r="SJX7"/>
      <c r="SJY7"/>
      <c r="SJZ7"/>
      <c r="SKA7"/>
      <c r="SKB7"/>
      <c r="SKC7"/>
      <c r="SKD7"/>
      <c r="SKE7"/>
      <c r="SKF7"/>
      <c r="SKG7"/>
      <c r="SKH7"/>
      <c r="SKI7"/>
      <c r="SKJ7"/>
      <c r="SKK7"/>
      <c r="SKL7"/>
      <c r="SKM7"/>
      <c r="SKN7"/>
      <c r="SKO7"/>
      <c r="SKP7"/>
      <c r="SKQ7"/>
      <c r="SKR7"/>
      <c r="SKS7"/>
      <c r="SKT7"/>
      <c r="SKU7"/>
      <c r="SKV7"/>
      <c r="SKW7"/>
      <c r="SKX7"/>
      <c r="SKY7"/>
      <c r="SKZ7"/>
      <c r="SLA7"/>
      <c r="SLB7"/>
      <c r="SLC7"/>
      <c r="SLD7"/>
      <c r="SLE7"/>
      <c r="SLF7"/>
      <c r="SLG7"/>
      <c r="SLH7"/>
      <c r="SLI7"/>
      <c r="SLJ7"/>
      <c r="SLK7"/>
      <c r="SLL7"/>
      <c r="SLM7"/>
      <c r="SLN7"/>
      <c r="SLO7"/>
      <c r="SLP7"/>
      <c r="SLQ7"/>
      <c r="SLR7"/>
      <c r="SLS7"/>
      <c r="SLT7"/>
      <c r="SLU7"/>
      <c r="SLV7"/>
      <c r="SLW7"/>
      <c r="SLX7"/>
      <c r="SLY7"/>
      <c r="SLZ7"/>
      <c r="SMA7"/>
      <c r="SMB7"/>
      <c r="SMC7"/>
      <c r="SMD7"/>
      <c r="SME7"/>
      <c r="SMF7"/>
      <c r="SMG7"/>
      <c r="SMH7"/>
      <c r="SMI7"/>
      <c r="SMJ7"/>
      <c r="SMK7"/>
      <c r="SML7"/>
      <c r="SMM7"/>
      <c r="SMN7"/>
      <c r="SMO7"/>
      <c r="SMP7"/>
      <c r="SMQ7"/>
      <c r="SMR7"/>
      <c r="SMS7"/>
      <c r="SMT7"/>
      <c r="SMU7"/>
      <c r="SMV7"/>
      <c r="SMW7"/>
      <c r="SMX7"/>
      <c r="SMY7"/>
      <c r="SMZ7"/>
      <c r="SNA7"/>
      <c r="SNB7"/>
      <c r="SNC7"/>
      <c r="SND7"/>
      <c r="SNE7"/>
      <c r="SNF7"/>
      <c r="SNG7"/>
      <c r="SNH7"/>
      <c r="SNI7"/>
      <c r="SNJ7"/>
      <c r="SNK7"/>
      <c r="SNL7"/>
      <c r="SNM7"/>
      <c r="SNN7"/>
      <c r="SNO7"/>
      <c r="SNP7"/>
      <c r="SNQ7"/>
      <c r="SNR7"/>
      <c r="SNS7"/>
      <c r="SNT7"/>
      <c r="SNU7"/>
      <c r="SNV7"/>
      <c r="SNW7"/>
      <c r="SNX7"/>
      <c r="SNY7"/>
      <c r="SNZ7"/>
      <c r="SOA7"/>
      <c r="SOB7"/>
      <c r="SOC7"/>
      <c r="SOD7"/>
      <c r="SOE7"/>
      <c r="SOF7"/>
      <c r="SOG7"/>
      <c r="SOH7"/>
      <c r="SOI7"/>
      <c r="SOJ7"/>
      <c r="SOK7"/>
      <c r="SOL7"/>
      <c r="SOM7"/>
      <c r="SON7"/>
      <c r="SOO7"/>
      <c r="SOP7"/>
      <c r="SOQ7"/>
      <c r="SOR7"/>
      <c r="SOS7"/>
      <c r="SOT7"/>
      <c r="SOU7"/>
      <c r="SOV7"/>
      <c r="SOW7"/>
      <c r="SOX7"/>
      <c r="SOY7"/>
      <c r="SOZ7"/>
      <c r="SPA7"/>
      <c r="SPB7"/>
      <c r="SPC7"/>
      <c r="SPD7"/>
      <c r="SPE7"/>
      <c r="SPF7"/>
      <c r="SPG7"/>
      <c r="SPH7"/>
      <c r="SPI7"/>
      <c r="SPJ7"/>
      <c r="SPK7"/>
      <c r="SPL7"/>
      <c r="SPM7"/>
      <c r="SPN7"/>
      <c r="SPO7"/>
      <c r="SPP7"/>
      <c r="SPQ7"/>
      <c r="SPR7"/>
      <c r="SPS7"/>
      <c r="SPT7"/>
      <c r="SPU7"/>
      <c r="SPV7"/>
      <c r="SPW7"/>
      <c r="SPX7"/>
      <c r="SPY7"/>
      <c r="SPZ7"/>
      <c r="SQA7"/>
      <c r="SQB7"/>
      <c r="SQC7"/>
      <c r="SQD7"/>
      <c r="SQE7"/>
      <c r="SQF7"/>
      <c r="SQG7"/>
      <c r="SQH7"/>
      <c r="SQI7"/>
      <c r="SQJ7"/>
      <c r="SQK7"/>
      <c r="SQL7"/>
      <c r="SQM7"/>
      <c r="SQN7"/>
      <c r="SQO7"/>
      <c r="SQP7"/>
      <c r="SQQ7"/>
      <c r="SQR7"/>
      <c r="SQS7"/>
      <c r="SQT7"/>
      <c r="SQU7"/>
      <c r="SQV7"/>
      <c r="SQW7"/>
      <c r="SQX7"/>
      <c r="SQY7"/>
      <c r="SQZ7"/>
      <c r="SRA7"/>
      <c r="SRB7"/>
      <c r="SRC7"/>
      <c r="SRD7"/>
      <c r="SRE7"/>
      <c r="SRF7"/>
      <c r="SRG7"/>
      <c r="SRH7"/>
      <c r="SRI7"/>
      <c r="SRJ7"/>
      <c r="SRK7"/>
      <c r="SRL7"/>
      <c r="SRM7"/>
      <c r="SRN7"/>
      <c r="SRO7"/>
      <c r="SRP7"/>
      <c r="SRQ7"/>
      <c r="SRR7"/>
      <c r="SRS7"/>
      <c r="SRT7"/>
      <c r="SRU7"/>
      <c r="SRV7"/>
      <c r="SRW7"/>
      <c r="SRX7"/>
      <c r="SRY7"/>
      <c r="SRZ7"/>
      <c r="SSA7"/>
      <c r="SSB7"/>
      <c r="SSC7"/>
      <c r="SSD7"/>
      <c r="SSE7"/>
      <c r="SSF7"/>
      <c r="SSG7"/>
      <c r="SSH7"/>
      <c r="SSI7"/>
      <c r="SSJ7"/>
      <c r="SSK7"/>
      <c r="SSL7"/>
      <c r="SSM7"/>
      <c r="SSN7"/>
      <c r="SSO7"/>
      <c r="SSP7"/>
      <c r="SSQ7"/>
      <c r="SSR7"/>
      <c r="SSS7"/>
      <c r="SST7"/>
      <c r="SSU7"/>
      <c r="SSV7"/>
      <c r="SSW7"/>
      <c r="SSX7"/>
      <c r="SSY7"/>
      <c r="SSZ7"/>
      <c r="STA7"/>
      <c r="STB7"/>
      <c r="STC7"/>
      <c r="STD7"/>
      <c r="STE7"/>
      <c r="STF7"/>
      <c r="STG7"/>
      <c r="STH7"/>
      <c r="STI7"/>
      <c r="STJ7"/>
      <c r="STK7"/>
      <c r="STL7"/>
      <c r="STM7"/>
      <c r="STN7"/>
      <c r="STO7"/>
      <c r="STP7"/>
      <c r="STQ7"/>
      <c r="STR7"/>
      <c r="STS7"/>
      <c r="STT7"/>
      <c r="STU7"/>
      <c r="STV7"/>
      <c r="STW7"/>
      <c r="STX7"/>
      <c r="STY7"/>
      <c r="STZ7"/>
      <c r="SUA7"/>
      <c r="SUB7"/>
      <c r="SUC7"/>
      <c r="SUD7"/>
      <c r="SUE7"/>
      <c r="SUF7"/>
      <c r="SUG7"/>
      <c r="SUH7"/>
      <c r="SUI7"/>
      <c r="SUJ7"/>
      <c r="SUK7"/>
      <c r="SUL7"/>
      <c r="SUM7"/>
      <c r="SUN7"/>
      <c r="SUO7"/>
      <c r="SUP7"/>
      <c r="SUQ7"/>
      <c r="SUR7"/>
      <c r="SUS7"/>
      <c r="SUT7"/>
      <c r="SUU7"/>
      <c r="SUV7"/>
      <c r="SUW7"/>
      <c r="SUX7"/>
      <c r="SUY7"/>
      <c r="SUZ7"/>
      <c r="SVA7"/>
      <c r="SVB7"/>
      <c r="SVC7"/>
      <c r="SVD7"/>
      <c r="SVE7"/>
      <c r="SVF7"/>
      <c r="SVG7"/>
      <c r="SVH7"/>
      <c r="SVI7"/>
      <c r="SVJ7"/>
      <c r="SVK7"/>
      <c r="SVL7"/>
      <c r="SVM7"/>
      <c r="SVN7"/>
      <c r="SVO7"/>
      <c r="SVP7"/>
      <c r="SVQ7"/>
      <c r="SVR7"/>
      <c r="SVS7"/>
      <c r="SVT7"/>
      <c r="SVU7"/>
      <c r="SVV7"/>
      <c r="SVW7"/>
      <c r="SVX7"/>
      <c r="SVY7"/>
      <c r="SVZ7"/>
      <c r="SWA7"/>
      <c r="SWB7"/>
      <c r="SWC7"/>
      <c r="SWD7"/>
      <c r="SWE7"/>
      <c r="SWF7"/>
      <c r="SWG7"/>
      <c r="SWH7"/>
      <c r="SWI7"/>
      <c r="SWJ7"/>
      <c r="SWK7"/>
      <c r="SWL7"/>
      <c r="SWM7"/>
      <c r="SWN7"/>
      <c r="SWO7"/>
      <c r="SWP7"/>
      <c r="SWQ7"/>
      <c r="SWR7"/>
      <c r="SWS7"/>
      <c r="SWT7"/>
      <c r="SWU7"/>
      <c r="SWV7"/>
      <c r="SWW7"/>
      <c r="SWX7"/>
      <c r="SWY7"/>
      <c r="SWZ7"/>
      <c r="SXA7"/>
      <c r="SXB7"/>
      <c r="SXC7"/>
      <c r="SXD7"/>
      <c r="SXE7"/>
      <c r="SXF7"/>
      <c r="SXG7"/>
      <c r="SXH7"/>
      <c r="SXI7"/>
      <c r="SXJ7"/>
      <c r="SXK7"/>
      <c r="SXL7"/>
      <c r="SXM7"/>
      <c r="SXN7"/>
      <c r="SXO7"/>
      <c r="SXP7"/>
      <c r="SXQ7"/>
      <c r="SXR7"/>
      <c r="SXS7"/>
      <c r="SXT7"/>
      <c r="SXU7"/>
      <c r="SXV7"/>
      <c r="SXW7"/>
      <c r="SXX7"/>
      <c r="SXY7"/>
      <c r="SXZ7"/>
      <c r="SYA7"/>
      <c r="SYB7"/>
      <c r="SYC7"/>
      <c r="SYD7"/>
      <c r="SYE7"/>
      <c r="SYF7"/>
      <c r="SYG7"/>
      <c r="SYH7"/>
      <c r="SYI7"/>
      <c r="SYJ7"/>
      <c r="SYK7"/>
      <c r="SYL7"/>
      <c r="SYM7"/>
      <c r="SYN7"/>
      <c r="SYO7"/>
      <c r="SYP7"/>
      <c r="SYQ7"/>
      <c r="SYR7"/>
      <c r="SYS7"/>
      <c r="SYT7"/>
      <c r="SYU7"/>
      <c r="SYV7"/>
      <c r="SYW7"/>
      <c r="SYX7"/>
      <c r="SYY7"/>
      <c r="SYZ7"/>
      <c r="SZA7"/>
      <c r="SZB7"/>
      <c r="SZC7"/>
      <c r="SZD7"/>
      <c r="SZE7"/>
      <c r="SZF7"/>
      <c r="SZG7"/>
      <c r="SZH7"/>
      <c r="SZI7"/>
      <c r="SZJ7"/>
      <c r="SZK7"/>
      <c r="SZL7"/>
      <c r="SZM7"/>
      <c r="SZN7"/>
      <c r="SZO7"/>
      <c r="SZP7"/>
      <c r="SZQ7"/>
      <c r="SZR7"/>
      <c r="SZS7"/>
      <c r="SZT7"/>
      <c r="SZU7"/>
      <c r="SZV7"/>
      <c r="SZW7"/>
      <c r="SZX7"/>
      <c r="SZY7"/>
      <c r="SZZ7"/>
      <c r="TAA7"/>
      <c r="TAB7"/>
      <c r="TAC7"/>
      <c r="TAD7"/>
      <c r="TAE7"/>
      <c r="TAF7"/>
      <c r="TAG7"/>
      <c r="TAH7"/>
      <c r="TAI7"/>
      <c r="TAJ7"/>
      <c r="TAK7"/>
      <c r="TAL7"/>
      <c r="TAM7"/>
      <c r="TAN7"/>
      <c r="TAO7"/>
      <c r="TAP7"/>
      <c r="TAQ7"/>
      <c r="TAR7"/>
      <c r="TAS7"/>
      <c r="TAT7"/>
      <c r="TAU7"/>
      <c r="TAV7"/>
      <c r="TAW7"/>
      <c r="TAX7"/>
      <c r="TAY7"/>
      <c r="TAZ7"/>
      <c r="TBA7"/>
      <c r="TBB7"/>
      <c r="TBC7"/>
      <c r="TBD7"/>
      <c r="TBE7"/>
      <c r="TBF7"/>
      <c r="TBG7"/>
      <c r="TBH7"/>
      <c r="TBI7"/>
      <c r="TBJ7"/>
      <c r="TBK7"/>
      <c r="TBL7"/>
      <c r="TBM7"/>
      <c r="TBN7"/>
      <c r="TBO7"/>
      <c r="TBP7"/>
      <c r="TBQ7"/>
      <c r="TBR7"/>
      <c r="TBS7"/>
      <c r="TBT7"/>
      <c r="TBU7"/>
      <c r="TBV7"/>
      <c r="TBW7"/>
      <c r="TBX7"/>
      <c r="TBY7"/>
      <c r="TBZ7"/>
      <c r="TCA7"/>
      <c r="TCB7"/>
      <c r="TCC7"/>
      <c r="TCD7"/>
      <c r="TCE7"/>
      <c r="TCF7"/>
      <c r="TCG7"/>
      <c r="TCH7"/>
      <c r="TCI7"/>
      <c r="TCJ7"/>
      <c r="TCK7"/>
      <c r="TCL7"/>
      <c r="TCM7"/>
      <c r="TCN7"/>
      <c r="TCO7"/>
      <c r="TCP7"/>
      <c r="TCQ7"/>
      <c r="TCR7"/>
      <c r="TCS7"/>
      <c r="TCT7"/>
      <c r="TCU7"/>
      <c r="TCV7"/>
      <c r="TCW7"/>
      <c r="TCX7"/>
      <c r="TCY7"/>
      <c r="TCZ7"/>
      <c r="TDA7"/>
      <c r="TDB7"/>
      <c r="TDC7"/>
      <c r="TDD7"/>
      <c r="TDE7"/>
      <c r="TDF7"/>
      <c r="TDG7"/>
      <c r="TDH7"/>
      <c r="TDI7"/>
      <c r="TDJ7"/>
      <c r="TDK7"/>
      <c r="TDL7"/>
      <c r="TDM7"/>
      <c r="TDN7"/>
      <c r="TDO7"/>
      <c r="TDP7"/>
      <c r="TDQ7"/>
      <c r="TDR7"/>
      <c r="TDS7"/>
      <c r="TDT7"/>
      <c r="TDU7"/>
      <c r="TDV7"/>
      <c r="TDW7"/>
      <c r="TDX7"/>
      <c r="TDY7"/>
      <c r="TDZ7"/>
      <c r="TEA7"/>
      <c r="TEB7"/>
      <c r="TEC7"/>
      <c r="TED7"/>
      <c r="TEE7"/>
      <c r="TEF7"/>
      <c r="TEG7"/>
      <c r="TEH7"/>
      <c r="TEI7"/>
      <c r="TEJ7"/>
      <c r="TEK7"/>
      <c r="TEL7"/>
      <c r="TEM7"/>
      <c r="TEN7"/>
      <c r="TEO7"/>
      <c r="TEP7"/>
      <c r="TEQ7"/>
      <c r="TER7"/>
      <c r="TES7"/>
      <c r="TET7"/>
      <c r="TEU7"/>
      <c r="TEV7"/>
      <c r="TEW7"/>
      <c r="TEX7"/>
      <c r="TEY7"/>
      <c r="TEZ7"/>
      <c r="TFA7"/>
      <c r="TFB7"/>
      <c r="TFC7"/>
      <c r="TFD7"/>
      <c r="TFE7"/>
      <c r="TFF7"/>
      <c r="TFG7"/>
      <c r="TFH7"/>
      <c r="TFI7"/>
      <c r="TFJ7"/>
      <c r="TFK7"/>
      <c r="TFL7"/>
      <c r="TFM7"/>
      <c r="TFN7"/>
      <c r="TFO7"/>
      <c r="TFP7"/>
      <c r="TFQ7"/>
      <c r="TFR7"/>
      <c r="TFS7"/>
      <c r="TFT7"/>
      <c r="TFU7"/>
      <c r="TFV7"/>
      <c r="TFW7"/>
      <c r="TFX7"/>
      <c r="TFY7"/>
      <c r="TFZ7"/>
      <c r="TGA7"/>
      <c r="TGB7"/>
      <c r="TGC7"/>
      <c r="TGD7"/>
      <c r="TGE7"/>
      <c r="TGF7"/>
      <c r="TGG7"/>
      <c r="TGH7"/>
      <c r="TGI7"/>
      <c r="TGJ7"/>
      <c r="TGK7"/>
      <c r="TGL7"/>
      <c r="TGM7"/>
      <c r="TGN7"/>
      <c r="TGO7"/>
      <c r="TGP7"/>
      <c r="TGQ7"/>
      <c r="TGR7"/>
      <c r="TGS7"/>
      <c r="TGT7"/>
      <c r="TGU7"/>
      <c r="TGV7"/>
      <c r="TGW7"/>
      <c r="TGX7"/>
      <c r="TGY7"/>
      <c r="TGZ7"/>
      <c r="THA7"/>
      <c r="THB7"/>
      <c r="THC7"/>
      <c r="THD7"/>
      <c r="THE7"/>
      <c r="THF7"/>
      <c r="THG7"/>
      <c r="THH7"/>
      <c r="THI7"/>
      <c r="THJ7"/>
      <c r="THK7"/>
      <c r="THL7"/>
      <c r="THM7"/>
      <c r="THN7"/>
      <c r="THO7"/>
      <c r="THP7"/>
      <c r="THQ7"/>
      <c r="THR7"/>
      <c r="THS7"/>
      <c r="THT7"/>
      <c r="THU7"/>
      <c r="THV7"/>
      <c r="THW7"/>
      <c r="THX7"/>
      <c r="THY7"/>
      <c r="THZ7"/>
      <c r="TIA7"/>
      <c r="TIB7"/>
      <c r="TIC7"/>
      <c r="TID7"/>
      <c r="TIE7"/>
      <c r="TIF7"/>
      <c r="TIG7"/>
      <c r="TIH7"/>
      <c r="TII7"/>
      <c r="TIJ7"/>
      <c r="TIK7"/>
      <c r="TIL7"/>
      <c r="TIM7"/>
      <c r="TIN7"/>
      <c r="TIO7"/>
      <c r="TIP7"/>
      <c r="TIQ7"/>
      <c r="TIR7"/>
      <c r="TIS7"/>
      <c r="TIT7"/>
      <c r="TIU7"/>
      <c r="TIV7"/>
      <c r="TIW7"/>
      <c r="TIX7"/>
      <c r="TIY7"/>
      <c r="TIZ7"/>
      <c r="TJA7"/>
      <c r="TJB7"/>
      <c r="TJC7"/>
      <c r="TJD7"/>
      <c r="TJE7"/>
      <c r="TJF7"/>
      <c r="TJG7"/>
      <c r="TJH7"/>
      <c r="TJI7"/>
      <c r="TJJ7"/>
      <c r="TJK7"/>
      <c r="TJL7"/>
      <c r="TJM7"/>
      <c r="TJN7"/>
      <c r="TJO7"/>
      <c r="TJP7"/>
      <c r="TJQ7"/>
      <c r="TJR7"/>
      <c r="TJS7"/>
      <c r="TJT7"/>
      <c r="TJU7"/>
      <c r="TJV7"/>
      <c r="TJW7"/>
      <c r="TJX7"/>
      <c r="TJY7"/>
      <c r="TJZ7"/>
      <c r="TKA7"/>
      <c r="TKB7"/>
      <c r="TKC7"/>
      <c r="TKD7"/>
      <c r="TKE7"/>
      <c r="TKF7"/>
      <c r="TKG7"/>
      <c r="TKH7"/>
      <c r="TKI7"/>
      <c r="TKJ7"/>
      <c r="TKK7"/>
      <c r="TKL7"/>
      <c r="TKM7"/>
      <c r="TKN7"/>
      <c r="TKO7"/>
      <c r="TKP7"/>
      <c r="TKQ7"/>
      <c r="TKR7"/>
      <c r="TKS7"/>
      <c r="TKT7"/>
      <c r="TKU7"/>
      <c r="TKV7"/>
      <c r="TKW7"/>
      <c r="TKX7"/>
      <c r="TKY7"/>
      <c r="TKZ7"/>
      <c r="TLA7"/>
      <c r="TLB7"/>
      <c r="TLC7"/>
      <c r="TLD7"/>
      <c r="TLE7"/>
      <c r="TLF7"/>
      <c r="TLG7"/>
      <c r="TLH7"/>
      <c r="TLI7"/>
      <c r="TLJ7"/>
      <c r="TLK7"/>
      <c r="TLL7"/>
      <c r="TLM7"/>
      <c r="TLN7"/>
      <c r="TLO7"/>
      <c r="TLP7"/>
      <c r="TLQ7"/>
      <c r="TLR7"/>
      <c r="TLS7"/>
      <c r="TLT7"/>
      <c r="TLU7"/>
      <c r="TLV7"/>
      <c r="TLW7"/>
      <c r="TLX7"/>
      <c r="TLY7"/>
      <c r="TLZ7"/>
      <c r="TMA7"/>
      <c r="TMB7"/>
      <c r="TMC7"/>
      <c r="TMD7"/>
      <c r="TME7"/>
      <c r="TMF7"/>
      <c r="TMG7"/>
      <c r="TMH7"/>
      <c r="TMI7"/>
      <c r="TMJ7"/>
      <c r="TMK7"/>
      <c r="TML7"/>
      <c r="TMM7"/>
      <c r="TMN7"/>
      <c r="TMO7"/>
      <c r="TMP7"/>
      <c r="TMQ7"/>
      <c r="TMR7"/>
      <c r="TMS7"/>
      <c r="TMT7"/>
      <c r="TMU7"/>
      <c r="TMV7"/>
      <c r="TMW7"/>
      <c r="TMX7"/>
      <c r="TMY7"/>
      <c r="TMZ7"/>
      <c r="TNA7"/>
      <c r="TNB7"/>
      <c r="TNC7"/>
      <c r="TND7"/>
      <c r="TNE7"/>
      <c r="TNF7"/>
      <c r="TNG7"/>
      <c r="TNH7"/>
      <c r="TNI7"/>
      <c r="TNJ7"/>
      <c r="TNK7"/>
      <c r="TNL7"/>
      <c r="TNM7"/>
      <c r="TNN7"/>
      <c r="TNO7"/>
      <c r="TNP7"/>
      <c r="TNQ7"/>
      <c r="TNR7"/>
      <c r="TNS7"/>
      <c r="TNT7"/>
      <c r="TNU7"/>
      <c r="TNV7"/>
      <c r="TNW7"/>
      <c r="TNX7"/>
      <c r="TNY7"/>
      <c r="TNZ7"/>
      <c r="TOA7"/>
      <c r="TOB7"/>
      <c r="TOC7"/>
      <c r="TOD7"/>
      <c r="TOE7"/>
      <c r="TOF7"/>
      <c r="TOG7"/>
      <c r="TOH7"/>
      <c r="TOI7"/>
      <c r="TOJ7"/>
      <c r="TOK7"/>
      <c r="TOL7"/>
      <c r="TOM7"/>
      <c r="TON7"/>
      <c r="TOO7"/>
      <c r="TOP7"/>
      <c r="TOQ7"/>
      <c r="TOR7"/>
      <c r="TOS7"/>
      <c r="TOT7"/>
      <c r="TOU7"/>
      <c r="TOV7"/>
      <c r="TOW7"/>
      <c r="TOX7"/>
      <c r="TOY7"/>
      <c r="TOZ7"/>
      <c r="TPA7"/>
      <c r="TPB7"/>
      <c r="TPC7"/>
      <c r="TPD7"/>
      <c r="TPE7"/>
      <c r="TPF7"/>
      <c r="TPG7"/>
      <c r="TPH7"/>
      <c r="TPI7"/>
      <c r="TPJ7"/>
      <c r="TPK7"/>
      <c r="TPL7"/>
      <c r="TPM7"/>
      <c r="TPN7"/>
      <c r="TPO7"/>
      <c r="TPP7"/>
      <c r="TPQ7"/>
      <c r="TPR7"/>
      <c r="TPS7"/>
      <c r="TPT7"/>
      <c r="TPU7"/>
      <c r="TPV7"/>
      <c r="TPW7"/>
      <c r="TPX7"/>
      <c r="TPY7"/>
      <c r="TPZ7"/>
      <c r="TQA7"/>
      <c r="TQB7"/>
      <c r="TQC7"/>
      <c r="TQD7"/>
      <c r="TQE7"/>
      <c r="TQF7"/>
      <c r="TQG7"/>
      <c r="TQH7"/>
      <c r="TQI7"/>
      <c r="TQJ7"/>
      <c r="TQK7"/>
      <c r="TQL7"/>
      <c r="TQM7"/>
      <c r="TQN7"/>
      <c r="TQO7"/>
      <c r="TQP7"/>
      <c r="TQQ7"/>
      <c r="TQR7"/>
      <c r="TQS7"/>
      <c r="TQT7"/>
      <c r="TQU7"/>
      <c r="TQV7"/>
      <c r="TQW7"/>
      <c r="TQX7"/>
      <c r="TQY7"/>
      <c r="TQZ7"/>
      <c r="TRA7"/>
      <c r="TRB7"/>
      <c r="TRC7"/>
      <c r="TRD7"/>
      <c r="TRE7"/>
      <c r="TRF7"/>
      <c r="TRG7"/>
      <c r="TRH7"/>
      <c r="TRI7"/>
      <c r="TRJ7"/>
      <c r="TRK7"/>
      <c r="TRL7"/>
      <c r="TRM7"/>
      <c r="TRN7"/>
      <c r="TRO7"/>
      <c r="TRP7"/>
      <c r="TRQ7"/>
      <c r="TRR7"/>
      <c r="TRS7"/>
      <c r="TRT7"/>
      <c r="TRU7"/>
      <c r="TRV7"/>
      <c r="TRW7"/>
      <c r="TRX7"/>
      <c r="TRY7"/>
      <c r="TRZ7"/>
      <c r="TSA7"/>
      <c r="TSB7"/>
      <c r="TSC7"/>
      <c r="TSD7"/>
      <c r="TSE7"/>
      <c r="TSF7"/>
      <c r="TSG7"/>
      <c r="TSH7"/>
      <c r="TSI7"/>
      <c r="TSJ7"/>
      <c r="TSK7"/>
      <c r="TSL7"/>
      <c r="TSM7"/>
      <c r="TSN7"/>
      <c r="TSO7"/>
      <c r="TSP7"/>
      <c r="TSQ7"/>
      <c r="TSR7"/>
      <c r="TSS7"/>
      <c r="TST7"/>
      <c r="TSU7"/>
      <c r="TSV7"/>
      <c r="TSW7"/>
      <c r="TSX7"/>
      <c r="TSY7"/>
      <c r="TSZ7"/>
      <c r="TTA7"/>
      <c r="TTB7"/>
      <c r="TTC7"/>
      <c r="TTD7"/>
      <c r="TTE7"/>
      <c r="TTF7"/>
      <c r="TTG7"/>
      <c r="TTH7"/>
      <c r="TTI7"/>
      <c r="TTJ7"/>
      <c r="TTK7"/>
      <c r="TTL7"/>
      <c r="TTM7"/>
      <c r="TTN7"/>
      <c r="TTO7"/>
      <c r="TTP7"/>
      <c r="TTQ7"/>
      <c r="TTR7"/>
      <c r="TTS7"/>
      <c r="TTT7"/>
      <c r="TTU7"/>
      <c r="TTV7"/>
      <c r="TTW7"/>
      <c r="TTX7"/>
      <c r="TTY7"/>
      <c r="TTZ7"/>
      <c r="TUA7"/>
      <c r="TUB7"/>
      <c r="TUC7"/>
      <c r="TUD7"/>
      <c r="TUE7"/>
      <c r="TUF7"/>
      <c r="TUG7"/>
      <c r="TUH7"/>
      <c r="TUI7"/>
      <c r="TUJ7"/>
      <c r="TUK7"/>
      <c r="TUL7"/>
      <c r="TUM7"/>
      <c r="TUN7"/>
      <c r="TUO7"/>
      <c r="TUP7"/>
      <c r="TUQ7"/>
      <c r="TUR7"/>
      <c r="TUS7"/>
      <c r="TUT7"/>
      <c r="TUU7"/>
      <c r="TUV7"/>
      <c r="TUW7"/>
      <c r="TUX7"/>
      <c r="TUY7"/>
      <c r="TUZ7"/>
      <c r="TVA7"/>
      <c r="TVB7"/>
      <c r="TVC7"/>
      <c r="TVD7"/>
      <c r="TVE7"/>
      <c r="TVF7"/>
      <c r="TVG7"/>
      <c r="TVH7"/>
      <c r="TVI7"/>
      <c r="TVJ7"/>
      <c r="TVK7"/>
      <c r="TVL7"/>
      <c r="TVM7"/>
      <c r="TVN7"/>
      <c r="TVO7"/>
      <c r="TVP7"/>
      <c r="TVQ7"/>
      <c r="TVR7"/>
      <c r="TVS7"/>
      <c r="TVT7"/>
      <c r="TVU7"/>
      <c r="TVV7"/>
      <c r="TVW7"/>
      <c r="TVX7"/>
      <c r="TVY7"/>
      <c r="TVZ7"/>
      <c r="TWA7"/>
      <c r="TWB7"/>
      <c r="TWC7"/>
      <c r="TWD7"/>
      <c r="TWE7"/>
      <c r="TWF7"/>
      <c r="TWG7"/>
      <c r="TWH7"/>
      <c r="TWI7"/>
      <c r="TWJ7"/>
      <c r="TWK7"/>
      <c r="TWL7"/>
      <c r="TWM7"/>
      <c r="TWN7"/>
      <c r="TWO7"/>
      <c r="TWP7"/>
      <c r="TWQ7"/>
      <c r="TWR7"/>
      <c r="TWS7"/>
      <c r="TWT7"/>
      <c r="TWU7"/>
      <c r="TWV7"/>
      <c r="TWW7"/>
      <c r="TWX7"/>
      <c r="TWY7"/>
      <c r="TWZ7"/>
      <c r="TXA7"/>
      <c r="TXB7"/>
      <c r="TXC7"/>
      <c r="TXD7"/>
      <c r="TXE7"/>
      <c r="TXF7"/>
      <c r="TXG7"/>
      <c r="TXH7"/>
      <c r="TXI7"/>
      <c r="TXJ7"/>
      <c r="TXK7"/>
      <c r="TXL7"/>
      <c r="TXM7"/>
      <c r="TXN7"/>
      <c r="TXO7"/>
      <c r="TXP7"/>
      <c r="TXQ7"/>
      <c r="TXR7"/>
      <c r="TXS7"/>
      <c r="TXT7"/>
      <c r="TXU7"/>
      <c r="TXV7"/>
      <c r="TXW7"/>
      <c r="TXX7"/>
      <c r="TXY7"/>
      <c r="TXZ7"/>
      <c r="TYA7"/>
      <c r="TYB7"/>
      <c r="TYC7"/>
      <c r="TYD7"/>
      <c r="TYE7"/>
      <c r="TYF7"/>
      <c r="TYG7"/>
      <c r="TYH7"/>
      <c r="TYI7"/>
      <c r="TYJ7"/>
      <c r="TYK7"/>
      <c r="TYL7"/>
      <c r="TYM7"/>
      <c r="TYN7"/>
      <c r="TYO7"/>
      <c r="TYP7"/>
      <c r="TYQ7"/>
      <c r="TYR7"/>
      <c r="TYS7"/>
      <c r="TYT7"/>
      <c r="TYU7"/>
      <c r="TYV7"/>
      <c r="TYW7"/>
      <c r="TYX7"/>
      <c r="TYY7"/>
      <c r="TYZ7"/>
      <c r="TZA7"/>
      <c r="TZB7"/>
      <c r="TZC7"/>
      <c r="TZD7"/>
      <c r="TZE7"/>
      <c r="TZF7"/>
      <c r="TZG7"/>
      <c r="TZH7"/>
      <c r="TZI7"/>
      <c r="TZJ7"/>
      <c r="TZK7"/>
      <c r="TZL7"/>
      <c r="TZM7"/>
      <c r="TZN7"/>
      <c r="TZO7"/>
      <c r="TZP7"/>
      <c r="TZQ7"/>
      <c r="TZR7"/>
      <c r="TZS7"/>
      <c r="TZT7"/>
      <c r="TZU7"/>
      <c r="TZV7"/>
      <c r="TZW7"/>
      <c r="TZX7"/>
      <c r="TZY7"/>
      <c r="TZZ7"/>
      <c r="UAA7"/>
      <c r="UAB7"/>
      <c r="UAC7"/>
      <c r="UAD7"/>
      <c r="UAE7"/>
      <c r="UAF7"/>
      <c r="UAG7"/>
      <c r="UAH7"/>
      <c r="UAI7"/>
      <c r="UAJ7"/>
      <c r="UAK7"/>
      <c r="UAL7"/>
      <c r="UAM7"/>
      <c r="UAN7"/>
      <c r="UAO7"/>
      <c r="UAP7"/>
      <c r="UAQ7"/>
      <c r="UAR7"/>
      <c r="UAS7"/>
      <c r="UAT7"/>
      <c r="UAU7"/>
      <c r="UAV7"/>
      <c r="UAW7"/>
      <c r="UAX7"/>
      <c r="UAY7"/>
      <c r="UAZ7"/>
      <c r="UBA7"/>
      <c r="UBB7"/>
      <c r="UBC7"/>
      <c r="UBD7"/>
      <c r="UBE7"/>
      <c r="UBF7"/>
      <c r="UBG7"/>
      <c r="UBH7"/>
      <c r="UBI7"/>
      <c r="UBJ7"/>
      <c r="UBK7"/>
      <c r="UBL7"/>
      <c r="UBM7"/>
      <c r="UBN7"/>
      <c r="UBO7"/>
      <c r="UBP7"/>
      <c r="UBQ7"/>
      <c r="UBR7"/>
      <c r="UBS7"/>
      <c r="UBT7"/>
      <c r="UBU7"/>
      <c r="UBV7"/>
      <c r="UBW7"/>
      <c r="UBX7"/>
      <c r="UBY7"/>
      <c r="UBZ7"/>
      <c r="UCA7"/>
      <c r="UCB7"/>
      <c r="UCC7"/>
      <c r="UCD7"/>
      <c r="UCE7"/>
      <c r="UCF7"/>
      <c r="UCG7"/>
      <c r="UCH7"/>
      <c r="UCI7"/>
      <c r="UCJ7"/>
      <c r="UCK7"/>
      <c r="UCL7"/>
      <c r="UCM7"/>
      <c r="UCN7"/>
      <c r="UCO7"/>
      <c r="UCP7"/>
      <c r="UCQ7"/>
      <c r="UCR7"/>
      <c r="UCS7"/>
      <c r="UCT7"/>
      <c r="UCU7"/>
      <c r="UCV7"/>
      <c r="UCW7"/>
      <c r="UCX7"/>
      <c r="UCY7"/>
      <c r="UCZ7"/>
      <c r="UDA7"/>
      <c r="UDB7"/>
      <c r="UDC7"/>
      <c r="UDD7"/>
      <c r="UDE7"/>
      <c r="UDF7"/>
      <c r="UDG7"/>
      <c r="UDH7"/>
      <c r="UDI7"/>
      <c r="UDJ7"/>
      <c r="UDK7"/>
      <c r="UDL7"/>
      <c r="UDM7"/>
      <c r="UDN7"/>
      <c r="UDO7"/>
      <c r="UDP7"/>
      <c r="UDQ7"/>
      <c r="UDR7"/>
      <c r="UDS7"/>
      <c r="UDT7"/>
      <c r="UDU7"/>
      <c r="UDV7"/>
      <c r="UDW7"/>
      <c r="UDX7"/>
      <c r="UDY7"/>
      <c r="UDZ7"/>
      <c r="UEA7"/>
      <c r="UEB7"/>
      <c r="UEC7"/>
      <c r="UED7"/>
      <c r="UEE7"/>
      <c r="UEF7"/>
      <c r="UEG7"/>
      <c r="UEH7"/>
      <c r="UEI7"/>
      <c r="UEJ7"/>
      <c r="UEK7"/>
      <c r="UEL7"/>
      <c r="UEM7"/>
      <c r="UEN7"/>
      <c r="UEO7"/>
      <c r="UEP7"/>
      <c r="UEQ7"/>
      <c r="UER7"/>
      <c r="UES7"/>
      <c r="UET7"/>
      <c r="UEU7"/>
      <c r="UEV7"/>
      <c r="UEW7"/>
      <c r="UEX7"/>
      <c r="UEY7"/>
      <c r="UEZ7"/>
      <c r="UFA7"/>
      <c r="UFB7"/>
      <c r="UFC7"/>
      <c r="UFD7"/>
      <c r="UFE7"/>
      <c r="UFF7"/>
      <c r="UFG7"/>
      <c r="UFH7"/>
      <c r="UFI7"/>
      <c r="UFJ7"/>
      <c r="UFK7"/>
      <c r="UFL7"/>
      <c r="UFM7"/>
      <c r="UFN7"/>
      <c r="UFO7"/>
      <c r="UFP7"/>
      <c r="UFQ7"/>
      <c r="UFR7"/>
      <c r="UFS7"/>
      <c r="UFT7"/>
      <c r="UFU7"/>
      <c r="UFV7"/>
      <c r="UFW7"/>
      <c r="UFX7"/>
      <c r="UFY7"/>
      <c r="UFZ7"/>
      <c r="UGA7"/>
      <c r="UGB7"/>
      <c r="UGC7"/>
      <c r="UGD7"/>
      <c r="UGE7"/>
      <c r="UGF7"/>
      <c r="UGG7"/>
      <c r="UGH7"/>
      <c r="UGI7"/>
      <c r="UGJ7"/>
      <c r="UGK7"/>
      <c r="UGL7"/>
      <c r="UGM7"/>
      <c r="UGN7"/>
      <c r="UGO7"/>
      <c r="UGP7"/>
      <c r="UGQ7"/>
      <c r="UGR7"/>
      <c r="UGS7"/>
      <c r="UGT7"/>
      <c r="UGU7"/>
      <c r="UGV7"/>
      <c r="UGW7"/>
      <c r="UGX7"/>
      <c r="UGY7"/>
      <c r="UGZ7"/>
      <c r="UHA7"/>
      <c r="UHB7"/>
      <c r="UHC7"/>
      <c r="UHD7"/>
      <c r="UHE7"/>
      <c r="UHF7"/>
      <c r="UHG7"/>
      <c r="UHH7"/>
      <c r="UHI7"/>
      <c r="UHJ7"/>
      <c r="UHK7"/>
      <c r="UHL7"/>
      <c r="UHM7"/>
      <c r="UHN7"/>
      <c r="UHO7"/>
      <c r="UHP7"/>
      <c r="UHQ7"/>
      <c r="UHR7"/>
      <c r="UHS7"/>
      <c r="UHT7"/>
      <c r="UHU7"/>
      <c r="UHV7"/>
      <c r="UHW7"/>
      <c r="UHX7"/>
      <c r="UHY7"/>
      <c r="UHZ7"/>
      <c r="UIA7"/>
      <c r="UIB7"/>
      <c r="UIC7"/>
      <c r="UID7"/>
      <c r="UIE7"/>
      <c r="UIF7"/>
      <c r="UIG7"/>
      <c r="UIH7"/>
      <c r="UII7"/>
      <c r="UIJ7"/>
      <c r="UIK7"/>
      <c r="UIL7"/>
      <c r="UIM7"/>
      <c r="UIN7"/>
      <c r="UIO7"/>
      <c r="UIP7"/>
      <c r="UIQ7"/>
      <c r="UIR7"/>
      <c r="UIS7"/>
      <c r="UIT7"/>
      <c r="UIU7"/>
      <c r="UIV7"/>
      <c r="UIW7"/>
      <c r="UIX7"/>
      <c r="UIY7"/>
      <c r="UIZ7"/>
      <c r="UJA7"/>
      <c r="UJB7"/>
      <c r="UJC7"/>
      <c r="UJD7"/>
      <c r="UJE7"/>
      <c r="UJF7"/>
      <c r="UJG7"/>
      <c r="UJH7"/>
      <c r="UJI7"/>
      <c r="UJJ7"/>
      <c r="UJK7"/>
      <c r="UJL7"/>
      <c r="UJM7"/>
      <c r="UJN7"/>
      <c r="UJO7"/>
      <c r="UJP7"/>
      <c r="UJQ7"/>
      <c r="UJR7"/>
      <c r="UJS7"/>
      <c r="UJT7"/>
      <c r="UJU7"/>
      <c r="UJV7"/>
      <c r="UJW7"/>
      <c r="UJX7"/>
      <c r="UJY7"/>
      <c r="UJZ7"/>
      <c r="UKA7"/>
      <c r="UKB7"/>
      <c r="UKC7"/>
      <c r="UKD7"/>
      <c r="UKE7"/>
      <c r="UKF7"/>
      <c r="UKG7"/>
      <c r="UKH7"/>
      <c r="UKI7"/>
      <c r="UKJ7"/>
      <c r="UKK7"/>
      <c r="UKL7"/>
      <c r="UKM7"/>
      <c r="UKN7"/>
      <c r="UKO7"/>
      <c r="UKP7"/>
      <c r="UKQ7"/>
      <c r="UKR7"/>
      <c r="UKS7"/>
      <c r="UKT7"/>
      <c r="UKU7"/>
      <c r="UKV7"/>
      <c r="UKW7"/>
      <c r="UKX7"/>
      <c r="UKY7"/>
      <c r="UKZ7"/>
      <c r="ULA7"/>
      <c r="ULB7"/>
      <c r="ULC7"/>
      <c r="ULD7"/>
      <c r="ULE7"/>
      <c r="ULF7"/>
      <c r="ULG7"/>
      <c r="ULH7"/>
      <c r="ULI7"/>
      <c r="ULJ7"/>
      <c r="ULK7"/>
      <c r="ULL7"/>
      <c r="ULM7"/>
      <c r="ULN7"/>
      <c r="ULO7"/>
      <c r="ULP7"/>
      <c r="ULQ7"/>
      <c r="ULR7"/>
      <c r="ULS7"/>
      <c r="ULT7"/>
      <c r="ULU7"/>
      <c r="ULV7"/>
      <c r="ULW7"/>
      <c r="ULX7"/>
      <c r="ULY7"/>
      <c r="ULZ7"/>
      <c r="UMA7"/>
      <c r="UMB7"/>
      <c r="UMC7"/>
      <c r="UMD7"/>
      <c r="UME7"/>
      <c r="UMF7"/>
      <c r="UMG7"/>
      <c r="UMH7"/>
      <c r="UMI7"/>
      <c r="UMJ7"/>
      <c r="UMK7"/>
      <c r="UML7"/>
      <c r="UMM7"/>
      <c r="UMN7"/>
      <c r="UMO7"/>
      <c r="UMP7"/>
      <c r="UMQ7"/>
      <c r="UMR7"/>
      <c r="UMS7"/>
      <c r="UMT7"/>
      <c r="UMU7"/>
      <c r="UMV7"/>
      <c r="UMW7"/>
      <c r="UMX7"/>
      <c r="UMY7"/>
      <c r="UMZ7"/>
      <c r="UNA7"/>
      <c r="UNB7"/>
      <c r="UNC7"/>
      <c r="UND7"/>
      <c r="UNE7"/>
      <c r="UNF7"/>
      <c r="UNG7"/>
      <c r="UNH7"/>
      <c r="UNI7"/>
      <c r="UNJ7"/>
      <c r="UNK7"/>
      <c r="UNL7"/>
      <c r="UNM7"/>
      <c r="UNN7"/>
      <c r="UNO7"/>
      <c r="UNP7"/>
      <c r="UNQ7"/>
      <c r="UNR7"/>
      <c r="UNS7"/>
      <c r="UNT7"/>
      <c r="UNU7"/>
      <c r="UNV7"/>
      <c r="UNW7"/>
      <c r="UNX7"/>
      <c r="UNY7"/>
      <c r="UNZ7"/>
      <c r="UOA7"/>
      <c r="UOB7"/>
      <c r="UOC7"/>
      <c r="UOD7"/>
      <c r="UOE7"/>
      <c r="UOF7"/>
      <c r="UOG7"/>
      <c r="UOH7"/>
      <c r="UOI7"/>
      <c r="UOJ7"/>
      <c r="UOK7"/>
      <c r="UOL7"/>
      <c r="UOM7"/>
      <c r="UON7"/>
      <c r="UOO7"/>
      <c r="UOP7"/>
      <c r="UOQ7"/>
      <c r="UOR7"/>
      <c r="UOS7"/>
      <c r="UOT7"/>
      <c r="UOU7"/>
      <c r="UOV7"/>
      <c r="UOW7"/>
      <c r="UOX7"/>
      <c r="UOY7"/>
      <c r="UOZ7"/>
      <c r="UPA7"/>
      <c r="UPB7"/>
      <c r="UPC7"/>
      <c r="UPD7"/>
      <c r="UPE7"/>
      <c r="UPF7"/>
      <c r="UPG7"/>
      <c r="UPH7"/>
      <c r="UPI7"/>
      <c r="UPJ7"/>
      <c r="UPK7"/>
      <c r="UPL7"/>
      <c r="UPM7"/>
      <c r="UPN7"/>
      <c r="UPO7"/>
      <c r="UPP7"/>
      <c r="UPQ7"/>
      <c r="UPR7"/>
      <c r="UPS7"/>
      <c r="UPT7"/>
      <c r="UPU7"/>
      <c r="UPV7"/>
      <c r="UPW7"/>
      <c r="UPX7"/>
      <c r="UPY7"/>
      <c r="UPZ7"/>
      <c r="UQA7"/>
      <c r="UQB7"/>
      <c r="UQC7"/>
      <c r="UQD7"/>
      <c r="UQE7"/>
      <c r="UQF7"/>
      <c r="UQG7"/>
      <c r="UQH7"/>
      <c r="UQI7"/>
      <c r="UQJ7"/>
      <c r="UQK7"/>
      <c r="UQL7"/>
      <c r="UQM7"/>
      <c r="UQN7"/>
      <c r="UQO7"/>
      <c r="UQP7"/>
      <c r="UQQ7"/>
      <c r="UQR7"/>
      <c r="UQS7"/>
      <c r="UQT7"/>
      <c r="UQU7"/>
      <c r="UQV7"/>
      <c r="UQW7"/>
      <c r="UQX7"/>
      <c r="UQY7"/>
      <c r="UQZ7"/>
      <c r="URA7"/>
      <c r="URB7"/>
      <c r="URC7"/>
      <c r="URD7"/>
      <c r="URE7"/>
      <c r="URF7"/>
      <c r="URG7"/>
      <c r="URH7"/>
      <c r="URI7"/>
      <c r="URJ7"/>
      <c r="URK7"/>
      <c r="URL7"/>
      <c r="URM7"/>
      <c r="URN7"/>
      <c r="URO7"/>
      <c r="URP7"/>
      <c r="URQ7"/>
      <c r="URR7"/>
      <c r="URS7"/>
      <c r="URT7"/>
      <c r="URU7"/>
      <c r="URV7"/>
      <c r="URW7"/>
      <c r="URX7"/>
      <c r="URY7"/>
      <c r="URZ7"/>
      <c r="USA7"/>
      <c r="USB7"/>
      <c r="USC7"/>
      <c r="USD7"/>
      <c r="USE7"/>
      <c r="USF7"/>
      <c r="USG7"/>
      <c r="USH7"/>
      <c r="USI7"/>
      <c r="USJ7"/>
      <c r="USK7"/>
      <c r="USL7"/>
      <c r="USM7"/>
      <c r="USN7"/>
      <c r="USO7"/>
      <c r="USP7"/>
      <c r="USQ7"/>
      <c r="USR7"/>
      <c r="USS7"/>
      <c r="UST7"/>
      <c r="USU7"/>
      <c r="USV7"/>
      <c r="USW7"/>
      <c r="USX7"/>
      <c r="USY7"/>
      <c r="USZ7"/>
      <c r="UTA7"/>
      <c r="UTB7"/>
      <c r="UTC7"/>
      <c r="UTD7"/>
      <c r="UTE7"/>
      <c r="UTF7"/>
      <c r="UTG7"/>
      <c r="UTH7"/>
      <c r="UTI7"/>
      <c r="UTJ7"/>
      <c r="UTK7"/>
      <c r="UTL7"/>
      <c r="UTM7"/>
      <c r="UTN7"/>
      <c r="UTO7"/>
      <c r="UTP7"/>
      <c r="UTQ7"/>
      <c r="UTR7"/>
      <c r="UTS7"/>
      <c r="UTT7"/>
      <c r="UTU7"/>
      <c r="UTV7"/>
      <c r="UTW7"/>
      <c r="UTX7"/>
      <c r="UTY7"/>
      <c r="UTZ7"/>
      <c r="UUA7"/>
      <c r="UUB7"/>
      <c r="UUC7"/>
      <c r="UUD7"/>
      <c r="UUE7"/>
      <c r="UUF7"/>
      <c r="UUG7"/>
      <c r="UUH7"/>
      <c r="UUI7"/>
      <c r="UUJ7"/>
      <c r="UUK7"/>
      <c r="UUL7"/>
      <c r="UUM7"/>
      <c r="UUN7"/>
      <c r="UUO7"/>
      <c r="UUP7"/>
      <c r="UUQ7"/>
      <c r="UUR7"/>
      <c r="UUS7"/>
      <c r="UUT7"/>
      <c r="UUU7"/>
      <c r="UUV7"/>
      <c r="UUW7"/>
      <c r="UUX7"/>
      <c r="UUY7"/>
      <c r="UUZ7"/>
      <c r="UVA7"/>
      <c r="UVB7"/>
      <c r="UVC7"/>
      <c r="UVD7"/>
      <c r="UVE7"/>
      <c r="UVF7"/>
      <c r="UVG7"/>
      <c r="UVH7"/>
      <c r="UVI7"/>
      <c r="UVJ7"/>
      <c r="UVK7"/>
      <c r="UVL7"/>
      <c r="UVM7"/>
      <c r="UVN7"/>
      <c r="UVO7"/>
      <c r="UVP7"/>
      <c r="UVQ7"/>
      <c r="UVR7"/>
      <c r="UVS7"/>
      <c r="UVT7"/>
      <c r="UVU7"/>
      <c r="UVV7"/>
      <c r="UVW7"/>
      <c r="UVX7"/>
      <c r="UVY7"/>
      <c r="UVZ7"/>
      <c r="UWA7"/>
      <c r="UWB7"/>
      <c r="UWC7"/>
      <c r="UWD7"/>
      <c r="UWE7"/>
      <c r="UWF7"/>
      <c r="UWG7"/>
      <c r="UWH7"/>
      <c r="UWI7"/>
      <c r="UWJ7"/>
      <c r="UWK7"/>
      <c r="UWL7"/>
      <c r="UWM7"/>
      <c r="UWN7"/>
      <c r="UWO7"/>
      <c r="UWP7"/>
      <c r="UWQ7"/>
      <c r="UWR7"/>
      <c r="UWS7"/>
      <c r="UWT7"/>
      <c r="UWU7"/>
      <c r="UWV7"/>
      <c r="UWW7"/>
      <c r="UWX7"/>
      <c r="UWY7"/>
      <c r="UWZ7"/>
      <c r="UXA7"/>
      <c r="UXB7"/>
      <c r="UXC7"/>
      <c r="UXD7"/>
      <c r="UXE7"/>
      <c r="UXF7"/>
      <c r="UXG7"/>
      <c r="UXH7"/>
      <c r="UXI7"/>
      <c r="UXJ7"/>
      <c r="UXK7"/>
      <c r="UXL7"/>
      <c r="UXM7"/>
      <c r="UXN7"/>
      <c r="UXO7"/>
      <c r="UXP7"/>
      <c r="UXQ7"/>
      <c r="UXR7"/>
      <c r="UXS7"/>
      <c r="UXT7"/>
      <c r="UXU7"/>
      <c r="UXV7"/>
      <c r="UXW7"/>
      <c r="UXX7"/>
      <c r="UXY7"/>
      <c r="UXZ7"/>
      <c r="UYA7"/>
      <c r="UYB7"/>
      <c r="UYC7"/>
      <c r="UYD7"/>
      <c r="UYE7"/>
      <c r="UYF7"/>
      <c r="UYG7"/>
      <c r="UYH7"/>
      <c r="UYI7"/>
      <c r="UYJ7"/>
      <c r="UYK7"/>
      <c r="UYL7"/>
      <c r="UYM7"/>
      <c r="UYN7"/>
      <c r="UYO7"/>
      <c r="UYP7"/>
      <c r="UYQ7"/>
      <c r="UYR7"/>
      <c r="UYS7"/>
      <c r="UYT7"/>
      <c r="UYU7"/>
      <c r="UYV7"/>
      <c r="UYW7"/>
      <c r="UYX7"/>
      <c r="UYY7"/>
      <c r="UYZ7"/>
      <c r="UZA7"/>
      <c r="UZB7"/>
      <c r="UZC7"/>
      <c r="UZD7"/>
      <c r="UZE7"/>
      <c r="UZF7"/>
      <c r="UZG7"/>
      <c r="UZH7"/>
      <c r="UZI7"/>
      <c r="UZJ7"/>
      <c r="UZK7"/>
      <c r="UZL7"/>
      <c r="UZM7"/>
      <c r="UZN7"/>
      <c r="UZO7"/>
      <c r="UZP7"/>
      <c r="UZQ7"/>
      <c r="UZR7"/>
      <c r="UZS7"/>
      <c r="UZT7"/>
      <c r="UZU7"/>
      <c r="UZV7"/>
      <c r="UZW7"/>
      <c r="UZX7"/>
      <c r="UZY7"/>
      <c r="UZZ7"/>
      <c r="VAA7"/>
      <c r="VAB7"/>
      <c r="VAC7"/>
      <c r="VAD7"/>
      <c r="VAE7"/>
      <c r="VAF7"/>
      <c r="VAG7"/>
      <c r="VAH7"/>
      <c r="VAI7"/>
      <c r="VAJ7"/>
      <c r="VAK7"/>
      <c r="VAL7"/>
      <c r="VAM7"/>
      <c r="VAN7"/>
      <c r="VAO7"/>
      <c r="VAP7"/>
      <c r="VAQ7"/>
      <c r="VAR7"/>
      <c r="VAS7"/>
      <c r="VAT7"/>
      <c r="VAU7"/>
      <c r="VAV7"/>
      <c r="VAW7"/>
      <c r="VAX7"/>
      <c r="VAY7"/>
      <c r="VAZ7"/>
      <c r="VBA7"/>
      <c r="VBB7"/>
      <c r="VBC7"/>
      <c r="VBD7"/>
      <c r="VBE7"/>
      <c r="VBF7"/>
      <c r="VBG7"/>
      <c r="VBH7"/>
      <c r="VBI7"/>
      <c r="VBJ7"/>
      <c r="VBK7"/>
      <c r="VBL7"/>
      <c r="VBM7"/>
      <c r="VBN7"/>
      <c r="VBO7"/>
      <c r="VBP7"/>
      <c r="VBQ7"/>
      <c r="VBR7"/>
      <c r="VBS7"/>
      <c r="VBT7"/>
      <c r="VBU7"/>
      <c r="VBV7"/>
      <c r="VBW7"/>
      <c r="VBX7"/>
      <c r="VBY7"/>
      <c r="VBZ7"/>
      <c r="VCA7"/>
      <c r="VCB7"/>
      <c r="VCC7"/>
      <c r="VCD7"/>
      <c r="VCE7"/>
      <c r="VCF7"/>
      <c r="VCG7"/>
      <c r="VCH7"/>
      <c r="VCI7"/>
      <c r="VCJ7"/>
      <c r="VCK7"/>
      <c r="VCL7"/>
      <c r="VCM7"/>
      <c r="VCN7"/>
      <c r="VCO7"/>
      <c r="VCP7"/>
      <c r="VCQ7"/>
      <c r="VCR7"/>
      <c r="VCS7"/>
      <c r="VCT7"/>
      <c r="VCU7"/>
      <c r="VCV7"/>
      <c r="VCW7"/>
      <c r="VCX7"/>
      <c r="VCY7"/>
      <c r="VCZ7"/>
      <c r="VDA7"/>
      <c r="VDB7"/>
      <c r="VDC7"/>
      <c r="VDD7"/>
      <c r="VDE7"/>
      <c r="VDF7"/>
      <c r="VDG7"/>
      <c r="VDH7"/>
      <c r="VDI7"/>
      <c r="VDJ7"/>
      <c r="VDK7"/>
      <c r="VDL7"/>
      <c r="VDM7"/>
      <c r="VDN7"/>
      <c r="VDO7"/>
      <c r="VDP7"/>
      <c r="VDQ7"/>
      <c r="VDR7"/>
      <c r="VDS7"/>
      <c r="VDT7"/>
      <c r="VDU7"/>
      <c r="VDV7"/>
      <c r="VDW7"/>
      <c r="VDX7"/>
      <c r="VDY7"/>
      <c r="VDZ7"/>
      <c r="VEA7"/>
      <c r="VEB7"/>
      <c r="VEC7"/>
      <c r="VED7"/>
      <c r="VEE7"/>
      <c r="VEF7"/>
      <c r="VEG7"/>
      <c r="VEH7"/>
      <c r="VEI7"/>
      <c r="VEJ7"/>
      <c r="VEK7"/>
      <c r="VEL7"/>
      <c r="VEM7"/>
      <c r="VEN7"/>
      <c r="VEO7"/>
      <c r="VEP7"/>
      <c r="VEQ7"/>
      <c r="VER7"/>
      <c r="VES7"/>
      <c r="VET7"/>
      <c r="VEU7"/>
      <c r="VEV7"/>
      <c r="VEW7"/>
      <c r="VEX7"/>
      <c r="VEY7"/>
      <c r="VEZ7"/>
      <c r="VFA7"/>
      <c r="VFB7"/>
      <c r="VFC7"/>
      <c r="VFD7"/>
      <c r="VFE7"/>
      <c r="VFF7"/>
      <c r="VFG7"/>
      <c r="VFH7"/>
      <c r="VFI7"/>
      <c r="VFJ7"/>
      <c r="VFK7"/>
      <c r="VFL7"/>
      <c r="VFM7"/>
      <c r="VFN7"/>
      <c r="VFO7"/>
      <c r="VFP7"/>
      <c r="VFQ7"/>
      <c r="VFR7"/>
      <c r="VFS7"/>
      <c r="VFT7"/>
      <c r="VFU7"/>
      <c r="VFV7"/>
      <c r="VFW7"/>
      <c r="VFX7"/>
      <c r="VFY7"/>
      <c r="VFZ7"/>
      <c r="VGA7"/>
      <c r="VGB7"/>
      <c r="VGC7"/>
      <c r="VGD7"/>
      <c r="VGE7"/>
      <c r="VGF7"/>
      <c r="VGG7"/>
      <c r="VGH7"/>
      <c r="VGI7"/>
      <c r="VGJ7"/>
      <c r="VGK7"/>
      <c r="VGL7"/>
      <c r="VGM7"/>
      <c r="VGN7"/>
      <c r="VGO7"/>
      <c r="VGP7"/>
      <c r="VGQ7"/>
      <c r="VGR7"/>
      <c r="VGS7"/>
      <c r="VGT7"/>
      <c r="VGU7"/>
      <c r="VGV7"/>
      <c r="VGW7"/>
      <c r="VGX7"/>
      <c r="VGY7"/>
      <c r="VGZ7"/>
      <c r="VHA7"/>
      <c r="VHB7"/>
      <c r="VHC7"/>
      <c r="VHD7"/>
      <c r="VHE7"/>
      <c r="VHF7"/>
      <c r="VHG7"/>
      <c r="VHH7"/>
      <c r="VHI7"/>
      <c r="VHJ7"/>
      <c r="VHK7"/>
      <c r="VHL7"/>
      <c r="VHM7"/>
      <c r="VHN7"/>
      <c r="VHO7"/>
      <c r="VHP7"/>
      <c r="VHQ7"/>
      <c r="VHR7"/>
      <c r="VHS7"/>
      <c r="VHT7"/>
      <c r="VHU7"/>
      <c r="VHV7"/>
      <c r="VHW7"/>
      <c r="VHX7"/>
      <c r="VHY7"/>
      <c r="VHZ7"/>
      <c r="VIA7"/>
      <c r="VIB7"/>
      <c r="VIC7"/>
      <c r="VID7"/>
      <c r="VIE7"/>
      <c r="VIF7"/>
      <c r="VIG7"/>
      <c r="VIH7"/>
      <c r="VII7"/>
      <c r="VIJ7"/>
      <c r="VIK7"/>
      <c r="VIL7"/>
      <c r="VIM7"/>
      <c r="VIN7"/>
      <c r="VIO7"/>
      <c r="VIP7"/>
      <c r="VIQ7"/>
      <c r="VIR7"/>
      <c r="VIS7"/>
      <c r="VIT7"/>
      <c r="VIU7"/>
      <c r="VIV7"/>
      <c r="VIW7"/>
      <c r="VIX7"/>
      <c r="VIY7"/>
      <c r="VIZ7"/>
      <c r="VJA7"/>
      <c r="VJB7"/>
      <c r="VJC7"/>
      <c r="VJD7"/>
      <c r="VJE7"/>
      <c r="VJF7"/>
      <c r="VJG7"/>
      <c r="VJH7"/>
      <c r="VJI7"/>
      <c r="VJJ7"/>
      <c r="VJK7"/>
      <c r="VJL7"/>
      <c r="VJM7"/>
      <c r="VJN7"/>
      <c r="VJO7"/>
      <c r="VJP7"/>
      <c r="VJQ7"/>
      <c r="VJR7"/>
      <c r="VJS7"/>
      <c r="VJT7"/>
      <c r="VJU7"/>
      <c r="VJV7"/>
      <c r="VJW7"/>
      <c r="VJX7"/>
      <c r="VJY7"/>
      <c r="VJZ7"/>
      <c r="VKA7"/>
      <c r="VKB7"/>
      <c r="VKC7"/>
      <c r="VKD7"/>
      <c r="VKE7"/>
      <c r="VKF7"/>
      <c r="VKG7"/>
      <c r="VKH7"/>
      <c r="VKI7"/>
      <c r="VKJ7"/>
      <c r="VKK7"/>
      <c r="VKL7"/>
      <c r="VKM7"/>
      <c r="VKN7"/>
      <c r="VKO7"/>
      <c r="VKP7"/>
      <c r="VKQ7"/>
      <c r="VKR7"/>
      <c r="VKS7"/>
      <c r="VKT7"/>
      <c r="VKU7"/>
      <c r="VKV7"/>
      <c r="VKW7"/>
      <c r="VKX7"/>
      <c r="VKY7"/>
      <c r="VKZ7"/>
      <c r="VLA7"/>
      <c r="VLB7"/>
      <c r="VLC7"/>
      <c r="VLD7"/>
      <c r="VLE7"/>
      <c r="VLF7"/>
      <c r="VLG7"/>
      <c r="VLH7"/>
      <c r="VLI7"/>
      <c r="VLJ7"/>
      <c r="VLK7"/>
      <c r="VLL7"/>
      <c r="VLM7"/>
      <c r="VLN7"/>
      <c r="VLO7"/>
      <c r="VLP7"/>
      <c r="VLQ7"/>
      <c r="VLR7"/>
      <c r="VLS7"/>
      <c r="VLT7"/>
      <c r="VLU7"/>
      <c r="VLV7"/>
      <c r="VLW7"/>
      <c r="VLX7"/>
      <c r="VLY7"/>
      <c r="VLZ7"/>
      <c r="VMA7"/>
      <c r="VMB7"/>
      <c r="VMC7"/>
      <c r="VMD7"/>
      <c r="VME7"/>
      <c r="VMF7"/>
      <c r="VMG7"/>
      <c r="VMH7"/>
      <c r="VMI7"/>
      <c r="VMJ7"/>
      <c r="VMK7"/>
      <c r="VML7"/>
      <c r="VMM7"/>
      <c r="VMN7"/>
      <c r="VMO7"/>
      <c r="VMP7"/>
      <c r="VMQ7"/>
      <c r="VMR7"/>
      <c r="VMS7"/>
      <c r="VMT7"/>
      <c r="VMU7"/>
      <c r="VMV7"/>
      <c r="VMW7"/>
      <c r="VMX7"/>
      <c r="VMY7"/>
      <c r="VMZ7"/>
      <c r="VNA7"/>
      <c r="VNB7"/>
      <c r="VNC7"/>
      <c r="VND7"/>
      <c r="VNE7"/>
      <c r="VNF7"/>
      <c r="VNG7"/>
      <c r="VNH7"/>
      <c r="VNI7"/>
      <c r="VNJ7"/>
      <c r="VNK7"/>
      <c r="VNL7"/>
      <c r="VNM7"/>
      <c r="VNN7"/>
      <c r="VNO7"/>
      <c r="VNP7"/>
      <c r="VNQ7"/>
      <c r="VNR7"/>
      <c r="VNS7"/>
      <c r="VNT7"/>
      <c r="VNU7"/>
      <c r="VNV7"/>
      <c r="VNW7"/>
      <c r="VNX7"/>
      <c r="VNY7"/>
      <c r="VNZ7"/>
      <c r="VOA7"/>
      <c r="VOB7"/>
      <c r="VOC7"/>
      <c r="VOD7"/>
      <c r="VOE7"/>
      <c r="VOF7"/>
      <c r="VOG7"/>
      <c r="VOH7"/>
      <c r="VOI7"/>
      <c r="VOJ7"/>
      <c r="VOK7"/>
      <c r="VOL7"/>
      <c r="VOM7"/>
      <c r="VON7"/>
      <c r="VOO7"/>
      <c r="VOP7"/>
      <c r="VOQ7"/>
      <c r="VOR7"/>
      <c r="VOS7"/>
      <c r="VOT7"/>
      <c r="VOU7"/>
      <c r="VOV7"/>
      <c r="VOW7"/>
      <c r="VOX7"/>
      <c r="VOY7"/>
      <c r="VOZ7"/>
      <c r="VPA7"/>
      <c r="VPB7"/>
      <c r="VPC7"/>
      <c r="VPD7"/>
      <c r="VPE7"/>
      <c r="VPF7"/>
      <c r="VPG7"/>
      <c r="VPH7"/>
      <c r="VPI7"/>
      <c r="VPJ7"/>
      <c r="VPK7"/>
      <c r="VPL7"/>
      <c r="VPM7"/>
      <c r="VPN7"/>
      <c r="VPO7"/>
      <c r="VPP7"/>
      <c r="VPQ7"/>
      <c r="VPR7"/>
      <c r="VPS7"/>
      <c r="VPT7"/>
      <c r="VPU7"/>
      <c r="VPV7"/>
      <c r="VPW7"/>
      <c r="VPX7"/>
      <c r="VPY7"/>
      <c r="VPZ7"/>
      <c r="VQA7"/>
      <c r="VQB7"/>
      <c r="VQC7"/>
      <c r="VQD7"/>
      <c r="VQE7"/>
      <c r="VQF7"/>
      <c r="VQG7"/>
      <c r="VQH7"/>
      <c r="VQI7"/>
      <c r="VQJ7"/>
      <c r="VQK7"/>
      <c r="VQL7"/>
      <c r="VQM7"/>
      <c r="VQN7"/>
      <c r="VQO7"/>
      <c r="VQP7"/>
      <c r="VQQ7"/>
      <c r="VQR7"/>
      <c r="VQS7"/>
      <c r="VQT7"/>
      <c r="VQU7"/>
      <c r="VQV7"/>
      <c r="VQW7"/>
      <c r="VQX7"/>
      <c r="VQY7"/>
      <c r="VQZ7"/>
      <c r="VRA7"/>
      <c r="VRB7"/>
      <c r="VRC7"/>
      <c r="VRD7"/>
      <c r="VRE7"/>
      <c r="VRF7"/>
      <c r="VRG7"/>
      <c r="VRH7"/>
      <c r="VRI7"/>
      <c r="VRJ7"/>
      <c r="VRK7"/>
      <c r="VRL7"/>
      <c r="VRM7"/>
      <c r="VRN7"/>
      <c r="VRO7"/>
      <c r="VRP7"/>
      <c r="VRQ7"/>
      <c r="VRR7"/>
      <c r="VRS7"/>
      <c r="VRT7"/>
      <c r="VRU7"/>
      <c r="VRV7"/>
      <c r="VRW7"/>
      <c r="VRX7"/>
      <c r="VRY7"/>
      <c r="VRZ7"/>
      <c r="VSA7"/>
      <c r="VSB7"/>
      <c r="VSC7"/>
      <c r="VSD7"/>
      <c r="VSE7"/>
      <c r="VSF7"/>
      <c r="VSG7"/>
      <c r="VSH7"/>
      <c r="VSI7"/>
      <c r="VSJ7"/>
      <c r="VSK7"/>
      <c r="VSL7"/>
      <c r="VSM7"/>
      <c r="VSN7"/>
      <c r="VSO7"/>
      <c r="VSP7"/>
      <c r="VSQ7"/>
      <c r="VSR7"/>
      <c r="VSS7"/>
      <c r="VST7"/>
      <c r="VSU7"/>
      <c r="VSV7"/>
      <c r="VSW7"/>
      <c r="VSX7"/>
      <c r="VSY7"/>
      <c r="VSZ7"/>
      <c r="VTA7"/>
      <c r="VTB7"/>
      <c r="VTC7"/>
      <c r="VTD7"/>
      <c r="VTE7"/>
      <c r="VTF7"/>
      <c r="VTG7"/>
      <c r="VTH7"/>
      <c r="VTI7"/>
      <c r="VTJ7"/>
      <c r="VTK7"/>
      <c r="VTL7"/>
      <c r="VTM7"/>
      <c r="VTN7"/>
      <c r="VTO7"/>
      <c r="VTP7"/>
      <c r="VTQ7"/>
      <c r="VTR7"/>
      <c r="VTS7"/>
      <c r="VTT7"/>
      <c r="VTU7"/>
      <c r="VTV7"/>
      <c r="VTW7"/>
      <c r="VTX7"/>
      <c r="VTY7"/>
      <c r="VTZ7"/>
      <c r="VUA7"/>
      <c r="VUB7"/>
      <c r="VUC7"/>
      <c r="VUD7"/>
      <c r="VUE7"/>
      <c r="VUF7"/>
      <c r="VUG7"/>
      <c r="VUH7"/>
      <c r="VUI7"/>
      <c r="VUJ7"/>
      <c r="VUK7"/>
      <c r="VUL7"/>
      <c r="VUM7"/>
      <c r="VUN7"/>
      <c r="VUO7"/>
      <c r="VUP7"/>
      <c r="VUQ7"/>
      <c r="VUR7"/>
      <c r="VUS7"/>
      <c r="VUT7"/>
      <c r="VUU7"/>
      <c r="VUV7"/>
      <c r="VUW7"/>
      <c r="VUX7"/>
      <c r="VUY7"/>
      <c r="VUZ7"/>
      <c r="VVA7"/>
      <c r="VVB7"/>
      <c r="VVC7"/>
      <c r="VVD7"/>
      <c r="VVE7"/>
      <c r="VVF7"/>
      <c r="VVG7"/>
      <c r="VVH7"/>
      <c r="VVI7"/>
      <c r="VVJ7"/>
      <c r="VVK7"/>
      <c r="VVL7"/>
      <c r="VVM7"/>
      <c r="VVN7"/>
      <c r="VVO7"/>
      <c r="VVP7"/>
      <c r="VVQ7"/>
      <c r="VVR7"/>
      <c r="VVS7"/>
      <c r="VVT7"/>
      <c r="VVU7"/>
      <c r="VVV7"/>
      <c r="VVW7"/>
      <c r="VVX7"/>
      <c r="VVY7"/>
      <c r="VVZ7"/>
      <c r="VWA7"/>
      <c r="VWB7"/>
      <c r="VWC7"/>
      <c r="VWD7"/>
      <c r="VWE7"/>
      <c r="VWF7"/>
      <c r="VWG7"/>
      <c r="VWH7"/>
      <c r="VWI7"/>
      <c r="VWJ7"/>
      <c r="VWK7"/>
      <c r="VWL7"/>
      <c r="VWM7"/>
      <c r="VWN7"/>
      <c r="VWO7"/>
      <c r="VWP7"/>
      <c r="VWQ7"/>
      <c r="VWR7"/>
      <c r="VWS7"/>
      <c r="VWT7"/>
      <c r="VWU7"/>
      <c r="VWV7"/>
      <c r="VWW7"/>
      <c r="VWX7"/>
      <c r="VWY7"/>
      <c r="VWZ7"/>
      <c r="VXA7"/>
      <c r="VXB7"/>
      <c r="VXC7"/>
      <c r="VXD7"/>
      <c r="VXE7"/>
      <c r="VXF7"/>
      <c r="VXG7"/>
      <c r="VXH7"/>
      <c r="VXI7"/>
      <c r="VXJ7"/>
      <c r="VXK7"/>
      <c r="VXL7"/>
      <c r="VXM7"/>
      <c r="VXN7"/>
      <c r="VXO7"/>
      <c r="VXP7"/>
      <c r="VXQ7"/>
      <c r="VXR7"/>
      <c r="VXS7"/>
      <c r="VXT7"/>
      <c r="VXU7"/>
      <c r="VXV7"/>
      <c r="VXW7"/>
      <c r="VXX7"/>
      <c r="VXY7"/>
      <c r="VXZ7"/>
      <c r="VYA7"/>
      <c r="VYB7"/>
      <c r="VYC7"/>
      <c r="VYD7"/>
      <c r="VYE7"/>
      <c r="VYF7"/>
      <c r="VYG7"/>
      <c r="VYH7"/>
      <c r="VYI7"/>
      <c r="VYJ7"/>
      <c r="VYK7"/>
      <c r="VYL7"/>
      <c r="VYM7"/>
      <c r="VYN7"/>
      <c r="VYO7"/>
      <c r="VYP7"/>
      <c r="VYQ7"/>
      <c r="VYR7"/>
      <c r="VYS7"/>
      <c r="VYT7"/>
      <c r="VYU7"/>
      <c r="VYV7"/>
      <c r="VYW7"/>
      <c r="VYX7"/>
      <c r="VYY7"/>
      <c r="VYZ7"/>
      <c r="VZA7"/>
      <c r="VZB7"/>
      <c r="VZC7"/>
      <c r="VZD7"/>
      <c r="VZE7"/>
      <c r="VZF7"/>
      <c r="VZG7"/>
      <c r="VZH7"/>
      <c r="VZI7"/>
      <c r="VZJ7"/>
      <c r="VZK7"/>
      <c r="VZL7"/>
      <c r="VZM7"/>
      <c r="VZN7"/>
      <c r="VZO7"/>
      <c r="VZP7"/>
      <c r="VZQ7"/>
      <c r="VZR7"/>
      <c r="VZS7"/>
      <c r="VZT7"/>
      <c r="VZU7"/>
      <c r="VZV7"/>
      <c r="VZW7"/>
      <c r="VZX7"/>
      <c r="VZY7"/>
      <c r="VZZ7"/>
      <c r="WAA7"/>
      <c r="WAB7"/>
      <c r="WAC7"/>
      <c r="WAD7"/>
      <c r="WAE7"/>
      <c r="WAF7"/>
      <c r="WAG7"/>
      <c r="WAH7"/>
      <c r="WAI7"/>
      <c r="WAJ7"/>
      <c r="WAK7"/>
      <c r="WAL7"/>
      <c r="WAM7"/>
      <c r="WAN7"/>
      <c r="WAO7"/>
      <c r="WAP7"/>
      <c r="WAQ7"/>
      <c r="WAR7"/>
      <c r="WAS7"/>
      <c r="WAT7"/>
      <c r="WAU7"/>
      <c r="WAV7"/>
      <c r="WAW7"/>
      <c r="WAX7"/>
      <c r="WAY7"/>
      <c r="WAZ7"/>
      <c r="WBA7"/>
      <c r="WBB7"/>
      <c r="WBC7"/>
      <c r="WBD7"/>
      <c r="WBE7"/>
      <c r="WBF7"/>
      <c r="WBG7"/>
      <c r="WBH7"/>
      <c r="WBI7"/>
      <c r="WBJ7"/>
      <c r="WBK7"/>
      <c r="WBL7"/>
      <c r="WBM7"/>
      <c r="WBN7"/>
      <c r="WBO7"/>
      <c r="WBP7"/>
      <c r="WBQ7"/>
      <c r="WBR7"/>
      <c r="WBS7"/>
      <c r="WBT7"/>
      <c r="WBU7"/>
      <c r="WBV7"/>
      <c r="WBW7"/>
      <c r="WBX7"/>
      <c r="WBY7"/>
      <c r="WBZ7"/>
      <c r="WCA7"/>
      <c r="WCB7"/>
      <c r="WCC7"/>
      <c r="WCD7"/>
      <c r="WCE7"/>
      <c r="WCF7"/>
      <c r="WCG7"/>
      <c r="WCH7"/>
      <c r="WCI7"/>
      <c r="WCJ7"/>
      <c r="WCK7"/>
      <c r="WCL7"/>
      <c r="WCM7"/>
      <c r="WCN7"/>
      <c r="WCO7"/>
      <c r="WCP7"/>
      <c r="WCQ7"/>
      <c r="WCR7"/>
      <c r="WCS7"/>
      <c r="WCT7"/>
      <c r="WCU7"/>
      <c r="WCV7"/>
      <c r="WCW7"/>
      <c r="WCX7"/>
      <c r="WCY7"/>
      <c r="WCZ7"/>
      <c r="WDA7"/>
      <c r="WDB7"/>
      <c r="WDC7"/>
      <c r="WDD7"/>
      <c r="WDE7"/>
      <c r="WDF7"/>
      <c r="WDG7"/>
      <c r="WDH7"/>
      <c r="WDI7"/>
      <c r="WDJ7"/>
      <c r="WDK7"/>
      <c r="WDL7"/>
      <c r="WDM7"/>
      <c r="WDN7"/>
      <c r="WDO7"/>
      <c r="WDP7"/>
      <c r="WDQ7"/>
      <c r="WDR7"/>
      <c r="WDS7"/>
      <c r="WDT7"/>
      <c r="WDU7"/>
      <c r="WDV7"/>
      <c r="WDW7"/>
      <c r="WDX7"/>
      <c r="WDY7"/>
      <c r="WDZ7"/>
      <c r="WEA7"/>
      <c r="WEB7"/>
      <c r="WEC7"/>
      <c r="WED7"/>
      <c r="WEE7"/>
      <c r="WEF7"/>
      <c r="WEG7"/>
      <c r="WEH7"/>
      <c r="WEI7"/>
      <c r="WEJ7"/>
      <c r="WEK7"/>
      <c r="WEL7"/>
      <c r="WEM7"/>
      <c r="WEN7"/>
      <c r="WEO7"/>
      <c r="WEP7"/>
      <c r="WEQ7"/>
      <c r="WER7"/>
      <c r="WES7"/>
      <c r="WET7"/>
      <c r="WEU7"/>
      <c r="WEV7"/>
      <c r="WEW7"/>
      <c r="WEX7"/>
      <c r="WEY7"/>
      <c r="WEZ7"/>
      <c r="WFA7"/>
      <c r="WFB7"/>
      <c r="WFC7"/>
      <c r="WFD7"/>
      <c r="WFE7"/>
      <c r="WFF7"/>
      <c r="WFG7"/>
      <c r="WFH7"/>
      <c r="WFI7"/>
      <c r="WFJ7"/>
      <c r="WFK7"/>
      <c r="WFL7"/>
      <c r="WFM7"/>
      <c r="WFN7"/>
      <c r="WFO7"/>
      <c r="WFP7"/>
      <c r="WFQ7"/>
      <c r="WFR7"/>
      <c r="WFS7"/>
      <c r="WFT7"/>
      <c r="WFU7"/>
      <c r="WFV7"/>
      <c r="WFW7"/>
      <c r="WFX7"/>
      <c r="WFY7"/>
      <c r="WFZ7"/>
      <c r="WGA7"/>
      <c r="WGB7"/>
      <c r="WGC7"/>
      <c r="WGD7"/>
      <c r="WGE7"/>
      <c r="WGF7"/>
      <c r="WGG7"/>
      <c r="WGH7"/>
      <c r="WGI7"/>
      <c r="WGJ7"/>
      <c r="WGK7"/>
      <c r="WGL7"/>
      <c r="WGM7"/>
      <c r="WGN7"/>
      <c r="WGO7"/>
      <c r="WGP7"/>
      <c r="WGQ7"/>
      <c r="WGR7"/>
      <c r="WGS7"/>
      <c r="WGT7"/>
      <c r="WGU7"/>
      <c r="WGV7"/>
      <c r="WGW7"/>
      <c r="WGX7"/>
      <c r="WGY7"/>
      <c r="WGZ7"/>
      <c r="WHA7"/>
      <c r="WHB7"/>
      <c r="WHC7"/>
      <c r="WHD7"/>
      <c r="WHE7"/>
      <c r="WHF7"/>
      <c r="WHG7"/>
      <c r="WHH7"/>
      <c r="WHI7"/>
      <c r="WHJ7"/>
      <c r="WHK7"/>
      <c r="WHL7"/>
      <c r="WHM7"/>
      <c r="WHN7"/>
      <c r="WHO7"/>
      <c r="WHP7"/>
      <c r="WHQ7"/>
      <c r="WHR7"/>
      <c r="WHS7"/>
      <c r="WHT7"/>
      <c r="WHU7"/>
      <c r="WHV7"/>
      <c r="WHW7"/>
      <c r="WHX7"/>
      <c r="WHY7"/>
      <c r="WHZ7"/>
      <c r="WIA7"/>
      <c r="WIB7"/>
      <c r="WIC7"/>
      <c r="WID7"/>
      <c r="WIE7"/>
      <c r="WIF7"/>
      <c r="WIG7"/>
      <c r="WIH7"/>
      <c r="WII7"/>
      <c r="WIJ7"/>
      <c r="WIK7"/>
      <c r="WIL7"/>
      <c r="WIM7"/>
      <c r="WIN7"/>
      <c r="WIO7"/>
      <c r="WIP7"/>
      <c r="WIQ7"/>
      <c r="WIR7"/>
      <c r="WIS7"/>
      <c r="WIT7"/>
      <c r="WIU7"/>
      <c r="WIV7"/>
      <c r="WIW7"/>
      <c r="WIX7"/>
      <c r="WIY7"/>
      <c r="WIZ7"/>
      <c r="WJA7"/>
      <c r="WJB7"/>
      <c r="WJC7"/>
      <c r="WJD7"/>
      <c r="WJE7"/>
      <c r="WJF7"/>
      <c r="WJG7"/>
      <c r="WJH7"/>
      <c r="WJI7"/>
      <c r="WJJ7"/>
      <c r="WJK7"/>
      <c r="WJL7"/>
      <c r="WJM7"/>
      <c r="WJN7"/>
      <c r="WJO7"/>
      <c r="WJP7"/>
      <c r="WJQ7"/>
      <c r="WJR7"/>
      <c r="WJS7"/>
      <c r="WJT7"/>
      <c r="WJU7"/>
      <c r="WJV7"/>
      <c r="WJW7"/>
      <c r="WJX7"/>
      <c r="WJY7"/>
      <c r="WJZ7"/>
      <c r="WKA7"/>
      <c r="WKB7"/>
      <c r="WKC7"/>
      <c r="WKD7"/>
      <c r="WKE7"/>
      <c r="WKF7"/>
      <c r="WKG7"/>
      <c r="WKH7"/>
      <c r="WKI7"/>
      <c r="WKJ7"/>
      <c r="WKK7"/>
      <c r="WKL7"/>
      <c r="WKM7"/>
      <c r="WKN7"/>
      <c r="WKO7"/>
      <c r="WKP7"/>
      <c r="WKQ7"/>
      <c r="WKR7"/>
      <c r="WKS7"/>
      <c r="WKT7"/>
      <c r="WKU7"/>
      <c r="WKV7"/>
      <c r="WKW7"/>
      <c r="WKX7"/>
      <c r="WKY7"/>
      <c r="WKZ7"/>
      <c r="WLA7"/>
      <c r="WLB7"/>
      <c r="WLC7"/>
      <c r="WLD7"/>
      <c r="WLE7"/>
      <c r="WLF7"/>
      <c r="WLG7"/>
      <c r="WLH7"/>
      <c r="WLI7"/>
      <c r="WLJ7"/>
      <c r="WLK7"/>
      <c r="WLL7"/>
      <c r="WLM7"/>
      <c r="WLN7"/>
      <c r="WLO7"/>
      <c r="WLP7"/>
      <c r="WLQ7"/>
      <c r="WLR7"/>
      <c r="WLS7"/>
      <c r="WLT7"/>
      <c r="WLU7"/>
      <c r="WLV7"/>
      <c r="WLW7"/>
      <c r="WLX7"/>
      <c r="WLY7"/>
      <c r="WLZ7"/>
      <c r="WMA7"/>
      <c r="WMB7"/>
      <c r="WMC7"/>
      <c r="WMD7"/>
      <c r="WME7"/>
      <c r="WMF7"/>
      <c r="WMG7"/>
      <c r="WMH7"/>
      <c r="WMI7"/>
      <c r="WMJ7"/>
      <c r="WMK7"/>
      <c r="WML7"/>
      <c r="WMM7"/>
      <c r="WMN7"/>
      <c r="WMO7"/>
      <c r="WMP7"/>
      <c r="WMQ7"/>
      <c r="WMR7"/>
      <c r="WMS7"/>
      <c r="WMT7"/>
      <c r="WMU7"/>
      <c r="WMV7"/>
      <c r="WMW7"/>
      <c r="WMX7"/>
      <c r="WMY7"/>
      <c r="WMZ7"/>
      <c r="WNA7"/>
      <c r="WNB7"/>
      <c r="WNC7"/>
      <c r="WND7"/>
      <c r="WNE7"/>
      <c r="WNF7"/>
      <c r="WNG7"/>
      <c r="WNH7"/>
      <c r="WNI7"/>
      <c r="WNJ7"/>
      <c r="WNK7"/>
      <c r="WNL7"/>
      <c r="WNM7"/>
      <c r="WNN7"/>
      <c r="WNO7"/>
      <c r="WNP7"/>
      <c r="WNQ7"/>
      <c r="WNR7"/>
      <c r="WNS7"/>
      <c r="WNT7"/>
      <c r="WNU7"/>
      <c r="WNV7"/>
      <c r="WNW7"/>
      <c r="WNX7"/>
      <c r="WNY7"/>
      <c r="WNZ7"/>
      <c r="WOA7"/>
      <c r="WOB7"/>
      <c r="WOC7"/>
      <c r="WOD7"/>
      <c r="WOE7"/>
      <c r="WOF7"/>
      <c r="WOG7"/>
      <c r="WOH7"/>
      <c r="WOI7"/>
      <c r="WOJ7"/>
      <c r="WOK7"/>
      <c r="WOL7"/>
      <c r="WOM7"/>
      <c r="WON7"/>
      <c r="WOO7"/>
      <c r="WOP7"/>
      <c r="WOQ7"/>
      <c r="WOR7"/>
      <c r="WOS7"/>
      <c r="WOT7"/>
      <c r="WOU7"/>
      <c r="WOV7"/>
      <c r="WOW7"/>
      <c r="WOX7"/>
      <c r="WOY7"/>
      <c r="WOZ7"/>
      <c r="WPA7"/>
      <c r="WPB7"/>
      <c r="WPC7"/>
      <c r="WPD7"/>
      <c r="WPE7"/>
      <c r="WPF7"/>
      <c r="WPG7"/>
      <c r="WPH7"/>
      <c r="WPI7"/>
      <c r="WPJ7"/>
      <c r="WPK7"/>
      <c r="WPL7"/>
      <c r="WPM7"/>
      <c r="WPN7"/>
      <c r="WPO7"/>
      <c r="WPP7"/>
      <c r="WPQ7"/>
      <c r="WPR7"/>
      <c r="WPS7"/>
      <c r="WPT7"/>
      <c r="WPU7"/>
      <c r="WPV7"/>
      <c r="WPW7"/>
      <c r="WPX7"/>
      <c r="WPY7"/>
      <c r="WPZ7"/>
      <c r="WQA7"/>
      <c r="WQB7"/>
      <c r="WQC7"/>
      <c r="WQD7"/>
      <c r="WQE7"/>
      <c r="WQF7"/>
      <c r="WQG7"/>
      <c r="WQH7"/>
      <c r="WQI7"/>
      <c r="WQJ7"/>
      <c r="WQK7"/>
      <c r="WQL7"/>
      <c r="WQM7"/>
      <c r="WQN7"/>
      <c r="WQO7"/>
      <c r="WQP7"/>
      <c r="WQQ7"/>
      <c r="WQR7"/>
      <c r="WQS7"/>
      <c r="WQT7"/>
      <c r="WQU7"/>
      <c r="WQV7"/>
      <c r="WQW7"/>
      <c r="WQX7"/>
      <c r="WQY7"/>
      <c r="WQZ7"/>
      <c r="WRA7"/>
      <c r="WRB7"/>
      <c r="WRC7"/>
      <c r="WRD7"/>
      <c r="WRE7"/>
      <c r="WRF7"/>
      <c r="WRG7"/>
      <c r="WRH7"/>
      <c r="WRI7"/>
      <c r="WRJ7"/>
      <c r="WRK7"/>
      <c r="WRL7"/>
      <c r="WRM7"/>
      <c r="WRN7"/>
      <c r="WRO7"/>
      <c r="WRP7"/>
      <c r="WRQ7"/>
      <c r="WRR7"/>
      <c r="WRS7"/>
      <c r="WRT7"/>
      <c r="WRU7"/>
      <c r="WRV7"/>
      <c r="WRW7"/>
      <c r="WRX7"/>
      <c r="WRY7"/>
      <c r="WRZ7"/>
      <c r="WSA7"/>
      <c r="WSB7"/>
      <c r="WSC7"/>
      <c r="WSD7"/>
      <c r="WSE7"/>
      <c r="WSF7"/>
      <c r="WSG7"/>
      <c r="WSH7"/>
      <c r="WSI7"/>
      <c r="WSJ7"/>
      <c r="WSK7"/>
      <c r="WSL7"/>
      <c r="WSM7"/>
      <c r="WSN7"/>
      <c r="WSO7"/>
      <c r="WSP7"/>
      <c r="WSQ7"/>
      <c r="WSR7"/>
      <c r="WSS7"/>
      <c r="WST7"/>
      <c r="WSU7"/>
      <c r="WSV7"/>
      <c r="WSW7"/>
      <c r="WSX7"/>
      <c r="WSY7"/>
      <c r="WSZ7"/>
      <c r="WTA7"/>
      <c r="WTB7"/>
      <c r="WTC7"/>
      <c r="WTD7"/>
      <c r="WTE7"/>
      <c r="WTF7"/>
      <c r="WTG7"/>
      <c r="WTH7"/>
      <c r="WTI7"/>
      <c r="WTJ7"/>
      <c r="WTK7"/>
      <c r="WTL7"/>
      <c r="WTM7"/>
      <c r="WTN7"/>
      <c r="WTO7"/>
      <c r="WTP7"/>
      <c r="WTQ7"/>
      <c r="WTR7"/>
      <c r="WTS7"/>
      <c r="WTT7"/>
      <c r="WTU7"/>
      <c r="WTV7"/>
      <c r="WTW7"/>
      <c r="WTX7"/>
      <c r="WTY7"/>
      <c r="WTZ7"/>
      <c r="WUA7"/>
      <c r="WUB7"/>
      <c r="WUC7"/>
      <c r="WUD7"/>
      <c r="WUE7"/>
      <c r="WUF7"/>
      <c r="WUG7"/>
      <c r="WUH7"/>
      <c r="WUI7"/>
      <c r="WUJ7"/>
      <c r="WUK7"/>
      <c r="WUL7"/>
      <c r="WUM7"/>
      <c r="WUN7"/>
      <c r="WUO7"/>
      <c r="WUP7"/>
      <c r="WUQ7"/>
      <c r="WUR7"/>
      <c r="WUS7"/>
      <c r="WUT7"/>
      <c r="WUU7"/>
      <c r="WUV7"/>
      <c r="WUW7"/>
      <c r="WUX7"/>
      <c r="WUY7"/>
      <c r="WUZ7"/>
      <c r="WVA7"/>
      <c r="WVB7"/>
      <c r="WVC7"/>
      <c r="WVD7"/>
      <c r="WVE7"/>
      <c r="WVF7"/>
      <c r="WVG7"/>
      <c r="WVH7"/>
      <c r="WVI7"/>
      <c r="WVJ7"/>
      <c r="WVK7"/>
      <c r="WVL7"/>
      <c r="WVM7"/>
      <c r="WVN7"/>
      <c r="WVO7"/>
      <c r="WVP7"/>
      <c r="WVQ7"/>
      <c r="WVR7"/>
      <c r="WVS7"/>
      <c r="WVT7"/>
      <c r="WVU7"/>
      <c r="WVV7"/>
      <c r="WVW7"/>
      <c r="WVX7"/>
      <c r="WVY7"/>
      <c r="WVZ7"/>
      <c r="WWA7"/>
      <c r="WWB7"/>
      <c r="WWC7"/>
      <c r="WWD7"/>
      <c r="WWE7"/>
      <c r="WWF7"/>
      <c r="WWG7"/>
      <c r="WWH7"/>
      <c r="WWI7"/>
      <c r="WWJ7"/>
      <c r="WWK7"/>
      <c r="WWL7"/>
      <c r="WWM7"/>
      <c r="WWN7"/>
      <c r="WWO7"/>
      <c r="WWP7"/>
      <c r="WWQ7"/>
      <c r="WWR7"/>
      <c r="WWS7"/>
      <c r="WWT7"/>
      <c r="WWU7"/>
      <c r="WWV7"/>
      <c r="WWW7"/>
      <c r="WWX7"/>
      <c r="WWY7"/>
      <c r="WWZ7"/>
      <c r="WXA7"/>
      <c r="WXB7"/>
      <c r="WXC7"/>
      <c r="WXD7"/>
      <c r="WXE7"/>
      <c r="WXF7"/>
      <c r="WXG7"/>
      <c r="WXH7"/>
      <c r="WXI7"/>
      <c r="WXJ7"/>
      <c r="WXK7"/>
      <c r="WXL7"/>
      <c r="WXM7"/>
      <c r="WXN7"/>
      <c r="WXO7"/>
      <c r="WXP7"/>
      <c r="WXQ7"/>
      <c r="WXR7"/>
      <c r="WXS7"/>
      <c r="WXT7"/>
      <c r="WXU7"/>
      <c r="WXV7"/>
      <c r="WXW7"/>
      <c r="WXX7"/>
      <c r="WXY7"/>
      <c r="WXZ7"/>
      <c r="WYA7"/>
      <c r="WYB7"/>
      <c r="WYC7"/>
      <c r="WYD7"/>
      <c r="WYE7"/>
      <c r="WYF7"/>
      <c r="WYG7"/>
      <c r="WYH7"/>
      <c r="WYI7"/>
      <c r="WYJ7"/>
      <c r="WYK7"/>
      <c r="WYL7"/>
      <c r="WYM7"/>
      <c r="WYN7"/>
      <c r="WYO7"/>
      <c r="WYP7"/>
      <c r="WYQ7"/>
      <c r="WYR7"/>
      <c r="WYS7"/>
      <c r="WYT7"/>
      <c r="WYU7"/>
      <c r="WYV7"/>
      <c r="WYW7"/>
      <c r="WYX7"/>
      <c r="WYY7"/>
      <c r="WYZ7"/>
      <c r="WZA7"/>
      <c r="WZB7"/>
      <c r="WZC7"/>
      <c r="WZD7"/>
      <c r="WZE7"/>
      <c r="WZF7"/>
      <c r="WZG7"/>
      <c r="WZH7"/>
      <c r="WZI7"/>
      <c r="WZJ7"/>
      <c r="WZK7"/>
      <c r="WZL7"/>
      <c r="WZM7"/>
      <c r="WZN7"/>
      <c r="WZO7"/>
      <c r="WZP7"/>
      <c r="WZQ7"/>
      <c r="WZR7"/>
      <c r="WZS7"/>
      <c r="WZT7"/>
      <c r="WZU7"/>
      <c r="WZV7"/>
      <c r="WZW7"/>
      <c r="WZX7"/>
      <c r="WZY7"/>
      <c r="WZZ7"/>
      <c r="XAA7"/>
      <c r="XAB7"/>
      <c r="XAC7"/>
      <c r="XAD7"/>
      <c r="XAE7"/>
      <c r="XAF7"/>
      <c r="XAG7"/>
      <c r="XAH7"/>
      <c r="XAI7"/>
      <c r="XAJ7"/>
      <c r="XAK7"/>
      <c r="XAL7"/>
      <c r="XAM7"/>
      <c r="XAN7"/>
      <c r="XAO7"/>
      <c r="XAP7"/>
      <c r="XAQ7"/>
      <c r="XAR7"/>
      <c r="XAS7"/>
      <c r="XAT7"/>
      <c r="XAU7"/>
      <c r="XAV7"/>
      <c r="XAW7"/>
      <c r="XAX7"/>
      <c r="XAY7"/>
      <c r="XAZ7"/>
      <c r="XBA7"/>
      <c r="XBB7"/>
      <c r="XBC7"/>
      <c r="XBD7"/>
      <c r="XBE7"/>
      <c r="XBF7"/>
      <c r="XBG7"/>
      <c r="XBH7"/>
      <c r="XBI7"/>
      <c r="XBJ7"/>
      <c r="XBK7"/>
      <c r="XBL7"/>
      <c r="XBM7"/>
      <c r="XBN7"/>
      <c r="XBO7"/>
      <c r="XBP7"/>
      <c r="XBQ7"/>
      <c r="XBR7"/>
      <c r="XBS7"/>
      <c r="XBT7"/>
      <c r="XBU7"/>
      <c r="XBV7"/>
      <c r="XBW7"/>
      <c r="XBX7"/>
      <c r="XBY7"/>
      <c r="XBZ7"/>
      <c r="XCA7"/>
      <c r="XCB7"/>
      <c r="XCC7"/>
      <c r="XCD7"/>
      <c r="XCE7"/>
      <c r="XCF7"/>
      <c r="XCG7"/>
      <c r="XCH7"/>
      <c r="XCI7"/>
      <c r="XCJ7"/>
      <c r="XCK7"/>
      <c r="XCL7"/>
      <c r="XCM7"/>
      <c r="XCN7"/>
      <c r="XCO7"/>
      <c r="XCP7"/>
      <c r="XCQ7"/>
      <c r="XCR7"/>
      <c r="XCS7"/>
      <c r="XCT7"/>
      <c r="XCU7"/>
      <c r="XCV7"/>
      <c r="XCW7"/>
      <c r="XCX7"/>
      <c r="XCY7"/>
      <c r="XCZ7"/>
      <c r="XDA7"/>
      <c r="XDB7"/>
      <c r="XDC7"/>
      <c r="XDD7"/>
      <c r="XDE7"/>
      <c r="XDF7"/>
      <c r="XDG7"/>
      <c r="XDH7"/>
      <c r="XDI7"/>
      <c r="XDJ7"/>
      <c r="XDK7"/>
      <c r="XDL7"/>
      <c r="XDM7"/>
      <c r="XDN7"/>
      <c r="XDO7"/>
      <c r="XDP7"/>
      <c r="XDQ7"/>
      <c r="XDR7"/>
      <c r="XDS7"/>
      <c r="XDT7"/>
      <c r="XDU7"/>
      <c r="XDV7"/>
      <c r="XDW7"/>
      <c r="XDX7"/>
      <c r="XDY7"/>
      <c r="XDZ7"/>
      <c r="XEA7"/>
      <c r="XEB7"/>
      <c r="XEC7"/>
      <c r="XED7"/>
      <c r="XEE7"/>
      <c r="XEF7"/>
      <c r="XEG7"/>
      <c r="XEH7"/>
      <c r="XEI7"/>
      <c r="XEJ7"/>
      <c r="XEK7"/>
      <c r="XEL7"/>
      <c r="XEM7"/>
      <c r="XEN7"/>
      <c r="XEO7"/>
      <c r="XEP7"/>
      <c r="XEQ7"/>
      <c r="XER7"/>
      <c r="XES7"/>
      <c r="XET7"/>
      <c r="XEU7"/>
      <c r="XEV7"/>
      <c r="XEW7"/>
      <c r="XEX7"/>
      <c r="XEY7"/>
      <c r="XEZ7"/>
      <c r="XFA7"/>
      <c r="XFB7"/>
      <c r="XFC7"/>
      <c r="XFD7"/>
    </row>
    <row r="8" spans="1:16384" s="1692" customFormat="1" x14ac:dyDescent="0.2">
      <c r="A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/>
      <c r="AMX8"/>
      <c r="AMY8"/>
      <c r="AMZ8"/>
      <c r="ANA8"/>
      <c r="ANB8"/>
      <c r="ANC8"/>
      <c r="AND8"/>
      <c r="ANE8"/>
      <c r="ANF8"/>
      <c r="ANG8"/>
      <c r="ANH8"/>
      <c r="ANI8"/>
      <c r="ANJ8"/>
      <c r="ANK8"/>
      <c r="ANL8"/>
      <c r="ANM8"/>
      <c r="ANN8"/>
      <c r="ANO8"/>
      <c r="ANP8"/>
      <c r="ANQ8"/>
      <c r="ANR8"/>
      <c r="ANS8"/>
      <c r="ANT8"/>
      <c r="ANU8"/>
      <c r="ANV8"/>
      <c r="ANW8"/>
      <c r="ANX8"/>
      <c r="ANY8"/>
      <c r="ANZ8"/>
      <c r="AOA8"/>
      <c r="AOB8"/>
      <c r="AOC8"/>
      <c r="AOD8"/>
      <c r="AOE8"/>
      <c r="AOF8"/>
      <c r="AOG8"/>
      <c r="AOH8"/>
      <c r="AOI8"/>
      <c r="AOJ8"/>
      <c r="AOK8"/>
      <c r="AOL8"/>
      <c r="AOM8"/>
      <c r="AON8"/>
      <c r="AOO8"/>
      <c r="AOP8"/>
      <c r="AOQ8"/>
      <c r="AOR8"/>
      <c r="AOS8"/>
      <c r="AOT8"/>
      <c r="AOU8"/>
      <c r="AOV8"/>
      <c r="AOW8"/>
      <c r="AOX8"/>
      <c r="AOY8"/>
      <c r="AOZ8"/>
      <c r="APA8"/>
      <c r="APB8"/>
      <c r="APC8"/>
      <c r="APD8"/>
      <c r="APE8"/>
      <c r="APF8"/>
      <c r="APG8"/>
      <c r="APH8"/>
      <c r="API8"/>
      <c r="APJ8"/>
      <c r="APK8"/>
      <c r="APL8"/>
      <c r="APM8"/>
      <c r="APN8"/>
      <c r="APO8"/>
      <c r="APP8"/>
      <c r="APQ8"/>
      <c r="APR8"/>
      <c r="APS8"/>
      <c r="APT8"/>
      <c r="APU8"/>
      <c r="APV8"/>
      <c r="APW8"/>
      <c r="APX8"/>
      <c r="APY8"/>
      <c r="APZ8"/>
      <c r="AQA8"/>
      <c r="AQB8"/>
      <c r="AQC8"/>
      <c r="AQD8"/>
      <c r="AQE8"/>
      <c r="AQF8"/>
      <c r="AQG8"/>
      <c r="AQH8"/>
      <c r="AQI8"/>
      <c r="AQJ8"/>
      <c r="AQK8"/>
      <c r="AQL8"/>
      <c r="AQM8"/>
      <c r="AQN8"/>
      <c r="AQO8"/>
      <c r="AQP8"/>
      <c r="AQQ8"/>
      <c r="AQR8"/>
      <c r="AQS8"/>
      <c r="AQT8"/>
      <c r="AQU8"/>
      <c r="AQV8"/>
      <c r="AQW8"/>
      <c r="AQX8"/>
      <c r="AQY8"/>
      <c r="AQZ8"/>
      <c r="ARA8"/>
      <c r="ARB8"/>
      <c r="ARC8"/>
      <c r="ARD8"/>
      <c r="ARE8"/>
      <c r="ARF8"/>
      <c r="ARG8"/>
      <c r="ARH8"/>
      <c r="ARI8"/>
      <c r="ARJ8"/>
      <c r="ARK8"/>
      <c r="ARL8"/>
      <c r="ARM8"/>
      <c r="ARN8"/>
      <c r="ARO8"/>
      <c r="ARP8"/>
      <c r="ARQ8"/>
      <c r="ARR8"/>
      <c r="ARS8"/>
      <c r="ART8"/>
      <c r="ARU8"/>
      <c r="ARV8"/>
      <c r="ARW8"/>
      <c r="ARX8"/>
      <c r="ARY8"/>
      <c r="ARZ8"/>
      <c r="ASA8"/>
      <c r="ASB8"/>
      <c r="ASC8"/>
      <c r="ASD8"/>
      <c r="ASE8"/>
      <c r="ASF8"/>
      <c r="ASG8"/>
      <c r="ASH8"/>
      <c r="ASI8"/>
      <c r="ASJ8"/>
      <c r="ASK8"/>
      <c r="ASL8"/>
      <c r="ASM8"/>
      <c r="ASN8"/>
      <c r="ASO8"/>
      <c r="ASP8"/>
      <c r="ASQ8"/>
      <c r="ASR8"/>
      <c r="ASS8"/>
      <c r="AST8"/>
      <c r="ASU8"/>
      <c r="ASV8"/>
      <c r="ASW8"/>
      <c r="ASX8"/>
      <c r="ASY8"/>
      <c r="ASZ8"/>
      <c r="ATA8"/>
      <c r="ATB8"/>
      <c r="ATC8"/>
      <c r="ATD8"/>
      <c r="ATE8"/>
      <c r="ATF8"/>
      <c r="ATG8"/>
      <c r="ATH8"/>
      <c r="ATI8"/>
      <c r="ATJ8"/>
      <c r="ATK8"/>
      <c r="ATL8"/>
      <c r="ATM8"/>
      <c r="ATN8"/>
      <c r="ATO8"/>
      <c r="ATP8"/>
      <c r="ATQ8"/>
      <c r="ATR8"/>
      <c r="ATS8"/>
      <c r="ATT8"/>
      <c r="ATU8"/>
      <c r="ATV8"/>
      <c r="ATW8"/>
      <c r="ATX8"/>
      <c r="ATY8"/>
      <c r="ATZ8"/>
      <c r="AUA8"/>
      <c r="AUB8"/>
      <c r="AUC8"/>
      <c r="AUD8"/>
      <c r="AUE8"/>
      <c r="AUF8"/>
      <c r="AUG8"/>
      <c r="AUH8"/>
      <c r="AUI8"/>
      <c r="AUJ8"/>
      <c r="AUK8"/>
      <c r="AUL8"/>
      <c r="AUM8"/>
      <c r="AUN8"/>
      <c r="AUO8"/>
      <c r="AUP8"/>
      <c r="AUQ8"/>
      <c r="AUR8"/>
      <c r="AUS8"/>
      <c r="AUT8"/>
      <c r="AUU8"/>
      <c r="AUV8"/>
      <c r="AUW8"/>
      <c r="AUX8"/>
      <c r="AUY8"/>
      <c r="AUZ8"/>
      <c r="AVA8"/>
      <c r="AVB8"/>
      <c r="AVC8"/>
      <c r="AVD8"/>
      <c r="AVE8"/>
      <c r="AVF8"/>
      <c r="AVG8"/>
      <c r="AVH8"/>
      <c r="AVI8"/>
      <c r="AVJ8"/>
      <c r="AVK8"/>
      <c r="AVL8"/>
      <c r="AVM8"/>
      <c r="AVN8"/>
      <c r="AVO8"/>
      <c r="AVP8"/>
      <c r="AVQ8"/>
      <c r="AVR8"/>
      <c r="AVS8"/>
      <c r="AVT8"/>
      <c r="AVU8"/>
      <c r="AVV8"/>
      <c r="AVW8"/>
      <c r="AVX8"/>
      <c r="AVY8"/>
      <c r="AVZ8"/>
      <c r="AWA8"/>
      <c r="AWB8"/>
      <c r="AWC8"/>
      <c r="AWD8"/>
      <c r="AWE8"/>
      <c r="AWF8"/>
      <c r="AWG8"/>
      <c r="AWH8"/>
      <c r="AWI8"/>
      <c r="AWJ8"/>
      <c r="AWK8"/>
      <c r="AWL8"/>
      <c r="AWM8"/>
      <c r="AWN8"/>
      <c r="AWO8"/>
      <c r="AWP8"/>
      <c r="AWQ8"/>
      <c r="AWR8"/>
      <c r="AWS8"/>
      <c r="AWT8"/>
      <c r="AWU8"/>
      <c r="AWV8"/>
      <c r="AWW8"/>
      <c r="AWX8"/>
      <c r="AWY8"/>
      <c r="AWZ8"/>
      <c r="AXA8"/>
      <c r="AXB8"/>
      <c r="AXC8"/>
      <c r="AXD8"/>
      <c r="AXE8"/>
      <c r="AXF8"/>
      <c r="AXG8"/>
      <c r="AXH8"/>
      <c r="AXI8"/>
      <c r="AXJ8"/>
      <c r="AXK8"/>
      <c r="AXL8"/>
      <c r="AXM8"/>
      <c r="AXN8"/>
      <c r="AXO8"/>
      <c r="AXP8"/>
      <c r="AXQ8"/>
      <c r="AXR8"/>
      <c r="AXS8"/>
      <c r="AXT8"/>
      <c r="AXU8"/>
      <c r="AXV8"/>
      <c r="AXW8"/>
      <c r="AXX8"/>
      <c r="AXY8"/>
      <c r="AXZ8"/>
      <c r="AYA8"/>
      <c r="AYB8"/>
      <c r="AYC8"/>
      <c r="AYD8"/>
      <c r="AYE8"/>
      <c r="AYF8"/>
      <c r="AYG8"/>
      <c r="AYH8"/>
      <c r="AYI8"/>
      <c r="AYJ8"/>
      <c r="AYK8"/>
      <c r="AYL8"/>
      <c r="AYM8"/>
      <c r="AYN8"/>
      <c r="AYO8"/>
      <c r="AYP8"/>
      <c r="AYQ8"/>
      <c r="AYR8"/>
      <c r="AYS8"/>
      <c r="AYT8"/>
      <c r="AYU8"/>
      <c r="AYV8"/>
      <c r="AYW8"/>
      <c r="AYX8"/>
      <c r="AYY8"/>
      <c r="AYZ8"/>
      <c r="AZA8"/>
      <c r="AZB8"/>
      <c r="AZC8"/>
      <c r="AZD8"/>
      <c r="AZE8"/>
      <c r="AZF8"/>
      <c r="AZG8"/>
      <c r="AZH8"/>
      <c r="AZI8"/>
      <c r="AZJ8"/>
      <c r="AZK8"/>
      <c r="AZL8"/>
      <c r="AZM8"/>
      <c r="AZN8"/>
      <c r="AZO8"/>
      <c r="AZP8"/>
      <c r="AZQ8"/>
      <c r="AZR8"/>
      <c r="AZS8"/>
      <c r="AZT8"/>
      <c r="AZU8"/>
      <c r="AZV8"/>
      <c r="AZW8"/>
      <c r="AZX8"/>
      <c r="AZY8"/>
      <c r="AZZ8"/>
      <c r="BAA8"/>
      <c r="BAB8"/>
      <c r="BAC8"/>
      <c r="BAD8"/>
      <c r="BAE8"/>
      <c r="BAF8"/>
      <c r="BAG8"/>
      <c r="BAH8"/>
      <c r="BAI8"/>
      <c r="BAJ8"/>
      <c r="BAK8"/>
      <c r="BAL8"/>
      <c r="BAM8"/>
      <c r="BAN8"/>
      <c r="BAO8"/>
      <c r="BAP8"/>
      <c r="BAQ8"/>
      <c r="BAR8"/>
      <c r="BAS8"/>
      <c r="BAT8"/>
      <c r="BAU8"/>
      <c r="BAV8"/>
      <c r="BAW8"/>
      <c r="BAX8"/>
      <c r="BAY8"/>
      <c r="BAZ8"/>
      <c r="BBA8"/>
      <c r="BBB8"/>
      <c r="BBC8"/>
      <c r="BBD8"/>
      <c r="BBE8"/>
      <c r="BBF8"/>
      <c r="BBG8"/>
      <c r="BBH8"/>
      <c r="BBI8"/>
      <c r="BBJ8"/>
      <c r="BBK8"/>
      <c r="BBL8"/>
      <c r="BBM8"/>
      <c r="BBN8"/>
      <c r="BBO8"/>
      <c r="BBP8"/>
      <c r="BBQ8"/>
      <c r="BBR8"/>
      <c r="BBS8"/>
      <c r="BBT8"/>
      <c r="BBU8"/>
      <c r="BBV8"/>
      <c r="BBW8"/>
      <c r="BBX8"/>
      <c r="BBY8"/>
      <c r="BBZ8"/>
      <c r="BCA8"/>
      <c r="BCB8"/>
      <c r="BCC8"/>
      <c r="BCD8"/>
      <c r="BCE8"/>
      <c r="BCF8"/>
      <c r="BCG8"/>
      <c r="BCH8"/>
      <c r="BCI8"/>
      <c r="BCJ8"/>
      <c r="BCK8"/>
      <c r="BCL8"/>
      <c r="BCM8"/>
      <c r="BCN8"/>
      <c r="BCO8"/>
      <c r="BCP8"/>
      <c r="BCQ8"/>
      <c r="BCR8"/>
      <c r="BCS8"/>
      <c r="BCT8"/>
      <c r="BCU8"/>
      <c r="BCV8"/>
      <c r="BCW8"/>
      <c r="BCX8"/>
      <c r="BCY8"/>
      <c r="BCZ8"/>
      <c r="BDA8"/>
      <c r="BDB8"/>
      <c r="BDC8"/>
      <c r="BDD8"/>
      <c r="BDE8"/>
      <c r="BDF8"/>
      <c r="BDG8"/>
      <c r="BDH8"/>
      <c r="BDI8"/>
      <c r="BDJ8"/>
      <c r="BDK8"/>
      <c r="BDL8"/>
      <c r="BDM8"/>
      <c r="BDN8"/>
      <c r="BDO8"/>
      <c r="BDP8"/>
      <c r="BDQ8"/>
      <c r="BDR8"/>
      <c r="BDS8"/>
      <c r="BDT8"/>
      <c r="BDU8"/>
      <c r="BDV8"/>
      <c r="BDW8"/>
      <c r="BDX8"/>
      <c r="BDY8"/>
      <c r="BDZ8"/>
      <c r="BEA8"/>
      <c r="BEB8"/>
      <c r="BEC8"/>
      <c r="BED8"/>
      <c r="BEE8"/>
      <c r="BEF8"/>
      <c r="BEG8"/>
      <c r="BEH8"/>
      <c r="BEI8"/>
      <c r="BEJ8"/>
      <c r="BEK8"/>
      <c r="BEL8"/>
      <c r="BEM8"/>
      <c r="BEN8"/>
      <c r="BEO8"/>
      <c r="BEP8"/>
      <c r="BEQ8"/>
      <c r="BER8"/>
      <c r="BES8"/>
      <c r="BET8"/>
      <c r="BEU8"/>
      <c r="BEV8"/>
      <c r="BEW8"/>
      <c r="BEX8"/>
      <c r="BEY8"/>
      <c r="BEZ8"/>
      <c r="BFA8"/>
      <c r="BFB8"/>
      <c r="BFC8"/>
      <c r="BFD8"/>
      <c r="BFE8"/>
      <c r="BFF8"/>
      <c r="BFG8"/>
      <c r="BFH8"/>
      <c r="BFI8"/>
      <c r="BFJ8"/>
      <c r="BFK8"/>
      <c r="BFL8"/>
      <c r="BFM8"/>
      <c r="BFN8"/>
      <c r="BFO8"/>
      <c r="BFP8"/>
      <c r="BFQ8"/>
      <c r="BFR8"/>
      <c r="BFS8"/>
      <c r="BFT8"/>
      <c r="BFU8"/>
      <c r="BFV8"/>
      <c r="BFW8"/>
      <c r="BFX8"/>
      <c r="BFY8"/>
      <c r="BFZ8"/>
      <c r="BGA8"/>
      <c r="BGB8"/>
      <c r="BGC8"/>
      <c r="BGD8"/>
      <c r="BGE8"/>
      <c r="BGF8"/>
      <c r="BGG8"/>
      <c r="BGH8"/>
      <c r="BGI8"/>
      <c r="BGJ8"/>
      <c r="BGK8"/>
      <c r="BGL8"/>
      <c r="BGM8"/>
      <c r="BGN8"/>
      <c r="BGO8"/>
      <c r="BGP8"/>
      <c r="BGQ8"/>
      <c r="BGR8"/>
      <c r="BGS8"/>
      <c r="BGT8"/>
      <c r="BGU8"/>
      <c r="BGV8"/>
      <c r="BGW8"/>
      <c r="BGX8"/>
      <c r="BGY8"/>
      <c r="BGZ8"/>
      <c r="BHA8"/>
      <c r="BHB8"/>
      <c r="BHC8"/>
      <c r="BHD8"/>
      <c r="BHE8"/>
      <c r="BHF8"/>
      <c r="BHG8"/>
      <c r="BHH8"/>
      <c r="BHI8"/>
      <c r="BHJ8"/>
      <c r="BHK8"/>
      <c r="BHL8"/>
      <c r="BHM8"/>
      <c r="BHN8"/>
      <c r="BHO8"/>
      <c r="BHP8"/>
      <c r="BHQ8"/>
      <c r="BHR8"/>
      <c r="BHS8"/>
      <c r="BHT8"/>
      <c r="BHU8"/>
      <c r="BHV8"/>
      <c r="BHW8"/>
      <c r="BHX8"/>
      <c r="BHY8"/>
      <c r="BHZ8"/>
      <c r="BIA8"/>
      <c r="BIB8"/>
      <c r="BIC8"/>
      <c r="BID8"/>
      <c r="BIE8"/>
      <c r="BIF8"/>
      <c r="BIG8"/>
      <c r="BIH8"/>
      <c r="BII8"/>
      <c r="BIJ8"/>
      <c r="BIK8"/>
      <c r="BIL8"/>
      <c r="BIM8"/>
      <c r="BIN8"/>
      <c r="BIO8"/>
      <c r="BIP8"/>
      <c r="BIQ8"/>
      <c r="BIR8"/>
      <c r="BIS8"/>
      <c r="BIT8"/>
      <c r="BIU8"/>
      <c r="BIV8"/>
      <c r="BIW8"/>
      <c r="BIX8"/>
      <c r="BIY8"/>
      <c r="BIZ8"/>
      <c r="BJA8"/>
      <c r="BJB8"/>
      <c r="BJC8"/>
      <c r="BJD8"/>
      <c r="BJE8"/>
      <c r="BJF8"/>
      <c r="BJG8"/>
      <c r="BJH8"/>
      <c r="BJI8"/>
      <c r="BJJ8"/>
      <c r="BJK8"/>
      <c r="BJL8"/>
      <c r="BJM8"/>
      <c r="BJN8"/>
      <c r="BJO8"/>
      <c r="BJP8"/>
      <c r="BJQ8"/>
      <c r="BJR8"/>
      <c r="BJS8"/>
      <c r="BJT8"/>
      <c r="BJU8"/>
      <c r="BJV8"/>
      <c r="BJW8"/>
      <c r="BJX8"/>
      <c r="BJY8"/>
      <c r="BJZ8"/>
      <c r="BKA8"/>
      <c r="BKB8"/>
      <c r="BKC8"/>
      <c r="BKD8"/>
      <c r="BKE8"/>
      <c r="BKF8"/>
      <c r="BKG8"/>
      <c r="BKH8"/>
      <c r="BKI8"/>
      <c r="BKJ8"/>
      <c r="BKK8"/>
      <c r="BKL8"/>
      <c r="BKM8"/>
      <c r="BKN8"/>
      <c r="BKO8"/>
      <c r="BKP8"/>
      <c r="BKQ8"/>
      <c r="BKR8"/>
      <c r="BKS8"/>
      <c r="BKT8"/>
      <c r="BKU8"/>
      <c r="BKV8"/>
      <c r="BKW8"/>
      <c r="BKX8"/>
      <c r="BKY8"/>
      <c r="BKZ8"/>
      <c r="BLA8"/>
      <c r="BLB8"/>
      <c r="BLC8"/>
      <c r="BLD8"/>
      <c r="BLE8"/>
      <c r="BLF8"/>
      <c r="BLG8"/>
      <c r="BLH8"/>
      <c r="BLI8"/>
      <c r="BLJ8"/>
      <c r="BLK8"/>
      <c r="BLL8"/>
      <c r="BLM8"/>
      <c r="BLN8"/>
      <c r="BLO8"/>
      <c r="BLP8"/>
      <c r="BLQ8"/>
      <c r="BLR8"/>
      <c r="BLS8"/>
      <c r="BLT8"/>
      <c r="BLU8"/>
      <c r="BLV8"/>
      <c r="BLW8"/>
      <c r="BLX8"/>
      <c r="BLY8"/>
      <c r="BLZ8"/>
      <c r="BMA8"/>
      <c r="BMB8"/>
      <c r="BMC8"/>
      <c r="BMD8"/>
      <c r="BME8"/>
      <c r="BMF8"/>
      <c r="BMG8"/>
      <c r="BMH8"/>
      <c r="BMI8"/>
      <c r="BMJ8"/>
      <c r="BMK8"/>
      <c r="BML8"/>
      <c r="BMM8"/>
      <c r="BMN8"/>
      <c r="BMO8"/>
      <c r="BMP8"/>
      <c r="BMQ8"/>
      <c r="BMR8"/>
      <c r="BMS8"/>
      <c r="BMT8"/>
      <c r="BMU8"/>
      <c r="BMV8"/>
      <c r="BMW8"/>
      <c r="BMX8"/>
      <c r="BMY8"/>
      <c r="BMZ8"/>
      <c r="BNA8"/>
      <c r="BNB8"/>
      <c r="BNC8"/>
      <c r="BND8"/>
      <c r="BNE8"/>
      <c r="BNF8"/>
      <c r="BNG8"/>
      <c r="BNH8"/>
      <c r="BNI8"/>
      <c r="BNJ8"/>
      <c r="BNK8"/>
      <c r="BNL8"/>
      <c r="BNM8"/>
      <c r="BNN8"/>
      <c r="BNO8"/>
      <c r="BNP8"/>
      <c r="BNQ8"/>
      <c r="BNR8"/>
      <c r="BNS8"/>
      <c r="BNT8"/>
      <c r="BNU8"/>
      <c r="BNV8"/>
      <c r="BNW8"/>
      <c r="BNX8"/>
      <c r="BNY8"/>
      <c r="BNZ8"/>
      <c r="BOA8"/>
      <c r="BOB8"/>
      <c r="BOC8"/>
      <c r="BOD8"/>
      <c r="BOE8"/>
      <c r="BOF8"/>
      <c r="BOG8"/>
      <c r="BOH8"/>
      <c r="BOI8"/>
      <c r="BOJ8"/>
      <c r="BOK8"/>
      <c r="BOL8"/>
      <c r="BOM8"/>
      <c r="BON8"/>
      <c r="BOO8"/>
      <c r="BOP8"/>
      <c r="BOQ8"/>
      <c r="BOR8"/>
      <c r="BOS8"/>
      <c r="BOT8"/>
      <c r="BOU8"/>
      <c r="BOV8"/>
      <c r="BOW8"/>
      <c r="BOX8"/>
      <c r="BOY8"/>
      <c r="BOZ8"/>
      <c r="BPA8"/>
      <c r="BPB8"/>
      <c r="BPC8"/>
      <c r="BPD8"/>
      <c r="BPE8"/>
      <c r="BPF8"/>
      <c r="BPG8"/>
      <c r="BPH8"/>
      <c r="BPI8"/>
      <c r="BPJ8"/>
      <c r="BPK8"/>
      <c r="BPL8"/>
      <c r="BPM8"/>
      <c r="BPN8"/>
      <c r="BPO8"/>
      <c r="BPP8"/>
      <c r="BPQ8"/>
      <c r="BPR8"/>
      <c r="BPS8"/>
      <c r="BPT8"/>
      <c r="BPU8"/>
      <c r="BPV8"/>
      <c r="BPW8"/>
      <c r="BPX8"/>
      <c r="BPY8"/>
      <c r="BPZ8"/>
      <c r="BQA8"/>
      <c r="BQB8"/>
      <c r="BQC8"/>
      <c r="BQD8"/>
      <c r="BQE8"/>
      <c r="BQF8"/>
      <c r="BQG8"/>
      <c r="BQH8"/>
      <c r="BQI8"/>
      <c r="BQJ8"/>
      <c r="BQK8"/>
      <c r="BQL8"/>
      <c r="BQM8"/>
      <c r="BQN8"/>
      <c r="BQO8"/>
      <c r="BQP8"/>
      <c r="BQQ8"/>
      <c r="BQR8"/>
      <c r="BQS8"/>
      <c r="BQT8"/>
      <c r="BQU8"/>
      <c r="BQV8"/>
      <c r="BQW8"/>
      <c r="BQX8"/>
      <c r="BQY8"/>
      <c r="BQZ8"/>
      <c r="BRA8"/>
      <c r="BRB8"/>
      <c r="BRC8"/>
      <c r="BRD8"/>
      <c r="BRE8"/>
      <c r="BRF8"/>
      <c r="BRG8"/>
      <c r="BRH8"/>
      <c r="BRI8"/>
      <c r="BRJ8"/>
      <c r="BRK8"/>
      <c r="BRL8"/>
      <c r="BRM8"/>
      <c r="BRN8"/>
      <c r="BRO8"/>
      <c r="BRP8"/>
      <c r="BRQ8"/>
      <c r="BRR8"/>
      <c r="BRS8"/>
      <c r="BRT8"/>
      <c r="BRU8"/>
      <c r="BRV8"/>
      <c r="BRW8"/>
      <c r="BRX8"/>
      <c r="BRY8"/>
      <c r="BRZ8"/>
      <c r="BSA8"/>
      <c r="BSB8"/>
      <c r="BSC8"/>
      <c r="BSD8"/>
      <c r="BSE8"/>
      <c r="BSF8"/>
      <c r="BSG8"/>
      <c r="BSH8"/>
      <c r="BSI8"/>
      <c r="BSJ8"/>
      <c r="BSK8"/>
      <c r="BSL8"/>
      <c r="BSM8"/>
      <c r="BSN8"/>
      <c r="BSO8"/>
      <c r="BSP8"/>
      <c r="BSQ8"/>
      <c r="BSR8"/>
      <c r="BSS8"/>
      <c r="BST8"/>
      <c r="BSU8"/>
      <c r="BSV8"/>
      <c r="BSW8"/>
      <c r="BSX8"/>
      <c r="BSY8"/>
      <c r="BSZ8"/>
      <c r="BTA8"/>
      <c r="BTB8"/>
      <c r="BTC8"/>
      <c r="BTD8"/>
      <c r="BTE8"/>
      <c r="BTF8"/>
      <c r="BTG8"/>
      <c r="BTH8"/>
      <c r="BTI8"/>
      <c r="BTJ8"/>
      <c r="BTK8"/>
      <c r="BTL8"/>
      <c r="BTM8"/>
      <c r="BTN8"/>
      <c r="BTO8"/>
      <c r="BTP8"/>
      <c r="BTQ8"/>
      <c r="BTR8"/>
      <c r="BTS8"/>
      <c r="BTT8"/>
      <c r="BTU8"/>
      <c r="BTV8"/>
      <c r="BTW8"/>
      <c r="BTX8"/>
      <c r="BTY8"/>
      <c r="BTZ8"/>
      <c r="BUA8"/>
      <c r="BUB8"/>
      <c r="BUC8"/>
      <c r="BUD8"/>
      <c r="BUE8"/>
      <c r="BUF8"/>
      <c r="BUG8"/>
      <c r="BUH8"/>
      <c r="BUI8"/>
      <c r="BUJ8"/>
      <c r="BUK8"/>
      <c r="BUL8"/>
      <c r="BUM8"/>
      <c r="BUN8"/>
      <c r="BUO8"/>
      <c r="BUP8"/>
      <c r="BUQ8"/>
      <c r="BUR8"/>
      <c r="BUS8"/>
      <c r="BUT8"/>
      <c r="BUU8"/>
      <c r="BUV8"/>
      <c r="BUW8"/>
      <c r="BUX8"/>
      <c r="BUY8"/>
      <c r="BUZ8"/>
      <c r="BVA8"/>
      <c r="BVB8"/>
      <c r="BVC8"/>
      <c r="BVD8"/>
      <c r="BVE8"/>
      <c r="BVF8"/>
      <c r="BVG8"/>
      <c r="BVH8"/>
      <c r="BVI8"/>
      <c r="BVJ8"/>
      <c r="BVK8"/>
      <c r="BVL8"/>
      <c r="BVM8"/>
      <c r="BVN8"/>
      <c r="BVO8"/>
      <c r="BVP8"/>
      <c r="BVQ8"/>
      <c r="BVR8"/>
      <c r="BVS8"/>
      <c r="BVT8"/>
      <c r="BVU8"/>
      <c r="BVV8"/>
      <c r="BVW8"/>
      <c r="BVX8"/>
      <c r="BVY8"/>
      <c r="BVZ8"/>
      <c r="BWA8"/>
      <c r="BWB8"/>
      <c r="BWC8"/>
      <c r="BWD8"/>
      <c r="BWE8"/>
      <c r="BWF8"/>
      <c r="BWG8"/>
      <c r="BWH8"/>
      <c r="BWI8"/>
      <c r="BWJ8"/>
      <c r="BWK8"/>
      <c r="BWL8"/>
      <c r="BWM8"/>
      <c r="BWN8"/>
      <c r="BWO8"/>
      <c r="BWP8"/>
      <c r="BWQ8"/>
      <c r="BWR8"/>
      <c r="BWS8"/>
      <c r="BWT8"/>
      <c r="BWU8"/>
      <c r="BWV8"/>
      <c r="BWW8"/>
      <c r="BWX8"/>
      <c r="BWY8"/>
      <c r="BWZ8"/>
      <c r="BXA8"/>
      <c r="BXB8"/>
      <c r="BXC8"/>
      <c r="BXD8"/>
      <c r="BXE8"/>
      <c r="BXF8"/>
      <c r="BXG8"/>
      <c r="BXH8"/>
      <c r="BXI8"/>
      <c r="BXJ8"/>
      <c r="BXK8"/>
      <c r="BXL8"/>
      <c r="BXM8"/>
      <c r="BXN8"/>
      <c r="BXO8"/>
      <c r="BXP8"/>
      <c r="BXQ8"/>
      <c r="BXR8"/>
      <c r="BXS8"/>
      <c r="BXT8"/>
      <c r="BXU8"/>
      <c r="BXV8"/>
      <c r="BXW8"/>
      <c r="BXX8"/>
      <c r="BXY8"/>
      <c r="BXZ8"/>
      <c r="BYA8"/>
      <c r="BYB8"/>
      <c r="BYC8"/>
      <c r="BYD8"/>
      <c r="BYE8"/>
      <c r="BYF8"/>
      <c r="BYG8"/>
      <c r="BYH8"/>
      <c r="BYI8"/>
      <c r="BYJ8"/>
      <c r="BYK8"/>
      <c r="BYL8"/>
      <c r="BYM8"/>
      <c r="BYN8"/>
      <c r="BYO8"/>
      <c r="BYP8"/>
      <c r="BYQ8"/>
      <c r="BYR8"/>
      <c r="BYS8"/>
      <c r="BYT8"/>
      <c r="BYU8"/>
      <c r="BYV8"/>
      <c r="BYW8"/>
      <c r="BYX8"/>
      <c r="BYY8"/>
      <c r="BYZ8"/>
      <c r="BZA8"/>
      <c r="BZB8"/>
      <c r="BZC8"/>
      <c r="BZD8"/>
      <c r="BZE8"/>
      <c r="BZF8"/>
      <c r="BZG8"/>
      <c r="BZH8"/>
      <c r="BZI8"/>
      <c r="BZJ8"/>
      <c r="BZK8"/>
      <c r="BZL8"/>
      <c r="BZM8"/>
      <c r="BZN8"/>
      <c r="BZO8"/>
      <c r="BZP8"/>
      <c r="BZQ8"/>
      <c r="BZR8"/>
      <c r="BZS8"/>
      <c r="BZT8"/>
      <c r="BZU8"/>
      <c r="BZV8"/>
      <c r="BZW8"/>
      <c r="BZX8"/>
      <c r="BZY8"/>
      <c r="BZZ8"/>
      <c r="CAA8"/>
      <c r="CAB8"/>
      <c r="CAC8"/>
      <c r="CAD8"/>
      <c r="CAE8"/>
      <c r="CAF8"/>
      <c r="CAG8"/>
      <c r="CAH8"/>
      <c r="CAI8"/>
      <c r="CAJ8"/>
      <c r="CAK8"/>
      <c r="CAL8"/>
      <c r="CAM8"/>
      <c r="CAN8"/>
      <c r="CAO8"/>
      <c r="CAP8"/>
      <c r="CAQ8"/>
      <c r="CAR8"/>
      <c r="CAS8"/>
      <c r="CAT8"/>
      <c r="CAU8"/>
      <c r="CAV8"/>
      <c r="CAW8"/>
      <c r="CAX8"/>
      <c r="CAY8"/>
      <c r="CAZ8"/>
      <c r="CBA8"/>
      <c r="CBB8"/>
      <c r="CBC8"/>
      <c r="CBD8"/>
      <c r="CBE8"/>
      <c r="CBF8"/>
      <c r="CBG8"/>
      <c r="CBH8"/>
      <c r="CBI8"/>
      <c r="CBJ8"/>
      <c r="CBK8"/>
      <c r="CBL8"/>
      <c r="CBM8"/>
      <c r="CBN8"/>
      <c r="CBO8"/>
      <c r="CBP8"/>
      <c r="CBQ8"/>
      <c r="CBR8"/>
      <c r="CBS8"/>
      <c r="CBT8"/>
      <c r="CBU8"/>
      <c r="CBV8"/>
      <c r="CBW8"/>
      <c r="CBX8"/>
      <c r="CBY8"/>
      <c r="CBZ8"/>
      <c r="CCA8"/>
      <c r="CCB8"/>
      <c r="CCC8"/>
      <c r="CCD8"/>
      <c r="CCE8"/>
      <c r="CCF8"/>
      <c r="CCG8"/>
      <c r="CCH8"/>
      <c r="CCI8"/>
      <c r="CCJ8"/>
      <c r="CCK8"/>
      <c r="CCL8"/>
      <c r="CCM8"/>
      <c r="CCN8"/>
      <c r="CCO8"/>
      <c r="CCP8"/>
      <c r="CCQ8"/>
      <c r="CCR8"/>
      <c r="CCS8"/>
      <c r="CCT8"/>
      <c r="CCU8"/>
      <c r="CCV8"/>
      <c r="CCW8"/>
      <c r="CCX8"/>
      <c r="CCY8"/>
      <c r="CCZ8"/>
      <c r="CDA8"/>
      <c r="CDB8"/>
      <c r="CDC8"/>
      <c r="CDD8"/>
      <c r="CDE8"/>
      <c r="CDF8"/>
      <c r="CDG8"/>
      <c r="CDH8"/>
      <c r="CDI8"/>
      <c r="CDJ8"/>
      <c r="CDK8"/>
      <c r="CDL8"/>
      <c r="CDM8"/>
      <c r="CDN8"/>
      <c r="CDO8"/>
      <c r="CDP8"/>
      <c r="CDQ8"/>
      <c r="CDR8"/>
      <c r="CDS8"/>
      <c r="CDT8"/>
      <c r="CDU8"/>
      <c r="CDV8"/>
      <c r="CDW8"/>
      <c r="CDX8"/>
      <c r="CDY8"/>
      <c r="CDZ8"/>
      <c r="CEA8"/>
      <c r="CEB8"/>
      <c r="CEC8"/>
      <c r="CED8"/>
      <c r="CEE8"/>
      <c r="CEF8"/>
      <c r="CEG8"/>
      <c r="CEH8"/>
      <c r="CEI8"/>
      <c r="CEJ8"/>
      <c r="CEK8"/>
      <c r="CEL8"/>
      <c r="CEM8"/>
      <c r="CEN8"/>
      <c r="CEO8"/>
      <c r="CEP8"/>
      <c r="CEQ8"/>
      <c r="CER8"/>
      <c r="CES8"/>
      <c r="CET8"/>
      <c r="CEU8"/>
      <c r="CEV8"/>
      <c r="CEW8"/>
      <c r="CEX8"/>
      <c r="CEY8"/>
      <c r="CEZ8"/>
      <c r="CFA8"/>
      <c r="CFB8"/>
      <c r="CFC8"/>
      <c r="CFD8"/>
      <c r="CFE8"/>
      <c r="CFF8"/>
      <c r="CFG8"/>
      <c r="CFH8"/>
      <c r="CFI8"/>
      <c r="CFJ8"/>
      <c r="CFK8"/>
      <c r="CFL8"/>
      <c r="CFM8"/>
      <c r="CFN8"/>
      <c r="CFO8"/>
      <c r="CFP8"/>
      <c r="CFQ8"/>
      <c r="CFR8"/>
      <c r="CFS8"/>
      <c r="CFT8"/>
      <c r="CFU8"/>
      <c r="CFV8"/>
      <c r="CFW8"/>
      <c r="CFX8"/>
      <c r="CFY8"/>
      <c r="CFZ8"/>
      <c r="CGA8"/>
      <c r="CGB8"/>
      <c r="CGC8"/>
      <c r="CGD8"/>
      <c r="CGE8"/>
      <c r="CGF8"/>
      <c r="CGG8"/>
      <c r="CGH8"/>
      <c r="CGI8"/>
      <c r="CGJ8"/>
      <c r="CGK8"/>
      <c r="CGL8"/>
      <c r="CGM8"/>
      <c r="CGN8"/>
      <c r="CGO8"/>
      <c r="CGP8"/>
      <c r="CGQ8"/>
      <c r="CGR8"/>
      <c r="CGS8"/>
      <c r="CGT8"/>
      <c r="CGU8"/>
      <c r="CGV8"/>
      <c r="CGW8"/>
      <c r="CGX8"/>
      <c r="CGY8"/>
      <c r="CGZ8"/>
      <c r="CHA8"/>
      <c r="CHB8"/>
      <c r="CHC8"/>
      <c r="CHD8"/>
      <c r="CHE8"/>
      <c r="CHF8"/>
      <c r="CHG8"/>
      <c r="CHH8"/>
      <c r="CHI8"/>
      <c r="CHJ8"/>
      <c r="CHK8"/>
      <c r="CHL8"/>
      <c r="CHM8"/>
      <c r="CHN8"/>
      <c r="CHO8"/>
      <c r="CHP8"/>
      <c r="CHQ8"/>
      <c r="CHR8"/>
      <c r="CHS8"/>
      <c r="CHT8"/>
      <c r="CHU8"/>
      <c r="CHV8"/>
      <c r="CHW8"/>
      <c r="CHX8"/>
      <c r="CHY8"/>
      <c r="CHZ8"/>
      <c r="CIA8"/>
      <c r="CIB8"/>
      <c r="CIC8"/>
      <c r="CID8"/>
      <c r="CIE8"/>
      <c r="CIF8"/>
      <c r="CIG8"/>
      <c r="CIH8"/>
      <c r="CII8"/>
      <c r="CIJ8"/>
      <c r="CIK8"/>
      <c r="CIL8"/>
      <c r="CIM8"/>
      <c r="CIN8"/>
      <c r="CIO8"/>
      <c r="CIP8"/>
      <c r="CIQ8"/>
      <c r="CIR8"/>
      <c r="CIS8"/>
      <c r="CIT8"/>
      <c r="CIU8"/>
      <c r="CIV8"/>
      <c r="CIW8"/>
      <c r="CIX8"/>
      <c r="CIY8"/>
      <c r="CIZ8"/>
      <c r="CJA8"/>
      <c r="CJB8"/>
      <c r="CJC8"/>
      <c r="CJD8"/>
      <c r="CJE8"/>
      <c r="CJF8"/>
      <c r="CJG8"/>
      <c r="CJH8"/>
      <c r="CJI8"/>
      <c r="CJJ8"/>
      <c r="CJK8"/>
      <c r="CJL8"/>
      <c r="CJM8"/>
      <c r="CJN8"/>
      <c r="CJO8"/>
      <c r="CJP8"/>
      <c r="CJQ8"/>
      <c r="CJR8"/>
      <c r="CJS8"/>
      <c r="CJT8"/>
      <c r="CJU8"/>
      <c r="CJV8"/>
      <c r="CJW8"/>
      <c r="CJX8"/>
      <c r="CJY8"/>
      <c r="CJZ8"/>
      <c r="CKA8"/>
      <c r="CKB8"/>
      <c r="CKC8"/>
      <c r="CKD8"/>
      <c r="CKE8"/>
      <c r="CKF8"/>
      <c r="CKG8"/>
      <c r="CKH8"/>
      <c r="CKI8"/>
      <c r="CKJ8"/>
      <c r="CKK8"/>
      <c r="CKL8"/>
      <c r="CKM8"/>
      <c r="CKN8"/>
      <c r="CKO8"/>
      <c r="CKP8"/>
      <c r="CKQ8"/>
      <c r="CKR8"/>
      <c r="CKS8"/>
      <c r="CKT8"/>
      <c r="CKU8"/>
      <c r="CKV8"/>
      <c r="CKW8"/>
      <c r="CKX8"/>
      <c r="CKY8"/>
      <c r="CKZ8"/>
      <c r="CLA8"/>
      <c r="CLB8"/>
      <c r="CLC8"/>
      <c r="CLD8"/>
      <c r="CLE8"/>
      <c r="CLF8"/>
      <c r="CLG8"/>
      <c r="CLH8"/>
      <c r="CLI8"/>
      <c r="CLJ8"/>
      <c r="CLK8"/>
      <c r="CLL8"/>
      <c r="CLM8"/>
      <c r="CLN8"/>
      <c r="CLO8"/>
      <c r="CLP8"/>
      <c r="CLQ8"/>
      <c r="CLR8"/>
      <c r="CLS8"/>
      <c r="CLT8"/>
      <c r="CLU8"/>
      <c r="CLV8"/>
      <c r="CLW8"/>
      <c r="CLX8"/>
      <c r="CLY8"/>
      <c r="CLZ8"/>
      <c r="CMA8"/>
      <c r="CMB8"/>
      <c r="CMC8"/>
      <c r="CMD8"/>
      <c r="CME8"/>
      <c r="CMF8"/>
      <c r="CMG8"/>
      <c r="CMH8"/>
      <c r="CMI8"/>
      <c r="CMJ8"/>
      <c r="CMK8"/>
      <c r="CML8"/>
      <c r="CMM8"/>
      <c r="CMN8"/>
      <c r="CMO8"/>
      <c r="CMP8"/>
      <c r="CMQ8"/>
      <c r="CMR8"/>
      <c r="CMS8"/>
      <c r="CMT8"/>
      <c r="CMU8"/>
      <c r="CMV8"/>
      <c r="CMW8"/>
      <c r="CMX8"/>
      <c r="CMY8"/>
      <c r="CMZ8"/>
      <c r="CNA8"/>
      <c r="CNB8"/>
      <c r="CNC8"/>
      <c r="CND8"/>
      <c r="CNE8"/>
      <c r="CNF8"/>
      <c r="CNG8"/>
      <c r="CNH8"/>
      <c r="CNI8"/>
      <c r="CNJ8"/>
      <c r="CNK8"/>
      <c r="CNL8"/>
      <c r="CNM8"/>
      <c r="CNN8"/>
      <c r="CNO8"/>
      <c r="CNP8"/>
      <c r="CNQ8"/>
      <c r="CNR8"/>
      <c r="CNS8"/>
      <c r="CNT8"/>
      <c r="CNU8"/>
      <c r="CNV8"/>
      <c r="CNW8"/>
      <c r="CNX8"/>
      <c r="CNY8"/>
      <c r="CNZ8"/>
      <c r="COA8"/>
      <c r="COB8"/>
      <c r="COC8"/>
      <c r="COD8"/>
      <c r="COE8"/>
      <c r="COF8"/>
      <c r="COG8"/>
      <c r="COH8"/>
      <c r="COI8"/>
      <c r="COJ8"/>
      <c r="COK8"/>
      <c r="COL8"/>
      <c r="COM8"/>
      <c r="CON8"/>
      <c r="COO8"/>
      <c r="COP8"/>
      <c r="COQ8"/>
      <c r="COR8"/>
      <c r="COS8"/>
      <c r="COT8"/>
      <c r="COU8"/>
      <c r="COV8"/>
      <c r="COW8"/>
      <c r="COX8"/>
      <c r="COY8"/>
      <c r="COZ8"/>
      <c r="CPA8"/>
      <c r="CPB8"/>
      <c r="CPC8"/>
      <c r="CPD8"/>
      <c r="CPE8"/>
      <c r="CPF8"/>
      <c r="CPG8"/>
      <c r="CPH8"/>
      <c r="CPI8"/>
      <c r="CPJ8"/>
      <c r="CPK8"/>
      <c r="CPL8"/>
      <c r="CPM8"/>
      <c r="CPN8"/>
      <c r="CPO8"/>
      <c r="CPP8"/>
      <c r="CPQ8"/>
      <c r="CPR8"/>
      <c r="CPS8"/>
      <c r="CPT8"/>
      <c r="CPU8"/>
      <c r="CPV8"/>
      <c r="CPW8"/>
      <c r="CPX8"/>
      <c r="CPY8"/>
      <c r="CPZ8"/>
      <c r="CQA8"/>
      <c r="CQB8"/>
      <c r="CQC8"/>
      <c r="CQD8"/>
      <c r="CQE8"/>
      <c r="CQF8"/>
      <c r="CQG8"/>
      <c r="CQH8"/>
      <c r="CQI8"/>
      <c r="CQJ8"/>
      <c r="CQK8"/>
      <c r="CQL8"/>
      <c r="CQM8"/>
      <c r="CQN8"/>
      <c r="CQO8"/>
      <c r="CQP8"/>
      <c r="CQQ8"/>
      <c r="CQR8"/>
      <c r="CQS8"/>
      <c r="CQT8"/>
      <c r="CQU8"/>
      <c r="CQV8"/>
      <c r="CQW8"/>
      <c r="CQX8"/>
      <c r="CQY8"/>
      <c r="CQZ8"/>
      <c r="CRA8"/>
      <c r="CRB8"/>
      <c r="CRC8"/>
      <c r="CRD8"/>
      <c r="CRE8"/>
      <c r="CRF8"/>
      <c r="CRG8"/>
      <c r="CRH8"/>
      <c r="CRI8"/>
      <c r="CRJ8"/>
      <c r="CRK8"/>
      <c r="CRL8"/>
      <c r="CRM8"/>
      <c r="CRN8"/>
      <c r="CRO8"/>
      <c r="CRP8"/>
      <c r="CRQ8"/>
      <c r="CRR8"/>
      <c r="CRS8"/>
      <c r="CRT8"/>
      <c r="CRU8"/>
      <c r="CRV8"/>
      <c r="CRW8"/>
      <c r="CRX8"/>
      <c r="CRY8"/>
      <c r="CRZ8"/>
      <c r="CSA8"/>
      <c r="CSB8"/>
      <c r="CSC8"/>
      <c r="CSD8"/>
      <c r="CSE8"/>
      <c r="CSF8"/>
      <c r="CSG8"/>
      <c r="CSH8"/>
      <c r="CSI8"/>
      <c r="CSJ8"/>
      <c r="CSK8"/>
      <c r="CSL8"/>
      <c r="CSM8"/>
      <c r="CSN8"/>
      <c r="CSO8"/>
      <c r="CSP8"/>
      <c r="CSQ8"/>
      <c r="CSR8"/>
      <c r="CSS8"/>
      <c r="CST8"/>
      <c r="CSU8"/>
      <c r="CSV8"/>
      <c r="CSW8"/>
      <c r="CSX8"/>
      <c r="CSY8"/>
      <c r="CSZ8"/>
      <c r="CTA8"/>
      <c r="CTB8"/>
      <c r="CTC8"/>
      <c r="CTD8"/>
      <c r="CTE8"/>
      <c r="CTF8"/>
      <c r="CTG8"/>
      <c r="CTH8"/>
      <c r="CTI8"/>
      <c r="CTJ8"/>
      <c r="CTK8"/>
      <c r="CTL8"/>
      <c r="CTM8"/>
      <c r="CTN8"/>
      <c r="CTO8"/>
      <c r="CTP8"/>
      <c r="CTQ8"/>
      <c r="CTR8"/>
      <c r="CTS8"/>
      <c r="CTT8"/>
      <c r="CTU8"/>
      <c r="CTV8"/>
      <c r="CTW8"/>
      <c r="CTX8"/>
      <c r="CTY8"/>
      <c r="CTZ8"/>
      <c r="CUA8"/>
      <c r="CUB8"/>
      <c r="CUC8"/>
      <c r="CUD8"/>
      <c r="CUE8"/>
      <c r="CUF8"/>
      <c r="CUG8"/>
      <c r="CUH8"/>
      <c r="CUI8"/>
      <c r="CUJ8"/>
      <c r="CUK8"/>
      <c r="CUL8"/>
      <c r="CUM8"/>
      <c r="CUN8"/>
      <c r="CUO8"/>
      <c r="CUP8"/>
      <c r="CUQ8"/>
      <c r="CUR8"/>
      <c r="CUS8"/>
      <c r="CUT8"/>
      <c r="CUU8"/>
      <c r="CUV8"/>
      <c r="CUW8"/>
      <c r="CUX8"/>
      <c r="CUY8"/>
      <c r="CUZ8"/>
      <c r="CVA8"/>
      <c r="CVB8"/>
      <c r="CVC8"/>
      <c r="CVD8"/>
      <c r="CVE8"/>
      <c r="CVF8"/>
      <c r="CVG8"/>
      <c r="CVH8"/>
      <c r="CVI8"/>
      <c r="CVJ8"/>
      <c r="CVK8"/>
      <c r="CVL8"/>
      <c r="CVM8"/>
      <c r="CVN8"/>
      <c r="CVO8"/>
      <c r="CVP8"/>
      <c r="CVQ8"/>
      <c r="CVR8"/>
      <c r="CVS8"/>
      <c r="CVT8"/>
      <c r="CVU8"/>
      <c r="CVV8"/>
      <c r="CVW8"/>
      <c r="CVX8"/>
      <c r="CVY8"/>
      <c r="CVZ8"/>
      <c r="CWA8"/>
      <c r="CWB8"/>
      <c r="CWC8"/>
      <c r="CWD8"/>
      <c r="CWE8"/>
      <c r="CWF8"/>
      <c r="CWG8"/>
      <c r="CWH8"/>
      <c r="CWI8"/>
      <c r="CWJ8"/>
      <c r="CWK8"/>
      <c r="CWL8"/>
      <c r="CWM8"/>
      <c r="CWN8"/>
      <c r="CWO8"/>
      <c r="CWP8"/>
      <c r="CWQ8"/>
      <c r="CWR8"/>
      <c r="CWS8"/>
      <c r="CWT8"/>
      <c r="CWU8"/>
      <c r="CWV8"/>
      <c r="CWW8"/>
      <c r="CWX8"/>
      <c r="CWY8"/>
      <c r="CWZ8"/>
      <c r="CXA8"/>
      <c r="CXB8"/>
      <c r="CXC8"/>
      <c r="CXD8"/>
      <c r="CXE8"/>
      <c r="CXF8"/>
      <c r="CXG8"/>
      <c r="CXH8"/>
      <c r="CXI8"/>
      <c r="CXJ8"/>
      <c r="CXK8"/>
      <c r="CXL8"/>
      <c r="CXM8"/>
      <c r="CXN8"/>
      <c r="CXO8"/>
      <c r="CXP8"/>
      <c r="CXQ8"/>
      <c r="CXR8"/>
      <c r="CXS8"/>
      <c r="CXT8"/>
      <c r="CXU8"/>
      <c r="CXV8"/>
      <c r="CXW8"/>
      <c r="CXX8"/>
      <c r="CXY8"/>
      <c r="CXZ8"/>
      <c r="CYA8"/>
      <c r="CYB8"/>
      <c r="CYC8"/>
      <c r="CYD8"/>
      <c r="CYE8"/>
      <c r="CYF8"/>
      <c r="CYG8"/>
      <c r="CYH8"/>
      <c r="CYI8"/>
      <c r="CYJ8"/>
      <c r="CYK8"/>
      <c r="CYL8"/>
      <c r="CYM8"/>
      <c r="CYN8"/>
      <c r="CYO8"/>
      <c r="CYP8"/>
      <c r="CYQ8"/>
      <c r="CYR8"/>
      <c r="CYS8"/>
      <c r="CYT8"/>
      <c r="CYU8"/>
      <c r="CYV8"/>
      <c r="CYW8"/>
      <c r="CYX8"/>
      <c r="CYY8"/>
      <c r="CYZ8"/>
      <c r="CZA8"/>
      <c r="CZB8"/>
      <c r="CZC8"/>
      <c r="CZD8"/>
      <c r="CZE8"/>
      <c r="CZF8"/>
      <c r="CZG8"/>
      <c r="CZH8"/>
      <c r="CZI8"/>
      <c r="CZJ8"/>
      <c r="CZK8"/>
      <c r="CZL8"/>
      <c r="CZM8"/>
      <c r="CZN8"/>
      <c r="CZO8"/>
      <c r="CZP8"/>
      <c r="CZQ8"/>
      <c r="CZR8"/>
      <c r="CZS8"/>
      <c r="CZT8"/>
      <c r="CZU8"/>
      <c r="CZV8"/>
      <c r="CZW8"/>
      <c r="CZX8"/>
      <c r="CZY8"/>
      <c r="CZZ8"/>
      <c r="DAA8"/>
      <c r="DAB8"/>
      <c r="DAC8"/>
      <c r="DAD8"/>
      <c r="DAE8"/>
      <c r="DAF8"/>
      <c r="DAG8"/>
      <c r="DAH8"/>
      <c r="DAI8"/>
      <c r="DAJ8"/>
      <c r="DAK8"/>
      <c r="DAL8"/>
      <c r="DAM8"/>
      <c r="DAN8"/>
      <c r="DAO8"/>
      <c r="DAP8"/>
      <c r="DAQ8"/>
      <c r="DAR8"/>
      <c r="DAS8"/>
      <c r="DAT8"/>
      <c r="DAU8"/>
      <c r="DAV8"/>
      <c r="DAW8"/>
      <c r="DAX8"/>
      <c r="DAY8"/>
      <c r="DAZ8"/>
      <c r="DBA8"/>
      <c r="DBB8"/>
      <c r="DBC8"/>
      <c r="DBD8"/>
      <c r="DBE8"/>
      <c r="DBF8"/>
      <c r="DBG8"/>
      <c r="DBH8"/>
      <c r="DBI8"/>
      <c r="DBJ8"/>
      <c r="DBK8"/>
      <c r="DBL8"/>
      <c r="DBM8"/>
      <c r="DBN8"/>
      <c r="DBO8"/>
      <c r="DBP8"/>
      <c r="DBQ8"/>
      <c r="DBR8"/>
      <c r="DBS8"/>
      <c r="DBT8"/>
      <c r="DBU8"/>
      <c r="DBV8"/>
      <c r="DBW8"/>
      <c r="DBX8"/>
      <c r="DBY8"/>
      <c r="DBZ8"/>
      <c r="DCA8"/>
      <c r="DCB8"/>
      <c r="DCC8"/>
      <c r="DCD8"/>
      <c r="DCE8"/>
      <c r="DCF8"/>
      <c r="DCG8"/>
      <c r="DCH8"/>
      <c r="DCI8"/>
      <c r="DCJ8"/>
      <c r="DCK8"/>
      <c r="DCL8"/>
      <c r="DCM8"/>
      <c r="DCN8"/>
      <c r="DCO8"/>
      <c r="DCP8"/>
      <c r="DCQ8"/>
      <c r="DCR8"/>
      <c r="DCS8"/>
      <c r="DCT8"/>
      <c r="DCU8"/>
      <c r="DCV8"/>
      <c r="DCW8"/>
      <c r="DCX8"/>
      <c r="DCY8"/>
      <c r="DCZ8"/>
      <c r="DDA8"/>
      <c r="DDB8"/>
      <c r="DDC8"/>
      <c r="DDD8"/>
      <c r="DDE8"/>
      <c r="DDF8"/>
      <c r="DDG8"/>
      <c r="DDH8"/>
      <c r="DDI8"/>
      <c r="DDJ8"/>
      <c r="DDK8"/>
      <c r="DDL8"/>
      <c r="DDM8"/>
      <c r="DDN8"/>
      <c r="DDO8"/>
      <c r="DDP8"/>
      <c r="DDQ8"/>
      <c r="DDR8"/>
      <c r="DDS8"/>
      <c r="DDT8"/>
      <c r="DDU8"/>
      <c r="DDV8"/>
      <c r="DDW8"/>
      <c r="DDX8"/>
      <c r="DDY8"/>
      <c r="DDZ8"/>
      <c r="DEA8"/>
      <c r="DEB8"/>
      <c r="DEC8"/>
      <c r="DED8"/>
      <c r="DEE8"/>
      <c r="DEF8"/>
      <c r="DEG8"/>
      <c r="DEH8"/>
      <c r="DEI8"/>
      <c r="DEJ8"/>
      <c r="DEK8"/>
      <c r="DEL8"/>
      <c r="DEM8"/>
      <c r="DEN8"/>
      <c r="DEO8"/>
      <c r="DEP8"/>
      <c r="DEQ8"/>
      <c r="DER8"/>
      <c r="DES8"/>
      <c r="DET8"/>
      <c r="DEU8"/>
      <c r="DEV8"/>
      <c r="DEW8"/>
      <c r="DEX8"/>
      <c r="DEY8"/>
      <c r="DEZ8"/>
      <c r="DFA8"/>
      <c r="DFB8"/>
      <c r="DFC8"/>
      <c r="DFD8"/>
      <c r="DFE8"/>
      <c r="DFF8"/>
      <c r="DFG8"/>
      <c r="DFH8"/>
      <c r="DFI8"/>
      <c r="DFJ8"/>
      <c r="DFK8"/>
      <c r="DFL8"/>
      <c r="DFM8"/>
      <c r="DFN8"/>
      <c r="DFO8"/>
      <c r="DFP8"/>
      <c r="DFQ8"/>
      <c r="DFR8"/>
      <c r="DFS8"/>
      <c r="DFT8"/>
      <c r="DFU8"/>
      <c r="DFV8"/>
      <c r="DFW8"/>
      <c r="DFX8"/>
      <c r="DFY8"/>
      <c r="DFZ8"/>
      <c r="DGA8"/>
      <c r="DGB8"/>
      <c r="DGC8"/>
      <c r="DGD8"/>
      <c r="DGE8"/>
      <c r="DGF8"/>
      <c r="DGG8"/>
      <c r="DGH8"/>
      <c r="DGI8"/>
      <c r="DGJ8"/>
      <c r="DGK8"/>
      <c r="DGL8"/>
      <c r="DGM8"/>
      <c r="DGN8"/>
      <c r="DGO8"/>
      <c r="DGP8"/>
      <c r="DGQ8"/>
      <c r="DGR8"/>
      <c r="DGS8"/>
      <c r="DGT8"/>
      <c r="DGU8"/>
      <c r="DGV8"/>
      <c r="DGW8"/>
      <c r="DGX8"/>
      <c r="DGY8"/>
      <c r="DGZ8"/>
      <c r="DHA8"/>
      <c r="DHB8"/>
      <c r="DHC8"/>
      <c r="DHD8"/>
      <c r="DHE8"/>
      <c r="DHF8"/>
      <c r="DHG8"/>
      <c r="DHH8"/>
      <c r="DHI8"/>
      <c r="DHJ8"/>
      <c r="DHK8"/>
      <c r="DHL8"/>
      <c r="DHM8"/>
      <c r="DHN8"/>
      <c r="DHO8"/>
      <c r="DHP8"/>
      <c r="DHQ8"/>
      <c r="DHR8"/>
      <c r="DHS8"/>
      <c r="DHT8"/>
      <c r="DHU8"/>
      <c r="DHV8"/>
      <c r="DHW8"/>
      <c r="DHX8"/>
      <c r="DHY8"/>
      <c r="DHZ8"/>
      <c r="DIA8"/>
      <c r="DIB8"/>
      <c r="DIC8"/>
      <c r="DID8"/>
      <c r="DIE8"/>
      <c r="DIF8"/>
      <c r="DIG8"/>
      <c r="DIH8"/>
      <c r="DII8"/>
      <c r="DIJ8"/>
      <c r="DIK8"/>
      <c r="DIL8"/>
      <c r="DIM8"/>
      <c r="DIN8"/>
      <c r="DIO8"/>
      <c r="DIP8"/>
      <c r="DIQ8"/>
      <c r="DIR8"/>
      <c r="DIS8"/>
      <c r="DIT8"/>
      <c r="DIU8"/>
      <c r="DIV8"/>
      <c r="DIW8"/>
      <c r="DIX8"/>
      <c r="DIY8"/>
      <c r="DIZ8"/>
      <c r="DJA8"/>
      <c r="DJB8"/>
      <c r="DJC8"/>
      <c r="DJD8"/>
      <c r="DJE8"/>
      <c r="DJF8"/>
      <c r="DJG8"/>
      <c r="DJH8"/>
      <c r="DJI8"/>
      <c r="DJJ8"/>
      <c r="DJK8"/>
      <c r="DJL8"/>
      <c r="DJM8"/>
      <c r="DJN8"/>
      <c r="DJO8"/>
      <c r="DJP8"/>
      <c r="DJQ8"/>
      <c r="DJR8"/>
      <c r="DJS8"/>
      <c r="DJT8"/>
      <c r="DJU8"/>
      <c r="DJV8"/>
      <c r="DJW8"/>
      <c r="DJX8"/>
      <c r="DJY8"/>
      <c r="DJZ8"/>
      <c r="DKA8"/>
      <c r="DKB8"/>
      <c r="DKC8"/>
      <c r="DKD8"/>
      <c r="DKE8"/>
      <c r="DKF8"/>
      <c r="DKG8"/>
      <c r="DKH8"/>
      <c r="DKI8"/>
      <c r="DKJ8"/>
      <c r="DKK8"/>
      <c r="DKL8"/>
      <c r="DKM8"/>
      <c r="DKN8"/>
      <c r="DKO8"/>
      <c r="DKP8"/>
      <c r="DKQ8"/>
      <c r="DKR8"/>
      <c r="DKS8"/>
      <c r="DKT8"/>
      <c r="DKU8"/>
      <c r="DKV8"/>
      <c r="DKW8"/>
      <c r="DKX8"/>
      <c r="DKY8"/>
      <c r="DKZ8"/>
      <c r="DLA8"/>
      <c r="DLB8"/>
      <c r="DLC8"/>
      <c r="DLD8"/>
      <c r="DLE8"/>
      <c r="DLF8"/>
      <c r="DLG8"/>
      <c r="DLH8"/>
      <c r="DLI8"/>
      <c r="DLJ8"/>
      <c r="DLK8"/>
      <c r="DLL8"/>
      <c r="DLM8"/>
      <c r="DLN8"/>
      <c r="DLO8"/>
      <c r="DLP8"/>
      <c r="DLQ8"/>
      <c r="DLR8"/>
      <c r="DLS8"/>
      <c r="DLT8"/>
      <c r="DLU8"/>
      <c r="DLV8"/>
      <c r="DLW8"/>
      <c r="DLX8"/>
      <c r="DLY8"/>
      <c r="DLZ8"/>
      <c r="DMA8"/>
      <c r="DMB8"/>
      <c r="DMC8"/>
      <c r="DMD8"/>
      <c r="DME8"/>
      <c r="DMF8"/>
      <c r="DMG8"/>
      <c r="DMH8"/>
      <c r="DMI8"/>
      <c r="DMJ8"/>
      <c r="DMK8"/>
      <c r="DML8"/>
      <c r="DMM8"/>
      <c r="DMN8"/>
      <c r="DMO8"/>
      <c r="DMP8"/>
      <c r="DMQ8"/>
      <c r="DMR8"/>
      <c r="DMS8"/>
      <c r="DMT8"/>
      <c r="DMU8"/>
      <c r="DMV8"/>
      <c r="DMW8"/>
      <c r="DMX8"/>
      <c r="DMY8"/>
      <c r="DMZ8"/>
      <c r="DNA8"/>
      <c r="DNB8"/>
      <c r="DNC8"/>
      <c r="DND8"/>
      <c r="DNE8"/>
      <c r="DNF8"/>
      <c r="DNG8"/>
      <c r="DNH8"/>
      <c r="DNI8"/>
      <c r="DNJ8"/>
      <c r="DNK8"/>
      <c r="DNL8"/>
      <c r="DNM8"/>
      <c r="DNN8"/>
      <c r="DNO8"/>
      <c r="DNP8"/>
      <c r="DNQ8"/>
      <c r="DNR8"/>
      <c r="DNS8"/>
      <c r="DNT8"/>
      <c r="DNU8"/>
      <c r="DNV8"/>
      <c r="DNW8"/>
      <c r="DNX8"/>
      <c r="DNY8"/>
      <c r="DNZ8"/>
      <c r="DOA8"/>
      <c r="DOB8"/>
      <c r="DOC8"/>
      <c r="DOD8"/>
      <c r="DOE8"/>
      <c r="DOF8"/>
      <c r="DOG8"/>
      <c r="DOH8"/>
      <c r="DOI8"/>
      <c r="DOJ8"/>
      <c r="DOK8"/>
      <c r="DOL8"/>
      <c r="DOM8"/>
      <c r="DON8"/>
      <c r="DOO8"/>
      <c r="DOP8"/>
      <c r="DOQ8"/>
      <c r="DOR8"/>
      <c r="DOS8"/>
      <c r="DOT8"/>
      <c r="DOU8"/>
      <c r="DOV8"/>
      <c r="DOW8"/>
      <c r="DOX8"/>
      <c r="DOY8"/>
      <c r="DOZ8"/>
      <c r="DPA8"/>
      <c r="DPB8"/>
      <c r="DPC8"/>
      <c r="DPD8"/>
      <c r="DPE8"/>
      <c r="DPF8"/>
      <c r="DPG8"/>
      <c r="DPH8"/>
      <c r="DPI8"/>
      <c r="DPJ8"/>
      <c r="DPK8"/>
      <c r="DPL8"/>
      <c r="DPM8"/>
      <c r="DPN8"/>
      <c r="DPO8"/>
      <c r="DPP8"/>
      <c r="DPQ8"/>
      <c r="DPR8"/>
      <c r="DPS8"/>
      <c r="DPT8"/>
      <c r="DPU8"/>
      <c r="DPV8"/>
      <c r="DPW8"/>
      <c r="DPX8"/>
      <c r="DPY8"/>
      <c r="DPZ8"/>
      <c r="DQA8"/>
      <c r="DQB8"/>
      <c r="DQC8"/>
      <c r="DQD8"/>
      <c r="DQE8"/>
      <c r="DQF8"/>
      <c r="DQG8"/>
      <c r="DQH8"/>
      <c r="DQI8"/>
      <c r="DQJ8"/>
      <c r="DQK8"/>
      <c r="DQL8"/>
      <c r="DQM8"/>
      <c r="DQN8"/>
      <c r="DQO8"/>
      <c r="DQP8"/>
      <c r="DQQ8"/>
      <c r="DQR8"/>
      <c r="DQS8"/>
      <c r="DQT8"/>
      <c r="DQU8"/>
      <c r="DQV8"/>
      <c r="DQW8"/>
      <c r="DQX8"/>
      <c r="DQY8"/>
      <c r="DQZ8"/>
      <c r="DRA8"/>
      <c r="DRB8"/>
      <c r="DRC8"/>
      <c r="DRD8"/>
      <c r="DRE8"/>
      <c r="DRF8"/>
      <c r="DRG8"/>
      <c r="DRH8"/>
      <c r="DRI8"/>
      <c r="DRJ8"/>
      <c r="DRK8"/>
      <c r="DRL8"/>
      <c r="DRM8"/>
      <c r="DRN8"/>
      <c r="DRO8"/>
      <c r="DRP8"/>
      <c r="DRQ8"/>
      <c r="DRR8"/>
      <c r="DRS8"/>
      <c r="DRT8"/>
      <c r="DRU8"/>
      <c r="DRV8"/>
      <c r="DRW8"/>
      <c r="DRX8"/>
      <c r="DRY8"/>
      <c r="DRZ8"/>
      <c r="DSA8"/>
      <c r="DSB8"/>
      <c r="DSC8"/>
      <c r="DSD8"/>
      <c r="DSE8"/>
      <c r="DSF8"/>
      <c r="DSG8"/>
      <c r="DSH8"/>
      <c r="DSI8"/>
      <c r="DSJ8"/>
      <c r="DSK8"/>
      <c r="DSL8"/>
      <c r="DSM8"/>
      <c r="DSN8"/>
      <c r="DSO8"/>
      <c r="DSP8"/>
      <c r="DSQ8"/>
      <c r="DSR8"/>
      <c r="DSS8"/>
      <c r="DST8"/>
      <c r="DSU8"/>
      <c r="DSV8"/>
      <c r="DSW8"/>
      <c r="DSX8"/>
      <c r="DSY8"/>
      <c r="DSZ8"/>
      <c r="DTA8"/>
      <c r="DTB8"/>
      <c r="DTC8"/>
      <c r="DTD8"/>
      <c r="DTE8"/>
      <c r="DTF8"/>
      <c r="DTG8"/>
      <c r="DTH8"/>
      <c r="DTI8"/>
      <c r="DTJ8"/>
      <c r="DTK8"/>
      <c r="DTL8"/>
      <c r="DTM8"/>
      <c r="DTN8"/>
      <c r="DTO8"/>
      <c r="DTP8"/>
      <c r="DTQ8"/>
      <c r="DTR8"/>
      <c r="DTS8"/>
      <c r="DTT8"/>
      <c r="DTU8"/>
      <c r="DTV8"/>
      <c r="DTW8"/>
      <c r="DTX8"/>
      <c r="DTY8"/>
      <c r="DTZ8"/>
      <c r="DUA8"/>
      <c r="DUB8"/>
      <c r="DUC8"/>
      <c r="DUD8"/>
      <c r="DUE8"/>
      <c r="DUF8"/>
      <c r="DUG8"/>
      <c r="DUH8"/>
      <c r="DUI8"/>
      <c r="DUJ8"/>
      <c r="DUK8"/>
      <c r="DUL8"/>
      <c r="DUM8"/>
      <c r="DUN8"/>
      <c r="DUO8"/>
      <c r="DUP8"/>
      <c r="DUQ8"/>
      <c r="DUR8"/>
      <c r="DUS8"/>
      <c r="DUT8"/>
      <c r="DUU8"/>
      <c r="DUV8"/>
      <c r="DUW8"/>
      <c r="DUX8"/>
      <c r="DUY8"/>
      <c r="DUZ8"/>
      <c r="DVA8"/>
      <c r="DVB8"/>
      <c r="DVC8"/>
      <c r="DVD8"/>
      <c r="DVE8"/>
      <c r="DVF8"/>
      <c r="DVG8"/>
      <c r="DVH8"/>
      <c r="DVI8"/>
      <c r="DVJ8"/>
      <c r="DVK8"/>
      <c r="DVL8"/>
      <c r="DVM8"/>
      <c r="DVN8"/>
      <c r="DVO8"/>
      <c r="DVP8"/>
      <c r="DVQ8"/>
      <c r="DVR8"/>
      <c r="DVS8"/>
      <c r="DVT8"/>
      <c r="DVU8"/>
      <c r="DVV8"/>
      <c r="DVW8"/>
      <c r="DVX8"/>
      <c r="DVY8"/>
      <c r="DVZ8"/>
      <c r="DWA8"/>
      <c r="DWB8"/>
      <c r="DWC8"/>
      <c r="DWD8"/>
      <c r="DWE8"/>
      <c r="DWF8"/>
      <c r="DWG8"/>
      <c r="DWH8"/>
      <c r="DWI8"/>
      <c r="DWJ8"/>
      <c r="DWK8"/>
      <c r="DWL8"/>
      <c r="DWM8"/>
      <c r="DWN8"/>
      <c r="DWO8"/>
      <c r="DWP8"/>
      <c r="DWQ8"/>
      <c r="DWR8"/>
      <c r="DWS8"/>
      <c r="DWT8"/>
      <c r="DWU8"/>
      <c r="DWV8"/>
      <c r="DWW8"/>
      <c r="DWX8"/>
      <c r="DWY8"/>
      <c r="DWZ8"/>
      <c r="DXA8"/>
      <c r="DXB8"/>
      <c r="DXC8"/>
      <c r="DXD8"/>
      <c r="DXE8"/>
      <c r="DXF8"/>
      <c r="DXG8"/>
      <c r="DXH8"/>
      <c r="DXI8"/>
      <c r="DXJ8"/>
      <c r="DXK8"/>
      <c r="DXL8"/>
      <c r="DXM8"/>
      <c r="DXN8"/>
      <c r="DXO8"/>
      <c r="DXP8"/>
      <c r="DXQ8"/>
      <c r="DXR8"/>
      <c r="DXS8"/>
      <c r="DXT8"/>
      <c r="DXU8"/>
      <c r="DXV8"/>
      <c r="DXW8"/>
      <c r="DXX8"/>
      <c r="DXY8"/>
      <c r="DXZ8"/>
      <c r="DYA8"/>
      <c r="DYB8"/>
      <c r="DYC8"/>
      <c r="DYD8"/>
      <c r="DYE8"/>
      <c r="DYF8"/>
      <c r="DYG8"/>
      <c r="DYH8"/>
      <c r="DYI8"/>
      <c r="DYJ8"/>
      <c r="DYK8"/>
      <c r="DYL8"/>
      <c r="DYM8"/>
      <c r="DYN8"/>
      <c r="DYO8"/>
      <c r="DYP8"/>
      <c r="DYQ8"/>
      <c r="DYR8"/>
      <c r="DYS8"/>
      <c r="DYT8"/>
      <c r="DYU8"/>
      <c r="DYV8"/>
      <c r="DYW8"/>
      <c r="DYX8"/>
      <c r="DYY8"/>
      <c r="DYZ8"/>
      <c r="DZA8"/>
      <c r="DZB8"/>
      <c r="DZC8"/>
      <c r="DZD8"/>
      <c r="DZE8"/>
      <c r="DZF8"/>
      <c r="DZG8"/>
      <c r="DZH8"/>
      <c r="DZI8"/>
      <c r="DZJ8"/>
      <c r="DZK8"/>
      <c r="DZL8"/>
      <c r="DZM8"/>
      <c r="DZN8"/>
      <c r="DZO8"/>
      <c r="DZP8"/>
      <c r="DZQ8"/>
      <c r="DZR8"/>
      <c r="DZS8"/>
      <c r="DZT8"/>
      <c r="DZU8"/>
      <c r="DZV8"/>
      <c r="DZW8"/>
      <c r="DZX8"/>
      <c r="DZY8"/>
      <c r="DZZ8"/>
      <c r="EAA8"/>
      <c r="EAB8"/>
      <c r="EAC8"/>
      <c r="EAD8"/>
      <c r="EAE8"/>
      <c r="EAF8"/>
      <c r="EAG8"/>
      <c r="EAH8"/>
      <c r="EAI8"/>
      <c r="EAJ8"/>
      <c r="EAK8"/>
      <c r="EAL8"/>
      <c r="EAM8"/>
      <c r="EAN8"/>
      <c r="EAO8"/>
      <c r="EAP8"/>
      <c r="EAQ8"/>
      <c r="EAR8"/>
      <c r="EAS8"/>
      <c r="EAT8"/>
      <c r="EAU8"/>
      <c r="EAV8"/>
      <c r="EAW8"/>
      <c r="EAX8"/>
      <c r="EAY8"/>
      <c r="EAZ8"/>
      <c r="EBA8"/>
      <c r="EBB8"/>
      <c r="EBC8"/>
      <c r="EBD8"/>
      <c r="EBE8"/>
      <c r="EBF8"/>
      <c r="EBG8"/>
      <c r="EBH8"/>
      <c r="EBI8"/>
      <c r="EBJ8"/>
      <c r="EBK8"/>
      <c r="EBL8"/>
      <c r="EBM8"/>
      <c r="EBN8"/>
      <c r="EBO8"/>
      <c r="EBP8"/>
      <c r="EBQ8"/>
      <c r="EBR8"/>
      <c r="EBS8"/>
      <c r="EBT8"/>
      <c r="EBU8"/>
      <c r="EBV8"/>
      <c r="EBW8"/>
      <c r="EBX8"/>
      <c r="EBY8"/>
      <c r="EBZ8"/>
      <c r="ECA8"/>
      <c r="ECB8"/>
      <c r="ECC8"/>
      <c r="ECD8"/>
      <c r="ECE8"/>
      <c r="ECF8"/>
      <c r="ECG8"/>
      <c r="ECH8"/>
      <c r="ECI8"/>
      <c r="ECJ8"/>
      <c r="ECK8"/>
      <c r="ECL8"/>
      <c r="ECM8"/>
      <c r="ECN8"/>
      <c r="ECO8"/>
      <c r="ECP8"/>
      <c r="ECQ8"/>
      <c r="ECR8"/>
      <c r="ECS8"/>
      <c r="ECT8"/>
      <c r="ECU8"/>
      <c r="ECV8"/>
      <c r="ECW8"/>
      <c r="ECX8"/>
      <c r="ECY8"/>
      <c r="ECZ8"/>
      <c r="EDA8"/>
      <c r="EDB8"/>
      <c r="EDC8"/>
      <c r="EDD8"/>
      <c r="EDE8"/>
      <c r="EDF8"/>
      <c r="EDG8"/>
      <c r="EDH8"/>
      <c r="EDI8"/>
      <c r="EDJ8"/>
      <c r="EDK8"/>
      <c r="EDL8"/>
      <c r="EDM8"/>
      <c r="EDN8"/>
      <c r="EDO8"/>
      <c r="EDP8"/>
      <c r="EDQ8"/>
      <c r="EDR8"/>
      <c r="EDS8"/>
      <c r="EDT8"/>
      <c r="EDU8"/>
      <c r="EDV8"/>
      <c r="EDW8"/>
      <c r="EDX8"/>
      <c r="EDY8"/>
      <c r="EDZ8"/>
      <c r="EEA8"/>
      <c r="EEB8"/>
      <c r="EEC8"/>
      <c r="EED8"/>
      <c r="EEE8"/>
      <c r="EEF8"/>
      <c r="EEG8"/>
      <c r="EEH8"/>
      <c r="EEI8"/>
      <c r="EEJ8"/>
      <c r="EEK8"/>
      <c r="EEL8"/>
      <c r="EEM8"/>
      <c r="EEN8"/>
      <c r="EEO8"/>
      <c r="EEP8"/>
      <c r="EEQ8"/>
      <c r="EER8"/>
      <c r="EES8"/>
      <c r="EET8"/>
      <c r="EEU8"/>
      <c r="EEV8"/>
      <c r="EEW8"/>
      <c r="EEX8"/>
      <c r="EEY8"/>
      <c r="EEZ8"/>
      <c r="EFA8"/>
      <c r="EFB8"/>
      <c r="EFC8"/>
      <c r="EFD8"/>
      <c r="EFE8"/>
      <c r="EFF8"/>
      <c r="EFG8"/>
      <c r="EFH8"/>
      <c r="EFI8"/>
      <c r="EFJ8"/>
      <c r="EFK8"/>
      <c r="EFL8"/>
      <c r="EFM8"/>
      <c r="EFN8"/>
      <c r="EFO8"/>
      <c r="EFP8"/>
      <c r="EFQ8"/>
      <c r="EFR8"/>
      <c r="EFS8"/>
      <c r="EFT8"/>
      <c r="EFU8"/>
      <c r="EFV8"/>
      <c r="EFW8"/>
      <c r="EFX8"/>
      <c r="EFY8"/>
      <c r="EFZ8"/>
      <c r="EGA8"/>
      <c r="EGB8"/>
      <c r="EGC8"/>
      <c r="EGD8"/>
      <c r="EGE8"/>
      <c r="EGF8"/>
      <c r="EGG8"/>
      <c r="EGH8"/>
      <c r="EGI8"/>
      <c r="EGJ8"/>
      <c r="EGK8"/>
      <c r="EGL8"/>
      <c r="EGM8"/>
      <c r="EGN8"/>
      <c r="EGO8"/>
      <c r="EGP8"/>
      <c r="EGQ8"/>
      <c r="EGR8"/>
      <c r="EGS8"/>
      <c r="EGT8"/>
      <c r="EGU8"/>
      <c r="EGV8"/>
      <c r="EGW8"/>
      <c r="EGX8"/>
      <c r="EGY8"/>
      <c r="EGZ8"/>
      <c r="EHA8"/>
      <c r="EHB8"/>
      <c r="EHC8"/>
      <c r="EHD8"/>
      <c r="EHE8"/>
      <c r="EHF8"/>
      <c r="EHG8"/>
      <c r="EHH8"/>
      <c r="EHI8"/>
      <c r="EHJ8"/>
      <c r="EHK8"/>
      <c r="EHL8"/>
      <c r="EHM8"/>
      <c r="EHN8"/>
      <c r="EHO8"/>
      <c r="EHP8"/>
      <c r="EHQ8"/>
      <c r="EHR8"/>
      <c r="EHS8"/>
      <c r="EHT8"/>
      <c r="EHU8"/>
      <c r="EHV8"/>
      <c r="EHW8"/>
      <c r="EHX8"/>
      <c r="EHY8"/>
      <c r="EHZ8"/>
      <c r="EIA8"/>
      <c r="EIB8"/>
      <c r="EIC8"/>
      <c r="EID8"/>
      <c r="EIE8"/>
      <c r="EIF8"/>
      <c r="EIG8"/>
      <c r="EIH8"/>
      <c r="EII8"/>
      <c r="EIJ8"/>
      <c r="EIK8"/>
      <c r="EIL8"/>
      <c r="EIM8"/>
      <c r="EIN8"/>
      <c r="EIO8"/>
      <c r="EIP8"/>
      <c r="EIQ8"/>
      <c r="EIR8"/>
      <c r="EIS8"/>
      <c r="EIT8"/>
      <c r="EIU8"/>
      <c r="EIV8"/>
      <c r="EIW8"/>
      <c r="EIX8"/>
      <c r="EIY8"/>
      <c r="EIZ8"/>
      <c r="EJA8"/>
      <c r="EJB8"/>
      <c r="EJC8"/>
      <c r="EJD8"/>
      <c r="EJE8"/>
      <c r="EJF8"/>
      <c r="EJG8"/>
      <c r="EJH8"/>
      <c r="EJI8"/>
      <c r="EJJ8"/>
      <c r="EJK8"/>
      <c r="EJL8"/>
      <c r="EJM8"/>
      <c r="EJN8"/>
      <c r="EJO8"/>
      <c r="EJP8"/>
      <c r="EJQ8"/>
      <c r="EJR8"/>
      <c r="EJS8"/>
      <c r="EJT8"/>
      <c r="EJU8"/>
      <c r="EJV8"/>
      <c r="EJW8"/>
      <c r="EJX8"/>
      <c r="EJY8"/>
      <c r="EJZ8"/>
      <c r="EKA8"/>
      <c r="EKB8"/>
      <c r="EKC8"/>
      <c r="EKD8"/>
      <c r="EKE8"/>
      <c r="EKF8"/>
      <c r="EKG8"/>
      <c r="EKH8"/>
      <c r="EKI8"/>
      <c r="EKJ8"/>
      <c r="EKK8"/>
      <c r="EKL8"/>
      <c r="EKM8"/>
      <c r="EKN8"/>
      <c r="EKO8"/>
      <c r="EKP8"/>
      <c r="EKQ8"/>
      <c r="EKR8"/>
      <c r="EKS8"/>
      <c r="EKT8"/>
      <c r="EKU8"/>
      <c r="EKV8"/>
      <c r="EKW8"/>
      <c r="EKX8"/>
      <c r="EKY8"/>
      <c r="EKZ8"/>
      <c r="ELA8"/>
      <c r="ELB8"/>
      <c r="ELC8"/>
      <c r="ELD8"/>
      <c r="ELE8"/>
      <c r="ELF8"/>
      <c r="ELG8"/>
      <c r="ELH8"/>
      <c r="ELI8"/>
      <c r="ELJ8"/>
      <c r="ELK8"/>
      <c r="ELL8"/>
      <c r="ELM8"/>
      <c r="ELN8"/>
      <c r="ELO8"/>
      <c r="ELP8"/>
      <c r="ELQ8"/>
      <c r="ELR8"/>
      <c r="ELS8"/>
      <c r="ELT8"/>
      <c r="ELU8"/>
      <c r="ELV8"/>
      <c r="ELW8"/>
      <c r="ELX8"/>
      <c r="ELY8"/>
      <c r="ELZ8"/>
      <c r="EMA8"/>
      <c r="EMB8"/>
      <c r="EMC8"/>
      <c r="EMD8"/>
      <c r="EME8"/>
      <c r="EMF8"/>
      <c r="EMG8"/>
      <c r="EMH8"/>
      <c r="EMI8"/>
      <c r="EMJ8"/>
      <c r="EMK8"/>
      <c r="EML8"/>
      <c r="EMM8"/>
      <c r="EMN8"/>
      <c r="EMO8"/>
      <c r="EMP8"/>
      <c r="EMQ8"/>
      <c r="EMR8"/>
      <c r="EMS8"/>
      <c r="EMT8"/>
      <c r="EMU8"/>
      <c r="EMV8"/>
      <c r="EMW8"/>
      <c r="EMX8"/>
      <c r="EMY8"/>
      <c r="EMZ8"/>
      <c r="ENA8"/>
      <c r="ENB8"/>
      <c r="ENC8"/>
      <c r="END8"/>
      <c r="ENE8"/>
      <c r="ENF8"/>
      <c r="ENG8"/>
      <c r="ENH8"/>
      <c r="ENI8"/>
      <c r="ENJ8"/>
      <c r="ENK8"/>
      <c r="ENL8"/>
      <c r="ENM8"/>
      <c r="ENN8"/>
      <c r="ENO8"/>
      <c r="ENP8"/>
      <c r="ENQ8"/>
      <c r="ENR8"/>
      <c r="ENS8"/>
      <c r="ENT8"/>
      <c r="ENU8"/>
      <c r="ENV8"/>
      <c r="ENW8"/>
      <c r="ENX8"/>
      <c r="ENY8"/>
      <c r="ENZ8"/>
      <c r="EOA8"/>
      <c r="EOB8"/>
      <c r="EOC8"/>
      <c r="EOD8"/>
      <c r="EOE8"/>
      <c r="EOF8"/>
      <c r="EOG8"/>
      <c r="EOH8"/>
      <c r="EOI8"/>
      <c r="EOJ8"/>
      <c r="EOK8"/>
      <c r="EOL8"/>
      <c r="EOM8"/>
      <c r="EON8"/>
      <c r="EOO8"/>
      <c r="EOP8"/>
      <c r="EOQ8"/>
      <c r="EOR8"/>
      <c r="EOS8"/>
      <c r="EOT8"/>
      <c r="EOU8"/>
      <c r="EOV8"/>
      <c r="EOW8"/>
      <c r="EOX8"/>
      <c r="EOY8"/>
      <c r="EOZ8"/>
      <c r="EPA8"/>
      <c r="EPB8"/>
      <c r="EPC8"/>
      <c r="EPD8"/>
      <c r="EPE8"/>
      <c r="EPF8"/>
      <c r="EPG8"/>
      <c r="EPH8"/>
      <c r="EPI8"/>
      <c r="EPJ8"/>
      <c r="EPK8"/>
      <c r="EPL8"/>
      <c r="EPM8"/>
      <c r="EPN8"/>
      <c r="EPO8"/>
      <c r="EPP8"/>
      <c r="EPQ8"/>
      <c r="EPR8"/>
      <c r="EPS8"/>
      <c r="EPT8"/>
      <c r="EPU8"/>
      <c r="EPV8"/>
      <c r="EPW8"/>
      <c r="EPX8"/>
      <c r="EPY8"/>
      <c r="EPZ8"/>
      <c r="EQA8"/>
      <c r="EQB8"/>
      <c r="EQC8"/>
      <c r="EQD8"/>
      <c r="EQE8"/>
      <c r="EQF8"/>
      <c r="EQG8"/>
      <c r="EQH8"/>
      <c r="EQI8"/>
      <c r="EQJ8"/>
      <c r="EQK8"/>
      <c r="EQL8"/>
      <c r="EQM8"/>
      <c r="EQN8"/>
      <c r="EQO8"/>
      <c r="EQP8"/>
      <c r="EQQ8"/>
      <c r="EQR8"/>
      <c r="EQS8"/>
      <c r="EQT8"/>
      <c r="EQU8"/>
      <c r="EQV8"/>
      <c r="EQW8"/>
      <c r="EQX8"/>
      <c r="EQY8"/>
      <c r="EQZ8"/>
      <c r="ERA8"/>
      <c r="ERB8"/>
      <c r="ERC8"/>
      <c r="ERD8"/>
      <c r="ERE8"/>
      <c r="ERF8"/>
      <c r="ERG8"/>
      <c r="ERH8"/>
      <c r="ERI8"/>
      <c r="ERJ8"/>
      <c r="ERK8"/>
      <c r="ERL8"/>
      <c r="ERM8"/>
      <c r="ERN8"/>
      <c r="ERO8"/>
      <c r="ERP8"/>
      <c r="ERQ8"/>
      <c r="ERR8"/>
      <c r="ERS8"/>
      <c r="ERT8"/>
      <c r="ERU8"/>
      <c r="ERV8"/>
      <c r="ERW8"/>
      <c r="ERX8"/>
      <c r="ERY8"/>
      <c r="ERZ8"/>
      <c r="ESA8"/>
      <c r="ESB8"/>
      <c r="ESC8"/>
      <c r="ESD8"/>
      <c r="ESE8"/>
      <c r="ESF8"/>
      <c r="ESG8"/>
      <c r="ESH8"/>
      <c r="ESI8"/>
      <c r="ESJ8"/>
      <c r="ESK8"/>
      <c r="ESL8"/>
      <c r="ESM8"/>
      <c r="ESN8"/>
      <c r="ESO8"/>
      <c r="ESP8"/>
      <c r="ESQ8"/>
      <c r="ESR8"/>
      <c r="ESS8"/>
      <c r="EST8"/>
      <c r="ESU8"/>
      <c r="ESV8"/>
      <c r="ESW8"/>
      <c r="ESX8"/>
      <c r="ESY8"/>
      <c r="ESZ8"/>
      <c r="ETA8"/>
      <c r="ETB8"/>
      <c r="ETC8"/>
      <c r="ETD8"/>
      <c r="ETE8"/>
      <c r="ETF8"/>
      <c r="ETG8"/>
      <c r="ETH8"/>
      <c r="ETI8"/>
      <c r="ETJ8"/>
      <c r="ETK8"/>
      <c r="ETL8"/>
      <c r="ETM8"/>
      <c r="ETN8"/>
      <c r="ETO8"/>
      <c r="ETP8"/>
      <c r="ETQ8"/>
      <c r="ETR8"/>
      <c r="ETS8"/>
      <c r="ETT8"/>
      <c r="ETU8"/>
      <c r="ETV8"/>
      <c r="ETW8"/>
      <c r="ETX8"/>
      <c r="ETY8"/>
      <c r="ETZ8"/>
      <c r="EUA8"/>
      <c r="EUB8"/>
      <c r="EUC8"/>
      <c r="EUD8"/>
      <c r="EUE8"/>
      <c r="EUF8"/>
      <c r="EUG8"/>
      <c r="EUH8"/>
      <c r="EUI8"/>
      <c r="EUJ8"/>
      <c r="EUK8"/>
      <c r="EUL8"/>
      <c r="EUM8"/>
      <c r="EUN8"/>
      <c r="EUO8"/>
      <c r="EUP8"/>
      <c r="EUQ8"/>
      <c r="EUR8"/>
      <c r="EUS8"/>
      <c r="EUT8"/>
      <c r="EUU8"/>
      <c r="EUV8"/>
      <c r="EUW8"/>
      <c r="EUX8"/>
      <c r="EUY8"/>
      <c r="EUZ8"/>
      <c r="EVA8"/>
      <c r="EVB8"/>
      <c r="EVC8"/>
      <c r="EVD8"/>
      <c r="EVE8"/>
      <c r="EVF8"/>
      <c r="EVG8"/>
      <c r="EVH8"/>
      <c r="EVI8"/>
      <c r="EVJ8"/>
      <c r="EVK8"/>
      <c r="EVL8"/>
      <c r="EVM8"/>
      <c r="EVN8"/>
      <c r="EVO8"/>
      <c r="EVP8"/>
      <c r="EVQ8"/>
      <c r="EVR8"/>
      <c r="EVS8"/>
      <c r="EVT8"/>
      <c r="EVU8"/>
      <c r="EVV8"/>
      <c r="EVW8"/>
      <c r="EVX8"/>
      <c r="EVY8"/>
      <c r="EVZ8"/>
      <c r="EWA8"/>
      <c r="EWB8"/>
      <c r="EWC8"/>
      <c r="EWD8"/>
      <c r="EWE8"/>
      <c r="EWF8"/>
      <c r="EWG8"/>
      <c r="EWH8"/>
      <c r="EWI8"/>
      <c r="EWJ8"/>
      <c r="EWK8"/>
      <c r="EWL8"/>
      <c r="EWM8"/>
      <c r="EWN8"/>
      <c r="EWO8"/>
      <c r="EWP8"/>
      <c r="EWQ8"/>
      <c r="EWR8"/>
      <c r="EWS8"/>
      <c r="EWT8"/>
      <c r="EWU8"/>
      <c r="EWV8"/>
      <c r="EWW8"/>
      <c r="EWX8"/>
      <c r="EWY8"/>
      <c r="EWZ8"/>
      <c r="EXA8"/>
      <c r="EXB8"/>
      <c r="EXC8"/>
      <c r="EXD8"/>
      <c r="EXE8"/>
      <c r="EXF8"/>
      <c r="EXG8"/>
      <c r="EXH8"/>
      <c r="EXI8"/>
      <c r="EXJ8"/>
      <c r="EXK8"/>
      <c r="EXL8"/>
      <c r="EXM8"/>
      <c r="EXN8"/>
      <c r="EXO8"/>
      <c r="EXP8"/>
      <c r="EXQ8"/>
      <c r="EXR8"/>
      <c r="EXS8"/>
      <c r="EXT8"/>
      <c r="EXU8"/>
      <c r="EXV8"/>
      <c r="EXW8"/>
      <c r="EXX8"/>
      <c r="EXY8"/>
      <c r="EXZ8"/>
      <c r="EYA8"/>
      <c r="EYB8"/>
      <c r="EYC8"/>
      <c r="EYD8"/>
      <c r="EYE8"/>
      <c r="EYF8"/>
      <c r="EYG8"/>
      <c r="EYH8"/>
      <c r="EYI8"/>
      <c r="EYJ8"/>
      <c r="EYK8"/>
      <c r="EYL8"/>
      <c r="EYM8"/>
      <c r="EYN8"/>
      <c r="EYO8"/>
      <c r="EYP8"/>
      <c r="EYQ8"/>
      <c r="EYR8"/>
      <c r="EYS8"/>
      <c r="EYT8"/>
      <c r="EYU8"/>
      <c r="EYV8"/>
      <c r="EYW8"/>
      <c r="EYX8"/>
      <c r="EYY8"/>
      <c r="EYZ8"/>
      <c r="EZA8"/>
      <c r="EZB8"/>
      <c r="EZC8"/>
      <c r="EZD8"/>
      <c r="EZE8"/>
      <c r="EZF8"/>
      <c r="EZG8"/>
      <c r="EZH8"/>
      <c r="EZI8"/>
      <c r="EZJ8"/>
      <c r="EZK8"/>
      <c r="EZL8"/>
      <c r="EZM8"/>
      <c r="EZN8"/>
      <c r="EZO8"/>
      <c r="EZP8"/>
      <c r="EZQ8"/>
      <c r="EZR8"/>
      <c r="EZS8"/>
      <c r="EZT8"/>
      <c r="EZU8"/>
      <c r="EZV8"/>
      <c r="EZW8"/>
      <c r="EZX8"/>
      <c r="EZY8"/>
      <c r="EZZ8"/>
      <c r="FAA8"/>
      <c r="FAB8"/>
      <c r="FAC8"/>
      <c r="FAD8"/>
      <c r="FAE8"/>
      <c r="FAF8"/>
      <c r="FAG8"/>
      <c r="FAH8"/>
      <c r="FAI8"/>
      <c r="FAJ8"/>
      <c r="FAK8"/>
      <c r="FAL8"/>
      <c r="FAM8"/>
      <c r="FAN8"/>
      <c r="FAO8"/>
      <c r="FAP8"/>
      <c r="FAQ8"/>
      <c r="FAR8"/>
      <c r="FAS8"/>
      <c r="FAT8"/>
      <c r="FAU8"/>
      <c r="FAV8"/>
      <c r="FAW8"/>
      <c r="FAX8"/>
      <c r="FAY8"/>
      <c r="FAZ8"/>
      <c r="FBA8"/>
      <c r="FBB8"/>
      <c r="FBC8"/>
      <c r="FBD8"/>
      <c r="FBE8"/>
      <c r="FBF8"/>
      <c r="FBG8"/>
      <c r="FBH8"/>
      <c r="FBI8"/>
      <c r="FBJ8"/>
      <c r="FBK8"/>
      <c r="FBL8"/>
      <c r="FBM8"/>
      <c r="FBN8"/>
      <c r="FBO8"/>
      <c r="FBP8"/>
      <c r="FBQ8"/>
      <c r="FBR8"/>
      <c r="FBS8"/>
      <c r="FBT8"/>
      <c r="FBU8"/>
      <c r="FBV8"/>
      <c r="FBW8"/>
      <c r="FBX8"/>
      <c r="FBY8"/>
      <c r="FBZ8"/>
      <c r="FCA8"/>
      <c r="FCB8"/>
      <c r="FCC8"/>
      <c r="FCD8"/>
      <c r="FCE8"/>
      <c r="FCF8"/>
      <c r="FCG8"/>
      <c r="FCH8"/>
      <c r="FCI8"/>
      <c r="FCJ8"/>
      <c r="FCK8"/>
      <c r="FCL8"/>
      <c r="FCM8"/>
      <c r="FCN8"/>
      <c r="FCO8"/>
      <c r="FCP8"/>
      <c r="FCQ8"/>
      <c r="FCR8"/>
      <c r="FCS8"/>
      <c r="FCT8"/>
      <c r="FCU8"/>
      <c r="FCV8"/>
      <c r="FCW8"/>
      <c r="FCX8"/>
      <c r="FCY8"/>
      <c r="FCZ8"/>
      <c r="FDA8"/>
      <c r="FDB8"/>
      <c r="FDC8"/>
      <c r="FDD8"/>
      <c r="FDE8"/>
      <c r="FDF8"/>
      <c r="FDG8"/>
      <c r="FDH8"/>
      <c r="FDI8"/>
      <c r="FDJ8"/>
      <c r="FDK8"/>
      <c r="FDL8"/>
      <c r="FDM8"/>
      <c r="FDN8"/>
      <c r="FDO8"/>
      <c r="FDP8"/>
      <c r="FDQ8"/>
      <c r="FDR8"/>
      <c r="FDS8"/>
      <c r="FDT8"/>
      <c r="FDU8"/>
      <c r="FDV8"/>
      <c r="FDW8"/>
      <c r="FDX8"/>
      <c r="FDY8"/>
      <c r="FDZ8"/>
      <c r="FEA8"/>
      <c r="FEB8"/>
      <c r="FEC8"/>
      <c r="FED8"/>
      <c r="FEE8"/>
      <c r="FEF8"/>
      <c r="FEG8"/>
      <c r="FEH8"/>
      <c r="FEI8"/>
      <c r="FEJ8"/>
      <c r="FEK8"/>
      <c r="FEL8"/>
      <c r="FEM8"/>
      <c r="FEN8"/>
      <c r="FEO8"/>
      <c r="FEP8"/>
      <c r="FEQ8"/>
      <c r="FER8"/>
      <c r="FES8"/>
      <c r="FET8"/>
      <c r="FEU8"/>
      <c r="FEV8"/>
      <c r="FEW8"/>
      <c r="FEX8"/>
      <c r="FEY8"/>
      <c r="FEZ8"/>
      <c r="FFA8"/>
      <c r="FFB8"/>
      <c r="FFC8"/>
      <c r="FFD8"/>
      <c r="FFE8"/>
      <c r="FFF8"/>
      <c r="FFG8"/>
      <c r="FFH8"/>
      <c r="FFI8"/>
      <c r="FFJ8"/>
      <c r="FFK8"/>
      <c r="FFL8"/>
      <c r="FFM8"/>
      <c r="FFN8"/>
      <c r="FFO8"/>
      <c r="FFP8"/>
      <c r="FFQ8"/>
      <c r="FFR8"/>
      <c r="FFS8"/>
      <c r="FFT8"/>
      <c r="FFU8"/>
      <c r="FFV8"/>
      <c r="FFW8"/>
      <c r="FFX8"/>
      <c r="FFY8"/>
      <c r="FFZ8"/>
      <c r="FGA8"/>
      <c r="FGB8"/>
      <c r="FGC8"/>
      <c r="FGD8"/>
      <c r="FGE8"/>
      <c r="FGF8"/>
      <c r="FGG8"/>
      <c r="FGH8"/>
      <c r="FGI8"/>
      <c r="FGJ8"/>
      <c r="FGK8"/>
      <c r="FGL8"/>
      <c r="FGM8"/>
      <c r="FGN8"/>
      <c r="FGO8"/>
      <c r="FGP8"/>
      <c r="FGQ8"/>
      <c r="FGR8"/>
      <c r="FGS8"/>
      <c r="FGT8"/>
      <c r="FGU8"/>
      <c r="FGV8"/>
      <c r="FGW8"/>
      <c r="FGX8"/>
      <c r="FGY8"/>
      <c r="FGZ8"/>
      <c r="FHA8"/>
      <c r="FHB8"/>
      <c r="FHC8"/>
      <c r="FHD8"/>
      <c r="FHE8"/>
      <c r="FHF8"/>
      <c r="FHG8"/>
      <c r="FHH8"/>
      <c r="FHI8"/>
      <c r="FHJ8"/>
      <c r="FHK8"/>
      <c r="FHL8"/>
      <c r="FHM8"/>
      <c r="FHN8"/>
      <c r="FHO8"/>
      <c r="FHP8"/>
      <c r="FHQ8"/>
      <c r="FHR8"/>
      <c r="FHS8"/>
      <c r="FHT8"/>
      <c r="FHU8"/>
      <c r="FHV8"/>
      <c r="FHW8"/>
      <c r="FHX8"/>
      <c r="FHY8"/>
      <c r="FHZ8"/>
      <c r="FIA8"/>
      <c r="FIB8"/>
      <c r="FIC8"/>
      <c r="FID8"/>
      <c r="FIE8"/>
      <c r="FIF8"/>
      <c r="FIG8"/>
      <c r="FIH8"/>
      <c r="FII8"/>
      <c r="FIJ8"/>
      <c r="FIK8"/>
      <c r="FIL8"/>
      <c r="FIM8"/>
      <c r="FIN8"/>
      <c r="FIO8"/>
      <c r="FIP8"/>
      <c r="FIQ8"/>
      <c r="FIR8"/>
      <c r="FIS8"/>
      <c r="FIT8"/>
      <c r="FIU8"/>
      <c r="FIV8"/>
      <c r="FIW8"/>
      <c r="FIX8"/>
      <c r="FIY8"/>
      <c r="FIZ8"/>
      <c r="FJA8"/>
      <c r="FJB8"/>
      <c r="FJC8"/>
      <c r="FJD8"/>
      <c r="FJE8"/>
      <c r="FJF8"/>
      <c r="FJG8"/>
      <c r="FJH8"/>
      <c r="FJI8"/>
      <c r="FJJ8"/>
      <c r="FJK8"/>
      <c r="FJL8"/>
      <c r="FJM8"/>
      <c r="FJN8"/>
      <c r="FJO8"/>
      <c r="FJP8"/>
      <c r="FJQ8"/>
      <c r="FJR8"/>
      <c r="FJS8"/>
      <c r="FJT8"/>
      <c r="FJU8"/>
      <c r="FJV8"/>
      <c r="FJW8"/>
      <c r="FJX8"/>
      <c r="FJY8"/>
      <c r="FJZ8"/>
      <c r="FKA8"/>
      <c r="FKB8"/>
      <c r="FKC8"/>
      <c r="FKD8"/>
      <c r="FKE8"/>
      <c r="FKF8"/>
      <c r="FKG8"/>
      <c r="FKH8"/>
      <c r="FKI8"/>
      <c r="FKJ8"/>
      <c r="FKK8"/>
      <c r="FKL8"/>
      <c r="FKM8"/>
      <c r="FKN8"/>
      <c r="FKO8"/>
      <c r="FKP8"/>
      <c r="FKQ8"/>
      <c r="FKR8"/>
      <c r="FKS8"/>
      <c r="FKT8"/>
      <c r="FKU8"/>
      <c r="FKV8"/>
      <c r="FKW8"/>
      <c r="FKX8"/>
      <c r="FKY8"/>
      <c r="FKZ8"/>
      <c r="FLA8"/>
      <c r="FLB8"/>
      <c r="FLC8"/>
      <c r="FLD8"/>
      <c r="FLE8"/>
      <c r="FLF8"/>
      <c r="FLG8"/>
      <c r="FLH8"/>
      <c r="FLI8"/>
      <c r="FLJ8"/>
      <c r="FLK8"/>
      <c r="FLL8"/>
      <c r="FLM8"/>
      <c r="FLN8"/>
      <c r="FLO8"/>
      <c r="FLP8"/>
      <c r="FLQ8"/>
      <c r="FLR8"/>
      <c r="FLS8"/>
      <c r="FLT8"/>
      <c r="FLU8"/>
      <c r="FLV8"/>
      <c r="FLW8"/>
      <c r="FLX8"/>
      <c r="FLY8"/>
      <c r="FLZ8"/>
      <c r="FMA8"/>
      <c r="FMB8"/>
      <c r="FMC8"/>
      <c r="FMD8"/>
      <c r="FME8"/>
      <c r="FMF8"/>
      <c r="FMG8"/>
      <c r="FMH8"/>
      <c r="FMI8"/>
      <c r="FMJ8"/>
      <c r="FMK8"/>
      <c r="FML8"/>
      <c r="FMM8"/>
      <c r="FMN8"/>
      <c r="FMO8"/>
      <c r="FMP8"/>
      <c r="FMQ8"/>
      <c r="FMR8"/>
      <c r="FMS8"/>
      <c r="FMT8"/>
      <c r="FMU8"/>
      <c r="FMV8"/>
      <c r="FMW8"/>
      <c r="FMX8"/>
      <c r="FMY8"/>
      <c r="FMZ8"/>
      <c r="FNA8"/>
      <c r="FNB8"/>
      <c r="FNC8"/>
      <c r="FND8"/>
      <c r="FNE8"/>
      <c r="FNF8"/>
      <c r="FNG8"/>
      <c r="FNH8"/>
      <c r="FNI8"/>
      <c r="FNJ8"/>
      <c r="FNK8"/>
      <c r="FNL8"/>
      <c r="FNM8"/>
      <c r="FNN8"/>
      <c r="FNO8"/>
      <c r="FNP8"/>
      <c r="FNQ8"/>
      <c r="FNR8"/>
      <c r="FNS8"/>
      <c r="FNT8"/>
      <c r="FNU8"/>
      <c r="FNV8"/>
      <c r="FNW8"/>
      <c r="FNX8"/>
      <c r="FNY8"/>
      <c r="FNZ8"/>
      <c r="FOA8"/>
      <c r="FOB8"/>
      <c r="FOC8"/>
      <c r="FOD8"/>
      <c r="FOE8"/>
      <c r="FOF8"/>
      <c r="FOG8"/>
      <c r="FOH8"/>
      <c r="FOI8"/>
      <c r="FOJ8"/>
      <c r="FOK8"/>
      <c r="FOL8"/>
      <c r="FOM8"/>
      <c r="FON8"/>
      <c r="FOO8"/>
      <c r="FOP8"/>
      <c r="FOQ8"/>
      <c r="FOR8"/>
      <c r="FOS8"/>
      <c r="FOT8"/>
      <c r="FOU8"/>
      <c r="FOV8"/>
      <c r="FOW8"/>
      <c r="FOX8"/>
      <c r="FOY8"/>
      <c r="FOZ8"/>
      <c r="FPA8"/>
      <c r="FPB8"/>
      <c r="FPC8"/>
      <c r="FPD8"/>
      <c r="FPE8"/>
      <c r="FPF8"/>
      <c r="FPG8"/>
      <c r="FPH8"/>
      <c r="FPI8"/>
      <c r="FPJ8"/>
      <c r="FPK8"/>
      <c r="FPL8"/>
      <c r="FPM8"/>
      <c r="FPN8"/>
      <c r="FPO8"/>
      <c r="FPP8"/>
      <c r="FPQ8"/>
      <c r="FPR8"/>
      <c r="FPS8"/>
      <c r="FPT8"/>
      <c r="FPU8"/>
      <c r="FPV8"/>
      <c r="FPW8"/>
      <c r="FPX8"/>
      <c r="FPY8"/>
      <c r="FPZ8"/>
      <c r="FQA8"/>
      <c r="FQB8"/>
      <c r="FQC8"/>
      <c r="FQD8"/>
      <c r="FQE8"/>
      <c r="FQF8"/>
      <c r="FQG8"/>
      <c r="FQH8"/>
      <c r="FQI8"/>
      <c r="FQJ8"/>
      <c r="FQK8"/>
      <c r="FQL8"/>
      <c r="FQM8"/>
      <c r="FQN8"/>
      <c r="FQO8"/>
      <c r="FQP8"/>
      <c r="FQQ8"/>
      <c r="FQR8"/>
      <c r="FQS8"/>
      <c r="FQT8"/>
      <c r="FQU8"/>
      <c r="FQV8"/>
      <c r="FQW8"/>
      <c r="FQX8"/>
      <c r="FQY8"/>
      <c r="FQZ8"/>
      <c r="FRA8"/>
      <c r="FRB8"/>
      <c r="FRC8"/>
      <c r="FRD8"/>
      <c r="FRE8"/>
      <c r="FRF8"/>
      <c r="FRG8"/>
      <c r="FRH8"/>
      <c r="FRI8"/>
      <c r="FRJ8"/>
      <c r="FRK8"/>
      <c r="FRL8"/>
      <c r="FRM8"/>
      <c r="FRN8"/>
      <c r="FRO8"/>
      <c r="FRP8"/>
      <c r="FRQ8"/>
      <c r="FRR8"/>
      <c r="FRS8"/>
      <c r="FRT8"/>
      <c r="FRU8"/>
      <c r="FRV8"/>
      <c r="FRW8"/>
      <c r="FRX8"/>
      <c r="FRY8"/>
      <c r="FRZ8"/>
      <c r="FSA8"/>
      <c r="FSB8"/>
      <c r="FSC8"/>
      <c r="FSD8"/>
      <c r="FSE8"/>
      <c r="FSF8"/>
      <c r="FSG8"/>
      <c r="FSH8"/>
      <c r="FSI8"/>
      <c r="FSJ8"/>
      <c r="FSK8"/>
      <c r="FSL8"/>
      <c r="FSM8"/>
      <c r="FSN8"/>
      <c r="FSO8"/>
      <c r="FSP8"/>
      <c r="FSQ8"/>
      <c r="FSR8"/>
      <c r="FSS8"/>
      <c r="FST8"/>
      <c r="FSU8"/>
      <c r="FSV8"/>
      <c r="FSW8"/>
      <c r="FSX8"/>
      <c r="FSY8"/>
      <c r="FSZ8"/>
      <c r="FTA8"/>
      <c r="FTB8"/>
      <c r="FTC8"/>
      <c r="FTD8"/>
      <c r="FTE8"/>
      <c r="FTF8"/>
      <c r="FTG8"/>
      <c r="FTH8"/>
      <c r="FTI8"/>
      <c r="FTJ8"/>
      <c r="FTK8"/>
      <c r="FTL8"/>
      <c r="FTM8"/>
      <c r="FTN8"/>
      <c r="FTO8"/>
      <c r="FTP8"/>
      <c r="FTQ8"/>
      <c r="FTR8"/>
      <c r="FTS8"/>
      <c r="FTT8"/>
      <c r="FTU8"/>
      <c r="FTV8"/>
      <c r="FTW8"/>
      <c r="FTX8"/>
      <c r="FTY8"/>
      <c r="FTZ8"/>
      <c r="FUA8"/>
      <c r="FUB8"/>
      <c r="FUC8"/>
      <c r="FUD8"/>
      <c r="FUE8"/>
      <c r="FUF8"/>
      <c r="FUG8"/>
      <c r="FUH8"/>
      <c r="FUI8"/>
      <c r="FUJ8"/>
      <c r="FUK8"/>
      <c r="FUL8"/>
      <c r="FUM8"/>
      <c r="FUN8"/>
      <c r="FUO8"/>
      <c r="FUP8"/>
      <c r="FUQ8"/>
      <c r="FUR8"/>
      <c r="FUS8"/>
      <c r="FUT8"/>
      <c r="FUU8"/>
      <c r="FUV8"/>
      <c r="FUW8"/>
      <c r="FUX8"/>
      <c r="FUY8"/>
      <c r="FUZ8"/>
      <c r="FVA8"/>
      <c r="FVB8"/>
      <c r="FVC8"/>
      <c r="FVD8"/>
      <c r="FVE8"/>
      <c r="FVF8"/>
      <c r="FVG8"/>
      <c r="FVH8"/>
      <c r="FVI8"/>
      <c r="FVJ8"/>
      <c r="FVK8"/>
      <c r="FVL8"/>
      <c r="FVM8"/>
      <c r="FVN8"/>
      <c r="FVO8"/>
      <c r="FVP8"/>
      <c r="FVQ8"/>
      <c r="FVR8"/>
      <c r="FVS8"/>
      <c r="FVT8"/>
      <c r="FVU8"/>
      <c r="FVV8"/>
      <c r="FVW8"/>
      <c r="FVX8"/>
      <c r="FVY8"/>
      <c r="FVZ8"/>
      <c r="FWA8"/>
      <c r="FWB8"/>
      <c r="FWC8"/>
      <c r="FWD8"/>
      <c r="FWE8"/>
      <c r="FWF8"/>
      <c r="FWG8"/>
      <c r="FWH8"/>
      <c r="FWI8"/>
      <c r="FWJ8"/>
      <c r="FWK8"/>
      <c r="FWL8"/>
      <c r="FWM8"/>
      <c r="FWN8"/>
      <c r="FWO8"/>
      <c r="FWP8"/>
      <c r="FWQ8"/>
      <c r="FWR8"/>
      <c r="FWS8"/>
      <c r="FWT8"/>
      <c r="FWU8"/>
      <c r="FWV8"/>
      <c r="FWW8"/>
      <c r="FWX8"/>
      <c r="FWY8"/>
      <c r="FWZ8"/>
      <c r="FXA8"/>
      <c r="FXB8"/>
      <c r="FXC8"/>
      <c r="FXD8"/>
      <c r="FXE8"/>
      <c r="FXF8"/>
      <c r="FXG8"/>
      <c r="FXH8"/>
      <c r="FXI8"/>
      <c r="FXJ8"/>
      <c r="FXK8"/>
      <c r="FXL8"/>
      <c r="FXM8"/>
      <c r="FXN8"/>
      <c r="FXO8"/>
      <c r="FXP8"/>
      <c r="FXQ8"/>
      <c r="FXR8"/>
      <c r="FXS8"/>
      <c r="FXT8"/>
      <c r="FXU8"/>
      <c r="FXV8"/>
      <c r="FXW8"/>
      <c r="FXX8"/>
      <c r="FXY8"/>
      <c r="FXZ8"/>
      <c r="FYA8"/>
      <c r="FYB8"/>
      <c r="FYC8"/>
      <c r="FYD8"/>
      <c r="FYE8"/>
      <c r="FYF8"/>
      <c r="FYG8"/>
      <c r="FYH8"/>
      <c r="FYI8"/>
      <c r="FYJ8"/>
      <c r="FYK8"/>
      <c r="FYL8"/>
      <c r="FYM8"/>
      <c r="FYN8"/>
      <c r="FYO8"/>
      <c r="FYP8"/>
      <c r="FYQ8"/>
      <c r="FYR8"/>
      <c r="FYS8"/>
      <c r="FYT8"/>
      <c r="FYU8"/>
      <c r="FYV8"/>
      <c r="FYW8"/>
      <c r="FYX8"/>
      <c r="FYY8"/>
      <c r="FYZ8"/>
      <c r="FZA8"/>
      <c r="FZB8"/>
      <c r="FZC8"/>
      <c r="FZD8"/>
      <c r="FZE8"/>
      <c r="FZF8"/>
      <c r="FZG8"/>
      <c r="FZH8"/>
      <c r="FZI8"/>
      <c r="FZJ8"/>
      <c r="FZK8"/>
      <c r="FZL8"/>
      <c r="FZM8"/>
      <c r="FZN8"/>
      <c r="FZO8"/>
      <c r="FZP8"/>
      <c r="FZQ8"/>
      <c r="FZR8"/>
      <c r="FZS8"/>
      <c r="FZT8"/>
      <c r="FZU8"/>
      <c r="FZV8"/>
      <c r="FZW8"/>
      <c r="FZX8"/>
      <c r="FZY8"/>
      <c r="FZZ8"/>
      <c r="GAA8"/>
      <c r="GAB8"/>
      <c r="GAC8"/>
      <c r="GAD8"/>
      <c r="GAE8"/>
      <c r="GAF8"/>
      <c r="GAG8"/>
      <c r="GAH8"/>
      <c r="GAI8"/>
      <c r="GAJ8"/>
      <c r="GAK8"/>
      <c r="GAL8"/>
      <c r="GAM8"/>
      <c r="GAN8"/>
      <c r="GAO8"/>
      <c r="GAP8"/>
      <c r="GAQ8"/>
      <c r="GAR8"/>
      <c r="GAS8"/>
      <c r="GAT8"/>
      <c r="GAU8"/>
      <c r="GAV8"/>
      <c r="GAW8"/>
      <c r="GAX8"/>
      <c r="GAY8"/>
      <c r="GAZ8"/>
      <c r="GBA8"/>
      <c r="GBB8"/>
      <c r="GBC8"/>
      <c r="GBD8"/>
      <c r="GBE8"/>
      <c r="GBF8"/>
      <c r="GBG8"/>
      <c r="GBH8"/>
      <c r="GBI8"/>
      <c r="GBJ8"/>
      <c r="GBK8"/>
      <c r="GBL8"/>
      <c r="GBM8"/>
      <c r="GBN8"/>
      <c r="GBO8"/>
      <c r="GBP8"/>
      <c r="GBQ8"/>
      <c r="GBR8"/>
      <c r="GBS8"/>
      <c r="GBT8"/>
      <c r="GBU8"/>
      <c r="GBV8"/>
      <c r="GBW8"/>
      <c r="GBX8"/>
      <c r="GBY8"/>
      <c r="GBZ8"/>
      <c r="GCA8"/>
      <c r="GCB8"/>
      <c r="GCC8"/>
      <c r="GCD8"/>
      <c r="GCE8"/>
      <c r="GCF8"/>
      <c r="GCG8"/>
      <c r="GCH8"/>
      <c r="GCI8"/>
      <c r="GCJ8"/>
      <c r="GCK8"/>
      <c r="GCL8"/>
      <c r="GCM8"/>
      <c r="GCN8"/>
      <c r="GCO8"/>
      <c r="GCP8"/>
      <c r="GCQ8"/>
      <c r="GCR8"/>
      <c r="GCS8"/>
      <c r="GCT8"/>
      <c r="GCU8"/>
      <c r="GCV8"/>
      <c r="GCW8"/>
      <c r="GCX8"/>
      <c r="GCY8"/>
      <c r="GCZ8"/>
      <c r="GDA8"/>
      <c r="GDB8"/>
      <c r="GDC8"/>
      <c r="GDD8"/>
      <c r="GDE8"/>
      <c r="GDF8"/>
      <c r="GDG8"/>
      <c r="GDH8"/>
      <c r="GDI8"/>
      <c r="GDJ8"/>
      <c r="GDK8"/>
      <c r="GDL8"/>
      <c r="GDM8"/>
      <c r="GDN8"/>
      <c r="GDO8"/>
      <c r="GDP8"/>
      <c r="GDQ8"/>
      <c r="GDR8"/>
      <c r="GDS8"/>
      <c r="GDT8"/>
      <c r="GDU8"/>
      <c r="GDV8"/>
      <c r="GDW8"/>
      <c r="GDX8"/>
      <c r="GDY8"/>
      <c r="GDZ8"/>
      <c r="GEA8"/>
      <c r="GEB8"/>
      <c r="GEC8"/>
      <c r="GED8"/>
      <c r="GEE8"/>
      <c r="GEF8"/>
      <c r="GEG8"/>
      <c r="GEH8"/>
      <c r="GEI8"/>
      <c r="GEJ8"/>
      <c r="GEK8"/>
      <c r="GEL8"/>
      <c r="GEM8"/>
      <c r="GEN8"/>
      <c r="GEO8"/>
      <c r="GEP8"/>
      <c r="GEQ8"/>
      <c r="GER8"/>
      <c r="GES8"/>
      <c r="GET8"/>
      <c r="GEU8"/>
      <c r="GEV8"/>
      <c r="GEW8"/>
      <c r="GEX8"/>
      <c r="GEY8"/>
      <c r="GEZ8"/>
      <c r="GFA8"/>
      <c r="GFB8"/>
      <c r="GFC8"/>
      <c r="GFD8"/>
      <c r="GFE8"/>
      <c r="GFF8"/>
      <c r="GFG8"/>
      <c r="GFH8"/>
      <c r="GFI8"/>
      <c r="GFJ8"/>
      <c r="GFK8"/>
      <c r="GFL8"/>
      <c r="GFM8"/>
      <c r="GFN8"/>
      <c r="GFO8"/>
      <c r="GFP8"/>
      <c r="GFQ8"/>
      <c r="GFR8"/>
      <c r="GFS8"/>
      <c r="GFT8"/>
      <c r="GFU8"/>
      <c r="GFV8"/>
      <c r="GFW8"/>
      <c r="GFX8"/>
      <c r="GFY8"/>
      <c r="GFZ8"/>
      <c r="GGA8"/>
      <c r="GGB8"/>
      <c r="GGC8"/>
      <c r="GGD8"/>
      <c r="GGE8"/>
      <c r="GGF8"/>
      <c r="GGG8"/>
      <c r="GGH8"/>
      <c r="GGI8"/>
      <c r="GGJ8"/>
      <c r="GGK8"/>
      <c r="GGL8"/>
      <c r="GGM8"/>
      <c r="GGN8"/>
      <c r="GGO8"/>
      <c r="GGP8"/>
      <c r="GGQ8"/>
      <c r="GGR8"/>
      <c r="GGS8"/>
      <c r="GGT8"/>
      <c r="GGU8"/>
      <c r="GGV8"/>
      <c r="GGW8"/>
      <c r="GGX8"/>
      <c r="GGY8"/>
      <c r="GGZ8"/>
      <c r="GHA8"/>
      <c r="GHB8"/>
      <c r="GHC8"/>
      <c r="GHD8"/>
      <c r="GHE8"/>
      <c r="GHF8"/>
      <c r="GHG8"/>
      <c r="GHH8"/>
      <c r="GHI8"/>
      <c r="GHJ8"/>
      <c r="GHK8"/>
      <c r="GHL8"/>
      <c r="GHM8"/>
      <c r="GHN8"/>
      <c r="GHO8"/>
      <c r="GHP8"/>
      <c r="GHQ8"/>
      <c r="GHR8"/>
      <c r="GHS8"/>
      <c r="GHT8"/>
      <c r="GHU8"/>
      <c r="GHV8"/>
      <c r="GHW8"/>
      <c r="GHX8"/>
      <c r="GHY8"/>
      <c r="GHZ8"/>
      <c r="GIA8"/>
      <c r="GIB8"/>
      <c r="GIC8"/>
      <c r="GID8"/>
      <c r="GIE8"/>
      <c r="GIF8"/>
      <c r="GIG8"/>
      <c r="GIH8"/>
      <c r="GII8"/>
      <c r="GIJ8"/>
      <c r="GIK8"/>
      <c r="GIL8"/>
      <c r="GIM8"/>
      <c r="GIN8"/>
      <c r="GIO8"/>
      <c r="GIP8"/>
      <c r="GIQ8"/>
      <c r="GIR8"/>
      <c r="GIS8"/>
      <c r="GIT8"/>
      <c r="GIU8"/>
      <c r="GIV8"/>
      <c r="GIW8"/>
      <c r="GIX8"/>
      <c r="GIY8"/>
      <c r="GIZ8"/>
      <c r="GJA8"/>
      <c r="GJB8"/>
      <c r="GJC8"/>
      <c r="GJD8"/>
      <c r="GJE8"/>
      <c r="GJF8"/>
      <c r="GJG8"/>
      <c r="GJH8"/>
      <c r="GJI8"/>
      <c r="GJJ8"/>
      <c r="GJK8"/>
      <c r="GJL8"/>
      <c r="GJM8"/>
      <c r="GJN8"/>
      <c r="GJO8"/>
      <c r="GJP8"/>
      <c r="GJQ8"/>
      <c r="GJR8"/>
      <c r="GJS8"/>
      <c r="GJT8"/>
      <c r="GJU8"/>
      <c r="GJV8"/>
      <c r="GJW8"/>
      <c r="GJX8"/>
      <c r="GJY8"/>
      <c r="GJZ8"/>
      <c r="GKA8"/>
      <c r="GKB8"/>
      <c r="GKC8"/>
      <c r="GKD8"/>
      <c r="GKE8"/>
      <c r="GKF8"/>
      <c r="GKG8"/>
      <c r="GKH8"/>
      <c r="GKI8"/>
      <c r="GKJ8"/>
      <c r="GKK8"/>
      <c r="GKL8"/>
      <c r="GKM8"/>
      <c r="GKN8"/>
      <c r="GKO8"/>
      <c r="GKP8"/>
      <c r="GKQ8"/>
      <c r="GKR8"/>
      <c r="GKS8"/>
      <c r="GKT8"/>
      <c r="GKU8"/>
      <c r="GKV8"/>
      <c r="GKW8"/>
      <c r="GKX8"/>
      <c r="GKY8"/>
      <c r="GKZ8"/>
      <c r="GLA8"/>
      <c r="GLB8"/>
      <c r="GLC8"/>
      <c r="GLD8"/>
      <c r="GLE8"/>
      <c r="GLF8"/>
      <c r="GLG8"/>
      <c r="GLH8"/>
      <c r="GLI8"/>
      <c r="GLJ8"/>
      <c r="GLK8"/>
      <c r="GLL8"/>
      <c r="GLM8"/>
      <c r="GLN8"/>
      <c r="GLO8"/>
      <c r="GLP8"/>
      <c r="GLQ8"/>
      <c r="GLR8"/>
      <c r="GLS8"/>
      <c r="GLT8"/>
      <c r="GLU8"/>
      <c r="GLV8"/>
      <c r="GLW8"/>
      <c r="GLX8"/>
      <c r="GLY8"/>
      <c r="GLZ8"/>
      <c r="GMA8"/>
      <c r="GMB8"/>
      <c r="GMC8"/>
      <c r="GMD8"/>
      <c r="GME8"/>
      <c r="GMF8"/>
      <c r="GMG8"/>
      <c r="GMH8"/>
      <c r="GMI8"/>
      <c r="GMJ8"/>
      <c r="GMK8"/>
      <c r="GML8"/>
      <c r="GMM8"/>
      <c r="GMN8"/>
      <c r="GMO8"/>
      <c r="GMP8"/>
      <c r="GMQ8"/>
      <c r="GMR8"/>
      <c r="GMS8"/>
      <c r="GMT8"/>
      <c r="GMU8"/>
      <c r="GMV8"/>
      <c r="GMW8"/>
      <c r="GMX8"/>
      <c r="GMY8"/>
      <c r="GMZ8"/>
      <c r="GNA8"/>
      <c r="GNB8"/>
      <c r="GNC8"/>
      <c r="GND8"/>
      <c r="GNE8"/>
      <c r="GNF8"/>
      <c r="GNG8"/>
      <c r="GNH8"/>
      <c r="GNI8"/>
      <c r="GNJ8"/>
      <c r="GNK8"/>
      <c r="GNL8"/>
      <c r="GNM8"/>
      <c r="GNN8"/>
      <c r="GNO8"/>
      <c r="GNP8"/>
      <c r="GNQ8"/>
      <c r="GNR8"/>
      <c r="GNS8"/>
      <c r="GNT8"/>
      <c r="GNU8"/>
      <c r="GNV8"/>
      <c r="GNW8"/>
      <c r="GNX8"/>
      <c r="GNY8"/>
      <c r="GNZ8"/>
      <c r="GOA8"/>
      <c r="GOB8"/>
      <c r="GOC8"/>
      <c r="GOD8"/>
      <c r="GOE8"/>
      <c r="GOF8"/>
      <c r="GOG8"/>
      <c r="GOH8"/>
      <c r="GOI8"/>
      <c r="GOJ8"/>
      <c r="GOK8"/>
      <c r="GOL8"/>
      <c r="GOM8"/>
      <c r="GON8"/>
      <c r="GOO8"/>
      <c r="GOP8"/>
      <c r="GOQ8"/>
      <c r="GOR8"/>
      <c r="GOS8"/>
      <c r="GOT8"/>
      <c r="GOU8"/>
      <c r="GOV8"/>
      <c r="GOW8"/>
      <c r="GOX8"/>
      <c r="GOY8"/>
      <c r="GOZ8"/>
      <c r="GPA8"/>
      <c r="GPB8"/>
      <c r="GPC8"/>
      <c r="GPD8"/>
      <c r="GPE8"/>
      <c r="GPF8"/>
      <c r="GPG8"/>
      <c r="GPH8"/>
      <c r="GPI8"/>
      <c r="GPJ8"/>
      <c r="GPK8"/>
      <c r="GPL8"/>
      <c r="GPM8"/>
      <c r="GPN8"/>
      <c r="GPO8"/>
      <c r="GPP8"/>
      <c r="GPQ8"/>
      <c r="GPR8"/>
      <c r="GPS8"/>
      <c r="GPT8"/>
      <c r="GPU8"/>
      <c r="GPV8"/>
      <c r="GPW8"/>
      <c r="GPX8"/>
      <c r="GPY8"/>
      <c r="GPZ8"/>
      <c r="GQA8"/>
      <c r="GQB8"/>
      <c r="GQC8"/>
      <c r="GQD8"/>
      <c r="GQE8"/>
      <c r="GQF8"/>
      <c r="GQG8"/>
      <c r="GQH8"/>
      <c r="GQI8"/>
      <c r="GQJ8"/>
      <c r="GQK8"/>
      <c r="GQL8"/>
      <c r="GQM8"/>
      <c r="GQN8"/>
      <c r="GQO8"/>
      <c r="GQP8"/>
      <c r="GQQ8"/>
      <c r="GQR8"/>
      <c r="GQS8"/>
      <c r="GQT8"/>
      <c r="GQU8"/>
      <c r="GQV8"/>
      <c r="GQW8"/>
      <c r="GQX8"/>
      <c r="GQY8"/>
      <c r="GQZ8"/>
      <c r="GRA8"/>
      <c r="GRB8"/>
      <c r="GRC8"/>
      <c r="GRD8"/>
      <c r="GRE8"/>
      <c r="GRF8"/>
      <c r="GRG8"/>
      <c r="GRH8"/>
      <c r="GRI8"/>
      <c r="GRJ8"/>
      <c r="GRK8"/>
      <c r="GRL8"/>
      <c r="GRM8"/>
      <c r="GRN8"/>
      <c r="GRO8"/>
      <c r="GRP8"/>
      <c r="GRQ8"/>
      <c r="GRR8"/>
      <c r="GRS8"/>
      <c r="GRT8"/>
      <c r="GRU8"/>
      <c r="GRV8"/>
      <c r="GRW8"/>
      <c r="GRX8"/>
      <c r="GRY8"/>
      <c r="GRZ8"/>
      <c r="GSA8"/>
      <c r="GSB8"/>
      <c r="GSC8"/>
      <c r="GSD8"/>
      <c r="GSE8"/>
      <c r="GSF8"/>
      <c r="GSG8"/>
      <c r="GSH8"/>
      <c r="GSI8"/>
      <c r="GSJ8"/>
      <c r="GSK8"/>
      <c r="GSL8"/>
      <c r="GSM8"/>
      <c r="GSN8"/>
      <c r="GSO8"/>
      <c r="GSP8"/>
      <c r="GSQ8"/>
      <c r="GSR8"/>
      <c r="GSS8"/>
      <c r="GST8"/>
      <c r="GSU8"/>
      <c r="GSV8"/>
      <c r="GSW8"/>
      <c r="GSX8"/>
      <c r="GSY8"/>
      <c r="GSZ8"/>
      <c r="GTA8"/>
      <c r="GTB8"/>
      <c r="GTC8"/>
      <c r="GTD8"/>
      <c r="GTE8"/>
      <c r="GTF8"/>
      <c r="GTG8"/>
      <c r="GTH8"/>
      <c r="GTI8"/>
      <c r="GTJ8"/>
      <c r="GTK8"/>
      <c r="GTL8"/>
      <c r="GTM8"/>
      <c r="GTN8"/>
      <c r="GTO8"/>
      <c r="GTP8"/>
      <c r="GTQ8"/>
      <c r="GTR8"/>
      <c r="GTS8"/>
      <c r="GTT8"/>
      <c r="GTU8"/>
      <c r="GTV8"/>
      <c r="GTW8"/>
      <c r="GTX8"/>
      <c r="GTY8"/>
      <c r="GTZ8"/>
      <c r="GUA8"/>
      <c r="GUB8"/>
      <c r="GUC8"/>
      <c r="GUD8"/>
      <c r="GUE8"/>
      <c r="GUF8"/>
      <c r="GUG8"/>
      <c r="GUH8"/>
      <c r="GUI8"/>
      <c r="GUJ8"/>
      <c r="GUK8"/>
      <c r="GUL8"/>
      <c r="GUM8"/>
      <c r="GUN8"/>
      <c r="GUO8"/>
      <c r="GUP8"/>
      <c r="GUQ8"/>
      <c r="GUR8"/>
      <c r="GUS8"/>
      <c r="GUT8"/>
      <c r="GUU8"/>
      <c r="GUV8"/>
      <c r="GUW8"/>
      <c r="GUX8"/>
      <c r="GUY8"/>
      <c r="GUZ8"/>
      <c r="GVA8"/>
      <c r="GVB8"/>
      <c r="GVC8"/>
      <c r="GVD8"/>
      <c r="GVE8"/>
      <c r="GVF8"/>
      <c r="GVG8"/>
      <c r="GVH8"/>
      <c r="GVI8"/>
      <c r="GVJ8"/>
      <c r="GVK8"/>
      <c r="GVL8"/>
      <c r="GVM8"/>
      <c r="GVN8"/>
      <c r="GVO8"/>
      <c r="GVP8"/>
      <c r="GVQ8"/>
      <c r="GVR8"/>
      <c r="GVS8"/>
      <c r="GVT8"/>
      <c r="GVU8"/>
      <c r="GVV8"/>
      <c r="GVW8"/>
      <c r="GVX8"/>
      <c r="GVY8"/>
      <c r="GVZ8"/>
      <c r="GWA8"/>
      <c r="GWB8"/>
      <c r="GWC8"/>
      <c r="GWD8"/>
      <c r="GWE8"/>
      <c r="GWF8"/>
      <c r="GWG8"/>
      <c r="GWH8"/>
      <c r="GWI8"/>
      <c r="GWJ8"/>
      <c r="GWK8"/>
      <c r="GWL8"/>
      <c r="GWM8"/>
      <c r="GWN8"/>
      <c r="GWO8"/>
      <c r="GWP8"/>
      <c r="GWQ8"/>
      <c r="GWR8"/>
      <c r="GWS8"/>
      <c r="GWT8"/>
      <c r="GWU8"/>
      <c r="GWV8"/>
      <c r="GWW8"/>
      <c r="GWX8"/>
      <c r="GWY8"/>
      <c r="GWZ8"/>
      <c r="GXA8"/>
      <c r="GXB8"/>
      <c r="GXC8"/>
      <c r="GXD8"/>
      <c r="GXE8"/>
      <c r="GXF8"/>
      <c r="GXG8"/>
      <c r="GXH8"/>
      <c r="GXI8"/>
      <c r="GXJ8"/>
      <c r="GXK8"/>
      <c r="GXL8"/>
      <c r="GXM8"/>
      <c r="GXN8"/>
      <c r="GXO8"/>
      <c r="GXP8"/>
      <c r="GXQ8"/>
      <c r="GXR8"/>
      <c r="GXS8"/>
      <c r="GXT8"/>
      <c r="GXU8"/>
      <c r="GXV8"/>
      <c r="GXW8"/>
      <c r="GXX8"/>
      <c r="GXY8"/>
      <c r="GXZ8"/>
      <c r="GYA8"/>
      <c r="GYB8"/>
      <c r="GYC8"/>
      <c r="GYD8"/>
      <c r="GYE8"/>
      <c r="GYF8"/>
      <c r="GYG8"/>
      <c r="GYH8"/>
      <c r="GYI8"/>
      <c r="GYJ8"/>
      <c r="GYK8"/>
      <c r="GYL8"/>
      <c r="GYM8"/>
      <c r="GYN8"/>
      <c r="GYO8"/>
      <c r="GYP8"/>
      <c r="GYQ8"/>
      <c r="GYR8"/>
      <c r="GYS8"/>
      <c r="GYT8"/>
      <c r="GYU8"/>
      <c r="GYV8"/>
      <c r="GYW8"/>
      <c r="GYX8"/>
      <c r="GYY8"/>
      <c r="GYZ8"/>
      <c r="GZA8"/>
      <c r="GZB8"/>
      <c r="GZC8"/>
      <c r="GZD8"/>
      <c r="GZE8"/>
      <c r="GZF8"/>
      <c r="GZG8"/>
      <c r="GZH8"/>
      <c r="GZI8"/>
      <c r="GZJ8"/>
      <c r="GZK8"/>
      <c r="GZL8"/>
      <c r="GZM8"/>
      <c r="GZN8"/>
      <c r="GZO8"/>
      <c r="GZP8"/>
      <c r="GZQ8"/>
      <c r="GZR8"/>
      <c r="GZS8"/>
      <c r="GZT8"/>
      <c r="GZU8"/>
      <c r="GZV8"/>
      <c r="GZW8"/>
      <c r="GZX8"/>
      <c r="GZY8"/>
      <c r="GZZ8"/>
      <c r="HAA8"/>
      <c r="HAB8"/>
      <c r="HAC8"/>
      <c r="HAD8"/>
      <c r="HAE8"/>
      <c r="HAF8"/>
      <c r="HAG8"/>
      <c r="HAH8"/>
      <c r="HAI8"/>
      <c r="HAJ8"/>
      <c r="HAK8"/>
      <c r="HAL8"/>
      <c r="HAM8"/>
      <c r="HAN8"/>
      <c r="HAO8"/>
      <c r="HAP8"/>
      <c r="HAQ8"/>
      <c r="HAR8"/>
      <c r="HAS8"/>
      <c r="HAT8"/>
      <c r="HAU8"/>
      <c r="HAV8"/>
      <c r="HAW8"/>
      <c r="HAX8"/>
      <c r="HAY8"/>
      <c r="HAZ8"/>
      <c r="HBA8"/>
      <c r="HBB8"/>
      <c r="HBC8"/>
      <c r="HBD8"/>
      <c r="HBE8"/>
      <c r="HBF8"/>
      <c r="HBG8"/>
      <c r="HBH8"/>
      <c r="HBI8"/>
      <c r="HBJ8"/>
      <c r="HBK8"/>
      <c r="HBL8"/>
      <c r="HBM8"/>
      <c r="HBN8"/>
      <c r="HBO8"/>
      <c r="HBP8"/>
      <c r="HBQ8"/>
      <c r="HBR8"/>
      <c r="HBS8"/>
      <c r="HBT8"/>
      <c r="HBU8"/>
      <c r="HBV8"/>
      <c r="HBW8"/>
      <c r="HBX8"/>
      <c r="HBY8"/>
      <c r="HBZ8"/>
      <c r="HCA8"/>
      <c r="HCB8"/>
      <c r="HCC8"/>
      <c r="HCD8"/>
      <c r="HCE8"/>
      <c r="HCF8"/>
      <c r="HCG8"/>
      <c r="HCH8"/>
      <c r="HCI8"/>
      <c r="HCJ8"/>
      <c r="HCK8"/>
      <c r="HCL8"/>
      <c r="HCM8"/>
      <c r="HCN8"/>
      <c r="HCO8"/>
      <c r="HCP8"/>
      <c r="HCQ8"/>
      <c r="HCR8"/>
      <c r="HCS8"/>
      <c r="HCT8"/>
      <c r="HCU8"/>
      <c r="HCV8"/>
      <c r="HCW8"/>
      <c r="HCX8"/>
      <c r="HCY8"/>
      <c r="HCZ8"/>
      <c r="HDA8"/>
      <c r="HDB8"/>
      <c r="HDC8"/>
      <c r="HDD8"/>
      <c r="HDE8"/>
      <c r="HDF8"/>
      <c r="HDG8"/>
      <c r="HDH8"/>
      <c r="HDI8"/>
      <c r="HDJ8"/>
      <c r="HDK8"/>
      <c r="HDL8"/>
      <c r="HDM8"/>
      <c r="HDN8"/>
      <c r="HDO8"/>
      <c r="HDP8"/>
      <c r="HDQ8"/>
      <c r="HDR8"/>
      <c r="HDS8"/>
      <c r="HDT8"/>
      <c r="HDU8"/>
      <c r="HDV8"/>
      <c r="HDW8"/>
      <c r="HDX8"/>
      <c r="HDY8"/>
      <c r="HDZ8"/>
      <c r="HEA8"/>
      <c r="HEB8"/>
      <c r="HEC8"/>
      <c r="HED8"/>
      <c r="HEE8"/>
      <c r="HEF8"/>
      <c r="HEG8"/>
      <c r="HEH8"/>
      <c r="HEI8"/>
      <c r="HEJ8"/>
      <c r="HEK8"/>
      <c r="HEL8"/>
      <c r="HEM8"/>
      <c r="HEN8"/>
      <c r="HEO8"/>
      <c r="HEP8"/>
      <c r="HEQ8"/>
      <c r="HER8"/>
      <c r="HES8"/>
      <c r="HET8"/>
      <c r="HEU8"/>
      <c r="HEV8"/>
      <c r="HEW8"/>
      <c r="HEX8"/>
      <c r="HEY8"/>
      <c r="HEZ8"/>
      <c r="HFA8"/>
      <c r="HFB8"/>
      <c r="HFC8"/>
      <c r="HFD8"/>
      <c r="HFE8"/>
      <c r="HFF8"/>
      <c r="HFG8"/>
      <c r="HFH8"/>
      <c r="HFI8"/>
      <c r="HFJ8"/>
      <c r="HFK8"/>
      <c r="HFL8"/>
      <c r="HFM8"/>
      <c r="HFN8"/>
      <c r="HFO8"/>
      <c r="HFP8"/>
      <c r="HFQ8"/>
      <c r="HFR8"/>
      <c r="HFS8"/>
      <c r="HFT8"/>
      <c r="HFU8"/>
      <c r="HFV8"/>
      <c r="HFW8"/>
      <c r="HFX8"/>
      <c r="HFY8"/>
      <c r="HFZ8"/>
      <c r="HGA8"/>
      <c r="HGB8"/>
      <c r="HGC8"/>
      <c r="HGD8"/>
      <c r="HGE8"/>
      <c r="HGF8"/>
      <c r="HGG8"/>
      <c r="HGH8"/>
      <c r="HGI8"/>
      <c r="HGJ8"/>
      <c r="HGK8"/>
      <c r="HGL8"/>
      <c r="HGM8"/>
      <c r="HGN8"/>
      <c r="HGO8"/>
      <c r="HGP8"/>
      <c r="HGQ8"/>
      <c r="HGR8"/>
      <c r="HGS8"/>
      <c r="HGT8"/>
      <c r="HGU8"/>
      <c r="HGV8"/>
      <c r="HGW8"/>
      <c r="HGX8"/>
      <c r="HGY8"/>
      <c r="HGZ8"/>
      <c r="HHA8"/>
      <c r="HHB8"/>
      <c r="HHC8"/>
      <c r="HHD8"/>
      <c r="HHE8"/>
      <c r="HHF8"/>
      <c r="HHG8"/>
      <c r="HHH8"/>
      <c r="HHI8"/>
      <c r="HHJ8"/>
      <c r="HHK8"/>
      <c r="HHL8"/>
      <c r="HHM8"/>
      <c r="HHN8"/>
      <c r="HHO8"/>
      <c r="HHP8"/>
      <c r="HHQ8"/>
      <c r="HHR8"/>
      <c r="HHS8"/>
      <c r="HHT8"/>
      <c r="HHU8"/>
      <c r="HHV8"/>
      <c r="HHW8"/>
      <c r="HHX8"/>
      <c r="HHY8"/>
      <c r="HHZ8"/>
      <c r="HIA8"/>
      <c r="HIB8"/>
      <c r="HIC8"/>
      <c r="HID8"/>
      <c r="HIE8"/>
      <c r="HIF8"/>
      <c r="HIG8"/>
      <c r="HIH8"/>
      <c r="HII8"/>
      <c r="HIJ8"/>
      <c r="HIK8"/>
      <c r="HIL8"/>
      <c r="HIM8"/>
      <c r="HIN8"/>
      <c r="HIO8"/>
      <c r="HIP8"/>
      <c r="HIQ8"/>
      <c r="HIR8"/>
      <c r="HIS8"/>
      <c r="HIT8"/>
      <c r="HIU8"/>
      <c r="HIV8"/>
      <c r="HIW8"/>
      <c r="HIX8"/>
      <c r="HIY8"/>
      <c r="HIZ8"/>
      <c r="HJA8"/>
      <c r="HJB8"/>
      <c r="HJC8"/>
      <c r="HJD8"/>
      <c r="HJE8"/>
      <c r="HJF8"/>
      <c r="HJG8"/>
      <c r="HJH8"/>
      <c r="HJI8"/>
      <c r="HJJ8"/>
      <c r="HJK8"/>
      <c r="HJL8"/>
      <c r="HJM8"/>
      <c r="HJN8"/>
      <c r="HJO8"/>
      <c r="HJP8"/>
      <c r="HJQ8"/>
      <c r="HJR8"/>
      <c r="HJS8"/>
      <c r="HJT8"/>
      <c r="HJU8"/>
      <c r="HJV8"/>
      <c r="HJW8"/>
      <c r="HJX8"/>
      <c r="HJY8"/>
      <c r="HJZ8"/>
      <c r="HKA8"/>
      <c r="HKB8"/>
      <c r="HKC8"/>
      <c r="HKD8"/>
      <c r="HKE8"/>
      <c r="HKF8"/>
      <c r="HKG8"/>
      <c r="HKH8"/>
      <c r="HKI8"/>
      <c r="HKJ8"/>
      <c r="HKK8"/>
      <c r="HKL8"/>
      <c r="HKM8"/>
      <c r="HKN8"/>
      <c r="HKO8"/>
      <c r="HKP8"/>
      <c r="HKQ8"/>
      <c r="HKR8"/>
      <c r="HKS8"/>
      <c r="HKT8"/>
      <c r="HKU8"/>
      <c r="HKV8"/>
      <c r="HKW8"/>
      <c r="HKX8"/>
      <c r="HKY8"/>
      <c r="HKZ8"/>
      <c r="HLA8"/>
      <c r="HLB8"/>
      <c r="HLC8"/>
      <c r="HLD8"/>
      <c r="HLE8"/>
      <c r="HLF8"/>
      <c r="HLG8"/>
      <c r="HLH8"/>
      <c r="HLI8"/>
      <c r="HLJ8"/>
      <c r="HLK8"/>
      <c r="HLL8"/>
      <c r="HLM8"/>
      <c r="HLN8"/>
      <c r="HLO8"/>
      <c r="HLP8"/>
      <c r="HLQ8"/>
      <c r="HLR8"/>
      <c r="HLS8"/>
      <c r="HLT8"/>
      <c r="HLU8"/>
      <c r="HLV8"/>
      <c r="HLW8"/>
      <c r="HLX8"/>
      <c r="HLY8"/>
      <c r="HLZ8"/>
      <c r="HMA8"/>
      <c r="HMB8"/>
      <c r="HMC8"/>
      <c r="HMD8"/>
      <c r="HME8"/>
      <c r="HMF8"/>
      <c r="HMG8"/>
      <c r="HMH8"/>
      <c r="HMI8"/>
      <c r="HMJ8"/>
      <c r="HMK8"/>
      <c r="HML8"/>
      <c r="HMM8"/>
      <c r="HMN8"/>
      <c r="HMO8"/>
      <c r="HMP8"/>
      <c r="HMQ8"/>
      <c r="HMR8"/>
      <c r="HMS8"/>
      <c r="HMT8"/>
      <c r="HMU8"/>
      <c r="HMV8"/>
      <c r="HMW8"/>
      <c r="HMX8"/>
      <c r="HMY8"/>
      <c r="HMZ8"/>
      <c r="HNA8"/>
      <c r="HNB8"/>
      <c r="HNC8"/>
      <c r="HND8"/>
      <c r="HNE8"/>
      <c r="HNF8"/>
      <c r="HNG8"/>
      <c r="HNH8"/>
      <c r="HNI8"/>
      <c r="HNJ8"/>
      <c r="HNK8"/>
      <c r="HNL8"/>
      <c r="HNM8"/>
      <c r="HNN8"/>
      <c r="HNO8"/>
      <c r="HNP8"/>
      <c r="HNQ8"/>
      <c r="HNR8"/>
      <c r="HNS8"/>
      <c r="HNT8"/>
      <c r="HNU8"/>
      <c r="HNV8"/>
      <c r="HNW8"/>
      <c r="HNX8"/>
      <c r="HNY8"/>
      <c r="HNZ8"/>
      <c r="HOA8"/>
      <c r="HOB8"/>
      <c r="HOC8"/>
      <c r="HOD8"/>
      <c r="HOE8"/>
      <c r="HOF8"/>
      <c r="HOG8"/>
      <c r="HOH8"/>
      <c r="HOI8"/>
      <c r="HOJ8"/>
      <c r="HOK8"/>
      <c r="HOL8"/>
      <c r="HOM8"/>
      <c r="HON8"/>
      <c r="HOO8"/>
      <c r="HOP8"/>
      <c r="HOQ8"/>
      <c r="HOR8"/>
      <c r="HOS8"/>
      <c r="HOT8"/>
      <c r="HOU8"/>
      <c r="HOV8"/>
      <c r="HOW8"/>
      <c r="HOX8"/>
      <c r="HOY8"/>
      <c r="HOZ8"/>
      <c r="HPA8"/>
      <c r="HPB8"/>
      <c r="HPC8"/>
      <c r="HPD8"/>
      <c r="HPE8"/>
      <c r="HPF8"/>
      <c r="HPG8"/>
      <c r="HPH8"/>
      <c r="HPI8"/>
      <c r="HPJ8"/>
      <c r="HPK8"/>
      <c r="HPL8"/>
      <c r="HPM8"/>
      <c r="HPN8"/>
      <c r="HPO8"/>
      <c r="HPP8"/>
      <c r="HPQ8"/>
      <c r="HPR8"/>
      <c r="HPS8"/>
      <c r="HPT8"/>
      <c r="HPU8"/>
      <c r="HPV8"/>
      <c r="HPW8"/>
      <c r="HPX8"/>
      <c r="HPY8"/>
      <c r="HPZ8"/>
      <c r="HQA8"/>
      <c r="HQB8"/>
      <c r="HQC8"/>
      <c r="HQD8"/>
      <c r="HQE8"/>
      <c r="HQF8"/>
      <c r="HQG8"/>
      <c r="HQH8"/>
      <c r="HQI8"/>
      <c r="HQJ8"/>
      <c r="HQK8"/>
      <c r="HQL8"/>
      <c r="HQM8"/>
      <c r="HQN8"/>
      <c r="HQO8"/>
      <c r="HQP8"/>
      <c r="HQQ8"/>
      <c r="HQR8"/>
      <c r="HQS8"/>
      <c r="HQT8"/>
      <c r="HQU8"/>
      <c r="HQV8"/>
      <c r="HQW8"/>
      <c r="HQX8"/>
      <c r="HQY8"/>
      <c r="HQZ8"/>
      <c r="HRA8"/>
      <c r="HRB8"/>
      <c r="HRC8"/>
      <c r="HRD8"/>
      <c r="HRE8"/>
      <c r="HRF8"/>
      <c r="HRG8"/>
      <c r="HRH8"/>
      <c r="HRI8"/>
      <c r="HRJ8"/>
      <c r="HRK8"/>
      <c r="HRL8"/>
      <c r="HRM8"/>
      <c r="HRN8"/>
      <c r="HRO8"/>
      <c r="HRP8"/>
      <c r="HRQ8"/>
      <c r="HRR8"/>
      <c r="HRS8"/>
      <c r="HRT8"/>
      <c r="HRU8"/>
      <c r="HRV8"/>
      <c r="HRW8"/>
      <c r="HRX8"/>
      <c r="HRY8"/>
      <c r="HRZ8"/>
      <c r="HSA8"/>
      <c r="HSB8"/>
      <c r="HSC8"/>
      <c r="HSD8"/>
      <c r="HSE8"/>
      <c r="HSF8"/>
      <c r="HSG8"/>
      <c r="HSH8"/>
      <c r="HSI8"/>
      <c r="HSJ8"/>
      <c r="HSK8"/>
      <c r="HSL8"/>
      <c r="HSM8"/>
      <c r="HSN8"/>
      <c r="HSO8"/>
      <c r="HSP8"/>
      <c r="HSQ8"/>
      <c r="HSR8"/>
      <c r="HSS8"/>
      <c r="HST8"/>
      <c r="HSU8"/>
      <c r="HSV8"/>
      <c r="HSW8"/>
      <c r="HSX8"/>
      <c r="HSY8"/>
      <c r="HSZ8"/>
      <c r="HTA8"/>
      <c r="HTB8"/>
      <c r="HTC8"/>
      <c r="HTD8"/>
      <c r="HTE8"/>
      <c r="HTF8"/>
      <c r="HTG8"/>
      <c r="HTH8"/>
      <c r="HTI8"/>
      <c r="HTJ8"/>
      <c r="HTK8"/>
      <c r="HTL8"/>
      <c r="HTM8"/>
      <c r="HTN8"/>
      <c r="HTO8"/>
      <c r="HTP8"/>
      <c r="HTQ8"/>
      <c r="HTR8"/>
      <c r="HTS8"/>
      <c r="HTT8"/>
      <c r="HTU8"/>
      <c r="HTV8"/>
      <c r="HTW8"/>
      <c r="HTX8"/>
      <c r="HTY8"/>
      <c r="HTZ8"/>
      <c r="HUA8"/>
      <c r="HUB8"/>
      <c r="HUC8"/>
      <c r="HUD8"/>
      <c r="HUE8"/>
      <c r="HUF8"/>
      <c r="HUG8"/>
      <c r="HUH8"/>
      <c r="HUI8"/>
      <c r="HUJ8"/>
      <c r="HUK8"/>
      <c r="HUL8"/>
      <c r="HUM8"/>
      <c r="HUN8"/>
      <c r="HUO8"/>
      <c r="HUP8"/>
      <c r="HUQ8"/>
      <c r="HUR8"/>
      <c r="HUS8"/>
      <c r="HUT8"/>
      <c r="HUU8"/>
      <c r="HUV8"/>
      <c r="HUW8"/>
      <c r="HUX8"/>
      <c r="HUY8"/>
      <c r="HUZ8"/>
      <c r="HVA8"/>
      <c r="HVB8"/>
      <c r="HVC8"/>
      <c r="HVD8"/>
      <c r="HVE8"/>
      <c r="HVF8"/>
      <c r="HVG8"/>
      <c r="HVH8"/>
      <c r="HVI8"/>
      <c r="HVJ8"/>
      <c r="HVK8"/>
      <c r="HVL8"/>
      <c r="HVM8"/>
      <c r="HVN8"/>
      <c r="HVO8"/>
      <c r="HVP8"/>
      <c r="HVQ8"/>
      <c r="HVR8"/>
      <c r="HVS8"/>
      <c r="HVT8"/>
      <c r="HVU8"/>
      <c r="HVV8"/>
      <c r="HVW8"/>
      <c r="HVX8"/>
      <c r="HVY8"/>
      <c r="HVZ8"/>
      <c r="HWA8"/>
      <c r="HWB8"/>
      <c r="HWC8"/>
      <c r="HWD8"/>
      <c r="HWE8"/>
      <c r="HWF8"/>
      <c r="HWG8"/>
      <c r="HWH8"/>
      <c r="HWI8"/>
      <c r="HWJ8"/>
      <c r="HWK8"/>
      <c r="HWL8"/>
      <c r="HWM8"/>
      <c r="HWN8"/>
      <c r="HWO8"/>
      <c r="HWP8"/>
      <c r="HWQ8"/>
      <c r="HWR8"/>
      <c r="HWS8"/>
      <c r="HWT8"/>
      <c r="HWU8"/>
      <c r="HWV8"/>
      <c r="HWW8"/>
      <c r="HWX8"/>
      <c r="HWY8"/>
      <c r="HWZ8"/>
      <c r="HXA8"/>
      <c r="HXB8"/>
      <c r="HXC8"/>
      <c r="HXD8"/>
      <c r="HXE8"/>
      <c r="HXF8"/>
      <c r="HXG8"/>
      <c r="HXH8"/>
      <c r="HXI8"/>
      <c r="HXJ8"/>
      <c r="HXK8"/>
      <c r="HXL8"/>
      <c r="HXM8"/>
      <c r="HXN8"/>
      <c r="HXO8"/>
      <c r="HXP8"/>
      <c r="HXQ8"/>
      <c r="HXR8"/>
      <c r="HXS8"/>
      <c r="HXT8"/>
      <c r="HXU8"/>
      <c r="HXV8"/>
      <c r="HXW8"/>
      <c r="HXX8"/>
      <c r="HXY8"/>
      <c r="HXZ8"/>
      <c r="HYA8"/>
      <c r="HYB8"/>
      <c r="HYC8"/>
      <c r="HYD8"/>
      <c r="HYE8"/>
      <c r="HYF8"/>
      <c r="HYG8"/>
      <c r="HYH8"/>
      <c r="HYI8"/>
      <c r="HYJ8"/>
      <c r="HYK8"/>
      <c r="HYL8"/>
      <c r="HYM8"/>
      <c r="HYN8"/>
      <c r="HYO8"/>
      <c r="HYP8"/>
      <c r="HYQ8"/>
      <c r="HYR8"/>
      <c r="HYS8"/>
      <c r="HYT8"/>
      <c r="HYU8"/>
      <c r="HYV8"/>
      <c r="HYW8"/>
      <c r="HYX8"/>
      <c r="HYY8"/>
      <c r="HYZ8"/>
      <c r="HZA8"/>
      <c r="HZB8"/>
      <c r="HZC8"/>
      <c r="HZD8"/>
      <c r="HZE8"/>
      <c r="HZF8"/>
      <c r="HZG8"/>
      <c r="HZH8"/>
      <c r="HZI8"/>
      <c r="HZJ8"/>
      <c r="HZK8"/>
      <c r="HZL8"/>
      <c r="HZM8"/>
      <c r="HZN8"/>
      <c r="HZO8"/>
      <c r="HZP8"/>
      <c r="HZQ8"/>
      <c r="HZR8"/>
      <c r="HZS8"/>
      <c r="HZT8"/>
      <c r="HZU8"/>
      <c r="HZV8"/>
      <c r="HZW8"/>
      <c r="HZX8"/>
      <c r="HZY8"/>
      <c r="HZZ8"/>
      <c r="IAA8"/>
      <c r="IAB8"/>
      <c r="IAC8"/>
      <c r="IAD8"/>
      <c r="IAE8"/>
      <c r="IAF8"/>
      <c r="IAG8"/>
      <c r="IAH8"/>
      <c r="IAI8"/>
      <c r="IAJ8"/>
      <c r="IAK8"/>
      <c r="IAL8"/>
      <c r="IAM8"/>
      <c r="IAN8"/>
      <c r="IAO8"/>
      <c r="IAP8"/>
      <c r="IAQ8"/>
      <c r="IAR8"/>
      <c r="IAS8"/>
      <c r="IAT8"/>
      <c r="IAU8"/>
      <c r="IAV8"/>
      <c r="IAW8"/>
      <c r="IAX8"/>
      <c r="IAY8"/>
      <c r="IAZ8"/>
      <c r="IBA8"/>
      <c r="IBB8"/>
      <c r="IBC8"/>
      <c r="IBD8"/>
      <c r="IBE8"/>
      <c r="IBF8"/>
      <c r="IBG8"/>
      <c r="IBH8"/>
      <c r="IBI8"/>
      <c r="IBJ8"/>
      <c r="IBK8"/>
      <c r="IBL8"/>
      <c r="IBM8"/>
      <c r="IBN8"/>
      <c r="IBO8"/>
      <c r="IBP8"/>
      <c r="IBQ8"/>
      <c r="IBR8"/>
      <c r="IBS8"/>
      <c r="IBT8"/>
      <c r="IBU8"/>
      <c r="IBV8"/>
      <c r="IBW8"/>
      <c r="IBX8"/>
      <c r="IBY8"/>
      <c r="IBZ8"/>
      <c r="ICA8"/>
      <c r="ICB8"/>
      <c r="ICC8"/>
      <c r="ICD8"/>
      <c r="ICE8"/>
      <c r="ICF8"/>
      <c r="ICG8"/>
      <c r="ICH8"/>
      <c r="ICI8"/>
      <c r="ICJ8"/>
      <c r="ICK8"/>
      <c r="ICL8"/>
      <c r="ICM8"/>
      <c r="ICN8"/>
      <c r="ICO8"/>
      <c r="ICP8"/>
      <c r="ICQ8"/>
      <c r="ICR8"/>
      <c r="ICS8"/>
      <c r="ICT8"/>
      <c r="ICU8"/>
      <c r="ICV8"/>
      <c r="ICW8"/>
      <c r="ICX8"/>
      <c r="ICY8"/>
      <c r="ICZ8"/>
      <c r="IDA8"/>
      <c r="IDB8"/>
      <c r="IDC8"/>
      <c r="IDD8"/>
      <c r="IDE8"/>
      <c r="IDF8"/>
      <c r="IDG8"/>
      <c r="IDH8"/>
      <c r="IDI8"/>
      <c r="IDJ8"/>
      <c r="IDK8"/>
      <c r="IDL8"/>
      <c r="IDM8"/>
      <c r="IDN8"/>
      <c r="IDO8"/>
      <c r="IDP8"/>
      <c r="IDQ8"/>
      <c r="IDR8"/>
      <c r="IDS8"/>
      <c r="IDT8"/>
      <c r="IDU8"/>
      <c r="IDV8"/>
      <c r="IDW8"/>
      <c r="IDX8"/>
      <c r="IDY8"/>
      <c r="IDZ8"/>
      <c r="IEA8"/>
      <c r="IEB8"/>
      <c r="IEC8"/>
      <c r="IED8"/>
      <c r="IEE8"/>
      <c r="IEF8"/>
      <c r="IEG8"/>
      <c r="IEH8"/>
      <c r="IEI8"/>
      <c r="IEJ8"/>
      <c r="IEK8"/>
      <c r="IEL8"/>
      <c r="IEM8"/>
      <c r="IEN8"/>
      <c r="IEO8"/>
      <c r="IEP8"/>
      <c r="IEQ8"/>
      <c r="IER8"/>
      <c r="IES8"/>
      <c r="IET8"/>
      <c r="IEU8"/>
      <c r="IEV8"/>
      <c r="IEW8"/>
      <c r="IEX8"/>
      <c r="IEY8"/>
      <c r="IEZ8"/>
      <c r="IFA8"/>
      <c r="IFB8"/>
      <c r="IFC8"/>
      <c r="IFD8"/>
      <c r="IFE8"/>
      <c r="IFF8"/>
      <c r="IFG8"/>
      <c r="IFH8"/>
      <c r="IFI8"/>
      <c r="IFJ8"/>
      <c r="IFK8"/>
      <c r="IFL8"/>
      <c r="IFM8"/>
      <c r="IFN8"/>
      <c r="IFO8"/>
      <c r="IFP8"/>
      <c r="IFQ8"/>
      <c r="IFR8"/>
      <c r="IFS8"/>
      <c r="IFT8"/>
      <c r="IFU8"/>
      <c r="IFV8"/>
      <c r="IFW8"/>
      <c r="IFX8"/>
      <c r="IFY8"/>
      <c r="IFZ8"/>
      <c r="IGA8"/>
      <c r="IGB8"/>
      <c r="IGC8"/>
      <c r="IGD8"/>
      <c r="IGE8"/>
      <c r="IGF8"/>
      <c r="IGG8"/>
      <c r="IGH8"/>
      <c r="IGI8"/>
      <c r="IGJ8"/>
      <c r="IGK8"/>
      <c r="IGL8"/>
      <c r="IGM8"/>
      <c r="IGN8"/>
      <c r="IGO8"/>
      <c r="IGP8"/>
      <c r="IGQ8"/>
      <c r="IGR8"/>
      <c r="IGS8"/>
      <c r="IGT8"/>
      <c r="IGU8"/>
      <c r="IGV8"/>
      <c r="IGW8"/>
      <c r="IGX8"/>
      <c r="IGY8"/>
      <c r="IGZ8"/>
      <c r="IHA8"/>
      <c r="IHB8"/>
      <c r="IHC8"/>
      <c r="IHD8"/>
      <c r="IHE8"/>
      <c r="IHF8"/>
      <c r="IHG8"/>
      <c r="IHH8"/>
      <c r="IHI8"/>
      <c r="IHJ8"/>
      <c r="IHK8"/>
      <c r="IHL8"/>
      <c r="IHM8"/>
      <c r="IHN8"/>
      <c r="IHO8"/>
      <c r="IHP8"/>
      <c r="IHQ8"/>
      <c r="IHR8"/>
      <c r="IHS8"/>
      <c r="IHT8"/>
      <c r="IHU8"/>
      <c r="IHV8"/>
      <c r="IHW8"/>
      <c r="IHX8"/>
      <c r="IHY8"/>
      <c r="IHZ8"/>
      <c r="IIA8"/>
      <c r="IIB8"/>
      <c r="IIC8"/>
      <c r="IID8"/>
      <c r="IIE8"/>
      <c r="IIF8"/>
      <c r="IIG8"/>
      <c r="IIH8"/>
      <c r="III8"/>
      <c r="IIJ8"/>
      <c r="IIK8"/>
      <c r="IIL8"/>
      <c r="IIM8"/>
      <c r="IIN8"/>
      <c r="IIO8"/>
      <c r="IIP8"/>
      <c r="IIQ8"/>
      <c r="IIR8"/>
      <c r="IIS8"/>
      <c r="IIT8"/>
      <c r="IIU8"/>
      <c r="IIV8"/>
      <c r="IIW8"/>
      <c r="IIX8"/>
      <c r="IIY8"/>
      <c r="IIZ8"/>
      <c r="IJA8"/>
      <c r="IJB8"/>
      <c r="IJC8"/>
      <c r="IJD8"/>
      <c r="IJE8"/>
      <c r="IJF8"/>
      <c r="IJG8"/>
      <c r="IJH8"/>
      <c r="IJI8"/>
      <c r="IJJ8"/>
      <c r="IJK8"/>
      <c r="IJL8"/>
      <c r="IJM8"/>
      <c r="IJN8"/>
      <c r="IJO8"/>
      <c r="IJP8"/>
      <c r="IJQ8"/>
      <c r="IJR8"/>
      <c r="IJS8"/>
      <c r="IJT8"/>
      <c r="IJU8"/>
      <c r="IJV8"/>
      <c r="IJW8"/>
      <c r="IJX8"/>
      <c r="IJY8"/>
      <c r="IJZ8"/>
      <c r="IKA8"/>
      <c r="IKB8"/>
      <c r="IKC8"/>
      <c r="IKD8"/>
      <c r="IKE8"/>
      <c r="IKF8"/>
      <c r="IKG8"/>
      <c r="IKH8"/>
      <c r="IKI8"/>
      <c r="IKJ8"/>
      <c r="IKK8"/>
      <c r="IKL8"/>
      <c r="IKM8"/>
      <c r="IKN8"/>
      <c r="IKO8"/>
      <c r="IKP8"/>
      <c r="IKQ8"/>
      <c r="IKR8"/>
      <c r="IKS8"/>
      <c r="IKT8"/>
      <c r="IKU8"/>
      <c r="IKV8"/>
      <c r="IKW8"/>
      <c r="IKX8"/>
      <c r="IKY8"/>
      <c r="IKZ8"/>
      <c r="ILA8"/>
      <c r="ILB8"/>
      <c r="ILC8"/>
      <c r="ILD8"/>
      <c r="ILE8"/>
      <c r="ILF8"/>
      <c r="ILG8"/>
      <c r="ILH8"/>
      <c r="ILI8"/>
      <c r="ILJ8"/>
      <c r="ILK8"/>
      <c r="ILL8"/>
      <c r="ILM8"/>
      <c r="ILN8"/>
      <c r="ILO8"/>
      <c r="ILP8"/>
      <c r="ILQ8"/>
      <c r="ILR8"/>
      <c r="ILS8"/>
      <c r="ILT8"/>
      <c r="ILU8"/>
      <c r="ILV8"/>
      <c r="ILW8"/>
      <c r="ILX8"/>
      <c r="ILY8"/>
      <c r="ILZ8"/>
      <c r="IMA8"/>
      <c r="IMB8"/>
      <c r="IMC8"/>
      <c r="IMD8"/>
      <c r="IME8"/>
      <c r="IMF8"/>
      <c r="IMG8"/>
      <c r="IMH8"/>
      <c r="IMI8"/>
      <c r="IMJ8"/>
      <c r="IMK8"/>
      <c r="IML8"/>
      <c r="IMM8"/>
      <c r="IMN8"/>
      <c r="IMO8"/>
      <c r="IMP8"/>
      <c r="IMQ8"/>
      <c r="IMR8"/>
      <c r="IMS8"/>
      <c r="IMT8"/>
      <c r="IMU8"/>
      <c r="IMV8"/>
      <c r="IMW8"/>
      <c r="IMX8"/>
      <c r="IMY8"/>
      <c r="IMZ8"/>
      <c r="INA8"/>
      <c r="INB8"/>
      <c r="INC8"/>
      <c r="IND8"/>
      <c r="INE8"/>
      <c r="INF8"/>
      <c r="ING8"/>
      <c r="INH8"/>
      <c r="INI8"/>
      <c r="INJ8"/>
      <c r="INK8"/>
      <c r="INL8"/>
      <c r="INM8"/>
      <c r="INN8"/>
      <c r="INO8"/>
      <c r="INP8"/>
      <c r="INQ8"/>
      <c r="INR8"/>
      <c r="INS8"/>
      <c r="INT8"/>
      <c r="INU8"/>
      <c r="INV8"/>
      <c r="INW8"/>
      <c r="INX8"/>
      <c r="INY8"/>
      <c r="INZ8"/>
      <c r="IOA8"/>
      <c r="IOB8"/>
      <c r="IOC8"/>
      <c r="IOD8"/>
      <c r="IOE8"/>
      <c r="IOF8"/>
      <c r="IOG8"/>
      <c r="IOH8"/>
      <c r="IOI8"/>
      <c r="IOJ8"/>
      <c r="IOK8"/>
      <c r="IOL8"/>
      <c r="IOM8"/>
      <c r="ION8"/>
      <c r="IOO8"/>
      <c r="IOP8"/>
      <c r="IOQ8"/>
      <c r="IOR8"/>
      <c r="IOS8"/>
      <c r="IOT8"/>
      <c r="IOU8"/>
      <c r="IOV8"/>
      <c r="IOW8"/>
      <c r="IOX8"/>
      <c r="IOY8"/>
      <c r="IOZ8"/>
      <c r="IPA8"/>
      <c r="IPB8"/>
      <c r="IPC8"/>
      <c r="IPD8"/>
      <c r="IPE8"/>
      <c r="IPF8"/>
      <c r="IPG8"/>
      <c r="IPH8"/>
      <c r="IPI8"/>
      <c r="IPJ8"/>
      <c r="IPK8"/>
      <c r="IPL8"/>
      <c r="IPM8"/>
      <c r="IPN8"/>
      <c r="IPO8"/>
      <c r="IPP8"/>
      <c r="IPQ8"/>
      <c r="IPR8"/>
      <c r="IPS8"/>
      <c r="IPT8"/>
      <c r="IPU8"/>
      <c r="IPV8"/>
      <c r="IPW8"/>
      <c r="IPX8"/>
      <c r="IPY8"/>
      <c r="IPZ8"/>
      <c r="IQA8"/>
      <c r="IQB8"/>
      <c r="IQC8"/>
      <c r="IQD8"/>
      <c r="IQE8"/>
      <c r="IQF8"/>
      <c r="IQG8"/>
      <c r="IQH8"/>
      <c r="IQI8"/>
      <c r="IQJ8"/>
      <c r="IQK8"/>
      <c r="IQL8"/>
      <c r="IQM8"/>
      <c r="IQN8"/>
      <c r="IQO8"/>
      <c r="IQP8"/>
      <c r="IQQ8"/>
      <c r="IQR8"/>
      <c r="IQS8"/>
      <c r="IQT8"/>
      <c r="IQU8"/>
      <c r="IQV8"/>
      <c r="IQW8"/>
      <c r="IQX8"/>
      <c r="IQY8"/>
      <c r="IQZ8"/>
      <c r="IRA8"/>
      <c r="IRB8"/>
      <c r="IRC8"/>
      <c r="IRD8"/>
      <c r="IRE8"/>
      <c r="IRF8"/>
      <c r="IRG8"/>
      <c r="IRH8"/>
      <c r="IRI8"/>
      <c r="IRJ8"/>
      <c r="IRK8"/>
      <c r="IRL8"/>
      <c r="IRM8"/>
      <c r="IRN8"/>
      <c r="IRO8"/>
      <c r="IRP8"/>
      <c r="IRQ8"/>
      <c r="IRR8"/>
      <c r="IRS8"/>
      <c r="IRT8"/>
      <c r="IRU8"/>
      <c r="IRV8"/>
      <c r="IRW8"/>
      <c r="IRX8"/>
      <c r="IRY8"/>
      <c r="IRZ8"/>
      <c r="ISA8"/>
      <c r="ISB8"/>
      <c r="ISC8"/>
      <c r="ISD8"/>
      <c r="ISE8"/>
      <c r="ISF8"/>
      <c r="ISG8"/>
      <c r="ISH8"/>
      <c r="ISI8"/>
      <c r="ISJ8"/>
      <c r="ISK8"/>
      <c r="ISL8"/>
      <c r="ISM8"/>
      <c r="ISN8"/>
      <c r="ISO8"/>
      <c r="ISP8"/>
      <c r="ISQ8"/>
      <c r="ISR8"/>
      <c r="ISS8"/>
      <c r="IST8"/>
      <c r="ISU8"/>
      <c r="ISV8"/>
      <c r="ISW8"/>
      <c r="ISX8"/>
      <c r="ISY8"/>
      <c r="ISZ8"/>
      <c r="ITA8"/>
      <c r="ITB8"/>
      <c r="ITC8"/>
      <c r="ITD8"/>
      <c r="ITE8"/>
      <c r="ITF8"/>
      <c r="ITG8"/>
      <c r="ITH8"/>
      <c r="ITI8"/>
      <c r="ITJ8"/>
      <c r="ITK8"/>
      <c r="ITL8"/>
      <c r="ITM8"/>
      <c r="ITN8"/>
      <c r="ITO8"/>
      <c r="ITP8"/>
      <c r="ITQ8"/>
      <c r="ITR8"/>
      <c r="ITS8"/>
      <c r="ITT8"/>
      <c r="ITU8"/>
      <c r="ITV8"/>
      <c r="ITW8"/>
      <c r="ITX8"/>
      <c r="ITY8"/>
      <c r="ITZ8"/>
      <c r="IUA8"/>
      <c r="IUB8"/>
      <c r="IUC8"/>
      <c r="IUD8"/>
      <c r="IUE8"/>
      <c r="IUF8"/>
      <c r="IUG8"/>
      <c r="IUH8"/>
      <c r="IUI8"/>
      <c r="IUJ8"/>
      <c r="IUK8"/>
      <c r="IUL8"/>
      <c r="IUM8"/>
      <c r="IUN8"/>
      <c r="IUO8"/>
      <c r="IUP8"/>
      <c r="IUQ8"/>
      <c r="IUR8"/>
      <c r="IUS8"/>
      <c r="IUT8"/>
      <c r="IUU8"/>
      <c r="IUV8"/>
      <c r="IUW8"/>
      <c r="IUX8"/>
      <c r="IUY8"/>
      <c r="IUZ8"/>
      <c r="IVA8"/>
      <c r="IVB8"/>
      <c r="IVC8"/>
      <c r="IVD8"/>
      <c r="IVE8"/>
      <c r="IVF8"/>
      <c r="IVG8"/>
      <c r="IVH8"/>
      <c r="IVI8"/>
      <c r="IVJ8"/>
      <c r="IVK8"/>
      <c r="IVL8"/>
      <c r="IVM8"/>
      <c r="IVN8"/>
      <c r="IVO8"/>
      <c r="IVP8"/>
      <c r="IVQ8"/>
      <c r="IVR8"/>
      <c r="IVS8"/>
      <c r="IVT8"/>
      <c r="IVU8"/>
      <c r="IVV8"/>
      <c r="IVW8"/>
      <c r="IVX8"/>
      <c r="IVY8"/>
      <c r="IVZ8"/>
      <c r="IWA8"/>
      <c r="IWB8"/>
      <c r="IWC8"/>
      <c r="IWD8"/>
      <c r="IWE8"/>
      <c r="IWF8"/>
      <c r="IWG8"/>
      <c r="IWH8"/>
      <c r="IWI8"/>
      <c r="IWJ8"/>
      <c r="IWK8"/>
      <c r="IWL8"/>
      <c r="IWM8"/>
      <c r="IWN8"/>
      <c r="IWO8"/>
      <c r="IWP8"/>
      <c r="IWQ8"/>
      <c r="IWR8"/>
      <c r="IWS8"/>
      <c r="IWT8"/>
      <c r="IWU8"/>
      <c r="IWV8"/>
      <c r="IWW8"/>
      <c r="IWX8"/>
      <c r="IWY8"/>
      <c r="IWZ8"/>
      <c r="IXA8"/>
      <c r="IXB8"/>
      <c r="IXC8"/>
      <c r="IXD8"/>
      <c r="IXE8"/>
      <c r="IXF8"/>
      <c r="IXG8"/>
      <c r="IXH8"/>
      <c r="IXI8"/>
      <c r="IXJ8"/>
      <c r="IXK8"/>
      <c r="IXL8"/>
      <c r="IXM8"/>
      <c r="IXN8"/>
      <c r="IXO8"/>
      <c r="IXP8"/>
      <c r="IXQ8"/>
      <c r="IXR8"/>
      <c r="IXS8"/>
      <c r="IXT8"/>
      <c r="IXU8"/>
      <c r="IXV8"/>
      <c r="IXW8"/>
      <c r="IXX8"/>
      <c r="IXY8"/>
      <c r="IXZ8"/>
      <c r="IYA8"/>
      <c r="IYB8"/>
      <c r="IYC8"/>
      <c r="IYD8"/>
      <c r="IYE8"/>
      <c r="IYF8"/>
      <c r="IYG8"/>
      <c r="IYH8"/>
      <c r="IYI8"/>
      <c r="IYJ8"/>
      <c r="IYK8"/>
      <c r="IYL8"/>
      <c r="IYM8"/>
      <c r="IYN8"/>
      <c r="IYO8"/>
      <c r="IYP8"/>
      <c r="IYQ8"/>
      <c r="IYR8"/>
      <c r="IYS8"/>
      <c r="IYT8"/>
      <c r="IYU8"/>
      <c r="IYV8"/>
      <c r="IYW8"/>
      <c r="IYX8"/>
      <c r="IYY8"/>
      <c r="IYZ8"/>
      <c r="IZA8"/>
      <c r="IZB8"/>
      <c r="IZC8"/>
      <c r="IZD8"/>
      <c r="IZE8"/>
      <c r="IZF8"/>
      <c r="IZG8"/>
      <c r="IZH8"/>
      <c r="IZI8"/>
      <c r="IZJ8"/>
      <c r="IZK8"/>
      <c r="IZL8"/>
      <c r="IZM8"/>
      <c r="IZN8"/>
      <c r="IZO8"/>
      <c r="IZP8"/>
      <c r="IZQ8"/>
      <c r="IZR8"/>
      <c r="IZS8"/>
      <c r="IZT8"/>
      <c r="IZU8"/>
      <c r="IZV8"/>
      <c r="IZW8"/>
      <c r="IZX8"/>
      <c r="IZY8"/>
      <c r="IZZ8"/>
      <c r="JAA8"/>
      <c r="JAB8"/>
      <c r="JAC8"/>
      <c r="JAD8"/>
      <c r="JAE8"/>
      <c r="JAF8"/>
      <c r="JAG8"/>
      <c r="JAH8"/>
      <c r="JAI8"/>
      <c r="JAJ8"/>
      <c r="JAK8"/>
      <c r="JAL8"/>
      <c r="JAM8"/>
      <c r="JAN8"/>
      <c r="JAO8"/>
      <c r="JAP8"/>
      <c r="JAQ8"/>
      <c r="JAR8"/>
      <c r="JAS8"/>
      <c r="JAT8"/>
      <c r="JAU8"/>
      <c r="JAV8"/>
      <c r="JAW8"/>
      <c r="JAX8"/>
      <c r="JAY8"/>
      <c r="JAZ8"/>
      <c r="JBA8"/>
      <c r="JBB8"/>
      <c r="JBC8"/>
      <c r="JBD8"/>
      <c r="JBE8"/>
      <c r="JBF8"/>
      <c r="JBG8"/>
      <c r="JBH8"/>
      <c r="JBI8"/>
      <c r="JBJ8"/>
      <c r="JBK8"/>
      <c r="JBL8"/>
      <c r="JBM8"/>
      <c r="JBN8"/>
      <c r="JBO8"/>
      <c r="JBP8"/>
      <c r="JBQ8"/>
      <c r="JBR8"/>
      <c r="JBS8"/>
      <c r="JBT8"/>
      <c r="JBU8"/>
      <c r="JBV8"/>
      <c r="JBW8"/>
      <c r="JBX8"/>
      <c r="JBY8"/>
      <c r="JBZ8"/>
      <c r="JCA8"/>
      <c r="JCB8"/>
      <c r="JCC8"/>
      <c r="JCD8"/>
      <c r="JCE8"/>
      <c r="JCF8"/>
      <c r="JCG8"/>
      <c r="JCH8"/>
      <c r="JCI8"/>
      <c r="JCJ8"/>
      <c r="JCK8"/>
      <c r="JCL8"/>
      <c r="JCM8"/>
      <c r="JCN8"/>
      <c r="JCO8"/>
      <c r="JCP8"/>
      <c r="JCQ8"/>
      <c r="JCR8"/>
      <c r="JCS8"/>
      <c r="JCT8"/>
      <c r="JCU8"/>
      <c r="JCV8"/>
      <c r="JCW8"/>
      <c r="JCX8"/>
      <c r="JCY8"/>
      <c r="JCZ8"/>
      <c r="JDA8"/>
      <c r="JDB8"/>
      <c r="JDC8"/>
      <c r="JDD8"/>
      <c r="JDE8"/>
      <c r="JDF8"/>
      <c r="JDG8"/>
      <c r="JDH8"/>
      <c r="JDI8"/>
      <c r="JDJ8"/>
      <c r="JDK8"/>
      <c r="JDL8"/>
      <c r="JDM8"/>
      <c r="JDN8"/>
      <c r="JDO8"/>
      <c r="JDP8"/>
      <c r="JDQ8"/>
      <c r="JDR8"/>
      <c r="JDS8"/>
      <c r="JDT8"/>
      <c r="JDU8"/>
      <c r="JDV8"/>
      <c r="JDW8"/>
      <c r="JDX8"/>
      <c r="JDY8"/>
      <c r="JDZ8"/>
      <c r="JEA8"/>
      <c r="JEB8"/>
      <c r="JEC8"/>
      <c r="JED8"/>
      <c r="JEE8"/>
      <c r="JEF8"/>
      <c r="JEG8"/>
      <c r="JEH8"/>
      <c r="JEI8"/>
      <c r="JEJ8"/>
      <c r="JEK8"/>
      <c r="JEL8"/>
      <c r="JEM8"/>
      <c r="JEN8"/>
      <c r="JEO8"/>
      <c r="JEP8"/>
      <c r="JEQ8"/>
      <c r="JER8"/>
      <c r="JES8"/>
      <c r="JET8"/>
      <c r="JEU8"/>
      <c r="JEV8"/>
      <c r="JEW8"/>
      <c r="JEX8"/>
      <c r="JEY8"/>
      <c r="JEZ8"/>
      <c r="JFA8"/>
      <c r="JFB8"/>
      <c r="JFC8"/>
      <c r="JFD8"/>
      <c r="JFE8"/>
      <c r="JFF8"/>
      <c r="JFG8"/>
      <c r="JFH8"/>
      <c r="JFI8"/>
      <c r="JFJ8"/>
      <c r="JFK8"/>
      <c r="JFL8"/>
      <c r="JFM8"/>
      <c r="JFN8"/>
      <c r="JFO8"/>
      <c r="JFP8"/>
      <c r="JFQ8"/>
      <c r="JFR8"/>
      <c r="JFS8"/>
      <c r="JFT8"/>
      <c r="JFU8"/>
      <c r="JFV8"/>
      <c r="JFW8"/>
      <c r="JFX8"/>
      <c r="JFY8"/>
      <c r="JFZ8"/>
      <c r="JGA8"/>
      <c r="JGB8"/>
      <c r="JGC8"/>
      <c r="JGD8"/>
      <c r="JGE8"/>
      <c r="JGF8"/>
      <c r="JGG8"/>
      <c r="JGH8"/>
      <c r="JGI8"/>
      <c r="JGJ8"/>
      <c r="JGK8"/>
      <c r="JGL8"/>
      <c r="JGM8"/>
      <c r="JGN8"/>
      <c r="JGO8"/>
      <c r="JGP8"/>
      <c r="JGQ8"/>
      <c r="JGR8"/>
      <c r="JGS8"/>
      <c r="JGT8"/>
      <c r="JGU8"/>
      <c r="JGV8"/>
      <c r="JGW8"/>
      <c r="JGX8"/>
      <c r="JGY8"/>
      <c r="JGZ8"/>
      <c r="JHA8"/>
      <c r="JHB8"/>
      <c r="JHC8"/>
      <c r="JHD8"/>
      <c r="JHE8"/>
      <c r="JHF8"/>
      <c r="JHG8"/>
      <c r="JHH8"/>
      <c r="JHI8"/>
      <c r="JHJ8"/>
      <c r="JHK8"/>
      <c r="JHL8"/>
      <c r="JHM8"/>
      <c r="JHN8"/>
      <c r="JHO8"/>
      <c r="JHP8"/>
      <c r="JHQ8"/>
      <c r="JHR8"/>
      <c r="JHS8"/>
      <c r="JHT8"/>
      <c r="JHU8"/>
      <c r="JHV8"/>
      <c r="JHW8"/>
      <c r="JHX8"/>
      <c r="JHY8"/>
      <c r="JHZ8"/>
      <c r="JIA8"/>
      <c r="JIB8"/>
      <c r="JIC8"/>
      <c r="JID8"/>
      <c r="JIE8"/>
      <c r="JIF8"/>
      <c r="JIG8"/>
      <c r="JIH8"/>
      <c r="JII8"/>
      <c r="JIJ8"/>
      <c r="JIK8"/>
      <c r="JIL8"/>
      <c r="JIM8"/>
      <c r="JIN8"/>
      <c r="JIO8"/>
      <c r="JIP8"/>
      <c r="JIQ8"/>
      <c r="JIR8"/>
      <c r="JIS8"/>
      <c r="JIT8"/>
      <c r="JIU8"/>
      <c r="JIV8"/>
      <c r="JIW8"/>
      <c r="JIX8"/>
      <c r="JIY8"/>
      <c r="JIZ8"/>
      <c r="JJA8"/>
      <c r="JJB8"/>
      <c r="JJC8"/>
      <c r="JJD8"/>
      <c r="JJE8"/>
      <c r="JJF8"/>
      <c r="JJG8"/>
      <c r="JJH8"/>
      <c r="JJI8"/>
      <c r="JJJ8"/>
      <c r="JJK8"/>
      <c r="JJL8"/>
      <c r="JJM8"/>
      <c r="JJN8"/>
      <c r="JJO8"/>
      <c r="JJP8"/>
      <c r="JJQ8"/>
      <c r="JJR8"/>
      <c r="JJS8"/>
      <c r="JJT8"/>
      <c r="JJU8"/>
      <c r="JJV8"/>
      <c r="JJW8"/>
      <c r="JJX8"/>
      <c r="JJY8"/>
      <c r="JJZ8"/>
      <c r="JKA8"/>
      <c r="JKB8"/>
      <c r="JKC8"/>
      <c r="JKD8"/>
      <c r="JKE8"/>
      <c r="JKF8"/>
      <c r="JKG8"/>
      <c r="JKH8"/>
      <c r="JKI8"/>
      <c r="JKJ8"/>
      <c r="JKK8"/>
      <c r="JKL8"/>
      <c r="JKM8"/>
      <c r="JKN8"/>
      <c r="JKO8"/>
      <c r="JKP8"/>
      <c r="JKQ8"/>
      <c r="JKR8"/>
      <c r="JKS8"/>
      <c r="JKT8"/>
      <c r="JKU8"/>
      <c r="JKV8"/>
      <c r="JKW8"/>
      <c r="JKX8"/>
      <c r="JKY8"/>
      <c r="JKZ8"/>
      <c r="JLA8"/>
      <c r="JLB8"/>
      <c r="JLC8"/>
      <c r="JLD8"/>
      <c r="JLE8"/>
      <c r="JLF8"/>
      <c r="JLG8"/>
      <c r="JLH8"/>
      <c r="JLI8"/>
      <c r="JLJ8"/>
      <c r="JLK8"/>
      <c r="JLL8"/>
      <c r="JLM8"/>
      <c r="JLN8"/>
      <c r="JLO8"/>
      <c r="JLP8"/>
      <c r="JLQ8"/>
      <c r="JLR8"/>
      <c r="JLS8"/>
      <c r="JLT8"/>
      <c r="JLU8"/>
      <c r="JLV8"/>
      <c r="JLW8"/>
      <c r="JLX8"/>
      <c r="JLY8"/>
      <c r="JLZ8"/>
      <c r="JMA8"/>
      <c r="JMB8"/>
      <c r="JMC8"/>
      <c r="JMD8"/>
      <c r="JME8"/>
      <c r="JMF8"/>
      <c r="JMG8"/>
      <c r="JMH8"/>
      <c r="JMI8"/>
      <c r="JMJ8"/>
      <c r="JMK8"/>
      <c r="JML8"/>
      <c r="JMM8"/>
      <c r="JMN8"/>
      <c r="JMO8"/>
      <c r="JMP8"/>
      <c r="JMQ8"/>
      <c r="JMR8"/>
      <c r="JMS8"/>
      <c r="JMT8"/>
      <c r="JMU8"/>
      <c r="JMV8"/>
      <c r="JMW8"/>
      <c r="JMX8"/>
      <c r="JMY8"/>
      <c r="JMZ8"/>
      <c r="JNA8"/>
      <c r="JNB8"/>
      <c r="JNC8"/>
      <c r="JND8"/>
      <c r="JNE8"/>
      <c r="JNF8"/>
      <c r="JNG8"/>
      <c r="JNH8"/>
      <c r="JNI8"/>
      <c r="JNJ8"/>
      <c r="JNK8"/>
      <c r="JNL8"/>
      <c r="JNM8"/>
      <c r="JNN8"/>
      <c r="JNO8"/>
      <c r="JNP8"/>
      <c r="JNQ8"/>
      <c r="JNR8"/>
      <c r="JNS8"/>
      <c r="JNT8"/>
      <c r="JNU8"/>
      <c r="JNV8"/>
      <c r="JNW8"/>
      <c r="JNX8"/>
      <c r="JNY8"/>
      <c r="JNZ8"/>
      <c r="JOA8"/>
      <c r="JOB8"/>
      <c r="JOC8"/>
      <c r="JOD8"/>
      <c r="JOE8"/>
      <c r="JOF8"/>
      <c r="JOG8"/>
      <c r="JOH8"/>
      <c r="JOI8"/>
      <c r="JOJ8"/>
      <c r="JOK8"/>
      <c r="JOL8"/>
      <c r="JOM8"/>
      <c r="JON8"/>
      <c r="JOO8"/>
      <c r="JOP8"/>
      <c r="JOQ8"/>
      <c r="JOR8"/>
      <c r="JOS8"/>
      <c r="JOT8"/>
      <c r="JOU8"/>
      <c r="JOV8"/>
      <c r="JOW8"/>
      <c r="JOX8"/>
      <c r="JOY8"/>
      <c r="JOZ8"/>
      <c r="JPA8"/>
      <c r="JPB8"/>
      <c r="JPC8"/>
      <c r="JPD8"/>
      <c r="JPE8"/>
      <c r="JPF8"/>
      <c r="JPG8"/>
      <c r="JPH8"/>
      <c r="JPI8"/>
      <c r="JPJ8"/>
      <c r="JPK8"/>
      <c r="JPL8"/>
      <c r="JPM8"/>
      <c r="JPN8"/>
      <c r="JPO8"/>
      <c r="JPP8"/>
      <c r="JPQ8"/>
      <c r="JPR8"/>
      <c r="JPS8"/>
      <c r="JPT8"/>
      <c r="JPU8"/>
      <c r="JPV8"/>
      <c r="JPW8"/>
      <c r="JPX8"/>
      <c r="JPY8"/>
      <c r="JPZ8"/>
      <c r="JQA8"/>
      <c r="JQB8"/>
      <c r="JQC8"/>
      <c r="JQD8"/>
      <c r="JQE8"/>
      <c r="JQF8"/>
      <c r="JQG8"/>
      <c r="JQH8"/>
      <c r="JQI8"/>
      <c r="JQJ8"/>
      <c r="JQK8"/>
      <c r="JQL8"/>
      <c r="JQM8"/>
      <c r="JQN8"/>
      <c r="JQO8"/>
      <c r="JQP8"/>
      <c r="JQQ8"/>
      <c r="JQR8"/>
      <c r="JQS8"/>
      <c r="JQT8"/>
      <c r="JQU8"/>
      <c r="JQV8"/>
      <c r="JQW8"/>
      <c r="JQX8"/>
      <c r="JQY8"/>
      <c r="JQZ8"/>
      <c r="JRA8"/>
      <c r="JRB8"/>
      <c r="JRC8"/>
      <c r="JRD8"/>
      <c r="JRE8"/>
      <c r="JRF8"/>
      <c r="JRG8"/>
      <c r="JRH8"/>
      <c r="JRI8"/>
      <c r="JRJ8"/>
      <c r="JRK8"/>
      <c r="JRL8"/>
      <c r="JRM8"/>
      <c r="JRN8"/>
      <c r="JRO8"/>
      <c r="JRP8"/>
      <c r="JRQ8"/>
      <c r="JRR8"/>
      <c r="JRS8"/>
      <c r="JRT8"/>
      <c r="JRU8"/>
      <c r="JRV8"/>
      <c r="JRW8"/>
      <c r="JRX8"/>
      <c r="JRY8"/>
      <c r="JRZ8"/>
      <c r="JSA8"/>
      <c r="JSB8"/>
      <c r="JSC8"/>
      <c r="JSD8"/>
      <c r="JSE8"/>
      <c r="JSF8"/>
      <c r="JSG8"/>
      <c r="JSH8"/>
      <c r="JSI8"/>
      <c r="JSJ8"/>
      <c r="JSK8"/>
      <c r="JSL8"/>
      <c r="JSM8"/>
      <c r="JSN8"/>
      <c r="JSO8"/>
      <c r="JSP8"/>
      <c r="JSQ8"/>
      <c r="JSR8"/>
      <c r="JSS8"/>
      <c r="JST8"/>
      <c r="JSU8"/>
      <c r="JSV8"/>
      <c r="JSW8"/>
      <c r="JSX8"/>
      <c r="JSY8"/>
      <c r="JSZ8"/>
      <c r="JTA8"/>
      <c r="JTB8"/>
      <c r="JTC8"/>
      <c r="JTD8"/>
      <c r="JTE8"/>
      <c r="JTF8"/>
      <c r="JTG8"/>
      <c r="JTH8"/>
      <c r="JTI8"/>
      <c r="JTJ8"/>
      <c r="JTK8"/>
      <c r="JTL8"/>
      <c r="JTM8"/>
      <c r="JTN8"/>
      <c r="JTO8"/>
      <c r="JTP8"/>
      <c r="JTQ8"/>
      <c r="JTR8"/>
      <c r="JTS8"/>
      <c r="JTT8"/>
      <c r="JTU8"/>
      <c r="JTV8"/>
      <c r="JTW8"/>
      <c r="JTX8"/>
      <c r="JTY8"/>
      <c r="JTZ8"/>
      <c r="JUA8"/>
      <c r="JUB8"/>
      <c r="JUC8"/>
      <c r="JUD8"/>
      <c r="JUE8"/>
      <c r="JUF8"/>
      <c r="JUG8"/>
      <c r="JUH8"/>
      <c r="JUI8"/>
      <c r="JUJ8"/>
      <c r="JUK8"/>
      <c r="JUL8"/>
      <c r="JUM8"/>
      <c r="JUN8"/>
      <c r="JUO8"/>
      <c r="JUP8"/>
      <c r="JUQ8"/>
      <c r="JUR8"/>
      <c r="JUS8"/>
      <c r="JUT8"/>
      <c r="JUU8"/>
      <c r="JUV8"/>
      <c r="JUW8"/>
      <c r="JUX8"/>
      <c r="JUY8"/>
      <c r="JUZ8"/>
      <c r="JVA8"/>
      <c r="JVB8"/>
      <c r="JVC8"/>
      <c r="JVD8"/>
      <c r="JVE8"/>
      <c r="JVF8"/>
      <c r="JVG8"/>
      <c r="JVH8"/>
      <c r="JVI8"/>
      <c r="JVJ8"/>
      <c r="JVK8"/>
      <c r="JVL8"/>
      <c r="JVM8"/>
      <c r="JVN8"/>
      <c r="JVO8"/>
      <c r="JVP8"/>
      <c r="JVQ8"/>
      <c r="JVR8"/>
      <c r="JVS8"/>
      <c r="JVT8"/>
      <c r="JVU8"/>
      <c r="JVV8"/>
      <c r="JVW8"/>
      <c r="JVX8"/>
      <c r="JVY8"/>
      <c r="JVZ8"/>
      <c r="JWA8"/>
      <c r="JWB8"/>
      <c r="JWC8"/>
      <c r="JWD8"/>
      <c r="JWE8"/>
      <c r="JWF8"/>
      <c r="JWG8"/>
      <c r="JWH8"/>
      <c r="JWI8"/>
      <c r="JWJ8"/>
      <c r="JWK8"/>
      <c r="JWL8"/>
      <c r="JWM8"/>
      <c r="JWN8"/>
      <c r="JWO8"/>
      <c r="JWP8"/>
      <c r="JWQ8"/>
      <c r="JWR8"/>
      <c r="JWS8"/>
      <c r="JWT8"/>
      <c r="JWU8"/>
      <c r="JWV8"/>
      <c r="JWW8"/>
      <c r="JWX8"/>
      <c r="JWY8"/>
      <c r="JWZ8"/>
      <c r="JXA8"/>
      <c r="JXB8"/>
      <c r="JXC8"/>
      <c r="JXD8"/>
      <c r="JXE8"/>
      <c r="JXF8"/>
      <c r="JXG8"/>
      <c r="JXH8"/>
      <c r="JXI8"/>
      <c r="JXJ8"/>
      <c r="JXK8"/>
      <c r="JXL8"/>
      <c r="JXM8"/>
      <c r="JXN8"/>
      <c r="JXO8"/>
      <c r="JXP8"/>
      <c r="JXQ8"/>
      <c r="JXR8"/>
      <c r="JXS8"/>
      <c r="JXT8"/>
      <c r="JXU8"/>
      <c r="JXV8"/>
      <c r="JXW8"/>
      <c r="JXX8"/>
      <c r="JXY8"/>
      <c r="JXZ8"/>
      <c r="JYA8"/>
      <c r="JYB8"/>
      <c r="JYC8"/>
      <c r="JYD8"/>
      <c r="JYE8"/>
      <c r="JYF8"/>
      <c r="JYG8"/>
      <c r="JYH8"/>
      <c r="JYI8"/>
      <c r="JYJ8"/>
      <c r="JYK8"/>
      <c r="JYL8"/>
      <c r="JYM8"/>
      <c r="JYN8"/>
      <c r="JYO8"/>
      <c r="JYP8"/>
      <c r="JYQ8"/>
      <c r="JYR8"/>
      <c r="JYS8"/>
      <c r="JYT8"/>
      <c r="JYU8"/>
      <c r="JYV8"/>
      <c r="JYW8"/>
      <c r="JYX8"/>
      <c r="JYY8"/>
      <c r="JYZ8"/>
      <c r="JZA8"/>
      <c r="JZB8"/>
      <c r="JZC8"/>
      <c r="JZD8"/>
      <c r="JZE8"/>
      <c r="JZF8"/>
      <c r="JZG8"/>
      <c r="JZH8"/>
      <c r="JZI8"/>
      <c r="JZJ8"/>
      <c r="JZK8"/>
      <c r="JZL8"/>
      <c r="JZM8"/>
      <c r="JZN8"/>
      <c r="JZO8"/>
      <c r="JZP8"/>
      <c r="JZQ8"/>
      <c r="JZR8"/>
      <c r="JZS8"/>
      <c r="JZT8"/>
      <c r="JZU8"/>
      <c r="JZV8"/>
      <c r="JZW8"/>
      <c r="JZX8"/>
      <c r="JZY8"/>
      <c r="JZZ8"/>
      <c r="KAA8"/>
      <c r="KAB8"/>
      <c r="KAC8"/>
      <c r="KAD8"/>
      <c r="KAE8"/>
      <c r="KAF8"/>
      <c r="KAG8"/>
      <c r="KAH8"/>
      <c r="KAI8"/>
      <c r="KAJ8"/>
      <c r="KAK8"/>
      <c r="KAL8"/>
      <c r="KAM8"/>
      <c r="KAN8"/>
      <c r="KAO8"/>
      <c r="KAP8"/>
      <c r="KAQ8"/>
      <c r="KAR8"/>
      <c r="KAS8"/>
      <c r="KAT8"/>
      <c r="KAU8"/>
      <c r="KAV8"/>
      <c r="KAW8"/>
      <c r="KAX8"/>
      <c r="KAY8"/>
      <c r="KAZ8"/>
      <c r="KBA8"/>
      <c r="KBB8"/>
      <c r="KBC8"/>
      <c r="KBD8"/>
      <c r="KBE8"/>
      <c r="KBF8"/>
      <c r="KBG8"/>
      <c r="KBH8"/>
      <c r="KBI8"/>
      <c r="KBJ8"/>
      <c r="KBK8"/>
      <c r="KBL8"/>
      <c r="KBM8"/>
      <c r="KBN8"/>
      <c r="KBO8"/>
      <c r="KBP8"/>
      <c r="KBQ8"/>
      <c r="KBR8"/>
      <c r="KBS8"/>
      <c r="KBT8"/>
      <c r="KBU8"/>
      <c r="KBV8"/>
      <c r="KBW8"/>
      <c r="KBX8"/>
      <c r="KBY8"/>
      <c r="KBZ8"/>
      <c r="KCA8"/>
      <c r="KCB8"/>
      <c r="KCC8"/>
      <c r="KCD8"/>
      <c r="KCE8"/>
      <c r="KCF8"/>
      <c r="KCG8"/>
      <c r="KCH8"/>
      <c r="KCI8"/>
      <c r="KCJ8"/>
      <c r="KCK8"/>
      <c r="KCL8"/>
      <c r="KCM8"/>
      <c r="KCN8"/>
      <c r="KCO8"/>
      <c r="KCP8"/>
      <c r="KCQ8"/>
      <c r="KCR8"/>
      <c r="KCS8"/>
      <c r="KCT8"/>
      <c r="KCU8"/>
      <c r="KCV8"/>
      <c r="KCW8"/>
      <c r="KCX8"/>
      <c r="KCY8"/>
      <c r="KCZ8"/>
      <c r="KDA8"/>
      <c r="KDB8"/>
      <c r="KDC8"/>
      <c r="KDD8"/>
      <c r="KDE8"/>
      <c r="KDF8"/>
      <c r="KDG8"/>
      <c r="KDH8"/>
      <c r="KDI8"/>
      <c r="KDJ8"/>
      <c r="KDK8"/>
      <c r="KDL8"/>
      <c r="KDM8"/>
      <c r="KDN8"/>
      <c r="KDO8"/>
      <c r="KDP8"/>
      <c r="KDQ8"/>
      <c r="KDR8"/>
      <c r="KDS8"/>
      <c r="KDT8"/>
      <c r="KDU8"/>
      <c r="KDV8"/>
      <c r="KDW8"/>
      <c r="KDX8"/>
      <c r="KDY8"/>
      <c r="KDZ8"/>
      <c r="KEA8"/>
      <c r="KEB8"/>
      <c r="KEC8"/>
      <c r="KED8"/>
      <c r="KEE8"/>
      <c r="KEF8"/>
      <c r="KEG8"/>
      <c r="KEH8"/>
      <c r="KEI8"/>
      <c r="KEJ8"/>
      <c r="KEK8"/>
      <c r="KEL8"/>
      <c r="KEM8"/>
      <c r="KEN8"/>
      <c r="KEO8"/>
      <c r="KEP8"/>
      <c r="KEQ8"/>
      <c r="KER8"/>
      <c r="KES8"/>
      <c r="KET8"/>
      <c r="KEU8"/>
      <c r="KEV8"/>
      <c r="KEW8"/>
      <c r="KEX8"/>
      <c r="KEY8"/>
      <c r="KEZ8"/>
      <c r="KFA8"/>
      <c r="KFB8"/>
      <c r="KFC8"/>
      <c r="KFD8"/>
      <c r="KFE8"/>
      <c r="KFF8"/>
      <c r="KFG8"/>
      <c r="KFH8"/>
      <c r="KFI8"/>
      <c r="KFJ8"/>
      <c r="KFK8"/>
      <c r="KFL8"/>
      <c r="KFM8"/>
      <c r="KFN8"/>
      <c r="KFO8"/>
      <c r="KFP8"/>
      <c r="KFQ8"/>
      <c r="KFR8"/>
      <c r="KFS8"/>
      <c r="KFT8"/>
      <c r="KFU8"/>
      <c r="KFV8"/>
      <c r="KFW8"/>
      <c r="KFX8"/>
      <c r="KFY8"/>
      <c r="KFZ8"/>
      <c r="KGA8"/>
      <c r="KGB8"/>
      <c r="KGC8"/>
      <c r="KGD8"/>
      <c r="KGE8"/>
      <c r="KGF8"/>
      <c r="KGG8"/>
      <c r="KGH8"/>
      <c r="KGI8"/>
      <c r="KGJ8"/>
      <c r="KGK8"/>
      <c r="KGL8"/>
      <c r="KGM8"/>
      <c r="KGN8"/>
      <c r="KGO8"/>
      <c r="KGP8"/>
      <c r="KGQ8"/>
      <c r="KGR8"/>
      <c r="KGS8"/>
      <c r="KGT8"/>
      <c r="KGU8"/>
      <c r="KGV8"/>
      <c r="KGW8"/>
      <c r="KGX8"/>
      <c r="KGY8"/>
      <c r="KGZ8"/>
      <c r="KHA8"/>
      <c r="KHB8"/>
      <c r="KHC8"/>
      <c r="KHD8"/>
      <c r="KHE8"/>
      <c r="KHF8"/>
      <c r="KHG8"/>
      <c r="KHH8"/>
      <c r="KHI8"/>
      <c r="KHJ8"/>
      <c r="KHK8"/>
      <c r="KHL8"/>
      <c r="KHM8"/>
      <c r="KHN8"/>
      <c r="KHO8"/>
      <c r="KHP8"/>
      <c r="KHQ8"/>
      <c r="KHR8"/>
      <c r="KHS8"/>
      <c r="KHT8"/>
      <c r="KHU8"/>
      <c r="KHV8"/>
      <c r="KHW8"/>
      <c r="KHX8"/>
      <c r="KHY8"/>
      <c r="KHZ8"/>
      <c r="KIA8"/>
      <c r="KIB8"/>
      <c r="KIC8"/>
      <c r="KID8"/>
      <c r="KIE8"/>
      <c r="KIF8"/>
      <c r="KIG8"/>
      <c r="KIH8"/>
      <c r="KII8"/>
      <c r="KIJ8"/>
      <c r="KIK8"/>
      <c r="KIL8"/>
      <c r="KIM8"/>
      <c r="KIN8"/>
      <c r="KIO8"/>
      <c r="KIP8"/>
      <c r="KIQ8"/>
      <c r="KIR8"/>
      <c r="KIS8"/>
      <c r="KIT8"/>
      <c r="KIU8"/>
      <c r="KIV8"/>
      <c r="KIW8"/>
      <c r="KIX8"/>
      <c r="KIY8"/>
      <c r="KIZ8"/>
      <c r="KJA8"/>
      <c r="KJB8"/>
      <c r="KJC8"/>
      <c r="KJD8"/>
      <c r="KJE8"/>
      <c r="KJF8"/>
      <c r="KJG8"/>
      <c r="KJH8"/>
      <c r="KJI8"/>
      <c r="KJJ8"/>
      <c r="KJK8"/>
      <c r="KJL8"/>
      <c r="KJM8"/>
      <c r="KJN8"/>
      <c r="KJO8"/>
      <c r="KJP8"/>
      <c r="KJQ8"/>
      <c r="KJR8"/>
      <c r="KJS8"/>
      <c r="KJT8"/>
      <c r="KJU8"/>
      <c r="KJV8"/>
      <c r="KJW8"/>
      <c r="KJX8"/>
      <c r="KJY8"/>
      <c r="KJZ8"/>
      <c r="KKA8"/>
      <c r="KKB8"/>
      <c r="KKC8"/>
      <c r="KKD8"/>
      <c r="KKE8"/>
      <c r="KKF8"/>
      <c r="KKG8"/>
      <c r="KKH8"/>
      <c r="KKI8"/>
      <c r="KKJ8"/>
      <c r="KKK8"/>
      <c r="KKL8"/>
      <c r="KKM8"/>
      <c r="KKN8"/>
      <c r="KKO8"/>
      <c r="KKP8"/>
      <c r="KKQ8"/>
      <c r="KKR8"/>
      <c r="KKS8"/>
      <c r="KKT8"/>
      <c r="KKU8"/>
      <c r="KKV8"/>
      <c r="KKW8"/>
      <c r="KKX8"/>
      <c r="KKY8"/>
      <c r="KKZ8"/>
      <c r="KLA8"/>
      <c r="KLB8"/>
      <c r="KLC8"/>
      <c r="KLD8"/>
      <c r="KLE8"/>
      <c r="KLF8"/>
      <c r="KLG8"/>
      <c r="KLH8"/>
      <c r="KLI8"/>
      <c r="KLJ8"/>
      <c r="KLK8"/>
      <c r="KLL8"/>
      <c r="KLM8"/>
      <c r="KLN8"/>
      <c r="KLO8"/>
      <c r="KLP8"/>
      <c r="KLQ8"/>
      <c r="KLR8"/>
      <c r="KLS8"/>
      <c r="KLT8"/>
      <c r="KLU8"/>
      <c r="KLV8"/>
      <c r="KLW8"/>
      <c r="KLX8"/>
      <c r="KLY8"/>
      <c r="KLZ8"/>
      <c r="KMA8"/>
      <c r="KMB8"/>
      <c r="KMC8"/>
      <c r="KMD8"/>
      <c r="KME8"/>
      <c r="KMF8"/>
      <c r="KMG8"/>
      <c r="KMH8"/>
      <c r="KMI8"/>
      <c r="KMJ8"/>
      <c r="KMK8"/>
      <c r="KML8"/>
      <c r="KMM8"/>
      <c r="KMN8"/>
      <c r="KMO8"/>
      <c r="KMP8"/>
      <c r="KMQ8"/>
      <c r="KMR8"/>
      <c r="KMS8"/>
      <c r="KMT8"/>
      <c r="KMU8"/>
      <c r="KMV8"/>
      <c r="KMW8"/>
      <c r="KMX8"/>
      <c r="KMY8"/>
      <c r="KMZ8"/>
      <c r="KNA8"/>
      <c r="KNB8"/>
      <c r="KNC8"/>
      <c r="KND8"/>
      <c r="KNE8"/>
      <c r="KNF8"/>
      <c r="KNG8"/>
      <c r="KNH8"/>
      <c r="KNI8"/>
      <c r="KNJ8"/>
      <c r="KNK8"/>
      <c r="KNL8"/>
      <c r="KNM8"/>
      <c r="KNN8"/>
      <c r="KNO8"/>
      <c r="KNP8"/>
      <c r="KNQ8"/>
      <c r="KNR8"/>
      <c r="KNS8"/>
      <c r="KNT8"/>
      <c r="KNU8"/>
      <c r="KNV8"/>
      <c r="KNW8"/>
      <c r="KNX8"/>
      <c r="KNY8"/>
      <c r="KNZ8"/>
      <c r="KOA8"/>
      <c r="KOB8"/>
      <c r="KOC8"/>
      <c r="KOD8"/>
      <c r="KOE8"/>
      <c r="KOF8"/>
      <c r="KOG8"/>
      <c r="KOH8"/>
      <c r="KOI8"/>
      <c r="KOJ8"/>
      <c r="KOK8"/>
      <c r="KOL8"/>
      <c r="KOM8"/>
      <c r="KON8"/>
      <c r="KOO8"/>
      <c r="KOP8"/>
      <c r="KOQ8"/>
      <c r="KOR8"/>
      <c r="KOS8"/>
      <c r="KOT8"/>
      <c r="KOU8"/>
      <c r="KOV8"/>
      <c r="KOW8"/>
      <c r="KOX8"/>
      <c r="KOY8"/>
      <c r="KOZ8"/>
      <c r="KPA8"/>
      <c r="KPB8"/>
      <c r="KPC8"/>
      <c r="KPD8"/>
      <c r="KPE8"/>
      <c r="KPF8"/>
      <c r="KPG8"/>
      <c r="KPH8"/>
      <c r="KPI8"/>
      <c r="KPJ8"/>
      <c r="KPK8"/>
      <c r="KPL8"/>
      <c r="KPM8"/>
      <c r="KPN8"/>
      <c r="KPO8"/>
      <c r="KPP8"/>
      <c r="KPQ8"/>
      <c r="KPR8"/>
      <c r="KPS8"/>
      <c r="KPT8"/>
      <c r="KPU8"/>
      <c r="KPV8"/>
      <c r="KPW8"/>
      <c r="KPX8"/>
      <c r="KPY8"/>
      <c r="KPZ8"/>
      <c r="KQA8"/>
      <c r="KQB8"/>
      <c r="KQC8"/>
      <c r="KQD8"/>
      <c r="KQE8"/>
      <c r="KQF8"/>
      <c r="KQG8"/>
      <c r="KQH8"/>
      <c r="KQI8"/>
      <c r="KQJ8"/>
      <c r="KQK8"/>
      <c r="KQL8"/>
      <c r="KQM8"/>
      <c r="KQN8"/>
      <c r="KQO8"/>
      <c r="KQP8"/>
      <c r="KQQ8"/>
      <c r="KQR8"/>
      <c r="KQS8"/>
      <c r="KQT8"/>
      <c r="KQU8"/>
      <c r="KQV8"/>
      <c r="KQW8"/>
      <c r="KQX8"/>
      <c r="KQY8"/>
      <c r="KQZ8"/>
      <c r="KRA8"/>
      <c r="KRB8"/>
      <c r="KRC8"/>
      <c r="KRD8"/>
      <c r="KRE8"/>
      <c r="KRF8"/>
      <c r="KRG8"/>
      <c r="KRH8"/>
      <c r="KRI8"/>
      <c r="KRJ8"/>
      <c r="KRK8"/>
      <c r="KRL8"/>
      <c r="KRM8"/>
      <c r="KRN8"/>
      <c r="KRO8"/>
      <c r="KRP8"/>
      <c r="KRQ8"/>
      <c r="KRR8"/>
      <c r="KRS8"/>
      <c r="KRT8"/>
      <c r="KRU8"/>
      <c r="KRV8"/>
      <c r="KRW8"/>
      <c r="KRX8"/>
      <c r="KRY8"/>
      <c r="KRZ8"/>
      <c r="KSA8"/>
      <c r="KSB8"/>
      <c r="KSC8"/>
      <c r="KSD8"/>
      <c r="KSE8"/>
      <c r="KSF8"/>
      <c r="KSG8"/>
      <c r="KSH8"/>
      <c r="KSI8"/>
      <c r="KSJ8"/>
      <c r="KSK8"/>
      <c r="KSL8"/>
      <c r="KSM8"/>
      <c r="KSN8"/>
      <c r="KSO8"/>
      <c r="KSP8"/>
      <c r="KSQ8"/>
      <c r="KSR8"/>
      <c r="KSS8"/>
      <c r="KST8"/>
      <c r="KSU8"/>
      <c r="KSV8"/>
      <c r="KSW8"/>
      <c r="KSX8"/>
      <c r="KSY8"/>
      <c r="KSZ8"/>
      <c r="KTA8"/>
      <c r="KTB8"/>
      <c r="KTC8"/>
      <c r="KTD8"/>
      <c r="KTE8"/>
      <c r="KTF8"/>
      <c r="KTG8"/>
      <c r="KTH8"/>
      <c r="KTI8"/>
      <c r="KTJ8"/>
      <c r="KTK8"/>
      <c r="KTL8"/>
      <c r="KTM8"/>
      <c r="KTN8"/>
      <c r="KTO8"/>
      <c r="KTP8"/>
      <c r="KTQ8"/>
      <c r="KTR8"/>
      <c r="KTS8"/>
      <c r="KTT8"/>
      <c r="KTU8"/>
      <c r="KTV8"/>
      <c r="KTW8"/>
      <c r="KTX8"/>
      <c r="KTY8"/>
      <c r="KTZ8"/>
      <c r="KUA8"/>
      <c r="KUB8"/>
      <c r="KUC8"/>
      <c r="KUD8"/>
      <c r="KUE8"/>
      <c r="KUF8"/>
      <c r="KUG8"/>
      <c r="KUH8"/>
      <c r="KUI8"/>
      <c r="KUJ8"/>
      <c r="KUK8"/>
      <c r="KUL8"/>
      <c r="KUM8"/>
      <c r="KUN8"/>
      <c r="KUO8"/>
      <c r="KUP8"/>
      <c r="KUQ8"/>
      <c r="KUR8"/>
      <c r="KUS8"/>
      <c r="KUT8"/>
      <c r="KUU8"/>
      <c r="KUV8"/>
      <c r="KUW8"/>
      <c r="KUX8"/>
      <c r="KUY8"/>
      <c r="KUZ8"/>
      <c r="KVA8"/>
      <c r="KVB8"/>
      <c r="KVC8"/>
      <c r="KVD8"/>
      <c r="KVE8"/>
      <c r="KVF8"/>
      <c r="KVG8"/>
      <c r="KVH8"/>
      <c r="KVI8"/>
      <c r="KVJ8"/>
      <c r="KVK8"/>
      <c r="KVL8"/>
      <c r="KVM8"/>
      <c r="KVN8"/>
      <c r="KVO8"/>
      <c r="KVP8"/>
      <c r="KVQ8"/>
      <c r="KVR8"/>
      <c r="KVS8"/>
      <c r="KVT8"/>
      <c r="KVU8"/>
      <c r="KVV8"/>
      <c r="KVW8"/>
      <c r="KVX8"/>
      <c r="KVY8"/>
      <c r="KVZ8"/>
      <c r="KWA8"/>
      <c r="KWB8"/>
      <c r="KWC8"/>
      <c r="KWD8"/>
      <c r="KWE8"/>
      <c r="KWF8"/>
      <c r="KWG8"/>
      <c r="KWH8"/>
      <c r="KWI8"/>
      <c r="KWJ8"/>
      <c r="KWK8"/>
      <c r="KWL8"/>
      <c r="KWM8"/>
      <c r="KWN8"/>
      <c r="KWO8"/>
      <c r="KWP8"/>
      <c r="KWQ8"/>
      <c r="KWR8"/>
      <c r="KWS8"/>
      <c r="KWT8"/>
      <c r="KWU8"/>
      <c r="KWV8"/>
      <c r="KWW8"/>
      <c r="KWX8"/>
      <c r="KWY8"/>
      <c r="KWZ8"/>
      <c r="KXA8"/>
      <c r="KXB8"/>
      <c r="KXC8"/>
      <c r="KXD8"/>
      <c r="KXE8"/>
      <c r="KXF8"/>
      <c r="KXG8"/>
      <c r="KXH8"/>
      <c r="KXI8"/>
      <c r="KXJ8"/>
      <c r="KXK8"/>
      <c r="KXL8"/>
      <c r="KXM8"/>
      <c r="KXN8"/>
      <c r="KXO8"/>
      <c r="KXP8"/>
      <c r="KXQ8"/>
      <c r="KXR8"/>
      <c r="KXS8"/>
      <c r="KXT8"/>
      <c r="KXU8"/>
      <c r="KXV8"/>
      <c r="KXW8"/>
      <c r="KXX8"/>
      <c r="KXY8"/>
      <c r="KXZ8"/>
      <c r="KYA8"/>
      <c r="KYB8"/>
      <c r="KYC8"/>
      <c r="KYD8"/>
      <c r="KYE8"/>
      <c r="KYF8"/>
      <c r="KYG8"/>
      <c r="KYH8"/>
      <c r="KYI8"/>
      <c r="KYJ8"/>
      <c r="KYK8"/>
      <c r="KYL8"/>
      <c r="KYM8"/>
      <c r="KYN8"/>
      <c r="KYO8"/>
      <c r="KYP8"/>
      <c r="KYQ8"/>
      <c r="KYR8"/>
      <c r="KYS8"/>
      <c r="KYT8"/>
      <c r="KYU8"/>
      <c r="KYV8"/>
      <c r="KYW8"/>
      <c r="KYX8"/>
      <c r="KYY8"/>
      <c r="KYZ8"/>
      <c r="KZA8"/>
      <c r="KZB8"/>
      <c r="KZC8"/>
      <c r="KZD8"/>
      <c r="KZE8"/>
      <c r="KZF8"/>
      <c r="KZG8"/>
      <c r="KZH8"/>
      <c r="KZI8"/>
      <c r="KZJ8"/>
      <c r="KZK8"/>
      <c r="KZL8"/>
      <c r="KZM8"/>
      <c r="KZN8"/>
      <c r="KZO8"/>
      <c r="KZP8"/>
      <c r="KZQ8"/>
      <c r="KZR8"/>
      <c r="KZS8"/>
      <c r="KZT8"/>
      <c r="KZU8"/>
      <c r="KZV8"/>
      <c r="KZW8"/>
      <c r="KZX8"/>
      <c r="KZY8"/>
      <c r="KZZ8"/>
      <c r="LAA8"/>
      <c r="LAB8"/>
      <c r="LAC8"/>
      <c r="LAD8"/>
      <c r="LAE8"/>
      <c r="LAF8"/>
      <c r="LAG8"/>
      <c r="LAH8"/>
      <c r="LAI8"/>
      <c r="LAJ8"/>
      <c r="LAK8"/>
      <c r="LAL8"/>
      <c r="LAM8"/>
      <c r="LAN8"/>
      <c r="LAO8"/>
      <c r="LAP8"/>
      <c r="LAQ8"/>
      <c r="LAR8"/>
      <c r="LAS8"/>
      <c r="LAT8"/>
      <c r="LAU8"/>
      <c r="LAV8"/>
      <c r="LAW8"/>
      <c r="LAX8"/>
      <c r="LAY8"/>
      <c r="LAZ8"/>
      <c r="LBA8"/>
      <c r="LBB8"/>
      <c r="LBC8"/>
      <c r="LBD8"/>
      <c r="LBE8"/>
      <c r="LBF8"/>
      <c r="LBG8"/>
      <c r="LBH8"/>
      <c r="LBI8"/>
      <c r="LBJ8"/>
      <c r="LBK8"/>
      <c r="LBL8"/>
      <c r="LBM8"/>
      <c r="LBN8"/>
      <c r="LBO8"/>
      <c r="LBP8"/>
      <c r="LBQ8"/>
      <c r="LBR8"/>
      <c r="LBS8"/>
      <c r="LBT8"/>
      <c r="LBU8"/>
      <c r="LBV8"/>
      <c r="LBW8"/>
      <c r="LBX8"/>
      <c r="LBY8"/>
      <c r="LBZ8"/>
      <c r="LCA8"/>
      <c r="LCB8"/>
      <c r="LCC8"/>
      <c r="LCD8"/>
      <c r="LCE8"/>
      <c r="LCF8"/>
      <c r="LCG8"/>
      <c r="LCH8"/>
      <c r="LCI8"/>
      <c r="LCJ8"/>
      <c r="LCK8"/>
      <c r="LCL8"/>
      <c r="LCM8"/>
      <c r="LCN8"/>
      <c r="LCO8"/>
      <c r="LCP8"/>
      <c r="LCQ8"/>
      <c r="LCR8"/>
      <c r="LCS8"/>
      <c r="LCT8"/>
      <c r="LCU8"/>
      <c r="LCV8"/>
      <c r="LCW8"/>
      <c r="LCX8"/>
      <c r="LCY8"/>
      <c r="LCZ8"/>
      <c r="LDA8"/>
      <c r="LDB8"/>
      <c r="LDC8"/>
      <c r="LDD8"/>
      <c r="LDE8"/>
      <c r="LDF8"/>
      <c r="LDG8"/>
      <c r="LDH8"/>
      <c r="LDI8"/>
      <c r="LDJ8"/>
      <c r="LDK8"/>
      <c r="LDL8"/>
      <c r="LDM8"/>
      <c r="LDN8"/>
      <c r="LDO8"/>
      <c r="LDP8"/>
      <c r="LDQ8"/>
      <c r="LDR8"/>
      <c r="LDS8"/>
      <c r="LDT8"/>
      <c r="LDU8"/>
      <c r="LDV8"/>
      <c r="LDW8"/>
      <c r="LDX8"/>
      <c r="LDY8"/>
      <c r="LDZ8"/>
      <c r="LEA8"/>
      <c r="LEB8"/>
      <c r="LEC8"/>
      <c r="LED8"/>
      <c r="LEE8"/>
      <c r="LEF8"/>
      <c r="LEG8"/>
      <c r="LEH8"/>
      <c r="LEI8"/>
      <c r="LEJ8"/>
      <c r="LEK8"/>
      <c r="LEL8"/>
      <c r="LEM8"/>
      <c r="LEN8"/>
      <c r="LEO8"/>
      <c r="LEP8"/>
      <c r="LEQ8"/>
      <c r="LER8"/>
      <c r="LES8"/>
      <c r="LET8"/>
      <c r="LEU8"/>
      <c r="LEV8"/>
      <c r="LEW8"/>
      <c r="LEX8"/>
      <c r="LEY8"/>
      <c r="LEZ8"/>
      <c r="LFA8"/>
      <c r="LFB8"/>
      <c r="LFC8"/>
      <c r="LFD8"/>
      <c r="LFE8"/>
      <c r="LFF8"/>
      <c r="LFG8"/>
      <c r="LFH8"/>
      <c r="LFI8"/>
      <c r="LFJ8"/>
      <c r="LFK8"/>
      <c r="LFL8"/>
      <c r="LFM8"/>
      <c r="LFN8"/>
      <c r="LFO8"/>
      <c r="LFP8"/>
      <c r="LFQ8"/>
      <c r="LFR8"/>
      <c r="LFS8"/>
      <c r="LFT8"/>
      <c r="LFU8"/>
      <c r="LFV8"/>
      <c r="LFW8"/>
      <c r="LFX8"/>
      <c r="LFY8"/>
      <c r="LFZ8"/>
      <c r="LGA8"/>
      <c r="LGB8"/>
      <c r="LGC8"/>
      <c r="LGD8"/>
      <c r="LGE8"/>
      <c r="LGF8"/>
      <c r="LGG8"/>
      <c r="LGH8"/>
      <c r="LGI8"/>
      <c r="LGJ8"/>
      <c r="LGK8"/>
      <c r="LGL8"/>
      <c r="LGM8"/>
      <c r="LGN8"/>
      <c r="LGO8"/>
      <c r="LGP8"/>
      <c r="LGQ8"/>
      <c r="LGR8"/>
      <c r="LGS8"/>
      <c r="LGT8"/>
      <c r="LGU8"/>
      <c r="LGV8"/>
      <c r="LGW8"/>
      <c r="LGX8"/>
      <c r="LGY8"/>
      <c r="LGZ8"/>
      <c r="LHA8"/>
      <c r="LHB8"/>
      <c r="LHC8"/>
      <c r="LHD8"/>
      <c r="LHE8"/>
      <c r="LHF8"/>
      <c r="LHG8"/>
      <c r="LHH8"/>
      <c r="LHI8"/>
      <c r="LHJ8"/>
      <c r="LHK8"/>
      <c r="LHL8"/>
      <c r="LHM8"/>
      <c r="LHN8"/>
      <c r="LHO8"/>
      <c r="LHP8"/>
      <c r="LHQ8"/>
      <c r="LHR8"/>
      <c r="LHS8"/>
      <c r="LHT8"/>
      <c r="LHU8"/>
      <c r="LHV8"/>
      <c r="LHW8"/>
      <c r="LHX8"/>
      <c r="LHY8"/>
      <c r="LHZ8"/>
      <c r="LIA8"/>
      <c r="LIB8"/>
      <c r="LIC8"/>
      <c r="LID8"/>
      <c r="LIE8"/>
      <c r="LIF8"/>
      <c r="LIG8"/>
      <c r="LIH8"/>
      <c r="LII8"/>
      <c r="LIJ8"/>
      <c r="LIK8"/>
      <c r="LIL8"/>
      <c r="LIM8"/>
      <c r="LIN8"/>
      <c r="LIO8"/>
      <c r="LIP8"/>
      <c r="LIQ8"/>
      <c r="LIR8"/>
      <c r="LIS8"/>
      <c r="LIT8"/>
      <c r="LIU8"/>
      <c r="LIV8"/>
      <c r="LIW8"/>
      <c r="LIX8"/>
      <c r="LIY8"/>
      <c r="LIZ8"/>
      <c r="LJA8"/>
      <c r="LJB8"/>
      <c r="LJC8"/>
      <c r="LJD8"/>
      <c r="LJE8"/>
      <c r="LJF8"/>
      <c r="LJG8"/>
      <c r="LJH8"/>
      <c r="LJI8"/>
      <c r="LJJ8"/>
      <c r="LJK8"/>
      <c r="LJL8"/>
      <c r="LJM8"/>
      <c r="LJN8"/>
      <c r="LJO8"/>
      <c r="LJP8"/>
      <c r="LJQ8"/>
      <c r="LJR8"/>
      <c r="LJS8"/>
      <c r="LJT8"/>
      <c r="LJU8"/>
      <c r="LJV8"/>
      <c r="LJW8"/>
      <c r="LJX8"/>
      <c r="LJY8"/>
      <c r="LJZ8"/>
      <c r="LKA8"/>
      <c r="LKB8"/>
      <c r="LKC8"/>
      <c r="LKD8"/>
      <c r="LKE8"/>
      <c r="LKF8"/>
      <c r="LKG8"/>
      <c r="LKH8"/>
      <c r="LKI8"/>
      <c r="LKJ8"/>
      <c r="LKK8"/>
      <c r="LKL8"/>
      <c r="LKM8"/>
      <c r="LKN8"/>
      <c r="LKO8"/>
      <c r="LKP8"/>
      <c r="LKQ8"/>
      <c r="LKR8"/>
      <c r="LKS8"/>
      <c r="LKT8"/>
      <c r="LKU8"/>
      <c r="LKV8"/>
      <c r="LKW8"/>
      <c r="LKX8"/>
      <c r="LKY8"/>
      <c r="LKZ8"/>
      <c r="LLA8"/>
      <c r="LLB8"/>
      <c r="LLC8"/>
      <c r="LLD8"/>
      <c r="LLE8"/>
      <c r="LLF8"/>
      <c r="LLG8"/>
      <c r="LLH8"/>
      <c r="LLI8"/>
      <c r="LLJ8"/>
      <c r="LLK8"/>
      <c r="LLL8"/>
      <c r="LLM8"/>
      <c r="LLN8"/>
      <c r="LLO8"/>
      <c r="LLP8"/>
      <c r="LLQ8"/>
      <c r="LLR8"/>
      <c r="LLS8"/>
      <c r="LLT8"/>
      <c r="LLU8"/>
      <c r="LLV8"/>
      <c r="LLW8"/>
      <c r="LLX8"/>
      <c r="LLY8"/>
      <c r="LLZ8"/>
      <c r="LMA8"/>
      <c r="LMB8"/>
      <c r="LMC8"/>
      <c r="LMD8"/>
      <c r="LME8"/>
      <c r="LMF8"/>
      <c r="LMG8"/>
      <c r="LMH8"/>
      <c r="LMI8"/>
      <c r="LMJ8"/>
      <c r="LMK8"/>
      <c r="LML8"/>
      <c r="LMM8"/>
      <c r="LMN8"/>
      <c r="LMO8"/>
      <c r="LMP8"/>
      <c r="LMQ8"/>
      <c r="LMR8"/>
      <c r="LMS8"/>
      <c r="LMT8"/>
      <c r="LMU8"/>
      <c r="LMV8"/>
      <c r="LMW8"/>
      <c r="LMX8"/>
      <c r="LMY8"/>
      <c r="LMZ8"/>
      <c r="LNA8"/>
      <c r="LNB8"/>
      <c r="LNC8"/>
      <c r="LND8"/>
      <c r="LNE8"/>
      <c r="LNF8"/>
      <c r="LNG8"/>
      <c r="LNH8"/>
      <c r="LNI8"/>
      <c r="LNJ8"/>
      <c r="LNK8"/>
      <c r="LNL8"/>
      <c r="LNM8"/>
      <c r="LNN8"/>
      <c r="LNO8"/>
      <c r="LNP8"/>
      <c r="LNQ8"/>
      <c r="LNR8"/>
      <c r="LNS8"/>
      <c r="LNT8"/>
      <c r="LNU8"/>
      <c r="LNV8"/>
      <c r="LNW8"/>
      <c r="LNX8"/>
      <c r="LNY8"/>
      <c r="LNZ8"/>
      <c r="LOA8"/>
      <c r="LOB8"/>
      <c r="LOC8"/>
      <c r="LOD8"/>
      <c r="LOE8"/>
      <c r="LOF8"/>
      <c r="LOG8"/>
      <c r="LOH8"/>
      <c r="LOI8"/>
      <c r="LOJ8"/>
      <c r="LOK8"/>
      <c r="LOL8"/>
      <c r="LOM8"/>
      <c r="LON8"/>
      <c r="LOO8"/>
      <c r="LOP8"/>
      <c r="LOQ8"/>
      <c r="LOR8"/>
      <c r="LOS8"/>
      <c r="LOT8"/>
      <c r="LOU8"/>
      <c r="LOV8"/>
      <c r="LOW8"/>
      <c r="LOX8"/>
      <c r="LOY8"/>
      <c r="LOZ8"/>
      <c r="LPA8"/>
      <c r="LPB8"/>
      <c r="LPC8"/>
      <c r="LPD8"/>
      <c r="LPE8"/>
      <c r="LPF8"/>
      <c r="LPG8"/>
      <c r="LPH8"/>
      <c r="LPI8"/>
      <c r="LPJ8"/>
      <c r="LPK8"/>
      <c r="LPL8"/>
      <c r="LPM8"/>
      <c r="LPN8"/>
      <c r="LPO8"/>
      <c r="LPP8"/>
      <c r="LPQ8"/>
      <c r="LPR8"/>
      <c r="LPS8"/>
      <c r="LPT8"/>
      <c r="LPU8"/>
      <c r="LPV8"/>
      <c r="LPW8"/>
      <c r="LPX8"/>
      <c r="LPY8"/>
      <c r="LPZ8"/>
      <c r="LQA8"/>
      <c r="LQB8"/>
      <c r="LQC8"/>
      <c r="LQD8"/>
      <c r="LQE8"/>
      <c r="LQF8"/>
      <c r="LQG8"/>
      <c r="LQH8"/>
      <c r="LQI8"/>
      <c r="LQJ8"/>
      <c r="LQK8"/>
      <c r="LQL8"/>
      <c r="LQM8"/>
      <c r="LQN8"/>
      <c r="LQO8"/>
      <c r="LQP8"/>
      <c r="LQQ8"/>
      <c r="LQR8"/>
      <c r="LQS8"/>
      <c r="LQT8"/>
      <c r="LQU8"/>
      <c r="LQV8"/>
      <c r="LQW8"/>
      <c r="LQX8"/>
      <c r="LQY8"/>
      <c r="LQZ8"/>
      <c r="LRA8"/>
      <c r="LRB8"/>
      <c r="LRC8"/>
      <c r="LRD8"/>
      <c r="LRE8"/>
      <c r="LRF8"/>
      <c r="LRG8"/>
      <c r="LRH8"/>
      <c r="LRI8"/>
      <c r="LRJ8"/>
      <c r="LRK8"/>
      <c r="LRL8"/>
      <c r="LRM8"/>
      <c r="LRN8"/>
      <c r="LRO8"/>
      <c r="LRP8"/>
      <c r="LRQ8"/>
      <c r="LRR8"/>
      <c r="LRS8"/>
      <c r="LRT8"/>
      <c r="LRU8"/>
      <c r="LRV8"/>
      <c r="LRW8"/>
      <c r="LRX8"/>
      <c r="LRY8"/>
      <c r="LRZ8"/>
      <c r="LSA8"/>
      <c r="LSB8"/>
      <c r="LSC8"/>
      <c r="LSD8"/>
      <c r="LSE8"/>
      <c r="LSF8"/>
      <c r="LSG8"/>
      <c r="LSH8"/>
      <c r="LSI8"/>
      <c r="LSJ8"/>
      <c r="LSK8"/>
      <c r="LSL8"/>
      <c r="LSM8"/>
      <c r="LSN8"/>
      <c r="LSO8"/>
      <c r="LSP8"/>
      <c r="LSQ8"/>
      <c r="LSR8"/>
      <c r="LSS8"/>
      <c r="LST8"/>
      <c r="LSU8"/>
      <c r="LSV8"/>
      <c r="LSW8"/>
      <c r="LSX8"/>
      <c r="LSY8"/>
      <c r="LSZ8"/>
      <c r="LTA8"/>
      <c r="LTB8"/>
      <c r="LTC8"/>
      <c r="LTD8"/>
      <c r="LTE8"/>
      <c r="LTF8"/>
      <c r="LTG8"/>
      <c r="LTH8"/>
      <c r="LTI8"/>
      <c r="LTJ8"/>
      <c r="LTK8"/>
      <c r="LTL8"/>
      <c r="LTM8"/>
      <c r="LTN8"/>
      <c r="LTO8"/>
      <c r="LTP8"/>
      <c r="LTQ8"/>
      <c r="LTR8"/>
      <c r="LTS8"/>
      <c r="LTT8"/>
      <c r="LTU8"/>
      <c r="LTV8"/>
      <c r="LTW8"/>
      <c r="LTX8"/>
      <c r="LTY8"/>
      <c r="LTZ8"/>
      <c r="LUA8"/>
      <c r="LUB8"/>
      <c r="LUC8"/>
      <c r="LUD8"/>
      <c r="LUE8"/>
      <c r="LUF8"/>
      <c r="LUG8"/>
      <c r="LUH8"/>
      <c r="LUI8"/>
      <c r="LUJ8"/>
      <c r="LUK8"/>
      <c r="LUL8"/>
      <c r="LUM8"/>
      <c r="LUN8"/>
      <c r="LUO8"/>
      <c r="LUP8"/>
      <c r="LUQ8"/>
      <c r="LUR8"/>
      <c r="LUS8"/>
      <c r="LUT8"/>
      <c r="LUU8"/>
      <c r="LUV8"/>
      <c r="LUW8"/>
      <c r="LUX8"/>
      <c r="LUY8"/>
      <c r="LUZ8"/>
      <c r="LVA8"/>
      <c r="LVB8"/>
      <c r="LVC8"/>
      <c r="LVD8"/>
      <c r="LVE8"/>
      <c r="LVF8"/>
      <c r="LVG8"/>
      <c r="LVH8"/>
      <c r="LVI8"/>
      <c r="LVJ8"/>
      <c r="LVK8"/>
      <c r="LVL8"/>
      <c r="LVM8"/>
      <c r="LVN8"/>
      <c r="LVO8"/>
      <c r="LVP8"/>
      <c r="LVQ8"/>
      <c r="LVR8"/>
      <c r="LVS8"/>
      <c r="LVT8"/>
      <c r="LVU8"/>
      <c r="LVV8"/>
      <c r="LVW8"/>
      <c r="LVX8"/>
      <c r="LVY8"/>
      <c r="LVZ8"/>
      <c r="LWA8"/>
      <c r="LWB8"/>
      <c r="LWC8"/>
      <c r="LWD8"/>
      <c r="LWE8"/>
      <c r="LWF8"/>
      <c r="LWG8"/>
      <c r="LWH8"/>
      <c r="LWI8"/>
      <c r="LWJ8"/>
      <c r="LWK8"/>
      <c r="LWL8"/>
      <c r="LWM8"/>
      <c r="LWN8"/>
      <c r="LWO8"/>
      <c r="LWP8"/>
      <c r="LWQ8"/>
      <c r="LWR8"/>
      <c r="LWS8"/>
      <c r="LWT8"/>
      <c r="LWU8"/>
      <c r="LWV8"/>
      <c r="LWW8"/>
      <c r="LWX8"/>
      <c r="LWY8"/>
      <c r="LWZ8"/>
      <c r="LXA8"/>
      <c r="LXB8"/>
      <c r="LXC8"/>
      <c r="LXD8"/>
      <c r="LXE8"/>
      <c r="LXF8"/>
      <c r="LXG8"/>
      <c r="LXH8"/>
      <c r="LXI8"/>
      <c r="LXJ8"/>
      <c r="LXK8"/>
      <c r="LXL8"/>
      <c r="LXM8"/>
      <c r="LXN8"/>
      <c r="LXO8"/>
      <c r="LXP8"/>
      <c r="LXQ8"/>
      <c r="LXR8"/>
      <c r="LXS8"/>
      <c r="LXT8"/>
      <c r="LXU8"/>
      <c r="LXV8"/>
      <c r="LXW8"/>
      <c r="LXX8"/>
      <c r="LXY8"/>
      <c r="LXZ8"/>
      <c r="LYA8"/>
      <c r="LYB8"/>
      <c r="LYC8"/>
      <c r="LYD8"/>
      <c r="LYE8"/>
      <c r="LYF8"/>
      <c r="LYG8"/>
      <c r="LYH8"/>
      <c r="LYI8"/>
      <c r="LYJ8"/>
      <c r="LYK8"/>
      <c r="LYL8"/>
      <c r="LYM8"/>
      <c r="LYN8"/>
      <c r="LYO8"/>
      <c r="LYP8"/>
      <c r="LYQ8"/>
      <c r="LYR8"/>
      <c r="LYS8"/>
      <c r="LYT8"/>
      <c r="LYU8"/>
      <c r="LYV8"/>
      <c r="LYW8"/>
      <c r="LYX8"/>
      <c r="LYY8"/>
      <c r="LYZ8"/>
      <c r="LZA8"/>
      <c r="LZB8"/>
      <c r="LZC8"/>
      <c r="LZD8"/>
      <c r="LZE8"/>
      <c r="LZF8"/>
      <c r="LZG8"/>
      <c r="LZH8"/>
      <c r="LZI8"/>
      <c r="LZJ8"/>
      <c r="LZK8"/>
      <c r="LZL8"/>
      <c r="LZM8"/>
      <c r="LZN8"/>
      <c r="LZO8"/>
      <c r="LZP8"/>
      <c r="LZQ8"/>
      <c r="LZR8"/>
      <c r="LZS8"/>
      <c r="LZT8"/>
      <c r="LZU8"/>
      <c r="LZV8"/>
      <c r="LZW8"/>
      <c r="LZX8"/>
      <c r="LZY8"/>
      <c r="LZZ8"/>
      <c r="MAA8"/>
      <c r="MAB8"/>
      <c r="MAC8"/>
      <c r="MAD8"/>
      <c r="MAE8"/>
      <c r="MAF8"/>
      <c r="MAG8"/>
      <c r="MAH8"/>
      <c r="MAI8"/>
      <c r="MAJ8"/>
      <c r="MAK8"/>
      <c r="MAL8"/>
      <c r="MAM8"/>
      <c r="MAN8"/>
      <c r="MAO8"/>
      <c r="MAP8"/>
      <c r="MAQ8"/>
      <c r="MAR8"/>
      <c r="MAS8"/>
      <c r="MAT8"/>
      <c r="MAU8"/>
      <c r="MAV8"/>
      <c r="MAW8"/>
      <c r="MAX8"/>
      <c r="MAY8"/>
      <c r="MAZ8"/>
      <c r="MBA8"/>
      <c r="MBB8"/>
      <c r="MBC8"/>
      <c r="MBD8"/>
      <c r="MBE8"/>
      <c r="MBF8"/>
      <c r="MBG8"/>
      <c r="MBH8"/>
      <c r="MBI8"/>
      <c r="MBJ8"/>
      <c r="MBK8"/>
      <c r="MBL8"/>
      <c r="MBM8"/>
      <c r="MBN8"/>
      <c r="MBO8"/>
      <c r="MBP8"/>
      <c r="MBQ8"/>
      <c r="MBR8"/>
      <c r="MBS8"/>
      <c r="MBT8"/>
      <c r="MBU8"/>
      <c r="MBV8"/>
      <c r="MBW8"/>
      <c r="MBX8"/>
      <c r="MBY8"/>
      <c r="MBZ8"/>
      <c r="MCA8"/>
      <c r="MCB8"/>
      <c r="MCC8"/>
      <c r="MCD8"/>
      <c r="MCE8"/>
      <c r="MCF8"/>
      <c r="MCG8"/>
      <c r="MCH8"/>
      <c r="MCI8"/>
      <c r="MCJ8"/>
      <c r="MCK8"/>
      <c r="MCL8"/>
      <c r="MCM8"/>
      <c r="MCN8"/>
      <c r="MCO8"/>
      <c r="MCP8"/>
      <c r="MCQ8"/>
      <c r="MCR8"/>
      <c r="MCS8"/>
      <c r="MCT8"/>
      <c r="MCU8"/>
      <c r="MCV8"/>
      <c r="MCW8"/>
      <c r="MCX8"/>
      <c r="MCY8"/>
      <c r="MCZ8"/>
      <c r="MDA8"/>
      <c r="MDB8"/>
      <c r="MDC8"/>
      <c r="MDD8"/>
      <c r="MDE8"/>
      <c r="MDF8"/>
      <c r="MDG8"/>
      <c r="MDH8"/>
      <c r="MDI8"/>
      <c r="MDJ8"/>
      <c r="MDK8"/>
      <c r="MDL8"/>
      <c r="MDM8"/>
      <c r="MDN8"/>
      <c r="MDO8"/>
      <c r="MDP8"/>
      <c r="MDQ8"/>
      <c r="MDR8"/>
      <c r="MDS8"/>
      <c r="MDT8"/>
      <c r="MDU8"/>
      <c r="MDV8"/>
      <c r="MDW8"/>
      <c r="MDX8"/>
      <c r="MDY8"/>
      <c r="MDZ8"/>
      <c r="MEA8"/>
      <c r="MEB8"/>
      <c r="MEC8"/>
      <c r="MED8"/>
      <c r="MEE8"/>
      <c r="MEF8"/>
      <c r="MEG8"/>
      <c r="MEH8"/>
      <c r="MEI8"/>
      <c r="MEJ8"/>
      <c r="MEK8"/>
      <c r="MEL8"/>
      <c r="MEM8"/>
      <c r="MEN8"/>
      <c r="MEO8"/>
      <c r="MEP8"/>
      <c r="MEQ8"/>
      <c r="MER8"/>
      <c r="MES8"/>
      <c r="MET8"/>
      <c r="MEU8"/>
      <c r="MEV8"/>
      <c r="MEW8"/>
      <c r="MEX8"/>
      <c r="MEY8"/>
      <c r="MEZ8"/>
      <c r="MFA8"/>
      <c r="MFB8"/>
      <c r="MFC8"/>
      <c r="MFD8"/>
      <c r="MFE8"/>
      <c r="MFF8"/>
      <c r="MFG8"/>
      <c r="MFH8"/>
      <c r="MFI8"/>
      <c r="MFJ8"/>
      <c r="MFK8"/>
      <c r="MFL8"/>
      <c r="MFM8"/>
      <c r="MFN8"/>
      <c r="MFO8"/>
      <c r="MFP8"/>
      <c r="MFQ8"/>
      <c r="MFR8"/>
      <c r="MFS8"/>
      <c r="MFT8"/>
      <c r="MFU8"/>
      <c r="MFV8"/>
      <c r="MFW8"/>
      <c r="MFX8"/>
      <c r="MFY8"/>
      <c r="MFZ8"/>
      <c r="MGA8"/>
      <c r="MGB8"/>
      <c r="MGC8"/>
      <c r="MGD8"/>
      <c r="MGE8"/>
      <c r="MGF8"/>
      <c r="MGG8"/>
      <c r="MGH8"/>
      <c r="MGI8"/>
      <c r="MGJ8"/>
      <c r="MGK8"/>
      <c r="MGL8"/>
      <c r="MGM8"/>
      <c r="MGN8"/>
      <c r="MGO8"/>
      <c r="MGP8"/>
      <c r="MGQ8"/>
      <c r="MGR8"/>
      <c r="MGS8"/>
      <c r="MGT8"/>
      <c r="MGU8"/>
      <c r="MGV8"/>
      <c r="MGW8"/>
      <c r="MGX8"/>
      <c r="MGY8"/>
      <c r="MGZ8"/>
      <c r="MHA8"/>
      <c r="MHB8"/>
      <c r="MHC8"/>
      <c r="MHD8"/>
      <c r="MHE8"/>
      <c r="MHF8"/>
      <c r="MHG8"/>
      <c r="MHH8"/>
      <c r="MHI8"/>
      <c r="MHJ8"/>
      <c r="MHK8"/>
      <c r="MHL8"/>
      <c r="MHM8"/>
      <c r="MHN8"/>
      <c r="MHO8"/>
      <c r="MHP8"/>
      <c r="MHQ8"/>
      <c r="MHR8"/>
      <c r="MHS8"/>
      <c r="MHT8"/>
      <c r="MHU8"/>
      <c r="MHV8"/>
      <c r="MHW8"/>
      <c r="MHX8"/>
      <c r="MHY8"/>
      <c r="MHZ8"/>
      <c r="MIA8"/>
      <c r="MIB8"/>
      <c r="MIC8"/>
      <c r="MID8"/>
      <c r="MIE8"/>
      <c r="MIF8"/>
      <c r="MIG8"/>
      <c r="MIH8"/>
      <c r="MII8"/>
      <c r="MIJ8"/>
      <c r="MIK8"/>
      <c r="MIL8"/>
      <c r="MIM8"/>
      <c r="MIN8"/>
      <c r="MIO8"/>
      <c r="MIP8"/>
      <c r="MIQ8"/>
      <c r="MIR8"/>
      <c r="MIS8"/>
      <c r="MIT8"/>
      <c r="MIU8"/>
      <c r="MIV8"/>
      <c r="MIW8"/>
      <c r="MIX8"/>
      <c r="MIY8"/>
      <c r="MIZ8"/>
      <c r="MJA8"/>
      <c r="MJB8"/>
      <c r="MJC8"/>
      <c r="MJD8"/>
      <c r="MJE8"/>
      <c r="MJF8"/>
      <c r="MJG8"/>
      <c r="MJH8"/>
      <c r="MJI8"/>
      <c r="MJJ8"/>
      <c r="MJK8"/>
      <c r="MJL8"/>
      <c r="MJM8"/>
      <c r="MJN8"/>
      <c r="MJO8"/>
      <c r="MJP8"/>
      <c r="MJQ8"/>
      <c r="MJR8"/>
      <c r="MJS8"/>
      <c r="MJT8"/>
      <c r="MJU8"/>
      <c r="MJV8"/>
      <c r="MJW8"/>
      <c r="MJX8"/>
      <c r="MJY8"/>
      <c r="MJZ8"/>
      <c r="MKA8"/>
      <c r="MKB8"/>
      <c r="MKC8"/>
      <c r="MKD8"/>
      <c r="MKE8"/>
      <c r="MKF8"/>
      <c r="MKG8"/>
      <c r="MKH8"/>
      <c r="MKI8"/>
      <c r="MKJ8"/>
      <c r="MKK8"/>
      <c r="MKL8"/>
      <c r="MKM8"/>
      <c r="MKN8"/>
      <c r="MKO8"/>
      <c r="MKP8"/>
      <c r="MKQ8"/>
      <c r="MKR8"/>
      <c r="MKS8"/>
      <c r="MKT8"/>
      <c r="MKU8"/>
      <c r="MKV8"/>
      <c r="MKW8"/>
      <c r="MKX8"/>
      <c r="MKY8"/>
      <c r="MKZ8"/>
      <c r="MLA8"/>
      <c r="MLB8"/>
      <c r="MLC8"/>
      <c r="MLD8"/>
      <c r="MLE8"/>
      <c r="MLF8"/>
      <c r="MLG8"/>
      <c r="MLH8"/>
      <c r="MLI8"/>
      <c r="MLJ8"/>
      <c r="MLK8"/>
      <c r="MLL8"/>
      <c r="MLM8"/>
      <c r="MLN8"/>
      <c r="MLO8"/>
      <c r="MLP8"/>
      <c r="MLQ8"/>
      <c r="MLR8"/>
      <c r="MLS8"/>
      <c r="MLT8"/>
      <c r="MLU8"/>
      <c r="MLV8"/>
      <c r="MLW8"/>
      <c r="MLX8"/>
      <c r="MLY8"/>
      <c r="MLZ8"/>
      <c r="MMA8"/>
      <c r="MMB8"/>
      <c r="MMC8"/>
      <c r="MMD8"/>
      <c r="MME8"/>
      <c r="MMF8"/>
      <c r="MMG8"/>
      <c r="MMH8"/>
      <c r="MMI8"/>
      <c r="MMJ8"/>
      <c r="MMK8"/>
      <c r="MML8"/>
      <c r="MMM8"/>
      <c r="MMN8"/>
      <c r="MMO8"/>
      <c r="MMP8"/>
      <c r="MMQ8"/>
      <c r="MMR8"/>
      <c r="MMS8"/>
      <c r="MMT8"/>
      <c r="MMU8"/>
      <c r="MMV8"/>
      <c r="MMW8"/>
      <c r="MMX8"/>
      <c r="MMY8"/>
      <c r="MMZ8"/>
      <c r="MNA8"/>
      <c r="MNB8"/>
      <c r="MNC8"/>
      <c r="MND8"/>
      <c r="MNE8"/>
      <c r="MNF8"/>
      <c r="MNG8"/>
      <c r="MNH8"/>
      <c r="MNI8"/>
      <c r="MNJ8"/>
      <c r="MNK8"/>
      <c r="MNL8"/>
      <c r="MNM8"/>
      <c r="MNN8"/>
      <c r="MNO8"/>
      <c r="MNP8"/>
      <c r="MNQ8"/>
      <c r="MNR8"/>
      <c r="MNS8"/>
      <c r="MNT8"/>
      <c r="MNU8"/>
      <c r="MNV8"/>
      <c r="MNW8"/>
      <c r="MNX8"/>
      <c r="MNY8"/>
      <c r="MNZ8"/>
      <c r="MOA8"/>
      <c r="MOB8"/>
      <c r="MOC8"/>
      <c r="MOD8"/>
      <c r="MOE8"/>
      <c r="MOF8"/>
      <c r="MOG8"/>
      <c r="MOH8"/>
      <c r="MOI8"/>
      <c r="MOJ8"/>
      <c r="MOK8"/>
      <c r="MOL8"/>
      <c r="MOM8"/>
      <c r="MON8"/>
      <c r="MOO8"/>
      <c r="MOP8"/>
      <c r="MOQ8"/>
      <c r="MOR8"/>
      <c r="MOS8"/>
      <c r="MOT8"/>
      <c r="MOU8"/>
      <c r="MOV8"/>
      <c r="MOW8"/>
      <c r="MOX8"/>
      <c r="MOY8"/>
      <c r="MOZ8"/>
      <c r="MPA8"/>
      <c r="MPB8"/>
      <c r="MPC8"/>
      <c r="MPD8"/>
      <c r="MPE8"/>
      <c r="MPF8"/>
      <c r="MPG8"/>
      <c r="MPH8"/>
      <c r="MPI8"/>
      <c r="MPJ8"/>
      <c r="MPK8"/>
      <c r="MPL8"/>
      <c r="MPM8"/>
      <c r="MPN8"/>
      <c r="MPO8"/>
      <c r="MPP8"/>
      <c r="MPQ8"/>
      <c r="MPR8"/>
      <c r="MPS8"/>
      <c r="MPT8"/>
      <c r="MPU8"/>
      <c r="MPV8"/>
      <c r="MPW8"/>
      <c r="MPX8"/>
      <c r="MPY8"/>
      <c r="MPZ8"/>
      <c r="MQA8"/>
      <c r="MQB8"/>
      <c r="MQC8"/>
      <c r="MQD8"/>
      <c r="MQE8"/>
      <c r="MQF8"/>
      <c r="MQG8"/>
      <c r="MQH8"/>
      <c r="MQI8"/>
      <c r="MQJ8"/>
      <c r="MQK8"/>
      <c r="MQL8"/>
      <c r="MQM8"/>
      <c r="MQN8"/>
      <c r="MQO8"/>
      <c r="MQP8"/>
      <c r="MQQ8"/>
      <c r="MQR8"/>
      <c r="MQS8"/>
      <c r="MQT8"/>
      <c r="MQU8"/>
      <c r="MQV8"/>
      <c r="MQW8"/>
      <c r="MQX8"/>
      <c r="MQY8"/>
      <c r="MQZ8"/>
      <c r="MRA8"/>
      <c r="MRB8"/>
      <c r="MRC8"/>
      <c r="MRD8"/>
      <c r="MRE8"/>
      <c r="MRF8"/>
      <c r="MRG8"/>
      <c r="MRH8"/>
      <c r="MRI8"/>
      <c r="MRJ8"/>
      <c r="MRK8"/>
      <c r="MRL8"/>
      <c r="MRM8"/>
      <c r="MRN8"/>
      <c r="MRO8"/>
      <c r="MRP8"/>
      <c r="MRQ8"/>
      <c r="MRR8"/>
      <c r="MRS8"/>
      <c r="MRT8"/>
      <c r="MRU8"/>
      <c r="MRV8"/>
      <c r="MRW8"/>
      <c r="MRX8"/>
      <c r="MRY8"/>
      <c r="MRZ8"/>
      <c r="MSA8"/>
      <c r="MSB8"/>
      <c r="MSC8"/>
      <c r="MSD8"/>
      <c r="MSE8"/>
      <c r="MSF8"/>
      <c r="MSG8"/>
      <c r="MSH8"/>
      <c r="MSI8"/>
      <c r="MSJ8"/>
      <c r="MSK8"/>
      <c r="MSL8"/>
      <c r="MSM8"/>
      <c r="MSN8"/>
      <c r="MSO8"/>
      <c r="MSP8"/>
      <c r="MSQ8"/>
      <c r="MSR8"/>
      <c r="MSS8"/>
      <c r="MST8"/>
      <c r="MSU8"/>
      <c r="MSV8"/>
      <c r="MSW8"/>
      <c r="MSX8"/>
      <c r="MSY8"/>
      <c r="MSZ8"/>
      <c r="MTA8"/>
      <c r="MTB8"/>
      <c r="MTC8"/>
      <c r="MTD8"/>
      <c r="MTE8"/>
      <c r="MTF8"/>
      <c r="MTG8"/>
      <c r="MTH8"/>
      <c r="MTI8"/>
      <c r="MTJ8"/>
      <c r="MTK8"/>
      <c r="MTL8"/>
      <c r="MTM8"/>
      <c r="MTN8"/>
      <c r="MTO8"/>
      <c r="MTP8"/>
      <c r="MTQ8"/>
      <c r="MTR8"/>
      <c r="MTS8"/>
      <c r="MTT8"/>
      <c r="MTU8"/>
      <c r="MTV8"/>
      <c r="MTW8"/>
      <c r="MTX8"/>
      <c r="MTY8"/>
      <c r="MTZ8"/>
      <c r="MUA8"/>
      <c r="MUB8"/>
      <c r="MUC8"/>
      <c r="MUD8"/>
      <c r="MUE8"/>
      <c r="MUF8"/>
      <c r="MUG8"/>
      <c r="MUH8"/>
      <c r="MUI8"/>
      <c r="MUJ8"/>
      <c r="MUK8"/>
      <c r="MUL8"/>
      <c r="MUM8"/>
      <c r="MUN8"/>
      <c r="MUO8"/>
      <c r="MUP8"/>
      <c r="MUQ8"/>
      <c r="MUR8"/>
      <c r="MUS8"/>
      <c r="MUT8"/>
      <c r="MUU8"/>
      <c r="MUV8"/>
      <c r="MUW8"/>
      <c r="MUX8"/>
      <c r="MUY8"/>
      <c r="MUZ8"/>
      <c r="MVA8"/>
      <c r="MVB8"/>
      <c r="MVC8"/>
      <c r="MVD8"/>
      <c r="MVE8"/>
      <c r="MVF8"/>
      <c r="MVG8"/>
      <c r="MVH8"/>
      <c r="MVI8"/>
      <c r="MVJ8"/>
      <c r="MVK8"/>
      <c r="MVL8"/>
      <c r="MVM8"/>
      <c r="MVN8"/>
      <c r="MVO8"/>
      <c r="MVP8"/>
      <c r="MVQ8"/>
      <c r="MVR8"/>
      <c r="MVS8"/>
      <c r="MVT8"/>
      <c r="MVU8"/>
      <c r="MVV8"/>
      <c r="MVW8"/>
      <c r="MVX8"/>
      <c r="MVY8"/>
      <c r="MVZ8"/>
      <c r="MWA8"/>
      <c r="MWB8"/>
      <c r="MWC8"/>
      <c r="MWD8"/>
      <c r="MWE8"/>
      <c r="MWF8"/>
      <c r="MWG8"/>
      <c r="MWH8"/>
      <c r="MWI8"/>
      <c r="MWJ8"/>
      <c r="MWK8"/>
      <c r="MWL8"/>
      <c r="MWM8"/>
      <c r="MWN8"/>
      <c r="MWO8"/>
      <c r="MWP8"/>
      <c r="MWQ8"/>
      <c r="MWR8"/>
      <c r="MWS8"/>
      <c r="MWT8"/>
      <c r="MWU8"/>
      <c r="MWV8"/>
      <c r="MWW8"/>
      <c r="MWX8"/>
      <c r="MWY8"/>
      <c r="MWZ8"/>
      <c r="MXA8"/>
      <c r="MXB8"/>
      <c r="MXC8"/>
      <c r="MXD8"/>
      <c r="MXE8"/>
      <c r="MXF8"/>
      <c r="MXG8"/>
      <c r="MXH8"/>
      <c r="MXI8"/>
      <c r="MXJ8"/>
      <c r="MXK8"/>
      <c r="MXL8"/>
      <c r="MXM8"/>
      <c r="MXN8"/>
      <c r="MXO8"/>
      <c r="MXP8"/>
      <c r="MXQ8"/>
      <c r="MXR8"/>
      <c r="MXS8"/>
      <c r="MXT8"/>
      <c r="MXU8"/>
      <c r="MXV8"/>
      <c r="MXW8"/>
      <c r="MXX8"/>
      <c r="MXY8"/>
      <c r="MXZ8"/>
      <c r="MYA8"/>
      <c r="MYB8"/>
      <c r="MYC8"/>
      <c r="MYD8"/>
      <c r="MYE8"/>
      <c r="MYF8"/>
      <c r="MYG8"/>
      <c r="MYH8"/>
      <c r="MYI8"/>
      <c r="MYJ8"/>
      <c r="MYK8"/>
      <c r="MYL8"/>
      <c r="MYM8"/>
      <c r="MYN8"/>
      <c r="MYO8"/>
      <c r="MYP8"/>
      <c r="MYQ8"/>
      <c r="MYR8"/>
      <c r="MYS8"/>
      <c r="MYT8"/>
      <c r="MYU8"/>
      <c r="MYV8"/>
      <c r="MYW8"/>
      <c r="MYX8"/>
      <c r="MYY8"/>
      <c r="MYZ8"/>
      <c r="MZA8"/>
      <c r="MZB8"/>
      <c r="MZC8"/>
      <c r="MZD8"/>
      <c r="MZE8"/>
      <c r="MZF8"/>
      <c r="MZG8"/>
      <c r="MZH8"/>
      <c r="MZI8"/>
      <c r="MZJ8"/>
      <c r="MZK8"/>
      <c r="MZL8"/>
      <c r="MZM8"/>
      <c r="MZN8"/>
      <c r="MZO8"/>
      <c r="MZP8"/>
      <c r="MZQ8"/>
      <c r="MZR8"/>
      <c r="MZS8"/>
      <c r="MZT8"/>
      <c r="MZU8"/>
      <c r="MZV8"/>
      <c r="MZW8"/>
      <c r="MZX8"/>
      <c r="MZY8"/>
      <c r="MZZ8"/>
      <c r="NAA8"/>
      <c r="NAB8"/>
      <c r="NAC8"/>
      <c r="NAD8"/>
      <c r="NAE8"/>
      <c r="NAF8"/>
      <c r="NAG8"/>
      <c r="NAH8"/>
      <c r="NAI8"/>
      <c r="NAJ8"/>
      <c r="NAK8"/>
      <c r="NAL8"/>
      <c r="NAM8"/>
      <c r="NAN8"/>
      <c r="NAO8"/>
      <c r="NAP8"/>
      <c r="NAQ8"/>
      <c r="NAR8"/>
      <c r="NAS8"/>
      <c r="NAT8"/>
      <c r="NAU8"/>
      <c r="NAV8"/>
      <c r="NAW8"/>
      <c r="NAX8"/>
      <c r="NAY8"/>
      <c r="NAZ8"/>
      <c r="NBA8"/>
      <c r="NBB8"/>
      <c r="NBC8"/>
      <c r="NBD8"/>
      <c r="NBE8"/>
      <c r="NBF8"/>
      <c r="NBG8"/>
      <c r="NBH8"/>
      <c r="NBI8"/>
      <c r="NBJ8"/>
      <c r="NBK8"/>
      <c r="NBL8"/>
      <c r="NBM8"/>
      <c r="NBN8"/>
      <c r="NBO8"/>
      <c r="NBP8"/>
      <c r="NBQ8"/>
      <c r="NBR8"/>
      <c r="NBS8"/>
      <c r="NBT8"/>
      <c r="NBU8"/>
      <c r="NBV8"/>
      <c r="NBW8"/>
      <c r="NBX8"/>
      <c r="NBY8"/>
      <c r="NBZ8"/>
      <c r="NCA8"/>
      <c r="NCB8"/>
      <c r="NCC8"/>
      <c r="NCD8"/>
      <c r="NCE8"/>
      <c r="NCF8"/>
      <c r="NCG8"/>
      <c r="NCH8"/>
      <c r="NCI8"/>
      <c r="NCJ8"/>
      <c r="NCK8"/>
      <c r="NCL8"/>
      <c r="NCM8"/>
      <c r="NCN8"/>
      <c r="NCO8"/>
      <c r="NCP8"/>
      <c r="NCQ8"/>
      <c r="NCR8"/>
      <c r="NCS8"/>
      <c r="NCT8"/>
      <c r="NCU8"/>
      <c r="NCV8"/>
      <c r="NCW8"/>
      <c r="NCX8"/>
      <c r="NCY8"/>
      <c r="NCZ8"/>
      <c r="NDA8"/>
      <c r="NDB8"/>
      <c r="NDC8"/>
      <c r="NDD8"/>
      <c r="NDE8"/>
      <c r="NDF8"/>
      <c r="NDG8"/>
      <c r="NDH8"/>
      <c r="NDI8"/>
      <c r="NDJ8"/>
      <c r="NDK8"/>
      <c r="NDL8"/>
      <c r="NDM8"/>
      <c r="NDN8"/>
      <c r="NDO8"/>
      <c r="NDP8"/>
      <c r="NDQ8"/>
      <c r="NDR8"/>
      <c r="NDS8"/>
      <c r="NDT8"/>
      <c r="NDU8"/>
      <c r="NDV8"/>
      <c r="NDW8"/>
      <c r="NDX8"/>
      <c r="NDY8"/>
      <c r="NDZ8"/>
      <c r="NEA8"/>
      <c r="NEB8"/>
      <c r="NEC8"/>
      <c r="NED8"/>
      <c r="NEE8"/>
      <c r="NEF8"/>
      <c r="NEG8"/>
      <c r="NEH8"/>
      <c r="NEI8"/>
      <c r="NEJ8"/>
      <c r="NEK8"/>
      <c r="NEL8"/>
      <c r="NEM8"/>
      <c r="NEN8"/>
      <c r="NEO8"/>
      <c r="NEP8"/>
      <c r="NEQ8"/>
      <c r="NER8"/>
      <c r="NES8"/>
      <c r="NET8"/>
      <c r="NEU8"/>
      <c r="NEV8"/>
      <c r="NEW8"/>
      <c r="NEX8"/>
      <c r="NEY8"/>
      <c r="NEZ8"/>
      <c r="NFA8"/>
      <c r="NFB8"/>
      <c r="NFC8"/>
      <c r="NFD8"/>
      <c r="NFE8"/>
      <c r="NFF8"/>
      <c r="NFG8"/>
      <c r="NFH8"/>
      <c r="NFI8"/>
      <c r="NFJ8"/>
      <c r="NFK8"/>
      <c r="NFL8"/>
      <c r="NFM8"/>
      <c r="NFN8"/>
      <c r="NFO8"/>
      <c r="NFP8"/>
      <c r="NFQ8"/>
      <c r="NFR8"/>
      <c r="NFS8"/>
      <c r="NFT8"/>
      <c r="NFU8"/>
      <c r="NFV8"/>
      <c r="NFW8"/>
      <c r="NFX8"/>
      <c r="NFY8"/>
      <c r="NFZ8"/>
      <c r="NGA8"/>
      <c r="NGB8"/>
      <c r="NGC8"/>
      <c r="NGD8"/>
      <c r="NGE8"/>
      <c r="NGF8"/>
      <c r="NGG8"/>
      <c r="NGH8"/>
      <c r="NGI8"/>
      <c r="NGJ8"/>
      <c r="NGK8"/>
      <c r="NGL8"/>
      <c r="NGM8"/>
      <c r="NGN8"/>
      <c r="NGO8"/>
      <c r="NGP8"/>
      <c r="NGQ8"/>
      <c r="NGR8"/>
      <c r="NGS8"/>
      <c r="NGT8"/>
      <c r="NGU8"/>
      <c r="NGV8"/>
      <c r="NGW8"/>
      <c r="NGX8"/>
      <c r="NGY8"/>
      <c r="NGZ8"/>
      <c r="NHA8"/>
      <c r="NHB8"/>
      <c r="NHC8"/>
      <c r="NHD8"/>
      <c r="NHE8"/>
      <c r="NHF8"/>
      <c r="NHG8"/>
      <c r="NHH8"/>
      <c r="NHI8"/>
      <c r="NHJ8"/>
      <c r="NHK8"/>
      <c r="NHL8"/>
      <c r="NHM8"/>
      <c r="NHN8"/>
      <c r="NHO8"/>
      <c r="NHP8"/>
      <c r="NHQ8"/>
      <c r="NHR8"/>
      <c r="NHS8"/>
      <c r="NHT8"/>
      <c r="NHU8"/>
      <c r="NHV8"/>
      <c r="NHW8"/>
      <c r="NHX8"/>
      <c r="NHY8"/>
      <c r="NHZ8"/>
      <c r="NIA8"/>
      <c r="NIB8"/>
      <c r="NIC8"/>
      <c r="NID8"/>
      <c r="NIE8"/>
      <c r="NIF8"/>
      <c r="NIG8"/>
      <c r="NIH8"/>
      <c r="NII8"/>
      <c r="NIJ8"/>
      <c r="NIK8"/>
      <c r="NIL8"/>
      <c r="NIM8"/>
      <c r="NIN8"/>
      <c r="NIO8"/>
      <c r="NIP8"/>
      <c r="NIQ8"/>
      <c r="NIR8"/>
      <c r="NIS8"/>
      <c r="NIT8"/>
      <c r="NIU8"/>
      <c r="NIV8"/>
      <c r="NIW8"/>
      <c r="NIX8"/>
      <c r="NIY8"/>
      <c r="NIZ8"/>
      <c r="NJA8"/>
      <c r="NJB8"/>
      <c r="NJC8"/>
      <c r="NJD8"/>
      <c r="NJE8"/>
      <c r="NJF8"/>
      <c r="NJG8"/>
      <c r="NJH8"/>
      <c r="NJI8"/>
      <c r="NJJ8"/>
      <c r="NJK8"/>
      <c r="NJL8"/>
      <c r="NJM8"/>
      <c r="NJN8"/>
      <c r="NJO8"/>
      <c r="NJP8"/>
      <c r="NJQ8"/>
      <c r="NJR8"/>
      <c r="NJS8"/>
      <c r="NJT8"/>
      <c r="NJU8"/>
      <c r="NJV8"/>
      <c r="NJW8"/>
      <c r="NJX8"/>
      <c r="NJY8"/>
      <c r="NJZ8"/>
      <c r="NKA8"/>
      <c r="NKB8"/>
      <c r="NKC8"/>
      <c r="NKD8"/>
      <c r="NKE8"/>
      <c r="NKF8"/>
      <c r="NKG8"/>
      <c r="NKH8"/>
      <c r="NKI8"/>
      <c r="NKJ8"/>
      <c r="NKK8"/>
      <c r="NKL8"/>
      <c r="NKM8"/>
      <c r="NKN8"/>
      <c r="NKO8"/>
      <c r="NKP8"/>
      <c r="NKQ8"/>
      <c r="NKR8"/>
      <c r="NKS8"/>
      <c r="NKT8"/>
      <c r="NKU8"/>
      <c r="NKV8"/>
      <c r="NKW8"/>
      <c r="NKX8"/>
      <c r="NKY8"/>
      <c r="NKZ8"/>
      <c r="NLA8"/>
      <c r="NLB8"/>
      <c r="NLC8"/>
      <c r="NLD8"/>
      <c r="NLE8"/>
      <c r="NLF8"/>
      <c r="NLG8"/>
      <c r="NLH8"/>
      <c r="NLI8"/>
      <c r="NLJ8"/>
      <c r="NLK8"/>
      <c r="NLL8"/>
      <c r="NLM8"/>
      <c r="NLN8"/>
      <c r="NLO8"/>
      <c r="NLP8"/>
      <c r="NLQ8"/>
      <c r="NLR8"/>
      <c r="NLS8"/>
      <c r="NLT8"/>
      <c r="NLU8"/>
      <c r="NLV8"/>
      <c r="NLW8"/>
      <c r="NLX8"/>
      <c r="NLY8"/>
      <c r="NLZ8"/>
      <c r="NMA8"/>
      <c r="NMB8"/>
      <c r="NMC8"/>
      <c r="NMD8"/>
      <c r="NME8"/>
      <c r="NMF8"/>
      <c r="NMG8"/>
      <c r="NMH8"/>
      <c r="NMI8"/>
      <c r="NMJ8"/>
      <c r="NMK8"/>
      <c r="NML8"/>
      <c r="NMM8"/>
      <c r="NMN8"/>
      <c r="NMO8"/>
      <c r="NMP8"/>
      <c r="NMQ8"/>
      <c r="NMR8"/>
      <c r="NMS8"/>
      <c r="NMT8"/>
      <c r="NMU8"/>
      <c r="NMV8"/>
      <c r="NMW8"/>
      <c r="NMX8"/>
      <c r="NMY8"/>
      <c r="NMZ8"/>
      <c r="NNA8"/>
      <c r="NNB8"/>
      <c r="NNC8"/>
      <c r="NND8"/>
      <c r="NNE8"/>
      <c r="NNF8"/>
      <c r="NNG8"/>
      <c r="NNH8"/>
      <c r="NNI8"/>
      <c r="NNJ8"/>
      <c r="NNK8"/>
      <c r="NNL8"/>
      <c r="NNM8"/>
      <c r="NNN8"/>
      <c r="NNO8"/>
      <c r="NNP8"/>
      <c r="NNQ8"/>
      <c r="NNR8"/>
      <c r="NNS8"/>
      <c r="NNT8"/>
      <c r="NNU8"/>
      <c r="NNV8"/>
      <c r="NNW8"/>
      <c r="NNX8"/>
      <c r="NNY8"/>
      <c r="NNZ8"/>
      <c r="NOA8"/>
      <c r="NOB8"/>
      <c r="NOC8"/>
      <c r="NOD8"/>
      <c r="NOE8"/>
      <c r="NOF8"/>
      <c r="NOG8"/>
      <c r="NOH8"/>
      <c r="NOI8"/>
      <c r="NOJ8"/>
      <c r="NOK8"/>
      <c r="NOL8"/>
      <c r="NOM8"/>
      <c r="NON8"/>
      <c r="NOO8"/>
      <c r="NOP8"/>
      <c r="NOQ8"/>
      <c r="NOR8"/>
      <c r="NOS8"/>
      <c r="NOT8"/>
      <c r="NOU8"/>
      <c r="NOV8"/>
      <c r="NOW8"/>
      <c r="NOX8"/>
      <c r="NOY8"/>
      <c r="NOZ8"/>
      <c r="NPA8"/>
      <c r="NPB8"/>
      <c r="NPC8"/>
      <c r="NPD8"/>
      <c r="NPE8"/>
      <c r="NPF8"/>
      <c r="NPG8"/>
      <c r="NPH8"/>
      <c r="NPI8"/>
      <c r="NPJ8"/>
      <c r="NPK8"/>
      <c r="NPL8"/>
      <c r="NPM8"/>
      <c r="NPN8"/>
      <c r="NPO8"/>
      <c r="NPP8"/>
      <c r="NPQ8"/>
      <c r="NPR8"/>
      <c r="NPS8"/>
      <c r="NPT8"/>
      <c r="NPU8"/>
      <c r="NPV8"/>
      <c r="NPW8"/>
      <c r="NPX8"/>
      <c r="NPY8"/>
      <c r="NPZ8"/>
      <c r="NQA8"/>
      <c r="NQB8"/>
      <c r="NQC8"/>
      <c r="NQD8"/>
      <c r="NQE8"/>
      <c r="NQF8"/>
      <c r="NQG8"/>
      <c r="NQH8"/>
      <c r="NQI8"/>
      <c r="NQJ8"/>
      <c r="NQK8"/>
      <c r="NQL8"/>
      <c r="NQM8"/>
      <c r="NQN8"/>
      <c r="NQO8"/>
      <c r="NQP8"/>
      <c r="NQQ8"/>
      <c r="NQR8"/>
      <c r="NQS8"/>
      <c r="NQT8"/>
      <c r="NQU8"/>
      <c r="NQV8"/>
      <c r="NQW8"/>
      <c r="NQX8"/>
      <c r="NQY8"/>
      <c r="NQZ8"/>
      <c r="NRA8"/>
      <c r="NRB8"/>
      <c r="NRC8"/>
      <c r="NRD8"/>
      <c r="NRE8"/>
      <c r="NRF8"/>
      <c r="NRG8"/>
      <c r="NRH8"/>
      <c r="NRI8"/>
      <c r="NRJ8"/>
      <c r="NRK8"/>
      <c r="NRL8"/>
      <c r="NRM8"/>
      <c r="NRN8"/>
      <c r="NRO8"/>
      <c r="NRP8"/>
      <c r="NRQ8"/>
      <c r="NRR8"/>
      <c r="NRS8"/>
      <c r="NRT8"/>
      <c r="NRU8"/>
      <c r="NRV8"/>
      <c r="NRW8"/>
      <c r="NRX8"/>
      <c r="NRY8"/>
      <c r="NRZ8"/>
      <c r="NSA8"/>
      <c r="NSB8"/>
      <c r="NSC8"/>
      <c r="NSD8"/>
      <c r="NSE8"/>
      <c r="NSF8"/>
      <c r="NSG8"/>
      <c r="NSH8"/>
      <c r="NSI8"/>
      <c r="NSJ8"/>
      <c r="NSK8"/>
      <c r="NSL8"/>
      <c r="NSM8"/>
      <c r="NSN8"/>
      <c r="NSO8"/>
      <c r="NSP8"/>
      <c r="NSQ8"/>
      <c r="NSR8"/>
      <c r="NSS8"/>
      <c r="NST8"/>
      <c r="NSU8"/>
      <c r="NSV8"/>
      <c r="NSW8"/>
      <c r="NSX8"/>
      <c r="NSY8"/>
      <c r="NSZ8"/>
      <c r="NTA8"/>
      <c r="NTB8"/>
      <c r="NTC8"/>
      <c r="NTD8"/>
      <c r="NTE8"/>
      <c r="NTF8"/>
      <c r="NTG8"/>
      <c r="NTH8"/>
      <c r="NTI8"/>
      <c r="NTJ8"/>
      <c r="NTK8"/>
      <c r="NTL8"/>
      <c r="NTM8"/>
      <c r="NTN8"/>
      <c r="NTO8"/>
      <c r="NTP8"/>
      <c r="NTQ8"/>
      <c r="NTR8"/>
      <c r="NTS8"/>
      <c r="NTT8"/>
      <c r="NTU8"/>
      <c r="NTV8"/>
      <c r="NTW8"/>
      <c r="NTX8"/>
      <c r="NTY8"/>
      <c r="NTZ8"/>
      <c r="NUA8"/>
      <c r="NUB8"/>
      <c r="NUC8"/>
      <c r="NUD8"/>
      <c r="NUE8"/>
      <c r="NUF8"/>
      <c r="NUG8"/>
      <c r="NUH8"/>
      <c r="NUI8"/>
      <c r="NUJ8"/>
      <c r="NUK8"/>
      <c r="NUL8"/>
      <c r="NUM8"/>
      <c r="NUN8"/>
      <c r="NUO8"/>
      <c r="NUP8"/>
      <c r="NUQ8"/>
      <c r="NUR8"/>
      <c r="NUS8"/>
      <c r="NUT8"/>
      <c r="NUU8"/>
      <c r="NUV8"/>
      <c r="NUW8"/>
      <c r="NUX8"/>
      <c r="NUY8"/>
      <c r="NUZ8"/>
      <c r="NVA8"/>
      <c r="NVB8"/>
      <c r="NVC8"/>
      <c r="NVD8"/>
      <c r="NVE8"/>
      <c r="NVF8"/>
      <c r="NVG8"/>
      <c r="NVH8"/>
      <c r="NVI8"/>
      <c r="NVJ8"/>
      <c r="NVK8"/>
      <c r="NVL8"/>
      <c r="NVM8"/>
      <c r="NVN8"/>
      <c r="NVO8"/>
      <c r="NVP8"/>
      <c r="NVQ8"/>
      <c r="NVR8"/>
      <c r="NVS8"/>
      <c r="NVT8"/>
      <c r="NVU8"/>
      <c r="NVV8"/>
      <c r="NVW8"/>
      <c r="NVX8"/>
      <c r="NVY8"/>
      <c r="NVZ8"/>
      <c r="NWA8"/>
      <c r="NWB8"/>
      <c r="NWC8"/>
      <c r="NWD8"/>
      <c r="NWE8"/>
      <c r="NWF8"/>
      <c r="NWG8"/>
      <c r="NWH8"/>
      <c r="NWI8"/>
      <c r="NWJ8"/>
      <c r="NWK8"/>
      <c r="NWL8"/>
      <c r="NWM8"/>
      <c r="NWN8"/>
      <c r="NWO8"/>
      <c r="NWP8"/>
      <c r="NWQ8"/>
      <c r="NWR8"/>
      <c r="NWS8"/>
      <c r="NWT8"/>
      <c r="NWU8"/>
      <c r="NWV8"/>
      <c r="NWW8"/>
      <c r="NWX8"/>
      <c r="NWY8"/>
      <c r="NWZ8"/>
      <c r="NXA8"/>
      <c r="NXB8"/>
      <c r="NXC8"/>
      <c r="NXD8"/>
      <c r="NXE8"/>
      <c r="NXF8"/>
      <c r="NXG8"/>
      <c r="NXH8"/>
      <c r="NXI8"/>
      <c r="NXJ8"/>
      <c r="NXK8"/>
      <c r="NXL8"/>
      <c r="NXM8"/>
      <c r="NXN8"/>
      <c r="NXO8"/>
      <c r="NXP8"/>
      <c r="NXQ8"/>
      <c r="NXR8"/>
      <c r="NXS8"/>
      <c r="NXT8"/>
      <c r="NXU8"/>
      <c r="NXV8"/>
      <c r="NXW8"/>
      <c r="NXX8"/>
      <c r="NXY8"/>
      <c r="NXZ8"/>
      <c r="NYA8"/>
      <c r="NYB8"/>
      <c r="NYC8"/>
      <c r="NYD8"/>
      <c r="NYE8"/>
      <c r="NYF8"/>
      <c r="NYG8"/>
      <c r="NYH8"/>
      <c r="NYI8"/>
      <c r="NYJ8"/>
      <c r="NYK8"/>
      <c r="NYL8"/>
      <c r="NYM8"/>
      <c r="NYN8"/>
      <c r="NYO8"/>
      <c r="NYP8"/>
      <c r="NYQ8"/>
      <c r="NYR8"/>
      <c r="NYS8"/>
      <c r="NYT8"/>
      <c r="NYU8"/>
      <c r="NYV8"/>
      <c r="NYW8"/>
      <c r="NYX8"/>
      <c r="NYY8"/>
      <c r="NYZ8"/>
      <c r="NZA8"/>
      <c r="NZB8"/>
      <c r="NZC8"/>
      <c r="NZD8"/>
      <c r="NZE8"/>
      <c r="NZF8"/>
      <c r="NZG8"/>
      <c r="NZH8"/>
      <c r="NZI8"/>
      <c r="NZJ8"/>
      <c r="NZK8"/>
      <c r="NZL8"/>
      <c r="NZM8"/>
      <c r="NZN8"/>
      <c r="NZO8"/>
      <c r="NZP8"/>
      <c r="NZQ8"/>
      <c r="NZR8"/>
      <c r="NZS8"/>
      <c r="NZT8"/>
      <c r="NZU8"/>
      <c r="NZV8"/>
      <c r="NZW8"/>
      <c r="NZX8"/>
      <c r="NZY8"/>
      <c r="NZZ8"/>
      <c r="OAA8"/>
      <c r="OAB8"/>
      <c r="OAC8"/>
      <c r="OAD8"/>
      <c r="OAE8"/>
      <c r="OAF8"/>
      <c r="OAG8"/>
      <c r="OAH8"/>
      <c r="OAI8"/>
      <c r="OAJ8"/>
      <c r="OAK8"/>
      <c r="OAL8"/>
      <c r="OAM8"/>
      <c r="OAN8"/>
      <c r="OAO8"/>
      <c r="OAP8"/>
      <c r="OAQ8"/>
      <c r="OAR8"/>
      <c r="OAS8"/>
      <c r="OAT8"/>
      <c r="OAU8"/>
      <c r="OAV8"/>
      <c r="OAW8"/>
      <c r="OAX8"/>
      <c r="OAY8"/>
      <c r="OAZ8"/>
      <c r="OBA8"/>
      <c r="OBB8"/>
      <c r="OBC8"/>
      <c r="OBD8"/>
      <c r="OBE8"/>
      <c r="OBF8"/>
      <c r="OBG8"/>
      <c r="OBH8"/>
      <c r="OBI8"/>
      <c r="OBJ8"/>
      <c r="OBK8"/>
      <c r="OBL8"/>
      <c r="OBM8"/>
      <c r="OBN8"/>
      <c r="OBO8"/>
      <c r="OBP8"/>
      <c r="OBQ8"/>
      <c r="OBR8"/>
      <c r="OBS8"/>
      <c r="OBT8"/>
      <c r="OBU8"/>
      <c r="OBV8"/>
      <c r="OBW8"/>
      <c r="OBX8"/>
      <c r="OBY8"/>
      <c r="OBZ8"/>
      <c r="OCA8"/>
      <c r="OCB8"/>
      <c r="OCC8"/>
      <c r="OCD8"/>
      <c r="OCE8"/>
      <c r="OCF8"/>
      <c r="OCG8"/>
      <c r="OCH8"/>
      <c r="OCI8"/>
      <c r="OCJ8"/>
      <c r="OCK8"/>
      <c r="OCL8"/>
      <c r="OCM8"/>
      <c r="OCN8"/>
      <c r="OCO8"/>
      <c r="OCP8"/>
      <c r="OCQ8"/>
      <c r="OCR8"/>
      <c r="OCS8"/>
      <c r="OCT8"/>
      <c r="OCU8"/>
      <c r="OCV8"/>
      <c r="OCW8"/>
      <c r="OCX8"/>
      <c r="OCY8"/>
      <c r="OCZ8"/>
      <c r="ODA8"/>
      <c r="ODB8"/>
      <c r="ODC8"/>
      <c r="ODD8"/>
      <c r="ODE8"/>
      <c r="ODF8"/>
      <c r="ODG8"/>
      <c r="ODH8"/>
      <c r="ODI8"/>
      <c r="ODJ8"/>
      <c r="ODK8"/>
      <c r="ODL8"/>
      <c r="ODM8"/>
      <c r="ODN8"/>
      <c r="ODO8"/>
      <c r="ODP8"/>
      <c r="ODQ8"/>
      <c r="ODR8"/>
      <c r="ODS8"/>
      <c r="ODT8"/>
      <c r="ODU8"/>
      <c r="ODV8"/>
      <c r="ODW8"/>
      <c r="ODX8"/>
      <c r="ODY8"/>
      <c r="ODZ8"/>
      <c r="OEA8"/>
      <c r="OEB8"/>
      <c r="OEC8"/>
      <c r="OED8"/>
      <c r="OEE8"/>
      <c r="OEF8"/>
      <c r="OEG8"/>
      <c r="OEH8"/>
      <c r="OEI8"/>
      <c r="OEJ8"/>
      <c r="OEK8"/>
      <c r="OEL8"/>
      <c r="OEM8"/>
      <c r="OEN8"/>
      <c r="OEO8"/>
      <c r="OEP8"/>
      <c r="OEQ8"/>
      <c r="OER8"/>
      <c r="OES8"/>
      <c r="OET8"/>
      <c r="OEU8"/>
      <c r="OEV8"/>
      <c r="OEW8"/>
      <c r="OEX8"/>
      <c r="OEY8"/>
      <c r="OEZ8"/>
      <c r="OFA8"/>
      <c r="OFB8"/>
      <c r="OFC8"/>
      <c r="OFD8"/>
      <c r="OFE8"/>
      <c r="OFF8"/>
      <c r="OFG8"/>
      <c r="OFH8"/>
      <c r="OFI8"/>
      <c r="OFJ8"/>
      <c r="OFK8"/>
      <c r="OFL8"/>
      <c r="OFM8"/>
      <c r="OFN8"/>
      <c r="OFO8"/>
      <c r="OFP8"/>
      <c r="OFQ8"/>
      <c r="OFR8"/>
      <c r="OFS8"/>
      <c r="OFT8"/>
      <c r="OFU8"/>
      <c r="OFV8"/>
      <c r="OFW8"/>
      <c r="OFX8"/>
      <c r="OFY8"/>
      <c r="OFZ8"/>
      <c r="OGA8"/>
      <c r="OGB8"/>
      <c r="OGC8"/>
      <c r="OGD8"/>
      <c r="OGE8"/>
      <c r="OGF8"/>
      <c r="OGG8"/>
      <c r="OGH8"/>
      <c r="OGI8"/>
      <c r="OGJ8"/>
      <c r="OGK8"/>
      <c r="OGL8"/>
      <c r="OGM8"/>
      <c r="OGN8"/>
      <c r="OGO8"/>
      <c r="OGP8"/>
      <c r="OGQ8"/>
      <c r="OGR8"/>
      <c r="OGS8"/>
      <c r="OGT8"/>
      <c r="OGU8"/>
      <c r="OGV8"/>
      <c r="OGW8"/>
      <c r="OGX8"/>
      <c r="OGY8"/>
      <c r="OGZ8"/>
      <c r="OHA8"/>
      <c r="OHB8"/>
      <c r="OHC8"/>
      <c r="OHD8"/>
      <c r="OHE8"/>
      <c r="OHF8"/>
      <c r="OHG8"/>
      <c r="OHH8"/>
      <c r="OHI8"/>
      <c r="OHJ8"/>
      <c r="OHK8"/>
      <c r="OHL8"/>
      <c r="OHM8"/>
      <c r="OHN8"/>
      <c r="OHO8"/>
      <c r="OHP8"/>
      <c r="OHQ8"/>
      <c r="OHR8"/>
      <c r="OHS8"/>
      <c r="OHT8"/>
      <c r="OHU8"/>
      <c r="OHV8"/>
      <c r="OHW8"/>
      <c r="OHX8"/>
      <c r="OHY8"/>
      <c r="OHZ8"/>
      <c r="OIA8"/>
      <c r="OIB8"/>
      <c r="OIC8"/>
      <c r="OID8"/>
      <c r="OIE8"/>
      <c r="OIF8"/>
      <c r="OIG8"/>
      <c r="OIH8"/>
      <c r="OII8"/>
      <c r="OIJ8"/>
      <c r="OIK8"/>
      <c r="OIL8"/>
      <c r="OIM8"/>
      <c r="OIN8"/>
      <c r="OIO8"/>
      <c r="OIP8"/>
      <c r="OIQ8"/>
      <c r="OIR8"/>
      <c r="OIS8"/>
      <c r="OIT8"/>
      <c r="OIU8"/>
      <c r="OIV8"/>
      <c r="OIW8"/>
      <c r="OIX8"/>
      <c r="OIY8"/>
      <c r="OIZ8"/>
      <c r="OJA8"/>
      <c r="OJB8"/>
      <c r="OJC8"/>
      <c r="OJD8"/>
      <c r="OJE8"/>
      <c r="OJF8"/>
      <c r="OJG8"/>
      <c r="OJH8"/>
      <c r="OJI8"/>
      <c r="OJJ8"/>
      <c r="OJK8"/>
      <c r="OJL8"/>
      <c r="OJM8"/>
      <c r="OJN8"/>
      <c r="OJO8"/>
      <c r="OJP8"/>
      <c r="OJQ8"/>
      <c r="OJR8"/>
      <c r="OJS8"/>
      <c r="OJT8"/>
      <c r="OJU8"/>
      <c r="OJV8"/>
      <c r="OJW8"/>
      <c r="OJX8"/>
      <c r="OJY8"/>
      <c r="OJZ8"/>
      <c r="OKA8"/>
      <c r="OKB8"/>
      <c r="OKC8"/>
      <c r="OKD8"/>
      <c r="OKE8"/>
      <c r="OKF8"/>
      <c r="OKG8"/>
      <c r="OKH8"/>
      <c r="OKI8"/>
      <c r="OKJ8"/>
      <c r="OKK8"/>
      <c r="OKL8"/>
      <c r="OKM8"/>
      <c r="OKN8"/>
      <c r="OKO8"/>
      <c r="OKP8"/>
      <c r="OKQ8"/>
      <c r="OKR8"/>
      <c r="OKS8"/>
      <c r="OKT8"/>
      <c r="OKU8"/>
      <c r="OKV8"/>
      <c r="OKW8"/>
      <c r="OKX8"/>
      <c r="OKY8"/>
      <c r="OKZ8"/>
      <c r="OLA8"/>
      <c r="OLB8"/>
      <c r="OLC8"/>
      <c r="OLD8"/>
      <c r="OLE8"/>
      <c r="OLF8"/>
      <c r="OLG8"/>
      <c r="OLH8"/>
      <c r="OLI8"/>
      <c r="OLJ8"/>
      <c r="OLK8"/>
      <c r="OLL8"/>
      <c r="OLM8"/>
      <c r="OLN8"/>
      <c r="OLO8"/>
      <c r="OLP8"/>
      <c r="OLQ8"/>
      <c r="OLR8"/>
      <c r="OLS8"/>
      <c r="OLT8"/>
      <c r="OLU8"/>
      <c r="OLV8"/>
      <c r="OLW8"/>
      <c r="OLX8"/>
      <c r="OLY8"/>
      <c r="OLZ8"/>
      <c r="OMA8"/>
      <c r="OMB8"/>
      <c r="OMC8"/>
      <c r="OMD8"/>
      <c r="OME8"/>
      <c r="OMF8"/>
      <c r="OMG8"/>
      <c r="OMH8"/>
      <c r="OMI8"/>
      <c r="OMJ8"/>
      <c r="OMK8"/>
      <c r="OML8"/>
      <c r="OMM8"/>
      <c r="OMN8"/>
      <c r="OMO8"/>
      <c r="OMP8"/>
      <c r="OMQ8"/>
      <c r="OMR8"/>
      <c r="OMS8"/>
      <c r="OMT8"/>
      <c r="OMU8"/>
      <c r="OMV8"/>
      <c r="OMW8"/>
      <c r="OMX8"/>
      <c r="OMY8"/>
      <c r="OMZ8"/>
      <c r="ONA8"/>
      <c r="ONB8"/>
      <c r="ONC8"/>
      <c r="OND8"/>
      <c r="ONE8"/>
      <c r="ONF8"/>
      <c r="ONG8"/>
      <c r="ONH8"/>
      <c r="ONI8"/>
      <c r="ONJ8"/>
      <c r="ONK8"/>
      <c r="ONL8"/>
      <c r="ONM8"/>
      <c r="ONN8"/>
      <c r="ONO8"/>
      <c r="ONP8"/>
      <c r="ONQ8"/>
      <c r="ONR8"/>
      <c r="ONS8"/>
      <c r="ONT8"/>
      <c r="ONU8"/>
      <c r="ONV8"/>
      <c r="ONW8"/>
      <c r="ONX8"/>
      <c r="ONY8"/>
      <c r="ONZ8"/>
      <c r="OOA8"/>
      <c r="OOB8"/>
      <c r="OOC8"/>
      <c r="OOD8"/>
      <c r="OOE8"/>
      <c r="OOF8"/>
      <c r="OOG8"/>
      <c r="OOH8"/>
      <c r="OOI8"/>
      <c r="OOJ8"/>
      <c r="OOK8"/>
      <c r="OOL8"/>
      <c r="OOM8"/>
      <c r="OON8"/>
      <c r="OOO8"/>
      <c r="OOP8"/>
      <c r="OOQ8"/>
      <c r="OOR8"/>
      <c r="OOS8"/>
      <c r="OOT8"/>
      <c r="OOU8"/>
      <c r="OOV8"/>
      <c r="OOW8"/>
      <c r="OOX8"/>
      <c r="OOY8"/>
      <c r="OOZ8"/>
      <c r="OPA8"/>
      <c r="OPB8"/>
      <c r="OPC8"/>
      <c r="OPD8"/>
      <c r="OPE8"/>
      <c r="OPF8"/>
      <c r="OPG8"/>
      <c r="OPH8"/>
      <c r="OPI8"/>
      <c r="OPJ8"/>
      <c r="OPK8"/>
      <c r="OPL8"/>
      <c r="OPM8"/>
      <c r="OPN8"/>
      <c r="OPO8"/>
      <c r="OPP8"/>
      <c r="OPQ8"/>
      <c r="OPR8"/>
      <c r="OPS8"/>
      <c r="OPT8"/>
      <c r="OPU8"/>
      <c r="OPV8"/>
      <c r="OPW8"/>
      <c r="OPX8"/>
      <c r="OPY8"/>
      <c r="OPZ8"/>
      <c r="OQA8"/>
      <c r="OQB8"/>
      <c r="OQC8"/>
      <c r="OQD8"/>
      <c r="OQE8"/>
      <c r="OQF8"/>
      <c r="OQG8"/>
      <c r="OQH8"/>
      <c r="OQI8"/>
      <c r="OQJ8"/>
      <c r="OQK8"/>
      <c r="OQL8"/>
      <c r="OQM8"/>
      <c r="OQN8"/>
      <c r="OQO8"/>
      <c r="OQP8"/>
      <c r="OQQ8"/>
      <c r="OQR8"/>
      <c r="OQS8"/>
      <c r="OQT8"/>
      <c r="OQU8"/>
      <c r="OQV8"/>
      <c r="OQW8"/>
      <c r="OQX8"/>
      <c r="OQY8"/>
      <c r="OQZ8"/>
      <c r="ORA8"/>
      <c r="ORB8"/>
      <c r="ORC8"/>
      <c r="ORD8"/>
      <c r="ORE8"/>
      <c r="ORF8"/>
      <c r="ORG8"/>
      <c r="ORH8"/>
      <c r="ORI8"/>
      <c r="ORJ8"/>
      <c r="ORK8"/>
      <c r="ORL8"/>
      <c r="ORM8"/>
      <c r="ORN8"/>
      <c r="ORO8"/>
      <c r="ORP8"/>
      <c r="ORQ8"/>
      <c r="ORR8"/>
      <c r="ORS8"/>
      <c r="ORT8"/>
      <c r="ORU8"/>
      <c r="ORV8"/>
      <c r="ORW8"/>
      <c r="ORX8"/>
      <c r="ORY8"/>
      <c r="ORZ8"/>
      <c r="OSA8"/>
      <c r="OSB8"/>
      <c r="OSC8"/>
      <c r="OSD8"/>
      <c r="OSE8"/>
      <c r="OSF8"/>
      <c r="OSG8"/>
      <c r="OSH8"/>
      <c r="OSI8"/>
      <c r="OSJ8"/>
      <c r="OSK8"/>
      <c r="OSL8"/>
      <c r="OSM8"/>
      <c r="OSN8"/>
      <c r="OSO8"/>
      <c r="OSP8"/>
      <c r="OSQ8"/>
      <c r="OSR8"/>
      <c r="OSS8"/>
      <c r="OST8"/>
      <c r="OSU8"/>
      <c r="OSV8"/>
      <c r="OSW8"/>
      <c r="OSX8"/>
      <c r="OSY8"/>
      <c r="OSZ8"/>
      <c r="OTA8"/>
      <c r="OTB8"/>
      <c r="OTC8"/>
      <c r="OTD8"/>
      <c r="OTE8"/>
      <c r="OTF8"/>
      <c r="OTG8"/>
      <c r="OTH8"/>
      <c r="OTI8"/>
      <c r="OTJ8"/>
      <c r="OTK8"/>
      <c r="OTL8"/>
      <c r="OTM8"/>
      <c r="OTN8"/>
      <c r="OTO8"/>
      <c r="OTP8"/>
      <c r="OTQ8"/>
      <c r="OTR8"/>
      <c r="OTS8"/>
      <c r="OTT8"/>
      <c r="OTU8"/>
      <c r="OTV8"/>
      <c r="OTW8"/>
      <c r="OTX8"/>
      <c r="OTY8"/>
      <c r="OTZ8"/>
      <c r="OUA8"/>
      <c r="OUB8"/>
      <c r="OUC8"/>
      <c r="OUD8"/>
      <c r="OUE8"/>
      <c r="OUF8"/>
      <c r="OUG8"/>
      <c r="OUH8"/>
      <c r="OUI8"/>
      <c r="OUJ8"/>
      <c r="OUK8"/>
      <c r="OUL8"/>
      <c r="OUM8"/>
      <c r="OUN8"/>
      <c r="OUO8"/>
      <c r="OUP8"/>
      <c r="OUQ8"/>
      <c r="OUR8"/>
      <c r="OUS8"/>
      <c r="OUT8"/>
      <c r="OUU8"/>
      <c r="OUV8"/>
      <c r="OUW8"/>
      <c r="OUX8"/>
      <c r="OUY8"/>
      <c r="OUZ8"/>
      <c r="OVA8"/>
      <c r="OVB8"/>
      <c r="OVC8"/>
      <c r="OVD8"/>
      <c r="OVE8"/>
      <c r="OVF8"/>
      <c r="OVG8"/>
      <c r="OVH8"/>
      <c r="OVI8"/>
      <c r="OVJ8"/>
      <c r="OVK8"/>
      <c r="OVL8"/>
      <c r="OVM8"/>
      <c r="OVN8"/>
      <c r="OVO8"/>
      <c r="OVP8"/>
      <c r="OVQ8"/>
      <c r="OVR8"/>
      <c r="OVS8"/>
      <c r="OVT8"/>
      <c r="OVU8"/>
      <c r="OVV8"/>
      <c r="OVW8"/>
      <c r="OVX8"/>
      <c r="OVY8"/>
      <c r="OVZ8"/>
      <c r="OWA8"/>
      <c r="OWB8"/>
      <c r="OWC8"/>
      <c r="OWD8"/>
      <c r="OWE8"/>
      <c r="OWF8"/>
      <c r="OWG8"/>
      <c r="OWH8"/>
      <c r="OWI8"/>
      <c r="OWJ8"/>
      <c r="OWK8"/>
      <c r="OWL8"/>
      <c r="OWM8"/>
      <c r="OWN8"/>
      <c r="OWO8"/>
      <c r="OWP8"/>
      <c r="OWQ8"/>
      <c r="OWR8"/>
      <c r="OWS8"/>
      <c r="OWT8"/>
      <c r="OWU8"/>
      <c r="OWV8"/>
      <c r="OWW8"/>
      <c r="OWX8"/>
      <c r="OWY8"/>
      <c r="OWZ8"/>
      <c r="OXA8"/>
      <c r="OXB8"/>
      <c r="OXC8"/>
      <c r="OXD8"/>
      <c r="OXE8"/>
      <c r="OXF8"/>
      <c r="OXG8"/>
      <c r="OXH8"/>
      <c r="OXI8"/>
      <c r="OXJ8"/>
      <c r="OXK8"/>
      <c r="OXL8"/>
      <c r="OXM8"/>
      <c r="OXN8"/>
      <c r="OXO8"/>
      <c r="OXP8"/>
      <c r="OXQ8"/>
      <c r="OXR8"/>
      <c r="OXS8"/>
      <c r="OXT8"/>
      <c r="OXU8"/>
      <c r="OXV8"/>
      <c r="OXW8"/>
      <c r="OXX8"/>
      <c r="OXY8"/>
      <c r="OXZ8"/>
      <c r="OYA8"/>
      <c r="OYB8"/>
      <c r="OYC8"/>
      <c r="OYD8"/>
      <c r="OYE8"/>
      <c r="OYF8"/>
      <c r="OYG8"/>
      <c r="OYH8"/>
      <c r="OYI8"/>
      <c r="OYJ8"/>
      <c r="OYK8"/>
      <c r="OYL8"/>
      <c r="OYM8"/>
      <c r="OYN8"/>
      <c r="OYO8"/>
      <c r="OYP8"/>
      <c r="OYQ8"/>
      <c r="OYR8"/>
      <c r="OYS8"/>
      <c r="OYT8"/>
      <c r="OYU8"/>
      <c r="OYV8"/>
      <c r="OYW8"/>
      <c r="OYX8"/>
      <c r="OYY8"/>
      <c r="OYZ8"/>
      <c r="OZA8"/>
      <c r="OZB8"/>
      <c r="OZC8"/>
      <c r="OZD8"/>
      <c r="OZE8"/>
      <c r="OZF8"/>
      <c r="OZG8"/>
      <c r="OZH8"/>
      <c r="OZI8"/>
      <c r="OZJ8"/>
      <c r="OZK8"/>
      <c r="OZL8"/>
      <c r="OZM8"/>
      <c r="OZN8"/>
      <c r="OZO8"/>
      <c r="OZP8"/>
      <c r="OZQ8"/>
      <c r="OZR8"/>
      <c r="OZS8"/>
      <c r="OZT8"/>
      <c r="OZU8"/>
      <c r="OZV8"/>
      <c r="OZW8"/>
      <c r="OZX8"/>
      <c r="OZY8"/>
      <c r="OZZ8"/>
      <c r="PAA8"/>
      <c r="PAB8"/>
      <c r="PAC8"/>
      <c r="PAD8"/>
      <c r="PAE8"/>
      <c r="PAF8"/>
      <c r="PAG8"/>
      <c r="PAH8"/>
      <c r="PAI8"/>
      <c r="PAJ8"/>
      <c r="PAK8"/>
      <c r="PAL8"/>
      <c r="PAM8"/>
      <c r="PAN8"/>
      <c r="PAO8"/>
      <c r="PAP8"/>
      <c r="PAQ8"/>
      <c r="PAR8"/>
      <c r="PAS8"/>
      <c r="PAT8"/>
      <c r="PAU8"/>
      <c r="PAV8"/>
      <c r="PAW8"/>
      <c r="PAX8"/>
      <c r="PAY8"/>
      <c r="PAZ8"/>
      <c r="PBA8"/>
      <c r="PBB8"/>
      <c r="PBC8"/>
      <c r="PBD8"/>
      <c r="PBE8"/>
      <c r="PBF8"/>
      <c r="PBG8"/>
      <c r="PBH8"/>
      <c r="PBI8"/>
      <c r="PBJ8"/>
      <c r="PBK8"/>
      <c r="PBL8"/>
      <c r="PBM8"/>
      <c r="PBN8"/>
      <c r="PBO8"/>
      <c r="PBP8"/>
      <c r="PBQ8"/>
      <c r="PBR8"/>
      <c r="PBS8"/>
      <c r="PBT8"/>
      <c r="PBU8"/>
      <c r="PBV8"/>
      <c r="PBW8"/>
      <c r="PBX8"/>
      <c r="PBY8"/>
      <c r="PBZ8"/>
      <c r="PCA8"/>
      <c r="PCB8"/>
      <c r="PCC8"/>
      <c r="PCD8"/>
      <c r="PCE8"/>
      <c r="PCF8"/>
      <c r="PCG8"/>
      <c r="PCH8"/>
      <c r="PCI8"/>
      <c r="PCJ8"/>
      <c r="PCK8"/>
      <c r="PCL8"/>
      <c r="PCM8"/>
      <c r="PCN8"/>
      <c r="PCO8"/>
      <c r="PCP8"/>
      <c r="PCQ8"/>
      <c r="PCR8"/>
      <c r="PCS8"/>
      <c r="PCT8"/>
      <c r="PCU8"/>
      <c r="PCV8"/>
      <c r="PCW8"/>
      <c r="PCX8"/>
      <c r="PCY8"/>
      <c r="PCZ8"/>
      <c r="PDA8"/>
      <c r="PDB8"/>
      <c r="PDC8"/>
      <c r="PDD8"/>
      <c r="PDE8"/>
      <c r="PDF8"/>
      <c r="PDG8"/>
      <c r="PDH8"/>
      <c r="PDI8"/>
      <c r="PDJ8"/>
      <c r="PDK8"/>
      <c r="PDL8"/>
      <c r="PDM8"/>
      <c r="PDN8"/>
      <c r="PDO8"/>
      <c r="PDP8"/>
      <c r="PDQ8"/>
      <c r="PDR8"/>
      <c r="PDS8"/>
      <c r="PDT8"/>
      <c r="PDU8"/>
      <c r="PDV8"/>
      <c r="PDW8"/>
      <c r="PDX8"/>
      <c r="PDY8"/>
      <c r="PDZ8"/>
      <c r="PEA8"/>
      <c r="PEB8"/>
      <c r="PEC8"/>
      <c r="PED8"/>
      <c r="PEE8"/>
      <c r="PEF8"/>
      <c r="PEG8"/>
      <c r="PEH8"/>
      <c r="PEI8"/>
      <c r="PEJ8"/>
      <c r="PEK8"/>
      <c r="PEL8"/>
      <c r="PEM8"/>
      <c r="PEN8"/>
      <c r="PEO8"/>
      <c r="PEP8"/>
      <c r="PEQ8"/>
      <c r="PER8"/>
      <c r="PES8"/>
      <c r="PET8"/>
      <c r="PEU8"/>
      <c r="PEV8"/>
      <c r="PEW8"/>
      <c r="PEX8"/>
      <c r="PEY8"/>
      <c r="PEZ8"/>
      <c r="PFA8"/>
      <c r="PFB8"/>
      <c r="PFC8"/>
      <c r="PFD8"/>
      <c r="PFE8"/>
      <c r="PFF8"/>
      <c r="PFG8"/>
      <c r="PFH8"/>
      <c r="PFI8"/>
      <c r="PFJ8"/>
      <c r="PFK8"/>
      <c r="PFL8"/>
      <c r="PFM8"/>
      <c r="PFN8"/>
      <c r="PFO8"/>
      <c r="PFP8"/>
      <c r="PFQ8"/>
      <c r="PFR8"/>
      <c r="PFS8"/>
      <c r="PFT8"/>
      <c r="PFU8"/>
      <c r="PFV8"/>
      <c r="PFW8"/>
      <c r="PFX8"/>
      <c r="PFY8"/>
      <c r="PFZ8"/>
      <c r="PGA8"/>
      <c r="PGB8"/>
      <c r="PGC8"/>
      <c r="PGD8"/>
      <c r="PGE8"/>
      <c r="PGF8"/>
      <c r="PGG8"/>
      <c r="PGH8"/>
      <c r="PGI8"/>
      <c r="PGJ8"/>
      <c r="PGK8"/>
      <c r="PGL8"/>
      <c r="PGM8"/>
      <c r="PGN8"/>
      <c r="PGO8"/>
      <c r="PGP8"/>
      <c r="PGQ8"/>
      <c r="PGR8"/>
      <c r="PGS8"/>
      <c r="PGT8"/>
      <c r="PGU8"/>
      <c r="PGV8"/>
      <c r="PGW8"/>
      <c r="PGX8"/>
      <c r="PGY8"/>
      <c r="PGZ8"/>
      <c r="PHA8"/>
      <c r="PHB8"/>
      <c r="PHC8"/>
      <c r="PHD8"/>
      <c r="PHE8"/>
      <c r="PHF8"/>
      <c r="PHG8"/>
      <c r="PHH8"/>
      <c r="PHI8"/>
      <c r="PHJ8"/>
      <c r="PHK8"/>
      <c r="PHL8"/>
      <c r="PHM8"/>
      <c r="PHN8"/>
      <c r="PHO8"/>
      <c r="PHP8"/>
      <c r="PHQ8"/>
      <c r="PHR8"/>
      <c r="PHS8"/>
      <c r="PHT8"/>
      <c r="PHU8"/>
      <c r="PHV8"/>
      <c r="PHW8"/>
      <c r="PHX8"/>
      <c r="PHY8"/>
      <c r="PHZ8"/>
      <c r="PIA8"/>
      <c r="PIB8"/>
      <c r="PIC8"/>
      <c r="PID8"/>
      <c r="PIE8"/>
      <c r="PIF8"/>
      <c r="PIG8"/>
      <c r="PIH8"/>
      <c r="PII8"/>
      <c r="PIJ8"/>
      <c r="PIK8"/>
      <c r="PIL8"/>
      <c r="PIM8"/>
      <c r="PIN8"/>
      <c r="PIO8"/>
      <c r="PIP8"/>
      <c r="PIQ8"/>
      <c r="PIR8"/>
      <c r="PIS8"/>
      <c r="PIT8"/>
      <c r="PIU8"/>
      <c r="PIV8"/>
      <c r="PIW8"/>
      <c r="PIX8"/>
      <c r="PIY8"/>
      <c r="PIZ8"/>
      <c r="PJA8"/>
      <c r="PJB8"/>
      <c r="PJC8"/>
      <c r="PJD8"/>
      <c r="PJE8"/>
      <c r="PJF8"/>
      <c r="PJG8"/>
      <c r="PJH8"/>
      <c r="PJI8"/>
      <c r="PJJ8"/>
      <c r="PJK8"/>
      <c r="PJL8"/>
      <c r="PJM8"/>
      <c r="PJN8"/>
      <c r="PJO8"/>
      <c r="PJP8"/>
      <c r="PJQ8"/>
      <c r="PJR8"/>
      <c r="PJS8"/>
      <c r="PJT8"/>
      <c r="PJU8"/>
      <c r="PJV8"/>
      <c r="PJW8"/>
      <c r="PJX8"/>
      <c r="PJY8"/>
      <c r="PJZ8"/>
      <c r="PKA8"/>
      <c r="PKB8"/>
      <c r="PKC8"/>
      <c r="PKD8"/>
      <c r="PKE8"/>
      <c r="PKF8"/>
      <c r="PKG8"/>
      <c r="PKH8"/>
      <c r="PKI8"/>
      <c r="PKJ8"/>
      <c r="PKK8"/>
      <c r="PKL8"/>
      <c r="PKM8"/>
      <c r="PKN8"/>
      <c r="PKO8"/>
      <c r="PKP8"/>
      <c r="PKQ8"/>
      <c r="PKR8"/>
      <c r="PKS8"/>
      <c r="PKT8"/>
      <c r="PKU8"/>
      <c r="PKV8"/>
      <c r="PKW8"/>
      <c r="PKX8"/>
      <c r="PKY8"/>
      <c r="PKZ8"/>
      <c r="PLA8"/>
      <c r="PLB8"/>
      <c r="PLC8"/>
      <c r="PLD8"/>
      <c r="PLE8"/>
      <c r="PLF8"/>
      <c r="PLG8"/>
      <c r="PLH8"/>
      <c r="PLI8"/>
      <c r="PLJ8"/>
      <c r="PLK8"/>
      <c r="PLL8"/>
      <c r="PLM8"/>
      <c r="PLN8"/>
      <c r="PLO8"/>
      <c r="PLP8"/>
      <c r="PLQ8"/>
      <c r="PLR8"/>
      <c r="PLS8"/>
      <c r="PLT8"/>
      <c r="PLU8"/>
      <c r="PLV8"/>
      <c r="PLW8"/>
      <c r="PLX8"/>
      <c r="PLY8"/>
      <c r="PLZ8"/>
      <c r="PMA8"/>
      <c r="PMB8"/>
      <c r="PMC8"/>
      <c r="PMD8"/>
      <c r="PME8"/>
      <c r="PMF8"/>
      <c r="PMG8"/>
      <c r="PMH8"/>
      <c r="PMI8"/>
      <c r="PMJ8"/>
      <c r="PMK8"/>
      <c r="PML8"/>
      <c r="PMM8"/>
      <c r="PMN8"/>
      <c r="PMO8"/>
      <c r="PMP8"/>
      <c r="PMQ8"/>
      <c r="PMR8"/>
      <c r="PMS8"/>
      <c r="PMT8"/>
      <c r="PMU8"/>
      <c r="PMV8"/>
      <c r="PMW8"/>
      <c r="PMX8"/>
      <c r="PMY8"/>
      <c r="PMZ8"/>
      <c r="PNA8"/>
      <c r="PNB8"/>
      <c r="PNC8"/>
      <c r="PND8"/>
      <c r="PNE8"/>
      <c r="PNF8"/>
      <c r="PNG8"/>
      <c r="PNH8"/>
      <c r="PNI8"/>
      <c r="PNJ8"/>
      <c r="PNK8"/>
      <c r="PNL8"/>
      <c r="PNM8"/>
      <c r="PNN8"/>
      <c r="PNO8"/>
      <c r="PNP8"/>
      <c r="PNQ8"/>
      <c r="PNR8"/>
      <c r="PNS8"/>
      <c r="PNT8"/>
      <c r="PNU8"/>
      <c r="PNV8"/>
      <c r="PNW8"/>
      <c r="PNX8"/>
      <c r="PNY8"/>
      <c r="PNZ8"/>
      <c r="POA8"/>
      <c r="POB8"/>
      <c r="POC8"/>
      <c r="POD8"/>
      <c r="POE8"/>
      <c r="POF8"/>
      <c r="POG8"/>
      <c r="POH8"/>
      <c r="POI8"/>
      <c r="POJ8"/>
      <c r="POK8"/>
      <c r="POL8"/>
      <c r="POM8"/>
      <c r="PON8"/>
      <c r="POO8"/>
      <c r="POP8"/>
      <c r="POQ8"/>
      <c r="POR8"/>
      <c r="POS8"/>
      <c r="POT8"/>
      <c r="POU8"/>
      <c r="POV8"/>
      <c r="POW8"/>
      <c r="POX8"/>
      <c r="POY8"/>
      <c r="POZ8"/>
      <c r="PPA8"/>
      <c r="PPB8"/>
      <c r="PPC8"/>
      <c r="PPD8"/>
      <c r="PPE8"/>
      <c r="PPF8"/>
      <c r="PPG8"/>
      <c r="PPH8"/>
      <c r="PPI8"/>
      <c r="PPJ8"/>
      <c r="PPK8"/>
      <c r="PPL8"/>
      <c r="PPM8"/>
      <c r="PPN8"/>
      <c r="PPO8"/>
      <c r="PPP8"/>
      <c r="PPQ8"/>
      <c r="PPR8"/>
      <c r="PPS8"/>
      <c r="PPT8"/>
      <c r="PPU8"/>
      <c r="PPV8"/>
      <c r="PPW8"/>
      <c r="PPX8"/>
      <c r="PPY8"/>
      <c r="PPZ8"/>
      <c r="PQA8"/>
      <c r="PQB8"/>
      <c r="PQC8"/>
      <c r="PQD8"/>
      <c r="PQE8"/>
      <c r="PQF8"/>
      <c r="PQG8"/>
      <c r="PQH8"/>
      <c r="PQI8"/>
      <c r="PQJ8"/>
      <c r="PQK8"/>
      <c r="PQL8"/>
      <c r="PQM8"/>
      <c r="PQN8"/>
      <c r="PQO8"/>
      <c r="PQP8"/>
      <c r="PQQ8"/>
      <c r="PQR8"/>
      <c r="PQS8"/>
      <c r="PQT8"/>
      <c r="PQU8"/>
      <c r="PQV8"/>
      <c r="PQW8"/>
      <c r="PQX8"/>
      <c r="PQY8"/>
      <c r="PQZ8"/>
      <c r="PRA8"/>
      <c r="PRB8"/>
      <c r="PRC8"/>
      <c r="PRD8"/>
      <c r="PRE8"/>
      <c r="PRF8"/>
      <c r="PRG8"/>
      <c r="PRH8"/>
      <c r="PRI8"/>
      <c r="PRJ8"/>
      <c r="PRK8"/>
      <c r="PRL8"/>
      <c r="PRM8"/>
      <c r="PRN8"/>
      <c r="PRO8"/>
      <c r="PRP8"/>
      <c r="PRQ8"/>
      <c r="PRR8"/>
      <c r="PRS8"/>
      <c r="PRT8"/>
      <c r="PRU8"/>
      <c r="PRV8"/>
      <c r="PRW8"/>
      <c r="PRX8"/>
      <c r="PRY8"/>
      <c r="PRZ8"/>
      <c r="PSA8"/>
      <c r="PSB8"/>
      <c r="PSC8"/>
      <c r="PSD8"/>
      <c r="PSE8"/>
      <c r="PSF8"/>
      <c r="PSG8"/>
      <c r="PSH8"/>
      <c r="PSI8"/>
      <c r="PSJ8"/>
      <c r="PSK8"/>
      <c r="PSL8"/>
      <c r="PSM8"/>
      <c r="PSN8"/>
      <c r="PSO8"/>
      <c r="PSP8"/>
      <c r="PSQ8"/>
      <c r="PSR8"/>
      <c r="PSS8"/>
      <c r="PST8"/>
      <c r="PSU8"/>
      <c r="PSV8"/>
      <c r="PSW8"/>
      <c r="PSX8"/>
      <c r="PSY8"/>
      <c r="PSZ8"/>
      <c r="PTA8"/>
      <c r="PTB8"/>
      <c r="PTC8"/>
      <c r="PTD8"/>
      <c r="PTE8"/>
      <c r="PTF8"/>
      <c r="PTG8"/>
      <c r="PTH8"/>
      <c r="PTI8"/>
      <c r="PTJ8"/>
      <c r="PTK8"/>
      <c r="PTL8"/>
      <c r="PTM8"/>
      <c r="PTN8"/>
      <c r="PTO8"/>
      <c r="PTP8"/>
      <c r="PTQ8"/>
      <c r="PTR8"/>
      <c r="PTS8"/>
      <c r="PTT8"/>
      <c r="PTU8"/>
      <c r="PTV8"/>
      <c r="PTW8"/>
      <c r="PTX8"/>
      <c r="PTY8"/>
      <c r="PTZ8"/>
      <c r="PUA8"/>
      <c r="PUB8"/>
      <c r="PUC8"/>
      <c r="PUD8"/>
      <c r="PUE8"/>
      <c r="PUF8"/>
      <c r="PUG8"/>
      <c r="PUH8"/>
      <c r="PUI8"/>
      <c r="PUJ8"/>
      <c r="PUK8"/>
      <c r="PUL8"/>
      <c r="PUM8"/>
      <c r="PUN8"/>
      <c r="PUO8"/>
      <c r="PUP8"/>
      <c r="PUQ8"/>
      <c r="PUR8"/>
      <c r="PUS8"/>
      <c r="PUT8"/>
      <c r="PUU8"/>
      <c r="PUV8"/>
      <c r="PUW8"/>
      <c r="PUX8"/>
      <c r="PUY8"/>
      <c r="PUZ8"/>
      <c r="PVA8"/>
      <c r="PVB8"/>
      <c r="PVC8"/>
      <c r="PVD8"/>
      <c r="PVE8"/>
      <c r="PVF8"/>
      <c r="PVG8"/>
      <c r="PVH8"/>
      <c r="PVI8"/>
      <c r="PVJ8"/>
      <c r="PVK8"/>
      <c r="PVL8"/>
      <c r="PVM8"/>
      <c r="PVN8"/>
      <c r="PVO8"/>
      <c r="PVP8"/>
      <c r="PVQ8"/>
      <c r="PVR8"/>
      <c r="PVS8"/>
      <c r="PVT8"/>
      <c r="PVU8"/>
      <c r="PVV8"/>
      <c r="PVW8"/>
      <c r="PVX8"/>
      <c r="PVY8"/>
      <c r="PVZ8"/>
      <c r="PWA8"/>
      <c r="PWB8"/>
      <c r="PWC8"/>
      <c r="PWD8"/>
      <c r="PWE8"/>
      <c r="PWF8"/>
      <c r="PWG8"/>
      <c r="PWH8"/>
      <c r="PWI8"/>
      <c r="PWJ8"/>
      <c r="PWK8"/>
      <c r="PWL8"/>
      <c r="PWM8"/>
      <c r="PWN8"/>
      <c r="PWO8"/>
      <c r="PWP8"/>
      <c r="PWQ8"/>
      <c r="PWR8"/>
      <c r="PWS8"/>
      <c r="PWT8"/>
      <c r="PWU8"/>
      <c r="PWV8"/>
      <c r="PWW8"/>
      <c r="PWX8"/>
      <c r="PWY8"/>
      <c r="PWZ8"/>
      <c r="PXA8"/>
      <c r="PXB8"/>
      <c r="PXC8"/>
      <c r="PXD8"/>
      <c r="PXE8"/>
      <c r="PXF8"/>
      <c r="PXG8"/>
      <c r="PXH8"/>
      <c r="PXI8"/>
      <c r="PXJ8"/>
      <c r="PXK8"/>
      <c r="PXL8"/>
      <c r="PXM8"/>
      <c r="PXN8"/>
      <c r="PXO8"/>
      <c r="PXP8"/>
      <c r="PXQ8"/>
      <c r="PXR8"/>
      <c r="PXS8"/>
      <c r="PXT8"/>
      <c r="PXU8"/>
      <c r="PXV8"/>
      <c r="PXW8"/>
      <c r="PXX8"/>
      <c r="PXY8"/>
      <c r="PXZ8"/>
      <c r="PYA8"/>
      <c r="PYB8"/>
      <c r="PYC8"/>
      <c r="PYD8"/>
      <c r="PYE8"/>
      <c r="PYF8"/>
      <c r="PYG8"/>
      <c r="PYH8"/>
      <c r="PYI8"/>
      <c r="PYJ8"/>
      <c r="PYK8"/>
      <c r="PYL8"/>
      <c r="PYM8"/>
      <c r="PYN8"/>
      <c r="PYO8"/>
      <c r="PYP8"/>
      <c r="PYQ8"/>
      <c r="PYR8"/>
      <c r="PYS8"/>
      <c r="PYT8"/>
      <c r="PYU8"/>
      <c r="PYV8"/>
      <c r="PYW8"/>
      <c r="PYX8"/>
      <c r="PYY8"/>
      <c r="PYZ8"/>
      <c r="PZA8"/>
      <c r="PZB8"/>
      <c r="PZC8"/>
      <c r="PZD8"/>
      <c r="PZE8"/>
      <c r="PZF8"/>
      <c r="PZG8"/>
      <c r="PZH8"/>
      <c r="PZI8"/>
      <c r="PZJ8"/>
      <c r="PZK8"/>
      <c r="PZL8"/>
      <c r="PZM8"/>
      <c r="PZN8"/>
      <c r="PZO8"/>
      <c r="PZP8"/>
      <c r="PZQ8"/>
      <c r="PZR8"/>
      <c r="PZS8"/>
      <c r="PZT8"/>
      <c r="PZU8"/>
      <c r="PZV8"/>
      <c r="PZW8"/>
      <c r="PZX8"/>
      <c r="PZY8"/>
      <c r="PZZ8"/>
      <c r="QAA8"/>
      <c r="QAB8"/>
      <c r="QAC8"/>
      <c r="QAD8"/>
      <c r="QAE8"/>
      <c r="QAF8"/>
      <c r="QAG8"/>
      <c r="QAH8"/>
      <c r="QAI8"/>
      <c r="QAJ8"/>
      <c r="QAK8"/>
      <c r="QAL8"/>
      <c r="QAM8"/>
      <c r="QAN8"/>
      <c r="QAO8"/>
      <c r="QAP8"/>
      <c r="QAQ8"/>
      <c r="QAR8"/>
      <c r="QAS8"/>
      <c r="QAT8"/>
      <c r="QAU8"/>
      <c r="QAV8"/>
      <c r="QAW8"/>
      <c r="QAX8"/>
      <c r="QAY8"/>
      <c r="QAZ8"/>
      <c r="QBA8"/>
      <c r="QBB8"/>
      <c r="QBC8"/>
      <c r="QBD8"/>
      <c r="QBE8"/>
      <c r="QBF8"/>
      <c r="QBG8"/>
      <c r="QBH8"/>
      <c r="QBI8"/>
      <c r="QBJ8"/>
      <c r="QBK8"/>
      <c r="QBL8"/>
      <c r="QBM8"/>
      <c r="QBN8"/>
      <c r="QBO8"/>
      <c r="QBP8"/>
      <c r="QBQ8"/>
      <c r="QBR8"/>
      <c r="QBS8"/>
      <c r="QBT8"/>
      <c r="QBU8"/>
      <c r="QBV8"/>
      <c r="QBW8"/>
      <c r="QBX8"/>
      <c r="QBY8"/>
      <c r="QBZ8"/>
      <c r="QCA8"/>
      <c r="QCB8"/>
      <c r="QCC8"/>
      <c r="QCD8"/>
      <c r="QCE8"/>
      <c r="QCF8"/>
      <c r="QCG8"/>
      <c r="QCH8"/>
      <c r="QCI8"/>
      <c r="QCJ8"/>
      <c r="QCK8"/>
      <c r="QCL8"/>
      <c r="QCM8"/>
      <c r="QCN8"/>
      <c r="QCO8"/>
      <c r="QCP8"/>
      <c r="QCQ8"/>
      <c r="QCR8"/>
      <c r="QCS8"/>
      <c r="QCT8"/>
      <c r="QCU8"/>
      <c r="QCV8"/>
      <c r="QCW8"/>
      <c r="QCX8"/>
      <c r="QCY8"/>
      <c r="QCZ8"/>
      <c r="QDA8"/>
      <c r="QDB8"/>
      <c r="QDC8"/>
      <c r="QDD8"/>
      <c r="QDE8"/>
      <c r="QDF8"/>
      <c r="QDG8"/>
      <c r="QDH8"/>
      <c r="QDI8"/>
      <c r="QDJ8"/>
      <c r="QDK8"/>
      <c r="QDL8"/>
      <c r="QDM8"/>
      <c r="QDN8"/>
      <c r="QDO8"/>
      <c r="QDP8"/>
      <c r="QDQ8"/>
      <c r="QDR8"/>
      <c r="QDS8"/>
      <c r="QDT8"/>
      <c r="QDU8"/>
      <c r="QDV8"/>
      <c r="QDW8"/>
      <c r="QDX8"/>
      <c r="QDY8"/>
      <c r="QDZ8"/>
      <c r="QEA8"/>
      <c r="QEB8"/>
      <c r="QEC8"/>
      <c r="QED8"/>
      <c r="QEE8"/>
      <c r="QEF8"/>
      <c r="QEG8"/>
      <c r="QEH8"/>
      <c r="QEI8"/>
      <c r="QEJ8"/>
      <c r="QEK8"/>
      <c r="QEL8"/>
      <c r="QEM8"/>
      <c r="QEN8"/>
      <c r="QEO8"/>
      <c r="QEP8"/>
      <c r="QEQ8"/>
      <c r="QER8"/>
      <c r="QES8"/>
      <c r="QET8"/>
      <c r="QEU8"/>
      <c r="QEV8"/>
      <c r="QEW8"/>
      <c r="QEX8"/>
      <c r="QEY8"/>
      <c r="QEZ8"/>
      <c r="QFA8"/>
      <c r="QFB8"/>
      <c r="QFC8"/>
      <c r="QFD8"/>
      <c r="QFE8"/>
      <c r="QFF8"/>
      <c r="QFG8"/>
      <c r="QFH8"/>
      <c r="QFI8"/>
      <c r="QFJ8"/>
      <c r="QFK8"/>
      <c r="QFL8"/>
      <c r="QFM8"/>
      <c r="QFN8"/>
      <c r="QFO8"/>
      <c r="QFP8"/>
      <c r="QFQ8"/>
      <c r="QFR8"/>
      <c r="QFS8"/>
      <c r="QFT8"/>
      <c r="QFU8"/>
      <c r="QFV8"/>
      <c r="QFW8"/>
      <c r="QFX8"/>
      <c r="QFY8"/>
      <c r="QFZ8"/>
      <c r="QGA8"/>
      <c r="QGB8"/>
      <c r="QGC8"/>
      <c r="QGD8"/>
      <c r="QGE8"/>
      <c r="QGF8"/>
      <c r="QGG8"/>
      <c r="QGH8"/>
      <c r="QGI8"/>
      <c r="QGJ8"/>
      <c r="QGK8"/>
      <c r="QGL8"/>
      <c r="QGM8"/>
      <c r="QGN8"/>
      <c r="QGO8"/>
      <c r="QGP8"/>
      <c r="QGQ8"/>
      <c r="QGR8"/>
      <c r="QGS8"/>
      <c r="QGT8"/>
      <c r="QGU8"/>
      <c r="QGV8"/>
      <c r="QGW8"/>
      <c r="QGX8"/>
      <c r="QGY8"/>
      <c r="QGZ8"/>
      <c r="QHA8"/>
      <c r="QHB8"/>
      <c r="QHC8"/>
      <c r="QHD8"/>
      <c r="QHE8"/>
      <c r="QHF8"/>
      <c r="QHG8"/>
      <c r="QHH8"/>
      <c r="QHI8"/>
      <c r="QHJ8"/>
      <c r="QHK8"/>
      <c r="QHL8"/>
      <c r="QHM8"/>
      <c r="QHN8"/>
      <c r="QHO8"/>
      <c r="QHP8"/>
      <c r="QHQ8"/>
      <c r="QHR8"/>
      <c r="QHS8"/>
      <c r="QHT8"/>
      <c r="QHU8"/>
      <c r="QHV8"/>
      <c r="QHW8"/>
      <c r="QHX8"/>
      <c r="QHY8"/>
      <c r="QHZ8"/>
      <c r="QIA8"/>
      <c r="QIB8"/>
      <c r="QIC8"/>
      <c r="QID8"/>
      <c r="QIE8"/>
      <c r="QIF8"/>
      <c r="QIG8"/>
      <c r="QIH8"/>
      <c r="QII8"/>
      <c r="QIJ8"/>
      <c r="QIK8"/>
      <c r="QIL8"/>
      <c r="QIM8"/>
      <c r="QIN8"/>
      <c r="QIO8"/>
      <c r="QIP8"/>
      <c r="QIQ8"/>
      <c r="QIR8"/>
      <c r="QIS8"/>
      <c r="QIT8"/>
      <c r="QIU8"/>
      <c r="QIV8"/>
      <c r="QIW8"/>
      <c r="QIX8"/>
      <c r="QIY8"/>
      <c r="QIZ8"/>
      <c r="QJA8"/>
      <c r="QJB8"/>
      <c r="QJC8"/>
      <c r="QJD8"/>
      <c r="QJE8"/>
      <c r="QJF8"/>
      <c r="QJG8"/>
      <c r="QJH8"/>
      <c r="QJI8"/>
      <c r="QJJ8"/>
      <c r="QJK8"/>
      <c r="QJL8"/>
      <c r="QJM8"/>
      <c r="QJN8"/>
      <c r="QJO8"/>
      <c r="QJP8"/>
      <c r="QJQ8"/>
      <c r="QJR8"/>
      <c r="QJS8"/>
      <c r="QJT8"/>
      <c r="QJU8"/>
      <c r="QJV8"/>
      <c r="QJW8"/>
      <c r="QJX8"/>
      <c r="QJY8"/>
      <c r="QJZ8"/>
      <c r="QKA8"/>
      <c r="QKB8"/>
      <c r="QKC8"/>
      <c r="QKD8"/>
      <c r="QKE8"/>
      <c r="QKF8"/>
      <c r="QKG8"/>
      <c r="QKH8"/>
      <c r="QKI8"/>
      <c r="QKJ8"/>
      <c r="QKK8"/>
      <c r="QKL8"/>
      <c r="QKM8"/>
      <c r="QKN8"/>
      <c r="QKO8"/>
      <c r="QKP8"/>
      <c r="QKQ8"/>
      <c r="QKR8"/>
      <c r="QKS8"/>
      <c r="QKT8"/>
      <c r="QKU8"/>
      <c r="QKV8"/>
      <c r="QKW8"/>
      <c r="QKX8"/>
      <c r="QKY8"/>
      <c r="QKZ8"/>
      <c r="QLA8"/>
      <c r="QLB8"/>
      <c r="QLC8"/>
      <c r="QLD8"/>
      <c r="QLE8"/>
      <c r="QLF8"/>
      <c r="QLG8"/>
      <c r="QLH8"/>
      <c r="QLI8"/>
      <c r="QLJ8"/>
      <c r="QLK8"/>
      <c r="QLL8"/>
      <c r="QLM8"/>
      <c r="QLN8"/>
      <c r="QLO8"/>
      <c r="QLP8"/>
      <c r="QLQ8"/>
      <c r="QLR8"/>
      <c r="QLS8"/>
      <c r="QLT8"/>
      <c r="QLU8"/>
      <c r="QLV8"/>
      <c r="QLW8"/>
      <c r="QLX8"/>
      <c r="QLY8"/>
      <c r="QLZ8"/>
      <c r="QMA8"/>
      <c r="QMB8"/>
      <c r="QMC8"/>
      <c r="QMD8"/>
      <c r="QME8"/>
      <c r="QMF8"/>
      <c r="QMG8"/>
      <c r="QMH8"/>
      <c r="QMI8"/>
      <c r="QMJ8"/>
      <c r="QMK8"/>
      <c r="QML8"/>
      <c r="QMM8"/>
      <c r="QMN8"/>
      <c r="QMO8"/>
      <c r="QMP8"/>
      <c r="QMQ8"/>
      <c r="QMR8"/>
      <c r="QMS8"/>
      <c r="QMT8"/>
      <c r="QMU8"/>
      <c r="QMV8"/>
      <c r="QMW8"/>
      <c r="QMX8"/>
      <c r="QMY8"/>
      <c r="QMZ8"/>
      <c r="QNA8"/>
      <c r="QNB8"/>
      <c r="QNC8"/>
      <c r="QND8"/>
      <c r="QNE8"/>
      <c r="QNF8"/>
      <c r="QNG8"/>
      <c r="QNH8"/>
      <c r="QNI8"/>
      <c r="QNJ8"/>
      <c r="QNK8"/>
      <c r="QNL8"/>
      <c r="QNM8"/>
      <c r="QNN8"/>
      <c r="QNO8"/>
      <c r="QNP8"/>
      <c r="QNQ8"/>
      <c r="QNR8"/>
      <c r="QNS8"/>
      <c r="QNT8"/>
      <c r="QNU8"/>
      <c r="QNV8"/>
      <c r="QNW8"/>
      <c r="QNX8"/>
      <c r="QNY8"/>
      <c r="QNZ8"/>
      <c r="QOA8"/>
      <c r="QOB8"/>
      <c r="QOC8"/>
      <c r="QOD8"/>
      <c r="QOE8"/>
      <c r="QOF8"/>
      <c r="QOG8"/>
      <c r="QOH8"/>
      <c r="QOI8"/>
      <c r="QOJ8"/>
      <c r="QOK8"/>
      <c r="QOL8"/>
      <c r="QOM8"/>
      <c r="QON8"/>
      <c r="QOO8"/>
      <c r="QOP8"/>
      <c r="QOQ8"/>
      <c r="QOR8"/>
      <c r="QOS8"/>
      <c r="QOT8"/>
      <c r="QOU8"/>
      <c r="QOV8"/>
      <c r="QOW8"/>
      <c r="QOX8"/>
      <c r="QOY8"/>
      <c r="QOZ8"/>
      <c r="QPA8"/>
      <c r="QPB8"/>
      <c r="QPC8"/>
      <c r="QPD8"/>
      <c r="QPE8"/>
      <c r="QPF8"/>
      <c r="QPG8"/>
      <c r="QPH8"/>
      <c r="QPI8"/>
      <c r="QPJ8"/>
      <c r="QPK8"/>
      <c r="QPL8"/>
      <c r="QPM8"/>
      <c r="QPN8"/>
      <c r="QPO8"/>
      <c r="QPP8"/>
      <c r="QPQ8"/>
      <c r="QPR8"/>
      <c r="QPS8"/>
      <c r="QPT8"/>
      <c r="QPU8"/>
      <c r="QPV8"/>
      <c r="QPW8"/>
      <c r="QPX8"/>
      <c r="QPY8"/>
      <c r="QPZ8"/>
      <c r="QQA8"/>
      <c r="QQB8"/>
      <c r="QQC8"/>
      <c r="QQD8"/>
      <c r="QQE8"/>
      <c r="QQF8"/>
      <c r="QQG8"/>
      <c r="QQH8"/>
      <c r="QQI8"/>
      <c r="QQJ8"/>
      <c r="QQK8"/>
      <c r="QQL8"/>
      <c r="QQM8"/>
      <c r="QQN8"/>
      <c r="QQO8"/>
      <c r="QQP8"/>
      <c r="QQQ8"/>
      <c r="QQR8"/>
      <c r="QQS8"/>
      <c r="QQT8"/>
      <c r="QQU8"/>
      <c r="QQV8"/>
      <c r="QQW8"/>
      <c r="QQX8"/>
      <c r="QQY8"/>
      <c r="QQZ8"/>
      <c r="QRA8"/>
      <c r="QRB8"/>
      <c r="QRC8"/>
      <c r="QRD8"/>
      <c r="QRE8"/>
      <c r="QRF8"/>
      <c r="QRG8"/>
      <c r="QRH8"/>
      <c r="QRI8"/>
      <c r="QRJ8"/>
      <c r="QRK8"/>
      <c r="QRL8"/>
      <c r="QRM8"/>
      <c r="QRN8"/>
      <c r="QRO8"/>
      <c r="QRP8"/>
      <c r="QRQ8"/>
      <c r="QRR8"/>
      <c r="QRS8"/>
      <c r="QRT8"/>
      <c r="QRU8"/>
      <c r="QRV8"/>
      <c r="QRW8"/>
      <c r="QRX8"/>
      <c r="QRY8"/>
      <c r="QRZ8"/>
      <c r="QSA8"/>
      <c r="QSB8"/>
      <c r="QSC8"/>
      <c r="QSD8"/>
      <c r="QSE8"/>
      <c r="QSF8"/>
      <c r="QSG8"/>
      <c r="QSH8"/>
      <c r="QSI8"/>
      <c r="QSJ8"/>
      <c r="QSK8"/>
      <c r="QSL8"/>
      <c r="QSM8"/>
      <c r="QSN8"/>
      <c r="QSO8"/>
      <c r="QSP8"/>
      <c r="QSQ8"/>
      <c r="QSR8"/>
      <c r="QSS8"/>
      <c r="QST8"/>
      <c r="QSU8"/>
      <c r="QSV8"/>
      <c r="QSW8"/>
      <c r="QSX8"/>
      <c r="QSY8"/>
      <c r="QSZ8"/>
      <c r="QTA8"/>
      <c r="QTB8"/>
      <c r="QTC8"/>
      <c r="QTD8"/>
      <c r="QTE8"/>
      <c r="QTF8"/>
      <c r="QTG8"/>
      <c r="QTH8"/>
      <c r="QTI8"/>
      <c r="QTJ8"/>
      <c r="QTK8"/>
      <c r="QTL8"/>
      <c r="QTM8"/>
      <c r="QTN8"/>
      <c r="QTO8"/>
      <c r="QTP8"/>
      <c r="QTQ8"/>
      <c r="QTR8"/>
      <c r="QTS8"/>
      <c r="QTT8"/>
      <c r="QTU8"/>
      <c r="QTV8"/>
      <c r="QTW8"/>
      <c r="QTX8"/>
      <c r="QTY8"/>
      <c r="QTZ8"/>
      <c r="QUA8"/>
      <c r="QUB8"/>
      <c r="QUC8"/>
      <c r="QUD8"/>
      <c r="QUE8"/>
      <c r="QUF8"/>
      <c r="QUG8"/>
      <c r="QUH8"/>
      <c r="QUI8"/>
      <c r="QUJ8"/>
      <c r="QUK8"/>
      <c r="QUL8"/>
      <c r="QUM8"/>
      <c r="QUN8"/>
      <c r="QUO8"/>
      <c r="QUP8"/>
      <c r="QUQ8"/>
      <c r="QUR8"/>
      <c r="QUS8"/>
      <c r="QUT8"/>
      <c r="QUU8"/>
      <c r="QUV8"/>
      <c r="QUW8"/>
      <c r="QUX8"/>
      <c r="QUY8"/>
      <c r="QUZ8"/>
      <c r="QVA8"/>
      <c r="QVB8"/>
      <c r="QVC8"/>
      <c r="QVD8"/>
      <c r="QVE8"/>
      <c r="QVF8"/>
      <c r="QVG8"/>
      <c r="QVH8"/>
      <c r="QVI8"/>
      <c r="QVJ8"/>
      <c r="QVK8"/>
      <c r="QVL8"/>
      <c r="QVM8"/>
      <c r="QVN8"/>
      <c r="QVO8"/>
      <c r="QVP8"/>
      <c r="QVQ8"/>
      <c r="QVR8"/>
      <c r="QVS8"/>
      <c r="QVT8"/>
      <c r="QVU8"/>
      <c r="QVV8"/>
      <c r="QVW8"/>
      <c r="QVX8"/>
      <c r="QVY8"/>
      <c r="QVZ8"/>
      <c r="QWA8"/>
      <c r="QWB8"/>
      <c r="QWC8"/>
      <c r="QWD8"/>
      <c r="QWE8"/>
      <c r="QWF8"/>
      <c r="QWG8"/>
      <c r="QWH8"/>
      <c r="QWI8"/>
      <c r="QWJ8"/>
      <c r="QWK8"/>
      <c r="QWL8"/>
      <c r="QWM8"/>
      <c r="QWN8"/>
      <c r="QWO8"/>
      <c r="QWP8"/>
      <c r="QWQ8"/>
      <c r="QWR8"/>
      <c r="QWS8"/>
      <c r="QWT8"/>
      <c r="QWU8"/>
      <c r="QWV8"/>
      <c r="QWW8"/>
      <c r="QWX8"/>
      <c r="QWY8"/>
      <c r="QWZ8"/>
      <c r="QXA8"/>
      <c r="QXB8"/>
      <c r="QXC8"/>
      <c r="QXD8"/>
      <c r="QXE8"/>
      <c r="QXF8"/>
      <c r="QXG8"/>
      <c r="QXH8"/>
      <c r="QXI8"/>
      <c r="QXJ8"/>
      <c r="QXK8"/>
      <c r="QXL8"/>
      <c r="QXM8"/>
      <c r="QXN8"/>
      <c r="QXO8"/>
      <c r="QXP8"/>
      <c r="QXQ8"/>
      <c r="QXR8"/>
      <c r="QXS8"/>
      <c r="QXT8"/>
      <c r="QXU8"/>
      <c r="QXV8"/>
      <c r="QXW8"/>
      <c r="QXX8"/>
      <c r="QXY8"/>
      <c r="QXZ8"/>
      <c r="QYA8"/>
      <c r="QYB8"/>
      <c r="QYC8"/>
      <c r="QYD8"/>
      <c r="QYE8"/>
      <c r="QYF8"/>
      <c r="QYG8"/>
      <c r="QYH8"/>
      <c r="QYI8"/>
      <c r="QYJ8"/>
      <c r="QYK8"/>
      <c r="QYL8"/>
      <c r="QYM8"/>
      <c r="QYN8"/>
      <c r="QYO8"/>
      <c r="QYP8"/>
      <c r="QYQ8"/>
      <c r="QYR8"/>
      <c r="QYS8"/>
      <c r="QYT8"/>
      <c r="QYU8"/>
      <c r="QYV8"/>
      <c r="QYW8"/>
      <c r="QYX8"/>
      <c r="QYY8"/>
      <c r="QYZ8"/>
      <c r="QZA8"/>
      <c r="QZB8"/>
      <c r="QZC8"/>
      <c r="QZD8"/>
      <c r="QZE8"/>
      <c r="QZF8"/>
      <c r="QZG8"/>
      <c r="QZH8"/>
      <c r="QZI8"/>
      <c r="QZJ8"/>
      <c r="QZK8"/>
      <c r="QZL8"/>
      <c r="QZM8"/>
      <c r="QZN8"/>
      <c r="QZO8"/>
      <c r="QZP8"/>
      <c r="QZQ8"/>
      <c r="QZR8"/>
      <c r="QZS8"/>
      <c r="QZT8"/>
      <c r="QZU8"/>
      <c r="QZV8"/>
      <c r="QZW8"/>
      <c r="QZX8"/>
      <c r="QZY8"/>
      <c r="QZZ8"/>
      <c r="RAA8"/>
      <c r="RAB8"/>
      <c r="RAC8"/>
      <c r="RAD8"/>
      <c r="RAE8"/>
      <c r="RAF8"/>
      <c r="RAG8"/>
      <c r="RAH8"/>
      <c r="RAI8"/>
      <c r="RAJ8"/>
      <c r="RAK8"/>
      <c r="RAL8"/>
      <c r="RAM8"/>
      <c r="RAN8"/>
      <c r="RAO8"/>
      <c r="RAP8"/>
      <c r="RAQ8"/>
      <c r="RAR8"/>
      <c r="RAS8"/>
      <c r="RAT8"/>
      <c r="RAU8"/>
      <c r="RAV8"/>
      <c r="RAW8"/>
      <c r="RAX8"/>
      <c r="RAY8"/>
      <c r="RAZ8"/>
      <c r="RBA8"/>
      <c r="RBB8"/>
      <c r="RBC8"/>
      <c r="RBD8"/>
      <c r="RBE8"/>
      <c r="RBF8"/>
      <c r="RBG8"/>
      <c r="RBH8"/>
      <c r="RBI8"/>
      <c r="RBJ8"/>
      <c r="RBK8"/>
      <c r="RBL8"/>
      <c r="RBM8"/>
      <c r="RBN8"/>
      <c r="RBO8"/>
      <c r="RBP8"/>
      <c r="RBQ8"/>
      <c r="RBR8"/>
      <c r="RBS8"/>
      <c r="RBT8"/>
      <c r="RBU8"/>
      <c r="RBV8"/>
      <c r="RBW8"/>
      <c r="RBX8"/>
      <c r="RBY8"/>
      <c r="RBZ8"/>
      <c r="RCA8"/>
      <c r="RCB8"/>
      <c r="RCC8"/>
      <c r="RCD8"/>
      <c r="RCE8"/>
      <c r="RCF8"/>
      <c r="RCG8"/>
      <c r="RCH8"/>
      <c r="RCI8"/>
      <c r="RCJ8"/>
      <c r="RCK8"/>
      <c r="RCL8"/>
      <c r="RCM8"/>
      <c r="RCN8"/>
      <c r="RCO8"/>
      <c r="RCP8"/>
      <c r="RCQ8"/>
      <c r="RCR8"/>
      <c r="RCS8"/>
      <c r="RCT8"/>
      <c r="RCU8"/>
      <c r="RCV8"/>
      <c r="RCW8"/>
      <c r="RCX8"/>
      <c r="RCY8"/>
      <c r="RCZ8"/>
      <c r="RDA8"/>
      <c r="RDB8"/>
      <c r="RDC8"/>
      <c r="RDD8"/>
      <c r="RDE8"/>
      <c r="RDF8"/>
      <c r="RDG8"/>
      <c r="RDH8"/>
      <c r="RDI8"/>
      <c r="RDJ8"/>
      <c r="RDK8"/>
      <c r="RDL8"/>
      <c r="RDM8"/>
      <c r="RDN8"/>
      <c r="RDO8"/>
      <c r="RDP8"/>
      <c r="RDQ8"/>
      <c r="RDR8"/>
      <c r="RDS8"/>
      <c r="RDT8"/>
      <c r="RDU8"/>
      <c r="RDV8"/>
      <c r="RDW8"/>
      <c r="RDX8"/>
      <c r="RDY8"/>
      <c r="RDZ8"/>
      <c r="REA8"/>
      <c r="REB8"/>
      <c r="REC8"/>
      <c r="RED8"/>
      <c r="REE8"/>
      <c r="REF8"/>
      <c r="REG8"/>
      <c r="REH8"/>
      <c r="REI8"/>
      <c r="REJ8"/>
      <c r="REK8"/>
      <c r="REL8"/>
      <c r="REM8"/>
      <c r="REN8"/>
      <c r="REO8"/>
      <c r="REP8"/>
      <c r="REQ8"/>
      <c r="RER8"/>
      <c r="RES8"/>
      <c r="RET8"/>
      <c r="REU8"/>
      <c r="REV8"/>
      <c r="REW8"/>
      <c r="REX8"/>
      <c r="REY8"/>
      <c r="REZ8"/>
      <c r="RFA8"/>
      <c r="RFB8"/>
      <c r="RFC8"/>
      <c r="RFD8"/>
      <c r="RFE8"/>
      <c r="RFF8"/>
      <c r="RFG8"/>
      <c r="RFH8"/>
      <c r="RFI8"/>
      <c r="RFJ8"/>
      <c r="RFK8"/>
      <c r="RFL8"/>
      <c r="RFM8"/>
      <c r="RFN8"/>
      <c r="RFO8"/>
      <c r="RFP8"/>
      <c r="RFQ8"/>
      <c r="RFR8"/>
      <c r="RFS8"/>
      <c r="RFT8"/>
      <c r="RFU8"/>
      <c r="RFV8"/>
      <c r="RFW8"/>
      <c r="RFX8"/>
      <c r="RFY8"/>
      <c r="RFZ8"/>
      <c r="RGA8"/>
      <c r="RGB8"/>
      <c r="RGC8"/>
      <c r="RGD8"/>
      <c r="RGE8"/>
      <c r="RGF8"/>
      <c r="RGG8"/>
      <c r="RGH8"/>
      <c r="RGI8"/>
      <c r="RGJ8"/>
      <c r="RGK8"/>
      <c r="RGL8"/>
      <c r="RGM8"/>
      <c r="RGN8"/>
      <c r="RGO8"/>
      <c r="RGP8"/>
      <c r="RGQ8"/>
      <c r="RGR8"/>
      <c r="RGS8"/>
      <c r="RGT8"/>
      <c r="RGU8"/>
      <c r="RGV8"/>
      <c r="RGW8"/>
      <c r="RGX8"/>
      <c r="RGY8"/>
      <c r="RGZ8"/>
      <c r="RHA8"/>
      <c r="RHB8"/>
      <c r="RHC8"/>
      <c r="RHD8"/>
      <c r="RHE8"/>
      <c r="RHF8"/>
      <c r="RHG8"/>
      <c r="RHH8"/>
      <c r="RHI8"/>
      <c r="RHJ8"/>
      <c r="RHK8"/>
      <c r="RHL8"/>
      <c r="RHM8"/>
      <c r="RHN8"/>
      <c r="RHO8"/>
      <c r="RHP8"/>
      <c r="RHQ8"/>
      <c r="RHR8"/>
      <c r="RHS8"/>
      <c r="RHT8"/>
      <c r="RHU8"/>
      <c r="RHV8"/>
      <c r="RHW8"/>
      <c r="RHX8"/>
      <c r="RHY8"/>
      <c r="RHZ8"/>
      <c r="RIA8"/>
      <c r="RIB8"/>
      <c r="RIC8"/>
      <c r="RID8"/>
      <c r="RIE8"/>
      <c r="RIF8"/>
      <c r="RIG8"/>
      <c r="RIH8"/>
      <c r="RII8"/>
      <c r="RIJ8"/>
      <c r="RIK8"/>
      <c r="RIL8"/>
      <c r="RIM8"/>
      <c r="RIN8"/>
      <c r="RIO8"/>
      <c r="RIP8"/>
      <c r="RIQ8"/>
      <c r="RIR8"/>
      <c r="RIS8"/>
      <c r="RIT8"/>
      <c r="RIU8"/>
      <c r="RIV8"/>
      <c r="RIW8"/>
      <c r="RIX8"/>
      <c r="RIY8"/>
      <c r="RIZ8"/>
      <c r="RJA8"/>
      <c r="RJB8"/>
      <c r="RJC8"/>
      <c r="RJD8"/>
      <c r="RJE8"/>
      <c r="RJF8"/>
      <c r="RJG8"/>
      <c r="RJH8"/>
      <c r="RJI8"/>
      <c r="RJJ8"/>
      <c r="RJK8"/>
      <c r="RJL8"/>
      <c r="RJM8"/>
      <c r="RJN8"/>
      <c r="RJO8"/>
      <c r="RJP8"/>
      <c r="RJQ8"/>
      <c r="RJR8"/>
      <c r="RJS8"/>
      <c r="RJT8"/>
      <c r="RJU8"/>
      <c r="RJV8"/>
      <c r="RJW8"/>
      <c r="RJX8"/>
      <c r="RJY8"/>
      <c r="RJZ8"/>
      <c r="RKA8"/>
      <c r="RKB8"/>
      <c r="RKC8"/>
      <c r="RKD8"/>
      <c r="RKE8"/>
      <c r="RKF8"/>
      <c r="RKG8"/>
      <c r="RKH8"/>
      <c r="RKI8"/>
      <c r="RKJ8"/>
      <c r="RKK8"/>
      <c r="RKL8"/>
      <c r="RKM8"/>
      <c r="RKN8"/>
      <c r="RKO8"/>
      <c r="RKP8"/>
      <c r="RKQ8"/>
      <c r="RKR8"/>
      <c r="RKS8"/>
      <c r="RKT8"/>
      <c r="RKU8"/>
      <c r="RKV8"/>
      <c r="RKW8"/>
      <c r="RKX8"/>
      <c r="RKY8"/>
      <c r="RKZ8"/>
      <c r="RLA8"/>
      <c r="RLB8"/>
      <c r="RLC8"/>
      <c r="RLD8"/>
      <c r="RLE8"/>
      <c r="RLF8"/>
      <c r="RLG8"/>
      <c r="RLH8"/>
      <c r="RLI8"/>
      <c r="RLJ8"/>
      <c r="RLK8"/>
      <c r="RLL8"/>
      <c r="RLM8"/>
      <c r="RLN8"/>
      <c r="RLO8"/>
      <c r="RLP8"/>
      <c r="RLQ8"/>
      <c r="RLR8"/>
      <c r="RLS8"/>
      <c r="RLT8"/>
      <c r="RLU8"/>
      <c r="RLV8"/>
      <c r="RLW8"/>
      <c r="RLX8"/>
      <c r="RLY8"/>
      <c r="RLZ8"/>
      <c r="RMA8"/>
      <c r="RMB8"/>
      <c r="RMC8"/>
      <c r="RMD8"/>
      <c r="RME8"/>
      <c r="RMF8"/>
      <c r="RMG8"/>
      <c r="RMH8"/>
      <c r="RMI8"/>
      <c r="RMJ8"/>
      <c r="RMK8"/>
      <c r="RML8"/>
      <c r="RMM8"/>
      <c r="RMN8"/>
      <c r="RMO8"/>
      <c r="RMP8"/>
      <c r="RMQ8"/>
      <c r="RMR8"/>
      <c r="RMS8"/>
      <c r="RMT8"/>
      <c r="RMU8"/>
      <c r="RMV8"/>
      <c r="RMW8"/>
      <c r="RMX8"/>
      <c r="RMY8"/>
      <c r="RMZ8"/>
      <c r="RNA8"/>
      <c r="RNB8"/>
      <c r="RNC8"/>
      <c r="RND8"/>
      <c r="RNE8"/>
      <c r="RNF8"/>
      <c r="RNG8"/>
      <c r="RNH8"/>
      <c r="RNI8"/>
      <c r="RNJ8"/>
      <c r="RNK8"/>
      <c r="RNL8"/>
      <c r="RNM8"/>
      <c r="RNN8"/>
      <c r="RNO8"/>
      <c r="RNP8"/>
      <c r="RNQ8"/>
      <c r="RNR8"/>
      <c r="RNS8"/>
      <c r="RNT8"/>
      <c r="RNU8"/>
      <c r="RNV8"/>
      <c r="RNW8"/>
      <c r="RNX8"/>
      <c r="RNY8"/>
      <c r="RNZ8"/>
      <c r="ROA8"/>
      <c r="ROB8"/>
      <c r="ROC8"/>
      <c r="ROD8"/>
      <c r="ROE8"/>
      <c r="ROF8"/>
      <c r="ROG8"/>
      <c r="ROH8"/>
      <c r="ROI8"/>
      <c r="ROJ8"/>
      <c r="ROK8"/>
      <c r="ROL8"/>
      <c r="ROM8"/>
      <c r="RON8"/>
      <c r="ROO8"/>
      <c r="ROP8"/>
      <c r="ROQ8"/>
      <c r="ROR8"/>
      <c r="ROS8"/>
      <c r="ROT8"/>
      <c r="ROU8"/>
      <c r="ROV8"/>
      <c r="ROW8"/>
      <c r="ROX8"/>
      <c r="ROY8"/>
      <c r="ROZ8"/>
      <c r="RPA8"/>
      <c r="RPB8"/>
      <c r="RPC8"/>
      <c r="RPD8"/>
      <c r="RPE8"/>
      <c r="RPF8"/>
      <c r="RPG8"/>
      <c r="RPH8"/>
      <c r="RPI8"/>
      <c r="RPJ8"/>
      <c r="RPK8"/>
      <c r="RPL8"/>
      <c r="RPM8"/>
      <c r="RPN8"/>
      <c r="RPO8"/>
      <c r="RPP8"/>
      <c r="RPQ8"/>
      <c r="RPR8"/>
      <c r="RPS8"/>
      <c r="RPT8"/>
      <c r="RPU8"/>
      <c r="RPV8"/>
      <c r="RPW8"/>
      <c r="RPX8"/>
      <c r="RPY8"/>
      <c r="RPZ8"/>
      <c r="RQA8"/>
      <c r="RQB8"/>
      <c r="RQC8"/>
      <c r="RQD8"/>
      <c r="RQE8"/>
      <c r="RQF8"/>
      <c r="RQG8"/>
      <c r="RQH8"/>
      <c r="RQI8"/>
      <c r="RQJ8"/>
      <c r="RQK8"/>
      <c r="RQL8"/>
      <c r="RQM8"/>
      <c r="RQN8"/>
      <c r="RQO8"/>
      <c r="RQP8"/>
      <c r="RQQ8"/>
      <c r="RQR8"/>
      <c r="RQS8"/>
      <c r="RQT8"/>
      <c r="RQU8"/>
      <c r="RQV8"/>
      <c r="RQW8"/>
      <c r="RQX8"/>
      <c r="RQY8"/>
      <c r="RQZ8"/>
      <c r="RRA8"/>
      <c r="RRB8"/>
      <c r="RRC8"/>
      <c r="RRD8"/>
      <c r="RRE8"/>
      <c r="RRF8"/>
      <c r="RRG8"/>
      <c r="RRH8"/>
      <c r="RRI8"/>
      <c r="RRJ8"/>
      <c r="RRK8"/>
      <c r="RRL8"/>
      <c r="RRM8"/>
      <c r="RRN8"/>
      <c r="RRO8"/>
      <c r="RRP8"/>
      <c r="RRQ8"/>
      <c r="RRR8"/>
      <c r="RRS8"/>
      <c r="RRT8"/>
      <c r="RRU8"/>
      <c r="RRV8"/>
      <c r="RRW8"/>
      <c r="RRX8"/>
      <c r="RRY8"/>
      <c r="RRZ8"/>
      <c r="RSA8"/>
      <c r="RSB8"/>
      <c r="RSC8"/>
      <c r="RSD8"/>
      <c r="RSE8"/>
      <c r="RSF8"/>
      <c r="RSG8"/>
      <c r="RSH8"/>
      <c r="RSI8"/>
      <c r="RSJ8"/>
      <c r="RSK8"/>
      <c r="RSL8"/>
      <c r="RSM8"/>
      <c r="RSN8"/>
      <c r="RSO8"/>
      <c r="RSP8"/>
      <c r="RSQ8"/>
      <c r="RSR8"/>
      <c r="RSS8"/>
      <c r="RST8"/>
      <c r="RSU8"/>
      <c r="RSV8"/>
      <c r="RSW8"/>
      <c r="RSX8"/>
      <c r="RSY8"/>
      <c r="RSZ8"/>
      <c r="RTA8"/>
      <c r="RTB8"/>
      <c r="RTC8"/>
      <c r="RTD8"/>
      <c r="RTE8"/>
      <c r="RTF8"/>
      <c r="RTG8"/>
      <c r="RTH8"/>
      <c r="RTI8"/>
      <c r="RTJ8"/>
      <c r="RTK8"/>
      <c r="RTL8"/>
      <c r="RTM8"/>
      <c r="RTN8"/>
      <c r="RTO8"/>
      <c r="RTP8"/>
      <c r="RTQ8"/>
      <c r="RTR8"/>
      <c r="RTS8"/>
      <c r="RTT8"/>
      <c r="RTU8"/>
      <c r="RTV8"/>
      <c r="RTW8"/>
      <c r="RTX8"/>
      <c r="RTY8"/>
      <c r="RTZ8"/>
      <c r="RUA8"/>
      <c r="RUB8"/>
      <c r="RUC8"/>
      <c r="RUD8"/>
      <c r="RUE8"/>
      <c r="RUF8"/>
      <c r="RUG8"/>
      <c r="RUH8"/>
      <c r="RUI8"/>
      <c r="RUJ8"/>
      <c r="RUK8"/>
      <c r="RUL8"/>
      <c r="RUM8"/>
      <c r="RUN8"/>
      <c r="RUO8"/>
      <c r="RUP8"/>
      <c r="RUQ8"/>
      <c r="RUR8"/>
      <c r="RUS8"/>
      <c r="RUT8"/>
      <c r="RUU8"/>
      <c r="RUV8"/>
      <c r="RUW8"/>
      <c r="RUX8"/>
      <c r="RUY8"/>
      <c r="RUZ8"/>
      <c r="RVA8"/>
      <c r="RVB8"/>
      <c r="RVC8"/>
      <c r="RVD8"/>
      <c r="RVE8"/>
      <c r="RVF8"/>
      <c r="RVG8"/>
      <c r="RVH8"/>
      <c r="RVI8"/>
      <c r="RVJ8"/>
      <c r="RVK8"/>
      <c r="RVL8"/>
      <c r="RVM8"/>
      <c r="RVN8"/>
      <c r="RVO8"/>
      <c r="RVP8"/>
      <c r="RVQ8"/>
      <c r="RVR8"/>
      <c r="RVS8"/>
      <c r="RVT8"/>
      <c r="RVU8"/>
      <c r="RVV8"/>
      <c r="RVW8"/>
      <c r="RVX8"/>
      <c r="RVY8"/>
      <c r="RVZ8"/>
      <c r="RWA8"/>
      <c r="RWB8"/>
      <c r="RWC8"/>
      <c r="RWD8"/>
      <c r="RWE8"/>
      <c r="RWF8"/>
      <c r="RWG8"/>
      <c r="RWH8"/>
      <c r="RWI8"/>
      <c r="RWJ8"/>
      <c r="RWK8"/>
      <c r="RWL8"/>
      <c r="RWM8"/>
      <c r="RWN8"/>
      <c r="RWO8"/>
      <c r="RWP8"/>
      <c r="RWQ8"/>
      <c r="RWR8"/>
      <c r="RWS8"/>
      <c r="RWT8"/>
      <c r="RWU8"/>
      <c r="RWV8"/>
      <c r="RWW8"/>
      <c r="RWX8"/>
      <c r="RWY8"/>
      <c r="RWZ8"/>
      <c r="RXA8"/>
      <c r="RXB8"/>
      <c r="RXC8"/>
      <c r="RXD8"/>
      <c r="RXE8"/>
      <c r="RXF8"/>
      <c r="RXG8"/>
      <c r="RXH8"/>
      <c r="RXI8"/>
      <c r="RXJ8"/>
      <c r="RXK8"/>
      <c r="RXL8"/>
      <c r="RXM8"/>
      <c r="RXN8"/>
      <c r="RXO8"/>
      <c r="RXP8"/>
      <c r="RXQ8"/>
      <c r="RXR8"/>
      <c r="RXS8"/>
      <c r="RXT8"/>
      <c r="RXU8"/>
      <c r="RXV8"/>
      <c r="RXW8"/>
      <c r="RXX8"/>
      <c r="RXY8"/>
      <c r="RXZ8"/>
      <c r="RYA8"/>
      <c r="RYB8"/>
      <c r="RYC8"/>
      <c r="RYD8"/>
      <c r="RYE8"/>
      <c r="RYF8"/>
      <c r="RYG8"/>
      <c r="RYH8"/>
      <c r="RYI8"/>
      <c r="RYJ8"/>
      <c r="RYK8"/>
      <c r="RYL8"/>
      <c r="RYM8"/>
      <c r="RYN8"/>
      <c r="RYO8"/>
      <c r="RYP8"/>
      <c r="RYQ8"/>
      <c r="RYR8"/>
      <c r="RYS8"/>
      <c r="RYT8"/>
      <c r="RYU8"/>
      <c r="RYV8"/>
      <c r="RYW8"/>
      <c r="RYX8"/>
      <c r="RYY8"/>
      <c r="RYZ8"/>
      <c r="RZA8"/>
      <c r="RZB8"/>
      <c r="RZC8"/>
      <c r="RZD8"/>
      <c r="RZE8"/>
      <c r="RZF8"/>
      <c r="RZG8"/>
      <c r="RZH8"/>
      <c r="RZI8"/>
      <c r="RZJ8"/>
      <c r="RZK8"/>
      <c r="RZL8"/>
      <c r="RZM8"/>
      <c r="RZN8"/>
      <c r="RZO8"/>
      <c r="RZP8"/>
      <c r="RZQ8"/>
      <c r="RZR8"/>
      <c r="RZS8"/>
      <c r="RZT8"/>
      <c r="RZU8"/>
      <c r="RZV8"/>
      <c r="RZW8"/>
      <c r="RZX8"/>
      <c r="RZY8"/>
      <c r="RZZ8"/>
      <c r="SAA8"/>
      <c r="SAB8"/>
      <c r="SAC8"/>
      <c r="SAD8"/>
      <c r="SAE8"/>
      <c r="SAF8"/>
      <c r="SAG8"/>
      <c r="SAH8"/>
      <c r="SAI8"/>
      <c r="SAJ8"/>
      <c r="SAK8"/>
      <c r="SAL8"/>
      <c r="SAM8"/>
      <c r="SAN8"/>
      <c r="SAO8"/>
      <c r="SAP8"/>
      <c r="SAQ8"/>
      <c r="SAR8"/>
      <c r="SAS8"/>
      <c r="SAT8"/>
      <c r="SAU8"/>
      <c r="SAV8"/>
      <c r="SAW8"/>
      <c r="SAX8"/>
      <c r="SAY8"/>
      <c r="SAZ8"/>
      <c r="SBA8"/>
      <c r="SBB8"/>
      <c r="SBC8"/>
      <c r="SBD8"/>
      <c r="SBE8"/>
      <c r="SBF8"/>
      <c r="SBG8"/>
      <c r="SBH8"/>
      <c r="SBI8"/>
      <c r="SBJ8"/>
      <c r="SBK8"/>
      <c r="SBL8"/>
      <c r="SBM8"/>
      <c r="SBN8"/>
      <c r="SBO8"/>
      <c r="SBP8"/>
      <c r="SBQ8"/>
      <c r="SBR8"/>
      <c r="SBS8"/>
      <c r="SBT8"/>
      <c r="SBU8"/>
      <c r="SBV8"/>
      <c r="SBW8"/>
      <c r="SBX8"/>
      <c r="SBY8"/>
      <c r="SBZ8"/>
      <c r="SCA8"/>
      <c r="SCB8"/>
      <c r="SCC8"/>
      <c r="SCD8"/>
      <c r="SCE8"/>
      <c r="SCF8"/>
      <c r="SCG8"/>
      <c r="SCH8"/>
      <c r="SCI8"/>
      <c r="SCJ8"/>
      <c r="SCK8"/>
      <c r="SCL8"/>
      <c r="SCM8"/>
      <c r="SCN8"/>
      <c r="SCO8"/>
      <c r="SCP8"/>
      <c r="SCQ8"/>
      <c r="SCR8"/>
      <c r="SCS8"/>
      <c r="SCT8"/>
      <c r="SCU8"/>
      <c r="SCV8"/>
      <c r="SCW8"/>
      <c r="SCX8"/>
      <c r="SCY8"/>
      <c r="SCZ8"/>
      <c r="SDA8"/>
      <c r="SDB8"/>
      <c r="SDC8"/>
      <c r="SDD8"/>
      <c r="SDE8"/>
      <c r="SDF8"/>
      <c r="SDG8"/>
      <c r="SDH8"/>
      <c r="SDI8"/>
      <c r="SDJ8"/>
      <c r="SDK8"/>
      <c r="SDL8"/>
      <c r="SDM8"/>
      <c r="SDN8"/>
      <c r="SDO8"/>
      <c r="SDP8"/>
      <c r="SDQ8"/>
      <c r="SDR8"/>
      <c r="SDS8"/>
      <c r="SDT8"/>
      <c r="SDU8"/>
      <c r="SDV8"/>
      <c r="SDW8"/>
      <c r="SDX8"/>
      <c r="SDY8"/>
      <c r="SDZ8"/>
      <c r="SEA8"/>
      <c r="SEB8"/>
      <c r="SEC8"/>
      <c r="SED8"/>
      <c r="SEE8"/>
      <c r="SEF8"/>
      <c r="SEG8"/>
      <c r="SEH8"/>
      <c r="SEI8"/>
      <c r="SEJ8"/>
      <c r="SEK8"/>
      <c r="SEL8"/>
      <c r="SEM8"/>
      <c r="SEN8"/>
      <c r="SEO8"/>
      <c r="SEP8"/>
      <c r="SEQ8"/>
      <c r="SER8"/>
      <c r="SES8"/>
      <c r="SET8"/>
      <c r="SEU8"/>
      <c r="SEV8"/>
      <c r="SEW8"/>
      <c r="SEX8"/>
      <c r="SEY8"/>
      <c r="SEZ8"/>
      <c r="SFA8"/>
      <c r="SFB8"/>
      <c r="SFC8"/>
      <c r="SFD8"/>
      <c r="SFE8"/>
      <c r="SFF8"/>
      <c r="SFG8"/>
      <c r="SFH8"/>
      <c r="SFI8"/>
      <c r="SFJ8"/>
      <c r="SFK8"/>
      <c r="SFL8"/>
      <c r="SFM8"/>
      <c r="SFN8"/>
      <c r="SFO8"/>
      <c r="SFP8"/>
      <c r="SFQ8"/>
      <c r="SFR8"/>
      <c r="SFS8"/>
      <c r="SFT8"/>
      <c r="SFU8"/>
      <c r="SFV8"/>
      <c r="SFW8"/>
      <c r="SFX8"/>
      <c r="SFY8"/>
      <c r="SFZ8"/>
      <c r="SGA8"/>
      <c r="SGB8"/>
      <c r="SGC8"/>
      <c r="SGD8"/>
      <c r="SGE8"/>
      <c r="SGF8"/>
      <c r="SGG8"/>
      <c r="SGH8"/>
      <c r="SGI8"/>
      <c r="SGJ8"/>
      <c r="SGK8"/>
      <c r="SGL8"/>
      <c r="SGM8"/>
      <c r="SGN8"/>
      <c r="SGO8"/>
      <c r="SGP8"/>
      <c r="SGQ8"/>
      <c r="SGR8"/>
      <c r="SGS8"/>
      <c r="SGT8"/>
      <c r="SGU8"/>
      <c r="SGV8"/>
      <c r="SGW8"/>
      <c r="SGX8"/>
      <c r="SGY8"/>
      <c r="SGZ8"/>
      <c r="SHA8"/>
      <c r="SHB8"/>
      <c r="SHC8"/>
      <c r="SHD8"/>
      <c r="SHE8"/>
      <c r="SHF8"/>
      <c r="SHG8"/>
      <c r="SHH8"/>
      <c r="SHI8"/>
      <c r="SHJ8"/>
      <c r="SHK8"/>
      <c r="SHL8"/>
      <c r="SHM8"/>
      <c r="SHN8"/>
      <c r="SHO8"/>
      <c r="SHP8"/>
      <c r="SHQ8"/>
      <c r="SHR8"/>
      <c r="SHS8"/>
      <c r="SHT8"/>
      <c r="SHU8"/>
      <c r="SHV8"/>
      <c r="SHW8"/>
      <c r="SHX8"/>
      <c r="SHY8"/>
      <c r="SHZ8"/>
      <c r="SIA8"/>
      <c r="SIB8"/>
      <c r="SIC8"/>
      <c r="SID8"/>
      <c r="SIE8"/>
      <c r="SIF8"/>
      <c r="SIG8"/>
      <c r="SIH8"/>
      <c r="SII8"/>
      <c r="SIJ8"/>
      <c r="SIK8"/>
      <c r="SIL8"/>
      <c r="SIM8"/>
      <c r="SIN8"/>
      <c r="SIO8"/>
      <c r="SIP8"/>
      <c r="SIQ8"/>
      <c r="SIR8"/>
      <c r="SIS8"/>
      <c r="SIT8"/>
      <c r="SIU8"/>
      <c r="SIV8"/>
      <c r="SIW8"/>
      <c r="SIX8"/>
      <c r="SIY8"/>
      <c r="SIZ8"/>
      <c r="SJA8"/>
      <c r="SJB8"/>
      <c r="SJC8"/>
      <c r="SJD8"/>
      <c r="SJE8"/>
      <c r="SJF8"/>
      <c r="SJG8"/>
      <c r="SJH8"/>
      <c r="SJI8"/>
      <c r="SJJ8"/>
      <c r="SJK8"/>
      <c r="SJL8"/>
      <c r="SJM8"/>
      <c r="SJN8"/>
      <c r="SJO8"/>
      <c r="SJP8"/>
      <c r="SJQ8"/>
      <c r="SJR8"/>
      <c r="SJS8"/>
      <c r="SJT8"/>
      <c r="SJU8"/>
      <c r="SJV8"/>
      <c r="SJW8"/>
      <c r="SJX8"/>
      <c r="SJY8"/>
      <c r="SJZ8"/>
      <c r="SKA8"/>
      <c r="SKB8"/>
      <c r="SKC8"/>
      <c r="SKD8"/>
      <c r="SKE8"/>
      <c r="SKF8"/>
      <c r="SKG8"/>
      <c r="SKH8"/>
      <c r="SKI8"/>
      <c r="SKJ8"/>
      <c r="SKK8"/>
      <c r="SKL8"/>
      <c r="SKM8"/>
      <c r="SKN8"/>
      <c r="SKO8"/>
      <c r="SKP8"/>
      <c r="SKQ8"/>
      <c r="SKR8"/>
      <c r="SKS8"/>
      <c r="SKT8"/>
      <c r="SKU8"/>
      <c r="SKV8"/>
      <c r="SKW8"/>
      <c r="SKX8"/>
      <c r="SKY8"/>
      <c r="SKZ8"/>
      <c r="SLA8"/>
      <c r="SLB8"/>
      <c r="SLC8"/>
      <c r="SLD8"/>
      <c r="SLE8"/>
      <c r="SLF8"/>
      <c r="SLG8"/>
      <c r="SLH8"/>
      <c r="SLI8"/>
      <c r="SLJ8"/>
      <c r="SLK8"/>
      <c r="SLL8"/>
      <c r="SLM8"/>
      <c r="SLN8"/>
      <c r="SLO8"/>
      <c r="SLP8"/>
      <c r="SLQ8"/>
      <c r="SLR8"/>
      <c r="SLS8"/>
      <c r="SLT8"/>
      <c r="SLU8"/>
      <c r="SLV8"/>
      <c r="SLW8"/>
      <c r="SLX8"/>
      <c r="SLY8"/>
      <c r="SLZ8"/>
      <c r="SMA8"/>
      <c r="SMB8"/>
      <c r="SMC8"/>
      <c r="SMD8"/>
      <c r="SME8"/>
      <c r="SMF8"/>
      <c r="SMG8"/>
      <c r="SMH8"/>
      <c r="SMI8"/>
      <c r="SMJ8"/>
      <c r="SMK8"/>
      <c r="SML8"/>
      <c r="SMM8"/>
      <c r="SMN8"/>
      <c r="SMO8"/>
      <c r="SMP8"/>
      <c r="SMQ8"/>
      <c r="SMR8"/>
      <c r="SMS8"/>
      <c r="SMT8"/>
      <c r="SMU8"/>
      <c r="SMV8"/>
      <c r="SMW8"/>
      <c r="SMX8"/>
      <c r="SMY8"/>
      <c r="SMZ8"/>
      <c r="SNA8"/>
      <c r="SNB8"/>
      <c r="SNC8"/>
      <c r="SND8"/>
      <c r="SNE8"/>
      <c r="SNF8"/>
      <c r="SNG8"/>
      <c r="SNH8"/>
      <c r="SNI8"/>
      <c r="SNJ8"/>
      <c r="SNK8"/>
      <c r="SNL8"/>
      <c r="SNM8"/>
      <c r="SNN8"/>
      <c r="SNO8"/>
      <c r="SNP8"/>
      <c r="SNQ8"/>
      <c r="SNR8"/>
      <c r="SNS8"/>
      <c r="SNT8"/>
      <c r="SNU8"/>
      <c r="SNV8"/>
      <c r="SNW8"/>
      <c r="SNX8"/>
      <c r="SNY8"/>
      <c r="SNZ8"/>
      <c r="SOA8"/>
      <c r="SOB8"/>
      <c r="SOC8"/>
      <c r="SOD8"/>
      <c r="SOE8"/>
      <c r="SOF8"/>
      <c r="SOG8"/>
      <c r="SOH8"/>
      <c r="SOI8"/>
      <c r="SOJ8"/>
      <c r="SOK8"/>
      <c r="SOL8"/>
      <c r="SOM8"/>
      <c r="SON8"/>
      <c r="SOO8"/>
      <c r="SOP8"/>
      <c r="SOQ8"/>
      <c r="SOR8"/>
      <c r="SOS8"/>
      <c r="SOT8"/>
      <c r="SOU8"/>
      <c r="SOV8"/>
      <c r="SOW8"/>
      <c r="SOX8"/>
      <c r="SOY8"/>
      <c r="SOZ8"/>
      <c r="SPA8"/>
      <c r="SPB8"/>
      <c r="SPC8"/>
      <c r="SPD8"/>
      <c r="SPE8"/>
      <c r="SPF8"/>
      <c r="SPG8"/>
      <c r="SPH8"/>
      <c r="SPI8"/>
      <c r="SPJ8"/>
      <c r="SPK8"/>
      <c r="SPL8"/>
      <c r="SPM8"/>
      <c r="SPN8"/>
      <c r="SPO8"/>
      <c r="SPP8"/>
      <c r="SPQ8"/>
      <c r="SPR8"/>
      <c r="SPS8"/>
      <c r="SPT8"/>
      <c r="SPU8"/>
      <c r="SPV8"/>
      <c r="SPW8"/>
      <c r="SPX8"/>
      <c r="SPY8"/>
      <c r="SPZ8"/>
      <c r="SQA8"/>
      <c r="SQB8"/>
      <c r="SQC8"/>
      <c r="SQD8"/>
      <c r="SQE8"/>
      <c r="SQF8"/>
      <c r="SQG8"/>
      <c r="SQH8"/>
      <c r="SQI8"/>
      <c r="SQJ8"/>
      <c r="SQK8"/>
      <c r="SQL8"/>
      <c r="SQM8"/>
      <c r="SQN8"/>
      <c r="SQO8"/>
      <c r="SQP8"/>
      <c r="SQQ8"/>
      <c r="SQR8"/>
      <c r="SQS8"/>
      <c r="SQT8"/>
      <c r="SQU8"/>
      <c r="SQV8"/>
      <c r="SQW8"/>
      <c r="SQX8"/>
      <c r="SQY8"/>
      <c r="SQZ8"/>
      <c r="SRA8"/>
      <c r="SRB8"/>
      <c r="SRC8"/>
      <c r="SRD8"/>
      <c r="SRE8"/>
      <c r="SRF8"/>
      <c r="SRG8"/>
      <c r="SRH8"/>
      <c r="SRI8"/>
      <c r="SRJ8"/>
      <c r="SRK8"/>
      <c r="SRL8"/>
      <c r="SRM8"/>
      <c r="SRN8"/>
      <c r="SRO8"/>
      <c r="SRP8"/>
      <c r="SRQ8"/>
      <c r="SRR8"/>
      <c r="SRS8"/>
      <c r="SRT8"/>
      <c r="SRU8"/>
      <c r="SRV8"/>
      <c r="SRW8"/>
      <c r="SRX8"/>
      <c r="SRY8"/>
      <c r="SRZ8"/>
      <c r="SSA8"/>
      <c r="SSB8"/>
      <c r="SSC8"/>
      <c r="SSD8"/>
      <c r="SSE8"/>
      <c r="SSF8"/>
      <c r="SSG8"/>
      <c r="SSH8"/>
      <c r="SSI8"/>
      <c r="SSJ8"/>
      <c r="SSK8"/>
      <c r="SSL8"/>
      <c r="SSM8"/>
      <c r="SSN8"/>
      <c r="SSO8"/>
      <c r="SSP8"/>
      <c r="SSQ8"/>
      <c r="SSR8"/>
      <c r="SSS8"/>
      <c r="SST8"/>
      <c r="SSU8"/>
      <c r="SSV8"/>
      <c r="SSW8"/>
      <c r="SSX8"/>
      <c r="SSY8"/>
      <c r="SSZ8"/>
      <c r="STA8"/>
      <c r="STB8"/>
      <c r="STC8"/>
      <c r="STD8"/>
      <c r="STE8"/>
      <c r="STF8"/>
      <c r="STG8"/>
      <c r="STH8"/>
      <c r="STI8"/>
      <c r="STJ8"/>
      <c r="STK8"/>
      <c r="STL8"/>
      <c r="STM8"/>
      <c r="STN8"/>
      <c r="STO8"/>
      <c r="STP8"/>
      <c r="STQ8"/>
      <c r="STR8"/>
      <c r="STS8"/>
      <c r="STT8"/>
      <c r="STU8"/>
      <c r="STV8"/>
      <c r="STW8"/>
      <c r="STX8"/>
      <c r="STY8"/>
      <c r="STZ8"/>
      <c r="SUA8"/>
      <c r="SUB8"/>
      <c r="SUC8"/>
      <c r="SUD8"/>
      <c r="SUE8"/>
      <c r="SUF8"/>
      <c r="SUG8"/>
      <c r="SUH8"/>
      <c r="SUI8"/>
      <c r="SUJ8"/>
      <c r="SUK8"/>
      <c r="SUL8"/>
      <c r="SUM8"/>
      <c r="SUN8"/>
      <c r="SUO8"/>
      <c r="SUP8"/>
      <c r="SUQ8"/>
      <c r="SUR8"/>
      <c r="SUS8"/>
      <c r="SUT8"/>
      <c r="SUU8"/>
      <c r="SUV8"/>
      <c r="SUW8"/>
      <c r="SUX8"/>
      <c r="SUY8"/>
      <c r="SUZ8"/>
      <c r="SVA8"/>
      <c r="SVB8"/>
      <c r="SVC8"/>
      <c r="SVD8"/>
      <c r="SVE8"/>
      <c r="SVF8"/>
      <c r="SVG8"/>
      <c r="SVH8"/>
      <c r="SVI8"/>
      <c r="SVJ8"/>
      <c r="SVK8"/>
      <c r="SVL8"/>
      <c r="SVM8"/>
      <c r="SVN8"/>
      <c r="SVO8"/>
      <c r="SVP8"/>
      <c r="SVQ8"/>
      <c r="SVR8"/>
      <c r="SVS8"/>
      <c r="SVT8"/>
      <c r="SVU8"/>
      <c r="SVV8"/>
      <c r="SVW8"/>
      <c r="SVX8"/>
      <c r="SVY8"/>
      <c r="SVZ8"/>
      <c r="SWA8"/>
      <c r="SWB8"/>
      <c r="SWC8"/>
      <c r="SWD8"/>
      <c r="SWE8"/>
      <c r="SWF8"/>
      <c r="SWG8"/>
      <c r="SWH8"/>
      <c r="SWI8"/>
      <c r="SWJ8"/>
      <c r="SWK8"/>
      <c r="SWL8"/>
      <c r="SWM8"/>
      <c r="SWN8"/>
      <c r="SWO8"/>
      <c r="SWP8"/>
      <c r="SWQ8"/>
      <c r="SWR8"/>
      <c r="SWS8"/>
      <c r="SWT8"/>
      <c r="SWU8"/>
      <c r="SWV8"/>
      <c r="SWW8"/>
      <c r="SWX8"/>
      <c r="SWY8"/>
      <c r="SWZ8"/>
      <c r="SXA8"/>
      <c r="SXB8"/>
      <c r="SXC8"/>
      <c r="SXD8"/>
      <c r="SXE8"/>
      <c r="SXF8"/>
      <c r="SXG8"/>
      <c r="SXH8"/>
      <c r="SXI8"/>
      <c r="SXJ8"/>
      <c r="SXK8"/>
      <c r="SXL8"/>
      <c r="SXM8"/>
      <c r="SXN8"/>
      <c r="SXO8"/>
      <c r="SXP8"/>
      <c r="SXQ8"/>
      <c r="SXR8"/>
      <c r="SXS8"/>
      <c r="SXT8"/>
      <c r="SXU8"/>
      <c r="SXV8"/>
      <c r="SXW8"/>
      <c r="SXX8"/>
      <c r="SXY8"/>
      <c r="SXZ8"/>
      <c r="SYA8"/>
      <c r="SYB8"/>
      <c r="SYC8"/>
      <c r="SYD8"/>
      <c r="SYE8"/>
      <c r="SYF8"/>
      <c r="SYG8"/>
      <c r="SYH8"/>
      <c r="SYI8"/>
      <c r="SYJ8"/>
      <c r="SYK8"/>
      <c r="SYL8"/>
      <c r="SYM8"/>
      <c r="SYN8"/>
      <c r="SYO8"/>
      <c r="SYP8"/>
      <c r="SYQ8"/>
      <c r="SYR8"/>
      <c r="SYS8"/>
      <c r="SYT8"/>
      <c r="SYU8"/>
      <c r="SYV8"/>
      <c r="SYW8"/>
      <c r="SYX8"/>
      <c r="SYY8"/>
      <c r="SYZ8"/>
      <c r="SZA8"/>
      <c r="SZB8"/>
      <c r="SZC8"/>
      <c r="SZD8"/>
      <c r="SZE8"/>
      <c r="SZF8"/>
      <c r="SZG8"/>
      <c r="SZH8"/>
      <c r="SZI8"/>
      <c r="SZJ8"/>
      <c r="SZK8"/>
      <c r="SZL8"/>
      <c r="SZM8"/>
      <c r="SZN8"/>
      <c r="SZO8"/>
      <c r="SZP8"/>
      <c r="SZQ8"/>
      <c r="SZR8"/>
      <c r="SZS8"/>
      <c r="SZT8"/>
      <c r="SZU8"/>
      <c r="SZV8"/>
      <c r="SZW8"/>
      <c r="SZX8"/>
      <c r="SZY8"/>
      <c r="SZZ8"/>
      <c r="TAA8"/>
      <c r="TAB8"/>
      <c r="TAC8"/>
      <c r="TAD8"/>
      <c r="TAE8"/>
      <c r="TAF8"/>
      <c r="TAG8"/>
      <c r="TAH8"/>
      <c r="TAI8"/>
      <c r="TAJ8"/>
      <c r="TAK8"/>
      <c r="TAL8"/>
      <c r="TAM8"/>
      <c r="TAN8"/>
      <c r="TAO8"/>
      <c r="TAP8"/>
      <c r="TAQ8"/>
      <c r="TAR8"/>
      <c r="TAS8"/>
      <c r="TAT8"/>
      <c r="TAU8"/>
      <c r="TAV8"/>
      <c r="TAW8"/>
      <c r="TAX8"/>
      <c r="TAY8"/>
      <c r="TAZ8"/>
      <c r="TBA8"/>
      <c r="TBB8"/>
      <c r="TBC8"/>
      <c r="TBD8"/>
      <c r="TBE8"/>
      <c r="TBF8"/>
      <c r="TBG8"/>
      <c r="TBH8"/>
      <c r="TBI8"/>
      <c r="TBJ8"/>
      <c r="TBK8"/>
      <c r="TBL8"/>
      <c r="TBM8"/>
      <c r="TBN8"/>
      <c r="TBO8"/>
      <c r="TBP8"/>
      <c r="TBQ8"/>
      <c r="TBR8"/>
      <c r="TBS8"/>
      <c r="TBT8"/>
      <c r="TBU8"/>
      <c r="TBV8"/>
      <c r="TBW8"/>
      <c r="TBX8"/>
      <c r="TBY8"/>
      <c r="TBZ8"/>
      <c r="TCA8"/>
      <c r="TCB8"/>
      <c r="TCC8"/>
      <c r="TCD8"/>
      <c r="TCE8"/>
      <c r="TCF8"/>
      <c r="TCG8"/>
      <c r="TCH8"/>
      <c r="TCI8"/>
      <c r="TCJ8"/>
      <c r="TCK8"/>
      <c r="TCL8"/>
      <c r="TCM8"/>
      <c r="TCN8"/>
      <c r="TCO8"/>
      <c r="TCP8"/>
      <c r="TCQ8"/>
      <c r="TCR8"/>
      <c r="TCS8"/>
      <c r="TCT8"/>
      <c r="TCU8"/>
      <c r="TCV8"/>
      <c r="TCW8"/>
      <c r="TCX8"/>
      <c r="TCY8"/>
      <c r="TCZ8"/>
      <c r="TDA8"/>
      <c r="TDB8"/>
      <c r="TDC8"/>
      <c r="TDD8"/>
      <c r="TDE8"/>
      <c r="TDF8"/>
      <c r="TDG8"/>
      <c r="TDH8"/>
      <c r="TDI8"/>
      <c r="TDJ8"/>
      <c r="TDK8"/>
      <c r="TDL8"/>
      <c r="TDM8"/>
      <c r="TDN8"/>
      <c r="TDO8"/>
      <c r="TDP8"/>
      <c r="TDQ8"/>
      <c r="TDR8"/>
      <c r="TDS8"/>
      <c r="TDT8"/>
      <c r="TDU8"/>
      <c r="TDV8"/>
      <c r="TDW8"/>
      <c r="TDX8"/>
      <c r="TDY8"/>
      <c r="TDZ8"/>
      <c r="TEA8"/>
      <c r="TEB8"/>
      <c r="TEC8"/>
      <c r="TED8"/>
      <c r="TEE8"/>
      <c r="TEF8"/>
      <c r="TEG8"/>
      <c r="TEH8"/>
      <c r="TEI8"/>
      <c r="TEJ8"/>
      <c r="TEK8"/>
      <c r="TEL8"/>
      <c r="TEM8"/>
      <c r="TEN8"/>
      <c r="TEO8"/>
      <c r="TEP8"/>
      <c r="TEQ8"/>
      <c r="TER8"/>
      <c r="TES8"/>
      <c r="TET8"/>
      <c r="TEU8"/>
      <c r="TEV8"/>
      <c r="TEW8"/>
      <c r="TEX8"/>
      <c r="TEY8"/>
      <c r="TEZ8"/>
      <c r="TFA8"/>
      <c r="TFB8"/>
      <c r="TFC8"/>
      <c r="TFD8"/>
      <c r="TFE8"/>
      <c r="TFF8"/>
      <c r="TFG8"/>
      <c r="TFH8"/>
      <c r="TFI8"/>
      <c r="TFJ8"/>
      <c r="TFK8"/>
      <c r="TFL8"/>
      <c r="TFM8"/>
      <c r="TFN8"/>
      <c r="TFO8"/>
      <c r="TFP8"/>
      <c r="TFQ8"/>
      <c r="TFR8"/>
      <c r="TFS8"/>
      <c r="TFT8"/>
      <c r="TFU8"/>
      <c r="TFV8"/>
      <c r="TFW8"/>
      <c r="TFX8"/>
      <c r="TFY8"/>
      <c r="TFZ8"/>
      <c r="TGA8"/>
      <c r="TGB8"/>
      <c r="TGC8"/>
      <c r="TGD8"/>
      <c r="TGE8"/>
      <c r="TGF8"/>
      <c r="TGG8"/>
      <c r="TGH8"/>
      <c r="TGI8"/>
      <c r="TGJ8"/>
      <c r="TGK8"/>
      <c r="TGL8"/>
      <c r="TGM8"/>
      <c r="TGN8"/>
      <c r="TGO8"/>
      <c r="TGP8"/>
      <c r="TGQ8"/>
      <c r="TGR8"/>
      <c r="TGS8"/>
      <c r="TGT8"/>
      <c r="TGU8"/>
      <c r="TGV8"/>
      <c r="TGW8"/>
      <c r="TGX8"/>
      <c r="TGY8"/>
      <c r="TGZ8"/>
      <c r="THA8"/>
      <c r="THB8"/>
      <c r="THC8"/>
      <c r="THD8"/>
      <c r="THE8"/>
      <c r="THF8"/>
      <c r="THG8"/>
      <c r="THH8"/>
      <c r="THI8"/>
      <c r="THJ8"/>
      <c r="THK8"/>
      <c r="THL8"/>
      <c r="THM8"/>
      <c r="THN8"/>
      <c r="THO8"/>
      <c r="THP8"/>
      <c r="THQ8"/>
      <c r="THR8"/>
      <c r="THS8"/>
      <c r="THT8"/>
      <c r="THU8"/>
      <c r="THV8"/>
      <c r="THW8"/>
      <c r="THX8"/>
      <c r="THY8"/>
      <c r="THZ8"/>
      <c r="TIA8"/>
      <c r="TIB8"/>
      <c r="TIC8"/>
      <c r="TID8"/>
      <c r="TIE8"/>
      <c r="TIF8"/>
      <c r="TIG8"/>
      <c r="TIH8"/>
      <c r="TII8"/>
      <c r="TIJ8"/>
      <c r="TIK8"/>
      <c r="TIL8"/>
      <c r="TIM8"/>
      <c r="TIN8"/>
      <c r="TIO8"/>
      <c r="TIP8"/>
      <c r="TIQ8"/>
      <c r="TIR8"/>
      <c r="TIS8"/>
      <c r="TIT8"/>
      <c r="TIU8"/>
      <c r="TIV8"/>
      <c r="TIW8"/>
      <c r="TIX8"/>
      <c r="TIY8"/>
      <c r="TIZ8"/>
      <c r="TJA8"/>
      <c r="TJB8"/>
      <c r="TJC8"/>
      <c r="TJD8"/>
      <c r="TJE8"/>
      <c r="TJF8"/>
      <c r="TJG8"/>
      <c r="TJH8"/>
      <c r="TJI8"/>
      <c r="TJJ8"/>
      <c r="TJK8"/>
      <c r="TJL8"/>
      <c r="TJM8"/>
      <c r="TJN8"/>
      <c r="TJO8"/>
      <c r="TJP8"/>
      <c r="TJQ8"/>
      <c r="TJR8"/>
      <c r="TJS8"/>
      <c r="TJT8"/>
      <c r="TJU8"/>
      <c r="TJV8"/>
      <c r="TJW8"/>
      <c r="TJX8"/>
      <c r="TJY8"/>
      <c r="TJZ8"/>
      <c r="TKA8"/>
      <c r="TKB8"/>
      <c r="TKC8"/>
      <c r="TKD8"/>
      <c r="TKE8"/>
      <c r="TKF8"/>
      <c r="TKG8"/>
      <c r="TKH8"/>
      <c r="TKI8"/>
      <c r="TKJ8"/>
      <c r="TKK8"/>
      <c r="TKL8"/>
      <c r="TKM8"/>
      <c r="TKN8"/>
      <c r="TKO8"/>
      <c r="TKP8"/>
      <c r="TKQ8"/>
      <c r="TKR8"/>
      <c r="TKS8"/>
      <c r="TKT8"/>
      <c r="TKU8"/>
      <c r="TKV8"/>
      <c r="TKW8"/>
      <c r="TKX8"/>
      <c r="TKY8"/>
      <c r="TKZ8"/>
      <c r="TLA8"/>
      <c r="TLB8"/>
      <c r="TLC8"/>
      <c r="TLD8"/>
      <c r="TLE8"/>
      <c r="TLF8"/>
      <c r="TLG8"/>
      <c r="TLH8"/>
      <c r="TLI8"/>
      <c r="TLJ8"/>
      <c r="TLK8"/>
      <c r="TLL8"/>
      <c r="TLM8"/>
      <c r="TLN8"/>
      <c r="TLO8"/>
      <c r="TLP8"/>
      <c r="TLQ8"/>
      <c r="TLR8"/>
      <c r="TLS8"/>
      <c r="TLT8"/>
      <c r="TLU8"/>
      <c r="TLV8"/>
      <c r="TLW8"/>
      <c r="TLX8"/>
      <c r="TLY8"/>
      <c r="TLZ8"/>
      <c r="TMA8"/>
      <c r="TMB8"/>
      <c r="TMC8"/>
      <c r="TMD8"/>
      <c r="TME8"/>
      <c r="TMF8"/>
      <c r="TMG8"/>
      <c r="TMH8"/>
      <c r="TMI8"/>
      <c r="TMJ8"/>
      <c r="TMK8"/>
      <c r="TML8"/>
      <c r="TMM8"/>
      <c r="TMN8"/>
      <c r="TMO8"/>
      <c r="TMP8"/>
      <c r="TMQ8"/>
      <c r="TMR8"/>
      <c r="TMS8"/>
      <c r="TMT8"/>
      <c r="TMU8"/>
      <c r="TMV8"/>
      <c r="TMW8"/>
      <c r="TMX8"/>
      <c r="TMY8"/>
      <c r="TMZ8"/>
      <c r="TNA8"/>
      <c r="TNB8"/>
      <c r="TNC8"/>
      <c r="TND8"/>
      <c r="TNE8"/>
      <c r="TNF8"/>
      <c r="TNG8"/>
      <c r="TNH8"/>
      <c r="TNI8"/>
      <c r="TNJ8"/>
      <c r="TNK8"/>
      <c r="TNL8"/>
      <c r="TNM8"/>
      <c r="TNN8"/>
      <c r="TNO8"/>
      <c r="TNP8"/>
      <c r="TNQ8"/>
      <c r="TNR8"/>
      <c r="TNS8"/>
      <c r="TNT8"/>
      <c r="TNU8"/>
      <c r="TNV8"/>
      <c r="TNW8"/>
      <c r="TNX8"/>
      <c r="TNY8"/>
      <c r="TNZ8"/>
      <c r="TOA8"/>
      <c r="TOB8"/>
      <c r="TOC8"/>
      <c r="TOD8"/>
      <c r="TOE8"/>
      <c r="TOF8"/>
      <c r="TOG8"/>
      <c r="TOH8"/>
      <c r="TOI8"/>
      <c r="TOJ8"/>
      <c r="TOK8"/>
      <c r="TOL8"/>
      <c r="TOM8"/>
      <c r="TON8"/>
      <c r="TOO8"/>
      <c r="TOP8"/>
      <c r="TOQ8"/>
      <c r="TOR8"/>
      <c r="TOS8"/>
      <c r="TOT8"/>
      <c r="TOU8"/>
      <c r="TOV8"/>
      <c r="TOW8"/>
      <c r="TOX8"/>
      <c r="TOY8"/>
      <c r="TOZ8"/>
      <c r="TPA8"/>
      <c r="TPB8"/>
      <c r="TPC8"/>
      <c r="TPD8"/>
      <c r="TPE8"/>
      <c r="TPF8"/>
      <c r="TPG8"/>
      <c r="TPH8"/>
      <c r="TPI8"/>
      <c r="TPJ8"/>
      <c r="TPK8"/>
      <c r="TPL8"/>
      <c r="TPM8"/>
      <c r="TPN8"/>
      <c r="TPO8"/>
      <c r="TPP8"/>
      <c r="TPQ8"/>
      <c r="TPR8"/>
      <c r="TPS8"/>
      <c r="TPT8"/>
      <c r="TPU8"/>
      <c r="TPV8"/>
      <c r="TPW8"/>
      <c r="TPX8"/>
      <c r="TPY8"/>
      <c r="TPZ8"/>
      <c r="TQA8"/>
      <c r="TQB8"/>
      <c r="TQC8"/>
      <c r="TQD8"/>
      <c r="TQE8"/>
      <c r="TQF8"/>
      <c r="TQG8"/>
      <c r="TQH8"/>
      <c r="TQI8"/>
      <c r="TQJ8"/>
      <c r="TQK8"/>
      <c r="TQL8"/>
      <c r="TQM8"/>
      <c r="TQN8"/>
      <c r="TQO8"/>
      <c r="TQP8"/>
      <c r="TQQ8"/>
      <c r="TQR8"/>
      <c r="TQS8"/>
      <c r="TQT8"/>
      <c r="TQU8"/>
      <c r="TQV8"/>
      <c r="TQW8"/>
      <c r="TQX8"/>
      <c r="TQY8"/>
      <c r="TQZ8"/>
      <c r="TRA8"/>
      <c r="TRB8"/>
      <c r="TRC8"/>
      <c r="TRD8"/>
      <c r="TRE8"/>
      <c r="TRF8"/>
      <c r="TRG8"/>
      <c r="TRH8"/>
      <c r="TRI8"/>
      <c r="TRJ8"/>
      <c r="TRK8"/>
      <c r="TRL8"/>
      <c r="TRM8"/>
      <c r="TRN8"/>
      <c r="TRO8"/>
      <c r="TRP8"/>
      <c r="TRQ8"/>
      <c r="TRR8"/>
      <c r="TRS8"/>
      <c r="TRT8"/>
      <c r="TRU8"/>
      <c r="TRV8"/>
      <c r="TRW8"/>
      <c r="TRX8"/>
      <c r="TRY8"/>
      <c r="TRZ8"/>
      <c r="TSA8"/>
      <c r="TSB8"/>
      <c r="TSC8"/>
      <c r="TSD8"/>
      <c r="TSE8"/>
      <c r="TSF8"/>
      <c r="TSG8"/>
      <c r="TSH8"/>
      <c r="TSI8"/>
      <c r="TSJ8"/>
      <c r="TSK8"/>
      <c r="TSL8"/>
      <c r="TSM8"/>
      <c r="TSN8"/>
      <c r="TSO8"/>
      <c r="TSP8"/>
      <c r="TSQ8"/>
      <c r="TSR8"/>
      <c r="TSS8"/>
      <c r="TST8"/>
      <c r="TSU8"/>
      <c r="TSV8"/>
      <c r="TSW8"/>
      <c r="TSX8"/>
      <c r="TSY8"/>
      <c r="TSZ8"/>
      <c r="TTA8"/>
      <c r="TTB8"/>
      <c r="TTC8"/>
      <c r="TTD8"/>
      <c r="TTE8"/>
      <c r="TTF8"/>
      <c r="TTG8"/>
      <c r="TTH8"/>
      <c r="TTI8"/>
      <c r="TTJ8"/>
      <c r="TTK8"/>
      <c r="TTL8"/>
      <c r="TTM8"/>
      <c r="TTN8"/>
      <c r="TTO8"/>
      <c r="TTP8"/>
      <c r="TTQ8"/>
      <c r="TTR8"/>
      <c r="TTS8"/>
      <c r="TTT8"/>
      <c r="TTU8"/>
      <c r="TTV8"/>
      <c r="TTW8"/>
      <c r="TTX8"/>
      <c r="TTY8"/>
      <c r="TTZ8"/>
      <c r="TUA8"/>
      <c r="TUB8"/>
      <c r="TUC8"/>
      <c r="TUD8"/>
      <c r="TUE8"/>
      <c r="TUF8"/>
      <c r="TUG8"/>
      <c r="TUH8"/>
      <c r="TUI8"/>
      <c r="TUJ8"/>
      <c r="TUK8"/>
      <c r="TUL8"/>
      <c r="TUM8"/>
      <c r="TUN8"/>
      <c r="TUO8"/>
      <c r="TUP8"/>
      <c r="TUQ8"/>
      <c r="TUR8"/>
      <c r="TUS8"/>
      <c r="TUT8"/>
      <c r="TUU8"/>
      <c r="TUV8"/>
      <c r="TUW8"/>
      <c r="TUX8"/>
      <c r="TUY8"/>
      <c r="TUZ8"/>
      <c r="TVA8"/>
      <c r="TVB8"/>
      <c r="TVC8"/>
      <c r="TVD8"/>
      <c r="TVE8"/>
      <c r="TVF8"/>
      <c r="TVG8"/>
      <c r="TVH8"/>
      <c r="TVI8"/>
      <c r="TVJ8"/>
      <c r="TVK8"/>
      <c r="TVL8"/>
      <c r="TVM8"/>
      <c r="TVN8"/>
      <c r="TVO8"/>
      <c r="TVP8"/>
      <c r="TVQ8"/>
      <c r="TVR8"/>
      <c r="TVS8"/>
      <c r="TVT8"/>
      <c r="TVU8"/>
      <c r="TVV8"/>
      <c r="TVW8"/>
      <c r="TVX8"/>
      <c r="TVY8"/>
      <c r="TVZ8"/>
      <c r="TWA8"/>
      <c r="TWB8"/>
      <c r="TWC8"/>
      <c r="TWD8"/>
      <c r="TWE8"/>
      <c r="TWF8"/>
      <c r="TWG8"/>
      <c r="TWH8"/>
      <c r="TWI8"/>
      <c r="TWJ8"/>
      <c r="TWK8"/>
      <c r="TWL8"/>
      <c r="TWM8"/>
      <c r="TWN8"/>
      <c r="TWO8"/>
      <c r="TWP8"/>
      <c r="TWQ8"/>
      <c r="TWR8"/>
      <c r="TWS8"/>
      <c r="TWT8"/>
      <c r="TWU8"/>
      <c r="TWV8"/>
      <c r="TWW8"/>
      <c r="TWX8"/>
      <c r="TWY8"/>
      <c r="TWZ8"/>
      <c r="TXA8"/>
      <c r="TXB8"/>
      <c r="TXC8"/>
      <c r="TXD8"/>
      <c r="TXE8"/>
      <c r="TXF8"/>
      <c r="TXG8"/>
      <c r="TXH8"/>
      <c r="TXI8"/>
      <c r="TXJ8"/>
      <c r="TXK8"/>
      <c r="TXL8"/>
      <c r="TXM8"/>
      <c r="TXN8"/>
      <c r="TXO8"/>
      <c r="TXP8"/>
      <c r="TXQ8"/>
      <c r="TXR8"/>
      <c r="TXS8"/>
      <c r="TXT8"/>
      <c r="TXU8"/>
      <c r="TXV8"/>
      <c r="TXW8"/>
      <c r="TXX8"/>
      <c r="TXY8"/>
      <c r="TXZ8"/>
      <c r="TYA8"/>
      <c r="TYB8"/>
      <c r="TYC8"/>
      <c r="TYD8"/>
      <c r="TYE8"/>
      <c r="TYF8"/>
      <c r="TYG8"/>
      <c r="TYH8"/>
      <c r="TYI8"/>
      <c r="TYJ8"/>
      <c r="TYK8"/>
      <c r="TYL8"/>
      <c r="TYM8"/>
      <c r="TYN8"/>
      <c r="TYO8"/>
      <c r="TYP8"/>
      <c r="TYQ8"/>
      <c r="TYR8"/>
      <c r="TYS8"/>
      <c r="TYT8"/>
      <c r="TYU8"/>
      <c r="TYV8"/>
      <c r="TYW8"/>
      <c r="TYX8"/>
      <c r="TYY8"/>
      <c r="TYZ8"/>
      <c r="TZA8"/>
      <c r="TZB8"/>
      <c r="TZC8"/>
      <c r="TZD8"/>
      <c r="TZE8"/>
      <c r="TZF8"/>
      <c r="TZG8"/>
      <c r="TZH8"/>
      <c r="TZI8"/>
      <c r="TZJ8"/>
      <c r="TZK8"/>
      <c r="TZL8"/>
      <c r="TZM8"/>
      <c r="TZN8"/>
      <c r="TZO8"/>
      <c r="TZP8"/>
      <c r="TZQ8"/>
      <c r="TZR8"/>
      <c r="TZS8"/>
      <c r="TZT8"/>
      <c r="TZU8"/>
      <c r="TZV8"/>
      <c r="TZW8"/>
      <c r="TZX8"/>
      <c r="TZY8"/>
      <c r="TZZ8"/>
      <c r="UAA8"/>
      <c r="UAB8"/>
      <c r="UAC8"/>
      <c r="UAD8"/>
      <c r="UAE8"/>
      <c r="UAF8"/>
      <c r="UAG8"/>
      <c r="UAH8"/>
      <c r="UAI8"/>
      <c r="UAJ8"/>
      <c r="UAK8"/>
      <c r="UAL8"/>
      <c r="UAM8"/>
      <c r="UAN8"/>
      <c r="UAO8"/>
      <c r="UAP8"/>
      <c r="UAQ8"/>
      <c r="UAR8"/>
      <c r="UAS8"/>
      <c r="UAT8"/>
      <c r="UAU8"/>
      <c r="UAV8"/>
      <c r="UAW8"/>
      <c r="UAX8"/>
      <c r="UAY8"/>
      <c r="UAZ8"/>
      <c r="UBA8"/>
      <c r="UBB8"/>
      <c r="UBC8"/>
      <c r="UBD8"/>
      <c r="UBE8"/>
      <c r="UBF8"/>
      <c r="UBG8"/>
      <c r="UBH8"/>
      <c r="UBI8"/>
      <c r="UBJ8"/>
      <c r="UBK8"/>
      <c r="UBL8"/>
      <c r="UBM8"/>
      <c r="UBN8"/>
      <c r="UBO8"/>
      <c r="UBP8"/>
      <c r="UBQ8"/>
      <c r="UBR8"/>
      <c r="UBS8"/>
      <c r="UBT8"/>
      <c r="UBU8"/>
      <c r="UBV8"/>
      <c r="UBW8"/>
      <c r="UBX8"/>
      <c r="UBY8"/>
      <c r="UBZ8"/>
      <c r="UCA8"/>
      <c r="UCB8"/>
      <c r="UCC8"/>
      <c r="UCD8"/>
      <c r="UCE8"/>
      <c r="UCF8"/>
      <c r="UCG8"/>
      <c r="UCH8"/>
      <c r="UCI8"/>
      <c r="UCJ8"/>
      <c r="UCK8"/>
      <c r="UCL8"/>
      <c r="UCM8"/>
      <c r="UCN8"/>
      <c r="UCO8"/>
      <c r="UCP8"/>
      <c r="UCQ8"/>
      <c r="UCR8"/>
      <c r="UCS8"/>
      <c r="UCT8"/>
      <c r="UCU8"/>
      <c r="UCV8"/>
      <c r="UCW8"/>
      <c r="UCX8"/>
      <c r="UCY8"/>
      <c r="UCZ8"/>
      <c r="UDA8"/>
      <c r="UDB8"/>
      <c r="UDC8"/>
      <c r="UDD8"/>
      <c r="UDE8"/>
      <c r="UDF8"/>
      <c r="UDG8"/>
      <c r="UDH8"/>
      <c r="UDI8"/>
      <c r="UDJ8"/>
      <c r="UDK8"/>
      <c r="UDL8"/>
      <c r="UDM8"/>
      <c r="UDN8"/>
      <c r="UDO8"/>
      <c r="UDP8"/>
      <c r="UDQ8"/>
      <c r="UDR8"/>
      <c r="UDS8"/>
      <c r="UDT8"/>
      <c r="UDU8"/>
      <c r="UDV8"/>
      <c r="UDW8"/>
      <c r="UDX8"/>
      <c r="UDY8"/>
      <c r="UDZ8"/>
      <c r="UEA8"/>
      <c r="UEB8"/>
      <c r="UEC8"/>
      <c r="UED8"/>
      <c r="UEE8"/>
      <c r="UEF8"/>
      <c r="UEG8"/>
      <c r="UEH8"/>
      <c r="UEI8"/>
      <c r="UEJ8"/>
      <c r="UEK8"/>
      <c r="UEL8"/>
      <c r="UEM8"/>
      <c r="UEN8"/>
      <c r="UEO8"/>
      <c r="UEP8"/>
      <c r="UEQ8"/>
      <c r="UER8"/>
      <c r="UES8"/>
      <c r="UET8"/>
      <c r="UEU8"/>
      <c r="UEV8"/>
      <c r="UEW8"/>
      <c r="UEX8"/>
      <c r="UEY8"/>
      <c r="UEZ8"/>
      <c r="UFA8"/>
      <c r="UFB8"/>
      <c r="UFC8"/>
      <c r="UFD8"/>
      <c r="UFE8"/>
      <c r="UFF8"/>
      <c r="UFG8"/>
      <c r="UFH8"/>
      <c r="UFI8"/>
      <c r="UFJ8"/>
      <c r="UFK8"/>
      <c r="UFL8"/>
      <c r="UFM8"/>
      <c r="UFN8"/>
      <c r="UFO8"/>
      <c r="UFP8"/>
      <c r="UFQ8"/>
      <c r="UFR8"/>
      <c r="UFS8"/>
      <c r="UFT8"/>
      <c r="UFU8"/>
      <c r="UFV8"/>
      <c r="UFW8"/>
      <c r="UFX8"/>
      <c r="UFY8"/>
      <c r="UFZ8"/>
      <c r="UGA8"/>
      <c r="UGB8"/>
      <c r="UGC8"/>
      <c r="UGD8"/>
      <c r="UGE8"/>
      <c r="UGF8"/>
      <c r="UGG8"/>
      <c r="UGH8"/>
      <c r="UGI8"/>
      <c r="UGJ8"/>
      <c r="UGK8"/>
      <c r="UGL8"/>
      <c r="UGM8"/>
      <c r="UGN8"/>
      <c r="UGO8"/>
      <c r="UGP8"/>
      <c r="UGQ8"/>
      <c r="UGR8"/>
      <c r="UGS8"/>
      <c r="UGT8"/>
      <c r="UGU8"/>
      <c r="UGV8"/>
      <c r="UGW8"/>
      <c r="UGX8"/>
      <c r="UGY8"/>
      <c r="UGZ8"/>
      <c r="UHA8"/>
      <c r="UHB8"/>
      <c r="UHC8"/>
      <c r="UHD8"/>
      <c r="UHE8"/>
      <c r="UHF8"/>
      <c r="UHG8"/>
      <c r="UHH8"/>
      <c r="UHI8"/>
      <c r="UHJ8"/>
      <c r="UHK8"/>
      <c r="UHL8"/>
      <c r="UHM8"/>
      <c r="UHN8"/>
      <c r="UHO8"/>
      <c r="UHP8"/>
      <c r="UHQ8"/>
      <c r="UHR8"/>
      <c r="UHS8"/>
      <c r="UHT8"/>
      <c r="UHU8"/>
      <c r="UHV8"/>
      <c r="UHW8"/>
      <c r="UHX8"/>
      <c r="UHY8"/>
      <c r="UHZ8"/>
      <c r="UIA8"/>
      <c r="UIB8"/>
      <c r="UIC8"/>
      <c r="UID8"/>
      <c r="UIE8"/>
      <c r="UIF8"/>
      <c r="UIG8"/>
      <c r="UIH8"/>
      <c r="UII8"/>
      <c r="UIJ8"/>
      <c r="UIK8"/>
      <c r="UIL8"/>
      <c r="UIM8"/>
      <c r="UIN8"/>
      <c r="UIO8"/>
      <c r="UIP8"/>
      <c r="UIQ8"/>
      <c r="UIR8"/>
      <c r="UIS8"/>
      <c r="UIT8"/>
      <c r="UIU8"/>
      <c r="UIV8"/>
      <c r="UIW8"/>
      <c r="UIX8"/>
      <c r="UIY8"/>
      <c r="UIZ8"/>
      <c r="UJA8"/>
      <c r="UJB8"/>
      <c r="UJC8"/>
      <c r="UJD8"/>
      <c r="UJE8"/>
      <c r="UJF8"/>
      <c r="UJG8"/>
      <c r="UJH8"/>
      <c r="UJI8"/>
      <c r="UJJ8"/>
      <c r="UJK8"/>
      <c r="UJL8"/>
      <c r="UJM8"/>
      <c r="UJN8"/>
      <c r="UJO8"/>
      <c r="UJP8"/>
      <c r="UJQ8"/>
      <c r="UJR8"/>
      <c r="UJS8"/>
      <c r="UJT8"/>
      <c r="UJU8"/>
      <c r="UJV8"/>
      <c r="UJW8"/>
      <c r="UJX8"/>
      <c r="UJY8"/>
      <c r="UJZ8"/>
      <c r="UKA8"/>
      <c r="UKB8"/>
      <c r="UKC8"/>
      <c r="UKD8"/>
      <c r="UKE8"/>
      <c r="UKF8"/>
      <c r="UKG8"/>
      <c r="UKH8"/>
      <c r="UKI8"/>
      <c r="UKJ8"/>
      <c r="UKK8"/>
      <c r="UKL8"/>
      <c r="UKM8"/>
      <c r="UKN8"/>
      <c r="UKO8"/>
      <c r="UKP8"/>
      <c r="UKQ8"/>
      <c r="UKR8"/>
      <c r="UKS8"/>
      <c r="UKT8"/>
      <c r="UKU8"/>
      <c r="UKV8"/>
      <c r="UKW8"/>
      <c r="UKX8"/>
      <c r="UKY8"/>
      <c r="UKZ8"/>
      <c r="ULA8"/>
      <c r="ULB8"/>
      <c r="ULC8"/>
      <c r="ULD8"/>
      <c r="ULE8"/>
      <c r="ULF8"/>
      <c r="ULG8"/>
      <c r="ULH8"/>
      <c r="ULI8"/>
      <c r="ULJ8"/>
      <c r="ULK8"/>
      <c r="ULL8"/>
      <c r="ULM8"/>
      <c r="ULN8"/>
      <c r="ULO8"/>
      <c r="ULP8"/>
      <c r="ULQ8"/>
      <c r="ULR8"/>
      <c r="ULS8"/>
      <c r="ULT8"/>
      <c r="ULU8"/>
      <c r="ULV8"/>
      <c r="ULW8"/>
      <c r="ULX8"/>
      <c r="ULY8"/>
      <c r="ULZ8"/>
      <c r="UMA8"/>
      <c r="UMB8"/>
      <c r="UMC8"/>
      <c r="UMD8"/>
      <c r="UME8"/>
      <c r="UMF8"/>
      <c r="UMG8"/>
      <c r="UMH8"/>
      <c r="UMI8"/>
      <c r="UMJ8"/>
      <c r="UMK8"/>
      <c r="UML8"/>
      <c r="UMM8"/>
      <c r="UMN8"/>
      <c r="UMO8"/>
      <c r="UMP8"/>
      <c r="UMQ8"/>
      <c r="UMR8"/>
      <c r="UMS8"/>
      <c r="UMT8"/>
      <c r="UMU8"/>
      <c r="UMV8"/>
      <c r="UMW8"/>
      <c r="UMX8"/>
      <c r="UMY8"/>
      <c r="UMZ8"/>
      <c r="UNA8"/>
      <c r="UNB8"/>
      <c r="UNC8"/>
      <c r="UND8"/>
      <c r="UNE8"/>
      <c r="UNF8"/>
      <c r="UNG8"/>
      <c r="UNH8"/>
      <c r="UNI8"/>
      <c r="UNJ8"/>
      <c r="UNK8"/>
      <c r="UNL8"/>
      <c r="UNM8"/>
      <c r="UNN8"/>
      <c r="UNO8"/>
      <c r="UNP8"/>
      <c r="UNQ8"/>
      <c r="UNR8"/>
      <c r="UNS8"/>
      <c r="UNT8"/>
      <c r="UNU8"/>
      <c r="UNV8"/>
      <c r="UNW8"/>
      <c r="UNX8"/>
      <c r="UNY8"/>
      <c r="UNZ8"/>
      <c r="UOA8"/>
      <c r="UOB8"/>
      <c r="UOC8"/>
      <c r="UOD8"/>
      <c r="UOE8"/>
      <c r="UOF8"/>
      <c r="UOG8"/>
      <c r="UOH8"/>
      <c r="UOI8"/>
      <c r="UOJ8"/>
      <c r="UOK8"/>
      <c r="UOL8"/>
      <c r="UOM8"/>
      <c r="UON8"/>
      <c r="UOO8"/>
      <c r="UOP8"/>
      <c r="UOQ8"/>
      <c r="UOR8"/>
      <c r="UOS8"/>
      <c r="UOT8"/>
      <c r="UOU8"/>
      <c r="UOV8"/>
      <c r="UOW8"/>
      <c r="UOX8"/>
      <c r="UOY8"/>
      <c r="UOZ8"/>
      <c r="UPA8"/>
      <c r="UPB8"/>
      <c r="UPC8"/>
      <c r="UPD8"/>
      <c r="UPE8"/>
      <c r="UPF8"/>
      <c r="UPG8"/>
      <c r="UPH8"/>
      <c r="UPI8"/>
      <c r="UPJ8"/>
      <c r="UPK8"/>
      <c r="UPL8"/>
      <c r="UPM8"/>
      <c r="UPN8"/>
      <c r="UPO8"/>
      <c r="UPP8"/>
      <c r="UPQ8"/>
      <c r="UPR8"/>
      <c r="UPS8"/>
      <c r="UPT8"/>
      <c r="UPU8"/>
      <c r="UPV8"/>
      <c r="UPW8"/>
      <c r="UPX8"/>
      <c r="UPY8"/>
      <c r="UPZ8"/>
      <c r="UQA8"/>
      <c r="UQB8"/>
      <c r="UQC8"/>
      <c r="UQD8"/>
      <c r="UQE8"/>
      <c r="UQF8"/>
      <c r="UQG8"/>
      <c r="UQH8"/>
      <c r="UQI8"/>
      <c r="UQJ8"/>
      <c r="UQK8"/>
      <c r="UQL8"/>
      <c r="UQM8"/>
      <c r="UQN8"/>
      <c r="UQO8"/>
      <c r="UQP8"/>
      <c r="UQQ8"/>
      <c r="UQR8"/>
      <c r="UQS8"/>
      <c r="UQT8"/>
      <c r="UQU8"/>
      <c r="UQV8"/>
      <c r="UQW8"/>
      <c r="UQX8"/>
      <c r="UQY8"/>
      <c r="UQZ8"/>
      <c r="URA8"/>
      <c r="URB8"/>
      <c r="URC8"/>
      <c r="URD8"/>
      <c r="URE8"/>
      <c r="URF8"/>
      <c r="URG8"/>
      <c r="URH8"/>
      <c r="URI8"/>
      <c r="URJ8"/>
      <c r="URK8"/>
      <c r="URL8"/>
      <c r="URM8"/>
      <c r="URN8"/>
      <c r="URO8"/>
      <c r="URP8"/>
      <c r="URQ8"/>
      <c r="URR8"/>
      <c r="URS8"/>
      <c r="URT8"/>
      <c r="URU8"/>
      <c r="URV8"/>
      <c r="URW8"/>
      <c r="URX8"/>
      <c r="URY8"/>
      <c r="URZ8"/>
      <c r="USA8"/>
      <c r="USB8"/>
      <c r="USC8"/>
      <c r="USD8"/>
      <c r="USE8"/>
      <c r="USF8"/>
      <c r="USG8"/>
      <c r="USH8"/>
      <c r="USI8"/>
      <c r="USJ8"/>
      <c r="USK8"/>
      <c r="USL8"/>
      <c r="USM8"/>
      <c r="USN8"/>
      <c r="USO8"/>
      <c r="USP8"/>
      <c r="USQ8"/>
      <c r="USR8"/>
      <c r="USS8"/>
      <c r="UST8"/>
      <c r="USU8"/>
      <c r="USV8"/>
      <c r="USW8"/>
      <c r="USX8"/>
      <c r="USY8"/>
      <c r="USZ8"/>
      <c r="UTA8"/>
      <c r="UTB8"/>
      <c r="UTC8"/>
      <c r="UTD8"/>
      <c r="UTE8"/>
      <c r="UTF8"/>
      <c r="UTG8"/>
      <c r="UTH8"/>
      <c r="UTI8"/>
      <c r="UTJ8"/>
      <c r="UTK8"/>
      <c r="UTL8"/>
      <c r="UTM8"/>
      <c r="UTN8"/>
      <c r="UTO8"/>
      <c r="UTP8"/>
      <c r="UTQ8"/>
      <c r="UTR8"/>
      <c r="UTS8"/>
      <c r="UTT8"/>
      <c r="UTU8"/>
      <c r="UTV8"/>
      <c r="UTW8"/>
      <c r="UTX8"/>
      <c r="UTY8"/>
      <c r="UTZ8"/>
      <c r="UUA8"/>
      <c r="UUB8"/>
      <c r="UUC8"/>
      <c r="UUD8"/>
      <c r="UUE8"/>
      <c r="UUF8"/>
      <c r="UUG8"/>
      <c r="UUH8"/>
      <c r="UUI8"/>
      <c r="UUJ8"/>
      <c r="UUK8"/>
      <c r="UUL8"/>
      <c r="UUM8"/>
      <c r="UUN8"/>
      <c r="UUO8"/>
      <c r="UUP8"/>
      <c r="UUQ8"/>
      <c r="UUR8"/>
      <c r="UUS8"/>
      <c r="UUT8"/>
      <c r="UUU8"/>
      <c r="UUV8"/>
      <c r="UUW8"/>
      <c r="UUX8"/>
      <c r="UUY8"/>
      <c r="UUZ8"/>
      <c r="UVA8"/>
      <c r="UVB8"/>
      <c r="UVC8"/>
      <c r="UVD8"/>
      <c r="UVE8"/>
      <c r="UVF8"/>
      <c r="UVG8"/>
      <c r="UVH8"/>
      <c r="UVI8"/>
      <c r="UVJ8"/>
      <c r="UVK8"/>
      <c r="UVL8"/>
      <c r="UVM8"/>
      <c r="UVN8"/>
      <c r="UVO8"/>
      <c r="UVP8"/>
      <c r="UVQ8"/>
      <c r="UVR8"/>
      <c r="UVS8"/>
      <c r="UVT8"/>
      <c r="UVU8"/>
      <c r="UVV8"/>
      <c r="UVW8"/>
      <c r="UVX8"/>
      <c r="UVY8"/>
      <c r="UVZ8"/>
      <c r="UWA8"/>
      <c r="UWB8"/>
      <c r="UWC8"/>
      <c r="UWD8"/>
      <c r="UWE8"/>
      <c r="UWF8"/>
      <c r="UWG8"/>
      <c r="UWH8"/>
      <c r="UWI8"/>
      <c r="UWJ8"/>
      <c r="UWK8"/>
      <c r="UWL8"/>
      <c r="UWM8"/>
      <c r="UWN8"/>
      <c r="UWO8"/>
      <c r="UWP8"/>
      <c r="UWQ8"/>
      <c r="UWR8"/>
      <c r="UWS8"/>
      <c r="UWT8"/>
      <c r="UWU8"/>
      <c r="UWV8"/>
      <c r="UWW8"/>
      <c r="UWX8"/>
      <c r="UWY8"/>
      <c r="UWZ8"/>
      <c r="UXA8"/>
      <c r="UXB8"/>
      <c r="UXC8"/>
      <c r="UXD8"/>
      <c r="UXE8"/>
      <c r="UXF8"/>
      <c r="UXG8"/>
      <c r="UXH8"/>
      <c r="UXI8"/>
      <c r="UXJ8"/>
      <c r="UXK8"/>
      <c r="UXL8"/>
      <c r="UXM8"/>
      <c r="UXN8"/>
      <c r="UXO8"/>
      <c r="UXP8"/>
      <c r="UXQ8"/>
      <c r="UXR8"/>
      <c r="UXS8"/>
      <c r="UXT8"/>
      <c r="UXU8"/>
      <c r="UXV8"/>
      <c r="UXW8"/>
      <c r="UXX8"/>
      <c r="UXY8"/>
      <c r="UXZ8"/>
      <c r="UYA8"/>
      <c r="UYB8"/>
      <c r="UYC8"/>
      <c r="UYD8"/>
      <c r="UYE8"/>
      <c r="UYF8"/>
      <c r="UYG8"/>
      <c r="UYH8"/>
      <c r="UYI8"/>
      <c r="UYJ8"/>
      <c r="UYK8"/>
      <c r="UYL8"/>
      <c r="UYM8"/>
      <c r="UYN8"/>
      <c r="UYO8"/>
      <c r="UYP8"/>
      <c r="UYQ8"/>
      <c r="UYR8"/>
      <c r="UYS8"/>
      <c r="UYT8"/>
      <c r="UYU8"/>
      <c r="UYV8"/>
      <c r="UYW8"/>
      <c r="UYX8"/>
      <c r="UYY8"/>
      <c r="UYZ8"/>
      <c r="UZA8"/>
      <c r="UZB8"/>
      <c r="UZC8"/>
      <c r="UZD8"/>
      <c r="UZE8"/>
      <c r="UZF8"/>
      <c r="UZG8"/>
      <c r="UZH8"/>
      <c r="UZI8"/>
      <c r="UZJ8"/>
      <c r="UZK8"/>
      <c r="UZL8"/>
      <c r="UZM8"/>
      <c r="UZN8"/>
      <c r="UZO8"/>
      <c r="UZP8"/>
      <c r="UZQ8"/>
      <c r="UZR8"/>
      <c r="UZS8"/>
      <c r="UZT8"/>
      <c r="UZU8"/>
      <c r="UZV8"/>
      <c r="UZW8"/>
      <c r="UZX8"/>
      <c r="UZY8"/>
      <c r="UZZ8"/>
      <c r="VAA8"/>
      <c r="VAB8"/>
      <c r="VAC8"/>
      <c r="VAD8"/>
      <c r="VAE8"/>
      <c r="VAF8"/>
      <c r="VAG8"/>
      <c r="VAH8"/>
      <c r="VAI8"/>
      <c r="VAJ8"/>
      <c r="VAK8"/>
      <c r="VAL8"/>
      <c r="VAM8"/>
      <c r="VAN8"/>
      <c r="VAO8"/>
      <c r="VAP8"/>
      <c r="VAQ8"/>
      <c r="VAR8"/>
      <c r="VAS8"/>
      <c r="VAT8"/>
      <c r="VAU8"/>
      <c r="VAV8"/>
      <c r="VAW8"/>
      <c r="VAX8"/>
      <c r="VAY8"/>
      <c r="VAZ8"/>
      <c r="VBA8"/>
      <c r="VBB8"/>
      <c r="VBC8"/>
      <c r="VBD8"/>
      <c r="VBE8"/>
      <c r="VBF8"/>
      <c r="VBG8"/>
      <c r="VBH8"/>
      <c r="VBI8"/>
      <c r="VBJ8"/>
      <c r="VBK8"/>
      <c r="VBL8"/>
      <c r="VBM8"/>
      <c r="VBN8"/>
      <c r="VBO8"/>
      <c r="VBP8"/>
      <c r="VBQ8"/>
      <c r="VBR8"/>
      <c r="VBS8"/>
      <c r="VBT8"/>
      <c r="VBU8"/>
      <c r="VBV8"/>
      <c r="VBW8"/>
      <c r="VBX8"/>
      <c r="VBY8"/>
      <c r="VBZ8"/>
      <c r="VCA8"/>
      <c r="VCB8"/>
      <c r="VCC8"/>
      <c r="VCD8"/>
      <c r="VCE8"/>
      <c r="VCF8"/>
      <c r="VCG8"/>
      <c r="VCH8"/>
      <c r="VCI8"/>
      <c r="VCJ8"/>
      <c r="VCK8"/>
      <c r="VCL8"/>
      <c r="VCM8"/>
      <c r="VCN8"/>
      <c r="VCO8"/>
      <c r="VCP8"/>
      <c r="VCQ8"/>
      <c r="VCR8"/>
      <c r="VCS8"/>
      <c r="VCT8"/>
      <c r="VCU8"/>
      <c r="VCV8"/>
      <c r="VCW8"/>
      <c r="VCX8"/>
      <c r="VCY8"/>
      <c r="VCZ8"/>
      <c r="VDA8"/>
      <c r="VDB8"/>
      <c r="VDC8"/>
      <c r="VDD8"/>
      <c r="VDE8"/>
      <c r="VDF8"/>
      <c r="VDG8"/>
      <c r="VDH8"/>
      <c r="VDI8"/>
      <c r="VDJ8"/>
      <c r="VDK8"/>
      <c r="VDL8"/>
      <c r="VDM8"/>
      <c r="VDN8"/>
      <c r="VDO8"/>
      <c r="VDP8"/>
      <c r="VDQ8"/>
      <c r="VDR8"/>
      <c r="VDS8"/>
      <c r="VDT8"/>
      <c r="VDU8"/>
      <c r="VDV8"/>
      <c r="VDW8"/>
      <c r="VDX8"/>
      <c r="VDY8"/>
      <c r="VDZ8"/>
      <c r="VEA8"/>
      <c r="VEB8"/>
      <c r="VEC8"/>
      <c r="VED8"/>
      <c r="VEE8"/>
      <c r="VEF8"/>
      <c r="VEG8"/>
      <c r="VEH8"/>
      <c r="VEI8"/>
      <c r="VEJ8"/>
      <c r="VEK8"/>
      <c r="VEL8"/>
      <c r="VEM8"/>
      <c r="VEN8"/>
      <c r="VEO8"/>
      <c r="VEP8"/>
      <c r="VEQ8"/>
      <c r="VER8"/>
      <c r="VES8"/>
      <c r="VET8"/>
      <c r="VEU8"/>
      <c r="VEV8"/>
      <c r="VEW8"/>
      <c r="VEX8"/>
      <c r="VEY8"/>
      <c r="VEZ8"/>
      <c r="VFA8"/>
      <c r="VFB8"/>
      <c r="VFC8"/>
      <c r="VFD8"/>
      <c r="VFE8"/>
      <c r="VFF8"/>
      <c r="VFG8"/>
      <c r="VFH8"/>
      <c r="VFI8"/>
      <c r="VFJ8"/>
      <c r="VFK8"/>
      <c r="VFL8"/>
      <c r="VFM8"/>
      <c r="VFN8"/>
      <c r="VFO8"/>
      <c r="VFP8"/>
      <c r="VFQ8"/>
      <c r="VFR8"/>
      <c r="VFS8"/>
      <c r="VFT8"/>
      <c r="VFU8"/>
      <c r="VFV8"/>
      <c r="VFW8"/>
      <c r="VFX8"/>
      <c r="VFY8"/>
      <c r="VFZ8"/>
      <c r="VGA8"/>
      <c r="VGB8"/>
      <c r="VGC8"/>
      <c r="VGD8"/>
      <c r="VGE8"/>
      <c r="VGF8"/>
      <c r="VGG8"/>
      <c r="VGH8"/>
      <c r="VGI8"/>
      <c r="VGJ8"/>
      <c r="VGK8"/>
      <c r="VGL8"/>
      <c r="VGM8"/>
      <c r="VGN8"/>
      <c r="VGO8"/>
      <c r="VGP8"/>
      <c r="VGQ8"/>
      <c r="VGR8"/>
      <c r="VGS8"/>
      <c r="VGT8"/>
      <c r="VGU8"/>
      <c r="VGV8"/>
      <c r="VGW8"/>
      <c r="VGX8"/>
      <c r="VGY8"/>
      <c r="VGZ8"/>
      <c r="VHA8"/>
      <c r="VHB8"/>
      <c r="VHC8"/>
      <c r="VHD8"/>
      <c r="VHE8"/>
      <c r="VHF8"/>
      <c r="VHG8"/>
      <c r="VHH8"/>
      <c r="VHI8"/>
      <c r="VHJ8"/>
      <c r="VHK8"/>
      <c r="VHL8"/>
      <c r="VHM8"/>
      <c r="VHN8"/>
      <c r="VHO8"/>
      <c r="VHP8"/>
      <c r="VHQ8"/>
      <c r="VHR8"/>
      <c r="VHS8"/>
      <c r="VHT8"/>
      <c r="VHU8"/>
      <c r="VHV8"/>
      <c r="VHW8"/>
      <c r="VHX8"/>
      <c r="VHY8"/>
      <c r="VHZ8"/>
      <c r="VIA8"/>
      <c r="VIB8"/>
      <c r="VIC8"/>
      <c r="VID8"/>
      <c r="VIE8"/>
      <c r="VIF8"/>
      <c r="VIG8"/>
      <c r="VIH8"/>
      <c r="VII8"/>
      <c r="VIJ8"/>
      <c r="VIK8"/>
      <c r="VIL8"/>
      <c r="VIM8"/>
      <c r="VIN8"/>
      <c r="VIO8"/>
      <c r="VIP8"/>
      <c r="VIQ8"/>
      <c r="VIR8"/>
      <c r="VIS8"/>
      <c r="VIT8"/>
      <c r="VIU8"/>
      <c r="VIV8"/>
      <c r="VIW8"/>
      <c r="VIX8"/>
      <c r="VIY8"/>
      <c r="VIZ8"/>
      <c r="VJA8"/>
      <c r="VJB8"/>
      <c r="VJC8"/>
      <c r="VJD8"/>
      <c r="VJE8"/>
      <c r="VJF8"/>
      <c r="VJG8"/>
      <c r="VJH8"/>
      <c r="VJI8"/>
      <c r="VJJ8"/>
      <c r="VJK8"/>
      <c r="VJL8"/>
      <c r="VJM8"/>
      <c r="VJN8"/>
      <c r="VJO8"/>
      <c r="VJP8"/>
      <c r="VJQ8"/>
      <c r="VJR8"/>
      <c r="VJS8"/>
      <c r="VJT8"/>
      <c r="VJU8"/>
      <c r="VJV8"/>
      <c r="VJW8"/>
      <c r="VJX8"/>
      <c r="VJY8"/>
      <c r="VJZ8"/>
      <c r="VKA8"/>
      <c r="VKB8"/>
      <c r="VKC8"/>
      <c r="VKD8"/>
      <c r="VKE8"/>
      <c r="VKF8"/>
      <c r="VKG8"/>
      <c r="VKH8"/>
      <c r="VKI8"/>
      <c r="VKJ8"/>
      <c r="VKK8"/>
      <c r="VKL8"/>
      <c r="VKM8"/>
      <c r="VKN8"/>
      <c r="VKO8"/>
      <c r="VKP8"/>
      <c r="VKQ8"/>
      <c r="VKR8"/>
      <c r="VKS8"/>
      <c r="VKT8"/>
      <c r="VKU8"/>
      <c r="VKV8"/>
      <c r="VKW8"/>
      <c r="VKX8"/>
      <c r="VKY8"/>
      <c r="VKZ8"/>
      <c r="VLA8"/>
      <c r="VLB8"/>
      <c r="VLC8"/>
      <c r="VLD8"/>
      <c r="VLE8"/>
      <c r="VLF8"/>
      <c r="VLG8"/>
      <c r="VLH8"/>
      <c r="VLI8"/>
      <c r="VLJ8"/>
      <c r="VLK8"/>
      <c r="VLL8"/>
      <c r="VLM8"/>
      <c r="VLN8"/>
      <c r="VLO8"/>
      <c r="VLP8"/>
      <c r="VLQ8"/>
      <c r="VLR8"/>
      <c r="VLS8"/>
      <c r="VLT8"/>
      <c r="VLU8"/>
      <c r="VLV8"/>
      <c r="VLW8"/>
      <c r="VLX8"/>
      <c r="VLY8"/>
      <c r="VLZ8"/>
      <c r="VMA8"/>
      <c r="VMB8"/>
      <c r="VMC8"/>
      <c r="VMD8"/>
      <c r="VME8"/>
      <c r="VMF8"/>
      <c r="VMG8"/>
      <c r="VMH8"/>
      <c r="VMI8"/>
      <c r="VMJ8"/>
      <c r="VMK8"/>
      <c r="VML8"/>
      <c r="VMM8"/>
      <c r="VMN8"/>
      <c r="VMO8"/>
      <c r="VMP8"/>
      <c r="VMQ8"/>
      <c r="VMR8"/>
      <c r="VMS8"/>
      <c r="VMT8"/>
      <c r="VMU8"/>
      <c r="VMV8"/>
      <c r="VMW8"/>
      <c r="VMX8"/>
      <c r="VMY8"/>
      <c r="VMZ8"/>
      <c r="VNA8"/>
      <c r="VNB8"/>
      <c r="VNC8"/>
      <c r="VND8"/>
      <c r="VNE8"/>
      <c r="VNF8"/>
      <c r="VNG8"/>
      <c r="VNH8"/>
      <c r="VNI8"/>
      <c r="VNJ8"/>
      <c r="VNK8"/>
      <c r="VNL8"/>
      <c r="VNM8"/>
      <c r="VNN8"/>
      <c r="VNO8"/>
      <c r="VNP8"/>
      <c r="VNQ8"/>
      <c r="VNR8"/>
      <c r="VNS8"/>
      <c r="VNT8"/>
      <c r="VNU8"/>
      <c r="VNV8"/>
      <c r="VNW8"/>
      <c r="VNX8"/>
      <c r="VNY8"/>
      <c r="VNZ8"/>
      <c r="VOA8"/>
      <c r="VOB8"/>
      <c r="VOC8"/>
      <c r="VOD8"/>
      <c r="VOE8"/>
      <c r="VOF8"/>
      <c r="VOG8"/>
      <c r="VOH8"/>
      <c r="VOI8"/>
      <c r="VOJ8"/>
      <c r="VOK8"/>
      <c r="VOL8"/>
      <c r="VOM8"/>
      <c r="VON8"/>
      <c r="VOO8"/>
      <c r="VOP8"/>
      <c r="VOQ8"/>
      <c r="VOR8"/>
      <c r="VOS8"/>
      <c r="VOT8"/>
      <c r="VOU8"/>
      <c r="VOV8"/>
      <c r="VOW8"/>
      <c r="VOX8"/>
      <c r="VOY8"/>
      <c r="VOZ8"/>
      <c r="VPA8"/>
      <c r="VPB8"/>
      <c r="VPC8"/>
      <c r="VPD8"/>
      <c r="VPE8"/>
      <c r="VPF8"/>
      <c r="VPG8"/>
      <c r="VPH8"/>
      <c r="VPI8"/>
      <c r="VPJ8"/>
      <c r="VPK8"/>
      <c r="VPL8"/>
      <c r="VPM8"/>
      <c r="VPN8"/>
      <c r="VPO8"/>
      <c r="VPP8"/>
      <c r="VPQ8"/>
      <c r="VPR8"/>
      <c r="VPS8"/>
      <c r="VPT8"/>
      <c r="VPU8"/>
      <c r="VPV8"/>
      <c r="VPW8"/>
      <c r="VPX8"/>
      <c r="VPY8"/>
      <c r="VPZ8"/>
      <c r="VQA8"/>
      <c r="VQB8"/>
      <c r="VQC8"/>
      <c r="VQD8"/>
      <c r="VQE8"/>
      <c r="VQF8"/>
      <c r="VQG8"/>
      <c r="VQH8"/>
      <c r="VQI8"/>
      <c r="VQJ8"/>
      <c r="VQK8"/>
      <c r="VQL8"/>
      <c r="VQM8"/>
      <c r="VQN8"/>
      <c r="VQO8"/>
      <c r="VQP8"/>
      <c r="VQQ8"/>
      <c r="VQR8"/>
      <c r="VQS8"/>
      <c r="VQT8"/>
      <c r="VQU8"/>
      <c r="VQV8"/>
      <c r="VQW8"/>
      <c r="VQX8"/>
      <c r="VQY8"/>
      <c r="VQZ8"/>
      <c r="VRA8"/>
      <c r="VRB8"/>
      <c r="VRC8"/>
      <c r="VRD8"/>
      <c r="VRE8"/>
      <c r="VRF8"/>
      <c r="VRG8"/>
      <c r="VRH8"/>
      <c r="VRI8"/>
      <c r="VRJ8"/>
      <c r="VRK8"/>
      <c r="VRL8"/>
      <c r="VRM8"/>
      <c r="VRN8"/>
      <c r="VRO8"/>
      <c r="VRP8"/>
      <c r="VRQ8"/>
      <c r="VRR8"/>
      <c r="VRS8"/>
      <c r="VRT8"/>
      <c r="VRU8"/>
      <c r="VRV8"/>
      <c r="VRW8"/>
      <c r="VRX8"/>
      <c r="VRY8"/>
      <c r="VRZ8"/>
      <c r="VSA8"/>
      <c r="VSB8"/>
      <c r="VSC8"/>
      <c r="VSD8"/>
      <c r="VSE8"/>
      <c r="VSF8"/>
      <c r="VSG8"/>
      <c r="VSH8"/>
      <c r="VSI8"/>
      <c r="VSJ8"/>
      <c r="VSK8"/>
      <c r="VSL8"/>
      <c r="VSM8"/>
      <c r="VSN8"/>
      <c r="VSO8"/>
      <c r="VSP8"/>
      <c r="VSQ8"/>
      <c r="VSR8"/>
      <c r="VSS8"/>
      <c r="VST8"/>
      <c r="VSU8"/>
      <c r="VSV8"/>
      <c r="VSW8"/>
      <c r="VSX8"/>
      <c r="VSY8"/>
      <c r="VSZ8"/>
      <c r="VTA8"/>
      <c r="VTB8"/>
      <c r="VTC8"/>
      <c r="VTD8"/>
      <c r="VTE8"/>
      <c r="VTF8"/>
      <c r="VTG8"/>
      <c r="VTH8"/>
      <c r="VTI8"/>
      <c r="VTJ8"/>
      <c r="VTK8"/>
      <c r="VTL8"/>
      <c r="VTM8"/>
      <c r="VTN8"/>
      <c r="VTO8"/>
      <c r="VTP8"/>
      <c r="VTQ8"/>
      <c r="VTR8"/>
      <c r="VTS8"/>
      <c r="VTT8"/>
      <c r="VTU8"/>
      <c r="VTV8"/>
      <c r="VTW8"/>
      <c r="VTX8"/>
      <c r="VTY8"/>
      <c r="VTZ8"/>
      <c r="VUA8"/>
      <c r="VUB8"/>
      <c r="VUC8"/>
      <c r="VUD8"/>
      <c r="VUE8"/>
      <c r="VUF8"/>
      <c r="VUG8"/>
      <c r="VUH8"/>
      <c r="VUI8"/>
      <c r="VUJ8"/>
      <c r="VUK8"/>
      <c r="VUL8"/>
      <c r="VUM8"/>
      <c r="VUN8"/>
      <c r="VUO8"/>
      <c r="VUP8"/>
      <c r="VUQ8"/>
      <c r="VUR8"/>
      <c r="VUS8"/>
      <c r="VUT8"/>
      <c r="VUU8"/>
      <c r="VUV8"/>
      <c r="VUW8"/>
      <c r="VUX8"/>
      <c r="VUY8"/>
      <c r="VUZ8"/>
      <c r="VVA8"/>
      <c r="VVB8"/>
      <c r="VVC8"/>
      <c r="VVD8"/>
      <c r="VVE8"/>
      <c r="VVF8"/>
      <c r="VVG8"/>
      <c r="VVH8"/>
      <c r="VVI8"/>
      <c r="VVJ8"/>
      <c r="VVK8"/>
      <c r="VVL8"/>
      <c r="VVM8"/>
      <c r="VVN8"/>
      <c r="VVO8"/>
      <c r="VVP8"/>
      <c r="VVQ8"/>
      <c r="VVR8"/>
      <c r="VVS8"/>
      <c r="VVT8"/>
      <c r="VVU8"/>
      <c r="VVV8"/>
      <c r="VVW8"/>
      <c r="VVX8"/>
      <c r="VVY8"/>
      <c r="VVZ8"/>
      <c r="VWA8"/>
      <c r="VWB8"/>
      <c r="VWC8"/>
      <c r="VWD8"/>
      <c r="VWE8"/>
      <c r="VWF8"/>
      <c r="VWG8"/>
      <c r="VWH8"/>
      <c r="VWI8"/>
      <c r="VWJ8"/>
      <c r="VWK8"/>
      <c r="VWL8"/>
      <c r="VWM8"/>
      <c r="VWN8"/>
      <c r="VWO8"/>
      <c r="VWP8"/>
      <c r="VWQ8"/>
      <c r="VWR8"/>
      <c r="VWS8"/>
      <c r="VWT8"/>
      <c r="VWU8"/>
      <c r="VWV8"/>
      <c r="VWW8"/>
      <c r="VWX8"/>
      <c r="VWY8"/>
      <c r="VWZ8"/>
      <c r="VXA8"/>
      <c r="VXB8"/>
      <c r="VXC8"/>
      <c r="VXD8"/>
      <c r="VXE8"/>
      <c r="VXF8"/>
      <c r="VXG8"/>
      <c r="VXH8"/>
      <c r="VXI8"/>
      <c r="VXJ8"/>
      <c r="VXK8"/>
      <c r="VXL8"/>
      <c r="VXM8"/>
      <c r="VXN8"/>
      <c r="VXO8"/>
      <c r="VXP8"/>
      <c r="VXQ8"/>
      <c r="VXR8"/>
      <c r="VXS8"/>
      <c r="VXT8"/>
      <c r="VXU8"/>
      <c r="VXV8"/>
      <c r="VXW8"/>
      <c r="VXX8"/>
      <c r="VXY8"/>
      <c r="VXZ8"/>
      <c r="VYA8"/>
      <c r="VYB8"/>
      <c r="VYC8"/>
      <c r="VYD8"/>
      <c r="VYE8"/>
      <c r="VYF8"/>
      <c r="VYG8"/>
      <c r="VYH8"/>
      <c r="VYI8"/>
      <c r="VYJ8"/>
      <c r="VYK8"/>
      <c r="VYL8"/>
      <c r="VYM8"/>
      <c r="VYN8"/>
      <c r="VYO8"/>
      <c r="VYP8"/>
      <c r="VYQ8"/>
      <c r="VYR8"/>
      <c r="VYS8"/>
      <c r="VYT8"/>
      <c r="VYU8"/>
      <c r="VYV8"/>
      <c r="VYW8"/>
      <c r="VYX8"/>
      <c r="VYY8"/>
      <c r="VYZ8"/>
      <c r="VZA8"/>
      <c r="VZB8"/>
      <c r="VZC8"/>
      <c r="VZD8"/>
      <c r="VZE8"/>
      <c r="VZF8"/>
      <c r="VZG8"/>
      <c r="VZH8"/>
      <c r="VZI8"/>
      <c r="VZJ8"/>
      <c r="VZK8"/>
      <c r="VZL8"/>
      <c r="VZM8"/>
      <c r="VZN8"/>
      <c r="VZO8"/>
      <c r="VZP8"/>
      <c r="VZQ8"/>
      <c r="VZR8"/>
      <c r="VZS8"/>
      <c r="VZT8"/>
      <c r="VZU8"/>
      <c r="VZV8"/>
      <c r="VZW8"/>
      <c r="VZX8"/>
      <c r="VZY8"/>
      <c r="VZZ8"/>
      <c r="WAA8"/>
      <c r="WAB8"/>
      <c r="WAC8"/>
      <c r="WAD8"/>
      <c r="WAE8"/>
      <c r="WAF8"/>
      <c r="WAG8"/>
      <c r="WAH8"/>
      <c r="WAI8"/>
      <c r="WAJ8"/>
      <c r="WAK8"/>
      <c r="WAL8"/>
      <c r="WAM8"/>
      <c r="WAN8"/>
      <c r="WAO8"/>
      <c r="WAP8"/>
      <c r="WAQ8"/>
      <c r="WAR8"/>
      <c r="WAS8"/>
      <c r="WAT8"/>
      <c r="WAU8"/>
      <c r="WAV8"/>
      <c r="WAW8"/>
      <c r="WAX8"/>
      <c r="WAY8"/>
      <c r="WAZ8"/>
      <c r="WBA8"/>
      <c r="WBB8"/>
      <c r="WBC8"/>
      <c r="WBD8"/>
      <c r="WBE8"/>
      <c r="WBF8"/>
      <c r="WBG8"/>
      <c r="WBH8"/>
      <c r="WBI8"/>
      <c r="WBJ8"/>
      <c r="WBK8"/>
      <c r="WBL8"/>
      <c r="WBM8"/>
      <c r="WBN8"/>
      <c r="WBO8"/>
      <c r="WBP8"/>
      <c r="WBQ8"/>
      <c r="WBR8"/>
      <c r="WBS8"/>
      <c r="WBT8"/>
      <c r="WBU8"/>
      <c r="WBV8"/>
      <c r="WBW8"/>
      <c r="WBX8"/>
      <c r="WBY8"/>
      <c r="WBZ8"/>
      <c r="WCA8"/>
      <c r="WCB8"/>
      <c r="WCC8"/>
      <c r="WCD8"/>
      <c r="WCE8"/>
      <c r="WCF8"/>
      <c r="WCG8"/>
      <c r="WCH8"/>
      <c r="WCI8"/>
      <c r="WCJ8"/>
      <c r="WCK8"/>
      <c r="WCL8"/>
      <c r="WCM8"/>
      <c r="WCN8"/>
      <c r="WCO8"/>
      <c r="WCP8"/>
      <c r="WCQ8"/>
      <c r="WCR8"/>
      <c r="WCS8"/>
      <c r="WCT8"/>
      <c r="WCU8"/>
      <c r="WCV8"/>
      <c r="WCW8"/>
      <c r="WCX8"/>
      <c r="WCY8"/>
      <c r="WCZ8"/>
      <c r="WDA8"/>
      <c r="WDB8"/>
      <c r="WDC8"/>
      <c r="WDD8"/>
      <c r="WDE8"/>
      <c r="WDF8"/>
      <c r="WDG8"/>
      <c r="WDH8"/>
      <c r="WDI8"/>
      <c r="WDJ8"/>
      <c r="WDK8"/>
      <c r="WDL8"/>
      <c r="WDM8"/>
      <c r="WDN8"/>
      <c r="WDO8"/>
      <c r="WDP8"/>
      <c r="WDQ8"/>
      <c r="WDR8"/>
      <c r="WDS8"/>
      <c r="WDT8"/>
      <c r="WDU8"/>
      <c r="WDV8"/>
      <c r="WDW8"/>
      <c r="WDX8"/>
      <c r="WDY8"/>
      <c r="WDZ8"/>
      <c r="WEA8"/>
      <c r="WEB8"/>
      <c r="WEC8"/>
      <c r="WED8"/>
      <c r="WEE8"/>
      <c r="WEF8"/>
      <c r="WEG8"/>
      <c r="WEH8"/>
      <c r="WEI8"/>
      <c r="WEJ8"/>
      <c r="WEK8"/>
      <c r="WEL8"/>
      <c r="WEM8"/>
      <c r="WEN8"/>
      <c r="WEO8"/>
      <c r="WEP8"/>
      <c r="WEQ8"/>
      <c r="WER8"/>
      <c r="WES8"/>
      <c r="WET8"/>
      <c r="WEU8"/>
      <c r="WEV8"/>
      <c r="WEW8"/>
      <c r="WEX8"/>
      <c r="WEY8"/>
      <c r="WEZ8"/>
      <c r="WFA8"/>
      <c r="WFB8"/>
      <c r="WFC8"/>
      <c r="WFD8"/>
      <c r="WFE8"/>
      <c r="WFF8"/>
      <c r="WFG8"/>
      <c r="WFH8"/>
      <c r="WFI8"/>
      <c r="WFJ8"/>
      <c r="WFK8"/>
      <c r="WFL8"/>
      <c r="WFM8"/>
      <c r="WFN8"/>
      <c r="WFO8"/>
      <c r="WFP8"/>
      <c r="WFQ8"/>
      <c r="WFR8"/>
      <c r="WFS8"/>
      <c r="WFT8"/>
      <c r="WFU8"/>
      <c r="WFV8"/>
      <c r="WFW8"/>
      <c r="WFX8"/>
      <c r="WFY8"/>
      <c r="WFZ8"/>
      <c r="WGA8"/>
      <c r="WGB8"/>
      <c r="WGC8"/>
      <c r="WGD8"/>
      <c r="WGE8"/>
      <c r="WGF8"/>
      <c r="WGG8"/>
      <c r="WGH8"/>
      <c r="WGI8"/>
      <c r="WGJ8"/>
      <c r="WGK8"/>
      <c r="WGL8"/>
      <c r="WGM8"/>
      <c r="WGN8"/>
      <c r="WGO8"/>
      <c r="WGP8"/>
      <c r="WGQ8"/>
      <c r="WGR8"/>
      <c r="WGS8"/>
      <c r="WGT8"/>
      <c r="WGU8"/>
      <c r="WGV8"/>
      <c r="WGW8"/>
      <c r="WGX8"/>
      <c r="WGY8"/>
      <c r="WGZ8"/>
      <c r="WHA8"/>
      <c r="WHB8"/>
      <c r="WHC8"/>
      <c r="WHD8"/>
      <c r="WHE8"/>
      <c r="WHF8"/>
      <c r="WHG8"/>
      <c r="WHH8"/>
      <c r="WHI8"/>
      <c r="WHJ8"/>
      <c r="WHK8"/>
      <c r="WHL8"/>
      <c r="WHM8"/>
      <c r="WHN8"/>
      <c r="WHO8"/>
      <c r="WHP8"/>
      <c r="WHQ8"/>
      <c r="WHR8"/>
      <c r="WHS8"/>
      <c r="WHT8"/>
      <c r="WHU8"/>
      <c r="WHV8"/>
      <c r="WHW8"/>
      <c r="WHX8"/>
      <c r="WHY8"/>
      <c r="WHZ8"/>
      <c r="WIA8"/>
      <c r="WIB8"/>
      <c r="WIC8"/>
      <c r="WID8"/>
      <c r="WIE8"/>
      <c r="WIF8"/>
      <c r="WIG8"/>
      <c r="WIH8"/>
      <c r="WII8"/>
      <c r="WIJ8"/>
      <c r="WIK8"/>
      <c r="WIL8"/>
      <c r="WIM8"/>
      <c r="WIN8"/>
      <c r="WIO8"/>
      <c r="WIP8"/>
      <c r="WIQ8"/>
      <c r="WIR8"/>
      <c r="WIS8"/>
      <c r="WIT8"/>
      <c r="WIU8"/>
      <c r="WIV8"/>
      <c r="WIW8"/>
      <c r="WIX8"/>
      <c r="WIY8"/>
      <c r="WIZ8"/>
      <c r="WJA8"/>
      <c r="WJB8"/>
      <c r="WJC8"/>
      <c r="WJD8"/>
      <c r="WJE8"/>
      <c r="WJF8"/>
      <c r="WJG8"/>
      <c r="WJH8"/>
      <c r="WJI8"/>
      <c r="WJJ8"/>
      <c r="WJK8"/>
      <c r="WJL8"/>
      <c r="WJM8"/>
      <c r="WJN8"/>
      <c r="WJO8"/>
      <c r="WJP8"/>
      <c r="WJQ8"/>
      <c r="WJR8"/>
      <c r="WJS8"/>
      <c r="WJT8"/>
      <c r="WJU8"/>
      <c r="WJV8"/>
      <c r="WJW8"/>
      <c r="WJX8"/>
      <c r="WJY8"/>
      <c r="WJZ8"/>
      <c r="WKA8"/>
      <c r="WKB8"/>
      <c r="WKC8"/>
      <c r="WKD8"/>
      <c r="WKE8"/>
      <c r="WKF8"/>
      <c r="WKG8"/>
      <c r="WKH8"/>
      <c r="WKI8"/>
      <c r="WKJ8"/>
      <c r="WKK8"/>
      <c r="WKL8"/>
      <c r="WKM8"/>
      <c r="WKN8"/>
      <c r="WKO8"/>
      <c r="WKP8"/>
      <c r="WKQ8"/>
      <c r="WKR8"/>
      <c r="WKS8"/>
      <c r="WKT8"/>
      <c r="WKU8"/>
      <c r="WKV8"/>
      <c r="WKW8"/>
      <c r="WKX8"/>
      <c r="WKY8"/>
      <c r="WKZ8"/>
      <c r="WLA8"/>
      <c r="WLB8"/>
      <c r="WLC8"/>
      <c r="WLD8"/>
      <c r="WLE8"/>
      <c r="WLF8"/>
      <c r="WLG8"/>
      <c r="WLH8"/>
      <c r="WLI8"/>
      <c r="WLJ8"/>
      <c r="WLK8"/>
      <c r="WLL8"/>
      <c r="WLM8"/>
      <c r="WLN8"/>
      <c r="WLO8"/>
      <c r="WLP8"/>
      <c r="WLQ8"/>
      <c r="WLR8"/>
      <c r="WLS8"/>
      <c r="WLT8"/>
      <c r="WLU8"/>
      <c r="WLV8"/>
      <c r="WLW8"/>
      <c r="WLX8"/>
      <c r="WLY8"/>
      <c r="WLZ8"/>
      <c r="WMA8"/>
      <c r="WMB8"/>
      <c r="WMC8"/>
      <c r="WMD8"/>
      <c r="WME8"/>
      <c r="WMF8"/>
      <c r="WMG8"/>
      <c r="WMH8"/>
      <c r="WMI8"/>
      <c r="WMJ8"/>
      <c r="WMK8"/>
      <c r="WML8"/>
      <c r="WMM8"/>
      <c r="WMN8"/>
      <c r="WMO8"/>
      <c r="WMP8"/>
      <c r="WMQ8"/>
      <c r="WMR8"/>
      <c r="WMS8"/>
      <c r="WMT8"/>
      <c r="WMU8"/>
      <c r="WMV8"/>
      <c r="WMW8"/>
      <c r="WMX8"/>
      <c r="WMY8"/>
      <c r="WMZ8"/>
      <c r="WNA8"/>
      <c r="WNB8"/>
      <c r="WNC8"/>
      <c r="WND8"/>
      <c r="WNE8"/>
      <c r="WNF8"/>
      <c r="WNG8"/>
      <c r="WNH8"/>
      <c r="WNI8"/>
      <c r="WNJ8"/>
      <c r="WNK8"/>
      <c r="WNL8"/>
      <c r="WNM8"/>
      <c r="WNN8"/>
      <c r="WNO8"/>
      <c r="WNP8"/>
      <c r="WNQ8"/>
      <c r="WNR8"/>
      <c r="WNS8"/>
      <c r="WNT8"/>
      <c r="WNU8"/>
      <c r="WNV8"/>
      <c r="WNW8"/>
      <c r="WNX8"/>
      <c r="WNY8"/>
      <c r="WNZ8"/>
      <c r="WOA8"/>
      <c r="WOB8"/>
      <c r="WOC8"/>
      <c r="WOD8"/>
      <c r="WOE8"/>
      <c r="WOF8"/>
      <c r="WOG8"/>
      <c r="WOH8"/>
      <c r="WOI8"/>
      <c r="WOJ8"/>
      <c r="WOK8"/>
      <c r="WOL8"/>
      <c r="WOM8"/>
      <c r="WON8"/>
      <c r="WOO8"/>
      <c r="WOP8"/>
      <c r="WOQ8"/>
      <c r="WOR8"/>
      <c r="WOS8"/>
      <c r="WOT8"/>
      <c r="WOU8"/>
      <c r="WOV8"/>
      <c r="WOW8"/>
      <c r="WOX8"/>
      <c r="WOY8"/>
      <c r="WOZ8"/>
      <c r="WPA8"/>
      <c r="WPB8"/>
      <c r="WPC8"/>
      <c r="WPD8"/>
      <c r="WPE8"/>
      <c r="WPF8"/>
      <c r="WPG8"/>
      <c r="WPH8"/>
      <c r="WPI8"/>
      <c r="WPJ8"/>
      <c r="WPK8"/>
      <c r="WPL8"/>
      <c r="WPM8"/>
      <c r="WPN8"/>
      <c r="WPO8"/>
      <c r="WPP8"/>
      <c r="WPQ8"/>
      <c r="WPR8"/>
      <c r="WPS8"/>
      <c r="WPT8"/>
      <c r="WPU8"/>
      <c r="WPV8"/>
      <c r="WPW8"/>
      <c r="WPX8"/>
      <c r="WPY8"/>
      <c r="WPZ8"/>
      <c r="WQA8"/>
      <c r="WQB8"/>
      <c r="WQC8"/>
      <c r="WQD8"/>
      <c r="WQE8"/>
      <c r="WQF8"/>
      <c r="WQG8"/>
      <c r="WQH8"/>
      <c r="WQI8"/>
      <c r="WQJ8"/>
      <c r="WQK8"/>
      <c r="WQL8"/>
      <c r="WQM8"/>
      <c r="WQN8"/>
      <c r="WQO8"/>
      <c r="WQP8"/>
      <c r="WQQ8"/>
      <c r="WQR8"/>
      <c r="WQS8"/>
      <c r="WQT8"/>
      <c r="WQU8"/>
      <c r="WQV8"/>
      <c r="WQW8"/>
      <c r="WQX8"/>
      <c r="WQY8"/>
      <c r="WQZ8"/>
      <c r="WRA8"/>
      <c r="WRB8"/>
      <c r="WRC8"/>
      <c r="WRD8"/>
      <c r="WRE8"/>
      <c r="WRF8"/>
      <c r="WRG8"/>
      <c r="WRH8"/>
      <c r="WRI8"/>
      <c r="WRJ8"/>
      <c r="WRK8"/>
      <c r="WRL8"/>
      <c r="WRM8"/>
      <c r="WRN8"/>
      <c r="WRO8"/>
      <c r="WRP8"/>
      <c r="WRQ8"/>
      <c r="WRR8"/>
      <c r="WRS8"/>
      <c r="WRT8"/>
      <c r="WRU8"/>
      <c r="WRV8"/>
      <c r="WRW8"/>
      <c r="WRX8"/>
      <c r="WRY8"/>
      <c r="WRZ8"/>
      <c r="WSA8"/>
      <c r="WSB8"/>
      <c r="WSC8"/>
      <c r="WSD8"/>
      <c r="WSE8"/>
      <c r="WSF8"/>
      <c r="WSG8"/>
      <c r="WSH8"/>
      <c r="WSI8"/>
      <c r="WSJ8"/>
      <c r="WSK8"/>
      <c r="WSL8"/>
      <c r="WSM8"/>
      <c r="WSN8"/>
      <c r="WSO8"/>
      <c r="WSP8"/>
      <c r="WSQ8"/>
      <c r="WSR8"/>
      <c r="WSS8"/>
      <c r="WST8"/>
      <c r="WSU8"/>
      <c r="WSV8"/>
      <c r="WSW8"/>
      <c r="WSX8"/>
      <c r="WSY8"/>
      <c r="WSZ8"/>
      <c r="WTA8"/>
      <c r="WTB8"/>
      <c r="WTC8"/>
      <c r="WTD8"/>
      <c r="WTE8"/>
      <c r="WTF8"/>
      <c r="WTG8"/>
      <c r="WTH8"/>
      <c r="WTI8"/>
      <c r="WTJ8"/>
      <c r="WTK8"/>
      <c r="WTL8"/>
      <c r="WTM8"/>
      <c r="WTN8"/>
      <c r="WTO8"/>
      <c r="WTP8"/>
      <c r="WTQ8"/>
      <c r="WTR8"/>
      <c r="WTS8"/>
      <c r="WTT8"/>
      <c r="WTU8"/>
      <c r="WTV8"/>
      <c r="WTW8"/>
      <c r="WTX8"/>
      <c r="WTY8"/>
      <c r="WTZ8"/>
      <c r="WUA8"/>
      <c r="WUB8"/>
      <c r="WUC8"/>
      <c r="WUD8"/>
      <c r="WUE8"/>
      <c r="WUF8"/>
      <c r="WUG8"/>
      <c r="WUH8"/>
      <c r="WUI8"/>
      <c r="WUJ8"/>
      <c r="WUK8"/>
      <c r="WUL8"/>
      <c r="WUM8"/>
      <c r="WUN8"/>
      <c r="WUO8"/>
      <c r="WUP8"/>
      <c r="WUQ8"/>
      <c r="WUR8"/>
      <c r="WUS8"/>
      <c r="WUT8"/>
      <c r="WUU8"/>
      <c r="WUV8"/>
      <c r="WUW8"/>
      <c r="WUX8"/>
      <c r="WUY8"/>
      <c r="WUZ8"/>
      <c r="WVA8"/>
      <c r="WVB8"/>
      <c r="WVC8"/>
      <c r="WVD8"/>
      <c r="WVE8"/>
      <c r="WVF8"/>
      <c r="WVG8"/>
      <c r="WVH8"/>
      <c r="WVI8"/>
      <c r="WVJ8"/>
      <c r="WVK8"/>
      <c r="WVL8"/>
      <c r="WVM8"/>
      <c r="WVN8"/>
      <c r="WVO8"/>
      <c r="WVP8"/>
      <c r="WVQ8"/>
      <c r="WVR8"/>
      <c r="WVS8"/>
      <c r="WVT8"/>
      <c r="WVU8"/>
      <c r="WVV8"/>
      <c r="WVW8"/>
      <c r="WVX8"/>
      <c r="WVY8"/>
      <c r="WVZ8"/>
      <c r="WWA8"/>
      <c r="WWB8"/>
      <c r="WWC8"/>
      <c r="WWD8"/>
      <c r="WWE8"/>
      <c r="WWF8"/>
      <c r="WWG8"/>
      <c r="WWH8"/>
      <c r="WWI8"/>
      <c r="WWJ8"/>
      <c r="WWK8"/>
      <c r="WWL8"/>
      <c r="WWM8"/>
      <c r="WWN8"/>
      <c r="WWO8"/>
      <c r="WWP8"/>
      <c r="WWQ8"/>
      <c r="WWR8"/>
      <c r="WWS8"/>
      <c r="WWT8"/>
      <c r="WWU8"/>
      <c r="WWV8"/>
      <c r="WWW8"/>
      <c r="WWX8"/>
      <c r="WWY8"/>
      <c r="WWZ8"/>
      <c r="WXA8"/>
      <c r="WXB8"/>
      <c r="WXC8"/>
      <c r="WXD8"/>
      <c r="WXE8"/>
      <c r="WXF8"/>
      <c r="WXG8"/>
      <c r="WXH8"/>
      <c r="WXI8"/>
      <c r="WXJ8"/>
      <c r="WXK8"/>
      <c r="WXL8"/>
      <c r="WXM8"/>
      <c r="WXN8"/>
      <c r="WXO8"/>
      <c r="WXP8"/>
      <c r="WXQ8"/>
      <c r="WXR8"/>
      <c r="WXS8"/>
      <c r="WXT8"/>
      <c r="WXU8"/>
      <c r="WXV8"/>
      <c r="WXW8"/>
      <c r="WXX8"/>
      <c r="WXY8"/>
      <c r="WXZ8"/>
      <c r="WYA8"/>
      <c r="WYB8"/>
      <c r="WYC8"/>
      <c r="WYD8"/>
      <c r="WYE8"/>
      <c r="WYF8"/>
      <c r="WYG8"/>
      <c r="WYH8"/>
      <c r="WYI8"/>
      <c r="WYJ8"/>
      <c r="WYK8"/>
      <c r="WYL8"/>
      <c r="WYM8"/>
      <c r="WYN8"/>
      <c r="WYO8"/>
      <c r="WYP8"/>
      <c r="WYQ8"/>
      <c r="WYR8"/>
      <c r="WYS8"/>
      <c r="WYT8"/>
      <c r="WYU8"/>
      <c r="WYV8"/>
      <c r="WYW8"/>
      <c r="WYX8"/>
      <c r="WYY8"/>
      <c r="WYZ8"/>
      <c r="WZA8"/>
      <c r="WZB8"/>
      <c r="WZC8"/>
      <c r="WZD8"/>
      <c r="WZE8"/>
      <c r="WZF8"/>
      <c r="WZG8"/>
      <c r="WZH8"/>
      <c r="WZI8"/>
      <c r="WZJ8"/>
      <c r="WZK8"/>
      <c r="WZL8"/>
      <c r="WZM8"/>
      <c r="WZN8"/>
      <c r="WZO8"/>
      <c r="WZP8"/>
      <c r="WZQ8"/>
      <c r="WZR8"/>
      <c r="WZS8"/>
      <c r="WZT8"/>
      <c r="WZU8"/>
      <c r="WZV8"/>
      <c r="WZW8"/>
      <c r="WZX8"/>
      <c r="WZY8"/>
      <c r="WZZ8"/>
      <c r="XAA8"/>
      <c r="XAB8"/>
      <c r="XAC8"/>
      <c r="XAD8"/>
      <c r="XAE8"/>
      <c r="XAF8"/>
      <c r="XAG8"/>
      <c r="XAH8"/>
      <c r="XAI8"/>
      <c r="XAJ8"/>
      <c r="XAK8"/>
      <c r="XAL8"/>
      <c r="XAM8"/>
      <c r="XAN8"/>
      <c r="XAO8"/>
      <c r="XAP8"/>
      <c r="XAQ8"/>
      <c r="XAR8"/>
      <c r="XAS8"/>
      <c r="XAT8"/>
      <c r="XAU8"/>
      <c r="XAV8"/>
      <c r="XAW8"/>
      <c r="XAX8"/>
      <c r="XAY8"/>
      <c r="XAZ8"/>
      <c r="XBA8"/>
      <c r="XBB8"/>
      <c r="XBC8"/>
      <c r="XBD8"/>
      <c r="XBE8"/>
      <c r="XBF8"/>
      <c r="XBG8"/>
      <c r="XBH8"/>
      <c r="XBI8"/>
      <c r="XBJ8"/>
      <c r="XBK8"/>
      <c r="XBL8"/>
      <c r="XBM8"/>
      <c r="XBN8"/>
      <c r="XBO8"/>
      <c r="XBP8"/>
      <c r="XBQ8"/>
      <c r="XBR8"/>
      <c r="XBS8"/>
      <c r="XBT8"/>
      <c r="XBU8"/>
      <c r="XBV8"/>
      <c r="XBW8"/>
      <c r="XBX8"/>
      <c r="XBY8"/>
      <c r="XBZ8"/>
      <c r="XCA8"/>
      <c r="XCB8"/>
      <c r="XCC8"/>
      <c r="XCD8"/>
      <c r="XCE8"/>
      <c r="XCF8"/>
      <c r="XCG8"/>
      <c r="XCH8"/>
      <c r="XCI8"/>
      <c r="XCJ8"/>
      <c r="XCK8"/>
      <c r="XCL8"/>
      <c r="XCM8"/>
      <c r="XCN8"/>
      <c r="XCO8"/>
      <c r="XCP8"/>
      <c r="XCQ8"/>
      <c r="XCR8"/>
      <c r="XCS8"/>
      <c r="XCT8"/>
      <c r="XCU8"/>
      <c r="XCV8"/>
      <c r="XCW8"/>
      <c r="XCX8"/>
      <c r="XCY8"/>
      <c r="XCZ8"/>
      <c r="XDA8"/>
      <c r="XDB8"/>
      <c r="XDC8"/>
      <c r="XDD8"/>
      <c r="XDE8"/>
      <c r="XDF8"/>
      <c r="XDG8"/>
      <c r="XDH8"/>
      <c r="XDI8"/>
      <c r="XDJ8"/>
      <c r="XDK8"/>
      <c r="XDL8"/>
      <c r="XDM8"/>
      <c r="XDN8"/>
      <c r="XDO8"/>
      <c r="XDP8"/>
      <c r="XDQ8"/>
      <c r="XDR8"/>
      <c r="XDS8"/>
      <c r="XDT8"/>
      <c r="XDU8"/>
      <c r="XDV8"/>
      <c r="XDW8"/>
      <c r="XDX8"/>
      <c r="XDY8"/>
      <c r="XDZ8"/>
      <c r="XEA8"/>
      <c r="XEB8"/>
      <c r="XEC8"/>
      <c r="XED8"/>
      <c r="XEE8"/>
      <c r="XEF8"/>
      <c r="XEG8"/>
      <c r="XEH8"/>
      <c r="XEI8"/>
      <c r="XEJ8"/>
      <c r="XEK8"/>
      <c r="XEL8"/>
      <c r="XEM8"/>
      <c r="XEN8"/>
      <c r="XEO8"/>
      <c r="XEP8"/>
      <c r="XEQ8"/>
      <c r="XER8"/>
      <c r="XES8"/>
      <c r="XET8"/>
      <c r="XEU8"/>
      <c r="XEV8"/>
      <c r="XEW8"/>
      <c r="XEX8"/>
      <c r="XEY8"/>
      <c r="XEZ8"/>
      <c r="XFA8"/>
      <c r="XFB8"/>
      <c r="XFC8"/>
      <c r="XFD8"/>
    </row>
    <row r="9" spans="1:16384" x14ac:dyDescent="0.2">
      <c r="B9" s="1692"/>
      <c r="C9" s="1692"/>
      <c r="D9" s="1692"/>
      <c r="E9" s="1692"/>
      <c r="F9" s="1692"/>
      <c r="G9" s="1692"/>
      <c r="H9" s="3592" t="s">
        <v>1702</v>
      </c>
      <c r="I9" s="3593"/>
      <c r="J9" s="3594"/>
      <c r="K9" s="3592" t="s">
        <v>1742</v>
      </c>
      <c r="L9" s="3593"/>
      <c r="M9" s="3594"/>
      <c r="N9" s="3592" t="s">
        <v>1892</v>
      </c>
      <c r="O9" s="3593"/>
      <c r="P9" s="3594"/>
      <c r="Q9" s="1692"/>
      <c r="R9" s="1692"/>
    </row>
    <row r="10" spans="1:16384" x14ac:dyDescent="0.2">
      <c r="B10" s="1692"/>
      <c r="C10" s="1692"/>
      <c r="D10" s="3190" t="s">
        <v>414</v>
      </c>
      <c r="E10" s="3191" t="s">
        <v>531</v>
      </c>
      <c r="F10" s="3190" t="s">
        <v>40</v>
      </c>
      <c r="G10" s="3191" t="s">
        <v>1893</v>
      </c>
      <c r="H10" s="3192" t="s">
        <v>398</v>
      </c>
      <c r="I10" s="3193" t="s">
        <v>400</v>
      </c>
      <c r="J10" s="3194" t="s">
        <v>401</v>
      </c>
      <c r="K10" s="3192" t="s">
        <v>398</v>
      </c>
      <c r="L10" s="3193" t="s">
        <v>400</v>
      </c>
      <c r="M10" s="3195" t="s">
        <v>401</v>
      </c>
      <c r="N10" s="3196" t="s">
        <v>398</v>
      </c>
      <c r="O10" s="3197" t="s">
        <v>400</v>
      </c>
      <c r="P10" s="3197" t="s">
        <v>401</v>
      </c>
      <c r="Q10" s="1692"/>
      <c r="R10" s="1692"/>
    </row>
    <row r="11" spans="1:16384" x14ac:dyDescent="0.2">
      <c r="B11" s="1692"/>
      <c r="C11" s="1692"/>
      <c r="D11" s="3198" t="s">
        <v>1720</v>
      </c>
      <c r="E11" s="3199" t="s">
        <v>387</v>
      </c>
      <c r="F11" s="3198" t="s">
        <v>420</v>
      </c>
      <c r="G11" s="3199" t="str">
        <f>CONCATENATE(D11,"_",F11)</f>
        <v>V.031_Transporte</v>
      </c>
      <c r="H11" s="3200">
        <v>96100</v>
      </c>
      <c r="I11" s="3197">
        <v>2</v>
      </c>
      <c r="J11" s="3201">
        <v>1.5</v>
      </c>
      <c r="K11" s="3200">
        <f t="shared" ref="K11:K42" si="0">H11*E$139</f>
        <v>96100</v>
      </c>
      <c r="L11" s="3202">
        <f t="shared" ref="L11:L42" si="1">I11*E$140</f>
        <v>42</v>
      </c>
      <c r="M11" s="3203">
        <f t="shared" ref="M11:M42" si="2">J11*E$141</f>
        <v>465</v>
      </c>
      <c r="N11" s="3204">
        <f>K11/Conversiones!$F$12/1000/1000000</f>
        <v>0.3459323254139669</v>
      </c>
      <c r="O11" s="3205">
        <f>L11/Conversiones!$F$12/1000/1000000</f>
        <v>1.5118790496760259E-4</v>
      </c>
      <c r="P11" s="3205">
        <f>M11/Conversiones!$F$12/1000/1000000</f>
        <v>1.6738660907127431E-3</v>
      </c>
      <c r="Q11" s="1692"/>
      <c r="R11" s="1692"/>
    </row>
    <row r="12" spans="1:16384" x14ac:dyDescent="0.2">
      <c r="B12" s="1692"/>
      <c r="C12" s="1692"/>
      <c r="D12" s="3206" t="s">
        <v>1720</v>
      </c>
      <c r="E12" s="3207" t="s">
        <v>387</v>
      </c>
      <c r="F12" s="3206" t="s">
        <v>423</v>
      </c>
      <c r="G12" s="3199" t="str">
        <f>CONCATENATE(D12,"_",F12)</f>
        <v>V.031_Industria y Mineria</v>
      </c>
      <c r="H12" s="3208">
        <v>94600</v>
      </c>
      <c r="I12" s="3209">
        <v>10</v>
      </c>
      <c r="J12" s="3210">
        <v>1.5</v>
      </c>
      <c r="K12" s="3208">
        <f t="shared" si="0"/>
        <v>94600</v>
      </c>
      <c r="L12" s="3211">
        <f t="shared" si="1"/>
        <v>210</v>
      </c>
      <c r="M12" s="3212">
        <f t="shared" si="2"/>
        <v>465</v>
      </c>
      <c r="N12" s="3213">
        <f>K12/Conversiones!$F$12/1000/1000000</f>
        <v>0.34053275737940969</v>
      </c>
      <c r="O12" s="3214">
        <f>L12/Conversiones!$F$12/1000/1000000</f>
        <v>7.5593952483801296E-4</v>
      </c>
      <c r="P12" s="3214">
        <f>M12/Conversiones!$F$12/1000/1000000</f>
        <v>1.6738660907127431E-3</v>
      </c>
      <c r="Q12" s="1692"/>
      <c r="R12" s="1692"/>
    </row>
    <row r="13" spans="1:16384" x14ac:dyDescent="0.2">
      <c r="B13" s="1692"/>
      <c r="C13" s="1692"/>
      <c r="D13" s="3206" t="s">
        <v>1720</v>
      </c>
      <c r="E13" s="3207" t="s">
        <v>387</v>
      </c>
      <c r="F13" s="3206" t="s">
        <v>236</v>
      </c>
      <c r="G13" s="3199" t="str">
        <f t="shared" ref="G13:G76" si="3">CONCATENATE(D13,"_",F13)</f>
        <v>V.031_Generación</v>
      </c>
      <c r="H13" s="3208">
        <v>94600</v>
      </c>
      <c r="I13" s="3209">
        <v>1</v>
      </c>
      <c r="J13" s="3210">
        <v>1.5</v>
      </c>
      <c r="K13" s="3208">
        <f t="shared" si="0"/>
        <v>94600</v>
      </c>
      <c r="L13" s="3211">
        <f t="shared" si="1"/>
        <v>21</v>
      </c>
      <c r="M13" s="3212">
        <f t="shared" si="2"/>
        <v>465</v>
      </c>
      <c r="N13" s="3213">
        <f>K13/Conversiones!$F$12/1000/1000000</f>
        <v>0.34053275737940969</v>
      </c>
      <c r="O13" s="3214">
        <f>L13/Conversiones!$F$12/1000/1000000</f>
        <v>7.5593952483801296E-5</v>
      </c>
      <c r="P13" s="3214">
        <f>M13/Conversiones!$F$12/1000/1000000</f>
        <v>1.6738660907127431E-3</v>
      </c>
      <c r="Q13" s="1692"/>
      <c r="R13" s="1692"/>
    </row>
    <row r="14" spans="1:16384" x14ac:dyDescent="0.2">
      <c r="B14" s="1692"/>
      <c r="C14" s="1692"/>
      <c r="D14" s="3206" t="s">
        <v>1720</v>
      </c>
      <c r="E14" s="3207" t="s">
        <v>387</v>
      </c>
      <c r="F14" s="3206" t="s">
        <v>956</v>
      </c>
      <c r="G14" s="3199" t="str">
        <f t="shared" si="3"/>
        <v>V.031_CPR</v>
      </c>
      <c r="H14" s="3208">
        <v>94600</v>
      </c>
      <c r="I14" s="3209">
        <v>10</v>
      </c>
      <c r="J14" s="3210">
        <v>1.5</v>
      </c>
      <c r="K14" s="3208">
        <f t="shared" si="0"/>
        <v>94600</v>
      </c>
      <c r="L14" s="3211">
        <f t="shared" si="1"/>
        <v>210</v>
      </c>
      <c r="M14" s="3212">
        <f t="shared" si="2"/>
        <v>465</v>
      </c>
      <c r="N14" s="3213">
        <f>K14/Conversiones!$F$12/1000/1000000</f>
        <v>0.34053275737940969</v>
      </c>
      <c r="O14" s="3214">
        <f>L14/Conversiones!$F$12/1000/1000000</f>
        <v>7.5593952483801296E-4</v>
      </c>
      <c r="P14" s="3214">
        <f>M14/Conversiones!$F$12/1000/1000000</f>
        <v>1.6738660907127431E-3</v>
      </c>
      <c r="Q14" s="1692"/>
      <c r="R14" s="1692"/>
    </row>
    <row r="15" spans="1:16384" x14ac:dyDescent="0.2">
      <c r="B15" s="1692"/>
      <c r="C15" s="1692"/>
      <c r="D15" s="3215" t="s">
        <v>1720</v>
      </c>
      <c r="E15" s="3216" t="s">
        <v>387</v>
      </c>
      <c r="F15" s="3215" t="s">
        <v>955</v>
      </c>
      <c r="G15" s="3199" t="str">
        <f t="shared" si="3"/>
        <v>V.031_Otros Sectores</v>
      </c>
      <c r="H15" s="3208">
        <v>94600</v>
      </c>
      <c r="I15" s="3217">
        <v>300</v>
      </c>
      <c r="J15" s="3218">
        <v>1.5</v>
      </c>
      <c r="K15" s="3219">
        <f t="shared" si="0"/>
        <v>94600</v>
      </c>
      <c r="L15" s="3220">
        <f t="shared" si="1"/>
        <v>6300</v>
      </c>
      <c r="M15" s="3221">
        <f t="shared" si="2"/>
        <v>465</v>
      </c>
      <c r="N15" s="3222">
        <f>K15/Conversiones!$F$12/1000/1000000</f>
        <v>0.34053275737940969</v>
      </c>
      <c r="O15" s="3223">
        <f>L15/Conversiones!$F$12/1000/1000000</f>
        <v>2.267818574514039E-2</v>
      </c>
      <c r="P15" s="3223">
        <f>M15/Conversiones!$F$12/1000/1000000</f>
        <v>1.6738660907127431E-3</v>
      </c>
      <c r="Q15" s="1692"/>
      <c r="R15" s="1692"/>
    </row>
    <row r="16" spans="1:16384" x14ac:dyDescent="0.2">
      <c r="B16" s="1692"/>
      <c r="C16" s="1692"/>
      <c r="D16" s="3198" t="s">
        <v>1721</v>
      </c>
      <c r="E16" s="3207" t="s">
        <v>1177</v>
      </c>
      <c r="F16" s="3198" t="s">
        <v>420</v>
      </c>
      <c r="G16" s="3199" t="str">
        <f t="shared" si="3"/>
        <v>V.032_Transporte</v>
      </c>
      <c r="H16" s="3200">
        <v>107000</v>
      </c>
      <c r="I16" s="3197">
        <v>10</v>
      </c>
      <c r="J16" s="3201">
        <v>1.5</v>
      </c>
      <c r="K16" s="3208">
        <f t="shared" si="0"/>
        <v>107000</v>
      </c>
      <c r="L16" s="3211">
        <f t="shared" si="1"/>
        <v>210</v>
      </c>
      <c r="M16" s="3212">
        <f t="shared" si="2"/>
        <v>465</v>
      </c>
      <c r="N16" s="3213">
        <f>K16/Conversiones!$F$12/1000/1000000</f>
        <v>0.3851691864650828</v>
      </c>
      <c r="O16" s="3214">
        <f>L16/Conversiones!$F$12/1000/1000000</f>
        <v>7.5593952483801296E-4</v>
      </c>
      <c r="P16" s="3214">
        <f>M16/Conversiones!$F$12/1000/1000000</f>
        <v>1.6738660907127431E-3</v>
      </c>
      <c r="Q16" s="1692"/>
      <c r="R16" s="1692"/>
    </row>
    <row r="17" spans="2:31" x14ac:dyDescent="0.2">
      <c r="B17" s="1692"/>
      <c r="C17" s="1692"/>
      <c r="D17" s="3206" t="s">
        <v>1721</v>
      </c>
      <c r="E17" s="3207" t="s">
        <v>1177</v>
      </c>
      <c r="F17" s="3206" t="s">
        <v>423</v>
      </c>
      <c r="G17" s="3199" t="str">
        <f t="shared" si="3"/>
        <v>V.032_Industria y Mineria</v>
      </c>
      <c r="H17" s="3208">
        <v>107000</v>
      </c>
      <c r="I17" s="3209">
        <v>10</v>
      </c>
      <c r="J17" s="3210">
        <v>1.5</v>
      </c>
      <c r="K17" s="3208">
        <f t="shared" si="0"/>
        <v>107000</v>
      </c>
      <c r="L17" s="3211">
        <f t="shared" si="1"/>
        <v>210</v>
      </c>
      <c r="M17" s="3212">
        <f t="shared" si="2"/>
        <v>465</v>
      </c>
      <c r="N17" s="3213">
        <f>K17/Conversiones!$F$12/1000/1000000</f>
        <v>0.3851691864650828</v>
      </c>
      <c r="O17" s="3214">
        <f>L17/Conversiones!$F$12/1000/1000000</f>
        <v>7.5593952483801296E-4</v>
      </c>
      <c r="P17" s="3214">
        <f>M17/Conversiones!$F$12/1000/1000000</f>
        <v>1.6738660907127431E-3</v>
      </c>
      <c r="Q17" s="1692"/>
      <c r="R17" s="1692"/>
    </row>
    <row r="18" spans="2:31" ht="15" x14ac:dyDescent="0.25">
      <c r="B18" s="1692"/>
      <c r="C18" s="1692"/>
      <c r="D18" s="3206" t="s">
        <v>1721</v>
      </c>
      <c r="E18" s="3207" t="s">
        <v>1177</v>
      </c>
      <c r="F18" s="3206" t="s">
        <v>236</v>
      </c>
      <c r="G18" s="3199" t="str">
        <f t="shared" si="3"/>
        <v>V.032_Generación</v>
      </c>
      <c r="H18" s="3208">
        <v>107000</v>
      </c>
      <c r="I18" s="3209">
        <v>1</v>
      </c>
      <c r="J18" s="3210">
        <v>1.5</v>
      </c>
      <c r="K18" s="3208">
        <f t="shared" si="0"/>
        <v>107000</v>
      </c>
      <c r="L18" s="3211">
        <f t="shared" si="1"/>
        <v>21</v>
      </c>
      <c r="M18" s="3212">
        <f t="shared" si="2"/>
        <v>465</v>
      </c>
      <c r="N18" s="3213">
        <f>K18/Conversiones!$F$12/1000/1000000</f>
        <v>0.3851691864650828</v>
      </c>
      <c r="O18" s="3214">
        <f>L18/Conversiones!$F$12/1000/1000000</f>
        <v>7.5593952483801296E-5</v>
      </c>
      <c r="P18" s="3214">
        <f>M18/Conversiones!$F$12/1000/1000000</f>
        <v>1.6738660907127431E-3</v>
      </c>
      <c r="Q18" s="1692"/>
      <c r="R18" s="1692"/>
      <c r="AE18" s="2689"/>
    </row>
    <row r="19" spans="2:31" ht="15" x14ac:dyDescent="0.25">
      <c r="B19" s="1692"/>
      <c r="C19" s="1692"/>
      <c r="D19" s="3206" t="s">
        <v>1721</v>
      </c>
      <c r="E19" s="3207" t="s">
        <v>1177</v>
      </c>
      <c r="F19" s="3206" t="s">
        <v>956</v>
      </c>
      <c r="G19" s="3199" t="str">
        <f t="shared" si="3"/>
        <v>V.032_CPR</v>
      </c>
      <c r="H19" s="3208">
        <v>107000</v>
      </c>
      <c r="I19" s="3209">
        <v>10</v>
      </c>
      <c r="J19" s="3210">
        <v>1.5</v>
      </c>
      <c r="K19" s="3208">
        <f t="shared" si="0"/>
        <v>107000</v>
      </c>
      <c r="L19" s="3211">
        <f t="shared" si="1"/>
        <v>210</v>
      </c>
      <c r="M19" s="3212">
        <f t="shared" si="2"/>
        <v>465</v>
      </c>
      <c r="N19" s="3213">
        <f>K19/Conversiones!$F$12/1000/1000000</f>
        <v>0.3851691864650828</v>
      </c>
      <c r="O19" s="3214">
        <f>L19/Conversiones!$F$12/1000/1000000</f>
        <v>7.5593952483801296E-4</v>
      </c>
      <c r="P19" s="3214">
        <f>M19/Conversiones!$F$12/1000/1000000</f>
        <v>1.6738660907127431E-3</v>
      </c>
      <c r="Q19" s="1692"/>
      <c r="R19" s="1692"/>
      <c r="AE19" s="2689"/>
    </row>
    <row r="20" spans="2:31" ht="15" x14ac:dyDescent="0.25">
      <c r="B20" s="1692"/>
      <c r="C20" s="1692"/>
      <c r="D20" s="3215" t="s">
        <v>1721</v>
      </c>
      <c r="E20" s="3216" t="s">
        <v>1177</v>
      </c>
      <c r="F20" s="3215" t="s">
        <v>955</v>
      </c>
      <c r="G20" s="3199" t="str">
        <f t="shared" si="3"/>
        <v>V.032_Otros Sectores</v>
      </c>
      <c r="H20" s="3208">
        <v>107000</v>
      </c>
      <c r="I20" s="3217">
        <v>300</v>
      </c>
      <c r="J20" s="3218">
        <v>1.5</v>
      </c>
      <c r="K20" s="3208">
        <f t="shared" si="0"/>
        <v>107000</v>
      </c>
      <c r="L20" s="3211">
        <f t="shared" si="1"/>
        <v>6300</v>
      </c>
      <c r="M20" s="3212">
        <f t="shared" si="2"/>
        <v>465</v>
      </c>
      <c r="N20" s="3213">
        <f>K20/Conversiones!$F$12/1000/1000000</f>
        <v>0.3851691864650828</v>
      </c>
      <c r="O20" s="3214">
        <f>L20/Conversiones!$F$12/1000/1000000</f>
        <v>2.267818574514039E-2</v>
      </c>
      <c r="P20" s="3214">
        <f>M20/Conversiones!$F$12/1000/1000000</f>
        <v>1.6738660907127431E-3</v>
      </c>
      <c r="Q20" s="1692"/>
      <c r="R20" s="1692"/>
      <c r="AE20" s="2689"/>
    </row>
    <row r="21" spans="2:31" ht="15" x14ac:dyDescent="0.25">
      <c r="B21" s="1692"/>
      <c r="C21" s="1692"/>
      <c r="D21" s="3198" t="s">
        <v>1722</v>
      </c>
      <c r="E21" s="3207" t="s">
        <v>1180</v>
      </c>
      <c r="F21" s="3198" t="s">
        <v>420</v>
      </c>
      <c r="G21" s="3199" t="str">
        <f t="shared" si="3"/>
        <v>V.033_Transporte</v>
      </c>
      <c r="H21" s="3200">
        <v>107000</v>
      </c>
      <c r="I21" s="3197">
        <v>300</v>
      </c>
      <c r="J21" s="3201">
        <v>1.5</v>
      </c>
      <c r="K21" s="3200">
        <f t="shared" si="0"/>
        <v>107000</v>
      </c>
      <c r="L21" s="3202">
        <f t="shared" si="1"/>
        <v>6300</v>
      </c>
      <c r="M21" s="3203">
        <f t="shared" si="2"/>
        <v>465</v>
      </c>
      <c r="N21" s="3204">
        <f>K21/Conversiones!$F$12/1000/1000000</f>
        <v>0.3851691864650828</v>
      </c>
      <c r="O21" s="3205">
        <f>L21/Conversiones!$F$12/1000/1000000</f>
        <v>2.267818574514039E-2</v>
      </c>
      <c r="P21" s="3205">
        <f>M21/Conversiones!$F$12/1000/1000000</f>
        <v>1.6738660907127431E-3</v>
      </c>
      <c r="Q21" s="1692"/>
      <c r="R21" s="1692"/>
      <c r="AE21" s="2689"/>
    </row>
    <row r="22" spans="2:31" ht="15" x14ac:dyDescent="0.25">
      <c r="B22" s="1692"/>
      <c r="C22" s="1692"/>
      <c r="D22" s="3206" t="s">
        <v>1722</v>
      </c>
      <c r="E22" s="3207" t="s">
        <v>1180</v>
      </c>
      <c r="F22" s="3206" t="s">
        <v>423</v>
      </c>
      <c r="G22" s="3199" t="str">
        <f t="shared" si="3"/>
        <v>V.033_Industria y Mineria</v>
      </c>
      <c r="H22" s="3208">
        <v>107000</v>
      </c>
      <c r="I22" s="3209">
        <v>10</v>
      </c>
      <c r="J22" s="3210">
        <v>1.5</v>
      </c>
      <c r="K22" s="3208">
        <f t="shared" si="0"/>
        <v>107000</v>
      </c>
      <c r="L22" s="3211">
        <f t="shared" si="1"/>
        <v>210</v>
      </c>
      <c r="M22" s="3212">
        <f t="shared" si="2"/>
        <v>465</v>
      </c>
      <c r="N22" s="3213">
        <f>K22/Conversiones!$F$12/1000/1000000</f>
        <v>0.3851691864650828</v>
      </c>
      <c r="O22" s="3214">
        <f>L22/Conversiones!$F$12/1000/1000000</f>
        <v>7.5593952483801296E-4</v>
      </c>
      <c r="P22" s="3214">
        <f>M22/Conversiones!$F$12/1000/1000000</f>
        <v>1.6738660907127431E-3</v>
      </c>
      <c r="Q22" s="1692"/>
      <c r="R22" s="1692"/>
      <c r="AE22" s="2689"/>
    </row>
    <row r="23" spans="2:31" ht="15" x14ac:dyDescent="0.25">
      <c r="B23" s="1692"/>
      <c r="C23" s="1692"/>
      <c r="D23" s="3206" t="s">
        <v>1722</v>
      </c>
      <c r="E23" s="3207" t="s">
        <v>1180</v>
      </c>
      <c r="F23" s="3206" t="s">
        <v>236</v>
      </c>
      <c r="G23" s="3199" t="str">
        <f t="shared" si="3"/>
        <v>V.033_Generación</v>
      </c>
      <c r="H23" s="3208">
        <v>107000</v>
      </c>
      <c r="I23" s="3209">
        <v>1</v>
      </c>
      <c r="J23" s="3210">
        <v>1.5</v>
      </c>
      <c r="K23" s="3208">
        <f t="shared" si="0"/>
        <v>107000</v>
      </c>
      <c r="L23" s="3211">
        <f t="shared" si="1"/>
        <v>21</v>
      </c>
      <c r="M23" s="3212">
        <f t="shared" si="2"/>
        <v>465</v>
      </c>
      <c r="N23" s="3213">
        <f>K23/Conversiones!$F$12/1000/1000000</f>
        <v>0.3851691864650828</v>
      </c>
      <c r="O23" s="3214">
        <f>L23/Conversiones!$F$12/1000/1000000</f>
        <v>7.5593952483801296E-5</v>
      </c>
      <c r="P23" s="3214">
        <f>M23/Conversiones!$F$12/1000/1000000</f>
        <v>1.6738660907127431E-3</v>
      </c>
      <c r="Q23" s="1692"/>
      <c r="R23" s="1692"/>
      <c r="AE23" s="2689"/>
    </row>
    <row r="24" spans="2:31" ht="15" x14ac:dyDescent="0.25">
      <c r="B24" s="1692"/>
      <c r="C24" s="1692"/>
      <c r="D24" s="3206" t="s">
        <v>1722</v>
      </c>
      <c r="E24" s="3207" t="s">
        <v>1180</v>
      </c>
      <c r="F24" s="3206" t="s">
        <v>956</v>
      </c>
      <c r="G24" s="3199" t="str">
        <f t="shared" si="3"/>
        <v>V.033_CPR</v>
      </c>
      <c r="H24" s="3208">
        <v>107000</v>
      </c>
      <c r="I24" s="3209">
        <v>10</v>
      </c>
      <c r="J24" s="3210">
        <v>1.5</v>
      </c>
      <c r="K24" s="3208">
        <f t="shared" si="0"/>
        <v>107000</v>
      </c>
      <c r="L24" s="3211">
        <f t="shared" si="1"/>
        <v>210</v>
      </c>
      <c r="M24" s="3212">
        <f t="shared" si="2"/>
        <v>465</v>
      </c>
      <c r="N24" s="3213">
        <f>K24/Conversiones!$F$12/1000/1000000</f>
        <v>0.3851691864650828</v>
      </c>
      <c r="O24" s="3214">
        <f>L24/Conversiones!$F$12/1000/1000000</f>
        <v>7.5593952483801296E-4</v>
      </c>
      <c r="P24" s="3214">
        <f>M24/Conversiones!$F$12/1000/1000000</f>
        <v>1.6738660907127431E-3</v>
      </c>
      <c r="Q24" s="1692"/>
      <c r="R24" s="1692"/>
      <c r="AE24" s="2689"/>
    </row>
    <row r="25" spans="2:31" ht="15" x14ac:dyDescent="0.25">
      <c r="B25" s="1692"/>
      <c r="C25" s="1692"/>
      <c r="D25" s="3215" t="s">
        <v>1722</v>
      </c>
      <c r="E25" s="3216" t="s">
        <v>1180</v>
      </c>
      <c r="F25" s="3215" t="s">
        <v>955</v>
      </c>
      <c r="G25" s="3199" t="str">
        <f t="shared" si="3"/>
        <v>V.033_Otros Sectores</v>
      </c>
      <c r="H25" s="3220">
        <v>107000</v>
      </c>
      <c r="I25" s="3217">
        <v>300</v>
      </c>
      <c r="J25" s="3218">
        <v>1.5</v>
      </c>
      <c r="K25" s="3219">
        <f t="shared" si="0"/>
        <v>107000</v>
      </c>
      <c r="L25" s="3220">
        <f t="shared" si="1"/>
        <v>6300</v>
      </c>
      <c r="M25" s="3221">
        <f t="shared" si="2"/>
        <v>465</v>
      </c>
      <c r="N25" s="3222">
        <f>K25/Conversiones!$F$12/1000/1000000</f>
        <v>0.3851691864650828</v>
      </c>
      <c r="O25" s="3223">
        <f>L25/Conversiones!$F$12/1000/1000000</f>
        <v>2.267818574514039E-2</v>
      </c>
      <c r="P25" s="3223">
        <f>M25/Conversiones!$F$12/1000/1000000</f>
        <v>1.6738660907127431E-3</v>
      </c>
      <c r="Q25" s="1692"/>
      <c r="R25" s="1692"/>
      <c r="AE25" s="2689"/>
    </row>
    <row r="26" spans="2:31" ht="15" x14ac:dyDescent="0.25">
      <c r="B26" s="1692"/>
      <c r="C26" s="1692"/>
      <c r="D26" s="3198" t="s">
        <v>1723</v>
      </c>
      <c r="E26" s="3207" t="s">
        <v>1683</v>
      </c>
      <c r="F26" s="3198" t="s">
        <v>420</v>
      </c>
      <c r="G26" s="3199" t="str">
        <f t="shared" si="3"/>
        <v>V.041_Transporte</v>
      </c>
      <c r="H26" s="3208">
        <v>77400</v>
      </c>
      <c r="I26" s="3209">
        <v>7</v>
      </c>
      <c r="J26" s="3210">
        <v>2</v>
      </c>
      <c r="K26" s="3208">
        <f t="shared" si="0"/>
        <v>77400</v>
      </c>
      <c r="L26" s="3211">
        <f t="shared" si="1"/>
        <v>147</v>
      </c>
      <c r="M26" s="3212">
        <f t="shared" si="2"/>
        <v>620</v>
      </c>
      <c r="N26" s="3213">
        <f>K26/Conversiones!$F$12/1000/1000000</f>
        <v>0.27861771058315338</v>
      </c>
      <c r="O26" s="3214">
        <f>L26/Conversiones!$F$12/1000/1000000</f>
        <v>5.2915766738660913E-4</v>
      </c>
      <c r="P26" s="3214">
        <f>M26/Conversiones!$F$12/1000/1000000</f>
        <v>2.2318214542836577E-3</v>
      </c>
      <c r="Q26" s="1692"/>
      <c r="R26" s="1692"/>
      <c r="AE26" s="2689"/>
    </row>
    <row r="27" spans="2:31" x14ac:dyDescent="0.2">
      <c r="B27" s="1692"/>
      <c r="C27" s="1692"/>
      <c r="D27" s="3206" t="s">
        <v>1723</v>
      </c>
      <c r="E27" s="3207" t="s">
        <v>1683</v>
      </c>
      <c r="F27" s="3206" t="s">
        <v>423</v>
      </c>
      <c r="G27" s="3199" t="str">
        <f t="shared" si="3"/>
        <v>V.041_Industria y Mineria</v>
      </c>
      <c r="H27" s="3208">
        <v>77400</v>
      </c>
      <c r="I27" s="3209">
        <v>7</v>
      </c>
      <c r="J27" s="3210">
        <v>2</v>
      </c>
      <c r="K27" s="3208">
        <f t="shared" si="0"/>
        <v>77400</v>
      </c>
      <c r="L27" s="3211">
        <f t="shared" si="1"/>
        <v>147</v>
      </c>
      <c r="M27" s="3212">
        <f t="shared" si="2"/>
        <v>620</v>
      </c>
      <c r="N27" s="3213">
        <f>K27/Conversiones!$F$12/1000/1000000</f>
        <v>0.27861771058315338</v>
      </c>
      <c r="O27" s="3214">
        <f>L27/Conversiones!$F$12/1000/1000000</f>
        <v>5.2915766738660913E-4</v>
      </c>
      <c r="P27" s="3214">
        <f>M27/Conversiones!$F$12/1000/1000000</f>
        <v>2.2318214542836577E-3</v>
      </c>
      <c r="Q27" s="1692"/>
      <c r="R27" s="1692"/>
    </row>
    <row r="28" spans="2:31" x14ac:dyDescent="0.2">
      <c r="B28" s="1692"/>
      <c r="C28" s="1692"/>
      <c r="D28" s="3206" t="s">
        <v>1723</v>
      </c>
      <c r="E28" s="3207" t="s">
        <v>1683</v>
      </c>
      <c r="F28" s="3206" t="s">
        <v>236</v>
      </c>
      <c r="G28" s="3199" t="str">
        <f t="shared" si="3"/>
        <v>V.041_Generación</v>
      </c>
      <c r="H28" s="3208">
        <v>77400</v>
      </c>
      <c r="I28" s="3209">
        <v>7</v>
      </c>
      <c r="J28" s="3210">
        <v>2</v>
      </c>
      <c r="K28" s="3208">
        <f t="shared" si="0"/>
        <v>77400</v>
      </c>
      <c r="L28" s="3211">
        <f t="shared" si="1"/>
        <v>147</v>
      </c>
      <c r="M28" s="3212">
        <f t="shared" si="2"/>
        <v>620</v>
      </c>
      <c r="N28" s="3213">
        <f>K28/Conversiones!$F$12/1000/1000000</f>
        <v>0.27861771058315338</v>
      </c>
      <c r="O28" s="3214">
        <f>L28/Conversiones!$F$12/1000/1000000</f>
        <v>5.2915766738660913E-4</v>
      </c>
      <c r="P28" s="3214">
        <f>M28/Conversiones!$F$12/1000/1000000</f>
        <v>2.2318214542836577E-3</v>
      </c>
      <c r="Q28" s="1692"/>
      <c r="R28" s="1692"/>
    </row>
    <row r="29" spans="2:31" x14ac:dyDescent="0.2">
      <c r="B29" s="1692"/>
      <c r="C29" s="1692"/>
      <c r="D29" s="3206" t="s">
        <v>1723</v>
      </c>
      <c r="E29" s="3207" t="s">
        <v>1683</v>
      </c>
      <c r="F29" s="3206" t="s">
        <v>956</v>
      </c>
      <c r="G29" s="3199" t="str">
        <f t="shared" si="3"/>
        <v>V.041_CPR</v>
      </c>
      <c r="H29" s="3208">
        <v>77400</v>
      </c>
      <c r="I29" s="3209">
        <v>7</v>
      </c>
      <c r="J29" s="3210">
        <v>2</v>
      </c>
      <c r="K29" s="3208">
        <f t="shared" si="0"/>
        <v>77400</v>
      </c>
      <c r="L29" s="3211">
        <f t="shared" si="1"/>
        <v>147</v>
      </c>
      <c r="M29" s="3212">
        <f t="shared" si="2"/>
        <v>620</v>
      </c>
      <c r="N29" s="3213">
        <f>K29/Conversiones!$F$12/1000/1000000</f>
        <v>0.27861771058315338</v>
      </c>
      <c r="O29" s="3214">
        <f>L29/Conversiones!$F$12/1000/1000000</f>
        <v>5.2915766738660913E-4</v>
      </c>
      <c r="P29" s="3214">
        <f>M29/Conversiones!$F$12/1000/1000000</f>
        <v>2.2318214542836577E-3</v>
      </c>
      <c r="Q29" s="1692"/>
      <c r="R29" s="1692"/>
    </row>
    <row r="30" spans="2:31" x14ac:dyDescent="0.2">
      <c r="B30" s="1692"/>
      <c r="C30" s="1692"/>
      <c r="D30" s="3206" t="s">
        <v>1723</v>
      </c>
      <c r="E30" s="3216" t="s">
        <v>1683</v>
      </c>
      <c r="F30" s="3215" t="s">
        <v>955</v>
      </c>
      <c r="G30" s="3199" t="str">
        <f t="shared" si="3"/>
        <v>V.041_Otros Sectores</v>
      </c>
      <c r="H30" s="3219">
        <v>77400</v>
      </c>
      <c r="I30" s="3217">
        <v>7</v>
      </c>
      <c r="J30" s="3218">
        <v>2</v>
      </c>
      <c r="K30" s="3208">
        <f t="shared" si="0"/>
        <v>77400</v>
      </c>
      <c r="L30" s="3211">
        <f t="shared" si="1"/>
        <v>147</v>
      </c>
      <c r="M30" s="3212">
        <f t="shared" si="2"/>
        <v>620</v>
      </c>
      <c r="N30" s="3213">
        <f>K30/Conversiones!$F$12/1000/1000000</f>
        <v>0.27861771058315338</v>
      </c>
      <c r="O30" s="3214">
        <f>L30/Conversiones!$F$12/1000/1000000</f>
        <v>5.2915766738660913E-4</v>
      </c>
      <c r="P30" s="3214">
        <f>M30/Conversiones!$F$12/1000/1000000</f>
        <v>2.2318214542836577E-3</v>
      </c>
      <c r="Q30" s="1692"/>
      <c r="R30" s="1692"/>
    </row>
    <row r="31" spans="2:31" x14ac:dyDescent="0.2">
      <c r="B31" s="1692"/>
      <c r="C31" s="1692"/>
      <c r="D31" s="3198" t="s">
        <v>1724</v>
      </c>
      <c r="E31" s="3199" t="s">
        <v>492</v>
      </c>
      <c r="F31" s="3198" t="s">
        <v>420</v>
      </c>
      <c r="G31" s="3199" t="str">
        <f t="shared" si="3"/>
        <v>V.042_Transporte</v>
      </c>
      <c r="H31" s="3208">
        <v>74100</v>
      </c>
      <c r="I31" s="3209">
        <v>7</v>
      </c>
      <c r="J31" s="3210">
        <v>2</v>
      </c>
      <c r="K31" s="3200">
        <f t="shared" si="0"/>
        <v>74100</v>
      </c>
      <c r="L31" s="3202">
        <f t="shared" si="1"/>
        <v>147</v>
      </c>
      <c r="M31" s="3203">
        <f t="shared" si="2"/>
        <v>620</v>
      </c>
      <c r="N31" s="3204">
        <f>K31/Conversiones!$F$12/1000/1000000</f>
        <v>0.26673866090712745</v>
      </c>
      <c r="O31" s="3214">
        <f>L31/Conversiones!$F$12/1000/1000000</f>
        <v>5.2915766738660913E-4</v>
      </c>
      <c r="P31" s="3205">
        <f>M31/Conversiones!$F$12/1000/1000000</f>
        <v>2.2318214542836577E-3</v>
      </c>
      <c r="Q31" s="1692"/>
      <c r="R31" s="1692"/>
    </row>
    <row r="32" spans="2:31" x14ac:dyDescent="0.2">
      <c r="B32" s="1692"/>
      <c r="C32" s="1692"/>
      <c r="D32" s="3206" t="s">
        <v>1724</v>
      </c>
      <c r="E32" s="3207" t="s">
        <v>492</v>
      </c>
      <c r="F32" s="3206" t="s">
        <v>423</v>
      </c>
      <c r="G32" s="3199" t="str">
        <f t="shared" si="3"/>
        <v>V.042_Industria y Mineria</v>
      </c>
      <c r="H32" s="3208">
        <v>74100</v>
      </c>
      <c r="I32" s="3209">
        <v>7</v>
      </c>
      <c r="J32" s="3210">
        <v>2</v>
      </c>
      <c r="K32" s="3208">
        <f t="shared" si="0"/>
        <v>74100</v>
      </c>
      <c r="L32" s="3211">
        <f t="shared" si="1"/>
        <v>147</v>
      </c>
      <c r="M32" s="3212">
        <f t="shared" si="2"/>
        <v>620</v>
      </c>
      <c r="N32" s="3213">
        <f>K32/Conversiones!$F$12/1000/1000000</f>
        <v>0.26673866090712745</v>
      </c>
      <c r="O32" s="3214">
        <f>L32/Conversiones!$F$12/1000/1000000</f>
        <v>5.2915766738660913E-4</v>
      </c>
      <c r="P32" s="3214">
        <f>M32/Conversiones!$F$12/1000/1000000</f>
        <v>2.2318214542836577E-3</v>
      </c>
      <c r="Q32" s="1692"/>
      <c r="R32" s="1692"/>
    </row>
    <row r="33" spans="2:18" x14ac:dyDescent="0.2">
      <c r="B33" s="1692"/>
      <c r="C33" s="1692"/>
      <c r="D33" s="3206" t="s">
        <v>1724</v>
      </c>
      <c r="E33" s="3207" t="s">
        <v>492</v>
      </c>
      <c r="F33" s="3206" t="s">
        <v>236</v>
      </c>
      <c r="G33" s="3199" t="str">
        <f t="shared" si="3"/>
        <v>V.042_Generación</v>
      </c>
      <c r="H33" s="3208">
        <v>74100</v>
      </c>
      <c r="I33" s="3209">
        <v>7</v>
      </c>
      <c r="J33" s="3210">
        <v>2</v>
      </c>
      <c r="K33" s="3208">
        <f t="shared" si="0"/>
        <v>74100</v>
      </c>
      <c r="L33" s="3211">
        <f t="shared" si="1"/>
        <v>147</v>
      </c>
      <c r="M33" s="3212">
        <f t="shared" si="2"/>
        <v>620</v>
      </c>
      <c r="N33" s="3213">
        <f>K33/Conversiones!$F$12/1000/1000000</f>
        <v>0.26673866090712745</v>
      </c>
      <c r="O33" s="3214">
        <f>L33/Conversiones!$F$12/1000/1000000</f>
        <v>5.2915766738660913E-4</v>
      </c>
      <c r="P33" s="3214">
        <f>M33/Conversiones!$F$12/1000/1000000</f>
        <v>2.2318214542836577E-3</v>
      </c>
      <c r="Q33" s="1692"/>
      <c r="R33" s="1692"/>
    </row>
    <row r="34" spans="2:18" x14ac:dyDescent="0.2">
      <c r="B34" s="1692"/>
      <c r="C34" s="1692"/>
      <c r="D34" s="3206" t="s">
        <v>1724</v>
      </c>
      <c r="E34" s="3207" t="s">
        <v>492</v>
      </c>
      <c r="F34" s="3206" t="s">
        <v>956</v>
      </c>
      <c r="G34" s="3199" t="str">
        <f t="shared" si="3"/>
        <v>V.042_CPR</v>
      </c>
      <c r="H34" s="3208">
        <v>74100</v>
      </c>
      <c r="I34" s="3209">
        <v>7</v>
      </c>
      <c r="J34" s="3210">
        <v>2</v>
      </c>
      <c r="K34" s="3208">
        <f t="shared" si="0"/>
        <v>74100</v>
      </c>
      <c r="L34" s="3211">
        <f t="shared" si="1"/>
        <v>147</v>
      </c>
      <c r="M34" s="3212">
        <f t="shared" si="2"/>
        <v>620</v>
      </c>
      <c r="N34" s="3213">
        <f>K34/Conversiones!$F$12/1000/1000000</f>
        <v>0.26673866090712745</v>
      </c>
      <c r="O34" s="3214">
        <f>L34/Conversiones!$F$12/1000/1000000</f>
        <v>5.2915766738660913E-4</v>
      </c>
      <c r="P34" s="3214">
        <f>M34/Conversiones!$F$12/1000/1000000</f>
        <v>2.2318214542836577E-3</v>
      </c>
      <c r="Q34" s="1692"/>
      <c r="R34" s="1692"/>
    </row>
    <row r="35" spans="2:18" x14ac:dyDescent="0.2">
      <c r="B35" s="1692"/>
      <c r="C35" s="1692"/>
      <c r="D35" s="3215" t="s">
        <v>1724</v>
      </c>
      <c r="E35" s="3216" t="s">
        <v>492</v>
      </c>
      <c r="F35" s="3215" t="s">
        <v>955</v>
      </c>
      <c r="G35" s="3199" t="str">
        <f t="shared" si="3"/>
        <v>V.042_Otros Sectores</v>
      </c>
      <c r="H35" s="3219">
        <v>74100</v>
      </c>
      <c r="I35" s="3217">
        <v>7</v>
      </c>
      <c r="J35" s="3218">
        <v>2</v>
      </c>
      <c r="K35" s="3219">
        <f t="shared" si="0"/>
        <v>74100</v>
      </c>
      <c r="L35" s="3220">
        <f t="shared" si="1"/>
        <v>147</v>
      </c>
      <c r="M35" s="3221">
        <f t="shared" si="2"/>
        <v>620</v>
      </c>
      <c r="N35" s="3222">
        <f>K35/Conversiones!$F$12/1000/1000000</f>
        <v>0.26673866090712745</v>
      </c>
      <c r="O35" s="3223">
        <f>L35/Conversiones!$F$12/1000/1000000</f>
        <v>5.2915766738660913E-4</v>
      </c>
      <c r="P35" s="3223">
        <f>M35/Conversiones!$F$12/1000/1000000</f>
        <v>2.2318214542836577E-3</v>
      </c>
      <c r="Q35" s="1692"/>
      <c r="R35" s="1692"/>
    </row>
    <row r="36" spans="2:18" x14ac:dyDescent="0.2">
      <c r="B36" s="1692"/>
      <c r="C36" s="1692"/>
      <c r="D36" s="3206" t="s">
        <v>1725</v>
      </c>
      <c r="E36" s="3199" t="s">
        <v>493</v>
      </c>
      <c r="F36" s="3198" t="s">
        <v>420</v>
      </c>
      <c r="G36" s="3199" t="str">
        <f t="shared" si="3"/>
        <v>V.043_Transporte</v>
      </c>
      <c r="H36" s="3208">
        <v>77400</v>
      </c>
      <c r="I36" s="3209">
        <v>7</v>
      </c>
      <c r="J36" s="3210">
        <v>2</v>
      </c>
      <c r="K36" s="3208">
        <f t="shared" si="0"/>
        <v>77400</v>
      </c>
      <c r="L36" s="3211">
        <f t="shared" si="1"/>
        <v>147</v>
      </c>
      <c r="M36" s="3212">
        <f t="shared" si="2"/>
        <v>620</v>
      </c>
      <c r="N36" s="3213">
        <f>K36/Conversiones!$F$12/1000/1000000</f>
        <v>0.27861771058315338</v>
      </c>
      <c r="O36" s="3214">
        <f>L36/Conversiones!$F$12/1000/1000000</f>
        <v>5.2915766738660913E-4</v>
      </c>
      <c r="P36" s="3214">
        <f>M36/Conversiones!$F$12/1000/1000000</f>
        <v>2.2318214542836577E-3</v>
      </c>
      <c r="Q36" s="1692"/>
      <c r="R36" s="1692"/>
    </row>
    <row r="37" spans="2:18" x14ac:dyDescent="0.2">
      <c r="B37" s="1692"/>
      <c r="C37" s="1692"/>
      <c r="D37" s="3206" t="s">
        <v>1725</v>
      </c>
      <c r="E37" s="3207" t="s">
        <v>493</v>
      </c>
      <c r="F37" s="3206" t="s">
        <v>423</v>
      </c>
      <c r="G37" s="3199" t="str">
        <f t="shared" si="3"/>
        <v>V.043_Industria y Mineria</v>
      </c>
      <c r="H37" s="3208">
        <v>77400</v>
      </c>
      <c r="I37" s="3209">
        <v>7</v>
      </c>
      <c r="J37" s="3210">
        <v>2</v>
      </c>
      <c r="K37" s="3208">
        <f t="shared" si="0"/>
        <v>77400</v>
      </c>
      <c r="L37" s="3211">
        <f t="shared" si="1"/>
        <v>147</v>
      </c>
      <c r="M37" s="3212">
        <f t="shared" si="2"/>
        <v>620</v>
      </c>
      <c r="N37" s="3213">
        <f>K37/Conversiones!$F$12/1000/1000000</f>
        <v>0.27861771058315338</v>
      </c>
      <c r="O37" s="3214">
        <f>L37/Conversiones!$F$12/1000/1000000</f>
        <v>5.2915766738660913E-4</v>
      </c>
      <c r="P37" s="3214">
        <f>M37/Conversiones!$F$12/1000/1000000</f>
        <v>2.2318214542836577E-3</v>
      </c>
      <c r="Q37" s="1692"/>
      <c r="R37" s="1692"/>
    </row>
    <row r="38" spans="2:18" x14ac:dyDescent="0.2">
      <c r="B38" s="1692"/>
      <c r="C38" s="1692"/>
      <c r="D38" s="3206" t="s">
        <v>1725</v>
      </c>
      <c r="E38" s="3207" t="s">
        <v>493</v>
      </c>
      <c r="F38" s="3206" t="s">
        <v>236</v>
      </c>
      <c r="G38" s="3199" t="str">
        <f t="shared" si="3"/>
        <v>V.043_Generación</v>
      </c>
      <c r="H38" s="3208">
        <v>77400</v>
      </c>
      <c r="I38" s="3209">
        <v>7</v>
      </c>
      <c r="J38" s="3210">
        <v>2</v>
      </c>
      <c r="K38" s="3208">
        <f t="shared" si="0"/>
        <v>77400</v>
      </c>
      <c r="L38" s="3211">
        <f t="shared" si="1"/>
        <v>147</v>
      </c>
      <c r="M38" s="3212">
        <f t="shared" si="2"/>
        <v>620</v>
      </c>
      <c r="N38" s="3213">
        <f>K38/Conversiones!$F$12/1000/1000000</f>
        <v>0.27861771058315338</v>
      </c>
      <c r="O38" s="3214">
        <f>L38/Conversiones!$F$12/1000/1000000</f>
        <v>5.2915766738660913E-4</v>
      </c>
      <c r="P38" s="3214">
        <f>M38/Conversiones!$F$12/1000/1000000</f>
        <v>2.2318214542836577E-3</v>
      </c>
      <c r="Q38" s="1692"/>
      <c r="R38" s="1692"/>
    </row>
    <row r="39" spans="2:18" x14ac:dyDescent="0.2">
      <c r="B39" s="1692"/>
      <c r="C39" s="1692"/>
      <c r="D39" s="3206" t="s">
        <v>1725</v>
      </c>
      <c r="E39" s="3207" t="s">
        <v>493</v>
      </c>
      <c r="F39" s="3206" t="s">
        <v>956</v>
      </c>
      <c r="G39" s="3199" t="str">
        <f t="shared" si="3"/>
        <v>V.043_CPR</v>
      </c>
      <c r="H39" s="3208">
        <v>77400</v>
      </c>
      <c r="I39" s="3209">
        <v>7</v>
      </c>
      <c r="J39" s="3210">
        <v>2</v>
      </c>
      <c r="K39" s="3208">
        <f t="shared" si="0"/>
        <v>77400</v>
      </c>
      <c r="L39" s="3211">
        <f t="shared" si="1"/>
        <v>147</v>
      </c>
      <c r="M39" s="3212">
        <f t="shared" si="2"/>
        <v>620</v>
      </c>
      <c r="N39" s="3213">
        <f>K39/Conversiones!$F$12/1000/1000000</f>
        <v>0.27861771058315338</v>
      </c>
      <c r="O39" s="3214">
        <f>L39/Conversiones!$F$12/1000/1000000</f>
        <v>5.2915766738660913E-4</v>
      </c>
      <c r="P39" s="3214">
        <f>M39/Conversiones!$F$12/1000/1000000</f>
        <v>2.2318214542836577E-3</v>
      </c>
      <c r="Q39" s="1692"/>
      <c r="R39" s="1692"/>
    </row>
    <row r="40" spans="2:18" x14ac:dyDescent="0.2">
      <c r="B40" s="1692"/>
      <c r="C40" s="1692"/>
      <c r="D40" s="3206" t="s">
        <v>1725</v>
      </c>
      <c r="E40" s="3216" t="s">
        <v>493</v>
      </c>
      <c r="F40" s="3215" t="s">
        <v>955</v>
      </c>
      <c r="G40" s="3199" t="str">
        <f t="shared" si="3"/>
        <v>V.043_Otros Sectores</v>
      </c>
      <c r="H40" s="3219">
        <v>77400</v>
      </c>
      <c r="I40" s="3217">
        <v>7</v>
      </c>
      <c r="J40" s="3218">
        <v>2</v>
      </c>
      <c r="K40" s="3208">
        <f t="shared" si="0"/>
        <v>77400</v>
      </c>
      <c r="L40" s="3211">
        <f t="shared" si="1"/>
        <v>147</v>
      </c>
      <c r="M40" s="3212">
        <f t="shared" si="2"/>
        <v>620</v>
      </c>
      <c r="N40" s="3213">
        <f>K40/Conversiones!$F$12/1000/1000000</f>
        <v>0.27861771058315338</v>
      </c>
      <c r="O40" s="3223">
        <f>L40/Conversiones!$F$12/1000/1000000</f>
        <v>5.2915766738660913E-4</v>
      </c>
      <c r="P40" s="3214">
        <f>M40/Conversiones!$F$12/1000/1000000</f>
        <v>2.2318214542836577E-3</v>
      </c>
      <c r="Q40" s="1692"/>
      <c r="R40" s="1692"/>
    </row>
    <row r="41" spans="2:18" x14ac:dyDescent="0.2">
      <c r="B41" s="1692"/>
      <c r="C41" s="1692"/>
      <c r="D41" s="3198" t="s">
        <v>1726</v>
      </c>
      <c r="E41" s="3199" t="s">
        <v>1686</v>
      </c>
      <c r="F41" s="3198" t="s">
        <v>420</v>
      </c>
      <c r="G41" s="3199" t="str">
        <f t="shared" si="3"/>
        <v>V.044_Transporte</v>
      </c>
      <c r="H41" s="3208">
        <v>69300</v>
      </c>
      <c r="I41" s="3224">
        <f>AVERAGE(J123:J127)</f>
        <v>42.96</v>
      </c>
      <c r="J41" s="3225">
        <f>AVERAGE(J128:J132)</f>
        <v>4.42</v>
      </c>
      <c r="K41" s="3200">
        <f t="shared" si="0"/>
        <v>69300</v>
      </c>
      <c r="L41" s="3202">
        <f t="shared" si="1"/>
        <v>902.16</v>
      </c>
      <c r="M41" s="3203">
        <f t="shared" si="2"/>
        <v>1370.2</v>
      </c>
      <c r="N41" s="3204">
        <f>K41/Conversiones!$F$12/1000/1000000</f>
        <v>0.24946004319654427</v>
      </c>
      <c r="O41" s="3214">
        <f>L41/Conversiones!$F$12/1000/1000000</f>
        <v>3.2475161987041037E-3</v>
      </c>
      <c r="P41" s="3205">
        <f>M41/Conversiones!$F$12/1000/1000000</f>
        <v>4.9323254139668838E-3</v>
      </c>
      <c r="Q41" s="1692"/>
      <c r="R41" s="1692"/>
    </row>
    <row r="42" spans="2:18" x14ac:dyDescent="0.2">
      <c r="B42" s="1692"/>
      <c r="C42" s="1692"/>
      <c r="D42" s="3206" t="s">
        <v>1726</v>
      </c>
      <c r="E42" s="3207" t="s">
        <v>1686</v>
      </c>
      <c r="F42" s="3206" t="s">
        <v>423</v>
      </c>
      <c r="G42" s="3199" t="str">
        <f t="shared" si="3"/>
        <v>V.044_Industria y Mineria</v>
      </c>
      <c r="H42" s="3208">
        <v>69300</v>
      </c>
      <c r="I42" s="3209">
        <v>3</v>
      </c>
      <c r="J42" s="3210">
        <v>0.6</v>
      </c>
      <c r="K42" s="3208">
        <f t="shared" si="0"/>
        <v>69300</v>
      </c>
      <c r="L42" s="3211">
        <f t="shared" si="1"/>
        <v>63</v>
      </c>
      <c r="M42" s="3212">
        <f t="shared" si="2"/>
        <v>186</v>
      </c>
      <c r="N42" s="3213">
        <f>K42/Conversiones!$F$12/1000/1000000</f>
        <v>0.24946004319654427</v>
      </c>
      <c r="O42" s="3214">
        <f>L42/Conversiones!$F$12/1000/1000000</f>
        <v>2.2678185745140392E-4</v>
      </c>
      <c r="P42" s="3214">
        <f>M42/Conversiones!$F$12/1000/1000000</f>
        <v>6.6954643628509727E-4</v>
      </c>
      <c r="Q42" s="1692"/>
      <c r="R42" s="1692"/>
    </row>
    <row r="43" spans="2:18" x14ac:dyDescent="0.2">
      <c r="B43" s="1692"/>
      <c r="C43" s="1692"/>
      <c r="D43" s="3206" t="s">
        <v>1726</v>
      </c>
      <c r="E43" s="3207" t="s">
        <v>1686</v>
      </c>
      <c r="F43" s="3206" t="s">
        <v>236</v>
      </c>
      <c r="G43" s="3199" t="str">
        <f t="shared" si="3"/>
        <v>V.044_Generación</v>
      </c>
      <c r="H43" s="3208">
        <v>69300</v>
      </c>
      <c r="I43" s="3209">
        <v>3</v>
      </c>
      <c r="J43" s="3210">
        <v>0.6</v>
      </c>
      <c r="K43" s="3208">
        <f t="shared" ref="K43:K74" si="4">H43*E$139</f>
        <v>69300</v>
      </c>
      <c r="L43" s="3211">
        <f t="shared" ref="L43:L74" si="5">I43*E$140</f>
        <v>63</v>
      </c>
      <c r="M43" s="3212">
        <f t="shared" ref="M43:M74" si="6">J43*E$141</f>
        <v>186</v>
      </c>
      <c r="N43" s="3213">
        <f>K43/Conversiones!$F$12/1000/1000000</f>
        <v>0.24946004319654427</v>
      </c>
      <c r="O43" s="3214">
        <f>L43/Conversiones!$F$12/1000/1000000</f>
        <v>2.2678185745140392E-4</v>
      </c>
      <c r="P43" s="3214">
        <f>M43/Conversiones!$F$12/1000/1000000</f>
        <v>6.6954643628509727E-4</v>
      </c>
      <c r="Q43" s="1692"/>
      <c r="R43" s="1692"/>
    </row>
    <row r="44" spans="2:18" x14ac:dyDescent="0.2">
      <c r="B44" s="1692"/>
      <c r="C44" s="1692"/>
      <c r="D44" s="3206" t="s">
        <v>1726</v>
      </c>
      <c r="E44" s="3207" t="s">
        <v>1686</v>
      </c>
      <c r="F44" s="3206" t="s">
        <v>956</v>
      </c>
      <c r="G44" s="3199" t="str">
        <f t="shared" si="3"/>
        <v>V.044_CPR</v>
      </c>
      <c r="H44" s="3208">
        <v>69300</v>
      </c>
      <c r="I44" s="3209">
        <v>10</v>
      </c>
      <c r="J44" s="3210">
        <v>0.6</v>
      </c>
      <c r="K44" s="3208">
        <f t="shared" si="4"/>
        <v>69300</v>
      </c>
      <c r="L44" s="3211">
        <f t="shared" si="5"/>
        <v>210</v>
      </c>
      <c r="M44" s="3212">
        <f t="shared" si="6"/>
        <v>186</v>
      </c>
      <c r="N44" s="3213">
        <f>K44/Conversiones!$F$12/1000/1000000</f>
        <v>0.24946004319654427</v>
      </c>
      <c r="O44" s="3214">
        <f>L44/Conversiones!$F$12/1000/1000000</f>
        <v>7.5593952483801296E-4</v>
      </c>
      <c r="P44" s="3214">
        <f>M44/Conversiones!$F$12/1000/1000000</f>
        <v>6.6954643628509727E-4</v>
      </c>
      <c r="Q44" s="1692"/>
      <c r="R44" s="1692"/>
    </row>
    <row r="45" spans="2:18" x14ac:dyDescent="0.2">
      <c r="B45" s="1692"/>
      <c r="C45" s="1692"/>
      <c r="D45" s="3215" t="s">
        <v>1726</v>
      </c>
      <c r="E45" s="3216" t="s">
        <v>1686</v>
      </c>
      <c r="F45" s="3215" t="s">
        <v>955</v>
      </c>
      <c r="G45" s="3199" t="str">
        <f t="shared" si="3"/>
        <v>V.044_Otros Sectores</v>
      </c>
      <c r="H45" s="3208">
        <v>69300</v>
      </c>
      <c r="I45" s="3209">
        <v>10</v>
      </c>
      <c r="J45" s="3210">
        <v>0.6</v>
      </c>
      <c r="K45" s="3219">
        <f t="shared" si="4"/>
        <v>69300</v>
      </c>
      <c r="L45" s="3220">
        <f t="shared" si="5"/>
        <v>210</v>
      </c>
      <c r="M45" s="3221">
        <f t="shared" si="6"/>
        <v>186</v>
      </c>
      <c r="N45" s="3222">
        <f>K45/Conversiones!$F$12/1000/1000000</f>
        <v>0.24946004319654427</v>
      </c>
      <c r="O45" s="3223">
        <f>L45/Conversiones!$F$12/1000/1000000</f>
        <v>7.5593952483801296E-4</v>
      </c>
      <c r="P45" s="3223">
        <f>M45/Conversiones!$F$12/1000/1000000</f>
        <v>6.6954643628509727E-4</v>
      </c>
      <c r="Q45" s="1692"/>
      <c r="R45" s="1692"/>
    </row>
    <row r="46" spans="2:18" x14ac:dyDescent="0.2">
      <c r="B46" s="1692"/>
      <c r="C46" s="1692"/>
      <c r="D46" s="3206" t="s">
        <v>1727</v>
      </c>
      <c r="E46" s="3199" t="s">
        <v>494</v>
      </c>
      <c r="F46" s="3198" t="s">
        <v>420</v>
      </c>
      <c r="G46" s="3199" t="str">
        <f t="shared" si="3"/>
        <v>V.045_Transporte</v>
      </c>
      <c r="H46" s="3200">
        <v>71500</v>
      </c>
      <c r="I46" s="3197">
        <v>0.5</v>
      </c>
      <c r="J46" s="3201">
        <v>2</v>
      </c>
      <c r="K46" s="3208">
        <f t="shared" si="4"/>
        <v>71500</v>
      </c>
      <c r="L46" s="3211">
        <f t="shared" si="5"/>
        <v>10.5</v>
      </c>
      <c r="M46" s="3212">
        <f t="shared" si="6"/>
        <v>620</v>
      </c>
      <c r="N46" s="3213">
        <f>K46/Conversiones!$F$12/1000/1000000</f>
        <v>0.25737940964722827</v>
      </c>
      <c r="O46" s="3214">
        <f>L46/Conversiones!$F$12/1000/1000000</f>
        <v>3.7796976241900648E-5</v>
      </c>
      <c r="P46" s="3214">
        <f>M46/Conversiones!$F$12/1000/1000000</f>
        <v>2.2318214542836577E-3</v>
      </c>
      <c r="Q46" s="1692"/>
      <c r="R46" s="1692"/>
    </row>
    <row r="47" spans="2:18" x14ac:dyDescent="0.2">
      <c r="B47" s="1692"/>
      <c r="C47" s="1692"/>
      <c r="D47" s="3206" t="s">
        <v>1727</v>
      </c>
      <c r="E47" s="3207" t="s">
        <v>494</v>
      </c>
      <c r="F47" s="3206" t="s">
        <v>423</v>
      </c>
      <c r="G47" s="3199" t="str">
        <f t="shared" si="3"/>
        <v>V.045_Industria y Mineria</v>
      </c>
      <c r="H47" s="3208">
        <v>71500</v>
      </c>
      <c r="I47" s="3209">
        <v>3</v>
      </c>
      <c r="J47" s="3210">
        <v>0.6</v>
      </c>
      <c r="K47" s="3208">
        <f t="shared" si="4"/>
        <v>71500</v>
      </c>
      <c r="L47" s="3211">
        <f t="shared" si="5"/>
        <v>63</v>
      </c>
      <c r="M47" s="3212">
        <f t="shared" si="6"/>
        <v>186</v>
      </c>
      <c r="N47" s="3213">
        <f>K47/Conversiones!$F$12/1000/1000000</f>
        <v>0.25737940964722827</v>
      </c>
      <c r="O47" s="3214">
        <f>L47/Conversiones!$F$12/1000/1000000</f>
        <v>2.2678185745140392E-4</v>
      </c>
      <c r="P47" s="3214">
        <f>M47/Conversiones!$F$12/1000/1000000</f>
        <v>6.6954643628509727E-4</v>
      </c>
      <c r="Q47" s="1692"/>
      <c r="R47" s="1692"/>
    </row>
    <row r="48" spans="2:18" x14ac:dyDescent="0.2">
      <c r="B48" s="1692"/>
      <c r="C48" s="1692"/>
      <c r="D48" s="3206" t="s">
        <v>1727</v>
      </c>
      <c r="E48" s="3207" t="s">
        <v>494</v>
      </c>
      <c r="F48" s="3206" t="s">
        <v>236</v>
      </c>
      <c r="G48" s="3199" t="str">
        <f t="shared" si="3"/>
        <v>V.045_Generación</v>
      </c>
      <c r="H48" s="3208">
        <v>71500</v>
      </c>
      <c r="I48" s="3209">
        <v>3</v>
      </c>
      <c r="J48" s="3210">
        <v>0.6</v>
      </c>
      <c r="K48" s="3208">
        <f t="shared" si="4"/>
        <v>71500</v>
      </c>
      <c r="L48" s="3211">
        <f t="shared" si="5"/>
        <v>63</v>
      </c>
      <c r="M48" s="3212">
        <f t="shared" si="6"/>
        <v>186</v>
      </c>
      <c r="N48" s="3213">
        <f>K48/Conversiones!$F$12/1000/1000000</f>
        <v>0.25737940964722827</v>
      </c>
      <c r="O48" s="3214">
        <f>L48/Conversiones!$F$12/1000/1000000</f>
        <v>2.2678185745140392E-4</v>
      </c>
      <c r="P48" s="3214">
        <f>M48/Conversiones!$F$12/1000/1000000</f>
        <v>6.6954643628509727E-4</v>
      </c>
      <c r="Q48" s="1692"/>
      <c r="R48" s="1692"/>
    </row>
    <row r="49" spans="2:18" x14ac:dyDescent="0.2">
      <c r="B49" s="1692"/>
      <c r="C49" s="1692"/>
      <c r="D49" s="3206" t="s">
        <v>1727</v>
      </c>
      <c r="E49" s="3207" t="s">
        <v>494</v>
      </c>
      <c r="F49" s="3206" t="s">
        <v>956</v>
      </c>
      <c r="G49" s="3199" t="str">
        <f t="shared" si="3"/>
        <v>V.045_CPR</v>
      </c>
      <c r="H49" s="3208">
        <v>71500</v>
      </c>
      <c r="I49" s="3209">
        <v>10</v>
      </c>
      <c r="J49" s="3210">
        <v>0.6</v>
      </c>
      <c r="K49" s="3208">
        <f t="shared" si="4"/>
        <v>71500</v>
      </c>
      <c r="L49" s="3211">
        <f t="shared" si="5"/>
        <v>210</v>
      </c>
      <c r="M49" s="3212">
        <f t="shared" si="6"/>
        <v>186</v>
      </c>
      <c r="N49" s="3213">
        <f>K49/Conversiones!$F$12/1000/1000000</f>
        <v>0.25737940964722827</v>
      </c>
      <c r="O49" s="3214">
        <f>L49/Conversiones!$F$12/1000/1000000</f>
        <v>7.5593952483801296E-4</v>
      </c>
      <c r="P49" s="3214">
        <f>M49/Conversiones!$F$12/1000/1000000</f>
        <v>6.6954643628509727E-4</v>
      </c>
      <c r="Q49" s="1692"/>
      <c r="R49" s="1692"/>
    </row>
    <row r="50" spans="2:18" x14ac:dyDescent="0.2">
      <c r="B50" s="1692"/>
      <c r="C50" s="1692"/>
      <c r="D50" s="3206" t="s">
        <v>1727</v>
      </c>
      <c r="E50" s="3216" t="s">
        <v>494</v>
      </c>
      <c r="F50" s="3215" t="s">
        <v>955</v>
      </c>
      <c r="G50" s="3199" t="str">
        <f t="shared" si="3"/>
        <v>V.045_Otros Sectores</v>
      </c>
      <c r="H50" s="3219">
        <v>71500</v>
      </c>
      <c r="I50" s="3217">
        <v>10</v>
      </c>
      <c r="J50" s="3210">
        <v>0.6</v>
      </c>
      <c r="K50" s="3208">
        <f t="shared" si="4"/>
        <v>71500</v>
      </c>
      <c r="L50" s="3211">
        <f t="shared" si="5"/>
        <v>210</v>
      </c>
      <c r="M50" s="3212">
        <f t="shared" si="6"/>
        <v>186</v>
      </c>
      <c r="N50" s="3213">
        <f>K50/Conversiones!$F$12/1000/1000000</f>
        <v>0.25737940964722827</v>
      </c>
      <c r="O50" s="3214">
        <f>L50/Conversiones!$F$12/1000/1000000</f>
        <v>7.5593952483801296E-4</v>
      </c>
      <c r="P50" s="3214">
        <f>M50/Conversiones!$F$12/1000/1000000</f>
        <v>6.6954643628509727E-4</v>
      </c>
      <c r="Q50" s="1692"/>
      <c r="R50" s="1692"/>
    </row>
    <row r="51" spans="2:18" x14ac:dyDescent="0.2">
      <c r="B51" s="1692"/>
      <c r="C51" s="1692"/>
      <c r="D51" s="3198" t="s">
        <v>1728</v>
      </c>
      <c r="E51" s="3199" t="s">
        <v>496</v>
      </c>
      <c r="F51" s="3198" t="s">
        <v>420</v>
      </c>
      <c r="G51" s="3199" t="str">
        <f t="shared" si="3"/>
        <v>V.046_Transporte</v>
      </c>
      <c r="H51" s="3200">
        <v>69300</v>
      </c>
      <c r="I51" s="3197">
        <v>0.5</v>
      </c>
      <c r="J51" s="3201">
        <v>2</v>
      </c>
      <c r="K51" s="3200">
        <f t="shared" si="4"/>
        <v>69300</v>
      </c>
      <c r="L51" s="3202">
        <f t="shared" si="5"/>
        <v>10.5</v>
      </c>
      <c r="M51" s="3203">
        <f t="shared" si="6"/>
        <v>620</v>
      </c>
      <c r="N51" s="3204">
        <f>K51/Conversiones!$F$12/1000/1000000</f>
        <v>0.24946004319654427</v>
      </c>
      <c r="O51" s="3205">
        <f>L51/Conversiones!$F$12/1000/1000000</f>
        <v>3.7796976241900648E-5</v>
      </c>
      <c r="P51" s="3205">
        <f>M51/Conversiones!$F$12/1000/1000000</f>
        <v>2.2318214542836577E-3</v>
      </c>
      <c r="Q51" s="1692"/>
      <c r="R51" s="1692"/>
    </row>
    <row r="52" spans="2:18" x14ac:dyDescent="0.2">
      <c r="B52" s="1692"/>
      <c r="C52" s="1692"/>
      <c r="D52" s="3206" t="s">
        <v>1728</v>
      </c>
      <c r="E52" s="3207" t="s">
        <v>496</v>
      </c>
      <c r="F52" s="3206" t="s">
        <v>423</v>
      </c>
      <c r="G52" s="3199" t="str">
        <f t="shared" si="3"/>
        <v>V.046_Industria y Mineria</v>
      </c>
      <c r="H52" s="3208">
        <v>70000</v>
      </c>
      <c r="I52" s="3209">
        <v>3</v>
      </c>
      <c r="J52" s="3210">
        <v>0.6</v>
      </c>
      <c r="K52" s="3208">
        <f t="shared" si="4"/>
        <v>70000</v>
      </c>
      <c r="L52" s="3211">
        <f t="shared" si="5"/>
        <v>63</v>
      </c>
      <c r="M52" s="3212">
        <f t="shared" si="6"/>
        <v>186</v>
      </c>
      <c r="N52" s="3213">
        <f>K52/Conversiones!$F$12/1000/1000000</f>
        <v>0.25197984161267101</v>
      </c>
      <c r="O52" s="3214">
        <f>L52/Conversiones!$F$12/1000/1000000</f>
        <v>2.2678185745140392E-4</v>
      </c>
      <c r="P52" s="3214">
        <f>M52/Conversiones!$F$12/1000/1000000</f>
        <v>6.6954643628509727E-4</v>
      </c>
      <c r="Q52" s="1692"/>
      <c r="R52" s="1692"/>
    </row>
    <row r="53" spans="2:18" x14ac:dyDescent="0.2">
      <c r="B53" s="1692"/>
      <c r="C53" s="1692"/>
      <c r="D53" s="3206" t="s">
        <v>1728</v>
      </c>
      <c r="E53" s="3207" t="s">
        <v>496</v>
      </c>
      <c r="F53" s="3206" t="s">
        <v>236</v>
      </c>
      <c r="G53" s="3199" t="str">
        <f t="shared" si="3"/>
        <v>V.046_Generación</v>
      </c>
      <c r="H53" s="3208">
        <v>70000</v>
      </c>
      <c r="I53" s="3209">
        <v>10</v>
      </c>
      <c r="J53" s="3210">
        <v>0.6</v>
      </c>
      <c r="K53" s="3208">
        <f t="shared" si="4"/>
        <v>70000</v>
      </c>
      <c r="L53" s="3211">
        <f t="shared" si="5"/>
        <v>210</v>
      </c>
      <c r="M53" s="3212">
        <f t="shared" si="6"/>
        <v>186</v>
      </c>
      <c r="N53" s="3213">
        <f>K53/Conversiones!$F$12/1000/1000000</f>
        <v>0.25197984161267101</v>
      </c>
      <c r="O53" s="3214">
        <f>L53/Conversiones!$F$12/1000/1000000</f>
        <v>7.5593952483801296E-4</v>
      </c>
      <c r="P53" s="3214">
        <f>M53/Conversiones!$F$12/1000/1000000</f>
        <v>6.6954643628509727E-4</v>
      </c>
      <c r="Q53" s="1692"/>
      <c r="R53" s="1692"/>
    </row>
    <row r="54" spans="2:18" x14ac:dyDescent="0.2">
      <c r="B54" s="1692"/>
      <c r="C54" s="1692"/>
      <c r="D54" s="3206" t="s">
        <v>1728</v>
      </c>
      <c r="E54" s="3207" t="s">
        <v>496</v>
      </c>
      <c r="F54" s="3206" t="s">
        <v>956</v>
      </c>
      <c r="G54" s="3199" t="str">
        <f t="shared" si="3"/>
        <v>V.046_CPR</v>
      </c>
      <c r="H54" s="3208">
        <v>70000</v>
      </c>
      <c r="I54" s="3209">
        <v>10</v>
      </c>
      <c r="J54" s="3210">
        <v>0.6</v>
      </c>
      <c r="K54" s="3208">
        <f t="shared" si="4"/>
        <v>70000</v>
      </c>
      <c r="L54" s="3211">
        <f t="shared" si="5"/>
        <v>210</v>
      </c>
      <c r="M54" s="3212">
        <f t="shared" si="6"/>
        <v>186</v>
      </c>
      <c r="N54" s="3213">
        <f>K54/Conversiones!$F$12/1000/1000000</f>
        <v>0.25197984161267101</v>
      </c>
      <c r="O54" s="3214">
        <f>L54/Conversiones!$F$12/1000/1000000</f>
        <v>7.5593952483801296E-4</v>
      </c>
      <c r="P54" s="3214">
        <f>M54/Conversiones!$F$12/1000/1000000</f>
        <v>6.6954643628509727E-4</v>
      </c>
      <c r="Q54" s="1692"/>
      <c r="R54" s="1692"/>
    </row>
    <row r="55" spans="2:18" x14ac:dyDescent="0.2">
      <c r="B55" s="1692"/>
      <c r="C55" s="1692"/>
      <c r="D55" s="3215" t="s">
        <v>1728</v>
      </c>
      <c r="E55" s="3216" t="s">
        <v>496</v>
      </c>
      <c r="F55" s="3215" t="s">
        <v>955</v>
      </c>
      <c r="G55" s="3199" t="str">
        <f t="shared" si="3"/>
        <v>V.046_Otros Sectores</v>
      </c>
      <c r="H55" s="3219">
        <v>70000</v>
      </c>
      <c r="I55" s="3217">
        <v>10</v>
      </c>
      <c r="J55" s="3218">
        <v>0.6</v>
      </c>
      <c r="K55" s="3219">
        <f t="shared" si="4"/>
        <v>70000</v>
      </c>
      <c r="L55" s="3220">
        <f t="shared" si="5"/>
        <v>210</v>
      </c>
      <c r="M55" s="3221">
        <f t="shared" si="6"/>
        <v>186</v>
      </c>
      <c r="N55" s="3222">
        <f>K55/Conversiones!$F$12/1000/1000000</f>
        <v>0.25197984161267101</v>
      </c>
      <c r="O55" s="3223">
        <f>L55/Conversiones!$F$12/1000/1000000</f>
        <v>7.5593952483801296E-4</v>
      </c>
      <c r="P55" s="3223">
        <f>M55/Conversiones!$F$12/1000/1000000</f>
        <v>6.6954643628509727E-4</v>
      </c>
      <c r="Q55" s="1692"/>
      <c r="R55" s="1692"/>
    </row>
    <row r="56" spans="2:18" x14ac:dyDescent="0.2">
      <c r="B56" s="1692"/>
      <c r="C56" s="1692"/>
      <c r="D56" s="3206" t="s">
        <v>1729</v>
      </c>
      <c r="E56" s="3207" t="s">
        <v>497</v>
      </c>
      <c r="F56" s="3198" t="s">
        <v>420</v>
      </c>
      <c r="G56" s="3199" t="str">
        <f t="shared" si="3"/>
        <v>V.047_Transporte</v>
      </c>
      <c r="H56" s="3208">
        <v>71500</v>
      </c>
      <c r="I56" s="3209">
        <v>0.5</v>
      </c>
      <c r="J56" s="3210">
        <v>2</v>
      </c>
      <c r="K56" s="3208">
        <f t="shared" si="4"/>
        <v>71500</v>
      </c>
      <c r="L56" s="3211">
        <f t="shared" si="5"/>
        <v>10.5</v>
      </c>
      <c r="M56" s="3212">
        <f t="shared" si="6"/>
        <v>620</v>
      </c>
      <c r="N56" s="3213">
        <f>K56/Conversiones!$F$12/1000/1000000</f>
        <v>0.25737940964722827</v>
      </c>
      <c r="O56" s="3214">
        <f>L56/Conversiones!$F$12/1000/1000000</f>
        <v>3.7796976241900648E-5</v>
      </c>
      <c r="P56" s="3214">
        <f>M56/Conversiones!$F$12/1000/1000000</f>
        <v>2.2318214542836577E-3</v>
      </c>
      <c r="Q56" s="1692"/>
      <c r="R56" s="1692"/>
    </row>
    <row r="57" spans="2:18" x14ac:dyDescent="0.2">
      <c r="B57" s="1692"/>
      <c r="C57" s="1692"/>
      <c r="D57" s="3206" t="s">
        <v>1729</v>
      </c>
      <c r="E57" s="3207" t="s">
        <v>497</v>
      </c>
      <c r="F57" s="3206" t="s">
        <v>423</v>
      </c>
      <c r="G57" s="3199" t="str">
        <f t="shared" si="3"/>
        <v>V.047_Industria y Mineria</v>
      </c>
      <c r="H57" s="3208">
        <v>71500</v>
      </c>
      <c r="I57" s="3209">
        <v>0.5</v>
      </c>
      <c r="J57" s="3210">
        <v>2</v>
      </c>
      <c r="K57" s="3208">
        <f t="shared" si="4"/>
        <v>71500</v>
      </c>
      <c r="L57" s="3211">
        <f t="shared" si="5"/>
        <v>10.5</v>
      </c>
      <c r="M57" s="3212">
        <f t="shared" si="6"/>
        <v>620</v>
      </c>
      <c r="N57" s="3213">
        <f>K57/Conversiones!$F$12/1000/1000000</f>
        <v>0.25737940964722827</v>
      </c>
      <c r="O57" s="3214">
        <f>L57/Conversiones!$F$12/1000/1000000</f>
        <v>3.7796976241900648E-5</v>
      </c>
      <c r="P57" s="3214">
        <f>M57/Conversiones!$F$12/1000/1000000</f>
        <v>2.2318214542836577E-3</v>
      </c>
      <c r="Q57" s="1692"/>
      <c r="R57" s="1692"/>
    </row>
    <row r="58" spans="2:18" x14ac:dyDescent="0.2">
      <c r="B58" s="1692"/>
      <c r="C58" s="1692"/>
      <c r="D58" s="3206" t="s">
        <v>1729</v>
      </c>
      <c r="E58" s="3207" t="s">
        <v>497</v>
      </c>
      <c r="F58" s="3206" t="s">
        <v>236</v>
      </c>
      <c r="G58" s="3199" t="str">
        <f t="shared" si="3"/>
        <v>V.047_Generación</v>
      </c>
      <c r="H58" s="3208">
        <v>71500</v>
      </c>
      <c r="I58" s="3209">
        <v>0.5</v>
      </c>
      <c r="J58" s="3210">
        <v>2</v>
      </c>
      <c r="K58" s="3208">
        <f t="shared" si="4"/>
        <v>71500</v>
      </c>
      <c r="L58" s="3211">
        <f t="shared" si="5"/>
        <v>10.5</v>
      </c>
      <c r="M58" s="3212">
        <f t="shared" si="6"/>
        <v>620</v>
      </c>
      <c r="N58" s="3213">
        <f>K58/Conversiones!$F$12/1000/1000000</f>
        <v>0.25737940964722827</v>
      </c>
      <c r="O58" s="3214">
        <f>L58/Conversiones!$F$12/1000/1000000</f>
        <v>3.7796976241900648E-5</v>
      </c>
      <c r="P58" s="3214">
        <f>M58/Conversiones!$F$12/1000/1000000</f>
        <v>2.2318214542836577E-3</v>
      </c>
      <c r="Q58" s="1692"/>
      <c r="R58" s="1692"/>
    </row>
    <row r="59" spans="2:18" x14ac:dyDescent="0.2">
      <c r="B59" s="1692"/>
      <c r="C59" s="1692"/>
      <c r="D59" s="3206" t="s">
        <v>1729</v>
      </c>
      <c r="E59" s="3207" t="s">
        <v>497</v>
      </c>
      <c r="F59" s="3206" t="s">
        <v>956</v>
      </c>
      <c r="G59" s="3199" t="str">
        <f t="shared" si="3"/>
        <v>V.047_CPR</v>
      </c>
      <c r="H59" s="3208">
        <v>71500</v>
      </c>
      <c r="I59" s="3209">
        <v>0.5</v>
      </c>
      <c r="J59" s="3210">
        <v>2</v>
      </c>
      <c r="K59" s="3208">
        <f t="shared" si="4"/>
        <v>71500</v>
      </c>
      <c r="L59" s="3211">
        <f t="shared" si="5"/>
        <v>10.5</v>
      </c>
      <c r="M59" s="3212">
        <f t="shared" si="6"/>
        <v>620</v>
      </c>
      <c r="N59" s="3213">
        <f>K59/Conversiones!$F$12/1000/1000000</f>
        <v>0.25737940964722827</v>
      </c>
      <c r="O59" s="3214">
        <f>L59/Conversiones!$F$12/1000/1000000</f>
        <v>3.7796976241900648E-5</v>
      </c>
      <c r="P59" s="3214">
        <f>M59/Conversiones!$F$12/1000/1000000</f>
        <v>2.2318214542836577E-3</v>
      </c>
      <c r="Q59" s="1692"/>
      <c r="R59" s="1692"/>
    </row>
    <row r="60" spans="2:18" x14ac:dyDescent="0.2">
      <c r="B60" s="1692"/>
      <c r="C60" s="1692"/>
      <c r="D60" s="3206" t="s">
        <v>1729</v>
      </c>
      <c r="E60" s="3216" t="s">
        <v>497</v>
      </c>
      <c r="F60" s="3215" t="s">
        <v>955</v>
      </c>
      <c r="G60" s="3199" t="str">
        <f t="shared" si="3"/>
        <v>V.047_Otros Sectores</v>
      </c>
      <c r="H60" s="3219">
        <v>71500</v>
      </c>
      <c r="I60" s="3217">
        <v>0.5</v>
      </c>
      <c r="J60" s="3218">
        <v>2</v>
      </c>
      <c r="K60" s="3208">
        <f t="shared" si="4"/>
        <v>71500</v>
      </c>
      <c r="L60" s="3211">
        <f t="shared" si="5"/>
        <v>10.5</v>
      </c>
      <c r="M60" s="3212">
        <f t="shared" si="6"/>
        <v>620</v>
      </c>
      <c r="N60" s="3213">
        <f>K60/Conversiones!$F$12/1000/1000000</f>
        <v>0.25737940964722827</v>
      </c>
      <c r="O60" s="3214">
        <f>L60/Conversiones!$F$12/1000/1000000</f>
        <v>3.7796976241900648E-5</v>
      </c>
      <c r="P60" s="3214">
        <f>M60/Conversiones!$F$12/1000/1000000</f>
        <v>2.2318214542836577E-3</v>
      </c>
      <c r="Q60" s="1692"/>
      <c r="R60" s="1692"/>
    </row>
    <row r="61" spans="2:18" x14ac:dyDescent="0.2">
      <c r="B61" s="1692"/>
      <c r="C61" s="1692"/>
      <c r="D61" s="3198" t="s">
        <v>1730</v>
      </c>
      <c r="E61" s="3207" t="s">
        <v>1175</v>
      </c>
      <c r="F61" s="3206" t="s">
        <v>420</v>
      </c>
      <c r="G61" s="3199" t="str">
        <f t="shared" si="3"/>
        <v>V.048_Transporte</v>
      </c>
      <c r="H61" s="3208">
        <v>73300</v>
      </c>
      <c r="I61" s="3209">
        <v>4.2</v>
      </c>
      <c r="J61" s="3210">
        <v>28.6</v>
      </c>
      <c r="K61" s="3200">
        <f t="shared" si="4"/>
        <v>73300</v>
      </c>
      <c r="L61" s="3202">
        <f t="shared" si="5"/>
        <v>88.2</v>
      </c>
      <c r="M61" s="3203">
        <f t="shared" si="6"/>
        <v>8866</v>
      </c>
      <c r="N61" s="3204">
        <f>K61/Conversiones!$F$12/1000/1000000</f>
        <v>0.26385889128869688</v>
      </c>
      <c r="O61" s="3205">
        <f>L61/Conversiones!$F$12/1000/1000000</f>
        <v>3.1749460043196547E-4</v>
      </c>
      <c r="P61" s="3205">
        <f>M61/Conversiones!$F$12/1000/1000000</f>
        <v>3.1915046796256306E-2</v>
      </c>
      <c r="Q61" s="1692"/>
      <c r="R61" s="1692"/>
    </row>
    <row r="62" spans="2:18" x14ac:dyDescent="0.2">
      <c r="B62" s="1692"/>
      <c r="C62" s="1692"/>
      <c r="D62" s="3206" t="s">
        <v>1730</v>
      </c>
      <c r="E62" s="3207" t="s">
        <v>1175</v>
      </c>
      <c r="F62" s="3206" t="s">
        <v>423</v>
      </c>
      <c r="G62" s="3199" t="str">
        <f t="shared" si="3"/>
        <v>V.048_Industria y Mineria</v>
      </c>
      <c r="H62" s="3208">
        <v>73300</v>
      </c>
      <c r="I62" s="3209">
        <v>3</v>
      </c>
      <c r="J62" s="3210">
        <v>0.6</v>
      </c>
      <c r="K62" s="3208">
        <f t="shared" si="4"/>
        <v>73300</v>
      </c>
      <c r="L62" s="3211">
        <f t="shared" si="5"/>
        <v>63</v>
      </c>
      <c r="M62" s="3212">
        <f t="shared" si="6"/>
        <v>186</v>
      </c>
      <c r="N62" s="3213">
        <f>K62/Conversiones!$F$12/1000/1000000</f>
        <v>0.26385889128869688</v>
      </c>
      <c r="O62" s="3214">
        <f>L62/Conversiones!$F$12/1000/1000000</f>
        <v>2.2678185745140392E-4</v>
      </c>
      <c r="P62" s="3214">
        <f>M62/Conversiones!$F$12/1000/1000000</f>
        <v>6.6954643628509727E-4</v>
      </c>
      <c r="Q62" s="1692"/>
      <c r="R62" s="1692"/>
    </row>
    <row r="63" spans="2:18" x14ac:dyDescent="0.2">
      <c r="B63" s="1692"/>
      <c r="C63" s="1692"/>
      <c r="D63" s="3206" t="s">
        <v>1730</v>
      </c>
      <c r="E63" s="3207" t="s">
        <v>1175</v>
      </c>
      <c r="F63" s="3206" t="s">
        <v>236</v>
      </c>
      <c r="G63" s="3199" t="str">
        <f t="shared" si="3"/>
        <v>V.048_Generación</v>
      </c>
      <c r="H63" s="3208">
        <v>73300</v>
      </c>
      <c r="I63" s="3209">
        <v>3</v>
      </c>
      <c r="J63" s="3210">
        <v>0.6</v>
      </c>
      <c r="K63" s="3208">
        <f t="shared" si="4"/>
        <v>73300</v>
      </c>
      <c r="L63" s="3211">
        <f t="shared" si="5"/>
        <v>63</v>
      </c>
      <c r="M63" s="3212">
        <f t="shared" si="6"/>
        <v>186</v>
      </c>
      <c r="N63" s="3213">
        <f>K63/Conversiones!$F$12/1000/1000000</f>
        <v>0.26385889128869688</v>
      </c>
      <c r="O63" s="3214">
        <f>L63/Conversiones!$F$12/1000/1000000</f>
        <v>2.2678185745140392E-4</v>
      </c>
      <c r="P63" s="3214">
        <f>M63/Conversiones!$F$12/1000/1000000</f>
        <v>6.6954643628509727E-4</v>
      </c>
      <c r="Q63" s="1692"/>
      <c r="R63" s="1692"/>
    </row>
    <row r="64" spans="2:18" x14ac:dyDescent="0.2">
      <c r="B64" s="1692"/>
      <c r="C64" s="1692"/>
      <c r="D64" s="3206" t="s">
        <v>1730</v>
      </c>
      <c r="E64" s="3207" t="s">
        <v>1175</v>
      </c>
      <c r="F64" s="3206" t="s">
        <v>956</v>
      </c>
      <c r="G64" s="3199" t="str">
        <f t="shared" si="3"/>
        <v>V.048_CPR</v>
      </c>
      <c r="H64" s="3208">
        <v>73300</v>
      </c>
      <c r="I64" s="3209">
        <v>10</v>
      </c>
      <c r="J64" s="3210">
        <v>0.6</v>
      </c>
      <c r="K64" s="3208">
        <f t="shared" si="4"/>
        <v>73300</v>
      </c>
      <c r="L64" s="3211">
        <f t="shared" si="5"/>
        <v>210</v>
      </c>
      <c r="M64" s="3212">
        <f t="shared" si="6"/>
        <v>186</v>
      </c>
      <c r="N64" s="3213">
        <f>K64/Conversiones!$F$12/1000/1000000</f>
        <v>0.26385889128869688</v>
      </c>
      <c r="O64" s="3214">
        <f>L64/Conversiones!$F$12/1000/1000000</f>
        <v>7.5593952483801296E-4</v>
      </c>
      <c r="P64" s="3214">
        <f>M64/Conversiones!$F$12/1000/1000000</f>
        <v>6.6954643628509727E-4</v>
      </c>
      <c r="Q64" s="1692"/>
      <c r="R64" s="1692"/>
    </row>
    <row r="65" spans="2:18" x14ac:dyDescent="0.2">
      <c r="B65" s="1692"/>
      <c r="C65" s="1692"/>
      <c r="D65" s="3215" t="s">
        <v>1730</v>
      </c>
      <c r="E65" s="3216" t="s">
        <v>1175</v>
      </c>
      <c r="F65" s="3215" t="s">
        <v>955</v>
      </c>
      <c r="G65" s="3199" t="str">
        <f t="shared" si="3"/>
        <v>V.048_Otros Sectores</v>
      </c>
      <c r="H65" s="3208">
        <v>73300</v>
      </c>
      <c r="I65" s="3217">
        <v>10</v>
      </c>
      <c r="J65" s="3218">
        <v>0.6</v>
      </c>
      <c r="K65" s="3219">
        <f t="shared" si="4"/>
        <v>73300</v>
      </c>
      <c r="L65" s="3220">
        <f t="shared" si="5"/>
        <v>210</v>
      </c>
      <c r="M65" s="3221">
        <f t="shared" si="6"/>
        <v>186</v>
      </c>
      <c r="N65" s="3222">
        <f>K65/Conversiones!$F$12/1000/1000000</f>
        <v>0.26385889128869688</v>
      </c>
      <c r="O65" s="3223">
        <f>L65/Conversiones!$F$12/1000/1000000</f>
        <v>7.5593952483801296E-4</v>
      </c>
      <c r="P65" s="3223">
        <f>M65/Conversiones!$F$12/1000/1000000</f>
        <v>6.6954643628509727E-4</v>
      </c>
      <c r="Q65" s="1692"/>
      <c r="R65" s="1692"/>
    </row>
    <row r="66" spans="2:18" x14ac:dyDescent="0.2">
      <c r="B66" s="1692"/>
      <c r="C66" s="1692"/>
      <c r="D66" s="3198" t="s">
        <v>1731</v>
      </c>
      <c r="E66" s="3207" t="s">
        <v>1688</v>
      </c>
      <c r="F66" s="3198" t="s">
        <v>420</v>
      </c>
      <c r="G66" s="3199" t="str">
        <f t="shared" si="3"/>
        <v>V.049_Transporte</v>
      </c>
      <c r="H66" s="3200">
        <v>77400</v>
      </c>
      <c r="I66" s="3197">
        <v>0.8</v>
      </c>
      <c r="J66" s="3201">
        <v>0.3</v>
      </c>
      <c r="K66" s="3208">
        <f t="shared" si="4"/>
        <v>77400</v>
      </c>
      <c r="L66" s="3211">
        <f t="shared" si="5"/>
        <v>16.8</v>
      </c>
      <c r="M66" s="3212">
        <f t="shared" si="6"/>
        <v>93</v>
      </c>
      <c r="N66" s="3213">
        <f>K66/Conversiones!$F$12/1000/1000000</f>
        <v>0.27861771058315338</v>
      </c>
      <c r="O66" s="3214">
        <f>L66/Conversiones!$F$12/1000/1000000</f>
        <v>6.0475161987041042E-5</v>
      </c>
      <c r="P66" s="3214">
        <f>M66/Conversiones!$F$12/1000/1000000</f>
        <v>3.3477321814254864E-4</v>
      </c>
      <c r="Q66" s="1692"/>
      <c r="R66" s="1692"/>
    </row>
    <row r="67" spans="2:18" x14ac:dyDescent="0.2">
      <c r="B67" s="1692"/>
      <c r="C67" s="1692"/>
      <c r="D67" s="3206" t="s">
        <v>1731</v>
      </c>
      <c r="E67" s="3207" t="s">
        <v>1688</v>
      </c>
      <c r="F67" s="3206" t="s">
        <v>423</v>
      </c>
      <c r="G67" s="3199" t="str">
        <f t="shared" si="3"/>
        <v>V.049_Industria y Mineria</v>
      </c>
      <c r="H67" s="3208">
        <v>77400</v>
      </c>
      <c r="I67" s="3209">
        <v>3</v>
      </c>
      <c r="J67" s="3210">
        <v>0.6</v>
      </c>
      <c r="K67" s="3208">
        <f t="shared" si="4"/>
        <v>77400</v>
      </c>
      <c r="L67" s="3211">
        <f t="shared" si="5"/>
        <v>63</v>
      </c>
      <c r="M67" s="3212">
        <f t="shared" si="6"/>
        <v>186</v>
      </c>
      <c r="N67" s="3213">
        <f>K67/Conversiones!$F$12/1000/1000000</f>
        <v>0.27861771058315338</v>
      </c>
      <c r="O67" s="3214">
        <f>L67/Conversiones!$F$12/1000/1000000</f>
        <v>2.2678185745140392E-4</v>
      </c>
      <c r="P67" s="3214">
        <f>M67/Conversiones!$F$12/1000/1000000</f>
        <v>6.6954643628509727E-4</v>
      </c>
      <c r="Q67" s="1692"/>
      <c r="R67" s="1692"/>
    </row>
    <row r="68" spans="2:18" x14ac:dyDescent="0.2">
      <c r="B68" s="1692"/>
      <c r="C68" s="1692"/>
      <c r="D68" s="3206" t="s">
        <v>1731</v>
      </c>
      <c r="E68" s="3207" t="s">
        <v>1688</v>
      </c>
      <c r="F68" s="3206" t="s">
        <v>236</v>
      </c>
      <c r="G68" s="3199" t="str">
        <f t="shared" si="3"/>
        <v>V.049_Generación</v>
      </c>
      <c r="H68" s="3208">
        <v>77400</v>
      </c>
      <c r="I68" s="3209">
        <v>3</v>
      </c>
      <c r="J68" s="3210">
        <v>0.6</v>
      </c>
      <c r="K68" s="3208">
        <f t="shared" si="4"/>
        <v>77400</v>
      </c>
      <c r="L68" s="3211">
        <f t="shared" si="5"/>
        <v>63</v>
      </c>
      <c r="M68" s="3212">
        <f t="shared" si="6"/>
        <v>186</v>
      </c>
      <c r="N68" s="3213">
        <f>K68/Conversiones!$F$12/1000/1000000</f>
        <v>0.27861771058315338</v>
      </c>
      <c r="O68" s="3214">
        <f>L68/Conversiones!$F$12/1000/1000000</f>
        <v>2.2678185745140392E-4</v>
      </c>
      <c r="P68" s="3214">
        <f>M68/Conversiones!$F$12/1000/1000000</f>
        <v>6.6954643628509727E-4</v>
      </c>
      <c r="Q68" s="1692"/>
      <c r="R68" s="1692"/>
    </row>
    <row r="69" spans="2:18" x14ac:dyDescent="0.2">
      <c r="B69" s="1692"/>
      <c r="C69" s="1692"/>
      <c r="D69" s="3206" t="s">
        <v>1731</v>
      </c>
      <c r="E69" s="3207" t="s">
        <v>1688</v>
      </c>
      <c r="F69" s="3206" t="s">
        <v>956</v>
      </c>
      <c r="G69" s="3199" t="str">
        <f t="shared" si="3"/>
        <v>V.049_CPR</v>
      </c>
      <c r="H69" s="3208">
        <v>77400</v>
      </c>
      <c r="I69" s="3209">
        <v>10</v>
      </c>
      <c r="J69" s="3210">
        <v>0.6</v>
      </c>
      <c r="K69" s="3208">
        <f t="shared" si="4"/>
        <v>77400</v>
      </c>
      <c r="L69" s="3211">
        <f t="shared" si="5"/>
        <v>210</v>
      </c>
      <c r="M69" s="3212">
        <f t="shared" si="6"/>
        <v>186</v>
      </c>
      <c r="N69" s="3213">
        <f>K69/Conversiones!$F$12/1000/1000000</f>
        <v>0.27861771058315338</v>
      </c>
      <c r="O69" s="3214">
        <f>L69/Conversiones!$F$12/1000/1000000</f>
        <v>7.5593952483801296E-4</v>
      </c>
      <c r="P69" s="3214">
        <f>M69/Conversiones!$F$12/1000/1000000</f>
        <v>6.6954643628509727E-4</v>
      </c>
      <c r="Q69" s="1692"/>
      <c r="R69" s="1692"/>
    </row>
    <row r="70" spans="2:18" x14ac:dyDescent="0.2">
      <c r="B70" s="1692"/>
      <c r="C70" s="1692"/>
      <c r="D70" s="3215" t="s">
        <v>1731</v>
      </c>
      <c r="E70" s="3216" t="s">
        <v>1688</v>
      </c>
      <c r="F70" s="3215" t="s">
        <v>955</v>
      </c>
      <c r="G70" s="3199" t="str">
        <f t="shared" si="3"/>
        <v>V.049_Otros Sectores</v>
      </c>
      <c r="H70" s="3208">
        <v>77400</v>
      </c>
      <c r="I70" s="3217">
        <v>10</v>
      </c>
      <c r="J70" s="3218">
        <v>0.6</v>
      </c>
      <c r="K70" s="3208">
        <f t="shared" si="4"/>
        <v>77400</v>
      </c>
      <c r="L70" s="3211">
        <f t="shared" si="5"/>
        <v>210</v>
      </c>
      <c r="M70" s="3212">
        <f t="shared" si="6"/>
        <v>186</v>
      </c>
      <c r="N70" s="3213">
        <f>K70/Conversiones!$F$12/1000/1000000</f>
        <v>0.27861771058315338</v>
      </c>
      <c r="O70" s="3214">
        <f>L70/Conversiones!$F$12/1000/1000000</f>
        <v>7.5593952483801296E-4</v>
      </c>
      <c r="P70" s="3214">
        <f>M70/Conversiones!$F$12/1000/1000000</f>
        <v>6.6954643628509727E-4</v>
      </c>
      <c r="Q70" s="1692"/>
      <c r="R70" s="1692"/>
    </row>
    <row r="71" spans="2:18" x14ac:dyDescent="0.2">
      <c r="B71" s="1692"/>
      <c r="C71" s="1692"/>
      <c r="D71" s="3198" t="s">
        <v>1733</v>
      </c>
      <c r="E71" s="3207" t="s">
        <v>1181</v>
      </c>
      <c r="F71" s="3198" t="s">
        <v>420</v>
      </c>
      <c r="G71" s="3199" t="str">
        <f t="shared" si="3"/>
        <v>V.0410_Transporte</v>
      </c>
      <c r="H71" s="3200">
        <v>80700</v>
      </c>
      <c r="I71" s="3197">
        <v>3</v>
      </c>
      <c r="J71" s="3201">
        <v>0.6</v>
      </c>
      <c r="K71" s="3200">
        <f t="shared" si="4"/>
        <v>80700</v>
      </c>
      <c r="L71" s="3202">
        <f t="shared" si="5"/>
        <v>63</v>
      </c>
      <c r="M71" s="3203">
        <f t="shared" si="6"/>
        <v>186</v>
      </c>
      <c r="N71" s="3204">
        <f>K71/Conversiones!$F$12/1000/1000000</f>
        <v>0.29049676025917931</v>
      </c>
      <c r="O71" s="3205">
        <f>L71/Conversiones!$F$12/1000/1000000</f>
        <v>2.2678185745140392E-4</v>
      </c>
      <c r="P71" s="3205">
        <f>M71/Conversiones!$F$12/1000/1000000</f>
        <v>6.6954643628509727E-4</v>
      </c>
      <c r="Q71" s="1692"/>
      <c r="R71" s="1692"/>
    </row>
    <row r="72" spans="2:18" x14ac:dyDescent="0.2">
      <c r="B72" s="1692"/>
      <c r="C72" s="1692"/>
      <c r="D72" s="3206" t="s">
        <v>1733</v>
      </c>
      <c r="E72" s="3207" t="s">
        <v>1181</v>
      </c>
      <c r="F72" s="3206" t="s">
        <v>423</v>
      </c>
      <c r="G72" s="3199" t="str">
        <f t="shared" si="3"/>
        <v>V.0410_Industria y Mineria</v>
      </c>
      <c r="H72" s="3208">
        <v>80700</v>
      </c>
      <c r="I72" s="3209">
        <v>3</v>
      </c>
      <c r="J72" s="3210">
        <v>0.6</v>
      </c>
      <c r="K72" s="3208">
        <f t="shared" si="4"/>
        <v>80700</v>
      </c>
      <c r="L72" s="3211">
        <f t="shared" si="5"/>
        <v>63</v>
      </c>
      <c r="M72" s="3212">
        <f t="shared" si="6"/>
        <v>186</v>
      </c>
      <c r="N72" s="3213">
        <f>K72/Conversiones!$F$12/1000/1000000</f>
        <v>0.29049676025917931</v>
      </c>
      <c r="O72" s="3214">
        <f>L72/Conversiones!$F$12/1000/1000000</f>
        <v>2.2678185745140392E-4</v>
      </c>
      <c r="P72" s="3214">
        <f>M72/Conversiones!$F$12/1000/1000000</f>
        <v>6.6954643628509727E-4</v>
      </c>
      <c r="Q72" s="1692"/>
      <c r="R72" s="1692"/>
    </row>
    <row r="73" spans="2:18" x14ac:dyDescent="0.2">
      <c r="B73" s="1692"/>
      <c r="C73" s="1692"/>
      <c r="D73" s="3206" t="s">
        <v>1733</v>
      </c>
      <c r="E73" s="3207" t="s">
        <v>1181</v>
      </c>
      <c r="F73" s="3206" t="s">
        <v>236</v>
      </c>
      <c r="G73" s="3199" t="str">
        <f t="shared" si="3"/>
        <v>V.0410_Generación</v>
      </c>
      <c r="H73" s="3208">
        <v>80700</v>
      </c>
      <c r="I73" s="3209">
        <v>3</v>
      </c>
      <c r="J73" s="3210">
        <v>0.6</v>
      </c>
      <c r="K73" s="3208">
        <f t="shared" si="4"/>
        <v>80700</v>
      </c>
      <c r="L73" s="3211">
        <f t="shared" si="5"/>
        <v>63</v>
      </c>
      <c r="M73" s="3212">
        <f t="shared" si="6"/>
        <v>186</v>
      </c>
      <c r="N73" s="3213">
        <f>K73/Conversiones!$F$12/1000/1000000</f>
        <v>0.29049676025917931</v>
      </c>
      <c r="O73" s="3214">
        <f>L73/Conversiones!$F$12/1000/1000000</f>
        <v>2.2678185745140392E-4</v>
      </c>
      <c r="P73" s="3214">
        <f>M73/Conversiones!$F$12/1000/1000000</f>
        <v>6.6954643628509727E-4</v>
      </c>
      <c r="Q73" s="1692"/>
      <c r="R73" s="1692"/>
    </row>
    <row r="74" spans="2:18" x14ac:dyDescent="0.2">
      <c r="B74" s="1692"/>
      <c r="C74" s="1692"/>
      <c r="D74" s="3206" t="s">
        <v>1733</v>
      </c>
      <c r="E74" s="3207" t="s">
        <v>1181</v>
      </c>
      <c r="F74" s="3206" t="s">
        <v>956</v>
      </c>
      <c r="G74" s="3199" t="str">
        <f t="shared" si="3"/>
        <v>V.0410_CPR</v>
      </c>
      <c r="H74" s="3208">
        <v>80700</v>
      </c>
      <c r="I74" s="3209">
        <v>3</v>
      </c>
      <c r="J74" s="3210">
        <v>0.6</v>
      </c>
      <c r="K74" s="3208">
        <f t="shared" si="4"/>
        <v>80700</v>
      </c>
      <c r="L74" s="3211">
        <f t="shared" si="5"/>
        <v>63</v>
      </c>
      <c r="M74" s="3212">
        <f t="shared" si="6"/>
        <v>186</v>
      </c>
      <c r="N74" s="3213">
        <f>K74/Conversiones!$F$12/1000/1000000</f>
        <v>0.29049676025917931</v>
      </c>
      <c r="O74" s="3214">
        <f>L74/Conversiones!$F$12/1000/1000000</f>
        <v>2.2678185745140392E-4</v>
      </c>
      <c r="P74" s="3214">
        <f>M74/Conversiones!$F$12/1000/1000000</f>
        <v>6.6954643628509727E-4</v>
      </c>
      <c r="Q74" s="1692"/>
      <c r="R74" s="1692"/>
    </row>
    <row r="75" spans="2:18" x14ac:dyDescent="0.2">
      <c r="B75" s="1692"/>
      <c r="C75" s="1692"/>
      <c r="D75" s="3215" t="s">
        <v>1733</v>
      </c>
      <c r="E75" s="3216" t="s">
        <v>1181</v>
      </c>
      <c r="F75" s="3215" t="s">
        <v>955</v>
      </c>
      <c r="G75" s="3199" t="str">
        <f t="shared" si="3"/>
        <v>V.0410_Otros Sectores</v>
      </c>
      <c r="H75" s="3208">
        <v>80700</v>
      </c>
      <c r="I75" s="3217">
        <v>3</v>
      </c>
      <c r="J75" s="3218">
        <v>0.6</v>
      </c>
      <c r="K75" s="3219">
        <f t="shared" ref="K75:K106" si="7">H75*E$139</f>
        <v>80700</v>
      </c>
      <c r="L75" s="3220">
        <f t="shared" ref="L75:L106" si="8">I75*E$140</f>
        <v>63</v>
      </c>
      <c r="M75" s="3221">
        <f t="shared" ref="M75:M106" si="9">J75*E$141</f>
        <v>186</v>
      </c>
      <c r="N75" s="3222">
        <f>K75/Conversiones!$F$12/1000/1000000</f>
        <v>0.29049676025917931</v>
      </c>
      <c r="O75" s="3223">
        <f>L75/Conversiones!$F$12/1000/1000000</f>
        <v>2.2678185745140392E-4</v>
      </c>
      <c r="P75" s="3223">
        <f>M75/Conversiones!$F$12/1000/1000000</f>
        <v>6.6954643628509727E-4</v>
      </c>
      <c r="Q75" s="1692"/>
      <c r="R75" s="1692"/>
    </row>
    <row r="76" spans="2:18" x14ac:dyDescent="0.2">
      <c r="B76" s="1692"/>
      <c r="C76" s="1692"/>
      <c r="D76" s="3198" t="s">
        <v>1734</v>
      </c>
      <c r="E76" s="3207" t="s">
        <v>1691</v>
      </c>
      <c r="F76" s="3198" t="s">
        <v>420</v>
      </c>
      <c r="G76" s="3199" t="str">
        <f t="shared" si="3"/>
        <v>V.0411_Transporte</v>
      </c>
      <c r="H76" s="3200">
        <v>63864</v>
      </c>
      <c r="I76" s="3197">
        <v>3</v>
      </c>
      <c r="J76" s="3201">
        <v>0.6</v>
      </c>
      <c r="K76" s="3208">
        <f t="shared" si="7"/>
        <v>63864</v>
      </c>
      <c r="L76" s="3211">
        <f t="shared" si="8"/>
        <v>63</v>
      </c>
      <c r="M76" s="3212">
        <f t="shared" si="9"/>
        <v>186</v>
      </c>
      <c r="N76" s="3213">
        <f>K76/Conversiones!$F$12/1000/1000000</f>
        <v>0.22989200863930886</v>
      </c>
      <c r="O76" s="3214">
        <f>L76/Conversiones!$F$12/1000/1000000</f>
        <v>2.2678185745140392E-4</v>
      </c>
      <c r="P76" s="3214">
        <f>M76/Conversiones!$F$12/1000/1000000</f>
        <v>6.6954643628509727E-4</v>
      </c>
      <c r="Q76" s="1692"/>
      <c r="R76" s="1692"/>
    </row>
    <row r="77" spans="2:18" x14ac:dyDescent="0.2">
      <c r="B77" s="1692"/>
      <c r="C77" s="1692"/>
      <c r="D77" s="3206" t="s">
        <v>1734</v>
      </c>
      <c r="E77" s="3207" t="s">
        <v>1691</v>
      </c>
      <c r="F77" s="3206" t="s">
        <v>423</v>
      </c>
      <c r="G77" s="3199" t="str">
        <f t="shared" ref="G77:G120" si="10">CONCATENATE(D77,"_",F77)</f>
        <v>V.0411_Industria y Mineria</v>
      </c>
      <c r="H77" s="3208">
        <v>63864</v>
      </c>
      <c r="I77" s="3209">
        <v>3</v>
      </c>
      <c r="J77" s="3210">
        <v>0.6</v>
      </c>
      <c r="K77" s="3208">
        <f t="shared" si="7"/>
        <v>63864</v>
      </c>
      <c r="L77" s="3211">
        <f t="shared" si="8"/>
        <v>63</v>
      </c>
      <c r="M77" s="3212">
        <f t="shared" si="9"/>
        <v>186</v>
      </c>
      <c r="N77" s="3213">
        <f>K77/Conversiones!$F$12/1000/1000000</f>
        <v>0.22989200863930886</v>
      </c>
      <c r="O77" s="3214">
        <f>L77/Conversiones!$F$12/1000/1000000</f>
        <v>2.2678185745140392E-4</v>
      </c>
      <c r="P77" s="3214">
        <f>M77/Conversiones!$F$12/1000/1000000</f>
        <v>6.6954643628509727E-4</v>
      </c>
      <c r="Q77" s="1692"/>
      <c r="R77" s="1692"/>
    </row>
    <row r="78" spans="2:18" x14ac:dyDescent="0.2">
      <c r="B78" s="1692"/>
      <c r="C78" s="1692"/>
      <c r="D78" s="3206" t="s">
        <v>1734</v>
      </c>
      <c r="E78" s="3207" t="s">
        <v>1691</v>
      </c>
      <c r="F78" s="3206" t="s">
        <v>236</v>
      </c>
      <c r="G78" s="3199" t="str">
        <f t="shared" si="10"/>
        <v>V.0411_Generación</v>
      </c>
      <c r="H78" s="3208">
        <v>63864</v>
      </c>
      <c r="I78" s="3209">
        <v>3</v>
      </c>
      <c r="J78" s="3210">
        <v>0.6</v>
      </c>
      <c r="K78" s="3208">
        <f t="shared" si="7"/>
        <v>63864</v>
      </c>
      <c r="L78" s="3211">
        <f t="shared" si="8"/>
        <v>63</v>
      </c>
      <c r="M78" s="3212">
        <f t="shared" si="9"/>
        <v>186</v>
      </c>
      <c r="N78" s="3213">
        <f>K78/Conversiones!$F$12/1000/1000000</f>
        <v>0.22989200863930886</v>
      </c>
      <c r="O78" s="3214">
        <f>L78/Conversiones!$F$12/1000/1000000</f>
        <v>2.2678185745140392E-4</v>
      </c>
      <c r="P78" s="3214">
        <f>M78/Conversiones!$F$12/1000/1000000</f>
        <v>6.6954643628509727E-4</v>
      </c>
      <c r="Q78" s="1692"/>
      <c r="R78" s="1692"/>
    </row>
    <row r="79" spans="2:18" x14ac:dyDescent="0.2">
      <c r="B79" s="1692"/>
      <c r="C79" s="1692"/>
      <c r="D79" s="3206" t="s">
        <v>1734</v>
      </c>
      <c r="E79" s="3207" t="s">
        <v>1691</v>
      </c>
      <c r="F79" s="3206" t="s">
        <v>956</v>
      </c>
      <c r="G79" s="3199" t="str">
        <f t="shared" si="10"/>
        <v>V.0411_CPR</v>
      </c>
      <c r="H79" s="3208">
        <v>63864</v>
      </c>
      <c r="I79" s="3209">
        <v>3</v>
      </c>
      <c r="J79" s="3210">
        <v>0.6</v>
      </c>
      <c r="K79" s="3208">
        <f t="shared" si="7"/>
        <v>63864</v>
      </c>
      <c r="L79" s="3211">
        <f t="shared" si="8"/>
        <v>63</v>
      </c>
      <c r="M79" s="3212">
        <f t="shared" si="9"/>
        <v>186</v>
      </c>
      <c r="N79" s="3213">
        <f>K79/Conversiones!$F$12/1000/1000000</f>
        <v>0.22989200863930886</v>
      </c>
      <c r="O79" s="3214">
        <f>L79/Conversiones!$F$12/1000/1000000</f>
        <v>2.2678185745140392E-4</v>
      </c>
      <c r="P79" s="3214">
        <f>M79/Conversiones!$F$12/1000/1000000</f>
        <v>6.6954643628509727E-4</v>
      </c>
      <c r="Q79" s="1692"/>
      <c r="R79" s="1692"/>
    </row>
    <row r="80" spans="2:18" x14ac:dyDescent="0.2">
      <c r="B80" s="1692"/>
      <c r="C80" s="1692"/>
      <c r="D80" s="3215" t="s">
        <v>1734</v>
      </c>
      <c r="E80" s="3216" t="s">
        <v>1691</v>
      </c>
      <c r="F80" s="3215" t="s">
        <v>955</v>
      </c>
      <c r="G80" s="3199" t="str">
        <f t="shared" si="10"/>
        <v>V.0411_Otros Sectores</v>
      </c>
      <c r="H80" s="3219">
        <v>63864</v>
      </c>
      <c r="I80" s="3217">
        <v>3</v>
      </c>
      <c r="J80" s="3218">
        <v>0.6</v>
      </c>
      <c r="K80" s="3208">
        <f t="shared" si="7"/>
        <v>63864</v>
      </c>
      <c r="L80" s="3211">
        <f t="shared" si="8"/>
        <v>63</v>
      </c>
      <c r="M80" s="3212">
        <f t="shared" si="9"/>
        <v>186</v>
      </c>
      <c r="N80" s="3213">
        <f>K80/Conversiones!$F$12/1000/1000000</f>
        <v>0.22989200863930886</v>
      </c>
      <c r="O80" s="3214">
        <f>L80/Conversiones!$F$12/1000/1000000</f>
        <v>2.2678185745140392E-4</v>
      </c>
      <c r="P80" s="3214">
        <f>M80/Conversiones!$F$12/1000/1000000</f>
        <v>6.6954643628509727E-4</v>
      </c>
      <c r="Q80" s="1692"/>
      <c r="R80" s="1692"/>
    </row>
    <row r="81" spans="2:18" x14ac:dyDescent="0.2">
      <c r="B81" s="1692"/>
      <c r="C81" s="1692"/>
      <c r="D81" s="3198" t="s">
        <v>1732</v>
      </c>
      <c r="E81" s="3199" t="s">
        <v>491</v>
      </c>
      <c r="F81" s="3198" t="s">
        <v>420</v>
      </c>
      <c r="G81" s="3199" t="str">
        <f t="shared" si="10"/>
        <v>V.051_Transporte</v>
      </c>
      <c r="H81" s="3200">
        <v>56100</v>
      </c>
      <c r="I81" s="3197">
        <v>92</v>
      </c>
      <c r="J81" s="3201">
        <v>3</v>
      </c>
      <c r="K81" s="3200">
        <f t="shared" si="7"/>
        <v>56100</v>
      </c>
      <c r="L81" s="3202">
        <f t="shared" si="8"/>
        <v>1932</v>
      </c>
      <c r="M81" s="3203">
        <f t="shared" si="9"/>
        <v>930</v>
      </c>
      <c r="N81" s="3204">
        <f>K81/Conversiones!$F$12/1000/1000000</f>
        <v>0.2019438444924406</v>
      </c>
      <c r="O81" s="3205">
        <f>L81/Conversiones!$F$12/1000/1000000</f>
        <v>6.9546436285097199E-3</v>
      </c>
      <c r="P81" s="3205">
        <f>M81/Conversiones!$F$12/1000/1000000</f>
        <v>3.3477321814254861E-3</v>
      </c>
      <c r="Q81" s="1692"/>
      <c r="R81" s="1692"/>
    </row>
    <row r="82" spans="2:18" x14ac:dyDescent="0.2">
      <c r="B82" s="1692"/>
      <c r="C82" s="1692"/>
      <c r="D82" s="3206" t="s">
        <v>1732</v>
      </c>
      <c r="E82" s="3207" t="s">
        <v>491</v>
      </c>
      <c r="F82" s="3206" t="s">
        <v>423</v>
      </c>
      <c r="G82" s="3199" t="str">
        <f t="shared" si="10"/>
        <v>V.051_Industria y Mineria</v>
      </c>
      <c r="H82" s="3208">
        <v>56100</v>
      </c>
      <c r="I82" s="3209">
        <v>1</v>
      </c>
      <c r="J82" s="3210">
        <v>0.1</v>
      </c>
      <c r="K82" s="3208">
        <f t="shared" si="7"/>
        <v>56100</v>
      </c>
      <c r="L82" s="3211">
        <f t="shared" si="8"/>
        <v>21</v>
      </c>
      <c r="M82" s="3212">
        <f t="shared" si="9"/>
        <v>31</v>
      </c>
      <c r="N82" s="3213">
        <f>K82/Conversiones!$F$12/1000/1000000</f>
        <v>0.2019438444924406</v>
      </c>
      <c r="O82" s="3214">
        <f>L82/Conversiones!$F$12/1000/1000000</f>
        <v>7.5593952483801296E-5</v>
      </c>
      <c r="P82" s="3214">
        <f>M82/Conversiones!$F$12/1000/1000000</f>
        <v>1.1159107271418287E-4</v>
      </c>
      <c r="Q82" s="1692"/>
      <c r="R82" s="1692"/>
    </row>
    <row r="83" spans="2:18" x14ac:dyDescent="0.2">
      <c r="B83" s="1692"/>
      <c r="C83" s="1692"/>
      <c r="D83" s="3206" t="s">
        <v>1732</v>
      </c>
      <c r="E83" s="3207" t="s">
        <v>491</v>
      </c>
      <c r="F83" s="3206" t="s">
        <v>236</v>
      </c>
      <c r="G83" s="3199" t="str">
        <f t="shared" si="10"/>
        <v>V.051_Generación</v>
      </c>
      <c r="H83" s="3208">
        <v>56100</v>
      </c>
      <c r="I83" s="3209">
        <v>1</v>
      </c>
      <c r="J83" s="3210">
        <v>0.1</v>
      </c>
      <c r="K83" s="3208">
        <f t="shared" si="7"/>
        <v>56100</v>
      </c>
      <c r="L83" s="3211">
        <f t="shared" si="8"/>
        <v>21</v>
      </c>
      <c r="M83" s="3212">
        <f t="shared" si="9"/>
        <v>31</v>
      </c>
      <c r="N83" s="3213">
        <f>K83/Conversiones!$F$12/1000/1000000</f>
        <v>0.2019438444924406</v>
      </c>
      <c r="O83" s="3214">
        <f>L83/Conversiones!$F$12/1000/1000000</f>
        <v>7.5593952483801296E-5</v>
      </c>
      <c r="P83" s="3214">
        <f>M83/Conversiones!$F$12/1000/1000000</f>
        <v>1.1159107271418287E-4</v>
      </c>
      <c r="Q83" s="1692"/>
      <c r="R83" s="1692"/>
    </row>
    <row r="84" spans="2:18" x14ac:dyDescent="0.2">
      <c r="B84" s="1692"/>
      <c r="C84" s="1692"/>
      <c r="D84" s="3206" t="s">
        <v>1732</v>
      </c>
      <c r="E84" s="3207" t="s">
        <v>491</v>
      </c>
      <c r="F84" s="3206" t="s">
        <v>956</v>
      </c>
      <c r="G84" s="3199" t="str">
        <f t="shared" si="10"/>
        <v>V.051_CPR</v>
      </c>
      <c r="H84" s="3208">
        <v>56100</v>
      </c>
      <c r="I84" s="3209">
        <v>5</v>
      </c>
      <c r="J84" s="3210">
        <v>0.1</v>
      </c>
      <c r="K84" s="3208">
        <f t="shared" si="7"/>
        <v>56100</v>
      </c>
      <c r="L84" s="3211">
        <f t="shared" si="8"/>
        <v>105</v>
      </c>
      <c r="M84" s="3212">
        <f t="shared" si="9"/>
        <v>31</v>
      </c>
      <c r="N84" s="3213">
        <f>K84/Conversiones!$F$12/1000/1000000</f>
        <v>0.2019438444924406</v>
      </c>
      <c r="O84" s="3214">
        <f>L84/Conversiones!$F$12/1000/1000000</f>
        <v>3.7796976241900648E-4</v>
      </c>
      <c r="P84" s="3214">
        <f>M84/Conversiones!$F$12/1000/1000000</f>
        <v>1.1159107271418287E-4</v>
      </c>
      <c r="Q84" s="1692"/>
      <c r="R84" s="1692"/>
    </row>
    <row r="85" spans="2:18" x14ac:dyDescent="0.2">
      <c r="B85" s="1692"/>
      <c r="C85" s="1692"/>
      <c r="D85" s="3215" t="s">
        <v>1732</v>
      </c>
      <c r="E85" s="3216" t="s">
        <v>491</v>
      </c>
      <c r="F85" s="3215" t="s">
        <v>955</v>
      </c>
      <c r="G85" s="3199" t="str">
        <f t="shared" si="10"/>
        <v>V.051_Otros Sectores</v>
      </c>
      <c r="H85" s="3219">
        <v>56100</v>
      </c>
      <c r="I85" s="3217">
        <v>5</v>
      </c>
      <c r="J85" s="3218">
        <v>0.1</v>
      </c>
      <c r="K85" s="3219">
        <f t="shared" si="7"/>
        <v>56100</v>
      </c>
      <c r="L85" s="3220">
        <f t="shared" si="8"/>
        <v>105</v>
      </c>
      <c r="M85" s="3221">
        <f t="shared" si="9"/>
        <v>31</v>
      </c>
      <c r="N85" s="3222">
        <f>K85/Conversiones!$F$12/1000/1000000</f>
        <v>0.2019438444924406</v>
      </c>
      <c r="O85" s="3223">
        <f>L85/Conversiones!$F$12/1000/1000000</f>
        <v>3.7796976241900648E-4</v>
      </c>
      <c r="P85" s="3223">
        <f>M85/Conversiones!$F$12/1000/1000000</f>
        <v>1.1159107271418287E-4</v>
      </c>
      <c r="Q85" s="1692"/>
      <c r="R85" s="1692"/>
    </row>
    <row r="86" spans="2:18" x14ac:dyDescent="0.2">
      <c r="B86" s="1692"/>
      <c r="C86" s="1692"/>
      <c r="D86" s="3198" t="s">
        <v>1735</v>
      </c>
      <c r="E86" s="3199" t="s">
        <v>495</v>
      </c>
      <c r="F86" s="3198" t="s">
        <v>420</v>
      </c>
      <c r="G86" s="3199" t="str">
        <f t="shared" si="10"/>
        <v>V.052_Transporte</v>
      </c>
      <c r="H86" s="3200">
        <v>63100</v>
      </c>
      <c r="I86" s="3197">
        <v>62</v>
      </c>
      <c r="J86" s="3201">
        <v>0.2</v>
      </c>
      <c r="K86" s="3208">
        <f t="shared" si="7"/>
        <v>63100</v>
      </c>
      <c r="L86" s="3211">
        <f t="shared" si="8"/>
        <v>1302</v>
      </c>
      <c r="M86" s="3212">
        <f t="shared" si="9"/>
        <v>62</v>
      </c>
      <c r="N86" s="3213">
        <f>K86/Conversiones!$F$12/1000/1000000</f>
        <v>0.22714182865370772</v>
      </c>
      <c r="O86" s="3214">
        <f>L86/Conversiones!$F$12/1000/1000000</f>
        <v>4.6868250539956807E-3</v>
      </c>
      <c r="P86" s="3214">
        <f>M86/Conversiones!$F$12/1000/1000000</f>
        <v>2.2318214542836574E-4</v>
      </c>
      <c r="Q86" s="1692"/>
      <c r="R86" s="1692"/>
    </row>
    <row r="87" spans="2:18" x14ac:dyDescent="0.2">
      <c r="B87" s="1692"/>
      <c r="C87" s="1692"/>
      <c r="D87" s="3206" t="s">
        <v>1735</v>
      </c>
      <c r="E87" s="3207" t="s">
        <v>495</v>
      </c>
      <c r="F87" s="3206" t="s">
        <v>423</v>
      </c>
      <c r="G87" s="3199" t="str">
        <f t="shared" si="10"/>
        <v>V.052_Industria y Mineria</v>
      </c>
      <c r="H87" s="3208">
        <v>63100</v>
      </c>
      <c r="I87" s="3209">
        <v>1</v>
      </c>
      <c r="J87" s="3210">
        <v>0.1</v>
      </c>
      <c r="K87" s="3208">
        <f t="shared" si="7"/>
        <v>63100</v>
      </c>
      <c r="L87" s="3211">
        <f t="shared" si="8"/>
        <v>21</v>
      </c>
      <c r="M87" s="3212">
        <f t="shared" si="9"/>
        <v>31</v>
      </c>
      <c r="N87" s="3213">
        <f>K87/Conversiones!$F$12/1000/1000000</f>
        <v>0.22714182865370772</v>
      </c>
      <c r="O87" s="3214">
        <f>L87/Conversiones!$F$12/1000/1000000</f>
        <v>7.5593952483801296E-5</v>
      </c>
      <c r="P87" s="3214">
        <f>M87/Conversiones!$F$12/1000/1000000</f>
        <v>1.1159107271418287E-4</v>
      </c>
      <c r="Q87" s="1692"/>
      <c r="R87" s="1692"/>
    </row>
    <row r="88" spans="2:18" x14ac:dyDescent="0.2">
      <c r="B88" s="1692"/>
      <c r="C88" s="1692"/>
      <c r="D88" s="3206" t="s">
        <v>1735</v>
      </c>
      <c r="E88" s="3207" t="s">
        <v>495</v>
      </c>
      <c r="F88" s="3206" t="s">
        <v>236</v>
      </c>
      <c r="G88" s="3199" t="str">
        <f t="shared" si="10"/>
        <v>V.052_Generación</v>
      </c>
      <c r="H88" s="3208">
        <v>63100</v>
      </c>
      <c r="I88" s="3209">
        <v>1</v>
      </c>
      <c r="J88" s="3210">
        <v>0.1</v>
      </c>
      <c r="K88" s="3208">
        <f t="shared" si="7"/>
        <v>63100</v>
      </c>
      <c r="L88" s="3211">
        <f t="shared" si="8"/>
        <v>21</v>
      </c>
      <c r="M88" s="3212">
        <f t="shared" si="9"/>
        <v>31</v>
      </c>
      <c r="N88" s="3213">
        <f>K88/Conversiones!$F$12/1000/1000000</f>
        <v>0.22714182865370772</v>
      </c>
      <c r="O88" s="3214">
        <f>L88/Conversiones!$F$12/1000/1000000</f>
        <v>7.5593952483801296E-5</v>
      </c>
      <c r="P88" s="3214">
        <f>M88/Conversiones!$F$12/1000/1000000</f>
        <v>1.1159107271418287E-4</v>
      </c>
      <c r="Q88" s="1692"/>
      <c r="R88" s="1692"/>
    </row>
    <row r="89" spans="2:18" x14ac:dyDescent="0.2">
      <c r="B89" s="1692"/>
      <c r="C89" s="1692"/>
      <c r="D89" s="3206" t="s">
        <v>1735</v>
      </c>
      <c r="E89" s="3207" t="s">
        <v>495</v>
      </c>
      <c r="F89" s="3206" t="s">
        <v>956</v>
      </c>
      <c r="G89" s="3199" t="str">
        <f t="shared" si="10"/>
        <v>V.052_CPR</v>
      </c>
      <c r="H89" s="3208">
        <v>63100</v>
      </c>
      <c r="I89" s="3209">
        <v>5</v>
      </c>
      <c r="J89" s="3210">
        <v>0.1</v>
      </c>
      <c r="K89" s="3208">
        <f t="shared" si="7"/>
        <v>63100</v>
      </c>
      <c r="L89" s="3211">
        <f t="shared" si="8"/>
        <v>105</v>
      </c>
      <c r="M89" s="3212">
        <f t="shared" si="9"/>
        <v>31</v>
      </c>
      <c r="N89" s="3213">
        <f>K89/Conversiones!$F$12/1000/1000000</f>
        <v>0.22714182865370772</v>
      </c>
      <c r="O89" s="3214">
        <f>L89/Conversiones!$F$12/1000/1000000</f>
        <v>3.7796976241900648E-4</v>
      </c>
      <c r="P89" s="3214">
        <f>M89/Conversiones!$F$12/1000/1000000</f>
        <v>1.1159107271418287E-4</v>
      </c>
      <c r="Q89" s="1692"/>
      <c r="R89" s="1692"/>
    </row>
    <row r="90" spans="2:18" x14ac:dyDescent="0.2">
      <c r="B90" s="1692"/>
      <c r="C90" s="1692"/>
      <c r="D90" s="3215" t="s">
        <v>1735</v>
      </c>
      <c r="E90" s="3216" t="s">
        <v>495</v>
      </c>
      <c r="F90" s="3215" t="s">
        <v>955</v>
      </c>
      <c r="G90" s="3199" t="str">
        <f t="shared" si="10"/>
        <v>V.052_Otros Sectores</v>
      </c>
      <c r="H90" s="3219">
        <v>63100</v>
      </c>
      <c r="I90" s="3217">
        <v>5</v>
      </c>
      <c r="J90" s="3210">
        <v>0.1</v>
      </c>
      <c r="K90" s="3208">
        <f t="shared" si="7"/>
        <v>63100</v>
      </c>
      <c r="L90" s="3211">
        <f t="shared" si="8"/>
        <v>105</v>
      </c>
      <c r="M90" s="3212">
        <f t="shared" si="9"/>
        <v>31</v>
      </c>
      <c r="N90" s="3213">
        <f>K90/Conversiones!$F$12/1000/1000000</f>
        <v>0.22714182865370772</v>
      </c>
      <c r="O90" s="3214">
        <f>L90/Conversiones!$F$12/1000/1000000</f>
        <v>3.7796976241900648E-4</v>
      </c>
      <c r="P90" s="3214">
        <f>M90/Conversiones!$F$12/1000/1000000</f>
        <v>1.1159107271418287E-4</v>
      </c>
      <c r="Q90" s="1692"/>
      <c r="R90" s="1692"/>
    </row>
    <row r="91" spans="2:18" x14ac:dyDescent="0.2">
      <c r="B91" s="1692"/>
      <c r="C91" s="1692"/>
      <c r="D91" s="3198" t="s">
        <v>1736</v>
      </c>
      <c r="E91" s="3207" t="s">
        <v>1687</v>
      </c>
      <c r="F91" s="3198" t="s">
        <v>420</v>
      </c>
      <c r="G91" s="3199" t="str">
        <f t="shared" si="10"/>
        <v>V.053_Transporte</v>
      </c>
      <c r="H91" s="3200">
        <v>57600</v>
      </c>
      <c r="I91" s="3197">
        <v>5</v>
      </c>
      <c r="J91" s="3201">
        <v>0.1</v>
      </c>
      <c r="K91" s="3200">
        <f t="shared" si="7"/>
        <v>57600</v>
      </c>
      <c r="L91" s="3202">
        <f t="shared" si="8"/>
        <v>105</v>
      </c>
      <c r="M91" s="3203">
        <f t="shared" si="9"/>
        <v>31</v>
      </c>
      <c r="N91" s="3204">
        <f>K91/Conversiones!$F$12/1000/1000000</f>
        <v>0.20734341252699787</v>
      </c>
      <c r="O91" s="3205">
        <f>L91/Conversiones!$F$12/1000/1000000</f>
        <v>3.7796976241900648E-4</v>
      </c>
      <c r="P91" s="3205">
        <f>M91/Conversiones!$F$12/1000/1000000</f>
        <v>1.1159107271418287E-4</v>
      </c>
      <c r="Q91" s="1692"/>
      <c r="R91" s="1692"/>
    </row>
    <row r="92" spans="2:18" x14ac:dyDescent="0.2">
      <c r="B92" s="1692"/>
      <c r="C92" s="1692"/>
      <c r="D92" s="3206" t="s">
        <v>1736</v>
      </c>
      <c r="E92" s="3207" t="s">
        <v>1687</v>
      </c>
      <c r="F92" s="3206" t="s">
        <v>423</v>
      </c>
      <c r="G92" s="3199" t="str">
        <f t="shared" si="10"/>
        <v>V.053_Industria y Mineria</v>
      </c>
      <c r="H92" s="3208">
        <v>57600</v>
      </c>
      <c r="I92" s="3209">
        <v>1</v>
      </c>
      <c r="J92" s="3210">
        <v>0.1</v>
      </c>
      <c r="K92" s="3208">
        <f t="shared" si="7"/>
        <v>57600</v>
      </c>
      <c r="L92" s="3211">
        <f t="shared" si="8"/>
        <v>21</v>
      </c>
      <c r="M92" s="3212">
        <f t="shared" si="9"/>
        <v>31</v>
      </c>
      <c r="N92" s="3213">
        <f>K92/Conversiones!$F$12/1000/1000000</f>
        <v>0.20734341252699787</v>
      </c>
      <c r="O92" s="3214">
        <f>L92/Conversiones!$F$12/1000/1000000</f>
        <v>7.5593952483801296E-5</v>
      </c>
      <c r="P92" s="3214">
        <f>M92/Conversiones!$F$12/1000/1000000</f>
        <v>1.1159107271418287E-4</v>
      </c>
      <c r="Q92" s="1692"/>
      <c r="R92" s="1692"/>
    </row>
    <row r="93" spans="2:18" x14ac:dyDescent="0.2">
      <c r="B93" s="1692"/>
      <c r="C93" s="1692"/>
      <c r="D93" s="3206" t="s">
        <v>1736</v>
      </c>
      <c r="E93" s="3207" t="s">
        <v>1687</v>
      </c>
      <c r="F93" s="3206" t="s">
        <v>236</v>
      </c>
      <c r="G93" s="3199" t="str">
        <f t="shared" si="10"/>
        <v>V.053_Generación</v>
      </c>
      <c r="H93" s="3208">
        <v>57600</v>
      </c>
      <c r="I93" s="3209">
        <v>1</v>
      </c>
      <c r="J93" s="3210">
        <v>0.1</v>
      </c>
      <c r="K93" s="3208">
        <f t="shared" si="7"/>
        <v>57600</v>
      </c>
      <c r="L93" s="3211">
        <f t="shared" si="8"/>
        <v>21</v>
      </c>
      <c r="M93" s="3212">
        <f t="shared" si="9"/>
        <v>31</v>
      </c>
      <c r="N93" s="3213">
        <f>K93/Conversiones!$F$12/1000/1000000</f>
        <v>0.20734341252699787</v>
      </c>
      <c r="O93" s="3214">
        <f>L93/Conversiones!$F$12/1000/1000000</f>
        <v>7.5593952483801296E-5</v>
      </c>
      <c r="P93" s="3214">
        <f>M93/Conversiones!$F$12/1000/1000000</f>
        <v>1.1159107271418287E-4</v>
      </c>
      <c r="Q93" s="1692"/>
      <c r="R93" s="1692"/>
    </row>
    <row r="94" spans="2:18" x14ac:dyDescent="0.2">
      <c r="B94" s="1692"/>
      <c r="C94" s="1692"/>
      <c r="D94" s="3206" t="s">
        <v>1736</v>
      </c>
      <c r="E94" s="3207" t="s">
        <v>1687</v>
      </c>
      <c r="F94" s="3206" t="s">
        <v>956</v>
      </c>
      <c r="G94" s="3199" t="str">
        <f t="shared" si="10"/>
        <v>V.053_CPR</v>
      </c>
      <c r="H94" s="3208">
        <v>57600</v>
      </c>
      <c r="I94" s="3209">
        <v>5</v>
      </c>
      <c r="J94" s="3210">
        <v>0.1</v>
      </c>
      <c r="K94" s="3208">
        <f t="shared" si="7"/>
        <v>57600</v>
      </c>
      <c r="L94" s="3211">
        <f t="shared" si="8"/>
        <v>105</v>
      </c>
      <c r="M94" s="3212">
        <f t="shared" si="9"/>
        <v>31</v>
      </c>
      <c r="N94" s="3213">
        <f>K94/Conversiones!$F$12/1000/1000000</f>
        <v>0.20734341252699787</v>
      </c>
      <c r="O94" s="3214">
        <f>L94/Conversiones!$F$12/1000/1000000</f>
        <v>3.7796976241900648E-4</v>
      </c>
      <c r="P94" s="3214">
        <f>M94/Conversiones!$F$12/1000/1000000</f>
        <v>1.1159107271418287E-4</v>
      </c>
      <c r="Q94" s="1692"/>
      <c r="R94" s="1692"/>
    </row>
    <row r="95" spans="2:18" x14ac:dyDescent="0.2">
      <c r="B95" s="1692"/>
      <c r="C95" s="1692"/>
      <c r="D95" s="3215" t="s">
        <v>1736</v>
      </c>
      <c r="E95" s="3216" t="s">
        <v>1687</v>
      </c>
      <c r="F95" s="3215" t="s">
        <v>955</v>
      </c>
      <c r="G95" s="3199" t="str">
        <f t="shared" si="10"/>
        <v>V.053_Otros Sectores</v>
      </c>
      <c r="H95" s="3219">
        <v>57600</v>
      </c>
      <c r="I95" s="3217">
        <v>5</v>
      </c>
      <c r="J95" s="3218">
        <v>0.1</v>
      </c>
      <c r="K95" s="3219">
        <f t="shared" si="7"/>
        <v>57600</v>
      </c>
      <c r="L95" s="3220">
        <f t="shared" si="8"/>
        <v>105</v>
      </c>
      <c r="M95" s="3221">
        <f t="shared" si="9"/>
        <v>31</v>
      </c>
      <c r="N95" s="3222">
        <f>K95/Conversiones!$F$12/1000/1000000</f>
        <v>0.20734341252699787</v>
      </c>
      <c r="O95" s="3223">
        <f>L95/Conversiones!$F$12/1000/1000000</f>
        <v>3.7796976241900648E-4</v>
      </c>
      <c r="P95" s="3223">
        <f>M95/Conversiones!$F$12/1000/1000000</f>
        <v>1.1159107271418287E-4</v>
      </c>
      <c r="Q95" s="1692"/>
      <c r="R95" s="1692"/>
    </row>
    <row r="96" spans="2:18" x14ac:dyDescent="0.2">
      <c r="B96" s="1692"/>
      <c r="C96" s="1692"/>
      <c r="D96" s="3198" t="s">
        <v>1737</v>
      </c>
      <c r="E96" s="3207" t="s">
        <v>1689</v>
      </c>
      <c r="F96" s="3198" t="s">
        <v>420</v>
      </c>
      <c r="G96" s="3199" t="str">
        <f t="shared" si="10"/>
        <v>V.054_Transporte</v>
      </c>
      <c r="H96" s="3200">
        <v>260000</v>
      </c>
      <c r="I96" s="3197">
        <v>1</v>
      </c>
      <c r="J96" s="3201">
        <v>0.1</v>
      </c>
      <c r="K96" s="3208">
        <f t="shared" si="7"/>
        <v>260000</v>
      </c>
      <c r="L96" s="3211">
        <f t="shared" si="8"/>
        <v>21</v>
      </c>
      <c r="M96" s="3212">
        <f t="shared" si="9"/>
        <v>31</v>
      </c>
      <c r="N96" s="3213">
        <f>K96/Conversiones!$F$12/1000/1000000</f>
        <v>0.93592512598992084</v>
      </c>
      <c r="O96" s="3214">
        <f>L96/Conversiones!$F$12/1000/1000000</f>
        <v>7.5593952483801296E-5</v>
      </c>
      <c r="P96" s="3214">
        <f>M96/Conversiones!$F$12/1000/1000000</f>
        <v>1.1159107271418287E-4</v>
      </c>
      <c r="Q96" s="1692"/>
      <c r="R96" s="1692"/>
    </row>
    <row r="97" spans="2:18" x14ac:dyDescent="0.2">
      <c r="B97" s="1692"/>
      <c r="C97" s="1692"/>
      <c r="D97" s="3206" t="s">
        <v>1737</v>
      </c>
      <c r="E97" s="3207" t="s">
        <v>1689</v>
      </c>
      <c r="F97" s="3206" t="s">
        <v>423</v>
      </c>
      <c r="G97" s="3199" t="str">
        <f t="shared" si="10"/>
        <v>V.054_Industria y Mineria</v>
      </c>
      <c r="H97" s="3208">
        <v>260000</v>
      </c>
      <c r="I97" s="3209">
        <v>1</v>
      </c>
      <c r="J97" s="3210">
        <v>0.1</v>
      </c>
      <c r="K97" s="3208">
        <f t="shared" si="7"/>
        <v>260000</v>
      </c>
      <c r="L97" s="3211">
        <f t="shared" si="8"/>
        <v>21</v>
      </c>
      <c r="M97" s="3212">
        <f t="shared" si="9"/>
        <v>31</v>
      </c>
      <c r="N97" s="3213">
        <f>K97/Conversiones!$F$12/1000/1000000</f>
        <v>0.93592512598992084</v>
      </c>
      <c r="O97" s="3214">
        <f>L97/Conversiones!$F$12/1000/1000000</f>
        <v>7.5593952483801296E-5</v>
      </c>
      <c r="P97" s="3214">
        <f>M97/Conversiones!$F$12/1000/1000000</f>
        <v>1.1159107271418287E-4</v>
      </c>
      <c r="Q97" s="1692"/>
      <c r="R97" s="1692"/>
    </row>
    <row r="98" spans="2:18" x14ac:dyDescent="0.2">
      <c r="B98" s="1692"/>
      <c r="C98" s="1692"/>
      <c r="D98" s="3206" t="s">
        <v>1737</v>
      </c>
      <c r="E98" s="3207" t="s">
        <v>1689</v>
      </c>
      <c r="F98" s="3206" t="s">
        <v>236</v>
      </c>
      <c r="G98" s="3199" t="str">
        <f t="shared" si="10"/>
        <v>V.054_Generación</v>
      </c>
      <c r="H98" s="3208">
        <v>260000</v>
      </c>
      <c r="I98" s="3209">
        <v>1</v>
      </c>
      <c r="J98" s="3210">
        <v>0.1</v>
      </c>
      <c r="K98" s="3208">
        <f t="shared" si="7"/>
        <v>260000</v>
      </c>
      <c r="L98" s="3211">
        <f t="shared" si="8"/>
        <v>21</v>
      </c>
      <c r="M98" s="3212">
        <f t="shared" si="9"/>
        <v>31</v>
      </c>
      <c r="N98" s="3213">
        <f>K98/Conversiones!$F$12/1000/1000000</f>
        <v>0.93592512598992084</v>
      </c>
      <c r="O98" s="3214">
        <f>L98/Conversiones!$F$12/1000/1000000</f>
        <v>7.5593952483801296E-5</v>
      </c>
      <c r="P98" s="3214">
        <f>M98/Conversiones!$F$12/1000/1000000</f>
        <v>1.1159107271418287E-4</v>
      </c>
      <c r="Q98" s="1692"/>
      <c r="R98" s="1692"/>
    </row>
    <row r="99" spans="2:18" x14ac:dyDescent="0.2">
      <c r="B99" s="1692"/>
      <c r="C99" s="1692"/>
      <c r="D99" s="3206" t="s">
        <v>1737</v>
      </c>
      <c r="E99" s="3207" t="s">
        <v>1689</v>
      </c>
      <c r="F99" s="3206" t="s">
        <v>956</v>
      </c>
      <c r="G99" s="3199" t="str">
        <f t="shared" si="10"/>
        <v>V.054_CPR</v>
      </c>
      <c r="H99" s="3208">
        <v>260000</v>
      </c>
      <c r="I99" s="3209">
        <v>1</v>
      </c>
      <c r="J99" s="3210">
        <v>0.1</v>
      </c>
      <c r="K99" s="3208">
        <f t="shared" si="7"/>
        <v>260000</v>
      </c>
      <c r="L99" s="3211">
        <f t="shared" si="8"/>
        <v>21</v>
      </c>
      <c r="M99" s="3212">
        <f t="shared" si="9"/>
        <v>31</v>
      </c>
      <c r="N99" s="3213">
        <f>K99/Conversiones!$F$12/1000/1000000</f>
        <v>0.93592512598992084</v>
      </c>
      <c r="O99" s="3214">
        <f>L99/Conversiones!$F$12/1000/1000000</f>
        <v>7.5593952483801296E-5</v>
      </c>
      <c r="P99" s="3214">
        <f>M99/Conversiones!$F$12/1000/1000000</f>
        <v>1.1159107271418287E-4</v>
      </c>
      <c r="Q99" s="1692"/>
      <c r="R99" s="1692"/>
    </row>
    <row r="100" spans="2:18" x14ac:dyDescent="0.2">
      <c r="B100" s="1692"/>
      <c r="C100" s="1692"/>
      <c r="D100" s="3215" t="s">
        <v>1737</v>
      </c>
      <c r="E100" s="3216" t="s">
        <v>1689</v>
      </c>
      <c r="F100" s="3215" t="s">
        <v>955</v>
      </c>
      <c r="G100" s="3199" t="str">
        <f t="shared" si="10"/>
        <v>V.054_Otros Sectores</v>
      </c>
      <c r="H100" s="3208">
        <v>260000</v>
      </c>
      <c r="I100" s="3217">
        <v>1</v>
      </c>
      <c r="J100" s="3218">
        <v>0.1</v>
      </c>
      <c r="K100" s="3208">
        <f t="shared" si="7"/>
        <v>260000</v>
      </c>
      <c r="L100" s="3211">
        <f t="shared" si="8"/>
        <v>21</v>
      </c>
      <c r="M100" s="3212">
        <f t="shared" si="9"/>
        <v>31</v>
      </c>
      <c r="N100" s="3213">
        <f>K100/Conversiones!$F$12/1000/1000000</f>
        <v>0.93592512598992084</v>
      </c>
      <c r="O100" s="3214">
        <f>L100/Conversiones!$F$12/1000/1000000</f>
        <v>7.5593952483801296E-5</v>
      </c>
      <c r="P100" s="3214">
        <f>M100/Conversiones!$F$12/1000/1000000</f>
        <v>1.1159107271418287E-4</v>
      </c>
      <c r="Q100" s="1692"/>
      <c r="R100" s="1692"/>
    </row>
    <row r="101" spans="2:18" x14ac:dyDescent="0.2">
      <c r="B101" s="1692"/>
      <c r="C101" s="1692"/>
      <c r="D101" s="3206" t="s">
        <v>1738</v>
      </c>
      <c r="E101" s="3207" t="s">
        <v>1690</v>
      </c>
      <c r="F101" s="3198" t="s">
        <v>420</v>
      </c>
      <c r="G101" s="3199" t="str">
        <f t="shared" si="10"/>
        <v>V.055_Transporte</v>
      </c>
      <c r="H101" s="3200">
        <v>260000</v>
      </c>
      <c r="I101" s="3197">
        <v>3</v>
      </c>
      <c r="J101" s="3201">
        <v>0.1</v>
      </c>
      <c r="K101" s="3200">
        <f t="shared" si="7"/>
        <v>260000</v>
      </c>
      <c r="L101" s="3202">
        <f t="shared" si="8"/>
        <v>63</v>
      </c>
      <c r="M101" s="3203">
        <f t="shared" si="9"/>
        <v>31</v>
      </c>
      <c r="N101" s="3204">
        <f>K101/Conversiones!$F$12/1000/1000000</f>
        <v>0.93592512598992084</v>
      </c>
      <c r="O101" s="3205">
        <f>L101/Conversiones!$F$12/1000/1000000</f>
        <v>2.2678185745140392E-4</v>
      </c>
      <c r="P101" s="3205">
        <f>M101/Conversiones!$F$12/1000/1000000</f>
        <v>1.1159107271418287E-4</v>
      </c>
      <c r="Q101" s="1692"/>
      <c r="R101" s="1692"/>
    </row>
    <row r="102" spans="2:18" x14ac:dyDescent="0.2">
      <c r="B102" s="1692"/>
      <c r="C102" s="1692"/>
      <c r="D102" s="3206" t="s">
        <v>1738</v>
      </c>
      <c r="E102" s="3207" t="s">
        <v>1690</v>
      </c>
      <c r="F102" s="3206" t="s">
        <v>423</v>
      </c>
      <c r="G102" s="3199" t="str">
        <f t="shared" si="10"/>
        <v>V.055_Industria y Mineria</v>
      </c>
      <c r="H102" s="3208">
        <v>260000</v>
      </c>
      <c r="I102" s="3209">
        <v>1</v>
      </c>
      <c r="J102" s="3210">
        <v>0.1</v>
      </c>
      <c r="K102" s="3208">
        <f t="shared" si="7"/>
        <v>260000</v>
      </c>
      <c r="L102" s="3211">
        <f t="shared" si="8"/>
        <v>21</v>
      </c>
      <c r="M102" s="3212">
        <f t="shared" si="9"/>
        <v>31</v>
      </c>
      <c r="N102" s="3213">
        <f>K102/Conversiones!$F$12/1000/1000000</f>
        <v>0.93592512598992084</v>
      </c>
      <c r="O102" s="3214">
        <f>L102/Conversiones!$F$12/1000/1000000</f>
        <v>7.5593952483801296E-5</v>
      </c>
      <c r="P102" s="3214">
        <f>M102/Conversiones!$F$12/1000/1000000</f>
        <v>1.1159107271418287E-4</v>
      </c>
      <c r="Q102" s="1692"/>
      <c r="R102" s="1692"/>
    </row>
    <row r="103" spans="2:18" x14ac:dyDescent="0.2">
      <c r="B103" s="1692"/>
      <c r="C103" s="1692"/>
      <c r="D103" s="3206" t="s">
        <v>1738</v>
      </c>
      <c r="E103" s="3207" t="s">
        <v>1690</v>
      </c>
      <c r="F103" s="3206" t="s">
        <v>236</v>
      </c>
      <c r="G103" s="3199" t="str">
        <f t="shared" si="10"/>
        <v>V.055_Generación</v>
      </c>
      <c r="H103" s="3208">
        <v>260000</v>
      </c>
      <c r="I103" s="3209">
        <v>1</v>
      </c>
      <c r="J103" s="3210">
        <v>0.1</v>
      </c>
      <c r="K103" s="3208">
        <f t="shared" si="7"/>
        <v>260000</v>
      </c>
      <c r="L103" s="3211">
        <f t="shared" si="8"/>
        <v>21</v>
      </c>
      <c r="M103" s="3212">
        <f t="shared" si="9"/>
        <v>31</v>
      </c>
      <c r="N103" s="3213">
        <f>K103/Conversiones!$F$12/1000/1000000</f>
        <v>0.93592512598992084</v>
      </c>
      <c r="O103" s="3214">
        <f>L103/Conversiones!$F$12/1000/1000000</f>
        <v>7.5593952483801296E-5</v>
      </c>
      <c r="P103" s="3214">
        <f>M103/Conversiones!$F$12/1000/1000000</f>
        <v>1.1159107271418287E-4</v>
      </c>
      <c r="Q103" s="1692"/>
      <c r="R103" s="1692"/>
    </row>
    <row r="104" spans="2:18" x14ac:dyDescent="0.2">
      <c r="B104" s="1692"/>
      <c r="C104" s="1692"/>
      <c r="D104" s="3206" t="s">
        <v>1738</v>
      </c>
      <c r="E104" s="3207" t="s">
        <v>1690</v>
      </c>
      <c r="F104" s="3206" t="s">
        <v>956</v>
      </c>
      <c r="G104" s="3199" t="str">
        <f t="shared" si="10"/>
        <v>V.055_CPR</v>
      </c>
      <c r="H104" s="3208">
        <v>260000</v>
      </c>
      <c r="I104" s="3209">
        <v>1</v>
      </c>
      <c r="J104" s="3210">
        <v>0.1</v>
      </c>
      <c r="K104" s="3208">
        <f t="shared" si="7"/>
        <v>260000</v>
      </c>
      <c r="L104" s="3211">
        <f t="shared" si="8"/>
        <v>21</v>
      </c>
      <c r="M104" s="3212">
        <f t="shared" si="9"/>
        <v>31</v>
      </c>
      <c r="N104" s="3213">
        <f>K104/Conversiones!$F$12/1000/1000000</f>
        <v>0.93592512598992084</v>
      </c>
      <c r="O104" s="3214">
        <f>L104/Conversiones!$F$12/1000/1000000</f>
        <v>7.5593952483801296E-5</v>
      </c>
      <c r="P104" s="3214">
        <f>M104/Conversiones!$F$12/1000/1000000</f>
        <v>1.1159107271418287E-4</v>
      </c>
      <c r="Q104" s="1692"/>
      <c r="R104" s="1692"/>
    </row>
    <row r="105" spans="2:18" x14ac:dyDescent="0.2">
      <c r="B105" s="1692"/>
      <c r="C105" s="1692"/>
      <c r="D105" s="3206" t="s">
        <v>1738</v>
      </c>
      <c r="E105" s="3216" t="s">
        <v>1690</v>
      </c>
      <c r="F105" s="3215" t="s">
        <v>955</v>
      </c>
      <c r="G105" s="3199" t="str">
        <f t="shared" si="10"/>
        <v>V.055_Otros Sectores</v>
      </c>
      <c r="H105" s="3208">
        <v>260000</v>
      </c>
      <c r="I105" s="3217">
        <v>1</v>
      </c>
      <c r="J105" s="3218">
        <v>0.1</v>
      </c>
      <c r="K105" s="3219">
        <f t="shared" si="7"/>
        <v>260000</v>
      </c>
      <c r="L105" s="3220">
        <f t="shared" si="8"/>
        <v>21</v>
      </c>
      <c r="M105" s="3221">
        <f t="shared" si="9"/>
        <v>31</v>
      </c>
      <c r="N105" s="3222">
        <f>K105/Conversiones!$F$12/1000/1000000</f>
        <v>0.93592512598992084</v>
      </c>
      <c r="O105" s="3223">
        <f>L105/Conversiones!$F$12/1000/1000000</f>
        <v>7.5593952483801296E-5</v>
      </c>
      <c r="P105" s="3223">
        <f>M105/Conversiones!$F$12/1000/1000000</f>
        <v>1.1159107271418287E-4</v>
      </c>
      <c r="Q105" s="1692"/>
      <c r="R105" s="1692"/>
    </row>
    <row r="106" spans="2:18" x14ac:dyDescent="0.2">
      <c r="B106" s="1692"/>
      <c r="C106" s="1692"/>
      <c r="D106" s="3198" t="s">
        <v>1739</v>
      </c>
      <c r="E106" s="3207" t="s">
        <v>499</v>
      </c>
      <c r="F106" s="3198" t="s">
        <v>420</v>
      </c>
      <c r="G106" s="3199" t="str">
        <f t="shared" si="10"/>
        <v>V.056_Transporte</v>
      </c>
      <c r="H106" s="3200">
        <v>44400</v>
      </c>
      <c r="I106" s="3197">
        <v>1</v>
      </c>
      <c r="J106" s="3201">
        <v>0.1</v>
      </c>
      <c r="K106" s="3208">
        <f t="shared" si="7"/>
        <v>44400</v>
      </c>
      <c r="L106" s="3211">
        <f t="shared" si="8"/>
        <v>21</v>
      </c>
      <c r="M106" s="3212">
        <f t="shared" si="9"/>
        <v>31</v>
      </c>
      <c r="N106" s="3213">
        <f>K106/Conversiones!$F$12/1000/1000000</f>
        <v>0.15982721382289417</v>
      </c>
      <c r="O106" s="3214">
        <f>L106/Conversiones!$F$12/1000/1000000</f>
        <v>7.5593952483801296E-5</v>
      </c>
      <c r="P106" s="3214">
        <f>M106/Conversiones!$F$12/1000/1000000</f>
        <v>1.1159107271418287E-4</v>
      </c>
      <c r="Q106" s="1692"/>
      <c r="R106" s="1692"/>
    </row>
    <row r="107" spans="2:18" x14ac:dyDescent="0.2">
      <c r="B107" s="1692"/>
      <c r="C107" s="1692"/>
      <c r="D107" s="3206" t="s">
        <v>1739</v>
      </c>
      <c r="E107" s="3207" t="s">
        <v>499</v>
      </c>
      <c r="F107" s="3206" t="s">
        <v>423</v>
      </c>
      <c r="G107" s="3199" t="str">
        <f t="shared" si="10"/>
        <v>V.056_Industria y Mineria</v>
      </c>
      <c r="H107" s="3208">
        <v>44400</v>
      </c>
      <c r="I107" s="3209">
        <v>1</v>
      </c>
      <c r="J107" s="3210">
        <v>0.1</v>
      </c>
      <c r="K107" s="3208">
        <f t="shared" ref="K107:K120" si="11">H107*E$139</f>
        <v>44400</v>
      </c>
      <c r="L107" s="3211">
        <f t="shared" ref="L107:L120" si="12">I107*E$140</f>
        <v>21</v>
      </c>
      <c r="M107" s="3212">
        <f t="shared" ref="M107:M120" si="13">J107*E$141</f>
        <v>31</v>
      </c>
      <c r="N107" s="3213">
        <f>K107/Conversiones!$F$12/1000/1000000</f>
        <v>0.15982721382289417</v>
      </c>
      <c r="O107" s="3214">
        <f>L107/Conversiones!$F$12/1000/1000000</f>
        <v>7.5593952483801296E-5</v>
      </c>
      <c r="P107" s="3214">
        <f>M107/Conversiones!$F$12/1000/1000000</f>
        <v>1.1159107271418287E-4</v>
      </c>
      <c r="Q107" s="1692"/>
      <c r="R107" s="1692"/>
    </row>
    <row r="108" spans="2:18" x14ac:dyDescent="0.2">
      <c r="B108" s="1692"/>
      <c r="C108" s="1692"/>
      <c r="D108" s="3206" t="s">
        <v>1739</v>
      </c>
      <c r="E108" s="3207" t="s">
        <v>499</v>
      </c>
      <c r="F108" s="3206" t="s">
        <v>236</v>
      </c>
      <c r="G108" s="3199" t="str">
        <f t="shared" si="10"/>
        <v>V.056_Generación</v>
      </c>
      <c r="H108" s="3208">
        <v>44400</v>
      </c>
      <c r="I108" s="3209">
        <v>1</v>
      </c>
      <c r="J108" s="3210">
        <v>0.1</v>
      </c>
      <c r="K108" s="3208">
        <f t="shared" si="11"/>
        <v>44400</v>
      </c>
      <c r="L108" s="3211">
        <f t="shared" si="12"/>
        <v>21</v>
      </c>
      <c r="M108" s="3212">
        <f t="shared" si="13"/>
        <v>31</v>
      </c>
      <c r="N108" s="3213">
        <f>K108/Conversiones!$F$12/1000/1000000</f>
        <v>0.15982721382289417</v>
      </c>
      <c r="O108" s="3214">
        <f>L108/Conversiones!$F$12/1000/1000000</f>
        <v>7.5593952483801296E-5</v>
      </c>
      <c r="P108" s="3214">
        <f>M108/Conversiones!$F$12/1000/1000000</f>
        <v>1.1159107271418287E-4</v>
      </c>
      <c r="Q108" s="1692"/>
      <c r="R108" s="1692"/>
    </row>
    <row r="109" spans="2:18" x14ac:dyDescent="0.2">
      <c r="B109" s="1692"/>
      <c r="C109" s="1692"/>
      <c r="D109" s="3206" t="s">
        <v>1739</v>
      </c>
      <c r="E109" s="3207" t="s">
        <v>499</v>
      </c>
      <c r="F109" s="3206" t="s">
        <v>956</v>
      </c>
      <c r="G109" s="3199" t="str">
        <f t="shared" si="10"/>
        <v>V.056_CPR</v>
      </c>
      <c r="H109" s="3208">
        <v>44400</v>
      </c>
      <c r="I109" s="3209">
        <v>5</v>
      </c>
      <c r="J109" s="3210">
        <v>0.1</v>
      </c>
      <c r="K109" s="3208">
        <f t="shared" si="11"/>
        <v>44400</v>
      </c>
      <c r="L109" s="3211">
        <f t="shared" si="12"/>
        <v>105</v>
      </c>
      <c r="M109" s="3212">
        <f t="shared" si="13"/>
        <v>31</v>
      </c>
      <c r="N109" s="3213">
        <f>K109/Conversiones!$F$12/1000/1000000</f>
        <v>0.15982721382289417</v>
      </c>
      <c r="O109" s="3214">
        <f>L109/Conversiones!$F$12/1000/1000000</f>
        <v>3.7796976241900648E-4</v>
      </c>
      <c r="P109" s="3214">
        <f>M109/Conversiones!$F$12/1000/1000000</f>
        <v>1.1159107271418287E-4</v>
      </c>
      <c r="Q109" s="1692"/>
      <c r="R109" s="1692"/>
    </row>
    <row r="110" spans="2:18" x14ac:dyDescent="0.2">
      <c r="B110" s="1692"/>
      <c r="C110" s="1692"/>
      <c r="D110" s="3215" t="s">
        <v>1739</v>
      </c>
      <c r="E110" s="3216" t="s">
        <v>499</v>
      </c>
      <c r="F110" s="3215" t="s">
        <v>955</v>
      </c>
      <c r="G110" s="3199" t="str">
        <f t="shared" si="10"/>
        <v>V.056_Otros Sectores</v>
      </c>
      <c r="H110" s="3220">
        <v>44400</v>
      </c>
      <c r="I110" s="3217">
        <v>5</v>
      </c>
      <c r="J110" s="3218">
        <v>0.1</v>
      </c>
      <c r="K110" s="3208">
        <f t="shared" si="11"/>
        <v>44400</v>
      </c>
      <c r="L110" s="3211">
        <f t="shared" si="12"/>
        <v>105</v>
      </c>
      <c r="M110" s="3212">
        <f t="shared" si="13"/>
        <v>31</v>
      </c>
      <c r="N110" s="3213">
        <f>K110/Conversiones!$F$12/1000/1000000</f>
        <v>0.15982721382289417</v>
      </c>
      <c r="O110" s="3214">
        <f>L110/Conversiones!$F$12/1000/1000000</f>
        <v>3.7796976241900648E-4</v>
      </c>
      <c r="P110" s="3214">
        <f>M110/Conversiones!$F$12/1000/1000000</f>
        <v>1.1159107271418287E-4</v>
      </c>
      <c r="Q110" s="1692"/>
      <c r="R110" s="1692"/>
    </row>
    <row r="111" spans="2:18" x14ac:dyDescent="0.2">
      <c r="B111" s="1692"/>
      <c r="C111" s="1692"/>
      <c r="D111" s="3206" t="s">
        <v>1740</v>
      </c>
      <c r="E111" s="3199" t="s">
        <v>1685</v>
      </c>
      <c r="F111" s="3198" t="s">
        <v>420</v>
      </c>
      <c r="G111" s="3199" t="str">
        <f t="shared" si="10"/>
        <v>V.057_Transporte</v>
      </c>
      <c r="H111" s="3200">
        <v>54600</v>
      </c>
      <c r="I111" s="3197">
        <v>1</v>
      </c>
      <c r="J111" s="3201">
        <v>0.1</v>
      </c>
      <c r="K111" s="3200">
        <f t="shared" si="11"/>
        <v>54600</v>
      </c>
      <c r="L111" s="3202">
        <f t="shared" si="12"/>
        <v>21</v>
      </c>
      <c r="M111" s="3203">
        <f t="shared" si="13"/>
        <v>31</v>
      </c>
      <c r="N111" s="3204">
        <f>K111/Conversiones!$F$12/1000/1000000</f>
        <v>0.19654427645788339</v>
      </c>
      <c r="O111" s="3205">
        <f>L111/Conversiones!$F$12/1000/1000000</f>
        <v>7.5593952483801296E-5</v>
      </c>
      <c r="P111" s="3205">
        <f>M111/Conversiones!$F$12/1000/1000000</f>
        <v>1.1159107271418287E-4</v>
      </c>
      <c r="Q111" s="1692"/>
      <c r="R111" s="1692"/>
    </row>
    <row r="112" spans="2:18" x14ac:dyDescent="0.2">
      <c r="B112" s="1692"/>
      <c r="C112" s="1692"/>
      <c r="D112" s="3206" t="s">
        <v>1740</v>
      </c>
      <c r="E112" s="3207" t="s">
        <v>1685</v>
      </c>
      <c r="F112" s="3206" t="s">
        <v>423</v>
      </c>
      <c r="G112" s="3199" t="str">
        <f t="shared" si="10"/>
        <v>V.057_Industria y Mineria</v>
      </c>
      <c r="H112" s="3208">
        <v>54600</v>
      </c>
      <c r="I112" s="3209">
        <v>1</v>
      </c>
      <c r="J112" s="3210">
        <v>0.1</v>
      </c>
      <c r="K112" s="3208">
        <f t="shared" si="11"/>
        <v>54600</v>
      </c>
      <c r="L112" s="3211">
        <f t="shared" si="12"/>
        <v>21</v>
      </c>
      <c r="M112" s="3212">
        <f t="shared" si="13"/>
        <v>31</v>
      </c>
      <c r="N112" s="3213">
        <f>K112/Conversiones!$F$12/1000/1000000</f>
        <v>0.19654427645788339</v>
      </c>
      <c r="O112" s="3214">
        <f>L112/Conversiones!$F$12/1000/1000000</f>
        <v>7.5593952483801296E-5</v>
      </c>
      <c r="P112" s="3214">
        <f>M112/Conversiones!$F$12/1000/1000000</f>
        <v>1.1159107271418287E-4</v>
      </c>
      <c r="Q112" s="1692"/>
      <c r="R112" s="1692"/>
    </row>
    <row r="113" spans="2:18" x14ac:dyDescent="0.2">
      <c r="B113" s="1692"/>
      <c r="C113" s="1692"/>
      <c r="D113" s="3206" t="s">
        <v>1740</v>
      </c>
      <c r="E113" s="3207" t="s">
        <v>1685</v>
      </c>
      <c r="F113" s="3206" t="s">
        <v>236</v>
      </c>
      <c r="G113" s="3199" t="str">
        <f t="shared" si="10"/>
        <v>V.057_Generación</v>
      </c>
      <c r="H113" s="3208">
        <v>54600</v>
      </c>
      <c r="I113" s="3209">
        <v>1</v>
      </c>
      <c r="J113" s="3210">
        <v>0.1</v>
      </c>
      <c r="K113" s="3208">
        <f t="shared" si="11"/>
        <v>54600</v>
      </c>
      <c r="L113" s="3211">
        <f t="shared" si="12"/>
        <v>21</v>
      </c>
      <c r="M113" s="3212">
        <f t="shared" si="13"/>
        <v>31</v>
      </c>
      <c r="N113" s="3213">
        <f>K113/Conversiones!$F$12/1000/1000000</f>
        <v>0.19654427645788339</v>
      </c>
      <c r="O113" s="3214">
        <f>L113/Conversiones!$F$12/1000/1000000</f>
        <v>7.5593952483801296E-5</v>
      </c>
      <c r="P113" s="3214">
        <f>M113/Conversiones!$F$12/1000/1000000</f>
        <v>1.1159107271418287E-4</v>
      </c>
      <c r="Q113" s="1692"/>
      <c r="R113" s="1692"/>
    </row>
    <row r="114" spans="2:18" x14ac:dyDescent="0.2">
      <c r="B114" s="1692"/>
      <c r="C114" s="1692"/>
      <c r="D114" s="3206" t="s">
        <v>1740</v>
      </c>
      <c r="E114" s="3207" t="s">
        <v>1685</v>
      </c>
      <c r="F114" s="3206" t="s">
        <v>956</v>
      </c>
      <c r="G114" s="3199" t="str">
        <f t="shared" si="10"/>
        <v>V.057_CPR</v>
      </c>
      <c r="H114" s="3208">
        <v>54600</v>
      </c>
      <c r="I114" s="3209">
        <v>1</v>
      </c>
      <c r="J114" s="3210">
        <v>0.1</v>
      </c>
      <c r="K114" s="3208">
        <f t="shared" si="11"/>
        <v>54600</v>
      </c>
      <c r="L114" s="3211">
        <f t="shared" si="12"/>
        <v>21</v>
      </c>
      <c r="M114" s="3212">
        <f t="shared" si="13"/>
        <v>31</v>
      </c>
      <c r="N114" s="3213">
        <f>K114/Conversiones!$F$12/1000/1000000</f>
        <v>0.19654427645788339</v>
      </c>
      <c r="O114" s="3214">
        <f>L114/Conversiones!$F$12/1000/1000000</f>
        <v>7.5593952483801296E-5</v>
      </c>
      <c r="P114" s="3214">
        <f>M114/Conversiones!$F$12/1000/1000000</f>
        <v>1.1159107271418287E-4</v>
      </c>
      <c r="Q114" s="1692"/>
      <c r="R114" s="1692"/>
    </row>
    <row r="115" spans="2:18" x14ac:dyDescent="0.2">
      <c r="B115" s="1692"/>
      <c r="C115" s="1692"/>
      <c r="D115" s="3206" t="s">
        <v>1740</v>
      </c>
      <c r="E115" s="3216" t="s">
        <v>1685</v>
      </c>
      <c r="F115" s="3215" t="s">
        <v>955</v>
      </c>
      <c r="G115" s="3199" t="str">
        <f t="shared" si="10"/>
        <v>V.057_Otros Sectores</v>
      </c>
      <c r="H115" s="3219">
        <v>54600</v>
      </c>
      <c r="I115" s="3217">
        <v>1</v>
      </c>
      <c r="J115" s="3218">
        <v>0.1</v>
      </c>
      <c r="K115" s="3219">
        <f t="shared" si="11"/>
        <v>54600</v>
      </c>
      <c r="L115" s="3220">
        <f t="shared" si="12"/>
        <v>21</v>
      </c>
      <c r="M115" s="3221">
        <f t="shared" si="13"/>
        <v>31</v>
      </c>
      <c r="N115" s="3222">
        <f>K115/Conversiones!$F$12/1000/1000000</f>
        <v>0.19654427645788339</v>
      </c>
      <c r="O115" s="3223">
        <f>L115/Conversiones!$F$12/1000/1000000</f>
        <v>7.5593952483801296E-5</v>
      </c>
      <c r="P115" s="3223">
        <f>M115/Conversiones!$F$12/1000/1000000</f>
        <v>1.1159107271418287E-4</v>
      </c>
      <c r="Q115" s="1692"/>
      <c r="R115" s="1692" t="s">
        <v>398</v>
      </c>
    </row>
    <row r="116" spans="2:18" x14ac:dyDescent="0.2">
      <c r="B116" s="1692"/>
      <c r="C116" s="1692"/>
      <c r="D116" s="3198" t="s">
        <v>1741</v>
      </c>
      <c r="E116" s="3199" t="s">
        <v>1684</v>
      </c>
      <c r="F116" s="3198" t="s">
        <v>420</v>
      </c>
      <c r="G116" s="3199" t="str">
        <f t="shared" si="10"/>
        <v>V.058_Transporte</v>
      </c>
      <c r="H116" s="3202">
        <f>R117</f>
        <v>0</v>
      </c>
      <c r="I116" s="3197">
        <v>0</v>
      </c>
      <c r="J116" s="3201">
        <v>0</v>
      </c>
      <c r="K116" s="3208">
        <f t="shared" si="11"/>
        <v>0</v>
      </c>
      <c r="L116" s="3211">
        <f t="shared" si="12"/>
        <v>0</v>
      </c>
      <c r="M116" s="3212">
        <f t="shared" si="13"/>
        <v>0</v>
      </c>
      <c r="N116" s="3213">
        <f>K116/Conversiones!$F$12/1000/1000000</f>
        <v>0</v>
      </c>
      <c r="O116" s="3214">
        <f>L116/Conversiones!$F$12/1000/1000000</f>
        <v>0</v>
      </c>
      <c r="P116" s="3214">
        <f>M116/Conversiones!$F$12/1000/1000000</f>
        <v>0</v>
      </c>
      <c r="Q116" s="1692"/>
      <c r="R116" s="1692">
        <v>112000</v>
      </c>
    </row>
    <row r="117" spans="2:18" x14ac:dyDescent="0.2">
      <c r="B117" s="1692"/>
      <c r="C117" s="1692"/>
      <c r="D117" s="3206" t="s">
        <v>1741</v>
      </c>
      <c r="E117" s="3207" t="s">
        <v>1684</v>
      </c>
      <c r="F117" s="3206" t="s">
        <v>423</v>
      </c>
      <c r="G117" s="3199" t="str">
        <f t="shared" si="10"/>
        <v>V.058_Industria y Mineria</v>
      </c>
      <c r="H117" s="3211">
        <f>R117</f>
        <v>0</v>
      </c>
      <c r="I117" s="3209">
        <v>0</v>
      </c>
      <c r="J117" s="3210">
        <v>0</v>
      </c>
      <c r="K117" s="3208">
        <f t="shared" si="11"/>
        <v>0</v>
      </c>
      <c r="L117" s="3211">
        <f t="shared" si="12"/>
        <v>0</v>
      </c>
      <c r="M117" s="3212">
        <f t="shared" si="13"/>
        <v>0</v>
      </c>
      <c r="N117" s="3213">
        <f>K117/Conversiones!$F$12/1000/1000000</f>
        <v>0</v>
      </c>
      <c r="O117" s="3214">
        <f>L117/Conversiones!$F$12/1000/1000000</f>
        <v>0</v>
      </c>
      <c r="P117" s="3214">
        <f>M117/Conversiones!$F$12/1000/1000000</f>
        <v>0</v>
      </c>
      <c r="Q117" s="1692"/>
      <c r="R117" s="1692">
        <v>0</v>
      </c>
    </row>
    <row r="118" spans="2:18" x14ac:dyDescent="0.2">
      <c r="B118" s="1692"/>
      <c r="C118" s="1692"/>
      <c r="D118" s="3206" t="s">
        <v>1741</v>
      </c>
      <c r="E118" s="3207" t="s">
        <v>1684</v>
      </c>
      <c r="F118" s="3206" t="s">
        <v>236</v>
      </c>
      <c r="G118" s="3199" t="str">
        <f t="shared" si="10"/>
        <v>V.058_Generación</v>
      </c>
      <c r="H118" s="3211">
        <f>R118</f>
        <v>0</v>
      </c>
      <c r="I118" s="3209">
        <v>0</v>
      </c>
      <c r="J118" s="3210">
        <v>0</v>
      </c>
      <c r="K118" s="3208">
        <f t="shared" si="11"/>
        <v>0</v>
      </c>
      <c r="L118" s="3211">
        <f t="shared" si="12"/>
        <v>0</v>
      </c>
      <c r="M118" s="3212">
        <f t="shared" si="13"/>
        <v>0</v>
      </c>
      <c r="N118" s="3213">
        <f>K118/Conversiones!$F$12/1000/1000000</f>
        <v>0</v>
      </c>
      <c r="O118" s="3214">
        <f>L118/Conversiones!$F$12/1000/1000000</f>
        <v>0</v>
      </c>
      <c r="P118" s="3214">
        <f>M118/Conversiones!$F$12/1000/1000000</f>
        <v>0</v>
      </c>
      <c r="Q118" s="1692"/>
      <c r="R118" s="1692"/>
    </row>
    <row r="119" spans="2:18" x14ac:dyDescent="0.2">
      <c r="B119" s="1692"/>
      <c r="C119" s="1692"/>
      <c r="D119" s="3206" t="s">
        <v>1741</v>
      </c>
      <c r="E119" s="3207" t="s">
        <v>1684</v>
      </c>
      <c r="F119" s="3206" t="s">
        <v>956</v>
      </c>
      <c r="G119" s="3199" t="str">
        <f t="shared" si="10"/>
        <v>V.058_CPR</v>
      </c>
      <c r="H119" s="3211">
        <f>R119</f>
        <v>0</v>
      </c>
      <c r="I119" s="3209">
        <v>0</v>
      </c>
      <c r="J119" s="3210">
        <v>0</v>
      </c>
      <c r="K119" s="3208">
        <f t="shared" si="11"/>
        <v>0</v>
      </c>
      <c r="L119" s="3211">
        <f t="shared" si="12"/>
        <v>0</v>
      </c>
      <c r="M119" s="3212">
        <f t="shared" si="13"/>
        <v>0</v>
      </c>
      <c r="N119" s="3213">
        <f>K119/Conversiones!$F$12/1000/1000000</f>
        <v>0</v>
      </c>
      <c r="O119" s="3214">
        <f>L119/Conversiones!$F$12/1000/1000000</f>
        <v>0</v>
      </c>
      <c r="P119" s="3214">
        <f>M119/Conversiones!$F$12/1000/1000000</f>
        <v>0</v>
      </c>
      <c r="Q119" s="1692"/>
      <c r="R119" s="1692"/>
    </row>
    <row r="120" spans="2:18" x14ac:dyDescent="0.2">
      <c r="B120" s="1692"/>
      <c r="C120" s="1692"/>
      <c r="D120" s="3215" t="s">
        <v>1741</v>
      </c>
      <c r="E120" s="3216" t="s">
        <v>1684</v>
      </c>
      <c r="F120" s="3215" t="s">
        <v>955</v>
      </c>
      <c r="G120" s="3190" t="str">
        <f t="shared" si="10"/>
        <v>V.058_Otros Sectores</v>
      </c>
      <c r="H120" s="3220">
        <f>R120</f>
        <v>0</v>
      </c>
      <c r="I120" s="3217">
        <v>0</v>
      </c>
      <c r="J120" s="3218">
        <v>0</v>
      </c>
      <c r="K120" s="3219">
        <f t="shared" si="11"/>
        <v>0</v>
      </c>
      <c r="L120" s="3220">
        <f t="shared" si="12"/>
        <v>0</v>
      </c>
      <c r="M120" s="3221">
        <f t="shared" si="13"/>
        <v>0</v>
      </c>
      <c r="N120" s="3222">
        <f>K120/Conversiones!$F$12/1000/1000000</f>
        <v>0</v>
      </c>
      <c r="O120" s="3223">
        <f>L120/Conversiones!$F$12/1000/1000000</f>
        <v>0</v>
      </c>
      <c r="P120" s="3223">
        <f>M120/Conversiones!$F$12/1000/1000000</f>
        <v>0</v>
      </c>
      <c r="Q120" s="1692"/>
      <c r="R120" s="1692"/>
    </row>
    <row r="121" spans="2:18" x14ac:dyDescent="0.2">
      <c r="B121" s="1692"/>
      <c r="C121" s="1692"/>
      <c r="D121" s="1692"/>
      <c r="E121" s="1692"/>
      <c r="F121" s="1692"/>
      <c r="G121" s="1692"/>
      <c r="H121" s="1692"/>
      <c r="I121" s="1692"/>
      <c r="J121" s="1692"/>
      <c r="K121" s="1692"/>
      <c r="L121" s="1692"/>
      <c r="M121" s="1692"/>
      <c r="N121" s="1692"/>
      <c r="O121" s="1692"/>
      <c r="P121" s="1692"/>
      <c r="Q121" s="1692"/>
      <c r="R121" s="1692"/>
    </row>
    <row r="122" spans="2:18" x14ac:dyDescent="0.2">
      <c r="B122" s="1692"/>
      <c r="C122" s="1692"/>
      <c r="D122" s="1692"/>
      <c r="E122" s="3226" t="s">
        <v>531</v>
      </c>
      <c r="F122" s="3227" t="s">
        <v>1701</v>
      </c>
      <c r="G122" s="3226"/>
      <c r="H122" s="3193" t="s">
        <v>332</v>
      </c>
      <c r="I122" s="3193" t="s">
        <v>305</v>
      </c>
      <c r="J122" s="3193" t="s">
        <v>1714</v>
      </c>
      <c r="K122" s="1692"/>
      <c r="L122" s="1692"/>
      <c r="M122" s="3228" t="s">
        <v>1742</v>
      </c>
      <c r="N122" s="1692"/>
      <c r="O122" s="1692"/>
      <c r="P122" s="3190" t="s">
        <v>1892</v>
      </c>
      <c r="Q122" s="1692"/>
      <c r="R122" s="1692"/>
    </row>
    <row r="123" spans="2:18" x14ac:dyDescent="0.2">
      <c r="B123" s="1692"/>
      <c r="C123" s="1692"/>
      <c r="D123" s="3198" t="s">
        <v>1726</v>
      </c>
      <c r="E123" s="3229" t="s">
        <v>1686</v>
      </c>
      <c r="F123" s="3230" t="s">
        <v>1693</v>
      </c>
      <c r="G123" s="3231"/>
      <c r="H123" s="3209" t="s">
        <v>400</v>
      </c>
      <c r="I123" s="3209" t="s">
        <v>1692</v>
      </c>
      <c r="J123" s="3197">
        <v>120</v>
      </c>
      <c r="K123" s="1692"/>
      <c r="L123" s="1692"/>
      <c r="M123" s="3220">
        <f t="shared" ref="M123:M132" si="14">J123*E$141</f>
        <v>37200</v>
      </c>
      <c r="N123" s="1692"/>
      <c r="O123" s="1692"/>
      <c r="P123" s="3232">
        <f>M123/Conversiones!$F$12/1000/1000000</f>
        <v>0.13390928725701945</v>
      </c>
      <c r="Q123" s="1692"/>
      <c r="R123" s="1692"/>
    </row>
    <row r="124" spans="2:18" x14ac:dyDescent="0.2">
      <c r="B124" s="1692"/>
      <c r="C124" s="1692"/>
      <c r="D124" s="3206" t="s">
        <v>1726</v>
      </c>
      <c r="E124" s="3231" t="s">
        <v>1686</v>
      </c>
      <c r="F124" s="3230" t="s">
        <v>1694</v>
      </c>
      <c r="G124" s="3231"/>
      <c r="H124" s="3209" t="s">
        <v>400</v>
      </c>
      <c r="I124" s="3209" t="s">
        <v>1692</v>
      </c>
      <c r="J124" s="3209">
        <v>25</v>
      </c>
      <c r="K124" s="1692"/>
      <c r="L124" s="1692"/>
      <c r="M124" s="3220">
        <f t="shared" si="14"/>
        <v>7750</v>
      </c>
      <c r="N124" s="1692"/>
      <c r="O124" s="1692"/>
      <c r="P124" s="3232">
        <f>M124/Conversiones!$F$12/1000/1000000</f>
        <v>2.7897768178545716E-2</v>
      </c>
      <c r="Q124" s="1692"/>
      <c r="R124" s="1692"/>
    </row>
    <row r="125" spans="2:18" x14ac:dyDescent="0.2">
      <c r="B125" s="1692"/>
      <c r="C125" s="1692"/>
      <c r="D125" s="3206" t="s">
        <v>1726</v>
      </c>
      <c r="E125" s="3231" t="s">
        <v>1686</v>
      </c>
      <c r="F125" s="3230" t="s">
        <v>1695</v>
      </c>
      <c r="G125" s="3231"/>
      <c r="H125" s="3209" t="s">
        <v>400</v>
      </c>
      <c r="I125" s="3209" t="s">
        <v>1692</v>
      </c>
      <c r="J125" s="3209">
        <v>33</v>
      </c>
      <c r="K125" s="1692"/>
      <c r="L125" s="1692"/>
      <c r="M125" s="3220">
        <f t="shared" si="14"/>
        <v>10230</v>
      </c>
      <c r="N125" s="1692"/>
      <c r="O125" s="1692"/>
      <c r="P125" s="3232">
        <f>M125/Conversiones!$F$12/1000/1000000</f>
        <v>3.6825053995680347E-2</v>
      </c>
      <c r="Q125" s="1692"/>
      <c r="R125" s="1692"/>
    </row>
    <row r="126" spans="2:18" x14ac:dyDescent="0.2">
      <c r="B126" s="1692"/>
      <c r="C126" s="1692"/>
      <c r="D126" s="3206" t="s">
        <v>1726</v>
      </c>
      <c r="E126" s="3231" t="s">
        <v>1686</v>
      </c>
      <c r="F126" s="3230" t="s">
        <v>1696</v>
      </c>
      <c r="G126" s="3231"/>
      <c r="H126" s="3209" t="s">
        <v>400</v>
      </c>
      <c r="I126" s="3209" t="s">
        <v>1692</v>
      </c>
      <c r="J126" s="3209">
        <v>3.8</v>
      </c>
      <c r="K126" s="1692"/>
      <c r="L126" s="1692"/>
      <c r="M126" s="3220">
        <f t="shared" si="14"/>
        <v>1178</v>
      </c>
      <c r="N126" s="1692"/>
      <c r="O126" s="1692"/>
      <c r="P126" s="3232">
        <f>M126/Conversiones!$F$12/1000/1000000</f>
        <v>4.2404607631389493E-3</v>
      </c>
      <c r="Q126" s="1692"/>
      <c r="R126" s="1692"/>
    </row>
    <row r="127" spans="2:18" x14ac:dyDescent="0.2">
      <c r="B127" s="1692"/>
      <c r="C127" s="1692"/>
      <c r="D127" s="3206" t="s">
        <v>1726</v>
      </c>
      <c r="E127" s="3231" t="s">
        <v>1686</v>
      </c>
      <c r="F127" s="3233" t="s">
        <v>1697</v>
      </c>
      <c r="G127" s="3234"/>
      <c r="H127" s="3217" t="s">
        <v>400</v>
      </c>
      <c r="I127" s="3217" t="s">
        <v>1692</v>
      </c>
      <c r="J127" s="3217">
        <v>33</v>
      </c>
      <c r="K127" s="1692"/>
      <c r="L127" s="1692"/>
      <c r="M127" s="3220">
        <f t="shared" si="14"/>
        <v>10230</v>
      </c>
      <c r="N127" s="1692"/>
      <c r="O127" s="1692"/>
      <c r="P127" s="3232">
        <f>M127/Conversiones!$F$12/1000/1000000</f>
        <v>3.6825053995680347E-2</v>
      </c>
      <c r="Q127" s="1692"/>
      <c r="R127" s="1692"/>
    </row>
    <row r="128" spans="2:18" x14ac:dyDescent="0.2">
      <c r="B128" s="1692"/>
      <c r="C128" s="1692"/>
      <c r="D128" s="3206" t="s">
        <v>1726</v>
      </c>
      <c r="E128" s="3231" t="s">
        <v>1686</v>
      </c>
      <c r="F128" s="3235" t="s">
        <v>1693</v>
      </c>
      <c r="G128" s="3229"/>
      <c r="H128" s="3197" t="s">
        <v>401</v>
      </c>
      <c r="I128" s="3197" t="s">
        <v>1692</v>
      </c>
      <c r="J128" s="3197">
        <v>2</v>
      </c>
      <c r="K128" s="1692"/>
      <c r="L128" s="1692"/>
      <c r="M128" s="3220">
        <f t="shared" si="14"/>
        <v>620</v>
      </c>
      <c r="N128" s="1692"/>
      <c r="O128" s="1692"/>
      <c r="P128" s="3232">
        <f>M128/Conversiones!$F$12/1000/1000000</f>
        <v>2.2318214542836577E-3</v>
      </c>
      <c r="Q128" s="1692"/>
      <c r="R128" s="1692"/>
    </row>
    <row r="129" spans="2:18" x14ac:dyDescent="0.2">
      <c r="B129" s="1692"/>
      <c r="C129" s="1692"/>
      <c r="D129" s="3206" t="s">
        <v>1726</v>
      </c>
      <c r="E129" s="3231" t="s">
        <v>1686</v>
      </c>
      <c r="F129" s="3230" t="s">
        <v>1694</v>
      </c>
      <c r="G129" s="3231"/>
      <c r="H129" s="3209" t="s">
        <v>401</v>
      </c>
      <c r="I129" s="3209" t="s">
        <v>1692</v>
      </c>
      <c r="J129" s="3209">
        <v>8</v>
      </c>
      <c r="K129" s="1692"/>
      <c r="L129" s="1692"/>
      <c r="M129" s="3220">
        <f t="shared" si="14"/>
        <v>2480</v>
      </c>
      <c r="N129" s="1692"/>
      <c r="O129" s="1692"/>
      <c r="P129" s="3232">
        <f>M129/Conversiones!$F$12/1000/1000000</f>
        <v>8.9272858171346309E-3</v>
      </c>
      <c r="Q129" s="1692"/>
      <c r="R129" s="1692"/>
    </row>
    <row r="130" spans="2:18" x14ac:dyDescent="0.2">
      <c r="B130" s="1692"/>
      <c r="C130" s="1692"/>
      <c r="D130" s="3206" t="s">
        <v>1726</v>
      </c>
      <c r="E130" s="3231" t="s">
        <v>1686</v>
      </c>
      <c r="F130" s="3230" t="s">
        <v>1695</v>
      </c>
      <c r="G130" s="3231"/>
      <c r="H130" s="3209" t="s">
        <v>401</v>
      </c>
      <c r="I130" s="3209" t="s">
        <v>1692</v>
      </c>
      <c r="J130" s="3209">
        <v>3.2</v>
      </c>
      <c r="K130" s="1692"/>
      <c r="L130" s="1692"/>
      <c r="M130" s="3220">
        <f t="shared" si="14"/>
        <v>992</v>
      </c>
      <c r="N130" s="1692"/>
      <c r="O130" s="1692"/>
      <c r="P130" s="3232">
        <f>M130/Conversiones!$F$12/1000/1000000</f>
        <v>3.5709143268538518E-3</v>
      </c>
      <c r="Q130" s="1692"/>
      <c r="R130" s="1692"/>
    </row>
    <row r="131" spans="2:18" x14ac:dyDescent="0.2">
      <c r="B131" s="1692"/>
      <c r="C131" s="1692"/>
      <c r="D131" s="3206" t="s">
        <v>1726</v>
      </c>
      <c r="E131" s="3231" t="s">
        <v>1686</v>
      </c>
      <c r="F131" s="3230" t="s">
        <v>1696</v>
      </c>
      <c r="G131" s="3231"/>
      <c r="H131" s="3209" t="s">
        <v>401</v>
      </c>
      <c r="I131" s="3209" t="s">
        <v>1692</v>
      </c>
      <c r="J131" s="3209">
        <v>5.7</v>
      </c>
      <c r="K131" s="1692"/>
      <c r="L131" s="1692"/>
      <c r="M131" s="3220">
        <f t="shared" si="14"/>
        <v>1767</v>
      </c>
      <c r="N131" s="1692"/>
      <c r="O131" s="1692"/>
      <c r="P131" s="3232">
        <f>M131/Conversiones!$F$12/1000/1000000</f>
        <v>6.360691144708424E-3</v>
      </c>
      <c r="Q131" s="1692"/>
      <c r="R131" s="1692"/>
    </row>
    <row r="132" spans="2:18" x14ac:dyDescent="0.2">
      <c r="B132" s="1692"/>
      <c r="C132" s="1692"/>
      <c r="D132" s="3215" t="s">
        <v>1726</v>
      </c>
      <c r="E132" s="3234" t="s">
        <v>1686</v>
      </c>
      <c r="F132" s="3233" t="s">
        <v>1697</v>
      </c>
      <c r="G132" s="3234"/>
      <c r="H132" s="3217" t="s">
        <v>401</v>
      </c>
      <c r="I132" s="3217" t="s">
        <v>1692</v>
      </c>
      <c r="J132" s="3217">
        <v>3.2</v>
      </c>
      <c r="K132" s="1692"/>
      <c r="L132" s="1692"/>
      <c r="M132" s="3220">
        <f t="shared" si="14"/>
        <v>992</v>
      </c>
      <c r="N132" s="1692"/>
      <c r="O132" s="1692"/>
      <c r="P132" s="3232">
        <f>M132/Conversiones!$F$12/1000/1000000</f>
        <v>3.5709143268538518E-3</v>
      </c>
      <c r="Q132" s="1692"/>
      <c r="R132" s="1692"/>
    </row>
    <row r="133" spans="2:18" x14ac:dyDescent="0.2">
      <c r="B133" s="1692"/>
      <c r="C133" s="1692"/>
      <c r="D133" s="1692"/>
      <c r="E133" s="1692"/>
      <c r="F133" s="1692"/>
      <c r="G133" s="1692"/>
      <c r="H133" s="1692"/>
      <c r="I133" s="1692"/>
      <c r="J133" s="1692"/>
      <c r="K133" s="1692"/>
      <c r="L133" s="1692"/>
      <c r="M133" s="1692"/>
      <c r="N133" s="1692"/>
      <c r="O133" s="1692"/>
      <c r="P133" s="1692"/>
      <c r="Q133" s="1692"/>
      <c r="R133" s="1692"/>
    </row>
    <row r="134" spans="2:18" x14ac:dyDescent="0.2">
      <c r="B134" s="1692"/>
      <c r="C134" s="1692"/>
      <c r="D134" s="1692"/>
      <c r="E134" s="1692"/>
      <c r="F134" s="1692"/>
      <c r="G134" s="1692"/>
      <c r="H134" s="1692"/>
      <c r="I134" s="1692"/>
      <c r="J134" s="1692"/>
      <c r="K134" s="1692"/>
      <c r="L134" s="1692"/>
      <c r="M134" s="1692"/>
      <c r="N134" s="1692"/>
      <c r="O134" s="1692"/>
      <c r="P134" s="1692"/>
      <c r="Q134" s="1692"/>
      <c r="R134" s="1692"/>
    </row>
    <row r="136" spans="2:18" ht="15.75" x14ac:dyDescent="0.2">
      <c r="B136" s="1664" t="s">
        <v>1743</v>
      </c>
      <c r="C136" s="1665"/>
      <c r="D136" s="1665"/>
      <c r="E136" s="1665"/>
      <c r="F136" s="1665"/>
      <c r="G136" s="1665"/>
      <c r="H136" s="1665"/>
      <c r="I136" s="1665"/>
      <c r="J136" s="1665"/>
      <c r="K136" s="1665"/>
      <c r="L136" s="1665"/>
      <c r="M136" s="1665"/>
      <c r="N136" s="1665"/>
      <c r="O136" s="1665"/>
      <c r="P136" s="1665"/>
      <c r="Q136" s="1665"/>
      <c r="R136" s="1665"/>
    </row>
    <row r="137" spans="2:18" x14ac:dyDescent="0.2">
      <c r="B137" s="1692"/>
      <c r="C137" s="1692"/>
      <c r="D137" s="1692"/>
      <c r="E137" s="1692"/>
      <c r="F137" s="1692"/>
      <c r="G137" s="1692"/>
      <c r="H137" s="1692"/>
      <c r="I137" s="1692"/>
      <c r="J137" s="1692"/>
      <c r="K137" s="1692"/>
      <c r="L137" s="1692"/>
      <c r="M137" s="1692"/>
      <c r="N137" s="1692"/>
      <c r="O137" s="1692"/>
      <c r="P137" s="1692"/>
      <c r="Q137" s="1692"/>
      <c r="R137" s="1692"/>
    </row>
    <row r="138" spans="2:18" x14ac:dyDescent="0.2">
      <c r="B138" s="1692"/>
      <c r="C138" s="1692"/>
      <c r="D138" s="3236" t="s">
        <v>332</v>
      </c>
      <c r="E138" s="3236" t="s">
        <v>435</v>
      </c>
      <c r="F138" s="1692"/>
      <c r="G138" s="1692"/>
      <c r="H138" s="1692"/>
      <c r="I138" s="1692"/>
      <c r="J138" s="1692"/>
      <c r="K138" s="1692"/>
      <c r="L138" s="1692"/>
      <c r="M138" s="1692"/>
      <c r="N138" s="1692"/>
      <c r="O138" s="1692"/>
      <c r="P138" s="1692"/>
      <c r="Q138" s="1692"/>
      <c r="R138" s="1692"/>
    </row>
    <row r="139" spans="2:18" x14ac:dyDescent="0.2">
      <c r="B139" s="1692"/>
      <c r="C139" s="1692"/>
      <c r="D139" s="3209" t="s">
        <v>398</v>
      </c>
      <c r="E139" s="3209">
        <v>1</v>
      </c>
      <c r="F139" s="1692"/>
      <c r="G139" s="1692"/>
      <c r="H139" s="1692"/>
      <c r="I139" s="1692"/>
      <c r="J139" s="1692"/>
      <c r="K139" s="1692"/>
      <c r="L139" s="1692"/>
      <c r="M139" s="1692"/>
      <c r="N139" s="1692"/>
      <c r="O139" s="1692"/>
      <c r="P139" s="1692"/>
      <c r="Q139" s="1692"/>
      <c r="R139" s="1692"/>
    </row>
    <row r="140" spans="2:18" x14ac:dyDescent="0.2">
      <c r="B140" s="1692"/>
      <c r="C140" s="1692"/>
      <c r="D140" s="3209" t="s">
        <v>400</v>
      </c>
      <c r="E140" s="3209">
        <v>21</v>
      </c>
      <c r="F140" s="1692"/>
      <c r="G140" s="1692"/>
      <c r="H140" s="1692"/>
      <c r="I140" s="1692"/>
      <c r="J140" s="1692"/>
      <c r="K140" s="1692"/>
      <c r="L140" s="1692"/>
      <c r="M140" s="1692"/>
      <c r="N140" s="1692"/>
      <c r="O140" s="1692"/>
      <c r="P140" s="1692"/>
      <c r="Q140" s="1692"/>
      <c r="R140" s="1692"/>
    </row>
    <row r="141" spans="2:18" x14ac:dyDescent="0.2">
      <c r="B141" s="1692"/>
      <c r="C141" s="1692"/>
      <c r="D141" s="3209" t="s">
        <v>401</v>
      </c>
      <c r="E141" s="3209">
        <v>310</v>
      </c>
      <c r="F141" s="1692"/>
      <c r="G141" s="1692"/>
      <c r="H141" s="1692"/>
      <c r="I141" s="1692"/>
      <c r="J141" s="1692"/>
      <c r="K141" s="1692"/>
      <c r="L141" s="1692"/>
      <c r="M141" s="1692"/>
      <c r="N141" s="1692"/>
      <c r="O141" s="1692"/>
      <c r="P141" s="1692"/>
      <c r="Q141" s="1692"/>
      <c r="R141" s="1692"/>
    </row>
    <row r="142" spans="2:18" x14ac:dyDescent="0.2">
      <c r="B142" s="1692"/>
      <c r="C142" s="1692"/>
      <c r="D142" s="3209" t="s">
        <v>438</v>
      </c>
      <c r="E142" s="3209" t="s">
        <v>439</v>
      </c>
      <c r="F142" s="1692"/>
      <c r="G142" s="1692"/>
      <c r="H142" s="1692"/>
      <c r="I142" s="1692"/>
      <c r="J142" s="1692"/>
      <c r="K142" s="1692"/>
      <c r="L142" s="1692"/>
      <c r="M142" s="1692"/>
      <c r="N142" s="1692"/>
      <c r="O142" s="1692"/>
      <c r="P142" s="1692"/>
      <c r="Q142" s="1692"/>
      <c r="R142" s="1692"/>
    </row>
    <row r="143" spans="2:18" x14ac:dyDescent="0.2">
      <c r="B143" s="1692"/>
      <c r="C143" s="1692"/>
      <c r="D143" s="3209" t="s">
        <v>440</v>
      </c>
      <c r="E143" s="3209" t="s">
        <v>441</v>
      </c>
      <c r="F143" s="1692"/>
      <c r="G143" s="1692"/>
      <c r="H143" s="1692"/>
      <c r="I143" s="1692"/>
      <c r="J143" s="1692"/>
      <c r="K143" s="1692"/>
      <c r="L143" s="1692"/>
      <c r="M143" s="1692"/>
      <c r="N143" s="1692"/>
      <c r="O143" s="1692"/>
      <c r="P143" s="1692"/>
      <c r="Q143" s="1692"/>
      <c r="R143" s="1692"/>
    </row>
    <row r="144" spans="2:18" x14ac:dyDescent="0.2">
      <c r="B144" s="1692"/>
      <c r="C144" s="1692"/>
      <c r="D144" s="3217" t="s">
        <v>953</v>
      </c>
      <c r="E144" s="3217">
        <v>23900</v>
      </c>
      <c r="F144" s="1692"/>
      <c r="G144" s="1692"/>
      <c r="H144" s="1692"/>
      <c r="I144" s="1692"/>
      <c r="J144" s="1692"/>
      <c r="K144" s="1692"/>
      <c r="L144" s="1692"/>
      <c r="M144" s="1692"/>
      <c r="N144" s="1692"/>
      <c r="O144" s="1692"/>
      <c r="P144" s="1692"/>
      <c r="Q144" s="1692"/>
      <c r="R144" s="1692"/>
    </row>
    <row r="145" spans="2:18" x14ac:dyDescent="0.2">
      <c r="B145" s="1692"/>
      <c r="C145" s="1692"/>
      <c r="D145" s="1692"/>
      <c r="E145" s="1692"/>
      <c r="F145" s="1692"/>
      <c r="G145" s="1692"/>
      <c r="H145" s="1692"/>
      <c r="I145" s="1692"/>
      <c r="J145" s="1692"/>
      <c r="K145" s="1692"/>
      <c r="L145" s="1692"/>
      <c r="M145" s="1692"/>
      <c r="N145" s="1692"/>
      <c r="O145" s="1692"/>
      <c r="P145" s="1692"/>
      <c r="Q145" s="1692"/>
      <c r="R145" s="1692"/>
    </row>
    <row r="147" spans="2:18" ht="15.75" x14ac:dyDescent="0.2">
      <c r="B147" s="1664" t="s">
        <v>2229</v>
      </c>
      <c r="C147" s="1665"/>
      <c r="D147" s="1665"/>
      <c r="E147" s="1665"/>
      <c r="F147" s="1665"/>
      <c r="G147" s="1665"/>
      <c r="H147" s="1665"/>
      <c r="I147" s="1665"/>
      <c r="J147" s="1665"/>
      <c r="K147" s="1665"/>
      <c r="L147" s="1665"/>
      <c r="M147" s="1665"/>
      <c r="N147" s="1665"/>
      <c r="O147" s="1665"/>
      <c r="P147" s="1665"/>
      <c r="Q147" s="1665"/>
      <c r="R147" s="1665"/>
    </row>
    <row r="148" spans="2:18" x14ac:dyDescent="0.2">
      <c r="B148" s="1670"/>
      <c r="C148" s="1672"/>
      <c r="D148" s="1672"/>
      <c r="E148" s="1672"/>
      <c r="F148" s="1672"/>
      <c r="G148" s="1672"/>
      <c r="H148" s="1672"/>
      <c r="I148" s="1672"/>
      <c r="J148" s="1672"/>
      <c r="K148" s="1672"/>
      <c r="L148" s="1672"/>
      <c r="M148" s="1672"/>
      <c r="N148" s="1672"/>
      <c r="O148" s="1674"/>
    </row>
    <row r="149" spans="2:18" x14ac:dyDescent="0.2">
      <c r="B149" s="1670"/>
      <c r="C149" s="1672"/>
      <c r="D149" s="1672"/>
      <c r="E149" s="1672"/>
      <c r="F149" s="1672"/>
      <c r="G149" s="1672"/>
      <c r="H149" s="1672"/>
      <c r="I149" s="1672"/>
      <c r="J149" s="1672"/>
      <c r="K149" s="1672"/>
      <c r="L149" s="1672"/>
      <c r="M149" s="1672"/>
      <c r="N149" s="1672"/>
      <c r="O149" s="1674"/>
    </row>
    <row r="150" spans="2:18" x14ac:dyDescent="0.2">
      <c r="B150" s="1670"/>
      <c r="C150" s="1671" t="s">
        <v>160</v>
      </c>
      <c r="D150" s="1672"/>
      <c r="E150" s="1672"/>
      <c r="F150" s="1672"/>
      <c r="G150" s="1673"/>
      <c r="H150" s="1672"/>
      <c r="I150" s="1672"/>
      <c r="J150" s="1672"/>
      <c r="K150" s="1672"/>
      <c r="L150" s="1672"/>
      <c r="M150" s="1672"/>
      <c r="N150" s="1673" t="s">
        <v>850</v>
      </c>
      <c r="O150" s="1674"/>
    </row>
    <row r="151" spans="2:18" ht="15.75" x14ac:dyDescent="0.25">
      <c r="B151" s="1675"/>
      <c r="C151" s="1676"/>
      <c r="D151" s="1676" t="s">
        <v>2224</v>
      </c>
      <c r="E151" s="1676" t="s">
        <v>242</v>
      </c>
      <c r="F151" s="3242" t="s">
        <v>8</v>
      </c>
      <c r="G151" s="1677" t="s">
        <v>16</v>
      </c>
      <c r="H151" s="1677" t="s">
        <v>17</v>
      </c>
      <c r="I151" s="1677" t="s">
        <v>18</v>
      </c>
      <c r="J151" s="1677" t="s">
        <v>19</v>
      </c>
      <c r="K151" s="1677" t="s">
        <v>20</v>
      </c>
      <c r="L151" s="1677" t="s">
        <v>21</v>
      </c>
      <c r="M151" s="1677" t="s">
        <v>22</v>
      </c>
      <c r="N151" s="1677" t="s">
        <v>23</v>
      </c>
      <c r="O151" s="1674"/>
    </row>
    <row r="152" spans="2:18" ht="15.75" x14ac:dyDescent="0.25">
      <c r="B152" s="1675"/>
      <c r="C152" s="1682"/>
      <c r="D152" s="1682" t="s">
        <v>46</v>
      </c>
      <c r="E152" s="1682" t="str">
        <f>INDEX(Modulos[Modulos], MATCH($D152, Modulos[Código], 0))</f>
        <v>Termoelectricidad</v>
      </c>
      <c r="F152" s="3243" t="s">
        <v>331</v>
      </c>
      <c r="G152" s="3241">
        <v>0.63200000000000001</v>
      </c>
      <c r="H152" s="3241">
        <v>0.7</v>
      </c>
      <c r="I152" s="3241">
        <v>0.7</v>
      </c>
      <c r="J152" s="3241">
        <v>0.7</v>
      </c>
      <c r="K152" s="3241">
        <v>0.7</v>
      </c>
      <c r="L152" s="3241">
        <v>0.7</v>
      </c>
      <c r="M152" s="3241">
        <v>0.7</v>
      </c>
      <c r="N152" s="3241">
        <v>0.7</v>
      </c>
      <c r="O152" s="1674"/>
    </row>
    <row r="153" spans="2:18" ht="15.75" x14ac:dyDescent="0.25">
      <c r="B153" s="1675"/>
      <c r="C153" s="1682"/>
      <c r="D153" s="1682" t="s">
        <v>46</v>
      </c>
      <c r="E153" s="1682" t="str">
        <f>INDEX(Modulos[Modulos], MATCH($D153, Modulos[Código], 0))</f>
        <v>Termoelectricidad</v>
      </c>
      <c r="F153" s="3243" t="s">
        <v>332</v>
      </c>
      <c r="G153" s="3241">
        <v>0.63200000000000001</v>
      </c>
      <c r="H153" s="3241">
        <v>0.7</v>
      </c>
      <c r="I153" s="3241">
        <v>0.7</v>
      </c>
      <c r="J153" s="3241">
        <v>0.7</v>
      </c>
      <c r="K153" s="3241">
        <v>0.7</v>
      </c>
      <c r="L153" s="3241">
        <v>0.7</v>
      </c>
      <c r="M153" s="3241">
        <v>0.7</v>
      </c>
      <c r="N153" s="3241">
        <v>0.7</v>
      </c>
      <c r="O153" s="1674"/>
    </row>
    <row r="154" spans="2:18" ht="15.75" x14ac:dyDescent="0.25">
      <c r="B154" s="1675"/>
      <c r="C154" s="1682"/>
      <c r="D154" s="1682" t="s">
        <v>46</v>
      </c>
      <c r="E154" s="1682" t="str">
        <f>INDEX(Modulos[Modulos], MATCH($D154, Modulos[Código], 0))</f>
        <v>Termoelectricidad</v>
      </c>
      <c r="F154" s="3243" t="s">
        <v>334</v>
      </c>
      <c r="G154" s="3241">
        <v>0.63200000000000001</v>
      </c>
      <c r="H154" s="3241">
        <v>0.7</v>
      </c>
      <c r="I154" s="3241">
        <v>0.7</v>
      </c>
      <c r="J154" s="3241">
        <v>0.7</v>
      </c>
      <c r="K154" s="3241">
        <v>0.7</v>
      </c>
      <c r="L154" s="3241">
        <v>0.7</v>
      </c>
      <c r="M154" s="3241">
        <v>0.7</v>
      </c>
      <c r="N154" s="3241">
        <v>0.7</v>
      </c>
      <c r="O154" s="1674"/>
    </row>
    <row r="155" spans="2:18" ht="15.75" x14ac:dyDescent="0.25">
      <c r="B155" s="1675"/>
      <c r="C155" s="1682"/>
      <c r="D155" s="1682" t="s">
        <v>46</v>
      </c>
      <c r="E155" s="1682" t="str">
        <f>INDEX(Modulos[Modulos], MATCH($D155, Modulos[Código], 0))</f>
        <v>Termoelectricidad</v>
      </c>
      <c r="F155" s="3243" t="s">
        <v>336</v>
      </c>
      <c r="G155" s="3241">
        <v>0.63200000000000001</v>
      </c>
      <c r="H155" s="3241">
        <v>0.7</v>
      </c>
      <c r="I155" s="3241">
        <v>0.7</v>
      </c>
      <c r="J155" s="3241">
        <v>0.7</v>
      </c>
      <c r="K155" s="3241">
        <v>0.7</v>
      </c>
      <c r="L155" s="3241">
        <v>0.7</v>
      </c>
      <c r="M155" s="3241">
        <v>0.7</v>
      </c>
      <c r="N155" s="3241">
        <v>0.7</v>
      </c>
      <c r="O155" s="1674"/>
    </row>
    <row r="156" spans="2:18" ht="15.75" x14ac:dyDescent="0.25">
      <c r="B156" s="1675"/>
      <c r="C156" s="1682"/>
      <c r="D156" s="1682" t="s">
        <v>50</v>
      </c>
      <c r="E156" s="1682" t="e">
        <f>INDEX(Modulos[Modulos], MATCH($D156, Modulos[Código], 0))</f>
        <v>#N/A</v>
      </c>
      <c r="F156" s="3243" t="s">
        <v>2230</v>
      </c>
      <c r="G156" s="3240">
        <v>0.59599999999999997</v>
      </c>
      <c r="H156" s="3240">
        <v>0.6</v>
      </c>
      <c r="I156" s="3240">
        <v>0.7</v>
      </c>
      <c r="J156" s="3240">
        <v>0.8</v>
      </c>
      <c r="K156" s="3240">
        <v>0.8</v>
      </c>
      <c r="L156" s="3240">
        <v>0.8</v>
      </c>
      <c r="M156" s="3240">
        <v>0.8</v>
      </c>
      <c r="N156" s="3240">
        <v>0.8</v>
      </c>
      <c r="O156" s="1674"/>
    </row>
    <row r="157" spans="2:18" ht="15.75" x14ac:dyDescent="0.25">
      <c r="B157" s="1675"/>
      <c r="C157" s="1682"/>
      <c r="D157" s="1682" t="s">
        <v>208</v>
      </c>
      <c r="E157" s="1682" t="str">
        <f>INDEX(Modulos[Modulos], MATCH($D157, Modulos[Código], 0))</f>
        <v>Plantas Eólicas</v>
      </c>
      <c r="F157" s="3243" t="s">
        <v>855</v>
      </c>
      <c r="G157" s="3240">
        <v>0.34</v>
      </c>
      <c r="H157" s="3240">
        <v>0.34</v>
      </c>
      <c r="I157" s="3240">
        <v>0.34</v>
      </c>
      <c r="J157" s="3240">
        <v>0.34</v>
      </c>
      <c r="K157" s="3240">
        <v>0.34</v>
      </c>
      <c r="L157" s="3240">
        <v>0.34</v>
      </c>
      <c r="M157" s="3240">
        <v>0.34</v>
      </c>
      <c r="N157" s="3240">
        <v>0.34</v>
      </c>
      <c r="O157" s="1674"/>
    </row>
    <row r="158" spans="2:18" ht="15.75" x14ac:dyDescent="0.25">
      <c r="B158" s="1675"/>
      <c r="C158" s="1682"/>
      <c r="D158" s="1682" t="s">
        <v>246</v>
      </c>
      <c r="E158" s="1682" t="str">
        <f>INDEX(Modulos[Modulos], MATCH($D158, Modulos[Código], 0))</f>
        <v>Mini Hidráulica de Pasada</v>
      </c>
      <c r="F158" s="3243"/>
      <c r="G158" s="3240">
        <v>0.47</v>
      </c>
      <c r="H158" s="3240">
        <v>0.47</v>
      </c>
      <c r="I158" s="3240">
        <v>0.47</v>
      </c>
      <c r="J158" s="3240">
        <v>0.47</v>
      </c>
      <c r="K158" s="3240">
        <v>0.47</v>
      </c>
      <c r="L158" s="3240">
        <v>0.47</v>
      </c>
      <c r="M158" s="3240">
        <v>0.47</v>
      </c>
      <c r="N158" s="3240">
        <v>0.47</v>
      </c>
      <c r="O158" s="1674"/>
    </row>
    <row r="159" spans="2:18" ht="15.75" x14ac:dyDescent="0.25">
      <c r="B159" s="1675"/>
      <c r="C159" s="1682"/>
      <c r="D159" s="1682" t="s">
        <v>258</v>
      </c>
      <c r="E159" s="1682" t="str">
        <f>INDEX(Modulos[Modulos], MATCH($D159, Modulos[Código], 0))</f>
        <v>Hidráulica de Pasada</v>
      </c>
      <c r="F159" s="3243"/>
      <c r="G159" s="3240">
        <v>0.44</v>
      </c>
      <c r="H159" s="3240">
        <v>0.44</v>
      </c>
      <c r="I159" s="3240">
        <v>0.44</v>
      </c>
      <c r="J159" s="3240">
        <v>0.44</v>
      </c>
      <c r="K159" s="3240">
        <v>0.44</v>
      </c>
      <c r="L159" s="3240">
        <v>0.44</v>
      </c>
      <c r="M159" s="3240">
        <v>0.44</v>
      </c>
      <c r="N159" s="3240">
        <v>0.44</v>
      </c>
      <c r="O159" s="1674"/>
    </row>
    <row r="160" spans="2:18" ht="15.75" x14ac:dyDescent="0.25">
      <c r="B160" s="1675"/>
      <c r="C160" s="1682"/>
      <c r="D160" s="1682" t="s">
        <v>267</v>
      </c>
      <c r="E160" s="1682" t="str">
        <f>INDEX(Modulos[Modulos], MATCH($D160, Modulos[Código], 0))</f>
        <v>Hidráulica de Embalse</v>
      </c>
      <c r="F160" s="3243"/>
      <c r="G160" s="3240">
        <v>0.63</v>
      </c>
      <c r="H160" s="3240">
        <v>0.63</v>
      </c>
      <c r="I160" s="3240">
        <v>0.63</v>
      </c>
      <c r="J160" s="3240">
        <v>0.63</v>
      </c>
      <c r="K160" s="3240">
        <v>0.63</v>
      </c>
      <c r="L160" s="3240">
        <v>0.63</v>
      </c>
      <c r="M160" s="3240">
        <v>0.63</v>
      </c>
      <c r="N160" s="3240">
        <v>0.63</v>
      </c>
      <c r="O160" s="1674"/>
    </row>
    <row r="161" spans="2:15" ht="15.75" x14ac:dyDescent="0.25">
      <c r="B161" s="1675"/>
      <c r="C161" s="1682"/>
      <c r="D161" s="1682" t="s">
        <v>58</v>
      </c>
      <c r="E161" s="1682" t="str">
        <f>INDEX(Modulos[Modulos], MATCH($D161, Modulos[Código], 0))</f>
        <v>Mareomotriz y Undimotriz</v>
      </c>
      <c r="F161" s="3243"/>
      <c r="G161" s="3241">
        <v>0.4</v>
      </c>
      <c r="H161" s="3241">
        <v>0.4</v>
      </c>
      <c r="I161" s="3241">
        <v>0.4</v>
      </c>
      <c r="J161" s="3241">
        <v>0.4</v>
      </c>
      <c r="K161" s="3241">
        <v>0.4</v>
      </c>
      <c r="L161" s="3241">
        <v>0.4</v>
      </c>
      <c r="M161" s="3241">
        <v>0.4</v>
      </c>
      <c r="N161" s="3241">
        <v>0.4</v>
      </c>
      <c r="O161" s="1674"/>
    </row>
    <row r="162" spans="2:15" ht="15.75" x14ac:dyDescent="0.25">
      <c r="B162" s="1675"/>
      <c r="C162" s="1682"/>
      <c r="D162" s="1682" t="s">
        <v>60</v>
      </c>
      <c r="E162" s="1682" t="str">
        <f>INDEX(Modulos[Modulos], MATCH($D162, Modulos[Código], 0))</f>
        <v>Geotérmica</v>
      </c>
      <c r="F162" s="3243"/>
      <c r="G162" s="3241">
        <v>0.8</v>
      </c>
      <c r="H162" s="3241">
        <v>0.8</v>
      </c>
      <c r="I162" s="3241">
        <v>0.8</v>
      </c>
      <c r="J162" s="3241">
        <v>0.8</v>
      </c>
      <c r="K162" s="3241">
        <v>0.8</v>
      </c>
      <c r="L162" s="3241">
        <v>0.8</v>
      </c>
      <c r="M162" s="3241">
        <v>0.8</v>
      </c>
      <c r="N162" s="3241">
        <v>0.8</v>
      </c>
      <c r="O162" s="1674"/>
    </row>
    <row r="163" spans="2:15" ht="15.75" x14ac:dyDescent="0.25">
      <c r="B163" s="1675"/>
      <c r="C163" s="1682"/>
      <c r="D163" s="1682" t="s">
        <v>311</v>
      </c>
      <c r="E163" s="1682" t="str">
        <f>INDEX(Modulos[Modulos], MATCH($D163, Modulos[Código], 0))</f>
        <v>Plantas Solares</v>
      </c>
      <c r="F163" s="3243" t="s">
        <v>2231</v>
      </c>
      <c r="G163" s="3240">
        <v>0.31</v>
      </c>
      <c r="H163" s="3240">
        <v>0.31</v>
      </c>
      <c r="I163" s="3240">
        <v>0.31</v>
      </c>
      <c r="J163" s="3240">
        <v>0.31</v>
      </c>
      <c r="K163" s="3240">
        <v>0.31</v>
      </c>
      <c r="L163" s="3240">
        <v>0.31</v>
      </c>
      <c r="M163" s="3240">
        <v>0.31</v>
      </c>
      <c r="N163" s="3240">
        <v>0.31</v>
      </c>
      <c r="O163" s="1674"/>
    </row>
    <row r="164" spans="2:15" ht="15.75" x14ac:dyDescent="0.25">
      <c r="B164" s="1675"/>
      <c r="C164" s="1682"/>
      <c r="D164" s="1682" t="s">
        <v>62</v>
      </c>
      <c r="E164" s="1682" t="str">
        <f>INDEX(Modulos[Modulos], MATCH($D164, Modulos[Código], 0))</f>
        <v>Solar de menor escala (GD)</v>
      </c>
      <c r="F164" s="3243"/>
      <c r="G164" s="3241">
        <v>0.18099999999999999</v>
      </c>
      <c r="H164" s="3241">
        <v>0.18099999999999999</v>
      </c>
      <c r="I164" s="3241">
        <v>0.18099999999999999</v>
      </c>
      <c r="J164" s="3241">
        <v>0.18099999999999999</v>
      </c>
      <c r="K164" s="3241">
        <v>0.18099999999999999</v>
      </c>
      <c r="L164" s="3241">
        <v>0.18099999999999999</v>
      </c>
      <c r="M164" s="3241">
        <v>0.18099999999999999</v>
      </c>
      <c r="N164" s="3241">
        <v>0.18099999999999999</v>
      </c>
      <c r="O164" s="1674"/>
    </row>
    <row r="165" spans="2:15" ht="15.75" x14ac:dyDescent="0.25">
      <c r="B165" s="1675"/>
      <c r="C165" s="1682"/>
      <c r="D165" s="3244" t="s">
        <v>66</v>
      </c>
      <c r="E165" s="3244" t="str">
        <f>INDEX(Modulos[Modulos], MATCH($D165, Modulos[Código], 0))</f>
        <v>Eólico de menor escala (GD)</v>
      </c>
      <c r="F165" s="3245"/>
      <c r="G165" s="3246">
        <v>0.24</v>
      </c>
      <c r="H165" s="3246">
        <v>0.24</v>
      </c>
      <c r="I165" s="3246">
        <v>0.24</v>
      </c>
      <c r="J165" s="3246">
        <v>0.24</v>
      </c>
      <c r="K165" s="3246">
        <v>0.24</v>
      </c>
      <c r="L165" s="3246">
        <v>0.24</v>
      </c>
      <c r="M165" s="3246">
        <v>0.24</v>
      </c>
      <c r="N165" s="3246">
        <v>0.24</v>
      </c>
      <c r="O165" s="1674"/>
    </row>
    <row r="166" spans="2:15" ht="15.75" x14ac:dyDescent="0.25">
      <c r="B166" s="1675"/>
      <c r="C166" s="1682"/>
      <c r="D166" s="1682"/>
      <c r="E166" s="1682"/>
      <c r="F166" s="3240"/>
      <c r="G166" s="3240"/>
      <c r="H166" s="3240"/>
      <c r="I166" s="3240"/>
      <c r="J166" s="3240"/>
      <c r="K166" s="3240"/>
      <c r="L166" s="3240"/>
      <c r="M166" s="3240"/>
      <c r="N166" s="3240"/>
      <c r="O166" s="1674"/>
    </row>
    <row r="167" spans="2:15" ht="15.75" x14ac:dyDescent="0.25">
      <c r="B167" s="1675"/>
      <c r="C167" s="1682"/>
      <c r="D167" s="3244" t="s">
        <v>1952</v>
      </c>
      <c r="E167" s="3244"/>
      <c r="F167" s="3240"/>
      <c r="G167" s="3240"/>
      <c r="H167" s="3240"/>
      <c r="I167" s="3240"/>
      <c r="J167" s="3240"/>
      <c r="K167" s="3240"/>
      <c r="L167" s="3240"/>
      <c r="M167" s="3240"/>
      <c r="N167" s="3240"/>
      <c r="O167" s="1674"/>
    </row>
    <row r="168" spans="2:15" ht="15.75" x14ac:dyDescent="0.25">
      <c r="B168" s="1675"/>
      <c r="C168" s="1682"/>
      <c r="D168" s="1684">
        <v>0.89749999999999996</v>
      </c>
      <c r="E168" s="1685" t="s">
        <v>652</v>
      </c>
      <c r="F168" s="3240"/>
      <c r="G168" s="3240"/>
      <c r="H168" s="3240"/>
      <c r="I168" s="3240"/>
      <c r="J168" s="3240"/>
      <c r="K168" s="3240"/>
      <c r="L168" s="3240"/>
      <c r="M168" s="3240"/>
      <c r="N168" s="3240"/>
      <c r="O168" s="1674"/>
    </row>
    <row r="169" spans="2:15" ht="15.75" x14ac:dyDescent="0.25">
      <c r="B169" s="1675"/>
      <c r="C169" s="1682"/>
      <c r="D169" s="3370">
        <v>8.9749999999999997E-4</v>
      </c>
      <c r="E169" s="3371" t="s">
        <v>653</v>
      </c>
      <c r="F169" s="3240"/>
      <c r="G169" s="3240"/>
      <c r="H169" s="3240"/>
      <c r="I169" s="3240"/>
      <c r="J169" s="3240"/>
      <c r="K169" s="3240"/>
      <c r="L169" s="3240"/>
      <c r="M169" s="3240"/>
      <c r="N169" s="3240"/>
      <c r="O169" s="1674"/>
    </row>
    <row r="170" spans="2:15" ht="15.75" x14ac:dyDescent="0.25">
      <c r="B170" s="1675"/>
      <c r="C170" s="1682"/>
      <c r="D170" s="1682"/>
      <c r="E170" s="1682"/>
      <c r="F170" s="3240"/>
      <c r="G170" s="3240"/>
      <c r="H170" s="3240"/>
      <c r="I170" s="3240"/>
      <c r="J170" s="3240"/>
      <c r="K170" s="3240"/>
      <c r="L170" s="3240"/>
      <c r="M170" s="3240"/>
      <c r="N170" s="3240"/>
      <c r="O170" s="1674"/>
    </row>
    <row r="171" spans="2:15" ht="15.75" x14ac:dyDescent="0.25">
      <c r="B171" s="1675"/>
      <c r="C171" s="1682"/>
      <c r="D171" s="3244" t="s">
        <v>1953</v>
      </c>
      <c r="E171" s="3244"/>
      <c r="F171" s="3240"/>
      <c r="G171" s="3240"/>
      <c r="H171" s="3240"/>
      <c r="I171" s="3240"/>
      <c r="J171" s="3240"/>
      <c r="K171" s="3240"/>
      <c r="L171" s="3240"/>
      <c r="M171" s="3240"/>
      <c r="N171" s="3240"/>
      <c r="O171" s="1674"/>
    </row>
    <row r="172" spans="2:15" ht="15.75" x14ac:dyDescent="0.25">
      <c r="B172" s="1675"/>
      <c r="C172" s="1682"/>
      <c r="D172" s="1684">
        <v>10664.6</v>
      </c>
      <c r="E172" s="1685" t="s">
        <v>654</v>
      </c>
      <c r="F172" s="3240"/>
      <c r="G172" s="3240"/>
      <c r="H172" s="3240"/>
      <c r="I172" s="3240"/>
      <c r="J172" s="3240"/>
      <c r="K172" s="3240"/>
      <c r="L172" s="3240"/>
      <c r="M172" s="3240"/>
      <c r="N172" s="3240"/>
      <c r="O172" s="1674"/>
    </row>
    <row r="173" spans="2:15" ht="15.75" x14ac:dyDescent="0.25">
      <c r="B173" s="1675"/>
      <c r="C173" s="1682"/>
      <c r="D173" s="3370">
        <v>1.06646E-2</v>
      </c>
      <c r="E173" s="3371" t="s">
        <v>655</v>
      </c>
      <c r="F173" s="3240"/>
      <c r="G173" s="3240"/>
      <c r="H173" s="3240"/>
      <c r="I173" s="3240"/>
      <c r="J173" s="3240"/>
      <c r="K173" s="3240"/>
      <c r="L173" s="3240"/>
      <c r="M173" s="3240"/>
      <c r="N173" s="3240"/>
      <c r="O173" s="1674"/>
    </row>
    <row r="174" spans="2:15" ht="15.75" x14ac:dyDescent="0.25">
      <c r="B174" s="1675"/>
      <c r="C174" s="1682"/>
      <c r="D174" s="1682"/>
      <c r="E174" s="1682"/>
      <c r="F174" s="3240"/>
      <c r="G174" s="3240"/>
      <c r="H174" s="3240"/>
      <c r="I174" s="3240"/>
      <c r="J174" s="3240"/>
      <c r="K174" s="3240"/>
      <c r="L174" s="3240"/>
      <c r="M174" s="3240"/>
      <c r="N174" s="3240"/>
      <c r="O174" s="1674"/>
    </row>
    <row r="175" spans="2:15" ht="15.75" x14ac:dyDescent="0.25">
      <c r="B175" s="1675"/>
      <c r="C175" s="1682"/>
      <c r="D175" s="1682"/>
      <c r="E175" s="1682"/>
      <c r="F175" s="3240"/>
      <c r="G175" s="3240"/>
      <c r="H175" s="3240"/>
      <c r="I175" s="3240"/>
      <c r="J175" s="3240"/>
      <c r="K175" s="3240"/>
      <c r="L175" s="3240"/>
      <c r="M175" s="3240"/>
      <c r="N175" s="3240"/>
      <c r="O175" s="1674"/>
    </row>
    <row r="176" spans="2:15" ht="15.75" x14ac:dyDescent="0.25">
      <c r="B176" s="1675"/>
      <c r="C176" s="1682"/>
      <c r="D176" s="1682"/>
      <c r="E176" s="1682"/>
      <c r="F176" s="3240"/>
      <c r="G176" s="3240"/>
      <c r="H176" s="3240"/>
      <c r="I176" s="3240"/>
      <c r="J176" s="3240"/>
      <c r="K176" s="3240"/>
      <c r="L176" s="3240"/>
      <c r="M176" s="3240"/>
      <c r="N176" s="3240"/>
      <c r="O176" s="1674"/>
    </row>
    <row r="177" spans="2:15" ht="15.75" x14ac:dyDescent="0.25">
      <c r="B177" s="1675"/>
      <c r="C177" s="1682"/>
      <c r="D177" s="1682"/>
      <c r="E177" s="1682"/>
      <c r="F177" s="3240"/>
      <c r="G177" s="3240"/>
      <c r="H177" s="3240"/>
      <c r="I177" s="3240"/>
      <c r="J177" s="3240"/>
      <c r="K177" s="3240"/>
      <c r="L177" s="3240"/>
      <c r="M177" s="3240"/>
      <c r="N177" s="3240"/>
      <c r="O177" s="1674"/>
    </row>
    <row r="178" spans="2:15" ht="15.75" x14ac:dyDescent="0.25">
      <c r="B178" s="1675"/>
      <c r="C178" s="1682"/>
      <c r="D178" s="1682"/>
      <c r="E178" s="1682"/>
      <c r="F178" s="3240"/>
      <c r="G178" s="3240"/>
      <c r="H178" s="3240"/>
      <c r="I178" s="3240"/>
      <c r="J178" s="3240"/>
      <c r="K178" s="3240"/>
      <c r="L178" s="3240"/>
      <c r="M178" s="3240"/>
      <c r="N178" s="3240"/>
      <c r="O178" s="1674"/>
    </row>
    <row r="179" spans="2:15" ht="15.75" x14ac:dyDescent="0.25">
      <c r="B179" s="1675"/>
      <c r="C179" s="1682"/>
      <c r="D179" s="1682"/>
      <c r="E179" s="1682"/>
      <c r="F179" s="3240"/>
      <c r="G179" s="3240"/>
      <c r="H179" s="3240"/>
      <c r="I179" s="3240"/>
      <c r="J179" s="3240"/>
      <c r="K179" s="3240"/>
      <c r="L179" s="3240"/>
      <c r="M179" s="3240"/>
      <c r="N179" s="3240"/>
      <c r="O179" s="1674"/>
    </row>
    <row r="180" spans="2:15" ht="15.75" x14ac:dyDescent="0.25">
      <c r="B180" s="1675"/>
      <c r="C180" s="1682"/>
      <c r="D180" s="1682"/>
      <c r="E180" s="1682"/>
      <c r="F180" s="3240"/>
      <c r="G180" s="3240"/>
      <c r="H180" s="3240"/>
      <c r="I180" s="3240"/>
      <c r="J180" s="3240"/>
      <c r="K180" s="3240"/>
      <c r="L180" s="3240"/>
      <c r="M180" s="3240"/>
      <c r="N180" s="3240"/>
      <c r="O180" s="1674"/>
    </row>
    <row r="181" spans="2:15" ht="15.75" x14ac:dyDescent="0.25">
      <c r="B181" s="1675"/>
      <c r="C181" s="1682"/>
      <c r="D181" s="1682"/>
      <c r="E181" s="1682"/>
      <c r="F181" s="3240"/>
      <c r="G181" s="3240"/>
      <c r="H181" s="3240"/>
      <c r="I181" s="3240"/>
      <c r="J181" s="3240"/>
      <c r="K181" s="3240"/>
      <c r="L181" s="3240"/>
      <c r="M181" s="3240"/>
      <c r="N181" s="3240"/>
      <c r="O181" s="1674"/>
    </row>
    <row r="182" spans="2:15" ht="15.75" x14ac:dyDescent="0.25">
      <c r="B182" s="1675"/>
      <c r="C182" s="1682"/>
      <c r="D182" s="1682"/>
      <c r="E182" s="1682"/>
      <c r="F182" s="3240"/>
      <c r="G182" s="3240"/>
      <c r="H182" s="3240"/>
      <c r="I182" s="3240"/>
      <c r="J182" s="3240"/>
      <c r="K182" s="3240"/>
      <c r="L182" s="3240"/>
      <c r="M182" s="3240"/>
      <c r="N182" s="3240"/>
      <c r="O182" s="1674"/>
    </row>
    <row r="183" spans="2:15" ht="15.75" x14ac:dyDescent="0.25">
      <c r="B183" s="1675"/>
      <c r="C183" s="1682"/>
      <c r="D183" s="1682"/>
      <c r="E183" s="1682"/>
      <c r="F183" s="3240"/>
      <c r="G183" s="3240"/>
      <c r="H183" s="3240"/>
      <c r="I183" s="3240"/>
      <c r="J183" s="3240"/>
      <c r="K183" s="3240"/>
      <c r="L183" s="3240"/>
      <c r="M183" s="3240"/>
      <c r="N183" s="3240"/>
      <c r="O183" s="1674"/>
    </row>
    <row r="184" spans="2:15" ht="15.75" x14ac:dyDescent="0.25">
      <c r="B184" s="1675"/>
      <c r="C184" s="3187"/>
      <c r="D184" s="3187"/>
      <c r="E184" s="3237"/>
      <c r="F184" s="3238"/>
      <c r="G184" s="3239"/>
      <c r="H184" s="3239"/>
      <c r="I184" s="3239"/>
      <c r="J184" s="3239"/>
      <c r="K184" s="3239"/>
      <c r="L184" s="3239"/>
      <c r="M184" s="3239"/>
      <c r="N184" s="3239"/>
      <c r="O184" s="1674"/>
    </row>
    <row r="185" spans="2:15" ht="15.75" x14ac:dyDescent="0.25">
      <c r="B185" s="1675"/>
      <c r="C185" s="3187"/>
      <c r="D185" s="3187"/>
      <c r="E185" s="3237"/>
      <c r="F185" s="3238"/>
      <c r="G185" s="3239"/>
      <c r="H185" s="3239"/>
      <c r="I185" s="3239"/>
      <c r="J185" s="3239"/>
      <c r="K185" s="3239"/>
      <c r="L185" s="3239"/>
      <c r="M185" s="3239"/>
      <c r="N185" s="3239"/>
      <c r="O185" s="1674"/>
    </row>
    <row r="186" spans="2:15" ht="15.75" x14ac:dyDescent="0.25">
      <c r="B186" s="1675"/>
      <c r="C186" s="3187"/>
      <c r="D186" s="3187"/>
      <c r="E186" s="3237"/>
      <c r="F186" s="3238"/>
      <c r="G186" s="3239"/>
      <c r="H186" s="3239"/>
      <c r="I186" s="3239"/>
      <c r="J186" s="3239"/>
      <c r="K186" s="3239"/>
      <c r="L186" s="3239"/>
      <c r="M186" s="3239"/>
      <c r="N186" s="3239"/>
      <c r="O186" s="1674"/>
    </row>
    <row r="187" spans="2:15" x14ac:dyDescent="0.2">
      <c r="B187" s="1670"/>
      <c r="C187" s="1672"/>
      <c r="D187" s="1672"/>
      <c r="E187" s="1672"/>
      <c r="F187" s="1672"/>
      <c r="G187" s="1672"/>
      <c r="H187" s="1672"/>
      <c r="I187" s="1672"/>
      <c r="J187" s="1672"/>
      <c r="K187" s="1672"/>
      <c r="L187" s="1672"/>
      <c r="M187" s="1672"/>
      <c r="N187" s="1672"/>
      <c r="O187" s="1674"/>
    </row>
    <row r="189" spans="2:15" x14ac:dyDescent="0.2">
      <c r="D189" s="3179" t="s">
        <v>2224</v>
      </c>
      <c r="E189" s="3179" t="s">
        <v>242</v>
      </c>
      <c r="F189" s="3179" t="s">
        <v>8</v>
      </c>
    </row>
    <row r="190" spans="2:15" x14ac:dyDescent="0.2">
      <c r="D190" s="1879" t="s">
        <v>208</v>
      </c>
      <c r="E190" s="3180" t="str">
        <f>INDEX(Modulos[Modulos], MATCH($D190, Modulos[Código], 0))</f>
        <v>Plantas Eólicas</v>
      </c>
      <c r="F190" s="1879"/>
    </row>
    <row r="191" spans="2:15" x14ac:dyDescent="0.2">
      <c r="D191" s="1879" t="s">
        <v>58</v>
      </c>
      <c r="E191" s="3180" t="str">
        <f>INDEX(Modulos[Modulos], MATCH($D191, Modulos[Código], 0))</f>
        <v>Mareomotriz y Undimotriz</v>
      </c>
      <c r="F191" s="1879"/>
    </row>
    <row r="192" spans="2:15" x14ac:dyDescent="0.2">
      <c r="D192" s="3181" t="s">
        <v>311</v>
      </c>
      <c r="E192" s="3180" t="str">
        <f>INDEX(Modulos[Modulos], MATCH($D192, Modulos[Código], 0))</f>
        <v>Plantas Solares</v>
      </c>
      <c r="F192" s="1879" t="s">
        <v>2228</v>
      </c>
    </row>
    <row r="193" spans="4:6" x14ac:dyDescent="0.2">
      <c r="D193" s="3181" t="s">
        <v>62</v>
      </c>
      <c r="E193" s="3180" t="str">
        <f>INDEX(Modulos[Modulos], MATCH($D193, Modulos[Código], 0))</f>
        <v>Solar de menor escala (GD)</v>
      </c>
      <c r="F193" s="1879"/>
    </row>
    <row r="194" spans="4:6" x14ac:dyDescent="0.2">
      <c r="D194" s="3182" t="s">
        <v>66</v>
      </c>
      <c r="E194" s="3184" t="str">
        <f>INDEX(Modulos[Modulos], MATCH($D194, Modulos[Código], 0))</f>
        <v>Eólico de menor escala (GD)</v>
      </c>
      <c r="F194" s="3185"/>
    </row>
  </sheetData>
  <mergeCells count="3">
    <mergeCell ref="H9:J9"/>
    <mergeCell ref="K9:M9"/>
    <mergeCell ref="N9:P9"/>
  </mergeCells>
  <pageMargins left="0.7" right="0.7" top="0.75" bottom="0.75" header="0.3" footer="0.3"/>
  <pageSetup paperSize="9" orientation="portrait" r:id="rId1"/>
  <ignoredErrors>
    <ignoredError sqref="I41:J42" formulaRange="1"/>
    <ignoredError sqref="G151:N151" numberStoredAsText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autoPageBreaks="0"/>
  </sheetPr>
  <dimension ref="A2:AM198"/>
  <sheetViews>
    <sheetView zoomScale="75" zoomScaleNormal="75" workbookViewId="0">
      <selection activeCell="H33" sqref="H33"/>
    </sheetView>
  </sheetViews>
  <sheetFormatPr baseColWidth="10" defaultColWidth="8.85546875" defaultRowHeight="12.75" outlineLevelRow="1" x14ac:dyDescent="0.2"/>
  <cols>
    <col min="2" max="2" width="10.28515625" customWidth="1"/>
    <col min="3" max="3" width="12.42578125" customWidth="1"/>
    <col min="4" max="4" width="18.7109375" customWidth="1"/>
    <col min="5" max="5" width="15.140625" bestFit="1" customWidth="1"/>
    <col min="6" max="6" width="19.85546875" customWidth="1"/>
    <col min="7" max="14" width="15.140625" customWidth="1"/>
    <col min="15" max="43" width="11.85546875" customWidth="1"/>
  </cols>
  <sheetData>
    <row r="2" spans="2:15" ht="18" x14ac:dyDescent="0.25">
      <c r="B2" s="55" t="s">
        <v>119</v>
      </c>
    </row>
    <row r="3" spans="2:15" ht="18" x14ac:dyDescent="0.25">
      <c r="B3" s="55"/>
    </row>
    <row r="4" spans="2:15" x14ac:dyDescent="0.2">
      <c r="B4" s="120" t="s">
        <v>143</v>
      </c>
    </row>
    <row r="5" spans="2:15" ht="15.75" x14ac:dyDescent="0.2">
      <c r="B5" s="1664" t="s">
        <v>835</v>
      </c>
      <c r="C5" s="1665"/>
      <c r="D5" s="1665"/>
      <c r="E5" s="1665"/>
      <c r="F5" s="1665"/>
      <c r="G5" s="1665"/>
      <c r="H5" s="1665"/>
      <c r="I5" s="1665"/>
      <c r="J5" s="1665"/>
      <c r="K5" s="1665"/>
      <c r="L5" s="1665"/>
      <c r="M5" s="1665"/>
      <c r="N5" s="1665"/>
      <c r="O5" s="1666"/>
    </row>
    <row r="6" spans="2:15" x14ac:dyDescent="0.2">
      <c r="B6" s="1667"/>
      <c r="C6" s="1668"/>
      <c r="D6" s="1668"/>
      <c r="E6" s="1668"/>
      <c r="F6" s="1668"/>
      <c r="G6" s="1668"/>
      <c r="H6" s="1668"/>
      <c r="I6" s="1668"/>
      <c r="J6" s="1668"/>
      <c r="K6" s="1668"/>
      <c r="L6" s="1668"/>
      <c r="M6" s="1668"/>
      <c r="N6" s="1668"/>
      <c r="O6" s="1669"/>
    </row>
    <row r="7" spans="2:15" x14ac:dyDescent="0.2">
      <c r="B7" s="1670"/>
      <c r="C7" s="1672"/>
      <c r="D7" s="1672"/>
      <c r="E7" s="1672"/>
      <c r="F7" s="1672"/>
      <c r="G7" s="1672"/>
      <c r="H7" s="1672"/>
      <c r="I7" s="1672"/>
      <c r="J7" s="1672"/>
      <c r="K7" s="1672"/>
      <c r="L7" s="1672"/>
      <c r="M7" s="1672"/>
      <c r="N7" s="1672"/>
      <c r="O7" s="1674"/>
    </row>
    <row r="8" spans="2:15" x14ac:dyDescent="0.2">
      <c r="B8" s="1670"/>
      <c r="C8" s="1672"/>
      <c r="D8" s="1672"/>
      <c r="E8" s="1672"/>
      <c r="F8" s="1672"/>
      <c r="G8" s="1672"/>
      <c r="H8" s="1672"/>
      <c r="I8" s="1672"/>
      <c r="J8" s="1672"/>
      <c r="K8" s="1672"/>
      <c r="L8" s="1672"/>
      <c r="M8" s="1672"/>
      <c r="N8" s="1672"/>
      <c r="O8" s="1674"/>
    </row>
    <row r="9" spans="2:15" x14ac:dyDescent="0.2">
      <c r="B9" s="1670"/>
      <c r="C9" s="1672"/>
      <c r="D9" s="1672"/>
      <c r="E9" s="1672"/>
      <c r="F9" s="1672"/>
      <c r="G9" s="1672"/>
      <c r="H9" s="1672"/>
      <c r="I9" s="1672"/>
      <c r="J9" s="1672"/>
      <c r="K9" s="1672"/>
      <c r="L9" s="1672"/>
      <c r="M9" s="1672"/>
      <c r="N9" s="1672"/>
      <c r="O9" s="1674"/>
    </row>
    <row r="10" spans="2:15" x14ac:dyDescent="0.2">
      <c r="B10" s="1670"/>
      <c r="C10" s="1671" t="s">
        <v>24</v>
      </c>
      <c r="D10" s="1672"/>
      <c r="E10" s="1672"/>
      <c r="F10" s="1672"/>
      <c r="G10" s="1673"/>
      <c r="H10" s="1672"/>
      <c r="I10" s="1672"/>
      <c r="J10" s="1672"/>
      <c r="K10" s="1672"/>
      <c r="L10" s="1672"/>
      <c r="M10" s="1672"/>
      <c r="N10" s="1673" t="s">
        <v>850</v>
      </c>
      <c r="O10" s="1674"/>
    </row>
    <row r="11" spans="2:15" ht="15.75" x14ac:dyDescent="0.25">
      <c r="B11" s="1675"/>
      <c r="C11" s="1676"/>
      <c r="D11" s="1676" t="s">
        <v>15</v>
      </c>
      <c r="E11" s="1676" t="s">
        <v>8</v>
      </c>
      <c r="F11" s="1677"/>
      <c r="G11" s="1677" t="s">
        <v>16</v>
      </c>
      <c r="H11" s="1677" t="s">
        <v>17</v>
      </c>
      <c r="I11" s="1677" t="s">
        <v>18</v>
      </c>
      <c r="J11" s="1677" t="s">
        <v>19</v>
      </c>
      <c r="K11" s="1677" t="s">
        <v>20</v>
      </c>
      <c r="L11" s="1677" t="s">
        <v>21</v>
      </c>
      <c r="M11" s="1677" t="s">
        <v>22</v>
      </c>
      <c r="N11" s="1677" t="s">
        <v>23</v>
      </c>
      <c r="O11" s="1674"/>
    </row>
    <row r="12" spans="2:15" ht="15.75" x14ac:dyDescent="0.25">
      <c r="B12" s="1675"/>
      <c r="C12" s="1678"/>
      <c r="D12" s="1678" t="s">
        <v>24</v>
      </c>
      <c r="E12" s="1679"/>
      <c r="F12" s="1680"/>
      <c r="G12" s="1681">
        <f>A.a!G87</f>
        <v>18006407</v>
      </c>
      <c r="H12" s="1681">
        <f>A.a!H87</f>
        <v>18896684</v>
      </c>
      <c r="I12" s="1681">
        <f>A.a!I87</f>
        <v>19453564.7830109</v>
      </c>
      <c r="J12" s="1681">
        <f>A.a!J87</f>
        <v>19921453.997825053</v>
      </c>
      <c r="K12" s="1681">
        <f>A.a!K87</f>
        <v>20293113.824288625</v>
      </c>
      <c r="L12" s="1681">
        <f>A.a!L87</f>
        <v>20562681.303090554</v>
      </c>
      <c r="M12" s="1681">
        <f>A.a!M87</f>
        <v>20725821.854927037</v>
      </c>
      <c r="N12" s="1681">
        <f>A.a!N87</f>
        <v>20779845.005874563</v>
      </c>
      <c r="O12" s="1674"/>
    </row>
    <row r="13" spans="2:15" x14ac:dyDescent="0.2">
      <c r="B13" s="1670"/>
      <c r="C13" s="1672"/>
      <c r="D13" s="1672"/>
      <c r="E13" s="1672"/>
      <c r="F13" s="1672"/>
      <c r="G13" s="1672"/>
      <c r="H13" s="1672"/>
      <c r="I13" s="1672"/>
      <c r="J13" s="1672"/>
      <c r="K13" s="1672"/>
      <c r="L13" s="1672"/>
      <c r="M13" s="1672"/>
      <c r="N13" s="1672"/>
      <c r="O13" s="1674"/>
    </row>
    <row r="14" spans="2:15" x14ac:dyDescent="0.2">
      <c r="B14" s="1670"/>
      <c r="C14" s="1671" t="s">
        <v>138</v>
      </c>
      <c r="D14" s="1672"/>
      <c r="E14" s="1672"/>
      <c r="F14" s="1672"/>
      <c r="G14" s="1672"/>
      <c r="H14" s="1672"/>
      <c r="I14" s="1672"/>
      <c r="J14" s="1672"/>
      <c r="K14" s="1672"/>
      <c r="L14" s="1672"/>
      <c r="M14" s="1672"/>
      <c r="N14" s="1673" t="s">
        <v>2211</v>
      </c>
      <c r="O14" s="1674"/>
    </row>
    <row r="15" spans="2:15" ht="15.75" x14ac:dyDescent="0.25">
      <c r="B15" s="1675"/>
      <c r="C15" s="1676"/>
      <c r="D15" s="1676" t="s">
        <v>15</v>
      </c>
      <c r="E15" s="1676" t="s">
        <v>8</v>
      </c>
      <c r="F15" s="1677"/>
      <c r="G15" s="1677" t="s">
        <v>16</v>
      </c>
      <c r="H15" s="1677" t="s">
        <v>17</v>
      </c>
      <c r="I15" s="1677" t="s">
        <v>18</v>
      </c>
      <c r="J15" s="1677" t="s">
        <v>19</v>
      </c>
      <c r="K15" s="1677" t="s">
        <v>20</v>
      </c>
      <c r="L15" s="1677" t="s">
        <v>21</v>
      </c>
      <c r="M15" s="1677" t="s">
        <v>22</v>
      </c>
      <c r="N15" s="1677" t="s">
        <v>23</v>
      </c>
      <c r="O15" s="1674"/>
    </row>
    <row r="16" spans="2:15" ht="15.75" x14ac:dyDescent="0.25">
      <c r="B16" s="1675"/>
      <c r="C16" s="1682"/>
      <c r="D16" s="1683" t="s">
        <v>480</v>
      </c>
      <c r="E16" s="1684"/>
      <c r="F16" s="1685"/>
      <c r="G16" s="1686">
        <f>A.a!G91</f>
        <v>4607471.2188740289</v>
      </c>
      <c r="H16" s="1686">
        <f>A.a!H91</f>
        <v>4865812.8875058061</v>
      </c>
      <c r="I16" s="1686">
        <f>A.a!I91</f>
        <v>5121968.6743600406</v>
      </c>
      <c r="J16" s="1686">
        <f>A.a!J91</f>
        <v>5357139.7871489236</v>
      </c>
      <c r="K16" s="1686">
        <f>A.a!K91</f>
        <v>5606867.7813147483</v>
      </c>
      <c r="L16" s="1686">
        <f>A.a!L91</f>
        <v>5814493.9718616605</v>
      </c>
      <c r="M16" s="1686">
        <f>A.a!M91</f>
        <v>5977138.872618949</v>
      </c>
      <c r="N16" s="1686">
        <f>A.a!N91</f>
        <v>6088300.1790433601</v>
      </c>
      <c r="O16" s="1674"/>
    </row>
    <row r="17" spans="2:15" ht="15.75" x14ac:dyDescent="0.25">
      <c r="B17" s="1675"/>
      <c r="C17" s="1682"/>
      <c r="D17" s="1683" t="s">
        <v>481</v>
      </c>
      <c r="E17" s="1684"/>
      <c r="F17" s="1685"/>
      <c r="G17" s="1686">
        <f>A.a!G92</f>
        <v>813083.15627188794</v>
      </c>
      <c r="H17" s="1686">
        <f>A.a!H92</f>
        <v>1068105.2679890795</v>
      </c>
      <c r="I17" s="1686">
        <f>A.a!I92</f>
        <v>1280492.1685900101</v>
      </c>
      <c r="J17" s="1686">
        <f>A.a!J92</f>
        <v>1510988.1450932864</v>
      </c>
      <c r="K17" s="1686">
        <f>A.a!K92</f>
        <v>1674778.6879251841</v>
      </c>
      <c r="L17" s="1686">
        <f>A.a!L92</f>
        <v>1836155.9911142085</v>
      </c>
      <c r="M17" s="1686">
        <f>A.a!M92</f>
        <v>1992379.6242063157</v>
      </c>
      <c r="N17" s="1686">
        <f>A.a!N92</f>
        <v>2139132.4953395594</v>
      </c>
      <c r="O17" s="1674"/>
    </row>
    <row r="18" spans="2:15" ht="15.75" x14ac:dyDescent="0.25">
      <c r="B18" s="1675"/>
      <c r="C18" s="1678"/>
      <c r="D18" s="1678" t="s">
        <v>482</v>
      </c>
      <c r="E18" s="1679"/>
      <c r="F18" s="1680"/>
      <c r="G18" s="1681">
        <f>A.a!G93</f>
        <v>5420554.3751459168</v>
      </c>
      <c r="H18" s="1681">
        <f>A.a!H93</f>
        <v>5933918.1554948855</v>
      </c>
      <c r="I18" s="1681">
        <f>A.a!I93</f>
        <v>6402460.8429500507</v>
      </c>
      <c r="J18" s="1681">
        <f>A.a!J93</f>
        <v>6868127.93224221</v>
      </c>
      <c r="K18" s="1681">
        <f>A.a!K93</f>
        <v>7281646.4692399325</v>
      </c>
      <c r="L18" s="1681">
        <f>A.a!L93</f>
        <v>7650649.962975869</v>
      </c>
      <c r="M18" s="1681">
        <f>A.a!M93</f>
        <v>7969518.4968252648</v>
      </c>
      <c r="N18" s="1681">
        <f>A.a!N93</f>
        <v>8227432.6743829194</v>
      </c>
      <c r="O18" s="1674"/>
    </row>
    <row r="19" spans="2:15" x14ac:dyDescent="0.2">
      <c r="B19" s="1670"/>
      <c r="C19" s="1672"/>
      <c r="D19" s="1672"/>
      <c r="E19" s="1672"/>
      <c r="F19" s="1672"/>
      <c r="G19" s="1672"/>
      <c r="H19" s="1672"/>
      <c r="I19" s="1672"/>
      <c r="J19" s="1672"/>
      <c r="K19" s="1672"/>
      <c r="L19" s="1672"/>
      <c r="M19" s="1672"/>
      <c r="N19" s="1672"/>
      <c r="O19" s="1674"/>
    </row>
    <row r="20" spans="2:15" x14ac:dyDescent="0.2">
      <c r="B20" s="1670"/>
      <c r="C20" s="1671" t="s">
        <v>117</v>
      </c>
      <c r="D20" s="1672"/>
      <c r="E20" s="1672"/>
      <c r="F20" s="1672"/>
      <c r="G20" s="1672"/>
      <c r="H20" s="1672"/>
      <c r="I20" s="1672"/>
      <c r="J20" s="1672"/>
      <c r="K20" s="1672"/>
      <c r="L20" s="1672"/>
      <c r="M20" s="1672"/>
      <c r="N20" s="1673" t="s">
        <v>2195</v>
      </c>
      <c r="O20" s="1674"/>
    </row>
    <row r="21" spans="2:15" ht="15.75" x14ac:dyDescent="0.25">
      <c r="B21" s="1675"/>
      <c r="C21" s="1676"/>
      <c r="D21" s="1676" t="s">
        <v>15</v>
      </c>
      <c r="E21" s="1676" t="s">
        <v>8</v>
      </c>
      <c r="F21" s="1677"/>
      <c r="G21" s="1677" t="s">
        <v>16</v>
      </c>
      <c r="H21" s="1677" t="s">
        <v>17</v>
      </c>
      <c r="I21" s="1677" t="s">
        <v>18</v>
      </c>
      <c r="J21" s="1677" t="s">
        <v>19</v>
      </c>
      <c r="K21" s="1677" t="s">
        <v>20</v>
      </c>
      <c r="L21" s="1677" t="s">
        <v>21</v>
      </c>
      <c r="M21" s="1677" t="s">
        <v>22</v>
      </c>
      <c r="N21" s="1677" t="s">
        <v>23</v>
      </c>
      <c r="O21" s="1674"/>
    </row>
    <row r="22" spans="2:15" ht="15.75" x14ac:dyDescent="0.2">
      <c r="B22" s="1687"/>
      <c r="C22" s="1688"/>
      <c r="D22" s="1678" t="s">
        <v>117</v>
      </c>
      <c r="E22" s="1678"/>
      <c r="F22" s="1689"/>
      <c r="G22" s="1681">
        <f>A.a!G97</f>
        <v>138648398.80557212</v>
      </c>
      <c r="H22" s="1681">
        <f>A.a!H97</f>
        <v>156941071.94435257</v>
      </c>
      <c r="I22" s="1681">
        <f>A.a!I97</f>
        <v>185075953.52402893</v>
      </c>
      <c r="J22" s="1681">
        <f>A.a!J97</f>
        <v>217014325.17373651</v>
      </c>
      <c r="K22" s="1681">
        <f>A.a!K97</f>
        <v>250366651.2782681</v>
      </c>
      <c r="L22" s="1681">
        <f>A.a!L97</f>
        <v>284451648.63065863</v>
      </c>
      <c r="M22" s="1681">
        <f>A.a!M97</f>
        <v>319559337.36585468</v>
      </c>
      <c r="N22" s="1681">
        <f>A.a!N97</f>
        <v>354797473.50129086</v>
      </c>
      <c r="O22" s="1690"/>
    </row>
    <row r="23" spans="2:15" x14ac:dyDescent="0.2">
      <c r="B23" s="1670"/>
      <c r="C23" s="1672"/>
      <c r="D23" s="1672"/>
      <c r="E23" s="1672"/>
      <c r="F23" s="1672"/>
      <c r="G23" s="1672"/>
      <c r="H23" s="1672"/>
      <c r="I23" s="1672"/>
      <c r="J23" s="1672"/>
      <c r="K23" s="1672"/>
      <c r="L23" s="1672"/>
      <c r="M23" s="1672"/>
      <c r="N23" s="1672"/>
      <c r="O23" s="1674"/>
    </row>
    <row r="24" spans="2:15" x14ac:dyDescent="0.2">
      <c r="B24" s="1670"/>
      <c r="C24" s="1671" t="s">
        <v>25</v>
      </c>
      <c r="D24" s="1672"/>
      <c r="E24" s="1672"/>
      <c r="F24" s="1672"/>
      <c r="G24" s="1672"/>
      <c r="H24" s="1672"/>
      <c r="I24" s="1672"/>
      <c r="J24" s="1672"/>
      <c r="K24" s="1672"/>
      <c r="L24" s="1672"/>
      <c r="M24" s="1672"/>
      <c r="N24" s="1673" t="s">
        <v>2210</v>
      </c>
      <c r="O24" s="1674"/>
    </row>
    <row r="25" spans="2:15" x14ac:dyDescent="0.2">
      <c r="B25" s="1670"/>
      <c r="C25" s="1676"/>
      <c r="D25" s="1676" t="s">
        <v>15</v>
      </c>
      <c r="E25" s="1676" t="s">
        <v>8</v>
      </c>
      <c r="F25" s="1677"/>
      <c r="G25" s="1677" t="s">
        <v>16</v>
      </c>
      <c r="H25" s="1677" t="s">
        <v>17</v>
      </c>
      <c r="I25" s="1677" t="s">
        <v>18</v>
      </c>
      <c r="J25" s="1677" t="s">
        <v>19</v>
      </c>
      <c r="K25" s="1677" t="s">
        <v>20</v>
      </c>
      <c r="L25" s="1677" t="s">
        <v>21</v>
      </c>
      <c r="M25" s="1677" t="s">
        <v>22</v>
      </c>
      <c r="N25" s="1677" t="s">
        <v>23</v>
      </c>
      <c r="O25" s="1674"/>
    </row>
    <row r="26" spans="2:15" x14ac:dyDescent="0.2">
      <c r="B26" s="1670"/>
      <c r="C26" s="1688"/>
      <c r="D26" s="1678" t="s">
        <v>25</v>
      </c>
      <c r="E26" s="1678"/>
      <c r="F26" s="1689"/>
      <c r="G26" s="1691">
        <f>A.a!G101</f>
        <v>7699948.0687941872</v>
      </c>
      <c r="H26" s="1691">
        <f>A.a!H101</f>
        <v>8305217.5685613714</v>
      </c>
      <c r="I26" s="1691">
        <f>A.a!I101</f>
        <v>9513729.5189033225</v>
      </c>
      <c r="J26" s="1691">
        <f>A.a!J101</f>
        <v>10893498.295728277</v>
      </c>
      <c r="K26" s="1691">
        <f>A.a!K101</f>
        <v>12337517.713945247</v>
      </c>
      <c r="L26" s="1691">
        <f>A.a!L101</f>
        <v>13833392.855624611</v>
      </c>
      <c r="M26" s="1691">
        <f>A.a!M101</f>
        <v>15418415.713627663</v>
      </c>
      <c r="N26" s="1691">
        <f>A.a!N101</f>
        <v>17074115.49032189</v>
      </c>
      <c r="O26" s="1674"/>
    </row>
    <row r="27" spans="2:15" x14ac:dyDescent="0.2">
      <c r="B27" s="1672"/>
      <c r="C27" s="3186"/>
      <c r="D27" s="3187"/>
      <c r="E27" s="3187"/>
      <c r="F27" s="3188"/>
      <c r="G27" s="3189"/>
      <c r="H27" s="3189"/>
      <c r="I27" s="3189"/>
      <c r="J27" s="3189"/>
      <c r="K27" s="3189"/>
      <c r="L27" s="3189"/>
      <c r="M27" s="3189"/>
      <c r="N27" s="3189"/>
      <c r="O27" s="1672"/>
    </row>
    <row r="28" spans="2:15" x14ac:dyDescent="0.2">
      <c r="B28" s="1672"/>
      <c r="C28" s="3186"/>
      <c r="D28" s="3187"/>
      <c r="E28" s="3187"/>
      <c r="F28" s="3188"/>
      <c r="G28" s="3189"/>
      <c r="H28" s="3189"/>
      <c r="I28" s="3189"/>
      <c r="J28" s="3189"/>
      <c r="K28" s="3189"/>
      <c r="L28" s="3189"/>
      <c r="M28" s="3189"/>
      <c r="N28" s="3189"/>
      <c r="O28" s="1672"/>
    </row>
    <row r="29" spans="2:15" ht="18" x14ac:dyDescent="0.25">
      <c r="B29" s="55"/>
    </row>
    <row r="30" spans="2:15" ht="18" x14ac:dyDescent="0.25">
      <c r="B30" s="55"/>
    </row>
    <row r="31" spans="2:15" ht="18" x14ac:dyDescent="0.25">
      <c r="B31" s="55"/>
    </row>
    <row r="32" spans="2:15" ht="18" x14ac:dyDescent="0.25">
      <c r="B32" s="55"/>
    </row>
    <row r="33" spans="2:2" ht="18" x14ac:dyDescent="0.25">
      <c r="B33" s="55"/>
    </row>
    <row r="34" spans="2:2" ht="18" x14ac:dyDescent="0.25">
      <c r="B34" s="55"/>
    </row>
    <row r="35" spans="2:2" ht="18" x14ac:dyDescent="0.25">
      <c r="B35" s="55"/>
    </row>
    <row r="36" spans="2:2" ht="18" x14ac:dyDescent="0.25">
      <c r="B36" s="55"/>
    </row>
    <row r="37" spans="2:2" ht="18" x14ac:dyDescent="0.25">
      <c r="B37" s="55"/>
    </row>
    <row r="38" spans="2:2" ht="18" x14ac:dyDescent="0.25">
      <c r="B38" s="55"/>
    </row>
    <row r="39" spans="2:2" ht="18" x14ac:dyDescent="0.25">
      <c r="B39" s="55"/>
    </row>
    <row r="40" spans="2:2" ht="18" x14ac:dyDescent="0.25">
      <c r="B40" s="55"/>
    </row>
    <row r="41" spans="2:2" ht="18" x14ac:dyDescent="0.25">
      <c r="B41" s="55"/>
    </row>
    <row r="42" spans="2:2" ht="18" x14ac:dyDescent="0.25">
      <c r="B42" s="55"/>
    </row>
    <row r="43" spans="2:2" ht="18" x14ac:dyDescent="0.25">
      <c r="B43" s="55"/>
    </row>
    <row r="44" spans="2:2" ht="18" x14ac:dyDescent="0.25">
      <c r="B44" s="55"/>
    </row>
    <row r="45" spans="2:2" ht="18" x14ac:dyDescent="0.25">
      <c r="B45" s="55"/>
    </row>
    <row r="46" spans="2:2" ht="18" x14ac:dyDescent="0.25">
      <c r="B46" s="55"/>
    </row>
    <row r="47" spans="2:2" ht="18" x14ac:dyDescent="0.25">
      <c r="B47" s="55"/>
    </row>
    <row r="48" spans="2:2" ht="18" x14ac:dyDescent="0.25">
      <c r="B48" s="55"/>
    </row>
    <row r="49" spans="2:8" ht="18" x14ac:dyDescent="0.25">
      <c r="B49" s="55"/>
    </row>
    <row r="50" spans="2:8" ht="18" x14ac:dyDescent="0.25">
      <c r="B50" s="55"/>
    </row>
    <row r="51" spans="2:8" ht="18" x14ac:dyDescent="0.25">
      <c r="B51" s="55"/>
    </row>
    <row r="52" spans="2:8" ht="12.75" hidden="1" customHeight="1" outlineLevel="1" x14ac:dyDescent="0.25">
      <c r="B52" s="55"/>
    </row>
    <row r="53" spans="2:8" hidden="1" outlineLevel="1" x14ac:dyDescent="0.2"/>
    <row r="54" spans="2:8" hidden="1" outlineLevel="1" x14ac:dyDescent="0.2">
      <c r="B54" s="61" t="s">
        <v>27</v>
      </c>
      <c r="C54" s="83" t="s">
        <v>24</v>
      </c>
      <c r="D54" s="83" t="s">
        <v>142</v>
      </c>
      <c r="E54" s="83" t="s">
        <v>120</v>
      </c>
      <c r="F54" s="83" t="s">
        <v>139</v>
      </c>
      <c r="H54" s="120" t="s">
        <v>143</v>
      </c>
    </row>
    <row r="55" spans="2:8" hidden="1" outlineLevel="1" x14ac:dyDescent="0.2">
      <c r="B55" s="56">
        <v>2014</v>
      </c>
      <c r="C55" s="59" t="e">
        <f>#REF!</f>
        <v>#REF!</v>
      </c>
      <c r="D55" s="81" t="e">
        <f>#REF!</f>
        <v>#REF!</v>
      </c>
      <c r="E55" s="60" t="e">
        <f>#REF!</f>
        <v>#REF!</v>
      </c>
      <c r="F55" s="60" t="e">
        <f>#REF!</f>
        <v>#REF!</v>
      </c>
    </row>
    <row r="56" spans="2:8" hidden="1" outlineLevel="1" x14ac:dyDescent="0.2">
      <c r="B56" s="56">
        <v>2015</v>
      </c>
      <c r="C56" s="59" t="e">
        <f>#REF!</f>
        <v>#REF!</v>
      </c>
      <c r="D56" s="81" t="e">
        <f>#REF!</f>
        <v>#REF!</v>
      </c>
      <c r="E56" s="60" t="e">
        <f>#REF!</f>
        <v>#REF!</v>
      </c>
      <c r="F56" s="60" t="e">
        <f>#REF!</f>
        <v>#REF!</v>
      </c>
    </row>
    <row r="57" spans="2:8" hidden="1" outlineLevel="1" x14ac:dyDescent="0.2">
      <c r="B57" s="56">
        <v>2020</v>
      </c>
      <c r="C57" s="59" t="e">
        <f>#REF!</f>
        <v>#REF!</v>
      </c>
      <c r="D57" s="81" t="e">
        <f>#REF!</f>
        <v>#REF!</v>
      </c>
      <c r="E57" s="60" t="e">
        <f>#REF!</f>
        <v>#REF!</v>
      </c>
      <c r="F57" s="60" t="e">
        <f>#REF!</f>
        <v>#REF!</v>
      </c>
    </row>
    <row r="58" spans="2:8" hidden="1" outlineLevel="1" x14ac:dyDescent="0.2">
      <c r="B58" s="56">
        <v>2025</v>
      </c>
      <c r="C58" s="59" t="e">
        <f>#REF!</f>
        <v>#REF!</v>
      </c>
      <c r="D58" s="81" t="e">
        <f>#REF!</f>
        <v>#REF!</v>
      </c>
      <c r="E58" s="60" t="e">
        <f>#REF!</f>
        <v>#REF!</v>
      </c>
      <c r="F58" s="60" t="e">
        <f>#REF!</f>
        <v>#REF!</v>
      </c>
    </row>
    <row r="59" spans="2:8" hidden="1" outlineLevel="1" x14ac:dyDescent="0.2">
      <c r="B59" s="56">
        <v>2030</v>
      </c>
      <c r="C59" s="59" t="e">
        <f>#REF!</f>
        <v>#REF!</v>
      </c>
      <c r="D59" s="81" t="e">
        <f>#REF!</f>
        <v>#REF!</v>
      </c>
      <c r="E59" s="60" t="e">
        <f>#REF!</f>
        <v>#REF!</v>
      </c>
      <c r="F59" s="60" t="e">
        <f>#REF!</f>
        <v>#REF!</v>
      </c>
    </row>
    <row r="60" spans="2:8" hidden="1" outlineLevel="1" x14ac:dyDescent="0.2">
      <c r="B60" s="56">
        <v>2035</v>
      </c>
      <c r="C60" s="59" t="e">
        <f>#REF!</f>
        <v>#REF!</v>
      </c>
      <c r="D60" s="81" t="e">
        <f>#REF!</f>
        <v>#REF!</v>
      </c>
      <c r="E60" s="60" t="e">
        <f>#REF!</f>
        <v>#REF!</v>
      </c>
      <c r="F60" s="60" t="e">
        <f>#REF!</f>
        <v>#REF!</v>
      </c>
    </row>
    <row r="61" spans="2:8" hidden="1" outlineLevel="1" x14ac:dyDescent="0.2">
      <c r="B61" s="56">
        <v>2040</v>
      </c>
      <c r="C61" s="59" t="e">
        <f>#REF!</f>
        <v>#REF!</v>
      </c>
      <c r="D61" s="81" t="e">
        <f>#REF!</f>
        <v>#REF!</v>
      </c>
      <c r="E61" s="60" t="e">
        <f>#REF!</f>
        <v>#REF!</v>
      </c>
      <c r="F61" s="60" t="e">
        <f>#REF!</f>
        <v>#REF!</v>
      </c>
    </row>
    <row r="62" spans="2:8" hidden="1" outlineLevel="1" x14ac:dyDescent="0.2">
      <c r="B62" s="56">
        <v>2045</v>
      </c>
      <c r="C62" s="84" t="e">
        <f>#REF!</f>
        <v>#REF!</v>
      </c>
      <c r="D62" s="81" t="e">
        <f>#REF!</f>
        <v>#REF!</v>
      </c>
      <c r="E62" s="60" t="e">
        <f>#REF!</f>
        <v>#REF!</v>
      </c>
      <c r="F62" s="60" t="e">
        <f>#REF!</f>
        <v>#REF!</v>
      </c>
    </row>
    <row r="63" spans="2:8" hidden="1" outlineLevel="1" x14ac:dyDescent="0.2">
      <c r="B63" s="85">
        <v>2050</v>
      </c>
      <c r="C63" s="86" t="e">
        <f>#REF!</f>
        <v>#REF!</v>
      </c>
      <c r="D63" s="92" t="e">
        <f>#REF!</f>
        <v>#REF!</v>
      </c>
      <c r="E63" s="87" t="e">
        <f>#REF!</f>
        <v>#REF!</v>
      </c>
      <c r="F63" s="87" t="e">
        <f>#REF!</f>
        <v>#REF!</v>
      </c>
    </row>
    <row r="64" spans="2:8" hidden="1" outlineLevel="1" x14ac:dyDescent="0.2">
      <c r="B64" s="56"/>
      <c r="C64" s="84"/>
      <c r="D64" s="121"/>
      <c r="E64" s="60"/>
      <c r="F64" s="60"/>
    </row>
    <row r="65" spans="2:11" collapsed="1" x14ac:dyDescent="0.2">
      <c r="B65" s="56"/>
      <c r="C65" s="84"/>
      <c r="D65" s="121"/>
      <c r="E65" s="60"/>
      <c r="F65" s="60"/>
    </row>
    <row r="66" spans="2:11" x14ac:dyDescent="0.2">
      <c r="B66" s="56"/>
      <c r="C66" s="84"/>
      <c r="D66" s="121"/>
      <c r="E66" s="60"/>
      <c r="F66" s="60"/>
    </row>
    <row r="67" spans="2:11" x14ac:dyDescent="0.2">
      <c r="B67" s="56"/>
      <c r="C67" s="60"/>
      <c r="D67" s="60"/>
      <c r="E67" s="60"/>
      <c r="F67" s="62"/>
    </row>
    <row r="68" spans="2:11" hidden="1" outlineLevel="1" x14ac:dyDescent="0.2">
      <c r="B68" s="80" t="s">
        <v>27</v>
      </c>
      <c r="C68" s="80" t="s">
        <v>131</v>
      </c>
      <c r="D68" s="80" t="s">
        <v>121</v>
      </c>
      <c r="E68" s="80" t="s">
        <v>24</v>
      </c>
      <c r="F68" s="80" t="s">
        <v>122</v>
      </c>
      <c r="G68" s="80" t="s">
        <v>120</v>
      </c>
      <c r="H68" s="80" t="s">
        <v>126</v>
      </c>
      <c r="K68" s="80"/>
    </row>
    <row r="69" spans="2:11" hidden="1" outlineLevel="1" x14ac:dyDescent="0.2">
      <c r="B69">
        <v>2014</v>
      </c>
      <c r="C69" s="59">
        <v>116421340.69086297</v>
      </c>
      <c r="D69" s="82">
        <v>1.9E-2</v>
      </c>
      <c r="E69" s="59">
        <v>17819054</v>
      </c>
      <c r="F69" s="82">
        <v>1.051419452458026E-2</v>
      </c>
      <c r="G69" s="59">
        <v>5335225.1135038976</v>
      </c>
      <c r="H69" s="82">
        <v>1.5993563500448789E-2</v>
      </c>
    </row>
    <row r="70" spans="2:11" hidden="1" outlineLevel="1" x14ac:dyDescent="0.2">
      <c r="B70">
        <v>2015</v>
      </c>
      <c r="C70" s="59">
        <v>118830098.22975694</v>
      </c>
      <c r="D70" s="82">
        <v>2.069E-2</v>
      </c>
      <c r="E70" s="59">
        <v>18006407</v>
      </c>
      <c r="F70" s="82">
        <v>1.0300611332399628E-2</v>
      </c>
      <c r="G70" s="59">
        <v>5420554.3751459112</v>
      </c>
      <c r="H70" s="82">
        <v>1.4597753273403572E-2</v>
      </c>
      <c r="K70" s="79"/>
    </row>
    <row r="71" spans="2:11" hidden="1" outlineLevel="1" x14ac:dyDescent="0.2">
      <c r="B71">
        <v>2016</v>
      </c>
      <c r="C71" s="59">
        <v>120656516.83954832</v>
      </c>
      <c r="D71" s="82">
        <v>1.537E-2</v>
      </c>
      <c r="E71" s="59">
        <v>18191884</v>
      </c>
      <c r="F71" s="82">
        <v>1.0006275325854101E-2</v>
      </c>
      <c r="G71" s="59">
        <v>5499682.2905193595</v>
      </c>
      <c r="H71" s="82">
        <v>1.6080934665434799E-2</v>
      </c>
      <c r="K71" s="79"/>
    </row>
    <row r="72" spans="2:11" hidden="1" outlineLevel="1" x14ac:dyDescent="0.2">
      <c r="B72">
        <v>2017</v>
      </c>
      <c r="C72" s="59">
        <v>123190303.69317882</v>
      </c>
      <c r="D72" s="82">
        <v>2.1000000000000001E-2</v>
      </c>
      <c r="E72" s="59">
        <v>18373917</v>
      </c>
      <c r="F72" s="82">
        <v>9.7040277258246023E-3</v>
      </c>
      <c r="G72" s="59">
        <v>5588122.3221138502</v>
      </c>
      <c r="H72" s="82">
        <v>1.8454424500262859E-2</v>
      </c>
      <c r="K72" s="79"/>
    </row>
    <row r="73" spans="2:11" hidden="1" outlineLevel="1" x14ac:dyDescent="0.2">
      <c r="B73">
        <v>2018</v>
      </c>
      <c r="C73" s="59">
        <v>126516441.89289464</v>
      </c>
      <c r="D73" s="82">
        <v>2.7E-2</v>
      </c>
      <c r="E73" s="59">
        <v>18552218</v>
      </c>
      <c r="F73" s="82">
        <v>9.3967201118486214E-3</v>
      </c>
      <c r="G73" s="59">
        <v>5691247.9036055338</v>
      </c>
      <c r="H73" s="82">
        <v>1.9638880496546128E-2</v>
      </c>
    </row>
    <row r="74" spans="2:11" hidden="1" outlineLevel="1" x14ac:dyDescent="0.2">
      <c r="B74">
        <v>2019</v>
      </c>
      <c r="C74" s="59">
        <v>130337238.43806006</v>
      </c>
      <c r="D74" s="82">
        <v>3.0200000000000001E-2</v>
      </c>
      <c r="E74" s="59">
        <v>18726548</v>
      </c>
      <c r="F74" s="82">
        <v>9.0852836304907876E-3</v>
      </c>
      <c r="G74" s="59">
        <v>5803017.6410606615</v>
      </c>
      <c r="H74" s="82">
        <v>1.9327100140875842E-2</v>
      </c>
    </row>
    <row r="75" spans="2:11" hidden="1" outlineLevel="1" x14ac:dyDescent="0.2">
      <c r="B75">
        <v>2020</v>
      </c>
      <c r="C75" s="59">
        <v>134508030.06807798</v>
      </c>
      <c r="D75" s="82">
        <v>3.2000000000000001E-2</v>
      </c>
      <c r="E75" s="59">
        <v>18896684</v>
      </c>
      <c r="F75" s="82">
        <v>6.2501162455634021E-3</v>
      </c>
      <c r="G75" s="59">
        <v>5915173.14412871</v>
      </c>
      <c r="H75" s="82">
        <v>1.6568284331528446E-2</v>
      </c>
    </row>
    <row r="76" spans="2:11" hidden="1" outlineLevel="1" x14ac:dyDescent="0.2">
      <c r="B76">
        <v>2021</v>
      </c>
      <c r="C76" s="59">
        <v>139081303.09039265</v>
      </c>
      <c r="D76" s="82">
        <v>3.4000000000000002E-2</v>
      </c>
      <c r="E76" s="59">
        <v>19014790.471655678</v>
      </c>
      <c r="F76" s="82">
        <v>6.0379198967558893E-3</v>
      </c>
      <c r="G76" s="59">
        <v>6013177.4146508556</v>
      </c>
      <c r="H76" s="82">
        <v>1.6353912104617681E-2</v>
      </c>
    </row>
    <row r="77" spans="2:11" hidden="1" outlineLevel="1" x14ac:dyDescent="0.2">
      <c r="B77">
        <v>2022</v>
      </c>
      <c r="C77" s="59">
        <v>143810067.395466</v>
      </c>
      <c r="D77" s="82">
        <v>3.4000000000000002E-2</v>
      </c>
      <c r="E77" s="59">
        <v>19129600.253377132</v>
      </c>
      <c r="F77" s="82">
        <v>5.8257235479482012E-3</v>
      </c>
      <c r="G77" s="59">
        <v>6111516.3895595279</v>
      </c>
      <c r="H77" s="82">
        <v>1.6139539877707068E-2</v>
      </c>
    </row>
    <row r="78" spans="2:11" hidden="1" outlineLevel="1" x14ac:dyDescent="0.2">
      <c r="B78">
        <v>2023</v>
      </c>
      <c r="C78" s="59">
        <v>148699609.68691185</v>
      </c>
      <c r="D78" s="82">
        <v>3.4000000000000002E-2</v>
      </c>
      <c r="E78" s="59">
        <v>19241044.016036067</v>
      </c>
      <c r="F78" s="82">
        <v>5.6135271991413311E-3</v>
      </c>
      <c r="G78" s="59">
        <v>6210153.4520420842</v>
      </c>
      <c r="H78" s="82">
        <v>1.5925167650796632E-2</v>
      </c>
    </row>
    <row r="79" spans="2:11" hidden="1" outlineLevel="1" x14ac:dyDescent="0.2">
      <c r="B79">
        <v>2024</v>
      </c>
      <c r="C79" s="59">
        <v>153755396.41626686</v>
      </c>
      <c r="D79" s="82">
        <v>3.4000000000000002E-2</v>
      </c>
      <c r="E79" s="59">
        <v>19349054.139959961</v>
      </c>
      <c r="F79" s="82">
        <v>5.4013308503334991E-3</v>
      </c>
      <c r="G79" s="59">
        <v>6309051.1869030278</v>
      </c>
      <c r="H79" s="82">
        <v>1.5710795423886124E-2</v>
      </c>
    </row>
    <row r="80" spans="2:11" hidden="1" outlineLevel="1" x14ac:dyDescent="0.2">
      <c r="B80">
        <v>2025</v>
      </c>
      <c r="C80" s="59">
        <v>158983079.89441994</v>
      </c>
      <c r="D80" s="82">
        <v>3.4000000000000002E-2</v>
      </c>
      <c r="E80" s="59">
        <v>19453564.7830109</v>
      </c>
      <c r="F80" s="82">
        <v>5.1891345015262604E-3</v>
      </c>
      <c r="G80" s="59">
        <v>6408171.3994192872</v>
      </c>
      <c r="H80" s="82">
        <v>1.5496423196975416E-2</v>
      </c>
    </row>
    <row r="81" spans="2:8" hidden="1" outlineLevel="1" x14ac:dyDescent="0.2">
      <c r="B81">
        <v>2026</v>
      </c>
      <c r="C81" s="59">
        <v>164388504.61083022</v>
      </c>
      <c r="D81" s="82">
        <v>3.4000000000000002E-2</v>
      </c>
      <c r="E81" s="59">
        <v>19554511.947204098</v>
      </c>
      <c r="F81" s="82">
        <v>4.976938152718228E-3</v>
      </c>
      <c r="G81" s="59">
        <v>6507475.1353434427</v>
      </c>
      <c r="H81" s="82">
        <v>1.528205097006457E-2</v>
      </c>
    </row>
    <row r="82" spans="2:8" hidden="1" outlineLevel="1" x14ac:dyDescent="0.2">
      <c r="B82">
        <v>2027</v>
      </c>
      <c r="C82" s="59">
        <v>169977713.76759845</v>
      </c>
      <c r="D82" s="82">
        <v>3.4000000000000002E-2</v>
      </c>
      <c r="E82" s="59">
        <v>19651833.543771923</v>
      </c>
      <c r="F82" s="82">
        <v>4.7647418039113414E-3</v>
      </c>
      <c r="G82" s="59">
        <v>6606922.702048189</v>
      </c>
      <c r="H82" s="82">
        <v>1.5067678743153949E-2</v>
      </c>
    </row>
    <row r="83" spans="2:8" hidden="1" outlineLevel="1" x14ac:dyDescent="0.2">
      <c r="B83">
        <v>2028</v>
      </c>
      <c r="C83" s="59">
        <v>175756956.0356968</v>
      </c>
      <c r="D83" s="82">
        <v>3.4000000000000002E-2</v>
      </c>
      <c r="E83" s="59">
        <v>19745469.45658144</v>
      </c>
      <c r="F83" s="82">
        <v>4.5525454551029534E-3</v>
      </c>
      <c r="G83" s="59">
        <v>6706473.6908035018</v>
      </c>
      <c r="H83" s="82">
        <v>1.485330651624335E-2</v>
      </c>
    </row>
    <row r="84" spans="2:8" hidden="1" outlineLevel="1" x14ac:dyDescent="0.2">
      <c r="B84">
        <v>2029</v>
      </c>
      <c r="C84" s="59">
        <v>181644814.06289268</v>
      </c>
      <c r="D84" s="82">
        <v>3.3500000000000002E-2</v>
      </c>
      <c r="E84" s="59">
        <v>19835361.603814874</v>
      </c>
      <c r="F84" s="82">
        <v>4.3403491062961441E-3</v>
      </c>
      <c r="G84" s="59">
        <v>6806087.000176128</v>
      </c>
      <c r="H84" s="82">
        <v>1.4638934289332673E-2</v>
      </c>
    </row>
    <row r="85" spans="2:8" hidden="1" outlineLevel="1" x14ac:dyDescent="0.2">
      <c r="B85">
        <v>2030</v>
      </c>
      <c r="C85" s="59">
        <v>187639092.92696813</v>
      </c>
      <c r="D85" s="82">
        <v>3.3000000000000002E-2</v>
      </c>
      <c r="E85" s="59">
        <v>19921453.997825053</v>
      </c>
      <c r="F85" s="82">
        <v>4.1281527574887431E-3</v>
      </c>
      <c r="G85" s="59">
        <v>6905720.8605391877</v>
      </c>
      <c r="H85" s="82">
        <v>1.2940737170875294E-2</v>
      </c>
    </row>
    <row r="86" spans="2:8" hidden="1" outlineLevel="1" x14ac:dyDescent="0.2">
      <c r="B86">
        <v>2031</v>
      </c>
      <c r="C86" s="59">
        <v>193737363.44709459</v>
      </c>
      <c r="D86" s="82">
        <v>3.2500000000000001E-2</v>
      </c>
      <c r="E86" s="59">
        <v>20003692.803079359</v>
      </c>
      <c r="F86" s="82">
        <v>3.9159564086808756E-3</v>
      </c>
      <c r="G86" s="59">
        <v>6995085.9791708561</v>
      </c>
      <c r="H86" s="82">
        <v>1.2726678511733069E-2</v>
      </c>
    </row>
    <row r="87" spans="2:8" hidden="1" outlineLevel="1" x14ac:dyDescent="0.2">
      <c r="B87">
        <v>2032</v>
      </c>
      <c r="C87" s="59">
        <v>199936959.07740161</v>
      </c>
      <c r="D87" s="82">
        <v>3.2000000000000001E-2</v>
      </c>
      <c r="E87" s="59">
        <v>20082026.392108861</v>
      </c>
      <c r="F87" s="82">
        <v>3.7037600598735132E-3</v>
      </c>
      <c r="G87" s="59">
        <v>7084110.1895896951</v>
      </c>
      <c r="H87" s="82">
        <v>1.2512619852591018E-2</v>
      </c>
    </row>
    <row r="88" spans="2:8" hidden="1" outlineLevel="1" x14ac:dyDescent="0.2">
      <c r="B88">
        <v>2033</v>
      </c>
      <c r="C88" s="59">
        <v>206234973.28833976</v>
      </c>
      <c r="D88" s="82">
        <v>3.15E-2</v>
      </c>
      <c r="E88" s="59">
        <v>20156405.39938128</v>
      </c>
      <c r="F88" s="82">
        <v>3.4915637110660386E-3</v>
      </c>
      <c r="G88" s="59">
        <v>7172750.9673858974</v>
      </c>
      <c r="H88" s="82">
        <v>1.22985611934493E-2</v>
      </c>
    </row>
    <row r="89" spans="2:8" hidden="1" outlineLevel="1" x14ac:dyDescent="0.2">
      <c r="B89">
        <v>2034</v>
      </c>
      <c r="C89" s="59">
        <v>212628257.46027827</v>
      </c>
      <c r="D89" s="82">
        <v>3.1E-2</v>
      </c>
      <c r="E89" s="59">
        <v>20226782.773019295</v>
      </c>
      <c r="F89" s="82">
        <v>3.2793673622584073E-3</v>
      </c>
      <c r="G89" s="59">
        <v>7260965.4840836655</v>
      </c>
      <c r="H89" s="82">
        <v>1.2084502534307014E-2</v>
      </c>
    </row>
    <row r="90" spans="2:8" hidden="1" outlineLevel="1" x14ac:dyDescent="0.2">
      <c r="B90">
        <v>2035</v>
      </c>
      <c r="C90" s="59">
        <v>219113419.31281674</v>
      </c>
      <c r="D90" s="82">
        <v>3.0499999999999999E-2</v>
      </c>
      <c r="E90" s="59">
        <v>20293113.824288625</v>
      </c>
      <c r="F90" s="82">
        <v>3.0671710134510259E-3</v>
      </c>
      <c r="G90" s="59">
        <v>7348710.6398775904</v>
      </c>
      <c r="H90" s="82">
        <v>1.1870443875164755E-2</v>
      </c>
    </row>
    <row r="91" spans="2:8" hidden="1" outlineLevel="1" x14ac:dyDescent="0.2">
      <c r="B91">
        <v>2036</v>
      </c>
      <c r="C91" s="59">
        <v>225686821.89220124</v>
      </c>
      <c r="D91" s="82">
        <v>0.03</v>
      </c>
      <c r="E91" s="59">
        <v>20355356.274783146</v>
      </c>
      <c r="F91" s="82">
        <v>2.8549746646437672E-3</v>
      </c>
      <c r="G91" s="59">
        <v>7435943.0970830834</v>
      </c>
      <c r="H91" s="82">
        <v>1.1656385216023017E-2</v>
      </c>
    </row>
    <row r="92" spans="2:8" hidden="1" outlineLevel="1" x14ac:dyDescent="0.2">
      <c r="B92">
        <v>2037</v>
      </c>
      <c r="C92" s="59">
        <v>232344583.1380212</v>
      </c>
      <c r="D92" s="82">
        <v>2.9500000000000002E-2</v>
      </c>
      <c r="E92" s="59">
        <v>20413470.301237449</v>
      </c>
      <c r="F92" s="82">
        <v>2.6427783158358125E-3</v>
      </c>
      <c r="G92" s="59">
        <v>7522619.314267111</v>
      </c>
      <c r="H92" s="82">
        <v>1.1442326556880733E-2</v>
      </c>
    </row>
    <row r="93" spans="2:8" hidden="1" outlineLevel="1" x14ac:dyDescent="0.2">
      <c r="B93">
        <v>2038</v>
      </c>
      <c r="C93" s="59">
        <v>239082576.04902381</v>
      </c>
      <c r="D93" s="82">
        <v>2.8999999999999998E-2</v>
      </c>
      <c r="E93" s="59">
        <v>20467418.577900518</v>
      </c>
      <c r="F93" s="82">
        <v>2.4305819670285265E-3</v>
      </c>
      <c r="G93" s="59">
        <v>7608695.5810240535</v>
      </c>
      <c r="H93" s="82">
        <v>1.1228267897739107E-2</v>
      </c>
    </row>
    <row r="94" spans="2:8" hidden="1" outlineLevel="1" x14ac:dyDescent="0.2">
      <c r="B94">
        <v>2039</v>
      </c>
      <c r="C94" s="59">
        <v>245872521.20881608</v>
      </c>
      <c r="D94" s="82">
        <v>2.8399999999999998E-2</v>
      </c>
      <c r="E94" s="59">
        <v>20517166.316407587</v>
      </c>
      <c r="F94" s="82">
        <v>2.218385618220972E-3</v>
      </c>
      <c r="G94" s="59">
        <v>7694128.0533601353</v>
      </c>
      <c r="H94" s="82">
        <v>1.1014209238596589E-2</v>
      </c>
    </row>
    <row r="95" spans="2:8" hidden="1" outlineLevel="1" x14ac:dyDescent="0.2">
      <c r="B95">
        <v>2040</v>
      </c>
      <c r="C95" s="59">
        <v>252707777.29842117</v>
      </c>
      <c r="D95" s="82">
        <v>2.7799999999999998E-2</v>
      </c>
      <c r="E95" s="59">
        <v>20562681.303090554</v>
      </c>
      <c r="F95" s="82">
        <v>2.0061892694135134E-3</v>
      </c>
      <c r="G95" s="59">
        <v>7778872.7896483997</v>
      </c>
      <c r="H95" s="82">
        <v>1.0800150579454711E-2</v>
      </c>
    </row>
    <row r="96" spans="2:8" hidden="1" outlineLevel="1" x14ac:dyDescent="0.2">
      <c r="B96">
        <v>2041</v>
      </c>
      <c r="C96" s="59">
        <v>259556158.06320837</v>
      </c>
      <c r="D96" s="82">
        <v>2.7099999999999999E-2</v>
      </c>
      <c r="E96" s="59">
        <v>20603933.933671184</v>
      </c>
      <c r="F96" s="82">
        <v>1.7939929206060893E-3</v>
      </c>
      <c r="G96" s="59">
        <v>7862885.7871150253</v>
      </c>
      <c r="H96" s="82">
        <v>1.0586091920313187E-2</v>
      </c>
    </row>
    <row r="97" spans="1:39" hidden="1" outlineLevel="1" x14ac:dyDescent="0.2">
      <c r="B97">
        <v>2042</v>
      </c>
      <c r="C97" s="59">
        <v>266408440.63607708</v>
      </c>
      <c r="D97" s="82">
        <v>2.64E-2</v>
      </c>
      <c r="E97" s="59">
        <v>20640897.245284826</v>
      </c>
      <c r="F97" s="82">
        <v>1.5817965717987575E-3</v>
      </c>
      <c r="G97" s="59">
        <v>7946123.0188163491</v>
      </c>
      <c r="H97" s="82">
        <v>1.0372033261170598E-2</v>
      </c>
    </row>
    <row r="98" spans="1:39" hidden="1" outlineLevel="1" x14ac:dyDescent="0.2">
      <c r="B98">
        <v>2043</v>
      </c>
      <c r="C98" s="59">
        <v>273228496.71636069</v>
      </c>
      <c r="D98" s="82">
        <v>2.5600000000000001E-2</v>
      </c>
      <c r="E98" s="59">
        <v>20673546.945786268</v>
      </c>
      <c r="F98" s="82">
        <v>1.3696002229909429E-3</v>
      </c>
      <c r="G98" s="59">
        <v>8028540.4710648656</v>
      </c>
      <c r="H98" s="82">
        <v>1.0157974602029041E-2</v>
      </c>
    </row>
    <row r="99" spans="1:39" hidden="1" outlineLevel="1" x14ac:dyDescent="0.2">
      <c r="B99">
        <v>2044</v>
      </c>
      <c r="C99" s="59">
        <v>279977240.58525479</v>
      </c>
      <c r="D99" s="82">
        <v>2.4700000000000003E-2</v>
      </c>
      <c r="E99" s="59">
        <v>20701861.44029323</v>
      </c>
      <c r="F99" s="82">
        <v>1.1574038741835675E-3</v>
      </c>
      <c r="G99" s="59">
        <v>8110094.1812613048</v>
      </c>
      <c r="H99" s="82">
        <v>9.9439159428866761E-3</v>
      </c>
    </row>
    <row r="100" spans="1:39" hidden="1" outlineLevel="1" x14ac:dyDescent="0.2">
      <c r="B100">
        <v>2045</v>
      </c>
      <c r="C100" s="59">
        <v>286640698.91118389</v>
      </c>
      <c r="D100" s="82">
        <v>2.3799999999999998E-2</v>
      </c>
      <c r="E100" s="59">
        <v>20725821.854927037</v>
      </c>
      <c r="F100" s="82">
        <v>9.4520752537574063E-4</v>
      </c>
      <c r="G100" s="59">
        <v>8190740.2760886615</v>
      </c>
      <c r="H100" s="82">
        <v>9.7298572837446248E-3</v>
      </c>
    </row>
    <row r="101" spans="1:39" hidden="1" outlineLevel="1" x14ac:dyDescent="0.2">
      <c r="B101">
        <v>2046</v>
      </c>
      <c r="C101" s="59">
        <v>293176106.8463589</v>
      </c>
      <c r="D101" s="82">
        <v>2.2799999999999997E-2</v>
      </c>
      <c r="E101" s="59">
        <v>20745412.057713911</v>
      </c>
      <c r="F101" s="82">
        <v>7.3301117656873348E-4</v>
      </c>
      <c r="G101" s="59">
        <v>8270435.0100232232</v>
      </c>
      <c r="H101" s="82">
        <v>9.5157986246023271E-3</v>
      </c>
    </row>
    <row r="102" spans="1:39" hidden="1" outlineLevel="1" x14ac:dyDescent="0.2">
      <c r="B102">
        <v>2047</v>
      </c>
      <c r="C102" s="59">
        <v>299567345.97560954</v>
      </c>
      <c r="D102" s="82">
        <v>2.18E-2</v>
      </c>
      <c r="E102" s="59">
        <v>20760618.676614739</v>
      </c>
      <c r="F102" s="82">
        <v>5.208148277609276E-4</v>
      </c>
      <c r="G102" s="59">
        <v>8349134.8041164652</v>
      </c>
      <c r="H102" s="82">
        <v>9.301739965460824E-3</v>
      </c>
      <c r="I102" s="57"/>
    </row>
    <row r="103" spans="1:39" hidden="1" outlineLevel="1" x14ac:dyDescent="0.2">
      <c r="B103">
        <v>2048</v>
      </c>
      <c r="C103" s="59">
        <v>305828303.50649977</v>
      </c>
      <c r="D103" s="82">
        <v>2.0899999999999998E-2</v>
      </c>
      <c r="E103" s="59">
        <v>20771431.11465501</v>
      </c>
      <c r="F103" s="82">
        <v>3.0861847895340052E-4</v>
      </c>
      <c r="G103" s="59">
        <v>8426796.2850009352</v>
      </c>
      <c r="H103" s="82">
        <v>9.0876813063184639E-3</v>
      </c>
    </row>
    <row r="104" spans="1:39" hidden="1" outlineLevel="1" x14ac:dyDescent="0.2">
      <c r="B104">
        <v>2049</v>
      </c>
      <c r="C104" s="59">
        <v>311944869.57662976</v>
      </c>
      <c r="D104" s="82">
        <v>0.02</v>
      </c>
      <c r="E104" s="59">
        <v>20777841.562131301</v>
      </c>
      <c r="F104" s="82">
        <v>9.6422130146271817E-5</v>
      </c>
      <c r="G104" s="59">
        <v>8503376.3240722921</v>
      </c>
      <c r="H104" s="82">
        <v>8.8736226471764958E-3</v>
      </c>
    </row>
    <row r="105" spans="1:39" hidden="1" outlineLevel="1" x14ac:dyDescent="0.2">
      <c r="B105">
        <v>2050</v>
      </c>
      <c r="C105" s="59">
        <v>317903016.58554333</v>
      </c>
      <c r="D105" s="82">
        <v>1.9099999999999999E-2</v>
      </c>
      <c r="E105" s="59">
        <v>20779845.005874563</v>
      </c>
      <c r="F105" s="82">
        <v>9.6422130146271817E-5</v>
      </c>
      <c r="G105" s="59">
        <v>8578832.0767990444</v>
      </c>
      <c r="H105" s="82">
        <v>8.8736226471764958E-3</v>
      </c>
    </row>
    <row r="106" spans="1:39" hidden="1" outlineLevel="1" x14ac:dyDescent="0.2">
      <c r="C106" s="59"/>
      <c r="D106" s="82"/>
      <c r="E106" s="59"/>
      <c r="F106" s="82"/>
      <c r="G106" s="59"/>
      <c r="H106" s="82"/>
    </row>
    <row r="107" spans="1:39" hidden="1" outlineLevel="1" x14ac:dyDescent="0.2"/>
    <row r="108" spans="1:39" collapsed="1" x14ac:dyDescent="0.2">
      <c r="A108" t="s">
        <v>132</v>
      </c>
    </row>
    <row r="110" spans="1:39" hidden="1" outlineLevel="1" x14ac:dyDescent="0.2">
      <c r="B110" s="80" t="s">
        <v>134</v>
      </c>
    </row>
    <row r="111" spans="1:39" hidden="1" outlineLevel="1" x14ac:dyDescent="0.2">
      <c r="C111" s="80">
        <v>2014</v>
      </c>
      <c r="D111" s="80">
        <v>2015</v>
      </c>
      <c r="E111" s="80">
        <v>2016</v>
      </c>
      <c r="F111" s="80">
        <v>2017</v>
      </c>
      <c r="G111" s="80">
        <v>2018</v>
      </c>
      <c r="H111" s="80">
        <v>2019</v>
      </c>
      <c r="I111" s="80">
        <v>2020</v>
      </c>
      <c r="J111" s="80">
        <v>2021</v>
      </c>
      <c r="K111" s="80">
        <v>2022</v>
      </c>
      <c r="L111" s="80">
        <v>2023</v>
      </c>
      <c r="M111" s="80">
        <v>2024</v>
      </c>
      <c r="N111" s="80">
        <v>2025</v>
      </c>
      <c r="O111" s="80">
        <v>2026</v>
      </c>
      <c r="P111" s="80">
        <v>2027</v>
      </c>
      <c r="Q111" s="80">
        <v>2028</v>
      </c>
      <c r="R111" s="80">
        <v>2029</v>
      </c>
      <c r="S111" s="80">
        <v>2030</v>
      </c>
      <c r="T111" s="80">
        <v>2031</v>
      </c>
      <c r="U111" s="80">
        <v>2032</v>
      </c>
      <c r="V111" s="80">
        <v>2033</v>
      </c>
      <c r="W111" s="80">
        <v>2034</v>
      </c>
      <c r="X111" s="80">
        <v>2035</v>
      </c>
      <c r="Y111" s="80">
        <v>2036</v>
      </c>
      <c r="Z111" s="80">
        <v>2037</v>
      </c>
      <c r="AA111" s="80">
        <v>2038</v>
      </c>
      <c r="AB111" s="80">
        <v>2039</v>
      </c>
      <c r="AC111" s="80">
        <v>2040</v>
      </c>
      <c r="AD111" s="80">
        <v>2041</v>
      </c>
      <c r="AE111" s="80">
        <v>2042</v>
      </c>
      <c r="AF111" s="80">
        <v>2043</v>
      </c>
      <c r="AG111" s="80">
        <v>2044</v>
      </c>
      <c r="AH111" s="80">
        <v>2045</v>
      </c>
      <c r="AI111" s="80">
        <v>2046</v>
      </c>
      <c r="AJ111" s="80">
        <v>2047</v>
      </c>
      <c r="AK111" s="80">
        <v>2048</v>
      </c>
      <c r="AL111" s="80">
        <v>2049</v>
      </c>
      <c r="AM111" s="80">
        <v>2050</v>
      </c>
    </row>
    <row r="112" spans="1:39" hidden="1" outlineLevel="1" x14ac:dyDescent="0.2">
      <c r="B112" t="s">
        <v>127</v>
      </c>
      <c r="C112" s="59">
        <v>17819054</v>
      </c>
      <c r="D112" s="59">
        <v>18006407</v>
      </c>
      <c r="E112" s="59">
        <v>18191884</v>
      </c>
      <c r="F112" s="59">
        <v>18373917</v>
      </c>
      <c r="G112" s="59">
        <v>18552218</v>
      </c>
      <c r="H112" s="59">
        <v>18726548</v>
      </c>
      <c r="I112" s="59">
        <v>18896684</v>
      </c>
      <c r="J112" s="59">
        <v>19014790.471655678</v>
      </c>
      <c r="K112" s="59">
        <v>19129600.253377132</v>
      </c>
      <c r="L112" s="59">
        <v>19241044.016036067</v>
      </c>
      <c r="M112" s="59">
        <v>19349054.139959961</v>
      </c>
      <c r="N112" s="59">
        <v>19453564.7830109</v>
      </c>
      <c r="O112" s="59">
        <v>19554511.947204098</v>
      </c>
      <c r="P112" s="59">
        <v>19651833.543771923</v>
      </c>
      <c r="Q112" s="59">
        <v>19745469.45658144</v>
      </c>
      <c r="R112" s="59">
        <v>19835361.603814874</v>
      </c>
      <c r="S112" s="59">
        <v>19921453.997825053</v>
      </c>
      <c r="T112" s="59">
        <v>20003692.803079359</v>
      </c>
      <c r="U112" s="59">
        <v>20082026.392108861</v>
      </c>
      <c r="V112" s="59">
        <v>20156405.39938128</v>
      </c>
      <c r="W112" s="59">
        <v>20226782.773019295</v>
      </c>
      <c r="X112" s="59">
        <v>20293113.824288625</v>
      </c>
      <c r="Y112" s="59">
        <v>20355356.274783146</v>
      </c>
      <c r="Z112" s="59">
        <v>20413470.301237449</v>
      </c>
      <c r="AA112" s="59">
        <v>20467418.577900518</v>
      </c>
      <c r="AB112" s="59">
        <v>20517166.316407587</v>
      </c>
      <c r="AC112" s="59">
        <v>20562681.303090554</v>
      </c>
      <c r="AD112" s="59">
        <v>20603933.933671184</v>
      </c>
      <c r="AE112" s="59">
        <v>20640897.245284826</v>
      </c>
      <c r="AF112" s="59">
        <v>20673546.945786268</v>
      </c>
      <c r="AG112" s="59">
        <v>20701861.44029323</v>
      </c>
      <c r="AH112" s="59">
        <v>20725821.854927037</v>
      </c>
      <c r="AI112" s="59">
        <v>20745412.057713911</v>
      </c>
      <c r="AJ112" s="59">
        <v>20760618.676614739</v>
      </c>
      <c r="AK112" s="59">
        <v>20771431.11465501</v>
      </c>
      <c r="AL112" s="59">
        <v>20777841.562131301</v>
      </c>
      <c r="AM112" s="59">
        <v>20779845.005874563</v>
      </c>
    </row>
    <row r="113" spans="1:39" hidden="1" outlineLevel="1" x14ac:dyDescent="0.2">
      <c r="B113" t="s">
        <v>123</v>
      </c>
      <c r="C113" s="59">
        <f t="shared" ref="C113:D115" si="0">C112</f>
        <v>17819054</v>
      </c>
      <c r="D113" s="59">
        <f t="shared" si="0"/>
        <v>18006407</v>
      </c>
      <c r="E113" s="59">
        <f>D113+(E112-D112)*0.5</f>
        <v>18099145.5</v>
      </c>
      <c r="F113" s="59">
        <f t="shared" ref="F113:AM113" si="1">E113+(F112-E112)*0.5</f>
        <v>18190162</v>
      </c>
      <c r="G113" s="59">
        <f t="shared" si="1"/>
        <v>18279312.5</v>
      </c>
      <c r="H113" s="59">
        <f t="shared" si="1"/>
        <v>18366477.5</v>
      </c>
      <c r="I113" s="59">
        <f t="shared" si="1"/>
        <v>18451545.5</v>
      </c>
      <c r="J113" s="59">
        <f t="shared" si="1"/>
        <v>18510598.735827841</v>
      </c>
      <c r="K113" s="59">
        <f t="shared" si="1"/>
        <v>18568003.62668857</v>
      </c>
      <c r="L113" s="59">
        <f t="shared" si="1"/>
        <v>18623725.508018039</v>
      </c>
      <c r="M113" s="59">
        <f t="shared" si="1"/>
        <v>18677730.569979988</v>
      </c>
      <c r="N113" s="59">
        <f t="shared" si="1"/>
        <v>18729985.891505457</v>
      </c>
      <c r="O113" s="59">
        <f t="shared" si="1"/>
        <v>18780459.473602057</v>
      </c>
      <c r="P113" s="59">
        <f t="shared" si="1"/>
        <v>18829120.271885969</v>
      </c>
      <c r="Q113" s="59">
        <f t="shared" si="1"/>
        <v>18875938.228290729</v>
      </c>
      <c r="R113" s="59">
        <f t="shared" si="1"/>
        <v>18920884.301907446</v>
      </c>
      <c r="S113" s="59">
        <f t="shared" si="1"/>
        <v>18963930.498912536</v>
      </c>
      <c r="T113" s="59">
        <f t="shared" si="1"/>
        <v>19005049.901539691</v>
      </c>
      <c r="U113" s="59">
        <f t="shared" si="1"/>
        <v>19044216.696054444</v>
      </c>
      <c r="V113" s="59">
        <f t="shared" si="1"/>
        <v>19081406.199690655</v>
      </c>
      <c r="W113" s="59">
        <f t="shared" si="1"/>
        <v>19116594.886509664</v>
      </c>
      <c r="X113" s="59">
        <f t="shared" si="1"/>
        <v>19149760.412144329</v>
      </c>
      <c r="Y113" s="59">
        <f t="shared" si="1"/>
        <v>19180881.63739159</v>
      </c>
      <c r="Z113" s="59">
        <f t="shared" si="1"/>
        <v>19209938.650618739</v>
      </c>
      <c r="AA113" s="59">
        <f t="shared" si="1"/>
        <v>19236912.788950272</v>
      </c>
      <c r="AB113" s="59">
        <f t="shared" si="1"/>
        <v>19261786.658203807</v>
      </c>
      <c r="AC113" s="59">
        <f t="shared" si="1"/>
        <v>19284544.15154529</v>
      </c>
      <c r="AD113" s="59">
        <f t="shared" si="1"/>
        <v>19305170.466835603</v>
      </c>
      <c r="AE113" s="59">
        <f t="shared" si="1"/>
        <v>19323652.122642424</v>
      </c>
      <c r="AF113" s="59">
        <f t="shared" si="1"/>
        <v>19339976.972893145</v>
      </c>
      <c r="AG113" s="59">
        <f t="shared" si="1"/>
        <v>19354134.220146626</v>
      </c>
      <c r="AH113" s="59">
        <f t="shared" si="1"/>
        <v>19366114.427463531</v>
      </c>
      <c r="AI113" s="59">
        <f t="shared" si="1"/>
        <v>19375909.52885697</v>
      </c>
      <c r="AJ113" s="59">
        <f t="shared" si="1"/>
        <v>19383512.838307384</v>
      </c>
      <c r="AK113" s="59">
        <f t="shared" si="1"/>
        <v>19388919.05732752</v>
      </c>
      <c r="AL113" s="59">
        <f t="shared" si="1"/>
        <v>19392124.281065665</v>
      </c>
      <c r="AM113" s="59">
        <f t="shared" si="1"/>
        <v>19393126.002937295</v>
      </c>
    </row>
    <row r="114" spans="1:39" hidden="1" outlineLevel="1" x14ac:dyDescent="0.2">
      <c r="B114" t="s">
        <v>124</v>
      </c>
      <c r="C114" s="59">
        <f t="shared" si="0"/>
        <v>17819054</v>
      </c>
      <c r="D114" s="59">
        <f t="shared" si="0"/>
        <v>18006407</v>
      </c>
      <c r="E114" s="59">
        <f>D114+(E112-D112)*1.1</f>
        <v>18210431.699999999</v>
      </c>
      <c r="F114" s="59">
        <f t="shared" ref="F114:AM114" si="2">E114+(F112-E112)*1.1</f>
        <v>18410668</v>
      </c>
      <c r="G114" s="59">
        <f t="shared" si="2"/>
        <v>18606799.100000001</v>
      </c>
      <c r="H114" s="59">
        <f t="shared" si="2"/>
        <v>18798562.100000001</v>
      </c>
      <c r="I114" s="59">
        <f t="shared" si="2"/>
        <v>18985711.700000003</v>
      </c>
      <c r="J114" s="59">
        <f t="shared" si="2"/>
        <v>19115628.818821248</v>
      </c>
      <c r="K114" s="59">
        <f t="shared" si="2"/>
        <v>19241919.578714848</v>
      </c>
      <c r="L114" s="59">
        <f t="shared" si="2"/>
        <v>19364507.717639677</v>
      </c>
      <c r="M114" s="59">
        <f t="shared" si="2"/>
        <v>19483318.853955962</v>
      </c>
      <c r="N114" s="59">
        <f t="shared" si="2"/>
        <v>19598280.561311994</v>
      </c>
      <c r="O114" s="59">
        <f t="shared" si="2"/>
        <v>19709322.441924512</v>
      </c>
      <c r="P114" s="59">
        <f t="shared" si="2"/>
        <v>19816376.198149119</v>
      </c>
      <c r="Q114" s="59">
        <f t="shared" si="2"/>
        <v>19919375.702239588</v>
      </c>
      <c r="R114" s="59">
        <f t="shared" si="2"/>
        <v>20018257.064196367</v>
      </c>
      <c r="S114" s="59">
        <f t="shared" si="2"/>
        <v>20112958.697607562</v>
      </c>
      <c r="T114" s="59">
        <f t="shared" si="2"/>
        <v>20203421.383387301</v>
      </c>
      <c r="U114" s="59">
        <f t="shared" si="2"/>
        <v>20289588.331319753</v>
      </c>
      <c r="V114" s="59">
        <f t="shared" si="2"/>
        <v>20371405.239319414</v>
      </c>
      <c r="W114" s="59">
        <f t="shared" si="2"/>
        <v>20448820.35032123</v>
      </c>
      <c r="X114" s="59">
        <f t="shared" si="2"/>
        <v>20521784.506717492</v>
      </c>
      <c r="Y114" s="59">
        <f t="shared" si="2"/>
        <v>20590251.202261463</v>
      </c>
      <c r="Z114" s="59">
        <f t="shared" si="2"/>
        <v>20654176.631361198</v>
      </c>
      <c r="AA114" s="59">
        <f t="shared" si="2"/>
        <v>20713519.735690575</v>
      </c>
      <c r="AB114" s="59">
        <f t="shared" si="2"/>
        <v>20768242.24804835</v>
      </c>
      <c r="AC114" s="59">
        <f t="shared" si="2"/>
        <v>20818308.733399615</v>
      </c>
      <c r="AD114" s="59">
        <f t="shared" si="2"/>
        <v>20863686.627038307</v>
      </c>
      <c r="AE114" s="59">
        <f t="shared" si="2"/>
        <v>20904346.269813314</v>
      </c>
      <c r="AF114" s="59">
        <f t="shared" si="2"/>
        <v>20940260.940364901</v>
      </c>
      <c r="AG114" s="59">
        <f t="shared" si="2"/>
        <v>20971406.884322561</v>
      </c>
      <c r="AH114" s="59">
        <f t="shared" si="2"/>
        <v>20997763.340419751</v>
      </c>
      <c r="AI114" s="59">
        <f t="shared" si="2"/>
        <v>21019312.563485313</v>
      </c>
      <c r="AJ114" s="59">
        <f t="shared" si="2"/>
        <v>21036039.844276223</v>
      </c>
      <c r="AK114" s="59">
        <f t="shared" si="2"/>
        <v>21047933.526120521</v>
      </c>
      <c r="AL114" s="59">
        <f t="shared" si="2"/>
        <v>21054985.01834444</v>
      </c>
      <c r="AM114" s="59">
        <f t="shared" si="2"/>
        <v>21057188.806462027</v>
      </c>
    </row>
    <row r="115" spans="1:39" hidden="1" outlineLevel="1" x14ac:dyDescent="0.2">
      <c r="B115" t="s">
        <v>125</v>
      </c>
      <c r="C115" s="59">
        <f t="shared" si="0"/>
        <v>17819054</v>
      </c>
      <c r="D115" s="59">
        <f t="shared" si="0"/>
        <v>18006407</v>
      </c>
      <c r="E115" s="59">
        <f>D115+(E112-D112)*1.5</f>
        <v>18284622.5</v>
      </c>
      <c r="F115" s="59">
        <f t="shared" ref="F115:AM115" si="3">E115+(F112-E112)*1.5</f>
        <v>18557672</v>
      </c>
      <c r="G115" s="59">
        <f t="shared" si="3"/>
        <v>18825123.5</v>
      </c>
      <c r="H115" s="59">
        <f t="shared" si="3"/>
        <v>19086618.5</v>
      </c>
      <c r="I115" s="59">
        <f t="shared" si="3"/>
        <v>19341822.5</v>
      </c>
      <c r="J115" s="59">
        <f t="shared" si="3"/>
        <v>19518982.207483515</v>
      </c>
      <c r="K115" s="59">
        <f t="shared" si="3"/>
        <v>19691196.880065694</v>
      </c>
      <c r="L115" s="59">
        <f t="shared" si="3"/>
        <v>19858362.524054095</v>
      </c>
      <c r="M115" s="59">
        <f t="shared" si="3"/>
        <v>20020377.709939934</v>
      </c>
      <c r="N115" s="59">
        <f t="shared" si="3"/>
        <v>20177143.674516343</v>
      </c>
      <c r="O115" s="59">
        <f t="shared" si="3"/>
        <v>20328564.42080614</v>
      </c>
      <c r="P115" s="59">
        <f t="shared" si="3"/>
        <v>20474546.815657876</v>
      </c>
      <c r="Q115" s="59">
        <f t="shared" si="3"/>
        <v>20615000.68487215</v>
      </c>
      <c r="R115" s="59">
        <f t="shared" si="3"/>
        <v>20749838.905722301</v>
      </c>
      <c r="S115" s="59">
        <f t="shared" si="3"/>
        <v>20878977.49673757</v>
      </c>
      <c r="T115" s="59">
        <f t="shared" si="3"/>
        <v>21002335.704619028</v>
      </c>
      <c r="U115" s="59">
        <f t="shared" si="3"/>
        <v>21119836.088163279</v>
      </c>
      <c r="V115" s="59">
        <f t="shared" si="3"/>
        <v>21231404.599071905</v>
      </c>
      <c r="W115" s="59">
        <f t="shared" si="3"/>
        <v>21336970.659528926</v>
      </c>
      <c r="X115" s="59">
        <f t="shared" si="3"/>
        <v>21436467.236432921</v>
      </c>
      <c r="Y115" s="59">
        <f t="shared" si="3"/>
        <v>21529830.912174702</v>
      </c>
      <c r="Z115" s="59">
        <f t="shared" si="3"/>
        <v>21617001.951856159</v>
      </c>
      <c r="AA115" s="59">
        <f t="shared" si="3"/>
        <v>21697924.366850764</v>
      </c>
      <c r="AB115" s="59">
        <f t="shared" si="3"/>
        <v>21772545.974611368</v>
      </c>
      <c r="AC115" s="59">
        <f t="shared" si="3"/>
        <v>21840818.454635818</v>
      </c>
      <c r="AD115" s="59">
        <f t="shared" si="3"/>
        <v>21902697.400506765</v>
      </c>
      <c r="AE115" s="59">
        <f t="shared" si="3"/>
        <v>21958142.367927227</v>
      </c>
      <c r="AF115" s="59">
        <f t="shared" si="3"/>
        <v>22007116.91867939</v>
      </c>
      <c r="AG115" s="59">
        <f t="shared" si="3"/>
        <v>22049588.660439834</v>
      </c>
      <c r="AH115" s="59">
        <f t="shared" si="3"/>
        <v>22085529.282390542</v>
      </c>
      <c r="AI115" s="59">
        <f t="shared" si="3"/>
        <v>22114914.586570852</v>
      </c>
      <c r="AJ115" s="59">
        <f t="shared" si="3"/>
        <v>22137724.514922094</v>
      </c>
      <c r="AK115" s="59">
        <f t="shared" si="3"/>
        <v>22153943.171982501</v>
      </c>
      <c r="AL115" s="59">
        <f t="shared" si="3"/>
        <v>22163558.843196936</v>
      </c>
      <c r="AM115" s="59">
        <f t="shared" si="3"/>
        <v>22166564.008811831</v>
      </c>
    </row>
    <row r="116" spans="1:39" hidden="1" outlineLevel="1" x14ac:dyDescent="0.2">
      <c r="C116" s="88"/>
      <c r="D116" s="88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  <c r="AA116" s="59"/>
      <c r="AB116" s="59"/>
      <c r="AC116" s="59"/>
      <c r="AD116" s="59"/>
      <c r="AE116" s="59"/>
      <c r="AF116" s="59"/>
      <c r="AG116" s="59"/>
      <c r="AH116" s="59"/>
      <c r="AI116" s="59"/>
      <c r="AJ116" s="59"/>
      <c r="AK116" s="59"/>
      <c r="AL116" s="59"/>
      <c r="AM116" s="59"/>
    </row>
    <row r="117" spans="1:39" hidden="1" outlineLevel="1" x14ac:dyDescent="0.2">
      <c r="B117" s="80" t="s">
        <v>140</v>
      </c>
    </row>
    <row r="118" spans="1:39" hidden="1" outlineLevel="1" x14ac:dyDescent="0.2">
      <c r="C118" s="80">
        <v>2014</v>
      </c>
      <c r="D118" s="80">
        <v>2015</v>
      </c>
      <c r="E118" s="80">
        <v>2016</v>
      </c>
      <c r="F118" s="80">
        <v>2017</v>
      </c>
      <c r="G118" s="80">
        <v>2018</v>
      </c>
      <c r="H118" s="80">
        <v>2019</v>
      </c>
      <c r="I118" s="80">
        <v>2020</v>
      </c>
      <c r="J118" s="80">
        <v>2021</v>
      </c>
      <c r="K118" s="80">
        <v>2022</v>
      </c>
      <c r="L118" s="80">
        <v>2023</v>
      </c>
      <c r="M118" s="80">
        <v>2024</v>
      </c>
      <c r="N118" s="80">
        <v>2025</v>
      </c>
      <c r="O118" s="80">
        <v>2026</v>
      </c>
      <c r="P118" s="80">
        <v>2027</v>
      </c>
      <c r="Q118" s="80">
        <v>2028</v>
      </c>
      <c r="R118" s="80">
        <v>2029</v>
      </c>
      <c r="S118" s="80">
        <v>2030</v>
      </c>
      <c r="T118" s="80">
        <v>2031</v>
      </c>
      <c r="U118" s="80">
        <v>2032</v>
      </c>
      <c r="V118" s="80">
        <v>2033</v>
      </c>
      <c r="W118" s="80">
        <v>2034</v>
      </c>
      <c r="X118" s="80">
        <v>2035</v>
      </c>
      <c r="Y118" s="80">
        <v>2036</v>
      </c>
      <c r="Z118" s="80">
        <v>2037</v>
      </c>
      <c r="AA118" s="80">
        <v>2038</v>
      </c>
      <c r="AB118" s="80">
        <v>2039</v>
      </c>
      <c r="AC118" s="80">
        <v>2040</v>
      </c>
      <c r="AD118" s="80">
        <v>2041</v>
      </c>
      <c r="AE118" s="80">
        <v>2042</v>
      </c>
      <c r="AF118" s="80">
        <v>2043</v>
      </c>
      <c r="AG118" s="80">
        <v>2044</v>
      </c>
      <c r="AH118" s="80">
        <v>2045</v>
      </c>
      <c r="AI118" s="80">
        <v>2046</v>
      </c>
      <c r="AJ118" s="80">
        <v>2047</v>
      </c>
      <c r="AK118" s="80">
        <v>2048</v>
      </c>
      <c r="AL118" s="80">
        <v>2049</v>
      </c>
      <c r="AM118" s="80">
        <v>2050</v>
      </c>
    </row>
    <row r="119" spans="1:39" hidden="1" outlineLevel="1" x14ac:dyDescent="0.2">
      <c r="B119" t="s">
        <v>127</v>
      </c>
      <c r="C119" s="82">
        <v>1.9E-2</v>
      </c>
      <c r="D119" s="82">
        <v>2.069E-2</v>
      </c>
      <c r="E119" s="82">
        <v>1.537E-2</v>
      </c>
      <c r="F119" s="82">
        <v>2.1000000000000001E-2</v>
      </c>
      <c r="G119" s="82">
        <v>2.7000000000000003E-2</v>
      </c>
      <c r="H119" s="82">
        <v>3.0200000000000001E-2</v>
      </c>
      <c r="I119" s="82">
        <v>3.2000000000000001E-2</v>
      </c>
      <c r="J119" s="82">
        <v>3.4000000000000002E-2</v>
      </c>
      <c r="K119" s="82">
        <v>3.4000000000000002E-2</v>
      </c>
      <c r="L119" s="82">
        <v>3.4000000000000002E-2</v>
      </c>
      <c r="M119" s="82">
        <v>3.4000000000000002E-2</v>
      </c>
      <c r="N119" s="82">
        <v>3.4000000000000002E-2</v>
      </c>
      <c r="O119" s="82">
        <v>3.4000000000000002E-2</v>
      </c>
      <c r="P119" s="82">
        <v>3.4000000000000002E-2</v>
      </c>
      <c r="Q119" s="82">
        <v>3.4000000000000002E-2</v>
      </c>
      <c r="R119" s="82">
        <v>3.3500000000000002E-2</v>
      </c>
      <c r="S119" s="82">
        <v>3.3000000000000002E-2</v>
      </c>
      <c r="T119" s="82">
        <v>3.2500000000000001E-2</v>
      </c>
      <c r="U119" s="82">
        <v>3.2000000000000001E-2</v>
      </c>
      <c r="V119" s="82">
        <v>3.15E-2</v>
      </c>
      <c r="W119" s="82">
        <v>3.1E-2</v>
      </c>
      <c r="X119" s="82">
        <v>3.0499999999999999E-2</v>
      </c>
      <c r="Y119" s="82">
        <v>0.03</v>
      </c>
      <c r="Z119" s="82">
        <v>2.9500000000000002E-2</v>
      </c>
      <c r="AA119" s="82">
        <v>2.8999999999999998E-2</v>
      </c>
      <c r="AB119" s="82">
        <v>2.8399999999999998E-2</v>
      </c>
      <c r="AC119" s="82">
        <v>2.7799999999999998E-2</v>
      </c>
      <c r="AD119" s="82">
        <v>2.7099999999999999E-2</v>
      </c>
      <c r="AE119" s="82">
        <v>2.64E-2</v>
      </c>
      <c r="AF119" s="82">
        <v>2.5600000000000001E-2</v>
      </c>
      <c r="AG119" s="82">
        <v>2.4700000000000003E-2</v>
      </c>
      <c r="AH119" s="82">
        <v>2.3799999999999998E-2</v>
      </c>
      <c r="AI119" s="82">
        <v>2.2799999999999997E-2</v>
      </c>
      <c r="AJ119" s="82">
        <v>2.18E-2</v>
      </c>
      <c r="AK119" s="82">
        <v>2.0899999999999998E-2</v>
      </c>
      <c r="AL119" s="82">
        <v>0.02</v>
      </c>
      <c r="AM119" s="82">
        <v>1.9099999999999999E-2</v>
      </c>
    </row>
    <row r="120" spans="1:39" hidden="1" outlineLevel="1" x14ac:dyDescent="0.2">
      <c r="B120" t="s">
        <v>128</v>
      </c>
      <c r="C120" s="82">
        <v>1.9E-2</v>
      </c>
      <c r="D120" s="82">
        <v>2.069E-2</v>
      </c>
      <c r="E120" s="82">
        <v>4.2000000000000003E-2</v>
      </c>
      <c r="F120" s="82">
        <v>0.04</v>
      </c>
      <c r="G120" s="82">
        <v>3.9E-2</v>
      </c>
      <c r="H120" s="82">
        <v>3.7999999999999999E-2</v>
      </c>
      <c r="I120" s="82">
        <v>3.7000000000000005E-2</v>
      </c>
      <c r="J120" s="82">
        <v>3.6000000000000004E-2</v>
      </c>
      <c r="K120" s="82">
        <v>3.5000000000000003E-2</v>
      </c>
      <c r="L120" s="82">
        <v>3.4000000000000002E-2</v>
      </c>
      <c r="M120" s="82">
        <v>3.3000000000000002E-2</v>
      </c>
      <c r="N120" s="82">
        <v>3.2000000000000001E-2</v>
      </c>
      <c r="O120" s="82">
        <v>3.1E-2</v>
      </c>
      <c r="P120" s="82">
        <v>0.03</v>
      </c>
      <c r="Q120" s="82">
        <v>2.8999999999999998E-2</v>
      </c>
      <c r="R120" s="82">
        <v>2.8500000000000001E-2</v>
      </c>
      <c r="S120" s="82">
        <v>2.7999999999999997E-2</v>
      </c>
      <c r="T120" s="82">
        <v>2.75E-2</v>
      </c>
      <c r="U120" s="82">
        <v>2.7000000000000003E-2</v>
      </c>
      <c r="V120" s="82">
        <v>2.64E-2</v>
      </c>
      <c r="W120" s="82">
        <v>2.5899999999999999E-2</v>
      </c>
      <c r="X120" s="82">
        <v>2.5399999999999999E-2</v>
      </c>
      <c r="Y120" s="82">
        <v>2.4900000000000002E-2</v>
      </c>
      <c r="Z120" s="82">
        <v>2.4399999999999998E-2</v>
      </c>
      <c r="AA120" s="82">
        <v>2.3900000000000001E-2</v>
      </c>
      <c r="AB120" s="82">
        <v>2.3399999999999997E-2</v>
      </c>
      <c r="AC120" s="82">
        <v>2.29E-2</v>
      </c>
      <c r="AD120" s="82">
        <v>2.2499999999999999E-2</v>
      </c>
      <c r="AE120" s="82">
        <v>2.2000000000000002E-2</v>
      </c>
      <c r="AF120" s="82">
        <v>2.1499999999999998E-2</v>
      </c>
      <c r="AG120" s="82">
        <v>2.1000000000000001E-2</v>
      </c>
      <c r="AH120" s="82">
        <v>2.0499999999999997E-2</v>
      </c>
      <c r="AI120" s="82">
        <v>0.02</v>
      </c>
      <c r="AJ120" s="82">
        <v>1.95E-2</v>
      </c>
      <c r="AK120" s="82">
        <v>1.9E-2</v>
      </c>
      <c r="AL120" s="82">
        <v>1.8500000000000003E-2</v>
      </c>
      <c r="AM120" s="82">
        <v>1.8000000000000002E-2</v>
      </c>
    </row>
    <row r="121" spans="1:39" hidden="1" outlineLevel="1" x14ac:dyDescent="0.2">
      <c r="B121" t="s">
        <v>129</v>
      </c>
      <c r="C121" s="82">
        <v>1.9E-2</v>
      </c>
      <c r="D121" s="82">
        <v>2.069E-2</v>
      </c>
      <c r="E121" s="82">
        <v>4.7E-2</v>
      </c>
      <c r="F121" s="82">
        <v>4.4999999999999998E-2</v>
      </c>
      <c r="G121" s="82">
        <v>4.4000000000000004E-2</v>
      </c>
      <c r="H121" s="82">
        <v>4.2999999999999997E-2</v>
      </c>
      <c r="I121" s="82">
        <v>4.2000000000000003E-2</v>
      </c>
      <c r="J121" s="82">
        <v>4.0999999999999995E-2</v>
      </c>
      <c r="K121" s="82">
        <v>0.04</v>
      </c>
      <c r="L121" s="82">
        <v>3.9E-2</v>
      </c>
      <c r="M121" s="82">
        <v>3.7999999999999999E-2</v>
      </c>
      <c r="N121" s="82">
        <v>3.7000000000000005E-2</v>
      </c>
      <c r="O121" s="82">
        <v>3.6000000000000004E-2</v>
      </c>
      <c r="P121" s="82">
        <v>3.5000000000000003E-2</v>
      </c>
      <c r="Q121" s="82">
        <v>3.4000000000000002E-2</v>
      </c>
      <c r="R121" s="82">
        <v>3.3500000000000002E-2</v>
      </c>
      <c r="S121" s="82">
        <v>3.3000000000000002E-2</v>
      </c>
      <c r="T121" s="82">
        <v>3.2500000000000001E-2</v>
      </c>
      <c r="U121" s="82">
        <v>3.2000000000000001E-2</v>
      </c>
      <c r="V121" s="82">
        <v>3.15E-2</v>
      </c>
      <c r="W121" s="82">
        <v>3.1E-2</v>
      </c>
      <c r="X121" s="82">
        <v>3.0499999999999999E-2</v>
      </c>
      <c r="Y121" s="82">
        <v>0.03</v>
      </c>
      <c r="Z121" s="82">
        <v>2.9500000000000002E-2</v>
      </c>
      <c r="AA121" s="82">
        <v>2.8999999999999998E-2</v>
      </c>
      <c r="AB121" s="82">
        <v>2.8399999999999998E-2</v>
      </c>
      <c r="AC121" s="82">
        <v>2.7799999999999998E-2</v>
      </c>
      <c r="AD121" s="82">
        <v>2.7099999999999999E-2</v>
      </c>
      <c r="AE121" s="82">
        <v>2.64E-2</v>
      </c>
      <c r="AF121" s="82">
        <v>2.5600000000000001E-2</v>
      </c>
      <c r="AG121" s="82">
        <v>2.4700000000000003E-2</v>
      </c>
      <c r="AH121" s="82">
        <v>2.3799999999999998E-2</v>
      </c>
      <c r="AI121" s="82">
        <v>2.2799999999999997E-2</v>
      </c>
      <c r="AJ121" s="82">
        <v>2.18E-2</v>
      </c>
      <c r="AK121" s="82">
        <v>2.0899999999999998E-2</v>
      </c>
      <c r="AL121" s="82">
        <v>0.02</v>
      </c>
      <c r="AM121" s="82">
        <v>1.9099999999999999E-2</v>
      </c>
    </row>
    <row r="122" spans="1:39" hidden="1" outlineLevel="1" x14ac:dyDescent="0.2">
      <c r="B122" t="s">
        <v>130</v>
      </c>
      <c r="C122" s="82">
        <v>1.9E-2</v>
      </c>
      <c r="D122" s="82">
        <v>2.069E-2</v>
      </c>
      <c r="E122" s="82">
        <v>5.2000000000000005E-2</v>
      </c>
      <c r="F122" s="82">
        <v>0.05</v>
      </c>
      <c r="G122" s="82">
        <v>4.9000000000000002E-2</v>
      </c>
      <c r="H122" s="82">
        <v>4.8000000000000001E-2</v>
      </c>
      <c r="I122" s="82">
        <v>4.7E-2</v>
      </c>
      <c r="J122" s="82">
        <v>4.5999999999999999E-2</v>
      </c>
      <c r="K122" s="82">
        <v>4.4999999999999998E-2</v>
      </c>
      <c r="L122" s="82">
        <v>4.41E-2</v>
      </c>
      <c r="M122" s="82">
        <v>4.3200000000000002E-2</v>
      </c>
      <c r="N122" s="82">
        <v>4.24E-2</v>
      </c>
      <c r="O122" s="82">
        <v>4.1500000000000002E-2</v>
      </c>
      <c r="P122" s="82">
        <v>4.07E-2</v>
      </c>
      <c r="Q122" s="82">
        <v>3.9900000000000005E-2</v>
      </c>
      <c r="R122" s="82">
        <v>3.9100000000000003E-2</v>
      </c>
      <c r="S122" s="82">
        <v>3.8199999999999998E-2</v>
      </c>
      <c r="T122" s="82">
        <v>3.73E-2</v>
      </c>
      <c r="U122" s="82">
        <v>3.6299999999999999E-2</v>
      </c>
      <c r="V122" s="82">
        <v>3.5200000000000002E-2</v>
      </c>
      <c r="W122" s="82">
        <v>3.4000000000000002E-2</v>
      </c>
      <c r="X122" s="82">
        <v>3.2500000000000001E-2</v>
      </c>
      <c r="Y122" s="82">
        <v>3.1E-2</v>
      </c>
      <c r="Z122" s="82">
        <v>2.9300000000000003E-2</v>
      </c>
      <c r="AA122" s="82">
        <v>2.76E-2</v>
      </c>
      <c r="AB122" s="82">
        <v>2.5899999999999999E-2</v>
      </c>
      <c r="AC122" s="82">
        <v>2.4500000000000001E-2</v>
      </c>
      <c r="AD122" s="82">
        <v>2.3300000000000001E-2</v>
      </c>
      <c r="AE122" s="82">
        <v>2.23E-2</v>
      </c>
      <c r="AF122" s="82">
        <v>2.1499999999999998E-2</v>
      </c>
      <c r="AG122" s="82">
        <v>2.0799999999999999E-2</v>
      </c>
      <c r="AH122" s="82">
        <v>2.0400000000000001E-2</v>
      </c>
      <c r="AI122" s="82">
        <v>0.02</v>
      </c>
      <c r="AJ122" s="82">
        <v>1.9699999999999999E-2</v>
      </c>
      <c r="AK122" s="82">
        <v>1.95E-2</v>
      </c>
      <c r="AL122" s="82">
        <v>1.9299999999999998E-2</v>
      </c>
      <c r="AM122" s="82">
        <v>1.9099999999999999E-2</v>
      </c>
    </row>
    <row r="123" spans="1:39" collapsed="1" x14ac:dyDescent="0.2">
      <c r="A123" t="s">
        <v>141</v>
      </c>
      <c r="C123" s="89"/>
      <c r="D123" s="89"/>
      <c r="E123" s="77"/>
      <c r="F123" s="77"/>
      <c r="G123" s="77"/>
      <c r="H123" s="77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  <c r="AA123" s="77"/>
      <c r="AB123" s="77"/>
      <c r="AC123" s="77"/>
      <c r="AD123" s="77"/>
      <c r="AE123" s="77"/>
      <c r="AF123" s="77"/>
      <c r="AG123" s="77"/>
      <c r="AH123" s="77"/>
      <c r="AI123" s="77"/>
      <c r="AJ123" s="77"/>
      <c r="AK123" s="77"/>
      <c r="AL123" s="77"/>
      <c r="AM123" s="77"/>
    </row>
    <row r="125" spans="1:39" x14ac:dyDescent="0.2">
      <c r="C125" s="89"/>
      <c r="D125" s="89"/>
      <c r="E125" s="77"/>
      <c r="F125" s="77"/>
      <c r="G125" s="77"/>
      <c r="H125" s="77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  <c r="AA125" s="77"/>
      <c r="AB125" s="77"/>
      <c r="AC125" s="77"/>
      <c r="AD125" s="77"/>
      <c r="AE125" s="77"/>
      <c r="AF125" s="77"/>
      <c r="AG125" s="77"/>
      <c r="AH125" s="77"/>
      <c r="AI125" s="77"/>
      <c r="AJ125" s="77"/>
      <c r="AK125" s="77"/>
      <c r="AL125" s="77"/>
      <c r="AM125" s="77"/>
    </row>
    <row r="126" spans="1:39" x14ac:dyDescent="0.2">
      <c r="I126" s="57"/>
    </row>
    <row r="127" spans="1:39" s="57" customFormat="1" x14ac:dyDescent="0.2">
      <c r="B127" t="s">
        <v>28</v>
      </c>
      <c r="C127"/>
      <c r="D127"/>
      <c r="E127"/>
      <c r="F127"/>
      <c r="G127"/>
      <c r="H127"/>
      <c r="I127"/>
      <c r="J127"/>
      <c r="K127"/>
    </row>
    <row r="128" spans="1:39" s="57" customFormat="1" ht="4.5" customHeight="1" x14ac:dyDescent="0.2">
      <c r="B128"/>
      <c r="C128"/>
      <c r="D128"/>
      <c r="E128"/>
      <c r="F128"/>
      <c r="G128"/>
      <c r="H128"/>
      <c r="I128"/>
      <c r="J128"/>
      <c r="K128"/>
    </row>
    <row r="129" spans="2:12" s="57" customFormat="1" x14ac:dyDescent="0.2">
      <c r="B129" t="s">
        <v>29</v>
      </c>
      <c r="C129" t="s">
        <v>30</v>
      </c>
      <c r="D129" t="s">
        <v>31</v>
      </c>
      <c r="E129"/>
      <c r="F129"/>
      <c r="G129"/>
      <c r="H129"/>
      <c r="I129"/>
      <c r="J129"/>
      <c r="K129"/>
    </row>
    <row r="130" spans="2:12" s="57" customFormat="1" x14ac:dyDescent="0.2">
      <c r="B130" t="s">
        <v>32</v>
      </c>
      <c r="C130" t="s">
        <v>846</v>
      </c>
      <c r="D130">
        <v>100</v>
      </c>
      <c r="E130"/>
      <c r="F130"/>
      <c r="G130"/>
      <c r="H130"/>
      <c r="I130"/>
      <c r="J130"/>
      <c r="K130"/>
      <c r="L130" s="58"/>
    </row>
    <row r="131" spans="2:12" s="57" customFormat="1" x14ac:dyDescent="0.2">
      <c r="B131" t="s">
        <v>33</v>
      </c>
      <c r="C131" t="s">
        <v>846</v>
      </c>
      <c r="D131">
        <v>110</v>
      </c>
      <c r="E131"/>
      <c r="F131"/>
      <c r="G131"/>
      <c r="H131"/>
      <c r="I131"/>
      <c r="J131"/>
      <c r="K131"/>
    </row>
    <row r="132" spans="2:12" s="57" customFormat="1" x14ac:dyDescent="0.2">
      <c r="B132"/>
      <c r="C132"/>
      <c r="D132"/>
      <c r="E132"/>
      <c r="F132"/>
      <c r="G132"/>
      <c r="H132"/>
      <c r="I132"/>
      <c r="J132"/>
      <c r="K132"/>
    </row>
    <row r="133" spans="2:12" s="57" customFormat="1" x14ac:dyDescent="0.2">
      <c r="B133"/>
      <c r="C133"/>
      <c r="D133"/>
      <c r="E133"/>
      <c r="F133"/>
      <c r="G133"/>
      <c r="H133"/>
      <c r="I133"/>
      <c r="J133"/>
      <c r="K133"/>
    </row>
    <row r="134" spans="2:12" s="57" customFormat="1" x14ac:dyDescent="0.2">
      <c r="B134" t="s">
        <v>34</v>
      </c>
      <c r="C134"/>
      <c r="D134"/>
      <c r="E134"/>
      <c r="F134"/>
      <c r="G134"/>
      <c r="H134"/>
      <c r="I134"/>
      <c r="J134"/>
      <c r="K134"/>
    </row>
    <row r="135" spans="2:12" s="57" customFormat="1" ht="18.75" customHeight="1" x14ac:dyDescent="0.2">
      <c r="B135"/>
      <c r="C135"/>
      <c r="D135"/>
      <c r="E135"/>
      <c r="F135"/>
      <c r="G135"/>
      <c r="H135"/>
      <c r="I135"/>
      <c r="J135"/>
      <c r="K135"/>
    </row>
    <row r="136" spans="2:12" s="57" customFormat="1" x14ac:dyDescent="0.2">
      <c r="B136" t="s">
        <v>26</v>
      </c>
      <c r="C136">
        <v>2010</v>
      </c>
      <c r="D136">
        <v>2015</v>
      </c>
      <c r="E136">
        <v>2030</v>
      </c>
      <c r="F136">
        <v>2035</v>
      </c>
      <c r="G136">
        <v>2040</v>
      </c>
      <c r="H136"/>
      <c r="I136">
        <v>2050</v>
      </c>
      <c r="J136"/>
      <c r="K136"/>
    </row>
    <row r="137" spans="2:12" s="57" customFormat="1" x14ac:dyDescent="0.2">
      <c r="B137" t="s">
        <v>35</v>
      </c>
      <c r="C137">
        <v>3.5000000000000003E-2</v>
      </c>
      <c r="D137">
        <v>3.5000000000000003E-2</v>
      </c>
      <c r="E137">
        <v>3.5000000000000003E-2</v>
      </c>
      <c r="F137">
        <v>3.5000000000000003E-2</v>
      </c>
      <c r="G137">
        <v>3.5000000000000003E-2</v>
      </c>
      <c r="H137"/>
      <c r="I137">
        <v>0.03</v>
      </c>
      <c r="J137"/>
      <c r="K137"/>
    </row>
    <row r="138" spans="2:12" s="57" customFormat="1" x14ac:dyDescent="0.2">
      <c r="B138" t="s">
        <v>36</v>
      </c>
      <c r="C138">
        <v>1</v>
      </c>
      <c r="D138">
        <v>0.84197316685852419</v>
      </c>
      <c r="E138">
        <v>0.70891881370977217</v>
      </c>
      <c r="F138">
        <v>0.59689061862480497</v>
      </c>
      <c r="G138">
        <v>0.50256588443167061</v>
      </c>
      <c r="H138"/>
      <c r="I138">
        <v>0</v>
      </c>
      <c r="J138"/>
      <c r="K138"/>
    </row>
    <row r="139" spans="2:12" s="57" customFormat="1" x14ac:dyDescent="0.2">
      <c r="B139"/>
      <c r="C139"/>
      <c r="D139"/>
      <c r="E139"/>
      <c r="F139"/>
      <c r="G139"/>
      <c r="H139"/>
      <c r="I139"/>
      <c r="J139"/>
      <c r="K139"/>
    </row>
    <row r="140" spans="2:12" s="57" customFormat="1" x14ac:dyDescent="0.2">
      <c r="B140"/>
      <c r="C140"/>
      <c r="D140"/>
      <c r="E140"/>
      <c r="F140"/>
      <c r="G140"/>
      <c r="H140"/>
      <c r="I140"/>
      <c r="J140"/>
      <c r="K140"/>
    </row>
    <row r="141" spans="2:12" s="57" customFormat="1" x14ac:dyDescent="0.2">
      <c r="B141" t="s">
        <v>37</v>
      </c>
      <c r="C141"/>
      <c r="D141" t="s">
        <v>38</v>
      </c>
      <c r="E141"/>
      <c r="F141" t="s">
        <v>39</v>
      </c>
      <c r="G141"/>
      <c r="H141"/>
      <c r="I141"/>
      <c r="J141"/>
      <c r="K141"/>
    </row>
    <row r="142" spans="2:12" s="57" customFormat="1" ht="6" customHeight="1" x14ac:dyDescent="0.2">
      <c r="B142"/>
      <c r="C142"/>
      <c r="D142"/>
      <c r="E142"/>
      <c r="F142"/>
      <c r="G142"/>
      <c r="H142"/>
      <c r="I142"/>
      <c r="J142"/>
      <c r="K142"/>
    </row>
    <row r="143" spans="2:12" s="57" customFormat="1" x14ac:dyDescent="0.2">
      <c r="B143" t="s">
        <v>40</v>
      </c>
      <c r="C143"/>
      <c r="D143" t="s">
        <v>41</v>
      </c>
      <c r="E143" t="s">
        <v>42</v>
      </c>
      <c r="F143" t="s">
        <v>41</v>
      </c>
      <c r="G143" t="s">
        <v>42</v>
      </c>
      <c r="H143"/>
      <c r="I143" t="s">
        <v>43</v>
      </c>
      <c r="J143"/>
      <c r="K143"/>
    </row>
    <row r="144" spans="2:12" s="57" customFormat="1" x14ac:dyDescent="0.2">
      <c r="B144"/>
      <c r="C144"/>
      <c r="D144"/>
      <c r="E144"/>
      <c r="F144"/>
      <c r="G144"/>
      <c r="H144"/>
      <c r="I144" t="s">
        <v>45</v>
      </c>
      <c r="J144"/>
      <c r="K144"/>
    </row>
    <row r="145" spans="2:11" s="57" customFormat="1" x14ac:dyDescent="0.2">
      <c r="B145"/>
      <c r="C145" t="s">
        <v>44</v>
      </c>
      <c r="D145">
        <v>0</v>
      </c>
      <c r="E145">
        <v>15</v>
      </c>
      <c r="F145">
        <v>0.1</v>
      </c>
      <c r="G145">
        <v>15</v>
      </c>
      <c r="H145"/>
      <c r="I145"/>
      <c r="J145"/>
      <c r="K145"/>
    </row>
    <row r="146" spans="2:11" s="57" customFormat="1" x14ac:dyDescent="0.2">
      <c r="B146"/>
      <c r="C146"/>
      <c r="D146"/>
      <c r="E146"/>
      <c r="F146"/>
      <c r="G146"/>
      <c r="H146"/>
      <c r="I146"/>
      <c r="J146"/>
      <c r="K146"/>
    </row>
    <row r="147" spans="2:11" s="57" customFormat="1" x14ac:dyDescent="0.2">
      <c r="B147" t="s">
        <v>46</v>
      </c>
      <c r="C147" t="s">
        <v>47</v>
      </c>
      <c r="D147">
        <v>0</v>
      </c>
      <c r="E147">
        <v>20</v>
      </c>
      <c r="F147">
        <v>0.1</v>
      </c>
      <c r="G147">
        <v>20</v>
      </c>
      <c r="H147"/>
      <c r="I147"/>
      <c r="J147"/>
      <c r="K147"/>
    </row>
    <row r="148" spans="2:11" s="57" customFormat="1" x14ac:dyDescent="0.2">
      <c r="B148" t="s">
        <v>48</v>
      </c>
      <c r="C148" t="s">
        <v>49</v>
      </c>
      <c r="D148">
        <v>0</v>
      </c>
      <c r="E148">
        <v>30</v>
      </c>
      <c r="F148">
        <v>0.1</v>
      </c>
      <c r="G148">
        <v>30</v>
      </c>
      <c r="H148"/>
      <c r="I148"/>
      <c r="J148"/>
      <c r="K148"/>
    </row>
    <row r="149" spans="2:11" s="57" customFormat="1" x14ac:dyDescent="0.2">
      <c r="B149" t="s">
        <v>50</v>
      </c>
      <c r="C149" t="s">
        <v>51</v>
      </c>
      <c r="D149">
        <v>0</v>
      </c>
      <c r="E149">
        <v>30</v>
      </c>
      <c r="F149">
        <v>0.1</v>
      </c>
      <c r="G149">
        <v>30</v>
      </c>
      <c r="H149"/>
      <c r="I149"/>
      <c r="J149"/>
      <c r="K149"/>
    </row>
    <row r="150" spans="2:11" s="57" customFormat="1" x14ac:dyDescent="0.2">
      <c r="B150" t="s">
        <v>52</v>
      </c>
      <c r="C150" t="s">
        <v>53</v>
      </c>
      <c r="D150">
        <v>0</v>
      </c>
      <c r="E150">
        <v>20</v>
      </c>
      <c r="F150">
        <v>0.1</v>
      </c>
      <c r="G150">
        <v>20</v>
      </c>
      <c r="H150"/>
      <c r="I150"/>
      <c r="J150"/>
      <c r="K150"/>
    </row>
    <row r="151" spans="2:11" s="57" customFormat="1" x14ac:dyDescent="0.2">
      <c r="B151" t="s">
        <v>54</v>
      </c>
      <c r="C151" t="s">
        <v>55</v>
      </c>
      <c r="D151">
        <v>0</v>
      </c>
      <c r="E151">
        <v>20</v>
      </c>
      <c r="F151">
        <v>0.1</v>
      </c>
      <c r="G151">
        <v>20</v>
      </c>
      <c r="H151"/>
      <c r="I151"/>
      <c r="J151"/>
      <c r="K151"/>
    </row>
    <row r="152" spans="2:11" s="57" customFormat="1" x14ac:dyDescent="0.2">
      <c r="B152" t="s">
        <v>56</v>
      </c>
      <c r="C152" t="s">
        <v>57</v>
      </c>
      <c r="D152">
        <v>0</v>
      </c>
      <c r="E152">
        <v>30</v>
      </c>
      <c r="F152">
        <v>0.1</v>
      </c>
      <c r="G152">
        <v>30</v>
      </c>
      <c r="H152"/>
      <c r="I152"/>
      <c r="J152"/>
      <c r="K152"/>
    </row>
    <row r="153" spans="2:11" s="57" customFormat="1" x14ac:dyDescent="0.2">
      <c r="B153" t="s">
        <v>58</v>
      </c>
      <c r="C153" t="s">
        <v>59</v>
      </c>
      <c r="D153">
        <v>0</v>
      </c>
      <c r="E153">
        <v>30</v>
      </c>
      <c r="F153">
        <v>0.1</v>
      </c>
      <c r="G153">
        <v>30</v>
      </c>
      <c r="H153"/>
      <c r="I153"/>
      <c r="J153"/>
      <c r="K153"/>
    </row>
    <row r="154" spans="2:11" s="57" customFormat="1" x14ac:dyDescent="0.2">
      <c r="B154" t="s">
        <v>60</v>
      </c>
      <c r="C154" t="s">
        <v>61</v>
      </c>
      <c r="D154">
        <v>0</v>
      </c>
      <c r="E154">
        <v>25</v>
      </c>
      <c r="F154">
        <v>0.1</v>
      </c>
      <c r="G154">
        <v>25</v>
      </c>
      <c r="H154"/>
      <c r="I154"/>
      <c r="J154"/>
      <c r="K154"/>
    </row>
    <row r="155" spans="2:11" s="57" customFormat="1" x14ac:dyDescent="0.2">
      <c r="B155" t="s">
        <v>62</v>
      </c>
      <c r="C155" t="s">
        <v>63</v>
      </c>
      <c r="D155">
        <v>0</v>
      </c>
      <c r="E155">
        <v>25</v>
      </c>
      <c r="F155">
        <v>0.1</v>
      </c>
      <c r="G155">
        <v>25</v>
      </c>
      <c r="H155"/>
      <c r="I155"/>
      <c r="J155"/>
      <c r="K155"/>
    </row>
    <row r="156" spans="2:11" s="57" customFormat="1" x14ac:dyDescent="0.2">
      <c r="B156" t="s">
        <v>64</v>
      </c>
      <c r="C156" t="s">
        <v>65</v>
      </c>
      <c r="D156">
        <v>0</v>
      </c>
      <c r="E156">
        <v>20</v>
      </c>
      <c r="F156">
        <v>0.1</v>
      </c>
      <c r="G156">
        <v>20</v>
      </c>
      <c r="H156"/>
      <c r="I156"/>
      <c r="J156"/>
      <c r="K156"/>
    </row>
    <row r="157" spans="2:11" s="57" customFormat="1" x14ac:dyDescent="0.2">
      <c r="B157" t="s">
        <v>66</v>
      </c>
      <c r="C157" t="s">
        <v>67</v>
      </c>
      <c r="D157">
        <v>0</v>
      </c>
      <c r="E157">
        <v>25</v>
      </c>
      <c r="F157">
        <v>0.1</v>
      </c>
      <c r="G157">
        <v>25</v>
      </c>
      <c r="H157"/>
      <c r="I157"/>
      <c r="J157"/>
      <c r="K157"/>
    </row>
    <row r="158" spans="2:11" s="57" customFormat="1" x14ac:dyDescent="0.2">
      <c r="B158" t="s">
        <v>68</v>
      </c>
      <c r="C158" t="s">
        <v>69</v>
      </c>
      <c r="D158">
        <v>0</v>
      </c>
      <c r="E158">
        <v>30</v>
      </c>
      <c r="F158">
        <v>0.1</v>
      </c>
      <c r="G158">
        <v>30</v>
      </c>
      <c r="H158"/>
      <c r="I158"/>
      <c r="J158"/>
      <c r="K158"/>
    </row>
    <row r="159" spans="2:11" s="57" customFormat="1" x14ac:dyDescent="0.2">
      <c r="B159"/>
      <c r="C159"/>
      <c r="D159"/>
      <c r="E159"/>
      <c r="F159"/>
      <c r="G159"/>
      <c r="H159"/>
      <c r="I159"/>
      <c r="J159"/>
      <c r="K159"/>
    </row>
    <row r="160" spans="2:11" s="57" customFormat="1" x14ac:dyDescent="0.2">
      <c r="B160"/>
      <c r="C160"/>
      <c r="D160"/>
      <c r="E160"/>
      <c r="F160"/>
      <c r="G160"/>
      <c r="H160"/>
      <c r="I160"/>
      <c r="J160"/>
      <c r="K160"/>
    </row>
    <row r="161" spans="2:11" s="57" customFormat="1" x14ac:dyDescent="0.2">
      <c r="B161"/>
      <c r="C161"/>
      <c r="D161"/>
      <c r="E161"/>
      <c r="F161"/>
      <c r="G161"/>
      <c r="H161"/>
      <c r="I161"/>
      <c r="J161"/>
      <c r="K161"/>
    </row>
    <row r="162" spans="2:11" s="57" customFormat="1" x14ac:dyDescent="0.2">
      <c r="B162" t="s">
        <v>70</v>
      </c>
      <c r="C162" t="s">
        <v>71</v>
      </c>
      <c r="D162">
        <v>0</v>
      </c>
      <c r="E162">
        <v>15</v>
      </c>
      <c r="F162">
        <v>0.1</v>
      </c>
      <c r="G162">
        <v>15</v>
      </c>
      <c r="H162"/>
      <c r="I162"/>
      <c r="J162"/>
      <c r="K162"/>
    </row>
    <row r="163" spans="2:11" s="57" customFormat="1" x14ac:dyDescent="0.2">
      <c r="B163" t="s">
        <v>72</v>
      </c>
      <c r="C163" t="s">
        <v>73</v>
      </c>
      <c r="D163">
        <v>0</v>
      </c>
      <c r="E163">
        <v>15</v>
      </c>
      <c r="F163">
        <v>0.1</v>
      </c>
      <c r="G163">
        <v>15</v>
      </c>
      <c r="H163"/>
      <c r="I163"/>
      <c r="J163"/>
      <c r="K163"/>
    </row>
    <row r="164" spans="2:11" s="57" customFormat="1" x14ac:dyDescent="0.2">
      <c r="B164"/>
      <c r="C164"/>
      <c r="D164"/>
      <c r="E164"/>
      <c r="F164"/>
      <c r="G164"/>
      <c r="H164"/>
      <c r="I164"/>
      <c r="J164"/>
      <c r="K164"/>
    </row>
    <row r="165" spans="2:11" s="57" customFormat="1" x14ac:dyDescent="0.2">
      <c r="B165"/>
      <c r="C165"/>
      <c r="D165"/>
      <c r="E165"/>
      <c r="F165"/>
      <c r="G165"/>
      <c r="H165"/>
      <c r="I165"/>
      <c r="J165"/>
      <c r="K165"/>
    </row>
    <row r="166" spans="2:11" s="57" customFormat="1" x14ac:dyDescent="0.2">
      <c r="B166"/>
      <c r="C166"/>
      <c r="D166"/>
      <c r="E166"/>
      <c r="F166"/>
      <c r="G166"/>
      <c r="H166"/>
      <c r="I166"/>
      <c r="J166"/>
      <c r="K166"/>
    </row>
    <row r="167" spans="2:11" s="57" customFormat="1" x14ac:dyDescent="0.2">
      <c r="B167" t="s">
        <v>74</v>
      </c>
      <c r="C167" t="s">
        <v>75</v>
      </c>
      <c r="D167">
        <v>0</v>
      </c>
      <c r="E167">
        <v>20</v>
      </c>
      <c r="F167">
        <v>0.1</v>
      </c>
      <c r="G167">
        <v>20</v>
      </c>
      <c r="H167"/>
      <c r="I167"/>
      <c r="J167"/>
      <c r="K167"/>
    </row>
    <row r="168" spans="2:11" s="57" customFormat="1" x14ac:dyDescent="0.2">
      <c r="B168" t="s">
        <v>76</v>
      </c>
      <c r="C168" t="s">
        <v>77</v>
      </c>
      <c r="D168">
        <v>0</v>
      </c>
      <c r="E168">
        <v>15</v>
      </c>
      <c r="F168">
        <v>0.1</v>
      </c>
      <c r="G168">
        <v>15</v>
      </c>
      <c r="H168"/>
      <c r="I168"/>
      <c r="J168"/>
      <c r="K168"/>
    </row>
    <row r="169" spans="2:11" s="57" customFormat="1" x14ac:dyDescent="0.2">
      <c r="B169" t="s">
        <v>78</v>
      </c>
      <c r="C169" t="s">
        <v>79</v>
      </c>
      <c r="D169">
        <v>0</v>
      </c>
      <c r="E169">
        <v>25</v>
      </c>
      <c r="F169">
        <v>0.1</v>
      </c>
      <c r="G169">
        <v>25</v>
      </c>
      <c r="H169"/>
      <c r="I169"/>
      <c r="J169"/>
      <c r="K169"/>
    </row>
    <row r="170" spans="2:11" s="57" customFormat="1" x14ac:dyDescent="0.2">
      <c r="B170" t="s">
        <v>80</v>
      </c>
      <c r="C170" t="s">
        <v>81</v>
      </c>
      <c r="D170">
        <v>0</v>
      </c>
      <c r="E170">
        <v>15</v>
      </c>
      <c r="F170">
        <v>0.1</v>
      </c>
      <c r="G170">
        <v>15</v>
      </c>
      <c r="H170"/>
      <c r="I170"/>
      <c r="J170"/>
      <c r="K170"/>
    </row>
    <row r="171" spans="2:11" s="57" customFormat="1" x14ac:dyDescent="0.2">
      <c r="B171" t="s">
        <v>82</v>
      </c>
      <c r="C171" t="s">
        <v>83</v>
      </c>
      <c r="D171">
        <v>0</v>
      </c>
      <c r="E171">
        <v>30</v>
      </c>
      <c r="F171">
        <v>0.1</v>
      </c>
      <c r="G171">
        <v>30</v>
      </c>
      <c r="H171"/>
      <c r="I171"/>
      <c r="J171"/>
      <c r="K171"/>
    </row>
    <row r="172" spans="2:11" s="57" customFormat="1" x14ac:dyDescent="0.2">
      <c r="B172" t="s">
        <v>84</v>
      </c>
      <c r="C172" t="s">
        <v>85</v>
      </c>
      <c r="D172">
        <v>0</v>
      </c>
      <c r="E172">
        <v>15</v>
      </c>
      <c r="F172">
        <v>0.1</v>
      </c>
      <c r="G172">
        <v>15</v>
      </c>
      <c r="H172"/>
      <c r="I172"/>
      <c r="J172"/>
      <c r="K172"/>
    </row>
    <row r="173" spans="2:11" s="57" customFormat="1" x14ac:dyDescent="0.2">
      <c r="B173" t="s">
        <v>86</v>
      </c>
      <c r="C173" t="s">
        <v>87</v>
      </c>
      <c r="D173">
        <v>0</v>
      </c>
      <c r="E173">
        <v>15</v>
      </c>
      <c r="F173">
        <v>0.1</v>
      </c>
      <c r="G173">
        <v>15</v>
      </c>
      <c r="H173"/>
      <c r="I173"/>
      <c r="J173"/>
      <c r="K173"/>
    </row>
    <row r="174" spans="2:11" s="57" customFormat="1" x14ac:dyDescent="0.2">
      <c r="B174"/>
      <c r="C174"/>
      <c r="D174"/>
      <c r="E174"/>
      <c r="F174"/>
      <c r="G174"/>
      <c r="H174"/>
      <c r="I174"/>
      <c r="J174"/>
      <c r="K174"/>
    </row>
    <row r="175" spans="2:11" s="57" customFormat="1" x14ac:dyDescent="0.2">
      <c r="B175"/>
      <c r="C175"/>
      <c r="D175"/>
      <c r="E175"/>
      <c r="F175"/>
      <c r="G175"/>
      <c r="H175"/>
      <c r="I175"/>
      <c r="J175"/>
      <c r="K175"/>
    </row>
    <row r="176" spans="2:11" s="57" customFormat="1" x14ac:dyDescent="0.2">
      <c r="B176" t="s">
        <v>88</v>
      </c>
      <c r="C176" t="s">
        <v>89</v>
      </c>
      <c r="D176">
        <v>0</v>
      </c>
      <c r="E176">
        <v>15</v>
      </c>
      <c r="F176">
        <v>0.1</v>
      </c>
      <c r="G176">
        <v>15</v>
      </c>
      <c r="H176"/>
      <c r="I176"/>
      <c r="J176"/>
      <c r="K176"/>
    </row>
    <row r="177" spans="2:11" s="57" customFormat="1" x14ac:dyDescent="0.2">
      <c r="B177" t="s">
        <v>90</v>
      </c>
      <c r="C177" t="s">
        <v>91</v>
      </c>
      <c r="D177">
        <v>0</v>
      </c>
      <c r="E177">
        <v>15</v>
      </c>
      <c r="F177">
        <v>0.1</v>
      </c>
      <c r="G177">
        <v>15</v>
      </c>
      <c r="H177"/>
      <c r="I177"/>
      <c r="J177"/>
      <c r="K177"/>
    </row>
    <row r="178" spans="2:11" s="57" customFormat="1" x14ac:dyDescent="0.2">
      <c r="B178" t="s">
        <v>92</v>
      </c>
      <c r="C178" t="s">
        <v>93</v>
      </c>
      <c r="D178">
        <v>0</v>
      </c>
      <c r="E178">
        <v>15</v>
      </c>
      <c r="F178">
        <v>0.1</v>
      </c>
      <c r="G178">
        <v>15</v>
      </c>
      <c r="H178"/>
      <c r="I178"/>
      <c r="J178"/>
      <c r="K178"/>
    </row>
    <row r="179" spans="2:11" s="57" customFormat="1" x14ac:dyDescent="0.2">
      <c r="B179" t="s">
        <v>94</v>
      </c>
      <c r="C179" t="s">
        <v>95</v>
      </c>
      <c r="D179">
        <v>0</v>
      </c>
      <c r="E179">
        <v>15</v>
      </c>
      <c r="F179">
        <v>0.1</v>
      </c>
      <c r="G179">
        <v>15</v>
      </c>
      <c r="H179"/>
      <c r="I179"/>
      <c r="J179"/>
      <c r="K179"/>
    </row>
    <row r="180" spans="2:11" s="57" customFormat="1" x14ac:dyDescent="0.2">
      <c r="B180" t="s">
        <v>96</v>
      </c>
      <c r="C180" t="s">
        <v>97</v>
      </c>
      <c r="D180">
        <v>0</v>
      </c>
      <c r="E180">
        <v>5</v>
      </c>
      <c r="F180">
        <v>0.1</v>
      </c>
      <c r="G180">
        <v>5</v>
      </c>
      <c r="H180"/>
      <c r="I180"/>
      <c r="J180"/>
      <c r="K180"/>
    </row>
    <row r="181" spans="2:11" s="57" customFormat="1" x14ac:dyDescent="0.2">
      <c r="B181" t="s">
        <v>98</v>
      </c>
      <c r="C181" t="s">
        <v>99</v>
      </c>
      <c r="D181">
        <v>0</v>
      </c>
      <c r="E181">
        <v>30</v>
      </c>
      <c r="F181">
        <v>0.1</v>
      </c>
      <c r="G181">
        <v>30</v>
      </c>
      <c r="H181"/>
      <c r="I181"/>
      <c r="J181"/>
      <c r="K181"/>
    </row>
    <row r="182" spans="2:11" s="57" customFormat="1" x14ac:dyDescent="0.2">
      <c r="B182" t="s">
        <v>100</v>
      </c>
      <c r="C182" t="s">
        <v>101</v>
      </c>
      <c r="D182">
        <v>0</v>
      </c>
      <c r="E182">
        <v>30</v>
      </c>
      <c r="F182">
        <v>0.1</v>
      </c>
      <c r="G182">
        <v>30</v>
      </c>
      <c r="H182"/>
      <c r="I182"/>
      <c r="J182"/>
      <c r="K182"/>
    </row>
    <row r="183" spans="2:11" s="57" customFormat="1" x14ac:dyDescent="0.2">
      <c r="B183" t="s">
        <v>102</v>
      </c>
      <c r="C183" t="s">
        <v>103</v>
      </c>
      <c r="D183">
        <v>0</v>
      </c>
      <c r="E183">
        <v>10</v>
      </c>
      <c r="F183">
        <v>0.1</v>
      </c>
      <c r="G183">
        <v>10</v>
      </c>
      <c r="H183"/>
      <c r="I183"/>
      <c r="J183"/>
      <c r="K183"/>
    </row>
    <row r="184" spans="2:11" s="57" customFormat="1" x14ac:dyDescent="0.2">
      <c r="B184" t="s">
        <v>104</v>
      </c>
      <c r="C184" t="s">
        <v>105</v>
      </c>
      <c r="D184">
        <v>0</v>
      </c>
      <c r="E184">
        <v>15</v>
      </c>
      <c r="F184">
        <v>0.1</v>
      </c>
      <c r="G184">
        <v>15</v>
      </c>
      <c r="H184"/>
      <c r="I184"/>
      <c r="J184"/>
      <c r="K184"/>
    </row>
    <row r="185" spans="2:11" s="57" customFormat="1" x14ac:dyDescent="0.2">
      <c r="B185" t="s">
        <v>106</v>
      </c>
      <c r="C185" t="s">
        <v>107</v>
      </c>
      <c r="D185">
        <v>0</v>
      </c>
      <c r="E185">
        <v>15</v>
      </c>
      <c r="F185">
        <v>0.1</v>
      </c>
      <c r="G185">
        <v>15</v>
      </c>
      <c r="H185"/>
      <c r="I185"/>
      <c r="J185"/>
      <c r="K185"/>
    </row>
    <row r="186" spans="2:11" s="57" customFormat="1" x14ac:dyDescent="0.2">
      <c r="B186"/>
      <c r="C186"/>
      <c r="D186"/>
      <c r="E186"/>
      <c r="F186"/>
      <c r="G186"/>
      <c r="H186"/>
      <c r="I186"/>
      <c r="J186"/>
      <c r="K186"/>
    </row>
    <row r="187" spans="2:11" s="57" customFormat="1" x14ac:dyDescent="0.2">
      <c r="B187" t="s">
        <v>108</v>
      </c>
      <c r="C187" t="s">
        <v>109</v>
      </c>
      <c r="D187">
        <v>0</v>
      </c>
      <c r="E187">
        <v>15</v>
      </c>
      <c r="F187">
        <v>0.1</v>
      </c>
      <c r="G187">
        <v>15</v>
      </c>
      <c r="H187"/>
      <c r="I187"/>
      <c r="J187"/>
      <c r="K187"/>
    </row>
    <row r="188" spans="2:11" s="57" customFormat="1" x14ac:dyDescent="0.2">
      <c r="B188"/>
      <c r="C188"/>
      <c r="D188"/>
      <c r="E188"/>
      <c r="F188"/>
      <c r="G188"/>
      <c r="H188"/>
      <c r="I188"/>
      <c r="J188"/>
      <c r="K188"/>
    </row>
    <row r="189" spans="2:11" s="57" customFormat="1" x14ac:dyDescent="0.2">
      <c r="B189"/>
      <c r="C189"/>
      <c r="D189"/>
      <c r="E189"/>
      <c r="F189"/>
      <c r="G189"/>
      <c r="H189"/>
      <c r="I189"/>
      <c r="J189"/>
      <c r="K189"/>
    </row>
    <row r="190" spans="2:11" s="57" customFormat="1" x14ac:dyDescent="0.2">
      <c r="B190"/>
      <c r="C190"/>
      <c r="D190"/>
      <c r="E190"/>
      <c r="F190"/>
      <c r="G190"/>
      <c r="H190"/>
      <c r="I190"/>
      <c r="J190"/>
      <c r="K190"/>
    </row>
    <row r="191" spans="2:11" s="57" customFormat="1" x14ac:dyDescent="0.2">
      <c r="B191" t="s">
        <v>110</v>
      </c>
      <c r="C191" t="s">
        <v>111</v>
      </c>
      <c r="D191">
        <v>0</v>
      </c>
      <c r="E191">
        <v>15</v>
      </c>
      <c r="F191">
        <v>0.1</v>
      </c>
      <c r="G191">
        <v>15</v>
      </c>
      <c r="H191"/>
      <c r="I191"/>
      <c r="J191"/>
      <c r="K191"/>
    </row>
    <row r="192" spans="2:11" s="57" customFormat="1" x14ac:dyDescent="0.2">
      <c r="B192"/>
      <c r="C192"/>
      <c r="D192"/>
      <c r="E192"/>
      <c r="F192"/>
      <c r="G192"/>
      <c r="H192"/>
      <c r="I192"/>
      <c r="J192"/>
      <c r="K192"/>
    </row>
    <row r="193" spans="2:11" s="57" customFormat="1" x14ac:dyDescent="0.2">
      <c r="B193"/>
      <c r="C193"/>
      <c r="D193"/>
      <c r="E193"/>
      <c r="F193"/>
      <c r="G193"/>
      <c r="H193"/>
      <c r="I193"/>
      <c r="J193"/>
      <c r="K193"/>
    </row>
    <row r="194" spans="2:11" s="57" customFormat="1" x14ac:dyDescent="0.2">
      <c r="B194"/>
      <c r="C194"/>
      <c r="D194"/>
      <c r="E194"/>
      <c r="F194"/>
      <c r="G194"/>
      <c r="H194"/>
      <c r="I194"/>
      <c r="J194"/>
      <c r="K194"/>
    </row>
    <row r="195" spans="2:11" s="57" customFormat="1" x14ac:dyDescent="0.2">
      <c r="B195" t="s">
        <v>112</v>
      </c>
      <c r="C195" t="s">
        <v>113</v>
      </c>
      <c r="D195">
        <v>0</v>
      </c>
      <c r="E195">
        <v>15</v>
      </c>
      <c r="F195">
        <v>0.1</v>
      </c>
      <c r="G195">
        <v>15</v>
      </c>
      <c r="H195"/>
      <c r="I195"/>
      <c r="J195"/>
      <c r="K195"/>
    </row>
    <row r="196" spans="2:11" s="57" customFormat="1" x14ac:dyDescent="0.2">
      <c r="B196" t="s">
        <v>114</v>
      </c>
      <c r="C196" t="s">
        <v>115</v>
      </c>
      <c r="D196">
        <v>0</v>
      </c>
      <c r="E196">
        <v>15</v>
      </c>
      <c r="F196">
        <v>0.1</v>
      </c>
      <c r="G196">
        <v>15</v>
      </c>
      <c r="H196"/>
      <c r="I196"/>
      <c r="J196"/>
      <c r="K196"/>
    </row>
    <row r="197" spans="2:11" s="57" customFormat="1" x14ac:dyDescent="0.2">
      <c r="B197" t="s">
        <v>116</v>
      </c>
      <c r="C197"/>
      <c r="D197"/>
      <c r="E197"/>
      <c r="F197"/>
      <c r="G197"/>
      <c r="H197"/>
      <c r="I197"/>
      <c r="J197"/>
      <c r="K197"/>
    </row>
    <row r="198" spans="2:11" s="57" customFormat="1" x14ac:dyDescent="0.2">
      <c r="B198"/>
      <c r="C198"/>
      <c r="D198"/>
      <c r="E198"/>
      <c r="F198"/>
      <c r="G198"/>
      <c r="H198"/>
      <c r="I198"/>
      <c r="J198"/>
      <c r="K198"/>
    </row>
  </sheetData>
  <pageMargins left="0.7" right="0.7" top="0.75" bottom="0.75" header="0.3" footer="0.3"/>
  <pageSetup paperSize="9" orientation="portrait" horizontalDpi="4294967292" verticalDpi="4294967292" r:id="rId1"/>
  <ignoredErrors>
    <ignoredError sqref="G11:N11 G19:N19 G13:N13 G23:N23 G21:N21 G20:M20 G25:N25 G24:M24 G15:N15 G14:M14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AL125"/>
  <sheetViews>
    <sheetView zoomScale="85" zoomScaleNormal="85" workbookViewId="0">
      <selection activeCell="F16" sqref="F16"/>
    </sheetView>
  </sheetViews>
  <sheetFormatPr baseColWidth="10" defaultColWidth="11.42578125" defaultRowHeight="15" outlineLevelRow="1" x14ac:dyDescent="0.25"/>
  <cols>
    <col min="1" max="1" width="5.7109375" style="722" customWidth="1"/>
    <col min="2" max="2" width="11.42578125" style="722"/>
    <col min="3" max="3" width="15.140625" style="722" customWidth="1"/>
    <col min="4" max="4" width="33.5703125" style="722" customWidth="1"/>
    <col min="5" max="5" width="23.42578125" style="722" bestFit="1" customWidth="1"/>
    <col min="6" max="13" width="14.5703125" style="722" customWidth="1"/>
    <col min="14" max="16384" width="11.42578125" style="722"/>
  </cols>
  <sheetData>
    <row r="1" spans="1:34" ht="21" x14ac:dyDescent="0.35">
      <c r="A1" s="750" t="s">
        <v>1642</v>
      </c>
      <c r="B1" s="750" t="s">
        <v>2371</v>
      </c>
    </row>
    <row r="2" spans="1:34" x14ac:dyDescent="0.25">
      <c r="B2" s="2880"/>
    </row>
    <row r="3" spans="1:34" customFormat="1" ht="22.5" x14ac:dyDescent="0.3">
      <c r="A3" s="4"/>
      <c r="B3" s="5" t="s">
        <v>1</v>
      </c>
      <c r="C3" s="6"/>
      <c r="D3" s="7"/>
      <c r="E3" s="8"/>
      <c r="F3" s="7"/>
      <c r="G3" s="7"/>
      <c r="H3" s="7"/>
      <c r="I3" s="7"/>
      <c r="J3" s="7"/>
      <c r="K3" s="7"/>
      <c r="L3" s="7"/>
      <c r="M3" s="7"/>
      <c r="N3" s="7"/>
      <c r="AE3" s="66"/>
      <c r="AF3" s="66"/>
      <c r="AG3" s="66"/>
      <c r="AH3" s="67"/>
    </row>
    <row r="4" spans="1:34" customFormat="1" ht="12.75" x14ac:dyDescent="0.2">
      <c r="A4" s="1"/>
      <c r="B4" s="10"/>
      <c r="C4" s="11"/>
      <c r="D4" s="11"/>
      <c r="E4" s="12"/>
      <c r="F4" s="11"/>
      <c r="G4" s="11"/>
      <c r="H4" s="11"/>
      <c r="I4" s="11"/>
      <c r="J4" s="11"/>
      <c r="K4" s="11"/>
      <c r="L4" s="11"/>
      <c r="M4" s="11"/>
      <c r="N4" s="11"/>
      <c r="AE4" s="66"/>
      <c r="AF4" s="66"/>
      <c r="AG4" s="66"/>
      <c r="AH4" s="67"/>
    </row>
    <row r="5" spans="1:34" customFormat="1" ht="15.75" x14ac:dyDescent="0.25">
      <c r="A5" s="1"/>
      <c r="B5" s="15"/>
      <c r="C5" s="11"/>
      <c r="D5" s="16" t="s">
        <v>2</v>
      </c>
      <c r="E5" s="16" t="s">
        <v>3</v>
      </c>
      <c r="F5" s="11"/>
      <c r="G5" s="11"/>
      <c r="H5" s="11"/>
      <c r="I5" s="11"/>
      <c r="J5" s="11"/>
      <c r="K5" s="11"/>
      <c r="L5" s="11"/>
      <c r="M5" s="11"/>
      <c r="N5" s="11"/>
      <c r="AE5" s="66"/>
      <c r="AF5" s="66"/>
      <c r="AG5" s="66"/>
      <c r="AH5" s="67"/>
    </row>
    <row r="6" spans="1:34" customFormat="1" ht="15.75" x14ac:dyDescent="0.25">
      <c r="A6" s="1"/>
      <c r="B6" s="15"/>
      <c r="C6" s="11"/>
      <c r="D6" s="17" t="s">
        <v>4</v>
      </c>
      <c r="E6" s="17">
        <f>Control!F44</f>
        <v>1</v>
      </c>
      <c r="F6" s="3142"/>
      <c r="G6" s="11"/>
      <c r="H6" s="11"/>
      <c r="I6" s="11"/>
      <c r="J6" s="11"/>
      <c r="K6" s="11"/>
      <c r="L6" s="11"/>
      <c r="M6" s="11"/>
      <c r="N6" s="11"/>
      <c r="AE6" s="66"/>
      <c r="AF6" s="66"/>
      <c r="AG6" s="66"/>
      <c r="AH6" s="67"/>
    </row>
    <row r="7" spans="1:34" customFormat="1" ht="15.75" x14ac:dyDescent="0.25">
      <c r="A7" s="1"/>
      <c r="B7" s="97"/>
      <c r="C7" s="11"/>
      <c r="D7" s="18" t="s">
        <v>5</v>
      </c>
      <c r="E7" s="3143">
        <f>Control!F45</f>
        <v>1</v>
      </c>
      <c r="F7" s="11"/>
      <c r="G7" s="11"/>
      <c r="H7" s="11"/>
      <c r="I7" s="11"/>
      <c r="J7" s="11"/>
      <c r="K7" s="11"/>
      <c r="L7" s="11"/>
      <c r="M7" s="11"/>
      <c r="N7" s="11"/>
      <c r="AE7" s="66"/>
      <c r="AF7" s="57"/>
      <c r="AG7" s="57"/>
      <c r="AH7" s="68"/>
    </row>
    <row r="8" spans="1:34" customFormat="1" ht="15.75" x14ac:dyDescent="0.25">
      <c r="A8" s="1"/>
      <c r="B8" s="97"/>
      <c r="C8" s="11"/>
      <c r="D8" s="17"/>
      <c r="E8" s="17"/>
      <c r="F8" s="11"/>
      <c r="G8" s="11"/>
      <c r="H8" s="11"/>
      <c r="I8" s="11"/>
      <c r="J8" s="11"/>
      <c r="K8" s="11"/>
      <c r="L8" s="11"/>
      <c r="M8" s="11"/>
      <c r="N8" s="11"/>
      <c r="AE8" s="66"/>
      <c r="AF8" s="57"/>
      <c r="AG8" s="57"/>
      <c r="AH8" s="68"/>
    </row>
    <row r="9" spans="1:34" customFormat="1" ht="12.75" x14ac:dyDescent="0.2">
      <c r="A9" s="1"/>
      <c r="AE9" s="66"/>
      <c r="AF9" s="57"/>
      <c r="AG9" s="57"/>
      <c r="AH9" s="68"/>
    </row>
    <row r="11" spans="1:34" ht="15.75" x14ac:dyDescent="0.25">
      <c r="B11" s="145" t="s">
        <v>151</v>
      </c>
      <c r="C11" s="146"/>
      <c r="D11" s="146"/>
      <c r="E11" s="517"/>
      <c r="F11" s="517"/>
      <c r="G11" s="517"/>
      <c r="H11" s="517"/>
      <c r="I11" s="517"/>
      <c r="J11" s="517"/>
      <c r="K11" s="517"/>
      <c r="L11" s="517"/>
      <c r="M11" s="517"/>
      <c r="N11" s="517"/>
    </row>
    <row r="12" spans="1:34" ht="15.75" x14ac:dyDescent="0.25">
      <c r="B12" s="379"/>
      <c r="C12" s="723"/>
      <c r="D12" s="723"/>
      <c r="E12" s="723"/>
      <c r="F12" s="723"/>
      <c r="G12" s="723"/>
      <c r="H12" s="723"/>
      <c r="I12" s="723"/>
      <c r="J12" s="723"/>
      <c r="K12" s="723"/>
      <c r="L12" s="723"/>
      <c r="M12" s="723"/>
      <c r="N12" s="724"/>
      <c r="Q12" s="1869"/>
      <c r="R12" s="1869"/>
      <c r="S12" s="1869"/>
      <c r="T12" s="1869"/>
      <c r="U12" s="1869"/>
      <c r="V12" s="1869"/>
      <c r="W12" s="1869"/>
      <c r="X12" s="1869"/>
      <c r="Y12" s="1869"/>
    </row>
    <row r="13" spans="1:34" ht="15.75" x14ac:dyDescent="0.25">
      <c r="B13" s="379"/>
      <c r="C13" s="725" t="s">
        <v>402</v>
      </c>
      <c r="D13" s="723"/>
      <c r="E13" s="723"/>
      <c r="F13" s="723"/>
      <c r="G13" s="723"/>
      <c r="H13" s="723"/>
      <c r="I13" s="723"/>
      <c r="J13" s="723"/>
      <c r="K13" s="723"/>
      <c r="L13" s="723"/>
      <c r="M13" s="726" t="s">
        <v>171</v>
      </c>
      <c r="N13" s="724"/>
      <c r="R13" s="1869"/>
      <c r="S13" s="1869"/>
      <c r="T13" s="1869"/>
      <c r="U13" s="1869"/>
      <c r="V13" s="1869"/>
      <c r="W13" s="1869"/>
      <c r="X13" s="1869"/>
      <c r="Y13" s="1869"/>
    </row>
    <row r="14" spans="1:34" ht="15.75" x14ac:dyDescent="0.25">
      <c r="B14" s="379"/>
      <c r="C14" s="727"/>
      <c r="D14" s="723"/>
      <c r="E14" s="726"/>
      <c r="F14" s="723"/>
      <c r="G14" s="723"/>
      <c r="H14" s="723"/>
      <c r="I14" s="723"/>
      <c r="J14" s="723"/>
      <c r="K14" s="723"/>
      <c r="L14" s="723"/>
      <c r="M14" s="723"/>
      <c r="N14" s="724"/>
      <c r="R14" s="1869"/>
      <c r="S14" s="1869"/>
      <c r="T14" s="1869"/>
      <c r="U14" s="1869"/>
      <c r="V14" s="1869"/>
      <c r="W14" s="1869"/>
      <c r="X14" s="1869"/>
      <c r="Y14" s="1869"/>
    </row>
    <row r="15" spans="1:34" ht="15.75" x14ac:dyDescent="0.25">
      <c r="B15" s="379"/>
      <c r="C15" s="728" t="s">
        <v>3</v>
      </c>
      <c r="D15" s="728" t="s">
        <v>403</v>
      </c>
      <c r="E15" s="728" t="s">
        <v>8</v>
      </c>
      <c r="F15" s="728" t="s">
        <v>16</v>
      </c>
      <c r="G15" s="728" t="s">
        <v>17</v>
      </c>
      <c r="H15" s="728" t="s">
        <v>18</v>
      </c>
      <c r="I15" s="728" t="s">
        <v>19</v>
      </c>
      <c r="J15" s="728" t="s">
        <v>20</v>
      </c>
      <c r="K15" s="728" t="s">
        <v>21</v>
      </c>
      <c r="L15" s="728" t="s">
        <v>22</v>
      </c>
      <c r="M15" s="728" t="s">
        <v>23</v>
      </c>
      <c r="N15" s="729"/>
      <c r="R15" s="1869"/>
      <c r="S15" s="1869"/>
      <c r="T15" s="1869"/>
      <c r="U15" s="1869"/>
      <c r="V15" s="1869"/>
      <c r="W15" s="1869"/>
      <c r="X15" s="1869"/>
      <c r="Y15" s="1869"/>
    </row>
    <row r="16" spans="1:34" ht="15.75" x14ac:dyDescent="0.25">
      <c r="B16" s="379"/>
      <c r="C16" s="730">
        <v>1</v>
      </c>
      <c r="D16" s="37" t="s">
        <v>959</v>
      </c>
      <c r="E16" s="730" t="s">
        <v>12</v>
      </c>
      <c r="F16" s="731">
        <v>71.438420313872697</v>
      </c>
      <c r="G16" s="731">
        <v>85.743128584816162</v>
      </c>
      <c r="H16" s="731">
        <v>101.05736491461823</v>
      </c>
      <c r="I16" s="731">
        <v>115.78574943081706</v>
      </c>
      <c r="J16" s="731">
        <v>132.83210963932817</v>
      </c>
      <c r="K16" s="731">
        <v>150.51109445553126</v>
      </c>
      <c r="L16" s="731">
        <v>169.02986219221336</v>
      </c>
      <c r="M16" s="731">
        <v>185.84736978840834</v>
      </c>
      <c r="N16" s="729"/>
      <c r="O16" s="1868"/>
    </row>
    <row r="17" spans="2:16" ht="15.75" x14ac:dyDescent="0.25">
      <c r="B17" s="379"/>
      <c r="C17" s="730">
        <v>2</v>
      </c>
      <c r="D17" s="37" t="s">
        <v>958</v>
      </c>
      <c r="E17" s="730" t="s">
        <v>12</v>
      </c>
      <c r="F17" s="731">
        <v>71.438527688170396</v>
      </c>
      <c r="G17" s="731">
        <v>85.743793273585368</v>
      </c>
      <c r="H17" s="731">
        <v>100.34681752308279</v>
      </c>
      <c r="I17" s="731">
        <v>113.2975740619575</v>
      </c>
      <c r="J17" s="731">
        <v>128.60913177466287</v>
      </c>
      <c r="K17" s="731">
        <v>144.45125536448853</v>
      </c>
      <c r="L17" s="731">
        <v>160.88429135156241</v>
      </c>
      <c r="M17" s="731">
        <v>176.39898267120915</v>
      </c>
      <c r="N17" s="732"/>
    </row>
    <row r="18" spans="2:16" ht="15.75" x14ac:dyDescent="0.25">
      <c r="B18" s="379"/>
      <c r="C18" s="174" t="s">
        <v>153</v>
      </c>
      <c r="D18" s="175"/>
      <c r="E18" s="175"/>
      <c r="F18" s="401">
        <f t="shared" ref="F18:M18" si="0">(INDEX(F$16:F$17,ROUNDDOWN($E$7,0))*(1-MOD($E$7,1)))+(INDEX(F$16:F$17,ROUNDUP($E$7,0))*MOD($E$7,1))</f>
        <v>71.438420313872697</v>
      </c>
      <c r="G18" s="401">
        <f t="shared" si="0"/>
        <v>85.743128584816162</v>
      </c>
      <c r="H18" s="401">
        <f t="shared" si="0"/>
        <v>101.05736491461823</v>
      </c>
      <c r="I18" s="401">
        <f t="shared" si="0"/>
        <v>115.78574943081706</v>
      </c>
      <c r="J18" s="401">
        <f t="shared" si="0"/>
        <v>132.83210963932817</v>
      </c>
      <c r="K18" s="401">
        <f t="shared" si="0"/>
        <v>150.51109445553126</v>
      </c>
      <c r="L18" s="401">
        <f t="shared" si="0"/>
        <v>169.02986219221336</v>
      </c>
      <c r="M18" s="401">
        <f t="shared" si="0"/>
        <v>185.84736978840834</v>
      </c>
      <c r="N18" s="732"/>
    </row>
    <row r="19" spans="2:16" ht="6" customHeight="1" x14ac:dyDescent="0.25">
      <c r="B19" s="379"/>
      <c r="C19" s="733"/>
      <c r="D19" s="733"/>
      <c r="E19" s="733"/>
      <c r="F19" s="733"/>
      <c r="G19" s="733"/>
      <c r="H19" s="733"/>
      <c r="I19" s="733"/>
      <c r="J19" s="733"/>
      <c r="K19" s="733"/>
      <c r="L19" s="733"/>
      <c r="M19" s="733"/>
      <c r="N19" s="732"/>
    </row>
    <row r="20" spans="2:16" ht="15.75" x14ac:dyDescent="0.25">
      <c r="B20" s="379"/>
      <c r="C20" s="730" t="s">
        <v>8</v>
      </c>
      <c r="D20" s="733"/>
      <c r="E20" s="734"/>
      <c r="F20" s="735"/>
      <c r="G20" s="735"/>
      <c r="H20" s="735"/>
      <c r="I20" s="735"/>
      <c r="J20" s="735"/>
      <c r="K20" s="735"/>
      <c r="L20" s="735"/>
      <c r="M20" s="735"/>
      <c r="N20" s="732"/>
    </row>
    <row r="21" spans="2:16" ht="15.75" x14ac:dyDescent="0.25">
      <c r="B21" s="379"/>
      <c r="C21" s="730" t="s">
        <v>12</v>
      </c>
      <c r="D21" s="733" t="s">
        <v>965</v>
      </c>
      <c r="E21" s="734"/>
      <c r="F21" s="735"/>
      <c r="G21" s="735"/>
      <c r="H21" s="735"/>
      <c r="I21" s="735"/>
      <c r="J21" s="735"/>
      <c r="K21" s="735"/>
      <c r="L21" s="735"/>
      <c r="M21" s="735"/>
      <c r="N21" s="732"/>
    </row>
    <row r="22" spans="2:16" ht="15.75" x14ac:dyDescent="0.25">
      <c r="B22" s="379"/>
      <c r="C22" s="730"/>
      <c r="D22" s="733"/>
      <c r="E22" s="734"/>
      <c r="F22" s="735"/>
      <c r="G22" s="735"/>
      <c r="H22" s="735"/>
      <c r="I22" s="735"/>
      <c r="J22" s="735"/>
      <c r="K22" s="735"/>
      <c r="L22" s="735"/>
      <c r="M22" s="735"/>
      <c r="N22" s="732"/>
      <c r="P22" s="1868"/>
    </row>
    <row r="23" spans="2:16" ht="15.75" x14ac:dyDescent="0.25">
      <c r="B23" s="379"/>
      <c r="C23" s="725" t="s">
        <v>966</v>
      </c>
      <c r="D23" s="723"/>
      <c r="E23" s="723"/>
      <c r="F23" s="723"/>
      <c r="G23" s="723"/>
      <c r="H23" s="723"/>
      <c r="I23" s="723"/>
      <c r="J23" s="723"/>
      <c r="K23" s="723"/>
      <c r="L23" s="723"/>
      <c r="M23" s="726" t="s">
        <v>171</v>
      </c>
      <c r="N23" s="732"/>
      <c r="P23" s="1868"/>
    </row>
    <row r="24" spans="2:16" ht="15.75" x14ac:dyDescent="0.25">
      <c r="B24" s="379"/>
      <c r="C24" s="727"/>
      <c r="D24" s="723"/>
      <c r="E24" s="726"/>
      <c r="F24" s="723"/>
      <c r="G24" s="723"/>
      <c r="H24" s="723"/>
      <c r="I24" s="723"/>
      <c r="J24" s="723"/>
      <c r="K24" s="723"/>
      <c r="L24" s="723"/>
      <c r="M24" s="723"/>
      <c r="N24" s="732"/>
    </row>
    <row r="25" spans="2:16" ht="15.75" x14ac:dyDescent="0.25">
      <c r="B25" s="379"/>
      <c r="C25" s="728" t="s">
        <v>3</v>
      </c>
      <c r="D25" s="728" t="s">
        <v>403</v>
      </c>
      <c r="E25" s="728" t="s">
        <v>8</v>
      </c>
      <c r="F25" s="728" t="s">
        <v>16</v>
      </c>
      <c r="G25" s="728" t="s">
        <v>17</v>
      </c>
      <c r="H25" s="728" t="s">
        <v>18</v>
      </c>
      <c r="I25" s="728" t="s">
        <v>19</v>
      </c>
      <c r="J25" s="728" t="s">
        <v>20</v>
      </c>
      <c r="K25" s="728" t="s">
        <v>21</v>
      </c>
      <c r="L25" s="728" t="s">
        <v>22</v>
      </c>
      <c r="M25" s="728" t="s">
        <v>23</v>
      </c>
      <c r="N25" s="732"/>
    </row>
    <row r="26" spans="2:16" ht="15.75" x14ac:dyDescent="0.25">
      <c r="B26" s="379"/>
      <c r="C26" s="730">
        <v>1</v>
      </c>
      <c r="D26" s="37" t="s">
        <v>959</v>
      </c>
      <c r="E26" s="730" t="s">
        <v>12</v>
      </c>
      <c r="F26" s="731">
        <v>319.04409154663131</v>
      </c>
      <c r="G26" s="731">
        <v>357.73459860035791</v>
      </c>
      <c r="H26" s="731">
        <v>408.81115714923425</v>
      </c>
      <c r="I26" s="731">
        <v>463.26701237938363</v>
      </c>
      <c r="J26" s="731">
        <v>521.04182864693462</v>
      </c>
      <c r="K26" s="731">
        <v>576.25281038419507</v>
      </c>
      <c r="L26" s="731">
        <v>629.53563464916431</v>
      </c>
      <c r="M26" s="731">
        <v>679.10373875755988</v>
      </c>
      <c r="N26" s="732"/>
    </row>
    <row r="27" spans="2:16" ht="15.75" x14ac:dyDescent="0.25">
      <c r="B27" s="379"/>
      <c r="C27" s="730">
        <v>2</v>
      </c>
      <c r="D27" s="37" t="s">
        <v>958</v>
      </c>
      <c r="E27" s="730" t="s">
        <v>12</v>
      </c>
      <c r="F27" s="731">
        <v>319.04396046252543</v>
      </c>
      <c r="G27" s="731">
        <v>357.73386062983434</v>
      </c>
      <c r="H27" s="731">
        <v>405.01915471969266</v>
      </c>
      <c r="I27" s="731">
        <v>448.93640955529241</v>
      </c>
      <c r="J27" s="731">
        <v>496.77013325268229</v>
      </c>
      <c r="K27" s="731">
        <v>543.01204515310292</v>
      </c>
      <c r="L27" s="731">
        <v>587.28314066721657</v>
      </c>
      <c r="M27" s="731">
        <v>628.42363243074033</v>
      </c>
      <c r="N27" s="732"/>
    </row>
    <row r="28" spans="2:16" ht="15.75" x14ac:dyDescent="0.25">
      <c r="B28" s="379"/>
      <c r="C28" s="174" t="s">
        <v>153</v>
      </c>
      <c r="D28" s="175"/>
      <c r="E28" s="175"/>
      <c r="F28" s="401">
        <f t="shared" ref="F28:M28" si="1">(INDEX(F$26:F$27,ROUNDDOWN($E$7,0))*(1-MOD($E$7,1)))+(INDEX(F$26:F$27,ROUNDUP($E$7,0))*MOD($E$7,1))</f>
        <v>319.04409154663131</v>
      </c>
      <c r="G28" s="401">
        <f t="shared" si="1"/>
        <v>357.73459860035791</v>
      </c>
      <c r="H28" s="401">
        <f t="shared" si="1"/>
        <v>408.81115714923425</v>
      </c>
      <c r="I28" s="401">
        <f t="shared" si="1"/>
        <v>463.26701237938363</v>
      </c>
      <c r="J28" s="401">
        <f t="shared" si="1"/>
        <v>521.04182864693462</v>
      </c>
      <c r="K28" s="401">
        <f t="shared" si="1"/>
        <v>576.25281038419507</v>
      </c>
      <c r="L28" s="401">
        <f t="shared" si="1"/>
        <v>629.53563464916431</v>
      </c>
      <c r="M28" s="401">
        <f t="shared" si="1"/>
        <v>679.10373875755988</v>
      </c>
      <c r="N28" s="732"/>
    </row>
    <row r="29" spans="2:16" ht="5.45" customHeight="1" x14ac:dyDescent="0.25">
      <c r="B29" s="379"/>
      <c r="C29" s="177"/>
      <c r="D29" s="158"/>
      <c r="E29" s="158"/>
      <c r="F29" s="410"/>
      <c r="G29" s="410"/>
      <c r="H29" s="410"/>
      <c r="I29" s="410"/>
      <c r="J29" s="410"/>
      <c r="K29" s="410"/>
      <c r="L29" s="410"/>
      <c r="M29" s="410"/>
      <c r="N29" s="732"/>
    </row>
    <row r="30" spans="2:16" ht="15.75" x14ac:dyDescent="0.25">
      <c r="B30" s="379"/>
      <c r="C30" s="730" t="s">
        <v>8</v>
      </c>
      <c r="D30" s="733"/>
      <c r="E30" s="158"/>
      <c r="F30" s="410"/>
      <c r="G30" s="410"/>
      <c r="H30" s="410"/>
      <c r="I30" s="410"/>
      <c r="J30" s="410"/>
      <c r="K30" s="410"/>
      <c r="L30" s="410"/>
      <c r="M30" s="410"/>
      <c r="N30" s="732"/>
    </row>
    <row r="31" spans="2:16" ht="15.75" x14ac:dyDescent="0.25">
      <c r="B31" s="379"/>
      <c r="C31" s="730" t="s">
        <v>12</v>
      </c>
      <c r="D31" s="733" t="s">
        <v>965</v>
      </c>
      <c r="E31" s="158"/>
      <c r="F31" s="410"/>
      <c r="G31" s="410"/>
      <c r="H31" s="410"/>
      <c r="I31" s="410"/>
      <c r="J31" s="410"/>
      <c r="K31" s="410"/>
      <c r="L31" s="410"/>
      <c r="M31" s="410"/>
      <c r="N31" s="732"/>
    </row>
    <row r="32" spans="2:16" ht="15.75" x14ac:dyDescent="0.25">
      <c r="B32" s="379"/>
      <c r="C32" s="177"/>
      <c r="D32" s="158"/>
      <c r="E32" s="158"/>
      <c r="F32" s="410"/>
      <c r="G32" s="410"/>
      <c r="H32" s="410"/>
      <c r="I32" s="410"/>
      <c r="J32" s="410"/>
      <c r="K32" s="410"/>
      <c r="L32" s="410"/>
      <c r="M32" s="410"/>
      <c r="N32" s="732"/>
    </row>
    <row r="33" spans="2:38" ht="15.75" x14ac:dyDescent="0.25">
      <c r="B33" s="379"/>
      <c r="C33" s="725" t="s">
        <v>968</v>
      </c>
      <c r="D33" s="733"/>
      <c r="E33" s="734"/>
      <c r="F33" s="735"/>
      <c r="G33" s="735"/>
      <c r="H33" s="735"/>
      <c r="I33" s="735"/>
      <c r="J33" s="735"/>
      <c r="K33" s="735"/>
      <c r="L33" s="735"/>
      <c r="M33" s="735"/>
      <c r="N33" s="732"/>
    </row>
    <row r="34" spans="2:38" ht="15.75" x14ac:dyDescent="0.25">
      <c r="B34" s="379"/>
      <c r="C34" s="730"/>
      <c r="D34" s="733"/>
      <c r="E34" s="734"/>
      <c r="F34" s="735"/>
      <c r="G34" s="735"/>
      <c r="H34" s="735"/>
      <c r="I34" s="735"/>
      <c r="J34" s="735"/>
      <c r="K34" s="735"/>
      <c r="L34" s="735"/>
      <c r="M34" s="735"/>
      <c r="N34" s="732"/>
      <c r="P34"/>
      <c r="Q34"/>
      <c r="R34"/>
      <c r="S34"/>
      <c r="T34"/>
      <c r="U34"/>
      <c r="V34"/>
      <c r="W34"/>
      <c r="X34"/>
    </row>
    <row r="35" spans="2:38" ht="15.75" x14ac:dyDescent="0.25">
      <c r="B35" s="379"/>
      <c r="C35" s="725" t="s">
        <v>969</v>
      </c>
      <c r="D35" s="723"/>
      <c r="E35" s="723"/>
      <c r="F35" s="723"/>
      <c r="G35" s="723"/>
      <c r="H35" s="723"/>
      <c r="I35" s="723"/>
      <c r="J35" s="723"/>
      <c r="K35" s="723"/>
      <c r="L35" s="723"/>
      <c r="M35" s="726" t="s">
        <v>171</v>
      </c>
      <c r="N35" s="732"/>
      <c r="P35"/>
      <c r="Q35"/>
      <c r="R35"/>
      <c r="S35"/>
      <c r="T35"/>
      <c r="U35"/>
      <c r="V35"/>
      <c r="W35"/>
      <c r="X35"/>
    </row>
    <row r="36" spans="2:38" ht="3" customHeight="1" x14ac:dyDescent="0.25">
      <c r="B36" s="379"/>
      <c r="C36" s="727"/>
      <c r="D36" s="723"/>
      <c r="E36" s="726"/>
      <c r="F36" s="723"/>
      <c r="G36" s="723"/>
      <c r="H36" s="723"/>
      <c r="I36" s="723"/>
      <c r="J36" s="723"/>
      <c r="K36" s="723"/>
      <c r="L36" s="723"/>
      <c r="M36" s="723"/>
      <c r="N36" s="732"/>
      <c r="P36"/>
      <c r="Q36"/>
      <c r="R36"/>
      <c r="S36"/>
      <c r="T36"/>
      <c r="U36"/>
      <c r="V36"/>
      <c r="W36"/>
      <c r="X36"/>
    </row>
    <row r="37" spans="2:38" ht="15.75" x14ac:dyDescent="0.25">
      <c r="B37" s="379"/>
      <c r="C37" s="728" t="s">
        <v>3</v>
      </c>
      <c r="D37" s="728" t="s">
        <v>403</v>
      </c>
      <c r="E37" s="728" t="s">
        <v>8</v>
      </c>
      <c r="F37" s="728" t="s">
        <v>16</v>
      </c>
      <c r="G37" s="728" t="s">
        <v>17</v>
      </c>
      <c r="H37" s="728" t="s">
        <v>18</v>
      </c>
      <c r="I37" s="728" t="s">
        <v>19</v>
      </c>
      <c r="J37" s="728" t="s">
        <v>20</v>
      </c>
      <c r="K37" s="728" t="s">
        <v>21</v>
      </c>
      <c r="L37" s="728" t="s">
        <v>22</v>
      </c>
      <c r="M37" s="728" t="s">
        <v>23</v>
      </c>
      <c r="N37" s="732"/>
      <c r="P37"/>
      <c r="Q37"/>
      <c r="R37"/>
      <c r="S37"/>
      <c r="T37"/>
      <c r="U37"/>
      <c r="V37"/>
      <c r="W37"/>
      <c r="X37"/>
    </row>
    <row r="38" spans="2:38" ht="15.75" x14ac:dyDescent="0.25">
      <c r="B38" s="379"/>
      <c r="C38" s="730">
        <v>1</v>
      </c>
      <c r="D38" s="37" t="s">
        <v>959</v>
      </c>
      <c r="E38" s="730" t="s">
        <v>12</v>
      </c>
      <c r="F38" s="731">
        <v>85.074856252970235</v>
      </c>
      <c r="G38" s="731">
        <v>96.056093582757768</v>
      </c>
      <c r="H38" s="731">
        <v>105.82426332853449</v>
      </c>
      <c r="I38" s="731">
        <v>115.39451113392333</v>
      </c>
      <c r="J38" s="731">
        <v>126.37268716806605</v>
      </c>
      <c r="K38" s="731">
        <v>137.89613873929355</v>
      </c>
      <c r="L38" s="731">
        <v>148.72917460394106</v>
      </c>
      <c r="M38" s="731">
        <v>159.98854657523307</v>
      </c>
      <c r="N38" s="732"/>
      <c r="P38"/>
      <c r="Q38"/>
      <c r="R38"/>
      <c r="S38"/>
      <c r="T38"/>
      <c r="U38"/>
      <c r="V38"/>
      <c r="W38"/>
      <c r="X38"/>
    </row>
    <row r="39" spans="2:38" ht="15.75" x14ac:dyDescent="0.25">
      <c r="B39" s="379"/>
      <c r="C39" s="730">
        <v>2</v>
      </c>
      <c r="D39" s="37" t="s">
        <v>958</v>
      </c>
      <c r="E39" s="730" t="s">
        <v>12</v>
      </c>
      <c r="F39" s="731">
        <v>85.074856252970235</v>
      </c>
      <c r="G39" s="731">
        <v>96.056093582757768</v>
      </c>
      <c r="H39" s="731">
        <v>104.84030316555511</v>
      </c>
      <c r="I39" s="731">
        <v>112.10116693976734</v>
      </c>
      <c r="J39" s="731">
        <v>120.9859907790288</v>
      </c>
      <c r="K39" s="731">
        <v>130.43365099282948</v>
      </c>
      <c r="L39" s="731">
        <v>139.22684079721196</v>
      </c>
      <c r="M39" s="731">
        <v>147.83284638899451</v>
      </c>
      <c r="N39" s="732"/>
      <c r="P39"/>
      <c r="Q39"/>
      <c r="R39"/>
      <c r="S39"/>
      <c r="T39"/>
      <c r="U39"/>
      <c r="V39"/>
      <c r="W39"/>
      <c r="X39"/>
    </row>
    <row r="40" spans="2:38" ht="15.75" x14ac:dyDescent="0.25">
      <c r="B40" s="379"/>
      <c r="C40" s="174" t="s">
        <v>153</v>
      </c>
      <c r="D40" s="175"/>
      <c r="E40" s="175"/>
      <c r="F40" s="401">
        <f t="shared" ref="F40:M40" si="2">(INDEX(F$38:F$39,ROUNDDOWN($E$7,0))*(1-MOD($E$7,1)))+(INDEX(F$38:F$39,ROUNDUP($E$7,0))*MOD($E$7,1))</f>
        <v>85.074856252970235</v>
      </c>
      <c r="G40" s="401">
        <f t="shared" si="2"/>
        <v>96.056093582757768</v>
      </c>
      <c r="H40" s="401">
        <f t="shared" si="2"/>
        <v>105.82426332853449</v>
      </c>
      <c r="I40" s="401">
        <f t="shared" si="2"/>
        <v>115.39451113392333</v>
      </c>
      <c r="J40" s="401">
        <f t="shared" si="2"/>
        <v>126.37268716806605</v>
      </c>
      <c r="K40" s="401">
        <f t="shared" si="2"/>
        <v>137.89613873929355</v>
      </c>
      <c r="L40" s="401">
        <f t="shared" si="2"/>
        <v>148.72917460394106</v>
      </c>
      <c r="M40" s="401">
        <f t="shared" si="2"/>
        <v>159.98854657523307</v>
      </c>
      <c r="N40" s="732"/>
      <c r="P40"/>
      <c r="Q40"/>
      <c r="R40"/>
      <c r="S40"/>
      <c r="T40"/>
      <c r="U40"/>
      <c r="V40"/>
      <c r="W40"/>
      <c r="X40"/>
      <c r="AL40"/>
    </row>
    <row r="41" spans="2:38" ht="15.75" x14ac:dyDescent="0.25">
      <c r="B41" s="379"/>
      <c r="C41" s="730"/>
      <c r="D41" s="733"/>
      <c r="E41" s="734"/>
      <c r="F41" s="735"/>
      <c r="G41" s="735"/>
      <c r="H41" s="735"/>
      <c r="I41" s="735"/>
      <c r="J41" s="735"/>
      <c r="K41" s="735"/>
      <c r="L41" s="735"/>
      <c r="M41" s="735"/>
      <c r="N41" s="732"/>
      <c r="P41"/>
      <c r="Q41"/>
      <c r="R41"/>
      <c r="S41"/>
      <c r="T41"/>
      <c r="U41"/>
      <c r="V41"/>
      <c r="W41"/>
      <c r="X41"/>
      <c r="AL41"/>
    </row>
    <row r="42" spans="2:38" ht="15.75" x14ac:dyDescent="0.25">
      <c r="B42" s="379"/>
      <c r="C42" s="725" t="s">
        <v>970</v>
      </c>
      <c r="D42" s="723"/>
      <c r="E42" s="723"/>
      <c r="F42" s="723"/>
      <c r="G42" s="723"/>
      <c r="H42" s="723"/>
      <c r="I42" s="723"/>
      <c r="J42" s="723"/>
      <c r="K42" s="723"/>
      <c r="L42" s="723"/>
      <c r="M42" s="726" t="s">
        <v>171</v>
      </c>
      <c r="N42" s="732"/>
      <c r="P42"/>
      <c r="Q42"/>
      <c r="R42"/>
      <c r="S42"/>
      <c r="T42"/>
      <c r="U42"/>
      <c r="V42"/>
      <c r="W42"/>
      <c r="X42"/>
      <c r="AL42"/>
    </row>
    <row r="43" spans="2:38" ht="3" customHeight="1" x14ac:dyDescent="0.25">
      <c r="B43" s="379"/>
      <c r="C43" s="727"/>
      <c r="D43" s="723"/>
      <c r="E43" s="726"/>
      <c r="F43" s="723"/>
      <c r="G43" s="723"/>
      <c r="H43" s="723"/>
      <c r="I43" s="723"/>
      <c r="J43" s="723"/>
      <c r="K43" s="723"/>
      <c r="L43" s="723"/>
      <c r="M43" s="723"/>
      <c r="N43" s="732"/>
      <c r="P43"/>
      <c r="Q43"/>
      <c r="R43"/>
      <c r="S43"/>
      <c r="T43"/>
      <c r="U43"/>
      <c r="V43"/>
      <c r="W43"/>
      <c r="X43"/>
      <c r="AL43"/>
    </row>
    <row r="44" spans="2:38" ht="15.75" x14ac:dyDescent="0.25">
      <c r="B44" s="379"/>
      <c r="C44" s="728" t="s">
        <v>3</v>
      </c>
      <c r="D44" s="728" t="s">
        <v>403</v>
      </c>
      <c r="E44" s="728" t="s">
        <v>8</v>
      </c>
      <c r="F44" s="728" t="s">
        <v>16</v>
      </c>
      <c r="G44" s="728" t="s">
        <v>17</v>
      </c>
      <c r="H44" s="728" t="s">
        <v>18</v>
      </c>
      <c r="I44" s="728" t="s">
        <v>19</v>
      </c>
      <c r="J44" s="728" t="s">
        <v>20</v>
      </c>
      <c r="K44" s="728" t="s">
        <v>21</v>
      </c>
      <c r="L44" s="728" t="s">
        <v>22</v>
      </c>
      <c r="M44" s="728" t="s">
        <v>23</v>
      </c>
      <c r="N44" s="732"/>
      <c r="P44"/>
      <c r="Q44"/>
      <c r="R44"/>
      <c r="S44"/>
      <c r="T44"/>
      <c r="U44"/>
      <c r="V44"/>
      <c r="W44"/>
      <c r="X44"/>
      <c r="AL44"/>
    </row>
    <row r="45" spans="2:38" ht="15.75" x14ac:dyDescent="0.25">
      <c r="B45" s="379"/>
      <c r="C45" s="730">
        <v>1</v>
      </c>
      <c r="D45" s="37" t="s">
        <v>959</v>
      </c>
      <c r="E45" s="730" t="s">
        <v>12</v>
      </c>
      <c r="F45" s="731">
        <v>50.767892087480014</v>
      </c>
      <c r="G45" s="731">
        <v>62.614349689342227</v>
      </c>
      <c r="H45" s="731">
        <v>74.239900661229939</v>
      </c>
      <c r="I45" s="731">
        <v>81.638561379083683</v>
      </c>
      <c r="J45" s="731">
        <v>92.221127678363629</v>
      </c>
      <c r="K45" s="731">
        <v>103.17270066151468</v>
      </c>
      <c r="L45" s="731">
        <v>113.77629494160291</v>
      </c>
      <c r="M45" s="731">
        <v>122.58876609654936</v>
      </c>
      <c r="N45" s="732"/>
      <c r="P45"/>
      <c r="Q45"/>
      <c r="R45"/>
      <c r="S45"/>
      <c r="T45"/>
      <c r="U45"/>
      <c r="V45"/>
      <c r="W45"/>
      <c r="X45"/>
      <c r="AL45"/>
    </row>
    <row r="46" spans="2:38" ht="15.75" x14ac:dyDescent="0.25">
      <c r="B46" s="379"/>
      <c r="C46" s="730">
        <v>2</v>
      </c>
      <c r="D46" s="37" t="s">
        <v>958</v>
      </c>
      <c r="E46" s="730" t="s">
        <v>12</v>
      </c>
      <c r="F46" s="731">
        <v>50.767892087480014</v>
      </c>
      <c r="G46" s="731">
        <v>62.614349689342227</v>
      </c>
      <c r="H46" s="731">
        <v>74.239900661229939</v>
      </c>
      <c r="I46" s="731">
        <v>81.638561379083683</v>
      </c>
      <c r="J46" s="731">
        <v>92.221127678363629</v>
      </c>
      <c r="K46" s="731">
        <v>103.17270066151468</v>
      </c>
      <c r="L46" s="731">
        <v>113.77629494160291</v>
      </c>
      <c r="M46" s="731">
        <v>122.58876609654936</v>
      </c>
      <c r="N46" s="732"/>
      <c r="P46"/>
      <c r="Q46"/>
      <c r="R46"/>
      <c r="S46"/>
      <c r="T46"/>
      <c r="U46"/>
      <c r="V46"/>
      <c r="W46"/>
      <c r="X46"/>
      <c r="AL46"/>
    </row>
    <row r="47" spans="2:38" ht="15.75" x14ac:dyDescent="0.25">
      <c r="B47" s="379"/>
      <c r="C47" s="174" t="s">
        <v>153</v>
      </c>
      <c r="D47" s="175"/>
      <c r="E47" s="175"/>
      <c r="F47" s="401">
        <f t="shared" ref="F47:M47" si="3">(INDEX(F$45:F$46,ROUNDDOWN($E$7,0))*(1-MOD($E$7,1)))+(INDEX(F$45:F$46,ROUNDUP($E$7,0))*MOD($E$7,1))</f>
        <v>50.767892087480014</v>
      </c>
      <c r="G47" s="401">
        <f t="shared" si="3"/>
        <v>62.614349689342227</v>
      </c>
      <c r="H47" s="401">
        <f t="shared" si="3"/>
        <v>74.239900661229939</v>
      </c>
      <c r="I47" s="401">
        <f t="shared" si="3"/>
        <v>81.638561379083683</v>
      </c>
      <c r="J47" s="401">
        <f t="shared" si="3"/>
        <v>92.221127678363629</v>
      </c>
      <c r="K47" s="401">
        <f t="shared" si="3"/>
        <v>103.17270066151468</v>
      </c>
      <c r="L47" s="401">
        <f t="shared" si="3"/>
        <v>113.77629494160291</v>
      </c>
      <c r="M47" s="401">
        <f t="shared" si="3"/>
        <v>122.58876609654936</v>
      </c>
      <c r="N47" s="732"/>
      <c r="P47"/>
      <c r="Q47"/>
      <c r="R47"/>
      <c r="S47"/>
      <c r="T47"/>
      <c r="U47"/>
      <c r="V47"/>
      <c r="W47"/>
      <c r="X47"/>
      <c r="AL47"/>
    </row>
    <row r="48" spans="2:38" ht="15.75" x14ac:dyDescent="0.25">
      <c r="B48" s="379"/>
      <c r="C48" s="730"/>
      <c r="D48" s="733"/>
      <c r="E48" s="734"/>
      <c r="F48" s="735"/>
      <c r="G48" s="735"/>
      <c r="H48" s="735"/>
      <c r="I48" s="735"/>
      <c r="J48" s="735"/>
      <c r="K48" s="735"/>
      <c r="L48" s="735"/>
      <c r="M48" s="735"/>
      <c r="N48" s="732"/>
      <c r="P48"/>
      <c r="Q48"/>
      <c r="R48"/>
      <c r="S48"/>
      <c r="T48"/>
      <c r="U48"/>
      <c r="V48"/>
      <c r="W48"/>
      <c r="X48"/>
      <c r="AL48"/>
    </row>
    <row r="49" spans="2:38" ht="15.75" x14ac:dyDescent="0.25">
      <c r="B49" s="379"/>
      <c r="C49" s="725" t="s">
        <v>971</v>
      </c>
      <c r="D49" s="723"/>
      <c r="E49" s="723"/>
      <c r="F49" s="723"/>
      <c r="G49" s="723"/>
      <c r="H49" s="723"/>
      <c r="I49" s="723"/>
      <c r="J49" s="723"/>
      <c r="K49" s="723"/>
      <c r="L49" s="723"/>
      <c r="M49" s="2731" t="s">
        <v>171</v>
      </c>
      <c r="N49" s="732"/>
      <c r="P49"/>
      <c r="Q49"/>
      <c r="R49"/>
      <c r="S49"/>
      <c r="T49"/>
      <c r="U49"/>
      <c r="V49"/>
      <c r="W49"/>
      <c r="X49"/>
      <c r="AL49"/>
    </row>
    <row r="50" spans="2:38" ht="1.5" customHeight="1" x14ac:dyDescent="0.25">
      <c r="B50" s="379"/>
      <c r="C50" s="727"/>
      <c r="D50" s="723"/>
      <c r="E50" s="726"/>
      <c r="F50" s="723"/>
      <c r="G50" s="723"/>
      <c r="H50" s="723"/>
      <c r="I50" s="723"/>
      <c r="J50" s="723"/>
      <c r="K50" s="723"/>
      <c r="L50" s="723"/>
      <c r="M50" s="723"/>
      <c r="N50" s="732"/>
      <c r="P50"/>
      <c r="Q50"/>
      <c r="R50"/>
      <c r="S50"/>
      <c r="T50"/>
      <c r="U50"/>
      <c r="V50"/>
      <c r="W50"/>
      <c r="X50"/>
      <c r="AL50"/>
    </row>
    <row r="51" spans="2:38" ht="15.75" x14ac:dyDescent="0.25">
      <c r="B51" s="379"/>
      <c r="C51" s="728" t="s">
        <v>3</v>
      </c>
      <c r="D51" s="728" t="s">
        <v>403</v>
      </c>
      <c r="E51" s="728" t="s">
        <v>8</v>
      </c>
      <c r="F51" s="728" t="s">
        <v>16</v>
      </c>
      <c r="G51" s="728" t="s">
        <v>17</v>
      </c>
      <c r="H51" s="728" t="s">
        <v>18</v>
      </c>
      <c r="I51" s="728" t="s">
        <v>19</v>
      </c>
      <c r="J51" s="728" t="s">
        <v>20</v>
      </c>
      <c r="K51" s="728" t="s">
        <v>21</v>
      </c>
      <c r="L51" s="728" t="s">
        <v>22</v>
      </c>
      <c r="M51" s="728" t="s">
        <v>23</v>
      </c>
      <c r="N51" s="732"/>
      <c r="P51"/>
      <c r="Q51"/>
      <c r="R51"/>
      <c r="S51"/>
      <c r="T51"/>
      <c r="U51"/>
      <c r="V51"/>
      <c r="W51"/>
      <c r="X51"/>
      <c r="AL51"/>
    </row>
    <row r="52" spans="2:38" ht="15.75" x14ac:dyDescent="0.25">
      <c r="B52" s="379"/>
      <c r="C52" s="730">
        <v>1</v>
      </c>
      <c r="D52" s="37" t="s">
        <v>959</v>
      </c>
      <c r="E52" s="730" t="s">
        <v>12</v>
      </c>
      <c r="F52" s="731">
        <v>95.181998339634347</v>
      </c>
      <c r="G52" s="731">
        <v>102.3539251972657</v>
      </c>
      <c r="H52" s="731">
        <v>120.17277197297584</v>
      </c>
      <c r="I52" s="731">
        <v>144.11675498579106</v>
      </c>
      <c r="J52" s="731">
        <v>164.84023554629013</v>
      </c>
      <c r="K52" s="731">
        <v>179.59778761756289</v>
      </c>
      <c r="L52" s="731">
        <v>190.32221812234607</v>
      </c>
      <c r="M52" s="731">
        <v>199.1302952953684</v>
      </c>
      <c r="N52" s="732"/>
      <c r="P52"/>
      <c r="Q52"/>
      <c r="R52"/>
      <c r="S52"/>
      <c r="T52"/>
      <c r="U52"/>
      <c r="V52"/>
      <c r="W52"/>
      <c r="X52"/>
      <c r="Y52" s="2682"/>
      <c r="AL52"/>
    </row>
    <row r="53" spans="2:38" ht="15.75" x14ac:dyDescent="0.25">
      <c r="B53" s="379"/>
      <c r="C53" s="730">
        <v>2</v>
      </c>
      <c r="D53" s="37" t="s">
        <v>958</v>
      </c>
      <c r="E53" s="730" t="s">
        <v>12</v>
      </c>
      <c r="F53" s="731">
        <v>95.181867255528473</v>
      </c>
      <c r="G53" s="731">
        <v>102.35318722674211</v>
      </c>
      <c r="H53" s="731">
        <v>118.32733988778348</v>
      </c>
      <c r="I53" s="731">
        <v>136.63786081262805</v>
      </c>
      <c r="J53" s="731">
        <v>152.25585452731193</v>
      </c>
      <c r="K53" s="731">
        <v>163.21737506669635</v>
      </c>
      <c r="L53" s="731">
        <v>170.9743575769418</v>
      </c>
      <c r="M53" s="731">
        <v>176.86013667424407</v>
      </c>
      <c r="N53" s="732"/>
      <c r="P53"/>
      <c r="Q53"/>
      <c r="R53"/>
      <c r="S53"/>
      <c r="T53"/>
      <c r="U53"/>
      <c r="V53"/>
      <c r="W53"/>
      <c r="X53"/>
      <c r="AL53"/>
    </row>
    <row r="54" spans="2:38" ht="15.75" x14ac:dyDescent="0.25">
      <c r="B54" s="379"/>
      <c r="C54" s="174" t="s">
        <v>153</v>
      </c>
      <c r="D54" s="175"/>
      <c r="E54" s="175"/>
      <c r="F54" s="401">
        <f t="shared" ref="F54:M54" si="4">(INDEX(F$52:F$53,ROUNDDOWN($E$7,0))*(1-MOD($E$7,1)))+(INDEX(F$52:F$53,ROUNDUP($E$7,0))*MOD($E$7,1))</f>
        <v>95.181998339634347</v>
      </c>
      <c r="G54" s="401">
        <f t="shared" si="4"/>
        <v>102.3539251972657</v>
      </c>
      <c r="H54" s="401">
        <f t="shared" si="4"/>
        <v>120.17277197297584</v>
      </c>
      <c r="I54" s="401">
        <f t="shared" si="4"/>
        <v>144.11675498579106</v>
      </c>
      <c r="J54" s="401">
        <f t="shared" si="4"/>
        <v>164.84023554629013</v>
      </c>
      <c r="K54" s="401">
        <f t="shared" si="4"/>
        <v>179.59778761756289</v>
      </c>
      <c r="L54" s="401">
        <f t="shared" si="4"/>
        <v>190.32221812234607</v>
      </c>
      <c r="M54" s="401">
        <f t="shared" si="4"/>
        <v>199.1302952953684</v>
      </c>
      <c r="N54" s="732"/>
      <c r="P54"/>
      <c r="Q54"/>
      <c r="R54"/>
      <c r="S54"/>
      <c r="T54"/>
      <c r="U54"/>
      <c r="V54"/>
      <c r="W54"/>
      <c r="X54"/>
      <c r="AL54"/>
    </row>
    <row r="55" spans="2:38" ht="15.75" x14ac:dyDescent="0.25">
      <c r="B55" s="379"/>
      <c r="C55" s="177"/>
      <c r="D55" s="158"/>
      <c r="E55" s="158"/>
      <c r="F55" s="410"/>
      <c r="G55" s="410"/>
      <c r="H55" s="410"/>
      <c r="I55" s="410"/>
      <c r="J55" s="410"/>
      <c r="K55" s="410"/>
      <c r="L55" s="410"/>
      <c r="M55" s="410"/>
      <c r="N55" s="732"/>
      <c r="P55"/>
      <c r="Q55"/>
      <c r="R55"/>
      <c r="S55"/>
      <c r="T55"/>
      <c r="U55"/>
      <c r="V55"/>
      <c r="W55"/>
      <c r="X55"/>
      <c r="AL55"/>
    </row>
    <row r="56" spans="2:38" ht="15.75" x14ac:dyDescent="0.25">
      <c r="B56" s="379"/>
      <c r="C56" s="2755" t="s">
        <v>1912</v>
      </c>
      <c r="D56" s="158"/>
      <c r="E56" s="158"/>
      <c r="F56" s="410"/>
      <c r="G56" s="410"/>
      <c r="H56" s="410"/>
      <c r="I56" s="410"/>
      <c r="J56" s="410"/>
      <c r="K56" s="410"/>
      <c r="L56" s="410"/>
      <c r="M56" s="410" t="s">
        <v>190</v>
      </c>
      <c r="N56" s="732"/>
      <c r="P56"/>
      <c r="Q56"/>
      <c r="R56"/>
      <c r="S56"/>
      <c r="T56"/>
      <c r="U56"/>
      <c r="V56"/>
      <c r="W56"/>
      <c r="X56"/>
      <c r="AL56"/>
    </row>
    <row r="57" spans="2:38" ht="4.5" customHeight="1" x14ac:dyDescent="0.25">
      <c r="B57" s="379"/>
      <c r="C57" s="2750"/>
      <c r="D57" s="158"/>
      <c r="E57" s="158"/>
      <c r="F57" s="410"/>
      <c r="G57" s="410"/>
      <c r="H57" s="410"/>
      <c r="I57" s="410"/>
      <c r="J57" s="410"/>
      <c r="K57" s="410"/>
      <c r="L57" s="410"/>
      <c r="M57" s="410"/>
      <c r="N57" s="732"/>
      <c r="P57"/>
      <c r="Q57"/>
      <c r="R57"/>
      <c r="S57"/>
      <c r="T57"/>
      <c r="U57"/>
      <c r="V57"/>
      <c r="W57"/>
      <c r="X57"/>
      <c r="AL57"/>
    </row>
    <row r="58" spans="2:38" ht="15.75" x14ac:dyDescent="0.25">
      <c r="B58" s="379"/>
      <c r="C58" s="728" t="s">
        <v>1914</v>
      </c>
      <c r="D58" s="728"/>
      <c r="E58" s="728"/>
      <c r="F58" s="728" t="s">
        <v>16</v>
      </c>
      <c r="G58" s="728" t="s">
        <v>17</v>
      </c>
      <c r="H58" s="728" t="s">
        <v>18</v>
      </c>
      <c r="I58" s="728" t="s">
        <v>19</v>
      </c>
      <c r="J58" s="728" t="s">
        <v>20</v>
      </c>
      <c r="K58" s="728" t="s">
        <v>21</v>
      </c>
      <c r="L58" s="728" t="s">
        <v>22</v>
      </c>
      <c r="M58" s="728" t="s">
        <v>23</v>
      </c>
      <c r="N58" s="732"/>
      <c r="P58"/>
      <c r="Q58"/>
      <c r="R58"/>
      <c r="S58"/>
      <c r="T58"/>
      <c r="U58"/>
      <c r="V58"/>
      <c r="W58"/>
      <c r="X58"/>
      <c r="AL58"/>
    </row>
    <row r="59" spans="2:38" ht="15.75" x14ac:dyDescent="0.25">
      <c r="B59" s="379"/>
      <c r="C59" s="177"/>
      <c r="D59" s="2749" t="s">
        <v>1913</v>
      </c>
      <c r="E59" s="158"/>
      <c r="F59" s="2747">
        <v>0.83242939579801201</v>
      </c>
      <c r="G59" s="2747">
        <v>0.83338120029851448</v>
      </c>
      <c r="H59" s="2748">
        <v>0.84443837724695014</v>
      </c>
      <c r="I59" s="2748">
        <v>0.85841905029917809</v>
      </c>
      <c r="J59" s="2748">
        <v>0.86448871057810672</v>
      </c>
      <c r="K59" s="2748">
        <v>0.86483704494414781</v>
      </c>
      <c r="L59" s="2748">
        <v>0.86225920787367771</v>
      </c>
      <c r="M59" s="2748">
        <v>0.85899884316151776</v>
      </c>
      <c r="N59" s="732"/>
      <c r="P59"/>
      <c r="Q59"/>
      <c r="R59"/>
      <c r="S59"/>
      <c r="T59"/>
      <c r="U59"/>
      <c r="V59"/>
      <c r="W59"/>
      <c r="X59"/>
      <c r="AL59"/>
    </row>
    <row r="60" spans="2:38" ht="15.75" x14ac:dyDescent="0.25">
      <c r="B60" s="379"/>
      <c r="C60" s="2751"/>
      <c r="D60" s="2752" t="s">
        <v>422</v>
      </c>
      <c r="E60" s="190"/>
      <c r="F60" s="2753">
        <v>0.16757060420198799</v>
      </c>
      <c r="G60" s="2753">
        <v>0.1666187997014856</v>
      </c>
      <c r="H60" s="2754">
        <v>0.15556162275304994</v>
      </c>
      <c r="I60" s="2754">
        <v>0.14158094970082191</v>
      </c>
      <c r="J60" s="2754">
        <v>0.13551128942189319</v>
      </c>
      <c r="K60" s="2754">
        <v>0.13516295505585213</v>
      </c>
      <c r="L60" s="2754">
        <v>0.13774079212632226</v>
      </c>
      <c r="M60" s="2754">
        <v>0.14100115683848222</v>
      </c>
      <c r="N60" s="732"/>
      <c r="P60"/>
      <c r="Q60"/>
      <c r="R60"/>
      <c r="S60"/>
      <c r="T60"/>
      <c r="U60"/>
      <c r="V60"/>
      <c r="W60"/>
      <c r="X60"/>
      <c r="AL60"/>
    </row>
    <row r="61" spans="2:38" ht="15.75" x14ac:dyDescent="0.25">
      <c r="B61" s="379"/>
      <c r="C61" s="177"/>
      <c r="D61" s="158"/>
      <c r="E61" s="158"/>
      <c r="F61" s="410"/>
      <c r="G61" s="410"/>
      <c r="H61" s="410"/>
      <c r="I61" s="410"/>
      <c r="J61" s="410"/>
      <c r="K61" s="410"/>
      <c r="L61" s="410"/>
      <c r="M61" s="410"/>
      <c r="N61" s="732"/>
      <c r="P61"/>
      <c r="Q61"/>
      <c r="R61"/>
      <c r="S61"/>
      <c r="T61"/>
      <c r="U61"/>
      <c r="V61"/>
      <c r="W61"/>
      <c r="X61"/>
      <c r="AL61"/>
    </row>
    <row r="62" spans="2:38" ht="15.75" x14ac:dyDescent="0.25">
      <c r="B62" s="379"/>
      <c r="C62" s="730"/>
      <c r="D62" s="733"/>
      <c r="E62" s="734"/>
      <c r="F62" s="735"/>
      <c r="G62" s="735"/>
      <c r="H62" s="735"/>
      <c r="I62" s="735"/>
      <c r="J62" s="735"/>
      <c r="K62" s="735"/>
      <c r="L62" s="735"/>
      <c r="M62" s="735"/>
      <c r="N62" s="732"/>
      <c r="P62"/>
      <c r="Q62"/>
      <c r="R62"/>
      <c r="S62"/>
      <c r="T62"/>
      <c r="U62"/>
      <c r="V62"/>
      <c r="W62"/>
      <c r="X62"/>
      <c r="AL62"/>
    </row>
    <row r="63" spans="2:38" ht="15.75" x14ac:dyDescent="0.25">
      <c r="B63" s="379"/>
      <c r="C63" s="725" t="s">
        <v>972</v>
      </c>
      <c r="D63" s="723"/>
      <c r="E63" s="723"/>
      <c r="F63" s="723"/>
      <c r="G63" s="723"/>
      <c r="H63" s="723"/>
      <c r="I63" s="723"/>
      <c r="J63" s="723"/>
      <c r="K63" s="723"/>
      <c r="L63" s="723"/>
      <c r="M63" s="726" t="s">
        <v>171</v>
      </c>
      <c r="N63" s="732"/>
      <c r="P63"/>
      <c r="Q63"/>
      <c r="R63"/>
      <c r="S63"/>
      <c r="T63"/>
      <c r="U63"/>
      <c r="V63"/>
      <c r="W63"/>
      <c r="X63"/>
      <c r="AL63"/>
    </row>
    <row r="64" spans="2:38" ht="3" customHeight="1" x14ac:dyDescent="0.25">
      <c r="B64" s="379"/>
      <c r="C64" s="727"/>
      <c r="D64" s="723"/>
      <c r="E64" s="726"/>
      <c r="F64" s="723"/>
      <c r="G64" s="723"/>
      <c r="H64" s="723"/>
      <c r="I64" s="723"/>
      <c r="J64" s="723"/>
      <c r="K64" s="723"/>
      <c r="L64" s="723"/>
      <c r="M64" s="723"/>
      <c r="N64" s="732"/>
      <c r="P64"/>
      <c r="Q64"/>
      <c r="R64"/>
      <c r="S64"/>
      <c r="T64"/>
      <c r="U64"/>
      <c r="V64"/>
      <c r="W64"/>
      <c r="X64"/>
      <c r="AL64"/>
    </row>
    <row r="65" spans="2:38" ht="15.75" x14ac:dyDescent="0.25">
      <c r="B65" s="379"/>
      <c r="C65" s="728" t="s">
        <v>3</v>
      </c>
      <c r="D65" s="728" t="s">
        <v>403</v>
      </c>
      <c r="E65" s="728" t="s">
        <v>8</v>
      </c>
      <c r="F65" s="728" t="s">
        <v>16</v>
      </c>
      <c r="G65" s="728" t="s">
        <v>17</v>
      </c>
      <c r="H65" s="728" t="s">
        <v>18</v>
      </c>
      <c r="I65" s="728" t="s">
        <v>19</v>
      </c>
      <c r="J65" s="728" t="s">
        <v>20</v>
      </c>
      <c r="K65" s="728" t="s">
        <v>21</v>
      </c>
      <c r="L65" s="728" t="s">
        <v>22</v>
      </c>
      <c r="M65" s="728" t="s">
        <v>23</v>
      </c>
      <c r="N65" s="732"/>
      <c r="P65"/>
      <c r="Q65"/>
      <c r="R65"/>
      <c r="S65"/>
      <c r="T65"/>
      <c r="U65"/>
      <c r="V65"/>
      <c r="W65"/>
      <c r="X65"/>
      <c r="AL65"/>
    </row>
    <row r="66" spans="2:38" ht="15.75" x14ac:dyDescent="0.25">
      <c r="B66" s="379"/>
      <c r="C66" s="730">
        <v>1</v>
      </c>
      <c r="D66" s="37" t="s">
        <v>959</v>
      </c>
      <c r="E66" s="730" t="s">
        <v>12</v>
      </c>
      <c r="F66" s="731">
        <v>49.507399023895317</v>
      </c>
      <c r="G66" s="731">
        <v>54.966532453398699</v>
      </c>
      <c r="H66" s="731">
        <v>63.071134262877045</v>
      </c>
      <c r="I66" s="731">
        <v>72.354224723643824</v>
      </c>
      <c r="J66" s="731">
        <v>83.379355430555947</v>
      </c>
      <c r="K66" s="731">
        <v>96.719168449132169</v>
      </c>
      <c r="L66" s="731">
        <v>112.91984594962042</v>
      </c>
      <c r="M66" s="731">
        <v>130.15712552338658</v>
      </c>
      <c r="N66" s="732"/>
      <c r="P66"/>
      <c r="Q66"/>
      <c r="R66"/>
      <c r="S66"/>
      <c r="T66"/>
      <c r="U66"/>
      <c r="V66"/>
      <c r="W66"/>
      <c r="X66"/>
      <c r="AL66"/>
    </row>
    <row r="67" spans="2:38" ht="15.75" x14ac:dyDescent="0.25">
      <c r="B67" s="379"/>
      <c r="C67" s="730">
        <v>2</v>
      </c>
      <c r="D67" s="37" t="s">
        <v>958</v>
      </c>
      <c r="E67" s="730" t="s">
        <v>12</v>
      </c>
      <c r="F67" s="731">
        <v>49.507399023895317</v>
      </c>
      <c r="G67" s="731">
        <v>54.966532453398699</v>
      </c>
      <c r="H67" s="731">
        <v>62.530874294996572</v>
      </c>
      <c r="I67" s="731">
        <v>70.204460355942089</v>
      </c>
      <c r="J67" s="731">
        <v>79.368809566438713</v>
      </c>
      <c r="K67" s="731">
        <v>90.46102570980284</v>
      </c>
      <c r="L67" s="731">
        <v>103.46990231226971</v>
      </c>
      <c r="M67" s="731">
        <v>117.14136157265196</v>
      </c>
      <c r="N67" s="732"/>
      <c r="P67"/>
      <c r="Q67"/>
      <c r="R67"/>
      <c r="S67"/>
      <c r="T67"/>
      <c r="U67"/>
      <c r="V67"/>
      <c r="W67"/>
      <c r="X67"/>
      <c r="AL67"/>
    </row>
    <row r="68" spans="2:38" ht="15.75" x14ac:dyDescent="0.25">
      <c r="B68" s="379"/>
      <c r="C68" s="174" t="s">
        <v>153</v>
      </c>
      <c r="D68" s="175"/>
      <c r="E68" s="175"/>
      <c r="F68" s="401">
        <f t="shared" ref="F68:M68" si="5">(INDEX(F$66:F$67,ROUNDDOWN($E$7,0))*(1-MOD($E$7,1)))+(INDEX(F$66:F$67,ROUNDUP($E$7,0))*MOD($E$7,1))</f>
        <v>49.507399023895317</v>
      </c>
      <c r="G68" s="401">
        <f t="shared" si="5"/>
        <v>54.966532453398699</v>
      </c>
      <c r="H68" s="401">
        <f t="shared" si="5"/>
        <v>63.071134262877045</v>
      </c>
      <c r="I68" s="401">
        <f t="shared" si="5"/>
        <v>72.354224723643824</v>
      </c>
      <c r="J68" s="401">
        <f t="shared" si="5"/>
        <v>83.379355430555947</v>
      </c>
      <c r="K68" s="401">
        <f t="shared" si="5"/>
        <v>96.719168449132169</v>
      </c>
      <c r="L68" s="401">
        <f t="shared" si="5"/>
        <v>112.91984594962042</v>
      </c>
      <c r="M68" s="401">
        <f t="shared" si="5"/>
        <v>130.15712552338658</v>
      </c>
      <c r="N68" s="732"/>
      <c r="P68"/>
      <c r="Q68"/>
      <c r="R68"/>
      <c r="S68"/>
      <c r="T68"/>
      <c r="U68"/>
      <c r="V68"/>
      <c r="W68"/>
      <c r="X68"/>
    </row>
    <row r="69" spans="2:38" ht="15.75" x14ac:dyDescent="0.25">
      <c r="B69" s="379"/>
      <c r="C69" s="177"/>
      <c r="D69" s="158"/>
      <c r="E69" s="158"/>
      <c r="F69" s="410"/>
      <c r="G69" s="410"/>
      <c r="H69" s="410"/>
      <c r="I69" s="410"/>
      <c r="J69" s="410"/>
      <c r="K69" s="410"/>
      <c r="L69" s="410"/>
      <c r="M69" s="410"/>
      <c r="N69" s="732"/>
      <c r="P69"/>
      <c r="Q69"/>
      <c r="R69"/>
      <c r="S69"/>
      <c r="T69"/>
      <c r="U69"/>
      <c r="V69"/>
      <c r="W69"/>
      <c r="X69"/>
    </row>
    <row r="70" spans="2:38" ht="15.75" x14ac:dyDescent="0.25">
      <c r="B70" s="379"/>
      <c r="C70" s="730"/>
      <c r="D70" s="733"/>
      <c r="E70" s="734"/>
      <c r="F70" s="735"/>
      <c r="G70" s="735"/>
      <c r="H70" s="735"/>
      <c r="I70" s="735"/>
      <c r="J70" s="735"/>
      <c r="K70" s="735"/>
      <c r="L70" s="735"/>
      <c r="M70" s="735"/>
      <c r="N70" s="732"/>
      <c r="P70"/>
      <c r="Q70"/>
      <c r="R70"/>
      <c r="S70"/>
      <c r="T70"/>
      <c r="U70"/>
      <c r="V70"/>
      <c r="W70"/>
      <c r="X70"/>
    </row>
    <row r="71" spans="2:38" ht="15.75" x14ac:dyDescent="0.25">
      <c r="B71" s="379"/>
      <c r="C71" s="725" t="s">
        <v>973</v>
      </c>
      <c r="D71" s="723"/>
      <c r="E71" s="723"/>
      <c r="F71" s="723"/>
      <c r="G71" s="723"/>
      <c r="H71" s="723"/>
      <c r="I71" s="723"/>
      <c r="J71" s="723"/>
      <c r="K71" s="723"/>
      <c r="L71" s="723"/>
      <c r="M71" s="726" t="s">
        <v>171</v>
      </c>
      <c r="N71" s="732"/>
      <c r="P71"/>
      <c r="Q71"/>
      <c r="R71"/>
      <c r="S71"/>
      <c r="T71"/>
      <c r="U71"/>
      <c r="V71"/>
      <c r="W71"/>
      <c r="X71"/>
    </row>
    <row r="72" spans="2:38" ht="3" customHeight="1" x14ac:dyDescent="0.25">
      <c r="B72" s="379"/>
      <c r="C72" s="727"/>
      <c r="D72" s="723"/>
      <c r="E72" s="726"/>
      <c r="F72" s="723"/>
      <c r="G72" s="723"/>
      <c r="H72" s="723"/>
      <c r="I72" s="723"/>
      <c r="J72" s="723"/>
      <c r="K72" s="723"/>
      <c r="L72" s="723"/>
      <c r="M72" s="723"/>
      <c r="N72" s="732"/>
      <c r="P72"/>
      <c r="Q72"/>
      <c r="R72"/>
      <c r="S72"/>
      <c r="T72"/>
      <c r="U72"/>
      <c r="V72"/>
      <c r="W72"/>
      <c r="X72"/>
    </row>
    <row r="73" spans="2:38" ht="15.75" x14ac:dyDescent="0.25">
      <c r="B73" s="379"/>
      <c r="C73" s="728" t="s">
        <v>3</v>
      </c>
      <c r="D73" s="728" t="s">
        <v>403</v>
      </c>
      <c r="E73" s="728" t="s">
        <v>8</v>
      </c>
      <c r="F73" s="728" t="s">
        <v>16</v>
      </c>
      <c r="G73" s="728" t="s">
        <v>17</v>
      </c>
      <c r="H73" s="728" t="s">
        <v>18</v>
      </c>
      <c r="I73" s="728" t="s">
        <v>19</v>
      </c>
      <c r="J73" s="728" t="s">
        <v>20</v>
      </c>
      <c r="K73" s="728" t="s">
        <v>21</v>
      </c>
      <c r="L73" s="728" t="s">
        <v>22</v>
      </c>
      <c r="M73" s="728" t="s">
        <v>23</v>
      </c>
      <c r="N73" s="732"/>
      <c r="P73"/>
      <c r="Q73"/>
      <c r="R73"/>
      <c r="S73"/>
      <c r="T73"/>
      <c r="U73"/>
      <c r="V73"/>
      <c r="W73"/>
      <c r="X73"/>
    </row>
    <row r="74" spans="2:38" ht="15.75" x14ac:dyDescent="0.25">
      <c r="B74" s="379"/>
      <c r="C74" s="730">
        <v>1</v>
      </c>
      <c r="D74" s="37" t="s">
        <v>959</v>
      </c>
      <c r="E74" s="730" t="s">
        <v>12</v>
      </c>
      <c r="F74" s="731">
        <v>15.971933120672052</v>
      </c>
      <c r="G74" s="731">
        <v>17.93932538166975</v>
      </c>
      <c r="H74" s="731">
        <v>21.052980236559044</v>
      </c>
      <c r="I74" s="731">
        <v>24.608199498793461</v>
      </c>
      <c r="J74" s="731">
        <v>28.328767991023192</v>
      </c>
      <c r="K74" s="731">
        <v>32.183151232645336</v>
      </c>
      <c r="L74" s="731">
        <v>36.267338239387406</v>
      </c>
      <c r="M74" s="731">
        <v>38.811564235740136</v>
      </c>
      <c r="N74" s="732"/>
      <c r="P74"/>
      <c r="Q74"/>
      <c r="R74"/>
      <c r="S74"/>
      <c r="T74"/>
      <c r="U74"/>
      <c r="V74"/>
      <c r="W74"/>
      <c r="X74"/>
    </row>
    <row r="75" spans="2:38" ht="15.75" x14ac:dyDescent="0.25">
      <c r="B75" s="379"/>
      <c r="C75" s="730">
        <v>2</v>
      </c>
      <c r="D75" s="37" t="s">
        <v>958</v>
      </c>
      <c r="E75" s="730" t="s">
        <v>12</v>
      </c>
      <c r="F75" s="731">
        <v>15.971933120672052</v>
      </c>
      <c r="G75" s="731">
        <v>17.93932538166975</v>
      </c>
      <c r="H75" s="731">
        <v>20.6590064155207</v>
      </c>
      <c r="I75" s="731">
        <v>23.295266992497844</v>
      </c>
      <c r="J75" s="731">
        <v>26.190711640315989</v>
      </c>
      <c r="K75" s="731">
        <v>29.242898865565412</v>
      </c>
      <c r="L75" s="731">
        <v>32.544355348102933</v>
      </c>
      <c r="M75" s="731">
        <v>35.838316302360361</v>
      </c>
      <c r="N75" s="732"/>
      <c r="P75"/>
      <c r="Q75"/>
      <c r="R75"/>
      <c r="S75"/>
      <c r="T75"/>
      <c r="U75"/>
      <c r="V75"/>
      <c r="W75"/>
      <c r="X75"/>
    </row>
    <row r="76" spans="2:38" ht="15.75" x14ac:dyDescent="0.25">
      <c r="B76" s="379"/>
      <c r="C76" s="174" t="s">
        <v>153</v>
      </c>
      <c r="D76" s="175"/>
      <c r="E76" s="175"/>
      <c r="F76" s="401">
        <f t="shared" ref="F76:M76" si="6">(INDEX(F$74:F$75,ROUNDDOWN($E$7,0))*(1-MOD($E$7,1)))+(INDEX(F$74:F$75,ROUNDUP($E$7,0))*MOD($E$7,1))</f>
        <v>15.971933120672052</v>
      </c>
      <c r="G76" s="401">
        <f t="shared" si="6"/>
        <v>17.93932538166975</v>
      </c>
      <c r="H76" s="401">
        <f t="shared" si="6"/>
        <v>21.052980236559044</v>
      </c>
      <c r="I76" s="401">
        <f t="shared" si="6"/>
        <v>24.608199498793461</v>
      </c>
      <c r="J76" s="401">
        <f t="shared" si="6"/>
        <v>28.328767991023192</v>
      </c>
      <c r="K76" s="401">
        <f t="shared" si="6"/>
        <v>32.183151232645336</v>
      </c>
      <c r="L76" s="401">
        <f t="shared" si="6"/>
        <v>36.267338239387406</v>
      </c>
      <c r="M76" s="401">
        <f t="shared" si="6"/>
        <v>38.811564235740136</v>
      </c>
      <c r="N76" s="732"/>
      <c r="P76"/>
      <c r="Q76"/>
      <c r="R76"/>
      <c r="S76"/>
      <c r="T76"/>
      <c r="U76"/>
      <c r="V76"/>
      <c r="W76"/>
      <c r="X76"/>
    </row>
    <row r="77" spans="2:38" ht="15.75" x14ac:dyDescent="0.25">
      <c r="B77" s="379"/>
      <c r="C77" s="730"/>
      <c r="D77" s="733"/>
      <c r="E77" s="734"/>
      <c r="F77" s="735"/>
      <c r="G77" s="735"/>
      <c r="H77" s="735"/>
      <c r="I77" s="735"/>
      <c r="J77" s="735"/>
      <c r="K77" s="735"/>
      <c r="L77" s="735"/>
      <c r="M77" s="735"/>
      <c r="N77" s="732"/>
      <c r="P77"/>
      <c r="Q77"/>
      <c r="R77"/>
      <c r="S77"/>
      <c r="T77"/>
      <c r="U77"/>
      <c r="V77"/>
      <c r="W77"/>
      <c r="X77"/>
    </row>
    <row r="78" spans="2:38" ht="15.75" x14ac:dyDescent="0.25">
      <c r="B78" s="379"/>
      <c r="C78" s="725" t="s">
        <v>974</v>
      </c>
      <c r="D78" s="723"/>
      <c r="E78" s="723"/>
      <c r="F78" s="723"/>
      <c r="G78" s="723"/>
      <c r="H78" s="723"/>
      <c r="I78" s="723"/>
      <c r="J78" s="723"/>
      <c r="K78" s="723"/>
      <c r="L78" s="723"/>
      <c r="M78" s="726" t="s">
        <v>171</v>
      </c>
      <c r="N78" s="732"/>
      <c r="P78"/>
      <c r="Q78"/>
      <c r="R78"/>
      <c r="S78"/>
      <c r="T78"/>
      <c r="U78"/>
      <c r="V78"/>
      <c r="W78"/>
      <c r="X78"/>
    </row>
    <row r="79" spans="2:38" ht="3" customHeight="1" x14ac:dyDescent="0.25">
      <c r="B79" s="379"/>
      <c r="C79" s="727"/>
      <c r="D79" s="723"/>
      <c r="E79" s="726"/>
      <c r="F79" s="723"/>
      <c r="G79" s="723"/>
      <c r="H79" s="723"/>
      <c r="I79" s="723"/>
      <c r="J79" s="723"/>
      <c r="K79" s="723"/>
      <c r="L79" s="723"/>
      <c r="M79" s="723"/>
      <c r="N79" s="732"/>
      <c r="P79"/>
      <c r="Q79"/>
      <c r="R79"/>
      <c r="S79"/>
      <c r="T79"/>
      <c r="U79"/>
      <c r="V79"/>
      <c r="W79"/>
      <c r="X79"/>
    </row>
    <row r="80" spans="2:38" ht="15.75" x14ac:dyDescent="0.25">
      <c r="B80" s="379"/>
      <c r="C80" s="728" t="s">
        <v>3</v>
      </c>
      <c r="D80" s="728" t="s">
        <v>403</v>
      </c>
      <c r="E80" s="728" t="s">
        <v>8</v>
      </c>
      <c r="F80" s="728" t="s">
        <v>16</v>
      </c>
      <c r="G80" s="728" t="s">
        <v>17</v>
      </c>
      <c r="H80" s="728" t="s">
        <v>18</v>
      </c>
      <c r="I80" s="728" t="s">
        <v>19</v>
      </c>
      <c r="J80" s="728" t="s">
        <v>20</v>
      </c>
      <c r="K80" s="728" t="s">
        <v>21</v>
      </c>
      <c r="L80" s="728" t="s">
        <v>22</v>
      </c>
      <c r="M80" s="728" t="s">
        <v>23</v>
      </c>
      <c r="N80" s="732"/>
      <c r="P80"/>
      <c r="Q80"/>
      <c r="R80"/>
      <c r="S80"/>
      <c r="T80"/>
      <c r="U80"/>
      <c r="V80"/>
      <c r="W80"/>
      <c r="X80"/>
    </row>
    <row r="81" spans="1:24" ht="15.75" x14ac:dyDescent="0.25">
      <c r="B81" s="379"/>
      <c r="C81" s="730">
        <v>1</v>
      </c>
      <c r="D81" s="37" t="s">
        <v>959</v>
      </c>
      <c r="E81" s="730" t="s">
        <v>12</v>
      </c>
      <c r="F81" s="731">
        <v>4.027512716164436</v>
      </c>
      <c r="G81" s="731">
        <v>4.1497601193813418</v>
      </c>
      <c r="H81" s="731">
        <v>4.4123956211743023</v>
      </c>
      <c r="I81" s="731">
        <v>4.6940774692200495</v>
      </c>
      <c r="J81" s="731">
        <v>4.9719763073114942</v>
      </c>
      <c r="K81" s="731">
        <v>5.2405844841861082</v>
      </c>
      <c r="L81" s="731">
        <v>5.5082188136655823</v>
      </c>
      <c r="M81" s="731">
        <v>5.7863827304158413</v>
      </c>
      <c r="N81" s="732"/>
      <c r="P81"/>
      <c r="Q81"/>
      <c r="R81"/>
      <c r="S81"/>
      <c r="T81"/>
      <c r="U81"/>
      <c r="V81"/>
      <c r="W81"/>
      <c r="X81"/>
    </row>
    <row r="82" spans="1:24" ht="15.75" x14ac:dyDescent="0.25">
      <c r="B82" s="379"/>
      <c r="C82" s="730">
        <v>2</v>
      </c>
      <c r="D82" s="37" t="s">
        <v>958</v>
      </c>
      <c r="E82" s="730" t="s">
        <v>12</v>
      </c>
      <c r="F82" s="731">
        <v>4.027512716164436</v>
      </c>
      <c r="G82" s="731">
        <v>4.1497601193813418</v>
      </c>
      <c r="H82" s="731">
        <v>4.3840192287232833</v>
      </c>
      <c r="I82" s="731">
        <v>4.5984098864451326</v>
      </c>
      <c r="J82" s="731">
        <v>4.8199605358990194</v>
      </c>
      <c r="K82" s="731">
        <v>5.0411146568336482</v>
      </c>
      <c r="L82" s="731">
        <v>5.2788457124862891</v>
      </c>
      <c r="M82" s="731">
        <v>5.5211470950736192</v>
      </c>
      <c r="N82" s="732"/>
      <c r="P82"/>
      <c r="Q82"/>
      <c r="R82"/>
      <c r="S82"/>
      <c r="T82"/>
      <c r="U82"/>
      <c r="V82"/>
      <c r="W82"/>
      <c r="X82"/>
    </row>
    <row r="83" spans="1:24" ht="15.75" x14ac:dyDescent="0.25">
      <c r="B83" s="379"/>
      <c r="C83" s="174" t="s">
        <v>153</v>
      </c>
      <c r="D83" s="175"/>
      <c r="E83" s="175"/>
      <c r="F83" s="401">
        <f t="shared" ref="F83:M83" si="7">(INDEX(F$81:F$82,ROUNDDOWN($E$7,0))*(1-MOD($E$7,1)))+(INDEX(F$81:F$82,ROUNDUP($E$7,0))*MOD($E$7,1))</f>
        <v>4.027512716164436</v>
      </c>
      <c r="G83" s="401">
        <f t="shared" si="7"/>
        <v>4.1497601193813418</v>
      </c>
      <c r="H83" s="401">
        <f t="shared" si="7"/>
        <v>4.4123956211743023</v>
      </c>
      <c r="I83" s="401">
        <f t="shared" si="7"/>
        <v>4.6940774692200495</v>
      </c>
      <c r="J83" s="401">
        <f t="shared" si="7"/>
        <v>4.9719763073114942</v>
      </c>
      <c r="K83" s="401">
        <f t="shared" si="7"/>
        <v>5.2405844841861082</v>
      </c>
      <c r="L83" s="401">
        <f t="shared" si="7"/>
        <v>5.5082188136655823</v>
      </c>
      <c r="M83" s="401">
        <f t="shared" si="7"/>
        <v>5.7863827304158413</v>
      </c>
      <c r="N83" s="732"/>
      <c r="P83"/>
      <c r="Q83"/>
      <c r="R83"/>
      <c r="S83"/>
      <c r="T83"/>
      <c r="U83"/>
      <c r="V83"/>
      <c r="W83"/>
      <c r="X83"/>
    </row>
    <row r="84" spans="1:24" ht="15.75" x14ac:dyDescent="0.25">
      <c r="B84" s="379"/>
      <c r="C84" s="730"/>
      <c r="D84" s="733"/>
      <c r="E84" s="734"/>
      <c r="F84" s="735"/>
      <c r="G84" s="735"/>
      <c r="H84" s="735"/>
      <c r="I84" s="735"/>
      <c r="J84" s="735"/>
      <c r="K84" s="735"/>
      <c r="L84" s="735"/>
      <c r="M84" s="735"/>
      <c r="N84" s="732"/>
      <c r="P84"/>
      <c r="Q84"/>
      <c r="R84"/>
      <c r="S84"/>
      <c r="T84"/>
      <c r="U84"/>
      <c r="V84"/>
      <c r="W84"/>
      <c r="X84"/>
    </row>
    <row r="85" spans="1:24" ht="15.75" x14ac:dyDescent="0.25">
      <c r="B85" s="379"/>
      <c r="C85" s="725" t="s">
        <v>975</v>
      </c>
      <c r="D85" s="723"/>
      <c r="E85" s="723"/>
      <c r="F85" s="723"/>
      <c r="G85" s="723"/>
      <c r="H85" s="723"/>
      <c r="I85" s="723"/>
      <c r="J85" s="723"/>
      <c r="K85" s="723"/>
      <c r="L85" s="723"/>
      <c r="M85" s="726" t="s">
        <v>171</v>
      </c>
      <c r="N85" s="732"/>
      <c r="P85"/>
      <c r="Q85"/>
      <c r="R85"/>
      <c r="S85"/>
      <c r="T85"/>
      <c r="U85"/>
      <c r="V85"/>
      <c r="W85"/>
      <c r="X85"/>
    </row>
    <row r="86" spans="1:24" ht="3.75" customHeight="1" x14ac:dyDescent="0.25">
      <c r="B86" s="379"/>
      <c r="C86" s="727"/>
      <c r="D86" s="723"/>
      <c r="E86" s="726"/>
      <c r="F86" s="723"/>
      <c r="G86" s="723"/>
      <c r="H86" s="723"/>
      <c r="I86" s="723"/>
      <c r="J86" s="723"/>
      <c r="K86" s="723"/>
      <c r="L86" s="723"/>
      <c r="M86" s="723"/>
      <c r="N86" s="732"/>
      <c r="P86"/>
      <c r="Q86"/>
      <c r="R86"/>
      <c r="S86"/>
      <c r="T86"/>
      <c r="U86"/>
      <c r="V86"/>
      <c r="W86"/>
      <c r="X86"/>
    </row>
    <row r="87" spans="1:24" ht="15.75" x14ac:dyDescent="0.25">
      <c r="B87" s="379"/>
      <c r="C87" s="728" t="s">
        <v>3</v>
      </c>
      <c r="D87" s="728" t="s">
        <v>403</v>
      </c>
      <c r="E87" s="728" t="s">
        <v>8</v>
      </c>
      <c r="F87" s="728" t="s">
        <v>16</v>
      </c>
      <c r="G87" s="728" t="s">
        <v>17</v>
      </c>
      <c r="H87" s="728" t="s">
        <v>18</v>
      </c>
      <c r="I87" s="728" t="s">
        <v>19</v>
      </c>
      <c r="J87" s="728" t="s">
        <v>20</v>
      </c>
      <c r="K87" s="728" t="s">
        <v>21</v>
      </c>
      <c r="L87" s="728" t="s">
        <v>22</v>
      </c>
      <c r="M87" s="728" t="s">
        <v>23</v>
      </c>
      <c r="N87" s="732"/>
      <c r="P87"/>
      <c r="Q87"/>
      <c r="R87"/>
      <c r="S87"/>
      <c r="T87"/>
      <c r="U87"/>
      <c r="V87"/>
      <c r="W87"/>
      <c r="X87"/>
    </row>
    <row r="88" spans="1:24" ht="15.75" x14ac:dyDescent="0.25">
      <c r="B88" s="379"/>
      <c r="C88" s="730">
        <v>1</v>
      </c>
      <c r="D88" s="37" t="s">
        <v>959</v>
      </c>
      <c r="E88" s="730" t="s">
        <v>12</v>
      </c>
      <c r="F88" s="731">
        <v>18.512500005814964</v>
      </c>
      <c r="G88" s="731">
        <v>19.654612176542411</v>
      </c>
      <c r="H88" s="731">
        <v>20.037711065883578</v>
      </c>
      <c r="I88" s="731">
        <v>20.460683188928289</v>
      </c>
      <c r="J88" s="731">
        <v>20.927678525324172</v>
      </c>
      <c r="K88" s="731">
        <v>21.443279199860431</v>
      </c>
      <c r="L88" s="731">
        <v>22.01254397860091</v>
      </c>
      <c r="M88" s="731">
        <v>22.641058300866426</v>
      </c>
      <c r="N88" s="732"/>
      <c r="P88"/>
      <c r="Q88"/>
      <c r="R88"/>
      <c r="S88"/>
      <c r="T88"/>
      <c r="U88"/>
      <c r="V88"/>
      <c r="W88"/>
      <c r="X88"/>
    </row>
    <row r="89" spans="1:24" ht="15.75" x14ac:dyDescent="0.25">
      <c r="B89" s="379"/>
      <c r="C89" s="730">
        <v>2</v>
      </c>
      <c r="D89" s="37" t="s">
        <v>958</v>
      </c>
      <c r="E89" s="730" t="s">
        <v>12</v>
      </c>
      <c r="F89" s="731">
        <v>18.512500005814964</v>
      </c>
      <c r="G89" s="731">
        <v>19.654612176542411</v>
      </c>
      <c r="H89" s="731">
        <v>20.037711065883578</v>
      </c>
      <c r="I89" s="731">
        <v>20.460683188928289</v>
      </c>
      <c r="J89" s="731">
        <v>20.927678525324172</v>
      </c>
      <c r="K89" s="731">
        <v>21.443279199860431</v>
      </c>
      <c r="L89" s="731">
        <v>22.01254397860091</v>
      </c>
      <c r="M89" s="731">
        <v>22.641058300866426</v>
      </c>
      <c r="N89" s="732"/>
      <c r="P89"/>
      <c r="Q89"/>
      <c r="R89"/>
      <c r="S89"/>
      <c r="T89"/>
      <c r="U89"/>
      <c r="V89"/>
      <c r="W89"/>
      <c r="X89"/>
    </row>
    <row r="90" spans="1:24" ht="15.75" x14ac:dyDescent="0.25">
      <c r="B90" s="379"/>
      <c r="C90" s="174" t="s">
        <v>153</v>
      </c>
      <c r="D90" s="175"/>
      <c r="E90" s="175"/>
      <c r="F90" s="401">
        <f t="shared" ref="F90:M90" si="8">(INDEX(F$88:F$89,ROUNDDOWN($E$7,0))*(1-MOD($E$7,1)))+(INDEX(F$88:F$89,ROUNDUP($E$7,0))*MOD($E$7,1))</f>
        <v>18.512500005814964</v>
      </c>
      <c r="G90" s="401">
        <f t="shared" si="8"/>
        <v>19.654612176542411</v>
      </c>
      <c r="H90" s="401">
        <f t="shared" si="8"/>
        <v>20.037711065883578</v>
      </c>
      <c r="I90" s="401">
        <f t="shared" si="8"/>
        <v>20.460683188928289</v>
      </c>
      <c r="J90" s="401">
        <f t="shared" si="8"/>
        <v>20.927678525324172</v>
      </c>
      <c r="K90" s="401">
        <f t="shared" si="8"/>
        <v>21.443279199860431</v>
      </c>
      <c r="L90" s="401">
        <f t="shared" si="8"/>
        <v>22.01254397860091</v>
      </c>
      <c r="M90" s="401">
        <f t="shared" si="8"/>
        <v>22.641058300866426</v>
      </c>
      <c r="N90" s="732"/>
      <c r="P90"/>
      <c r="Q90"/>
      <c r="R90"/>
      <c r="S90"/>
      <c r="T90"/>
      <c r="U90"/>
      <c r="V90"/>
      <c r="W90"/>
      <c r="X90"/>
    </row>
    <row r="91" spans="1:24" customFormat="1" ht="15.75" x14ac:dyDescent="0.25">
      <c r="A91" s="722"/>
      <c r="B91" s="379"/>
      <c r="C91" s="730"/>
      <c r="D91" s="733"/>
      <c r="E91" s="734"/>
      <c r="F91" s="735"/>
      <c r="G91" s="735"/>
      <c r="H91" s="735"/>
      <c r="I91" s="735"/>
      <c r="J91" s="735"/>
      <c r="K91" s="735"/>
      <c r="L91" s="735"/>
      <c r="M91" s="735"/>
      <c r="N91" s="732"/>
      <c r="O91" s="722"/>
    </row>
    <row r="92" spans="1:24" outlineLevel="1" x14ac:dyDescent="0.25">
      <c r="B92"/>
      <c r="C92"/>
      <c r="D92"/>
      <c r="E92"/>
      <c r="F92"/>
      <c r="G92"/>
      <c r="H92"/>
      <c r="I92"/>
      <c r="J92"/>
      <c r="K92"/>
      <c r="L92"/>
      <c r="M92"/>
      <c r="N92"/>
      <c r="P92"/>
    </row>
    <row r="93" spans="1:24" ht="15.75" outlineLevel="1" x14ac:dyDescent="0.25">
      <c r="B93" s="23" t="s">
        <v>369</v>
      </c>
      <c r="C93" s="24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6"/>
      <c r="P93"/>
    </row>
    <row r="94" spans="1:24" outlineLevel="1" x14ac:dyDescent="0.25">
      <c r="B94" s="27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9"/>
    </row>
    <row r="95" spans="1:24" outlineLevel="1" x14ac:dyDescent="0.25">
      <c r="A95" s="124"/>
      <c r="B95" s="27"/>
      <c r="C95" s="30" t="s">
        <v>433</v>
      </c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9"/>
      <c r="O95"/>
    </row>
    <row r="96" spans="1:24" ht="15.75" outlineLevel="1" x14ac:dyDescent="0.25">
      <c r="A96" s="124"/>
      <c r="B96" s="32"/>
      <c r="C96" s="33"/>
      <c r="D96" s="33" t="s">
        <v>7</v>
      </c>
      <c r="E96" s="33" t="s">
        <v>8</v>
      </c>
      <c r="F96" s="728" t="s">
        <v>16</v>
      </c>
      <c r="G96" s="728" t="s">
        <v>17</v>
      </c>
      <c r="H96" s="728" t="s">
        <v>18</v>
      </c>
      <c r="I96" s="728" t="s">
        <v>19</v>
      </c>
      <c r="J96" s="728" t="s">
        <v>20</v>
      </c>
      <c r="K96" s="728" t="s">
        <v>21</v>
      </c>
      <c r="L96" s="728" t="s">
        <v>22</v>
      </c>
      <c r="M96" s="35">
        <v>2050</v>
      </c>
      <c r="N96" s="29"/>
      <c r="O96"/>
    </row>
    <row r="97" spans="2:15" ht="15.75" outlineLevel="1" x14ac:dyDescent="0.25">
      <c r="B97" s="32"/>
      <c r="C97" s="3144"/>
      <c r="D97" s="3144" t="s">
        <v>2213</v>
      </c>
      <c r="E97" s="3147" t="s">
        <v>12</v>
      </c>
      <c r="F97" s="3144">
        <v>5403014.2839315925</v>
      </c>
      <c r="G97" s="3144">
        <v>5878696.7519968767</v>
      </c>
      <c r="H97" s="3144">
        <v>6336344.0482013645</v>
      </c>
      <c r="I97" s="3144">
        <v>6757250.1963804709</v>
      </c>
      <c r="J97" s="3144">
        <v>7141539.5216157008</v>
      </c>
      <c r="K97" s="3144">
        <v>7487390.6398742469</v>
      </c>
      <c r="L97" s="3144">
        <v>7784966.6664717179</v>
      </c>
      <c r="M97" s="3144">
        <v>8025625.5595157845</v>
      </c>
      <c r="N97" s="29"/>
      <c r="O97"/>
    </row>
    <row r="98" spans="2:15" ht="15.75" outlineLevel="1" x14ac:dyDescent="0.25">
      <c r="B98" s="32"/>
      <c r="C98" s="3144"/>
      <c r="D98" s="3144" t="s">
        <v>2214</v>
      </c>
      <c r="E98" s="3147" t="s">
        <v>133</v>
      </c>
      <c r="F98" s="3144">
        <f>A.a!G80</f>
        <v>5420554.3751459168</v>
      </c>
      <c r="G98" s="3144">
        <f>A.a!H80</f>
        <v>5933918.1554948855</v>
      </c>
      <c r="H98" s="3144">
        <f>A.a!I80</f>
        <v>6402460.8429500507</v>
      </c>
      <c r="I98" s="3144">
        <f>A.a!J80</f>
        <v>6868127.93224221</v>
      </c>
      <c r="J98" s="3144">
        <f>A.a!K80</f>
        <v>7281646.4692399325</v>
      </c>
      <c r="K98" s="3144">
        <f>A.a!L80</f>
        <v>7650649.962975869</v>
      </c>
      <c r="L98" s="3144">
        <f>A.a!M80</f>
        <v>7969518.4968252648</v>
      </c>
      <c r="M98" s="3144">
        <f>A.a!N80</f>
        <v>8227432.6743829194</v>
      </c>
      <c r="N98" s="29"/>
      <c r="O98"/>
    </row>
    <row r="99" spans="2:15" ht="15.75" outlineLevel="1" x14ac:dyDescent="0.25">
      <c r="B99" s="32"/>
      <c r="C99" s="3144"/>
      <c r="D99" s="3144" t="s">
        <v>2216</v>
      </c>
      <c r="E99" s="3147" t="s">
        <v>136</v>
      </c>
      <c r="F99" s="3145">
        <f t="shared" ref="F99:M99" si="9">F98/F97</f>
        <v>1.0032463529231244</v>
      </c>
      <c r="G99" s="3145">
        <f t="shared" si="9"/>
        <v>1.009393477130667</v>
      </c>
      <c r="H99" s="3145">
        <f t="shared" si="9"/>
        <v>1.0104345335805203</v>
      </c>
      <c r="I99" s="3145">
        <f t="shared" si="9"/>
        <v>1.0164087065950482</v>
      </c>
      <c r="J99" s="3145">
        <f t="shared" si="9"/>
        <v>1.0196185916496243</v>
      </c>
      <c r="K99" s="3145">
        <f t="shared" si="9"/>
        <v>1.0218045686346564</v>
      </c>
      <c r="L99" s="3145">
        <f t="shared" si="9"/>
        <v>1.0237061811900074</v>
      </c>
      <c r="M99" s="3145">
        <f t="shared" si="9"/>
        <v>1.025145343919996</v>
      </c>
      <c r="N99" s="29"/>
      <c r="O99"/>
    </row>
    <row r="100" spans="2:15" ht="15.75" outlineLevel="1" x14ac:dyDescent="0.25">
      <c r="B100" s="32"/>
      <c r="C100" s="3144"/>
      <c r="D100" s="3144"/>
      <c r="E100" s="3144"/>
      <c r="F100" s="3145"/>
      <c r="G100" s="3145"/>
      <c r="H100" s="3145"/>
      <c r="I100" s="3145"/>
      <c r="J100" s="3145"/>
      <c r="K100" s="3145"/>
      <c r="L100" s="3145"/>
      <c r="M100" s="3145"/>
      <c r="N100" s="29"/>
      <c r="O100"/>
    </row>
    <row r="101" spans="2:15" ht="15.75" outlineLevel="1" x14ac:dyDescent="0.25">
      <c r="B101" s="32"/>
      <c r="C101" s="2897" t="s">
        <v>8</v>
      </c>
      <c r="D101" s="2896"/>
      <c r="E101" s="3144"/>
      <c r="F101" s="3145"/>
      <c r="G101" s="3145"/>
      <c r="H101" s="3145"/>
      <c r="I101" s="3145"/>
      <c r="J101" s="3145"/>
      <c r="K101" s="3145"/>
      <c r="L101" s="3145"/>
      <c r="M101" s="3145"/>
      <c r="N101" s="29"/>
      <c r="O101"/>
    </row>
    <row r="102" spans="2:15" ht="15.75" outlineLevel="1" x14ac:dyDescent="0.25">
      <c r="B102" s="32"/>
      <c r="C102" s="2897" t="s">
        <v>12</v>
      </c>
      <c r="D102" s="3146" t="s">
        <v>2212</v>
      </c>
      <c r="E102" s="3144"/>
      <c r="F102" s="3145"/>
      <c r="G102" s="3145"/>
      <c r="H102" s="3145"/>
      <c r="I102" s="3145"/>
      <c r="J102" s="3145"/>
      <c r="K102" s="3145"/>
      <c r="L102" s="3145"/>
      <c r="M102" s="3145"/>
      <c r="N102" s="29"/>
      <c r="O102"/>
    </row>
    <row r="103" spans="2:15" ht="15.75" outlineLevel="1" x14ac:dyDescent="0.25">
      <c r="B103" s="32"/>
      <c r="C103" s="3148" t="s">
        <v>133</v>
      </c>
      <c r="D103" s="3146" t="s">
        <v>2215</v>
      </c>
      <c r="E103" s="3144"/>
      <c r="F103" s="3145"/>
      <c r="G103" s="3145"/>
      <c r="H103" s="3145"/>
      <c r="I103" s="3145"/>
      <c r="J103" s="3145"/>
      <c r="K103" s="3145"/>
      <c r="L103" s="3145"/>
      <c r="M103" s="3145"/>
      <c r="N103" s="29"/>
      <c r="O103"/>
    </row>
    <row r="104" spans="2:15" ht="15.75" outlineLevel="1" x14ac:dyDescent="0.25">
      <c r="B104" s="32"/>
      <c r="C104" s="3148" t="s">
        <v>136</v>
      </c>
      <c r="D104" s="3146" t="s">
        <v>2217</v>
      </c>
      <c r="E104" s="3144"/>
      <c r="F104" s="3145"/>
      <c r="G104" s="3145"/>
      <c r="H104" s="3145"/>
      <c r="I104" s="3145"/>
      <c r="J104" s="3145"/>
      <c r="K104" s="3145"/>
      <c r="L104" s="3145"/>
      <c r="M104" s="3145"/>
      <c r="N104" s="29"/>
      <c r="O104"/>
    </row>
    <row r="105" spans="2:15" ht="15.75" outlineLevel="1" x14ac:dyDescent="0.25">
      <c r="B105" s="32"/>
      <c r="C105" s="2897"/>
      <c r="D105" s="2896"/>
      <c r="E105" s="3144"/>
      <c r="F105" s="3144"/>
      <c r="G105" s="3144"/>
      <c r="H105" s="3144"/>
      <c r="I105" s="3144"/>
      <c r="J105" s="3144"/>
      <c r="K105" s="3144"/>
      <c r="L105" s="3144"/>
      <c r="M105" s="3144"/>
      <c r="N105" s="29"/>
      <c r="O105"/>
    </row>
    <row r="106" spans="2:15" x14ac:dyDescent="0.25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</row>
    <row r="107" spans="2:15" x14ac:dyDescent="0.25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</row>
    <row r="108" spans="2:15" ht="15.75" x14ac:dyDescent="0.25">
      <c r="B108" s="128" t="s">
        <v>181</v>
      </c>
      <c r="C108" s="129"/>
      <c r="D108" s="129"/>
      <c r="E108" s="129"/>
      <c r="F108" s="129"/>
      <c r="G108" s="129"/>
      <c r="H108" s="129"/>
      <c r="I108" s="129"/>
      <c r="J108" s="129"/>
      <c r="K108" s="129"/>
      <c r="L108" s="129"/>
      <c r="M108" s="129"/>
      <c r="N108" s="129"/>
    </row>
    <row r="109" spans="2:15" x14ac:dyDescent="0.25">
      <c r="B109" s="131"/>
      <c r="C109" s="132"/>
      <c r="D109" s="132"/>
      <c r="E109" s="132"/>
      <c r="F109" s="132"/>
      <c r="G109" s="132"/>
      <c r="H109" s="132"/>
      <c r="I109" s="132"/>
      <c r="J109" s="132"/>
      <c r="K109" s="132"/>
      <c r="L109" s="132"/>
      <c r="M109" s="1876" t="s">
        <v>171</v>
      </c>
      <c r="N109" s="132"/>
    </row>
    <row r="110" spans="2:15" x14ac:dyDescent="0.25">
      <c r="B110" s="737"/>
      <c r="C110" s="738"/>
      <c r="D110" s="738" t="s">
        <v>7</v>
      </c>
      <c r="E110" s="738" t="s">
        <v>8</v>
      </c>
      <c r="F110" s="741" t="str">
        <f t="shared" ref="F110:M110" si="10">F15</f>
        <v>2015</v>
      </c>
      <c r="G110" s="741" t="str">
        <f t="shared" si="10"/>
        <v>2020</v>
      </c>
      <c r="H110" s="741" t="str">
        <f t="shared" si="10"/>
        <v>2025</v>
      </c>
      <c r="I110" s="741" t="str">
        <f t="shared" si="10"/>
        <v>2030</v>
      </c>
      <c r="J110" s="741" t="str">
        <f t="shared" si="10"/>
        <v>2035</v>
      </c>
      <c r="K110" s="741" t="str">
        <f t="shared" si="10"/>
        <v>2040</v>
      </c>
      <c r="L110" s="741" t="str">
        <f t="shared" si="10"/>
        <v>2045</v>
      </c>
      <c r="M110" s="741" t="str">
        <f t="shared" si="10"/>
        <v>2050</v>
      </c>
      <c r="N110" s="737"/>
    </row>
    <row r="111" spans="2:15" x14ac:dyDescent="0.25">
      <c r="B111" s="737"/>
      <c r="C111" s="1874"/>
      <c r="D111" s="1874" t="str">
        <f>C13</f>
        <v>Demanda Eléctrica</v>
      </c>
      <c r="E111" s="1875"/>
      <c r="F111" s="1870">
        <f t="shared" ref="F111:M111" si="11">F18</f>
        <v>71.438420313872697</v>
      </c>
      <c r="G111" s="1870">
        <f t="shared" si="11"/>
        <v>85.743128584816162</v>
      </c>
      <c r="H111" s="1870">
        <f t="shared" si="11"/>
        <v>101.05736491461823</v>
      </c>
      <c r="I111" s="1870">
        <f t="shared" si="11"/>
        <v>115.78574943081706</v>
      </c>
      <c r="J111" s="1870">
        <f t="shared" si="11"/>
        <v>132.83210963932817</v>
      </c>
      <c r="K111" s="1870">
        <f t="shared" si="11"/>
        <v>150.51109445553126</v>
      </c>
      <c r="L111" s="1870">
        <f t="shared" si="11"/>
        <v>169.02986219221336</v>
      </c>
      <c r="M111" s="1870">
        <f t="shared" si="11"/>
        <v>185.84736978840834</v>
      </c>
      <c r="N111" s="737"/>
    </row>
    <row r="112" spans="2:15" x14ac:dyDescent="0.25">
      <c r="B112" s="737"/>
      <c r="C112" s="1872"/>
      <c r="D112" s="1872" t="str">
        <f>C23</f>
        <v>Demanda Total de Energía</v>
      </c>
      <c r="E112" s="1873"/>
      <c r="F112" s="1871">
        <f>SUM(F113:F119)</f>
        <v>319.26973529562218</v>
      </c>
      <c r="G112" s="1871">
        <f t="shared" ref="G112:M112" si="12">SUM(G113:G119)</f>
        <v>358.45841878540239</v>
      </c>
      <c r="H112" s="1871">
        <f t="shared" si="12"/>
        <v>409.73499433718979</v>
      </c>
      <c r="I112" s="1871">
        <f t="shared" si="12"/>
        <v>464.93506408912117</v>
      </c>
      <c r="J112" s="1871">
        <f t="shared" si="12"/>
        <v>523.33092787715316</v>
      </c>
      <c r="K112" s="1871">
        <f t="shared" si="12"/>
        <v>579.17773854493396</v>
      </c>
      <c r="L112" s="1871">
        <f t="shared" si="12"/>
        <v>633.2028719020069</v>
      </c>
      <c r="M112" s="1871">
        <f t="shared" si="12"/>
        <v>683.49801515707316</v>
      </c>
      <c r="N112" s="737"/>
    </row>
    <row r="113" spans="2:14" x14ac:dyDescent="0.25">
      <c r="B113" s="737"/>
      <c r="C113" s="737"/>
      <c r="D113" s="744" t="str">
        <f>C35</f>
        <v>Demanda Industria</v>
      </c>
      <c r="E113" s="739"/>
      <c r="F113" s="740">
        <f t="shared" ref="F113:M113" si="13">F40</f>
        <v>85.074856252970235</v>
      </c>
      <c r="G113" s="740">
        <f t="shared" si="13"/>
        <v>96.056093582757768</v>
      </c>
      <c r="H113" s="740">
        <f t="shared" si="13"/>
        <v>105.82426332853449</v>
      </c>
      <c r="I113" s="740">
        <f t="shared" si="13"/>
        <v>115.39451113392333</v>
      </c>
      <c r="J113" s="740">
        <f t="shared" si="13"/>
        <v>126.37268716806605</v>
      </c>
      <c r="K113" s="740">
        <f t="shared" si="13"/>
        <v>137.89613873929355</v>
      </c>
      <c r="L113" s="740">
        <f t="shared" si="13"/>
        <v>148.72917460394106</v>
      </c>
      <c r="M113" s="740">
        <f t="shared" si="13"/>
        <v>159.98854657523307</v>
      </c>
      <c r="N113" s="737"/>
    </row>
    <row r="114" spans="2:14" x14ac:dyDescent="0.25">
      <c r="B114" s="737"/>
      <c r="C114" s="737"/>
      <c r="D114" s="744" t="str">
        <f>C42</f>
        <v>Demanda Minería</v>
      </c>
      <c r="E114" s="739"/>
      <c r="F114" s="740">
        <f t="shared" ref="F114:M114" si="14">F47</f>
        <v>50.767892087480014</v>
      </c>
      <c r="G114" s="740">
        <f t="shared" si="14"/>
        <v>62.614349689342227</v>
      </c>
      <c r="H114" s="740">
        <f t="shared" si="14"/>
        <v>74.239900661229939</v>
      </c>
      <c r="I114" s="740">
        <f t="shared" si="14"/>
        <v>81.638561379083683</v>
      </c>
      <c r="J114" s="740">
        <f t="shared" si="14"/>
        <v>92.221127678363629</v>
      </c>
      <c r="K114" s="740">
        <f t="shared" si="14"/>
        <v>103.17270066151468</v>
      </c>
      <c r="L114" s="740">
        <f t="shared" si="14"/>
        <v>113.77629494160291</v>
      </c>
      <c r="M114" s="740">
        <f t="shared" si="14"/>
        <v>122.58876609654936</v>
      </c>
      <c r="N114" s="737"/>
    </row>
    <row r="115" spans="2:14" x14ac:dyDescent="0.25">
      <c r="B115" s="737"/>
      <c r="C115" s="737"/>
      <c r="D115" s="744" t="str">
        <f>C49</f>
        <v>Demanda Transporte</v>
      </c>
      <c r="E115" s="739"/>
      <c r="F115" s="740">
        <f t="shared" ref="F115:M115" si="15">F54</f>
        <v>95.181998339634347</v>
      </c>
      <c r="G115" s="740">
        <f t="shared" si="15"/>
        <v>102.3539251972657</v>
      </c>
      <c r="H115" s="740">
        <f t="shared" si="15"/>
        <v>120.17277197297584</v>
      </c>
      <c r="I115" s="740">
        <f t="shared" si="15"/>
        <v>144.11675498579106</v>
      </c>
      <c r="J115" s="740">
        <f t="shared" si="15"/>
        <v>164.84023554629013</v>
      </c>
      <c r="K115" s="740">
        <f t="shared" si="15"/>
        <v>179.59778761756289</v>
      </c>
      <c r="L115" s="740">
        <f t="shared" si="15"/>
        <v>190.32221812234607</v>
      </c>
      <c r="M115" s="740">
        <f t="shared" si="15"/>
        <v>199.1302952953684</v>
      </c>
      <c r="N115" s="737"/>
    </row>
    <row r="116" spans="2:14" x14ac:dyDescent="0.25">
      <c r="B116" s="737"/>
      <c r="C116" s="737"/>
      <c r="D116" s="744" t="str">
        <f>C63</f>
        <v>Demanda Residencial</v>
      </c>
      <c r="E116" s="739"/>
      <c r="F116" s="740">
        <f t="shared" ref="F116:M116" si="16">F68*F99</f>
        <v>49.668117513432826</v>
      </c>
      <c r="G116" s="740">
        <f t="shared" si="16"/>
        <v>55.48285931895176</v>
      </c>
      <c r="H116" s="740">
        <f t="shared" si="16"/>
        <v>63.729252131304541</v>
      </c>
      <c r="I116" s="740">
        <f t="shared" si="16"/>
        <v>73.541463968046287</v>
      </c>
      <c r="J116" s="740">
        <f t="shared" si="16"/>
        <v>85.015140956756909</v>
      </c>
      <c r="K116" s="740">
        <f t="shared" si="16"/>
        <v>98.828088195868162</v>
      </c>
      <c r="L116" s="740">
        <f t="shared" si="16"/>
        <v>115.59674427764985</v>
      </c>
      <c r="M116" s="740">
        <f t="shared" si="16"/>
        <v>133.42997120831023</v>
      </c>
      <c r="N116" s="737"/>
    </row>
    <row r="117" spans="2:14" x14ac:dyDescent="0.25">
      <c r="B117" s="737"/>
      <c r="C117" s="737"/>
      <c r="D117" s="744" t="str">
        <f>C71</f>
        <v>Demanda Comercial</v>
      </c>
      <c r="E117" s="739"/>
      <c r="F117" s="3152">
        <f t="shared" ref="F117:M117" si="17">F76*F99</f>
        <v>16.023783652446291</v>
      </c>
      <c r="G117" s="3152">
        <f t="shared" si="17"/>
        <v>18.107838024382058</v>
      </c>
      <c r="H117" s="3152">
        <f t="shared" si="17"/>
        <v>21.272658265807451</v>
      </c>
      <c r="I117" s="3152">
        <f t="shared" si="17"/>
        <v>25.011988224201577</v>
      </c>
      <c r="J117" s="3152">
        <f t="shared" si="17"/>
        <v>28.884538522176022</v>
      </c>
      <c r="K117" s="3152">
        <f t="shared" si="17"/>
        <v>32.884890962577082</v>
      </c>
      <c r="L117" s="3152">
        <f t="shared" si="17"/>
        <v>37.127098330969609</v>
      </c>
      <c r="M117" s="3152">
        <f t="shared" si="17"/>
        <v>39.787494366520839</v>
      </c>
      <c r="N117" s="737"/>
    </row>
    <row r="118" spans="2:14" x14ac:dyDescent="0.25">
      <c r="B118" s="737"/>
      <c r="C118" s="737"/>
      <c r="D118" s="744" t="str">
        <f>C78</f>
        <v>Demanda Público</v>
      </c>
      <c r="E118" s="739"/>
      <c r="F118" s="3152">
        <f t="shared" ref="F118:M118" si="18">F83*F99</f>
        <v>4.040587443843477</v>
      </c>
      <c r="G118" s="3152">
        <f t="shared" si="18"/>
        <v>4.1887407961605039</v>
      </c>
      <c r="H118" s="3152">
        <f t="shared" si="18"/>
        <v>4.4584369114539859</v>
      </c>
      <c r="I118" s="3152">
        <f t="shared" si="18"/>
        <v>4.7711012091469076</v>
      </c>
      <c r="J118" s="3152">
        <f t="shared" si="18"/>
        <v>5.0695194801762451</v>
      </c>
      <c r="K118" s="3152">
        <f t="shared" si="18"/>
        <v>5.35485316825726</v>
      </c>
      <c r="L118" s="3152">
        <f t="shared" si="18"/>
        <v>5.6387976468965464</v>
      </c>
      <c r="M118" s="3152">
        <f t="shared" si="18"/>
        <v>5.9318833142248728</v>
      </c>
      <c r="N118" s="737"/>
    </row>
    <row r="119" spans="2:14" x14ac:dyDescent="0.25">
      <c r="B119" s="737"/>
      <c r="C119" s="1872"/>
      <c r="D119" s="1872" t="str">
        <f>C85</f>
        <v>Demanda Consumo Propio</v>
      </c>
      <c r="E119" s="1873"/>
      <c r="F119" s="1871">
        <f>F90</f>
        <v>18.512500005814964</v>
      </c>
      <c r="G119" s="1871">
        <f t="shared" ref="G119:M119" si="19">G90</f>
        <v>19.654612176542411</v>
      </c>
      <c r="H119" s="1871">
        <f t="shared" si="19"/>
        <v>20.037711065883578</v>
      </c>
      <c r="I119" s="1871">
        <f t="shared" si="19"/>
        <v>20.460683188928289</v>
      </c>
      <c r="J119" s="1871">
        <f t="shared" si="19"/>
        <v>20.927678525324172</v>
      </c>
      <c r="K119" s="1871">
        <f t="shared" si="19"/>
        <v>21.443279199860431</v>
      </c>
      <c r="L119" s="1871">
        <f t="shared" si="19"/>
        <v>22.01254397860091</v>
      </c>
      <c r="M119" s="1871">
        <f t="shared" si="19"/>
        <v>22.641058300866426</v>
      </c>
      <c r="N119" s="737"/>
    </row>
    <row r="120" spans="2:14" x14ac:dyDescent="0.25">
      <c r="B120" s="737"/>
      <c r="C120" s="737"/>
      <c r="D120" s="744"/>
      <c r="E120" s="739"/>
      <c r="F120" s="740"/>
      <c r="G120" s="740"/>
      <c r="H120" s="740"/>
      <c r="I120" s="740"/>
      <c r="J120" s="740"/>
      <c r="K120" s="740"/>
      <c r="L120" s="740"/>
      <c r="M120" s="740"/>
      <c r="N120" s="737"/>
    </row>
    <row r="121" spans="2:14" customFormat="1" ht="12.75" x14ac:dyDescent="0.2"/>
    <row r="122" spans="2:14" customFormat="1" ht="12.75" x14ac:dyDescent="0.2"/>
    <row r="123" spans="2:14" customFormat="1" ht="12.75" x14ac:dyDescent="0.2"/>
    <row r="124" spans="2:14" customFormat="1" ht="12.75" x14ac:dyDescent="0.2"/>
    <row r="125" spans="2:14" customFormat="1" ht="12.75" x14ac:dyDescent="0.2"/>
  </sheetData>
  <pageMargins left="0.7" right="0.7" top="0.75" bottom="0.75" header="0.3" footer="0.3"/>
  <pageSetup orientation="portrait" verticalDpi="0" r:id="rId1"/>
  <ignoredErrors>
    <ignoredError sqref="F15:M15 F96:L96 F25:M25 F37:M37 F41:M44 F48:M48 F62:M65 F70:M73 F77:M80 F84:M87 F50:M51 F49:L49 F58:M58" numberStoredAsText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AS104"/>
  <sheetViews>
    <sheetView topLeftCell="A7" zoomScale="85" zoomScaleNormal="85" workbookViewId="0">
      <selection activeCell="O24" sqref="O24"/>
    </sheetView>
  </sheetViews>
  <sheetFormatPr baseColWidth="10" defaultRowHeight="12.75" outlineLevelCol="1" x14ac:dyDescent="0.2"/>
  <cols>
    <col min="1" max="1" width="6" customWidth="1"/>
    <col min="4" max="4" width="69.85546875" bestFit="1" customWidth="1"/>
    <col min="5" max="5" width="15.28515625" customWidth="1"/>
    <col min="7" max="7" width="16.42578125" bestFit="1" customWidth="1"/>
    <col min="8" max="8" width="13.140625" bestFit="1" customWidth="1"/>
    <col min="9" max="9" width="15.28515625" bestFit="1" customWidth="1"/>
    <col min="10" max="12" width="13.140625" bestFit="1" customWidth="1"/>
    <col min="13" max="14" width="13.85546875" customWidth="1"/>
    <col min="40" max="45" width="11.42578125" customWidth="1" outlineLevel="1"/>
  </cols>
  <sheetData>
    <row r="1" spans="1:43" ht="20.25" x14ac:dyDescent="0.3">
      <c r="A1" s="1" t="s">
        <v>0</v>
      </c>
      <c r="B1" s="72" t="s">
        <v>837</v>
      </c>
      <c r="C1" s="2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AN1" s="57"/>
      <c r="AO1" s="57"/>
      <c r="AP1" s="57"/>
      <c r="AQ1" s="57"/>
    </row>
    <row r="2" spans="1:43" ht="22.5" x14ac:dyDescent="0.3">
      <c r="A2" s="4"/>
      <c r="B2" s="5" t="s">
        <v>1</v>
      </c>
      <c r="C2" s="6"/>
      <c r="D2" s="7"/>
      <c r="E2" s="8"/>
      <c r="F2" s="7"/>
      <c r="G2" s="7"/>
      <c r="H2" s="7"/>
      <c r="I2" s="7"/>
      <c r="J2" s="7"/>
      <c r="K2" s="7"/>
      <c r="L2" s="7"/>
      <c r="M2" s="7"/>
      <c r="N2" s="7"/>
      <c r="O2" s="9"/>
      <c r="AN2" s="57"/>
      <c r="AO2" s="57"/>
      <c r="AP2" s="57"/>
      <c r="AQ2" s="57"/>
    </row>
    <row r="3" spans="1:43" x14ac:dyDescent="0.2">
      <c r="A3" s="1"/>
      <c r="B3" s="10"/>
      <c r="C3" s="11"/>
      <c r="D3" s="11"/>
      <c r="E3" s="12"/>
      <c r="F3" s="11"/>
      <c r="G3" s="11"/>
      <c r="H3" s="11"/>
      <c r="I3" s="11"/>
      <c r="J3" s="11"/>
      <c r="K3" s="11"/>
      <c r="L3" s="11"/>
      <c r="M3" s="11"/>
      <c r="N3" s="11"/>
      <c r="O3" s="13"/>
      <c r="AN3" s="57"/>
      <c r="AO3" s="57"/>
      <c r="AP3" s="57"/>
      <c r="AQ3" s="57"/>
    </row>
    <row r="4" spans="1:43" ht="15.75" x14ac:dyDescent="0.25">
      <c r="A4" s="1"/>
      <c r="B4" s="15"/>
      <c r="C4" s="11"/>
      <c r="D4" s="16" t="s">
        <v>2</v>
      </c>
      <c r="E4" s="16" t="s">
        <v>3</v>
      </c>
      <c r="F4" s="11"/>
      <c r="G4" s="11"/>
      <c r="H4" s="11"/>
      <c r="I4" s="11"/>
      <c r="J4" s="11"/>
      <c r="K4" s="11"/>
      <c r="L4" s="11"/>
      <c r="M4" s="11"/>
      <c r="N4" s="11"/>
      <c r="O4" s="13"/>
      <c r="AN4" s="57"/>
      <c r="AO4" s="57"/>
      <c r="AP4" s="57"/>
      <c r="AQ4" s="57"/>
    </row>
    <row r="5" spans="1:43" ht="15.75" x14ac:dyDescent="0.25">
      <c r="A5" s="1"/>
      <c r="B5" s="97"/>
      <c r="C5" s="11"/>
      <c r="D5" s="17" t="s">
        <v>2376</v>
      </c>
      <c r="E5" s="17">
        <f>Control!F44</f>
        <v>1</v>
      </c>
      <c r="F5" s="11"/>
      <c r="G5" s="11"/>
      <c r="H5" s="11"/>
      <c r="I5" s="11"/>
      <c r="J5" s="11"/>
      <c r="K5" s="11"/>
      <c r="L5" s="11"/>
      <c r="M5" s="11"/>
      <c r="N5" s="11"/>
      <c r="O5" s="13"/>
      <c r="AN5" s="57"/>
      <c r="AO5" s="57"/>
      <c r="AP5" s="57"/>
      <c r="AQ5" s="57"/>
    </row>
    <row r="6" spans="1:43" ht="15.75" x14ac:dyDescent="0.25">
      <c r="A6" s="1"/>
      <c r="B6" s="15"/>
      <c r="C6" s="11"/>
      <c r="D6" s="18" t="s">
        <v>2375</v>
      </c>
      <c r="E6" s="18">
        <f>Control!F45</f>
        <v>1</v>
      </c>
      <c r="F6" s="11"/>
      <c r="G6" s="11"/>
      <c r="H6" s="11"/>
      <c r="I6" s="11"/>
      <c r="J6" s="11"/>
      <c r="K6" s="11"/>
      <c r="L6" s="11"/>
      <c r="M6" s="11"/>
      <c r="N6" s="11"/>
      <c r="O6" s="13"/>
      <c r="AN6" s="57"/>
      <c r="AO6" s="57"/>
      <c r="AP6" s="57"/>
      <c r="AQ6" s="57"/>
    </row>
    <row r="7" spans="1:43" ht="15.75" x14ac:dyDescent="0.25">
      <c r="A7" s="1"/>
      <c r="B7" s="19"/>
      <c r="C7" s="20"/>
      <c r="D7" s="20"/>
      <c r="E7" s="20"/>
      <c r="F7" s="21"/>
      <c r="G7" s="21"/>
      <c r="H7" s="21"/>
      <c r="I7" s="21"/>
      <c r="J7" s="21"/>
      <c r="K7" s="21"/>
      <c r="L7" s="21"/>
      <c r="M7" s="21"/>
      <c r="N7" s="21"/>
      <c r="O7" s="22"/>
      <c r="AN7" s="57"/>
      <c r="AO7" s="57"/>
      <c r="AP7" s="57"/>
      <c r="AQ7" s="57"/>
    </row>
    <row r="8" spans="1:43" x14ac:dyDescent="0.2">
      <c r="AN8" s="57"/>
      <c r="AO8" s="57"/>
      <c r="AP8" s="57"/>
      <c r="AQ8" s="57"/>
    </row>
    <row r="9" spans="1:43" ht="15.75" x14ac:dyDescent="0.2">
      <c r="B9" s="23" t="s">
        <v>6</v>
      </c>
      <c r="C9" s="24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6"/>
      <c r="AN9" s="57"/>
      <c r="AO9" s="57"/>
      <c r="AP9" s="57"/>
      <c r="AQ9" s="57"/>
    </row>
    <row r="10" spans="1:43" x14ac:dyDescent="0.2">
      <c r="B10" s="27"/>
      <c r="C10" s="28"/>
      <c r="D10" s="28"/>
      <c r="E10" s="28"/>
      <c r="F10" s="28"/>
      <c r="G10" s="28"/>
      <c r="H10" s="71"/>
      <c r="I10" s="71"/>
      <c r="J10" s="71"/>
      <c r="K10" s="71"/>
      <c r="L10" s="71"/>
      <c r="M10" s="71"/>
      <c r="N10" s="71"/>
      <c r="O10" s="29"/>
      <c r="AN10" s="57"/>
      <c r="AO10" s="57"/>
      <c r="AP10" s="57"/>
      <c r="AQ10" s="57"/>
    </row>
    <row r="11" spans="1:43" x14ac:dyDescent="0.2">
      <c r="B11" s="27"/>
      <c r="C11" s="30" t="s">
        <v>24</v>
      </c>
      <c r="D11" s="28"/>
      <c r="E11" s="31"/>
      <c r="F11" s="28"/>
      <c r="G11" s="28"/>
      <c r="H11" s="28"/>
      <c r="I11" s="71"/>
      <c r="J11" s="28"/>
      <c r="K11" s="28"/>
      <c r="L11" s="28"/>
      <c r="M11" s="28"/>
      <c r="N11" s="63" t="s">
        <v>2370</v>
      </c>
      <c r="O11" s="29"/>
      <c r="AN11" s="57"/>
      <c r="AO11" s="57"/>
      <c r="AP11" s="57"/>
      <c r="AQ11" s="57"/>
    </row>
    <row r="12" spans="1:43" x14ac:dyDescent="0.2">
      <c r="B12" s="27"/>
      <c r="C12" s="28"/>
      <c r="D12" s="28"/>
      <c r="E12" s="28"/>
      <c r="F12" s="28"/>
      <c r="G12" s="3568"/>
      <c r="H12" s="3568"/>
      <c r="I12" s="3568"/>
      <c r="J12" s="3568"/>
      <c r="K12" s="3568"/>
      <c r="L12" s="3568"/>
      <c r="M12" s="3568"/>
      <c r="N12" s="3568"/>
      <c r="O12" s="29"/>
      <c r="AN12" s="68"/>
      <c r="AO12" s="68"/>
      <c r="AP12" s="68"/>
      <c r="AQ12" s="68"/>
    </row>
    <row r="13" spans="1:43" ht="15.75" x14ac:dyDescent="0.25">
      <c r="B13" s="32"/>
      <c r="C13" s="33" t="s">
        <v>3</v>
      </c>
      <c r="D13" s="33" t="s">
        <v>7</v>
      </c>
      <c r="E13" s="33" t="s">
        <v>8</v>
      </c>
      <c r="F13" s="34"/>
      <c r="G13" s="35">
        <v>2015</v>
      </c>
      <c r="H13" s="35">
        <v>2020</v>
      </c>
      <c r="I13" s="35">
        <v>2025</v>
      </c>
      <c r="J13" s="35">
        <v>2030</v>
      </c>
      <c r="K13" s="35">
        <v>2035</v>
      </c>
      <c r="L13" s="35">
        <v>2040</v>
      </c>
      <c r="M13" s="35">
        <v>2045</v>
      </c>
      <c r="N13" s="35">
        <v>2050</v>
      </c>
      <c r="O13" s="29"/>
      <c r="AN13" s="68"/>
      <c r="AO13" s="68"/>
      <c r="AP13" s="68"/>
      <c r="AQ13" s="68"/>
    </row>
    <row r="14" spans="1:43" ht="15.75" x14ac:dyDescent="0.25">
      <c r="B14" s="32"/>
      <c r="C14" s="36">
        <v>1</v>
      </c>
      <c r="D14" s="37" t="s">
        <v>1644</v>
      </c>
      <c r="E14" s="38" t="s">
        <v>12</v>
      </c>
      <c r="F14" s="39"/>
      <c r="G14" s="94">
        <v>18006407</v>
      </c>
      <c r="H14" s="94">
        <v>18896684</v>
      </c>
      <c r="I14" s="94">
        <v>19453564.7830109</v>
      </c>
      <c r="J14" s="94">
        <v>19921453.997825053</v>
      </c>
      <c r="K14" s="94">
        <v>20293113.824288625</v>
      </c>
      <c r="L14" s="94">
        <v>20562681.303090554</v>
      </c>
      <c r="M14" s="94">
        <v>20725821.854927037</v>
      </c>
      <c r="N14" s="94">
        <v>20779845.005874563</v>
      </c>
      <c r="O14" s="29"/>
    </row>
    <row r="15" spans="1:43" ht="15.75" x14ac:dyDescent="0.25">
      <c r="B15" s="32"/>
      <c r="C15" s="36">
        <v>2</v>
      </c>
      <c r="D15" s="37" t="s">
        <v>123</v>
      </c>
      <c r="E15" s="37" t="s">
        <v>133</v>
      </c>
      <c r="F15" s="39"/>
      <c r="G15" s="94">
        <f>G14</f>
        <v>18006407</v>
      </c>
      <c r="H15" s="94">
        <f>(H14-G14)*0.23+G15</f>
        <v>18211170.710000001</v>
      </c>
      <c r="I15" s="94">
        <f>(I14-H14)*0.27+H15</f>
        <v>18361528.521412943</v>
      </c>
      <c r="J15" s="94">
        <f>(J14-I14)*0.29+I15</f>
        <v>18497216.393709049</v>
      </c>
      <c r="K15" s="94">
        <f>(K14-J14)*0.3+J15</f>
        <v>18608714.34164812</v>
      </c>
      <c r="L15" s="94">
        <f>(L14-K14)*0.3+K15</f>
        <v>18689584.5852887</v>
      </c>
      <c r="M15" s="94">
        <f>(M14-L14)*0.3+L15</f>
        <v>18738526.750839643</v>
      </c>
      <c r="N15" s="94">
        <f>(N14-M14)*0.3+M15</f>
        <v>18754733.696123902</v>
      </c>
      <c r="O15" s="29"/>
    </row>
    <row r="16" spans="1:43" ht="15.75" x14ac:dyDescent="0.25">
      <c r="B16" s="40"/>
      <c r="C16" s="41" t="s">
        <v>9</v>
      </c>
      <c r="D16" s="42"/>
      <c r="E16" s="42"/>
      <c r="F16" s="43"/>
      <c r="G16" s="44">
        <f>(INDEX(G$14:G$15,ROUNDDOWN($E$5,0))*(1-MOD($E$5,1)))+(INDEX(G$14:G$15,ROUNDUP($E$5,0))*MOD($E$5,1))</f>
        <v>18006407</v>
      </c>
      <c r="H16" s="44">
        <f t="shared" ref="H16:N16" si="0">(INDEX(H$14:H$15,ROUNDDOWN($E$5,0))*(1-MOD($E$5,1)))+(INDEX(H$14:H$15,ROUNDUP($E$5,0))*MOD($E$5,1))</f>
        <v>18896684</v>
      </c>
      <c r="I16" s="44">
        <f t="shared" si="0"/>
        <v>19453564.7830109</v>
      </c>
      <c r="J16" s="44">
        <f t="shared" si="0"/>
        <v>19921453.997825053</v>
      </c>
      <c r="K16" s="44">
        <f t="shared" si="0"/>
        <v>20293113.824288625</v>
      </c>
      <c r="L16" s="44">
        <f t="shared" si="0"/>
        <v>20562681.303090554</v>
      </c>
      <c r="M16" s="44">
        <f t="shared" si="0"/>
        <v>20725821.854927037</v>
      </c>
      <c r="N16" s="44">
        <f t="shared" si="0"/>
        <v>20779845.005874563</v>
      </c>
      <c r="O16" s="29"/>
    </row>
    <row r="17" spans="2:15" ht="4.5" customHeight="1" x14ac:dyDescent="0.25">
      <c r="B17" s="40"/>
      <c r="C17" s="45"/>
      <c r="D17" s="37"/>
      <c r="E17" s="37"/>
      <c r="F17" s="46"/>
      <c r="G17" s="3118"/>
      <c r="H17" s="3118"/>
      <c r="I17" s="3118"/>
      <c r="J17" s="3118"/>
      <c r="K17" s="3118"/>
      <c r="L17" s="3118"/>
      <c r="M17" s="3118"/>
      <c r="N17" s="3118"/>
      <c r="O17" s="29"/>
    </row>
    <row r="18" spans="2:15" ht="15.75" x14ac:dyDescent="0.25">
      <c r="B18" s="40"/>
      <c r="C18" s="28" t="s">
        <v>11</v>
      </c>
      <c r="D18" s="2896"/>
      <c r="E18" s="37"/>
      <c r="F18" s="46"/>
      <c r="G18" s="3119"/>
      <c r="H18" s="3119"/>
      <c r="I18" s="3119"/>
      <c r="J18" s="3119"/>
      <c r="K18" s="3119"/>
      <c r="L18" s="3119"/>
      <c r="M18" s="3119"/>
      <c r="N18" s="3119"/>
      <c r="O18" s="29"/>
    </row>
    <row r="19" spans="2:15" ht="15.75" x14ac:dyDescent="0.25">
      <c r="B19" s="40"/>
      <c r="C19" s="2897" t="s">
        <v>12</v>
      </c>
      <c r="D19" s="3569" t="s">
        <v>2372</v>
      </c>
      <c r="E19" s="37"/>
      <c r="F19" s="46"/>
      <c r="G19" s="94"/>
      <c r="H19" s="94"/>
      <c r="I19" s="94"/>
      <c r="J19" s="94"/>
      <c r="K19" s="94"/>
      <c r="L19" s="94"/>
      <c r="M19" s="94"/>
      <c r="N19" s="94"/>
      <c r="O19" s="29"/>
    </row>
    <row r="20" spans="2:15" ht="15.75" x14ac:dyDescent="0.25">
      <c r="B20" s="40"/>
      <c r="C20" s="3121" t="s">
        <v>133</v>
      </c>
      <c r="D20" s="3566" t="s">
        <v>2373</v>
      </c>
      <c r="E20" s="37"/>
      <c r="F20" s="46"/>
      <c r="G20" s="46"/>
      <c r="H20" s="46"/>
      <c r="I20" s="46"/>
      <c r="J20" s="46"/>
      <c r="K20" s="46"/>
      <c r="L20" s="46"/>
      <c r="M20" s="46"/>
      <c r="N20" s="46"/>
      <c r="O20" s="29"/>
    </row>
    <row r="21" spans="2:15" ht="15.75" x14ac:dyDescent="0.25">
      <c r="B21" s="40"/>
      <c r="C21" s="3121"/>
      <c r="D21" s="3120"/>
      <c r="E21" s="37"/>
      <c r="F21" s="46"/>
      <c r="G21" s="46"/>
      <c r="H21" s="46"/>
      <c r="I21" s="46"/>
      <c r="J21" s="46"/>
      <c r="K21" s="46"/>
      <c r="L21" s="46"/>
      <c r="M21" s="46"/>
      <c r="N21" s="46"/>
      <c r="O21" s="29"/>
    </row>
    <row r="22" spans="2:15" x14ac:dyDescent="0.2">
      <c r="B22" s="27"/>
      <c r="C22" s="30" t="s">
        <v>10</v>
      </c>
      <c r="D22" s="28"/>
      <c r="E22" s="28"/>
      <c r="F22" s="28"/>
      <c r="G22" s="28"/>
      <c r="H22" s="28"/>
      <c r="I22" s="28"/>
      <c r="J22" s="28"/>
      <c r="K22" s="28"/>
      <c r="L22" s="64"/>
      <c r="M22" s="64"/>
      <c r="N22" s="29"/>
      <c r="O22" s="29"/>
    </row>
    <row r="23" spans="2:15" x14ac:dyDescent="0.2">
      <c r="B23" s="27"/>
      <c r="C23" s="30"/>
      <c r="D23" s="28"/>
      <c r="E23" s="28"/>
      <c r="F23" s="28"/>
      <c r="G23" s="28"/>
      <c r="H23" s="28"/>
      <c r="I23" s="28"/>
      <c r="J23" s="28"/>
      <c r="K23" s="28"/>
      <c r="L23" s="64"/>
      <c r="M23" s="64"/>
      <c r="N23" s="63"/>
      <c r="O23" s="29"/>
    </row>
    <row r="24" spans="2:15" x14ac:dyDescent="0.2">
      <c r="B24" s="27"/>
      <c r="C24" s="30" t="s">
        <v>961</v>
      </c>
      <c r="D24" s="28"/>
      <c r="E24" s="28"/>
      <c r="F24" s="28"/>
      <c r="G24" s="28"/>
      <c r="H24" s="28"/>
      <c r="I24" s="28"/>
      <c r="J24" s="28"/>
      <c r="K24" s="28"/>
      <c r="L24" s="64"/>
      <c r="M24" s="64"/>
      <c r="N24" s="63" t="s">
        <v>957</v>
      </c>
      <c r="O24" s="29"/>
    </row>
    <row r="25" spans="2:15" ht="4.5" customHeight="1" x14ac:dyDescent="0.2">
      <c r="B25" s="27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9"/>
    </row>
    <row r="26" spans="2:15" x14ac:dyDescent="0.2">
      <c r="B26" s="27"/>
      <c r="C26" s="33" t="s">
        <v>3</v>
      </c>
      <c r="D26" s="33" t="s">
        <v>7</v>
      </c>
      <c r="E26" s="33" t="s">
        <v>8</v>
      </c>
      <c r="F26" s="34"/>
      <c r="G26" s="35">
        <v>2015</v>
      </c>
      <c r="H26" s="35">
        <v>2020</v>
      </c>
      <c r="I26" s="35">
        <v>2025</v>
      </c>
      <c r="J26" s="35">
        <v>2030</v>
      </c>
      <c r="K26" s="35">
        <v>2035</v>
      </c>
      <c r="L26" s="35">
        <v>2040</v>
      </c>
      <c r="M26" s="35">
        <v>2045</v>
      </c>
      <c r="N26" s="35">
        <v>2050</v>
      </c>
      <c r="O26" s="29"/>
    </row>
    <row r="27" spans="2:15" x14ac:dyDescent="0.2">
      <c r="B27" s="27"/>
      <c r="C27" s="36">
        <v>1</v>
      </c>
      <c r="D27" s="37" t="s">
        <v>2429</v>
      </c>
      <c r="E27" s="38" t="s">
        <v>136</v>
      </c>
      <c r="F27" s="39"/>
      <c r="G27" s="95">
        <v>2.3055669946087699E-2</v>
      </c>
      <c r="H27" s="95">
        <v>2.9000000000000001E-2</v>
      </c>
      <c r="I27" s="95">
        <v>3.2230372824018798E-2</v>
      </c>
      <c r="J27" s="95">
        <v>3.1880838854042297E-2</v>
      </c>
      <c r="K27" s="95">
        <v>2.7463199889987602E-2</v>
      </c>
      <c r="L27" s="95">
        <v>2.4900945548623401E-2</v>
      </c>
      <c r="M27" s="95">
        <v>2.2636381290329299E-2</v>
      </c>
      <c r="N27" s="95">
        <v>2.01113104143157E-2</v>
      </c>
      <c r="O27" s="29"/>
    </row>
    <row r="28" spans="2:15" x14ac:dyDescent="0.2">
      <c r="B28" s="27"/>
      <c r="C28" s="36">
        <v>2</v>
      </c>
      <c r="D28" s="37" t="s">
        <v>959</v>
      </c>
      <c r="E28" s="37" t="s">
        <v>136</v>
      </c>
      <c r="F28" s="39"/>
      <c r="G28" s="95">
        <v>2.3055669946087765E-2</v>
      </c>
      <c r="H28" s="95">
        <v>2.9000000000000001E-2</v>
      </c>
      <c r="I28" s="95">
        <v>2.8392845578997905E-2</v>
      </c>
      <c r="J28" s="95">
        <v>2.5679996138091354E-2</v>
      </c>
      <c r="K28" s="95">
        <v>2.3942372789557798E-2</v>
      </c>
      <c r="L28" s="95">
        <v>2.2400340978263822E-2</v>
      </c>
      <c r="M28" s="95">
        <v>2.0337422482194611E-2</v>
      </c>
      <c r="N28" s="95">
        <v>1.7754465037365108E-2</v>
      </c>
      <c r="O28" s="29"/>
    </row>
    <row r="29" spans="2:15" ht="15.75" x14ac:dyDescent="0.25">
      <c r="B29" s="40"/>
      <c r="C29" s="41" t="s">
        <v>9</v>
      </c>
      <c r="D29" s="42"/>
      <c r="E29" s="42"/>
      <c r="F29" s="43"/>
      <c r="G29" s="47">
        <f>(INDEX(G$27:G$28,ROUNDDOWN($E$6,0))*(1-MOD($E$6,1)))+(INDEX(G$27:G$28,ROUNDUP($E$6,0))*MOD($E$6,1))</f>
        <v>2.3055669946087699E-2</v>
      </c>
      <c r="H29" s="47">
        <f t="shared" ref="H29:N29" si="1">(INDEX(H$27:H$28,ROUNDDOWN($E$6,0))*(1-MOD($E$6,1)))+(INDEX(H$27:H$28,ROUNDUP($E$6,0))*MOD($E$6,1))</f>
        <v>2.9000000000000001E-2</v>
      </c>
      <c r="I29" s="47">
        <f t="shared" si="1"/>
        <v>3.2230372824018798E-2</v>
      </c>
      <c r="J29" s="47">
        <f t="shared" si="1"/>
        <v>3.1880838854042297E-2</v>
      </c>
      <c r="K29" s="47">
        <f t="shared" si="1"/>
        <v>2.7463199889987602E-2</v>
      </c>
      <c r="L29" s="47">
        <f t="shared" si="1"/>
        <v>2.4900945548623401E-2</v>
      </c>
      <c r="M29" s="47">
        <f t="shared" si="1"/>
        <v>2.2636381290329299E-2</v>
      </c>
      <c r="N29" s="47">
        <f t="shared" si="1"/>
        <v>2.01113104143157E-2</v>
      </c>
      <c r="O29" s="29"/>
    </row>
    <row r="30" spans="2:15" x14ac:dyDescent="0.2">
      <c r="B30" s="27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</row>
    <row r="31" spans="2:15" x14ac:dyDescent="0.2">
      <c r="B31" s="27"/>
      <c r="C31" s="30" t="s">
        <v>960</v>
      </c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63" t="s">
        <v>962</v>
      </c>
      <c r="O31" s="29"/>
    </row>
    <row r="32" spans="2:15" ht="4.5" customHeight="1" x14ac:dyDescent="0.2">
      <c r="B32" s="27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9"/>
    </row>
    <row r="33" spans="2:31" x14ac:dyDescent="0.2">
      <c r="B33" s="27"/>
      <c r="C33" s="33" t="s">
        <v>3</v>
      </c>
      <c r="D33" s="33" t="s">
        <v>7</v>
      </c>
      <c r="E33" s="33" t="s">
        <v>8</v>
      </c>
      <c r="F33" s="34"/>
      <c r="G33" s="35">
        <v>2015</v>
      </c>
      <c r="H33" s="35">
        <v>2020</v>
      </c>
      <c r="I33" s="35">
        <v>2025</v>
      </c>
      <c r="J33" s="35">
        <v>2030</v>
      </c>
      <c r="K33" s="35">
        <v>2035</v>
      </c>
      <c r="L33" s="35">
        <v>2040</v>
      </c>
      <c r="M33" s="35">
        <v>2045</v>
      </c>
      <c r="N33" s="35">
        <v>2050</v>
      </c>
      <c r="O33" s="29"/>
    </row>
    <row r="34" spans="2:31" x14ac:dyDescent="0.2">
      <c r="B34" s="27"/>
      <c r="C34" s="36">
        <v>1</v>
      </c>
      <c r="D34" s="37" t="s">
        <v>2429</v>
      </c>
      <c r="E34" s="38" t="s">
        <v>136</v>
      </c>
      <c r="F34" s="39"/>
      <c r="G34" s="94">
        <v>1</v>
      </c>
      <c r="H34" s="1855">
        <v>1.1319356970319752</v>
      </c>
      <c r="I34" s="1855">
        <v>1.3348582105413462</v>
      </c>
      <c r="J34" s="1855">
        <v>1.5652133529364276</v>
      </c>
      <c r="K34" s="1855">
        <v>1.8057666257607452</v>
      </c>
      <c r="L34" s="1855">
        <v>2.0516042816300222</v>
      </c>
      <c r="M34" s="1855">
        <v>2.3048180874701307</v>
      </c>
      <c r="N34" s="1855">
        <v>2.5589727437013283</v>
      </c>
      <c r="O34" s="29"/>
    </row>
    <row r="35" spans="2:31" x14ac:dyDescent="0.2">
      <c r="B35" s="27"/>
      <c r="C35" s="36">
        <v>2</v>
      </c>
      <c r="D35" s="37" t="s">
        <v>959</v>
      </c>
      <c r="E35" s="37" t="s">
        <v>136</v>
      </c>
      <c r="F35" s="39"/>
      <c r="G35" s="94">
        <v>1</v>
      </c>
      <c r="H35" s="1855">
        <v>1.1319356970319752</v>
      </c>
      <c r="I35" s="1855">
        <v>1.313397316757454</v>
      </c>
      <c r="J35" s="1855">
        <v>1.4920037530988053</v>
      </c>
      <c r="K35" s="1855">
        <v>1.6843323292140606</v>
      </c>
      <c r="L35" s="1855">
        <v>1.8823913912688715</v>
      </c>
      <c r="M35" s="1855">
        <v>2.0888503138332912</v>
      </c>
      <c r="N35" s="1855">
        <v>2.2827980060930222</v>
      </c>
      <c r="O35" s="29"/>
    </row>
    <row r="36" spans="2:31" x14ac:dyDescent="0.2">
      <c r="B36" s="27"/>
      <c r="C36" s="41" t="s">
        <v>9</v>
      </c>
      <c r="D36" s="42"/>
      <c r="E36" s="42"/>
      <c r="F36" s="43"/>
      <c r="G36" s="1858">
        <f>(INDEX(G$34:G$35,ROUNDDOWN($E$6,0))*(1-MOD($E$6,1)))+(INDEX(G$34:G$35,ROUNDUP($E$6,0))*MOD($E$6,1))</f>
        <v>1</v>
      </c>
      <c r="H36" s="1858">
        <f t="shared" ref="H36:N36" si="2">(INDEX(H$34:H$35,ROUNDDOWN($E$6,0))*(1-MOD($E$6,1)))+(INDEX(H$34:H$35,ROUNDUP($E$6,0))*MOD($E$6,1))</f>
        <v>1.1319356970319752</v>
      </c>
      <c r="I36" s="1858">
        <f t="shared" si="2"/>
        <v>1.3348582105413462</v>
      </c>
      <c r="J36" s="1858">
        <f t="shared" si="2"/>
        <v>1.5652133529364276</v>
      </c>
      <c r="K36" s="1858">
        <f t="shared" si="2"/>
        <v>1.8057666257607452</v>
      </c>
      <c r="L36" s="1858">
        <f t="shared" si="2"/>
        <v>2.0516042816300222</v>
      </c>
      <c r="M36" s="1858">
        <f t="shared" si="2"/>
        <v>2.3048180874701307</v>
      </c>
      <c r="N36" s="1858">
        <f t="shared" si="2"/>
        <v>2.5589727437013283</v>
      </c>
      <c r="O36" s="29"/>
    </row>
    <row r="37" spans="2:31" x14ac:dyDescent="0.2">
      <c r="B37" s="27"/>
      <c r="C37" s="28"/>
      <c r="D37" s="28"/>
      <c r="E37" s="28"/>
      <c r="F37" s="28"/>
      <c r="G37" s="3141"/>
      <c r="H37" s="3141"/>
      <c r="I37" s="3141"/>
      <c r="J37" s="3141"/>
      <c r="K37" s="3141"/>
      <c r="L37" s="3141"/>
      <c r="M37" s="3141"/>
      <c r="N37" s="3141"/>
      <c r="O37" s="29"/>
    </row>
    <row r="38" spans="2:31" x14ac:dyDescent="0.2">
      <c r="B38" s="27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9"/>
    </row>
    <row r="39" spans="2:31" x14ac:dyDescent="0.2">
      <c r="B39" s="27"/>
      <c r="C39" s="28" t="s">
        <v>11</v>
      </c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9"/>
    </row>
    <row r="40" spans="2:31" x14ac:dyDescent="0.2">
      <c r="B40" s="27"/>
      <c r="C40" s="3567" t="s">
        <v>136</v>
      </c>
      <c r="D40" s="49" t="s">
        <v>965</v>
      </c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9"/>
    </row>
    <row r="41" spans="2:31" x14ac:dyDescent="0.2">
      <c r="B41" s="27"/>
      <c r="C41" s="48"/>
      <c r="D41" s="49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9"/>
    </row>
    <row r="42" spans="2:31" x14ac:dyDescent="0.2">
      <c r="B42" s="27"/>
      <c r="C42" s="48"/>
      <c r="D42" s="49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9"/>
    </row>
    <row r="43" spans="2:31" x14ac:dyDescent="0.2">
      <c r="B43" s="27"/>
      <c r="C43" s="48"/>
      <c r="D43" s="49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9"/>
    </row>
    <row r="44" spans="2:31" x14ac:dyDescent="0.2">
      <c r="B44" s="27"/>
      <c r="C44" s="48"/>
      <c r="D44" s="49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9"/>
    </row>
    <row r="47" spans="2:31" ht="15.75" x14ac:dyDescent="0.2">
      <c r="B47" s="23" t="s">
        <v>13</v>
      </c>
      <c r="C47" s="24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6"/>
      <c r="AE47" s="14"/>
    </row>
    <row r="48" spans="2:31" x14ac:dyDescent="0.2">
      <c r="B48" s="27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9"/>
      <c r="AE48" s="14"/>
    </row>
    <row r="49" spans="2:31" x14ac:dyDescent="0.2">
      <c r="B49" s="27"/>
      <c r="C49" s="30" t="s">
        <v>137</v>
      </c>
      <c r="D49" s="28"/>
      <c r="E49" s="28"/>
      <c r="F49" s="28"/>
      <c r="G49" s="28"/>
      <c r="H49" s="93"/>
      <c r="I49" s="91"/>
      <c r="J49" s="91"/>
      <c r="K49" s="91"/>
      <c r="L49" s="91"/>
      <c r="M49" s="91"/>
      <c r="N49" s="91"/>
      <c r="O49" s="29"/>
      <c r="AE49" s="14"/>
    </row>
    <row r="50" spans="2:31" ht="15.75" x14ac:dyDescent="0.25">
      <c r="B50" s="32"/>
      <c r="C50" s="33"/>
      <c r="D50" s="33" t="s">
        <v>7</v>
      </c>
      <c r="E50" s="33" t="s">
        <v>8</v>
      </c>
      <c r="F50" s="34"/>
      <c r="G50" s="1228">
        <v>2015</v>
      </c>
      <c r="H50" s="93"/>
      <c r="I50" s="91"/>
      <c r="J50" s="91"/>
      <c r="K50" s="91"/>
      <c r="L50" s="91"/>
      <c r="M50" s="91"/>
      <c r="N50" s="91"/>
      <c r="O50" s="29"/>
      <c r="AE50" s="14"/>
    </row>
    <row r="51" spans="2:31" ht="15.75" x14ac:dyDescent="0.25">
      <c r="B51" s="32"/>
      <c r="C51" s="50"/>
      <c r="D51" s="51" t="s">
        <v>127</v>
      </c>
      <c r="E51" s="51" t="s">
        <v>12</v>
      </c>
      <c r="F51" s="52"/>
      <c r="G51" s="1229">
        <v>3.3218755414690002</v>
      </c>
      <c r="H51" s="91"/>
      <c r="I51" s="91"/>
      <c r="J51" s="91"/>
      <c r="K51" s="91"/>
      <c r="L51" s="91"/>
      <c r="M51" s="91"/>
      <c r="N51" s="91"/>
      <c r="O51" s="29"/>
    </row>
    <row r="52" spans="2:31" ht="15.75" x14ac:dyDescent="0.25">
      <c r="B52" s="32"/>
      <c r="C52" s="36"/>
      <c r="D52" s="37"/>
      <c r="E52" s="37"/>
      <c r="F52" s="90"/>
      <c r="G52" s="1230"/>
      <c r="H52" s="91"/>
      <c r="I52" s="93"/>
      <c r="J52" s="91"/>
      <c r="K52" s="91"/>
      <c r="L52" s="91"/>
      <c r="M52" s="91"/>
      <c r="N52" s="91"/>
      <c r="O52" s="29"/>
    </row>
    <row r="53" spans="2:31" ht="15.75" x14ac:dyDescent="0.25">
      <c r="B53" s="32"/>
      <c r="C53" s="30" t="s">
        <v>697</v>
      </c>
      <c r="D53" s="28"/>
      <c r="E53" s="28"/>
      <c r="F53" s="28"/>
      <c r="G53" s="28"/>
      <c r="H53" s="91"/>
      <c r="I53" s="91"/>
      <c r="J53" s="91"/>
      <c r="K53" s="91"/>
      <c r="L53" s="91"/>
      <c r="M53" s="91"/>
      <c r="N53" s="91"/>
      <c r="O53" s="29"/>
    </row>
    <row r="54" spans="2:31" ht="15.75" x14ac:dyDescent="0.25">
      <c r="B54" s="32"/>
      <c r="C54" s="33"/>
      <c r="D54" s="33" t="s">
        <v>7</v>
      </c>
      <c r="E54" s="33" t="s">
        <v>8</v>
      </c>
      <c r="F54" s="34"/>
      <c r="G54" s="1228" t="s">
        <v>698</v>
      </c>
      <c r="H54" s="91"/>
      <c r="I54" s="91"/>
      <c r="J54" s="91"/>
      <c r="K54" s="91"/>
      <c r="L54" s="91"/>
      <c r="M54" s="91"/>
      <c r="N54" s="91"/>
      <c r="O54" s="29"/>
    </row>
    <row r="55" spans="2:31" ht="15.75" x14ac:dyDescent="0.25">
      <c r="B55" s="32"/>
      <c r="C55" s="50"/>
      <c r="D55" s="51" t="s">
        <v>127</v>
      </c>
      <c r="E55" s="51" t="s">
        <v>12</v>
      </c>
      <c r="F55" s="52"/>
      <c r="G55" s="1229">
        <v>-0.28999999999999998</v>
      </c>
      <c r="H55" s="91"/>
      <c r="I55" s="91"/>
      <c r="J55" s="91"/>
      <c r="K55" s="91"/>
      <c r="L55" s="91"/>
      <c r="M55" s="91"/>
      <c r="N55" s="91"/>
      <c r="O55" s="29"/>
    </row>
    <row r="56" spans="2:31" ht="15.75" x14ac:dyDescent="0.25">
      <c r="B56" s="32"/>
      <c r="C56" s="36"/>
      <c r="D56" s="37"/>
      <c r="E56" s="37"/>
      <c r="F56" s="90"/>
      <c r="G56" s="1230"/>
      <c r="H56" s="91"/>
      <c r="I56" s="91"/>
      <c r="J56" s="91"/>
      <c r="K56" s="91"/>
      <c r="L56" s="91"/>
      <c r="M56" s="91"/>
      <c r="N56" s="91"/>
      <c r="O56" s="29"/>
    </row>
    <row r="57" spans="2:31" ht="15.75" x14ac:dyDescent="0.25">
      <c r="B57" s="32"/>
      <c r="C57" s="30" t="s">
        <v>963</v>
      </c>
      <c r="D57" s="28"/>
      <c r="E57" s="28"/>
      <c r="F57" s="28"/>
      <c r="G57" s="1856" t="s">
        <v>2195</v>
      </c>
      <c r="H57" s="93"/>
      <c r="I57" s="93"/>
      <c r="J57" s="91"/>
      <c r="K57" s="91"/>
      <c r="L57" s="91"/>
      <c r="M57" s="91"/>
      <c r="N57" s="91"/>
      <c r="O57" s="29"/>
    </row>
    <row r="58" spans="2:31" ht="15.75" x14ac:dyDescent="0.25">
      <c r="B58" s="32"/>
      <c r="C58" s="33"/>
      <c r="D58" s="33" t="s">
        <v>15</v>
      </c>
      <c r="E58" s="33" t="s">
        <v>8</v>
      </c>
      <c r="F58" s="53"/>
      <c r="G58" s="65">
        <v>2015</v>
      </c>
      <c r="H58" s="93"/>
      <c r="I58" s="93"/>
      <c r="J58" s="91"/>
      <c r="K58" s="91"/>
      <c r="L58" s="91"/>
      <c r="M58" s="91"/>
      <c r="N58" s="91"/>
      <c r="O58" s="29"/>
    </row>
    <row r="59" spans="2:31" ht="15.75" x14ac:dyDescent="0.25">
      <c r="B59" s="32"/>
      <c r="C59" s="50"/>
      <c r="D59" s="51" t="s">
        <v>963</v>
      </c>
      <c r="E59" s="51" t="s">
        <v>12</v>
      </c>
      <c r="F59" s="54"/>
      <c r="G59" s="1857">
        <v>138648398.80557212</v>
      </c>
      <c r="H59" s="91"/>
      <c r="I59" s="91"/>
      <c r="J59" s="91"/>
      <c r="K59" s="91"/>
      <c r="L59" s="91"/>
      <c r="M59" s="91"/>
      <c r="N59" s="91"/>
      <c r="O59" s="29"/>
    </row>
    <row r="60" spans="2:31" ht="15.75" x14ac:dyDescent="0.25">
      <c r="B60" s="32"/>
      <c r="C60" s="36"/>
      <c r="D60" s="37"/>
      <c r="E60" s="37"/>
      <c r="F60" s="3140"/>
      <c r="G60" s="1230"/>
      <c r="H60" s="91"/>
      <c r="I60" s="91"/>
      <c r="J60" s="91"/>
      <c r="K60" s="91"/>
      <c r="L60" s="91"/>
      <c r="M60" s="91"/>
      <c r="N60" s="91"/>
      <c r="O60" s="29"/>
    </row>
    <row r="61" spans="2:31" ht="15.75" x14ac:dyDescent="0.25">
      <c r="B61" s="32"/>
      <c r="C61" s="30" t="s">
        <v>699</v>
      </c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9"/>
    </row>
    <row r="62" spans="2:31" ht="15.75" x14ac:dyDescent="0.25">
      <c r="B62" s="32"/>
      <c r="C62" s="33"/>
      <c r="D62" s="33" t="s">
        <v>7</v>
      </c>
      <c r="E62" s="33" t="s">
        <v>8</v>
      </c>
      <c r="F62" s="34"/>
      <c r="G62" s="35">
        <v>2015</v>
      </c>
      <c r="H62" s="35">
        <v>2020</v>
      </c>
      <c r="I62" s="35">
        <v>2025</v>
      </c>
      <c r="J62" s="35">
        <v>2030</v>
      </c>
      <c r="K62" s="35">
        <v>2035</v>
      </c>
      <c r="L62" s="35">
        <v>2040</v>
      </c>
      <c r="M62" s="35">
        <v>2045</v>
      </c>
      <c r="N62" s="35">
        <v>2050</v>
      </c>
      <c r="O62" s="29"/>
    </row>
    <row r="63" spans="2:31" ht="15.75" x14ac:dyDescent="0.25">
      <c r="B63" s="32"/>
      <c r="C63" s="50"/>
      <c r="D63" s="51"/>
      <c r="E63" s="51" t="s">
        <v>12</v>
      </c>
      <c r="F63" s="52"/>
      <c r="G63" s="96">
        <v>0.85</v>
      </c>
      <c r="H63" s="96">
        <v>0.82</v>
      </c>
      <c r="I63" s="96">
        <v>0.8</v>
      </c>
      <c r="J63" s="96">
        <v>0.78</v>
      </c>
      <c r="K63" s="96">
        <v>0.77</v>
      </c>
      <c r="L63" s="96">
        <v>0.76</v>
      </c>
      <c r="M63" s="96">
        <v>0.75</v>
      </c>
      <c r="N63" s="96">
        <v>0.74</v>
      </c>
      <c r="O63" s="29"/>
    </row>
    <row r="64" spans="2:31" ht="15.75" x14ac:dyDescent="0.25">
      <c r="B64" s="32"/>
      <c r="C64" s="28"/>
      <c r="D64" s="28"/>
      <c r="E64" s="37"/>
      <c r="F64" s="90"/>
      <c r="G64" s="91"/>
      <c r="H64" s="91"/>
      <c r="I64" s="91"/>
      <c r="J64" s="91"/>
      <c r="K64" s="91"/>
      <c r="L64" s="91"/>
      <c r="M64" s="91"/>
      <c r="N64" s="91"/>
      <c r="O64" s="29"/>
    </row>
    <row r="65" spans="2:15" ht="15.75" x14ac:dyDescent="0.25">
      <c r="B65" s="32"/>
      <c r="C65" s="28" t="s">
        <v>11</v>
      </c>
      <c r="D65" s="28"/>
      <c r="E65" s="37"/>
      <c r="F65" s="90"/>
      <c r="G65" s="91"/>
      <c r="H65" s="91"/>
      <c r="I65" s="91"/>
      <c r="J65" s="91"/>
      <c r="K65" s="91"/>
      <c r="L65" s="91"/>
      <c r="M65" s="91"/>
      <c r="N65" s="91"/>
      <c r="O65" s="29"/>
    </row>
    <row r="66" spans="2:15" ht="15.75" x14ac:dyDescent="0.25">
      <c r="B66" s="40"/>
      <c r="C66" s="48" t="s">
        <v>12</v>
      </c>
      <c r="D66" s="49" t="s">
        <v>135</v>
      </c>
      <c r="E66" s="37"/>
      <c r="F66" s="46"/>
      <c r="G66" s="46"/>
      <c r="H66" s="46"/>
      <c r="I66" s="46"/>
      <c r="J66" s="46"/>
      <c r="K66" s="46"/>
      <c r="L66" s="46"/>
      <c r="M66" s="46"/>
      <c r="N66" s="46"/>
      <c r="O66" s="29"/>
    </row>
    <row r="67" spans="2:15" ht="15.75" x14ac:dyDescent="0.25">
      <c r="B67" s="1231"/>
      <c r="C67" s="48"/>
      <c r="D67" s="49"/>
      <c r="E67" s="37"/>
      <c r="F67" s="46"/>
      <c r="G67" s="46"/>
      <c r="H67" s="46"/>
      <c r="I67" s="46"/>
      <c r="J67" s="46"/>
      <c r="K67" s="46"/>
      <c r="L67" s="46"/>
      <c r="M67" s="46"/>
      <c r="N67" s="46"/>
      <c r="O67" s="28"/>
    </row>
    <row r="69" spans="2:15" ht="15.75" x14ac:dyDescent="0.2">
      <c r="B69" s="23" t="s">
        <v>168</v>
      </c>
      <c r="C69" s="24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6"/>
    </row>
    <row r="70" spans="2:15" x14ac:dyDescent="0.2">
      <c r="B70" s="27"/>
      <c r="C70" s="48"/>
      <c r="D70" s="49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9"/>
    </row>
    <row r="71" spans="2:15" x14ac:dyDescent="0.2">
      <c r="B71" s="27"/>
      <c r="C71" s="48"/>
      <c r="D71" s="49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9"/>
    </row>
    <row r="72" spans="2:15" x14ac:dyDescent="0.2">
      <c r="B72" s="27"/>
      <c r="C72" s="30" t="s">
        <v>700</v>
      </c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63" t="s">
        <v>964</v>
      </c>
      <c r="O72" s="29"/>
    </row>
    <row r="73" spans="2:15" x14ac:dyDescent="0.2">
      <c r="B73" s="27"/>
      <c r="C73" s="33"/>
      <c r="D73" s="33" t="s">
        <v>7</v>
      </c>
      <c r="E73" s="33" t="s">
        <v>8</v>
      </c>
      <c r="F73" s="34"/>
      <c r="G73" s="35">
        <v>2015</v>
      </c>
      <c r="H73" s="35">
        <v>2020</v>
      </c>
      <c r="I73" s="35">
        <v>2025</v>
      </c>
      <c r="J73" s="35">
        <v>2030</v>
      </c>
      <c r="K73" s="35">
        <v>2035</v>
      </c>
      <c r="L73" s="35">
        <v>2040</v>
      </c>
      <c r="M73" s="35">
        <v>2045</v>
      </c>
      <c r="N73" s="35">
        <v>2050</v>
      </c>
      <c r="O73" s="29"/>
    </row>
    <row r="74" spans="2:15" x14ac:dyDescent="0.2">
      <c r="B74" s="27"/>
      <c r="C74" s="50"/>
      <c r="D74" s="51"/>
      <c r="E74" s="51"/>
      <c r="F74" s="52"/>
      <c r="G74" s="96">
        <f>G51</f>
        <v>3.3218755414690002</v>
      </c>
      <c r="H74" s="96">
        <f t="shared" ref="H74:N74" si="3">G74*(1+$G$55*H29)*(1+$G$55*H29)*(1+$G$55*H29)*(1+$G$55*H29)*(1+$G$55*H29)</f>
        <v>3.1845204980627217</v>
      </c>
      <c r="I74" s="96">
        <f t="shared" si="3"/>
        <v>3.0384511924710678</v>
      </c>
      <c r="J74" s="96">
        <f t="shared" si="3"/>
        <v>2.9005653642973677</v>
      </c>
      <c r="K74" s="96">
        <f t="shared" si="3"/>
        <v>2.7868853438591681</v>
      </c>
      <c r="L74" s="96">
        <f t="shared" si="3"/>
        <v>2.6877038424971018</v>
      </c>
      <c r="M74" s="96">
        <f t="shared" si="3"/>
        <v>2.6006366461390824</v>
      </c>
      <c r="N74" s="96">
        <f t="shared" si="3"/>
        <v>2.5256779153690383</v>
      </c>
      <c r="O74" s="29"/>
    </row>
    <row r="75" spans="2:15" x14ac:dyDescent="0.2">
      <c r="B75" s="27"/>
      <c r="C75" s="48"/>
      <c r="D75" s="49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9"/>
    </row>
    <row r="76" spans="2:15" x14ac:dyDescent="0.2">
      <c r="B76" s="27"/>
      <c r="C76" s="30" t="s">
        <v>138</v>
      </c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64" t="s">
        <v>120</v>
      </c>
      <c r="O76" s="29"/>
    </row>
    <row r="77" spans="2:15" x14ac:dyDescent="0.2">
      <c r="B77" s="27"/>
      <c r="C77" s="33"/>
      <c r="D77" s="33" t="s">
        <v>7</v>
      </c>
      <c r="E77" s="33" t="s">
        <v>8</v>
      </c>
      <c r="F77" s="34"/>
      <c r="G77" s="35">
        <v>2015</v>
      </c>
      <c r="H77" s="35">
        <v>2020</v>
      </c>
      <c r="I77" s="35">
        <v>2025</v>
      </c>
      <c r="J77" s="35">
        <v>2030</v>
      </c>
      <c r="K77" s="35">
        <v>2035</v>
      </c>
      <c r="L77" s="35">
        <v>2040</v>
      </c>
      <c r="M77" s="35">
        <v>2045</v>
      </c>
      <c r="N77" s="35">
        <v>2050</v>
      </c>
      <c r="O77" s="29"/>
    </row>
    <row r="78" spans="2:15" x14ac:dyDescent="0.2">
      <c r="B78" s="27"/>
      <c r="C78" s="1232"/>
      <c r="D78" s="94" t="s">
        <v>480</v>
      </c>
      <c r="E78" s="1232"/>
      <c r="F78" s="1233"/>
      <c r="G78" s="94">
        <f>G63*G80</f>
        <v>4607471.2188740289</v>
      </c>
      <c r="H78" s="94">
        <f t="shared" ref="H78:M78" si="4">H63*H80</f>
        <v>4865812.8875058061</v>
      </c>
      <c r="I78" s="94">
        <f t="shared" si="4"/>
        <v>5121968.6743600406</v>
      </c>
      <c r="J78" s="94">
        <f t="shared" si="4"/>
        <v>5357139.7871489236</v>
      </c>
      <c r="K78" s="94">
        <f t="shared" si="4"/>
        <v>5606867.7813147483</v>
      </c>
      <c r="L78" s="94">
        <f t="shared" si="4"/>
        <v>5814493.9718616605</v>
      </c>
      <c r="M78" s="94">
        <f t="shared" si="4"/>
        <v>5977138.872618949</v>
      </c>
      <c r="N78" s="94">
        <f>N63*N80</f>
        <v>6088300.1790433601</v>
      </c>
      <c r="O78" s="29"/>
    </row>
    <row r="79" spans="2:15" x14ac:dyDescent="0.2">
      <c r="B79" s="27"/>
      <c r="C79" s="1232"/>
      <c r="D79" s="94" t="s">
        <v>481</v>
      </c>
      <c r="E79" s="1232"/>
      <c r="F79" s="1233"/>
      <c r="G79" s="94">
        <f>G80-G78</f>
        <v>813083.15627188794</v>
      </c>
      <c r="H79" s="94">
        <f t="shared" ref="H79:M79" si="5">H80-H78</f>
        <v>1068105.2679890795</v>
      </c>
      <c r="I79" s="94">
        <f t="shared" si="5"/>
        <v>1280492.1685900101</v>
      </c>
      <c r="J79" s="94">
        <f t="shared" si="5"/>
        <v>1510988.1450932864</v>
      </c>
      <c r="K79" s="94">
        <f t="shared" si="5"/>
        <v>1674778.6879251841</v>
      </c>
      <c r="L79" s="94">
        <f t="shared" si="5"/>
        <v>1836155.9911142085</v>
      </c>
      <c r="M79" s="94">
        <f t="shared" si="5"/>
        <v>1992379.6242063157</v>
      </c>
      <c r="N79" s="94">
        <f>N80-N78</f>
        <v>2139132.4953395594</v>
      </c>
      <c r="O79" s="29"/>
    </row>
    <row r="80" spans="2:15" x14ac:dyDescent="0.2">
      <c r="B80" s="27"/>
      <c r="C80" s="50"/>
      <c r="D80" s="51" t="s">
        <v>482</v>
      </c>
      <c r="E80" s="51"/>
      <c r="F80" s="52"/>
      <c r="G80" s="1234">
        <f t="shared" ref="G80:N80" si="6">G16/G74</f>
        <v>5420554.3751459168</v>
      </c>
      <c r="H80" s="1234">
        <f t="shared" si="6"/>
        <v>5933918.1554948855</v>
      </c>
      <c r="I80" s="1234">
        <f t="shared" si="6"/>
        <v>6402460.8429500507</v>
      </c>
      <c r="J80" s="1234">
        <f t="shared" si="6"/>
        <v>6868127.93224221</v>
      </c>
      <c r="K80" s="1234">
        <f t="shared" si="6"/>
        <v>7281646.4692399325</v>
      </c>
      <c r="L80" s="1234">
        <f t="shared" si="6"/>
        <v>7650649.962975869</v>
      </c>
      <c r="M80" s="1234">
        <f t="shared" si="6"/>
        <v>7969518.4968252648</v>
      </c>
      <c r="N80" s="1234">
        <f t="shared" si="6"/>
        <v>8227432.6743829194</v>
      </c>
      <c r="O80" s="29"/>
    </row>
    <row r="81" spans="2:15" x14ac:dyDescent="0.2">
      <c r="B81" s="27"/>
      <c r="C81" s="48"/>
      <c r="D81" s="49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9"/>
    </row>
    <row r="83" spans="2:15" ht="15.75" x14ac:dyDescent="0.2">
      <c r="B83" s="117" t="s">
        <v>14</v>
      </c>
      <c r="C83" s="118"/>
      <c r="D83" s="118"/>
      <c r="E83" s="118"/>
      <c r="F83" s="118"/>
      <c r="G83" s="118"/>
      <c r="H83" s="118"/>
      <c r="I83" s="118"/>
      <c r="J83" s="118"/>
      <c r="K83" s="118"/>
      <c r="L83" s="118"/>
      <c r="M83" s="118"/>
      <c r="N83" s="118"/>
      <c r="O83" s="119"/>
    </row>
    <row r="84" spans="2:15" x14ac:dyDescent="0.2">
      <c r="B84" s="98"/>
      <c r="C84" s="99"/>
      <c r="D84" s="99"/>
      <c r="E84" s="99"/>
      <c r="F84" s="99"/>
      <c r="G84" s="99"/>
      <c r="H84" s="99"/>
      <c r="I84" s="99"/>
      <c r="J84" s="99"/>
      <c r="K84" s="99"/>
      <c r="L84" s="99"/>
      <c r="M84" s="99"/>
      <c r="N84" s="1859"/>
      <c r="O84" s="100"/>
    </row>
    <row r="85" spans="2:15" x14ac:dyDescent="0.2">
      <c r="B85" s="101"/>
      <c r="C85" s="102" t="s">
        <v>24</v>
      </c>
      <c r="D85" s="103"/>
      <c r="E85" s="103"/>
      <c r="F85" s="103"/>
      <c r="G85" s="104"/>
      <c r="H85" s="103"/>
      <c r="I85" s="103"/>
      <c r="J85" s="103"/>
      <c r="K85" s="103"/>
      <c r="L85" s="103"/>
      <c r="M85" s="103"/>
      <c r="N85" s="1859" t="s">
        <v>850</v>
      </c>
      <c r="O85" s="105"/>
    </row>
    <row r="86" spans="2:15" ht="15.75" x14ac:dyDescent="0.25">
      <c r="B86" s="106"/>
      <c r="C86" s="107"/>
      <c r="D86" s="107" t="s">
        <v>15</v>
      </c>
      <c r="E86" s="107" t="s">
        <v>8</v>
      </c>
      <c r="F86" s="108"/>
      <c r="G86" s="108" t="s">
        <v>16</v>
      </c>
      <c r="H86" s="108" t="s">
        <v>17</v>
      </c>
      <c r="I86" s="108" t="s">
        <v>18</v>
      </c>
      <c r="J86" s="108" t="s">
        <v>19</v>
      </c>
      <c r="K86" s="108" t="s">
        <v>20</v>
      </c>
      <c r="L86" s="108" t="s">
        <v>21</v>
      </c>
      <c r="M86" s="108" t="s">
        <v>22</v>
      </c>
      <c r="N86" s="108" t="s">
        <v>23</v>
      </c>
      <c r="O86" s="105"/>
    </row>
    <row r="87" spans="2:15" ht="15.75" x14ac:dyDescent="0.25">
      <c r="B87" s="106"/>
      <c r="C87" s="109"/>
      <c r="D87" s="109" t="s">
        <v>24</v>
      </c>
      <c r="E87" s="110"/>
      <c r="F87" s="111"/>
      <c r="G87" s="112">
        <f t="shared" ref="G87:N87" si="7">G16</f>
        <v>18006407</v>
      </c>
      <c r="H87" s="112">
        <f t="shared" si="7"/>
        <v>18896684</v>
      </c>
      <c r="I87" s="112">
        <f t="shared" si="7"/>
        <v>19453564.7830109</v>
      </c>
      <c r="J87" s="112">
        <f t="shared" si="7"/>
        <v>19921453.997825053</v>
      </c>
      <c r="K87" s="112">
        <f t="shared" si="7"/>
        <v>20293113.824288625</v>
      </c>
      <c r="L87" s="112">
        <f t="shared" si="7"/>
        <v>20562681.303090554</v>
      </c>
      <c r="M87" s="112">
        <f t="shared" si="7"/>
        <v>20725821.854927037</v>
      </c>
      <c r="N87" s="112">
        <f t="shared" si="7"/>
        <v>20779845.005874563</v>
      </c>
      <c r="O87" s="105"/>
    </row>
    <row r="88" spans="2:15" x14ac:dyDescent="0.2">
      <c r="B88" s="101"/>
      <c r="C88" s="103"/>
      <c r="D88" s="103"/>
      <c r="E88" s="103"/>
      <c r="F88" s="103"/>
      <c r="G88" s="103"/>
      <c r="H88" s="103"/>
      <c r="I88" s="103"/>
      <c r="J88" s="103"/>
      <c r="K88" s="103"/>
      <c r="L88" s="103"/>
      <c r="M88" s="103"/>
      <c r="N88" s="103"/>
      <c r="O88" s="105"/>
    </row>
    <row r="89" spans="2:15" x14ac:dyDescent="0.2">
      <c r="B89" s="101"/>
      <c r="C89" s="102" t="s">
        <v>138</v>
      </c>
      <c r="D89" s="103"/>
      <c r="E89" s="103"/>
      <c r="F89" s="103"/>
      <c r="G89" s="103"/>
      <c r="H89" s="103"/>
      <c r="I89" s="103"/>
      <c r="J89" s="103"/>
      <c r="K89" s="103"/>
      <c r="L89" s="103"/>
      <c r="M89" s="103"/>
      <c r="N89" s="1859" t="s">
        <v>120</v>
      </c>
      <c r="O89" s="105"/>
    </row>
    <row r="90" spans="2:15" ht="15.75" x14ac:dyDescent="0.25">
      <c r="B90" s="106"/>
      <c r="C90" s="107"/>
      <c r="D90" s="107" t="s">
        <v>15</v>
      </c>
      <c r="E90" s="107" t="s">
        <v>8</v>
      </c>
      <c r="F90" s="108"/>
      <c r="G90" s="108" t="s">
        <v>16</v>
      </c>
      <c r="H90" s="108" t="s">
        <v>17</v>
      </c>
      <c r="I90" s="108" t="s">
        <v>18</v>
      </c>
      <c r="J90" s="108" t="s">
        <v>19</v>
      </c>
      <c r="K90" s="108" t="s">
        <v>20</v>
      </c>
      <c r="L90" s="108" t="s">
        <v>21</v>
      </c>
      <c r="M90" s="108" t="s">
        <v>22</v>
      </c>
      <c r="N90" s="108" t="s">
        <v>23</v>
      </c>
      <c r="O90" s="105"/>
    </row>
    <row r="91" spans="2:15" ht="15.75" x14ac:dyDescent="0.25">
      <c r="B91" s="106"/>
      <c r="C91" s="1235"/>
      <c r="D91" s="1236" t="str">
        <f>D78</f>
        <v>Casas</v>
      </c>
      <c r="E91" s="1237"/>
      <c r="F91" s="1238"/>
      <c r="G91" s="1239">
        <f t="shared" ref="G91:N93" si="8">G78</f>
        <v>4607471.2188740289</v>
      </c>
      <c r="H91" s="1239">
        <f t="shared" si="8"/>
        <v>4865812.8875058061</v>
      </c>
      <c r="I91" s="1239">
        <f t="shared" si="8"/>
        <v>5121968.6743600406</v>
      </c>
      <c r="J91" s="1239">
        <f t="shared" si="8"/>
        <v>5357139.7871489236</v>
      </c>
      <c r="K91" s="1239">
        <f t="shared" si="8"/>
        <v>5606867.7813147483</v>
      </c>
      <c r="L91" s="1239">
        <f t="shared" si="8"/>
        <v>5814493.9718616605</v>
      </c>
      <c r="M91" s="1239">
        <f t="shared" si="8"/>
        <v>5977138.872618949</v>
      </c>
      <c r="N91" s="1239">
        <f t="shared" si="8"/>
        <v>6088300.1790433601</v>
      </c>
      <c r="O91" s="105"/>
    </row>
    <row r="92" spans="2:15" ht="15.75" x14ac:dyDescent="0.25">
      <c r="B92" s="106"/>
      <c r="C92" s="1235"/>
      <c r="D92" s="1236" t="str">
        <f>D79</f>
        <v>Departamentos</v>
      </c>
      <c r="E92" s="1237"/>
      <c r="F92" s="1238"/>
      <c r="G92" s="1239">
        <f t="shared" si="8"/>
        <v>813083.15627188794</v>
      </c>
      <c r="H92" s="1239">
        <f t="shared" si="8"/>
        <v>1068105.2679890795</v>
      </c>
      <c r="I92" s="1239">
        <f t="shared" si="8"/>
        <v>1280492.1685900101</v>
      </c>
      <c r="J92" s="1239">
        <f t="shared" si="8"/>
        <v>1510988.1450932864</v>
      </c>
      <c r="K92" s="1239">
        <f t="shared" si="8"/>
        <v>1674778.6879251841</v>
      </c>
      <c r="L92" s="1239">
        <f t="shared" si="8"/>
        <v>1836155.9911142085</v>
      </c>
      <c r="M92" s="1239">
        <f t="shared" si="8"/>
        <v>1992379.6242063157</v>
      </c>
      <c r="N92" s="1239">
        <f t="shared" si="8"/>
        <v>2139132.4953395594</v>
      </c>
      <c r="O92" s="105"/>
    </row>
    <row r="93" spans="2:15" ht="15.75" x14ac:dyDescent="0.25">
      <c r="B93" s="106"/>
      <c r="C93" s="109"/>
      <c r="D93" s="109" t="s">
        <v>482</v>
      </c>
      <c r="E93" s="110"/>
      <c r="F93" s="111"/>
      <c r="G93" s="112">
        <f t="shared" si="8"/>
        <v>5420554.3751459168</v>
      </c>
      <c r="H93" s="112">
        <f t="shared" si="8"/>
        <v>5933918.1554948855</v>
      </c>
      <c r="I93" s="112">
        <f t="shared" si="8"/>
        <v>6402460.8429500507</v>
      </c>
      <c r="J93" s="112">
        <f t="shared" si="8"/>
        <v>6868127.93224221</v>
      </c>
      <c r="K93" s="112">
        <f t="shared" si="8"/>
        <v>7281646.4692399325</v>
      </c>
      <c r="L93" s="112">
        <f t="shared" si="8"/>
        <v>7650649.962975869</v>
      </c>
      <c r="M93" s="112">
        <f t="shared" si="8"/>
        <v>7969518.4968252648</v>
      </c>
      <c r="N93" s="112">
        <f t="shared" si="8"/>
        <v>8227432.6743829194</v>
      </c>
      <c r="O93" s="105"/>
    </row>
    <row r="94" spans="2:15" x14ac:dyDescent="0.2">
      <c r="B94" s="101"/>
      <c r="C94" s="103"/>
      <c r="D94" s="103"/>
      <c r="E94" s="103"/>
      <c r="F94" s="103"/>
      <c r="G94" s="103"/>
      <c r="H94" s="103"/>
      <c r="I94" s="103"/>
      <c r="J94" s="103"/>
      <c r="K94" s="103"/>
      <c r="L94" s="103"/>
      <c r="M94" s="103"/>
      <c r="N94" s="103"/>
      <c r="O94" s="105"/>
    </row>
    <row r="95" spans="2:15" x14ac:dyDescent="0.2">
      <c r="B95" s="101"/>
      <c r="C95" s="102" t="s">
        <v>117</v>
      </c>
      <c r="D95" s="103"/>
      <c r="E95" s="103"/>
      <c r="F95" s="103"/>
      <c r="G95" s="103"/>
      <c r="H95" s="103"/>
      <c r="I95" s="103"/>
      <c r="J95" s="103"/>
      <c r="K95" s="103"/>
      <c r="L95" s="103"/>
      <c r="M95" s="103"/>
      <c r="N95" s="1859" t="s">
        <v>2195</v>
      </c>
      <c r="O95" s="105"/>
    </row>
    <row r="96" spans="2:15" ht="15.75" x14ac:dyDescent="0.25">
      <c r="B96" s="106"/>
      <c r="C96" s="107"/>
      <c r="D96" s="107" t="s">
        <v>15</v>
      </c>
      <c r="E96" s="107" t="s">
        <v>8</v>
      </c>
      <c r="F96" s="108"/>
      <c r="G96" s="108" t="s">
        <v>16</v>
      </c>
      <c r="H96" s="108" t="s">
        <v>17</v>
      </c>
      <c r="I96" s="108" t="s">
        <v>18</v>
      </c>
      <c r="J96" s="108" t="s">
        <v>19</v>
      </c>
      <c r="K96" s="108" t="s">
        <v>20</v>
      </c>
      <c r="L96" s="108" t="s">
        <v>21</v>
      </c>
      <c r="M96" s="108" t="s">
        <v>22</v>
      </c>
      <c r="N96" s="108" t="s">
        <v>23</v>
      </c>
      <c r="O96" s="105"/>
    </row>
    <row r="97" spans="2:15" ht="15.75" x14ac:dyDescent="0.2">
      <c r="B97" s="113"/>
      <c r="C97" s="114"/>
      <c r="D97" s="109" t="s">
        <v>117</v>
      </c>
      <c r="E97" s="109"/>
      <c r="F97" s="115"/>
      <c r="G97" s="112">
        <f>G59</f>
        <v>138648398.80557212</v>
      </c>
      <c r="H97" s="112">
        <f t="shared" ref="H97:N97" si="9">$G$97*H36</f>
        <v>156941071.94435257</v>
      </c>
      <c r="I97" s="112">
        <f t="shared" si="9"/>
        <v>185075953.52402893</v>
      </c>
      <c r="J97" s="112">
        <f t="shared" si="9"/>
        <v>217014325.17373651</v>
      </c>
      <c r="K97" s="112">
        <f t="shared" si="9"/>
        <v>250366651.2782681</v>
      </c>
      <c r="L97" s="112">
        <f t="shared" si="9"/>
        <v>284451648.63065863</v>
      </c>
      <c r="M97" s="112">
        <f t="shared" si="9"/>
        <v>319559337.36585468</v>
      </c>
      <c r="N97" s="112">
        <f t="shared" si="9"/>
        <v>354797473.50129086</v>
      </c>
      <c r="O97" s="116"/>
    </row>
    <row r="98" spans="2:15" x14ac:dyDescent="0.2">
      <c r="B98" s="101"/>
      <c r="C98" s="103"/>
      <c r="D98" s="103"/>
      <c r="E98" s="103"/>
      <c r="F98" s="103"/>
      <c r="G98" s="103"/>
      <c r="H98" s="103"/>
      <c r="I98" s="103"/>
      <c r="J98" s="103"/>
      <c r="K98" s="103"/>
      <c r="L98" s="103"/>
      <c r="M98" s="103"/>
      <c r="N98" s="103"/>
      <c r="O98" s="105"/>
    </row>
    <row r="99" spans="2:15" x14ac:dyDescent="0.2">
      <c r="B99" s="101"/>
      <c r="C99" s="102" t="s">
        <v>25</v>
      </c>
      <c r="D99" s="103"/>
      <c r="E99" s="103"/>
      <c r="F99" s="103"/>
      <c r="G99" s="103"/>
      <c r="H99" s="103"/>
      <c r="I99" s="103"/>
      <c r="J99" s="103"/>
      <c r="K99" s="103"/>
      <c r="L99" s="103"/>
      <c r="M99" s="103"/>
      <c r="N99" s="1859" t="s">
        <v>2210</v>
      </c>
      <c r="O99" s="105"/>
    </row>
    <row r="100" spans="2:15" x14ac:dyDescent="0.2">
      <c r="B100" s="101"/>
      <c r="C100" s="107"/>
      <c r="D100" s="107" t="s">
        <v>15</v>
      </c>
      <c r="E100" s="107" t="s">
        <v>8</v>
      </c>
      <c r="F100" s="108"/>
      <c r="G100" s="108" t="s">
        <v>16</v>
      </c>
      <c r="H100" s="108" t="s">
        <v>17</v>
      </c>
      <c r="I100" s="108" t="s">
        <v>18</v>
      </c>
      <c r="J100" s="108" t="s">
        <v>19</v>
      </c>
      <c r="K100" s="108" t="s">
        <v>20</v>
      </c>
      <c r="L100" s="108" t="s">
        <v>21</v>
      </c>
      <c r="M100" s="108" t="s">
        <v>22</v>
      </c>
      <c r="N100" s="108" t="s">
        <v>23</v>
      </c>
      <c r="O100" s="105"/>
    </row>
    <row r="101" spans="2:15" x14ac:dyDescent="0.2">
      <c r="B101" s="101"/>
      <c r="C101" s="114"/>
      <c r="D101" s="109" t="s">
        <v>25</v>
      </c>
      <c r="E101" s="109"/>
      <c r="F101" s="115"/>
      <c r="G101" s="112">
        <f>G97/(G87/1000000)</f>
        <v>7699948.0687941872</v>
      </c>
      <c r="H101" s="112">
        <f t="shared" ref="H101:N101" si="10">H97/(H87/1000000)</f>
        <v>8305217.5685613714</v>
      </c>
      <c r="I101" s="112">
        <f t="shared" si="10"/>
        <v>9513729.5189033225</v>
      </c>
      <c r="J101" s="112">
        <f t="shared" si="10"/>
        <v>10893498.295728277</v>
      </c>
      <c r="K101" s="112">
        <f t="shared" si="10"/>
        <v>12337517.713945247</v>
      </c>
      <c r="L101" s="112">
        <f t="shared" si="10"/>
        <v>13833392.855624611</v>
      </c>
      <c r="M101" s="112">
        <f t="shared" si="10"/>
        <v>15418415.713627663</v>
      </c>
      <c r="N101" s="112">
        <f t="shared" si="10"/>
        <v>17074115.49032189</v>
      </c>
      <c r="O101" s="105"/>
    </row>
    <row r="102" spans="2:15" x14ac:dyDescent="0.2">
      <c r="B102" s="101"/>
      <c r="C102" s="1861"/>
      <c r="D102" s="742"/>
      <c r="E102" s="742"/>
      <c r="F102" s="1862"/>
      <c r="G102" s="743"/>
      <c r="H102" s="743"/>
      <c r="I102" s="743"/>
      <c r="J102" s="743"/>
      <c r="K102" s="743"/>
      <c r="L102" s="743"/>
      <c r="M102" s="743"/>
      <c r="N102" s="743"/>
      <c r="O102" s="105"/>
    </row>
    <row r="103" spans="2:15" x14ac:dyDescent="0.2">
      <c r="B103" s="101"/>
      <c r="C103" s="1861"/>
      <c r="D103" s="742"/>
      <c r="E103" s="742"/>
      <c r="F103" s="1862"/>
      <c r="G103" s="743"/>
      <c r="H103" s="743"/>
      <c r="I103" s="743"/>
      <c r="J103" s="743"/>
      <c r="K103" s="743"/>
      <c r="L103" s="743"/>
      <c r="M103" s="743"/>
      <c r="N103" s="743"/>
      <c r="O103" s="105"/>
    </row>
    <row r="104" spans="2:15" x14ac:dyDescent="0.2">
      <c r="B104" s="101"/>
      <c r="C104" s="103"/>
      <c r="D104" s="103"/>
      <c r="E104" s="103"/>
      <c r="F104" s="103"/>
      <c r="G104" s="103"/>
      <c r="H104" s="103"/>
      <c r="I104" s="103"/>
      <c r="J104" s="103"/>
      <c r="K104" s="103"/>
      <c r="L104" s="103"/>
      <c r="M104" s="103"/>
      <c r="N104" s="103"/>
      <c r="O104" s="105"/>
    </row>
  </sheetData>
  <pageMargins left="0.75" right="0.75" top="1" bottom="1" header="0.5" footer="0.5"/>
  <pageSetup orientation="portrait" horizontalDpi="4294967292" verticalDpi="4294967292" r:id="rId1"/>
  <ignoredErrors>
    <ignoredError sqref="G86:N88 G98:N98 G96:N96 G95:M95 G100:N100 G99:M99 G90:N94 G89:M89" numberStoredAsText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/>
  </sheetPr>
  <dimension ref="A1:BQ519"/>
  <sheetViews>
    <sheetView view="pageBreakPreview" topLeftCell="A114" zoomScale="70" zoomScaleNormal="85" zoomScaleSheetLayoutView="70" workbookViewId="0">
      <selection activeCell="G254" sqref="G254"/>
    </sheetView>
  </sheetViews>
  <sheetFormatPr baseColWidth="10" defaultColWidth="8.85546875" defaultRowHeight="15" outlineLevelRow="1" outlineLevelCol="1" x14ac:dyDescent="0.25"/>
  <cols>
    <col min="1" max="1" width="7.7109375" style="487" customWidth="1"/>
    <col min="2" max="2" width="8.85546875" style="487" customWidth="1"/>
    <col min="3" max="3" width="31.42578125" style="487" customWidth="1"/>
    <col min="4" max="4" width="45.5703125" style="487" customWidth="1"/>
    <col min="5" max="5" width="20.7109375" style="487" customWidth="1"/>
    <col min="6" max="13" width="17.7109375" style="487" customWidth="1"/>
    <col min="14" max="14" width="2" style="487" customWidth="1"/>
    <col min="15" max="15" width="10.85546875" style="487" customWidth="1"/>
    <col min="16" max="22" width="8.85546875" style="487"/>
    <col min="23" max="44" width="8.85546875" style="487" customWidth="1" outlineLevel="1"/>
    <col min="45" max="16384" width="8.85546875" style="487"/>
  </cols>
  <sheetData>
    <row r="1" spans="1:15" ht="20.25" x14ac:dyDescent="0.3">
      <c r="A1" s="486" t="s">
        <v>322</v>
      </c>
      <c r="B1" s="486" t="s">
        <v>836</v>
      </c>
      <c r="C1" s="486"/>
    </row>
    <row r="2" spans="1:15" s="489" customFormat="1" ht="19.5" customHeight="1" x14ac:dyDescent="0.25">
      <c r="A2" s="488" t="s">
        <v>46</v>
      </c>
      <c r="B2" s="1840" t="str">
        <f>INDEX(Modulos[Modulos], MATCH($A2, Modulos[Código], 0))</f>
        <v>Termoelectricidad</v>
      </c>
      <c r="C2" s="488"/>
      <c r="E2" s="259"/>
      <c r="O2" s="487"/>
    </row>
    <row r="3" spans="1:15" s="489" customFormat="1" ht="12.75" customHeight="1" x14ac:dyDescent="0.25">
      <c r="A3" s="487"/>
      <c r="B3" s="488"/>
      <c r="C3" s="488"/>
      <c r="O3" s="487"/>
    </row>
    <row r="4" spans="1:15" ht="23.25" collapsed="1" x14ac:dyDescent="0.35">
      <c r="A4" s="490"/>
      <c r="B4" s="491" t="s">
        <v>1</v>
      </c>
      <c r="C4" s="492"/>
      <c r="D4" s="493"/>
      <c r="E4" s="494"/>
      <c r="F4" s="493"/>
      <c r="G4" s="493"/>
      <c r="H4" s="493"/>
      <c r="I4" s="493"/>
      <c r="J4" s="493"/>
      <c r="K4" s="493"/>
      <c r="L4" s="493"/>
      <c r="M4" s="493"/>
      <c r="N4" s="495"/>
    </row>
    <row r="5" spans="1:15" x14ac:dyDescent="0.25">
      <c r="B5" s="496"/>
      <c r="C5" s="497"/>
      <c r="D5" s="498"/>
      <c r="E5" s="499"/>
      <c r="F5" s="498"/>
      <c r="G5" s="498"/>
      <c r="H5" s="498"/>
      <c r="I5" s="498"/>
      <c r="J5" s="498"/>
      <c r="K5" s="498"/>
      <c r="L5" s="498"/>
      <c r="M5" s="498"/>
      <c r="N5" s="500"/>
    </row>
    <row r="6" spans="1:15" ht="15.75" x14ac:dyDescent="0.25">
      <c r="B6" s="501"/>
      <c r="C6" s="498"/>
      <c r="D6" s="502" t="s">
        <v>2</v>
      </c>
      <c r="E6" s="502" t="s">
        <v>3</v>
      </c>
      <c r="F6" s="498"/>
      <c r="G6" s="498"/>
      <c r="H6" s="498"/>
      <c r="I6" s="498"/>
      <c r="J6" s="498"/>
      <c r="K6" s="498"/>
      <c r="L6" s="498"/>
      <c r="M6" s="498"/>
      <c r="N6" s="500"/>
    </row>
    <row r="7" spans="1:15" ht="15.75" x14ac:dyDescent="0.25">
      <c r="B7" s="501"/>
      <c r="C7" s="498"/>
      <c r="D7" s="365" t="s">
        <v>1675</v>
      </c>
      <c r="E7" s="2683">
        <f>Control!F50</f>
        <v>1</v>
      </c>
      <c r="F7" s="498"/>
      <c r="G7" s="498"/>
      <c r="H7" s="498"/>
      <c r="I7" s="498"/>
      <c r="J7" s="498"/>
      <c r="K7" s="498"/>
      <c r="L7" s="498"/>
      <c r="M7" s="498"/>
      <c r="N7" s="500"/>
    </row>
    <row r="8" spans="1:15" ht="15.75" x14ac:dyDescent="0.25">
      <c r="B8" s="501"/>
      <c r="C8" s="498"/>
      <c r="D8" s="366" t="s">
        <v>1674</v>
      </c>
      <c r="E8" s="2668" t="str">
        <f>Control!F51</f>
        <v>A</v>
      </c>
      <c r="F8" s="498"/>
      <c r="G8" s="498"/>
      <c r="H8" s="498"/>
      <c r="I8" s="498"/>
      <c r="J8" s="498"/>
      <c r="K8" s="498"/>
      <c r="L8" s="498"/>
      <c r="M8" s="498"/>
      <c r="N8" s="500"/>
    </row>
    <row r="9" spans="1:15" ht="15.75" x14ac:dyDescent="0.25">
      <c r="B9" s="501"/>
      <c r="C9" s="498"/>
      <c r="D9" s="73"/>
      <c r="E9" s="73"/>
      <c r="F9" s="498"/>
      <c r="G9" s="498"/>
      <c r="H9" s="498"/>
      <c r="I9" s="498"/>
      <c r="J9" s="498"/>
      <c r="K9" s="498"/>
      <c r="L9" s="498"/>
      <c r="M9" s="498"/>
      <c r="N9" s="500"/>
    </row>
    <row r="10" spans="1:15" ht="15.75" x14ac:dyDescent="0.25">
      <c r="B10" s="503"/>
      <c r="C10" s="504"/>
      <c r="D10" s="504"/>
      <c r="E10" s="504"/>
      <c r="F10" s="505"/>
      <c r="G10" s="505"/>
      <c r="H10" s="505"/>
      <c r="I10" s="505"/>
      <c r="J10" s="505"/>
      <c r="K10" s="505"/>
      <c r="L10" s="505"/>
      <c r="M10" s="505"/>
      <c r="N10" s="506"/>
    </row>
    <row r="12" spans="1:15" ht="23.25" x14ac:dyDescent="0.35">
      <c r="A12" s="490"/>
      <c r="B12" s="491" t="s">
        <v>323</v>
      </c>
      <c r="C12" s="493"/>
      <c r="D12" s="493"/>
      <c r="E12" s="493"/>
      <c r="F12" s="493"/>
      <c r="G12" s="493"/>
      <c r="H12" s="493"/>
      <c r="I12" s="493"/>
      <c r="J12" s="493"/>
      <c r="K12" s="493"/>
      <c r="L12" s="493"/>
      <c r="M12" s="493"/>
      <c r="N12" s="495"/>
    </row>
    <row r="13" spans="1:15" x14ac:dyDescent="0.25">
      <c r="B13" s="507"/>
      <c r="C13" s="498"/>
      <c r="D13" s="498"/>
      <c r="E13" s="498"/>
      <c r="F13" s="498"/>
      <c r="G13" s="498"/>
      <c r="H13" s="498"/>
      <c r="I13" s="498"/>
      <c r="J13" s="498"/>
      <c r="K13" s="498"/>
      <c r="L13" s="498"/>
      <c r="M13" s="498"/>
      <c r="N13" s="500"/>
    </row>
    <row r="14" spans="1:15" x14ac:dyDescent="0.25">
      <c r="B14" s="507"/>
      <c r="C14" s="508" t="s">
        <v>1707</v>
      </c>
      <c r="D14" s="498"/>
      <c r="E14" s="498"/>
      <c r="F14" s="498"/>
      <c r="G14" s="498"/>
      <c r="H14" s="498"/>
      <c r="I14" s="498"/>
      <c r="J14" s="498"/>
      <c r="K14" s="498"/>
      <c r="L14" s="498"/>
      <c r="M14" s="499" t="s">
        <v>171</v>
      </c>
      <c r="N14" s="500"/>
    </row>
    <row r="15" spans="1:15" ht="6" customHeight="1" x14ac:dyDescent="0.25">
      <c r="B15" s="507"/>
      <c r="C15" s="497"/>
      <c r="D15" s="498"/>
      <c r="E15" s="499"/>
      <c r="F15" s="498"/>
      <c r="G15" s="498"/>
      <c r="H15" s="498"/>
      <c r="I15" s="498"/>
      <c r="J15" s="498"/>
      <c r="K15" s="498"/>
      <c r="L15" s="498"/>
      <c r="M15" s="498"/>
      <c r="N15" s="500"/>
    </row>
    <row r="16" spans="1:15" s="489" customFormat="1" ht="15.75" x14ac:dyDescent="0.25">
      <c r="A16" s="487"/>
      <c r="B16" s="509"/>
      <c r="C16" s="502" t="s">
        <v>146</v>
      </c>
      <c r="D16" s="502" t="s">
        <v>242</v>
      </c>
      <c r="E16" s="502" t="s">
        <v>8</v>
      </c>
      <c r="F16" s="502" t="s">
        <v>16</v>
      </c>
      <c r="G16" s="502" t="s">
        <v>17</v>
      </c>
      <c r="H16" s="502" t="s">
        <v>18</v>
      </c>
      <c r="I16" s="502" t="s">
        <v>19</v>
      </c>
      <c r="J16" s="502" t="s">
        <v>20</v>
      </c>
      <c r="K16" s="502" t="s">
        <v>21</v>
      </c>
      <c r="L16" s="502" t="s">
        <v>22</v>
      </c>
      <c r="M16" s="502" t="s">
        <v>23</v>
      </c>
      <c r="N16" s="510"/>
      <c r="O16" s="487"/>
    </row>
    <row r="17" spans="1:30" s="489" customFormat="1" ht="15.75" x14ac:dyDescent="0.25">
      <c r="A17" s="487"/>
      <c r="B17" s="509"/>
      <c r="C17" s="511"/>
      <c r="D17" s="511" t="s">
        <v>1704</v>
      </c>
      <c r="E17" s="511"/>
      <c r="F17" s="2965">
        <f ca="1">-('2015'!Y105)</f>
        <v>67.579633316573762</v>
      </c>
      <c r="G17" s="2965">
        <f ca="1">-('2020'!Y115)</f>
        <v>78.979509560230042</v>
      </c>
      <c r="H17" s="2965">
        <f ca="1">-('2025'!Y115)</f>
        <v>91.520244446127037</v>
      </c>
      <c r="I17" s="2965">
        <f ca="1">-('2030'!Y115)</f>
        <v>103.6006457581674</v>
      </c>
      <c r="J17" s="2965">
        <f ca="1">-('2035'!Y115)</f>
        <v>117.65200581808284</v>
      </c>
      <c r="K17" s="2965">
        <f ca="1">-('2040'!Y115)</f>
        <v>132.75541227739603</v>
      </c>
      <c r="L17" s="2965">
        <f ca="1">-('2045'!Y115)</f>
        <v>148.13841553905652</v>
      </c>
      <c r="M17" s="2965">
        <f ca="1">-('2050'!Y115)</f>
        <v>162.18836791957614</v>
      </c>
      <c r="N17" s="510"/>
      <c r="O17" s="487"/>
    </row>
    <row r="18" spans="1:30" s="489" customFormat="1" ht="15.75" x14ac:dyDescent="0.25">
      <c r="A18" s="487"/>
      <c r="B18" s="509"/>
      <c r="C18" s="511"/>
      <c r="D18" s="511" t="s">
        <v>1705</v>
      </c>
      <c r="E18" s="512"/>
      <c r="F18" s="698">
        <f>-(III.a!F90+III.b.1!F82+III.b.2!F106+III.b.3!F84+III.c!F105+III.d!F76+III.e!F112+IV.a!F78+V.a!F66+V.b!F70)</f>
        <v>-26.660470513026731</v>
      </c>
      <c r="G18" s="698">
        <f>-(III.a!G90+III.b.1!G82+III.b.2!G106+III.b.3!G84+III.c!G105+III.d!G76+III.e!G112+IV.a!G78+V.a!G66+V.b!G70)</f>
        <v>-33.351432359151467</v>
      </c>
      <c r="H18" s="698">
        <f>-(III.a!H90+III.b.1!H82+III.b.2!H106+III.b.3!H84+III.c!H105+III.d!H76+III.e!H112+IV.a!H78+V.a!H66+V.b!H70)</f>
        <v>-36.891342175942398</v>
      </c>
      <c r="I18" s="698">
        <f>-(III.a!I90+III.b.1!I82+III.b.2!I106+III.b.3!I84+III.c!I105+III.d!I76+III.e!I112+IV.a!I78+V.a!I66+V.b!I70)</f>
        <v>-39.355524994688835</v>
      </c>
      <c r="J18" s="698">
        <f>-(III.a!J90+III.b.1!J82+III.b.2!J106+III.b.3!J84+III.c!J105+III.d!J76+III.e!J112+IV.a!J78+V.a!J66+V.b!J70)</f>
        <v>-41.521317990754028</v>
      </c>
      <c r="K18" s="698">
        <f>-(III.a!K90+III.b.1!K82+III.b.2!K106+III.b.3!K84+III.c!K105+III.d!K76+III.e!K112+IV.a!K78+V.a!K66+V.b!K70)</f>
        <v>-43.551693525609863</v>
      </c>
      <c r="L18" s="698">
        <f>-(III.a!L90+III.b.1!L82+III.b.2!L106+III.b.3!L84+III.c!L105+III.d!L76+III.e!L112+IV.a!L78+V.a!L66+V.b!L70)</f>
        <v>-45.403280613769773</v>
      </c>
      <c r="M18" s="698">
        <f>-(III.a!M90+III.b.1!M82+III.b.2!M106+III.b.3!M84+III.c!M105+III.d!M76+III.e!M112+IV.a!M78+V.a!M66+V.b!M70)</f>
        <v>-47.182469981731252</v>
      </c>
      <c r="N18" s="513"/>
      <c r="O18" s="487"/>
    </row>
    <row r="19" spans="1:30" x14ac:dyDescent="0.25">
      <c r="B19" s="514"/>
      <c r="C19" s="505"/>
      <c r="D19" s="505"/>
      <c r="E19" s="505"/>
      <c r="F19" s="505"/>
      <c r="G19" s="505"/>
      <c r="H19" s="505"/>
      <c r="I19" s="505"/>
      <c r="J19" s="505"/>
      <c r="K19" s="505"/>
      <c r="L19" s="505"/>
      <c r="M19" s="505"/>
      <c r="N19" s="505"/>
    </row>
    <row r="20" spans="1:30" x14ac:dyDescent="0.25">
      <c r="M20" s="2644"/>
    </row>
    <row r="21" spans="1:30" s="489" customFormat="1" ht="23.25" x14ac:dyDescent="0.35">
      <c r="A21" s="490"/>
      <c r="B21" s="515" t="s">
        <v>6</v>
      </c>
      <c r="C21" s="516"/>
      <c r="D21" s="517"/>
      <c r="E21" s="517"/>
      <c r="F21" s="517"/>
      <c r="G21" s="517"/>
      <c r="H21" s="517"/>
      <c r="I21" s="517"/>
      <c r="J21" s="517"/>
      <c r="K21" s="517"/>
      <c r="L21" s="517"/>
      <c r="M21" s="517"/>
      <c r="N21" s="518"/>
      <c r="O21" s="487"/>
    </row>
    <row r="22" spans="1:30" x14ac:dyDescent="0.25">
      <c r="B22" s="519"/>
      <c r="C22" s="520"/>
      <c r="D22" s="520"/>
      <c r="E22" s="520"/>
      <c r="F22" s="520"/>
      <c r="G22" s="520"/>
      <c r="H22" s="520"/>
      <c r="I22" s="520"/>
      <c r="J22" s="520"/>
      <c r="K22" s="520"/>
      <c r="L22" s="520"/>
      <c r="M22" s="520"/>
      <c r="N22" s="521"/>
    </row>
    <row r="23" spans="1:30" x14ac:dyDescent="0.25">
      <c r="B23" s="519"/>
      <c r="C23" s="522" t="s">
        <v>324</v>
      </c>
      <c r="D23" s="520"/>
      <c r="E23" s="520"/>
      <c r="F23" s="520"/>
      <c r="G23" s="520"/>
      <c r="H23" s="520"/>
      <c r="I23" s="520"/>
      <c r="J23" s="520"/>
      <c r="K23" s="520"/>
      <c r="L23" s="520"/>
      <c r="M23" s="520" t="s">
        <v>152</v>
      </c>
      <c r="N23" s="521"/>
    </row>
    <row r="24" spans="1:30" ht="4.5" customHeight="1" x14ac:dyDescent="0.25">
      <c r="B24" s="519"/>
      <c r="C24" s="520"/>
      <c r="D24" s="520"/>
      <c r="E24" s="520"/>
      <c r="F24" s="520"/>
      <c r="G24" s="520"/>
      <c r="H24" s="520"/>
      <c r="I24" s="520"/>
      <c r="J24" s="520"/>
      <c r="K24" s="520"/>
      <c r="L24" s="520"/>
      <c r="M24" s="520"/>
      <c r="N24" s="521"/>
    </row>
    <row r="25" spans="1:30" x14ac:dyDescent="0.25">
      <c r="B25" s="519"/>
      <c r="C25" s="523" t="s">
        <v>325</v>
      </c>
      <c r="D25" s="523" t="s">
        <v>7</v>
      </c>
      <c r="E25" s="523" t="s">
        <v>8</v>
      </c>
      <c r="F25" s="524">
        <v>2015</v>
      </c>
      <c r="G25" s="525">
        <v>2020</v>
      </c>
      <c r="H25" s="525">
        <v>2025</v>
      </c>
      <c r="I25" s="525">
        <v>2030</v>
      </c>
      <c r="J25" s="525">
        <v>2035</v>
      </c>
      <c r="K25" s="525">
        <v>2040</v>
      </c>
      <c r="L25" s="525">
        <v>2045</v>
      </c>
      <c r="M25" s="525">
        <v>2050</v>
      </c>
      <c r="N25" s="521"/>
    </row>
    <row r="26" spans="1:30" x14ac:dyDescent="0.25">
      <c r="B26" s="519"/>
      <c r="C26" s="526">
        <v>1</v>
      </c>
      <c r="D26" s="527"/>
      <c r="E26" s="528" t="s">
        <v>12</v>
      </c>
      <c r="F26" s="529">
        <v>0.4</v>
      </c>
      <c r="G26" s="529">
        <v>0.4</v>
      </c>
      <c r="H26" s="529">
        <v>0.4</v>
      </c>
      <c r="I26" s="529">
        <v>0.4</v>
      </c>
      <c r="J26" s="529">
        <v>0.4</v>
      </c>
      <c r="K26" s="529">
        <v>0.4</v>
      </c>
      <c r="L26" s="529">
        <v>0.4</v>
      </c>
      <c r="M26" s="529">
        <v>0.4</v>
      </c>
      <c r="N26" s="521"/>
      <c r="AA26" s="2638"/>
      <c r="AB26" s="2639"/>
      <c r="AD26" s="2639"/>
    </row>
    <row r="27" spans="1:30" x14ac:dyDescent="0.25">
      <c r="B27" s="519"/>
      <c r="C27" s="526">
        <v>2</v>
      </c>
      <c r="D27" s="527"/>
      <c r="E27" s="527" t="s">
        <v>133</v>
      </c>
      <c r="F27" s="529">
        <v>0.4</v>
      </c>
      <c r="G27" s="530">
        <f>F27+5*0.02</f>
        <v>0.5</v>
      </c>
      <c r="H27" s="530">
        <f t="shared" ref="H27:M27" si="0">G27+5*0.02</f>
        <v>0.6</v>
      </c>
      <c r="I27" s="530">
        <f t="shared" si="0"/>
        <v>0.7</v>
      </c>
      <c r="J27" s="530">
        <f t="shared" si="0"/>
        <v>0.79999999999999993</v>
      </c>
      <c r="K27" s="530">
        <f t="shared" si="0"/>
        <v>0.89999999999999991</v>
      </c>
      <c r="L27" s="530">
        <f t="shared" si="0"/>
        <v>0.99999999999999989</v>
      </c>
      <c r="M27" s="530">
        <f t="shared" si="0"/>
        <v>1.0999999999999999</v>
      </c>
      <c r="N27" s="521"/>
      <c r="AA27" s="2638"/>
      <c r="AB27" s="2639"/>
      <c r="AD27" s="2639"/>
    </row>
    <row r="28" spans="1:30" x14ac:dyDescent="0.25">
      <c r="B28" s="519"/>
      <c r="C28" s="526">
        <v>3</v>
      </c>
      <c r="D28" s="527"/>
      <c r="E28" s="527"/>
      <c r="F28" s="529">
        <v>0.4</v>
      </c>
      <c r="G28" s="530">
        <v>0.49428816061929226</v>
      </c>
      <c r="H28" s="530">
        <v>0.69802118069670382</v>
      </c>
      <c r="I28" s="530">
        <v>1.1638102007741153</v>
      </c>
      <c r="J28" s="530">
        <v>1.300777140851527</v>
      </c>
      <c r="K28" s="530">
        <v>1.4736918650218322</v>
      </c>
      <c r="L28" s="530">
        <v>1.6077236780261988</v>
      </c>
      <c r="M28" s="530">
        <v>1.7141216458288187</v>
      </c>
      <c r="N28" s="521"/>
      <c r="AB28" s="2639"/>
      <c r="AD28" s="2639"/>
    </row>
    <row r="29" spans="1:30" x14ac:dyDescent="0.25">
      <c r="B29" s="519"/>
      <c r="C29" s="531">
        <v>4</v>
      </c>
      <c r="D29" s="532"/>
      <c r="E29" s="532" t="s">
        <v>136</v>
      </c>
      <c r="F29" s="529">
        <v>0.4</v>
      </c>
      <c r="G29" s="534">
        <v>0.52411200000000002</v>
      </c>
      <c r="H29" s="534">
        <v>0.87352000000000007</v>
      </c>
      <c r="I29" s="534">
        <v>1.7470400000000001</v>
      </c>
      <c r="J29" s="534">
        <v>1.9629158400000002</v>
      </c>
      <c r="K29" s="534">
        <v>2.1810176000000001</v>
      </c>
      <c r="L29" s="534">
        <v>2.2958080000000001</v>
      </c>
      <c r="M29" s="534">
        <v>2.4166400000000001</v>
      </c>
      <c r="N29" s="521"/>
      <c r="AB29" s="2638"/>
      <c r="AC29" s="3556"/>
    </row>
    <row r="30" spans="1:30" x14ac:dyDescent="0.25">
      <c r="B30" s="519"/>
      <c r="C30" s="535" t="s">
        <v>153</v>
      </c>
      <c r="D30" s="536"/>
      <c r="E30" s="536"/>
      <c r="F30" s="176">
        <f t="shared" ref="F30:M30" si="1">(INDEX(F$26:F$29,ROUNDDOWN($E$7,0))*(1-MOD($E$7,1)))+(INDEX(F$26:F$29,ROUNDUP($E$7,0))*MOD($E$7,1))</f>
        <v>0.4</v>
      </c>
      <c r="G30" s="176">
        <f t="shared" si="1"/>
        <v>0.4</v>
      </c>
      <c r="H30" s="176">
        <f t="shared" si="1"/>
        <v>0.4</v>
      </c>
      <c r="I30" s="176">
        <f t="shared" si="1"/>
        <v>0.4</v>
      </c>
      <c r="J30" s="176">
        <f t="shared" si="1"/>
        <v>0.4</v>
      </c>
      <c r="K30" s="176">
        <f t="shared" si="1"/>
        <v>0.4</v>
      </c>
      <c r="L30" s="176">
        <f t="shared" si="1"/>
        <v>0.4</v>
      </c>
      <c r="M30" s="176">
        <f t="shared" si="1"/>
        <v>0.4</v>
      </c>
      <c r="N30" s="521"/>
    </row>
    <row r="31" spans="1:30" x14ac:dyDescent="0.25">
      <c r="B31" s="519"/>
      <c r="C31" s="520"/>
      <c r="D31" s="520"/>
      <c r="E31" s="520"/>
      <c r="F31" s="520"/>
      <c r="G31" s="520"/>
      <c r="H31" s="520"/>
      <c r="I31" s="520"/>
      <c r="J31" s="3563"/>
      <c r="K31" s="520"/>
      <c r="L31" s="520"/>
      <c r="M31" s="520"/>
      <c r="N31" s="521"/>
    </row>
    <row r="32" spans="1:30" x14ac:dyDescent="0.25">
      <c r="B32" s="519"/>
      <c r="C32" s="537" t="s">
        <v>8</v>
      </c>
      <c r="D32" s="537"/>
      <c r="E32" s="537"/>
      <c r="F32" s="537"/>
      <c r="G32" s="537"/>
      <c r="H32" s="537"/>
      <c r="I32" s="537"/>
      <c r="J32" s="3563"/>
      <c r="K32" s="178"/>
      <c r="L32" s="178"/>
      <c r="M32" s="178"/>
      <c r="N32" s="521"/>
    </row>
    <row r="33" spans="2:14" x14ac:dyDescent="0.25">
      <c r="B33" s="519"/>
      <c r="C33" s="193" t="s">
        <v>12</v>
      </c>
      <c r="D33" s="538" t="s">
        <v>2400</v>
      </c>
      <c r="E33" s="537"/>
      <c r="F33" s="537"/>
      <c r="G33" s="537"/>
      <c r="H33" s="537"/>
      <c r="I33" s="537" t="s">
        <v>212</v>
      </c>
      <c r="J33" s="537"/>
      <c r="K33" s="178"/>
      <c r="L33" s="178"/>
      <c r="M33" s="178"/>
      <c r="N33" s="521"/>
    </row>
    <row r="34" spans="2:14" x14ac:dyDescent="0.25">
      <c r="B34" s="519"/>
      <c r="C34" s="193" t="s">
        <v>133</v>
      </c>
      <c r="D34" s="538" t="s">
        <v>2377</v>
      </c>
      <c r="E34" s="537"/>
      <c r="F34" s="537"/>
      <c r="G34" s="537"/>
      <c r="H34" s="537"/>
      <c r="I34" s="537"/>
      <c r="J34" s="537"/>
      <c r="K34" s="178"/>
      <c r="L34" s="178"/>
      <c r="M34" s="178"/>
      <c r="N34" s="521"/>
    </row>
    <row r="35" spans="2:14" x14ac:dyDescent="0.25">
      <c r="B35" s="519"/>
      <c r="C35" s="193" t="s">
        <v>136</v>
      </c>
      <c r="D35" s="538" t="s">
        <v>326</v>
      </c>
      <c r="E35" s="537"/>
      <c r="F35" s="537"/>
      <c r="G35" s="537"/>
      <c r="H35" s="537"/>
      <c r="I35" s="537"/>
      <c r="J35" s="537"/>
      <c r="K35" s="178"/>
      <c r="L35" s="178"/>
      <c r="M35" s="178"/>
      <c r="N35" s="521"/>
    </row>
    <row r="36" spans="2:14" x14ac:dyDescent="0.25">
      <c r="B36" s="519"/>
      <c r="C36" s="520"/>
      <c r="D36" s="520"/>
      <c r="E36" s="520"/>
      <c r="F36" s="520"/>
      <c r="G36" s="520"/>
      <c r="H36" s="520"/>
      <c r="I36" s="520"/>
      <c r="J36" s="520"/>
      <c r="K36" s="520"/>
      <c r="L36" s="520"/>
      <c r="M36" s="520"/>
      <c r="N36" s="521"/>
    </row>
    <row r="37" spans="2:14" hidden="1" outlineLevel="1" x14ac:dyDescent="0.25">
      <c r="B37" s="519"/>
      <c r="C37" s="522" t="s">
        <v>327</v>
      </c>
      <c r="D37" s="520"/>
      <c r="E37" s="520"/>
      <c r="F37" s="520"/>
      <c r="G37" s="520"/>
      <c r="H37" s="520"/>
      <c r="I37" s="520"/>
      <c r="J37" s="520"/>
      <c r="K37" s="520"/>
      <c r="L37" s="520"/>
      <c r="M37" s="520" t="s">
        <v>152</v>
      </c>
      <c r="N37" s="521"/>
    </row>
    <row r="38" spans="2:14" ht="5.25" hidden="1" customHeight="1" outlineLevel="1" x14ac:dyDescent="0.25">
      <c r="B38" s="519"/>
      <c r="C38" s="520"/>
      <c r="D38" s="520"/>
      <c r="E38" s="520"/>
      <c r="F38" s="520"/>
      <c r="G38" s="520"/>
      <c r="H38" s="520"/>
      <c r="I38" s="520"/>
      <c r="J38" s="520"/>
      <c r="K38" s="520"/>
      <c r="L38" s="520"/>
      <c r="M38" s="520"/>
      <c r="N38" s="521"/>
    </row>
    <row r="39" spans="2:14" hidden="1" outlineLevel="1" x14ac:dyDescent="0.25">
      <c r="B39" s="519"/>
      <c r="C39" s="523" t="s">
        <v>325</v>
      </c>
      <c r="D39" s="523" t="s">
        <v>7</v>
      </c>
      <c r="E39" s="523" t="s">
        <v>8</v>
      </c>
      <c r="F39" s="524">
        <v>2015</v>
      </c>
      <c r="G39" s="525">
        <v>2020</v>
      </c>
      <c r="H39" s="525">
        <v>2025</v>
      </c>
      <c r="I39" s="525">
        <v>2030</v>
      </c>
      <c r="J39" s="525">
        <v>2035</v>
      </c>
      <c r="K39" s="525">
        <v>2040</v>
      </c>
      <c r="L39" s="525">
        <v>2045</v>
      </c>
      <c r="M39" s="525">
        <v>2050</v>
      </c>
      <c r="N39" s="521"/>
    </row>
    <row r="40" spans="2:14" hidden="1" outlineLevel="1" x14ac:dyDescent="0.25">
      <c r="B40" s="519"/>
      <c r="C40" s="526">
        <v>1</v>
      </c>
      <c r="D40" s="527"/>
      <c r="E40" s="528" t="s">
        <v>12</v>
      </c>
      <c r="F40" s="529">
        <v>3.3561400000000003</v>
      </c>
      <c r="G40" s="530">
        <v>3.5851028571428571</v>
      </c>
      <c r="H40" s="530">
        <v>3.7732457142857143</v>
      </c>
      <c r="I40" s="530">
        <v>3.9613885714285715</v>
      </c>
      <c r="J40" s="530">
        <v>4.1495314285714286</v>
      </c>
      <c r="K40" s="530">
        <v>4.3376742857142858</v>
      </c>
      <c r="L40" s="530">
        <v>4.525817142857143</v>
      </c>
      <c r="M40" s="530">
        <v>4.7139600000000002</v>
      </c>
      <c r="N40" s="521"/>
    </row>
    <row r="41" spans="2:14" hidden="1" outlineLevel="1" x14ac:dyDescent="0.25">
      <c r="B41" s="519"/>
      <c r="C41" s="526">
        <v>2</v>
      </c>
      <c r="D41" s="527"/>
      <c r="E41" s="527" t="s">
        <v>133</v>
      </c>
      <c r="F41" s="529">
        <v>3.3561400000000003</v>
      </c>
      <c r="G41" s="530">
        <v>3.7310484474495662</v>
      </c>
      <c r="H41" s="530">
        <v>4.4772581369394793</v>
      </c>
      <c r="I41" s="530">
        <v>4.9747312632660883</v>
      </c>
      <c r="J41" s="530">
        <v>5.4722043895926973</v>
      </c>
      <c r="K41" s="530">
        <v>5.7458146090723323</v>
      </c>
      <c r="L41" s="530">
        <v>6.0331053395259495</v>
      </c>
      <c r="M41" s="530">
        <v>6.3347606065022477</v>
      </c>
      <c r="N41" s="521"/>
    </row>
    <row r="42" spans="2:14" hidden="1" outlineLevel="1" x14ac:dyDescent="0.25">
      <c r="B42" s="519"/>
      <c r="C42" s="526">
        <v>3</v>
      </c>
      <c r="D42" s="527"/>
      <c r="E42" s="527"/>
      <c r="F42" s="529">
        <v>3.3561400000000003</v>
      </c>
      <c r="G42" s="530">
        <v>5.5965726711743491</v>
      </c>
      <c r="H42" s="530">
        <v>6.7158872054092189</v>
      </c>
      <c r="I42" s="530">
        <v>7.4620968948991324</v>
      </c>
      <c r="J42" s="530">
        <v>8.2083065843890459</v>
      </c>
      <c r="K42" s="530">
        <v>8.618721913608498</v>
      </c>
      <c r="L42" s="530">
        <v>9.0496580092889243</v>
      </c>
      <c r="M42" s="530">
        <v>9.502140909753372</v>
      </c>
      <c r="N42" s="521"/>
    </row>
    <row r="43" spans="2:14" hidden="1" outlineLevel="1" x14ac:dyDescent="0.25">
      <c r="B43" s="519"/>
      <c r="C43" s="531">
        <v>4</v>
      </c>
      <c r="D43" s="532"/>
      <c r="E43" s="532"/>
      <c r="F43" s="533">
        <v>3.3561400000000003</v>
      </c>
      <c r="G43" s="534">
        <v>7.4620968948991324</v>
      </c>
      <c r="H43" s="534">
        <v>8.9545162738789585</v>
      </c>
      <c r="I43" s="534">
        <v>9.9494625265321766</v>
      </c>
      <c r="J43" s="534">
        <v>10.944408779185395</v>
      </c>
      <c r="K43" s="534">
        <v>11.491629218144665</v>
      </c>
      <c r="L43" s="534">
        <v>12.066210679051899</v>
      </c>
      <c r="M43" s="534">
        <v>12.669521213004495</v>
      </c>
      <c r="N43" s="521"/>
    </row>
    <row r="44" spans="2:14" hidden="1" outlineLevel="1" x14ac:dyDescent="0.25">
      <c r="B44" s="519"/>
      <c r="C44" s="535" t="s">
        <v>153</v>
      </c>
      <c r="D44" s="536"/>
      <c r="E44" s="536"/>
      <c r="F44" s="176" t="e">
        <f>(INDEX(F$40:F$43,ROUNDDOWN(#REF!,0))*(1-MOD(#REF!,1)))+(INDEX(F$40:F$43,ROUNDUP(#REF!,0))*MOD(#REF!,1))</f>
        <v>#REF!</v>
      </c>
      <c r="G44" s="176" t="e">
        <f>(INDEX(G$40:G$43,ROUNDDOWN(#REF!,0))*(1-MOD(#REF!,1)))+(INDEX(G$40:G$43,ROUNDUP(#REF!,0))*MOD(#REF!,1))</f>
        <v>#REF!</v>
      </c>
      <c r="H44" s="176" t="e">
        <f>(INDEX(H$40:H$43,ROUNDDOWN(#REF!,0))*(1-MOD(#REF!,1)))+(INDEX(H$40:H$43,ROUNDUP(#REF!,0))*MOD(#REF!,1))</f>
        <v>#REF!</v>
      </c>
      <c r="I44" s="176" t="e">
        <f>(INDEX(I$40:I$43,ROUNDDOWN(#REF!,0))*(1-MOD(#REF!,1)))+(INDEX(I$40:I$43,ROUNDUP(#REF!,0))*MOD(#REF!,1))</f>
        <v>#REF!</v>
      </c>
      <c r="J44" s="176" t="e">
        <f>(INDEX(J$40:J$43,ROUNDDOWN(#REF!,0))*(1-MOD(#REF!,1)))+(INDEX(J$40:J$43,ROUNDUP(#REF!,0))*MOD(#REF!,1))</f>
        <v>#REF!</v>
      </c>
      <c r="K44" s="176" t="e">
        <f>(INDEX(K$40:K$43,ROUNDDOWN(#REF!,0))*(1-MOD(#REF!,1)))+(INDEX(K$40:K$43,ROUNDUP(#REF!,0))*MOD(#REF!,1))</f>
        <v>#REF!</v>
      </c>
      <c r="L44" s="176" t="e">
        <f>(INDEX(L$40:L$43,ROUNDDOWN(#REF!,0))*(1-MOD(#REF!,1)))+(INDEX(L$40:L$43,ROUNDUP(#REF!,0))*MOD(#REF!,1))</f>
        <v>#REF!</v>
      </c>
      <c r="M44" s="176" t="e">
        <f>(INDEX(M$40:M$43,ROUNDDOWN(#REF!,0))*(1-MOD(#REF!,1)))+(INDEX(M$40:M$43,ROUNDUP(#REF!,0))*MOD(#REF!,1))</f>
        <v>#REF!</v>
      </c>
      <c r="N44" s="521"/>
    </row>
    <row r="45" spans="2:14" hidden="1" outlineLevel="1" x14ac:dyDescent="0.25">
      <c r="B45" s="519"/>
      <c r="C45" s="520"/>
      <c r="D45" s="520"/>
      <c r="E45" s="520"/>
      <c r="F45" s="520"/>
      <c r="G45" s="520"/>
      <c r="H45" s="520"/>
      <c r="I45" s="520"/>
      <c r="J45" s="520"/>
      <c r="K45" s="520"/>
      <c r="L45" s="520"/>
      <c r="M45" s="520"/>
      <c r="N45" s="521"/>
    </row>
    <row r="46" spans="2:14" hidden="1" outlineLevel="1" x14ac:dyDescent="0.25">
      <c r="B46" s="519"/>
      <c r="C46" s="537" t="s">
        <v>8</v>
      </c>
      <c r="D46" s="537"/>
      <c r="E46" s="537"/>
      <c r="F46" s="537"/>
      <c r="G46" s="537"/>
      <c r="H46" s="537"/>
      <c r="I46" s="537"/>
      <c r="J46" s="537"/>
      <c r="K46" s="178"/>
      <c r="L46" s="178"/>
      <c r="M46" s="178"/>
      <c r="N46" s="521"/>
    </row>
    <row r="47" spans="2:14" hidden="1" outlineLevel="1" x14ac:dyDescent="0.25">
      <c r="B47" s="519"/>
      <c r="C47" s="193" t="s">
        <v>12</v>
      </c>
      <c r="D47" s="537" t="s">
        <v>211</v>
      </c>
      <c r="E47" s="537"/>
      <c r="F47" s="537"/>
      <c r="G47" s="537"/>
      <c r="H47" s="537"/>
      <c r="I47" s="537" t="s">
        <v>212</v>
      </c>
      <c r="J47" s="537"/>
      <c r="K47" s="178"/>
      <c r="L47" s="178"/>
      <c r="M47" s="178"/>
      <c r="N47" s="521"/>
    </row>
    <row r="48" spans="2:14" hidden="1" outlineLevel="1" x14ac:dyDescent="0.25">
      <c r="B48" s="519"/>
      <c r="C48" s="193" t="s">
        <v>133</v>
      </c>
      <c r="D48" s="537" t="s">
        <v>213</v>
      </c>
      <c r="E48" s="537"/>
      <c r="F48" s="537"/>
      <c r="G48" s="537"/>
      <c r="H48" s="537"/>
      <c r="I48" s="537"/>
      <c r="J48" s="537"/>
      <c r="K48" s="178"/>
      <c r="L48" s="178"/>
      <c r="M48" s="178"/>
      <c r="N48" s="521"/>
    </row>
    <row r="49" spans="2:14" hidden="1" outlineLevel="1" x14ac:dyDescent="0.25">
      <c r="B49" s="519"/>
      <c r="C49" s="193"/>
      <c r="D49" s="537"/>
      <c r="E49" s="537"/>
      <c r="F49" s="537"/>
      <c r="G49" s="537"/>
      <c r="H49" s="537"/>
      <c r="I49" s="537"/>
      <c r="J49" s="537"/>
      <c r="K49" s="178"/>
      <c r="L49" s="178"/>
      <c r="M49" s="178"/>
      <c r="N49" s="521"/>
    </row>
    <row r="50" spans="2:14" hidden="1" outlineLevel="1" x14ac:dyDescent="0.25">
      <c r="B50" s="519"/>
      <c r="C50" s="520"/>
      <c r="D50" s="520"/>
      <c r="E50" s="520"/>
      <c r="F50" s="520"/>
      <c r="G50" s="520"/>
      <c r="H50" s="520"/>
      <c r="I50" s="520"/>
      <c r="J50" s="520"/>
      <c r="K50" s="520"/>
      <c r="L50" s="520"/>
      <c r="M50" s="520"/>
      <c r="N50" s="521"/>
    </row>
    <row r="51" spans="2:14" hidden="1" outlineLevel="1" x14ac:dyDescent="0.25">
      <c r="B51" s="519"/>
      <c r="C51" s="522" t="s">
        <v>328</v>
      </c>
      <c r="D51" s="520"/>
      <c r="E51" s="520"/>
      <c r="F51" s="520"/>
      <c r="G51" s="520"/>
      <c r="H51" s="520"/>
      <c r="I51" s="520"/>
      <c r="J51" s="520"/>
      <c r="K51" s="520"/>
      <c r="L51" s="520"/>
      <c r="M51" s="520" t="s">
        <v>152</v>
      </c>
      <c r="N51" s="521"/>
    </row>
    <row r="52" spans="2:14" ht="7.5" hidden="1" customHeight="1" outlineLevel="1" x14ac:dyDescent="0.25">
      <c r="B52" s="519"/>
      <c r="C52" s="520"/>
      <c r="D52" s="520"/>
      <c r="E52" s="520"/>
      <c r="F52" s="520"/>
      <c r="G52" s="520"/>
      <c r="H52" s="520"/>
      <c r="I52" s="520"/>
      <c r="J52" s="520"/>
      <c r="K52" s="520"/>
      <c r="L52" s="520"/>
      <c r="M52" s="520"/>
      <c r="N52" s="521"/>
    </row>
    <row r="53" spans="2:14" hidden="1" outlineLevel="1" x14ac:dyDescent="0.25">
      <c r="B53" s="519"/>
      <c r="C53" s="523" t="s">
        <v>325</v>
      </c>
      <c r="D53" s="523" t="s">
        <v>7</v>
      </c>
      <c r="E53" s="523" t="s">
        <v>8</v>
      </c>
      <c r="F53" s="524">
        <v>2015</v>
      </c>
      <c r="G53" s="525">
        <v>2020</v>
      </c>
      <c r="H53" s="525">
        <v>2025</v>
      </c>
      <c r="I53" s="525">
        <v>2030</v>
      </c>
      <c r="J53" s="525">
        <v>2035</v>
      </c>
      <c r="K53" s="525">
        <v>2040</v>
      </c>
      <c r="L53" s="525">
        <v>2045</v>
      </c>
      <c r="M53" s="525">
        <v>2050</v>
      </c>
      <c r="N53" s="521"/>
    </row>
    <row r="54" spans="2:14" hidden="1" outlineLevel="1" x14ac:dyDescent="0.25">
      <c r="B54" s="519"/>
      <c r="C54" s="526">
        <v>1</v>
      </c>
      <c r="D54" s="527"/>
      <c r="E54" s="528" t="s">
        <v>12</v>
      </c>
      <c r="F54" s="529">
        <v>3.7509800000000002</v>
      </c>
      <c r="G54" s="530">
        <v>3.9162800000000004</v>
      </c>
      <c r="H54" s="530">
        <v>4.0815800000000007</v>
      </c>
      <c r="I54" s="530">
        <v>4.2468800000000009</v>
      </c>
      <c r="J54" s="530">
        <v>4.4121800000000011</v>
      </c>
      <c r="K54" s="530">
        <v>4.5774800000000013</v>
      </c>
      <c r="L54" s="530">
        <v>4.7427800000000016</v>
      </c>
      <c r="M54" s="530">
        <v>4.9080800000000018</v>
      </c>
      <c r="N54" s="521"/>
    </row>
    <row r="55" spans="2:14" hidden="1" outlineLevel="1" x14ac:dyDescent="0.25">
      <c r="B55" s="519"/>
      <c r="C55" s="526">
        <v>2</v>
      </c>
      <c r="D55" s="527"/>
      <c r="E55" s="527" t="s">
        <v>133</v>
      </c>
      <c r="F55" s="529">
        <v>3.7509800000000002</v>
      </c>
      <c r="G55" s="530">
        <v>3.8336300000000003</v>
      </c>
      <c r="H55" s="530">
        <v>3.9162800000000004</v>
      </c>
      <c r="I55" s="530">
        <v>3.9989300000000005</v>
      </c>
      <c r="J55" s="530">
        <v>4.0815800000000007</v>
      </c>
      <c r="K55" s="530">
        <v>4.1642300000000008</v>
      </c>
      <c r="L55" s="530">
        <v>4.2468800000000009</v>
      </c>
      <c r="M55" s="530">
        <v>4.329530000000001</v>
      </c>
      <c r="N55" s="521"/>
    </row>
    <row r="56" spans="2:14" hidden="1" outlineLevel="1" x14ac:dyDescent="0.25">
      <c r="B56" s="519"/>
      <c r="C56" s="526">
        <v>3</v>
      </c>
      <c r="D56" s="527"/>
      <c r="E56" s="527"/>
      <c r="F56" s="529">
        <v>3.7509800000000002</v>
      </c>
      <c r="G56" s="530">
        <v>3.7509800000000002</v>
      </c>
      <c r="H56" s="530">
        <v>3.7509800000000002</v>
      </c>
      <c r="I56" s="530">
        <v>3.7509800000000002</v>
      </c>
      <c r="J56" s="530">
        <v>3.7509800000000002</v>
      </c>
      <c r="K56" s="530">
        <v>3.7509800000000002</v>
      </c>
      <c r="L56" s="530">
        <v>3.7509800000000002</v>
      </c>
      <c r="M56" s="530">
        <v>3.7509800000000002</v>
      </c>
      <c r="N56" s="521"/>
    </row>
    <row r="57" spans="2:14" hidden="1" outlineLevel="1" x14ac:dyDescent="0.25">
      <c r="B57" s="519"/>
      <c r="C57" s="531">
        <v>4</v>
      </c>
      <c r="D57" s="532"/>
      <c r="E57" s="532"/>
      <c r="F57" s="533">
        <v>3.7509800000000002</v>
      </c>
      <c r="G57" s="534">
        <v>3.3758820000000003</v>
      </c>
      <c r="H57" s="534">
        <v>3.0382938000000004</v>
      </c>
      <c r="I57" s="534">
        <v>2.7344644200000006</v>
      </c>
      <c r="J57" s="534">
        <v>2.4610179780000006</v>
      </c>
      <c r="K57" s="534">
        <v>2.2149161802000004</v>
      </c>
      <c r="L57" s="534">
        <v>1.9934245621800004</v>
      </c>
      <c r="M57" s="534">
        <v>1.7940821059620005</v>
      </c>
      <c r="N57" s="521"/>
    </row>
    <row r="58" spans="2:14" hidden="1" outlineLevel="1" x14ac:dyDescent="0.25">
      <c r="B58" s="519"/>
      <c r="C58" s="535" t="s">
        <v>153</v>
      </c>
      <c r="D58" s="536"/>
      <c r="E58" s="536"/>
      <c r="F58" s="176" t="e">
        <f>(INDEX(F$54:F$57,ROUNDDOWN(#REF!,0))*(1-MOD(#REF!,1)))+(INDEX(F$54:F$57,ROUNDUP(#REF!,0))*MOD(#REF!,1))</f>
        <v>#REF!</v>
      </c>
      <c r="G58" s="176" t="e">
        <f>(INDEX(G$54:G$57,ROUNDDOWN(#REF!,0))*(1-MOD(#REF!,1)))+(INDEX(G$54:G$57,ROUNDUP(#REF!,0))*MOD(#REF!,1))</f>
        <v>#REF!</v>
      </c>
      <c r="H58" s="176" t="e">
        <f>(INDEX(H$54:H$57,ROUNDDOWN(#REF!,0))*(1-MOD(#REF!,1)))+(INDEX(H$54:H$57,ROUNDUP(#REF!,0))*MOD(#REF!,1))</f>
        <v>#REF!</v>
      </c>
      <c r="I58" s="176" t="e">
        <f>(INDEX(I$54:I$57,ROUNDDOWN(#REF!,0))*(1-MOD(#REF!,1)))+(INDEX(I$54:I$57,ROUNDUP(#REF!,0))*MOD(#REF!,1))</f>
        <v>#REF!</v>
      </c>
      <c r="J58" s="176" t="e">
        <f>(INDEX(J$54:J$57,ROUNDDOWN(#REF!,0))*(1-MOD(#REF!,1)))+(INDEX(J$54:J$57,ROUNDUP(#REF!,0))*MOD(#REF!,1))</f>
        <v>#REF!</v>
      </c>
      <c r="K58" s="176" t="e">
        <f>(INDEX(K$54:K$57,ROUNDDOWN(#REF!,0))*(1-MOD(#REF!,1)))+(INDEX(K$54:K$57,ROUNDUP(#REF!,0))*MOD(#REF!,1))</f>
        <v>#REF!</v>
      </c>
      <c r="L58" s="176" t="e">
        <f>(INDEX(L$54:L$57,ROUNDDOWN(#REF!,0))*(1-MOD(#REF!,1)))+(INDEX(L$54:L$57,ROUNDUP(#REF!,0))*MOD(#REF!,1))</f>
        <v>#REF!</v>
      </c>
      <c r="M58" s="176" t="e">
        <f>(INDEX(M$54:M$57,ROUNDDOWN(#REF!,0))*(1-MOD(#REF!,1)))+(INDEX(M$54:M$57,ROUNDUP(#REF!,0))*MOD(#REF!,1))</f>
        <v>#REF!</v>
      </c>
      <c r="N58" s="521"/>
    </row>
    <row r="59" spans="2:14" hidden="1" outlineLevel="1" x14ac:dyDescent="0.25">
      <c r="B59" s="519"/>
      <c r="C59" s="520"/>
      <c r="D59" s="520"/>
      <c r="E59" s="520"/>
      <c r="F59" s="520"/>
      <c r="G59" s="520"/>
      <c r="H59" s="520"/>
      <c r="I59" s="520"/>
      <c r="J59" s="520"/>
      <c r="K59" s="520"/>
      <c r="L59" s="520"/>
      <c r="M59" s="520"/>
      <c r="N59" s="521"/>
    </row>
    <row r="60" spans="2:14" hidden="1" outlineLevel="1" x14ac:dyDescent="0.25">
      <c r="B60" s="519"/>
      <c r="C60" s="537" t="s">
        <v>8</v>
      </c>
      <c r="D60" s="537"/>
      <c r="E60" s="537"/>
      <c r="F60" s="537"/>
      <c r="G60" s="537"/>
      <c r="H60" s="537"/>
      <c r="I60" s="537"/>
      <c r="J60" s="520"/>
      <c r="K60" s="520"/>
      <c r="L60" s="520"/>
      <c r="M60" s="520"/>
      <c r="N60" s="521"/>
    </row>
    <row r="61" spans="2:14" hidden="1" outlineLevel="1" x14ac:dyDescent="0.25">
      <c r="B61" s="519"/>
      <c r="C61" s="193" t="s">
        <v>12</v>
      </c>
      <c r="D61" s="537" t="s">
        <v>213</v>
      </c>
      <c r="E61" s="537"/>
      <c r="F61" s="537"/>
      <c r="G61" s="537"/>
      <c r="H61" s="537"/>
      <c r="I61" s="537"/>
      <c r="J61" s="520"/>
      <c r="K61" s="520"/>
      <c r="L61" s="520"/>
      <c r="M61" s="520"/>
      <c r="N61" s="521"/>
    </row>
    <row r="62" spans="2:14" hidden="1" outlineLevel="1" x14ac:dyDescent="0.25">
      <c r="B62" s="519"/>
      <c r="C62" s="193" t="s">
        <v>133</v>
      </c>
      <c r="D62" s="537" t="s">
        <v>211</v>
      </c>
      <c r="E62" s="537"/>
      <c r="F62" s="537"/>
      <c r="G62" s="537"/>
      <c r="H62" s="537"/>
      <c r="I62" s="537" t="s">
        <v>212</v>
      </c>
      <c r="J62" s="520"/>
      <c r="K62" s="520"/>
      <c r="L62" s="520"/>
      <c r="M62" s="520"/>
      <c r="N62" s="521"/>
    </row>
    <row r="63" spans="2:14" hidden="1" outlineLevel="1" x14ac:dyDescent="0.25">
      <c r="B63" s="519"/>
      <c r="C63" s="193"/>
      <c r="D63" s="537"/>
      <c r="E63" s="537"/>
      <c r="F63" s="537"/>
      <c r="G63" s="537"/>
      <c r="H63" s="537"/>
      <c r="I63" s="537"/>
      <c r="J63" s="520"/>
      <c r="K63" s="520"/>
      <c r="L63" s="520"/>
      <c r="M63" s="520"/>
      <c r="N63" s="521"/>
    </row>
    <row r="64" spans="2:14" hidden="1" outlineLevel="1" x14ac:dyDescent="0.25">
      <c r="B64" s="519"/>
      <c r="C64" s="193"/>
      <c r="D64" s="537"/>
      <c r="E64" s="537"/>
      <c r="F64" s="537"/>
      <c r="G64" s="537"/>
      <c r="H64" s="537"/>
      <c r="I64" s="537"/>
      <c r="J64" s="537"/>
      <c r="K64" s="178"/>
      <c r="L64" s="178"/>
      <c r="M64" s="178"/>
      <c r="N64" s="521"/>
    </row>
    <row r="65" spans="2:14" hidden="1" outlineLevel="1" x14ac:dyDescent="0.25">
      <c r="B65" s="519"/>
      <c r="C65" s="522" t="s">
        <v>329</v>
      </c>
      <c r="D65" s="520"/>
      <c r="E65" s="520"/>
      <c r="F65" s="520"/>
      <c r="G65" s="520"/>
      <c r="H65" s="520"/>
      <c r="I65" s="520"/>
      <c r="J65" s="520"/>
      <c r="K65" s="520"/>
      <c r="L65" s="520"/>
      <c r="M65" s="520" t="s">
        <v>152</v>
      </c>
      <c r="N65" s="521"/>
    </row>
    <row r="66" spans="2:14" ht="6" hidden="1" customHeight="1" outlineLevel="1" x14ac:dyDescent="0.25">
      <c r="B66" s="519"/>
      <c r="C66" s="520"/>
      <c r="D66" s="520"/>
      <c r="E66" s="520"/>
      <c r="F66" s="520"/>
      <c r="G66" s="520"/>
      <c r="H66" s="520"/>
      <c r="I66" s="520"/>
      <c r="J66" s="520"/>
      <c r="K66" s="520"/>
      <c r="L66" s="520"/>
      <c r="M66" s="520"/>
      <c r="N66" s="521"/>
    </row>
    <row r="67" spans="2:14" hidden="1" outlineLevel="1" x14ac:dyDescent="0.25">
      <c r="B67" s="519"/>
      <c r="C67" s="523" t="s">
        <v>325</v>
      </c>
      <c r="D67" s="523" t="s">
        <v>7</v>
      </c>
      <c r="E67" s="523" t="s">
        <v>8</v>
      </c>
      <c r="F67" s="524">
        <v>2015</v>
      </c>
      <c r="G67" s="525">
        <v>2020</v>
      </c>
      <c r="H67" s="525">
        <v>2025</v>
      </c>
      <c r="I67" s="525">
        <v>2030</v>
      </c>
      <c r="J67" s="525">
        <v>2035</v>
      </c>
      <c r="K67" s="525">
        <v>2040</v>
      </c>
      <c r="L67" s="525">
        <v>2045</v>
      </c>
      <c r="M67" s="525">
        <v>2050</v>
      </c>
      <c r="N67" s="521"/>
    </row>
    <row r="68" spans="2:14" hidden="1" outlineLevel="1" x14ac:dyDescent="0.25">
      <c r="B68" s="519"/>
      <c r="C68" s="526">
        <v>1</v>
      </c>
      <c r="D68" s="527"/>
      <c r="E68" s="528" t="s">
        <v>12</v>
      </c>
      <c r="F68" s="529">
        <v>4.3432400000000007</v>
      </c>
      <c r="G68" s="530">
        <v>4.6265000748374625</v>
      </c>
      <c r="H68" s="530">
        <v>4.8835278567728766</v>
      </c>
      <c r="I68" s="530">
        <v>5.1405556387082916</v>
      </c>
      <c r="J68" s="530">
        <v>5.6546112025791215</v>
      </c>
      <c r="K68" s="530">
        <v>6.7855334430949457</v>
      </c>
      <c r="L68" s="530">
        <v>8.1426401317139341</v>
      </c>
      <c r="M68" s="530">
        <v>8.9569041448853284</v>
      </c>
      <c r="N68" s="521"/>
    </row>
    <row r="69" spans="2:14" hidden="1" outlineLevel="1" x14ac:dyDescent="0.25">
      <c r="B69" s="519"/>
      <c r="C69" s="526">
        <v>2</v>
      </c>
      <c r="D69" s="527"/>
      <c r="E69" s="527" t="s">
        <v>133</v>
      </c>
      <c r="F69" s="529">
        <v>4.3432400000000007</v>
      </c>
      <c r="G69" s="530">
        <v>4.484870037418732</v>
      </c>
      <c r="H69" s="530">
        <v>4.6133839283864386</v>
      </c>
      <c r="I69" s="530">
        <v>4.7418978193541461</v>
      </c>
      <c r="J69" s="530">
        <v>4.9989256012895611</v>
      </c>
      <c r="K69" s="530">
        <v>5.5643867215474732</v>
      </c>
      <c r="L69" s="530">
        <v>6.2429400658569669</v>
      </c>
      <c r="M69" s="530">
        <v>6.650072072442665</v>
      </c>
      <c r="N69" s="521"/>
    </row>
    <row r="70" spans="2:14" hidden="1" outlineLevel="1" x14ac:dyDescent="0.25">
      <c r="B70" s="519"/>
      <c r="C70" s="526">
        <v>3</v>
      </c>
      <c r="D70" s="527"/>
      <c r="E70" s="527"/>
      <c r="F70" s="529">
        <v>4.3432400000000007</v>
      </c>
      <c r="G70" s="530">
        <v>4.3432400000000007</v>
      </c>
      <c r="H70" s="530">
        <v>4.3432400000000007</v>
      </c>
      <c r="I70" s="530">
        <v>4.3432400000000007</v>
      </c>
      <c r="J70" s="530">
        <v>4.3432400000000007</v>
      </c>
      <c r="K70" s="530">
        <v>4.3432400000000007</v>
      </c>
      <c r="L70" s="530">
        <v>4.3432400000000007</v>
      </c>
      <c r="M70" s="530">
        <v>4.3432400000000007</v>
      </c>
      <c r="N70" s="521"/>
    </row>
    <row r="71" spans="2:14" hidden="1" outlineLevel="1" x14ac:dyDescent="0.25">
      <c r="B71" s="519"/>
      <c r="C71" s="531">
        <v>4</v>
      </c>
      <c r="D71" s="532"/>
      <c r="E71" s="532"/>
      <c r="F71" s="533">
        <v>4.3432400000000007</v>
      </c>
      <c r="G71" s="534">
        <v>3.9089160000000005</v>
      </c>
      <c r="H71" s="534">
        <v>3.5180244000000007</v>
      </c>
      <c r="I71" s="534">
        <v>3.1662219600000006</v>
      </c>
      <c r="J71" s="534">
        <v>2.8495997640000006</v>
      </c>
      <c r="K71" s="534">
        <v>2.5646397876000004</v>
      </c>
      <c r="L71" s="534">
        <v>2.3081758088400006</v>
      </c>
      <c r="M71" s="534">
        <v>2.0773582279560006</v>
      </c>
      <c r="N71" s="521"/>
    </row>
    <row r="72" spans="2:14" hidden="1" outlineLevel="1" x14ac:dyDescent="0.25">
      <c r="B72" s="519"/>
      <c r="C72" s="535" t="s">
        <v>153</v>
      </c>
      <c r="D72" s="536"/>
      <c r="E72" s="536"/>
      <c r="F72" s="176" t="e">
        <f>(INDEX(F$68:F$71,ROUNDDOWN(#REF!,0))*(1-MOD(#REF!,1)))+(INDEX(F$68:F$71,ROUNDUP(#REF!,0))*MOD(#REF!,1))</f>
        <v>#REF!</v>
      </c>
      <c r="G72" s="176" t="e">
        <f>(INDEX(G$68:G$71,ROUNDDOWN(#REF!,0))*(1-MOD(#REF!,1)))+(INDEX(G$68:G$71,ROUNDUP(#REF!,0))*MOD(#REF!,1))</f>
        <v>#REF!</v>
      </c>
      <c r="H72" s="176" t="e">
        <f>(INDEX(H$68:H$71,ROUNDDOWN(#REF!,0))*(1-MOD(#REF!,1)))+(INDEX(H$68:H$71,ROUNDUP(#REF!,0))*MOD(#REF!,1))</f>
        <v>#REF!</v>
      </c>
      <c r="I72" s="176" t="e">
        <f>(INDEX(I$68:I$71,ROUNDDOWN(#REF!,0))*(1-MOD(#REF!,1)))+(INDEX(I$68:I$71,ROUNDUP(#REF!,0))*MOD(#REF!,1))</f>
        <v>#REF!</v>
      </c>
      <c r="J72" s="176" t="e">
        <f>(INDEX(J$68:J$71,ROUNDDOWN(#REF!,0))*(1-MOD(#REF!,1)))+(INDEX(J$68:J$71,ROUNDUP(#REF!,0))*MOD(#REF!,1))</f>
        <v>#REF!</v>
      </c>
      <c r="K72" s="176" t="e">
        <f>(INDEX(K$68:K$71,ROUNDDOWN(#REF!,0))*(1-MOD(#REF!,1)))+(INDEX(K$68:K$71,ROUNDUP(#REF!,0))*MOD(#REF!,1))</f>
        <v>#REF!</v>
      </c>
      <c r="L72" s="176" t="e">
        <f>(INDEX(L$68:L$71,ROUNDDOWN(#REF!,0))*(1-MOD(#REF!,1)))+(INDEX(L$68:L$71,ROUNDUP(#REF!,0))*MOD(#REF!,1))</f>
        <v>#REF!</v>
      </c>
      <c r="M72" s="176" t="e">
        <f>(INDEX(M$68:M$71,ROUNDDOWN(#REF!,0))*(1-MOD(#REF!,1)))+(INDEX(M$68:M$71,ROUNDUP(#REF!,0))*MOD(#REF!,1))</f>
        <v>#REF!</v>
      </c>
      <c r="N72" s="521"/>
    </row>
    <row r="73" spans="2:14" hidden="1" outlineLevel="1" x14ac:dyDescent="0.25">
      <c r="B73" s="519"/>
      <c r="C73" s="520"/>
      <c r="D73" s="520"/>
      <c r="E73" s="520"/>
      <c r="F73" s="520"/>
      <c r="G73" s="520"/>
      <c r="H73" s="520"/>
      <c r="I73" s="520"/>
      <c r="J73" s="520"/>
      <c r="K73" s="520"/>
      <c r="L73" s="520"/>
      <c r="M73" s="520"/>
      <c r="N73" s="521"/>
    </row>
    <row r="74" spans="2:14" hidden="1" outlineLevel="1" x14ac:dyDescent="0.25">
      <c r="B74" s="519"/>
      <c r="C74" s="537" t="s">
        <v>8</v>
      </c>
      <c r="D74" s="537"/>
      <c r="E74" s="537"/>
      <c r="F74" s="537"/>
      <c r="G74" s="537"/>
      <c r="H74" s="537"/>
      <c r="I74" s="537"/>
      <c r="J74" s="537"/>
      <c r="K74" s="178"/>
      <c r="L74" s="178"/>
      <c r="M74" s="178"/>
      <c r="N74" s="521"/>
    </row>
    <row r="75" spans="2:14" hidden="1" outlineLevel="1" x14ac:dyDescent="0.25">
      <c r="B75" s="519"/>
      <c r="C75" s="193" t="s">
        <v>12</v>
      </c>
      <c r="D75" s="537" t="s">
        <v>213</v>
      </c>
      <c r="E75" s="537"/>
      <c r="F75" s="537"/>
      <c r="G75" s="537"/>
      <c r="H75" s="537"/>
      <c r="I75" s="537"/>
      <c r="J75" s="537"/>
      <c r="K75" s="178"/>
      <c r="L75" s="178"/>
      <c r="M75" s="178"/>
      <c r="N75" s="521"/>
    </row>
    <row r="76" spans="2:14" hidden="1" outlineLevel="1" x14ac:dyDescent="0.25">
      <c r="B76" s="519"/>
      <c r="C76" s="193" t="s">
        <v>133</v>
      </c>
      <c r="D76" s="537" t="s">
        <v>211</v>
      </c>
      <c r="E76" s="537"/>
      <c r="F76" s="537"/>
      <c r="G76" s="537"/>
      <c r="H76" s="537"/>
      <c r="I76" s="537" t="s">
        <v>212</v>
      </c>
      <c r="J76" s="537"/>
      <c r="K76" s="178"/>
      <c r="L76" s="178"/>
      <c r="M76" s="178"/>
      <c r="N76" s="521"/>
    </row>
    <row r="77" spans="2:14" hidden="1" outlineLevel="1" x14ac:dyDescent="0.25">
      <c r="B77" s="519"/>
      <c r="C77" s="193"/>
      <c r="D77" s="537"/>
      <c r="E77" s="537"/>
      <c r="F77" s="537"/>
      <c r="G77" s="537"/>
      <c r="H77" s="537"/>
      <c r="I77" s="537"/>
      <c r="J77" s="537"/>
      <c r="K77" s="178"/>
      <c r="L77" s="178"/>
      <c r="M77" s="178"/>
      <c r="N77" s="521"/>
    </row>
    <row r="78" spans="2:14" collapsed="1" x14ac:dyDescent="0.25">
      <c r="B78" s="519"/>
      <c r="C78" s="193"/>
      <c r="D78" s="537"/>
      <c r="E78" s="537"/>
      <c r="F78" s="537"/>
      <c r="G78" s="537"/>
      <c r="H78" s="537"/>
      <c r="I78" s="537"/>
      <c r="J78" s="537"/>
      <c r="K78" s="178"/>
      <c r="L78" s="178"/>
      <c r="M78" s="178"/>
      <c r="N78" s="521"/>
    </row>
    <row r="79" spans="2:14" x14ac:dyDescent="0.25">
      <c r="B79" s="519"/>
      <c r="C79" s="193"/>
      <c r="D79" s="537"/>
      <c r="E79" s="537"/>
      <c r="F79" s="537"/>
      <c r="G79" s="537"/>
      <c r="H79" s="537"/>
      <c r="I79" s="537"/>
      <c r="J79" s="537"/>
      <c r="K79" s="178"/>
      <c r="L79" s="178"/>
      <c r="M79" s="178"/>
      <c r="N79" s="521"/>
    </row>
    <row r="80" spans="2:14" x14ac:dyDescent="0.25">
      <c r="B80" s="519"/>
      <c r="C80" s="194" t="s">
        <v>1662</v>
      </c>
      <c r="D80" s="537"/>
      <c r="E80" s="537"/>
      <c r="F80" s="537"/>
      <c r="G80" s="537"/>
      <c r="H80" s="537"/>
      <c r="I80" s="537"/>
      <c r="J80" s="537"/>
      <c r="K80" s="178"/>
      <c r="L80" s="178"/>
      <c r="M80" s="178"/>
      <c r="N80" s="521"/>
    </row>
    <row r="81" spans="2:31" x14ac:dyDescent="0.25">
      <c r="B81" s="519"/>
      <c r="C81" s="537" t="s">
        <v>8</v>
      </c>
      <c r="D81" s="537"/>
      <c r="E81" s="537"/>
      <c r="F81" s="537"/>
      <c r="G81" s="537"/>
      <c r="H81" s="537"/>
      <c r="I81" s="537"/>
      <c r="J81" s="537"/>
      <c r="K81" s="178"/>
      <c r="L81" s="178"/>
      <c r="M81" s="178"/>
      <c r="N81" s="521"/>
    </row>
    <row r="82" spans="2:31" x14ac:dyDescent="0.25">
      <c r="B82" s="519"/>
      <c r="C82" s="193" t="s">
        <v>12</v>
      </c>
      <c r="D82" s="537" t="s">
        <v>213</v>
      </c>
      <c r="E82" s="537"/>
      <c r="F82" s="537"/>
      <c r="G82" s="537"/>
      <c r="H82" s="537"/>
      <c r="I82" s="537"/>
      <c r="J82" s="537"/>
      <c r="K82" s="178"/>
      <c r="L82" s="178"/>
      <c r="M82" s="178"/>
      <c r="N82" s="521"/>
    </row>
    <row r="83" spans="2:31" x14ac:dyDescent="0.25">
      <c r="B83" s="519"/>
      <c r="C83" s="193"/>
      <c r="D83" s="537"/>
      <c r="E83" s="537"/>
      <c r="F83" s="537"/>
      <c r="G83" s="537"/>
      <c r="H83" s="537"/>
      <c r="I83" s="537"/>
      <c r="J83" s="537"/>
      <c r="K83" s="178"/>
      <c r="L83" s="178"/>
      <c r="M83" s="178"/>
      <c r="N83" s="521"/>
    </row>
    <row r="84" spans="2:31" x14ac:dyDescent="0.25">
      <c r="B84" s="519"/>
      <c r="C84" s="193"/>
      <c r="D84" s="537"/>
      <c r="E84" s="537"/>
      <c r="F84" s="537"/>
      <c r="G84" s="537"/>
      <c r="H84" s="537"/>
      <c r="I84" s="537"/>
      <c r="J84" s="537"/>
      <c r="K84" s="178"/>
      <c r="L84" s="178"/>
      <c r="M84" s="178"/>
      <c r="N84" s="521"/>
    </row>
    <row r="85" spans="2:31" x14ac:dyDescent="0.25">
      <c r="B85" s="519"/>
      <c r="C85" s="193"/>
      <c r="D85" s="537"/>
      <c r="E85" s="537"/>
      <c r="F85" s="537"/>
      <c r="G85" s="537"/>
      <c r="H85" s="537"/>
      <c r="I85" s="537"/>
      <c r="J85" s="537"/>
      <c r="K85" s="178"/>
      <c r="L85" s="178"/>
      <c r="M85" s="178"/>
      <c r="N85" s="521"/>
    </row>
    <row r="86" spans="2:31" x14ac:dyDescent="0.25">
      <c r="B86" s="519"/>
      <c r="C86" s="2653" t="s">
        <v>325</v>
      </c>
      <c r="D86" s="2654" t="s">
        <v>7</v>
      </c>
      <c r="E86" s="2655" t="s">
        <v>8</v>
      </c>
      <c r="F86" s="2723"/>
      <c r="G86" s="537"/>
      <c r="H86" s="3595" t="s">
        <v>1896</v>
      </c>
      <c r="I86" s="3596"/>
      <c r="J86" s="3596"/>
      <c r="K86" s="3597"/>
      <c r="L86" s="178"/>
      <c r="M86" s="178"/>
      <c r="N86" s="178"/>
    </row>
    <row r="87" spans="2:31" x14ac:dyDescent="0.25">
      <c r="B87" s="519"/>
      <c r="C87" s="2650" t="s">
        <v>1676</v>
      </c>
      <c r="D87" s="2645" t="s">
        <v>1663</v>
      </c>
      <c r="E87" s="2656" t="s">
        <v>12</v>
      </c>
      <c r="F87" s="2724"/>
      <c r="G87" s="2725" t="s">
        <v>155</v>
      </c>
      <c r="H87" s="2725" t="s">
        <v>1676</v>
      </c>
      <c r="I87" s="3552" t="s">
        <v>1677</v>
      </c>
      <c r="J87" s="3552" t="s">
        <v>1678</v>
      </c>
      <c r="K87" s="3552" t="s">
        <v>1679</v>
      </c>
      <c r="L87" s="2658" t="s">
        <v>153</v>
      </c>
      <c r="M87" s="178"/>
      <c r="N87" s="178"/>
    </row>
    <row r="88" spans="2:31" x14ac:dyDescent="0.25">
      <c r="B88" s="519"/>
      <c r="C88" s="2650" t="s">
        <v>1677</v>
      </c>
      <c r="D88" s="2645" t="s">
        <v>1664</v>
      </c>
      <c r="E88" s="2893" t="s">
        <v>133</v>
      </c>
      <c r="F88" s="2724"/>
      <c r="G88" s="3546" t="s">
        <v>332</v>
      </c>
      <c r="H88" s="3553">
        <v>0.2711864406779661</v>
      </c>
      <c r="I88" s="3554">
        <v>0.75</v>
      </c>
      <c r="J88" s="3554">
        <v>0.16</v>
      </c>
      <c r="K88" s="3549">
        <v>1</v>
      </c>
      <c r="L88" s="3549">
        <f>IF($E$8="A",H88,IF($E$8="B",I88,IF($E$8="C",J88,IF($E$8="D",K88))))</f>
        <v>0.2711864406779661</v>
      </c>
      <c r="M88" s="178"/>
      <c r="N88" s="178"/>
    </row>
    <row r="89" spans="2:31" x14ac:dyDescent="0.25">
      <c r="B89" s="519"/>
      <c r="C89" s="2650" t="s">
        <v>1678</v>
      </c>
      <c r="D89" s="2645" t="s">
        <v>1665</v>
      </c>
      <c r="E89" s="2656" t="s">
        <v>133</v>
      </c>
      <c r="F89" s="2724"/>
      <c r="G89" s="3547" t="s">
        <v>387</v>
      </c>
      <c r="H89" s="2646">
        <v>0.67796610169491522</v>
      </c>
      <c r="I89" s="2647">
        <v>0.23</v>
      </c>
      <c r="J89" s="2647">
        <v>0.8</v>
      </c>
      <c r="K89" s="3550">
        <v>0</v>
      </c>
      <c r="L89" s="3550">
        <f>IF($E$8="A",H89,IF($E$8="B",I89,IF($E$8="C",J89,IF($E$8="D",K89))))</f>
        <v>0.67796610169491522</v>
      </c>
      <c r="M89" s="178"/>
      <c r="N89" s="178"/>
    </row>
    <row r="90" spans="2:31" x14ac:dyDescent="0.25">
      <c r="B90" s="519"/>
      <c r="C90" s="2651" t="s">
        <v>1679</v>
      </c>
      <c r="D90" s="2652" t="s">
        <v>1666</v>
      </c>
      <c r="E90" s="2657" t="s">
        <v>133</v>
      </c>
      <c r="F90" s="2724"/>
      <c r="G90" s="3548" t="s">
        <v>334</v>
      </c>
      <c r="H90" s="2648">
        <v>5.0847457627118647E-2</v>
      </c>
      <c r="I90" s="2649">
        <v>0.02</v>
      </c>
      <c r="J90" s="2649">
        <v>4.0816326530612242E-2</v>
      </c>
      <c r="K90" s="3551">
        <v>0</v>
      </c>
      <c r="L90" s="3551">
        <f>IF($E$8="A",H90,IF($E$8="B",I90,IF($E$8="C",J90,IF($E$8="D",K90))))</f>
        <v>5.0847457627118647E-2</v>
      </c>
      <c r="M90" s="178"/>
      <c r="N90" s="178"/>
    </row>
    <row r="91" spans="2:31" x14ac:dyDescent="0.25">
      <c r="B91" s="519"/>
      <c r="C91" s="193"/>
      <c r="D91" s="537"/>
      <c r="E91" s="537"/>
      <c r="F91" s="537"/>
      <c r="G91" s="537"/>
      <c r="H91" s="537"/>
      <c r="I91" s="537"/>
      <c r="J91" s="537"/>
      <c r="K91" s="178"/>
      <c r="L91" s="178"/>
      <c r="M91" s="178"/>
      <c r="N91" s="521"/>
    </row>
    <row r="92" spans="2:31" x14ac:dyDescent="0.25">
      <c r="B92" s="519"/>
      <c r="C92" s="537" t="s">
        <v>8</v>
      </c>
      <c r="D92" s="537"/>
      <c r="E92" s="537"/>
      <c r="F92" s="537"/>
      <c r="G92" s="537"/>
      <c r="H92" s="537"/>
      <c r="I92" s="537"/>
      <c r="J92" s="537"/>
      <c r="K92" s="178"/>
      <c r="L92" s="178"/>
      <c r="M92" s="178"/>
      <c r="N92" s="521"/>
    </row>
    <row r="93" spans="2:31" x14ac:dyDescent="0.25">
      <c r="B93" s="519"/>
      <c r="C93" s="193" t="s">
        <v>12</v>
      </c>
      <c r="D93" s="537" t="s">
        <v>213</v>
      </c>
      <c r="E93" s="537"/>
      <c r="F93" s="537"/>
      <c r="G93" s="537"/>
      <c r="H93" s="537"/>
      <c r="I93" s="537"/>
      <c r="J93" s="537"/>
      <c r="K93" s="178"/>
      <c r="L93" s="178"/>
      <c r="M93" s="178"/>
      <c r="N93" s="521"/>
    </row>
    <row r="94" spans="2:31" x14ac:dyDescent="0.25">
      <c r="B94" s="519"/>
      <c r="C94" s="193" t="s">
        <v>133</v>
      </c>
      <c r="D94" s="2645" t="s">
        <v>1667</v>
      </c>
      <c r="E94" s="537"/>
      <c r="F94" s="537"/>
      <c r="G94" s="537"/>
      <c r="H94" s="537"/>
      <c r="I94" s="537"/>
      <c r="J94" s="537"/>
      <c r="K94" s="178"/>
      <c r="L94" s="178"/>
      <c r="M94" s="178"/>
      <c r="N94" s="521"/>
    </row>
    <row r="95" spans="2:31" x14ac:dyDescent="0.25">
      <c r="B95" s="519"/>
      <c r="C95" s="193"/>
      <c r="D95" s="537"/>
      <c r="E95" s="537"/>
      <c r="F95" s="537"/>
      <c r="G95" s="537"/>
      <c r="H95" s="537"/>
      <c r="I95" s="537"/>
      <c r="J95" s="537"/>
      <c r="K95" s="178"/>
      <c r="L95" s="178"/>
      <c r="M95" s="178"/>
      <c r="N95" s="521"/>
    </row>
    <row r="96" spans="2:31" x14ac:dyDescent="0.25">
      <c r="AE96" s="3557"/>
    </row>
    <row r="97" spans="1:33" x14ac:dyDescent="0.25">
      <c r="AE97" s="2638"/>
      <c r="AF97" s="3555"/>
      <c r="AG97" s="678"/>
    </row>
    <row r="98" spans="1:33" x14ac:dyDescent="0.25">
      <c r="AE98" s="2638"/>
      <c r="AF98" s="3555"/>
      <c r="AG98" s="678"/>
    </row>
    <row r="99" spans="1:33" s="489" customFormat="1" ht="23.25" x14ac:dyDescent="0.35">
      <c r="A99" s="490"/>
      <c r="B99" s="539" t="s">
        <v>13</v>
      </c>
      <c r="C99" s="517"/>
      <c r="D99" s="517"/>
      <c r="E99" s="517"/>
      <c r="F99" s="517"/>
      <c r="G99" s="517"/>
      <c r="H99" s="517"/>
      <c r="I99" s="517"/>
      <c r="J99" s="517"/>
      <c r="K99" s="517"/>
      <c r="L99" s="517"/>
      <c r="M99" s="517"/>
      <c r="N99" s="517"/>
      <c r="O99" s="487"/>
      <c r="AE99" s="487"/>
      <c r="AF99" s="3555"/>
      <c r="AG99" s="678"/>
    </row>
    <row r="100" spans="1:33" x14ac:dyDescent="0.25">
      <c r="B100" s="540"/>
      <c r="C100" s="541"/>
      <c r="D100" s="541"/>
      <c r="E100" s="541"/>
      <c r="F100" s="541"/>
      <c r="G100" s="541"/>
      <c r="H100" s="541"/>
      <c r="I100" s="541"/>
      <c r="J100" s="541"/>
      <c r="K100" s="541"/>
      <c r="L100" s="541"/>
      <c r="M100" s="541"/>
      <c r="N100" s="542"/>
    </row>
    <row r="101" spans="1:33" x14ac:dyDescent="0.25">
      <c r="B101" s="543"/>
      <c r="C101" s="522" t="s">
        <v>154</v>
      </c>
      <c r="D101" s="520"/>
      <c r="E101" s="520"/>
      <c r="F101" s="520"/>
      <c r="G101" s="544"/>
      <c r="H101" s="520"/>
      <c r="I101" s="520"/>
      <c r="J101" s="520"/>
      <c r="K101" s="520"/>
      <c r="L101" s="520"/>
      <c r="M101" s="520"/>
      <c r="N101" s="521"/>
    </row>
    <row r="102" spans="1:33" ht="4.5" customHeight="1" x14ac:dyDescent="0.25">
      <c r="B102" s="543"/>
      <c r="C102" s="520"/>
      <c r="D102" s="520"/>
      <c r="E102" s="520"/>
      <c r="F102" s="520"/>
      <c r="G102" s="520"/>
      <c r="H102" s="520"/>
      <c r="I102" s="520"/>
      <c r="J102" s="520"/>
      <c r="K102" s="520"/>
      <c r="L102" s="520"/>
      <c r="M102" s="520"/>
      <c r="N102" s="521"/>
    </row>
    <row r="103" spans="1:33" ht="15.75" x14ac:dyDescent="0.25">
      <c r="B103" s="545"/>
      <c r="C103" s="523" t="s">
        <v>155</v>
      </c>
      <c r="D103" s="523" t="s">
        <v>156</v>
      </c>
      <c r="E103" s="523" t="s">
        <v>8</v>
      </c>
      <c r="F103" s="546">
        <v>2015</v>
      </c>
      <c r="G103" s="547">
        <v>2020</v>
      </c>
      <c r="H103" s="546" t="s">
        <v>18</v>
      </c>
      <c r="I103" s="546" t="s">
        <v>19</v>
      </c>
      <c r="J103" s="546" t="s">
        <v>20</v>
      </c>
      <c r="K103" s="546" t="s">
        <v>21</v>
      </c>
      <c r="L103" s="546" t="s">
        <v>22</v>
      </c>
      <c r="M103" s="546" t="s">
        <v>23</v>
      </c>
      <c r="N103" s="521"/>
    </row>
    <row r="104" spans="1:33" ht="15.75" x14ac:dyDescent="0.25">
      <c r="B104" s="545"/>
      <c r="C104" s="548" t="s">
        <v>330</v>
      </c>
      <c r="D104" s="527" t="s">
        <v>331</v>
      </c>
      <c r="E104" s="549"/>
      <c r="F104" s="550">
        <v>5.3497576519792589E-2</v>
      </c>
      <c r="G104" s="551">
        <v>0.05</v>
      </c>
      <c r="H104" s="552">
        <v>0.05</v>
      </c>
      <c r="I104" s="552">
        <v>0.05</v>
      </c>
      <c r="J104" s="552">
        <v>0.05</v>
      </c>
      <c r="K104" s="552">
        <v>0.05</v>
      </c>
      <c r="L104" s="552">
        <v>0.05</v>
      </c>
      <c r="M104" s="552">
        <v>0.05</v>
      </c>
      <c r="N104" s="521"/>
    </row>
    <row r="105" spans="1:33" ht="15.75" x14ac:dyDescent="0.25">
      <c r="B105" s="545"/>
      <c r="C105" s="548" t="s">
        <v>330</v>
      </c>
      <c r="D105" s="527" t="s">
        <v>332</v>
      </c>
      <c r="E105" s="553"/>
      <c r="F105" s="554">
        <v>5.3497576519792589E-2</v>
      </c>
      <c r="G105" s="555">
        <v>0.05</v>
      </c>
      <c r="H105" s="556">
        <v>0.05</v>
      </c>
      <c r="I105" s="556">
        <v>0.05</v>
      </c>
      <c r="J105" s="556">
        <v>0.05</v>
      </c>
      <c r="K105" s="556">
        <v>0.05</v>
      </c>
      <c r="L105" s="556">
        <v>0.05</v>
      </c>
      <c r="M105" s="556">
        <v>0.05</v>
      </c>
      <c r="N105" s="521"/>
    </row>
    <row r="106" spans="1:33" ht="15.75" x14ac:dyDescent="0.25">
      <c r="B106" s="545"/>
      <c r="C106" s="548" t="s">
        <v>333</v>
      </c>
      <c r="D106" s="548" t="s">
        <v>334</v>
      </c>
      <c r="E106" s="553"/>
      <c r="F106" s="554">
        <v>5.3497576519792589E-2</v>
      </c>
      <c r="G106" s="555">
        <v>0.05</v>
      </c>
      <c r="H106" s="556">
        <v>0.05</v>
      </c>
      <c r="I106" s="556">
        <v>0.05</v>
      </c>
      <c r="J106" s="556">
        <v>0.05</v>
      </c>
      <c r="K106" s="556">
        <v>0.05</v>
      </c>
      <c r="L106" s="556">
        <v>0.05</v>
      </c>
      <c r="M106" s="556">
        <v>0.05</v>
      </c>
      <c r="N106" s="521"/>
    </row>
    <row r="107" spans="1:33" ht="15.75" x14ac:dyDescent="0.25">
      <c r="B107" s="545"/>
      <c r="C107" s="557" t="s">
        <v>335</v>
      </c>
      <c r="D107" s="558" t="s">
        <v>336</v>
      </c>
      <c r="E107" s="558"/>
      <c r="F107" s="559">
        <v>5.3497576519792589E-2</v>
      </c>
      <c r="G107" s="560">
        <v>0.05</v>
      </c>
      <c r="H107" s="561">
        <v>0.05</v>
      </c>
      <c r="I107" s="561">
        <v>0.05</v>
      </c>
      <c r="J107" s="561">
        <v>0.05</v>
      </c>
      <c r="K107" s="561">
        <v>0.05</v>
      </c>
      <c r="L107" s="561">
        <v>0.05</v>
      </c>
      <c r="M107" s="561">
        <v>0.05</v>
      </c>
      <c r="N107" s="521"/>
    </row>
    <row r="108" spans="1:33" x14ac:dyDescent="0.25">
      <c r="B108" s="543"/>
      <c r="C108" s="520"/>
      <c r="D108" s="520"/>
      <c r="E108" s="520"/>
      <c r="F108" s="520"/>
      <c r="G108" s="520"/>
      <c r="H108" s="520"/>
      <c r="I108" s="520"/>
      <c r="J108" s="520"/>
      <c r="K108" s="520"/>
      <c r="L108" s="520"/>
      <c r="M108" s="520"/>
      <c r="N108" s="521"/>
    </row>
    <row r="109" spans="1:33" x14ac:dyDescent="0.25">
      <c r="B109" s="562"/>
      <c r="C109" s="522" t="s">
        <v>159</v>
      </c>
      <c r="D109" s="520"/>
      <c r="E109" s="520"/>
      <c r="F109" s="520"/>
      <c r="G109" s="544"/>
      <c r="H109" s="520"/>
      <c r="I109" s="520"/>
      <c r="J109" s="520"/>
      <c r="K109" s="520"/>
      <c r="L109" s="520"/>
      <c r="M109" s="520"/>
      <c r="N109" s="521"/>
    </row>
    <row r="110" spans="1:33" ht="4.5" customHeight="1" x14ac:dyDescent="0.25">
      <c r="B110" s="543"/>
      <c r="C110" s="520"/>
      <c r="D110" s="520"/>
      <c r="E110" s="520"/>
      <c r="F110" s="520"/>
      <c r="G110" s="520"/>
      <c r="H110" s="520"/>
      <c r="I110" s="520"/>
      <c r="J110" s="520"/>
      <c r="K110" s="520"/>
      <c r="L110" s="520"/>
      <c r="M110" s="520"/>
      <c r="N110" s="521"/>
    </row>
    <row r="111" spans="1:33" ht="15.75" x14ac:dyDescent="0.25">
      <c r="B111" s="545"/>
      <c r="C111" s="523" t="s">
        <v>155</v>
      </c>
      <c r="D111" s="523" t="s">
        <v>156</v>
      </c>
      <c r="E111" s="523" t="s">
        <v>8</v>
      </c>
      <c r="F111" s="546">
        <v>2015</v>
      </c>
      <c r="G111" s="547">
        <v>2020</v>
      </c>
      <c r="H111" s="546" t="s">
        <v>18</v>
      </c>
      <c r="I111" s="546" t="s">
        <v>19</v>
      </c>
      <c r="J111" s="546" t="s">
        <v>20</v>
      </c>
      <c r="K111" s="546" t="s">
        <v>21</v>
      </c>
      <c r="L111" s="546" t="s">
        <v>22</v>
      </c>
      <c r="M111" s="546" t="s">
        <v>23</v>
      </c>
      <c r="N111" s="521"/>
    </row>
    <row r="112" spans="1:33" s="489" customFormat="1" ht="15.75" x14ac:dyDescent="0.25">
      <c r="A112" s="487"/>
      <c r="B112" s="563"/>
      <c r="C112" s="548" t="s">
        <v>330</v>
      </c>
      <c r="D112" s="527" t="s">
        <v>331</v>
      </c>
      <c r="E112" s="548"/>
      <c r="F112" s="550">
        <v>0.5</v>
      </c>
      <c r="G112" s="551">
        <f t="shared" ref="G112:M112" si="2">F112</f>
        <v>0.5</v>
      </c>
      <c r="H112" s="552">
        <f t="shared" si="2"/>
        <v>0.5</v>
      </c>
      <c r="I112" s="552">
        <f t="shared" si="2"/>
        <v>0.5</v>
      </c>
      <c r="J112" s="552">
        <f t="shared" si="2"/>
        <v>0.5</v>
      </c>
      <c r="K112" s="552">
        <f t="shared" si="2"/>
        <v>0.5</v>
      </c>
      <c r="L112" s="552">
        <f t="shared" si="2"/>
        <v>0.5</v>
      </c>
      <c r="M112" s="552">
        <f t="shared" si="2"/>
        <v>0.5</v>
      </c>
      <c r="N112" s="564"/>
      <c r="O112" s="487"/>
    </row>
    <row r="113" spans="1:15" s="489" customFormat="1" ht="15.75" x14ac:dyDescent="0.25">
      <c r="A113" s="487"/>
      <c r="B113" s="563"/>
      <c r="C113" s="548" t="s">
        <v>330</v>
      </c>
      <c r="D113" s="527" t="s">
        <v>332</v>
      </c>
      <c r="E113" s="548"/>
      <c r="F113" s="554">
        <v>0.35699999999999998</v>
      </c>
      <c r="G113" s="551">
        <v>0.35</v>
      </c>
      <c r="H113" s="552">
        <v>0.35</v>
      </c>
      <c r="I113" s="552">
        <v>0.35</v>
      </c>
      <c r="J113" s="552">
        <v>0.35</v>
      </c>
      <c r="K113" s="552">
        <v>0.35</v>
      </c>
      <c r="L113" s="552">
        <v>0.35</v>
      </c>
      <c r="M113" s="552">
        <v>0.35</v>
      </c>
      <c r="N113" s="564"/>
      <c r="O113" s="487"/>
    </row>
    <row r="114" spans="1:15" s="489" customFormat="1" ht="15.75" x14ac:dyDescent="0.25">
      <c r="A114" s="487"/>
      <c r="B114" s="563"/>
      <c r="C114" s="548" t="s">
        <v>333</v>
      </c>
      <c r="D114" s="548" t="s">
        <v>334</v>
      </c>
      <c r="E114" s="548"/>
      <c r="F114" s="554">
        <v>0.27500000000000002</v>
      </c>
      <c r="G114" s="551">
        <v>0.3</v>
      </c>
      <c r="H114" s="552">
        <v>0.3</v>
      </c>
      <c r="I114" s="552">
        <v>0.3</v>
      </c>
      <c r="J114" s="552">
        <v>0.3</v>
      </c>
      <c r="K114" s="552">
        <v>0.3</v>
      </c>
      <c r="L114" s="552">
        <v>0.3</v>
      </c>
      <c r="M114" s="552">
        <v>0.3</v>
      </c>
      <c r="N114" s="564"/>
      <c r="O114" s="487"/>
    </row>
    <row r="115" spans="1:15" s="489" customFormat="1" ht="15.75" x14ac:dyDescent="0.25">
      <c r="A115" s="487"/>
      <c r="B115" s="563"/>
      <c r="C115" s="557" t="s">
        <v>335</v>
      </c>
      <c r="D115" s="558" t="s">
        <v>336</v>
      </c>
      <c r="E115" s="558"/>
      <c r="F115" s="559">
        <v>0.48899999999999999</v>
      </c>
      <c r="G115" s="565">
        <v>0.5</v>
      </c>
      <c r="H115" s="566">
        <v>0.5</v>
      </c>
      <c r="I115" s="566">
        <v>0.5</v>
      </c>
      <c r="J115" s="566">
        <v>0.5</v>
      </c>
      <c r="K115" s="566">
        <v>0.5</v>
      </c>
      <c r="L115" s="566">
        <v>0.5</v>
      </c>
      <c r="M115" s="566">
        <v>0.5</v>
      </c>
      <c r="N115" s="564"/>
      <c r="O115" s="487"/>
    </row>
    <row r="116" spans="1:15" x14ac:dyDescent="0.25">
      <c r="B116" s="543"/>
      <c r="C116" s="520"/>
      <c r="D116" s="520"/>
      <c r="E116" s="520"/>
      <c r="F116" s="520"/>
      <c r="G116" s="520"/>
      <c r="H116" s="520"/>
      <c r="I116" s="520"/>
      <c r="J116" s="520"/>
      <c r="K116" s="520"/>
      <c r="L116" s="520"/>
      <c r="M116" s="520"/>
      <c r="N116" s="521"/>
    </row>
    <row r="117" spans="1:15" x14ac:dyDescent="0.25">
      <c r="B117" s="562"/>
      <c r="C117" s="522" t="s">
        <v>233</v>
      </c>
      <c r="D117" s="520"/>
      <c r="E117" s="520"/>
      <c r="F117" s="520"/>
      <c r="G117" s="544"/>
      <c r="H117" s="520"/>
      <c r="I117" s="520"/>
      <c r="J117" s="520"/>
      <c r="K117" s="520"/>
      <c r="L117" s="520"/>
      <c r="M117" s="520"/>
      <c r="N117" s="521"/>
    </row>
    <row r="118" spans="1:15" ht="4.5" customHeight="1" x14ac:dyDescent="0.25">
      <c r="B118" s="543"/>
      <c r="C118" s="520"/>
      <c r="D118" s="520"/>
      <c r="E118" s="520"/>
      <c r="F118" s="520"/>
      <c r="G118" s="520"/>
      <c r="H118" s="520"/>
      <c r="I118" s="520"/>
      <c r="J118" s="520"/>
      <c r="K118" s="520"/>
      <c r="L118" s="520"/>
      <c r="M118" s="520"/>
      <c r="N118" s="521"/>
    </row>
    <row r="119" spans="1:15" ht="15.75" x14ac:dyDescent="0.25">
      <c r="B119" s="545"/>
      <c r="C119" s="523" t="s">
        <v>155</v>
      </c>
      <c r="D119" s="523" t="s">
        <v>156</v>
      </c>
      <c r="E119" s="523" t="s">
        <v>8</v>
      </c>
      <c r="F119" s="546">
        <v>2015</v>
      </c>
      <c r="G119" s="547">
        <v>2020</v>
      </c>
      <c r="H119" s="546" t="s">
        <v>18</v>
      </c>
      <c r="I119" s="546" t="s">
        <v>19</v>
      </c>
      <c r="J119" s="546" t="s">
        <v>20</v>
      </c>
      <c r="K119" s="546" t="s">
        <v>21</v>
      </c>
      <c r="L119" s="546" t="s">
        <v>22</v>
      </c>
      <c r="M119" s="546" t="s">
        <v>23</v>
      </c>
      <c r="N119" s="521"/>
    </row>
    <row r="120" spans="1:15" ht="15.75" x14ac:dyDescent="0.25">
      <c r="B120" s="545"/>
      <c r="C120" s="548" t="s">
        <v>330</v>
      </c>
      <c r="D120" s="527" t="s">
        <v>331</v>
      </c>
      <c r="E120" s="549"/>
      <c r="F120" s="550">
        <v>0.4</v>
      </c>
      <c r="G120" s="551">
        <f t="shared" ref="G120:M120" si="3">F120</f>
        <v>0.4</v>
      </c>
      <c r="H120" s="552">
        <f t="shared" si="3"/>
        <v>0.4</v>
      </c>
      <c r="I120" s="552">
        <f t="shared" si="3"/>
        <v>0.4</v>
      </c>
      <c r="J120" s="552">
        <f t="shared" si="3"/>
        <v>0.4</v>
      </c>
      <c r="K120" s="552">
        <f t="shared" si="3"/>
        <v>0.4</v>
      </c>
      <c r="L120" s="552">
        <f t="shared" si="3"/>
        <v>0.4</v>
      </c>
      <c r="M120" s="552">
        <f t="shared" si="3"/>
        <v>0.4</v>
      </c>
      <c r="N120" s="521"/>
    </row>
    <row r="121" spans="1:15" s="489" customFormat="1" ht="15.75" x14ac:dyDescent="0.25">
      <c r="A121" s="487"/>
      <c r="B121" s="563"/>
      <c r="C121" s="548" t="s">
        <v>330</v>
      </c>
      <c r="D121" s="527" t="s">
        <v>332</v>
      </c>
      <c r="E121" s="548"/>
      <c r="F121" s="550">
        <v>0.63200000000000001</v>
      </c>
      <c r="G121" s="551">
        <v>0.7</v>
      </c>
      <c r="H121" s="552">
        <v>0.7</v>
      </c>
      <c r="I121" s="552">
        <v>0.7</v>
      </c>
      <c r="J121" s="552">
        <v>0.7</v>
      </c>
      <c r="K121" s="552">
        <v>0.7</v>
      </c>
      <c r="L121" s="552">
        <v>0.7</v>
      </c>
      <c r="M121" s="552">
        <v>0.7</v>
      </c>
      <c r="N121" s="564"/>
      <c r="O121" s="487"/>
    </row>
    <row r="122" spans="1:15" s="489" customFormat="1" ht="15.75" x14ac:dyDescent="0.25">
      <c r="A122" s="487"/>
      <c r="B122" s="563"/>
      <c r="C122" s="548" t="s">
        <v>333</v>
      </c>
      <c r="D122" s="548" t="s">
        <v>334</v>
      </c>
      <c r="E122" s="548"/>
      <c r="F122" s="550">
        <v>0.63200000000000001</v>
      </c>
      <c r="G122" s="551">
        <v>0.7</v>
      </c>
      <c r="H122" s="552">
        <v>0.7</v>
      </c>
      <c r="I122" s="552">
        <v>0.7</v>
      </c>
      <c r="J122" s="552">
        <v>0.7</v>
      </c>
      <c r="K122" s="552">
        <v>0.7</v>
      </c>
      <c r="L122" s="552">
        <v>0.7</v>
      </c>
      <c r="M122" s="552">
        <v>0.7</v>
      </c>
      <c r="N122" s="564"/>
      <c r="O122" s="487"/>
    </row>
    <row r="123" spans="1:15" s="489" customFormat="1" ht="16.5" customHeight="1" x14ac:dyDescent="0.25">
      <c r="A123" s="487"/>
      <c r="B123" s="563"/>
      <c r="C123" s="557" t="s">
        <v>335</v>
      </c>
      <c r="D123" s="558" t="s">
        <v>336</v>
      </c>
      <c r="E123" s="567"/>
      <c r="F123" s="568">
        <v>0.63200000000000001</v>
      </c>
      <c r="G123" s="569">
        <v>0.7</v>
      </c>
      <c r="H123" s="570">
        <v>0.7</v>
      </c>
      <c r="I123" s="570">
        <v>0.7</v>
      </c>
      <c r="J123" s="570">
        <v>0.7</v>
      </c>
      <c r="K123" s="570">
        <v>0.7</v>
      </c>
      <c r="L123" s="570">
        <v>0.7</v>
      </c>
      <c r="M123" s="570">
        <v>0.7</v>
      </c>
      <c r="N123" s="564"/>
      <c r="O123" s="487"/>
    </row>
    <row r="124" spans="1:15" s="489" customFormat="1" ht="5.25" customHeight="1" x14ac:dyDescent="0.25">
      <c r="A124" s="487"/>
      <c r="B124" s="563"/>
      <c r="C124" s="571"/>
      <c r="D124" s="548"/>
      <c r="E124" s="548"/>
      <c r="F124" s="550"/>
      <c r="G124" s="552"/>
      <c r="H124" s="552"/>
      <c r="I124" s="552"/>
      <c r="J124" s="552"/>
      <c r="K124" s="552"/>
      <c r="L124" s="552"/>
      <c r="M124" s="552"/>
      <c r="N124" s="564"/>
      <c r="O124" s="487"/>
    </row>
    <row r="125" spans="1:15" s="489" customFormat="1" ht="15.75" customHeight="1" x14ac:dyDescent="0.25">
      <c r="A125" s="487"/>
      <c r="B125" s="563"/>
      <c r="C125" s="571"/>
      <c r="D125" s="548"/>
      <c r="E125" s="548"/>
      <c r="F125" s="550"/>
      <c r="G125" s="552"/>
      <c r="H125" s="552"/>
      <c r="I125" s="552"/>
      <c r="J125" s="552"/>
      <c r="K125" s="552"/>
      <c r="L125" s="552"/>
      <c r="M125" s="552"/>
      <c r="N125" s="564"/>
      <c r="O125" s="487"/>
    </row>
    <row r="126" spans="1:15" s="489" customFormat="1" ht="15" customHeight="1" x14ac:dyDescent="0.25">
      <c r="A126" s="487"/>
      <c r="B126" s="563"/>
      <c r="C126" s="523" t="s">
        <v>1634</v>
      </c>
      <c r="D126" s="523" t="s">
        <v>601</v>
      </c>
      <c r="E126" s="523" t="s">
        <v>8</v>
      </c>
      <c r="F126" s="552"/>
      <c r="G126" s="552"/>
      <c r="H126" s="552"/>
      <c r="I126" s="552"/>
      <c r="J126" s="552"/>
      <c r="K126" s="552"/>
      <c r="L126" s="552"/>
      <c r="M126" s="552"/>
      <c r="N126" s="564"/>
      <c r="O126" s="487"/>
    </row>
    <row r="127" spans="1:15" s="489" customFormat="1" ht="15" customHeight="1" x14ac:dyDescent="0.25">
      <c r="A127" s="487"/>
      <c r="B127" s="563"/>
      <c r="C127" s="3301" t="s">
        <v>2250</v>
      </c>
      <c r="D127" s="2665">
        <v>0</v>
      </c>
      <c r="E127" s="2666" t="s">
        <v>12</v>
      </c>
      <c r="F127" s="550"/>
      <c r="G127" s="552"/>
      <c r="H127" s="552"/>
      <c r="I127" s="552"/>
      <c r="J127" s="552"/>
      <c r="K127" s="552"/>
      <c r="L127" s="552"/>
      <c r="M127" s="552"/>
      <c r="N127" s="564"/>
      <c r="O127" s="487"/>
    </row>
    <row r="128" spans="1:15" s="489" customFormat="1" ht="15" customHeight="1" x14ac:dyDescent="0.25">
      <c r="A128" s="487"/>
      <c r="B128" s="563"/>
      <c r="C128" s="2661"/>
      <c r="D128" s="2662"/>
      <c r="E128" s="2663"/>
      <c r="F128" s="550"/>
      <c r="G128" s="552"/>
      <c r="H128" s="552"/>
      <c r="I128" s="552"/>
      <c r="J128" s="552"/>
      <c r="K128" s="552"/>
      <c r="L128" s="552"/>
      <c r="M128" s="552"/>
      <c r="N128" s="564"/>
      <c r="O128" s="487"/>
    </row>
    <row r="129" spans="1:15" s="489" customFormat="1" ht="15" customHeight="1" x14ac:dyDescent="0.25">
      <c r="A129" s="487"/>
      <c r="B129" s="563"/>
      <c r="C129" s="2661" t="s">
        <v>11</v>
      </c>
      <c r="D129" s="548"/>
      <c r="E129" s="548"/>
      <c r="F129" s="550"/>
      <c r="G129" s="552"/>
      <c r="H129" s="552"/>
      <c r="I129" s="552"/>
      <c r="J129" s="552"/>
      <c r="K129" s="552"/>
      <c r="L129" s="552"/>
      <c r="M129" s="552"/>
      <c r="N129" s="564"/>
      <c r="O129" s="487"/>
    </row>
    <row r="130" spans="1:15" s="489" customFormat="1" ht="15" customHeight="1" x14ac:dyDescent="0.25">
      <c r="A130" s="487"/>
      <c r="B130" s="563"/>
      <c r="C130" s="2664" t="s">
        <v>12</v>
      </c>
      <c r="D130" s="2663" t="s">
        <v>1668</v>
      </c>
      <c r="E130" s="548"/>
      <c r="F130" s="550"/>
      <c r="G130" s="552"/>
      <c r="H130" s="552"/>
      <c r="I130" s="552"/>
      <c r="J130" s="552"/>
      <c r="K130" s="552"/>
      <c r="L130" s="552"/>
      <c r="M130" s="552"/>
      <c r="N130" s="564"/>
      <c r="O130" s="487"/>
    </row>
    <row r="131" spans="1:15" s="489" customFormat="1" ht="15" customHeight="1" x14ac:dyDescent="0.25">
      <c r="A131" s="487"/>
      <c r="B131" s="563"/>
      <c r="C131" s="2661"/>
      <c r="D131" s="548"/>
      <c r="E131" s="548"/>
      <c r="F131" s="550"/>
      <c r="G131" s="552"/>
      <c r="H131" s="552"/>
      <c r="I131" s="552"/>
      <c r="J131" s="552"/>
      <c r="K131" s="552"/>
      <c r="L131" s="552"/>
      <c r="M131" s="552"/>
      <c r="N131" s="564"/>
      <c r="O131" s="487"/>
    </row>
    <row r="132" spans="1:15" s="489" customFormat="1" ht="15" customHeight="1" x14ac:dyDescent="0.25">
      <c r="A132" s="487"/>
      <c r="B132" s="563"/>
      <c r="C132" s="2696" t="s">
        <v>1717</v>
      </c>
      <c r="D132" s="548"/>
      <c r="E132" s="548"/>
      <c r="F132" s="550"/>
      <c r="G132" s="552"/>
      <c r="H132" s="552"/>
      <c r="I132" s="552"/>
      <c r="J132" s="552"/>
      <c r="K132" s="552"/>
      <c r="L132" s="552"/>
      <c r="M132" s="552"/>
      <c r="N132" s="564"/>
      <c r="O132" s="487"/>
    </row>
    <row r="133" spans="1:15" s="489" customFormat="1" ht="15" customHeight="1" x14ac:dyDescent="0.25">
      <c r="A133" s="487"/>
      <c r="B133" s="563"/>
      <c r="C133" s="2696"/>
      <c r="D133" s="548"/>
      <c r="E133" s="548"/>
      <c r="F133" s="550"/>
      <c r="G133" s="552"/>
      <c r="H133" s="552"/>
      <c r="I133" s="552"/>
      <c r="J133" s="552"/>
      <c r="K133" s="552"/>
      <c r="L133" s="552"/>
      <c r="M133" s="552"/>
      <c r="N133" s="564"/>
      <c r="O133" s="487"/>
    </row>
    <row r="134" spans="1:15" s="489" customFormat="1" ht="15" customHeight="1" x14ac:dyDescent="0.25">
      <c r="A134" s="487"/>
      <c r="B134" s="563"/>
      <c r="C134" s="570"/>
      <c r="D134" s="570"/>
      <c r="E134" s="570"/>
      <c r="F134" s="552"/>
      <c r="G134" s="570"/>
      <c r="H134" s="570"/>
      <c r="I134" s="570"/>
      <c r="J134" s="552"/>
      <c r="K134" s="570"/>
      <c r="L134" s="570"/>
      <c r="M134" s="570"/>
      <c r="N134" s="564"/>
      <c r="O134" s="487"/>
    </row>
    <row r="135" spans="1:15" s="489" customFormat="1" ht="15" customHeight="1" x14ac:dyDescent="0.25">
      <c r="A135" s="487"/>
      <c r="B135" s="563"/>
      <c r="C135" s="2704" t="s">
        <v>332</v>
      </c>
      <c r="D135" s="2705" t="s">
        <v>656</v>
      </c>
      <c r="E135" s="2705" t="s">
        <v>601</v>
      </c>
      <c r="F135" s="550"/>
      <c r="G135" s="2704" t="s">
        <v>387</v>
      </c>
      <c r="H135" s="2706" t="s">
        <v>656</v>
      </c>
      <c r="I135" s="2705" t="s">
        <v>601</v>
      </c>
      <c r="J135" s="552"/>
      <c r="K135" s="2704" t="s">
        <v>334</v>
      </c>
      <c r="L135" s="2706" t="s">
        <v>656</v>
      </c>
      <c r="M135" s="2705" t="s">
        <v>601</v>
      </c>
      <c r="N135" s="564"/>
      <c r="O135" s="487"/>
    </row>
    <row r="136" spans="1:15" s="489" customFormat="1" ht="7.5" customHeight="1" x14ac:dyDescent="0.25">
      <c r="A136" s="487"/>
      <c r="B136" s="563"/>
      <c r="C136" s="2707"/>
      <c r="D136" s="2708"/>
      <c r="E136" s="2708"/>
      <c r="F136" s="550"/>
      <c r="G136" s="2707"/>
      <c r="H136" s="2709"/>
      <c r="I136" s="2708"/>
      <c r="J136" s="552"/>
      <c r="K136" s="2707"/>
      <c r="L136" s="2709"/>
      <c r="M136" s="2708"/>
      <c r="N136" s="564"/>
      <c r="O136" s="487"/>
    </row>
    <row r="137" spans="1:15" s="489" customFormat="1" ht="15" customHeight="1" x14ac:dyDescent="0.25">
      <c r="A137" s="487"/>
      <c r="B137" s="563"/>
      <c r="C137" s="2696" t="s">
        <v>491</v>
      </c>
      <c r="D137" s="2698">
        <v>21559.963135610647</v>
      </c>
      <c r="E137" s="2701">
        <f>D137/$D$140</f>
        <v>0.96911652517635816</v>
      </c>
      <c r="F137" s="550"/>
      <c r="G137" s="550" t="s">
        <v>387</v>
      </c>
      <c r="H137" s="2698">
        <v>69012.961753022944</v>
      </c>
      <c r="I137" s="2697">
        <f>H137/H140</f>
        <v>0.98004451712017771</v>
      </c>
      <c r="J137" s="552"/>
      <c r="K137" s="552" t="s">
        <v>492</v>
      </c>
      <c r="L137" s="2698">
        <v>5473.9204769394455</v>
      </c>
      <c r="M137" s="2711">
        <f>L137/$L$140</f>
        <v>0.85311111240192294</v>
      </c>
      <c r="N137" s="564"/>
      <c r="O137" s="487"/>
    </row>
    <row r="138" spans="1:15" s="489" customFormat="1" ht="15" customHeight="1" x14ac:dyDescent="0.25">
      <c r="A138" s="487"/>
      <c r="B138" s="563"/>
      <c r="C138" s="2696" t="s">
        <v>495</v>
      </c>
      <c r="D138" s="2698">
        <v>19.613516237765303</v>
      </c>
      <c r="E138" s="2701">
        <f>D138/$D$140</f>
        <v>8.8162408178880339E-4</v>
      </c>
      <c r="F138" s="550"/>
      <c r="G138" s="550" t="s">
        <v>1715</v>
      </c>
      <c r="H138" s="2698">
        <v>1405.229</v>
      </c>
      <c r="I138" s="2697">
        <f>H138/H140</f>
        <v>1.9955482879822153E-2</v>
      </c>
      <c r="J138" s="552"/>
      <c r="K138" s="552" t="s">
        <v>493</v>
      </c>
      <c r="L138" s="2698">
        <v>940.70191626499309</v>
      </c>
      <c r="M138" s="2711">
        <f>L138/$L$140</f>
        <v>0.14660849780414642</v>
      </c>
      <c r="N138" s="564"/>
      <c r="O138" s="487"/>
    </row>
    <row r="139" spans="1:15" s="489" customFormat="1" ht="15" customHeight="1" x14ac:dyDescent="0.25">
      <c r="A139" s="487"/>
      <c r="B139" s="563"/>
      <c r="C139" s="2699" t="s">
        <v>1685</v>
      </c>
      <c r="D139" s="2700">
        <v>667.45203408510167</v>
      </c>
      <c r="E139" s="2702">
        <f>D139/$D$140</f>
        <v>3.0001850741853103E-2</v>
      </c>
      <c r="F139" s="550"/>
      <c r="G139" s="568"/>
      <c r="H139" s="2703"/>
      <c r="I139" s="2703"/>
      <c r="J139" s="552"/>
      <c r="K139" s="570" t="s">
        <v>497</v>
      </c>
      <c r="L139" s="2700">
        <v>1.7990991000000001</v>
      </c>
      <c r="M139" s="2712">
        <f>L139/$L$140</f>
        <v>2.8038979393073802E-4</v>
      </c>
      <c r="N139" s="564"/>
      <c r="O139" s="487"/>
    </row>
    <row r="140" spans="1:15" s="489" customFormat="1" ht="15" customHeight="1" x14ac:dyDescent="0.25">
      <c r="A140" s="487"/>
      <c r="B140" s="563"/>
      <c r="C140" s="2696" t="s">
        <v>118</v>
      </c>
      <c r="D140" s="2698">
        <f>SUM(D137:D139)</f>
        <v>22247.028685933514</v>
      </c>
      <c r="E140" s="2701">
        <f>SUM(E137:E139)</f>
        <v>1</v>
      </c>
      <c r="F140" s="550"/>
      <c r="G140" s="552" t="s">
        <v>118</v>
      </c>
      <c r="H140" s="2698">
        <f>SUM(H137:H138)</f>
        <v>70418.190753022951</v>
      </c>
      <c r="I140" s="2701">
        <f>SUM(I137:I138)</f>
        <v>0.99999999999999989</v>
      </c>
      <c r="J140" s="552"/>
      <c r="K140" s="552" t="s">
        <v>118</v>
      </c>
      <c r="L140" s="2698">
        <f>SUM(L137:L139)</f>
        <v>6416.4214923044383</v>
      </c>
      <c r="M140" s="2701">
        <f>SUM(M137:M139)</f>
        <v>1</v>
      </c>
      <c r="N140" s="564"/>
      <c r="O140" s="487"/>
    </row>
    <row r="141" spans="1:15" s="489" customFormat="1" ht="15" customHeight="1" x14ac:dyDescent="0.25">
      <c r="A141" s="487"/>
      <c r="B141" s="563"/>
      <c r="C141" s="2661"/>
      <c r="D141" s="548"/>
      <c r="E141" s="548"/>
      <c r="F141" s="550"/>
      <c r="G141" s="552"/>
      <c r="H141" s="552"/>
      <c r="I141" s="552"/>
      <c r="J141" s="552"/>
      <c r="K141" s="552"/>
      <c r="L141" s="552"/>
      <c r="M141" s="552"/>
      <c r="N141" s="564"/>
      <c r="O141" s="487"/>
    </row>
    <row r="142" spans="1:15" s="489" customFormat="1" ht="15" customHeight="1" x14ac:dyDescent="0.25">
      <c r="A142" s="487"/>
      <c r="B142" s="563"/>
      <c r="C142" s="2710" t="s">
        <v>12</v>
      </c>
      <c r="D142" s="2696" t="s">
        <v>1716</v>
      </c>
      <c r="E142" s="548"/>
      <c r="F142" s="550"/>
      <c r="G142" s="552"/>
      <c r="H142" s="552"/>
      <c r="I142" s="552"/>
      <c r="J142" s="552"/>
      <c r="K142" s="552"/>
      <c r="L142" s="552"/>
      <c r="M142" s="552"/>
      <c r="N142" s="564"/>
      <c r="O142" s="487"/>
    </row>
    <row r="143" spans="1:15" s="489" customFormat="1" ht="15" customHeight="1" x14ac:dyDescent="0.25">
      <c r="A143" s="487"/>
      <c r="B143" s="563"/>
      <c r="C143" s="2661"/>
      <c r="D143" s="548"/>
      <c r="E143" s="548"/>
      <c r="F143" s="550"/>
      <c r="G143" s="552"/>
      <c r="H143" s="552"/>
      <c r="I143" s="552"/>
      <c r="J143" s="552"/>
      <c r="K143" s="552"/>
      <c r="L143" s="552"/>
      <c r="M143" s="552"/>
      <c r="N143" s="564"/>
      <c r="O143" s="487"/>
    </row>
    <row r="144" spans="1:15" s="489" customFormat="1" ht="15" customHeight="1" x14ac:dyDescent="0.25">
      <c r="A144" s="487"/>
      <c r="B144" s="563"/>
      <c r="C144" s="571"/>
      <c r="D144" s="548"/>
      <c r="E144" s="548"/>
      <c r="F144" s="550"/>
      <c r="G144" s="552"/>
      <c r="H144" s="552"/>
      <c r="I144" s="552"/>
      <c r="J144" s="552"/>
      <c r="K144" s="552"/>
      <c r="L144" s="552"/>
      <c r="M144" s="552"/>
      <c r="N144" s="564"/>
      <c r="O144" s="487"/>
    </row>
    <row r="145" spans="1:15" s="489" customFormat="1" ht="15" customHeight="1" x14ac:dyDescent="0.25">
      <c r="A145" s="487"/>
      <c r="B145" s="563"/>
      <c r="C145" s="571"/>
      <c r="D145" s="548"/>
      <c r="E145" s="548"/>
      <c r="F145" s="550"/>
      <c r="G145" s="552"/>
      <c r="H145" s="552"/>
      <c r="I145" s="552"/>
      <c r="J145" s="552"/>
      <c r="K145" s="552"/>
      <c r="L145" s="552"/>
      <c r="M145" s="552"/>
      <c r="N145" s="564"/>
      <c r="O145" s="487"/>
    </row>
    <row r="146" spans="1:15" s="489" customFormat="1" ht="15" customHeight="1" x14ac:dyDescent="0.25">
      <c r="A146" s="487"/>
      <c r="B146" s="563"/>
      <c r="C146" s="571"/>
      <c r="D146" s="548"/>
      <c r="E146" s="548"/>
      <c r="F146" s="550"/>
      <c r="G146" s="552"/>
      <c r="H146" s="552"/>
      <c r="I146" s="552"/>
      <c r="J146" s="552"/>
      <c r="K146" s="552"/>
      <c r="L146" s="552"/>
      <c r="M146" s="552"/>
      <c r="N146" s="564"/>
      <c r="O146" s="487"/>
    </row>
    <row r="147" spans="1:15" x14ac:dyDescent="0.25">
      <c r="D147" s="487">
        <v>19742</v>
      </c>
      <c r="E147" s="487">
        <f>D147*0.22</f>
        <v>4343.24</v>
      </c>
      <c r="F147" s="3558" t="s">
        <v>2328</v>
      </c>
      <c r="G147" s="487">
        <f>72175*0.4</f>
        <v>28870</v>
      </c>
      <c r="H147" s="3558" t="s">
        <v>2330</v>
      </c>
      <c r="J147" s="487">
        <f>22045*0.22</f>
        <v>4849.8999999999996</v>
      </c>
      <c r="K147" s="487">
        <f>73877*0.44</f>
        <v>32505.88</v>
      </c>
    </row>
    <row r="148" spans="1:15" ht="15" customHeight="1" x14ac:dyDescent="0.25">
      <c r="E148" s="678">
        <f>E147*8.776</f>
        <v>38116.274239999999</v>
      </c>
      <c r="F148" s="3558" t="s">
        <v>2329</v>
      </c>
      <c r="G148" s="2639">
        <f>H148/E148</f>
        <v>0.71954829129700382</v>
      </c>
      <c r="H148" s="487">
        <f>G147*0.95</f>
        <v>27426.5</v>
      </c>
      <c r="J148" s="678">
        <f>J147*8.776</f>
        <v>42562.722399999999</v>
      </c>
      <c r="K148" s="487">
        <f>K147/J148</f>
        <v>0.76371712538763736</v>
      </c>
    </row>
    <row r="149" spans="1:15" ht="15.75" hidden="1" outlineLevel="1" x14ac:dyDescent="0.25">
      <c r="B149" s="545"/>
      <c r="C149" s="522" t="s">
        <v>337</v>
      </c>
      <c r="D149" s="520"/>
      <c r="E149" s="520"/>
      <c r="F149" s="520"/>
      <c r="G149" s="544"/>
      <c r="H149" s="520"/>
      <c r="I149" s="520"/>
      <c r="J149" s="520"/>
      <c r="K149" s="520"/>
      <c r="L149" s="520"/>
      <c r="M149" s="520"/>
      <c r="N149" s="521"/>
    </row>
    <row r="150" spans="1:15" ht="3.75" hidden="1" customHeight="1" outlineLevel="1" x14ac:dyDescent="0.25">
      <c r="B150" s="545"/>
      <c r="C150" s="520"/>
      <c r="D150" s="520"/>
      <c r="E150" s="520"/>
      <c r="F150" s="520"/>
      <c r="G150" s="520"/>
      <c r="H150" s="520"/>
      <c r="I150" s="520"/>
      <c r="J150" s="520"/>
      <c r="K150" s="520"/>
      <c r="L150" s="520"/>
      <c r="M150" s="520"/>
      <c r="N150" s="521"/>
    </row>
    <row r="151" spans="1:15" ht="15.75" hidden="1" outlineLevel="1" x14ac:dyDescent="0.25">
      <c r="B151" s="545"/>
      <c r="C151" s="572"/>
      <c r="D151" s="573" t="s">
        <v>338</v>
      </c>
      <c r="E151" s="572"/>
      <c r="F151" s="574" t="s">
        <v>162</v>
      </c>
      <c r="G151" s="575"/>
      <c r="H151" s="575"/>
      <c r="I151" s="520"/>
      <c r="J151" s="576"/>
      <c r="K151" s="576"/>
      <c r="L151" s="576"/>
      <c r="M151" s="576"/>
      <c r="N151" s="521"/>
    </row>
    <row r="152" spans="1:15" ht="15.75" hidden="1" outlineLevel="1" x14ac:dyDescent="0.25">
      <c r="B152" s="545"/>
      <c r="C152" s="577"/>
      <c r="D152" s="578" t="s">
        <v>339</v>
      </c>
      <c r="E152" s="579"/>
      <c r="F152" s="580">
        <v>2</v>
      </c>
      <c r="G152" s="520"/>
      <c r="H152" s="581"/>
      <c r="I152" s="520"/>
      <c r="J152" s="582"/>
      <c r="K152" s="582"/>
      <c r="L152" s="582"/>
      <c r="M152" s="582"/>
      <c r="N152" s="521"/>
    </row>
    <row r="153" spans="1:15" ht="15.75" hidden="1" outlineLevel="1" x14ac:dyDescent="0.25">
      <c r="B153" s="545"/>
      <c r="C153" s="526"/>
      <c r="D153" s="527" t="s">
        <v>340</v>
      </c>
      <c r="E153" s="527"/>
      <c r="F153" s="583">
        <v>2</v>
      </c>
      <c r="G153" s="581"/>
      <c r="H153" s="581"/>
      <c r="I153" s="520"/>
      <c r="J153" s="582"/>
      <c r="K153" s="582"/>
      <c r="L153" s="582"/>
      <c r="M153" s="582"/>
      <c r="N153" s="521"/>
    </row>
    <row r="154" spans="1:15" ht="15.75" hidden="1" outlineLevel="1" x14ac:dyDescent="0.25">
      <c r="B154" s="545"/>
      <c r="C154" s="526"/>
      <c r="D154" s="527" t="s">
        <v>332</v>
      </c>
      <c r="E154" s="527"/>
      <c r="F154" s="583">
        <v>2</v>
      </c>
      <c r="G154" s="581"/>
      <c r="H154" s="581"/>
      <c r="I154" s="520"/>
      <c r="J154" s="582"/>
      <c r="K154" s="582"/>
      <c r="L154" s="582"/>
      <c r="M154" s="582"/>
      <c r="N154" s="521"/>
    </row>
    <row r="155" spans="1:15" ht="15.75" hidden="1" outlineLevel="1" x14ac:dyDescent="0.25">
      <c r="B155" s="545"/>
      <c r="C155" s="584"/>
      <c r="D155" s="585" t="s">
        <v>341</v>
      </c>
      <c r="E155" s="585"/>
      <c r="F155" s="586">
        <v>0.5</v>
      </c>
      <c r="G155" s="581"/>
      <c r="H155" s="581"/>
      <c r="I155" s="520"/>
      <c r="J155" s="582"/>
      <c r="K155" s="582"/>
      <c r="L155" s="582"/>
      <c r="M155" s="582"/>
      <c r="N155" s="521"/>
    </row>
    <row r="156" spans="1:15" ht="15.75" hidden="1" outlineLevel="1" x14ac:dyDescent="0.25">
      <c r="B156" s="545"/>
      <c r="C156" s="526"/>
      <c r="D156" s="527"/>
      <c r="E156" s="527"/>
      <c r="F156" s="587"/>
      <c r="G156" s="581"/>
      <c r="H156" s="581"/>
      <c r="I156" s="520"/>
      <c r="J156" s="582"/>
      <c r="K156" s="582"/>
      <c r="L156" s="582"/>
      <c r="M156" s="582"/>
      <c r="N156" s="521"/>
    </row>
    <row r="157" spans="1:15" ht="15.75" hidden="1" outlineLevel="1" x14ac:dyDescent="0.25">
      <c r="B157" s="545"/>
      <c r="C157" s="588" t="s">
        <v>342</v>
      </c>
      <c r="D157" s="527"/>
      <c r="E157" s="527"/>
      <c r="F157" s="587"/>
      <c r="G157" s="581"/>
      <c r="H157" s="582"/>
      <c r="I157" s="582"/>
      <c r="J157" s="582"/>
      <c r="K157" s="582"/>
      <c r="L157" s="582"/>
      <c r="M157" s="589" t="s">
        <v>343</v>
      </c>
      <c r="N157" s="521"/>
    </row>
    <row r="158" spans="1:15" ht="3.75" hidden="1" customHeight="1" outlineLevel="1" x14ac:dyDescent="0.25">
      <c r="B158" s="545"/>
      <c r="C158" s="588"/>
      <c r="D158" s="527"/>
      <c r="E158" s="527"/>
      <c r="F158" s="587"/>
      <c r="G158" s="581"/>
      <c r="H158" s="582"/>
      <c r="I158" s="582"/>
      <c r="J158" s="582"/>
      <c r="K158" s="582"/>
      <c r="L158" s="582"/>
      <c r="M158" s="589"/>
      <c r="N158" s="520"/>
    </row>
    <row r="159" spans="1:15" ht="15.75" hidden="1" outlineLevel="1" x14ac:dyDescent="0.25">
      <c r="B159" s="545"/>
      <c r="C159" s="523"/>
      <c r="D159" s="523" t="s">
        <v>344</v>
      </c>
      <c r="E159" s="523" t="s">
        <v>148</v>
      </c>
      <c r="F159" s="546">
        <v>2015</v>
      </c>
      <c r="G159" s="547">
        <v>2020</v>
      </c>
      <c r="H159" s="546" t="s">
        <v>18</v>
      </c>
      <c r="I159" s="546" t="s">
        <v>19</v>
      </c>
      <c r="J159" s="546" t="s">
        <v>20</v>
      </c>
      <c r="K159" s="546" t="s">
        <v>21</v>
      </c>
      <c r="L159" s="546" t="s">
        <v>22</v>
      </c>
      <c r="M159" s="546" t="s">
        <v>23</v>
      </c>
      <c r="N159" s="582"/>
    </row>
    <row r="160" spans="1:15" ht="15.75" hidden="1" outlineLevel="1" x14ac:dyDescent="0.25">
      <c r="B160" s="545"/>
      <c r="C160" s="548"/>
      <c r="D160" s="548" t="s">
        <v>345</v>
      </c>
      <c r="E160" s="548"/>
      <c r="F160" s="590">
        <v>9.2640489182934799E-3</v>
      </c>
      <c r="G160" s="591">
        <v>9.2640489182934799E-3</v>
      </c>
      <c r="H160" s="590">
        <v>5.7295228409968198E-3</v>
      </c>
      <c r="I160" s="590">
        <v>5.7295228409968198E-3</v>
      </c>
      <c r="J160" s="590">
        <v>5.7295228409968198E-3</v>
      </c>
      <c r="K160" s="590">
        <v>5.7295228409968198E-3</v>
      </c>
      <c r="L160" s="590">
        <v>5.7295228409968198E-3</v>
      </c>
      <c r="M160" s="590">
        <v>5.7295228409968198E-3</v>
      </c>
      <c r="N160" s="582"/>
    </row>
    <row r="161" spans="2:14" ht="15.75" hidden="1" outlineLevel="1" x14ac:dyDescent="0.25">
      <c r="B161" s="545"/>
      <c r="C161" s="592"/>
      <c r="D161" s="593" t="s">
        <v>346</v>
      </c>
      <c r="E161" s="592"/>
      <c r="F161" s="594">
        <v>0.16860600000000001</v>
      </c>
      <c r="G161" s="595">
        <v>0.16860600000000001</v>
      </c>
      <c r="H161" s="596">
        <v>2.4500000000000001E-2</v>
      </c>
      <c r="I161" s="594">
        <v>2.4500000000000001E-2</v>
      </c>
      <c r="J161" s="594">
        <v>2.4500000000000001E-2</v>
      </c>
      <c r="K161" s="594">
        <v>2.4500000000000001E-2</v>
      </c>
      <c r="L161" s="594">
        <v>2.4500000000000001E-2</v>
      </c>
      <c r="M161" s="594">
        <v>2.4500000000000001E-2</v>
      </c>
      <c r="N161" s="582"/>
    </row>
    <row r="162" spans="2:14" ht="15.75" hidden="1" outlineLevel="1" x14ac:dyDescent="0.25">
      <c r="B162" s="545"/>
      <c r="C162" s="592"/>
      <c r="D162" s="593" t="s">
        <v>347</v>
      </c>
      <c r="E162" s="592"/>
      <c r="F162" s="594">
        <v>4.8994278568553602E-2</v>
      </c>
      <c r="G162" s="595">
        <v>4.8994278568553602E-2</v>
      </c>
      <c r="H162" s="596">
        <v>4.8994278568553602E-2</v>
      </c>
      <c r="I162" s="594">
        <v>4.8994278568553602E-2</v>
      </c>
      <c r="J162" s="594">
        <v>4.8994278568553602E-2</v>
      </c>
      <c r="K162" s="594">
        <v>4.8994278568553602E-2</v>
      </c>
      <c r="L162" s="594">
        <v>4.8994278568553602E-2</v>
      </c>
      <c r="M162" s="594">
        <v>4.8994278568553602E-2</v>
      </c>
      <c r="N162" s="582"/>
    </row>
    <row r="163" spans="2:14" ht="15.75" hidden="1" outlineLevel="1" x14ac:dyDescent="0.25">
      <c r="B163" s="545"/>
      <c r="C163" s="597"/>
      <c r="D163" s="598" t="s">
        <v>348</v>
      </c>
      <c r="E163" s="597"/>
      <c r="F163" s="599">
        <v>2.7803584845365399E-3</v>
      </c>
      <c r="G163" s="600">
        <v>2.7803584845365399E-3</v>
      </c>
      <c r="H163" s="601">
        <v>3.0972351565749299E-3</v>
      </c>
      <c r="I163" s="599">
        <v>3.0972745136355899E-3</v>
      </c>
      <c r="J163" s="599">
        <v>3.0972745136355899E-3</v>
      </c>
      <c r="K163" s="599">
        <v>3.0972745136355899E-3</v>
      </c>
      <c r="L163" s="599">
        <v>3.0972745136355899E-3</v>
      </c>
      <c r="M163" s="599">
        <v>3.0972745136355899E-3</v>
      </c>
      <c r="N163" s="582"/>
    </row>
    <row r="164" spans="2:14" ht="15.75" hidden="1" outlineLevel="1" x14ac:dyDescent="0.25">
      <c r="B164" s="545"/>
      <c r="C164" s="526"/>
      <c r="D164" s="527"/>
      <c r="E164" s="527"/>
      <c r="F164" s="587"/>
      <c r="G164" s="581"/>
      <c r="H164" s="582"/>
      <c r="I164" s="582"/>
      <c r="J164" s="582"/>
      <c r="K164" s="582"/>
      <c r="L164" s="582"/>
      <c r="M164" s="582"/>
      <c r="N164" s="521"/>
    </row>
    <row r="165" spans="2:14" ht="15.75" hidden="1" outlineLevel="1" x14ac:dyDescent="0.25">
      <c r="B165" s="545"/>
      <c r="C165" s="588" t="s">
        <v>349</v>
      </c>
      <c r="D165" s="527"/>
      <c r="E165" s="527"/>
      <c r="F165" s="587"/>
      <c r="G165" s="581"/>
      <c r="H165" s="582"/>
      <c r="I165" s="582"/>
      <c r="J165" s="582"/>
      <c r="K165" s="582"/>
      <c r="L165" s="582"/>
      <c r="M165" s="589" t="s">
        <v>343</v>
      </c>
      <c r="N165" s="521"/>
    </row>
    <row r="166" spans="2:14" ht="3.75" hidden="1" customHeight="1" outlineLevel="1" x14ac:dyDescent="0.25">
      <c r="B166" s="545"/>
      <c r="C166" s="588"/>
      <c r="D166" s="527"/>
      <c r="E166" s="527"/>
      <c r="F166" s="587"/>
      <c r="G166" s="581"/>
      <c r="H166" s="582"/>
      <c r="I166" s="582"/>
      <c r="J166" s="582"/>
      <c r="K166" s="582"/>
      <c r="L166" s="582"/>
      <c r="M166" s="589"/>
      <c r="N166" s="520"/>
    </row>
    <row r="167" spans="2:14" ht="15.75" hidden="1" outlineLevel="1" x14ac:dyDescent="0.25">
      <c r="B167" s="545"/>
      <c r="C167" s="523"/>
      <c r="D167" s="523" t="s">
        <v>344</v>
      </c>
      <c r="E167" s="523" t="s">
        <v>148</v>
      </c>
      <c r="F167" s="546">
        <v>2015</v>
      </c>
      <c r="G167" s="547">
        <v>2020</v>
      </c>
      <c r="H167" s="546" t="s">
        <v>18</v>
      </c>
      <c r="I167" s="546" t="s">
        <v>19</v>
      </c>
      <c r="J167" s="546" t="s">
        <v>20</v>
      </c>
      <c r="K167" s="546" t="s">
        <v>21</v>
      </c>
      <c r="L167" s="546" t="s">
        <v>22</v>
      </c>
      <c r="M167" s="546" t="s">
        <v>23</v>
      </c>
      <c r="N167" s="582"/>
    </row>
    <row r="168" spans="2:14" ht="15.75" hidden="1" outlineLevel="1" x14ac:dyDescent="0.25">
      <c r="B168" s="545"/>
      <c r="C168" s="548"/>
      <c r="D168" s="548" t="s">
        <v>345</v>
      </c>
      <c r="E168" s="548"/>
      <c r="F168" s="602">
        <v>0.59504861998619996</v>
      </c>
      <c r="G168" s="591">
        <v>0.59504861998619996</v>
      </c>
      <c r="H168" s="590">
        <v>0.25701156930093699</v>
      </c>
      <c r="I168" s="590">
        <v>0.25701156930093699</v>
      </c>
      <c r="J168" s="590">
        <v>0.25701156930093699</v>
      </c>
      <c r="K168" s="590">
        <v>0.25701156930093699</v>
      </c>
      <c r="L168" s="590">
        <v>0.25701156930093699</v>
      </c>
      <c r="M168" s="590">
        <v>0.25701156930093699</v>
      </c>
      <c r="N168" s="582"/>
    </row>
    <row r="169" spans="2:14" ht="15.75" hidden="1" outlineLevel="1" x14ac:dyDescent="0.25">
      <c r="B169" s="545"/>
      <c r="C169" s="592"/>
      <c r="D169" s="593" t="s">
        <v>346</v>
      </c>
      <c r="E169" s="592"/>
      <c r="F169" s="594">
        <v>0.35404200000000002</v>
      </c>
      <c r="G169" s="595">
        <v>0.35404200000000002</v>
      </c>
      <c r="H169" s="596">
        <v>0.307</v>
      </c>
      <c r="I169" s="594">
        <v>0.307</v>
      </c>
      <c r="J169" s="594">
        <v>0.307</v>
      </c>
      <c r="K169" s="594">
        <v>0.307</v>
      </c>
      <c r="L169" s="594">
        <v>0.307</v>
      </c>
      <c r="M169" s="594">
        <v>0.307</v>
      </c>
      <c r="N169" s="582"/>
    </row>
    <row r="170" spans="2:14" ht="15.75" hidden="1" outlineLevel="1" x14ac:dyDescent="0.25">
      <c r="B170" s="545"/>
      <c r="C170" s="592"/>
      <c r="D170" s="593" t="s">
        <v>347</v>
      </c>
      <c r="E170" s="592"/>
      <c r="F170" s="594">
        <v>0.97613103860363304</v>
      </c>
      <c r="G170" s="595">
        <v>0.97613103860363304</v>
      </c>
      <c r="H170" s="596">
        <v>0.97613103860363304</v>
      </c>
      <c r="I170" s="594">
        <v>0.97613103860363304</v>
      </c>
      <c r="J170" s="594">
        <v>0.97613103860363304</v>
      </c>
      <c r="K170" s="594">
        <v>0.97613103860363304</v>
      </c>
      <c r="L170" s="594">
        <v>0.97613103860363304</v>
      </c>
      <c r="M170" s="594">
        <v>0.97613103860363304</v>
      </c>
      <c r="N170" s="582"/>
    </row>
    <row r="171" spans="2:14" ht="15.75" hidden="1" outlineLevel="1" x14ac:dyDescent="0.25">
      <c r="B171" s="545"/>
      <c r="C171" s="597"/>
      <c r="D171" s="598" t="s">
        <v>348</v>
      </c>
      <c r="E171" s="597"/>
      <c r="F171" s="599">
        <v>0.123050674970797</v>
      </c>
      <c r="G171" s="600">
        <v>0.123050674970797</v>
      </c>
      <c r="H171" s="601">
        <v>0.12672641299710899</v>
      </c>
      <c r="I171" s="599">
        <v>0.12617943267412299</v>
      </c>
      <c r="J171" s="599">
        <v>0.12617943267412299</v>
      </c>
      <c r="K171" s="599">
        <v>0.12617943267412299</v>
      </c>
      <c r="L171" s="599">
        <v>0.12617943267412299</v>
      </c>
      <c r="M171" s="599">
        <v>0.12617943267412299</v>
      </c>
      <c r="N171" s="582"/>
    </row>
    <row r="172" spans="2:14" ht="15.75" hidden="1" outlineLevel="1" x14ac:dyDescent="0.25">
      <c r="B172" s="545"/>
      <c r="C172" s="603"/>
      <c r="D172" s="604"/>
      <c r="E172" s="604"/>
      <c r="F172" s="605"/>
      <c r="G172" s="606"/>
      <c r="H172" s="606"/>
      <c r="I172" s="606"/>
      <c r="J172" s="606"/>
      <c r="K172" s="606"/>
      <c r="L172" s="606"/>
      <c r="M172" s="606"/>
      <c r="N172" s="521"/>
    </row>
    <row r="173" spans="2:14" ht="15.75" hidden="1" outlineLevel="1" x14ac:dyDescent="0.25">
      <c r="B173" s="545"/>
      <c r="C173" s="588" t="s">
        <v>350</v>
      </c>
      <c r="D173" s="527"/>
      <c r="E173" s="527"/>
      <c r="F173" s="587"/>
      <c r="G173" s="581"/>
      <c r="H173" s="582"/>
      <c r="I173" s="582"/>
      <c r="J173" s="582"/>
      <c r="K173" s="582"/>
      <c r="L173" s="582"/>
      <c r="M173" s="589" t="s">
        <v>343</v>
      </c>
      <c r="N173" s="521"/>
    </row>
    <row r="174" spans="2:14" ht="3.75" hidden="1" customHeight="1" outlineLevel="1" x14ac:dyDescent="0.25">
      <c r="B174" s="545"/>
      <c r="C174" s="588"/>
      <c r="D174" s="527"/>
      <c r="E174" s="527"/>
      <c r="F174" s="587"/>
      <c r="G174" s="581"/>
      <c r="H174" s="582"/>
      <c r="I174" s="582"/>
      <c r="J174" s="582"/>
      <c r="K174" s="582"/>
      <c r="L174" s="582"/>
      <c r="M174" s="589"/>
      <c r="N174" s="520"/>
    </row>
    <row r="175" spans="2:14" ht="15.75" hidden="1" outlineLevel="1" x14ac:dyDescent="0.25">
      <c r="B175" s="545"/>
      <c r="C175" s="523"/>
      <c r="D175" s="523" t="s">
        <v>344</v>
      </c>
      <c r="E175" s="523" t="s">
        <v>148</v>
      </c>
      <c r="F175" s="546">
        <v>2015</v>
      </c>
      <c r="G175" s="547">
        <v>2020</v>
      </c>
      <c r="H175" s="546" t="s">
        <v>18</v>
      </c>
      <c r="I175" s="546" t="s">
        <v>19</v>
      </c>
      <c r="J175" s="546" t="s">
        <v>20</v>
      </c>
      <c r="K175" s="546" t="s">
        <v>21</v>
      </c>
      <c r="L175" s="546" t="s">
        <v>22</v>
      </c>
      <c r="M175" s="546" t="s">
        <v>23</v>
      </c>
      <c r="N175" s="582"/>
    </row>
    <row r="176" spans="2:14" ht="15.75" hidden="1" outlineLevel="1" x14ac:dyDescent="0.25">
      <c r="B176" s="545"/>
      <c r="C176" s="548"/>
      <c r="D176" s="548" t="s">
        <v>345</v>
      </c>
      <c r="E176" s="548"/>
      <c r="F176" s="602">
        <v>0.39272035376897402</v>
      </c>
      <c r="G176" s="591">
        <v>0.39272035376897402</v>
      </c>
      <c r="H176" s="590">
        <v>0.243293504284017</v>
      </c>
      <c r="I176" s="590">
        <v>0.243293504284017</v>
      </c>
      <c r="J176" s="590">
        <v>0.243293504284017</v>
      </c>
      <c r="K176" s="590">
        <v>0.243293504284017</v>
      </c>
      <c r="L176" s="590">
        <v>0.243293504284017</v>
      </c>
      <c r="M176" s="590">
        <v>0.243293504284017</v>
      </c>
      <c r="N176" s="582"/>
    </row>
    <row r="177" spans="1:15" ht="15.75" hidden="1" outlineLevel="1" x14ac:dyDescent="0.25">
      <c r="B177" s="545"/>
      <c r="C177" s="592"/>
      <c r="D177" s="593" t="s">
        <v>346</v>
      </c>
      <c r="E177" s="592"/>
      <c r="F177" s="594">
        <v>3.5912935500778197E-2</v>
      </c>
      <c r="G177" s="595">
        <v>3.5912935500778197E-2</v>
      </c>
      <c r="H177" s="596">
        <v>3.6067404170129401E-2</v>
      </c>
      <c r="I177" s="594">
        <v>3.6067404170129401E-2</v>
      </c>
      <c r="J177" s="594">
        <v>3.6067404170129401E-2</v>
      </c>
      <c r="K177" s="594">
        <v>3.6067404170129401E-2</v>
      </c>
      <c r="L177" s="594">
        <v>3.6067404170129401E-2</v>
      </c>
      <c r="M177" s="594">
        <v>3.6067404170129401E-2</v>
      </c>
      <c r="N177" s="582"/>
    </row>
    <row r="178" spans="1:15" ht="15.75" hidden="1" outlineLevel="1" x14ac:dyDescent="0.25">
      <c r="B178" s="545"/>
      <c r="C178" s="592"/>
      <c r="D178" s="593" t="s">
        <v>347</v>
      </c>
      <c r="E178" s="592"/>
      <c r="F178" s="594">
        <v>0.68572385031784799</v>
      </c>
      <c r="G178" s="595">
        <v>0.68572385031784799</v>
      </c>
      <c r="H178" s="596">
        <v>0.68572385031784799</v>
      </c>
      <c r="I178" s="594">
        <v>0.68572385031784799</v>
      </c>
      <c r="J178" s="594">
        <v>0.68572385031784799</v>
      </c>
      <c r="K178" s="594">
        <v>0.68572385031784799</v>
      </c>
      <c r="L178" s="594">
        <v>0.68572385031784799</v>
      </c>
      <c r="M178" s="594">
        <v>0.68572385031784799</v>
      </c>
      <c r="N178" s="582"/>
    </row>
    <row r="179" spans="1:15" ht="15.75" hidden="1" outlineLevel="1" x14ac:dyDescent="0.25">
      <c r="B179" s="545"/>
      <c r="C179" s="597"/>
      <c r="D179" s="598" t="s">
        <v>348</v>
      </c>
      <c r="E179" s="597"/>
      <c r="F179" s="599">
        <v>1.81607897153511E-3</v>
      </c>
      <c r="G179" s="600">
        <v>1.81607897153511E-3</v>
      </c>
      <c r="H179" s="601">
        <v>2.3377854032365099E-3</v>
      </c>
      <c r="I179" s="599">
        <v>2.3426402858959501E-3</v>
      </c>
      <c r="J179" s="599">
        <v>2.3426402858959501E-3</v>
      </c>
      <c r="K179" s="599">
        <v>2.3426402858959501E-3</v>
      </c>
      <c r="L179" s="599">
        <v>2.3426402858959501E-3</v>
      </c>
      <c r="M179" s="599">
        <v>2.3426402858959501E-3</v>
      </c>
      <c r="N179" s="582"/>
    </row>
    <row r="180" spans="1:15" ht="15.75" hidden="1" outlineLevel="1" x14ac:dyDescent="0.25">
      <c r="B180" s="545"/>
      <c r="C180" s="526"/>
      <c r="D180" s="527"/>
      <c r="E180" s="527"/>
      <c r="F180" s="587"/>
      <c r="G180" s="581"/>
      <c r="H180" s="582"/>
      <c r="I180" s="582"/>
      <c r="J180" s="582"/>
      <c r="K180" s="582"/>
      <c r="L180" s="582"/>
      <c r="M180" s="582"/>
      <c r="N180" s="521"/>
    </row>
    <row r="181" spans="1:15" ht="15.75" hidden="1" outlineLevel="1" x14ac:dyDescent="0.25">
      <c r="B181" s="545"/>
      <c r="C181" s="588" t="s">
        <v>351</v>
      </c>
      <c r="D181" s="527"/>
      <c r="E181" s="527"/>
      <c r="F181" s="587"/>
      <c r="G181" s="581"/>
      <c r="H181" s="582"/>
      <c r="I181" s="582"/>
      <c r="J181" s="582"/>
      <c r="K181" s="582"/>
      <c r="L181" s="582"/>
      <c r="M181" s="589" t="s">
        <v>343</v>
      </c>
      <c r="N181" s="521"/>
    </row>
    <row r="182" spans="1:15" ht="3.75" hidden="1" customHeight="1" outlineLevel="1" x14ac:dyDescent="0.25">
      <c r="B182" s="545"/>
      <c r="C182" s="588"/>
      <c r="D182" s="527"/>
      <c r="E182" s="527"/>
      <c r="F182" s="587"/>
      <c r="G182" s="581"/>
      <c r="H182" s="582"/>
      <c r="I182" s="582"/>
      <c r="J182" s="582"/>
      <c r="K182" s="582"/>
      <c r="L182" s="582"/>
      <c r="M182" s="589"/>
      <c r="N182" s="520"/>
    </row>
    <row r="183" spans="1:15" ht="15.75" hidden="1" outlineLevel="1" x14ac:dyDescent="0.25">
      <c r="B183" s="545"/>
      <c r="C183" s="523"/>
      <c r="D183" s="523" t="s">
        <v>344</v>
      </c>
      <c r="E183" s="523" t="s">
        <v>148</v>
      </c>
      <c r="F183" s="546">
        <v>2015</v>
      </c>
      <c r="G183" s="547">
        <v>2020</v>
      </c>
      <c r="H183" s="546" t="s">
        <v>18</v>
      </c>
      <c r="I183" s="546" t="s">
        <v>19</v>
      </c>
      <c r="J183" s="546" t="s">
        <v>20</v>
      </c>
      <c r="K183" s="546" t="s">
        <v>21</v>
      </c>
      <c r="L183" s="546" t="s">
        <v>22</v>
      </c>
      <c r="M183" s="546" t="s">
        <v>23</v>
      </c>
      <c r="N183" s="582"/>
    </row>
    <row r="184" spans="1:15" ht="15.75" hidden="1" outlineLevel="1" x14ac:dyDescent="0.25">
      <c r="B184" s="545"/>
      <c r="C184" s="548"/>
      <c r="D184" s="548" t="s">
        <v>345</v>
      </c>
      <c r="E184" s="548"/>
      <c r="F184" s="602">
        <v>2.5752176600543899E-3</v>
      </c>
      <c r="G184" s="591">
        <v>2.5752176600543899E-3</v>
      </c>
      <c r="H184" s="590">
        <v>2.51660725789183E-3</v>
      </c>
      <c r="I184" s="590">
        <v>2.5207932619345E-3</v>
      </c>
      <c r="J184" s="590">
        <v>2.5207932619345E-3</v>
      </c>
      <c r="K184" s="590">
        <v>2.5207932619345E-3</v>
      </c>
      <c r="L184" s="590">
        <v>2.5207932619345E-3</v>
      </c>
      <c r="M184" s="590">
        <v>2.5207932619345E-3</v>
      </c>
      <c r="N184" s="582"/>
    </row>
    <row r="185" spans="1:15" ht="15.75" hidden="1" outlineLevel="1" x14ac:dyDescent="0.25">
      <c r="B185" s="545"/>
      <c r="C185" s="592"/>
      <c r="D185" s="593" t="s">
        <v>346</v>
      </c>
      <c r="E185" s="592"/>
      <c r="F185" s="594">
        <v>5.6220657374390103E-2</v>
      </c>
      <c r="G185" s="595">
        <v>5.6220657374390103E-2</v>
      </c>
      <c r="H185" s="596">
        <v>6.9565839852450198E-2</v>
      </c>
      <c r="I185" s="594">
        <v>6.9565839852450198E-2</v>
      </c>
      <c r="J185" s="594">
        <v>6.9565839852450198E-2</v>
      </c>
      <c r="K185" s="594">
        <v>6.9565839852450198E-2</v>
      </c>
      <c r="L185" s="594">
        <v>6.9565839852450198E-2</v>
      </c>
      <c r="M185" s="594">
        <v>6.9565839852450198E-2</v>
      </c>
      <c r="N185" s="582"/>
    </row>
    <row r="186" spans="1:15" ht="15.75" hidden="1" outlineLevel="1" x14ac:dyDescent="0.25">
      <c r="B186" s="545"/>
      <c r="C186" s="592"/>
      <c r="D186" s="593" t="s">
        <v>347</v>
      </c>
      <c r="E186" s="592"/>
      <c r="F186" s="594">
        <v>6.2066234424925501E-3</v>
      </c>
      <c r="G186" s="595">
        <v>6.2066234424925501E-3</v>
      </c>
      <c r="H186" s="596">
        <v>6.2066234424925501E-3</v>
      </c>
      <c r="I186" s="594">
        <v>6.2066234424925501E-3</v>
      </c>
      <c r="J186" s="594">
        <v>6.2066234424925501E-3</v>
      </c>
      <c r="K186" s="594">
        <v>6.2066234424925501E-3</v>
      </c>
      <c r="L186" s="594">
        <v>6.2066234424925501E-3</v>
      </c>
      <c r="M186" s="594">
        <v>6.2066234424925501E-3</v>
      </c>
      <c r="N186" s="582"/>
    </row>
    <row r="187" spans="1:15" ht="15.75" hidden="1" outlineLevel="1" x14ac:dyDescent="0.25">
      <c r="B187" s="545"/>
      <c r="C187" s="597"/>
      <c r="D187" s="598" t="s">
        <v>348</v>
      </c>
      <c r="E187" s="597"/>
      <c r="F187" s="599">
        <v>4.1906007300839196E-3</v>
      </c>
      <c r="G187" s="600">
        <v>4.1906007300839196E-3</v>
      </c>
      <c r="H187" s="601">
        <v>4.2215116807455101E-3</v>
      </c>
      <c r="I187" s="599">
        <v>4.2213837805119897E-3</v>
      </c>
      <c r="J187" s="599">
        <v>4.2213837805119897E-3</v>
      </c>
      <c r="K187" s="599">
        <v>4.2213837805119897E-3</v>
      </c>
      <c r="L187" s="599">
        <v>4.2213837805119897E-3</v>
      </c>
      <c r="M187" s="599">
        <v>4.2213837805119897E-3</v>
      </c>
      <c r="N187" s="582"/>
    </row>
    <row r="188" spans="1:15" ht="15.75" hidden="1" outlineLevel="1" x14ac:dyDescent="0.25">
      <c r="B188" s="545"/>
      <c r="C188" s="526"/>
      <c r="D188" s="527"/>
      <c r="E188" s="527"/>
      <c r="F188" s="587"/>
      <c r="G188" s="581"/>
      <c r="H188" s="581"/>
      <c r="I188" s="520"/>
      <c r="J188" s="582"/>
      <c r="K188" s="582"/>
      <c r="L188" s="582"/>
      <c r="M188" s="582"/>
      <c r="N188" s="521"/>
    </row>
    <row r="189" spans="1:15" hidden="1" outlineLevel="1" x14ac:dyDescent="0.25">
      <c r="B189" s="607"/>
      <c r="C189" s="520" t="s">
        <v>352</v>
      </c>
      <c r="D189" s="608"/>
      <c r="E189" s="520"/>
      <c r="F189" s="520"/>
      <c r="G189" s="520"/>
      <c r="H189" s="520"/>
      <c r="I189" s="520"/>
      <c r="J189" s="520"/>
      <c r="K189" s="520"/>
      <c r="L189" s="520"/>
      <c r="M189" s="520"/>
      <c r="N189" s="521"/>
    </row>
    <row r="190" spans="1:15" hidden="1" outlineLevel="1" x14ac:dyDescent="0.25">
      <c r="B190" s="607"/>
      <c r="C190" s="520" t="s">
        <v>353</v>
      </c>
      <c r="D190" s="608"/>
      <c r="E190" s="520"/>
      <c r="F190" s="520"/>
      <c r="G190" s="520"/>
      <c r="H190" s="520"/>
      <c r="I190" s="520"/>
      <c r="J190" s="520"/>
      <c r="K190" s="520"/>
      <c r="L190" s="520"/>
      <c r="M190" s="520"/>
      <c r="N190" s="521"/>
    </row>
    <row r="191" spans="1:15" s="192" customFormat="1" hidden="1" outlineLevel="1" x14ac:dyDescent="0.25">
      <c r="A191" s="487"/>
      <c r="B191" s="279"/>
      <c r="C191" s="280" t="s">
        <v>12</v>
      </c>
      <c r="D191" s="195" t="s">
        <v>354</v>
      </c>
      <c r="E191" s="195"/>
      <c r="F191" s="195"/>
      <c r="G191" s="195"/>
      <c r="H191" s="195"/>
      <c r="I191" s="195"/>
      <c r="J191" s="195"/>
      <c r="K191" s="195"/>
      <c r="L191" s="195"/>
      <c r="M191" s="195"/>
      <c r="N191" s="196"/>
      <c r="O191" s="487"/>
    </row>
    <row r="192" spans="1:15" s="192" customFormat="1" hidden="1" outlineLevel="1" x14ac:dyDescent="0.25">
      <c r="A192" s="487"/>
      <c r="B192" s="279"/>
      <c r="C192" s="280" t="s">
        <v>133</v>
      </c>
      <c r="D192" s="195" t="s">
        <v>355</v>
      </c>
      <c r="E192" s="195"/>
      <c r="F192" s="195"/>
      <c r="G192" s="195"/>
      <c r="H192" s="195"/>
      <c r="I192" s="195"/>
      <c r="J192" s="195"/>
      <c r="K192" s="195"/>
      <c r="L192" s="195"/>
      <c r="M192" s="195"/>
      <c r="N192" s="196"/>
      <c r="O192" s="487"/>
    </row>
    <row r="193" spans="1:15" s="192" customFormat="1" hidden="1" outlineLevel="1" x14ac:dyDescent="0.25">
      <c r="A193" s="487"/>
      <c r="B193" s="279"/>
      <c r="C193" s="280" t="s">
        <v>136</v>
      </c>
      <c r="D193" s="195" t="s">
        <v>356</v>
      </c>
      <c r="E193" s="195"/>
      <c r="F193" s="195"/>
      <c r="G193" s="195"/>
      <c r="H193" s="195"/>
      <c r="I193" s="195"/>
      <c r="J193" s="195"/>
      <c r="K193" s="195"/>
      <c r="L193" s="195"/>
      <c r="M193" s="195"/>
      <c r="N193" s="196"/>
      <c r="O193" s="487"/>
    </row>
    <row r="194" spans="1:15" s="192" customFormat="1" hidden="1" outlineLevel="1" x14ac:dyDescent="0.25">
      <c r="A194" s="487"/>
      <c r="B194" s="279"/>
      <c r="C194" s="280"/>
      <c r="D194" s="195" t="s">
        <v>357</v>
      </c>
      <c r="E194" s="195"/>
      <c r="F194" s="195"/>
      <c r="G194" s="195"/>
      <c r="H194" s="195"/>
      <c r="I194" s="195"/>
      <c r="J194" s="195"/>
      <c r="K194" s="195"/>
      <c r="L194" s="195"/>
      <c r="M194" s="195"/>
      <c r="N194" s="196"/>
      <c r="O194" s="487"/>
    </row>
    <row r="195" spans="1:15" s="192" customFormat="1" hidden="1" outlineLevel="1" x14ac:dyDescent="0.25">
      <c r="A195" s="487"/>
      <c r="B195" s="279"/>
      <c r="C195" s="280"/>
      <c r="D195" s="195" t="s">
        <v>358</v>
      </c>
      <c r="E195" s="195"/>
      <c r="F195" s="195"/>
      <c r="G195" s="195"/>
      <c r="H195" s="195"/>
      <c r="I195" s="195"/>
      <c r="J195" s="195"/>
      <c r="K195" s="195"/>
      <c r="L195" s="195"/>
      <c r="M195" s="195"/>
      <c r="N195" s="196"/>
      <c r="O195" s="487"/>
    </row>
    <row r="196" spans="1:15" s="192" customFormat="1" hidden="1" outlineLevel="1" x14ac:dyDescent="0.25">
      <c r="A196" s="487"/>
      <c r="B196" s="279"/>
      <c r="C196" s="280" t="s">
        <v>317</v>
      </c>
      <c r="D196" s="195" t="s">
        <v>359</v>
      </c>
      <c r="E196" s="195"/>
      <c r="F196" s="195"/>
      <c r="G196" s="195"/>
      <c r="H196" s="195"/>
      <c r="I196" s="195"/>
      <c r="J196" s="195"/>
      <c r="K196" s="195"/>
      <c r="L196" s="195"/>
      <c r="M196" s="195"/>
      <c r="N196" s="196"/>
      <c r="O196" s="487"/>
    </row>
    <row r="197" spans="1:15" collapsed="1" x14ac:dyDescent="0.25">
      <c r="B197" s="612"/>
      <c r="E197" s="678">
        <f>E148*0.63</f>
        <v>24013.252771200001</v>
      </c>
      <c r="F197" s="3558" t="s">
        <v>1596</v>
      </c>
    </row>
    <row r="198" spans="1:15" x14ac:dyDescent="0.25">
      <c r="B198" s="612"/>
    </row>
    <row r="199" spans="1:15" s="489" customFormat="1" ht="19.5" hidden="1" customHeight="1" outlineLevel="1" x14ac:dyDescent="0.35">
      <c r="A199" s="490"/>
      <c r="B199" s="613" t="s">
        <v>163</v>
      </c>
      <c r="C199" s="614"/>
      <c r="D199" s="614"/>
      <c r="E199" s="614"/>
      <c r="F199" s="614"/>
      <c r="G199" s="614"/>
      <c r="H199" s="614"/>
      <c r="I199" s="614"/>
      <c r="J199" s="614"/>
      <c r="K199" s="614"/>
      <c r="L199" s="614"/>
      <c r="M199" s="614"/>
      <c r="N199" s="615"/>
      <c r="O199" s="487"/>
    </row>
    <row r="200" spans="1:15" s="489" customFormat="1" hidden="1" outlineLevel="1" x14ac:dyDescent="0.25">
      <c r="A200" s="487"/>
      <c r="B200" s="616"/>
      <c r="C200" s="617"/>
      <c r="D200" s="617"/>
      <c r="E200" s="617"/>
      <c r="F200" s="617"/>
      <c r="G200" s="617"/>
      <c r="H200" s="617"/>
      <c r="I200" s="617"/>
      <c r="J200" s="617"/>
      <c r="K200" s="617"/>
      <c r="L200" s="617"/>
      <c r="M200" s="617"/>
      <c r="N200" s="618"/>
      <c r="O200" s="619"/>
    </row>
    <row r="201" spans="1:15" s="489" customFormat="1" hidden="1" outlineLevel="1" x14ac:dyDescent="0.25">
      <c r="A201" s="487"/>
      <c r="B201" s="616"/>
      <c r="C201" s="522" t="s">
        <v>360</v>
      </c>
      <c r="D201" s="620"/>
      <c r="E201" s="621"/>
      <c r="F201" s="622"/>
      <c r="G201" s="622"/>
      <c r="H201" s="581"/>
      <c r="I201" s="581"/>
      <c r="J201" s="581"/>
      <c r="K201" s="581"/>
      <c r="L201" s="581"/>
      <c r="M201" s="623" t="s">
        <v>361</v>
      </c>
      <c r="N201" s="618"/>
      <c r="O201" s="619"/>
    </row>
    <row r="202" spans="1:15" s="489" customFormat="1" ht="4.5" hidden="1" customHeight="1" outlineLevel="1" x14ac:dyDescent="0.25">
      <c r="A202" s="487"/>
      <c r="B202" s="616"/>
      <c r="C202" s="624"/>
      <c r="D202" s="620"/>
      <c r="E202" s="621"/>
      <c r="F202" s="622"/>
      <c r="G202" s="622"/>
      <c r="H202" s="581"/>
      <c r="I202" s="581"/>
      <c r="J202" s="581"/>
      <c r="K202" s="581"/>
      <c r="L202" s="581"/>
      <c r="M202" s="520"/>
      <c r="N202" s="618"/>
      <c r="O202" s="619"/>
    </row>
    <row r="203" spans="1:15" s="489" customFormat="1" hidden="1" outlineLevel="1" x14ac:dyDescent="0.25">
      <c r="A203" s="487"/>
      <c r="B203" s="616"/>
      <c r="C203" s="625" t="s">
        <v>340</v>
      </c>
      <c r="D203" s="626" t="s">
        <v>362</v>
      </c>
      <c r="E203" s="627" t="s">
        <v>164</v>
      </c>
      <c r="F203" s="546">
        <v>2015</v>
      </c>
      <c r="G203" s="547">
        <v>2020</v>
      </c>
      <c r="H203" s="628">
        <v>2025</v>
      </c>
      <c r="I203" s="628">
        <v>2030</v>
      </c>
      <c r="J203" s="628">
        <v>2035</v>
      </c>
      <c r="K203" s="628">
        <v>2040</v>
      </c>
      <c r="L203" s="628">
        <v>2045</v>
      </c>
      <c r="M203" s="628">
        <v>2050</v>
      </c>
      <c r="N203" s="618"/>
      <c r="O203" s="619"/>
    </row>
    <row r="204" spans="1:15" s="489" customFormat="1" hidden="1" outlineLevel="1" x14ac:dyDescent="0.25">
      <c r="A204" s="487"/>
      <c r="B204" s="616"/>
      <c r="C204" s="629" t="s">
        <v>165</v>
      </c>
      <c r="D204" s="626"/>
      <c r="E204" s="630">
        <v>0</v>
      </c>
      <c r="F204" s="631">
        <v>2384</v>
      </c>
      <c r="G204" s="631">
        <v>2384</v>
      </c>
      <c r="H204" s="631">
        <v>2384</v>
      </c>
      <c r="I204" s="631">
        <v>2384</v>
      </c>
      <c r="J204" s="631">
        <v>2384</v>
      </c>
      <c r="K204" s="631">
        <v>2384</v>
      </c>
      <c r="L204" s="631">
        <v>2384</v>
      </c>
      <c r="M204" s="631">
        <v>2384</v>
      </c>
      <c r="N204" s="618"/>
      <c r="O204" s="619"/>
    </row>
    <row r="205" spans="1:15" s="489" customFormat="1" hidden="1" outlineLevel="1" x14ac:dyDescent="0.25">
      <c r="A205" s="487"/>
      <c r="B205" s="616"/>
      <c r="C205" s="632" t="s">
        <v>166</v>
      </c>
      <c r="D205" s="620"/>
      <c r="E205" s="633">
        <v>-31.084861672365566</v>
      </c>
      <c r="F205" s="634">
        <v>2383.1727282146931</v>
      </c>
      <c r="G205" s="634">
        <v>2383.1727282146931</v>
      </c>
      <c r="H205" s="634">
        <v>1916.8998031292092</v>
      </c>
      <c r="I205" s="634">
        <v>1761.4754947673814</v>
      </c>
      <c r="J205" s="634">
        <v>1606.0511864055536</v>
      </c>
      <c r="K205" s="634">
        <v>1450.626878043726</v>
      </c>
      <c r="L205" s="634">
        <v>1450.626878043726</v>
      </c>
      <c r="M205" s="634">
        <v>1450.626878043726</v>
      </c>
      <c r="N205" s="618"/>
      <c r="O205" s="619"/>
    </row>
    <row r="206" spans="1:15" s="489" customFormat="1" hidden="1" outlineLevel="1" x14ac:dyDescent="0.25">
      <c r="A206" s="487"/>
      <c r="B206" s="616"/>
      <c r="C206" s="635" t="s">
        <v>167</v>
      </c>
      <c r="D206" s="636"/>
      <c r="E206" s="637">
        <v>-7.3999999999999968</v>
      </c>
      <c r="F206" s="638">
        <v>1296</v>
      </c>
      <c r="G206" s="638">
        <v>1296</v>
      </c>
      <c r="H206" s="638">
        <v>1185</v>
      </c>
      <c r="I206" s="638">
        <v>1148</v>
      </c>
      <c r="J206" s="638">
        <v>1111</v>
      </c>
      <c r="K206" s="638">
        <v>1074</v>
      </c>
      <c r="L206" s="638">
        <v>1037</v>
      </c>
      <c r="M206" s="638">
        <v>1000.0000000000001</v>
      </c>
      <c r="N206" s="618"/>
      <c r="O206" s="619"/>
    </row>
    <row r="207" spans="1:15" s="489" customFormat="1" hidden="1" outlineLevel="1" x14ac:dyDescent="0.25">
      <c r="A207" s="487"/>
      <c r="B207" s="616"/>
      <c r="C207" s="639"/>
      <c r="D207" s="639"/>
      <c r="E207" s="639"/>
      <c r="F207" s="639"/>
      <c r="G207" s="639"/>
      <c r="H207" s="639"/>
      <c r="I207" s="639"/>
      <c r="J207" s="639"/>
      <c r="K207" s="639"/>
      <c r="L207" s="639"/>
      <c r="M207" s="639"/>
      <c r="N207" s="618"/>
      <c r="O207" s="619"/>
    </row>
    <row r="208" spans="1:15" s="489" customFormat="1" hidden="1" outlineLevel="1" x14ac:dyDescent="0.25">
      <c r="A208" s="487"/>
      <c r="B208" s="616"/>
      <c r="C208" s="639"/>
      <c r="D208" s="639"/>
      <c r="E208" s="639"/>
      <c r="F208" s="639"/>
      <c r="G208" s="639"/>
      <c r="H208" s="639"/>
      <c r="I208" s="639"/>
      <c r="J208" s="639"/>
      <c r="K208" s="639"/>
      <c r="L208" s="639"/>
      <c r="M208" s="623" t="s">
        <v>361</v>
      </c>
      <c r="N208" s="618"/>
      <c r="O208" s="619"/>
    </row>
    <row r="209" spans="1:69" s="618" customFormat="1" hidden="1" outlineLevel="1" x14ac:dyDescent="0.25">
      <c r="A209" s="640"/>
      <c r="B209" s="641"/>
      <c r="C209" s="625" t="s">
        <v>363</v>
      </c>
      <c r="D209" s="626" t="s">
        <v>362</v>
      </c>
      <c r="E209" s="627" t="s">
        <v>164</v>
      </c>
      <c r="F209" s="546">
        <v>2015</v>
      </c>
      <c r="G209" s="547">
        <v>2020</v>
      </c>
      <c r="H209" s="628">
        <v>2025</v>
      </c>
      <c r="I209" s="628">
        <v>2030</v>
      </c>
      <c r="J209" s="628">
        <v>2035</v>
      </c>
      <c r="K209" s="628">
        <v>2040</v>
      </c>
      <c r="L209" s="628">
        <v>2045</v>
      </c>
      <c r="M209" s="628">
        <v>2050</v>
      </c>
      <c r="O209" s="619"/>
      <c r="P209" s="489"/>
      <c r="Q209" s="489"/>
      <c r="R209" s="489"/>
      <c r="S209" s="489"/>
      <c r="T209" s="489"/>
      <c r="U209" s="489"/>
      <c r="V209" s="489"/>
      <c r="W209" s="489"/>
      <c r="X209" s="489"/>
      <c r="Y209" s="489"/>
      <c r="Z209" s="489"/>
      <c r="AA209" s="489"/>
      <c r="AB209" s="489"/>
      <c r="AC209" s="489"/>
      <c r="AD209" s="489"/>
      <c r="AE209" s="489"/>
      <c r="AF209" s="489"/>
      <c r="AG209" s="489"/>
      <c r="AH209" s="489"/>
      <c r="AI209" s="489"/>
      <c r="AJ209" s="489"/>
      <c r="AK209" s="489"/>
      <c r="AL209" s="489"/>
      <c r="AM209" s="489"/>
      <c r="AN209" s="489"/>
      <c r="AO209" s="489"/>
      <c r="AP209" s="489"/>
      <c r="AQ209" s="489"/>
      <c r="AR209" s="489"/>
      <c r="AS209" s="489"/>
      <c r="AT209" s="489"/>
      <c r="AU209" s="489"/>
      <c r="AV209" s="489"/>
      <c r="AW209" s="489"/>
      <c r="AX209" s="489"/>
      <c r="AY209" s="489"/>
      <c r="AZ209" s="489"/>
      <c r="BA209" s="489"/>
      <c r="BB209" s="489"/>
      <c r="BC209" s="489"/>
      <c r="BD209" s="489"/>
      <c r="BE209" s="489"/>
      <c r="BF209" s="489"/>
      <c r="BG209" s="489"/>
      <c r="BH209" s="489"/>
      <c r="BI209" s="489"/>
      <c r="BJ209" s="489"/>
      <c r="BK209" s="489"/>
      <c r="BL209" s="489"/>
      <c r="BM209" s="489"/>
      <c r="BN209" s="489"/>
      <c r="BO209" s="489"/>
      <c r="BP209" s="489"/>
      <c r="BQ209" s="489"/>
    </row>
    <row r="210" spans="1:69" s="640" customFormat="1" hidden="1" outlineLevel="1" x14ac:dyDescent="0.25">
      <c r="B210" s="642"/>
      <c r="C210" s="629" t="s">
        <v>165</v>
      </c>
      <c r="D210" s="626"/>
      <c r="E210" s="630">
        <v>0</v>
      </c>
      <c r="F210" s="631">
        <v>4554</v>
      </c>
      <c r="G210" s="631">
        <v>4554</v>
      </c>
      <c r="H210" s="631">
        <v>4554</v>
      </c>
      <c r="I210" s="631">
        <v>4554</v>
      </c>
      <c r="J210" s="631">
        <v>4554</v>
      </c>
      <c r="K210" s="631">
        <v>4554</v>
      </c>
      <c r="L210" s="631">
        <v>4554</v>
      </c>
      <c r="M210" s="631">
        <v>4554</v>
      </c>
      <c r="N210" s="618"/>
      <c r="O210" s="619"/>
    </row>
    <row r="211" spans="1:69" hidden="1" outlineLevel="1" x14ac:dyDescent="0.25">
      <c r="B211" s="643"/>
      <c r="C211" s="632" t="s">
        <v>166</v>
      </c>
      <c r="D211" s="620"/>
      <c r="E211" s="633">
        <v>-30.901288294822674</v>
      </c>
      <c r="F211" s="634">
        <v>3961.7164024453427</v>
      </c>
      <c r="G211" s="634">
        <v>3961.7164024453427</v>
      </c>
      <c r="H211" s="634">
        <v>3652.7035194971163</v>
      </c>
      <c r="I211" s="634">
        <v>3498.1970780230026</v>
      </c>
      <c r="J211" s="634">
        <v>3498.1970780230026</v>
      </c>
      <c r="K211" s="634">
        <v>3498.1970780230026</v>
      </c>
      <c r="L211" s="634">
        <v>3498.1970780230026</v>
      </c>
      <c r="M211" s="634">
        <v>3498.1970780230026</v>
      </c>
      <c r="N211" s="618"/>
      <c r="O211" s="619"/>
    </row>
    <row r="212" spans="1:69" hidden="1" outlineLevel="1" x14ac:dyDescent="0.25">
      <c r="B212" s="643"/>
      <c r="C212" s="635" t="s">
        <v>167</v>
      </c>
      <c r="D212" s="636"/>
      <c r="E212" s="637">
        <v>0</v>
      </c>
      <c r="F212" s="638">
        <v>1982</v>
      </c>
      <c r="G212" s="638">
        <v>1982</v>
      </c>
      <c r="H212" s="638">
        <v>1982</v>
      </c>
      <c r="I212" s="638">
        <v>1982</v>
      </c>
      <c r="J212" s="638">
        <v>1982</v>
      </c>
      <c r="K212" s="638">
        <v>1982</v>
      </c>
      <c r="L212" s="638">
        <v>1982</v>
      </c>
      <c r="M212" s="638">
        <v>1982</v>
      </c>
      <c r="N212" s="618"/>
      <c r="O212" s="619"/>
    </row>
    <row r="213" spans="1:69" hidden="1" outlineLevel="1" x14ac:dyDescent="0.25">
      <c r="B213" s="643"/>
      <c r="C213" s="644"/>
      <c r="D213" s="644"/>
      <c r="E213" s="644"/>
      <c r="F213" s="644"/>
      <c r="G213" s="644"/>
      <c r="H213" s="644"/>
      <c r="I213" s="644"/>
      <c r="J213" s="644"/>
      <c r="K213" s="644"/>
      <c r="L213" s="644"/>
      <c r="M213" s="644"/>
      <c r="N213" s="618"/>
      <c r="O213" s="619"/>
    </row>
    <row r="214" spans="1:69" hidden="1" outlineLevel="1" x14ac:dyDescent="0.25">
      <c r="B214" s="643"/>
      <c r="C214" s="624"/>
      <c r="D214" s="620"/>
      <c r="E214" s="621"/>
      <c r="F214" s="622"/>
      <c r="G214" s="622"/>
      <c r="H214" s="581"/>
      <c r="I214" s="581"/>
      <c r="J214" s="581"/>
      <c r="K214" s="581"/>
      <c r="L214" s="581"/>
      <c r="M214" s="623" t="s">
        <v>361</v>
      </c>
      <c r="N214" s="618"/>
      <c r="O214" s="619"/>
    </row>
    <row r="215" spans="1:69" hidden="1" outlineLevel="1" x14ac:dyDescent="0.25">
      <c r="B215" s="643"/>
      <c r="C215" s="625" t="s">
        <v>364</v>
      </c>
      <c r="D215" s="626" t="s">
        <v>362</v>
      </c>
      <c r="E215" s="627" t="s">
        <v>164</v>
      </c>
      <c r="F215" s="546">
        <v>2015</v>
      </c>
      <c r="G215" s="547">
        <v>2020</v>
      </c>
      <c r="H215" s="628">
        <v>2025</v>
      </c>
      <c r="I215" s="628">
        <v>2030</v>
      </c>
      <c r="J215" s="628">
        <v>2035</v>
      </c>
      <c r="K215" s="628">
        <v>2040</v>
      </c>
      <c r="L215" s="628">
        <v>2045</v>
      </c>
      <c r="M215" s="628">
        <v>2050</v>
      </c>
      <c r="N215" s="618"/>
      <c r="O215" s="619"/>
    </row>
    <row r="216" spans="1:69" hidden="1" outlineLevel="1" x14ac:dyDescent="0.25">
      <c r="B216" s="643"/>
      <c r="C216" s="629" t="s">
        <v>165</v>
      </c>
      <c r="D216" s="626"/>
      <c r="E216" s="630">
        <v>0</v>
      </c>
      <c r="F216" s="631">
        <v>1638</v>
      </c>
      <c r="G216" s="631">
        <v>1638</v>
      </c>
      <c r="H216" s="631">
        <v>1638</v>
      </c>
      <c r="I216" s="631">
        <v>1638</v>
      </c>
      <c r="J216" s="631">
        <v>1638</v>
      </c>
      <c r="K216" s="631">
        <v>1638</v>
      </c>
      <c r="L216" s="631">
        <v>1638</v>
      </c>
      <c r="M216" s="631">
        <v>1638</v>
      </c>
      <c r="N216" s="618"/>
      <c r="O216" s="619"/>
    </row>
    <row r="217" spans="1:69" hidden="1" outlineLevel="1" x14ac:dyDescent="0.25">
      <c r="B217" s="643"/>
      <c r="C217" s="632" t="s">
        <v>166</v>
      </c>
      <c r="D217" s="620"/>
      <c r="E217" s="633">
        <v>-26.482877422028814</v>
      </c>
      <c r="F217" s="634">
        <v>1454.4321831934517</v>
      </c>
      <c r="G217" s="634">
        <v>1454.4321831934517</v>
      </c>
      <c r="H217" s="634">
        <v>1057.1890218630192</v>
      </c>
      <c r="I217" s="634">
        <v>924.77463475287539</v>
      </c>
      <c r="J217" s="634">
        <v>924.77463475287539</v>
      </c>
      <c r="K217" s="634">
        <v>924.77463475287539</v>
      </c>
      <c r="L217" s="634">
        <v>924.77463475287539</v>
      </c>
      <c r="M217" s="634">
        <v>924.77463475287539</v>
      </c>
      <c r="N217" s="618"/>
      <c r="O217" s="619"/>
    </row>
    <row r="218" spans="1:69" hidden="1" outlineLevel="1" x14ac:dyDescent="0.25">
      <c r="B218" s="643"/>
      <c r="C218" s="635" t="s">
        <v>167</v>
      </c>
      <c r="D218" s="636"/>
      <c r="E218" s="637">
        <v>-3.65</v>
      </c>
      <c r="F218" s="638">
        <v>1036</v>
      </c>
      <c r="G218" s="638">
        <v>1036</v>
      </c>
      <c r="H218" s="638">
        <v>981.25</v>
      </c>
      <c r="I218" s="638">
        <v>963</v>
      </c>
      <c r="J218" s="638">
        <v>944.75</v>
      </c>
      <c r="K218" s="638">
        <v>926.5</v>
      </c>
      <c r="L218" s="638">
        <v>908.25</v>
      </c>
      <c r="M218" s="638">
        <v>890</v>
      </c>
      <c r="N218" s="618"/>
      <c r="O218" s="619"/>
    </row>
    <row r="219" spans="1:69" ht="10.5" hidden="1" customHeight="1" outlineLevel="1" x14ac:dyDescent="0.25">
      <c r="B219" s="643"/>
      <c r="C219" s="644"/>
      <c r="D219" s="644"/>
      <c r="E219" s="644"/>
      <c r="F219" s="644"/>
      <c r="G219" s="644"/>
      <c r="H219" s="644"/>
      <c r="I219" s="644"/>
      <c r="J219" s="644"/>
      <c r="K219" s="644"/>
      <c r="L219" s="644"/>
      <c r="M219" s="644"/>
      <c r="N219" s="618"/>
      <c r="O219" s="619"/>
    </row>
    <row r="220" spans="1:69" hidden="1" outlineLevel="1" x14ac:dyDescent="0.25">
      <c r="B220" s="643"/>
      <c r="C220" s="620"/>
      <c r="D220" s="621"/>
      <c r="E220" s="622"/>
      <c r="F220" s="622"/>
      <c r="G220" s="581"/>
      <c r="H220" s="581"/>
      <c r="I220" s="581"/>
      <c r="J220" s="581"/>
      <c r="K220" s="581"/>
      <c r="L220" s="644"/>
      <c r="M220" s="623" t="s">
        <v>365</v>
      </c>
      <c r="N220" s="618"/>
      <c r="O220" s="619"/>
    </row>
    <row r="221" spans="1:69" ht="15.75" hidden="1" customHeight="1" outlineLevel="1" x14ac:dyDescent="0.25">
      <c r="B221" s="643"/>
      <c r="C221" s="645" t="s">
        <v>366</v>
      </c>
      <c r="D221" s="626" t="s">
        <v>367</v>
      </c>
      <c r="E221" s="627" t="s">
        <v>164</v>
      </c>
      <c r="F221" s="546">
        <v>2015</v>
      </c>
      <c r="G221" s="547">
        <v>2020</v>
      </c>
      <c r="H221" s="628">
        <v>2025</v>
      </c>
      <c r="I221" s="628">
        <v>2030</v>
      </c>
      <c r="J221" s="628">
        <v>2035</v>
      </c>
      <c r="K221" s="628">
        <v>2040</v>
      </c>
      <c r="L221" s="628">
        <v>2045</v>
      </c>
      <c r="M221" s="628">
        <v>2050</v>
      </c>
      <c r="N221" s="618"/>
      <c r="O221" s="619"/>
    </row>
    <row r="222" spans="1:69" ht="12.75" hidden="1" customHeight="1" outlineLevel="1" x14ac:dyDescent="0.25">
      <c r="B222" s="643"/>
      <c r="C222" s="629" t="s">
        <v>165</v>
      </c>
      <c r="D222" s="626"/>
      <c r="E222" s="630">
        <v>0</v>
      </c>
      <c r="F222" s="631">
        <v>2580</v>
      </c>
      <c r="G222" s="631">
        <v>2580</v>
      </c>
      <c r="H222" s="631">
        <v>2580</v>
      </c>
      <c r="I222" s="631">
        <v>2580</v>
      </c>
      <c r="J222" s="631">
        <v>2580</v>
      </c>
      <c r="K222" s="631">
        <v>2580</v>
      </c>
      <c r="L222" s="631">
        <v>2580</v>
      </c>
      <c r="M222" s="631">
        <v>2580</v>
      </c>
      <c r="N222" s="618"/>
      <c r="O222" s="619"/>
    </row>
    <row r="223" spans="1:69" ht="16.5" hidden="1" customHeight="1" outlineLevel="1" x14ac:dyDescent="0.25">
      <c r="B223" s="643"/>
      <c r="C223" s="632" t="s">
        <v>166</v>
      </c>
      <c r="D223" s="620"/>
      <c r="E223" s="633">
        <v>-6.5245829447725638</v>
      </c>
      <c r="F223" s="634">
        <v>1148.1970780230029</v>
      </c>
      <c r="G223" s="634">
        <v>1148.1970780230029</v>
      </c>
      <c r="H223" s="634">
        <v>1050.3283338514145</v>
      </c>
      <c r="I223" s="634">
        <v>1017.7054191275517</v>
      </c>
      <c r="J223" s="634">
        <v>985.08250440368897</v>
      </c>
      <c r="K223" s="634">
        <v>952.45958967982619</v>
      </c>
      <c r="L223" s="634">
        <v>919.83667495596342</v>
      </c>
      <c r="M223" s="634">
        <v>887.2137602321003</v>
      </c>
      <c r="N223" s="618"/>
      <c r="O223" s="619"/>
    </row>
    <row r="224" spans="1:69" ht="10.5" hidden="1" customHeight="1" outlineLevel="1" x14ac:dyDescent="0.25">
      <c r="B224" s="643"/>
      <c r="C224" s="635" t="s">
        <v>167</v>
      </c>
      <c r="D224" s="636"/>
      <c r="E224" s="637">
        <v>-0.21249999999999999</v>
      </c>
      <c r="F224" s="638">
        <v>61</v>
      </c>
      <c r="G224" s="638">
        <v>61</v>
      </c>
      <c r="H224" s="638">
        <v>57.8125</v>
      </c>
      <c r="I224" s="638">
        <v>56.75</v>
      </c>
      <c r="J224" s="638">
        <v>55.6875</v>
      </c>
      <c r="K224" s="638">
        <v>54.625</v>
      </c>
      <c r="L224" s="638">
        <v>53.5625</v>
      </c>
      <c r="M224" s="638">
        <v>52.5</v>
      </c>
      <c r="N224" s="618"/>
      <c r="O224" s="619"/>
    </row>
    <row r="225" spans="1:15" ht="12" hidden="1" customHeight="1" outlineLevel="1" x14ac:dyDescent="0.25">
      <c r="B225" s="643"/>
      <c r="C225" s="644"/>
      <c r="D225" s="644"/>
      <c r="E225" s="644"/>
      <c r="F225" s="644"/>
      <c r="G225" s="644"/>
      <c r="H225" s="644"/>
      <c r="I225" s="644"/>
      <c r="J225" s="644"/>
      <c r="K225" s="644"/>
      <c r="L225" s="644"/>
      <c r="M225" s="644"/>
      <c r="N225" s="618"/>
      <c r="O225" s="619"/>
    </row>
    <row r="226" spans="1:15" ht="12" hidden="1" customHeight="1" outlineLevel="1" x14ac:dyDescent="0.25">
      <c r="B226" s="643"/>
      <c r="C226" s="522" t="s">
        <v>368</v>
      </c>
      <c r="D226" s="620"/>
      <c r="E226" s="621"/>
      <c r="F226" s="622"/>
      <c r="G226" s="622"/>
      <c r="H226" s="581"/>
      <c r="I226" s="581"/>
      <c r="J226" s="581"/>
      <c r="K226" s="581"/>
      <c r="L226" s="581"/>
      <c r="M226" s="644"/>
      <c r="N226" s="646"/>
      <c r="O226" s="619"/>
    </row>
    <row r="227" spans="1:15" ht="12" hidden="1" customHeight="1" outlineLevel="1" x14ac:dyDescent="0.25">
      <c r="B227" s="643"/>
      <c r="C227" s="624"/>
      <c r="D227" s="620"/>
      <c r="E227" s="621"/>
      <c r="F227" s="622"/>
      <c r="G227" s="622"/>
      <c r="H227" s="581"/>
      <c r="I227" s="581"/>
      <c r="J227" s="581"/>
      <c r="K227" s="581"/>
      <c r="L227" s="581"/>
      <c r="M227" s="623" t="s">
        <v>361</v>
      </c>
      <c r="N227" s="646"/>
      <c r="O227" s="619"/>
    </row>
    <row r="228" spans="1:15" ht="12" hidden="1" customHeight="1" outlineLevel="1" x14ac:dyDescent="0.25">
      <c r="B228" s="643"/>
      <c r="C228" s="625" t="s">
        <v>340</v>
      </c>
      <c r="D228" s="626"/>
      <c r="E228" s="627" t="s">
        <v>164</v>
      </c>
      <c r="F228" s="546">
        <v>2015</v>
      </c>
      <c r="G228" s="547">
        <v>2020</v>
      </c>
      <c r="H228" s="628">
        <v>2025</v>
      </c>
      <c r="I228" s="628">
        <v>2030</v>
      </c>
      <c r="J228" s="628">
        <v>2035</v>
      </c>
      <c r="K228" s="628">
        <v>2040</v>
      </c>
      <c r="L228" s="628">
        <v>2045</v>
      </c>
      <c r="M228" s="628">
        <v>2050</v>
      </c>
      <c r="N228" s="646"/>
      <c r="O228" s="619"/>
    </row>
    <row r="229" spans="1:15" hidden="1" outlineLevel="1" x14ac:dyDescent="0.25">
      <c r="B229" s="643"/>
      <c r="C229" s="629" t="s">
        <v>165</v>
      </c>
      <c r="D229" s="626"/>
      <c r="E229" s="630">
        <v>0</v>
      </c>
      <c r="F229" s="631">
        <v>104</v>
      </c>
      <c r="G229" s="631">
        <v>104</v>
      </c>
      <c r="H229" s="631">
        <v>104</v>
      </c>
      <c r="I229" s="631">
        <v>104</v>
      </c>
      <c r="J229" s="631">
        <v>104</v>
      </c>
      <c r="K229" s="631">
        <v>104</v>
      </c>
      <c r="L229" s="631">
        <v>104</v>
      </c>
      <c r="M229" s="631">
        <v>104</v>
      </c>
      <c r="N229" s="646"/>
      <c r="O229" s="619"/>
    </row>
    <row r="230" spans="1:15" ht="15" hidden="1" customHeight="1" outlineLevel="1" x14ac:dyDescent="0.25">
      <c r="B230" s="643"/>
      <c r="C230" s="632" t="s">
        <v>166</v>
      </c>
      <c r="D230" s="620"/>
      <c r="E230" s="633">
        <v>0</v>
      </c>
      <c r="F230" s="634">
        <v>103.61620557455186</v>
      </c>
      <c r="G230" s="634">
        <v>103.61620557455186</v>
      </c>
      <c r="H230" s="634">
        <v>103.61620557455186</v>
      </c>
      <c r="I230" s="634">
        <v>103.61620557455186</v>
      </c>
      <c r="J230" s="634">
        <v>103.61620557455186</v>
      </c>
      <c r="K230" s="634">
        <v>103.61620557455186</v>
      </c>
      <c r="L230" s="634">
        <v>103.61620557455186</v>
      </c>
      <c r="M230" s="634">
        <v>103.61620557455186</v>
      </c>
      <c r="N230" s="646"/>
      <c r="O230" s="619"/>
    </row>
    <row r="231" spans="1:15" ht="15.75" hidden="1" outlineLevel="1" x14ac:dyDescent="0.25">
      <c r="B231" s="647"/>
      <c r="C231" s="635" t="s">
        <v>167</v>
      </c>
      <c r="D231" s="636"/>
      <c r="E231" s="637">
        <v>0</v>
      </c>
      <c r="F231" s="638">
        <v>44</v>
      </c>
      <c r="G231" s="638">
        <v>44</v>
      </c>
      <c r="H231" s="638">
        <v>44</v>
      </c>
      <c r="I231" s="638">
        <v>44</v>
      </c>
      <c r="J231" s="638">
        <v>44</v>
      </c>
      <c r="K231" s="638">
        <v>44</v>
      </c>
      <c r="L231" s="638">
        <v>44</v>
      </c>
      <c r="M231" s="638">
        <v>44</v>
      </c>
      <c r="N231" s="520"/>
      <c r="O231" s="619"/>
    </row>
    <row r="232" spans="1:15" s="489" customFormat="1" ht="15.75" hidden="1" outlineLevel="1" x14ac:dyDescent="0.25">
      <c r="A232" s="487"/>
      <c r="B232" s="648"/>
      <c r="C232" s="639"/>
      <c r="D232" s="639"/>
      <c r="E232" s="639"/>
      <c r="F232" s="639"/>
      <c r="G232" s="639"/>
      <c r="H232" s="639"/>
      <c r="I232" s="639"/>
      <c r="J232" s="639"/>
      <c r="K232" s="639"/>
      <c r="L232" s="639"/>
      <c r="M232" s="639"/>
      <c r="N232" s="527"/>
      <c r="O232" s="619"/>
    </row>
    <row r="233" spans="1:15" hidden="1" outlineLevel="1" x14ac:dyDescent="0.25">
      <c r="B233" s="643"/>
      <c r="C233" s="639"/>
      <c r="D233" s="639"/>
      <c r="E233" s="639"/>
      <c r="F233" s="639"/>
      <c r="G233" s="639"/>
      <c r="H233" s="639"/>
      <c r="I233" s="639"/>
      <c r="J233" s="639"/>
      <c r="K233" s="639"/>
      <c r="L233" s="639"/>
      <c r="M233" s="623" t="s">
        <v>361</v>
      </c>
      <c r="N233" s="520"/>
      <c r="O233" s="619"/>
    </row>
    <row r="234" spans="1:15" hidden="1" outlineLevel="1" x14ac:dyDescent="0.25">
      <c r="B234" s="643"/>
      <c r="C234" s="625" t="s">
        <v>363</v>
      </c>
      <c r="D234" s="626"/>
      <c r="E234" s="627" t="s">
        <v>164</v>
      </c>
      <c r="F234" s="546">
        <v>2015</v>
      </c>
      <c r="G234" s="547">
        <v>2020</v>
      </c>
      <c r="H234" s="628">
        <v>2025</v>
      </c>
      <c r="I234" s="628">
        <v>2030</v>
      </c>
      <c r="J234" s="628">
        <v>2035</v>
      </c>
      <c r="K234" s="628">
        <v>2040</v>
      </c>
      <c r="L234" s="628">
        <v>2045</v>
      </c>
      <c r="M234" s="628">
        <v>2050</v>
      </c>
      <c r="N234" s="520"/>
      <c r="O234" s="619"/>
    </row>
    <row r="235" spans="1:15" hidden="1" outlineLevel="1" x14ac:dyDescent="0.25">
      <c r="B235" s="643"/>
      <c r="C235" s="629" t="s">
        <v>165</v>
      </c>
      <c r="D235" s="626"/>
      <c r="E235" s="630">
        <v>0</v>
      </c>
      <c r="F235" s="631">
        <v>186</v>
      </c>
      <c r="G235" s="631">
        <v>186</v>
      </c>
      <c r="H235" s="631">
        <v>186</v>
      </c>
      <c r="I235" s="631">
        <v>186</v>
      </c>
      <c r="J235" s="631">
        <v>186</v>
      </c>
      <c r="K235" s="631">
        <v>186</v>
      </c>
      <c r="L235" s="631">
        <v>186</v>
      </c>
      <c r="M235" s="631">
        <v>186</v>
      </c>
      <c r="N235" s="520"/>
      <c r="O235" s="619"/>
    </row>
    <row r="236" spans="1:15" ht="15" hidden="1" customHeight="1" outlineLevel="1" x14ac:dyDescent="0.25">
      <c r="B236" s="643"/>
      <c r="C236" s="632" t="s">
        <v>166</v>
      </c>
      <c r="D236" s="620"/>
      <c r="E236" s="633">
        <v>0</v>
      </c>
      <c r="F236" s="634">
        <v>106.05895762097192</v>
      </c>
      <c r="G236" s="634">
        <v>106.05895762097192</v>
      </c>
      <c r="H236" s="634">
        <v>106.05895762097192</v>
      </c>
      <c r="I236" s="634">
        <v>106.05895762097192</v>
      </c>
      <c r="J236" s="634">
        <v>106.05895762097192</v>
      </c>
      <c r="K236" s="634">
        <v>106.05895762097192</v>
      </c>
      <c r="L236" s="634">
        <v>106.05895762097192</v>
      </c>
      <c r="M236" s="634">
        <v>106.05895762097192</v>
      </c>
      <c r="N236" s="520"/>
      <c r="O236" s="619"/>
    </row>
    <row r="237" spans="1:15" hidden="1" outlineLevel="1" x14ac:dyDescent="0.25">
      <c r="B237" s="643"/>
      <c r="C237" s="635" t="s">
        <v>167</v>
      </c>
      <c r="D237" s="636"/>
      <c r="E237" s="637">
        <v>0</v>
      </c>
      <c r="F237" s="638">
        <v>44</v>
      </c>
      <c r="G237" s="638">
        <v>44</v>
      </c>
      <c r="H237" s="638">
        <v>44</v>
      </c>
      <c r="I237" s="638">
        <v>44</v>
      </c>
      <c r="J237" s="638">
        <v>44</v>
      </c>
      <c r="K237" s="638">
        <v>44</v>
      </c>
      <c r="L237" s="638">
        <v>44</v>
      </c>
      <c r="M237" s="638">
        <v>44</v>
      </c>
      <c r="N237" s="520"/>
      <c r="O237" s="619"/>
    </row>
    <row r="238" spans="1:15" hidden="1" outlineLevel="1" x14ac:dyDescent="0.25">
      <c r="B238" s="643"/>
      <c r="C238" s="644"/>
      <c r="D238" s="644"/>
      <c r="E238" s="644"/>
      <c r="F238" s="644"/>
      <c r="G238" s="644"/>
      <c r="H238" s="644"/>
      <c r="I238" s="644"/>
      <c r="J238" s="644"/>
      <c r="K238" s="644"/>
      <c r="L238" s="644"/>
      <c r="M238" s="644"/>
      <c r="N238" s="520"/>
      <c r="O238" s="619"/>
    </row>
    <row r="239" spans="1:15" hidden="1" outlineLevel="1" x14ac:dyDescent="0.25">
      <c r="B239" s="643"/>
      <c r="C239" s="624"/>
      <c r="D239" s="620"/>
      <c r="E239" s="621"/>
      <c r="F239" s="622"/>
      <c r="G239" s="622"/>
      <c r="H239" s="581"/>
      <c r="I239" s="581"/>
      <c r="J239" s="581"/>
      <c r="K239" s="581"/>
      <c r="L239" s="581"/>
      <c r="M239" s="623" t="s">
        <v>361</v>
      </c>
      <c r="N239" s="520"/>
      <c r="O239" s="619"/>
    </row>
    <row r="240" spans="1:15" hidden="1" outlineLevel="1" x14ac:dyDescent="0.25">
      <c r="B240" s="643"/>
      <c r="C240" s="625" t="s">
        <v>364</v>
      </c>
      <c r="D240" s="626"/>
      <c r="E240" s="627" t="s">
        <v>164</v>
      </c>
      <c r="F240" s="546">
        <v>2015</v>
      </c>
      <c r="G240" s="547">
        <v>2020</v>
      </c>
      <c r="H240" s="628">
        <v>2025</v>
      </c>
      <c r="I240" s="628">
        <v>2030</v>
      </c>
      <c r="J240" s="628">
        <v>2035</v>
      </c>
      <c r="K240" s="628">
        <v>2040</v>
      </c>
      <c r="L240" s="628">
        <v>2045</v>
      </c>
      <c r="M240" s="628">
        <v>2050</v>
      </c>
      <c r="N240" s="520"/>
      <c r="O240" s="619"/>
    </row>
    <row r="241" spans="1:15" hidden="1" outlineLevel="1" x14ac:dyDescent="0.25">
      <c r="B241" s="643"/>
      <c r="C241" s="629" t="s">
        <v>165</v>
      </c>
      <c r="D241" s="626"/>
      <c r="E241" s="630">
        <v>0</v>
      </c>
      <c r="F241" s="631">
        <v>114</v>
      </c>
      <c r="G241" s="631">
        <v>114</v>
      </c>
      <c r="H241" s="631">
        <v>114</v>
      </c>
      <c r="I241" s="631">
        <v>114</v>
      </c>
      <c r="J241" s="631">
        <v>114</v>
      </c>
      <c r="K241" s="631">
        <v>114</v>
      </c>
      <c r="L241" s="631">
        <v>114</v>
      </c>
      <c r="M241" s="631">
        <v>114</v>
      </c>
      <c r="N241" s="520"/>
      <c r="O241" s="619"/>
    </row>
    <row r="242" spans="1:15" ht="15" hidden="1" customHeight="1" outlineLevel="1" x14ac:dyDescent="0.25">
      <c r="B242" s="643"/>
      <c r="C242" s="632" t="s">
        <v>166</v>
      </c>
      <c r="D242" s="620"/>
      <c r="E242" s="633">
        <v>-0.54730535025600013</v>
      </c>
      <c r="F242" s="634">
        <v>73.30458848490656</v>
      </c>
      <c r="G242" s="634">
        <v>75.435888240889682</v>
      </c>
      <c r="H242" s="634">
        <v>67.226307987049694</v>
      </c>
      <c r="I242" s="634">
        <v>64.489781235769698</v>
      </c>
      <c r="J242" s="634">
        <v>61.753254484489695</v>
      </c>
      <c r="K242" s="634">
        <v>59.016727733209692</v>
      </c>
      <c r="L242" s="634">
        <v>56.280200981929688</v>
      </c>
      <c r="M242" s="634">
        <v>53.543674230649678</v>
      </c>
      <c r="N242" s="520"/>
      <c r="O242" s="619"/>
    </row>
    <row r="243" spans="1:15" hidden="1" outlineLevel="1" x14ac:dyDescent="0.25">
      <c r="B243" s="643"/>
      <c r="C243" s="635" t="s">
        <v>167</v>
      </c>
      <c r="D243" s="636"/>
      <c r="E243" s="637">
        <v>0</v>
      </c>
      <c r="F243" s="638">
        <v>30</v>
      </c>
      <c r="G243" s="638">
        <v>30</v>
      </c>
      <c r="H243" s="638">
        <v>30</v>
      </c>
      <c r="I243" s="638">
        <v>30</v>
      </c>
      <c r="J243" s="638">
        <v>30</v>
      </c>
      <c r="K243" s="638">
        <v>30</v>
      </c>
      <c r="L243" s="638">
        <v>30</v>
      </c>
      <c r="M243" s="638">
        <v>30</v>
      </c>
      <c r="N243" s="520"/>
      <c r="O243" s="619"/>
    </row>
    <row r="244" spans="1:15" hidden="1" outlineLevel="1" x14ac:dyDescent="0.25">
      <c r="B244" s="643"/>
      <c r="C244" s="644"/>
      <c r="D244" s="644"/>
      <c r="E244" s="644"/>
      <c r="F244" s="644"/>
      <c r="G244" s="644"/>
      <c r="H244" s="644"/>
      <c r="I244" s="644"/>
      <c r="J244" s="644"/>
      <c r="K244" s="644"/>
      <c r="L244" s="644"/>
      <c r="M244" s="644"/>
      <c r="N244" s="520"/>
      <c r="O244" s="619"/>
    </row>
    <row r="245" spans="1:15" hidden="1" outlineLevel="1" x14ac:dyDescent="0.25">
      <c r="B245" s="643"/>
      <c r="C245" s="620"/>
      <c r="D245" s="621"/>
      <c r="E245" s="622"/>
      <c r="F245" s="622"/>
      <c r="G245" s="581"/>
      <c r="H245" s="581"/>
      <c r="I245" s="581"/>
      <c r="J245" s="581"/>
      <c r="K245" s="581"/>
      <c r="L245" s="644"/>
      <c r="M245" s="623" t="s">
        <v>365</v>
      </c>
      <c r="N245" s="520"/>
      <c r="O245" s="619"/>
    </row>
    <row r="246" spans="1:15" hidden="1" outlineLevel="1" x14ac:dyDescent="0.25">
      <c r="B246" s="643"/>
      <c r="C246" s="645" t="s">
        <v>366</v>
      </c>
      <c r="D246" s="626"/>
      <c r="E246" s="627" t="s">
        <v>164</v>
      </c>
      <c r="F246" s="546">
        <v>2015</v>
      </c>
      <c r="G246" s="547">
        <v>2020</v>
      </c>
      <c r="H246" s="628">
        <v>2025</v>
      </c>
      <c r="I246" s="628">
        <v>2030</v>
      </c>
      <c r="J246" s="628">
        <v>2035</v>
      </c>
      <c r="K246" s="628">
        <v>2040</v>
      </c>
      <c r="L246" s="628">
        <v>2045</v>
      </c>
      <c r="M246" s="628">
        <v>2050</v>
      </c>
      <c r="N246" s="520"/>
      <c r="O246" s="619"/>
    </row>
    <row r="247" spans="1:15" hidden="1" outlineLevel="1" x14ac:dyDescent="0.25">
      <c r="B247" s="643"/>
      <c r="C247" s="629" t="s">
        <v>165</v>
      </c>
      <c r="D247" s="626"/>
      <c r="E247" s="630">
        <v>0</v>
      </c>
      <c r="F247" s="631">
        <v>127</v>
      </c>
      <c r="G247" s="631">
        <v>127</v>
      </c>
      <c r="H247" s="631">
        <v>127</v>
      </c>
      <c r="I247" s="631">
        <v>127</v>
      </c>
      <c r="J247" s="631">
        <v>127</v>
      </c>
      <c r="K247" s="631">
        <v>127</v>
      </c>
      <c r="L247" s="631">
        <v>127</v>
      </c>
      <c r="M247" s="631">
        <v>127</v>
      </c>
      <c r="N247" s="520"/>
      <c r="O247" s="619"/>
    </row>
    <row r="248" spans="1:15" ht="16.5" hidden="1" customHeight="1" outlineLevel="1" x14ac:dyDescent="0.25">
      <c r="B248" s="643"/>
      <c r="C248" s="632" t="s">
        <v>166</v>
      </c>
      <c r="D248" s="620"/>
      <c r="E248" s="633">
        <v>-0.15490975132707216</v>
      </c>
      <c r="F248" s="634">
        <v>49.585676137426482</v>
      </c>
      <c r="G248" s="634">
        <v>49.585676137426482</v>
      </c>
      <c r="H248" s="634">
        <v>49.628154382131648</v>
      </c>
      <c r="I248" s="634">
        <v>49.733883649444579</v>
      </c>
      <c r="J248" s="634">
        <v>50.542145891617452</v>
      </c>
      <c r="K248" s="634">
        <v>52.58582012226713</v>
      </c>
      <c r="L248" s="634">
        <v>43.389286084343595</v>
      </c>
      <c r="M248" s="634">
        <v>43.389286084343595</v>
      </c>
      <c r="N248" s="520"/>
      <c r="O248" s="619"/>
    </row>
    <row r="249" spans="1:15" hidden="1" outlineLevel="1" x14ac:dyDescent="0.25">
      <c r="B249" s="643"/>
      <c r="C249" s="635" t="s">
        <v>167</v>
      </c>
      <c r="D249" s="636"/>
      <c r="E249" s="637">
        <v>0</v>
      </c>
      <c r="F249" s="638">
        <v>22.5</v>
      </c>
      <c r="G249" s="638">
        <v>22.5</v>
      </c>
      <c r="H249" s="638">
        <v>22.5</v>
      </c>
      <c r="I249" s="638">
        <v>22.5</v>
      </c>
      <c r="J249" s="638">
        <v>22.5</v>
      </c>
      <c r="K249" s="638">
        <v>22.5</v>
      </c>
      <c r="L249" s="638">
        <v>22.5</v>
      </c>
      <c r="M249" s="638">
        <v>22.5</v>
      </c>
      <c r="N249" s="520"/>
      <c r="O249" s="619"/>
    </row>
    <row r="250" spans="1:15" hidden="1" outlineLevel="1" x14ac:dyDescent="0.25">
      <c r="B250" s="643"/>
      <c r="C250" s="649"/>
      <c r="D250" s="650"/>
      <c r="E250" s="651"/>
      <c r="F250" s="652"/>
      <c r="G250" s="652"/>
      <c r="H250" s="653"/>
      <c r="I250" s="653"/>
      <c r="J250" s="653"/>
      <c r="K250" s="653"/>
      <c r="L250" s="653"/>
      <c r="M250" s="654"/>
      <c r="N250" s="520"/>
      <c r="O250" s="619"/>
    </row>
    <row r="251" spans="1:15" hidden="1" outlineLevel="1" x14ac:dyDescent="0.25">
      <c r="B251" s="609"/>
      <c r="C251" s="610"/>
      <c r="D251" s="610"/>
      <c r="E251" s="610"/>
      <c r="F251" s="610"/>
      <c r="G251" s="610"/>
      <c r="H251" s="610"/>
      <c r="I251" s="610"/>
      <c r="J251" s="610"/>
      <c r="K251" s="610"/>
      <c r="L251" s="610"/>
      <c r="M251" s="610"/>
      <c r="N251" s="611"/>
    </row>
    <row r="252" spans="1:15" hidden="1" outlineLevel="1" x14ac:dyDescent="0.25">
      <c r="B252" s="612"/>
    </row>
    <row r="253" spans="1:15" collapsed="1" x14ac:dyDescent="0.25"/>
    <row r="254" spans="1:15" ht="19.5" customHeight="1" x14ac:dyDescent="0.35">
      <c r="A254" s="490"/>
      <c r="B254" s="539" t="s">
        <v>369</v>
      </c>
      <c r="C254" s="655"/>
      <c r="D254" s="655"/>
      <c r="E254" s="655"/>
      <c r="F254" s="655"/>
      <c r="G254" s="655"/>
      <c r="H254" s="655"/>
      <c r="I254" s="655"/>
      <c r="J254" s="655"/>
      <c r="K254" s="655"/>
      <c r="L254" s="655"/>
      <c r="M254" s="655"/>
      <c r="N254" s="656"/>
    </row>
    <row r="255" spans="1:15" ht="16.5" customHeight="1" x14ac:dyDescent="0.25">
      <c r="B255" s="543"/>
      <c r="C255" s="520"/>
      <c r="D255" s="520"/>
      <c r="E255" s="520"/>
      <c r="F255" s="520"/>
      <c r="G255" s="520"/>
      <c r="H255" s="520"/>
      <c r="I255" s="520"/>
      <c r="J255" s="520"/>
      <c r="K255" s="520"/>
      <c r="L255" s="520"/>
      <c r="M255" s="520"/>
      <c r="N255" s="521"/>
    </row>
    <row r="256" spans="1:15" ht="16.5" customHeight="1" x14ac:dyDescent="0.25">
      <c r="B256" s="543"/>
      <c r="C256" s="522"/>
      <c r="D256" s="520"/>
      <c r="E256" s="520"/>
      <c r="F256" s="520"/>
      <c r="G256" s="520"/>
      <c r="H256" s="520"/>
      <c r="I256" s="520"/>
      <c r="J256" s="520"/>
      <c r="K256" s="520"/>
      <c r="L256" s="520"/>
      <c r="M256" s="520"/>
      <c r="N256" s="521"/>
    </row>
    <row r="257" spans="2:14" ht="16.5" customHeight="1" x14ac:dyDescent="0.25">
      <c r="B257" s="543"/>
      <c r="C257" s="522" t="s">
        <v>1706</v>
      </c>
      <c r="D257" s="520"/>
      <c r="E257" s="520"/>
      <c r="F257" s="520"/>
      <c r="G257" s="520"/>
      <c r="H257" s="520"/>
      <c r="I257" s="520"/>
      <c r="J257" s="520"/>
      <c r="K257" s="520"/>
      <c r="L257" s="520"/>
      <c r="M257" s="2883" t="s">
        <v>171</v>
      </c>
      <c r="N257" s="521"/>
    </row>
    <row r="258" spans="2:14" ht="16.5" customHeight="1" x14ac:dyDescent="0.25">
      <c r="B258" s="543"/>
      <c r="C258" s="520"/>
      <c r="D258" s="520"/>
      <c r="E258" s="520"/>
      <c r="F258" s="520"/>
      <c r="G258" s="520"/>
      <c r="H258" s="520"/>
      <c r="I258" s="520"/>
      <c r="J258" s="520"/>
      <c r="K258" s="520"/>
      <c r="L258" s="520"/>
      <c r="M258" s="520"/>
      <c r="N258" s="521"/>
    </row>
    <row r="259" spans="2:14" ht="16.5" customHeight="1" x14ac:dyDescent="0.25">
      <c r="B259" s="543"/>
      <c r="C259" s="523" t="s">
        <v>155</v>
      </c>
      <c r="D259" s="523" t="s">
        <v>156</v>
      </c>
      <c r="E259" s="523" t="s">
        <v>8</v>
      </c>
      <c r="F259" s="546">
        <v>2015</v>
      </c>
      <c r="G259" s="547">
        <v>2020</v>
      </c>
      <c r="H259" s="525">
        <v>2025</v>
      </c>
      <c r="I259" s="525">
        <v>2030</v>
      </c>
      <c r="J259" s="525">
        <v>2035</v>
      </c>
      <c r="K259" s="525">
        <v>2040</v>
      </c>
      <c r="L259" s="525">
        <v>2045</v>
      </c>
      <c r="M259" s="525">
        <v>2050</v>
      </c>
      <c r="N259" s="521"/>
    </row>
    <row r="260" spans="2:14" ht="16.5" customHeight="1" x14ac:dyDescent="0.25">
      <c r="B260" s="543"/>
      <c r="C260" s="549"/>
      <c r="D260" s="549"/>
      <c r="E260" s="549"/>
      <c r="F260" s="2884">
        <f t="shared" ref="F260:M260" ca="1" si="4">F17+F18</f>
        <v>40.919162803547032</v>
      </c>
      <c r="G260" s="2884">
        <f t="shared" ca="1" si="4"/>
        <v>45.628077201078575</v>
      </c>
      <c r="H260" s="2884">
        <f t="shared" ca="1" si="4"/>
        <v>54.628902270184639</v>
      </c>
      <c r="I260" s="2884">
        <f ca="1">I17+I18</f>
        <v>64.245120763478567</v>
      </c>
      <c r="J260" s="2884">
        <f t="shared" ca="1" si="4"/>
        <v>76.130687827328813</v>
      </c>
      <c r="K260" s="2884">
        <f t="shared" ca="1" si="4"/>
        <v>89.20371875178617</v>
      </c>
      <c r="L260" s="2884">
        <f t="shared" ca="1" si="4"/>
        <v>102.73513492528676</v>
      </c>
      <c r="M260" s="2884">
        <f t="shared" ca="1" si="4"/>
        <v>115.00589793784488</v>
      </c>
      <c r="N260" s="521"/>
    </row>
    <row r="261" spans="2:14" ht="16.5" customHeight="1" x14ac:dyDescent="0.25">
      <c r="B261" s="543"/>
      <c r="C261" s="549"/>
      <c r="D261" s="549"/>
      <c r="E261" s="549"/>
      <c r="F261" s="2881"/>
      <c r="G261" s="2881"/>
      <c r="H261" s="2882"/>
      <c r="I261" s="2882"/>
      <c r="J261" s="2882"/>
      <c r="K261" s="2882"/>
      <c r="L261" s="2882"/>
      <c r="M261" s="2882"/>
      <c r="N261" s="521"/>
    </row>
    <row r="262" spans="2:14" ht="15" customHeight="1" x14ac:dyDescent="0.25">
      <c r="B262" s="543"/>
      <c r="C262" s="522" t="s">
        <v>169</v>
      </c>
      <c r="D262" s="520"/>
      <c r="E262" s="520"/>
      <c r="F262" s="520"/>
      <c r="G262" s="520"/>
      <c r="H262" s="520"/>
      <c r="I262" s="520"/>
      <c r="J262" s="520"/>
      <c r="K262" s="520"/>
      <c r="L262" s="520"/>
      <c r="M262" s="544" t="s">
        <v>152</v>
      </c>
      <c r="N262" s="521"/>
    </row>
    <row r="263" spans="2:14" ht="4.5" customHeight="1" x14ac:dyDescent="0.25">
      <c r="B263" s="543"/>
      <c r="C263" s="520"/>
      <c r="D263" s="520"/>
      <c r="E263" s="520"/>
      <c r="F263" s="520"/>
      <c r="G263" s="520"/>
      <c r="H263" s="520"/>
      <c r="I263" s="520"/>
      <c r="J263" s="520"/>
      <c r="K263" s="520"/>
      <c r="L263" s="520"/>
      <c r="M263" s="520"/>
      <c r="N263" s="521"/>
    </row>
    <row r="264" spans="2:14" x14ac:dyDescent="0.25">
      <c r="B264" s="543"/>
      <c r="C264" s="523" t="s">
        <v>155</v>
      </c>
      <c r="D264" s="523" t="s">
        <v>156</v>
      </c>
      <c r="E264" s="523" t="s">
        <v>8</v>
      </c>
      <c r="F264" s="546">
        <v>2015</v>
      </c>
      <c r="G264" s="547">
        <v>2020</v>
      </c>
      <c r="H264" s="525">
        <v>2025</v>
      </c>
      <c r="I264" s="525">
        <v>2030</v>
      </c>
      <c r="J264" s="525">
        <v>2035</v>
      </c>
      <c r="K264" s="525">
        <v>2040</v>
      </c>
      <c r="L264" s="525">
        <v>2045</v>
      </c>
      <c r="M264" s="525">
        <v>2050</v>
      </c>
      <c r="N264" s="521"/>
    </row>
    <row r="265" spans="2:14" x14ac:dyDescent="0.25">
      <c r="B265" s="543"/>
      <c r="C265" s="548" t="s">
        <v>330</v>
      </c>
      <c r="D265" s="527" t="s">
        <v>331</v>
      </c>
      <c r="E265" s="528"/>
      <c r="F265" s="657">
        <f t="shared" ref="F265:M265" si="5">F30</f>
        <v>0.4</v>
      </c>
      <c r="G265" s="658">
        <f t="shared" si="5"/>
        <v>0.4</v>
      </c>
      <c r="H265" s="582">
        <f t="shared" si="5"/>
        <v>0.4</v>
      </c>
      <c r="I265" s="582">
        <f t="shared" si="5"/>
        <v>0.4</v>
      </c>
      <c r="J265" s="582">
        <f t="shared" si="5"/>
        <v>0.4</v>
      </c>
      <c r="K265" s="582">
        <f t="shared" si="5"/>
        <v>0.4</v>
      </c>
      <c r="L265" s="582">
        <f t="shared" si="5"/>
        <v>0.4</v>
      </c>
      <c r="M265" s="582">
        <f t="shared" si="5"/>
        <v>0.4</v>
      </c>
      <c r="N265" s="521"/>
    </row>
    <row r="266" spans="2:14" hidden="1" outlineLevel="1" x14ac:dyDescent="0.25">
      <c r="B266" s="543"/>
      <c r="C266" s="548" t="s">
        <v>330</v>
      </c>
      <c r="D266" s="527" t="s">
        <v>332</v>
      </c>
      <c r="E266" s="527"/>
      <c r="F266" s="582" t="e">
        <f t="shared" ref="F266:M266" si="6">F44</f>
        <v>#REF!</v>
      </c>
      <c r="G266" s="659" t="e">
        <f t="shared" si="6"/>
        <v>#REF!</v>
      </c>
      <c r="H266" s="582" t="e">
        <f t="shared" si="6"/>
        <v>#REF!</v>
      </c>
      <c r="I266" s="582" t="e">
        <f t="shared" si="6"/>
        <v>#REF!</v>
      </c>
      <c r="J266" s="582" t="e">
        <f t="shared" si="6"/>
        <v>#REF!</v>
      </c>
      <c r="K266" s="582" t="e">
        <f t="shared" si="6"/>
        <v>#REF!</v>
      </c>
      <c r="L266" s="582" t="e">
        <f t="shared" si="6"/>
        <v>#REF!</v>
      </c>
      <c r="M266" s="582" t="e">
        <f t="shared" si="6"/>
        <v>#REF!</v>
      </c>
      <c r="N266" s="521"/>
    </row>
    <row r="267" spans="2:14" hidden="1" outlineLevel="1" x14ac:dyDescent="0.25">
      <c r="B267" s="543"/>
      <c r="C267" s="548" t="s">
        <v>333</v>
      </c>
      <c r="D267" s="548" t="s">
        <v>334</v>
      </c>
      <c r="E267" s="527"/>
      <c r="F267" s="582" t="e">
        <f t="shared" ref="F267:M267" si="7">F58</f>
        <v>#REF!</v>
      </c>
      <c r="G267" s="659" t="e">
        <f t="shared" si="7"/>
        <v>#REF!</v>
      </c>
      <c r="H267" s="582" t="e">
        <f t="shared" si="7"/>
        <v>#REF!</v>
      </c>
      <c r="I267" s="582" t="e">
        <f t="shared" si="7"/>
        <v>#REF!</v>
      </c>
      <c r="J267" s="582" t="e">
        <f t="shared" si="7"/>
        <v>#REF!</v>
      </c>
      <c r="K267" s="582" t="e">
        <f t="shared" si="7"/>
        <v>#REF!</v>
      </c>
      <c r="L267" s="582" t="e">
        <f t="shared" si="7"/>
        <v>#REF!</v>
      </c>
      <c r="M267" s="582" t="e">
        <f t="shared" si="7"/>
        <v>#REF!</v>
      </c>
      <c r="N267" s="521"/>
    </row>
    <row r="268" spans="2:14" hidden="1" outlineLevel="1" x14ac:dyDescent="0.25">
      <c r="B268" s="543"/>
      <c r="C268" s="557" t="s">
        <v>335</v>
      </c>
      <c r="D268" s="558" t="s">
        <v>336</v>
      </c>
      <c r="E268" s="585"/>
      <c r="F268" s="534" t="e">
        <f t="shared" ref="F268:M268" si="8">F72</f>
        <v>#REF!</v>
      </c>
      <c r="G268" s="660" t="e">
        <f t="shared" si="8"/>
        <v>#REF!</v>
      </c>
      <c r="H268" s="661" t="e">
        <f t="shared" si="8"/>
        <v>#REF!</v>
      </c>
      <c r="I268" s="661" t="e">
        <f t="shared" si="8"/>
        <v>#REF!</v>
      </c>
      <c r="J268" s="661" t="e">
        <f t="shared" si="8"/>
        <v>#REF!</v>
      </c>
      <c r="K268" s="661" t="e">
        <f t="shared" si="8"/>
        <v>#REF!</v>
      </c>
      <c r="L268" s="661" t="e">
        <f t="shared" si="8"/>
        <v>#REF!</v>
      </c>
      <c r="M268" s="661" t="e">
        <f t="shared" si="8"/>
        <v>#REF!</v>
      </c>
      <c r="N268" s="521"/>
    </row>
    <row r="269" spans="2:14" collapsed="1" x14ac:dyDescent="0.25">
      <c r="B269" s="543"/>
      <c r="C269" s="571"/>
      <c r="D269" s="548"/>
      <c r="E269" s="527"/>
      <c r="F269" s="530"/>
      <c r="G269" s="664"/>
      <c r="H269" s="664"/>
      <c r="I269" s="664"/>
      <c r="J269" s="664"/>
      <c r="K269" s="664"/>
      <c r="L269" s="664"/>
      <c r="M269" s="664"/>
      <c r="N269" s="521"/>
    </row>
    <row r="270" spans="2:14" x14ac:dyDescent="0.25">
      <c r="B270" s="519"/>
      <c r="C270" s="194" t="s">
        <v>1661</v>
      </c>
      <c r="D270" s="537"/>
      <c r="E270" s="537"/>
      <c r="F270" s="537"/>
      <c r="G270" s="537"/>
      <c r="H270" s="537"/>
      <c r="I270" s="537"/>
      <c r="J270" s="537"/>
      <c r="K270" s="178"/>
      <c r="L270" s="178"/>
      <c r="M270" s="178"/>
      <c r="N270" s="521"/>
    </row>
    <row r="271" spans="2:14" x14ac:dyDescent="0.25">
      <c r="B271" s="519"/>
      <c r="C271" s="523"/>
      <c r="D271" s="523" t="s">
        <v>7</v>
      </c>
      <c r="E271" s="523"/>
      <c r="F271" s="524">
        <v>2015</v>
      </c>
      <c r="G271" s="525">
        <v>2020</v>
      </c>
      <c r="H271" s="525">
        <v>2025</v>
      </c>
      <c r="I271" s="525">
        <v>2030</v>
      </c>
      <c r="J271" s="525">
        <v>2035</v>
      </c>
      <c r="K271" s="525">
        <v>2040</v>
      </c>
      <c r="L271" s="525">
        <v>2045</v>
      </c>
      <c r="M271" s="525">
        <v>2050</v>
      </c>
      <c r="N271" s="521"/>
    </row>
    <row r="272" spans="2:14" x14ac:dyDescent="0.25">
      <c r="B272" s="519"/>
      <c r="C272" s="193"/>
      <c r="D272" s="2645" t="s">
        <v>332</v>
      </c>
      <c r="E272" s="537"/>
      <c r="F272" s="2640">
        <v>0.2711864406779661</v>
      </c>
      <c r="G272" s="2640">
        <f>($M272-$F272)/7+F272</f>
        <v>0.2711864406779661</v>
      </c>
      <c r="H272" s="2640">
        <f t="shared" ref="H272:L274" si="9">($M272-$F272)/7+G272</f>
        <v>0.2711864406779661</v>
      </c>
      <c r="I272" s="2640">
        <f t="shared" si="9"/>
        <v>0.2711864406779661</v>
      </c>
      <c r="J272" s="2640">
        <f t="shared" si="9"/>
        <v>0.2711864406779661</v>
      </c>
      <c r="K272" s="2640">
        <f t="shared" si="9"/>
        <v>0.2711864406779661</v>
      </c>
      <c r="L272" s="2640">
        <f t="shared" si="9"/>
        <v>0.2711864406779661</v>
      </c>
      <c r="M272" s="2659">
        <f>L88</f>
        <v>0.2711864406779661</v>
      </c>
      <c r="N272" s="521"/>
    </row>
    <row r="273" spans="2:14" x14ac:dyDescent="0.25">
      <c r="B273" s="519"/>
      <c r="C273" s="193"/>
      <c r="D273" s="2645" t="s">
        <v>387</v>
      </c>
      <c r="E273" s="537"/>
      <c r="F273" s="2640">
        <v>0.67796610169491522</v>
      </c>
      <c r="G273" s="2640">
        <f>($M273-$F273)/7+F273</f>
        <v>0.67796610169491522</v>
      </c>
      <c r="H273" s="2640">
        <f t="shared" si="9"/>
        <v>0.67796610169491522</v>
      </c>
      <c r="I273" s="2640">
        <f t="shared" si="9"/>
        <v>0.67796610169491522</v>
      </c>
      <c r="J273" s="2640">
        <f t="shared" si="9"/>
        <v>0.67796610169491522</v>
      </c>
      <c r="K273" s="2640">
        <f t="shared" si="9"/>
        <v>0.67796610169491522</v>
      </c>
      <c r="L273" s="2640">
        <f t="shared" si="9"/>
        <v>0.67796610169491522</v>
      </c>
      <c r="M273" s="2659">
        <f>L89</f>
        <v>0.67796610169491522</v>
      </c>
      <c r="N273" s="521"/>
    </row>
    <row r="274" spans="2:14" x14ac:dyDescent="0.25">
      <c r="B274" s="519"/>
      <c r="C274" s="2641"/>
      <c r="D274" s="2652" t="s">
        <v>334</v>
      </c>
      <c r="E274" s="2642"/>
      <c r="F274" s="2643">
        <v>5.0847457627118647E-2</v>
      </c>
      <c r="G274" s="2643">
        <f>($M274-$F274)/7+F274</f>
        <v>5.0847457627118647E-2</v>
      </c>
      <c r="H274" s="2643">
        <f t="shared" si="9"/>
        <v>5.0847457627118647E-2</v>
      </c>
      <c r="I274" s="2643">
        <f t="shared" si="9"/>
        <v>5.0847457627118647E-2</v>
      </c>
      <c r="J274" s="2643">
        <f t="shared" si="9"/>
        <v>5.0847457627118647E-2</v>
      </c>
      <c r="K274" s="2643">
        <f t="shared" si="9"/>
        <v>5.0847457627118647E-2</v>
      </c>
      <c r="L274" s="2643">
        <f t="shared" si="9"/>
        <v>5.0847457627118647E-2</v>
      </c>
      <c r="M274" s="2660">
        <f>L90</f>
        <v>5.0847457627118647E-2</v>
      </c>
      <c r="N274" s="521"/>
    </row>
    <row r="275" spans="2:14" x14ac:dyDescent="0.25">
      <c r="B275" s="519"/>
      <c r="C275" s="193"/>
      <c r="D275" s="537"/>
      <c r="E275" s="537"/>
      <c r="F275" s="537"/>
      <c r="G275" s="537"/>
      <c r="H275" s="537"/>
      <c r="I275" s="537"/>
      <c r="J275" s="537"/>
      <c r="K275" s="178"/>
      <c r="L275" s="178"/>
      <c r="M275" s="178"/>
      <c r="N275" s="521"/>
    </row>
    <row r="276" spans="2:14" x14ac:dyDescent="0.25">
      <c r="B276" s="543"/>
      <c r="C276" s="571"/>
      <c r="D276" s="548"/>
      <c r="E276" s="527"/>
      <c r="F276" s="530"/>
      <c r="G276" s="664"/>
      <c r="H276" s="664"/>
      <c r="I276" s="664"/>
      <c r="J276" s="664"/>
      <c r="K276" s="664"/>
      <c r="L276" s="664"/>
      <c r="M276" s="664"/>
      <c r="N276" s="521"/>
    </row>
    <row r="277" spans="2:14" hidden="1" outlineLevel="1" x14ac:dyDescent="0.25">
      <c r="B277" s="543"/>
      <c r="C277" s="522" t="s">
        <v>370</v>
      </c>
      <c r="D277" s="520"/>
      <c r="E277" s="544"/>
      <c r="F277" s="520"/>
      <c r="G277" s="520"/>
      <c r="H277" s="520"/>
      <c r="I277" s="520"/>
      <c r="J277" s="520"/>
      <c r="K277" s="520"/>
      <c r="L277" s="520"/>
      <c r="M277" s="520"/>
      <c r="N277" s="521"/>
    </row>
    <row r="278" spans="2:14" ht="4.5" hidden="1" customHeight="1" outlineLevel="1" x14ac:dyDescent="0.25">
      <c r="B278" s="543"/>
      <c r="C278" s="520"/>
      <c r="D278" s="520"/>
      <c r="E278" s="520"/>
      <c r="F278" s="520"/>
      <c r="G278" s="520"/>
      <c r="H278" s="520"/>
      <c r="I278" s="520"/>
      <c r="J278" s="520"/>
      <c r="K278" s="520"/>
      <c r="L278" s="520"/>
      <c r="M278" s="520"/>
      <c r="N278" s="521"/>
    </row>
    <row r="279" spans="2:14" ht="15.75" hidden="1" outlineLevel="1" x14ac:dyDescent="0.25">
      <c r="B279" s="545"/>
      <c r="C279" s="523" t="s">
        <v>344</v>
      </c>
      <c r="D279" s="523" t="s">
        <v>371</v>
      </c>
      <c r="E279" s="523" t="s">
        <v>148</v>
      </c>
      <c r="F279" s="546">
        <v>2015</v>
      </c>
      <c r="G279" s="547">
        <v>2020</v>
      </c>
      <c r="H279" s="525">
        <v>2025</v>
      </c>
      <c r="I279" s="525">
        <v>2030</v>
      </c>
      <c r="J279" s="525">
        <v>2035</v>
      </c>
      <c r="K279" s="525">
        <v>2040</v>
      </c>
      <c r="L279" s="525">
        <v>2045</v>
      </c>
      <c r="M279" s="525">
        <v>2050</v>
      </c>
      <c r="N279" s="521"/>
    </row>
    <row r="280" spans="2:14" ht="12.75" hidden="1" customHeight="1" outlineLevel="1" x14ac:dyDescent="0.25">
      <c r="B280" s="563"/>
      <c r="C280" s="526" t="s">
        <v>330</v>
      </c>
      <c r="D280" s="527" t="s">
        <v>372</v>
      </c>
      <c r="E280" s="528"/>
      <c r="F280" s="657">
        <v>28.137999999999998</v>
      </c>
      <c r="G280" s="658">
        <v>28.137999999999998</v>
      </c>
      <c r="H280" s="662">
        <v>8.6120000000000001</v>
      </c>
      <c r="I280" s="662">
        <v>1.7999999999999998</v>
      </c>
      <c r="J280" s="662">
        <v>0.6</v>
      </c>
      <c r="K280" s="662">
        <v>0.6</v>
      </c>
      <c r="L280" s="662">
        <v>0.6</v>
      </c>
      <c r="M280" s="662">
        <v>0.6</v>
      </c>
      <c r="N280" s="564"/>
    </row>
    <row r="281" spans="2:14" ht="12.75" hidden="1" customHeight="1" outlineLevel="1" x14ac:dyDescent="0.25">
      <c r="B281" s="563"/>
      <c r="C281" s="526" t="s">
        <v>333</v>
      </c>
      <c r="D281" s="527" t="s">
        <v>373</v>
      </c>
      <c r="E281" s="527"/>
      <c r="F281" s="530">
        <v>4.0999999999999996</v>
      </c>
      <c r="G281" s="663">
        <v>4.0568</v>
      </c>
      <c r="H281" s="664">
        <v>0</v>
      </c>
      <c r="I281" s="664">
        <v>0</v>
      </c>
      <c r="J281" s="664">
        <v>0</v>
      </c>
      <c r="K281" s="664">
        <v>0</v>
      </c>
      <c r="L281" s="664">
        <v>0</v>
      </c>
      <c r="M281" s="664">
        <v>0</v>
      </c>
      <c r="N281" s="564"/>
    </row>
    <row r="282" spans="2:14" ht="12.75" hidden="1" customHeight="1" outlineLevel="1" x14ac:dyDescent="0.25">
      <c r="B282" s="563"/>
      <c r="C282" s="531" t="s">
        <v>335</v>
      </c>
      <c r="D282" s="532" t="s">
        <v>374</v>
      </c>
      <c r="E282" s="532"/>
      <c r="F282" s="665">
        <v>27.8</v>
      </c>
      <c r="G282" s="666" t="s">
        <v>375</v>
      </c>
      <c r="H282" s="667" t="s">
        <v>375</v>
      </c>
      <c r="I282" s="667" t="s">
        <v>375</v>
      </c>
      <c r="J282" s="667" t="s">
        <v>375</v>
      </c>
      <c r="K282" s="667" t="s">
        <v>375</v>
      </c>
      <c r="L282" s="667" t="s">
        <v>375</v>
      </c>
      <c r="M282" s="667" t="s">
        <v>375</v>
      </c>
      <c r="N282" s="564"/>
    </row>
    <row r="283" spans="2:14" hidden="1" outlineLevel="1" x14ac:dyDescent="0.25">
      <c r="B283" s="607"/>
      <c r="C283" s="520"/>
      <c r="D283" s="608"/>
      <c r="E283" s="520"/>
      <c r="F283" s="520"/>
      <c r="G283" s="520"/>
      <c r="H283" s="520"/>
      <c r="I283" s="520"/>
      <c r="J283" s="520"/>
      <c r="K283" s="520"/>
      <c r="L283" s="520"/>
      <c r="M283" s="520"/>
      <c r="N283" s="521"/>
    </row>
    <row r="284" spans="2:14" hidden="1" outlineLevel="1" x14ac:dyDescent="0.25">
      <c r="B284" s="607"/>
      <c r="C284" s="668" t="s">
        <v>376</v>
      </c>
      <c r="D284" s="520"/>
      <c r="E284" s="520"/>
      <c r="F284" s="520"/>
      <c r="G284" s="520"/>
      <c r="H284" s="520"/>
      <c r="I284" s="520"/>
      <c r="J284" s="520"/>
      <c r="K284" s="520"/>
      <c r="L284" s="520"/>
      <c r="M284" s="544" t="s">
        <v>377</v>
      </c>
      <c r="N284" s="521"/>
    </row>
    <row r="285" spans="2:14" ht="4.5" hidden="1" customHeight="1" outlineLevel="1" x14ac:dyDescent="0.25">
      <c r="B285" s="607"/>
      <c r="C285" s="608"/>
      <c r="D285" s="608"/>
      <c r="E285" s="520"/>
      <c r="F285" s="520"/>
      <c r="G285" s="520"/>
      <c r="H285" s="520"/>
      <c r="I285" s="520"/>
      <c r="J285" s="520"/>
      <c r="K285" s="520"/>
      <c r="L285" s="520"/>
      <c r="M285" s="520"/>
      <c r="N285" s="521"/>
    </row>
    <row r="286" spans="2:14" ht="12.75" hidden="1" customHeight="1" outlineLevel="1" x14ac:dyDescent="0.25">
      <c r="B286" s="607"/>
      <c r="C286" s="523" t="s">
        <v>344</v>
      </c>
      <c r="D286" s="523" t="s">
        <v>371</v>
      </c>
      <c r="E286" s="523" t="s">
        <v>148</v>
      </c>
      <c r="F286" s="546">
        <v>2015</v>
      </c>
      <c r="G286" s="547">
        <v>2020</v>
      </c>
      <c r="H286" s="546">
        <v>2025</v>
      </c>
      <c r="I286" s="546">
        <v>2030</v>
      </c>
      <c r="J286" s="546">
        <v>2035</v>
      </c>
      <c r="K286" s="546">
        <v>2040</v>
      </c>
      <c r="L286" s="546">
        <v>2045</v>
      </c>
      <c r="M286" s="546">
        <v>2050</v>
      </c>
      <c r="N286" s="521"/>
    </row>
    <row r="287" spans="2:14" hidden="1" outlineLevel="1" x14ac:dyDescent="0.25">
      <c r="B287" s="607"/>
      <c r="C287" s="669" t="s">
        <v>330</v>
      </c>
      <c r="D287" s="670" t="s">
        <v>372</v>
      </c>
      <c r="E287" s="670"/>
      <c r="F287" s="671">
        <v>0.60639704314450193</v>
      </c>
      <c r="G287" s="672">
        <v>0.60639704314450193</v>
      </c>
      <c r="H287" s="672">
        <v>0.60639704314450193</v>
      </c>
      <c r="I287" s="672">
        <v>0.60639704314450193</v>
      </c>
      <c r="J287" s="672">
        <v>0.60639704314450193</v>
      </c>
      <c r="K287" s="672">
        <v>0.60639704314450193</v>
      </c>
      <c r="L287" s="672">
        <v>0.60639704314450193</v>
      </c>
      <c r="M287" s="672">
        <v>0.60639704314450193</v>
      </c>
      <c r="N287" s="521"/>
    </row>
    <row r="288" spans="2:14" ht="14.25" hidden="1" customHeight="1" outlineLevel="1" x14ac:dyDescent="0.25">
      <c r="B288" s="607"/>
      <c r="C288" s="520"/>
      <c r="D288" s="608"/>
      <c r="E288" s="520"/>
      <c r="F288" s="520" t="s">
        <v>378</v>
      </c>
      <c r="G288" s="520"/>
      <c r="H288" s="520"/>
      <c r="I288" s="520"/>
      <c r="J288" s="520"/>
      <c r="K288" s="520"/>
      <c r="L288" s="520"/>
      <c r="M288" s="520"/>
      <c r="N288" s="521"/>
    </row>
    <row r="289" spans="1:15" collapsed="1" x14ac:dyDescent="0.25">
      <c r="G289" s="673"/>
    </row>
    <row r="290" spans="1:15" s="489" customFormat="1" x14ac:dyDescent="0.25">
      <c r="A290" s="487"/>
      <c r="B290" s="487"/>
      <c r="C290" s="487"/>
      <c r="D290" s="487"/>
      <c r="E290" s="487"/>
      <c r="F290" s="487"/>
      <c r="G290" s="487"/>
      <c r="H290" s="487"/>
      <c r="I290" s="487"/>
      <c r="J290" s="487"/>
      <c r="K290" s="487"/>
      <c r="L290" s="487"/>
      <c r="M290" s="487"/>
      <c r="N290" s="487"/>
      <c r="O290" s="487"/>
    </row>
    <row r="291" spans="1:15" s="489" customFormat="1" ht="18.75" x14ac:dyDescent="0.3">
      <c r="A291" s="487"/>
      <c r="C291" s="679" t="s">
        <v>331</v>
      </c>
      <c r="D291" s="487"/>
      <c r="E291" s="487"/>
      <c r="F291" s="675">
        <v>2015</v>
      </c>
      <c r="G291" s="675">
        <v>2020</v>
      </c>
      <c r="H291" s="675">
        <v>2025</v>
      </c>
      <c r="I291" s="675">
        <v>2030</v>
      </c>
      <c r="J291" s="675">
        <v>2035</v>
      </c>
      <c r="K291" s="675">
        <v>2040</v>
      </c>
      <c r="L291" s="675">
        <v>2045</v>
      </c>
      <c r="M291" s="675">
        <v>2050</v>
      </c>
      <c r="N291" s="487"/>
      <c r="O291" s="487"/>
    </row>
    <row r="292" spans="1:15" s="489" customFormat="1" x14ac:dyDescent="0.25">
      <c r="A292" s="487"/>
      <c r="C292" s="487"/>
      <c r="D292" s="487" t="s">
        <v>379</v>
      </c>
      <c r="E292" s="487" t="s">
        <v>152</v>
      </c>
      <c r="F292" s="676">
        <f t="shared" ref="F292:M292" si="10">F265</f>
        <v>0.4</v>
      </c>
      <c r="G292" s="676">
        <f t="shared" si="10"/>
        <v>0.4</v>
      </c>
      <c r="H292" s="676">
        <f t="shared" si="10"/>
        <v>0.4</v>
      </c>
      <c r="I292" s="676">
        <f t="shared" si="10"/>
        <v>0.4</v>
      </c>
      <c r="J292" s="676">
        <f t="shared" si="10"/>
        <v>0.4</v>
      </c>
      <c r="K292" s="676">
        <f t="shared" si="10"/>
        <v>0.4</v>
      </c>
      <c r="L292" s="676">
        <f t="shared" si="10"/>
        <v>0.4</v>
      </c>
      <c r="M292" s="676">
        <f t="shared" si="10"/>
        <v>0.4</v>
      </c>
      <c r="N292" s="487"/>
      <c r="O292" s="487"/>
    </row>
    <row r="293" spans="1:15" s="489" customFormat="1" x14ac:dyDescent="0.25">
      <c r="A293" s="487"/>
      <c r="C293" s="2690" t="s">
        <v>232</v>
      </c>
      <c r="D293" s="487" t="s">
        <v>233</v>
      </c>
      <c r="E293" s="487" t="s">
        <v>190</v>
      </c>
      <c r="F293" s="677">
        <f t="shared" ref="F293:M293" si="11">F120</f>
        <v>0.4</v>
      </c>
      <c r="G293" s="677">
        <f t="shared" si="11"/>
        <v>0.4</v>
      </c>
      <c r="H293" s="677">
        <f t="shared" si="11"/>
        <v>0.4</v>
      </c>
      <c r="I293" s="677">
        <f t="shared" si="11"/>
        <v>0.4</v>
      </c>
      <c r="J293" s="677">
        <f t="shared" si="11"/>
        <v>0.4</v>
      </c>
      <c r="K293" s="677">
        <f t="shared" si="11"/>
        <v>0.4</v>
      </c>
      <c r="L293" s="677">
        <f t="shared" si="11"/>
        <v>0.4</v>
      </c>
      <c r="M293" s="677">
        <f t="shared" si="11"/>
        <v>0.4</v>
      </c>
      <c r="N293" s="487"/>
      <c r="O293" s="487"/>
    </row>
    <row r="294" spans="1:15" s="489" customFormat="1" x14ac:dyDescent="0.25">
      <c r="A294" s="487"/>
      <c r="C294" s="2690" t="s">
        <v>234</v>
      </c>
      <c r="D294" s="487" t="s">
        <v>235</v>
      </c>
      <c r="E294" s="487" t="s">
        <v>152</v>
      </c>
      <c r="F294" s="678">
        <f>F292*F293</f>
        <v>0.16000000000000003</v>
      </c>
      <c r="G294" s="678">
        <f t="shared" ref="G294:M294" si="12">G292*G293</f>
        <v>0.16000000000000003</v>
      </c>
      <c r="H294" s="678">
        <f t="shared" si="12"/>
        <v>0.16000000000000003</v>
      </c>
      <c r="I294" s="678">
        <f t="shared" si="12"/>
        <v>0.16000000000000003</v>
      </c>
      <c r="J294" s="678">
        <f t="shared" si="12"/>
        <v>0.16000000000000003</v>
      </c>
      <c r="K294" s="678">
        <f t="shared" si="12"/>
        <v>0.16000000000000003</v>
      </c>
      <c r="L294" s="678">
        <f t="shared" si="12"/>
        <v>0.16000000000000003</v>
      </c>
      <c r="M294" s="678">
        <f t="shared" si="12"/>
        <v>0.16000000000000003</v>
      </c>
      <c r="N294" s="487"/>
      <c r="O294" s="487"/>
    </row>
    <row r="295" spans="1:15" s="489" customFormat="1" ht="15.75" x14ac:dyDescent="0.25">
      <c r="A295" s="487"/>
      <c r="C295" s="2690"/>
      <c r="D295" s="2684" t="s">
        <v>1708</v>
      </c>
      <c r="E295" s="2684" t="s">
        <v>171</v>
      </c>
      <c r="F295" s="2685">
        <f>F294*8.766</f>
        <v>1.4025600000000003</v>
      </c>
      <c r="G295" s="2685">
        <f t="shared" ref="G295:M295" si="13">G294*8.766</f>
        <v>1.4025600000000003</v>
      </c>
      <c r="H295" s="2685">
        <f t="shared" si="13"/>
        <v>1.4025600000000003</v>
      </c>
      <c r="I295" s="2685">
        <f t="shared" si="13"/>
        <v>1.4025600000000003</v>
      </c>
      <c r="J295" s="2685">
        <f t="shared" si="13"/>
        <v>1.4025600000000003</v>
      </c>
      <c r="K295" s="2685">
        <f t="shared" si="13"/>
        <v>1.4025600000000003</v>
      </c>
      <c r="L295" s="2685">
        <f t="shared" si="13"/>
        <v>1.4025600000000003</v>
      </c>
      <c r="M295" s="2685">
        <f t="shared" si="13"/>
        <v>1.4025600000000003</v>
      </c>
      <c r="N295" s="487"/>
      <c r="O295" s="487"/>
    </row>
    <row r="296" spans="1:15" s="489" customFormat="1" x14ac:dyDescent="0.25">
      <c r="A296" s="487"/>
      <c r="C296" s="2690" t="s">
        <v>380</v>
      </c>
      <c r="D296" s="487" t="s">
        <v>381</v>
      </c>
      <c r="E296" s="487" t="s">
        <v>190</v>
      </c>
      <c r="F296" s="678">
        <f t="shared" ref="F296:M296" si="14">F104*F295</f>
        <v>7.5033560923600306E-2</v>
      </c>
      <c r="G296" s="678">
        <f t="shared" si="14"/>
        <v>7.012800000000001E-2</v>
      </c>
      <c r="H296" s="678">
        <f t="shared" si="14"/>
        <v>7.012800000000001E-2</v>
      </c>
      <c r="I296" s="678">
        <f t="shared" si="14"/>
        <v>7.012800000000001E-2</v>
      </c>
      <c r="J296" s="678">
        <f t="shared" si="14"/>
        <v>7.012800000000001E-2</v>
      </c>
      <c r="K296" s="678">
        <f t="shared" si="14"/>
        <v>7.012800000000001E-2</v>
      </c>
      <c r="L296" s="678">
        <f t="shared" si="14"/>
        <v>7.012800000000001E-2</v>
      </c>
      <c r="M296" s="678">
        <f t="shared" si="14"/>
        <v>7.012800000000001E-2</v>
      </c>
      <c r="N296" s="487"/>
      <c r="O296" s="487"/>
    </row>
    <row r="297" spans="1:15" s="489" customFormat="1" x14ac:dyDescent="0.25">
      <c r="A297" s="487"/>
      <c r="C297" s="2690" t="s">
        <v>234</v>
      </c>
      <c r="D297" s="487" t="s">
        <v>382</v>
      </c>
      <c r="E297" s="487" t="s">
        <v>171</v>
      </c>
      <c r="F297" s="678">
        <f>F296+F295</f>
        <v>1.4775935609236006</v>
      </c>
      <c r="G297" s="678">
        <f t="shared" ref="G297:M297" si="15">G296+G295</f>
        <v>1.4726880000000002</v>
      </c>
      <c r="H297" s="678">
        <f t="shared" si="15"/>
        <v>1.4726880000000002</v>
      </c>
      <c r="I297" s="678">
        <f t="shared" si="15"/>
        <v>1.4726880000000002</v>
      </c>
      <c r="J297" s="678">
        <f t="shared" si="15"/>
        <v>1.4726880000000002</v>
      </c>
      <c r="K297" s="678">
        <f t="shared" si="15"/>
        <v>1.4726880000000002</v>
      </c>
      <c r="L297" s="678">
        <f t="shared" si="15"/>
        <v>1.4726880000000002</v>
      </c>
      <c r="M297" s="678">
        <f t="shared" si="15"/>
        <v>1.4726880000000002</v>
      </c>
      <c r="N297" s="487"/>
      <c r="O297" s="487"/>
    </row>
    <row r="298" spans="1:15" s="489" customFormat="1" x14ac:dyDescent="0.25">
      <c r="A298" s="487"/>
      <c r="C298" s="2691" t="s">
        <v>383</v>
      </c>
      <c r="D298" s="487" t="s">
        <v>384</v>
      </c>
      <c r="E298" s="487" t="s">
        <v>190</v>
      </c>
      <c r="F298" s="677">
        <f t="shared" ref="F298:M298" si="16">F112</f>
        <v>0.5</v>
      </c>
      <c r="G298" s="677">
        <f t="shared" si="16"/>
        <v>0.5</v>
      </c>
      <c r="H298" s="677">
        <f t="shared" si="16"/>
        <v>0.5</v>
      </c>
      <c r="I298" s="677">
        <f t="shared" si="16"/>
        <v>0.5</v>
      </c>
      <c r="J298" s="677">
        <f t="shared" si="16"/>
        <v>0.5</v>
      </c>
      <c r="K298" s="677">
        <f t="shared" si="16"/>
        <v>0.5</v>
      </c>
      <c r="L298" s="677">
        <f t="shared" si="16"/>
        <v>0.5</v>
      </c>
      <c r="M298" s="677">
        <f t="shared" si="16"/>
        <v>0.5</v>
      </c>
      <c r="N298" s="487"/>
      <c r="O298" s="487"/>
    </row>
    <row r="299" spans="1:15" s="489" customFormat="1" x14ac:dyDescent="0.25">
      <c r="A299" s="487"/>
      <c r="C299" s="2690" t="s">
        <v>234</v>
      </c>
      <c r="D299" s="487" t="s">
        <v>385</v>
      </c>
      <c r="E299" s="487" t="s">
        <v>171</v>
      </c>
      <c r="F299" s="678">
        <f>F297/F298</f>
        <v>2.9551871218472012</v>
      </c>
      <c r="G299" s="678">
        <f t="shared" ref="G299:M299" si="17">G297/G298</f>
        <v>2.9453760000000004</v>
      </c>
      <c r="H299" s="678">
        <f t="shared" si="17"/>
        <v>2.9453760000000004</v>
      </c>
      <c r="I299" s="678">
        <f t="shared" si="17"/>
        <v>2.9453760000000004</v>
      </c>
      <c r="J299" s="678">
        <f t="shared" si="17"/>
        <v>2.9453760000000004</v>
      </c>
      <c r="K299" s="678">
        <f t="shared" si="17"/>
        <v>2.9453760000000004</v>
      </c>
      <c r="L299" s="678">
        <f t="shared" si="17"/>
        <v>2.9453760000000004</v>
      </c>
      <c r="M299" s="678">
        <f t="shared" si="17"/>
        <v>2.9453760000000004</v>
      </c>
      <c r="N299" s="487"/>
      <c r="O299" s="487"/>
    </row>
    <row r="300" spans="1:15" s="489" customFormat="1" x14ac:dyDescent="0.25">
      <c r="A300" s="487"/>
      <c r="B300" s="487"/>
      <c r="C300" s="487"/>
      <c r="D300" s="487"/>
      <c r="E300" s="487"/>
      <c r="F300" s="678"/>
      <c r="G300" s="678"/>
      <c r="H300" s="678"/>
      <c r="I300" s="678"/>
      <c r="J300" s="678"/>
      <c r="K300" s="678"/>
      <c r="L300" s="678"/>
      <c r="M300" s="678"/>
      <c r="N300" s="487"/>
      <c r="O300" s="487"/>
    </row>
    <row r="301" spans="1:15" s="489" customFormat="1" x14ac:dyDescent="0.25">
      <c r="A301" s="487"/>
      <c r="B301" s="487"/>
      <c r="C301" s="487"/>
      <c r="D301" s="487"/>
      <c r="E301" s="487"/>
      <c r="F301" s="678"/>
      <c r="G301" s="678"/>
      <c r="H301" s="678"/>
      <c r="I301" s="678"/>
      <c r="J301" s="678"/>
      <c r="K301" s="678"/>
      <c r="L301" s="678"/>
      <c r="M301" s="678"/>
      <c r="N301" s="487"/>
      <c r="O301" s="487"/>
    </row>
    <row r="302" spans="1:15" s="489" customFormat="1" ht="18.75" x14ac:dyDescent="0.3">
      <c r="A302" s="487"/>
      <c r="C302" s="679" t="s">
        <v>1669</v>
      </c>
      <c r="D302" s="487"/>
      <c r="E302" s="487" t="str">
        <f>E299</f>
        <v>TWh</v>
      </c>
      <c r="F302" s="678">
        <f ca="1">MAX(F260-F295,0)</f>
        <v>39.51660280354703</v>
      </c>
      <c r="G302" s="678">
        <f t="shared" ref="G302:M302" ca="1" si="18">MAX(G260-G295,0)</f>
        <v>44.225517201078574</v>
      </c>
      <c r="H302" s="678">
        <f t="shared" ca="1" si="18"/>
        <v>53.226342270184638</v>
      </c>
      <c r="I302" s="678">
        <f t="shared" ca="1" si="18"/>
        <v>62.842560763478566</v>
      </c>
      <c r="J302" s="678">
        <f t="shared" ca="1" si="18"/>
        <v>74.728127827328819</v>
      </c>
      <c r="K302" s="678">
        <f t="shared" ca="1" si="18"/>
        <v>87.801158751786176</v>
      </c>
      <c r="L302" s="678">
        <f t="shared" ca="1" si="18"/>
        <v>101.33257492528676</v>
      </c>
      <c r="M302" s="678">
        <f t="shared" ca="1" si="18"/>
        <v>113.60333793784488</v>
      </c>
      <c r="N302" s="487"/>
      <c r="O302" s="487"/>
    </row>
    <row r="303" spans="1:15" s="489" customFormat="1" x14ac:dyDescent="0.25">
      <c r="A303" s="487"/>
      <c r="B303" s="487"/>
      <c r="C303" s="2638"/>
      <c r="D303" s="487"/>
      <c r="E303" s="487"/>
      <c r="F303" s="678"/>
      <c r="G303" s="678"/>
      <c r="H303" s="678"/>
      <c r="I303" s="678"/>
      <c r="J303" s="678"/>
      <c r="K303" s="678"/>
      <c r="L303" s="678"/>
      <c r="M303" s="678"/>
      <c r="N303" s="487"/>
      <c r="O303" s="487"/>
    </row>
    <row r="304" spans="1:15" s="489" customFormat="1" x14ac:dyDescent="0.25">
      <c r="A304" s="487"/>
      <c r="B304" s="487"/>
      <c r="C304" s="487"/>
      <c r="E304" s="487"/>
      <c r="F304" s="678"/>
      <c r="G304" s="678"/>
      <c r="H304" s="678"/>
      <c r="I304" s="678"/>
      <c r="J304" s="678"/>
      <c r="K304" s="678"/>
      <c r="L304" s="678"/>
      <c r="M304" s="678"/>
      <c r="N304" s="487"/>
      <c r="O304" s="487"/>
    </row>
    <row r="305" spans="1:15" s="489" customFormat="1" ht="15.75" x14ac:dyDescent="0.25">
      <c r="A305" s="487"/>
      <c r="C305" s="2667" t="s">
        <v>1670</v>
      </c>
      <c r="D305" s="2684" t="s">
        <v>1713</v>
      </c>
      <c r="E305" s="2684" t="str">
        <f>E302</f>
        <v>TWh</v>
      </c>
      <c r="F305" s="2685">
        <f ca="1">F302*(1+$D$127)</f>
        <v>39.51660280354703</v>
      </c>
      <c r="G305" s="2685">
        <f t="shared" ref="G305:M305" ca="1" si="19">G302*(1+$D$127)</f>
        <v>44.225517201078574</v>
      </c>
      <c r="H305" s="2685">
        <f t="shared" ca="1" si="19"/>
        <v>53.226342270184638</v>
      </c>
      <c r="I305" s="2685">
        <f t="shared" ca="1" si="19"/>
        <v>62.842560763478566</v>
      </c>
      <c r="J305" s="2685">
        <f t="shared" ca="1" si="19"/>
        <v>74.728127827328819</v>
      </c>
      <c r="K305" s="2685">
        <f t="shared" ca="1" si="19"/>
        <v>87.801158751786176</v>
      </c>
      <c r="L305" s="2685">
        <f t="shared" ca="1" si="19"/>
        <v>101.33257492528676</v>
      </c>
      <c r="M305" s="2685">
        <f t="shared" ca="1" si="19"/>
        <v>113.60333793784488</v>
      </c>
      <c r="N305" s="678"/>
      <c r="O305" s="487"/>
    </row>
    <row r="306" spans="1:15" s="489" customFormat="1" x14ac:dyDescent="0.25">
      <c r="A306" s="487"/>
      <c r="B306" s="487"/>
      <c r="C306" s="487"/>
      <c r="D306" s="2687" t="s">
        <v>332</v>
      </c>
      <c r="E306" s="487" t="str">
        <f>$E$305</f>
        <v>TWh</v>
      </c>
      <c r="F306" s="678">
        <f t="shared" ref="F306:M306" ca="1" si="20">F$305*F$272</f>
        <v>10.716366861978855</v>
      </c>
      <c r="G306" s="678">
        <f t="shared" ca="1" si="20"/>
        <v>11.993360596902663</v>
      </c>
      <c r="H306" s="678">
        <f t="shared" ca="1" si="20"/>
        <v>14.434262310558546</v>
      </c>
      <c r="I306" s="678">
        <f t="shared" ca="1" si="20"/>
        <v>17.042050376536562</v>
      </c>
      <c r="J306" s="678">
        <f t="shared" ca="1" si="20"/>
        <v>20.265255004021373</v>
      </c>
      <c r="K306" s="678">
        <f t="shared" ca="1" si="20"/>
        <v>23.810483729297946</v>
      </c>
      <c r="L306" s="678">
        <f t="shared" ca="1" si="20"/>
        <v>27.480020318721834</v>
      </c>
      <c r="M306" s="678">
        <f t="shared" ca="1" si="20"/>
        <v>30.807684864500306</v>
      </c>
      <c r="N306" s="487"/>
      <c r="O306" s="487"/>
    </row>
    <row r="307" spans="1:15" s="489" customFormat="1" x14ac:dyDescent="0.25">
      <c r="A307" s="487"/>
      <c r="B307" s="487"/>
      <c r="C307" s="487"/>
      <c r="D307" s="2688" t="s">
        <v>387</v>
      </c>
      <c r="E307" s="487" t="str">
        <f>$E$305</f>
        <v>TWh</v>
      </c>
      <c r="F307" s="678">
        <f t="shared" ref="F307:M307" ca="1" si="21">F$305*F$273</f>
        <v>26.790917154947138</v>
      </c>
      <c r="G307" s="678">
        <f t="shared" ca="1" si="21"/>
        <v>29.983401492256657</v>
      </c>
      <c r="H307" s="678">
        <f t="shared" ca="1" si="21"/>
        <v>36.085655776396365</v>
      </c>
      <c r="I307" s="678">
        <f t="shared" ca="1" si="21"/>
        <v>42.605125941341399</v>
      </c>
      <c r="J307" s="678">
        <f t="shared" ca="1" si="21"/>
        <v>50.663137510053431</v>
      </c>
      <c r="K307" s="678">
        <f t="shared" ca="1" si="21"/>
        <v>59.526209323244863</v>
      </c>
      <c r="L307" s="678">
        <f t="shared" ca="1" si="21"/>
        <v>68.700050796804589</v>
      </c>
      <c r="M307" s="678">
        <f t="shared" ca="1" si="21"/>
        <v>77.019212161250763</v>
      </c>
      <c r="N307" s="487"/>
      <c r="O307" s="487"/>
    </row>
    <row r="308" spans="1:15" s="489" customFormat="1" x14ac:dyDescent="0.25">
      <c r="A308" s="487"/>
      <c r="B308" s="487"/>
      <c r="C308" s="487"/>
      <c r="D308" s="2688" t="s">
        <v>334</v>
      </c>
      <c r="E308" s="487" t="str">
        <f>$E$305</f>
        <v>TWh</v>
      </c>
      <c r="F308" s="678">
        <f t="shared" ref="F308:M308" ca="1" si="22">F$305*F$274</f>
        <v>2.0093187866210354</v>
      </c>
      <c r="G308" s="678">
        <f t="shared" ca="1" si="22"/>
        <v>2.2487551119192495</v>
      </c>
      <c r="H308" s="678">
        <f t="shared" ca="1" si="22"/>
        <v>2.7064241832297276</v>
      </c>
      <c r="I308" s="678">
        <f t="shared" ca="1" si="22"/>
        <v>3.1953844456006051</v>
      </c>
      <c r="J308" s="678">
        <f t="shared" ca="1" si="22"/>
        <v>3.7997353132540082</v>
      </c>
      <c r="K308" s="678">
        <f t="shared" ca="1" si="22"/>
        <v>4.4644656992433651</v>
      </c>
      <c r="L308" s="678">
        <f t="shared" ca="1" si="22"/>
        <v>5.1525038097603444</v>
      </c>
      <c r="M308" s="678">
        <f t="shared" ca="1" si="22"/>
        <v>5.7764409120938076</v>
      </c>
      <c r="N308" s="487"/>
      <c r="O308" s="487"/>
    </row>
    <row r="309" spans="1:15" s="489" customFormat="1" x14ac:dyDescent="0.25">
      <c r="A309" s="487"/>
      <c r="B309" s="487"/>
      <c r="C309" s="487"/>
      <c r="D309" s="2688"/>
      <c r="E309" s="487"/>
      <c r="F309" s="678"/>
      <c r="G309" s="678"/>
      <c r="H309" s="678"/>
      <c r="I309" s="678"/>
      <c r="J309" s="678"/>
      <c r="K309" s="678"/>
      <c r="L309" s="678"/>
      <c r="M309" s="678"/>
      <c r="N309" s="487"/>
      <c r="O309" s="487"/>
    </row>
    <row r="310" spans="1:15" s="489" customFormat="1" x14ac:dyDescent="0.25">
      <c r="A310" s="487"/>
      <c r="C310" s="2689" t="s">
        <v>1709</v>
      </c>
      <c r="D310" s="2688"/>
      <c r="E310" s="487"/>
      <c r="F310" s="678"/>
      <c r="G310" s="678"/>
      <c r="H310" s="678"/>
      <c r="I310" s="678"/>
      <c r="J310" s="678"/>
      <c r="K310" s="678"/>
      <c r="L310" s="678"/>
      <c r="M310" s="678"/>
      <c r="N310" s="487"/>
      <c r="O310" s="487"/>
    </row>
    <row r="311" spans="1:15" s="489" customFormat="1" ht="18.75" x14ac:dyDescent="0.3">
      <c r="A311" s="487"/>
      <c r="C311" s="679" t="s">
        <v>332</v>
      </c>
      <c r="D311" s="487"/>
      <c r="E311" s="487"/>
      <c r="F311" s="678"/>
      <c r="G311" s="678"/>
      <c r="H311" s="678"/>
      <c r="I311" s="678"/>
      <c r="J311" s="678"/>
      <c r="K311" s="678"/>
      <c r="L311" s="678"/>
      <c r="M311" s="678"/>
      <c r="N311" s="487"/>
      <c r="O311" s="487"/>
    </row>
    <row r="312" spans="1:15" s="489" customFormat="1" ht="15.75" x14ac:dyDescent="0.25">
      <c r="A312" s="487"/>
      <c r="C312" s="2690" t="s">
        <v>234</v>
      </c>
      <c r="D312" s="2684" t="s">
        <v>1710</v>
      </c>
      <c r="E312" s="2684" t="s">
        <v>171</v>
      </c>
      <c r="F312" s="2685">
        <f t="shared" ref="F312:M312" ca="1" si="23">F306</f>
        <v>10.716366861978855</v>
      </c>
      <c r="G312" s="2685">
        <f t="shared" ca="1" si="23"/>
        <v>11.993360596902663</v>
      </c>
      <c r="H312" s="2685">
        <f t="shared" ca="1" si="23"/>
        <v>14.434262310558546</v>
      </c>
      <c r="I312" s="2685">
        <f t="shared" ca="1" si="23"/>
        <v>17.042050376536562</v>
      </c>
      <c r="J312" s="2685">
        <f t="shared" ca="1" si="23"/>
        <v>20.265255004021373</v>
      </c>
      <c r="K312" s="2685">
        <f t="shared" ca="1" si="23"/>
        <v>23.810483729297946</v>
      </c>
      <c r="L312" s="2685">
        <f t="shared" ca="1" si="23"/>
        <v>27.480020318721834</v>
      </c>
      <c r="M312" s="2685">
        <f t="shared" ca="1" si="23"/>
        <v>30.807684864500306</v>
      </c>
      <c r="N312" s="487"/>
      <c r="O312" s="487"/>
    </row>
    <row r="313" spans="1:15" s="489" customFormat="1" x14ac:dyDescent="0.25">
      <c r="A313" s="487"/>
      <c r="C313" s="2686" t="s">
        <v>380</v>
      </c>
      <c r="D313" s="487" t="s">
        <v>381</v>
      </c>
      <c r="E313" s="487" t="s">
        <v>171</v>
      </c>
      <c r="F313" s="678">
        <f ca="1">F105*F312</f>
        <v>0.57329965621288337</v>
      </c>
      <c r="G313" s="678">
        <f t="shared" ref="G313:M313" ca="1" si="24">G105*G312</f>
        <v>0.59966802984513323</v>
      </c>
      <c r="H313" s="678">
        <f t="shared" ca="1" si="24"/>
        <v>0.72171311552792738</v>
      </c>
      <c r="I313" s="678">
        <f t="shared" ca="1" si="24"/>
        <v>0.85210251882682808</v>
      </c>
      <c r="J313" s="678">
        <f t="shared" ca="1" si="24"/>
        <v>1.0132627502010687</v>
      </c>
      <c r="K313" s="678">
        <f t="shared" ca="1" si="24"/>
        <v>1.1905241864648974</v>
      </c>
      <c r="L313" s="678">
        <f t="shared" ca="1" si="24"/>
        <v>1.3740010159360918</v>
      </c>
      <c r="M313" s="678">
        <f t="shared" ca="1" si="24"/>
        <v>1.5403842432250154</v>
      </c>
      <c r="N313" s="487"/>
      <c r="O313" s="487"/>
    </row>
    <row r="314" spans="1:15" s="489" customFormat="1" x14ac:dyDescent="0.25">
      <c r="A314" s="487"/>
      <c r="C314" s="2686" t="s">
        <v>234</v>
      </c>
      <c r="D314" s="2667" t="s">
        <v>382</v>
      </c>
      <c r="E314" s="2667" t="s">
        <v>171</v>
      </c>
      <c r="F314" s="678">
        <f ca="1">F312+F313</f>
        <v>11.289666518191739</v>
      </c>
      <c r="G314" s="678">
        <f t="shared" ref="G314:M314" ca="1" si="25">G312+G313</f>
        <v>12.593028626747797</v>
      </c>
      <c r="H314" s="678">
        <f t="shared" ca="1" si="25"/>
        <v>15.155975426086474</v>
      </c>
      <c r="I314" s="678">
        <f t="shared" ca="1" si="25"/>
        <v>17.894152895363391</v>
      </c>
      <c r="J314" s="678">
        <f t="shared" ca="1" si="25"/>
        <v>21.278517754222442</v>
      </c>
      <c r="K314" s="678">
        <f t="shared" ca="1" si="25"/>
        <v>25.001007915762845</v>
      </c>
      <c r="L314" s="678">
        <f t="shared" ca="1" si="25"/>
        <v>28.854021334657926</v>
      </c>
      <c r="M314" s="678">
        <f t="shared" ca="1" si="25"/>
        <v>32.348069107725323</v>
      </c>
      <c r="N314" s="487"/>
      <c r="O314" s="487"/>
    </row>
    <row r="315" spans="1:15" s="489" customFormat="1" x14ac:dyDescent="0.25">
      <c r="A315" s="487"/>
      <c r="C315" s="2691" t="s">
        <v>383</v>
      </c>
      <c r="D315" s="487" t="s">
        <v>384</v>
      </c>
      <c r="E315" s="487" t="s">
        <v>190</v>
      </c>
      <c r="F315" s="2644">
        <f t="shared" ref="F315:M315" si="26">F113</f>
        <v>0.35699999999999998</v>
      </c>
      <c r="G315" s="2644">
        <f t="shared" si="26"/>
        <v>0.35</v>
      </c>
      <c r="H315" s="2644">
        <f t="shared" si="26"/>
        <v>0.35</v>
      </c>
      <c r="I315" s="2644">
        <f t="shared" si="26"/>
        <v>0.35</v>
      </c>
      <c r="J315" s="2644">
        <f t="shared" si="26"/>
        <v>0.35</v>
      </c>
      <c r="K315" s="2644">
        <f t="shared" si="26"/>
        <v>0.35</v>
      </c>
      <c r="L315" s="2644">
        <f t="shared" si="26"/>
        <v>0.35</v>
      </c>
      <c r="M315" s="2644">
        <f t="shared" si="26"/>
        <v>0.35</v>
      </c>
      <c r="N315" s="487"/>
      <c r="O315" s="487"/>
    </row>
    <row r="316" spans="1:15" s="489" customFormat="1" x14ac:dyDescent="0.25">
      <c r="A316" s="487"/>
      <c r="C316" s="2690" t="s">
        <v>234</v>
      </c>
      <c r="D316" s="487" t="s">
        <v>385</v>
      </c>
      <c r="E316" s="487" t="s">
        <v>171</v>
      </c>
      <c r="F316" s="678">
        <f t="shared" ref="F316:M316" ca="1" si="27">F314/F315</f>
        <v>31.623715737231763</v>
      </c>
      <c r="G316" s="678">
        <f t="shared" ca="1" si="27"/>
        <v>35.980081790707992</v>
      </c>
      <c r="H316" s="678">
        <f t="shared" ca="1" si="27"/>
        <v>43.302786931675641</v>
      </c>
      <c r="I316" s="678">
        <f t="shared" ca="1" si="27"/>
        <v>51.126151129609688</v>
      </c>
      <c r="J316" s="678">
        <f t="shared" ca="1" si="27"/>
        <v>60.795765012064123</v>
      </c>
      <c r="K316" s="678">
        <f t="shared" ca="1" si="27"/>
        <v>71.431451187893842</v>
      </c>
      <c r="L316" s="678">
        <f t="shared" ca="1" si="27"/>
        <v>82.44006095616551</v>
      </c>
      <c r="M316" s="678">
        <f t="shared" ca="1" si="27"/>
        <v>92.423054593500922</v>
      </c>
      <c r="N316" s="487"/>
      <c r="O316" s="487"/>
    </row>
    <row r="317" spans="1:15" s="489" customFormat="1" x14ac:dyDescent="0.25">
      <c r="A317" s="487"/>
      <c r="C317" s="2690"/>
      <c r="D317" s="2667" t="s">
        <v>1671</v>
      </c>
      <c r="E317" s="2667" t="s">
        <v>152</v>
      </c>
      <c r="F317" s="678">
        <f ca="1">F314/8.766</f>
        <v>1.2878925984704241</v>
      </c>
      <c r="G317" s="678">
        <f t="shared" ref="G317:M317" ca="1" si="28">G314/8.766</f>
        <v>1.4365763890882726</v>
      </c>
      <c r="H317" s="678">
        <f t="shared" ca="1" si="28"/>
        <v>1.728949968752735</v>
      </c>
      <c r="I317" s="678">
        <f t="shared" ca="1" si="28"/>
        <v>2.0413133579013678</v>
      </c>
      <c r="J317" s="678">
        <f t="shared" ca="1" si="28"/>
        <v>2.4273919409334295</v>
      </c>
      <c r="K317" s="678">
        <f t="shared" ca="1" si="28"/>
        <v>2.8520428833861331</v>
      </c>
      <c r="L317" s="678">
        <f t="shared" ca="1" si="28"/>
        <v>3.2915835426258186</v>
      </c>
      <c r="M317" s="678">
        <f t="shared" ca="1" si="28"/>
        <v>3.6901744361995577</v>
      </c>
      <c r="N317" s="487"/>
      <c r="O317" s="487"/>
    </row>
    <row r="318" spans="1:15" s="489" customFormat="1" x14ac:dyDescent="0.25">
      <c r="A318" s="487"/>
      <c r="C318" s="2690"/>
      <c r="D318" s="2667" t="s">
        <v>160</v>
      </c>
      <c r="E318" s="2667" t="s">
        <v>190</v>
      </c>
      <c r="F318" s="677">
        <f t="shared" ref="F318:M318" si="29">F121</f>
        <v>0.63200000000000001</v>
      </c>
      <c r="G318" s="677">
        <f t="shared" si="29"/>
        <v>0.7</v>
      </c>
      <c r="H318" s="677">
        <f t="shared" si="29"/>
        <v>0.7</v>
      </c>
      <c r="I318" s="677">
        <f t="shared" si="29"/>
        <v>0.7</v>
      </c>
      <c r="J318" s="677">
        <f t="shared" si="29"/>
        <v>0.7</v>
      </c>
      <c r="K318" s="677">
        <f t="shared" si="29"/>
        <v>0.7</v>
      </c>
      <c r="L318" s="677">
        <f t="shared" si="29"/>
        <v>0.7</v>
      </c>
      <c r="M318" s="677">
        <f t="shared" si="29"/>
        <v>0.7</v>
      </c>
      <c r="N318" s="487"/>
      <c r="O318" s="487"/>
    </row>
    <row r="319" spans="1:15" s="489" customFormat="1" x14ac:dyDescent="0.25">
      <c r="A319" s="487"/>
      <c r="C319" s="2690"/>
      <c r="D319" s="2667" t="s">
        <v>1672</v>
      </c>
      <c r="E319" s="2667" t="s">
        <v>152</v>
      </c>
      <c r="F319" s="678">
        <f t="shared" ref="F319:M319" ca="1" si="30">F317/F318</f>
        <v>2.0378047444152281</v>
      </c>
      <c r="G319" s="678">
        <f t="shared" ca="1" si="30"/>
        <v>2.0522519844118179</v>
      </c>
      <c r="H319" s="678">
        <f t="shared" ca="1" si="30"/>
        <v>2.4699285267896216</v>
      </c>
      <c r="I319" s="678">
        <f t="shared" ca="1" si="30"/>
        <v>2.916161939859097</v>
      </c>
      <c r="J319" s="678">
        <f t="shared" ca="1" si="30"/>
        <v>3.4677027727620424</v>
      </c>
      <c r="K319" s="678">
        <f t="shared" ca="1" si="30"/>
        <v>4.0743469762659048</v>
      </c>
      <c r="L319" s="678">
        <f t="shared" ca="1" si="30"/>
        <v>4.7022622037511699</v>
      </c>
      <c r="M319" s="678">
        <f t="shared" ca="1" si="30"/>
        <v>5.2716777659993683</v>
      </c>
      <c r="N319" s="487"/>
      <c r="O319" s="487"/>
    </row>
    <row r="320" spans="1:15" s="489" customFormat="1" x14ac:dyDescent="0.25">
      <c r="A320" s="487"/>
      <c r="B320" s="487"/>
      <c r="C320" s="2686"/>
      <c r="D320" s="487"/>
      <c r="E320" s="2667"/>
      <c r="F320" s="678"/>
      <c r="G320" s="678"/>
      <c r="H320" s="678"/>
      <c r="I320" s="678"/>
      <c r="J320" s="678"/>
      <c r="K320" s="678"/>
      <c r="L320" s="678"/>
      <c r="M320" s="678"/>
      <c r="N320" s="487"/>
      <c r="O320" s="487"/>
    </row>
    <row r="321" spans="1:15" s="489" customFormat="1" ht="18.75" x14ac:dyDescent="0.3">
      <c r="A321" s="487"/>
      <c r="C321" s="679" t="s">
        <v>387</v>
      </c>
      <c r="D321" s="487"/>
      <c r="E321" s="487"/>
      <c r="F321" s="678"/>
      <c r="G321" s="678"/>
      <c r="H321" s="678"/>
      <c r="I321" s="678"/>
      <c r="J321" s="678"/>
      <c r="K321" s="678"/>
      <c r="L321" s="678"/>
      <c r="M321" s="678"/>
      <c r="N321" s="487"/>
      <c r="O321" s="487"/>
    </row>
    <row r="322" spans="1:15" s="489" customFormat="1" ht="15.75" x14ac:dyDescent="0.25">
      <c r="A322" s="487"/>
      <c r="C322" s="2690" t="s">
        <v>234</v>
      </c>
      <c r="D322" s="2684" t="s">
        <v>1711</v>
      </c>
      <c r="E322" s="2684" t="s">
        <v>171</v>
      </c>
      <c r="F322" s="2685">
        <f t="shared" ref="F322:M322" ca="1" si="31">F307</f>
        <v>26.790917154947138</v>
      </c>
      <c r="G322" s="2685">
        <f t="shared" ca="1" si="31"/>
        <v>29.983401492256657</v>
      </c>
      <c r="H322" s="2685">
        <f t="shared" ca="1" si="31"/>
        <v>36.085655776396365</v>
      </c>
      <c r="I322" s="2685">
        <f t="shared" ca="1" si="31"/>
        <v>42.605125941341399</v>
      </c>
      <c r="J322" s="2685">
        <f t="shared" ca="1" si="31"/>
        <v>50.663137510053431</v>
      </c>
      <c r="K322" s="2685">
        <f t="shared" ca="1" si="31"/>
        <v>59.526209323244863</v>
      </c>
      <c r="L322" s="2685">
        <f t="shared" ca="1" si="31"/>
        <v>68.700050796804589</v>
      </c>
      <c r="M322" s="2685">
        <f t="shared" ca="1" si="31"/>
        <v>77.019212161250763</v>
      </c>
      <c r="N322" s="487"/>
      <c r="O322" s="487"/>
    </row>
    <row r="323" spans="1:15" s="489" customFormat="1" x14ac:dyDescent="0.25">
      <c r="A323" s="487"/>
      <c r="C323" s="2686" t="s">
        <v>380</v>
      </c>
      <c r="D323" s="487" t="s">
        <v>381</v>
      </c>
      <c r="E323" s="487" t="s">
        <v>171</v>
      </c>
      <c r="F323" s="678">
        <f t="shared" ref="F323:M323" ca="1" si="32">F107*F322</f>
        <v>1.4332491405322085</v>
      </c>
      <c r="G323" s="678">
        <f t="shared" ca="1" si="32"/>
        <v>1.4991700746128329</v>
      </c>
      <c r="H323" s="678">
        <f t="shared" ca="1" si="32"/>
        <v>1.8042827888198183</v>
      </c>
      <c r="I323" s="678">
        <f t="shared" ca="1" si="32"/>
        <v>2.1302562970670702</v>
      </c>
      <c r="J323" s="678">
        <f t="shared" ca="1" si="32"/>
        <v>2.5331568755026717</v>
      </c>
      <c r="K323" s="678">
        <f t="shared" ca="1" si="32"/>
        <v>2.9763104661622433</v>
      </c>
      <c r="L323" s="678">
        <f t="shared" ca="1" si="32"/>
        <v>3.4350025398402297</v>
      </c>
      <c r="M323" s="678">
        <f t="shared" ca="1" si="32"/>
        <v>3.8509606080625383</v>
      </c>
      <c r="N323" s="487"/>
      <c r="O323" s="487"/>
    </row>
    <row r="324" spans="1:15" s="489" customFormat="1" x14ac:dyDescent="0.25">
      <c r="A324" s="487"/>
      <c r="C324" s="2686" t="s">
        <v>234</v>
      </c>
      <c r="D324" s="2667" t="s">
        <v>382</v>
      </c>
      <c r="E324" s="2667" t="s">
        <v>171</v>
      </c>
      <c r="F324" s="678">
        <f t="shared" ref="F324:M324" ca="1" si="33">F322+F323</f>
        <v>28.224166295479346</v>
      </c>
      <c r="G324" s="678">
        <f t="shared" ca="1" si="33"/>
        <v>31.482571566869492</v>
      </c>
      <c r="H324" s="678">
        <f t="shared" ca="1" si="33"/>
        <v>37.889938565216184</v>
      </c>
      <c r="I324" s="678">
        <f t="shared" ca="1" si="33"/>
        <v>44.735382238408469</v>
      </c>
      <c r="J324" s="678">
        <f t="shared" ca="1" si="33"/>
        <v>53.196294385556101</v>
      </c>
      <c r="K324" s="678">
        <f t="shared" ca="1" si="33"/>
        <v>62.50251978940711</v>
      </c>
      <c r="L324" s="678">
        <f t="shared" ca="1" si="33"/>
        <v>72.135053336644816</v>
      </c>
      <c r="M324" s="678">
        <f t="shared" ca="1" si="33"/>
        <v>80.870172769313299</v>
      </c>
      <c r="N324" s="487"/>
      <c r="O324" s="487"/>
    </row>
    <row r="325" spans="1:15" s="489" customFormat="1" x14ac:dyDescent="0.25">
      <c r="A325" s="487"/>
      <c r="C325" s="2691" t="s">
        <v>383</v>
      </c>
      <c r="D325" s="487" t="s">
        <v>384</v>
      </c>
      <c r="E325" s="487" t="s">
        <v>190</v>
      </c>
      <c r="F325" s="2644">
        <f t="shared" ref="F325:M325" si="34">F115</f>
        <v>0.48899999999999999</v>
      </c>
      <c r="G325" s="2644">
        <f t="shared" si="34"/>
        <v>0.5</v>
      </c>
      <c r="H325" s="2644">
        <f t="shared" si="34"/>
        <v>0.5</v>
      </c>
      <c r="I325" s="2644">
        <f t="shared" si="34"/>
        <v>0.5</v>
      </c>
      <c r="J325" s="2644">
        <f t="shared" si="34"/>
        <v>0.5</v>
      </c>
      <c r="K325" s="2644">
        <f t="shared" si="34"/>
        <v>0.5</v>
      </c>
      <c r="L325" s="2644">
        <f t="shared" si="34"/>
        <v>0.5</v>
      </c>
      <c r="M325" s="2644">
        <f t="shared" si="34"/>
        <v>0.5</v>
      </c>
      <c r="N325" s="487"/>
      <c r="O325" s="487"/>
    </row>
    <row r="326" spans="1:15" s="489" customFormat="1" x14ac:dyDescent="0.25">
      <c r="A326" s="487"/>
      <c r="C326" s="2690" t="s">
        <v>234</v>
      </c>
      <c r="D326" s="487" t="s">
        <v>385</v>
      </c>
      <c r="E326" s="487" t="s">
        <v>171</v>
      </c>
      <c r="F326" s="678">
        <f ca="1">F324/F325</f>
        <v>57.718131483597844</v>
      </c>
      <c r="G326" s="678">
        <f t="shared" ref="G326:M326" ca="1" si="35">G324/G325</f>
        <v>62.965143133738984</v>
      </c>
      <c r="H326" s="678">
        <f t="shared" ca="1" si="35"/>
        <v>75.779877130432368</v>
      </c>
      <c r="I326" s="678">
        <f t="shared" ca="1" si="35"/>
        <v>89.470764476816939</v>
      </c>
      <c r="J326" s="678">
        <f t="shared" ca="1" si="35"/>
        <v>106.3925887711122</v>
      </c>
      <c r="K326" s="678">
        <f t="shared" ca="1" si="35"/>
        <v>125.00503957881422</v>
      </c>
      <c r="L326" s="678">
        <f t="shared" ca="1" si="35"/>
        <v>144.27010667328963</v>
      </c>
      <c r="M326" s="678">
        <f t="shared" ca="1" si="35"/>
        <v>161.7403455386266</v>
      </c>
      <c r="N326" s="487"/>
      <c r="O326" s="487"/>
    </row>
    <row r="327" spans="1:15" s="489" customFormat="1" x14ac:dyDescent="0.25">
      <c r="A327" s="487"/>
      <c r="C327" s="2690"/>
      <c r="D327" s="2667" t="s">
        <v>1671</v>
      </c>
      <c r="E327" s="2667" t="s">
        <v>152</v>
      </c>
      <c r="F327" s="678">
        <f ca="1">F324/8.766</f>
        <v>3.2197314961760606</v>
      </c>
      <c r="G327" s="678">
        <f t="shared" ref="G327:M327" ca="1" si="36">G324/8.766</f>
        <v>3.5914409727206813</v>
      </c>
      <c r="H327" s="678">
        <f t="shared" ca="1" si="36"/>
        <v>4.3223749218818375</v>
      </c>
      <c r="I327" s="678">
        <f t="shared" ca="1" si="36"/>
        <v>5.1032833947534186</v>
      </c>
      <c r="J327" s="678">
        <f t="shared" ca="1" si="36"/>
        <v>6.0684798523335726</v>
      </c>
      <c r="K327" s="678">
        <f t="shared" ca="1" si="36"/>
        <v>7.1301072084653327</v>
      </c>
      <c r="L327" s="678">
        <f t="shared" ca="1" si="36"/>
        <v>8.228958856564546</v>
      </c>
      <c r="M327" s="678">
        <f t="shared" ca="1" si="36"/>
        <v>9.2254360904988939</v>
      </c>
      <c r="N327" s="487"/>
      <c r="O327" s="487"/>
    </row>
    <row r="328" spans="1:15" s="489" customFormat="1" x14ac:dyDescent="0.25">
      <c r="A328" s="487"/>
      <c r="C328" s="2690"/>
      <c r="D328" s="2667" t="s">
        <v>160</v>
      </c>
      <c r="E328" s="2667" t="s">
        <v>190</v>
      </c>
      <c r="F328" s="677">
        <f t="shared" ref="F328:M328" si="37">F123</f>
        <v>0.63200000000000001</v>
      </c>
      <c r="G328" s="677">
        <f t="shared" si="37"/>
        <v>0.7</v>
      </c>
      <c r="H328" s="677">
        <f t="shared" si="37"/>
        <v>0.7</v>
      </c>
      <c r="I328" s="677">
        <f t="shared" si="37"/>
        <v>0.7</v>
      </c>
      <c r="J328" s="677">
        <f t="shared" si="37"/>
        <v>0.7</v>
      </c>
      <c r="K328" s="677">
        <f t="shared" si="37"/>
        <v>0.7</v>
      </c>
      <c r="L328" s="677">
        <f t="shared" si="37"/>
        <v>0.7</v>
      </c>
      <c r="M328" s="677">
        <f t="shared" si="37"/>
        <v>0.7</v>
      </c>
      <c r="N328" s="487"/>
      <c r="O328" s="487"/>
    </row>
    <row r="329" spans="1:15" s="489" customFormat="1" x14ac:dyDescent="0.25">
      <c r="A329" s="487"/>
      <c r="C329" s="2690"/>
      <c r="D329" s="2667" t="s">
        <v>1672</v>
      </c>
      <c r="E329" s="2667" t="s">
        <v>152</v>
      </c>
      <c r="F329" s="678">
        <f ca="1">F327/F328</f>
        <v>5.0945118610380709</v>
      </c>
      <c r="G329" s="678">
        <f t="shared" ref="G329:M329" ca="1" si="38">G327/G328</f>
        <v>5.1306299610295447</v>
      </c>
      <c r="H329" s="678">
        <f t="shared" ca="1" si="38"/>
        <v>6.1748213169740538</v>
      </c>
      <c r="I329" s="678">
        <f t="shared" ca="1" si="38"/>
        <v>7.2904048496477412</v>
      </c>
      <c r="J329" s="678">
        <f t="shared" ca="1" si="38"/>
        <v>8.6692569319051049</v>
      </c>
      <c r="K329" s="678">
        <f t="shared" ca="1" si="38"/>
        <v>10.185867440664762</v>
      </c>
      <c r="L329" s="678">
        <f t="shared" ca="1" si="38"/>
        <v>11.755655509377924</v>
      </c>
      <c r="M329" s="678">
        <f t="shared" ca="1" si="38"/>
        <v>13.17919441499842</v>
      </c>
      <c r="N329" s="487"/>
      <c r="O329" s="487"/>
    </row>
    <row r="330" spans="1:15" s="489" customFormat="1" x14ac:dyDescent="0.25">
      <c r="A330" s="487"/>
      <c r="C330" s="2690"/>
      <c r="D330" s="2667"/>
      <c r="E330" s="2667"/>
      <c r="F330" s="678"/>
      <c r="G330" s="678"/>
      <c r="H330" s="678"/>
      <c r="I330" s="678"/>
      <c r="J330" s="678"/>
      <c r="K330" s="678"/>
      <c r="L330" s="678"/>
      <c r="M330" s="678"/>
      <c r="N330" s="487"/>
      <c r="O330" s="487"/>
    </row>
    <row r="331" spans="1:15" s="489" customFormat="1" ht="18.75" x14ac:dyDescent="0.3">
      <c r="A331" s="487"/>
      <c r="C331" s="679" t="s">
        <v>334</v>
      </c>
      <c r="D331" s="487"/>
      <c r="E331" s="487"/>
      <c r="F331" s="678"/>
      <c r="G331" s="678"/>
      <c r="H331" s="678"/>
      <c r="I331" s="678"/>
      <c r="J331" s="678"/>
      <c r="K331" s="678"/>
      <c r="L331" s="678"/>
      <c r="M331" s="678"/>
      <c r="N331" s="487"/>
      <c r="O331" s="487"/>
    </row>
    <row r="332" spans="1:15" s="489" customFormat="1" ht="15.75" x14ac:dyDescent="0.25">
      <c r="A332" s="487"/>
      <c r="C332" s="2690" t="s">
        <v>234</v>
      </c>
      <c r="D332" s="2684" t="s">
        <v>1712</v>
      </c>
      <c r="E332" s="2684" t="s">
        <v>171</v>
      </c>
      <c r="F332" s="2685">
        <f t="shared" ref="F332:M332" ca="1" si="39">F308</f>
        <v>2.0093187866210354</v>
      </c>
      <c r="G332" s="2685">
        <f t="shared" ca="1" si="39"/>
        <v>2.2487551119192495</v>
      </c>
      <c r="H332" s="2685">
        <f ca="1">H308</f>
        <v>2.7064241832297276</v>
      </c>
      <c r="I332" s="2685">
        <f t="shared" ca="1" si="39"/>
        <v>3.1953844456006051</v>
      </c>
      <c r="J332" s="2685">
        <f t="shared" ca="1" si="39"/>
        <v>3.7997353132540082</v>
      </c>
      <c r="K332" s="2685">
        <f t="shared" ca="1" si="39"/>
        <v>4.4644656992433651</v>
      </c>
      <c r="L332" s="2685">
        <f t="shared" ca="1" si="39"/>
        <v>5.1525038097603444</v>
      </c>
      <c r="M332" s="2685">
        <f t="shared" ca="1" si="39"/>
        <v>5.7764409120938076</v>
      </c>
      <c r="N332" s="487"/>
      <c r="O332" s="487"/>
    </row>
    <row r="333" spans="1:15" s="489" customFormat="1" x14ac:dyDescent="0.25">
      <c r="A333" s="487"/>
      <c r="C333" s="2686" t="s">
        <v>380</v>
      </c>
      <c r="D333" s="487" t="s">
        <v>381</v>
      </c>
      <c r="E333" s="487" t="s">
        <v>171</v>
      </c>
      <c r="F333" s="678">
        <f t="shared" ref="F333:M333" ca="1" si="40">F106*F332</f>
        <v>0.10749368553991563</v>
      </c>
      <c r="G333" s="678">
        <f t="shared" ca="1" si="40"/>
        <v>0.11243775559596247</v>
      </c>
      <c r="H333" s="678">
        <f t="shared" ca="1" si="40"/>
        <v>0.13532120916148638</v>
      </c>
      <c r="I333" s="678">
        <f t="shared" ca="1" si="40"/>
        <v>0.15976922228003027</v>
      </c>
      <c r="J333" s="678">
        <f t="shared" ca="1" si="40"/>
        <v>0.18998676566270042</v>
      </c>
      <c r="K333" s="678">
        <f t="shared" ca="1" si="40"/>
        <v>0.22322328496216826</v>
      </c>
      <c r="L333" s="678">
        <f t="shared" ca="1" si="40"/>
        <v>0.25762519048801724</v>
      </c>
      <c r="M333" s="678">
        <f t="shared" ca="1" si="40"/>
        <v>0.28882204560469038</v>
      </c>
      <c r="N333" s="487"/>
      <c r="O333" s="487"/>
    </row>
    <row r="334" spans="1:15" s="489" customFormat="1" x14ac:dyDescent="0.25">
      <c r="A334" s="487"/>
      <c r="C334" s="2686" t="s">
        <v>234</v>
      </c>
      <c r="D334" s="2667" t="s">
        <v>382</v>
      </c>
      <c r="E334" s="2667" t="s">
        <v>171</v>
      </c>
      <c r="F334" s="678">
        <f ca="1">F332+F333</f>
        <v>2.1168124721609511</v>
      </c>
      <c r="G334" s="678">
        <f t="shared" ref="G334:M334" ca="1" si="41">G332+G333</f>
        <v>2.3611928675152121</v>
      </c>
      <c r="H334" s="678">
        <f t="shared" ca="1" si="41"/>
        <v>2.8417453923912142</v>
      </c>
      <c r="I334" s="678">
        <f t="shared" ca="1" si="41"/>
        <v>3.3551536678806353</v>
      </c>
      <c r="J334" s="678">
        <f t="shared" ca="1" si="41"/>
        <v>3.9897220789167087</v>
      </c>
      <c r="K334" s="678">
        <f t="shared" ca="1" si="41"/>
        <v>4.6876889842055336</v>
      </c>
      <c r="L334" s="678">
        <f t="shared" ca="1" si="41"/>
        <v>5.4101290002483617</v>
      </c>
      <c r="M334" s="678">
        <f t="shared" ca="1" si="41"/>
        <v>6.065262957698498</v>
      </c>
      <c r="N334" s="487"/>
      <c r="O334" s="487"/>
    </row>
    <row r="335" spans="1:15" s="489" customFormat="1" x14ac:dyDescent="0.25">
      <c r="A335" s="487"/>
      <c r="C335" s="2691" t="s">
        <v>383</v>
      </c>
      <c r="D335" s="487" t="s">
        <v>384</v>
      </c>
      <c r="E335" s="487" t="s">
        <v>190</v>
      </c>
      <c r="F335" s="2644">
        <f t="shared" ref="F335:M335" si="42">F114</f>
        <v>0.27500000000000002</v>
      </c>
      <c r="G335" s="2644">
        <f t="shared" si="42"/>
        <v>0.3</v>
      </c>
      <c r="H335" s="2644">
        <f t="shared" si="42"/>
        <v>0.3</v>
      </c>
      <c r="I335" s="2644">
        <f t="shared" si="42"/>
        <v>0.3</v>
      </c>
      <c r="J335" s="2644">
        <f t="shared" si="42"/>
        <v>0.3</v>
      </c>
      <c r="K335" s="2644">
        <f t="shared" si="42"/>
        <v>0.3</v>
      </c>
      <c r="L335" s="2644">
        <f t="shared" si="42"/>
        <v>0.3</v>
      </c>
      <c r="M335" s="2644">
        <f t="shared" si="42"/>
        <v>0.3</v>
      </c>
      <c r="N335" s="487"/>
      <c r="O335" s="487"/>
    </row>
    <row r="336" spans="1:15" s="489" customFormat="1" x14ac:dyDescent="0.25">
      <c r="A336" s="487"/>
      <c r="C336" s="2690" t="s">
        <v>234</v>
      </c>
      <c r="D336" s="487" t="s">
        <v>385</v>
      </c>
      <c r="E336" s="487" t="s">
        <v>171</v>
      </c>
      <c r="F336" s="678">
        <f ca="1">F334/F335</f>
        <v>7.6974998987670942</v>
      </c>
      <c r="G336" s="678">
        <f t="shared" ref="G336:L336" ca="1" si="43">G334/G335</f>
        <v>7.8706428917173739</v>
      </c>
      <c r="H336" s="678">
        <f t="shared" ca="1" si="43"/>
        <v>9.4724846413040478</v>
      </c>
      <c r="I336" s="678">
        <f t="shared" ca="1" si="43"/>
        <v>11.183845559602117</v>
      </c>
      <c r="J336" s="678">
        <f t="shared" ca="1" si="43"/>
        <v>13.299073596389029</v>
      </c>
      <c r="K336" s="678">
        <f t="shared" ca="1" si="43"/>
        <v>15.625629947351779</v>
      </c>
      <c r="L336" s="678">
        <f t="shared" ca="1" si="43"/>
        <v>18.033763334161208</v>
      </c>
      <c r="M336" s="678">
        <f ca="1">M334/M335</f>
        <v>20.217543192328328</v>
      </c>
      <c r="N336" s="487"/>
      <c r="O336" s="487"/>
    </row>
    <row r="337" spans="1:15" s="489" customFormat="1" x14ac:dyDescent="0.25">
      <c r="A337" s="487"/>
      <c r="C337" s="2690"/>
      <c r="D337" s="2667" t="s">
        <v>1671</v>
      </c>
      <c r="E337" s="487" t="s">
        <v>152</v>
      </c>
      <c r="F337" s="678">
        <f ca="1">F334/8.766</f>
        <v>0.24147986221320455</v>
      </c>
      <c r="G337" s="678">
        <f t="shared" ref="G337:M337" ca="1" si="44">G334/8.766</f>
        <v>0.26935807295405112</v>
      </c>
      <c r="H337" s="678">
        <f t="shared" ca="1" si="44"/>
        <v>0.32417811914113781</v>
      </c>
      <c r="I337" s="678">
        <f t="shared" ca="1" si="44"/>
        <v>0.38274625460650641</v>
      </c>
      <c r="J337" s="678">
        <f t="shared" ca="1" si="44"/>
        <v>0.45513598892501811</v>
      </c>
      <c r="K337" s="678">
        <f t="shared" ca="1" si="44"/>
        <v>0.53475804063490007</v>
      </c>
      <c r="L337" s="678">
        <f t="shared" ca="1" si="44"/>
        <v>0.61717191424234108</v>
      </c>
      <c r="M337" s="678">
        <f t="shared" ca="1" si="44"/>
        <v>0.69190770678741709</v>
      </c>
      <c r="N337" s="487"/>
      <c r="O337" s="487"/>
    </row>
    <row r="338" spans="1:15" s="489" customFormat="1" x14ac:dyDescent="0.25">
      <c r="A338" s="487"/>
      <c r="C338" s="2690"/>
      <c r="D338" s="2667" t="s">
        <v>160</v>
      </c>
      <c r="E338" s="2667" t="s">
        <v>190</v>
      </c>
      <c r="F338" s="677">
        <f t="shared" ref="F338:M338" si="45">F122</f>
        <v>0.63200000000000001</v>
      </c>
      <c r="G338" s="677">
        <f t="shared" si="45"/>
        <v>0.7</v>
      </c>
      <c r="H338" s="677">
        <f t="shared" si="45"/>
        <v>0.7</v>
      </c>
      <c r="I338" s="677">
        <f t="shared" si="45"/>
        <v>0.7</v>
      </c>
      <c r="J338" s="677">
        <f t="shared" si="45"/>
        <v>0.7</v>
      </c>
      <c r="K338" s="677">
        <f t="shared" si="45"/>
        <v>0.7</v>
      </c>
      <c r="L338" s="677">
        <f t="shared" si="45"/>
        <v>0.7</v>
      </c>
      <c r="M338" s="677">
        <f t="shared" si="45"/>
        <v>0.7</v>
      </c>
      <c r="N338" s="487"/>
      <c r="O338" s="487"/>
    </row>
    <row r="339" spans="1:15" s="489" customFormat="1" x14ac:dyDescent="0.25">
      <c r="A339" s="487"/>
      <c r="C339" s="2690"/>
      <c r="D339" s="2667" t="s">
        <v>1672</v>
      </c>
      <c r="E339" s="2667" t="s">
        <v>152</v>
      </c>
      <c r="F339" s="678">
        <f ca="1">F337/F338</f>
        <v>0.38208838957785529</v>
      </c>
      <c r="G339" s="678">
        <f t="shared" ref="G339:M339" ca="1" si="46">G337/G338</f>
        <v>0.38479724707721591</v>
      </c>
      <c r="H339" s="678">
        <f t="shared" ca="1" si="46"/>
        <v>0.46311159877305402</v>
      </c>
      <c r="I339" s="678">
        <f t="shared" ca="1" si="46"/>
        <v>0.54678036372358063</v>
      </c>
      <c r="J339" s="678">
        <f t="shared" ca="1" si="46"/>
        <v>0.65019426989288309</v>
      </c>
      <c r="K339" s="678">
        <f t="shared" ca="1" si="46"/>
        <v>0.76394005804985732</v>
      </c>
      <c r="L339" s="678">
        <f t="shared" ca="1" si="46"/>
        <v>0.88167416320334446</v>
      </c>
      <c r="M339" s="678">
        <f t="shared" ca="1" si="46"/>
        <v>0.98843958112488162</v>
      </c>
      <c r="N339" s="487"/>
      <c r="O339" s="487"/>
    </row>
    <row r="340" spans="1:15" s="489" customFormat="1" x14ac:dyDescent="0.25">
      <c r="A340" s="487"/>
      <c r="C340" s="2690"/>
      <c r="D340" s="2667"/>
      <c r="E340" s="2667"/>
      <c r="F340" s="678"/>
      <c r="G340" s="678"/>
      <c r="H340" s="678"/>
      <c r="I340" s="678"/>
      <c r="J340" s="678"/>
      <c r="K340" s="678"/>
      <c r="L340" s="678"/>
      <c r="M340" s="678"/>
      <c r="N340" s="487"/>
      <c r="O340" s="487"/>
    </row>
    <row r="341" spans="1:15" s="489" customFormat="1" x14ac:dyDescent="0.25">
      <c r="A341" s="487"/>
      <c r="C341" s="2690"/>
      <c r="D341" s="2667"/>
      <c r="E341" s="2667"/>
      <c r="F341" s="678"/>
      <c r="G341" s="678"/>
      <c r="H341" s="678"/>
      <c r="I341" s="678"/>
      <c r="J341" s="678"/>
      <c r="K341" s="678"/>
      <c r="L341" s="678"/>
      <c r="M341" s="678"/>
      <c r="N341" s="487"/>
      <c r="O341" s="487"/>
    </row>
    <row r="342" spans="1:15" s="489" customFormat="1" x14ac:dyDescent="0.25">
      <c r="A342" s="487"/>
      <c r="C342" s="2856" t="s">
        <v>1672</v>
      </c>
      <c r="D342" s="2863"/>
      <c r="E342" s="2858"/>
      <c r="F342" s="2864"/>
      <c r="G342" s="2864"/>
      <c r="H342" s="2864"/>
      <c r="I342" s="2864"/>
      <c r="J342" s="2864"/>
      <c r="K342" s="2864"/>
      <c r="L342" s="2864"/>
      <c r="M342" s="2864"/>
      <c r="N342" s="487"/>
      <c r="O342" s="487"/>
    </row>
    <row r="343" spans="1:15" s="489" customFormat="1" x14ac:dyDescent="0.25">
      <c r="A343" s="487"/>
      <c r="C343" s="2856"/>
      <c r="D343" s="2857" t="s">
        <v>332</v>
      </c>
      <c r="E343" s="2858" t="s">
        <v>152</v>
      </c>
      <c r="F343" s="2859">
        <f t="shared" ref="F343:M343" ca="1" si="47">F319</f>
        <v>2.0378047444152281</v>
      </c>
      <c r="G343" s="2859">
        <f t="shared" ca="1" si="47"/>
        <v>2.0522519844118179</v>
      </c>
      <c r="H343" s="2859">
        <f t="shared" ca="1" si="47"/>
        <v>2.4699285267896216</v>
      </c>
      <c r="I343" s="2859">
        <f t="shared" ca="1" si="47"/>
        <v>2.916161939859097</v>
      </c>
      <c r="J343" s="2859">
        <f t="shared" ca="1" si="47"/>
        <v>3.4677027727620424</v>
      </c>
      <c r="K343" s="2859">
        <f t="shared" ca="1" si="47"/>
        <v>4.0743469762659048</v>
      </c>
      <c r="L343" s="2859">
        <f t="shared" ca="1" si="47"/>
        <v>4.7022622037511699</v>
      </c>
      <c r="M343" s="2859">
        <f t="shared" ca="1" si="47"/>
        <v>5.2716777659993683</v>
      </c>
      <c r="N343" s="487"/>
      <c r="O343" s="487"/>
    </row>
    <row r="344" spans="1:15" s="489" customFormat="1" x14ac:dyDescent="0.25">
      <c r="A344" s="487"/>
      <c r="C344" s="2690"/>
      <c r="D344" s="2857" t="s">
        <v>387</v>
      </c>
      <c r="E344" s="2858" t="s">
        <v>152</v>
      </c>
      <c r="F344" s="2859">
        <f ca="1">F329</f>
        <v>5.0945118610380709</v>
      </c>
      <c r="G344" s="2859">
        <f t="shared" ref="G344:M344" ca="1" si="48">G329</f>
        <v>5.1306299610295447</v>
      </c>
      <c r="H344" s="2859">
        <f t="shared" ca="1" si="48"/>
        <v>6.1748213169740538</v>
      </c>
      <c r="I344" s="2859">
        <f t="shared" ca="1" si="48"/>
        <v>7.2904048496477412</v>
      </c>
      <c r="J344" s="2859">
        <f t="shared" ca="1" si="48"/>
        <v>8.6692569319051049</v>
      </c>
      <c r="K344" s="2859">
        <f t="shared" ca="1" si="48"/>
        <v>10.185867440664762</v>
      </c>
      <c r="L344" s="2859">
        <f t="shared" ca="1" si="48"/>
        <v>11.755655509377924</v>
      </c>
      <c r="M344" s="2859">
        <f t="shared" ca="1" si="48"/>
        <v>13.17919441499842</v>
      </c>
      <c r="N344" s="487"/>
      <c r="O344" s="487"/>
    </row>
    <row r="345" spans="1:15" s="489" customFormat="1" x14ac:dyDescent="0.25">
      <c r="A345" s="487"/>
      <c r="C345" s="2690"/>
      <c r="D345" s="2860" t="s">
        <v>334</v>
      </c>
      <c r="E345" s="2861" t="s">
        <v>152</v>
      </c>
      <c r="F345" s="2862">
        <f ca="1">F339</f>
        <v>0.38208838957785529</v>
      </c>
      <c r="G345" s="2862">
        <f t="shared" ref="G345:M345" ca="1" si="49">G339</f>
        <v>0.38479724707721591</v>
      </c>
      <c r="H345" s="2862">
        <f t="shared" ca="1" si="49"/>
        <v>0.46311159877305402</v>
      </c>
      <c r="I345" s="2862">
        <f t="shared" ca="1" si="49"/>
        <v>0.54678036372358063</v>
      </c>
      <c r="J345" s="2862">
        <f t="shared" ca="1" si="49"/>
        <v>0.65019426989288309</v>
      </c>
      <c r="K345" s="2862">
        <f t="shared" ca="1" si="49"/>
        <v>0.76394005804985732</v>
      </c>
      <c r="L345" s="2862">
        <f t="shared" ca="1" si="49"/>
        <v>0.88167416320334446</v>
      </c>
      <c r="M345" s="2862">
        <f t="shared" ca="1" si="49"/>
        <v>0.98843958112488162</v>
      </c>
      <c r="N345" s="487"/>
      <c r="O345" s="487"/>
    </row>
    <row r="346" spans="1:15" s="489" customFormat="1" x14ac:dyDescent="0.25">
      <c r="A346" s="487"/>
      <c r="C346" s="2690"/>
      <c r="D346" s="2856" t="s">
        <v>118</v>
      </c>
      <c r="E346" s="2667" t="s">
        <v>152</v>
      </c>
      <c r="F346" s="678">
        <f t="shared" ref="F346:M346" ca="1" si="50">SUM(F343:F345)</f>
        <v>7.5144049950311551</v>
      </c>
      <c r="G346" s="678">
        <f t="shared" ca="1" si="50"/>
        <v>7.5676791925185789</v>
      </c>
      <c r="H346" s="678">
        <f t="shared" ca="1" si="50"/>
        <v>9.1078614425367288</v>
      </c>
      <c r="I346" s="678">
        <f t="shared" ca="1" si="50"/>
        <v>10.753347153230418</v>
      </c>
      <c r="J346" s="678">
        <f t="shared" ca="1" si="50"/>
        <v>12.787153974560031</v>
      </c>
      <c r="K346" s="678">
        <f t="shared" ca="1" si="50"/>
        <v>15.024154474980524</v>
      </c>
      <c r="L346" s="678">
        <f t="shared" ca="1" si="50"/>
        <v>17.339591876332435</v>
      </c>
      <c r="M346" s="678">
        <f t="shared" ca="1" si="50"/>
        <v>19.439311762122671</v>
      </c>
      <c r="N346" s="487"/>
      <c r="O346" s="487"/>
    </row>
    <row r="347" spans="1:15" s="489" customFormat="1" x14ac:dyDescent="0.25">
      <c r="A347" s="487"/>
      <c r="C347" s="2690"/>
      <c r="D347" s="2667"/>
      <c r="E347" s="2667"/>
      <c r="F347" s="678"/>
      <c r="G347" s="678"/>
      <c r="H347" s="678"/>
      <c r="I347" s="678"/>
      <c r="J347" s="678"/>
      <c r="K347" s="678"/>
      <c r="L347" s="678"/>
      <c r="M347" s="678"/>
      <c r="N347" s="487"/>
      <c r="O347" s="487"/>
    </row>
    <row r="348" spans="1:15" s="489" customFormat="1" x14ac:dyDescent="0.25">
      <c r="A348" s="487"/>
      <c r="B348" s="487"/>
      <c r="C348" s="2667"/>
      <c r="D348" s="487"/>
      <c r="E348" s="2667"/>
      <c r="F348" s="678"/>
      <c r="G348" s="678"/>
      <c r="H348" s="678"/>
      <c r="I348" s="678"/>
      <c r="J348" s="678"/>
      <c r="K348" s="678"/>
      <c r="L348" s="678"/>
      <c r="M348" s="678"/>
      <c r="N348" s="487"/>
      <c r="O348" s="487"/>
    </row>
    <row r="349" spans="1:15" s="489" customFormat="1" hidden="1" outlineLevel="1" x14ac:dyDescent="0.25">
      <c r="A349" s="487"/>
      <c r="B349" s="487"/>
      <c r="C349" s="2667"/>
      <c r="D349" s="487"/>
      <c r="E349" s="2667"/>
      <c r="F349" s="678"/>
      <c r="G349" s="678"/>
      <c r="H349" s="678"/>
      <c r="I349" s="678"/>
      <c r="J349" s="678"/>
      <c r="K349" s="678"/>
      <c r="L349" s="678"/>
      <c r="M349" s="678"/>
      <c r="N349" s="487"/>
      <c r="O349" s="487"/>
    </row>
    <row r="350" spans="1:15" s="489" customFormat="1" hidden="1" outlineLevel="1" x14ac:dyDescent="0.25">
      <c r="A350" s="487"/>
      <c r="B350" s="2667" t="s">
        <v>1673</v>
      </c>
      <c r="C350" s="2667"/>
      <c r="D350" s="487"/>
      <c r="E350" s="2667"/>
      <c r="F350" s="678"/>
      <c r="G350" s="678"/>
      <c r="H350" s="678"/>
      <c r="I350" s="678"/>
      <c r="J350" s="678"/>
      <c r="K350" s="678"/>
      <c r="L350" s="678"/>
      <c r="M350" s="678"/>
      <c r="N350" s="487"/>
      <c r="O350" s="487"/>
    </row>
    <row r="351" spans="1:15" s="489" customFormat="1" hidden="1" outlineLevel="1" x14ac:dyDescent="0.25">
      <c r="A351" s="487"/>
      <c r="B351" s="487"/>
      <c r="C351" s="2667"/>
      <c r="D351" s="487"/>
      <c r="E351" s="2667"/>
      <c r="F351" s="678"/>
      <c r="G351" s="678"/>
      <c r="H351" s="678"/>
      <c r="I351" s="678"/>
      <c r="J351" s="678"/>
      <c r="K351" s="678"/>
      <c r="L351" s="678"/>
      <c r="M351" s="678"/>
      <c r="N351" s="487"/>
      <c r="O351" s="487"/>
    </row>
    <row r="352" spans="1:15" s="489" customFormat="1" hidden="1" outlineLevel="1" x14ac:dyDescent="0.25">
      <c r="A352" s="487"/>
      <c r="B352" s="487"/>
      <c r="C352" s="487"/>
      <c r="D352" s="487"/>
      <c r="E352" s="487"/>
      <c r="F352" s="487"/>
      <c r="G352" s="487"/>
      <c r="H352" s="487"/>
      <c r="I352" s="487"/>
      <c r="J352" s="487"/>
      <c r="K352" s="487"/>
      <c r="L352" s="487"/>
      <c r="M352" s="487"/>
      <c r="N352" s="487"/>
      <c r="O352" s="487"/>
    </row>
    <row r="353" spans="1:15" s="489" customFormat="1" hidden="1" outlineLevel="1" x14ac:dyDescent="0.25">
      <c r="A353" s="487"/>
      <c r="B353" s="674" t="s">
        <v>332</v>
      </c>
      <c r="C353" s="487"/>
      <c r="D353" s="487"/>
      <c r="E353" s="487"/>
      <c r="F353" s="675">
        <v>2015</v>
      </c>
      <c r="G353" s="675">
        <v>2020</v>
      </c>
      <c r="H353" s="675">
        <v>2025</v>
      </c>
      <c r="I353" s="675">
        <v>2030</v>
      </c>
      <c r="J353" s="675">
        <v>2035</v>
      </c>
      <c r="K353" s="675">
        <v>2040</v>
      </c>
      <c r="L353" s="675">
        <v>2045</v>
      </c>
      <c r="M353" s="675">
        <v>2050</v>
      </c>
      <c r="N353" s="487"/>
      <c r="O353" s="487"/>
    </row>
    <row r="354" spans="1:15" s="489" customFormat="1" hidden="1" outlineLevel="1" x14ac:dyDescent="0.25">
      <c r="A354" s="487"/>
      <c r="B354" s="487"/>
      <c r="C354" s="487" t="s">
        <v>379</v>
      </c>
      <c r="D354" s="487"/>
      <c r="E354" s="487" t="s">
        <v>152</v>
      </c>
      <c r="F354" s="676" t="e">
        <f t="shared" ref="F354:M354" si="51">F266</f>
        <v>#REF!</v>
      </c>
      <c r="G354" s="676" t="e">
        <f t="shared" si="51"/>
        <v>#REF!</v>
      </c>
      <c r="H354" s="676" t="e">
        <f t="shared" si="51"/>
        <v>#REF!</v>
      </c>
      <c r="I354" s="676" t="e">
        <f t="shared" si="51"/>
        <v>#REF!</v>
      </c>
      <c r="J354" s="676" t="e">
        <f t="shared" si="51"/>
        <v>#REF!</v>
      </c>
      <c r="K354" s="676" t="e">
        <f t="shared" si="51"/>
        <v>#REF!</v>
      </c>
      <c r="L354" s="676" t="e">
        <f t="shared" si="51"/>
        <v>#REF!</v>
      </c>
      <c r="M354" s="676" t="e">
        <f t="shared" si="51"/>
        <v>#REF!</v>
      </c>
      <c r="N354" s="487"/>
      <c r="O354" s="487"/>
    </row>
    <row r="355" spans="1:15" s="489" customFormat="1" hidden="1" outlineLevel="1" x14ac:dyDescent="0.25">
      <c r="A355" s="487"/>
      <c r="B355" s="487" t="s">
        <v>232</v>
      </c>
      <c r="C355" s="487" t="s">
        <v>233</v>
      </c>
      <c r="D355" s="487"/>
      <c r="E355" s="487" t="s">
        <v>190</v>
      </c>
      <c r="F355" s="677">
        <f t="shared" ref="F355:M355" si="52">F121</f>
        <v>0.63200000000000001</v>
      </c>
      <c r="G355" s="677">
        <f t="shared" si="52"/>
        <v>0.7</v>
      </c>
      <c r="H355" s="677">
        <f t="shared" si="52"/>
        <v>0.7</v>
      </c>
      <c r="I355" s="677">
        <f t="shared" si="52"/>
        <v>0.7</v>
      </c>
      <c r="J355" s="677">
        <f t="shared" si="52"/>
        <v>0.7</v>
      </c>
      <c r="K355" s="677">
        <f t="shared" si="52"/>
        <v>0.7</v>
      </c>
      <c r="L355" s="677">
        <f t="shared" si="52"/>
        <v>0.7</v>
      </c>
      <c r="M355" s="677">
        <f t="shared" si="52"/>
        <v>0.7</v>
      </c>
      <c r="N355" s="487"/>
      <c r="O355" s="487"/>
    </row>
    <row r="356" spans="1:15" s="489" customFormat="1" hidden="1" outlineLevel="1" x14ac:dyDescent="0.25">
      <c r="A356" s="487"/>
      <c r="B356" s="487" t="s">
        <v>234</v>
      </c>
      <c r="C356" s="487" t="s">
        <v>235</v>
      </c>
      <c r="D356" s="487"/>
      <c r="E356" s="487" t="s">
        <v>152</v>
      </c>
      <c r="F356" s="678" t="e">
        <f>F354*F355</f>
        <v>#REF!</v>
      </c>
      <c r="G356" s="678" t="e">
        <f t="shared" ref="G356:M356" si="53">G354*G355</f>
        <v>#REF!</v>
      </c>
      <c r="H356" s="678" t="e">
        <f t="shared" si="53"/>
        <v>#REF!</v>
      </c>
      <c r="I356" s="678" t="e">
        <f t="shared" si="53"/>
        <v>#REF!</v>
      </c>
      <c r="J356" s="678" t="e">
        <f t="shared" si="53"/>
        <v>#REF!</v>
      </c>
      <c r="K356" s="678" t="e">
        <f t="shared" si="53"/>
        <v>#REF!</v>
      </c>
      <c r="L356" s="678" t="e">
        <f t="shared" si="53"/>
        <v>#REF!</v>
      </c>
      <c r="M356" s="678" t="e">
        <f t="shared" si="53"/>
        <v>#REF!</v>
      </c>
      <c r="N356" s="487"/>
      <c r="O356" s="487"/>
    </row>
    <row r="357" spans="1:15" s="489" customFormat="1" ht="18.75" hidden="1" outlineLevel="1" x14ac:dyDescent="0.3">
      <c r="A357" s="487"/>
      <c r="B357" s="487"/>
      <c r="C357" s="487" t="s">
        <v>386</v>
      </c>
      <c r="D357" s="487"/>
      <c r="E357" s="679" t="s">
        <v>171</v>
      </c>
      <c r="F357" s="680" t="e">
        <f>F356*8.766</f>
        <v>#REF!</v>
      </c>
      <c r="G357" s="680" t="e">
        <f t="shared" ref="G357:M357" si="54">G356*8.766</f>
        <v>#REF!</v>
      </c>
      <c r="H357" s="680" t="e">
        <f t="shared" si="54"/>
        <v>#REF!</v>
      </c>
      <c r="I357" s="680" t="e">
        <f t="shared" si="54"/>
        <v>#REF!</v>
      </c>
      <c r="J357" s="680" t="e">
        <f t="shared" si="54"/>
        <v>#REF!</v>
      </c>
      <c r="K357" s="680" t="e">
        <f t="shared" si="54"/>
        <v>#REF!</v>
      </c>
      <c r="L357" s="680" t="e">
        <f t="shared" si="54"/>
        <v>#REF!</v>
      </c>
      <c r="M357" s="680" t="e">
        <f t="shared" si="54"/>
        <v>#REF!</v>
      </c>
      <c r="N357" s="487"/>
      <c r="O357" s="487"/>
    </row>
    <row r="358" spans="1:15" s="489" customFormat="1" hidden="1" outlineLevel="1" x14ac:dyDescent="0.25">
      <c r="A358" s="487"/>
      <c r="B358" s="487" t="s">
        <v>380</v>
      </c>
      <c r="C358" s="487" t="s">
        <v>381</v>
      </c>
      <c r="D358" s="487"/>
      <c r="E358" s="487" t="s">
        <v>190</v>
      </c>
      <c r="F358" s="678" t="e">
        <f t="shared" ref="F358:M358" si="55">F105*F357</f>
        <v>#REF!</v>
      </c>
      <c r="G358" s="678" t="e">
        <f t="shared" si="55"/>
        <v>#REF!</v>
      </c>
      <c r="H358" s="678" t="e">
        <f t="shared" si="55"/>
        <v>#REF!</v>
      </c>
      <c r="I358" s="678" t="e">
        <f t="shared" si="55"/>
        <v>#REF!</v>
      </c>
      <c r="J358" s="678" t="e">
        <f t="shared" si="55"/>
        <v>#REF!</v>
      </c>
      <c r="K358" s="678" t="e">
        <f t="shared" si="55"/>
        <v>#REF!</v>
      </c>
      <c r="L358" s="678" t="e">
        <f t="shared" si="55"/>
        <v>#REF!</v>
      </c>
      <c r="M358" s="678" t="e">
        <f t="shared" si="55"/>
        <v>#REF!</v>
      </c>
      <c r="N358" s="487"/>
      <c r="O358" s="487"/>
    </row>
    <row r="359" spans="1:15" s="489" customFormat="1" hidden="1" outlineLevel="1" x14ac:dyDescent="0.25">
      <c r="A359" s="487"/>
      <c r="B359" s="487" t="s">
        <v>234</v>
      </c>
      <c r="C359" s="487" t="s">
        <v>382</v>
      </c>
      <c r="D359" s="487"/>
      <c r="E359" s="487" t="s">
        <v>171</v>
      </c>
      <c r="F359" s="678" t="e">
        <f>F358+F357</f>
        <v>#REF!</v>
      </c>
      <c r="G359" s="678" t="e">
        <f t="shared" ref="G359:M359" si="56">G358+G357</f>
        <v>#REF!</v>
      </c>
      <c r="H359" s="678" t="e">
        <f t="shared" si="56"/>
        <v>#REF!</v>
      </c>
      <c r="I359" s="678" t="e">
        <f t="shared" si="56"/>
        <v>#REF!</v>
      </c>
      <c r="J359" s="678" t="e">
        <f t="shared" si="56"/>
        <v>#REF!</v>
      </c>
      <c r="K359" s="678" t="e">
        <f t="shared" si="56"/>
        <v>#REF!</v>
      </c>
      <c r="L359" s="678" t="e">
        <f t="shared" si="56"/>
        <v>#REF!</v>
      </c>
      <c r="M359" s="678" t="e">
        <f t="shared" si="56"/>
        <v>#REF!</v>
      </c>
      <c r="N359" s="487"/>
      <c r="O359" s="487"/>
    </row>
    <row r="360" spans="1:15" s="489" customFormat="1" hidden="1" outlineLevel="1" x14ac:dyDescent="0.25">
      <c r="A360" s="487"/>
      <c r="B360" s="681" t="s">
        <v>383</v>
      </c>
      <c r="C360" s="487" t="s">
        <v>384</v>
      </c>
      <c r="D360" s="487"/>
      <c r="E360" s="487" t="s">
        <v>190</v>
      </c>
      <c r="F360" s="677">
        <f t="shared" ref="F360:M360" si="57">F113</f>
        <v>0.35699999999999998</v>
      </c>
      <c r="G360" s="677">
        <f t="shared" si="57"/>
        <v>0.35</v>
      </c>
      <c r="H360" s="677">
        <f t="shared" si="57"/>
        <v>0.35</v>
      </c>
      <c r="I360" s="677">
        <f t="shared" si="57"/>
        <v>0.35</v>
      </c>
      <c r="J360" s="677">
        <f t="shared" si="57"/>
        <v>0.35</v>
      </c>
      <c r="K360" s="677">
        <f t="shared" si="57"/>
        <v>0.35</v>
      </c>
      <c r="L360" s="677">
        <f t="shared" si="57"/>
        <v>0.35</v>
      </c>
      <c r="M360" s="677">
        <f t="shared" si="57"/>
        <v>0.35</v>
      </c>
      <c r="N360" s="487"/>
      <c r="O360" s="487"/>
    </row>
    <row r="361" spans="1:15" s="489" customFormat="1" hidden="1" outlineLevel="1" x14ac:dyDescent="0.25">
      <c r="A361" s="487"/>
      <c r="B361" s="487" t="s">
        <v>234</v>
      </c>
      <c r="C361" s="487" t="s">
        <v>385</v>
      </c>
      <c r="D361" s="487"/>
      <c r="E361" s="487" t="s">
        <v>171</v>
      </c>
      <c r="F361" s="678" t="e">
        <f>F359/F360</f>
        <v>#REF!</v>
      </c>
      <c r="G361" s="678" t="e">
        <f t="shared" ref="G361:M361" si="58">G359/G360</f>
        <v>#REF!</v>
      </c>
      <c r="H361" s="678" t="e">
        <f t="shared" si="58"/>
        <v>#REF!</v>
      </c>
      <c r="I361" s="678" t="e">
        <f t="shared" si="58"/>
        <v>#REF!</v>
      </c>
      <c r="J361" s="678" t="e">
        <f t="shared" si="58"/>
        <v>#REF!</v>
      </c>
      <c r="K361" s="678" t="e">
        <f t="shared" si="58"/>
        <v>#REF!</v>
      </c>
      <c r="L361" s="678" t="e">
        <f t="shared" si="58"/>
        <v>#REF!</v>
      </c>
      <c r="M361" s="678" t="e">
        <f t="shared" si="58"/>
        <v>#REF!</v>
      </c>
      <c r="N361" s="487"/>
      <c r="O361" s="487"/>
    </row>
    <row r="362" spans="1:15" s="489" customFormat="1" hidden="1" outlineLevel="1" x14ac:dyDescent="0.25">
      <c r="A362" s="487"/>
      <c r="B362" s="487"/>
      <c r="C362" s="487"/>
      <c r="D362" s="487"/>
      <c r="E362" s="487"/>
      <c r="F362" s="487"/>
      <c r="G362" s="487"/>
      <c r="H362" s="487"/>
      <c r="I362" s="487"/>
      <c r="J362" s="487"/>
      <c r="K362" s="487"/>
      <c r="L362" s="487"/>
      <c r="M362" s="487"/>
      <c r="N362" s="487"/>
      <c r="O362" s="487"/>
    </row>
    <row r="363" spans="1:15" s="489" customFormat="1" hidden="1" outlineLevel="1" x14ac:dyDescent="0.25">
      <c r="A363" s="487"/>
      <c r="B363" s="487"/>
      <c r="C363" s="487"/>
      <c r="D363" s="487"/>
      <c r="E363" s="487"/>
      <c r="F363" s="487"/>
      <c r="G363" s="487"/>
      <c r="H363" s="487"/>
      <c r="I363" s="487"/>
      <c r="J363" s="487"/>
      <c r="K363" s="487"/>
      <c r="L363" s="487"/>
      <c r="M363" s="487"/>
      <c r="N363" s="487"/>
      <c r="O363" s="487"/>
    </row>
    <row r="364" spans="1:15" s="489" customFormat="1" hidden="1" outlineLevel="1" x14ac:dyDescent="0.25">
      <c r="A364" s="487"/>
      <c r="B364" s="674" t="s">
        <v>334</v>
      </c>
      <c r="C364" s="487"/>
      <c r="D364" s="487"/>
      <c r="E364" s="487"/>
      <c r="F364" s="675">
        <v>2015</v>
      </c>
      <c r="G364" s="675">
        <v>2020</v>
      </c>
      <c r="H364" s="675">
        <v>2025</v>
      </c>
      <c r="I364" s="675">
        <v>2030</v>
      </c>
      <c r="J364" s="675">
        <v>2035</v>
      </c>
      <c r="K364" s="675">
        <v>2040</v>
      </c>
      <c r="L364" s="675">
        <v>2045</v>
      </c>
      <c r="M364" s="675">
        <v>2050</v>
      </c>
      <c r="N364" s="487"/>
      <c r="O364" s="487"/>
    </row>
    <row r="365" spans="1:15" s="489" customFormat="1" hidden="1" outlineLevel="1" x14ac:dyDescent="0.25">
      <c r="A365" s="487"/>
      <c r="B365" s="487"/>
      <c r="C365" s="487" t="s">
        <v>379</v>
      </c>
      <c r="D365" s="487"/>
      <c r="E365" s="487" t="s">
        <v>152</v>
      </c>
      <c r="F365" s="676" t="e">
        <f t="shared" ref="F365:M365" si="59">F267</f>
        <v>#REF!</v>
      </c>
      <c r="G365" s="676" t="e">
        <f t="shared" si="59"/>
        <v>#REF!</v>
      </c>
      <c r="H365" s="676" t="e">
        <f t="shared" si="59"/>
        <v>#REF!</v>
      </c>
      <c r="I365" s="676" t="e">
        <f t="shared" si="59"/>
        <v>#REF!</v>
      </c>
      <c r="J365" s="676" t="e">
        <f t="shared" si="59"/>
        <v>#REF!</v>
      </c>
      <c r="K365" s="676" t="e">
        <f t="shared" si="59"/>
        <v>#REF!</v>
      </c>
      <c r="L365" s="676" t="e">
        <f t="shared" si="59"/>
        <v>#REF!</v>
      </c>
      <c r="M365" s="676" t="e">
        <f t="shared" si="59"/>
        <v>#REF!</v>
      </c>
      <c r="N365" s="487"/>
      <c r="O365" s="487"/>
    </row>
    <row r="366" spans="1:15" s="489" customFormat="1" hidden="1" outlineLevel="1" x14ac:dyDescent="0.25">
      <c r="A366" s="487"/>
      <c r="B366" s="487" t="s">
        <v>232</v>
      </c>
      <c r="C366" s="487" t="s">
        <v>233</v>
      </c>
      <c r="D366" s="487"/>
      <c r="E366" s="487" t="s">
        <v>190</v>
      </c>
      <c r="F366" s="677">
        <f t="shared" ref="F366:M366" si="60">F122</f>
        <v>0.63200000000000001</v>
      </c>
      <c r="G366" s="677">
        <f t="shared" si="60"/>
        <v>0.7</v>
      </c>
      <c r="H366" s="677">
        <f t="shared" si="60"/>
        <v>0.7</v>
      </c>
      <c r="I366" s="677">
        <f t="shared" si="60"/>
        <v>0.7</v>
      </c>
      <c r="J366" s="677">
        <f t="shared" si="60"/>
        <v>0.7</v>
      </c>
      <c r="K366" s="677">
        <f t="shared" si="60"/>
        <v>0.7</v>
      </c>
      <c r="L366" s="677">
        <f t="shared" si="60"/>
        <v>0.7</v>
      </c>
      <c r="M366" s="677">
        <f t="shared" si="60"/>
        <v>0.7</v>
      </c>
      <c r="N366" s="487"/>
      <c r="O366" s="487"/>
    </row>
    <row r="367" spans="1:15" s="489" customFormat="1" hidden="1" outlineLevel="1" x14ac:dyDescent="0.25">
      <c r="A367" s="487"/>
      <c r="B367" s="487" t="s">
        <v>234</v>
      </c>
      <c r="C367" s="487" t="s">
        <v>235</v>
      </c>
      <c r="D367" s="487"/>
      <c r="E367" s="487" t="s">
        <v>152</v>
      </c>
      <c r="F367" s="678" t="e">
        <f>F365*F366</f>
        <v>#REF!</v>
      </c>
      <c r="G367" s="678" t="e">
        <f t="shared" ref="G367:M367" si="61">G365*G366</f>
        <v>#REF!</v>
      </c>
      <c r="H367" s="678" t="e">
        <f t="shared" si="61"/>
        <v>#REF!</v>
      </c>
      <c r="I367" s="678" t="e">
        <f t="shared" si="61"/>
        <v>#REF!</v>
      </c>
      <c r="J367" s="678" t="e">
        <f t="shared" si="61"/>
        <v>#REF!</v>
      </c>
      <c r="K367" s="678" t="e">
        <f t="shared" si="61"/>
        <v>#REF!</v>
      </c>
      <c r="L367" s="678" t="e">
        <f t="shared" si="61"/>
        <v>#REF!</v>
      </c>
      <c r="M367" s="678" t="e">
        <f t="shared" si="61"/>
        <v>#REF!</v>
      </c>
      <c r="N367" s="487"/>
      <c r="O367" s="487"/>
    </row>
    <row r="368" spans="1:15" s="489" customFormat="1" ht="18.75" hidden="1" outlineLevel="1" x14ac:dyDescent="0.3">
      <c r="A368" s="487"/>
      <c r="B368" s="487"/>
      <c r="C368" s="487" t="s">
        <v>386</v>
      </c>
      <c r="D368" s="487"/>
      <c r="E368" s="679" t="s">
        <v>171</v>
      </c>
      <c r="F368" s="680" t="e">
        <f>F367*8.766</f>
        <v>#REF!</v>
      </c>
      <c r="G368" s="680" t="e">
        <f t="shared" ref="G368:M368" si="62">G367*8.766</f>
        <v>#REF!</v>
      </c>
      <c r="H368" s="680" t="e">
        <f t="shared" si="62"/>
        <v>#REF!</v>
      </c>
      <c r="I368" s="680" t="e">
        <f t="shared" si="62"/>
        <v>#REF!</v>
      </c>
      <c r="J368" s="680" t="e">
        <f t="shared" si="62"/>
        <v>#REF!</v>
      </c>
      <c r="K368" s="680" t="e">
        <f t="shared" si="62"/>
        <v>#REF!</v>
      </c>
      <c r="L368" s="680" t="e">
        <f t="shared" si="62"/>
        <v>#REF!</v>
      </c>
      <c r="M368" s="680" t="e">
        <f t="shared" si="62"/>
        <v>#REF!</v>
      </c>
      <c r="N368" s="487"/>
      <c r="O368" s="487"/>
    </row>
    <row r="369" spans="1:15" s="489" customFormat="1" hidden="1" outlineLevel="1" x14ac:dyDescent="0.25">
      <c r="A369" s="487"/>
      <c r="B369" s="487" t="s">
        <v>380</v>
      </c>
      <c r="C369" s="487" t="s">
        <v>381</v>
      </c>
      <c r="D369" s="487"/>
      <c r="E369" s="487" t="s">
        <v>190</v>
      </c>
      <c r="F369" s="678" t="e">
        <f t="shared" ref="F369:M369" si="63">F106*F368</f>
        <v>#REF!</v>
      </c>
      <c r="G369" s="678" t="e">
        <f t="shared" si="63"/>
        <v>#REF!</v>
      </c>
      <c r="H369" s="678" t="e">
        <f t="shared" si="63"/>
        <v>#REF!</v>
      </c>
      <c r="I369" s="678" t="e">
        <f t="shared" si="63"/>
        <v>#REF!</v>
      </c>
      <c r="J369" s="678" t="e">
        <f t="shared" si="63"/>
        <v>#REF!</v>
      </c>
      <c r="K369" s="678" t="e">
        <f t="shared" si="63"/>
        <v>#REF!</v>
      </c>
      <c r="L369" s="678" t="e">
        <f t="shared" si="63"/>
        <v>#REF!</v>
      </c>
      <c r="M369" s="678" t="e">
        <f t="shared" si="63"/>
        <v>#REF!</v>
      </c>
      <c r="N369" s="487"/>
      <c r="O369" s="487"/>
    </row>
    <row r="370" spans="1:15" s="489" customFormat="1" hidden="1" outlineLevel="1" x14ac:dyDescent="0.25">
      <c r="A370" s="487"/>
      <c r="B370" s="487" t="s">
        <v>234</v>
      </c>
      <c r="C370" s="487" t="s">
        <v>382</v>
      </c>
      <c r="D370" s="487"/>
      <c r="E370" s="487" t="s">
        <v>171</v>
      </c>
      <c r="F370" s="678" t="e">
        <f>F369+F368</f>
        <v>#REF!</v>
      </c>
      <c r="G370" s="678" t="e">
        <f t="shared" ref="G370:M370" si="64">G369+G368</f>
        <v>#REF!</v>
      </c>
      <c r="H370" s="678" t="e">
        <f t="shared" si="64"/>
        <v>#REF!</v>
      </c>
      <c r="I370" s="678" t="e">
        <f t="shared" si="64"/>
        <v>#REF!</v>
      </c>
      <c r="J370" s="678" t="e">
        <f t="shared" si="64"/>
        <v>#REF!</v>
      </c>
      <c r="K370" s="678" t="e">
        <f t="shared" si="64"/>
        <v>#REF!</v>
      </c>
      <c r="L370" s="678" t="e">
        <f t="shared" si="64"/>
        <v>#REF!</v>
      </c>
      <c r="M370" s="678" t="e">
        <f t="shared" si="64"/>
        <v>#REF!</v>
      </c>
      <c r="N370" s="487"/>
      <c r="O370" s="487"/>
    </row>
    <row r="371" spans="1:15" s="489" customFormat="1" hidden="1" outlineLevel="1" x14ac:dyDescent="0.25">
      <c r="A371" s="487"/>
      <c r="B371" s="681" t="s">
        <v>383</v>
      </c>
      <c r="C371" s="487" t="s">
        <v>384</v>
      </c>
      <c r="D371" s="487"/>
      <c r="E371" s="487" t="s">
        <v>190</v>
      </c>
      <c r="F371" s="677">
        <f t="shared" ref="F371:M371" si="65">F122</f>
        <v>0.63200000000000001</v>
      </c>
      <c r="G371" s="677">
        <f t="shared" si="65"/>
        <v>0.7</v>
      </c>
      <c r="H371" s="677">
        <f t="shared" si="65"/>
        <v>0.7</v>
      </c>
      <c r="I371" s="677">
        <f t="shared" si="65"/>
        <v>0.7</v>
      </c>
      <c r="J371" s="677">
        <f t="shared" si="65"/>
        <v>0.7</v>
      </c>
      <c r="K371" s="677">
        <f t="shared" si="65"/>
        <v>0.7</v>
      </c>
      <c r="L371" s="677">
        <f t="shared" si="65"/>
        <v>0.7</v>
      </c>
      <c r="M371" s="677">
        <f t="shared" si="65"/>
        <v>0.7</v>
      </c>
      <c r="N371" s="487"/>
      <c r="O371" s="487"/>
    </row>
    <row r="372" spans="1:15" s="489" customFormat="1" hidden="1" outlineLevel="1" x14ac:dyDescent="0.25">
      <c r="A372" s="487"/>
      <c r="B372" s="487" t="s">
        <v>234</v>
      </c>
      <c r="C372" s="487" t="s">
        <v>385</v>
      </c>
      <c r="D372" s="487"/>
      <c r="E372" s="487" t="s">
        <v>171</v>
      </c>
      <c r="F372" s="678" t="e">
        <f>F370/F371</f>
        <v>#REF!</v>
      </c>
      <c r="G372" s="678" t="e">
        <f t="shared" ref="G372:M372" si="66">G370/G371</f>
        <v>#REF!</v>
      </c>
      <c r="H372" s="678" t="e">
        <f t="shared" si="66"/>
        <v>#REF!</v>
      </c>
      <c r="I372" s="678" t="e">
        <f t="shared" si="66"/>
        <v>#REF!</v>
      </c>
      <c r="J372" s="678" t="e">
        <f t="shared" si="66"/>
        <v>#REF!</v>
      </c>
      <c r="K372" s="678" t="e">
        <f t="shared" si="66"/>
        <v>#REF!</v>
      </c>
      <c r="L372" s="678" t="e">
        <f t="shared" si="66"/>
        <v>#REF!</v>
      </c>
      <c r="M372" s="678" t="e">
        <f t="shared" si="66"/>
        <v>#REF!</v>
      </c>
      <c r="N372" s="487"/>
      <c r="O372" s="487"/>
    </row>
    <row r="373" spans="1:15" s="489" customFormat="1" hidden="1" outlineLevel="1" x14ac:dyDescent="0.25">
      <c r="A373" s="487"/>
      <c r="B373" s="487"/>
      <c r="C373" s="487"/>
      <c r="D373" s="487"/>
      <c r="E373" s="487"/>
      <c r="F373" s="487"/>
      <c r="G373" s="487"/>
      <c r="H373" s="487"/>
      <c r="I373" s="487"/>
      <c r="J373" s="487"/>
      <c r="K373" s="487"/>
      <c r="L373" s="487"/>
      <c r="M373" s="487"/>
      <c r="N373" s="487"/>
      <c r="O373" s="487"/>
    </row>
    <row r="374" spans="1:15" s="489" customFormat="1" hidden="1" outlineLevel="1" x14ac:dyDescent="0.25">
      <c r="A374" s="487"/>
      <c r="B374" s="487"/>
      <c r="C374" s="487"/>
      <c r="D374" s="487"/>
      <c r="E374" s="487"/>
      <c r="F374" s="487"/>
      <c r="G374" s="487"/>
      <c r="H374" s="487"/>
      <c r="I374" s="487"/>
      <c r="J374" s="487"/>
      <c r="K374" s="487"/>
      <c r="L374" s="487"/>
      <c r="M374" s="487"/>
      <c r="N374" s="487"/>
      <c r="O374" s="487"/>
    </row>
    <row r="375" spans="1:15" s="489" customFormat="1" hidden="1" outlineLevel="1" x14ac:dyDescent="0.25">
      <c r="A375" s="487"/>
      <c r="B375" s="674" t="s">
        <v>387</v>
      </c>
      <c r="C375" s="487"/>
      <c r="D375" s="487"/>
      <c r="E375" s="487"/>
      <c r="F375" s="675">
        <v>2015</v>
      </c>
      <c r="G375" s="675">
        <v>2020</v>
      </c>
      <c r="H375" s="675">
        <v>2025</v>
      </c>
      <c r="I375" s="675">
        <v>2030</v>
      </c>
      <c r="J375" s="675">
        <v>2035</v>
      </c>
      <c r="K375" s="675">
        <v>2040</v>
      </c>
      <c r="L375" s="675">
        <v>2045</v>
      </c>
      <c r="M375" s="675">
        <v>2050</v>
      </c>
      <c r="N375" s="487"/>
      <c r="O375" s="487"/>
    </row>
    <row r="376" spans="1:15" s="489" customFormat="1" hidden="1" outlineLevel="1" x14ac:dyDescent="0.25">
      <c r="A376" s="487"/>
      <c r="B376" s="487"/>
      <c r="C376" s="487" t="s">
        <v>379</v>
      </c>
      <c r="D376" s="487"/>
      <c r="E376" s="487" t="s">
        <v>152</v>
      </c>
      <c r="F376" s="682" t="e">
        <f t="shared" ref="F376:M376" si="67">F268</f>
        <v>#REF!</v>
      </c>
      <c r="G376" s="682" t="e">
        <f t="shared" si="67"/>
        <v>#REF!</v>
      </c>
      <c r="H376" s="682" t="e">
        <f t="shared" si="67"/>
        <v>#REF!</v>
      </c>
      <c r="I376" s="682" t="e">
        <f t="shared" si="67"/>
        <v>#REF!</v>
      </c>
      <c r="J376" s="682" t="e">
        <f t="shared" si="67"/>
        <v>#REF!</v>
      </c>
      <c r="K376" s="682" t="e">
        <f t="shared" si="67"/>
        <v>#REF!</v>
      </c>
      <c r="L376" s="682" t="e">
        <f t="shared" si="67"/>
        <v>#REF!</v>
      </c>
      <c r="M376" s="682" t="e">
        <f t="shared" si="67"/>
        <v>#REF!</v>
      </c>
      <c r="N376" s="487"/>
      <c r="O376" s="487"/>
    </row>
    <row r="377" spans="1:15" s="489" customFormat="1" hidden="1" outlineLevel="1" x14ac:dyDescent="0.25">
      <c r="A377" s="487"/>
      <c r="B377" s="487" t="s">
        <v>232</v>
      </c>
      <c r="C377" s="487" t="s">
        <v>233</v>
      </c>
      <c r="D377" s="487"/>
      <c r="E377" s="487" t="s">
        <v>190</v>
      </c>
      <c r="F377" s="677">
        <f t="shared" ref="F377:M377" si="68">F123</f>
        <v>0.63200000000000001</v>
      </c>
      <c r="G377" s="677">
        <f t="shared" si="68"/>
        <v>0.7</v>
      </c>
      <c r="H377" s="677">
        <f t="shared" si="68"/>
        <v>0.7</v>
      </c>
      <c r="I377" s="677">
        <f t="shared" si="68"/>
        <v>0.7</v>
      </c>
      <c r="J377" s="677">
        <f t="shared" si="68"/>
        <v>0.7</v>
      </c>
      <c r="K377" s="677">
        <f t="shared" si="68"/>
        <v>0.7</v>
      </c>
      <c r="L377" s="677">
        <f t="shared" si="68"/>
        <v>0.7</v>
      </c>
      <c r="M377" s="677">
        <f t="shared" si="68"/>
        <v>0.7</v>
      </c>
      <c r="N377" s="487"/>
      <c r="O377" s="487"/>
    </row>
    <row r="378" spans="1:15" s="489" customFormat="1" hidden="1" outlineLevel="1" x14ac:dyDescent="0.25">
      <c r="A378" s="487"/>
      <c r="B378" s="487" t="s">
        <v>234</v>
      </c>
      <c r="C378" s="487" t="s">
        <v>235</v>
      </c>
      <c r="D378" s="487"/>
      <c r="E378" s="487" t="s">
        <v>152</v>
      </c>
      <c r="F378" s="678" t="e">
        <f>F376*F377</f>
        <v>#REF!</v>
      </c>
      <c r="G378" s="678" t="e">
        <f t="shared" ref="G378:M378" si="69">G376*G377</f>
        <v>#REF!</v>
      </c>
      <c r="H378" s="678" t="e">
        <f t="shared" si="69"/>
        <v>#REF!</v>
      </c>
      <c r="I378" s="678" t="e">
        <f t="shared" si="69"/>
        <v>#REF!</v>
      </c>
      <c r="J378" s="678" t="e">
        <f t="shared" si="69"/>
        <v>#REF!</v>
      </c>
      <c r="K378" s="678" t="e">
        <f t="shared" si="69"/>
        <v>#REF!</v>
      </c>
      <c r="L378" s="678" t="e">
        <f t="shared" si="69"/>
        <v>#REF!</v>
      </c>
      <c r="M378" s="678" t="e">
        <f t="shared" si="69"/>
        <v>#REF!</v>
      </c>
      <c r="N378" s="487"/>
      <c r="O378" s="487"/>
    </row>
    <row r="379" spans="1:15" s="489" customFormat="1" ht="18.75" hidden="1" outlineLevel="1" x14ac:dyDescent="0.3">
      <c r="A379" s="487"/>
      <c r="B379" s="487"/>
      <c r="C379" s="487" t="s">
        <v>386</v>
      </c>
      <c r="D379" s="487"/>
      <c r="E379" s="679" t="s">
        <v>171</v>
      </c>
      <c r="F379" s="680" t="e">
        <f>F378*8.766</f>
        <v>#REF!</v>
      </c>
      <c r="G379" s="680" t="e">
        <f t="shared" ref="G379:M379" si="70">G378*8.766</f>
        <v>#REF!</v>
      </c>
      <c r="H379" s="680" t="e">
        <f t="shared" si="70"/>
        <v>#REF!</v>
      </c>
      <c r="I379" s="680" t="e">
        <f t="shared" si="70"/>
        <v>#REF!</v>
      </c>
      <c r="J379" s="680" t="e">
        <f t="shared" si="70"/>
        <v>#REF!</v>
      </c>
      <c r="K379" s="680" t="e">
        <f t="shared" si="70"/>
        <v>#REF!</v>
      </c>
      <c r="L379" s="680" t="e">
        <f t="shared" si="70"/>
        <v>#REF!</v>
      </c>
      <c r="M379" s="680" t="e">
        <f t="shared" si="70"/>
        <v>#REF!</v>
      </c>
      <c r="N379" s="487"/>
      <c r="O379" s="487"/>
    </row>
    <row r="380" spans="1:15" s="489" customFormat="1" hidden="1" outlineLevel="1" x14ac:dyDescent="0.25">
      <c r="A380" s="487"/>
      <c r="B380" s="487" t="s">
        <v>380</v>
      </c>
      <c r="C380" s="487" t="s">
        <v>381</v>
      </c>
      <c r="D380" s="487"/>
      <c r="E380" s="487" t="s">
        <v>190</v>
      </c>
      <c r="F380" s="678" t="e">
        <f t="shared" ref="F380:M380" si="71">F107*F379</f>
        <v>#REF!</v>
      </c>
      <c r="G380" s="678" t="e">
        <f t="shared" si="71"/>
        <v>#REF!</v>
      </c>
      <c r="H380" s="678" t="e">
        <f t="shared" si="71"/>
        <v>#REF!</v>
      </c>
      <c r="I380" s="678" t="e">
        <f t="shared" si="71"/>
        <v>#REF!</v>
      </c>
      <c r="J380" s="678" t="e">
        <f t="shared" si="71"/>
        <v>#REF!</v>
      </c>
      <c r="K380" s="678" t="e">
        <f t="shared" si="71"/>
        <v>#REF!</v>
      </c>
      <c r="L380" s="678" t="e">
        <f t="shared" si="71"/>
        <v>#REF!</v>
      </c>
      <c r="M380" s="678" t="e">
        <f t="shared" si="71"/>
        <v>#REF!</v>
      </c>
      <c r="N380" s="487"/>
      <c r="O380" s="487"/>
    </row>
    <row r="381" spans="1:15" s="489" customFormat="1" hidden="1" outlineLevel="1" x14ac:dyDescent="0.25">
      <c r="A381" s="487"/>
      <c r="B381" s="487" t="s">
        <v>234</v>
      </c>
      <c r="C381" s="487" t="s">
        <v>382</v>
      </c>
      <c r="D381" s="487"/>
      <c r="E381" s="487" t="s">
        <v>171</v>
      </c>
      <c r="F381" s="678" t="e">
        <f>F380+F379</f>
        <v>#REF!</v>
      </c>
      <c r="G381" s="678" t="e">
        <f t="shared" ref="G381:M381" si="72">G380+G379</f>
        <v>#REF!</v>
      </c>
      <c r="H381" s="678" t="e">
        <f t="shared" si="72"/>
        <v>#REF!</v>
      </c>
      <c r="I381" s="678" t="e">
        <f t="shared" si="72"/>
        <v>#REF!</v>
      </c>
      <c r="J381" s="678" t="e">
        <f t="shared" si="72"/>
        <v>#REF!</v>
      </c>
      <c r="K381" s="678" t="e">
        <f t="shared" si="72"/>
        <v>#REF!</v>
      </c>
      <c r="L381" s="678" t="e">
        <f t="shared" si="72"/>
        <v>#REF!</v>
      </c>
      <c r="M381" s="678" t="e">
        <f t="shared" si="72"/>
        <v>#REF!</v>
      </c>
      <c r="N381" s="487"/>
      <c r="O381" s="487"/>
    </row>
    <row r="382" spans="1:15" s="489" customFormat="1" hidden="1" outlineLevel="1" x14ac:dyDescent="0.25">
      <c r="A382" s="487"/>
      <c r="B382" s="681" t="s">
        <v>383</v>
      </c>
      <c r="C382" s="487" t="s">
        <v>384</v>
      </c>
      <c r="D382" s="487"/>
      <c r="E382" s="487" t="s">
        <v>190</v>
      </c>
      <c r="F382" s="677">
        <f t="shared" ref="F382:M382" si="73">F123</f>
        <v>0.63200000000000001</v>
      </c>
      <c r="G382" s="677">
        <f t="shared" si="73"/>
        <v>0.7</v>
      </c>
      <c r="H382" s="677">
        <f t="shared" si="73"/>
        <v>0.7</v>
      </c>
      <c r="I382" s="677">
        <f t="shared" si="73"/>
        <v>0.7</v>
      </c>
      <c r="J382" s="677">
        <f t="shared" si="73"/>
        <v>0.7</v>
      </c>
      <c r="K382" s="677">
        <f t="shared" si="73"/>
        <v>0.7</v>
      </c>
      <c r="L382" s="677">
        <f t="shared" si="73"/>
        <v>0.7</v>
      </c>
      <c r="M382" s="677">
        <f t="shared" si="73"/>
        <v>0.7</v>
      </c>
      <c r="N382" s="487"/>
      <c r="O382" s="487"/>
    </row>
    <row r="383" spans="1:15" s="489" customFormat="1" hidden="1" outlineLevel="1" x14ac:dyDescent="0.25">
      <c r="A383" s="487"/>
      <c r="B383" s="487" t="s">
        <v>234</v>
      </c>
      <c r="C383" s="487" t="s">
        <v>385</v>
      </c>
      <c r="D383" s="487"/>
      <c r="E383" s="487" t="s">
        <v>171</v>
      </c>
      <c r="F383" s="678" t="e">
        <f>F381/F382</f>
        <v>#REF!</v>
      </c>
      <c r="G383" s="678" t="e">
        <f t="shared" ref="G383:M383" si="74">G381/G382</f>
        <v>#REF!</v>
      </c>
      <c r="H383" s="678" t="e">
        <f t="shared" si="74"/>
        <v>#REF!</v>
      </c>
      <c r="I383" s="678" t="e">
        <f t="shared" si="74"/>
        <v>#REF!</v>
      </c>
      <c r="J383" s="678" t="e">
        <f t="shared" si="74"/>
        <v>#REF!</v>
      </c>
      <c r="K383" s="678" t="e">
        <f t="shared" si="74"/>
        <v>#REF!</v>
      </c>
      <c r="L383" s="678" t="e">
        <f t="shared" si="74"/>
        <v>#REF!</v>
      </c>
      <c r="M383" s="678" t="e">
        <f t="shared" si="74"/>
        <v>#REF!</v>
      </c>
      <c r="N383" s="487"/>
      <c r="O383" s="487"/>
    </row>
    <row r="384" spans="1:15" s="489" customFormat="1" hidden="1" outlineLevel="1" x14ac:dyDescent="0.25">
      <c r="A384" s="487"/>
      <c r="B384" s="487"/>
      <c r="C384" s="487"/>
      <c r="D384" s="487"/>
      <c r="E384" s="487"/>
      <c r="F384" s="487"/>
      <c r="G384" s="487"/>
      <c r="H384" s="487"/>
      <c r="I384" s="487"/>
      <c r="J384" s="487"/>
      <c r="K384" s="487"/>
      <c r="L384" s="487"/>
      <c r="M384" s="487"/>
      <c r="N384" s="487"/>
      <c r="O384" s="487"/>
    </row>
    <row r="385" spans="1:15" hidden="1" outlineLevel="1" x14ac:dyDescent="0.25">
      <c r="B385" s="674" t="s">
        <v>237</v>
      </c>
      <c r="C385" s="683"/>
      <c r="F385" s="684">
        <v>2015</v>
      </c>
      <c r="G385" s="684">
        <v>2020</v>
      </c>
      <c r="H385" s="684">
        <v>2025</v>
      </c>
      <c r="I385" s="684">
        <v>2030</v>
      </c>
      <c r="J385" s="684">
        <v>2035</v>
      </c>
      <c r="K385" s="684">
        <v>2040</v>
      </c>
      <c r="L385" s="684">
        <v>2045</v>
      </c>
      <c r="M385" s="684">
        <v>2050</v>
      </c>
      <c r="O385" s="685"/>
    </row>
    <row r="386" spans="1:15" hidden="1" outlineLevel="1" x14ac:dyDescent="0.25">
      <c r="C386" s="487" t="s">
        <v>388</v>
      </c>
      <c r="E386" s="487" t="s">
        <v>152</v>
      </c>
      <c r="F386" s="686"/>
      <c r="G386" s="686">
        <v>-5.9813400772971583</v>
      </c>
      <c r="H386" s="686">
        <v>-1.5990276765223292</v>
      </c>
      <c r="I386" s="686">
        <v>-4.7699897255767922</v>
      </c>
      <c r="J386" s="686">
        <v>-8.8194849703763651</v>
      </c>
      <c r="K386" s="686">
        <v>-4.5430258008248998</v>
      </c>
      <c r="L386" s="686">
        <v>0</v>
      </c>
      <c r="M386" s="686">
        <v>0</v>
      </c>
      <c r="O386" s="685"/>
    </row>
    <row r="387" spans="1:15" s="489" customFormat="1" ht="13.5" hidden="1" customHeight="1" outlineLevel="1" x14ac:dyDescent="0.25">
      <c r="A387" s="487"/>
      <c r="B387" s="487"/>
      <c r="C387" s="487" t="s">
        <v>389</v>
      </c>
      <c r="D387" s="487"/>
      <c r="E387" s="487" t="s">
        <v>152</v>
      </c>
      <c r="F387" s="487"/>
      <c r="G387" s="687">
        <v>4.5515501548302719</v>
      </c>
      <c r="H387" s="687">
        <v>4.9328820433250966</v>
      </c>
      <c r="I387" s="687">
        <v>4.5331251241945143</v>
      </c>
      <c r="J387" s="687">
        <v>3.3406276928003162</v>
      </c>
      <c r="K387" s="687">
        <v>1.135756450206225</v>
      </c>
      <c r="L387" s="687">
        <v>0</v>
      </c>
      <c r="M387" s="687">
        <v>0</v>
      </c>
      <c r="N387" s="487"/>
      <c r="O387" s="685"/>
    </row>
    <row r="388" spans="1:15" s="489" customFormat="1" hidden="1" outlineLevel="1" x14ac:dyDescent="0.25">
      <c r="A388" s="487"/>
      <c r="B388" s="487"/>
      <c r="C388" s="487" t="s">
        <v>390</v>
      </c>
      <c r="D388" s="487"/>
      <c r="E388" s="487" t="s">
        <v>172</v>
      </c>
      <c r="F388" s="687">
        <v>15.171833849434242</v>
      </c>
      <c r="G388" s="687">
        <v>12.181163810785662</v>
      </c>
      <c r="H388" s="687">
        <v>9.0662502483890286</v>
      </c>
      <c r="I388" s="687">
        <v>6.6812553856006325</v>
      </c>
      <c r="J388" s="687">
        <v>2.2715129004124499</v>
      </c>
      <c r="K388" s="687">
        <v>0</v>
      </c>
      <c r="L388" s="687">
        <v>0</v>
      </c>
      <c r="M388" s="687">
        <v>0</v>
      </c>
      <c r="N388" s="487"/>
      <c r="O388" s="685"/>
    </row>
    <row r="389" spans="1:15" s="489" customFormat="1" ht="13.5" hidden="1" customHeight="1" outlineLevel="1" x14ac:dyDescent="0.25">
      <c r="A389" s="487"/>
      <c r="B389" s="487"/>
      <c r="C389" s="487" t="s">
        <v>391</v>
      </c>
      <c r="D389" s="487"/>
      <c r="E389" s="487" t="s">
        <v>172</v>
      </c>
      <c r="F389" s="687"/>
      <c r="G389" s="687">
        <v>0</v>
      </c>
      <c r="H389" s="687">
        <v>1.6669271834013837</v>
      </c>
      <c r="I389" s="687">
        <v>0</v>
      </c>
      <c r="J389" s="687">
        <v>0</v>
      </c>
      <c r="K389" s="687">
        <v>0</v>
      </c>
      <c r="L389" s="687">
        <v>0</v>
      </c>
      <c r="M389" s="687">
        <v>0</v>
      </c>
      <c r="N389" s="487"/>
      <c r="O389" s="685"/>
    </row>
    <row r="390" spans="1:15" s="489" customFormat="1" ht="13.5" hidden="1" customHeight="1" outlineLevel="1" x14ac:dyDescent="0.25">
      <c r="A390" s="487"/>
      <c r="B390" s="487"/>
      <c r="C390" s="487" t="s">
        <v>392</v>
      </c>
      <c r="D390" s="487"/>
      <c r="E390" s="487" t="s">
        <v>173</v>
      </c>
      <c r="F390" s="688"/>
      <c r="G390" s="688">
        <v>0</v>
      </c>
      <c r="H390" s="688">
        <v>0.33338543668027676</v>
      </c>
      <c r="I390" s="688">
        <v>0</v>
      </c>
      <c r="J390" s="688">
        <v>0</v>
      </c>
      <c r="K390" s="688">
        <v>0</v>
      </c>
      <c r="L390" s="688">
        <v>0</v>
      </c>
      <c r="M390" s="688">
        <v>0</v>
      </c>
      <c r="N390" s="487"/>
      <c r="O390" s="685"/>
    </row>
    <row r="391" spans="1:15" s="489" customFormat="1" ht="13.5" customHeight="1" collapsed="1" x14ac:dyDescent="0.25">
      <c r="A391" s="487"/>
      <c r="B391" s="487"/>
      <c r="C391" s="487"/>
      <c r="D391" s="487"/>
      <c r="E391" s="487"/>
      <c r="F391" s="688">
        <f ca="1">F398-F394</f>
        <v>39.51660280354703</v>
      </c>
      <c r="G391" s="688">
        <f t="shared" ref="G391:M391" ca="1" si="75">G398-G394</f>
        <v>44.225517201078567</v>
      </c>
      <c r="H391" s="688">
        <f t="shared" ca="1" si="75"/>
        <v>53.226342270184638</v>
      </c>
      <c r="I391" s="688">
        <f t="shared" ca="1" si="75"/>
        <v>62.842560763478566</v>
      </c>
      <c r="J391" s="688">
        <f t="shared" ca="1" si="75"/>
        <v>74.728127827328819</v>
      </c>
      <c r="K391" s="688">
        <f t="shared" ca="1" si="75"/>
        <v>87.801158751786176</v>
      </c>
      <c r="L391" s="688">
        <f t="shared" ca="1" si="75"/>
        <v>101.33257492528678</v>
      </c>
      <c r="M391" s="688">
        <f t="shared" ca="1" si="75"/>
        <v>113.60333793784487</v>
      </c>
      <c r="N391" s="487"/>
      <c r="O391" s="685"/>
    </row>
    <row r="392" spans="1:15" s="489" customFormat="1" ht="13.5" customHeight="1" x14ac:dyDescent="0.25">
      <c r="A392" s="487"/>
      <c r="B392" s="487"/>
      <c r="C392" s="674" t="s">
        <v>1718</v>
      </c>
      <c r="D392" s="487"/>
      <c r="E392" s="487"/>
      <c r="F392" s="688"/>
      <c r="G392" s="688"/>
      <c r="H392" s="688"/>
      <c r="I392" s="688"/>
      <c r="J392" s="688"/>
      <c r="K392" s="688"/>
      <c r="L392" s="688"/>
      <c r="M392" s="688"/>
      <c r="N392" s="487"/>
      <c r="O392" s="685"/>
    </row>
    <row r="393" spans="1:15" s="489" customFormat="1" ht="13.5" customHeight="1" x14ac:dyDescent="0.25">
      <c r="A393" s="487"/>
      <c r="B393" s="487"/>
      <c r="D393" s="2689"/>
      <c r="E393" s="487"/>
      <c r="F393" s="675">
        <v>2015</v>
      </c>
      <c r="G393" s="675">
        <v>2020</v>
      </c>
      <c r="H393" s="675">
        <v>2025</v>
      </c>
      <c r="I393" s="675">
        <v>2030</v>
      </c>
      <c r="J393" s="675">
        <v>2035</v>
      </c>
      <c r="K393" s="675">
        <v>2040</v>
      </c>
      <c r="L393" s="675">
        <v>2045</v>
      </c>
      <c r="M393" s="675">
        <v>2050</v>
      </c>
      <c r="N393" s="487"/>
      <c r="O393" s="685"/>
    </row>
    <row r="394" spans="1:15" s="489" customFormat="1" ht="13.5" customHeight="1" x14ac:dyDescent="0.25">
      <c r="A394" s="487"/>
      <c r="B394" s="487"/>
      <c r="C394" s="674" t="s">
        <v>236</v>
      </c>
      <c r="D394" s="2689" t="s">
        <v>331</v>
      </c>
      <c r="E394" s="487" t="s">
        <v>171</v>
      </c>
      <c r="F394" s="2692">
        <f>F295</f>
        <v>1.4025600000000003</v>
      </c>
      <c r="G394" s="2692">
        <f t="shared" ref="G394:M394" si="76">G295</f>
        <v>1.4025600000000003</v>
      </c>
      <c r="H394" s="2692">
        <f t="shared" si="76"/>
        <v>1.4025600000000003</v>
      </c>
      <c r="I394" s="2692">
        <f t="shared" si="76"/>
        <v>1.4025600000000003</v>
      </c>
      <c r="J394" s="2692">
        <f t="shared" si="76"/>
        <v>1.4025600000000003</v>
      </c>
      <c r="K394" s="2692">
        <f t="shared" si="76"/>
        <v>1.4025600000000003</v>
      </c>
      <c r="L394" s="2692">
        <f t="shared" si="76"/>
        <v>1.4025600000000003</v>
      </c>
      <c r="M394" s="2692">
        <f t="shared" si="76"/>
        <v>1.4025600000000003</v>
      </c>
      <c r="N394" s="487"/>
      <c r="O394" s="685"/>
    </row>
    <row r="395" spans="1:15" s="489" customFormat="1" ht="13.5" customHeight="1" x14ac:dyDescent="0.25">
      <c r="A395" s="487"/>
      <c r="B395" s="487"/>
      <c r="C395" s="487"/>
      <c r="D395" s="2689" t="s">
        <v>332</v>
      </c>
      <c r="E395" s="2667" t="s">
        <v>171</v>
      </c>
      <c r="F395" s="688">
        <f ca="1">F312</f>
        <v>10.716366861978855</v>
      </c>
      <c r="G395" s="688">
        <f t="shared" ref="G395:M395" ca="1" si="77">G312</f>
        <v>11.993360596902663</v>
      </c>
      <c r="H395" s="688">
        <f t="shared" ca="1" si="77"/>
        <v>14.434262310558546</v>
      </c>
      <c r="I395" s="688">
        <f t="shared" ca="1" si="77"/>
        <v>17.042050376536562</v>
      </c>
      <c r="J395" s="688">
        <f t="shared" ca="1" si="77"/>
        <v>20.265255004021373</v>
      </c>
      <c r="K395" s="688">
        <f t="shared" ca="1" si="77"/>
        <v>23.810483729297946</v>
      </c>
      <c r="L395" s="688">
        <f t="shared" ca="1" si="77"/>
        <v>27.480020318721834</v>
      </c>
      <c r="M395" s="688">
        <f t="shared" ca="1" si="77"/>
        <v>30.807684864500306</v>
      </c>
      <c r="N395" s="487"/>
      <c r="O395" s="685"/>
    </row>
    <row r="396" spans="1:15" s="489" customFormat="1" ht="13.5" customHeight="1" x14ac:dyDescent="0.25">
      <c r="A396" s="487"/>
      <c r="B396" s="487"/>
      <c r="C396" s="487"/>
      <c r="D396" s="2689" t="s">
        <v>336</v>
      </c>
      <c r="E396" s="487" t="s">
        <v>171</v>
      </c>
      <c r="F396" s="688">
        <f ca="1">F322</f>
        <v>26.790917154947138</v>
      </c>
      <c r="G396" s="688">
        <f t="shared" ref="G396:M396" ca="1" si="78">G322</f>
        <v>29.983401492256657</v>
      </c>
      <c r="H396" s="688">
        <f t="shared" ca="1" si="78"/>
        <v>36.085655776396365</v>
      </c>
      <c r="I396" s="688">
        <f t="shared" ca="1" si="78"/>
        <v>42.605125941341399</v>
      </c>
      <c r="J396" s="688">
        <f t="shared" ca="1" si="78"/>
        <v>50.663137510053431</v>
      </c>
      <c r="K396" s="688">
        <f t="shared" ca="1" si="78"/>
        <v>59.526209323244863</v>
      </c>
      <c r="L396" s="688">
        <f t="shared" ca="1" si="78"/>
        <v>68.700050796804589</v>
      </c>
      <c r="M396" s="688">
        <f t="shared" ca="1" si="78"/>
        <v>77.019212161250763</v>
      </c>
      <c r="N396" s="487"/>
      <c r="O396" s="685"/>
    </row>
    <row r="397" spans="1:15" s="489" customFormat="1" ht="13.5" customHeight="1" x14ac:dyDescent="0.25">
      <c r="A397" s="487"/>
      <c r="B397" s="487"/>
      <c r="C397" s="487"/>
      <c r="D397" s="2689" t="s">
        <v>334</v>
      </c>
      <c r="E397" s="2667" t="s">
        <v>171</v>
      </c>
      <c r="F397" s="2694">
        <f ca="1">F332</f>
        <v>2.0093187866210354</v>
      </c>
      <c r="G397" s="2694">
        <f t="shared" ref="G397:M397" ca="1" si="79">G332</f>
        <v>2.2487551119192495</v>
      </c>
      <c r="H397" s="2694">
        <f t="shared" ca="1" si="79"/>
        <v>2.7064241832297276</v>
      </c>
      <c r="I397" s="2694">
        <f t="shared" ca="1" si="79"/>
        <v>3.1953844456006051</v>
      </c>
      <c r="J397" s="2694">
        <f t="shared" ca="1" si="79"/>
        <v>3.7997353132540082</v>
      </c>
      <c r="K397" s="2694">
        <f t="shared" ca="1" si="79"/>
        <v>4.4644656992433651</v>
      </c>
      <c r="L397" s="2694">
        <f t="shared" ca="1" si="79"/>
        <v>5.1525038097603444</v>
      </c>
      <c r="M397" s="2694">
        <f t="shared" ca="1" si="79"/>
        <v>5.7764409120938076</v>
      </c>
      <c r="N397" s="487"/>
      <c r="O397" s="685"/>
    </row>
    <row r="398" spans="1:15" s="489" customFormat="1" ht="13.5" customHeight="1" x14ac:dyDescent="0.25">
      <c r="A398" s="487"/>
      <c r="B398" s="487"/>
      <c r="C398" s="487"/>
      <c r="D398" s="2693" t="s">
        <v>118</v>
      </c>
      <c r="E398" s="2667" t="s">
        <v>171</v>
      </c>
      <c r="F398" s="688">
        <f ca="1">SUM(F394:F397)</f>
        <v>40.919162803547032</v>
      </c>
      <c r="G398" s="688">
        <f t="shared" ref="G398:M398" ca="1" si="80">SUM(G394:G397)</f>
        <v>45.628077201078568</v>
      </c>
      <c r="H398" s="688">
        <f t="shared" ca="1" si="80"/>
        <v>54.628902270184639</v>
      </c>
      <c r="I398" s="688">
        <f t="shared" ca="1" si="80"/>
        <v>64.245120763478567</v>
      </c>
      <c r="J398" s="688">
        <f t="shared" ca="1" si="80"/>
        <v>76.130687827328813</v>
      </c>
      <c r="K398" s="688">
        <f t="shared" ca="1" si="80"/>
        <v>89.20371875178617</v>
      </c>
      <c r="L398" s="688">
        <f t="shared" ca="1" si="80"/>
        <v>102.73513492528677</v>
      </c>
      <c r="M398" s="688">
        <f t="shared" ca="1" si="80"/>
        <v>115.00589793784486</v>
      </c>
      <c r="N398" s="487"/>
      <c r="O398" s="685"/>
    </row>
    <row r="399" spans="1:15" s="489" customFormat="1" ht="13.5" customHeight="1" x14ac:dyDescent="0.25">
      <c r="A399" s="487"/>
      <c r="B399" s="487"/>
      <c r="C399" s="487"/>
      <c r="D399" s="2689"/>
      <c r="E399" s="487"/>
      <c r="F399" s="688"/>
      <c r="G399" s="688"/>
      <c r="H399" s="688"/>
      <c r="I399" s="688"/>
      <c r="J399" s="688"/>
      <c r="K399" s="688"/>
      <c r="L399" s="688"/>
      <c r="M399" s="688"/>
      <c r="N399" s="487"/>
      <c r="O399" s="685"/>
    </row>
    <row r="400" spans="1:15" s="489" customFormat="1" ht="13.5" customHeight="1" x14ac:dyDescent="0.25">
      <c r="A400" s="487"/>
      <c r="B400" s="487"/>
      <c r="C400" s="674" t="s">
        <v>385</v>
      </c>
      <c r="D400" s="2689" t="s">
        <v>331</v>
      </c>
      <c r="E400" s="487" t="s">
        <v>171</v>
      </c>
      <c r="F400" s="688">
        <f>F299</f>
        <v>2.9551871218472012</v>
      </c>
      <c r="G400" s="688">
        <f t="shared" ref="G400:M400" si="81">G299</f>
        <v>2.9453760000000004</v>
      </c>
      <c r="H400" s="688">
        <f t="shared" si="81"/>
        <v>2.9453760000000004</v>
      </c>
      <c r="I400" s="688">
        <f t="shared" si="81"/>
        <v>2.9453760000000004</v>
      </c>
      <c r="J400" s="688">
        <f t="shared" si="81"/>
        <v>2.9453760000000004</v>
      </c>
      <c r="K400" s="688">
        <f t="shared" si="81"/>
        <v>2.9453760000000004</v>
      </c>
      <c r="L400" s="688">
        <f t="shared" si="81"/>
        <v>2.9453760000000004</v>
      </c>
      <c r="M400" s="688">
        <f t="shared" si="81"/>
        <v>2.9453760000000004</v>
      </c>
      <c r="N400" s="487"/>
      <c r="O400" s="685"/>
    </row>
    <row r="401" spans="1:15" s="489" customFormat="1" ht="13.5" customHeight="1" x14ac:dyDescent="0.25">
      <c r="A401" s="487"/>
      <c r="B401" s="487"/>
      <c r="C401" s="487"/>
      <c r="D401" s="2689" t="s">
        <v>332</v>
      </c>
      <c r="E401" s="2667" t="s">
        <v>171</v>
      </c>
      <c r="F401" s="688">
        <f ca="1">F316</f>
        <v>31.623715737231763</v>
      </c>
      <c r="G401" s="688">
        <f t="shared" ref="G401:M401" ca="1" si="82">G316</f>
        <v>35.980081790707992</v>
      </c>
      <c r="H401" s="688">
        <f t="shared" ca="1" si="82"/>
        <v>43.302786931675641</v>
      </c>
      <c r="I401" s="688">
        <f t="shared" ca="1" si="82"/>
        <v>51.126151129609688</v>
      </c>
      <c r="J401" s="688">
        <f t="shared" ca="1" si="82"/>
        <v>60.795765012064123</v>
      </c>
      <c r="K401" s="688">
        <f t="shared" ca="1" si="82"/>
        <v>71.431451187893842</v>
      </c>
      <c r="L401" s="688">
        <f t="shared" ca="1" si="82"/>
        <v>82.44006095616551</v>
      </c>
      <c r="M401" s="688">
        <f t="shared" ca="1" si="82"/>
        <v>92.423054593500922</v>
      </c>
      <c r="N401" s="487"/>
      <c r="O401" s="685"/>
    </row>
    <row r="402" spans="1:15" s="489" customFormat="1" ht="13.5" customHeight="1" x14ac:dyDescent="0.25">
      <c r="A402" s="487"/>
      <c r="B402" s="487"/>
      <c r="C402" s="487"/>
      <c r="D402" s="2689" t="s">
        <v>336</v>
      </c>
      <c r="E402" s="487" t="s">
        <v>171</v>
      </c>
      <c r="F402" s="2695">
        <f ca="1">F326</f>
        <v>57.718131483597844</v>
      </c>
      <c r="G402" s="2695">
        <f t="shared" ref="G402:M402" ca="1" si="83">G326</f>
        <v>62.965143133738984</v>
      </c>
      <c r="H402" s="2695">
        <f t="shared" ca="1" si="83"/>
        <v>75.779877130432368</v>
      </c>
      <c r="I402" s="2695">
        <f t="shared" ca="1" si="83"/>
        <v>89.470764476816939</v>
      </c>
      <c r="J402" s="2695">
        <f t="shared" ca="1" si="83"/>
        <v>106.3925887711122</v>
      </c>
      <c r="K402" s="2695">
        <f t="shared" ca="1" si="83"/>
        <v>125.00503957881422</v>
      </c>
      <c r="L402" s="2695">
        <f t="shared" ca="1" si="83"/>
        <v>144.27010667328963</v>
      </c>
      <c r="M402" s="2695">
        <f t="shared" ca="1" si="83"/>
        <v>161.7403455386266</v>
      </c>
      <c r="N402" s="487"/>
      <c r="O402" s="685"/>
    </row>
    <row r="403" spans="1:15" s="489" customFormat="1" ht="13.5" customHeight="1" x14ac:dyDescent="0.25">
      <c r="A403" s="487"/>
      <c r="B403" s="487"/>
      <c r="C403" s="487"/>
      <c r="D403" s="2689" t="s">
        <v>334</v>
      </c>
      <c r="E403" s="2667" t="s">
        <v>171</v>
      </c>
      <c r="F403" s="2694">
        <f ca="1">F336</f>
        <v>7.6974998987670942</v>
      </c>
      <c r="G403" s="2694">
        <f t="shared" ref="G403:M403" ca="1" si="84">G336</f>
        <v>7.8706428917173739</v>
      </c>
      <c r="H403" s="2694">
        <f t="shared" ca="1" si="84"/>
        <v>9.4724846413040478</v>
      </c>
      <c r="I403" s="2694">
        <f t="shared" ca="1" si="84"/>
        <v>11.183845559602117</v>
      </c>
      <c r="J403" s="2694">
        <f t="shared" ca="1" si="84"/>
        <v>13.299073596389029</v>
      </c>
      <c r="K403" s="2694">
        <f t="shared" ca="1" si="84"/>
        <v>15.625629947351779</v>
      </c>
      <c r="L403" s="2694">
        <f t="shared" ca="1" si="84"/>
        <v>18.033763334161208</v>
      </c>
      <c r="M403" s="2694">
        <f t="shared" ca="1" si="84"/>
        <v>20.217543192328328</v>
      </c>
      <c r="N403" s="487"/>
      <c r="O403" s="685"/>
    </row>
    <row r="404" spans="1:15" s="489" customFormat="1" ht="13.5" customHeight="1" x14ac:dyDescent="0.25">
      <c r="A404" s="487"/>
      <c r="B404" s="487"/>
      <c r="C404" s="487"/>
      <c r="D404" s="2693" t="s">
        <v>118</v>
      </c>
      <c r="E404" s="2667" t="s">
        <v>171</v>
      </c>
      <c r="F404" s="688">
        <f ca="1">SUM(F400:F403)</f>
        <v>99.994534241443901</v>
      </c>
      <c r="G404" s="688">
        <f t="shared" ref="G404:M404" ca="1" si="85">SUM(G400:G403)</f>
        <v>109.76124381616435</v>
      </c>
      <c r="H404" s="688">
        <f t="shared" ca="1" si="85"/>
        <v>131.50052470341205</v>
      </c>
      <c r="I404" s="688">
        <f t="shared" ca="1" si="85"/>
        <v>154.72613716602874</v>
      </c>
      <c r="J404" s="688">
        <f t="shared" ca="1" si="85"/>
        <v>183.43280337956537</v>
      </c>
      <c r="K404" s="688">
        <f t="shared" ca="1" si="85"/>
        <v>215.00749671405984</v>
      </c>
      <c r="L404" s="688">
        <f t="shared" ca="1" si="85"/>
        <v>247.68930696361633</v>
      </c>
      <c r="M404" s="688">
        <f t="shared" ca="1" si="85"/>
        <v>277.32631932445582</v>
      </c>
      <c r="N404" s="487"/>
      <c r="O404" s="685"/>
    </row>
    <row r="405" spans="1:15" s="489" customFormat="1" ht="13.5" customHeight="1" x14ac:dyDescent="0.25">
      <c r="A405" s="487"/>
      <c r="B405" s="487"/>
      <c r="D405" s="2689"/>
      <c r="E405" s="487"/>
      <c r="F405" s="688"/>
      <c r="G405" s="688"/>
      <c r="H405" s="688"/>
      <c r="I405" s="688"/>
      <c r="J405" s="688"/>
      <c r="K405" s="688"/>
      <c r="L405" s="688"/>
      <c r="M405" s="688"/>
      <c r="N405" s="487"/>
      <c r="O405" s="685"/>
    </row>
    <row r="406" spans="1:15" s="489" customFormat="1" ht="13.5" customHeight="1" x14ac:dyDescent="0.25">
      <c r="A406" s="487"/>
      <c r="B406" s="487"/>
      <c r="C406" s="674" t="s">
        <v>1719</v>
      </c>
      <c r="D406" s="2689"/>
      <c r="E406" s="487"/>
      <c r="F406" s="688"/>
      <c r="G406" s="688"/>
      <c r="H406" s="688"/>
      <c r="I406" s="688"/>
      <c r="J406" s="688"/>
      <c r="K406" s="688"/>
      <c r="L406" s="688"/>
      <c r="M406" s="688"/>
      <c r="N406" s="487"/>
      <c r="O406" s="685"/>
    </row>
    <row r="407" spans="1:15" s="489" customFormat="1" ht="13.5" customHeight="1" x14ac:dyDescent="0.25">
      <c r="A407" s="487"/>
      <c r="B407" s="487"/>
      <c r="C407" s="674" t="s">
        <v>236</v>
      </c>
      <c r="D407" s="2689"/>
      <c r="E407" s="487"/>
      <c r="F407" s="688"/>
      <c r="G407" s="688"/>
      <c r="H407" s="688"/>
      <c r="I407" s="688"/>
      <c r="J407" s="688"/>
      <c r="K407" s="688"/>
      <c r="L407" s="688"/>
      <c r="M407" s="688"/>
      <c r="N407" s="487"/>
      <c r="O407" s="685"/>
    </row>
    <row r="408" spans="1:15" s="489" customFormat="1" ht="13.5" customHeight="1" x14ac:dyDescent="0.25">
      <c r="A408" s="487"/>
      <c r="B408" s="685" t="s">
        <v>1741</v>
      </c>
      <c r="C408" s="2689" t="s">
        <v>331</v>
      </c>
      <c r="D408" s="2689" t="s">
        <v>331</v>
      </c>
      <c r="E408" s="2689" t="s">
        <v>171</v>
      </c>
      <c r="F408" s="688">
        <f>F394</f>
        <v>1.4025600000000003</v>
      </c>
      <c r="G408" s="688">
        <f t="shared" ref="G408:M408" si="86">G394</f>
        <v>1.4025600000000003</v>
      </c>
      <c r="H408" s="688">
        <f t="shared" si="86"/>
        <v>1.4025600000000003</v>
      </c>
      <c r="I408" s="688">
        <f t="shared" si="86"/>
        <v>1.4025600000000003</v>
      </c>
      <c r="J408" s="688">
        <f t="shared" si="86"/>
        <v>1.4025600000000003</v>
      </c>
      <c r="K408" s="688">
        <f t="shared" si="86"/>
        <v>1.4025600000000003</v>
      </c>
      <c r="L408" s="688">
        <f t="shared" si="86"/>
        <v>1.4025600000000003</v>
      </c>
      <c r="M408" s="688">
        <f t="shared" si="86"/>
        <v>1.4025600000000003</v>
      </c>
      <c r="N408" s="487"/>
      <c r="O408" s="685"/>
    </row>
    <row r="409" spans="1:15" s="489" customFormat="1" ht="13.5" customHeight="1" x14ac:dyDescent="0.25">
      <c r="A409" s="487"/>
      <c r="B409" s="685" t="s">
        <v>1732</v>
      </c>
      <c r="C409" s="2689" t="s">
        <v>332</v>
      </c>
      <c r="D409" s="2689" t="s">
        <v>491</v>
      </c>
      <c r="E409" s="2689" t="s">
        <v>171</v>
      </c>
      <c r="F409" s="688">
        <f t="shared" ref="F409:M411" ca="1" si="87">F$395*$E137</f>
        <v>10.385408215796021</v>
      </c>
      <c r="G409" s="688">
        <f t="shared" ca="1" si="87"/>
        <v>11.622963946857363</v>
      </c>
      <c r="H409" s="688">
        <f t="shared" ca="1" si="87"/>
        <v>13.988482133892569</v>
      </c>
      <c r="I409" s="688">
        <f t="shared" ca="1" si="87"/>
        <v>16.515732642789558</v>
      </c>
      <c r="J409" s="688">
        <f t="shared" ca="1" si="87"/>
        <v>19.639393511309997</v>
      </c>
      <c r="K409" s="688">
        <f t="shared" ca="1" si="87"/>
        <v>23.075133254505438</v>
      </c>
      <c r="L409" s="688">
        <f t="shared" ca="1" si="87"/>
        <v>26.631341803055424</v>
      </c>
      <c r="M409" s="688">
        <f t="shared" ca="1" si="87"/>
        <v>29.85623650461282</v>
      </c>
      <c r="N409" s="487"/>
      <c r="O409" s="685"/>
    </row>
    <row r="410" spans="1:15" s="489" customFormat="1" ht="13.5" customHeight="1" x14ac:dyDescent="0.25">
      <c r="A410" s="487"/>
      <c r="B410" s="685" t="s">
        <v>1735</v>
      </c>
      <c r="C410" s="2689" t="s">
        <v>332</v>
      </c>
      <c r="D410" s="2689" t="s">
        <v>495</v>
      </c>
      <c r="E410" s="2689" t="s">
        <v>171</v>
      </c>
      <c r="F410" s="688">
        <f t="shared" ca="1" si="87"/>
        <v>9.4478070948040681E-3</v>
      </c>
      <c r="G410" s="688">
        <f t="shared" ca="1" si="87"/>
        <v>1.0573635523806326E-2</v>
      </c>
      <c r="H410" s="688">
        <f t="shared" ca="1" si="87"/>
        <v>1.272559325584491E-2</v>
      </c>
      <c r="I410" s="688">
        <f t="shared" ca="1" si="87"/>
        <v>1.5024682015012577E-2</v>
      </c>
      <c r="J410" s="688">
        <f t="shared" ca="1" si="87"/>
        <v>1.7866336835136297E-2</v>
      </c>
      <c r="K410" s="688">
        <f t="shared" ca="1" si="87"/>
        <v>2.0991895854789545E-2</v>
      </c>
      <c r="L410" s="688">
        <f t="shared" ca="1" si="87"/>
        <v>2.4227047681030799E-2</v>
      </c>
      <c r="M410" s="688">
        <f t="shared" ca="1" si="87"/>
        <v>2.71607968807039E-2</v>
      </c>
      <c r="N410" s="487"/>
      <c r="O410" s="685"/>
    </row>
    <row r="411" spans="1:15" s="489" customFormat="1" ht="13.5" customHeight="1" x14ac:dyDescent="0.25">
      <c r="A411" s="487"/>
      <c r="B411" s="685" t="s">
        <v>1740</v>
      </c>
      <c r="C411" s="2689" t="s">
        <v>332</v>
      </c>
      <c r="D411" s="2689" t="s">
        <v>1685</v>
      </c>
      <c r="E411" s="2689" t="s">
        <v>171</v>
      </c>
      <c r="F411" s="688">
        <f t="shared" ca="1" si="87"/>
        <v>0.32151083908803035</v>
      </c>
      <c r="G411" s="688">
        <f t="shared" ca="1" si="87"/>
        <v>0.35982301452149595</v>
      </c>
      <c r="H411" s="688">
        <f t="shared" ca="1" si="87"/>
        <v>0.4330545834101332</v>
      </c>
      <c r="I411" s="688">
        <f t="shared" ca="1" si="87"/>
        <v>0.51129305173199135</v>
      </c>
      <c r="J411" s="688">
        <f t="shared" ca="1" si="87"/>
        <v>0.60799515587624098</v>
      </c>
      <c r="K411" s="688">
        <f t="shared" ca="1" si="87"/>
        <v>0.71435857893771881</v>
      </c>
      <c r="L411" s="688">
        <f t="shared" ca="1" si="87"/>
        <v>0.82445146798538305</v>
      </c>
      <c r="M411" s="688">
        <f t="shared" ca="1" si="87"/>
        <v>0.92428756300678516</v>
      </c>
      <c r="N411" s="487"/>
      <c r="O411" s="685"/>
    </row>
    <row r="412" spans="1:15" s="489" customFormat="1" ht="13.5" customHeight="1" x14ac:dyDescent="0.25">
      <c r="A412" s="487"/>
      <c r="B412" s="685" t="s">
        <v>1720</v>
      </c>
      <c r="C412" s="2689" t="s">
        <v>387</v>
      </c>
      <c r="D412" s="2689" t="s">
        <v>387</v>
      </c>
      <c r="E412" s="2689" t="s">
        <v>171</v>
      </c>
      <c r="F412" s="688">
        <f t="shared" ref="F412:M413" ca="1" si="88">F$396*$I137</f>
        <v>26.256291466326854</v>
      </c>
      <c r="G412" s="688">
        <f t="shared" ca="1" si="88"/>
        <v>29.385068237099091</v>
      </c>
      <c r="H412" s="688">
        <f t="shared" ca="1" si="88"/>
        <v>35.365549090343329</v>
      </c>
      <c r="I412" s="688">
        <f t="shared" ca="1" si="88"/>
        <v>41.754920080026288</v>
      </c>
      <c r="J412" s="688">
        <f t="shared" ca="1" si="88"/>
        <v>49.652130136833478</v>
      </c>
      <c r="K412" s="688">
        <f t="shared" ca="1" si="88"/>
        <v>58.338335072194134</v>
      </c>
      <c r="L412" s="688">
        <f t="shared" ca="1" si="88"/>
        <v>67.32910810928604</v>
      </c>
      <c r="M412" s="688">
        <f t="shared" ca="1" si="88"/>
        <v>75.482256591549529</v>
      </c>
      <c r="N412" s="487"/>
      <c r="O412" s="685"/>
    </row>
    <row r="413" spans="1:15" s="489" customFormat="1" ht="13.5" customHeight="1" x14ac:dyDescent="0.25">
      <c r="A413" s="487"/>
      <c r="B413" s="685" t="s">
        <v>1721</v>
      </c>
      <c r="C413" s="2689" t="s">
        <v>387</v>
      </c>
      <c r="D413" s="2689" t="s">
        <v>1715</v>
      </c>
      <c r="E413" s="2689" t="s">
        <v>171</v>
      </c>
      <c r="F413" s="688">
        <f t="shared" ca="1" si="88"/>
        <v>0.53462568862028126</v>
      </c>
      <c r="G413" s="688">
        <f t="shared" ca="1" si="88"/>
        <v>0.59833325515756175</v>
      </c>
      <c r="H413" s="688">
        <f t="shared" ca="1" si="88"/>
        <v>0.72010668605303307</v>
      </c>
      <c r="I413" s="688">
        <f t="shared" ca="1" si="88"/>
        <v>0.850205861315105</v>
      </c>
      <c r="J413" s="688">
        <f t="shared" ca="1" si="88"/>
        <v>1.0110073732199467</v>
      </c>
      <c r="K413" s="688">
        <f t="shared" ca="1" si="88"/>
        <v>1.1878742510507228</v>
      </c>
      <c r="L413" s="688">
        <f t="shared" ca="1" si="88"/>
        <v>1.3709426875185462</v>
      </c>
      <c r="M413" s="688">
        <f t="shared" ca="1" si="88"/>
        <v>1.5369555697012298</v>
      </c>
      <c r="N413" s="487"/>
      <c r="O413" s="685"/>
    </row>
    <row r="414" spans="1:15" s="489" customFormat="1" ht="13.5" customHeight="1" x14ac:dyDescent="0.25">
      <c r="A414" s="487"/>
      <c r="B414" s="685" t="s">
        <v>1724</v>
      </c>
      <c r="C414" s="2689" t="s">
        <v>334</v>
      </c>
      <c r="D414" s="2689" t="s">
        <v>492</v>
      </c>
      <c r="E414" s="2689" t="s">
        <v>171</v>
      </c>
      <c r="F414" s="688">
        <f t="shared" ref="F414:M416" ca="1" si="89">F$397*$M137</f>
        <v>1.7141721852243534</v>
      </c>
      <c r="G414" s="688">
        <f t="shared" ca="1" si="89"/>
        <v>1.9184379750489418</v>
      </c>
      <c r="H414" s="688">
        <f t="shared" ca="1" si="89"/>
        <v>2.3088805455865784</v>
      </c>
      <c r="I414" s="688">
        <f t="shared" ca="1" si="89"/>
        <v>2.7260179789381342</v>
      </c>
      <c r="J414" s="688">
        <f t="shared" ca="1" si="89"/>
        <v>3.2415964199229959</v>
      </c>
      <c r="K414" s="688">
        <f t="shared" ca="1" si="89"/>
        <v>3.8086852989617359</v>
      </c>
      <c r="L414" s="688">
        <f t="shared" ca="1" si="89"/>
        <v>4.3956582567997931</v>
      </c>
      <c r="M414" s="688">
        <f t="shared" ca="1" si="89"/>
        <v>4.927945932240327</v>
      </c>
      <c r="N414" s="487"/>
      <c r="O414" s="685"/>
    </row>
    <row r="415" spans="1:15" s="489" customFormat="1" ht="13.5" customHeight="1" x14ac:dyDescent="0.25">
      <c r="A415" s="487"/>
      <c r="B415" s="685" t="s">
        <v>1725</v>
      </c>
      <c r="C415" s="2689" t="s">
        <v>334</v>
      </c>
      <c r="D415" s="2689" t="s">
        <v>493</v>
      </c>
      <c r="E415" s="2689" t="s">
        <v>171</v>
      </c>
      <c r="F415" s="2695">
        <f t="shared" ca="1" si="89"/>
        <v>0.29458320891616019</v>
      </c>
      <c r="G415" s="2695">
        <f t="shared" ca="1" si="89"/>
        <v>0.32968660888787632</v>
      </c>
      <c r="H415" s="2695">
        <f t="shared" ca="1" si="89"/>
        <v>0.39678478392412431</v>
      </c>
      <c r="I415" s="2695">
        <f t="shared" ca="1" si="89"/>
        <v>0.46847051347623991</v>
      </c>
      <c r="J415" s="2695">
        <f t="shared" ca="1" si="89"/>
        <v>0.5570734863295379</v>
      </c>
      <c r="K415" s="2695">
        <f t="shared" ca="1" si="89"/>
        <v>0.65452860966420789</v>
      </c>
      <c r="L415" s="2695">
        <f t="shared" ca="1" si="89"/>
        <v>0.75540084347910552</v>
      </c>
      <c r="M415" s="2695">
        <f t="shared" ca="1" si="89"/>
        <v>0.84687532477648653</v>
      </c>
      <c r="N415" s="487"/>
      <c r="O415" s="685"/>
    </row>
    <row r="416" spans="1:15" s="489" customFormat="1" ht="13.5" customHeight="1" x14ac:dyDescent="0.25">
      <c r="A416" s="487"/>
      <c r="B416" s="685" t="s">
        <v>1729</v>
      </c>
      <c r="C416" s="2689" t="s">
        <v>334</v>
      </c>
      <c r="D416" s="2689" t="s">
        <v>497</v>
      </c>
      <c r="E416" s="2689" t="s">
        <v>171</v>
      </c>
      <c r="F416" s="2694">
        <f t="shared" ca="1" si="89"/>
        <v>5.6339248052183263E-4</v>
      </c>
      <c r="G416" s="2694">
        <f t="shared" ca="1" si="89"/>
        <v>6.3052798243173208E-4</v>
      </c>
      <c r="H416" s="2694">
        <f t="shared" ca="1" si="89"/>
        <v>7.5885371902494926E-4</v>
      </c>
      <c r="I416" s="2694">
        <f t="shared" ca="1" si="89"/>
        <v>8.9595318623143924E-4</v>
      </c>
      <c r="J416" s="2694">
        <f t="shared" ca="1" si="89"/>
        <v>1.0654070014746396E-3</v>
      </c>
      <c r="K416" s="2694">
        <f t="shared" ca="1" si="89"/>
        <v>1.2517906174216954E-3</v>
      </c>
      <c r="L416" s="2694">
        <f t="shared" ca="1" si="89"/>
        <v>1.4447094814460455E-3</v>
      </c>
      <c r="M416" s="2694">
        <f t="shared" ca="1" si="89"/>
        <v>1.619655076995067E-3</v>
      </c>
      <c r="N416" s="487"/>
      <c r="O416" s="685"/>
    </row>
    <row r="417" spans="1:15" s="489" customFormat="1" ht="13.5" customHeight="1" x14ac:dyDescent="0.25">
      <c r="A417" s="487"/>
      <c r="B417" s="487"/>
      <c r="C417" s="2689"/>
      <c r="D417" s="2693" t="s">
        <v>118</v>
      </c>
      <c r="E417" s="2667" t="s">
        <v>171</v>
      </c>
      <c r="F417" s="688">
        <f ca="1">SUM(F408:F416)</f>
        <v>40.919162803547025</v>
      </c>
      <c r="G417" s="688">
        <f t="shared" ref="G417:M417" ca="1" si="90">SUM(G408:G416)</f>
        <v>45.628077201078561</v>
      </c>
      <c r="H417" s="688">
        <f t="shared" ca="1" si="90"/>
        <v>54.628902270184639</v>
      </c>
      <c r="I417" s="688">
        <f t="shared" ca="1" si="90"/>
        <v>64.245120763478553</v>
      </c>
      <c r="J417" s="688">
        <f t="shared" ca="1" si="90"/>
        <v>76.130687827328813</v>
      </c>
      <c r="K417" s="688">
        <f t="shared" ca="1" si="90"/>
        <v>89.20371875178617</v>
      </c>
      <c r="L417" s="688">
        <f t="shared" ca="1" si="90"/>
        <v>102.73513492528677</v>
      </c>
      <c r="M417" s="688">
        <f t="shared" ca="1" si="90"/>
        <v>115.00589793784488</v>
      </c>
      <c r="N417" s="487"/>
      <c r="O417" s="685"/>
    </row>
    <row r="418" spans="1:15" s="489" customFormat="1" ht="13.5" customHeight="1" x14ac:dyDescent="0.25">
      <c r="A418" s="487"/>
      <c r="B418" s="487"/>
      <c r="C418" s="2689"/>
      <c r="D418" s="2693"/>
      <c r="E418" s="2667"/>
      <c r="F418" s="688"/>
      <c r="G418" s="688"/>
      <c r="H418" s="688"/>
      <c r="I418" s="688"/>
      <c r="J418" s="688"/>
      <c r="K418" s="688"/>
      <c r="L418" s="688"/>
      <c r="M418" s="688"/>
      <c r="N418" s="487"/>
      <c r="O418" s="685"/>
    </row>
    <row r="419" spans="1:15" s="489" customFormat="1" ht="13.5" customHeight="1" x14ac:dyDescent="0.25">
      <c r="A419" s="487"/>
      <c r="B419" s="487"/>
      <c r="C419" s="674" t="s">
        <v>385</v>
      </c>
      <c r="D419" s="2693"/>
      <c r="E419" s="2667"/>
      <c r="F419" s="688"/>
      <c r="G419" s="688"/>
      <c r="H419" s="688"/>
      <c r="I419" s="688"/>
      <c r="J419" s="688"/>
      <c r="K419" s="688"/>
      <c r="L419" s="688"/>
      <c r="M419" s="688"/>
      <c r="N419" s="487"/>
      <c r="O419" s="685"/>
    </row>
    <row r="420" spans="1:15" s="489" customFormat="1" ht="13.5" customHeight="1" x14ac:dyDescent="0.25">
      <c r="A420" s="487"/>
      <c r="B420" s="685" t="s">
        <v>1741</v>
      </c>
      <c r="C420" s="2689" t="s">
        <v>331</v>
      </c>
      <c r="D420" s="2689" t="s">
        <v>331</v>
      </c>
      <c r="E420" s="2689" t="s">
        <v>171</v>
      </c>
      <c r="F420" s="688">
        <f>F400</f>
        <v>2.9551871218472012</v>
      </c>
      <c r="G420" s="688">
        <f t="shared" ref="G420:M420" si="91">G400</f>
        <v>2.9453760000000004</v>
      </c>
      <c r="H420" s="688">
        <f t="shared" si="91"/>
        <v>2.9453760000000004</v>
      </c>
      <c r="I420" s="688">
        <f t="shared" si="91"/>
        <v>2.9453760000000004</v>
      </c>
      <c r="J420" s="688">
        <f t="shared" si="91"/>
        <v>2.9453760000000004</v>
      </c>
      <c r="K420" s="688">
        <f t="shared" si="91"/>
        <v>2.9453760000000004</v>
      </c>
      <c r="L420" s="688">
        <f t="shared" si="91"/>
        <v>2.9453760000000004</v>
      </c>
      <c r="M420" s="688">
        <f t="shared" si="91"/>
        <v>2.9453760000000004</v>
      </c>
      <c r="N420" s="487"/>
      <c r="O420" s="685"/>
    </row>
    <row r="421" spans="1:15" s="489" customFormat="1" ht="13.5" customHeight="1" x14ac:dyDescent="0.25">
      <c r="A421" s="487"/>
      <c r="B421" s="685" t="s">
        <v>1732</v>
      </c>
      <c r="C421" s="2689" t="s">
        <v>332</v>
      </c>
      <c r="D421" s="2689" t="s">
        <v>491</v>
      </c>
      <c r="E421" s="2689" t="s">
        <v>171</v>
      </c>
      <c r="F421" s="688">
        <f t="shared" ref="F421:M423" ca="1" si="92">F$401*$E137</f>
        <v>30.647065508430959</v>
      </c>
      <c r="G421" s="688">
        <f t="shared" ca="1" si="92"/>
        <v>34.86889184057209</v>
      </c>
      <c r="H421" s="688">
        <f t="shared" ca="1" si="92"/>
        <v>41.96544640167771</v>
      </c>
      <c r="I421" s="688">
        <f t="shared" ca="1" si="92"/>
        <v>49.547197928368682</v>
      </c>
      <c r="J421" s="688">
        <f t="shared" ca="1" si="92"/>
        <v>58.918180533929998</v>
      </c>
      <c r="K421" s="688">
        <f t="shared" ca="1" si="92"/>
        <v>69.225399763516322</v>
      </c>
      <c r="L421" s="688">
        <f t="shared" ca="1" si="92"/>
        <v>79.894025409166275</v>
      </c>
      <c r="M421" s="688">
        <f t="shared" ca="1" si="92"/>
        <v>89.568709513838456</v>
      </c>
      <c r="N421" s="487"/>
      <c r="O421" s="685"/>
    </row>
    <row r="422" spans="1:15" s="489" customFormat="1" ht="13.5" customHeight="1" x14ac:dyDescent="0.25">
      <c r="A422" s="487"/>
      <c r="B422" s="685" t="s">
        <v>1735</v>
      </c>
      <c r="C422" s="2689" t="s">
        <v>332</v>
      </c>
      <c r="D422" s="2689" t="s">
        <v>495</v>
      </c>
      <c r="E422" s="2689" t="s">
        <v>171</v>
      </c>
      <c r="F422" s="688">
        <f t="shared" ca="1" si="92"/>
        <v>2.7880229349587084E-2</v>
      </c>
      <c r="G422" s="688">
        <f t="shared" ca="1" si="92"/>
        <v>3.1720906571418975E-2</v>
      </c>
      <c r="H422" s="688">
        <f t="shared" ca="1" si="92"/>
        <v>3.8176779767534731E-2</v>
      </c>
      <c r="I422" s="688">
        <f t="shared" ca="1" si="92"/>
        <v>4.5074046045037737E-2</v>
      </c>
      <c r="J422" s="688">
        <f t="shared" ca="1" si="92"/>
        <v>5.3599010505408891E-2</v>
      </c>
      <c r="K422" s="688">
        <f t="shared" ca="1" si="92"/>
        <v>6.2975687564368638E-2</v>
      </c>
      <c r="L422" s="688">
        <f t="shared" ca="1" si="92"/>
        <v>7.2681143043092394E-2</v>
      </c>
      <c r="M422" s="688">
        <f t="shared" ca="1" si="92"/>
        <v>8.1482390642111699E-2</v>
      </c>
      <c r="N422" s="487"/>
      <c r="O422" s="685"/>
    </row>
    <row r="423" spans="1:15" s="489" customFormat="1" ht="13.5" customHeight="1" x14ac:dyDescent="0.25">
      <c r="A423" s="487"/>
      <c r="B423" s="685" t="s">
        <v>1740</v>
      </c>
      <c r="C423" s="2689" t="s">
        <v>332</v>
      </c>
      <c r="D423" s="2689" t="s">
        <v>1685</v>
      </c>
      <c r="E423" s="2689" t="s">
        <v>171</v>
      </c>
      <c r="F423" s="688">
        <f t="shared" ca="1" si="92"/>
        <v>0.94876999945121843</v>
      </c>
      <c r="G423" s="688">
        <f t="shared" ca="1" si="92"/>
        <v>1.0794690435644878</v>
      </c>
      <c r="H423" s="688">
        <f t="shared" ca="1" si="92"/>
        <v>1.2991637502303996</v>
      </c>
      <c r="I423" s="688">
        <f t="shared" ca="1" si="92"/>
        <v>1.5338791551959743</v>
      </c>
      <c r="J423" s="688">
        <f t="shared" ca="1" si="92"/>
        <v>1.823985467628723</v>
      </c>
      <c r="K423" s="688">
        <f t="shared" ca="1" si="92"/>
        <v>2.1430757368131568</v>
      </c>
      <c r="L423" s="688">
        <f t="shared" ca="1" si="92"/>
        <v>2.4733544039561495</v>
      </c>
      <c r="M423" s="688">
        <f t="shared" ca="1" si="92"/>
        <v>2.7728626890203554</v>
      </c>
      <c r="N423" s="487"/>
      <c r="O423" s="685"/>
    </row>
    <row r="424" spans="1:15" s="489" customFormat="1" ht="13.5" customHeight="1" x14ac:dyDescent="0.25">
      <c r="A424" s="487"/>
      <c r="B424" s="685" t="s">
        <v>1720</v>
      </c>
      <c r="C424" s="2689" t="s">
        <v>387</v>
      </c>
      <c r="D424" s="2689" t="s">
        <v>387</v>
      </c>
      <c r="E424" s="2689" t="s">
        <v>171</v>
      </c>
      <c r="F424" s="688">
        <f t="shared" ref="F424:M425" ca="1" si="93">F$402*$I137</f>
        <v>56.566338298921572</v>
      </c>
      <c r="G424" s="688">
        <f t="shared" ca="1" si="93"/>
        <v>61.708643297908097</v>
      </c>
      <c r="H424" s="688">
        <f t="shared" ca="1" si="93"/>
        <v>74.267653089720994</v>
      </c>
      <c r="I424" s="688">
        <f t="shared" ca="1" si="93"/>
        <v>87.685332168055211</v>
      </c>
      <c r="J424" s="688">
        <f t="shared" ca="1" si="93"/>
        <v>104.26947328735029</v>
      </c>
      <c r="K424" s="688">
        <f t="shared" ca="1" si="93"/>
        <v>122.51050365160768</v>
      </c>
      <c r="L424" s="688">
        <f t="shared" ca="1" si="93"/>
        <v>141.39112702950067</v>
      </c>
      <c r="M424" s="688">
        <f t="shared" ca="1" si="93"/>
        <v>158.51273884225398</v>
      </c>
      <c r="N424" s="487"/>
      <c r="O424" s="685"/>
    </row>
    <row r="425" spans="1:15" s="489" customFormat="1" ht="13.5" customHeight="1" x14ac:dyDescent="0.25">
      <c r="A425" s="487"/>
      <c r="B425" s="685" t="s">
        <v>1721</v>
      </c>
      <c r="C425" s="2689" t="s">
        <v>387</v>
      </c>
      <c r="D425" s="2689" t="s">
        <v>1715</v>
      </c>
      <c r="E425" s="2689" t="s">
        <v>171</v>
      </c>
      <c r="F425" s="688">
        <f t="shared" ca="1" si="93"/>
        <v>1.1517931846762608</v>
      </c>
      <c r="G425" s="688">
        <f t="shared" ca="1" si="93"/>
        <v>1.2564998358308797</v>
      </c>
      <c r="H425" s="688">
        <f t="shared" ca="1" si="93"/>
        <v>1.5122240407113694</v>
      </c>
      <c r="I425" s="688">
        <f t="shared" ca="1" si="93"/>
        <v>1.7854323087617205</v>
      </c>
      <c r="J425" s="688">
        <f t="shared" ca="1" si="93"/>
        <v>2.1231154837618882</v>
      </c>
      <c r="K425" s="688">
        <f t="shared" ca="1" si="93"/>
        <v>2.4945359272065177</v>
      </c>
      <c r="L425" s="688">
        <f t="shared" ca="1" si="93"/>
        <v>2.8789796437889468</v>
      </c>
      <c r="M425" s="688">
        <f t="shared" ca="1" si="93"/>
        <v>3.2276066963725825</v>
      </c>
      <c r="N425" s="487"/>
      <c r="O425" s="685"/>
    </row>
    <row r="426" spans="1:15" s="489" customFormat="1" ht="13.5" customHeight="1" x14ac:dyDescent="0.25">
      <c r="A426" s="487"/>
      <c r="B426" s="685" t="s">
        <v>1724</v>
      </c>
      <c r="C426" s="2689" t="s">
        <v>334</v>
      </c>
      <c r="D426" s="2689" t="s">
        <v>492</v>
      </c>
      <c r="E426" s="2689" t="s">
        <v>171</v>
      </c>
      <c r="F426" s="688">
        <f t="shared" ref="F426:M428" ca="1" si="94">F$403*$M137</f>
        <v>6.5668227013508851</v>
      </c>
      <c r="G426" s="688">
        <f t="shared" ca="1" si="94"/>
        <v>6.714532912671296</v>
      </c>
      <c r="H426" s="688">
        <f t="shared" ca="1" si="94"/>
        <v>8.081081909553026</v>
      </c>
      <c r="I426" s="688">
        <f t="shared" ca="1" si="94"/>
        <v>9.5410629262834679</v>
      </c>
      <c r="J426" s="688">
        <f t="shared" ca="1" si="94"/>
        <v>11.345587469730486</v>
      </c>
      <c r="K426" s="688">
        <f t="shared" ca="1" si="94"/>
        <v>13.330398546366077</v>
      </c>
      <c r="L426" s="688">
        <f t="shared" ca="1" si="94"/>
        <v>15.384803898799278</v>
      </c>
      <c r="M426" s="688">
        <f t="shared" ca="1" si="94"/>
        <v>17.247810762841144</v>
      </c>
      <c r="N426" s="487"/>
      <c r="O426" s="685"/>
    </row>
    <row r="427" spans="1:15" s="489" customFormat="1" ht="13.5" customHeight="1" x14ac:dyDescent="0.25">
      <c r="A427" s="487"/>
      <c r="B427" s="685" t="s">
        <v>1725</v>
      </c>
      <c r="C427" s="2689" t="s">
        <v>334</v>
      </c>
      <c r="D427" s="2689" t="s">
        <v>493</v>
      </c>
      <c r="E427" s="2689" t="s">
        <v>171</v>
      </c>
      <c r="F427" s="688">
        <f t="shared" ca="1" si="94"/>
        <v>1.1285188970058129</v>
      </c>
      <c r="G427" s="688">
        <f t="shared" ca="1" si="94"/>
        <v>1.1539031311075671</v>
      </c>
      <c r="H427" s="688">
        <f t="shared" ca="1" si="94"/>
        <v>1.3887467437344352</v>
      </c>
      <c r="I427" s="688">
        <f t="shared" ca="1" si="94"/>
        <v>1.6396467971668398</v>
      </c>
      <c r="J427" s="688">
        <f t="shared" ca="1" si="94"/>
        <v>1.9497572021533827</v>
      </c>
      <c r="K427" s="688">
        <f t="shared" ca="1" si="94"/>
        <v>2.290850133824728</v>
      </c>
      <c r="L427" s="688">
        <f t="shared" ca="1" si="94"/>
        <v>2.6439029521768695</v>
      </c>
      <c r="M427" s="688">
        <f t="shared" ca="1" si="94"/>
        <v>2.9640636367177033</v>
      </c>
      <c r="N427" s="487"/>
      <c r="O427" s="685"/>
    </row>
    <row r="428" spans="1:15" s="489" customFormat="1" ht="13.5" customHeight="1" x14ac:dyDescent="0.25">
      <c r="A428" s="487"/>
      <c r="B428" s="685" t="s">
        <v>1729</v>
      </c>
      <c r="C428" s="2689" t="s">
        <v>334</v>
      </c>
      <c r="D428" s="2689" t="s">
        <v>497</v>
      </c>
      <c r="E428" s="2689" t="s">
        <v>171</v>
      </c>
      <c r="F428" s="2694">
        <f t="shared" ca="1" si="94"/>
        <v>2.1583004103971825E-3</v>
      </c>
      <c r="G428" s="2694">
        <f t="shared" ca="1" si="94"/>
        <v>2.2068479385110623E-3</v>
      </c>
      <c r="H428" s="2694">
        <f t="shared" ca="1" si="94"/>
        <v>2.6559880165873228E-3</v>
      </c>
      <c r="I428" s="2694">
        <f t="shared" ca="1" si="94"/>
        <v>3.1358361518100371E-3</v>
      </c>
      <c r="J428" s="2694">
        <f t="shared" ca="1" si="94"/>
        <v>3.7289245051612386E-3</v>
      </c>
      <c r="K428" s="2694">
        <f t="shared" ca="1" si="94"/>
        <v>4.3812671609759343E-3</v>
      </c>
      <c r="L428" s="2694">
        <f t="shared" ca="1" si="94"/>
        <v>5.0564831850611596E-3</v>
      </c>
      <c r="M428" s="2694">
        <f t="shared" ca="1" si="94"/>
        <v>5.6687927694827351E-3</v>
      </c>
      <c r="N428" s="487"/>
      <c r="O428" s="685"/>
    </row>
    <row r="429" spans="1:15" s="489" customFormat="1" ht="13.5" customHeight="1" x14ac:dyDescent="0.25">
      <c r="A429" s="487"/>
      <c r="B429" s="487"/>
      <c r="C429" s="2689"/>
      <c r="D429" s="2693" t="s">
        <v>118</v>
      </c>
      <c r="E429" s="2667" t="s">
        <v>171</v>
      </c>
      <c r="F429" s="688">
        <f ca="1">SUM(F420:F428)</f>
        <v>99.994534241443901</v>
      </c>
      <c r="G429" s="688">
        <f t="shared" ref="G429:M429" ca="1" si="95">SUM(G420:G428)</f>
        <v>109.76124381616435</v>
      </c>
      <c r="H429" s="688">
        <f t="shared" ca="1" si="95"/>
        <v>131.50052470341205</v>
      </c>
      <c r="I429" s="688">
        <f t="shared" ca="1" si="95"/>
        <v>154.72613716602876</v>
      </c>
      <c r="J429" s="688">
        <f t="shared" ca="1" si="95"/>
        <v>183.43280337956537</v>
      </c>
      <c r="K429" s="688">
        <f t="shared" ca="1" si="95"/>
        <v>215.00749671405984</v>
      </c>
      <c r="L429" s="688">
        <f t="shared" ca="1" si="95"/>
        <v>247.68930696361633</v>
      </c>
      <c r="M429" s="688">
        <f t="shared" ca="1" si="95"/>
        <v>277.32631932445577</v>
      </c>
      <c r="N429" s="487"/>
      <c r="O429" s="685"/>
    </row>
    <row r="430" spans="1:15" s="489" customFormat="1" ht="13.5" customHeight="1" x14ac:dyDescent="0.25">
      <c r="A430" s="487"/>
      <c r="B430" s="487"/>
      <c r="C430" s="487"/>
      <c r="D430" s="487"/>
      <c r="E430" s="487"/>
      <c r="F430" s="688"/>
      <c r="G430" s="688"/>
      <c r="H430" s="688"/>
      <c r="I430" s="688"/>
      <c r="J430" s="688"/>
      <c r="K430" s="688"/>
      <c r="L430" s="688"/>
      <c r="M430" s="688"/>
      <c r="N430" s="487"/>
      <c r="O430" s="685"/>
    </row>
    <row r="431" spans="1:15" s="489" customFormat="1" ht="13.5" customHeight="1" x14ac:dyDescent="0.25">
      <c r="A431" s="487"/>
      <c r="C431" s="487"/>
      <c r="D431" s="487"/>
      <c r="E431" s="487"/>
      <c r="N431" s="487"/>
      <c r="O431" s="685"/>
    </row>
    <row r="432" spans="1:15" s="489" customFormat="1" ht="13.5" customHeight="1" x14ac:dyDescent="0.25">
      <c r="A432" s="487"/>
      <c r="B432" s="674" t="s">
        <v>434</v>
      </c>
      <c r="C432" s="487"/>
      <c r="D432" s="487"/>
      <c r="E432" s="487"/>
      <c r="F432" s="2713"/>
      <c r="G432" s="2713"/>
      <c r="H432" s="2713"/>
      <c r="I432" s="2713"/>
      <c r="J432" s="2713"/>
      <c r="K432" s="2713"/>
      <c r="L432" s="2713"/>
      <c r="M432" s="2713"/>
      <c r="N432" s="487"/>
      <c r="O432" s="685"/>
    </row>
    <row r="433" spans="1:15" s="489" customFormat="1" ht="13.5" customHeight="1" x14ac:dyDescent="0.25">
      <c r="A433" s="487"/>
      <c r="B433" s="674" t="s">
        <v>1894</v>
      </c>
      <c r="C433" s="487" t="s">
        <v>236</v>
      </c>
      <c r="D433" s="487"/>
      <c r="E433" s="487"/>
      <c r="F433" s="2713"/>
      <c r="G433" s="2713"/>
      <c r="H433" s="2713"/>
      <c r="I433" s="2713"/>
      <c r="J433" s="2713"/>
      <c r="K433" s="2713"/>
      <c r="L433" s="2713"/>
      <c r="M433" s="2713"/>
      <c r="N433" s="487"/>
      <c r="O433" s="685"/>
    </row>
    <row r="434" spans="1:15" s="489" customFormat="1" ht="13.5" customHeight="1" x14ac:dyDescent="0.25">
      <c r="A434" s="487"/>
      <c r="B434" s="2689"/>
      <c r="C434" s="487"/>
      <c r="D434" s="487"/>
      <c r="E434" s="487"/>
      <c r="F434" s="2713"/>
      <c r="G434" s="2713"/>
      <c r="H434" s="2713"/>
      <c r="I434" s="2713"/>
      <c r="J434" s="2713"/>
      <c r="K434" s="2713"/>
      <c r="L434" s="2713"/>
      <c r="M434" s="2713"/>
      <c r="N434" s="487"/>
      <c r="O434" s="685"/>
    </row>
    <row r="435" spans="1:15" s="489" customFormat="1" ht="13.5" customHeight="1" x14ac:dyDescent="0.25">
      <c r="A435" s="487"/>
      <c r="B435" s="674" t="s">
        <v>398</v>
      </c>
      <c r="C435" s="487"/>
      <c r="D435" s="487"/>
      <c r="E435" s="487"/>
      <c r="F435" s="675">
        <v>2015</v>
      </c>
      <c r="G435" s="675">
        <v>2020</v>
      </c>
      <c r="H435" s="675">
        <v>2025</v>
      </c>
      <c r="I435" s="675">
        <v>2030</v>
      </c>
      <c r="J435" s="675">
        <v>2035</v>
      </c>
      <c r="K435" s="675">
        <v>2040</v>
      </c>
      <c r="L435" s="675">
        <v>2045</v>
      </c>
      <c r="M435" s="675">
        <v>2050</v>
      </c>
      <c r="N435" s="487"/>
      <c r="O435" s="685"/>
    </row>
    <row r="436" spans="1:15" s="489" customFormat="1" ht="13.5" customHeight="1" x14ac:dyDescent="0.25">
      <c r="A436" s="487"/>
      <c r="B436" s="685" t="s">
        <v>1741</v>
      </c>
      <c r="C436" s="2689" t="str">
        <f>CONCATENATE(B436,"_",$C$433)</f>
        <v>V.058_Generación</v>
      </c>
      <c r="D436" s="2689" t="s">
        <v>331</v>
      </c>
      <c r="E436" s="2721" t="s">
        <v>1895</v>
      </c>
      <c r="F436" s="688">
        <f>VLOOKUP($C436,Constantes!$G$11:$P$120,8,0)*F420</f>
        <v>0</v>
      </c>
      <c r="G436" s="688">
        <f>VLOOKUP($C436,Constantes!$G$11:$P$120,8,0)*G420</f>
        <v>0</v>
      </c>
      <c r="H436" s="688">
        <f>VLOOKUP($C436,Constantes!$G$11:$P$120,8,0)*H420</f>
        <v>0</v>
      </c>
      <c r="I436" s="688">
        <f>VLOOKUP($C436,Constantes!$G$11:$P$120,8,0)*I420</f>
        <v>0</v>
      </c>
      <c r="J436" s="688">
        <f>VLOOKUP($C436,Constantes!$G$11:$P$120,8,0)*J420</f>
        <v>0</v>
      </c>
      <c r="K436" s="688">
        <f>VLOOKUP($C436,Constantes!$G$11:$P$120,8,0)*K420</f>
        <v>0</v>
      </c>
      <c r="L436" s="688">
        <f>VLOOKUP($C436,Constantes!$G$11:$P$120,8,0)*L420</f>
        <v>0</v>
      </c>
      <c r="M436" s="688">
        <f>VLOOKUP($C436,Constantes!$G$11:$P$120,8,0)*M420</f>
        <v>0</v>
      </c>
      <c r="N436" s="487"/>
      <c r="O436" s="685"/>
    </row>
    <row r="437" spans="1:15" s="489" customFormat="1" ht="13.5" customHeight="1" x14ac:dyDescent="0.25">
      <c r="A437" s="487"/>
      <c r="B437" s="685" t="s">
        <v>1732</v>
      </c>
      <c r="C437" s="2689" t="str">
        <f t="shared" ref="C437:C464" si="96">CONCATENATE(B437,"_",$C$433)</f>
        <v>V.051_Generación</v>
      </c>
      <c r="D437" s="2689" t="s">
        <v>491</v>
      </c>
      <c r="E437" s="2721" t="s">
        <v>1895</v>
      </c>
      <c r="F437" s="688">
        <f ca="1">VLOOKUP($C437,Constantes!$G$11:$P$120,8,0)*F421</f>
        <v>6.1889862311842219</v>
      </c>
      <c r="G437" s="688">
        <f ca="1">VLOOKUP($C437,Constantes!$G$11:$P$120,8,0)*G421</f>
        <v>7.0415580714762207</v>
      </c>
      <c r="H437" s="688">
        <f ca="1">VLOOKUP($C437,Constantes!$G$11:$P$120,8,0)*H421</f>
        <v>8.4746635821962535</v>
      </c>
      <c r="I437" s="688">
        <f ca="1">VLOOKUP($C437,Constantes!$G$11:$P$120,8,0)*I421</f>
        <v>10.00575163348266</v>
      </c>
      <c r="J437" s="688">
        <f ca="1">VLOOKUP($C437,Constantes!$G$11:$P$120,8,0)*J421</f>
        <v>11.8981638875215</v>
      </c>
      <c r="K437" s="688">
        <f ca="1">VLOOKUP($C437,Constantes!$G$11:$P$120,8,0)*K421</f>
        <v>13.979643364770574</v>
      </c>
      <c r="L437" s="688">
        <f ca="1">VLOOKUP($C437,Constantes!$G$11:$P$120,8,0)*L421</f>
        <v>16.134106643103774</v>
      </c>
      <c r="M437" s="688">
        <f ca="1">VLOOKUP($C437,Constantes!$G$11:$P$120,8,0)*M421</f>
        <v>18.087849545451178</v>
      </c>
      <c r="N437" s="487"/>
      <c r="O437" s="685"/>
    </row>
    <row r="438" spans="1:15" s="489" customFormat="1" ht="13.5" customHeight="1" x14ac:dyDescent="0.25">
      <c r="A438" s="487"/>
      <c r="B438" s="685" t="s">
        <v>1735</v>
      </c>
      <c r="C438" s="2689" t="str">
        <f t="shared" si="96"/>
        <v>V.052_Generación</v>
      </c>
      <c r="D438" s="2689" t="s">
        <v>495</v>
      </c>
      <c r="E438" s="2721" t="s">
        <v>1895</v>
      </c>
      <c r="F438" s="688">
        <f ca="1">VLOOKUP($C438,Constantes!$G$11:$P$120,8,0)*F422</f>
        <v>6.3327662777499828E-3</v>
      </c>
      <c r="G438" s="688">
        <f ca="1">VLOOKUP($C438,Constantes!$G$11:$P$120,8,0)*G422</f>
        <v>7.2051447251855203E-3</v>
      </c>
      <c r="H438" s="688">
        <f ca="1">VLOOKUP($C438,Constantes!$G$11:$P$120,8,0)*H422</f>
        <v>8.67154356850771E-3</v>
      </c>
      <c r="I438" s="688">
        <f ca="1">VLOOKUP($C438,Constantes!$G$11:$P$120,8,0)*I422</f>
        <v>1.0238201243491294E-2</v>
      </c>
      <c r="J438" s="688">
        <f ca="1">VLOOKUP($C438,Constantes!$G$11:$P$120,8,0)*J422</f>
        <v>1.2174577260227866E-2</v>
      </c>
      <c r="K438" s="688">
        <f ca="1">VLOOKUP($C438,Constantes!$G$11:$P$120,8,0)*K422</f>
        <v>1.4304412834095254E-2</v>
      </c>
      <c r="L438" s="688">
        <f ca="1">VLOOKUP($C438,Constantes!$G$11:$P$120,8,0)*L422</f>
        <v>1.6508927739449713E-2</v>
      </c>
      <c r="M438" s="688">
        <f ca="1">VLOOKUP($C438,Constantes!$G$11:$P$120,8,0)*M422</f>
        <v>1.8508059213525014E-2</v>
      </c>
      <c r="N438" s="487"/>
      <c r="O438" s="685"/>
    </row>
    <row r="439" spans="1:15" s="489" customFormat="1" ht="13.5" customHeight="1" x14ac:dyDescent="0.25">
      <c r="A439" s="487"/>
      <c r="B439" s="685" t="s">
        <v>1740</v>
      </c>
      <c r="C439" s="2689" t="str">
        <f t="shared" si="96"/>
        <v>V.057_Generación</v>
      </c>
      <c r="D439" s="2689" t="s">
        <v>1685</v>
      </c>
      <c r="E439" s="2721" t="s">
        <v>1895</v>
      </c>
      <c r="F439" s="688">
        <f ca="1">VLOOKUP($C439,Constantes!$G$11:$P$120,8,0)*F423</f>
        <v>0.18647531306708615</v>
      </c>
      <c r="G439" s="688">
        <f ca="1">VLOOKUP($C439,Constantes!$G$11:$P$120,8,0)*G423</f>
        <v>0.21216346212606566</v>
      </c>
      <c r="H439" s="688">
        <f ca="1">VLOOKUP($C439,Constantes!$G$11:$P$120,8,0)*H423</f>
        <v>0.25534319928934424</v>
      </c>
      <c r="I439" s="688">
        <f ca="1">VLOOKUP($C439,Constantes!$G$11:$P$120,8,0)*I423</f>
        <v>0.30147516873182217</v>
      </c>
      <c r="J439" s="688">
        <f ca="1">VLOOKUP($C439,Constantes!$G$11:$P$120,8,0)*J423</f>
        <v>0.35849390400478143</v>
      </c>
      <c r="K439" s="688">
        <f ca="1">VLOOKUP($C439,Constantes!$G$11:$P$120,8,0)*K423</f>
        <v>0.4212092700863872</v>
      </c>
      <c r="L439" s="688">
        <f ca="1">VLOOKUP($C439,Constantes!$G$11:$P$120,8,0)*L423</f>
        <v>0.4861236517494808</v>
      </c>
      <c r="M439" s="688">
        <f ca="1">VLOOKUP($C439,Constantes!$G$11:$P$120,8,0)*M423</f>
        <v>0.54499029093056661</v>
      </c>
      <c r="N439" s="487"/>
      <c r="O439" s="685"/>
    </row>
    <row r="440" spans="1:15" s="489" customFormat="1" ht="13.5" customHeight="1" x14ac:dyDescent="0.25">
      <c r="A440" s="487"/>
      <c r="B440" s="685" t="s">
        <v>1720</v>
      </c>
      <c r="C440" s="2689" t="str">
        <f t="shared" si="96"/>
        <v>V.031_Generación</v>
      </c>
      <c r="D440" s="2689" t="s">
        <v>387</v>
      </c>
      <c r="E440" s="2721" t="s">
        <v>1895</v>
      </c>
      <c r="F440" s="688">
        <f ca="1">VLOOKUP($C440,Constantes!$G$11:$P$120,8,0)*F424</f>
        <v>19.262691155788271</v>
      </c>
      <c r="G440" s="688">
        <f ca="1">VLOOKUP($C440,Constantes!$G$11:$P$120,8,0)*G424</f>
        <v>21.013814456379073</v>
      </c>
      <c r="H440" s="688">
        <f ca="1">VLOOKUP($C440,Constantes!$G$11:$P$120,8,0)*H424</f>
        <v>25.290568690740127</v>
      </c>
      <c r="I440" s="688">
        <f ca="1">VLOOKUP($C440,Constantes!$G$11:$P$120,8,0)*I424</f>
        <v>29.859727944917292</v>
      </c>
      <c r="J440" s="688">
        <f ca="1">VLOOKUP($C440,Constantes!$G$11:$P$120,8,0)*J424</f>
        <v>35.507171249040098</v>
      </c>
      <c r="K440" s="688">
        <f ca="1">VLOOKUP($C440,Constantes!$G$11:$P$120,8,0)*K424</f>
        <v>41.718839616422201</v>
      </c>
      <c r="L440" s="688">
        <f ca="1">VLOOKUP($C440,Constantes!$G$11:$P$120,8,0)*L424</f>
        <v>48.148310356338243</v>
      </c>
      <c r="M440" s="688">
        <f ca="1">VLOOKUP($C440,Constantes!$G$11:$P$120,8,0)*M424</f>
        <v>53.978780037715005</v>
      </c>
      <c r="N440" s="487"/>
      <c r="O440" s="685"/>
    </row>
    <row r="441" spans="1:15" s="489" customFormat="1" ht="13.5" customHeight="1" x14ac:dyDescent="0.25">
      <c r="A441" s="487"/>
      <c r="B441" s="685" t="s">
        <v>1721</v>
      </c>
      <c r="C441" s="2689" t="str">
        <f t="shared" si="96"/>
        <v>V.032_Generación</v>
      </c>
      <c r="D441" s="2689" t="s">
        <v>1715</v>
      </c>
      <c r="E441" s="2721" t="s">
        <v>1895</v>
      </c>
      <c r="F441" s="688">
        <f ca="1">VLOOKUP($C441,Constantes!$G$11:$P$120,8,0)*F425</f>
        <v>0.44363524391778225</v>
      </c>
      <c r="G441" s="688">
        <f ca="1">VLOOKUP($C441,Constantes!$G$11:$P$120,8,0)*G425</f>
        <v>0.48396501956049004</v>
      </c>
      <c r="H441" s="688">
        <f ca="1">VLOOKUP($C441,Constantes!$G$11:$P$120,8,0)*H425</f>
        <v>0.58246210351373839</v>
      </c>
      <c r="I441" s="688">
        <f ca="1">VLOOKUP($C441,Constantes!$G$11:$P$120,8,0)*I425</f>
        <v>0.68769350985422639</v>
      </c>
      <c r="J441" s="688">
        <f ca="1">VLOOKUP($C441,Constantes!$G$11:$P$120,8,0)*J425</f>
        <v>0.81775866365198724</v>
      </c>
      <c r="K441" s="688">
        <f ca="1">VLOOKUP($C441,Constantes!$G$11:$P$120,8,0)*K425</f>
        <v>0.96081837369005541</v>
      </c>
      <c r="L441" s="688">
        <f ca="1">VLOOKUP($C441,Constantes!$G$11:$P$120,8,0)*L425</f>
        <v>1.1088942472477226</v>
      </c>
      <c r="M441" s="688">
        <f ca="1">VLOOKUP($C441,Constantes!$G$11:$P$120,8,0)*M425</f>
        <v>1.243174645471081</v>
      </c>
      <c r="N441" s="487"/>
      <c r="O441" s="685"/>
    </row>
    <row r="442" spans="1:15" s="489" customFormat="1" ht="13.5" customHeight="1" x14ac:dyDescent="0.25">
      <c r="A442" s="487"/>
      <c r="B442" s="685" t="s">
        <v>1724</v>
      </c>
      <c r="C442" s="2689" t="str">
        <f t="shared" si="96"/>
        <v>V.042_Generación</v>
      </c>
      <c r="D442" s="2689" t="s">
        <v>492</v>
      </c>
      <c r="E442" s="2721" t="s">
        <v>1895</v>
      </c>
      <c r="F442" s="688">
        <f ca="1">VLOOKUP($C442,Constantes!$G$11:$P$120,8,0)*F426</f>
        <v>1.7516254937728604</v>
      </c>
      <c r="G442" s="688">
        <f ca="1">VLOOKUP($C442,Constantes!$G$11:$P$120,8,0)*G426</f>
        <v>1.7910255177427756</v>
      </c>
      <c r="H442" s="688">
        <f ca="1">VLOOKUP($C442,Constantes!$G$11:$P$120,8,0)*H426</f>
        <v>2.1555369672349864</v>
      </c>
      <c r="I442" s="688">
        <f ca="1">VLOOKUP($C442,Constantes!$G$11:$P$120,8,0)*I426</f>
        <v>2.544970348587491</v>
      </c>
      <c r="J442" s="688">
        <f ca="1">VLOOKUP($C442,Constantes!$G$11:$P$120,8,0)*J426</f>
        <v>3.026306808880594</v>
      </c>
      <c r="K442" s="688">
        <f ca="1">VLOOKUP($C442,Constantes!$G$11:$P$120,8,0)*K426</f>
        <v>3.5557326576160055</v>
      </c>
      <c r="L442" s="688">
        <f ca="1">VLOOKUP($C442,Constantes!$G$11:$P$120,8,0)*L426</f>
        <v>4.1037219902844733</v>
      </c>
      <c r="M442" s="688">
        <f ca="1">VLOOKUP($C442,Constantes!$G$11:$P$120,8,0)*M426</f>
        <v>4.600657946459787</v>
      </c>
      <c r="N442" s="487"/>
      <c r="O442" s="685"/>
    </row>
    <row r="443" spans="1:15" s="489" customFormat="1" ht="13.5" customHeight="1" x14ac:dyDescent="0.25">
      <c r="A443" s="487"/>
      <c r="B443" s="685" t="s">
        <v>1725</v>
      </c>
      <c r="C443" s="2689" t="str">
        <f t="shared" si="96"/>
        <v>V.043_Generación</v>
      </c>
      <c r="D443" s="2689" t="s">
        <v>493</v>
      </c>
      <c r="E443" s="2721" t="s">
        <v>1895</v>
      </c>
      <c r="F443" s="688">
        <f ca="1">VLOOKUP($C443,Constantes!$G$11:$P$120,8,0)*F427</f>
        <v>0.31442535143358502</v>
      </c>
      <c r="G443" s="688">
        <f ca="1">VLOOKUP($C443,Constantes!$G$11:$P$120,8,0)*G427</f>
        <v>0.32149784862392261</v>
      </c>
      <c r="H443" s="688">
        <f ca="1">VLOOKUP($C443,Constantes!$G$11:$P$120,8,0)*H427</f>
        <v>0.38692943831909754</v>
      </c>
      <c r="I443" s="688">
        <f ca="1">VLOOKUP($C443,Constantes!$G$11:$P$120,8,0)*I427</f>
        <v>0.45683463679162495</v>
      </c>
      <c r="J443" s="688">
        <f ca="1">VLOOKUP($C443,Constantes!$G$11:$P$120,8,0)*J427</f>
        <v>0.54323688785699009</v>
      </c>
      <c r="K443" s="688">
        <f ca="1">VLOOKUP($C443,Constantes!$G$11:$P$120,8,0)*K427</f>
        <v>0.63827141957535627</v>
      </c>
      <c r="L443" s="688">
        <f ca="1">VLOOKUP($C443,Constantes!$G$11:$P$120,8,0)*L427</f>
        <v>0.7366381875395599</v>
      </c>
      <c r="M443" s="688">
        <f ca="1">VLOOKUP($C443,Constantes!$G$11:$P$120,8,0)*M427</f>
        <v>0.82584062448506212</v>
      </c>
      <c r="N443" s="487"/>
      <c r="O443" s="685"/>
    </row>
    <row r="444" spans="1:15" s="489" customFormat="1" ht="13.5" customHeight="1" x14ac:dyDescent="0.25">
      <c r="A444" s="487"/>
      <c r="B444" s="685" t="s">
        <v>1729</v>
      </c>
      <c r="C444" s="2689" t="str">
        <f t="shared" si="96"/>
        <v>V.047_Generación</v>
      </c>
      <c r="D444" s="2689" t="s">
        <v>497</v>
      </c>
      <c r="E444" s="2721" t="s">
        <v>1895</v>
      </c>
      <c r="F444" s="688">
        <f ca="1">VLOOKUP($C444,Constantes!$G$11:$P$120,8,0)*F428</f>
        <v>5.5550208546939733E-4</v>
      </c>
      <c r="G444" s="688">
        <f ca="1">VLOOKUP($C444,Constantes!$G$11:$P$120,8,0)*G428</f>
        <v>5.6799721959517992E-4</v>
      </c>
      <c r="H444" s="688">
        <f ca="1">VLOOKUP($C444,Constantes!$G$11:$P$120,8,0)*H428</f>
        <v>6.8359662773935786E-4</v>
      </c>
      <c r="I444" s="688">
        <f ca="1">VLOOKUP($C444,Constantes!$G$11:$P$120,8,0)*I428</f>
        <v>8.0709965750330346E-4</v>
      </c>
      <c r="J444" s="688">
        <f ca="1">VLOOKUP($C444,Constantes!$G$11:$P$120,8,0)*J428</f>
        <v>9.5974838775748244E-4</v>
      </c>
      <c r="K444" s="688">
        <f ca="1">VLOOKUP($C444,Constantes!$G$11:$P$120,8,0)*K428</f>
        <v>1.1276479553987738E-3</v>
      </c>
      <c r="L444" s="688">
        <f ca="1">VLOOKUP($C444,Constantes!$G$11:$P$120,8,0)*L428</f>
        <v>1.3014346570621779E-3</v>
      </c>
      <c r="M444" s="688">
        <f ca="1">VLOOKUP($C444,Constantes!$G$11:$P$120,8,0)*M428</f>
        <v>1.4590305364219425E-3</v>
      </c>
      <c r="N444" s="487"/>
      <c r="O444" s="685"/>
    </row>
    <row r="445" spans="1:15" s="489" customFormat="1" ht="13.5" customHeight="1" x14ac:dyDescent="0.25">
      <c r="A445" s="487"/>
      <c r="B445" s="674" t="s">
        <v>400</v>
      </c>
      <c r="C445" s="2689"/>
      <c r="D445" s="487"/>
      <c r="E445" s="487"/>
      <c r="F445" s="688"/>
      <c r="G445" s="688"/>
      <c r="H445" s="688"/>
      <c r="I445" s="688"/>
      <c r="J445" s="688"/>
      <c r="K445" s="688"/>
      <c r="L445" s="688"/>
      <c r="M445" s="688"/>
      <c r="N445" s="487"/>
      <c r="O445" s="685"/>
    </row>
    <row r="446" spans="1:15" s="489" customFormat="1" ht="13.5" customHeight="1" x14ac:dyDescent="0.25">
      <c r="A446" s="487"/>
      <c r="B446" s="685" t="s">
        <v>1741</v>
      </c>
      <c r="C446" s="2689" t="str">
        <f t="shared" si="96"/>
        <v>V.058_Generación</v>
      </c>
      <c r="D446" s="2689" t="s">
        <v>331</v>
      </c>
      <c r="E446" s="2721" t="s">
        <v>1895</v>
      </c>
      <c r="F446" s="2720">
        <f>VLOOKUP($C446,Constantes!$G$11:$P$120,9,0)*F420</f>
        <v>0</v>
      </c>
      <c r="G446" s="2720">
        <f>VLOOKUP($C446,Constantes!$G$11:$P$120,9,0)*G420</f>
        <v>0</v>
      </c>
      <c r="H446" s="2720">
        <f>VLOOKUP($C446,Constantes!$G$11:$P$120,9,0)*H420</f>
        <v>0</v>
      </c>
      <c r="I446" s="2720">
        <f>VLOOKUP($C446,Constantes!$G$11:$P$120,9,0)*I420</f>
        <v>0</v>
      </c>
      <c r="J446" s="2720">
        <f>VLOOKUP($C446,Constantes!$G$11:$P$120,9,0)*J420</f>
        <v>0</v>
      </c>
      <c r="K446" s="2720">
        <f>VLOOKUP($C446,Constantes!$G$11:$P$120,9,0)*K420</f>
        <v>0</v>
      </c>
      <c r="L446" s="2720">
        <f>VLOOKUP($C446,Constantes!$G$11:$P$120,9,0)*L420</f>
        <v>0</v>
      </c>
      <c r="M446" s="2720">
        <f>VLOOKUP($C446,Constantes!$G$11:$P$120,9,0)*M420</f>
        <v>0</v>
      </c>
      <c r="N446" s="487"/>
      <c r="O446" s="685"/>
    </row>
    <row r="447" spans="1:15" s="489" customFormat="1" ht="13.5" customHeight="1" x14ac:dyDescent="0.25">
      <c r="A447" s="487"/>
      <c r="B447" s="685" t="s">
        <v>1732</v>
      </c>
      <c r="C447" s="2689" t="str">
        <f t="shared" si="96"/>
        <v>V.051_Generación</v>
      </c>
      <c r="D447" s="2689" t="s">
        <v>491</v>
      </c>
      <c r="E447" s="2721" t="s">
        <v>1895</v>
      </c>
      <c r="F447" s="2720">
        <f ca="1">VLOOKUP($C447,Constantes!$G$11:$P$120,9,0)*F421</f>
        <v>2.3167328138122755E-3</v>
      </c>
      <c r="G447" s="2720">
        <f ca="1">VLOOKUP($C447,Constantes!$G$11:$P$120,9,0)*G421</f>
        <v>2.6358773529590132E-3</v>
      </c>
      <c r="H447" s="2720">
        <f ca="1">VLOOKUP($C447,Constantes!$G$11:$P$120,9,0)*H421</f>
        <v>3.172333961249935E-3</v>
      </c>
      <c r="I447" s="2720">
        <f ca="1">VLOOKUP($C447,Constantes!$G$11:$P$120,9,0)*I421</f>
        <v>3.7454685259026002E-3</v>
      </c>
      <c r="J447" s="2720">
        <f ca="1">VLOOKUP($C447,Constantes!$G$11:$P$120,9,0)*J421</f>
        <v>4.4538581397139312E-3</v>
      </c>
      <c r="K447" s="2720">
        <f ca="1">VLOOKUP($C447,Constantes!$G$11:$P$120,9,0)*K421</f>
        <v>5.2330215803954019E-3</v>
      </c>
      <c r="L447" s="2720">
        <f ca="1">VLOOKUP($C447,Constantes!$G$11:$P$120,9,0)*L421</f>
        <v>6.039505160520129E-3</v>
      </c>
      <c r="M447" s="2720">
        <f ca="1">VLOOKUP($C447,Constantes!$G$11:$P$120,9,0)*M421</f>
        <v>6.7708527710245055E-3</v>
      </c>
      <c r="N447" s="487"/>
      <c r="O447" s="685"/>
    </row>
    <row r="448" spans="1:15" s="489" customFormat="1" ht="13.5" customHeight="1" x14ac:dyDescent="0.25">
      <c r="A448" s="487"/>
      <c r="B448" s="685" t="s">
        <v>1735</v>
      </c>
      <c r="C448" s="2689" t="str">
        <f t="shared" si="96"/>
        <v>V.052_Generación</v>
      </c>
      <c r="D448" s="2689" t="s">
        <v>495</v>
      </c>
      <c r="E448" s="2721" t="s">
        <v>1895</v>
      </c>
      <c r="F448" s="2720">
        <f ca="1">VLOOKUP($C448,Constantes!$G$11:$P$120,9,0)*F422</f>
        <v>2.1075767326901682E-6</v>
      </c>
      <c r="G448" s="2720">
        <f ca="1">VLOOKUP($C448,Constantes!$G$11:$P$120,9,0)*G422</f>
        <v>2.3979087041029464E-6</v>
      </c>
      <c r="H448" s="2720">
        <f ca="1">VLOOKUP($C448,Constantes!$G$11:$P$120,9,0)*H422</f>
        <v>2.8859336757315672E-6</v>
      </c>
      <c r="I448" s="2720">
        <f ca="1">VLOOKUP($C448,Constantes!$G$11:$P$120,9,0)*I422</f>
        <v>3.4073252949812542E-6</v>
      </c>
      <c r="J448" s="2720">
        <f ca="1">VLOOKUP($C448,Constantes!$G$11:$P$120,9,0)*J422</f>
        <v>4.0517610533246465E-6</v>
      </c>
      <c r="K448" s="2720">
        <f ca="1">VLOOKUP($C448,Constantes!$G$11:$P$120,9,0)*K422</f>
        <v>4.7605811333755988E-6</v>
      </c>
      <c r="L448" s="2720">
        <f ca="1">VLOOKUP($C448,Constantes!$G$11:$P$120,9,0)*L422</f>
        <v>5.4942548736678916E-6</v>
      </c>
      <c r="M448" s="2720">
        <f ca="1">VLOOKUP($C448,Constantes!$G$11:$P$120,9,0)*M422</f>
        <v>6.1595759664663269E-6</v>
      </c>
      <c r="N448" s="487"/>
      <c r="O448" s="685"/>
    </row>
    <row r="449" spans="1:15" s="489" customFormat="1" ht="13.5" customHeight="1" x14ac:dyDescent="0.25">
      <c r="A449" s="487"/>
      <c r="B449" s="685" t="s">
        <v>1740</v>
      </c>
      <c r="C449" s="2689" t="str">
        <f t="shared" si="96"/>
        <v>V.057_Generación</v>
      </c>
      <c r="D449" s="2689" t="s">
        <v>1685</v>
      </c>
      <c r="E449" s="2721" t="s">
        <v>1895</v>
      </c>
      <c r="F449" s="2720">
        <f ca="1">VLOOKUP($C449,Constantes!$G$11:$P$120,9,0)*F423</f>
        <v>7.1721274256571582E-5</v>
      </c>
      <c r="G449" s="2720">
        <f ca="1">VLOOKUP($C449,Constantes!$G$11:$P$120,9,0)*G423</f>
        <v>8.1601331586948322E-5</v>
      </c>
      <c r="H449" s="2720">
        <f ca="1">VLOOKUP($C449,Constantes!$G$11:$P$120,9,0)*H423</f>
        <v>9.8208922803593921E-5</v>
      </c>
      <c r="I449" s="2720">
        <f ca="1">VLOOKUP($C449,Constantes!$G$11:$P$120,9,0)*I423</f>
        <v>1.1595198797377775E-4</v>
      </c>
      <c r="J449" s="2720">
        <f ca="1">VLOOKUP($C449,Constantes!$G$11:$P$120,9,0)*J423</f>
        <v>1.3788227077106977E-4</v>
      </c>
      <c r="K449" s="2720">
        <f ca="1">VLOOKUP($C449,Constantes!$G$11:$P$120,9,0)*K423</f>
        <v>1.6200356541784124E-4</v>
      </c>
      <c r="L449" s="2720">
        <f ca="1">VLOOKUP($C449,Constantes!$G$11:$P$120,9,0)*L423</f>
        <v>1.8697063528826184E-4</v>
      </c>
      <c r="M449" s="2720">
        <f ca="1">VLOOKUP($C449,Constantes!$G$11:$P$120,9,0)*M423</f>
        <v>2.0961165035791022E-4</v>
      </c>
      <c r="N449" s="487"/>
      <c r="O449" s="685"/>
    </row>
    <row r="450" spans="1:15" s="489" customFormat="1" ht="13.5" customHeight="1" x14ac:dyDescent="0.25">
      <c r="A450" s="487"/>
      <c r="B450" s="685" t="s">
        <v>1720</v>
      </c>
      <c r="C450" s="2689" t="str">
        <f t="shared" si="96"/>
        <v>V.031_Generación</v>
      </c>
      <c r="D450" s="2689" t="s">
        <v>387</v>
      </c>
      <c r="E450" s="2721" t="s">
        <v>1895</v>
      </c>
      <c r="F450" s="2720">
        <f ca="1">VLOOKUP($C450,Constantes!$G$11:$P$120,9,0)*F424</f>
        <v>4.2760730895513065E-3</v>
      </c>
      <c r="G450" s="2720">
        <f ca="1">VLOOKUP($C450,Constantes!$G$11:$P$120,9,0)*G424</f>
        <v>4.6648002493019083E-3</v>
      </c>
      <c r="H450" s="2720">
        <f ca="1">VLOOKUP($C450,Constantes!$G$11:$P$120,9,0)*H424</f>
        <v>5.614185438747807E-3</v>
      </c>
      <c r="I450" s="2720">
        <f ca="1">VLOOKUP($C450,Constantes!$G$11:$P$120,9,0)*I424</f>
        <v>6.6284808334382992E-3</v>
      </c>
      <c r="J450" s="2720">
        <f ca="1">VLOOKUP($C450,Constantes!$G$11:$P$120,9,0)*J424</f>
        <v>7.8821416091949467E-3</v>
      </c>
      <c r="K450" s="2720">
        <f ca="1">VLOOKUP($C450,Constantes!$G$11:$P$120,9,0)*K424</f>
        <v>9.2610531918061959E-3</v>
      </c>
      <c r="L450" s="2720">
        <f ca="1">VLOOKUP($C450,Constantes!$G$11:$P$120,9,0)*L424</f>
        <v>1.0688314138299187E-2</v>
      </c>
      <c r="M450" s="2720">
        <f ca="1">VLOOKUP($C450,Constantes!$G$11:$P$120,9,0)*M424</f>
        <v>1.1982604448118552E-2</v>
      </c>
      <c r="N450" s="487"/>
      <c r="O450" s="685"/>
    </row>
    <row r="451" spans="1:15" s="489" customFormat="1" ht="13.5" customHeight="1" x14ac:dyDescent="0.25">
      <c r="A451" s="487"/>
      <c r="B451" s="685" t="s">
        <v>1721</v>
      </c>
      <c r="C451" s="2689" t="str">
        <f t="shared" si="96"/>
        <v>V.032_Generación</v>
      </c>
      <c r="D451" s="2689" t="s">
        <v>1715</v>
      </c>
      <c r="E451" s="2721" t="s">
        <v>1895</v>
      </c>
      <c r="F451" s="2720">
        <f ca="1">VLOOKUP($C451,Constantes!$G$11:$P$120,9,0)*F425</f>
        <v>8.7068599273583435E-5</v>
      </c>
      <c r="G451" s="2720">
        <f ca="1">VLOOKUP($C451,Constantes!$G$11:$P$120,9,0)*G425</f>
        <v>9.4983788885703651E-5</v>
      </c>
      <c r="H451" s="2720">
        <f ca="1">VLOOKUP($C451,Constantes!$G$11:$P$120,9,0)*H425</f>
        <v>1.1431499227839726E-4</v>
      </c>
      <c r="I451" s="2720">
        <f ca="1">VLOOKUP($C451,Constantes!$G$11:$P$120,9,0)*I425</f>
        <v>1.3496788511157715E-4</v>
      </c>
      <c r="J451" s="2720">
        <f ca="1">VLOOKUP($C451,Constantes!$G$11:$P$120,9,0)*J425</f>
        <v>1.6049469099711897E-4</v>
      </c>
      <c r="K451" s="2720">
        <f ca="1">VLOOKUP($C451,Constantes!$G$11:$P$120,9,0)*K425</f>
        <v>1.885718303503847E-4</v>
      </c>
      <c r="L451" s="2720">
        <f ca="1">VLOOKUP($C451,Constantes!$G$11:$P$120,9,0)*L425</f>
        <v>2.1763345039441283E-4</v>
      </c>
      <c r="M451" s="2720">
        <f ca="1">VLOOKUP($C451,Constantes!$G$11:$P$120,9,0)*M425</f>
        <v>2.4398754724198787E-4</v>
      </c>
      <c r="N451" s="487"/>
      <c r="O451" s="685"/>
    </row>
    <row r="452" spans="1:15" s="489" customFormat="1" ht="13.5" customHeight="1" x14ac:dyDescent="0.25">
      <c r="A452" s="487"/>
      <c r="B452" s="685" t="s">
        <v>1724</v>
      </c>
      <c r="C452" s="2689" t="str">
        <f t="shared" si="96"/>
        <v>V.042_Generación</v>
      </c>
      <c r="D452" s="2689" t="s">
        <v>492</v>
      </c>
      <c r="E452" s="2721" t="s">
        <v>1895</v>
      </c>
      <c r="F452" s="2720">
        <f ca="1">VLOOKUP($C452,Constantes!$G$11:$P$120,9,0)*F426</f>
        <v>3.4748845827882657E-3</v>
      </c>
      <c r="G452" s="2720">
        <f ca="1">VLOOKUP($C452,Constantes!$G$11:$P$120,9,0)*G426</f>
        <v>3.5530465736597575E-3</v>
      </c>
      <c r="H452" s="2720">
        <f ca="1">VLOOKUP($C452,Constantes!$G$11:$P$120,9,0)*H426</f>
        <v>4.276166453219204E-3</v>
      </c>
      <c r="I452" s="2720">
        <f ca="1">VLOOKUP($C452,Constantes!$G$11:$P$120,9,0)*I426</f>
        <v>5.048726602461015E-3</v>
      </c>
      <c r="J452" s="2720">
        <f ca="1">VLOOKUP($C452,Constantes!$G$11:$P$120,9,0)*J426</f>
        <v>6.0036046006133248E-3</v>
      </c>
      <c r="K452" s="2720">
        <f ca="1">VLOOKUP($C452,Constantes!$G$11:$P$120,9,0)*K426</f>
        <v>7.0538826001289179E-3</v>
      </c>
      <c r="L452" s="2720">
        <f ca="1">VLOOKUP($C452,Constantes!$G$11:$P$120,9,0)*L426</f>
        <v>8.1409869442890352E-3</v>
      </c>
      <c r="M452" s="2720">
        <f ca="1">VLOOKUP($C452,Constantes!$G$11:$P$120,9,0)*M426</f>
        <v>9.1268113107906713E-3</v>
      </c>
      <c r="N452" s="487"/>
      <c r="O452" s="685"/>
    </row>
    <row r="453" spans="1:15" s="489" customFormat="1" ht="13.5" customHeight="1" x14ac:dyDescent="0.25">
      <c r="A453" s="487"/>
      <c r="B453" s="685" t="s">
        <v>1725</v>
      </c>
      <c r="C453" s="2689" t="str">
        <f t="shared" si="96"/>
        <v>V.043_Generación</v>
      </c>
      <c r="D453" s="2689" t="s">
        <v>493</v>
      </c>
      <c r="E453" s="2721" t="s">
        <v>1895</v>
      </c>
      <c r="F453" s="2720">
        <f ca="1">VLOOKUP($C453,Constantes!$G$11:$P$120,9,0)*F427</f>
        <v>5.9716442714130493E-4</v>
      </c>
      <c r="G453" s="2720">
        <f ca="1">VLOOKUP($C453,Constantes!$G$11:$P$120,9,0)*G427</f>
        <v>6.1059668924698482E-4</v>
      </c>
      <c r="H453" s="2720">
        <f ca="1">VLOOKUP($C453,Constantes!$G$11:$P$120,9,0)*H427</f>
        <v>7.348659875052628E-4</v>
      </c>
      <c r="I453" s="2720">
        <f ca="1">VLOOKUP($C453,Constantes!$G$11:$P$120,9,0)*I427</f>
        <v>8.6763167452672961E-4</v>
      </c>
      <c r="J453" s="2720">
        <f ca="1">VLOOKUP($C453,Constantes!$G$11:$P$120,9,0)*J427</f>
        <v>1.0317289730617254E-3</v>
      </c>
      <c r="K453" s="2720">
        <f ca="1">VLOOKUP($C453,Constantes!$G$11:$P$120,9,0)*K427</f>
        <v>1.2122209131469944E-3</v>
      </c>
      <c r="L453" s="2720">
        <f ca="1">VLOOKUP($C453,Constantes!$G$11:$P$120,9,0)*L427</f>
        <v>1.3990415189704818E-3</v>
      </c>
      <c r="M453" s="2720">
        <f ca="1">VLOOKUP($C453,Constantes!$G$11:$P$120,9,0)*M427</f>
        <v>1.5684569999910095E-3</v>
      </c>
      <c r="N453" s="487"/>
      <c r="O453" s="685"/>
    </row>
    <row r="454" spans="1:15" s="489" customFormat="1" ht="13.5" customHeight="1" x14ac:dyDescent="0.25">
      <c r="A454" s="487"/>
      <c r="B454" s="685" t="s">
        <v>1729</v>
      </c>
      <c r="C454" s="2689" t="str">
        <f t="shared" si="96"/>
        <v>V.047_Generación</v>
      </c>
      <c r="D454" s="2689" t="s">
        <v>497</v>
      </c>
      <c r="E454" s="2721" t="s">
        <v>1895</v>
      </c>
      <c r="F454" s="2720">
        <f ca="1">VLOOKUP($C454,Constantes!$G$11:$P$120,9,0)*F428</f>
        <v>8.1577229334666728E-8</v>
      </c>
      <c r="G454" s="2720">
        <f ca="1">VLOOKUP($C454,Constantes!$G$11:$P$120,9,0)*G428</f>
        <v>8.3412179101390049E-8</v>
      </c>
      <c r="H454" s="2720">
        <f ca="1">VLOOKUP($C454,Constantes!$G$11:$P$120,9,0)*H428</f>
        <v>1.0038831596172387E-7</v>
      </c>
      <c r="I454" s="2720">
        <f ca="1">VLOOKUP($C454,Constantes!$G$11:$P$120,9,0)*I428</f>
        <v>1.1852512452845713E-7</v>
      </c>
      <c r="J454" s="2720">
        <f ca="1">VLOOKUP($C454,Constantes!$G$11:$P$120,9,0)*J428</f>
        <v>1.4094207092942046E-7</v>
      </c>
      <c r="K454" s="2720">
        <f ca="1">VLOOKUP($C454,Constantes!$G$11:$P$120,9,0)*K428</f>
        <v>1.6559865079282689E-7</v>
      </c>
      <c r="L454" s="2720">
        <f ca="1">VLOOKUP($C454,Constantes!$G$11:$P$120,9,0)*L428</f>
        <v>1.9111977481332676E-7</v>
      </c>
      <c r="M454" s="2720">
        <f ca="1">VLOOKUP($C454,Constantes!$G$11:$P$120,9,0)*M428</f>
        <v>2.1426322562839711E-7</v>
      </c>
      <c r="N454" s="487"/>
      <c r="O454" s="685"/>
    </row>
    <row r="455" spans="1:15" s="489" customFormat="1" ht="13.5" customHeight="1" x14ac:dyDescent="0.25">
      <c r="A455" s="487"/>
      <c r="B455" s="674" t="s">
        <v>401</v>
      </c>
      <c r="C455" s="2689"/>
      <c r="D455" s="487"/>
      <c r="E455" s="487"/>
      <c r="F455" s="688"/>
      <c r="G455" s="688"/>
      <c r="H455" s="688"/>
      <c r="I455" s="688"/>
      <c r="J455" s="688"/>
      <c r="K455" s="688"/>
      <c r="L455" s="688"/>
      <c r="M455" s="688"/>
      <c r="N455" s="487"/>
      <c r="O455" s="685"/>
    </row>
    <row r="456" spans="1:15" s="489" customFormat="1" ht="13.5" customHeight="1" x14ac:dyDescent="0.25">
      <c r="A456" s="487"/>
      <c r="B456" s="685" t="s">
        <v>1741</v>
      </c>
      <c r="C456" s="2689" t="str">
        <f t="shared" si="96"/>
        <v>V.058_Generación</v>
      </c>
      <c r="D456" s="2689" t="s">
        <v>331</v>
      </c>
      <c r="E456" s="2721" t="s">
        <v>1895</v>
      </c>
      <c r="F456" s="2719">
        <f>VLOOKUP($C456,Constantes!$G$11:$P$120,10,0)*F420</f>
        <v>0</v>
      </c>
      <c r="G456" s="2719">
        <f>VLOOKUP($C456,Constantes!$G$11:$P$120,10,0)*G420</f>
        <v>0</v>
      </c>
      <c r="H456" s="2719">
        <f>VLOOKUP($C456,Constantes!$G$11:$P$120,10,0)*H420</f>
        <v>0</v>
      </c>
      <c r="I456" s="2719">
        <f>VLOOKUP($C456,Constantes!$G$11:$P$120,10,0)*I420</f>
        <v>0</v>
      </c>
      <c r="J456" s="2719">
        <f>VLOOKUP($C456,Constantes!$G$11:$P$120,10,0)*J420</f>
        <v>0</v>
      </c>
      <c r="K456" s="2719">
        <f>VLOOKUP($C456,Constantes!$G$11:$P$120,10,0)*K420</f>
        <v>0</v>
      </c>
      <c r="L456" s="2719">
        <f>VLOOKUP($C456,Constantes!$G$11:$P$120,10,0)*L420</f>
        <v>0</v>
      </c>
      <c r="M456" s="2719">
        <f>VLOOKUP($C456,Constantes!$G$11:$P$120,10,0)*M420</f>
        <v>0</v>
      </c>
      <c r="N456" s="487"/>
      <c r="O456" s="685"/>
    </row>
    <row r="457" spans="1:15" s="489" customFormat="1" ht="13.5" customHeight="1" x14ac:dyDescent="0.25">
      <c r="A457" s="487"/>
      <c r="B457" s="685" t="s">
        <v>1732</v>
      </c>
      <c r="C457" s="2689" t="str">
        <f t="shared" si="96"/>
        <v>V.051_Generación</v>
      </c>
      <c r="D457" s="2689" t="s">
        <v>491</v>
      </c>
      <c r="E457" s="2721" t="s">
        <v>1895</v>
      </c>
      <c r="F457" s="2719">
        <f ca="1">VLOOKUP($C457,Constantes!$G$11:$P$120,10,0)*F421</f>
        <v>3.4199389156276449E-3</v>
      </c>
      <c r="G457" s="2719">
        <f ca="1">VLOOKUP($C457,Constantes!$G$11:$P$120,10,0)*G421</f>
        <v>3.8910570448442579E-3</v>
      </c>
      <c r="H457" s="2719">
        <f ca="1">VLOOKUP($C457,Constantes!$G$11:$P$120,10,0)*H421</f>
        <v>4.6829691808927612E-3</v>
      </c>
      <c r="I457" s="2719">
        <f ca="1">VLOOKUP($C457,Constantes!$G$11:$P$120,10,0)*I421</f>
        <v>5.5290249668086006E-3</v>
      </c>
      <c r="J457" s="2719">
        <f ca="1">VLOOKUP($C457,Constantes!$G$11:$P$120,10,0)*J421</f>
        <v>6.5747429681491361E-3</v>
      </c>
      <c r="K457" s="2719">
        <f ca="1">VLOOKUP($C457,Constantes!$G$11:$P$120,10,0)*K421</f>
        <v>7.7249366186789275E-3</v>
      </c>
      <c r="L457" s="2719">
        <f ca="1">VLOOKUP($C457,Constantes!$G$11:$P$120,10,0)*L421</f>
        <v>8.9154599988630484E-3</v>
      </c>
      <c r="M457" s="2719">
        <f ca="1">VLOOKUP($C457,Constantes!$G$11:$P$120,10,0)*M421</f>
        <v>9.9950683762742697E-3</v>
      </c>
      <c r="N457" s="487"/>
      <c r="O457" s="685"/>
    </row>
    <row r="458" spans="1:15" s="489" customFormat="1" ht="13.5" customHeight="1" x14ac:dyDescent="0.25">
      <c r="A458" s="487"/>
      <c r="B458" s="685" t="s">
        <v>1735</v>
      </c>
      <c r="C458" s="2689" t="str">
        <f t="shared" si="96"/>
        <v>V.052_Generación</v>
      </c>
      <c r="D458" s="2689" t="s">
        <v>495</v>
      </c>
      <c r="E458" s="2721" t="s">
        <v>1895</v>
      </c>
      <c r="F458" s="2719">
        <f ca="1">VLOOKUP($C458,Constantes!$G$11:$P$120,10,0)*F422</f>
        <v>3.1111847006378678E-6</v>
      </c>
      <c r="G458" s="2719">
        <f ca="1">VLOOKUP($C458,Constantes!$G$11:$P$120,10,0)*G422</f>
        <v>3.539769991771016E-6</v>
      </c>
      <c r="H458" s="2719">
        <f ca="1">VLOOKUP($C458,Constantes!$G$11:$P$120,10,0)*H422</f>
        <v>4.2601878070323133E-6</v>
      </c>
      <c r="I458" s="2719">
        <f ca="1">VLOOKUP($C458,Constantes!$G$11:$P$120,10,0)*I422</f>
        <v>5.029861149734233E-6</v>
      </c>
      <c r="J458" s="2719">
        <f ca="1">VLOOKUP($C458,Constantes!$G$11:$P$120,10,0)*J422</f>
        <v>5.9811710787173352E-6</v>
      </c>
      <c r="K458" s="2719">
        <f ca="1">VLOOKUP($C458,Constantes!$G$11:$P$120,10,0)*K422</f>
        <v>7.0275245302211229E-6</v>
      </c>
      <c r="L458" s="2719">
        <f ca="1">VLOOKUP($C458,Constantes!$G$11:$P$120,10,0)*L422</f>
        <v>8.1105667182716491E-6</v>
      </c>
      <c r="M458" s="2719">
        <f ca="1">VLOOKUP($C458,Constantes!$G$11:$P$120,10,0)*M422</f>
        <v>9.0927073790693406E-6</v>
      </c>
      <c r="N458" s="487"/>
      <c r="O458" s="685"/>
    </row>
    <row r="459" spans="1:15" s="489" customFormat="1" ht="13.5" customHeight="1" x14ac:dyDescent="0.25">
      <c r="A459" s="487"/>
      <c r="B459" s="685" t="s">
        <v>1740</v>
      </c>
      <c r="C459" s="2689" t="str">
        <f t="shared" si="96"/>
        <v>V.057_Generación</v>
      </c>
      <c r="D459" s="2689" t="s">
        <v>1685</v>
      </c>
      <c r="E459" s="2721" t="s">
        <v>1895</v>
      </c>
      <c r="F459" s="2719">
        <f ca="1">VLOOKUP($C459,Constantes!$G$11:$P$120,10,0)*F423</f>
        <v>1.0587426199779616E-4</v>
      </c>
      <c r="G459" s="2719">
        <f ca="1">VLOOKUP($C459,Constantes!$G$11:$P$120,10,0)*G423</f>
        <v>1.204591085331142E-4</v>
      </c>
      <c r="H459" s="2719">
        <f ca="1">VLOOKUP($C459,Constantes!$G$11:$P$120,10,0)*H423</f>
        <v>1.4497507651959105E-4</v>
      </c>
      <c r="I459" s="2719">
        <f ca="1">VLOOKUP($C459,Constantes!$G$11:$P$120,10,0)*I423</f>
        <v>1.7116722034224335E-4</v>
      </c>
      <c r="J459" s="2719">
        <f ca="1">VLOOKUP($C459,Constantes!$G$11:$P$120,10,0)*J423</f>
        <v>2.0354049494776967E-4</v>
      </c>
      <c r="K459" s="2719">
        <f ca="1">VLOOKUP($C459,Constantes!$G$11:$P$120,10,0)*K423</f>
        <v>2.3914812037871802E-4</v>
      </c>
      <c r="L459" s="2719">
        <f ca="1">VLOOKUP($C459,Constantes!$G$11:$P$120,10,0)*L423</f>
        <v>2.7600427113981513E-4</v>
      </c>
      <c r="M459" s="2719">
        <f ca="1">VLOOKUP($C459,Constantes!$G$11:$P$120,10,0)*M423</f>
        <v>3.0942672195691511E-4</v>
      </c>
      <c r="N459" s="487"/>
      <c r="O459" s="685"/>
    </row>
    <row r="460" spans="1:15" s="489" customFormat="1" ht="13.5" customHeight="1" x14ac:dyDescent="0.25">
      <c r="A460" s="487"/>
      <c r="B460" s="685" t="s">
        <v>1720</v>
      </c>
      <c r="C460" s="2689" t="str">
        <f t="shared" si="96"/>
        <v>V.031_Generación</v>
      </c>
      <c r="D460" s="2689" t="s">
        <v>387</v>
      </c>
      <c r="E460" s="2721" t="s">
        <v>1895</v>
      </c>
      <c r="F460" s="2719">
        <f ca="1">VLOOKUP($C460,Constantes!$G$11:$P$120,10,0)*F424</f>
        <v>9.4684475554350375E-2</v>
      </c>
      <c r="G460" s="2719">
        <f ca="1">VLOOKUP($C460,Constantes!$G$11:$P$120,10,0)*G424</f>
        <v>0.10329200552025654</v>
      </c>
      <c r="H460" s="2719">
        <f ca="1">VLOOKUP($C460,Constantes!$G$11:$P$120,10,0)*H424</f>
        <v>0.12431410614370146</v>
      </c>
      <c r="I460" s="2719">
        <f ca="1">VLOOKUP($C460,Constantes!$G$11:$P$120,10,0)*I424</f>
        <v>0.1467735041689909</v>
      </c>
      <c r="J460" s="2719">
        <f ca="1">VLOOKUP($C460,Constantes!$G$11:$P$120,10,0)*J424</f>
        <v>0.17453313563217382</v>
      </c>
      <c r="K460" s="2719">
        <f ca="1">VLOOKUP($C460,Constantes!$G$11:$P$120,10,0)*K424</f>
        <v>0.20506617781856579</v>
      </c>
      <c r="L460" s="2719">
        <f ca="1">VLOOKUP($C460,Constantes!$G$11:$P$120,10,0)*L424</f>
        <v>0.23666981306233914</v>
      </c>
      <c r="M460" s="2719">
        <f ca="1">VLOOKUP($C460,Constantes!$G$11:$P$120,10,0)*M424</f>
        <v>0.26532909849405367</v>
      </c>
      <c r="N460" s="487"/>
      <c r="O460" s="685"/>
    </row>
    <row r="461" spans="1:15" s="489" customFormat="1" ht="13.5" customHeight="1" x14ac:dyDescent="0.25">
      <c r="A461" s="487"/>
      <c r="B461" s="685" t="s">
        <v>1721</v>
      </c>
      <c r="C461" s="2689" t="str">
        <f t="shared" si="96"/>
        <v>V.032_Generación</v>
      </c>
      <c r="D461" s="2689" t="s">
        <v>1715</v>
      </c>
      <c r="E461" s="2721" t="s">
        <v>1895</v>
      </c>
      <c r="F461" s="2719">
        <f ca="1">VLOOKUP($C461,Constantes!$G$11:$P$120,10,0)*F425</f>
        <v>1.9279475553436332E-3</v>
      </c>
      <c r="G461" s="2719">
        <f ca="1">VLOOKUP($C461,Constantes!$G$11:$P$120,10,0)*G425</f>
        <v>2.1032124681834379E-3</v>
      </c>
      <c r="H461" s="2719">
        <f ca="1">VLOOKUP($C461,Constantes!$G$11:$P$120,10,0)*H425</f>
        <v>2.5312605433073679E-3</v>
      </c>
      <c r="I461" s="2719">
        <f ca="1">VLOOKUP($C461,Constantes!$G$11:$P$120,10,0)*I425</f>
        <v>2.9885745988992084E-3</v>
      </c>
      <c r="J461" s="2719">
        <f ca="1">VLOOKUP($C461,Constantes!$G$11:$P$120,10,0)*J425</f>
        <v>3.553811014936206E-3</v>
      </c>
      <c r="K461" s="2719">
        <f ca="1">VLOOKUP($C461,Constantes!$G$11:$P$120,10,0)*K425</f>
        <v>4.1755191006156616E-3</v>
      </c>
      <c r="L461" s="2719">
        <f ca="1">VLOOKUP($C461,Constantes!$G$11:$P$120,10,0)*L425</f>
        <v>4.8190264015905695E-3</v>
      </c>
      <c r="M461" s="2719">
        <f ca="1">VLOOKUP($C461,Constantes!$G$11:$P$120,10,0)*M425</f>
        <v>5.4025814032154463E-3</v>
      </c>
      <c r="N461" s="487"/>
      <c r="O461" s="685"/>
    </row>
    <row r="462" spans="1:15" s="489" customFormat="1" ht="13.5" customHeight="1" x14ac:dyDescent="0.25">
      <c r="A462" s="487"/>
      <c r="B462" s="685" t="s">
        <v>1724</v>
      </c>
      <c r="C462" s="2689" t="str">
        <f t="shared" si="96"/>
        <v>V.042_Generación</v>
      </c>
      <c r="D462" s="2689" t="s">
        <v>492</v>
      </c>
      <c r="E462" s="2721" t="s">
        <v>1895</v>
      </c>
      <c r="F462" s="2719">
        <f ca="1">VLOOKUP($C462,Constantes!$G$11:$P$120,10,0)*F426</f>
        <v>1.4655975791351869E-2</v>
      </c>
      <c r="G462" s="2719">
        <f ca="1">VLOOKUP($C462,Constantes!$G$11:$P$120,10,0)*G426</f>
        <v>1.4985638609993536E-2</v>
      </c>
      <c r="H462" s="2719">
        <f ca="1">VLOOKUP($C462,Constantes!$G$11:$P$120,10,0)*H426</f>
        <v>1.8035531979563993E-2</v>
      </c>
      <c r="I462" s="2719">
        <f ca="1">VLOOKUP($C462,Constantes!$G$11:$P$120,10,0)*I426</f>
        <v>2.129394893554986E-2</v>
      </c>
      <c r="J462" s="2719">
        <f ca="1">VLOOKUP($C462,Constantes!$G$11:$P$120,10,0)*J426</f>
        <v>2.5321325526396338E-2</v>
      </c>
      <c r="K462" s="2719">
        <f ca="1">VLOOKUP($C462,Constantes!$G$11:$P$120,10,0)*K426</f>
        <v>2.9751069469931495E-2</v>
      </c>
      <c r="L462" s="2719">
        <f ca="1">VLOOKUP($C462,Constantes!$G$11:$P$120,10,0)*L426</f>
        <v>3.4336135411287091E-2</v>
      </c>
      <c r="M462" s="2719">
        <f ca="1">VLOOKUP($C462,Constantes!$G$11:$P$120,10,0)*M426</f>
        <v>3.8494034099933447E-2</v>
      </c>
      <c r="N462" s="487"/>
      <c r="O462" s="685"/>
    </row>
    <row r="463" spans="1:15" s="489" customFormat="1" ht="13.5" customHeight="1" x14ac:dyDescent="0.25">
      <c r="A463" s="487"/>
      <c r="B463" s="685" t="s">
        <v>1725</v>
      </c>
      <c r="C463" s="2689" t="str">
        <f t="shared" si="96"/>
        <v>V.043_Generación</v>
      </c>
      <c r="D463" s="2689" t="s">
        <v>493</v>
      </c>
      <c r="E463" s="2721" t="s">
        <v>1895</v>
      </c>
      <c r="F463" s="2719">
        <f ca="1">VLOOKUP($C463,Constantes!$G$11:$P$120,10,0)*F427</f>
        <v>2.5186526859021026E-3</v>
      </c>
      <c r="G463" s="2719">
        <f ca="1">VLOOKUP($C463,Constantes!$G$11:$P$120,10,0)*G427</f>
        <v>2.5753057641709565E-3</v>
      </c>
      <c r="H463" s="2719">
        <f ca="1">VLOOKUP($C463,Constantes!$G$11:$P$120,10,0)*H427</f>
        <v>3.0994347772330812E-3</v>
      </c>
      <c r="I463" s="2719">
        <f ca="1">VLOOKUP($C463,Constantes!$G$11:$P$120,10,0)*I427</f>
        <v>3.6593988993644379E-3</v>
      </c>
      <c r="J463" s="2719">
        <f ca="1">VLOOKUP($C463,Constantes!$G$11:$P$120,10,0)*J427</f>
        <v>4.351509954409998E-3</v>
      </c>
      <c r="K463" s="2719">
        <f ca="1">VLOOKUP($C463,Constantes!$G$11:$P$120,10,0)*K427</f>
        <v>5.1127684772186164E-3</v>
      </c>
      <c r="L463" s="2719">
        <f ca="1">VLOOKUP($C463,Constantes!$G$11:$P$120,10,0)*L427</f>
        <v>5.9007193317122371E-3</v>
      </c>
      <c r="M463" s="2719">
        <f ca="1">VLOOKUP($C463,Constantes!$G$11:$P$120,10,0)*M427</f>
        <v>6.6152608162886118E-3</v>
      </c>
      <c r="N463" s="487"/>
      <c r="O463" s="685"/>
    </row>
    <row r="464" spans="1:15" s="489" customFormat="1" ht="13.5" customHeight="1" x14ac:dyDescent="0.25">
      <c r="A464" s="487"/>
      <c r="B464" s="685" t="s">
        <v>1729</v>
      </c>
      <c r="C464" s="2689" t="str">
        <f t="shared" si="96"/>
        <v>V.047_Generación</v>
      </c>
      <c r="D464" s="2689" t="s">
        <v>497</v>
      </c>
      <c r="E464" s="2721" t="s">
        <v>1895</v>
      </c>
      <c r="F464" s="2719">
        <f ca="1">VLOOKUP($C464,Constantes!$G$11:$P$120,10,0)*F428</f>
        <v>4.8169411607136556E-6</v>
      </c>
      <c r="G464" s="2719">
        <f ca="1">VLOOKUP($C464,Constantes!$G$11:$P$120,10,0)*G428</f>
        <v>4.9252905755106511E-6</v>
      </c>
      <c r="H464" s="2719">
        <f ca="1">VLOOKUP($C464,Constantes!$G$11:$P$120,10,0)*H428</f>
        <v>5.9276910377398862E-6</v>
      </c>
      <c r="I464" s="2719">
        <f ca="1">VLOOKUP($C464,Constantes!$G$11:$P$120,10,0)*I428</f>
        <v>6.9986264007279463E-6</v>
      </c>
      <c r="J464" s="2719">
        <f ca="1">VLOOKUP($C464,Constantes!$G$11:$P$120,10,0)*J428</f>
        <v>8.3222937120229249E-6</v>
      </c>
      <c r="K464" s="2719">
        <f ca="1">VLOOKUP($C464,Constantes!$G$11:$P$120,10,0)*K428</f>
        <v>9.7782060468145424E-6</v>
      </c>
      <c r="L464" s="2719">
        <f ca="1">VLOOKUP($C464,Constantes!$G$11:$P$120,10,0)*L428</f>
        <v>1.1285167655644058E-5</v>
      </c>
      <c r="M464" s="2719">
        <f ca="1">VLOOKUP($C464,Constantes!$G$11:$P$120,10,0)*M428</f>
        <v>1.2651733322819641E-5</v>
      </c>
      <c r="N464" s="487"/>
      <c r="O464" s="685"/>
    </row>
    <row r="465" spans="1:15" s="489" customFormat="1" ht="13.5" customHeight="1" x14ac:dyDescent="0.25">
      <c r="A465" s="487"/>
      <c r="B465" s="487"/>
      <c r="C465" s="487"/>
      <c r="D465" s="487"/>
      <c r="E465" s="487"/>
      <c r="F465" s="688"/>
      <c r="G465" s="688"/>
      <c r="H465" s="688"/>
      <c r="I465" s="688"/>
      <c r="J465" s="688"/>
      <c r="K465" s="688"/>
      <c r="L465" s="688"/>
      <c r="M465" s="688"/>
      <c r="N465" s="487"/>
      <c r="O465" s="685"/>
    </row>
    <row r="466" spans="1:15" s="489" customFormat="1" ht="13.5" customHeight="1" x14ac:dyDescent="0.25">
      <c r="A466" s="487"/>
      <c r="C466" s="487"/>
      <c r="D466" s="487"/>
      <c r="E466" s="487"/>
      <c r="F466" s="688"/>
      <c r="G466" s="688"/>
      <c r="H466" s="688"/>
      <c r="I466" s="688"/>
      <c r="J466" s="688"/>
      <c r="K466" s="688"/>
      <c r="L466" s="688"/>
      <c r="M466" s="688"/>
      <c r="N466" s="487"/>
      <c r="O466" s="685"/>
    </row>
    <row r="467" spans="1:15" s="489" customFormat="1" ht="13.5" customHeight="1" x14ac:dyDescent="0.25">
      <c r="A467" s="487"/>
      <c r="C467" s="487"/>
      <c r="D467" s="2721"/>
      <c r="E467" s="487"/>
      <c r="F467" s="675">
        <v>2015</v>
      </c>
      <c r="G467" s="675">
        <v>2020</v>
      </c>
      <c r="H467" s="675">
        <v>2025</v>
      </c>
      <c r="I467" s="675">
        <v>2030</v>
      </c>
      <c r="J467" s="675">
        <v>2035</v>
      </c>
      <c r="K467" s="675">
        <v>2040</v>
      </c>
      <c r="L467" s="675">
        <v>2045</v>
      </c>
      <c r="M467" s="675">
        <v>2050</v>
      </c>
      <c r="N467" s="487"/>
      <c r="O467" s="685"/>
    </row>
    <row r="468" spans="1:15" s="489" customFormat="1" ht="13.5" customHeight="1" x14ac:dyDescent="0.25">
      <c r="A468" s="487"/>
      <c r="C468" s="2721" t="s">
        <v>118</v>
      </c>
      <c r="D468" s="2721" t="s">
        <v>398</v>
      </c>
      <c r="E468" s="2721" t="s">
        <v>1895</v>
      </c>
      <c r="F468" s="688">
        <f ca="1">SUM(F436:F444)</f>
        <v>28.154727057527023</v>
      </c>
      <c r="G468" s="688">
        <f t="shared" ref="G468:M468" ca="1" si="97">SUM(G436:G444)</f>
        <v>30.871797517853327</v>
      </c>
      <c r="H468" s="688">
        <f t="shared" ca="1" si="97"/>
        <v>37.1548591214898</v>
      </c>
      <c r="I468" s="688">
        <f t="shared" ca="1" si="97"/>
        <v>43.867498543266109</v>
      </c>
      <c r="J468" s="688">
        <f t="shared" ca="1" si="97"/>
        <v>52.164265726603929</v>
      </c>
      <c r="K468" s="688">
        <f t="shared" ca="1" si="97"/>
        <v>61.289946762950066</v>
      </c>
      <c r="L468" s="688">
        <f t="shared" ca="1" si="97"/>
        <v>70.735605438659761</v>
      </c>
      <c r="M468" s="688">
        <f t="shared" ca="1" si="97"/>
        <v>79.301260180262645</v>
      </c>
      <c r="N468" s="487"/>
      <c r="O468" s="685"/>
    </row>
    <row r="469" spans="1:15" s="489" customFormat="1" ht="13.5" customHeight="1" x14ac:dyDescent="0.25">
      <c r="A469" s="487"/>
      <c r="C469" s="487"/>
      <c r="D469" s="2721" t="s">
        <v>400</v>
      </c>
      <c r="E469" s="2721" t="s">
        <v>1895</v>
      </c>
      <c r="F469" s="2692">
        <f ca="1">SUM(F446:F454)</f>
        <v>1.0825833940785333E-2</v>
      </c>
      <c r="G469" s="2692">
        <f t="shared" ref="G469:M469" ca="1" si="98">SUM(G446:G454)</f>
        <v>1.1643387306523522E-2</v>
      </c>
      <c r="H469" s="2692">
        <f t="shared" ca="1" si="98"/>
        <v>1.4013062077795894E-2</v>
      </c>
      <c r="I469" s="2692">
        <f t="shared" ca="1" si="98"/>
        <v>1.6544753359833509E-2</v>
      </c>
      <c r="J469" s="2692">
        <f t="shared" ca="1" si="98"/>
        <v>1.9673902987476372E-2</v>
      </c>
      <c r="K469" s="2692">
        <f t="shared" ca="1" si="98"/>
        <v>2.3115679861029904E-2</v>
      </c>
      <c r="L469" s="2692">
        <f t="shared" ca="1" si="98"/>
        <v>2.6678137222409991E-2</v>
      </c>
      <c r="M469" s="2692">
        <f t="shared" ca="1" si="98"/>
        <v>2.9908698566716733E-2</v>
      </c>
      <c r="N469" s="487"/>
      <c r="O469" s="685"/>
    </row>
    <row r="470" spans="1:15" s="489" customFormat="1" ht="13.5" customHeight="1" x14ac:dyDescent="0.25">
      <c r="A470" s="487"/>
      <c r="C470" s="487"/>
      <c r="D470" s="2721" t="s">
        <v>401</v>
      </c>
      <c r="E470" s="2721" t="s">
        <v>1895</v>
      </c>
      <c r="F470" s="2692">
        <f ca="1">SUM(F456:F464)</f>
        <v>0.11732079289043477</v>
      </c>
      <c r="G470" s="2692">
        <f t="shared" ref="G470:M470" ca="1" si="99">SUM(G456:G464)</f>
        <v>0.12697614357654913</v>
      </c>
      <c r="H470" s="2692">
        <f t="shared" ca="1" si="99"/>
        <v>0.15281846558006301</v>
      </c>
      <c r="I470" s="2692">
        <f t="shared" ca="1" si="99"/>
        <v>0.18042764727750568</v>
      </c>
      <c r="J470" s="2692">
        <f t="shared" ca="1" si="99"/>
        <v>0.21455236905580402</v>
      </c>
      <c r="K470" s="2692">
        <f t="shared" ca="1" si="99"/>
        <v>0.25208642533596626</v>
      </c>
      <c r="L470" s="2692">
        <f t="shared" ca="1" si="99"/>
        <v>0.29093655421130576</v>
      </c>
      <c r="M470" s="2692">
        <f t="shared" ca="1" si="99"/>
        <v>0.32616721435242424</v>
      </c>
      <c r="N470" s="487"/>
      <c r="O470" s="685"/>
    </row>
    <row r="471" spans="1:15" s="489" customFormat="1" ht="13.5" customHeight="1" x14ac:dyDescent="0.25">
      <c r="A471" s="487"/>
      <c r="B471" s="487"/>
      <c r="C471" s="487"/>
      <c r="E471" s="487"/>
      <c r="F471" s="688"/>
      <c r="G471" s="688"/>
      <c r="H471" s="688"/>
      <c r="I471" s="688"/>
      <c r="J471" s="688"/>
      <c r="K471" s="688"/>
      <c r="L471" s="688"/>
      <c r="M471" s="688"/>
      <c r="N471" s="487"/>
      <c r="O471" s="685"/>
    </row>
    <row r="472" spans="1:15" s="489" customFormat="1" ht="13.5" customHeight="1" x14ac:dyDescent="0.25">
      <c r="A472" s="487"/>
      <c r="B472" s="487"/>
      <c r="C472" s="487"/>
      <c r="D472" s="487"/>
      <c r="E472" s="2721" t="s">
        <v>1895</v>
      </c>
      <c r="F472" s="2722">
        <f ca="1">SUM(F468:F470)</f>
        <v>28.282873684358243</v>
      </c>
      <c r="G472" s="2722">
        <f t="shared" ref="G472:M472" ca="1" si="100">SUM(G468:G470)</f>
        <v>31.0104170487364</v>
      </c>
      <c r="H472" s="2722">
        <f t="shared" ca="1" si="100"/>
        <v>37.321690649147655</v>
      </c>
      <c r="I472" s="2722">
        <f t="shared" ca="1" si="100"/>
        <v>44.064470943903444</v>
      </c>
      <c r="J472" s="2722">
        <f t="shared" ca="1" si="100"/>
        <v>52.398491998647209</v>
      </c>
      <c r="K472" s="2722">
        <f t="shared" ca="1" si="100"/>
        <v>61.565148868147062</v>
      </c>
      <c r="L472" s="2722">
        <f t="shared" ca="1" si="100"/>
        <v>71.053220130093464</v>
      </c>
      <c r="M472" s="2722">
        <f t="shared" ca="1" si="100"/>
        <v>79.657336093181783</v>
      </c>
      <c r="N472" s="487"/>
      <c r="O472" s="685"/>
    </row>
    <row r="473" spans="1:15" s="489" customFormat="1" ht="13.5" customHeight="1" x14ac:dyDescent="0.25">
      <c r="A473" s="487"/>
      <c r="B473" s="487"/>
      <c r="C473" s="487"/>
      <c r="D473" s="487"/>
      <c r="E473" s="2721"/>
      <c r="F473" s="688"/>
      <c r="G473" s="688"/>
      <c r="H473" s="688"/>
      <c r="I473" s="688"/>
      <c r="J473" s="688"/>
      <c r="K473" s="688"/>
      <c r="L473" s="688"/>
      <c r="M473" s="688"/>
      <c r="N473" s="487"/>
      <c r="O473" s="685"/>
    </row>
    <row r="474" spans="1:15" s="489" customFormat="1" ht="13.5" customHeight="1" x14ac:dyDescent="0.25">
      <c r="A474" s="487"/>
      <c r="B474" s="749"/>
      <c r="C474" s="487"/>
      <c r="D474" s="487"/>
      <c r="E474" s="487"/>
      <c r="F474" s="2722"/>
      <c r="G474" s="2722"/>
      <c r="H474" s="2722"/>
      <c r="I474" s="2722"/>
      <c r="J474" s="2722"/>
      <c r="K474" s="2722"/>
      <c r="L474" s="2722"/>
      <c r="M474" s="2722"/>
      <c r="N474" s="487"/>
      <c r="O474" s="2726"/>
    </row>
    <row r="475" spans="1:15" x14ac:dyDescent="0.25">
      <c r="C475" s="489"/>
      <c r="F475" s="688"/>
      <c r="G475" s="688"/>
      <c r="H475" s="688"/>
      <c r="I475" s="688"/>
      <c r="J475" s="688"/>
      <c r="K475" s="688"/>
      <c r="L475" s="688"/>
      <c r="M475" s="688"/>
      <c r="N475" s="489"/>
    </row>
    <row r="476" spans="1:15" hidden="1" outlineLevel="1" x14ac:dyDescent="0.25">
      <c r="B476" s="683" t="s">
        <v>192</v>
      </c>
      <c r="C476" s="489"/>
      <c r="F476" s="688"/>
      <c r="G476" s="688"/>
      <c r="H476" s="688"/>
      <c r="I476" s="688"/>
      <c r="J476" s="688"/>
      <c r="K476" s="688"/>
      <c r="L476" s="688"/>
      <c r="M476" s="688"/>
      <c r="N476" s="489"/>
    </row>
    <row r="477" spans="1:15" s="489" customFormat="1" hidden="1" outlineLevel="1" x14ac:dyDescent="0.25">
      <c r="A477" s="487"/>
      <c r="B477" s="487"/>
      <c r="D477" s="487"/>
      <c r="E477" s="487"/>
      <c r="F477" s="688"/>
      <c r="G477" s="688"/>
      <c r="H477" s="688"/>
      <c r="I477" s="688"/>
      <c r="J477" s="688"/>
      <c r="K477" s="688"/>
      <c r="L477" s="688"/>
      <c r="M477" s="688"/>
      <c r="O477" s="487"/>
    </row>
    <row r="478" spans="1:15" s="489" customFormat="1" hidden="1" outlineLevel="1" x14ac:dyDescent="0.25">
      <c r="A478" s="487"/>
      <c r="B478" s="487" t="s">
        <v>174</v>
      </c>
      <c r="C478" s="487"/>
      <c r="D478" s="487"/>
      <c r="E478" s="487"/>
      <c r="F478" s="684">
        <v>2015</v>
      </c>
      <c r="G478" s="684">
        <v>2020</v>
      </c>
      <c r="H478" s="684">
        <v>2025</v>
      </c>
      <c r="I478" s="684">
        <v>2030</v>
      </c>
      <c r="J478" s="684">
        <v>2035</v>
      </c>
      <c r="K478" s="684">
        <v>2040</v>
      </c>
      <c r="L478" s="684">
        <v>2045</v>
      </c>
      <c r="M478" s="684">
        <v>2050</v>
      </c>
    </row>
    <row r="479" spans="1:15" s="489" customFormat="1" hidden="1" outlineLevel="1" x14ac:dyDescent="0.25">
      <c r="A479" s="487"/>
      <c r="B479" s="487"/>
      <c r="C479" s="487" t="s">
        <v>175</v>
      </c>
      <c r="D479" s="487"/>
      <c r="E479" s="487" t="s">
        <v>176</v>
      </c>
      <c r="F479" s="687">
        <v>0</v>
      </c>
      <c r="G479" s="687">
        <v>0</v>
      </c>
      <c r="H479" s="687">
        <v>546.08534528229336</v>
      </c>
      <c r="I479" s="687">
        <v>0</v>
      </c>
      <c r="J479" s="687">
        <v>0</v>
      </c>
      <c r="K479" s="687">
        <v>0</v>
      </c>
      <c r="L479" s="687">
        <v>0</v>
      </c>
      <c r="M479" s="687">
        <v>0</v>
      </c>
    </row>
    <row r="480" spans="1:15" s="489" customFormat="1" hidden="1" outlineLevel="1" x14ac:dyDescent="0.25">
      <c r="A480" s="487"/>
      <c r="B480" s="487"/>
      <c r="C480" s="487" t="s">
        <v>177</v>
      </c>
      <c r="D480" s="487"/>
      <c r="E480" s="487" t="s">
        <v>176</v>
      </c>
      <c r="F480" s="687">
        <v>6027.8230588355027</v>
      </c>
      <c r="G480" s="687">
        <v>5684.6402744295647</v>
      </c>
      <c r="H480" s="687">
        <v>3302.6685283163488</v>
      </c>
      <c r="I480" s="687">
        <v>2397.2631139584719</v>
      </c>
      <c r="J480" s="687">
        <v>1782.952470647019</v>
      </c>
      <c r="K480" s="687">
        <v>0</v>
      </c>
      <c r="L480" s="687">
        <v>0</v>
      </c>
      <c r="M480" s="687">
        <v>0</v>
      </c>
    </row>
    <row r="481" spans="1:15" s="489" customFormat="1" hidden="1" outlineLevel="1" x14ac:dyDescent="0.25">
      <c r="A481" s="487"/>
      <c r="B481" s="487"/>
      <c r="C481" s="487" t="s">
        <v>178</v>
      </c>
      <c r="D481" s="487"/>
      <c r="E481" s="487" t="s">
        <v>176</v>
      </c>
      <c r="F481" s="687">
        <v>6027.8230588355027</v>
      </c>
      <c r="G481" s="687">
        <v>5684.6402744295647</v>
      </c>
      <c r="H481" s="687">
        <v>3848.7538735986423</v>
      </c>
      <c r="I481" s="687">
        <v>2397.2631139584719</v>
      </c>
      <c r="J481" s="687">
        <v>1782.952470647019</v>
      </c>
      <c r="K481" s="687">
        <v>0</v>
      </c>
      <c r="L481" s="687">
        <v>0</v>
      </c>
      <c r="M481" s="687">
        <v>0</v>
      </c>
      <c r="O481" s="689"/>
    </row>
    <row r="482" spans="1:15" s="489" customFormat="1" hidden="1" outlineLevel="1" x14ac:dyDescent="0.25">
      <c r="A482" s="487"/>
      <c r="B482" s="487"/>
      <c r="C482" s="487"/>
      <c r="D482" s="487"/>
      <c r="E482" s="487"/>
      <c r="F482" s="687"/>
      <c r="G482" s="687"/>
      <c r="H482" s="687"/>
      <c r="I482" s="687"/>
      <c r="J482" s="687"/>
      <c r="K482" s="687"/>
      <c r="L482" s="687"/>
      <c r="M482" s="687"/>
      <c r="O482" s="690"/>
    </row>
    <row r="483" spans="1:15" s="489" customFormat="1" hidden="1" outlineLevel="1" x14ac:dyDescent="0.25">
      <c r="A483" s="487"/>
      <c r="B483" s="487" t="s">
        <v>179</v>
      </c>
      <c r="C483" s="487"/>
      <c r="D483" s="487"/>
      <c r="E483" s="487"/>
      <c r="F483" s="684">
        <v>2015</v>
      </c>
      <c r="G483" s="684">
        <v>2020</v>
      </c>
      <c r="H483" s="684">
        <v>2025</v>
      </c>
      <c r="I483" s="684">
        <v>2030</v>
      </c>
      <c r="J483" s="684">
        <v>2035</v>
      </c>
      <c r="K483" s="684">
        <v>2040</v>
      </c>
      <c r="L483" s="684">
        <v>2045</v>
      </c>
      <c r="M483" s="684">
        <v>2050</v>
      </c>
      <c r="N483" s="487"/>
      <c r="O483" s="690"/>
    </row>
    <row r="484" spans="1:15" s="489" customFormat="1" hidden="1" outlineLevel="1" x14ac:dyDescent="0.25">
      <c r="A484" s="487"/>
      <c r="B484" s="487"/>
      <c r="C484" s="487" t="s">
        <v>175</v>
      </c>
      <c r="D484" s="487"/>
      <c r="E484" s="487" t="s">
        <v>176</v>
      </c>
      <c r="F484" s="687">
        <v>0</v>
      </c>
      <c r="G484" s="687">
        <v>0</v>
      </c>
      <c r="H484" s="687">
        <v>352.45142370739734</v>
      </c>
      <c r="I484" s="687">
        <v>0</v>
      </c>
      <c r="J484" s="687">
        <v>0</v>
      </c>
      <c r="K484" s="687">
        <v>0</v>
      </c>
      <c r="L484" s="687">
        <v>0</v>
      </c>
      <c r="M484" s="687">
        <v>0</v>
      </c>
      <c r="N484" s="487"/>
      <c r="O484" s="690"/>
    </row>
    <row r="485" spans="1:15" s="489" customFormat="1" hidden="1" outlineLevel="1" x14ac:dyDescent="0.25">
      <c r="A485" s="487"/>
      <c r="B485" s="487"/>
      <c r="C485" s="487" t="s">
        <v>177</v>
      </c>
      <c r="D485" s="487"/>
      <c r="E485" s="487" t="s">
        <v>176</v>
      </c>
      <c r="F485" s="687">
        <v>3379.9321594542639</v>
      </c>
      <c r="G485" s="687">
        <v>3184.4259243940983</v>
      </c>
      <c r="H485" s="687">
        <v>1629.9005683010598</v>
      </c>
      <c r="I485" s="687">
        <v>1091.3146765636109</v>
      </c>
      <c r="J485" s="687">
        <v>746.77906490338069</v>
      </c>
      <c r="K485" s="687">
        <v>0</v>
      </c>
      <c r="L485" s="687">
        <v>0</v>
      </c>
      <c r="M485" s="687">
        <v>0</v>
      </c>
      <c r="N485" s="487"/>
      <c r="O485" s="690"/>
    </row>
    <row r="486" spans="1:15" s="489" customFormat="1" hidden="1" outlineLevel="1" x14ac:dyDescent="0.25">
      <c r="A486" s="487"/>
      <c r="B486" s="487"/>
      <c r="C486" s="487" t="s">
        <v>178</v>
      </c>
      <c r="D486" s="487"/>
      <c r="E486" s="487" t="s">
        <v>176</v>
      </c>
      <c r="F486" s="687">
        <v>3379.9321594542639</v>
      </c>
      <c r="G486" s="687">
        <v>3184.4259243940983</v>
      </c>
      <c r="H486" s="687">
        <v>1982.3519920084573</v>
      </c>
      <c r="I486" s="687">
        <v>1091.3146765636109</v>
      </c>
      <c r="J486" s="687">
        <v>746.77906490338069</v>
      </c>
      <c r="K486" s="687">
        <v>0</v>
      </c>
      <c r="L486" s="687">
        <v>0</v>
      </c>
      <c r="M486" s="687">
        <v>0</v>
      </c>
      <c r="N486" s="487"/>
      <c r="O486" s="690"/>
    </row>
    <row r="487" spans="1:15" s="489" customFormat="1" hidden="1" outlineLevel="1" x14ac:dyDescent="0.25">
      <c r="A487" s="487"/>
      <c r="B487" s="487"/>
      <c r="C487" s="487"/>
      <c r="D487" s="487"/>
      <c r="E487" s="487"/>
      <c r="F487" s="487"/>
      <c r="G487" s="487"/>
      <c r="H487" s="487"/>
      <c r="I487" s="487"/>
      <c r="J487" s="487"/>
      <c r="K487" s="487"/>
      <c r="L487" s="487"/>
      <c r="M487" s="487"/>
      <c r="N487" s="487"/>
      <c r="O487" s="690"/>
    </row>
    <row r="488" spans="1:15" s="489" customFormat="1" hidden="1" outlineLevel="1" x14ac:dyDescent="0.25">
      <c r="A488" s="487"/>
      <c r="B488" s="487" t="s">
        <v>180</v>
      </c>
      <c r="C488" s="487"/>
      <c r="D488" s="487"/>
      <c r="E488" s="487"/>
      <c r="F488" s="684">
        <v>2015</v>
      </c>
      <c r="G488" s="684">
        <v>2020</v>
      </c>
      <c r="H488" s="684">
        <v>2025</v>
      </c>
      <c r="I488" s="684">
        <v>2030</v>
      </c>
      <c r="J488" s="684">
        <v>2035</v>
      </c>
      <c r="K488" s="684">
        <v>2040</v>
      </c>
      <c r="L488" s="684">
        <v>2045</v>
      </c>
      <c r="M488" s="684">
        <v>2050</v>
      </c>
      <c r="N488" s="487"/>
      <c r="O488" s="690"/>
    </row>
    <row r="489" spans="1:15" s="489" customFormat="1" hidden="1" outlineLevel="1" x14ac:dyDescent="0.25">
      <c r="A489" s="487"/>
      <c r="B489" s="487"/>
      <c r="C489" s="487" t="s">
        <v>175</v>
      </c>
      <c r="D489" s="487"/>
      <c r="E489" s="487" t="s">
        <v>176</v>
      </c>
      <c r="F489" s="687">
        <v>0</v>
      </c>
      <c r="G489" s="687">
        <v>0</v>
      </c>
      <c r="H489" s="687">
        <v>327.13445974252159</v>
      </c>
      <c r="I489" s="687">
        <v>0</v>
      </c>
      <c r="J489" s="687">
        <v>0</v>
      </c>
      <c r="K489" s="687">
        <v>0</v>
      </c>
      <c r="L489" s="687">
        <v>0</v>
      </c>
      <c r="M489" s="687">
        <v>0</v>
      </c>
      <c r="N489" s="487"/>
      <c r="O489" s="690"/>
    </row>
    <row r="490" spans="1:15" s="489" customFormat="1" hidden="1" outlineLevel="1" x14ac:dyDescent="0.25">
      <c r="A490" s="487"/>
      <c r="B490" s="487"/>
      <c r="C490" s="487" t="s">
        <v>177</v>
      </c>
      <c r="D490" s="487"/>
      <c r="E490" s="487" t="s">
        <v>176</v>
      </c>
      <c r="F490" s="687">
        <v>1421.1910154830273</v>
      </c>
      <c r="G490" s="687">
        <v>1330.5205143235698</v>
      </c>
      <c r="H490" s="687">
        <v>718.25150745167082</v>
      </c>
      <c r="I490" s="687">
        <v>496.83766156801892</v>
      </c>
      <c r="J490" s="687">
        <v>338.14538701237348</v>
      </c>
      <c r="K490" s="687">
        <v>0</v>
      </c>
      <c r="L490" s="687">
        <v>0</v>
      </c>
      <c r="M490" s="687">
        <v>0</v>
      </c>
      <c r="N490" s="487"/>
      <c r="O490" s="690"/>
    </row>
    <row r="491" spans="1:15" s="489" customFormat="1" hidden="1" outlineLevel="1" x14ac:dyDescent="0.25">
      <c r="A491" s="487"/>
      <c r="B491" s="487"/>
      <c r="C491" s="487" t="s">
        <v>178</v>
      </c>
      <c r="D491" s="487"/>
      <c r="E491" s="487" t="s">
        <v>176</v>
      </c>
      <c r="F491" s="687">
        <v>1421.1910154830273</v>
      </c>
      <c r="G491" s="687">
        <v>1330.5205143235698</v>
      </c>
      <c r="H491" s="687">
        <v>1045.3859671941923</v>
      </c>
      <c r="I491" s="687">
        <v>496.83766156801892</v>
      </c>
      <c r="J491" s="687">
        <v>338.14538701237348</v>
      </c>
      <c r="K491" s="687">
        <v>0</v>
      </c>
      <c r="L491" s="687">
        <v>0</v>
      </c>
      <c r="M491" s="687">
        <v>0</v>
      </c>
      <c r="N491" s="487"/>
      <c r="O491" s="690"/>
    </row>
    <row r="492" spans="1:15" s="489" customFormat="1" collapsed="1" x14ac:dyDescent="0.25">
      <c r="A492" s="487"/>
      <c r="O492" s="690"/>
    </row>
    <row r="493" spans="1:15" s="489" customFormat="1" ht="4.5" customHeight="1" x14ac:dyDescent="0.25">
      <c r="A493" s="487"/>
      <c r="B493" s="487"/>
      <c r="C493" s="487"/>
      <c r="D493" s="487"/>
      <c r="E493" s="487"/>
      <c r="F493" s="487"/>
      <c r="G493" s="487"/>
      <c r="H493" s="487"/>
      <c r="I493" s="487"/>
      <c r="J493" s="487"/>
      <c r="K493" s="487"/>
      <c r="L493" s="487"/>
      <c r="M493" s="487"/>
      <c r="N493" s="487"/>
      <c r="O493" s="690"/>
    </row>
    <row r="494" spans="1:15" s="489" customFormat="1" ht="15.75" x14ac:dyDescent="0.25">
      <c r="A494" s="487"/>
      <c r="B494" s="491" t="s">
        <v>14</v>
      </c>
      <c r="C494" s="493"/>
      <c r="D494" s="493"/>
      <c r="E494" s="493"/>
      <c r="F494" s="493"/>
      <c r="G494" s="493"/>
      <c r="H494" s="493"/>
      <c r="I494" s="493"/>
      <c r="J494" s="493"/>
      <c r="K494" s="493"/>
      <c r="L494" s="493"/>
      <c r="M494" s="493"/>
      <c r="N494" s="493"/>
      <c r="O494" s="690"/>
    </row>
    <row r="495" spans="1:15" s="489" customFormat="1" x14ac:dyDescent="0.25">
      <c r="A495" s="487"/>
      <c r="B495" s="507"/>
      <c r="C495" s="498"/>
      <c r="D495" s="498"/>
      <c r="E495" s="498"/>
      <c r="F495" s="498"/>
      <c r="G495" s="498"/>
      <c r="H495" s="498"/>
      <c r="I495" s="498"/>
      <c r="J495" s="498"/>
      <c r="K495" s="498"/>
      <c r="L495" s="498"/>
      <c r="M495" s="498"/>
      <c r="N495" s="500"/>
      <c r="O495" s="691"/>
    </row>
    <row r="496" spans="1:15" s="489" customFormat="1" x14ac:dyDescent="0.25">
      <c r="A496" s="487"/>
      <c r="B496" s="507"/>
      <c r="C496" s="508" t="s">
        <v>393</v>
      </c>
      <c r="D496" s="498"/>
      <c r="E496" s="498"/>
      <c r="F496" s="498"/>
      <c r="G496" s="499"/>
      <c r="H496" s="498"/>
      <c r="I496" s="498"/>
      <c r="J496" s="498"/>
      <c r="K496" s="498"/>
      <c r="L496" s="498"/>
      <c r="M496" s="499" t="s">
        <v>171</v>
      </c>
      <c r="N496" s="500"/>
      <c r="O496" s="487"/>
    </row>
    <row r="497" spans="1:15" s="489" customFormat="1" x14ac:dyDescent="0.25">
      <c r="A497" s="487"/>
      <c r="B497" s="507"/>
      <c r="C497" s="498"/>
      <c r="D497" s="498"/>
      <c r="E497" s="498"/>
      <c r="F497" s="498"/>
      <c r="G497" s="498"/>
      <c r="H497" s="498"/>
      <c r="I497" s="498"/>
      <c r="J497" s="498"/>
      <c r="K497" s="498"/>
      <c r="L497" s="498"/>
      <c r="M497" s="498"/>
      <c r="N497" s="500"/>
      <c r="O497" s="487"/>
    </row>
    <row r="498" spans="1:15" s="489" customFormat="1" ht="15.75" x14ac:dyDescent="0.25">
      <c r="A498" s="487"/>
      <c r="B498" s="692"/>
      <c r="C498" s="693" t="s">
        <v>146</v>
      </c>
      <c r="D498" s="693" t="s">
        <v>242</v>
      </c>
      <c r="E498" s="693" t="s">
        <v>8</v>
      </c>
      <c r="F498" s="693" t="s">
        <v>16</v>
      </c>
      <c r="G498" s="693" t="s">
        <v>17</v>
      </c>
      <c r="H498" s="693" t="s">
        <v>18</v>
      </c>
      <c r="I498" s="693" t="s">
        <v>19</v>
      </c>
      <c r="J498" s="693" t="s">
        <v>20</v>
      </c>
      <c r="K498" s="693" t="s">
        <v>21</v>
      </c>
      <c r="L498" s="693" t="s">
        <v>22</v>
      </c>
      <c r="M498" s="693" t="s">
        <v>23</v>
      </c>
      <c r="N498" s="510"/>
      <c r="O498" s="487"/>
    </row>
    <row r="499" spans="1:15" s="489" customFormat="1" x14ac:dyDescent="0.25">
      <c r="A499" s="487"/>
      <c r="B499" s="694"/>
      <c r="C499" s="695" t="s">
        <v>150</v>
      </c>
      <c r="D499" s="695" t="str">
        <f>INDEX(Vectors[Descripción], MATCH(C499,Vectors[Código],FALSE))</f>
        <v>Electricidad (suministrada a la red)</v>
      </c>
      <c r="E499" s="695"/>
      <c r="F499" s="696">
        <f ca="1">F295+F306+F307+F308</f>
        <v>40.919162803547032</v>
      </c>
      <c r="G499" s="696">
        <f t="shared" ref="G499:M499" ca="1" si="101">G295+G306+G307+G308</f>
        <v>45.628077201078568</v>
      </c>
      <c r="H499" s="696">
        <f ca="1">H295+H306+H307+H308</f>
        <v>54.628902270184639</v>
      </c>
      <c r="I499" s="696">
        <f t="shared" ca="1" si="101"/>
        <v>64.245120763478567</v>
      </c>
      <c r="J499" s="696">
        <f t="shared" ca="1" si="101"/>
        <v>76.130687827328813</v>
      </c>
      <c r="K499" s="696">
        <f t="shared" ca="1" si="101"/>
        <v>89.20371875178617</v>
      </c>
      <c r="L499" s="696">
        <f t="shared" ca="1" si="101"/>
        <v>102.73513492528677</v>
      </c>
      <c r="M499" s="696">
        <f t="shared" ca="1" si="101"/>
        <v>115.00589793784486</v>
      </c>
      <c r="N499" s="697"/>
      <c r="O499" s="487"/>
    </row>
    <row r="500" spans="1:15" s="489" customFormat="1" x14ac:dyDescent="0.25">
      <c r="A500" s="487"/>
      <c r="B500" s="694"/>
      <c r="C500" s="3296" t="s">
        <v>473</v>
      </c>
      <c r="D500" s="695" t="str">
        <f>INDEX(Vectors[Descripción], MATCH(C500,Vectors[Código],FALSE))</f>
        <v>Biomasa</v>
      </c>
      <c r="E500" s="3296"/>
      <c r="F500" s="3297">
        <f>-(F299)</f>
        <v>-2.9551871218472012</v>
      </c>
      <c r="G500" s="3297">
        <f t="shared" ref="G500:M500" si="102">-(G299)</f>
        <v>-2.9453760000000004</v>
      </c>
      <c r="H500" s="3297">
        <f t="shared" si="102"/>
        <v>-2.9453760000000004</v>
      </c>
      <c r="I500" s="3297">
        <f t="shared" si="102"/>
        <v>-2.9453760000000004</v>
      </c>
      <c r="J500" s="3297">
        <f t="shared" si="102"/>
        <v>-2.9453760000000004</v>
      </c>
      <c r="K500" s="3297">
        <f t="shared" si="102"/>
        <v>-2.9453760000000004</v>
      </c>
      <c r="L500" s="3297">
        <f t="shared" si="102"/>
        <v>-2.9453760000000004</v>
      </c>
      <c r="M500" s="3297">
        <f t="shared" si="102"/>
        <v>-2.9453760000000004</v>
      </c>
      <c r="N500" s="3297">
        <f t="shared" ref="N500" si="103">-(N297)</f>
        <v>0</v>
      </c>
      <c r="O500" s="487"/>
    </row>
    <row r="501" spans="1:15" s="489" customFormat="1" x14ac:dyDescent="0.25">
      <c r="A501" s="487"/>
      <c r="B501" s="694"/>
      <c r="C501" s="695" t="s">
        <v>330</v>
      </c>
      <c r="D501" s="695" t="str">
        <f>INDEX(Vectors[Descripción], MATCH(C501,Vectors[Código],FALSE))</f>
        <v>Hidrocarburo Sólido</v>
      </c>
      <c r="E501" s="695"/>
      <c r="F501" s="698">
        <f t="shared" ref="F501:M501" ca="1" si="104">-(F326)</f>
        <v>-57.718131483597844</v>
      </c>
      <c r="G501" s="698">
        <f t="shared" ca="1" si="104"/>
        <v>-62.965143133738984</v>
      </c>
      <c r="H501" s="698">
        <f t="shared" ca="1" si="104"/>
        <v>-75.779877130432368</v>
      </c>
      <c r="I501" s="698">
        <f t="shared" ca="1" si="104"/>
        <v>-89.470764476816939</v>
      </c>
      <c r="J501" s="698">
        <f t="shared" ca="1" si="104"/>
        <v>-106.3925887711122</v>
      </c>
      <c r="K501" s="698">
        <f t="shared" ca="1" si="104"/>
        <v>-125.00503957881422</v>
      </c>
      <c r="L501" s="698">
        <f t="shared" ca="1" si="104"/>
        <v>-144.27010667328963</v>
      </c>
      <c r="M501" s="698">
        <f t="shared" ca="1" si="104"/>
        <v>-161.7403455386266</v>
      </c>
      <c r="N501" s="697"/>
      <c r="O501" s="487"/>
    </row>
    <row r="502" spans="1:15" s="489" customFormat="1" x14ac:dyDescent="0.25">
      <c r="A502" s="487"/>
      <c r="B502" s="694"/>
      <c r="C502" s="695" t="s">
        <v>333</v>
      </c>
      <c r="D502" s="695" t="str">
        <f>INDEX(Vectors[Descripción], MATCH(C502,Vectors[Código],FALSE))</f>
        <v>Hidrocarburo Líquido</v>
      </c>
      <c r="E502" s="695"/>
      <c r="F502" s="698">
        <f t="shared" ref="F502:M502" ca="1" si="105">-(F336)</f>
        <v>-7.6974998987670942</v>
      </c>
      <c r="G502" s="698">
        <f t="shared" ca="1" si="105"/>
        <v>-7.8706428917173739</v>
      </c>
      <c r="H502" s="698">
        <f t="shared" ca="1" si="105"/>
        <v>-9.4724846413040478</v>
      </c>
      <c r="I502" s="698">
        <f t="shared" ca="1" si="105"/>
        <v>-11.183845559602117</v>
      </c>
      <c r="J502" s="698">
        <f t="shared" ca="1" si="105"/>
        <v>-13.299073596389029</v>
      </c>
      <c r="K502" s="698">
        <f t="shared" ca="1" si="105"/>
        <v>-15.625629947351779</v>
      </c>
      <c r="L502" s="698">
        <f t="shared" ca="1" si="105"/>
        <v>-18.033763334161208</v>
      </c>
      <c r="M502" s="698">
        <f t="shared" ca="1" si="105"/>
        <v>-20.217543192328328</v>
      </c>
      <c r="N502" s="697"/>
      <c r="O502" s="487"/>
    </row>
    <row r="503" spans="1:15" s="489" customFormat="1" x14ac:dyDescent="0.25">
      <c r="A503" s="487"/>
      <c r="B503" s="694"/>
      <c r="C503" s="695" t="s">
        <v>335</v>
      </c>
      <c r="D503" s="695" t="str">
        <f>INDEX(Vectors[Descripción], MATCH(C503,Vectors[Código],FALSE))</f>
        <v>Hidrocarburo Gaseoso</v>
      </c>
      <c r="E503" s="695"/>
      <c r="F503" s="698">
        <f t="shared" ref="F503:M503" ca="1" si="106">-(F316)</f>
        <v>-31.623715737231763</v>
      </c>
      <c r="G503" s="698">
        <f ca="1">-(G316)</f>
        <v>-35.980081790707992</v>
      </c>
      <c r="H503" s="698">
        <f t="shared" ca="1" si="106"/>
        <v>-43.302786931675641</v>
      </c>
      <c r="I503" s="698">
        <f t="shared" ca="1" si="106"/>
        <v>-51.126151129609688</v>
      </c>
      <c r="J503" s="698">
        <f t="shared" ca="1" si="106"/>
        <v>-60.795765012064123</v>
      </c>
      <c r="K503" s="698">
        <f t="shared" ca="1" si="106"/>
        <v>-71.431451187893842</v>
      </c>
      <c r="L503" s="698">
        <f t="shared" ca="1" si="106"/>
        <v>-82.44006095616551</v>
      </c>
      <c r="M503" s="698">
        <f t="shared" ca="1" si="106"/>
        <v>-92.423054593500922</v>
      </c>
      <c r="N503" s="697"/>
      <c r="O503" s="487"/>
    </row>
    <row r="504" spans="1:15" x14ac:dyDescent="0.25">
      <c r="B504" s="694"/>
      <c r="C504" s="3304" t="s">
        <v>184</v>
      </c>
      <c r="D504" s="695" t="str">
        <f>INDEX(Vectors[Descripción], MATCH(C504,Vectors[Código],FALSE))</f>
        <v>Perdidas por conversión</v>
      </c>
      <c r="E504" s="695"/>
      <c r="F504" s="696">
        <f t="shared" ref="F504:M504" ca="1" si="107">(F299-F297)+(F316-F314)+(F336-F334)+(F326-F324)</f>
        <v>56.886295394688268</v>
      </c>
      <c r="G504" s="696">
        <f t="shared" ca="1" si="107"/>
        <v>61.851762755031856</v>
      </c>
      <c r="H504" s="696">
        <f t="shared" ca="1" si="107"/>
        <v>74.140177319718191</v>
      </c>
      <c r="I504" s="696">
        <f t="shared" ca="1" si="107"/>
        <v>87.268760364376249</v>
      </c>
      <c r="J504" s="696">
        <f t="shared" ca="1" si="107"/>
        <v>103.4955811608701</v>
      </c>
      <c r="K504" s="696">
        <f t="shared" ca="1" si="107"/>
        <v>121.34359202468436</v>
      </c>
      <c r="L504" s="696">
        <f t="shared" ca="1" si="107"/>
        <v>139.81741529206522</v>
      </c>
      <c r="M504" s="696">
        <f t="shared" ca="1" si="107"/>
        <v>156.57012648971875</v>
      </c>
      <c r="N504" s="697"/>
    </row>
    <row r="505" spans="1:15" x14ac:dyDescent="0.25">
      <c r="B505" s="694"/>
      <c r="C505" s="695" t="s">
        <v>185</v>
      </c>
      <c r="D505" s="695" t="str">
        <f>INDEX(Vectors[Descripción], MATCH(C505,Vectors[Código],FALSE))</f>
        <v>Perdidas por distribución y uso propio</v>
      </c>
      <c r="E505" s="695"/>
      <c r="F505" s="696">
        <f t="shared" ref="F505:M505" ca="1" si="108">(F297-F295)+(F314-F312)+(F334-F332)+(F324-F322)</f>
        <v>2.1890760432086078</v>
      </c>
      <c r="G505" s="696">
        <f t="shared" ca="1" si="108"/>
        <v>2.2814038600539308</v>
      </c>
      <c r="H505" s="696">
        <f t="shared" ca="1" si="108"/>
        <v>2.7314451135092335</v>
      </c>
      <c r="I505" s="696">
        <f t="shared" ca="1" si="108"/>
        <v>3.2122560381739298</v>
      </c>
      <c r="J505" s="696">
        <f t="shared" ca="1" si="108"/>
        <v>3.8065343913664385</v>
      </c>
      <c r="K505" s="696">
        <f t="shared" ca="1" si="108"/>
        <v>4.4601859375893138</v>
      </c>
      <c r="L505" s="696">
        <f t="shared" ca="1" si="108"/>
        <v>5.1367567462643358</v>
      </c>
      <c r="M505" s="696">
        <f t="shared" ca="1" si="108"/>
        <v>5.7502948968922425</v>
      </c>
      <c r="N505" s="697"/>
    </row>
    <row r="506" spans="1:15" ht="15.75" customHeight="1" x14ac:dyDescent="0.25">
      <c r="B506" s="694"/>
      <c r="C506" s="3573" t="s">
        <v>118</v>
      </c>
      <c r="D506" s="3573"/>
      <c r="E506" s="3573"/>
      <c r="F506" s="3574">
        <f ca="1">SUBTOTAL(109,I.a.Outputs[2015])</f>
        <v>0</v>
      </c>
      <c r="G506" s="3574">
        <f ca="1">SUBTOTAL(109,I.a.Outputs[2020])</f>
        <v>0</v>
      </c>
      <c r="H506" s="3574">
        <f ca="1">SUBTOTAL(109,I.a.Outputs[2025])</f>
        <v>-4.8849813083506888E-15</v>
      </c>
      <c r="I506" s="3574">
        <f ca="1">SUBTOTAL(109,I.a.Outputs[2030])</f>
        <v>-3.5527136788005009E-15</v>
      </c>
      <c r="J506" s="3574">
        <f ca="1">SUBTOTAL(109,I.a.Outputs[2035])</f>
        <v>1.1990408665951691E-14</v>
      </c>
      <c r="K506" s="3574">
        <f ca="1">SUBTOTAL(109,I.a.Outputs[2040])</f>
        <v>0</v>
      </c>
      <c r="L506" s="3574">
        <f ca="1">SUBTOTAL(109,I.a.Outputs[2045])</f>
        <v>-1.7763568394002505E-14</v>
      </c>
      <c r="M506" s="3574">
        <f ca="1">SUBTOTAL(109,I.a.Outputs[2050])</f>
        <v>1.4210854715202004E-14</v>
      </c>
      <c r="N506" s="697"/>
    </row>
    <row r="507" spans="1:15" x14ac:dyDescent="0.25">
      <c r="B507" s="699"/>
      <c r="C507" s="512"/>
      <c r="D507" s="512"/>
      <c r="E507" s="512"/>
      <c r="F507" s="696"/>
      <c r="G507" s="696"/>
      <c r="H507" s="696"/>
      <c r="I507" s="696"/>
      <c r="J507" s="696"/>
      <c r="K507" s="696"/>
      <c r="L507" s="696"/>
      <c r="M507" s="696"/>
      <c r="N507" s="700"/>
    </row>
    <row r="508" spans="1:15" ht="15.75" customHeight="1" x14ac:dyDescent="0.25"/>
    <row r="509" spans="1:15" ht="15.75" customHeight="1" x14ac:dyDescent="0.25"/>
    <row r="510" spans="1:15" ht="15" customHeight="1" x14ac:dyDescent="0.25">
      <c r="B510" s="701" t="s">
        <v>434</v>
      </c>
      <c r="C510" s="704"/>
      <c r="D510" s="705"/>
      <c r="E510" s="705"/>
      <c r="F510" s="705"/>
      <c r="G510" s="705"/>
      <c r="H510" s="705"/>
      <c r="I510" s="705"/>
      <c r="J510" s="705"/>
      <c r="K510" s="705"/>
      <c r="L510" s="705"/>
      <c r="M510" s="705"/>
      <c r="N510" s="702"/>
    </row>
    <row r="511" spans="1:15" ht="15" customHeight="1" x14ac:dyDescent="0.25">
      <c r="B511" s="703"/>
      <c r="C511" s="708"/>
      <c r="D511" s="708"/>
      <c r="E511" s="708"/>
      <c r="F511" s="708"/>
      <c r="G511" s="708"/>
      <c r="H511" s="708"/>
      <c r="I511" s="708"/>
      <c r="J511" s="708"/>
      <c r="K511" s="708"/>
      <c r="L511" s="708"/>
      <c r="M511" s="708"/>
      <c r="N511" s="706"/>
    </row>
    <row r="512" spans="1:15" ht="15" customHeight="1" x14ac:dyDescent="0.25">
      <c r="B512" s="707"/>
      <c r="C512" s="710" t="s">
        <v>394</v>
      </c>
      <c r="D512" s="711"/>
      <c r="E512" s="712"/>
      <c r="F512" s="711"/>
      <c r="G512" s="712"/>
      <c r="H512" s="711"/>
      <c r="I512" s="711"/>
      <c r="J512" s="711"/>
      <c r="K512" s="711"/>
      <c r="L512" s="711"/>
      <c r="M512" s="713" t="s">
        <v>395</v>
      </c>
      <c r="N512" s="709"/>
    </row>
    <row r="513" spans="2:14" ht="15" customHeight="1" x14ac:dyDescent="0.25">
      <c r="B513" s="707"/>
      <c r="C513" s="711"/>
      <c r="D513" s="711"/>
      <c r="E513" s="711"/>
      <c r="F513" s="711"/>
      <c r="G513" s="711"/>
      <c r="H513" s="711"/>
      <c r="I513" s="711"/>
      <c r="J513" s="711"/>
      <c r="K513" s="711"/>
      <c r="L513" s="711"/>
      <c r="M513" s="711"/>
      <c r="N513" s="709"/>
    </row>
    <row r="514" spans="2:14" ht="15" customHeight="1" x14ac:dyDescent="0.25">
      <c r="B514" s="714"/>
      <c r="C514" s="715" t="s">
        <v>396</v>
      </c>
      <c r="D514" s="715" t="s">
        <v>397</v>
      </c>
      <c r="E514" s="715" t="s">
        <v>148</v>
      </c>
      <c r="F514" s="716">
        <v>2015</v>
      </c>
      <c r="G514" s="716">
        <v>2020</v>
      </c>
      <c r="H514" s="716" t="s">
        <v>18</v>
      </c>
      <c r="I514" s="716" t="s">
        <v>19</v>
      </c>
      <c r="J514" s="716" t="s">
        <v>20</v>
      </c>
      <c r="K514" s="716" t="s">
        <v>21</v>
      </c>
      <c r="L514" s="716" t="s">
        <v>22</v>
      </c>
      <c r="M514" s="716" t="s">
        <v>23</v>
      </c>
      <c r="N514" s="709"/>
    </row>
    <row r="515" spans="2:14" ht="15" customHeight="1" outlineLevel="1" x14ac:dyDescent="0.25">
      <c r="B515" s="714"/>
      <c r="C515" s="717" t="s">
        <v>398</v>
      </c>
      <c r="D515" s="718" t="s">
        <v>399</v>
      </c>
      <c r="E515" s="717"/>
      <c r="F515" s="719">
        <f t="shared" ref="F515:M517" ca="1" si="109">F468</f>
        <v>28.154727057527023</v>
      </c>
      <c r="G515" s="719">
        <f t="shared" ca="1" si="109"/>
        <v>30.871797517853327</v>
      </c>
      <c r="H515" s="719">
        <f t="shared" ca="1" si="109"/>
        <v>37.1548591214898</v>
      </c>
      <c r="I515" s="719">
        <f t="shared" ca="1" si="109"/>
        <v>43.867498543266109</v>
      </c>
      <c r="J515" s="719">
        <f t="shared" ca="1" si="109"/>
        <v>52.164265726603929</v>
      </c>
      <c r="K515" s="719">
        <f t="shared" ca="1" si="109"/>
        <v>61.289946762950066</v>
      </c>
      <c r="L515" s="719">
        <f t="shared" ca="1" si="109"/>
        <v>70.735605438659761</v>
      </c>
      <c r="M515" s="719">
        <f t="shared" ca="1" si="109"/>
        <v>79.301260180262645</v>
      </c>
      <c r="N515" s="709"/>
    </row>
    <row r="516" spans="2:14" ht="15" customHeight="1" outlineLevel="1" x14ac:dyDescent="0.25">
      <c r="B516" s="714"/>
      <c r="C516" s="717" t="s">
        <v>400</v>
      </c>
      <c r="D516" s="718" t="s">
        <v>399</v>
      </c>
      <c r="E516" s="717"/>
      <c r="F516" s="719">
        <f t="shared" ca="1" si="109"/>
        <v>1.0825833940785333E-2</v>
      </c>
      <c r="G516" s="719">
        <f t="shared" ca="1" si="109"/>
        <v>1.1643387306523522E-2</v>
      </c>
      <c r="H516" s="719">
        <f t="shared" ca="1" si="109"/>
        <v>1.4013062077795894E-2</v>
      </c>
      <c r="I516" s="719">
        <f t="shared" ca="1" si="109"/>
        <v>1.6544753359833509E-2</v>
      </c>
      <c r="J516" s="719">
        <f t="shared" ca="1" si="109"/>
        <v>1.9673902987476372E-2</v>
      </c>
      <c r="K516" s="719">
        <f t="shared" ca="1" si="109"/>
        <v>2.3115679861029904E-2</v>
      </c>
      <c r="L516" s="719">
        <f t="shared" ca="1" si="109"/>
        <v>2.6678137222409991E-2</v>
      </c>
      <c r="M516" s="719">
        <f t="shared" ca="1" si="109"/>
        <v>2.9908698566716733E-2</v>
      </c>
      <c r="N516" s="709"/>
    </row>
    <row r="517" spans="2:14" ht="15.75" outlineLevel="1" x14ac:dyDescent="0.25">
      <c r="B517" s="714"/>
      <c r="C517" s="717" t="s">
        <v>401</v>
      </c>
      <c r="D517" s="718" t="s">
        <v>399</v>
      </c>
      <c r="E517" s="717"/>
      <c r="F517" s="719">
        <f t="shared" ca="1" si="109"/>
        <v>0.11732079289043477</v>
      </c>
      <c r="G517" s="719">
        <f t="shared" ca="1" si="109"/>
        <v>0.12697614357654913</v>
      </c>
      <c r="H517" s="719">
        <f t="shared" ca="1" si="109"/>
        <v>0.15281846558006301</v>
      </c>
      <c r="I517" s="719">
        <f t="shared" ca="1" si="109"/>
        <v>0.18042764727750568</v>
      </c>
      <c r="J517" s="719">
        <f t="shared" ca="1" si="109"/>
        <v>0.21455236905580402</v>
      </c>
      <c r="K517" s="719">
        <f t="shared" ca="1" si="109"/>
        <v>0.25208642533596626</v>
      </c>
      <c r="L517" s="719">
        <f t="shared" ca="1" si="109"/>
        <v>0.29093655421130576</v>
      </c>
      <c r="M517" s="719">
        <f t="shared" ca="1" si="109"/>
        <v>0.32616721435242424</v>
      </c>
      <c r="N517" s="709"/>
    </row>
    <row r="518" spans="2:14" ht="15.75" x14ac:dyDescent="0.25">
      <c r="B518" s="714"/>
      <c r="C518" s="717" t="s">
        <v>118</v>
      </c>
      <c r="D518" s="717"/>
      <c r="E518" s="717"/>
      <c r="F518" s="721">
        <f ca="1">SUM(F515:F517)</f>
        <v>28.282873684358243</v>
      </c>
      <c r="G518" s="721">
        <f t="shared" ref="G518:L518" ca="1" si="110">SUM(G515:G517)</f>
        <v>31.0104170487364</v>
      </c>
      <c r="H518" s="721">
        <f t="shared" ca="1" si="110"/>
        <v>37.321690649147655</v>
      </c>
      <c r="I518" s="721">
        <f t="shared" ca="1" si="110"/>
        <v>44.064470943903444</v>
      </c>
      <c r="J518" s="721">
        <f t="shared" ca="1" si="110"/>
        <v>52.398491998647209</v>
      </c>
      <c r="K518" s="721">
        <f t="shared" ca="1" si="110"/>
        <v>61.565148868147062</v>
      </c>
      <c r="L518" s="721">
        <f t="shared" ca="1" si="110"/>
        <v>71.053220130093464</v>
      </c>
      <c r="M518" s="721">
        <f ca="1">SUM(M515:M517)</f>
        <v>79.657336093181783</v>
      </c>
      <c r="N518" s="709"/>
    </row>
    <row r="519" spans="2:14" x14ac:dyDescent="0.25">
      <c r="B519" s="720"/>
      <c r="C519" s="720"/>
      <c r="D519" s="720"/>
      <c r="E519" s="720"/>
      <c r="F519" s="720"/>
      <c r="G519" s="720"/>
      <c r="H519" s="720"/>
      <c r="I519" s="720"/>
      <c r="J519" s="720"/>
      <c r="K519" s="720"/>
      <c r="L519" s="720"/>
      <c r="M519" s="720"/>
      <c r="N519" s="720"/>
    </row>
  </sheetData>
  <mergeCells count="1">
    <mergeCell ref="H86:K86"/>
  </mergeCells>
  <pageMargins left="0.7" right="0.7" top="0.75" bottom="0.75" header="0.3" footer="0.3"/>
  <pageSetup orientation="portrait" r:id="rId1"/>
  <ignoredErrors>
    <ignoredError sqref="F16:M16 H103:M111 H514:M514 H113:M119" numberStoredAsText="1"/>
  </ignoredErrors>
  <legacy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AI93"/>
  <sheetViews>
    <sheetView topLeftCell="A25" zoomScale="70" zoomScaleNormal="70" workbookViewId="0">
      <selection activeCell="P23" sqref="P23"/>
    </sheetView>
  </sheetViews>
  <sheetFormatPr baseColWidth="10" defaultColWidth="8.85546875" defaultRowHeight="15" outlineLevelRow="1" x14ac:dyDescent="0.25"/>
  <cols>
    <col min="1" max="1" width="7.7109375" style="124" customWidth="1"/>
    <col min="2" max="2" width="5.85546875" style="124" customWidth="1"/>
    <col min="3" max="3" width="20.42578125" style="124" customWidth="1"/>
    <col min="4" max="4" width="41.140625" style="124" customWidth="1"/>
    <col min="5" max="5" width="20.7109375" style="124" customWidth="1"/>
    <col min="6" max="13" width="17.7109375" style="124" customWidth="1"/>
    <col min="14" max="14" width="2" style="124" customWidth="1"/>
    <col min="15" max="15" width="10.85546875" style="124" customWidth="1"/>
    <col min="16" max="16384" width="8.85546875" style="124"/>
  </cols>
  <sheetData>
    <row r="1" spans="1:14" ht="20.25" x14ac:dyDescent="0.3">
      <c r="A1" s="123" t="s">
        <v>206</v>
      </c>
      <c r="B1" s="123" t="s">
        <v>207</v>
      </c>
      <c r="C1" s="123"/>
    </row>
    <row r="2" spans="1:14" s="126" customFormat="1" ht="19.5" customHeight="1" x14ac:dyDescent="0.2">
      <c r="A2" s="125" t="s">
        <v>208</v>
      </c>
      <c r="B2" s="125" t="str">
        <f>INDEX(Modulos[Modulos], MATCH($A2, Modulos[Código], 0))</f>
        <v>Plantas Eólicas</v>
      </c>
      <c r="C2" s="125"/>
      <c r="E2" s="259"/>
    </row>
    <row r="3" spans="1:14" ht="9" customHeight="1" x14ac:dyDescent="0.25"/>
    <row r="4" spans="1:14" ht="23.25" x14ac:dyDescent="0.35">
      <c r="A4" s="127"/>
      <c r="B4" s="128" t="s">
        <v>144</v>
      </c>
      <c r="C4" s="260"/>
      <c r="D4" s="129"/>
      <c r="E4" s="261"/>
      <c r="F4" s="129"/>
      <c r="G4" s="129"/>
      <c r="H4" s="129"/>
      <c r="I4" s="129"/>
      <c r="J4" s="129"/>
      <c r="K4" s="129"/>
      <c r="L4" s="129"/>
      <c r="M4" s="129"/>
      <c r="N4" s="130"/>
    </row>
    <row r="5" spans="1:14" ht="6" customHeight="1" x14ac:dyDescent="0.25">
      <c r="B5" s="131"/>
      <c r="C5" s="143"/>
      <c r="D5" s="132"/>
      <c r="E5" s="142"/>
      <c r="F5" s="132"/>
      <c r="G5" s="132"/>
      <c r="H5" s="132"/>
      <c r="I5" s="132"/>
      <c r="J5" s="132"/>
      <c r="K5" s="132"/>
      <c r="L5" s="132"/>
      <c r="M5" s="132"/>
      <c r="N5" s="133"/>
    </row>
    <row r="6" spans="1:14" ht="15.75" x14ac:dyDescent="0.25">
      <c r="B6" s="134"/>
      <c r="C6" s="132"/>
      <c r="D6" s="135" t="s">
        <v>145</v>
      </c>
      <c r="E6" s="135" t="s">
        <v>3</v>
      </c>
      <c r="F6" s="132"/>
      <c r="G6" s="132"/>
      <c r="H6" s="132"/>
      <c r="I6" s="132"/>
      <c r="J6" s="132"/>
      <c r="K6" s="132"/>
      <c r="L6" s="132"/>
      <c r="M6" s="132"/>
      <c r="N6" s="133"/>
    </row>
    <row r="7" spans="1:14" ht="15.75" x14ac:dyDescent="0.25">
      <c r="B7" s="134"/>
      <c r="C7" s="132"/>
      <c r="D7" s="3174" t="str">
        <f>B2</f>
        <v>Plantas Eólicas</v>
      </c>
      <c r="E7" s="136">
        <f>Control!F53</f>
        <v>1</v>
      </c>
      <c r="F7" s="132"/>
      <c r="G7" s="132"/>
      <c r="H7" s="132"/>
      <c r="I7" s="132"/>
      <c r="J7" s="132"/>
      <c r="K7" s="132"/>
      <c r="L7" s="132"/>
      <c r="M7" s="132"/>
      <c r="N7" s="133"/>
    </row>
    <row r="8" spans="1:14" ht="6" customHeight="1" x14ac:dyDescent="0.25">
      <c r="B8" s="137"/>
      <c r="C8" s="138"/>
      <c r="D8" s="138"/>
      <c r="E8" s="138"/>
      <c r="F8" s="139"/>
      <c r="G8" s="139"/>
      <c r="H8" s="139"/>
      <c r="I8" s="139"/>
      <c r="J8" s="139"/>
      <c r="K8" s="139"/>
      <c r="L8" s="139"/>
      <c r="M8" s="139"/>
      <c r="N8" s="140"/>
    </row>
    <row r="10" spans="1:14" ht="23.25" x14ac:dyDescent="0.35">
      <c r="A10" s="127"/>
      <c r="B10" s="145" t="s">
        <v>151</v>
      </c>
      <c r="C10" s="146"/>
      <c r="D10" s="146"/>
      <c r="E10" s="146"/>
      <c r="F10" s="146"/>
      <c r="G10" s="146"/>
      <c r="H10" s="146"/>
      <c r="I10" s="146"/>
      <c r="J10" s="146"/>
      <c r="K10" s="146"/>
      <c r="L10" s="146"/>
      <c r="M10" s="146"/>
      <c r="N10" s="147"/>
    </row>
    <row r="11" spans="1:14" ht="5.25" customHeight="1" x14ac:dyDescent="0.25">
      <c r="B11" s="148"/>
      <c r="C11" s="149"/>
      <c r="D11" s="149"/>
      <c r="E11" s="149"/>
      <c r="F11" s="149"/>
      <c r="G11" s="149"/>
      <c r="H11" s="149"/>
      <c r="I11" s="149"/>
      <c r="J11" s="149"/>
      <c r="K11" s="149"/>
      <c r="L11" s="149"/>
      <c r="M11" s="149"/>
      <c r="N11" s="153"/>
    </row>
    <row r="12" spans="1:14" x14ac:dyDescent="0.25">
      <c r="B12" s="148"/>
      <c r="C12" s="151" t="s">
        <v>210</v>
      </c>
      <c r="D12" s="149"/>
      <c r="E12" s="152"/>
      <c r="F12" s="149"/>
      <c r="G12" s="149"/>
      <c r="H12" s="149"/>
      <c r="I12" s="149"/>
      <c r="J12" s="149"/>
      <c r="K12" s="149"/>
      <c r="L12" s="149"/>
      <c r="M12" s="152" t="s">
        <v>152</v>
      </c>
      <c r="N12" s="153"/>
    </row>
    <row r="13" spans="1:14" ht="5.25" customHeight="1" x14ac:dyDescent="0.25">
      <c r="B13" s="148"/>
      <c r="C13" s="149"/>
      <c r="D13" s="149"/>
      <c r="E13" s="149"/>
      <c r="F13" s="149"/>
      <c r="G13" s="149"/>
      <c r="H13" s="149"/>
      <c r="I13" s="149"/>
      <c r="J13" s="149"/>
      <c r="K13" s="149"/>
      <c r="L13" s="149"/>
      <c r="M13" s="149"/>
      <c r="N13" s="153"/>
    </row>
    <row r="14" spans="1:14" ht="15.75" x14ac:dyDescent="0.25">
      <c r="B14" s="173"/>
      <c r="C14" s="154" t="s">
        <v>3</v>
      </c>
      <c r="D14" s="154" t="s">
        <v>7</v>
      </c>
      <c r="E14" s="154" t="s">
        <v>8</v>
      </c>
      <c r="F14" s="155">
        <v>2015</v>
      </c>
      <c r="G14" s="156">
        <v>2020</v>
      </c>
      <c r="H14" s="155">
        <v>2025</v>
      </c>
      <c r="I14" s="155">
        <v>2030</v>
      </c>
      <c r="J14" s="155">
        <v>2035</v>
      </c>
      <c r="K14" s="155">
        <v>2040</v>
      </c>
      <c r="L14" s="155">
        <v>2045</v>
      </c>
      <c r="M14" s="155">
        <v>2050</v>
      </c>
      <c r="N14" s="153"/>
    </row>
    <row r="15" spans="1:14" ht="15.75" x14ac:dyDescent="0.25">
      <c r="B15" s="214"/>
      <c r="C15" s="157">
        <v>1</v>
      </c>
      <c r="D15" s="158"/>
      <c r="E15" s="159" t="s">
        <v>12</v>
      </c>
      <c r="F15" s="162">
        <v>1.0105</v>
      </c>
      <c r="G15" s="262">
        <v>1.778</v>
      </c>
      <c r="H15" s="162">
        <v>1.8839999999999999</v>
      </c>
      <c r="I15" s="162">
        <v>1.9899999999999998</v>
      </c>
      <c r="J15" s="162">
        <v>2.0959999999999996</v>
      </c>
      <c r="K15" s="162">
        <v>2.2019999999999995</v>
      </c>
      <c r="L15" s="162">
        <v>2.3079999999999994</v>
      </c>
      <c r="M15" s="162">
        <v>2.4139999999999993</v>
      </c>
      <c r="N15" s="163"/>
    </row>
    <row r="16" spans="1:14" ht="15.75" x14ac:dyDescent="0.25">
      <c r="B16" s="173"/>
      <c r="C16" s="157">
        <v>2</v>
      </c>
      <c r="D16" s="158"/>
      <c r="E16" s="158" t="s">
        <v>133</v>
      </c>
      <c r="F16" s="162">
        <v>1.0105</v>
      </c>
      <c r="G16" s="263">
        <v>2.36</v>
      </c>
      <c r="H16" s="166">
        <v>3.8519999999999999</v>
      </c>
      <c r="I16" s="166">
        <v>5.0456000000000003</v>
      </c>
      <c r="J16" s="166">
        <v>5.9408000000000003</v>
      </c>
      <c r="K16" s="166">
        <v>6.5376000000000003</v>
      </c>
      <c r="L16" s="166">
        <v>6.9852000000000007</v>
      </c>
      <c r="M16" s="166">
        <v>7.1344000000000012</v>
      </c>
      <c r="N16" s="153"/>
    </row>
    <row r="17" spans="1:17" ht="15.75" x14ac:dyDescent="0.25">
      <c r="B17" s="173"/>
      <c r="C17" s="157">
        <v>3</v>
      </c>
      <c r="D17" s="158"/>
      <c r="E17" s="158"/>
      <c r="F17" s="162">
        <v>1.0105</v>
      </c>
      <c r="G17" s="263">
        <v>3.6815999999999995</v>
      </c>
      <c r="H17" s="166">
        <v>6.0091200000000002</v>
      </c>
      <c r="I17" s="166">
        <v>7.8711359999999999</v>
      </c>
      <c r="J17" s="166">
        <v>9.2676479999999994</v>
      </c>
      <c r="K17" s="166">
        <v>10.198656000000001</v>
      </c>
      <c r="L17" s="166">
        <v>10.896912000000002</v>
      </c>
      <c r="M17" s="166">
        <v>11.129664000000002</v>
      </c>
      <c r="N17" s="153"/>
    </row>
    <row r="18" spans="1:17" ht="15.75" x14ac:dyDescent="0.25">
      <c r="B18" s="173"/>
      <c r="C18" s="167">
        <v>4</v>
      </c>
      <c r="D18" s="168"/>
      <c r="E18" s="168" t="s">
        <v>136</v>
      </c>
      <c r="F18" s="162">
        <v>1.0105</v>
      </c>
      <c r="G18" s="264">
        <v>5.0552642145341196</v>
      </c>
      <c r="H18" s="172">
        <v>8.251219387451453</v>
      </c>
      <c r="I18" s="172">
        <v>10.807983525785319</v>
      </c>
      <c r="J18" s="172">
        <v>12.725556629535719</v>
      </c>
      <c r="K18" s="172">
        <v>14.003938698702653</v>
      </c>
      <c r="L18" s="172">
        <v>14.962725250577856</v>
      </c>
      <c r="M18" s="172">
        <v>15.282320767869589</v>
      </c>
      <c r="N18" s="153"/>
    </row>
    <row r="19" spans="1:17" ht="15.75" x14ac:dyDescent="0.25">
      <c r="B19" s="173"/>
      <c r="C19" s="174" t="s">
        <v>153</v>
      </c>
      <c r="D19" s="175"/>
      <c r="E19" s="175"/>
      <c r="F19" s="176">
        <f>(INDEX(F$15:F$18,ROUNDDOWN($E$7,0))*(1-MOD($E$7,1)))+(INDEX(F$15:F$18,ROUNDUP($E$7,0))*MOD($E$7,1))</f>
        <v>1.0105</v>
      </c>
      <c r="G19" s="176">
        <f t="shared" ref="G19:M19" si="0">(INDEX(G$15:G$18,ROUNDDOWN($E$7,0))*(1-MOD($E$7,1)))+(INDEX(G$15:G$18,ROUNDUP($E$7,0))*MOD($E$7,1))</f>
        <v>1.778</v>
      </c>
      <c r="H19" s="176">
        <f t="shared" si="0"/>
        <v>1.8839999999999999</v>
      </c>
      <c r="I19" s="176">
        <f t="shared" si="0"/>
        <v>1.9899999999999998</v>
      </c>
      <c r="J19" s="176">
        <f t="shared" si="0"/>
        <v>2.0959999999999996</v>
      </c>
      <c r="K19" s="176">
        <f t="shared" si="0"/>
        <v>2.2019999999999995</v>
      </c>
      <c r="L19" s="176">
        <f t="shared" si="0"/>
        <v>2.3079999999999994</v>
      </c>
      <c r="M19" s="176">
        <f t="shared" si="0"/>
        <v>2.4139999999999993</v>
      </c>
      <c r="N19" s="153"/>
    </row>
    <row r="20" spans="1:17" ht="4.5" customHeight="1" x14ac:dyDescent="0.25">
      <c r="B20" s="173"/>
      <c r="C20" s="177"/>
      <c r="D20" s="158"/>
      <c r="E20" s="158"/>
      <c r="F20" s="178"/>
      <c r="G20" s="178"/>
      <c r="H20" s="178"/>
      <c r="I20" s="178"/>
      <c r="J20" s="178"/>
      <c r="K20" s="178"/>
      <c r="L20" s="178"/>
      <c r="M20" s="178"/>
      <c r="N20" s="153"/>
    </row>
    <row r="21" spans="1:17" ht="15.75" x14ac:dyDescent="0.25">
      <c r="B21" s="173"/>
      <c r="C21" s="149" t="s">
        <v>8</v>
      </c>
      <c r="D21" s="149"/>
      <c r="E21" s="149"/>
      <c r="F21" s="149"/>
      <c r="G21" s="149"/>
      <c r="H21" s="149"/>
      <c r="I21" s="149"/>
      <c r="J21" s="149"/>
      <c r="K21" s="178"/>
      <c r="L21" s="178"/>
      <c r="M21" s="178"/>
      <c r="N21" s="153"/>
    </row>
    <row r="22" spans="1:17" ht="15.75" x14ac:dyDescent="0.25">
      <c r="B22" s="173"/>
      <c r="C22" s="193" t="s">
        <v>12</v>
      </c>
      <c r="D22" s="149" t="s">
        <v>211</v>
      </c>
      <c r="E22" s="149"/>
      <c r="F22" s="149"/>
      <c r="G22" s="149"/>
      <c r="H22" s="149"/>
      <c r="I22" s="277" t="s">
        <v>212</v>
      </c>
      <c r="J22" s="149"/>
      <c r="K22" s="178"/>
      <c r="L22" s="178"/>
      <c r="M22" s="178"/>
      <c r="N22" s="153"/>
    </row>
    <row r="23" spans="1:17" ht="15.75" x14ac:dyDescent="0.25">
      <c r="B23" s="173"/>
      <c r="C23" s="193" t="s">
        <v>133</v>
      </c>
      <c r="D23" s="149" t="s">
        <v>213</v>
      </c>
      <c r="E23" s="149"/>
      <c r="F23" s="149"/>
      <c r="G23" s="149"/>
      <c r="H23" s="149"/>
      <c r="I23" s="149"/>
      <c r="J23" s="149"/>
      <c r="K23" s="178"/>
      <c r="L23" s="178"/>
      <c r="M23" s="178"/>
      <c r="N23" s="153"/>
      <c r="Q23" s="3559"/>
    </row>
    <row r="24" spans="1:17" ht="15.75" x14ac:dyDescent="0.25">
      <c r="B24" s="173"/>
      <c r="C24" s="193" t="s">
        <v>136</v>
      </c>
      <c r="D24" s="149" t="s">
        <v>214</v>
      </c>
      <c r="E24" s="149"/>
      <c r="F24" s="149"/>
      <c r="G24" s="149"/>
      <c r="H24" s="149"/>
      <c r="I24" s="277" t="s">
        <v>215</v>
      </c>
      <c r="J24" s="149"/>
      <c r="K24" s="178"/>
      <c r="L24" s="178"/>
      <c r="M24" s="178"/>
      <c r="N24" s="153"/>
    </row>
    <row r="25" spans="1:17" ht="6.75" customHeight="1" x14ac:dyDescent="0.25">
      <c r="B25" s="216"/>
      <c r="C25" s="193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53"/>
    </row>
    <row r="27" spans="1:17" s="126" customFormat="1" ht="23.25" x14ac:dyDescent="0.2">
      <c r="A27" s="180"/>
      <c r="B27" s="145" t="s">
        <v>216</v>
      </c>
      <c r="C27" s="146"/>
      <c r="D27" s="146"/>
      <c r="E27" s="146"/>
      <c r="F27" s="146"/>
      <c r="G27" s="146"/>
      <c r="H27" s="146"/>
      <c r="I27" s="146"/>
      <c r="J27" s="146"/>
      <c r="K27" s="146"/>
      <c r="L27" s="146"/>
      <c r="M27" s="146"/>
      <c r="N27" s="147"/>
    </row>
    <row r="28" spans="1:17" ht="11.25" customHeight="1" x14ac:dyDescent="0.25">
      <c r="B28" s="148"/>
      <c r="C28" s="149"/>
      <c r="D28" s="149"/>
      <c r="E28" s="149"/>
      <c r="F28" s="149"/>
      <c r="G28" s="149"/>
      <c r="H28" s="149"/>
      <c r="I28" s="149"/>
      <c r="J28" s="149"/>
      <c r="K28" s="149"/>
      <c r="L28" s="149"/>
      <c r="M28" s="149"/>
      <c r="N28" s="153"/>
    </row>
    <row r="29" spans="1:17" x14ac:dyDescent="0.25">
      <c r="B29" s="148"/>
      <c r="C29" s="151" t="s">
        <v>2331</v>
      </c>
      <c r="D29" s="149"/>
      <c r="E29" s="149"/>
      <c r="F29" s="149"/>
      <c r="G29" s="152"/>
      <c r="H29" s="149"/>
      <c r="I29" s="149"/>
      <c r="J29" s="149"/>
      <c r="K29" s="149"/>
      <c r="L29" s="149"/>
      <c r="M29" s="149"/>
      <c r="N29" s="153"/>
    </row>
    <row r="30" spans="1:17" ht="4.5" customHeight="1" x14ac:dyDescent="0.25">
      <c r="B30" s="148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53"/>
    </row>
    <row r="31" spans="1:17" ht="15.75" x14ac:dyDescent="0.25">
      <c r="B31" s="173"/>
      <c r="C31" s="154" t="s">
        <v>155</v>
      </c>
      <c r="D31" s="154" t="s">
        <v>156</v>
      </c>
      <c r="E31" s="154" t="s">
        <v>8</v>
      </c>
      <c r="F31" s="155">
        <v>2015</v>
      </c>
      <c r="G31" s="156">
        <v>2020</v>
      </c>
      <c r="H31" s="155">
        <v>2025</v>
      </c>
      <c r="I31" s="155">
        <v>2030</v>
      </c>
      <c r="J31" s="155">
        <v>2035</v>
      </c>
      <c r="K31" s="155">
        <v>2040</v>
      </c>
      <c r="L31" s="155">
        <v>2045</v>
      </c>
      <c r="M31" s="155">
        <v>2050</v>
      </c>
      <c r="N31" s="153"/>
    </row>
    <row r="32" spans="1:17" ht="15.75" x14ac:dyDescent="0.25">
      <c r="B32" s="173"/>
      <c r="C32" s="189" t="s">
        <v>218</v>
      </c>
      <c r="D32" s="190" t="s">
        <v>209</v>
      </c>
      <c r="E32" s="190" t="s">
        <v>12</v>
      </c>
      <c r="F32" s="265">
        <v>0.3</v>
      </c>
      <c r="G32" s="183">
        <f t="shared" ref="G32:M32" si="1">F32</f>
        <v>0.3</v>
      </c>
      <c r="H32" s="266">
        <f t="shared" si="1"/>
        <v>0.3</v>
      </c>
      <c r="I32" s="266">
        <f t="shared" si="1"/>
        <v>0.3</v>
      </c>
      <c r="J32" s="266">
        <f t="shared" si="1"/>
        <v>0.3</v>
      </c>
      <c r="K32" s="266">
        <f t="shared" si="1"/>
        <v>0.3</v>
      </c>
      <c r="L32" s="266">
        <f t="shared" si="1"/>
        <v>0.3</v>
      </c>
      <c r="M32" s="266">
        <f t="shared" si="1"/>
        <v>0.3</v>
      </c>
      <c r="N32" s="153"/>
    </row>
    <row r="33" spans="1:35" ht="4.5" customHeight="1" x14ac:dyDescent="0.25">
      <c r="B33" s="173"/>
      <c r="C33" s="157"/>
      <c r="D33" s="158"/>
      <c r="E33" s="158"/>
      <c r="F33" s="267"/>
      <c r="G33" s="268"/>
      <c r="H33" s="268"/>
      <c r="I33" s="268"/>
      <c r="J33" s="268"/>
      <c r="K33" s="268"/>
      <c r="L33" s="268"/>
      <c r="M33" s="268"/>
      <c r="N33" s="153"/>
    </row>
    <row r="34" spans="1:35" ht="15.75" x14ac:dyDescent="0.25">
      <c r="B34" s="173"/>
      <c r="C34" s="151" t="s">
        <v>161</v>
      </c>
      <c r="D34" s="149"/>
      <c r="E34" s="149"/>
      <c r="F34" s="149"/>
      <c r="G34" s="152"/>
      <c r="H34" s="149"/>
      <c r="I34" s="149"/>
      <c r="J34" s="149"/>
      <c r="K34" s="149"/>
      <c r="L34" s="149"/>
      <c r="M34" s="149"/>
      <c r="N34" s="153"/>
    </row>
    <row r="35" spans="1:35" ht="6" customHeight="1" x14ac:dyDescent="0.25">
      <c r="B35" s="173"/>
      <c r="C35" s="149"/>
      <c r="D35" s="149"/>
      <c r="E35" s="149"/>
      <c r="F35" s="149"/>
      <c r="G35" s="149"/>
      <c r="H35" s="149"/>
      <c r="I35" s="149"/>
      <c r="J35" s="149"/>
      <c r="K35" s="149"/>
      <c r="L35" s="149"/>
      <c r="M35" s="149"/>
      <c r="N35" s="153"/>
    </row>
    <row r="36" spans="1:35" ht="15.75" x14ac:dyDescent="0.25">
      <c r="B36" s="173"/>
      <c r="C36" s="154"/>
      <c r="D36" s="154"/>
      <c r="E36" s="154"/>
      <c r="F36" s="155"/>
      <c r="G36" s="185" t="s">
        <v>219</v>
      </c>
      <c r="H36" s="185"/>
      <c r="I36" s="149"/>
      <c r="J36" s="186"/>
      <c r="K36" s="186"/>
      <c r="L36" s="186"/>
      <c r="M36" s="186"/>
      <c r="N36" s="153"/>
    </row>
    <row r="37" spans="1:35" ht="15.75" x14ac:dyDescent="0.25">
      <c r="B37" s="173"/>
      <c r="C37" s="187"/>
      <c r="D37" s="188" t="s">
        <v>220</v>
      </c>
      <c r="E37" s="187"/>
      <c r="F37" s="269">
        <v>2.5000000000000001E-3</v>
      </c>
      <c r="G37" s="270" t="s">
        <v>162</v>
      </c>
      <c r="H37" s="271"/>
      <c r="I37" s="149"/>
      <c r="J37" s="186"/>
      <c r="K37" s="186"/>
      <c r="L37" s="186"/>
      <c r="M37" s="186"/>
      <c r="N37" s="153"/>
    </row>
    <row r="38" spans="1:35" ht="15.75" x14ac:dyDescent="0.25">
      <c r="B38" s="173"/>
      <c r="C38" s="189"/>
      <c r="D38" s="190" t="s">
        <v>221</v>
      </c>
      <c r="E38" s="1931" t="s">
        <v>12</v>
      </c>
      <c r="F38" s="272">
        <v>2.1915000000000004E-2</v>
      </c>
      <c r="G38" s="273" t="s">
        <v>222</v>
      </c>
      <c r="H38" s="273"/>
      <c r="I38" s="149"/>
      <c r="J38" s="191"/>
      <c r="K38" s="191"/>
      <c r="L38" s="191"/>
      <c r="M38" s="191"/>
      <c r="N38" s="153"/>
    </row>
    <row r="39" spans="1:35" ht="9.75" customHeight="1" x14ac:dyDescent="0.25">
      <c r="B39" s="173"/>
      <c r="C39" s="157"/>
      <c r="D39" s="158"/>
      <c r="E39" s="158"/>
      <c r="F39" s="274"/>
      <c r="G39" s="201"/>
      <c r="H39" s="201"/>
      <c r="I39" s="149"/>
      <c r="J39" s="191"/>
      <c r="K39" s="191"/>
      <c r="L39" s="191"/>
      <c r="M39" s="191"/>
      <c r="N39" s="153"/>
    </row>
    <row r="40" spans="1:35" x14ac:dyDescent="0.25">
      <c r="B40" s="148"/>
      <c r="C40" s="149" t="s">
        <v>8</v>
      </c>
      <c r="D40" s="149"/>
      <c r="E40" s="149"/>
      <c r="F40" s="149"/>
      <c r="G40" s="149"/>
      <c r="H40" s="149"/>
      <c r="I40" s="149"/>
      <c r="J40" s="149"/>
      <c r="K40" s="149"/>
      <c r="L40" s="149"/>
      <c r="M40" s="149"/>
      <c r="N40" s="153"/>
      <c r="P40" s="275"/>
      <c r="Q40" s="276"/>
      <c r="AB40" s="152"/>
      <c r="AC40" s="149"/>
      <c r="AD40" s="149"/>
      <c r="AE40" s="149"/>
      <c r="AF40" s="149"/>
      <c r="AG40" s="149"/>
      <c r="AH40" s="277"/>
      <c r="AI40" s="149"/>
    </row>
    <row r="41" spans="1:35" x14ac:dyDescent="0.25">
      <c r="B41" s="216"/>
      <c r="C41" s="193" t="s">
        <v>12</v>
      </c>
      <c r="D41" s="149" t="s">
        <v>223</v>
      </c>
      <c r="E41" s="149"/>
      <c r="F41" s="149"/>
      <c r="G41" s="149"/>
      <c r="H41" s="149"/>
      <c r="I41" s="149"/>
      <c r="J41" s="149"/>
      <c r="K41" s="149"/>
      <c r="L41" s="149"/>
      <c r="M41" s="149"/>
      <c r="N41" s="153"/>
      <c r="P41" s="278"/>
      <c r="Q41" s="197"/>
      <c r="AB41" s="152"/>
      <c r="AC41" s="149"/>
      <c r="AD41" s="149"/>
      <c r="AE41" s="149"/>
      <c r="AF41" s="149"/>
      <c r="AG41" s="149"/>
      <c r="AH41" s="149"/>
      <c r="AI41" s="149"/>
    </row>
    <row r="43" spans="1:35" s="126" customFormat="1" ht="23.25" hidden="1" outlineLevel="1" x14ac:dyDescent="0.25">
      <c r="A43" s="180"/>
      <c r="B43" s="145" t="s">
        <v>163</v>
      </c>
      <c r="C43" s="146"/>
      <c r="D43" s="146"/>
      <c r="E43" s="146"/>
      <c r="F43" s="146"/>
      <c r="G43" s="146"/>
      <c r="H43" s="146"/>
      <c r="I43" s="146"/>
      <c r="J43" s="146"/>
      <c r="K43" s="146"/>
      <c r="L43" s="146"/>
      <c r="M43" s="146"/>
      <c r="N43" s="147"/>
      <c r="P43" s="124"/>
      <c r="Q43" s="124"/>
      <c r="R43" s="124"/>
      <c r="S43" s="124"/>
      <c r="T43" s="124"/>
      <c r="U43" s="124"/>
      <c r="V43" s="124"/>
      <c r="W43" s="124"/>
    </row>
    <row r="44" spans="1:35" ht="5.25" hidden="1" customHeight="1" outlineLevel="1" x14ac:dyDescent="0.25">
      <c r="B44" s="220"/>
      <c r="C44" s="150"/>
      <c r="D44" s="150"/>
      <c r="E44" s="150"/>
      <c r="F44" s="150"/>
      <c r="G44" s="150"/>
      <c r="H44" s="150"/>
      <c r="I44" s="150"/>
      <c r="J44" s="150"/>
      <c r="K44" s="150"/>
      <c r="L44" s="150"/>
      <c r="M44" s="150"/>
      <c r="N44" s="150"/>
      <c r="O44" s="281"/>
    </row>
    <row r="45" spans="1:35" hidden="1" outlineLevel="1" x14ac:dyDescent="0.25">
      <c r="B45" s="148"/>
      <c r="C45" s="151" t="s">
        <v>226</v>
      </c>
      <c r="D45" s="188"/>
      <c r="E45" s="199"/>
      <c r="F45" s="200"/>
      <c r="G45" s="200"/>
      <c r="H45" s="201"/>
      <c r="I45" s="201"/>
      <c r="J45" s="201"/>
      <c r="K45" s="201"/>
      <c r="L45" s="201"/>
      <c r="M45" s="202" t="s">
        <v>227</v>
      </c>
      <c r="N45" s="149"/>
      <c r="O45" s="281"/>
      <c r="P45" s="197"/>
      <c r="Q45" s="197"/>
      <c r="R45" s="197"/>
      <c r="S45" s="197"/>
      <c r="T45" s="197"/>
      <c r="U45" s="197"/>
    </row>
    <row r="46" spans="1:35" ht="4.5" hidden="1" customHeight="1" outlineLevel="1" x14ac:dyDescent="0.25">
      <c r="B46" s="148"/>
      <c r="C46" s="177"/>
      <c r="D46" s="188"/>
      <c r="E46" s="199"/>
      <c r="F46" s="200"/>
      <c r="G46" s="201"/>
      <c r="H46" s="201"/>
      <c r="I46" s="201"/>
      <c r="J46" s="201"/>
      <c r="K46" s="201"/>
      <c r="L46" s="201"/>
      <c r="M46" s="149"/>
      <c r="N46" s="149"/>
      <c r="O46" s="281"/>
      <c r="P46" s="197"/>
      <c r="Q46" s="197"/>
      <c r="R46" s="197"/>
      <c r="S46" s="197"/>
      <c r="T46" s="197"/>
      <c r="U46" s="197"/>
    </row>
    <row r="47" spans="1:35" hidden="1" outlineLevel="1" x14ac:dyDescent="0.25">
      <c r="B47" s="148"/>
      <c r="C47" s="209"/>
      <c r="D47" s="282"/>
      <c r="E47" s="218" t="s">
        <v>164</v>
      </c>
      <c r="F47" s="219">
        <v>2015</v>
      </c>
      <c r="G47" s="203">
        <v>2020</v>
      </c>
      <c r="H47" s="203">
        <v>2025</v>
      </c>
      <c r="I47" s="203">
        <v>2030</v>
      </c>
      <c r="J47" s="203">
        <v>2035</v>
      </c>
      <c r="K47" s="203">
        <v>2040</v>
      </c>
      <c r="L47" s="203">
        <v>2045</v>
      </c>
      <c r="M47" s="203">
        <v>2050</v>
      </c>
      <c r="N47" s="149"/>
      <c r="O47" s="281"/>
      <c r="R47" s="197"/>
      <c r="S47" s="197"/>
      <c r="T47" s="197"/>
      <c r="U47" s="197"/>
    </row>
    <row r="48" spans="1:35" hidden="1" outlineLevel="1" x14ac:dyDescent="0.25">
      <c r="B48" s="148"/>
      <c r="C48" s="204" t="s">
        <v>165</v>
      </c>
      <c r="D48" s="282"/>
      <c r="E48" s="211">
        <v>0</v>
      </c>
      <c r="F48" s="211">
        <v>4.6450000000000005</v>
      </c>
      <c r="G48" s="200">
        <v>4.6450000000000005</v>
      </c>
      <c r="H48" s="200">
        <v>4.6450000000000005</v>
      </c>
      <c r="I48" s="200">
        <v>4.6450000000000005</v>
      </c>
      <c r="J48" s="200">
        <v>4.6450000000000005</v>
      </c>
      <c r="K48" s="200">
        <v>4.6450000000000005</v>
      </c>
      <c r="L48" s="200">
        <v>4.6450000000000005</v>
      </c>
      <c r="M48" s="200">
        <v>4.6450000000000005</v>
      </c>
      <c r="N48" s="149"/>
      <c r="O48" s="281"/>
    </row>
    <row r="49" spans="1:15" hidden="1" outlineLevel="1" x14ac:dyDescent="0.25">
      <c r="B49" s="148"/>
      <c r="C49" s="204" t="s">
        <v>166</v>
      </c>
      <c r="D49" s="188"/>
      <c r="E49" s="200">
        <v>-1.2466324733188261E-2</v>
      </c>
      <c r="F49" s="200">
        <v>3.9115117604393328</v>
      </c>
      <c r="G49" s="200">
        <v>3.7868485131074499</v>
      </c>
      <c r="H49" s="200">
        <v>3.7245168894415084</v>
      </c>
      <c r="I49" s="200">
        <v>3.6621852657755669</v>
      </c>
      <c r="J49" s="200">
        <v>3.5998536421096254</v>
      </c>
      <c r="K49" s="200">
        <v>3.537522018443684</v>
      </c>
      <c r="L49" s="200">
        <v>3.4751903947777425</v>
      </c>
      <c r="M49" s="200">
        <v>3.4128587711118024</v>
      </c>
      <c r="N49" s="149"/>
      <c r="O49" s="281"/>
    </row>
    <row r="50" spans="1:15" hidden="1" outlineLevel="1" x14ac:dyDescent="0.25">
      <c r="B50" s="148"/>
      <c r="C50" s="206" t="s">
        <v>167</v>
      </c>
      <c r="D50" s="207"/>
      <c r="E50" s="212">
        <v>-3.2499999999999972E-3</v>
      </c>
      <c r="F50" s="212">
        <v>2.1850000000000001</v>
      </c>
      <c r="G50" s="212">
        <v>2.1525000000000003</v>
      </c>
      <c r="H50" s="212">
        <v>2.1362500000000004</v>
      </c>
      <c r="I50" s="212">
        <v>2.1200000000000006</v>
      </c>
      <c r="J50" s="212">
        <v>2.1037500000000007</v>
      </c>
      <c r="K50" s="212">
        <v>2.0875000000000008</v>
      </c>
      <c r="L50" s="212">
        <v>2.0712500000000009</v>
      </c>
      <c r="M50" s="212">
        <v>2.0550000000000002</v>
      </c>
      <c r="N50" s="149"/>
      <c r="O50" s="281"/>
    </row>
    <row r="51" spans="1:15" hidden="1" outlineLevel="1" x14ac:dyDescent="0.25">
      <c r="B51" s="148"/>
      <c r="C51" s="177"/>
      <c r="D51" s="188"/>
      <c r="E51" s="199"/>
      <c r="F51" s="200"/>
      <c r="G51" s="201"/>
      <c r="H51" s="201"/>
      <c r="I51" s="201"/>
      <c r="J51" s="201"/>
      <c r="K51" s="201"/>
      <c r="L51" s="201"/>
      <c r="M51" s="149"/>
      <c r="N51" s="149"/>
      <c r="O51" s="281"/>
    </row>
    <row r="52" spans="1:15" hidden="1" outlineLevel="1" x14ac:dyDescent="0.25">
      <c r="B52" s="148"/>
      <c r="C52" s="151" t="s">
        <v>228</v>
      </c>
      <c r="D52" s="188"/>
      <c r="E52" s="199"/>
      <c r="F52" s="200"/>
      <c r="G52" s="201"/>
      <c r="H52" s="201"/>
      <c r="I52" s="201"/>
      <c r="J52" s="201"/>
      <c r="K52" s="201"/>
      <c r="L52" s="201"/>
      <c r="M52" s="202" t="s">
        <v>227</v>
      </c>
      <c r="N52" s="149"/>
      <c r="O52" s="281"/>
    </row>
    <row r="53" spans="1:15" ht="4.5" hidden="1" customHeight="1" outlineLevel="1" x14ac:dyDescent="0.25">
      <c r="B53" s="148"/>
      <c r="C53" s="177"/>
      <c r="D53" s="188"/>
      <c r="E53" s="199"/>
      <c r="F53" s="200"/>
      <c r="G53" s="201"/>
      <c r="H53" s="201"/>
      <c r="I53" s="201"/>
      <c r="J53" s="201"/>
      <c r="K53" s="201"/>
      <c r="L53" s="201"/>
      <c r="M53" s="149"/>
      <c r="N53" s="149"/>
      <c r="O53" s="281"/>
    </row>
    <row r="54" spans="1:15" hidden="1" outlineLevel="1" x14ac:dyDescent="0.25">
      <c r="B54" s="148"/>
      <c r="C54" s="209"/>
      <c r="D54" s="282"/>
      <c r="E54" s="218" t="s">
        <v>164</v>
      </c>
      <c r="F54" s="219">
        <v>2015</v>
      </c>
      <c r="G54" s="203">
        <v>2020</v>
      </c>
      <c r="H54" s="203">
        <v>2025</v>
      </c>
      <c r="I54" s="203">
        <v>2030</v>
      </c>
      <c r="J54" s="203">
        <v>2035</v>
      </c>
      <c r="K54" s="203">
        <v>2040</v>
      </c>
      <c r="L54" s="203">
        <v>2045</v>
      </c>
      <c r="M54" s="203">
        <v>2050</v>
      </c>
      <c r="N54" s="149"/>
      <c r="O54" s="281"/>
    </row>
    <row r="55" spans="1:15" hidden="1" outlineLevel="1" x14ac:dyDescent="0.25">
      <c r="B55" s="148"/>
      <c r="C55" s="204" t="s">
        <v>165</v>
      </c>
      <c r="D55" s="282"/>
      <c r="E55" s="210">
        <v>0</v>
      </c>
      <c r="F55" s="211">
        <v>0.1875</v>
      </c>
      <c r="G55" s="200">
        <v>0.1875</v>
      </c>
      <c r="H55" s="200">
        <v>0.1875</v>
      </c>
      <c r="I55" s="200">
        <v>0.1875</v>
      </c>
      <c r="J55" s="200">
        <v>0.1875</v>
      </c>
      <c r="K55" s="200">
        <v>0.1875</v>
      </c>
      <c r="L55" s="200">
        <v>0.1875</v>
      </c>
      <c r="M55" s="200">
        <v>0.1875</v>
      </c>
      <c r="N55" s="149"/>
      <c r="O55" s="281"/>
    </row>
    <row r="56" spans="1:15" hidden="1" outlineLevel="1" x14ac:dyDescent="0.25">
      <c r="B56" s="148"/>
      <c r="C56" s="204" t="s">
        <v>166</v>
      </c>
      <c r="D56" s="188"/>
      <c r="E56" s="205">
        <v>0</v>
      </c>
      <c r="F56" s="200">
        <v>3.4484768417780545E-2</v>
      </c>
      <c r="G56" s="200">
        <v>3.4484768417780545E-2</v>
      </c>
      <c r="H56" s="200">
        <v>3.4484768417780545E-2</v>
      </c>
      <c r="I56" s="200">
        <v>3.4484768417780545E-2</v>
      </c>
      <c r="J56" s="200">
        <v>3.4484768417780545E-2</v>
      </c>
      <c r="K56" s="200">
        <v>3.4484768417780545E-2</v>
      </c>
      <c r="L56" s="200">
        <v>3.4484768417780545E-2</v>
      </c>
      <c r="M56" s="200">
        <v>3.4484768417780545E-2</v>
      </c>
      <c r="N56" s="149"/>
      <c r="O56" s="281"/>
    </row>
    <row r="57" spans="1:15" hidden="1" outlineLevel="1" x14ac:dyDescent="0.25">
      <c r="B57" s="148"/>
      <c r="C57" s="206" t="s">
        <v>167</v>
      </c>
      <c r="D57" s="207"/>
      <c r="E57" s="208">
        <v>0</v>
      </c>
      <c r="F57" s="212">
        <v>1.7500000000000002E-2</v>
      </c>
      <c r="G57" s="212">
        <v>1.7500000000000002E-2</v>
      </c>
      <c r="H57" s="212">
        <v>1.7500000000000002E-2</v>
      </c>
      <c r="I57" s="212">
        <v>1.7500000000000002E-2</v>
      </c>
      <c r="J57" s="212">
        <v>1.7500000000000002E-2</v>
      </c>
      <c r="K57" s="212">
        <v>1.7500000000000002E-2</v>
      </c>
      <c r="L57" s="212">
        <v>1.7500000000000002E-2</v>
      </c>
      <c r="M57" s="212">
        <v>1.7500000000000002E-2</v>
      </c>
      <c r="N57" s="149"/>
      <c r="O57" s="281"/>
    </row>
    <row r="58" spans="1:15" hidden="1" outlineLevel="1" x14ac:dyDescent="0.25">
      <c r="B58" s="198"/>
      <c r="C58" s="198"/>
      <c r="D58" s="149"/>
      <c r="E58" s="201"/>
      <c r="F58" s="149"/>
      <c r="G58" s="149"/>
      <c r="H58" s="149"/>
      <c r="I58" s="149"/>
      <c r="J58" s="283"/>
      <c r="K58" s="283"/>
      <c r="L58" s="198"/>
      <c r="M58" s="198"/>
      <c r="N58" s="198"/>
    </row>
    <row r="59" spans="1:15" hidden="1" outlineLevel="1" x14ac:dyDescent="0.25"/>
    <row r="60" spans="1:15" ht="23.25" collapsed="1" x14ac:dyDescent="0.35">
      <c r="A60" s="127"/>
      <c r="B60" s="284" t="s">
        <v>229</v>
      </c>
    </row>
    <row r="61" spans="1:15" ht="23.25" x14ac:dyDescent="0.35">
      <c r="A61" s="127"/>
      <c r="B61" s="224"/>
      <c r="C61" s="1932" t="s">
        <v>1014</v>
      </c>
    </row>
    <row r="62" spans="1:15" ht="23.25" customHeight="1" x14ac:dyDescent="0.25">
      <c r="B62" s="224"/>
    </row>
    <row r="63" spans="1:15" x14ac:dyDescent="0.25">
      <c r="B63" s="224" t="s">
        <v>231</v>
      </c>
      <c r="F63" s="224">
        <v>2015</v>
      </c>
      <c r="G63" s="224">
        <v>2020</v>
      </c>
      <c r="H63" s="224">
        <v>2025</v>
      </c>
      <c r="I63" s="224">
        <v>2030</v>
      </c>
      <c r="J63" s="224">
        <v>2035</v>
      </c>
      <c r="K63" s="224">
        <v>2040</v>
      </c>
      <c r="L63" s="224">
        <v>2045</v>
      </c>
      <c r="M63" s="224">
        <v>2050</v>
      </c>
    </row>
    <row r="64" spans="1:15" x14ac:dyDescent="0.25">
      <c r="C64" s="224" t="s">
        <v>169</v>
      </c>
      <c r="E64" s="124" t="s">
        <v>152</v>
      </c>
      <c r="F64" s="225">
        <f t="shared" ref="F64:M64" si="2">F19</f>
        <v>1.0105</v>
      </c>
      <c r="G64" s="225">
        <f t="shared" si="2"/>
        <v>1.778</v>
      </c>
      <c r="H64" s="225">
        <f t="shared" si="2"/>
        <v>1.8839999999999999</v>
      </c>
      <c r="I64" s="225">
        <f t="shared" si="2"/>
        <v>1.9899999999999998</v>
      </c>
      <c r="J64" s="225">
        <f t="shared" si="2"/>
        <v>2.0959999999999996</v>
      </c>
      <c r="K64" s="225">
        <f t="shared" si="2"/>
        <v>2.2019999999999995</v>
      </c>
      <c r="L64" s="225">
        <f t="shared" si="2"/>
        <v>2.3079999999999994</v>
      </c>
      <c r="M64" s="225">
        <f t="shared" si="2"/>
        <v>2.4139999999999993</v>
      </c>
    </row>
    <row r="65" spans="2:15" x14ac:dyDescent="0.25">
      <c r="B65" s="124" t="s">
        <v>232</v>
      </c>
      <c r="C65" s="285" t="s">
        <v>233</v>
      </c>
      <c r="F65" s="226">
        <f t="shared" ref="F65:M65" si="3">F32</f>
        <v>0.3</v>
      </c>
      <c r="G65" s="226">
        <f t="shared" si="3"/>
        <v>0.3</v>
      </c>
      <c r="H65" s="226">
        <f t="shared" si="3"/>
        <v>0.3</v>
      </c>
      <c r="I65" s="226">
        <f t="shared" si="3"/>
        <v>0.3</v>
      </c>
      <c r="J65" s="226">
        <f t="shared" si="3"/>
        <v>0.3</v>
      </c>
      <c r="K65" s="226">
        <f t="shared" si="3"/>
        <v>0.3</v>
      </c>
      <c r="L65" s="226">
        <f t="shared" si="3"/>
        <v>0.3</v>
      </c>
      <c r="M65" s="226">
        <f t="shared" si="3"/>
        <v>0.3</v>
      </c>
    </row>
    <row r="66" spans="2:15" x14ac:dyDescent="0.25">
      <c r="B66" s="223" t="s">
        <v>234</v>
      </c>
      <c r="C66" s="224" t="s">
        <v>235</v>
      </c>
      <c r="F66" s="227">
        <f>F65*F64</f>
        <v>0.30314999999999998</v>
      </c>
      <c r="G66" s="227">
        <f t="shared" ref="G66:M66" si="4">G65*G64</f>
        <v>0.53339999999999999</v>
      </c>
      <c r="H66" s="227">
        <f t="shared" si="4"/>
        <v>0.56519999999999992</v>
      </c>
      <c r="I66" s="227">
        <f t="shared" si="4"/>
        <v>0.59699999999999986</v>
      </c>
      <c r="J66" s="227">
        <f t="shared" si="4"/>
        <v>0.62879999999999991</v>
      </c>
      <c r="K66" s="227">
        <f t="shared" si="4"/>
        <v>0.66059999999999985</v>
      </c>
      <c r="L66" s="227">
        <f t="shared" si="4"/>
        <v>0.69239999999999979</v>
      </c>
      <c r="M66" s="227">
        <f t="shared" si="4"/>
        <v>0.72419999999999973</v>
      </c>
    </row>
    <row r="67" spans="2:15" x14ac:dyDescent="0.25">
      <c r="C67" s="224" t="s">
        <v>236</v>
      </c>
      <c r="E67" s="124" t="s">
        <v>171</v>
      </c>
      <c r="F67" s="227">
        <f>F66*8.776</f>
        <v>2.6604443999999998</v>
      </c>
      <c r="G67" s="227">
        <f t="shared" ref="G67:M67" si="5">G66*8.776</f>
        <v>4.6811183999999999</v>
      </c>
      <c r="H67" s="227">
        <f t="shared" si="5"/>
        <v>4.9601951999999994</v>
      </c>
      <c r="I67" s="227">
        <f t="shared" si="5"/>
        <v>5.2392719999999988</v>
      </c>
      <c r="J67" s="227">
        <f t="shared" si="5"/>
        <v>5.5183487999999992</v>
      </c>
      <c r="K67" s="227">
        <f t="shared" si="5"/>
        <v>5.7974255999999986</v>
      </c>
      <c r="L67" s="227">
        <f t="shared" si="5"/>
        <v>6.0765023999999981</v>
      </c>
      <c r="M67" s="227">
        <f t="shared" si="5"/>
        <v>6.3555791999999975</v>
      </c>
      <c r="O67" s="227"/>
    </row>
    <row r="68" spans="2:15" x14ac:dyDescent="0.25">
      <c r="C68" s="224"/>
      <c r="F68" s="227"/>
      <c r="G68" s="227"/>
      <c r="H68" s="227"/>
      <c r="I68" s="227"/>
      <c r="J68" s="227"/>
      <c r="K68" s="227"/>
      <c r="L68" s="227"/>
      <c r="M68" s="227"/>
    </row>
    <row r="69" spans="2:15" x14ac:dyDescent="0.25">
      <c r="C69" s="224"/>
      <c r="F69" s="227"/>
      <c r="G69" s="227"/>
      <c r="H69" s="227"/>
      <c r="I69" s="227"/>
      <c r="J69" s="227"/>
      <c r="K69" s="227"/>
      <c r="L69" s="227"/>
      <c r="M69" s="227"/>
    </row>
    <row r="70" spans="2:15" hidden="1" outlineLevel="1" x14ac:dyDescent="0.25">
      <c r="B70" s="124" t="s">
        <v>174</v>
      </c>
      <c r="F70" s="230"/>
      <c r="G70" s="230"/>
      <c r="H70" s="230"/>
      <c r="I70" s="230"/>
      <c r="J70" s="230"/>
      <c r="K70" s="230"/>
      <c r="L70" s="230"/>
      <c r="M70" s="230"/>
      <c r="N70" s="229"/>
    </row>
    <row r="71" spans="2:15" hidden="1" outlineLevel="1" x14ac:dyDescent="0.25">
      <c r="C71" s="124" t="s">
        <v>175</v>
      </c>
      <c r="E71" s="124" t="s">
        <v>176</v>
      </c>
      <c r="F71" s="230">
        <v>0</v>
      </c>
      <c r="G71" s="230">
        <v>1223.1833333333329</v>
      </c>
      <c r="H71" s="230">
        <v>1272.73</v>
      </c>
      <c r="I71" s="230">
        <v>557.40000000000009</v>
      </c>
      <c r="J71" s="230">
        <v>557.40000000000009</v>
      </c>
      <c r="K71" s="230">
        <v>557.40000000000009</v>
      </c>
      <c r="L71" s="230">
        <v>557.40000000000009</v>
      </c>
      <c r="M71" s="230">
        <v>557.40000000000009</v>
      </c>
      <c r="N71" s="229"/>
    </row>
    <row r="72" spans="2:15" hidden="1" outlineLevel="1" x14ac:dyDescent="0.25">
      <c r="C72" s="124" t="s">
        <v>177</v>
      </c>
      <c r="E72" s="124" t="s">
        <v>176</v>
      </c>
      <c r="F72" s="230">
        <v>156.255</v>
      </c>
      <c r="G72" s="230">
        <v>304.37999999999988</v>
      </c>
      <c r="H72" s="230">
        <v>988.00500000000011</v>
      </c>
      <c r="I72" s="230">
        <v>885.63000000000011</v>
      </c>
      <c r="J72" s="230">
        <v>741.255</v>
      </c>
      <c r="K72" s="230">
        <v>596.88</v>
      </c>
      <c r="L72" s="230">
        <v>452.505</v>
      </c>
      <c r="M72" s="230">
        <v>452.505</v>
      </c>
      <c r="N72" s="229"/>
    </row>
    <row r="73" spans="2:15" hidden="1" outlineLevel="1" x14ac:dyDescent="0.25">
      <c r="C73" s="124" t="s">
        <v>178</v>
      </c>
      <c r="E73" s="124" t="s">
        <v>176</v>
      </c>
      <c r="F73" s="230">
        <v>156.255</v>
      </c>
      <c r="G73" s="230">
        <v>1527.5633333333328</v>
      </c>
      <c r="H73" s="230">
        <v>2260.7350000000001</v>
      </c>
      <c r="I73" s="230">
        <v>1443.0300000000002</v>
      </c>
      <c r="J73" s="230">
        <v>1298.6550000000002</v>
      </c>
      <c r="K73" s="230">
        <v>1154.2800000000002</v>
      </c>
      <c r="L73" s="230">
        <v>1009.9050000000001</v>
      </c>
      <c r="M73" s="230">
        <v>1009.9050000000001</v>
      </c>
      <c r="N73" s="229"/>
    </row>
    <row r="74" spans="2:15" hidden="1" outlineLevel="1" x14ac:dyDescent="0.25">
      <c r="C74" s="224"/>
      <c r="F74" s="227"/>
      <c r="G74" s="227"/>
      <c r="H74" s="227"/>
      <c r="I74" s="227"/>
      <c r="J74" s="227"/>
      <c r="K74" s="227"/>
      <c r="L74" s="227"/>
      <c r="M74" s="227"/>
    </row>
    <row r="75" spans="2:15" hidden="1" outlineLevel="1" x14ac:dyDescent="0.25">
      <c r="B75" s="124" t="s">
        <v>179</v>
      </c>
      <c r="F75" s="230"/>
      <c r="G75" s="230"/>
      <c r="H75" s="230"/>
      <c r="I75" s="230"/>
      <c r="J75" s="230"/>
      <c r="K75" s="230"/>
      <c r="L75" s="230"/>
      <c r="M75" s="230"/>
      <c r="N75" s="229"/>
    </row>
    <row r="76" spans="2:15" hidden="1" outlineLevel="1" x14ac:dyDescent="0.25">
      <c r="C76" s="124" t="s">
        <v>175</v>
      </c>
      <c r="E76" s="124" t="s">
        <v>176</v>
      </c>
      <c r="F76" s="230">
        <v>0</v>
      </c>
      <c r="G76" s="230">
        <v>1030.0314302490237</v>
      </c>
      <c r="H76" s="230">
        <v>1020.5176277069733</v>
      </c>
      <c r="I76" s="230">
        <v>439.46223189306806</v>
      </c>
      <c r="J76" s="230">
        <v>431.98243705315508</v>
      </c>
      <c r="K76" s="230">
        <v>424.50264221324215</v>
      </c>
      <c r="L76" s="230">
        <v>417.02284737332917</v>
      </c>
      <c r="M76" s="230">
        <v>409.54305253341636</v>
      </c>
      <c r="N76" s="229"/>
    </row>
    <row r="77" spans="2:15" hidden="1" outlineLevel="1" x14ac:dyDescent="0.25">
      <c r="C77" s="124" t="s">
        <v>177</v>
      </c>
      <c r="E77" s="124" t="s">
        <v>176</v>
      </c>
      <c r="F77" s="230">
        <v>28.738226608641597</v>
      </c>
      <c r="G77" s="230">
        <v>55.981193658688206</v>
      </c>
      <c r="H77" s="230">
        <v>181.71265930991612</v>
      </c>
      <c r="I77" s="230">
        <v>162.88397575380793</v>
      </c>
      <c r="J77" s="230">
        <v>136.3307040721169</v>
      </c>
      <c r="K77" s="230">
        <v>109.77743239042589</v>
      </c>
      <c r="L77" s="230">
        <v>83.224160708734857</v>
      </c>
      <c r="M77" s="230">
        <v>83.224160708734857</v>
      </c>
      <c r="N77" s="229"/>
    </row>
    <row r="78" spans="2:15" hidden="1" outlineLevel="1" x14ac:dyDescent="0.25">
      <c r="C78" s="124" t="s">
        <v>178</v>
      </c>
      <c r="E78" s="124" t="s">
        <v>176</v>
      </c>
      <c r="F78" s="230">
        <v>28.738226608641597</v>
      </c>
      <c r="G78" s="230">
        <v>1086.0126239077119</v>
      </c>
      <c r="H78" s="230">
        <v>1202.2302870168894</v>
      </c>
      <c r="I78" s="230">
        <v>602.346207646876</v>
      </c>
      <c r="J78" s="230">
        <v>568.31314112527195</v>
      </c>
      <c r="K78" s="230">
        <v>534.28007460366803</v>
      </c>
      <c r="L78" s="230">
        <v>500.24700808206404</v>
      </c>
      <c r="M78" s="230">
        <v>492.76721324215123</v>
      </c>
      <c r="N78" s="229"/>
    </row>
    <row r="79" spans="2:15" hidden="1" outlineLevel="1" x14ac:dyDescent="0.25">
      <c r="F79" s="230"/>
      <c r="G79" s="230"/>
      <c r="H79" s="230"/>
      <c r="I79" s="230"/>
      <c r="J79" s="230"/>
      <c r="K79" s="230"/>
      <c r="L79" s="230"/>
      <c r="M79" s="230"/>
      <c r="N79" s="229"/>
    </row>
    <row r="80" spans="2:15" hidden="1" outlineLevel="1" x14ac:dyDescent="0.25">
      <c r="B80" s="124" t="s">
        <v>180</v>
      </c>
      <c r="F80" s="230"/>
      <c r="G80" s="230"/>
      <c r="H80" s="230"/>
      <c r="I80" s="230"/>
      <c r="J80" s="230"/>
      <c r="K80" s="230"/>
      <c r="L80" s="230"/>
      <c r="M80" s="230"/>
      <c r="N80" s="229"/>
    </row>
    <row r="81" spans="1:14" hidden="1" outlineLevel="1" x14ac:dyDescent="0.25">
      <c r="C81" s="124" t="s">
        <v>175</v>
      </c>
      <c r="E81" s="124" t="s">
        <v>176</v>
      </c>
      <c r="F81" s="230">
        <v>0</v>
      </c>
      <c r="G81" s="230">
        <v>575.3833333333331</v>
      </c>
      <c r="H81" s="230">
        <v>585.3325000000001</v>
      </c>
      <c r="I81" s="230">
        <v>254.40000000000009</v>
      </c>
      <c r="J81" s="230">
        <v>252.4500000000001</v>
      </c>
      <c r="K81" s="230">
        <v>250.50000000000011</v>
      </c>
      <c r="L81" s="230">
        <v>248.55000000000015</v>
      </c>
      <c r="M81" s="230">
        <v>246.60000000000005</v>
      </c>
      <c r="N81" s="229"/>
    </row>
    <row r="82" spans="1:14" hidden="1" outlineLevel="1" x14ac:dyDescent="0.25">
      <c r="C82" s="124" t="s">
        <v>177</v>
      </c>
      <c r="E82" s="124" t="s">
        <v>176</v>
      </c>
      <c r="F82" s="230">
        <v>14.583800000000002</v>
      </c>
      <c r="G82" s="230">
        <v>28.408799999999992</v>
      </c>
      <c r="H82" s="230">
        <v>92.21380000000002</v>
      </c>
      <c r="I82" s="230">
        <v>82.658800000000014</v>
      </c>
      <c r="J82" s="230">
        <v>69.183800000000005</v>
      </c>
      <c r="K82" s="230">
        <v>55.708800000000011</v>
      </c>
      <c r="L82" s="230">
        <v>42.233800000000009</v>
      </c>
      <c r="M82" s="230">
        <v>42.233800000000009</v>
      </c>
      <c r="N82" s="229"/>
    </row>
    <row r="83" spans="1:14" hidden="1" outlineLevel="1" collapsed="1" x14ac:dyDescent="0.25">
      <c r="C83" s="124" t="s">
        <v>178</v>
      </c>
      <c r="E83" s="124" t="s">
        <v>176</v>
      </c>
      <c r="F83" s="230">
        <v>14.583800000000002</v>
      </c>
      <c r="G83" s="230">
        <v>603.79213333333314</v>
      </c>
      <c r="H83" s="230">
        <v>677.54630000000009</v>
      </c>
      <c r="I83" s="230">
        <v>337.05880000000013</v>
      </c>
      <c r="J83" s="230">
        <v>321.63380000000012</v>
      </c>
      <c r="K83" s="230">
        <v>306.20880000000011</v>
      </c>
      <c r="L83" s="230">
        <v>290.78380000000016</v>
      </c>
      <c r="M83" s="230">
        <v>288.83380000000005</v>
      </c>
      <c r="N83" s="229"/>
    </row>
    <row r="84" spans="1:14" collapsed="1" x14ac:dyDescent="0.25"/>
    <row r="85" spans="1:14" ht="23.25" x14ac:dyDescent="0.35">
      <c r="A85" s="127"/>
      <c r="B85" s="128" t="s">
        <v>181</v>
      </c>
      <c r="C85" s="129"/>
      <c r="D85" s="129"/>
      <c r="E85" s="129"/>
      <c r="F85" s="129"/>
      <c r="G85" s="129"/>
      <c r="H85" s="129"/>
      <c r="I85" s="129"/>
      <c r="J85" s="129"/>
      <c r="K85" s="129"/>
      <c r="L85" s="129"/>
      <c r="M85" s="129"/>
      <c r="N85" s="130"/>
    </row>
    <row r="86" spans="1:14" ht="6" customHeight="1" x14ac:dyDescent="0.25">
      <c r="B86" s="131"/>
      <c r="C86" s="132"/>
      <c r="D86" s="132"/>
      <c r="E86" s="132"/>
      <c r="F86" s="132"/>
      <c r="G86" s="132"/>
      <c r="H86" s="132"/>
      <c r="I86" s="132"/>
      <c r="J86" s="132"/>
      <c r="K86" s="132"/>
      <c r="L86" s="132"/>
      <c r="M86" s="132"/>
      <c r="N86" s="133"/>
    </row>
    <row r="87" spans="1:14" x14ac:dyDescent="0.25">
      <c r="B87" s="131"/>
      <c r="C87" s="141" t="s">
        <v>241</v>
      </c>
      <c r="D87" s="132"/>
      <c r="E87" s="142"/>
      <c r="F87" s="132"/>
      <c r="G87" s="142"/>
      <c r="H87" s="132"/>
      <c r="I87" s="132"/>
      <c r="J87" s="132"/>
      <c r="K87" s="132"/>
      <c r="L87" s="132"/>
      <c r="M87" s="287" t="s">
        <v>171</v>
      </c>
      <c r="N87" s="133"/>
    </row>
    <row r="88" spans="1:14" ht="4.5" customHeight="1" x14ac:dyDescent="0.25">
      <c r="B88" s="131"/>
      <c r="C88" s="132"/>
      <c r="D88" s="132"/>
      <c r="E88" s="132"/>
      <c r="F88" s="132"/>
      <c r="G88" s="132"/>
      <c r="H88" s="132"/>
      <c r="I88" s="132"/>
      <c r="J88" s="132"/>
      <c r="K88" s="132"/>
      <c r="L88" s="132"/>
      <c r="M88" s="132"/>
      <c r="N88" s="133"/>
    </row>
    <row r="89" spans="1:14" ht="15.75" x14ac:dyDescent="0.25">
      <c r="A89" s="234"/>
      <c r="B89" s="134"/>
      <c r="C89" s="288" t="s">
        <v>146</v>
      </c>
      <c r="D89" s="288" t="s">
        <v>242</v>
      </c>
      <c r="E89" s="288" t="s">
        <v>8</v>
      </c>
      <c r="F89" s="289" t="s">
        <v>16</v>
      </c>
      <c r="G89" s="289" t="s">
        <v>17</v>
      </c>
      <c r="H89" s="289" t="s">
        <v>18</v>
      </c>
      <c r="I89" s="289" t="s">
        <v>19</v>
      </c>
      <c r="J89" s="289" t="s">
        <v>20</v>
      </c>
      <c r="K89" s="289" t="s">
        <v>21</v>
      </c>
      <c r="L89" s="289" t="s">
        <v>22</v>
      </c>
      <c r="M89" s="289" t="s">
        <v>23</v>
      </c>
      <c r="N89" s="133"/>
    </row>
    <row r="90" spans="1:14" ht="15.75" x14ac:dyDescent="0.25">
      <c r="A90" s="234"/>
      <c r="B90" s="134"/>
      <c r="C90" s="233" t="s">
        <v>150</v>
      </c>
      <c r="D90" s="233" t="s">
        <v>243</v>
      </c>
      <c r="E90" s="233"/>
      <c r="F90" s="144">
        <f t="shared" ref="F90:M90" si="6">F67</f>
        <v>2.6604443999999998</v>
      </c>
      <c r="G90" s="144">
        <f t="shared" si="6"/>
        <v>4.6811183999999999</v>
      </c>
      <c r="H90" s="144">
        <f t="shared" si="6"/>
        <v>4.9601951999999994</v>
      </c>
      <c r="I90" s="144">
        <f t="shared" si="6"/>
        <v>5.2392719999999988</v>
      </c>
      <c r="J90" s="144">
        <f t="shared" si="6"/>
        <v>5.5183487999999992</v>
      </c>
      <c r="K90" s="144">
        <f t="shared" si="6"/>
        <v>5.7974255999999986</v>
      </c>
      <c r="L90" s="144">
        <f t="shared" si="6"/>
        <v>6.0765023999999981</v>
      </c>
      <c r="M90" s="144">
        <f t="shared" si="6"/>
        <v>6.3555791999999975</v>
      </c>
      <c r="N90" s="133"/>
    </row>
    <row r="91" spans="1:14" ht="15.75" x14ac:dyDescent="0.25">
      <c r="A91" s="234"/>
      <c r="B91" s="134"/>
      <c r="C91" s="290" t="s">
        <v>218</v>
      </c>
      <c r="D91" s="290" t="s">
        <v>209</v>
      </c>
      <c r="E91" s="290"/>
      <c r="F91" s="290">
        <f>-F90</f>
        <v>-2.6604443999999998</v>
      </c>
      <c r="G91" s="290">
        <f t="shared" ref="G91:M91" si="7">-G90</f>
        <v>-4.6811183999999999</v>
      </c>
      <c r="H91" s="290">
        <f t="shared" si="7"/>
        <v>-4.9601951999999994</v>
      </c>
      <c r="I91" s="290">
        <f t="shared" si="7"/>
        <v>-5.2392719999999988</v>
      </c>
      <c r="J91" s="290">
        <f t="shared" si="7"/>
        <v>-5.5183487999999992</v>
      </c>
      <c r="K91" s="290">
        <f t="shared" si="7"/>
        <v>-5.7974255999999986</v>
      </c>
      <c r="L91" s="290">
        <f t="shared" si="7"/>
        <v>-6.0765023999999981</v>
      </c>
      <c r="M91" s="290">
        <f t="shared" si="7"/>
        <v>-6.3555791999999975</v>
      </c>
      <c r="N91" s="133"/>
    </row>
    <row r="92" spans="1:14" ht="15.75" x14ac:dyDescent="0.25">
      <c r="A92" s="234"/>
      <c r="B92" s="134"/>
      <c r="C92" s="1938" t="s">
        <v>118</v>
      </c>
      <c r="D92" s="1938"/>
      <c r="E92" s="1938"/>
      <c r="F92" s="1939">
        <f>SUBTOTAL(109,III.a.Outputs[2015])</f>
        <v>0</v>
      </c>
      <c r="G92" s="1939">
        <f>SUBTOTAL(109,III.a.Outputs[2020])</f>
        <v>0</v>
      </c>
      <c r="H92" s="1939">
        <f>SUBTOTAL(109,III.a.Outputs[2025])</f>
        <v>0</v>
      </c>
      <c r="I92" s="1939">
        <f>SUBTOTAL(109,III.a.Outputs[2030])</f>
        <v>0</v>
      </c>
      <c r="J92" s="1939">
        <f>SUBTOTAL(109,III.a.Outputs[2035])</f>
        <v>0</v>
      </c>
      <c r="K92" s="1939">
        <f>SUBTOTAL(109,III.a.Outputs[2040])</f>
        <v>0</v>
      </c>
      <c r="L92" s="1939">
        <f>SUBTOTAL(109,III.a.Outputs[2045])</f>
        <v>0</v>
      </c>
      <c r="M92" s="1939">
        <f>SUBTOTAL(109,III.a.Outputs[2050])</f>
        <v>0</v>
      </c>
      <c r="N92" s="133"/>
    </row>
    <row r="93" spans="1:14" ht="21.75" customHeight="1" collapsed="1" x14ac:dyDescent="0.25">
      <c r="A93" s="234"/>
      <c r="B93" s="137"/>
      <c r="C93" s="233"/>
      <c r="D93" s="233"/>
      <c r="E93" s="233"/>
      <c r="F93" s="291"/>
      <c r="G93" s="291"/>
      <c r="H93" s="291"/>
      <c r="I93" s="291"/>
      <c r="J93" s="291"/>
      <c r="K93" s="291"/>
      <c r="L93" s="291"/>
      <c r="M93" s="291"/>
      <c r="N93" s="140"/>
    </row>
  </sheetData>
  <hyperlinks>
    <hyperlink ref="I22" r:id="rId1"/>
    <hyperlink ref="I24" r:id="rId2"/>
  </hyperlinks>
  <pageMargins left="0.7" right="0.7" top="0.75" bottom="0.75" header="0.3" footer="0.3"/>
  <pageSetup orientation="portrait" verticalDpi="0" r:id="rId3"/>
  <ignoredErrors>
    <ignoredError sqref="F90:M90" calculatedColumn="1"/>
  </ignoredErrors>
  <tableParts count="1">
    <tablePart r:id="rId4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O86"/>
  <sheetViews>
    <sheetView zoomScale="70" zoomScaleNormal="70" workbookViewId="0">
      <selection activeCell="G23" sqref="G23"/>
    </sheetView>
  </sheetViews>
  <sheetFormatPr baseColWidth="10" defaultColWidth="9.140625" defaultRowHeight="15" outlineLevelRow="1" x14ac:dyDescent="0.25"/>
  <cols>
    <col min="1" max="1" width="7.7109375" style="124" customWidth="1"/>
    <col min="2" max="2" width="5.85546875" style="124" customWidth="1"/>
    <col min="3" max="3" width="20.42578125" style="124" customWidth="1"/>
    <col min="4" max="4" width="37.28515625" style="124" customWidth="1"/>
    <col min="5" max="5" width="20.7109375" style="124" customWidth="1"/>
    <col min="6" max="13" width="17.7109375" style="124" customWidth="1"/>
    <col min="14" max="14" width="2" style="124" customWidth="1"/>
    <col min="15" max="15" width="10.85546875" style="124" customWidth="1"/>
    <col min="16" max="16384" width="9.140625" style="124"/>
  </cols>
  <sheetData>
    <row r="1" spans="1:14" ht="20.25" x14ac:dyDescent="0.3">
      <c r="A1" s="123" t="s">
        <v>206</v>
      </c>
      <c r="B1" s="123" t="s">
        <v>207</v>
      </c>
      <c r="C1" s="123"/>
      <c r="G1" s="197"/>
    </row>
    <row r="2" spans="1:14" s="126" customFormat="1" ht="15.75" x14ac:dyDescent="0.25">
      <c r="A2" s="125" t="s">
        <v>246</v>
      </c>
      <c r="B2" s="125" t="str">
        <f>INDEX(Modulos[Modulos], MATCH($A2, Modulos[Código], 0))</f>
        <v>Mini Hidráulica de Pasada</v>
      </c>
      <c r="C2" s="125"/>
      <c r="E2" s="259"/>
      <c r="G2" s="124"/>
    </row>
    <row r="4" spans="1:14" ht="23.25" x14ac:dyDescent="0.35">
      <c r="A4" s="127"/>
      <c r="B4" s="128" t="s">
        <v>144</v>
      </c>
      <c r="C4" s="129"/>
      <c r="D4" s="129"/>
      <c r="E4" s="129"/>
      <c r="F4" s="129"/>
      <c r="G4" s="129"/>
      <c r="H4" s="129"/>
      <c r="I4" s="129"/>
      <c r="J4" s="129"/>
      <c r="K4" s="129"/>
      <c r="L4" s="129"/>
      <c r="M4" s="129"/>
      <c r="N4" s="130"/>
    </row>
    <row r="5" spans="1:14" x14ac:dyDescent="0.25">
      <c r="B5" s="131"/>
      <c r="C5" s="132"/>
      <c r="D5" s="132"/>
      <c r="E5" s="132"/>
      <c r="F5" s="132"/>
      <c r="G5" s="132"/>
      <c r="H5" s="132"/>
      <c r="I5" s="132"/>
      <c r="J5" s="132"/>
      <c r="K5" s="132"/>
      <c r="L5" s="132"/>
      <c r="M5" s="132"/>
      <c r="N5" s="133"/>
    </row>
    <row r="6" spans="1:14" ht="15.75" x14ac:dyDescent="0.25">
      <c r="B6" s="134"/>
      <c r="C6" s="132"/>
      <c r="D6" s="135" t="s">
        <v>145</v>
      </c>
      <c r="E6" s="135" t="s">
        <v>3</v>
      </c>
      <c r="F6" s="132"/>
      <c r="G6" s="132"/>
      <c r="H6" s="132"/>
      <c r="I6" s="132"/>
      <c r="J6" s="132"/>
      <c r="K6" s="132"/>
      <c r="L6" s="132"/>
      <c r="M6" s="132"/>
      <c r="N6" s="133"/>
    </row>
    <row r="7" spans="1:14" ht="15.75" x14ac:dyDescent="0.25">
      <c r="B7" s="134"/>
      <c r="C7" s="132"/>
      <c r="D7" s="136" t="str">
        <f>B2</f>
        <v>Mini Hidráulica de Pasada</v>
      </c>
      <c r="E7" s="136">
        <f>Control!F55</f>
        <v>1</v>
      </c>
      <c r="F7" s="132"/>
      <c r="G7" s="132"/>
      <c r="H7" s="132"/>
      <c r="I7" s="132"/>
      <c r="J7" s="132"/>
      <c r="K7" s="132"/>
      <c r="L7" s="132"/>
      <c r="M7" s="132"/>
      <c r="N7" s="133"/>
    </row>
    <row r="8" spans="1:14" x14ac:dyDescent="0.25">
      <c r="B8" s="294"/>
      <c r="C8" s="139"/>
      <c r="D8" s="139"/>
      <c r="E8" s="139"/>
      <c r="F8" s="139"/>
      <c r="G8" s="139"/>
      <c r="H8" s="139"/>
      <c r="I8" s="139"/>
      <c r="J8" s="139"/>
      <c r="K8" s="139"/>
      <c r="L8" s="139"/>
      <c r="M8" s="139"/>
      <c r="N8" s="140"/>
    </row>
    <row r="10" spans="1:14" ht="23.25" x14ac:dyDescent="0.35">
      <c r="A10" s="127"/>
      <c r="B10" s="145" t="s">
        <v>151</v>
      </c>
      <c r="C10" s="146"/>
      <c r="D10" s="146"/>
      <c r="E10" s="146"/>
      <c r="F10" s="146"/>
      <c r="G10" s="146"/>
      <c r="H10" s="146"/>
      <c r="I10" s="146"/>
      <c r="J10" s="146"/>
      <c r="K10" s="146"/>
      <c r="L10" s="146"/>
      <c r="M10" s="146"/>
      <c r="N10" s="147"/>
    </row>
    <row r="11" spans="1:14" x14ac:dyDescent="0.25">
      <c r="B11" s="148"/>
      <c r="C11" s="149"/>
      <c r="D11" s="149"/>
      <c r="E11" s="149"/>
      <c r="F11" s="149"/>
      <c r="G11" s="149"/>
      <c r="H11" s="149"/>
      <c r="I11" s="149"/>
      <c r="J11" s="149"/>
      <c r="K11" s="149"/>
      <c r="L11" s="149"/>
      <c r="M11" s="149"/>
      <c r="N11" s="153"/>
    </row>
    <row r="12" spans="1:14" x14ac:dyDescent="0.25">
      <c r="B12" s="148"/>
      <c r="C12" s="151" t="s">
        <v>248</v>
      </c>
      <c r="D12" s="149"/>
      <c r="E12" s="152"/>
      <c r="F12" s="149"/>
      <c r="G12" s="149"/>
      <c r="H12" s="149"/>
      <c r="I12" s="149"/>
      <c r="J12" s="149"/>
      <c r="K12" s="149"/>
      <c r="L12" s="149"/>
      <c r="M12" s="152" t="s">
        <v>152</v>
      </c>
      <c r="N12" s="153"/>
    </row>
    <row r="13" spans="1:14" x14ac:dyDescent="0.25">
      <c r="B13" s="148"/>
      <c r="C13" s="149"/>
      <c r="D13" s="149"/>
      <c r="E13" s="149"/>
      <c r="F13" s="149"/>
      <c r="G13" s="149"/>
      <c r="H13" s="149"/>
      <c r="I13" s="149"/>
      <c r="J13" s="149"/>
      <c r="K13" s="149"/>
      <c r="L13" s="149"/>
      <c r="M13" s="149"/>
      <c r="N13" s="153"/>
    </row>
    <row r="14" spans="1:14" ht="15.75" x14ac:dyDescent="0.25">
      <c r="B14" s="173"/>
      <c r="C14" s="154" t="s">
        <v>3</v>
      </c>
      <c r="D14" s="154" t="s">
        <v>7</v>
      </c>
      <c r="E14" s="154" t="s">
        <v>8</v>
      </c>
      <c r="F14" s="155">
        <v>2015</v>
      </c>
      <c r="G14" s="156">
        <v>2020</v>
      </c>
      <c r="H14" s="155">
        <v>2025</v>
      </c>
      <c r="I14" s="155">
        <v>2030</v>
      </c>
      <c r="J14" s="155">
        <v>2035</v>
      </c>
      <c r="K14" s="155">
        <v>2040</v>
      </c>
      <c r="L14" s="155">
        <v>2045</v>
      </c>
      <c r="M14" s="155">
        <v>2050</v>
      </c>
      <c r="N14" s="153"/>
    </row>
    <row r="15" spans="1:14" ht="15.75" x14ac:dyDescent="0.25">
      <c r="B15" s="214"/>
      <c r="C15" s="157">
        <v>1</v>
      </c>
      <c r="D15" s="158"/>
      <c r="E15" s="159" t="s">
        <v>12</v>
      </c>
      <c r="F15" s="160">
        <v>0.39</v>
      </c>
      <c r="G15" s="161">
        <v>0.48</v>
      </c>
      <c r="H15" s="160">
        <v>0.56999999999999995</v>
      </c>
      <c r="I15" s="160">
        <v>0.66</v>
      </c>
      <c r="J15" s="160">
        <v>0.74</v>
      </c>
      <c r="K15" s="160">
        <v>0.83</v>
      </c>
      <c r="L15" s="160">
        <v>0.92</v>
      </c>
      <c r="M15" s="160">
        <v>1</v>
      </c>
      <c r="N15" s="163"/>
    </row>
    <row r="16" spans="1:14" ht="15.75" x14ac:dyDescent="0.25">
      <c r="B16" s="173"/>
      <c r="C16" s="157">
        <v>2</v>
      </c>
      <c r="D16" s="158"/>
      <c r="E16" s="158" t="s">
        <v>133</v>
      </c>
      <c r="F16" s="160">
        <v>0.39</v>
      </c>
      <c r="G16" s="164">
        <v>0.78</v>
      </c>
      <c r="H16" s="165">
        <v>1.25</v>
      </c>
      <c r="I16" s="165">
        <v>1.6</v>
      </c>
      <c r="J16" s="165">
        <v>1.72</v>
      </c>
      <c r="K16" s="165">
        <v>2.0699999999999998</v>
      </c>
      <c r="L16" s="165">
        <v>2.48</v>
      </c>
      <c r="M16" s="165">
        <v>2.73</v>
      </c>
      <c r="N16" s="153"/>
    </row>
    <row r="17" spans="1:14" ht="15.75" x14ac:dyDescent="0.25">
      <c r="B17" s="173"/>
      <c r="C17" s="157">
        <v>3</v>
      </c>
      <c r="D17" s="158"/>
      <c r="E17" s="158"/>
      <c r="F17" s="160">
        <v>0.39</v>
      </c>
      <c r="G17" s="164">
        <v>2.34</v>
      </c>
      <c r="H17" s="165">
        <v>3.23</v>
      </c>
      <c r="I17" s="165">
        <v>4.03</v>
      </c>
      <c r="J17" s="165">
        <v>4.72</v>
      </c>
      <c r="K17" s="165">
        <v>5.32</v>
      </c>
      <c r="L17" s="165">
        <v>5.75</v>
      </c>
      <c r="M17" s="165">
        <v>6.11</v>
      </c>
      <c r="N17" s="153"/>
    </row>
    <row r="18" spans="1:14" ht="15.75" x14ac:dyDescent="0.25">
      <c r="B18" s="173"/>
      <c r="C18" s="167">
        <v>4</v>
      </c>
      <c r="D18" s="168"/>
      <c r="E18" s="158" t="s">
        <v>136</v>
      </c>
      <c r="F18" s="169">
        <v>0.39</v>
      </c>
      <c r="G18" s="170">
        <v>3.9</v>
      </c>
      <c r="H18" s="171">
        <v>5.2</v>
      </c>
      <c r="I18" s="171">
        <v>6.5</v>
      </c>
      <c r="J18" s="171">
        <v>7.72</v>
      </c>
      <c r="K18" s="171">
        <v>8.57</v>
      </c>
      <c r="L18" s="171">
        <v>9.0299999999999994</v>
      </c>
      <c r="M18" s="171">
        <v>9.5</v>
      </c>
      <c r="N18" s="153"/>
    </row>
    <row r="19" spans="1:14" ht="15.75" x14ac:dyDescent="0.25">
      <c r="B19" s="173"/>
      <c r="C19" s="174" t="s">
        <v>153</v>
      </c>
      <c r="D19" s="175"/>
      <c r="E19" s="175"/>
      <c r="F19" s="176">
        <f>(INDEX(F$15:F$18,ROUNDDOWN($E$7,0))*(1-MOD($E$7,1)))+(INDEX(F$15:F$18,ROUNDUP($E$7,0))*MOD($E$7,1))</f>
        <v>0.39</v>
      </c>
      <c r="G19" s="176">
        <f t="shared" ref="G19:M19" si="0">(INDEX(G$15:G$18,ROUNDDOWN($E$7,0))*(1-MOD($E$7,1)))+(INDEX(G$15:G$18,ROUNDUP($E$7,0))*MOD($E$7,1))</f>
        <v>0.48</v>
      </c>
      <c r="H19" s="176">
        <f t="shared" si="0"/>
        <v>0.56999999999999995</v>
      </c>
      <c r="I19" s="176">
        <f t="shared" si="0"/>
        <v>0.66</v>
      </c>
      <c r="J19" s="176">
        <f t="shared" si="0"/>
        <v>0.74</v>
      </c>
      <c r="K19" s="176">
        <f t="shared" si="0"/>
        <v>0.83</v>
      </c>
      <c r="L19" s="176">
        <f t="shared" si="0"/>
        <v>0.92</v>
      </c>
      <c r="M19" s="176">
        <f t="shared" si="0"/>
        <v>1</v>
      </c>
      <c r="N19" s="153"/>
    </row>
    <row r="20" spans="1:14" x14ac:dyDescent="0.25">
      <c r="B20" s="216"/>
      <c r="C20" s="149"/>
      <c r="D20" s="179"/>
      <c r="E20" s="149"/>
      <c r="F20" s="149"/>
      <c r="G20" s="295"/>
      <c r="H20" s="295"/>
      <c r="I20" s="295"/>
      <c r="J20" s="295"/>
      <c r="K20" s="295"/>
      <c r="L20" s="295"/>
      <c r="M20" s="295"/>
      <c r="N20" s="153"/>
    </row>
    <row r="21" spans="1:14" x14ac:dyDescent="0.25">
      <c r="B21" s="217"/>
      <c r="C21" s="149" t="s">
        <v>11</v>
      </c>
      <c r="D21" s="179"/>
      <c r="E21" s="149"/>
      <c r="F21" s="149"/>
      <c r="G21" s="149"/>
      <c r="H21" s="149"/>
      <c r="I21" s="149"/>
      <c r="J21" s="149"/>
      <c r="K21" s="149"/>
      <c r="L21" s="149"/>
      <c r="M21" s="149"/>
      <c r="N21" s="153"/>
    </row>
    <row r="22" spans="1:14" x14ac:dyDescent="0.25">
      <c r="B22" s="217"/>
      <c r="C22" s="152" t="s">
        <v>12</v>
      </c>
      <c r="D22" s="3578" t="s">
        <v>2400</v>
      </c>
      <c r="E22" s="149"/>
      <c r="F22" s="149"/>
      <c r="G22" s="149"/>
      <c r="H22" s="149"/>
      <c r="I22" s="149" t="s">
        <v>212</v>
      </c>
      <c r="J22" s="149"/>
      <c r="K22" s="149"/>
      <c r="L22" s="149"/>
      <c r="M22" s="149"/>
      <c r="N22" s="153"/>
    </row>
    <row r="23" spans="1:14" x14ac:dyDescent="0.25">
      <c r="B23" s="217"/>
      <c r="C23" s="152" t="s">
        <v>133</v>
      </c>
      <c r="D23" s="149" t="s">
        <v>213</v>
      </c>
      <c r="E23" s="149"/>
      <c r="F23" s="149"/>
      <c r="G23" s="149"/>
      <c r="H23" s="149"/>
      <c r="I23" s="149"/>
      <c r="J23" s="149"/>
      <c r="K23" s="149"/>
      <c r="L23" s="149"/>
      <c r="M23" s="149"/>
      <c r="N23" s="153"/>
    </row>
    <row r="24" spans="1:14" x14ac:dyDescent="0.25">
      <c r="B24" s="217"/>
      <c r="C24" s="152" t="s">
        <v>136</v>
      </c>
      <c r="D24" s="149" t="s">
        <v>224</v>
      </c>
      <c r="E24" s="149"/>
      <c r="F24" s="149"/>
      <c r="G24" s="149"/>
      <c r="H24" s="149"/>
      <c r="I24" s="149" t="s">
        <v>225</v>
      </c>
      <c r="J24" s="149"/>
      <c r="K24" s="149"/>
      <c r="L24" s="149"/>
      <c r="M24" s="149"/>
      <c r="N24" s="153"/>
    </row>
    <row r="25" spans="1:14" x14ac:dyDescent="0.25">
      <c r="B25" s="217"/>
      <c r="C25" s="152"/>
      <c r="D25" s="179"/>
      <c r="E25" s="149"/>
      <c r="F25" s="149"/>
      <c r="G25" s="149"/>
      <c r="H25" s="149"/>
      <c r="I25" s="149"/>
      <c r="J25" s="149"/>
      <c r="K25" s="149"/>
      <c r="L25" s="149"/>
      <c r="M25" s="149"/>
      <c r="N25" s="153"/>
    </row>
    <row r="26" spans="1:14" x14ac:dyDescent="0.25">
      <c r="B26" s="217"/>
      <c r="C26" s="149"/>
      <c r="D26" s="179"/>
      <c r="E26" s="149"/>
      <c r="F26" s="149"/>
      <c r="G26" s="149"/>
      <c r="H26" s="149"/>
      <c r="I26" s="149"/>
      <c r="J26" s="149"/>
      <c r="K26" s="149"/>
      <c r="L26" s="149"/>
      <c r="M26" s="149"/>
      <c r="N26" s="296"/>
    </row>
    <row r="28" spans="1:14" s="126" customFormat="1" ht="23.25" x14ac:dyDescent="0.2">
      <c r="A28" s="180"/>
      <c r="B28" s="145" t="s">
        <v>216</v>
      </c>
      <c r="C28" s="146"/>
      <c r="D28" s="146"/>
      <c r="E28" s="146"/>
      <c r="F28" s="146"/>
      <c r="G28" s="146"/>
      <c r="H28" s="146"/>
      <c r="I28" s="146"/>
      <c r="J28" s="146"/>
      <c r="K28" s="146"/>
      <c r="L28" s="146"/>
      <c r="M28" s="146"/>
      <c r="N28" s="147"/>
    </row>
    <row r="29" spans="1:14" x14ac:dyDescent="0.25">
      <c r="B29" s="148"/>
      <c r="C29" s="149"/>
      <c r="D29" s="149"/>
      <c r="E29" s="149"/>
      <c r="F29" s="149"/>
      <c r="G29" s="149"/>
      <c r="H29" s="149"/>
      <c r="I29" s="149"/>
      <c r="J29" s="149"/>
      <c r="K29" s="149"/>
      <c r="L29" s="149"/>
      <c r="M29" s="149"/>
      <c r="N29" s="153"/>
    </row>
    <row r="30" spans="1:14" x14ac:dyDescent="0.25">
      <c r="B30" s="148"/>
      <c r="C30" s="151" t="s">
        <v>217</v>
      </c>
      <c r="D30" s="149"/>
      <c r="E30" s="149"/>
      <c r="F30" s="149"/>
      <c r="G30" s="152"/>
      <c r="H30" s="149"/>
      <c r="I30" s="149"/>
      <c r="J30" s="149"/>
      <c r="K30" s="149"/>
      <c r="L30" s="149"/>
      <c r="M30" s="149"/>
      <c r="N30" s="153"/>
    </row>
    <row r="31" spans="1:14" x14ac:dyDescent="0.25">
      <c r="B31" s="148"/>
      <c r="C31" s="149"/>
      <c r="D31" s="149"/>
      <c r="E31" s="149"/>
      <c r="F31" s="149"/>
      <c r="G31" s="149"/>
      <c r="H31" s="149"/>
      <c r="I31" s="149"/>
      <c r="J31" s="149"/>
      <c r="K31" s="149"/>
      <c r="L31" s="149"/>
      <c r="M31" s="149"/>
      <c r="N31" s="153"/>
    </row>
    <row r="32" spans="1:14" ht="15.75" x14ac:dyDescent="0.25">
      <c r="B32" s="173"/>
      <c r="C32" s="154" t="s">
        <v>155</v>
      </c>
      <c r="D32" s="154" t="s">
        <v>156</v>
      </c>
      <c r="E32" s="154" t="s">
        <v>8</v>
      </c>
      <c r="F32" s="155">
        <v>2015</v>
      </c>
      <c r="G32" s="156">
        <v>2020</v>
      </c>
      <c r="H32" s="155">
        <v>2025</v>
      </c>
      <c r="I32" s="155">
        <v>2030</v>
      </c>
      <c r="J32" s="155">
        <v>2035</v>
      </c>
      <c r="K32" s="155">
        <v>2040</v>
      </c>
      <c r="L32" s="155">
        <v>2045</v>
      </c>
      <c r="M32" s="155">
        <v>2050</v>
      </c>
      <c r="N32" s="153"/>
    </row>
    <row r="33" spans="1:15" ht="15.75" x14ac:dyDescent="0.25">
      <c r="B33" s="173"/>
      <c r="C33" s="221" t="s">
        <v>249</v>
      </c>
      <c r="D33" s="181" t="s">
        <v>247</v>
      </c>
      <c r="E33" s="181" t="s">
        <v>12</v>
      </c>
      <c r="F33" s="297">
        <v>0.55000000000000004</v>
      </c>
      <c r="G33" s="183">
        <f t="shared" ref="G33:M33" si="1">F33</f>
        <v>0.55000000000000004</v>
      </c>
      <c r="H33" s="184">
        <f t="shared" si="1"/>
        <v>0.55000000000000004</v>
      </c>
      <c r="I33" s="184">
        <f t="shared" si="1"/>
        <v>0.55000000000000004</v>
      </c>
      <c r="J33" s="184">
        <f t="shared" si="1"/>
        <v>0.55000000000000004</v>
      </c>
      <c r="K33" s="184">
        <f t="shared" si="1"/>
        <v>0.55000000000000004</v>
      </c>
      <c r="L33" s="184">
        <f t="shared" si="1"/>
        <v>0.55000000000000004</v>
      </c>
      <c r="M33" s="184">
        <f t="shared" si="1"/>
        <v>0.55000000000000004</v>
      </c>
      <c r="N33" s="153"/>
    </row>
    <row r="34" spans="1:15" ht="15.75" x14ac:dyDescent="0.25">
      <c r="B34" s="173"/>
      <c r="C34" s="157"/>
      <c r="D34" s="158"/>
      <c r="E34" s="158"/>
      <c r="F34" s="298"/>
      <c r="G34" s="268"/>
      <c r="H34" s="268"/>
      <c r="I34" s="268"/>
      <c r="J34" s="268"/>
      <c r="K34" s="268"/>
      <c r="L34" s="268"/>
      <c r="M34" s="268"/>
      <c r="N34" s="153"/>
    </row>
    <row r="35" spans="1:15" ht="15.75" x14ac:dyDescent="0.25">
      <c r="B35" s="173"/>
      <c r="C35" s="151" t="s">
        <v>161</v>
      </c>
      <c r="D35" s="149"/>
      <c r="E35" s="149"/>
      <c r="F35" s="149"/>
      <c r="G35" s="152"/>
      <c r="H35" s="149"/>
      <c r="I35" s="149"/>
      <c r="J35" s="268"/>
      <c r="K35" s="268"/>
      <c r="L35" s="268"/>
      <c r="M35" s="268"/>
      <c r="N35" s="153"/>
    </row>
    <row r="36" spans="1:15" ht="4.5" customHeight="1" x14ac:dyDescent="0.25">
      <c r="B36" s="173"/>
      <c r="C36" s="149"/>
      <c r="D36" s="149"/>
      <c r="E36" s="149"/>
      <c r="F36" s="149"/>
      <c r="G36" s="149"/>
      <c r="H36" s="149"/>
      <c r="I36" s="149"/>
      <c r="J36" s="268"/>
      <c r="K36" s="268"/>
      <c r="L36" s="268"/>
      <c r="M36" s="268"/>
      <c r="N36" s="153"/>
    </row>
    <row r="37" spans="1:15" ht="15.75" x14ac:dyDescent="0.25">
      <c r="B37" s="173"/>
      <c r="C37" s="154"/>
      <c r="D37" s="154"/>
      <c r="E37" s="154"/>
      <c r="F37" s="155"/>
      <c r="G37" s="185" t="s">
        <v>219</v>
      </c>
      <c r="H37" s="185"/>
      <c r="I37" s="149"/>
      <c r="J37" s="268"/>
      <c r="K37" s="268"/>
      <c r="L37" s="268"/>
      <c r="M37" s="268"/>
      <c r="N37" s="153"/>
    </row>
    <row r="38" spans="1:15" ht="15.75" x14ac:dyDescent="0.25">
      <c r="B38" s="173"/>
      <c r="C38" s="182"/>
      <c r="D38" s="181" t="s">
        <v>250</v>
      </c>
      <c r="E38" s="181" t="s">
        <v>133</v>
      </c>
      <c r="F38" s="299">
        <f>10/1000</f>
        <v>0.01</v>
      </c>
      <c r="G38" s="300" t="s">
        <v>162</v>
      </c>
      <c r="H38" s="301"/>
      <c r="I38" s="149"/>
      <c r="J38" s="268"/>
      <c r="K38" s="268"/>
      <c r="L38" s="268"/>
      <c r="M38" s="268"/>
      <c r="N38" s="153"/>
    </row>
    <row r="39" spans="1:15" ht="15.75" x14ac:dyDescent="0.25">
      <c r="B39" s="173"/>
      <c r="C39" s="149"/>
      <c r="D39" s="149"/>
      <c r="E39" s="149"/>
      <c r="F39" s="149"/>
      <c r="G39" s="149"/>
      <c r="H39" s="149"/>
      <c r="I39" s="149"/>
      <c r="J39" s="268"/>
      <c r="K39" s="268"/>
      <c r="L39" s="268"/>
      <c r="M39" s="268"/>
      <c r="N39" s="153"/>
    </row>
    <row r="40" spans="1:15" x14ac:dyDescent="0.25">
      <c r="B40" s="149"/>
      <c r="C40" s="149" t="s">
        <v>8</v>
      </c>
      <c r="D40" s="149"/>
      <c r="E40" s="149"/>
      <c r="F40" s="149"/>
      <c r="G40" s="149"/>
      <c r="H40" s="149"/>
      <c r="I40" s="149"/>
      <c r="J40" s="149"/>
      <c r="K40" s="149"/>
      <c r="L40" s="149"/>
      <c r="M40" s="149"/>
      <c r="N40" s="153"/>
    </row>
    <row r="41" spans="1:15" x14ac:dyDescent="0.25">
      <c r="B41" s="149"/>
      <c r="C41" s="302" t="s">
        <v>12</v>
      </c>
      <c r="D41" s="179" t="s">
        <v>251</v>
      </c>
      <c r="E41" s="149"/>
      <c r="F41" s="149"/>
      <c r="G41" s="149"/>
      <c r="H41" s="149"/>
      <c r="I41" s="149"/>
      <c r="J41" s="149"/>
      <c r="K41" s="149"/>
      <c r="L41" s="149"/>
      <c r="M41" s="149"/>
      <c r="N41" s="153"/>
    </row>
    <row r="42" spans="1:15" x14ac:dyDescent="0.25">
      <c r="B42" s="149"/>
      <c r="C42" s="302" t="s">
        <v>133</v>
      </c>
      <c r="D42" s="179" t="s">
        <v>252</v>
      </c>
      <c r="E42" s="149"/>
      <c r="F42" s="149"/>
      <c r="G42" s="149"/>
      <c r="H42" s="149"/>
      <c r="I42" s="149"/>
      <c r="J42" s="149"/>
      <c r="K42" s="149"/>
      <c r="L42" s="149"/>
      <c r="M42" s="149"/>
      <c r="N42" s="153"/>
    </row>
    <row r="43" spans="1:15" x14ac:dyDescent="0.25">
      <c r="B43" s="149"/>
      <c r="C43" s="149"/>
      <c r="D43" s="149"/>
      <c r="E43" s="149"/>
      <c r="F43" s="149"/>
      <c r="G43" s="149"/>
      <c r="H43" s="149"/>
      <c r="I43" s="149"/>
      <c r="J43" s="149"/>
      <c r="K43" s="149"/>
      <c r="L43" s="149"/>
      <c r="M43" s="149"/>
      <c r="N43" s="303"/>
      <c r="O43" s="304"/>
    </row>
    <row r="44" spans="1:15" x14ac:dyDescent="0.25">
      <c r="O44" s="304"/>
    </row>
    <row r="45" spans="1:15" s="126" customFormat="1" ht="23.25" hidden="1" outlineLevel="1" x14ac:dyDescent="0.2">
      <c r="A45" s="180"/>
      <c r="B45" s="145" t="s">
        <v>163</v>
      </c>
      <c r="C45" s="146"/>
      <c r="D45" s="146"/>
      <c r="E45" s="146"/>
      <c r="F45" s="146"/>
      <c r="G45" s="146"/>
      <c r="H45" s="146"/>
      <c r="I45" s="146"/>
      <c r="J45" s="146"/>
      <c r="K45" s="146"/>
      <c r="L45" s="146"/>
      <c r="M45" s="146"/>
      <c r="N45" s="146"/>
      <c r="O45" s="305"/>
    </row>
    <row r="46" spans="1:15" ht="5.25" hidden="1" customHeight="1" outlineLevel="1" x14ac:dyDescent="0.25">
      <c r="B46" s="220"/>
      <c r="C46" s="150"/>
      <c r="D46" s="150"/>
      <c r="E46" s="150"/>
      <c r="F46" s="150"/>
      <c r="G46" s="150"/>
      <c r="H46" s="150"/>
      <c r="I46" s="150"/>
      <c r="J46" s="150"/>
      <c r="K46" s="150"/>
      <c r="L46" s="150"/>
      <c r="M46" s="150"/>
      <c r="N46" s="150"/>
      <c r="O46" s="304"/>
    </row>
    <row r="47" spans="1:15" s="126" customFormat="1" hidden="1" outlineLevel="1" x14ac:dyDescent="0.25">
      <c r="A47" s="124"/>
      <c r="B47" s="148"/>
      <c r="C47" s="151" t="s">
        <v>253</v>
      </c>
      <c r="D47" s="188"/>
      <c r="E47" s="199"/>
      <c r="F47" s="306"/>
      <c r="G47" s="306"/>
      <c r="H47" s="201"/>
      <c r="I47" s="201"/>
      <c r="J47" s="201"/>
      <c r="K47" s="201"/>
      <c r="L47" s="201"/>
      <c r="M47" s="201"/>
      <c r="N47" s="149"/>
      <c r="O47" s="304"/>
    </row>
    <row r="48" spans="1:15" s="126" customFormat="1" ht="4.5" hidden="1" customHeight="1" outlineLevel="1" x14ac:dyDescent="0.25">
      <c r="A48" s="124"/>
      <c r="B48" s="148"/>
      <c r="C48" s="177"/>
      <c r="D48" s="188"/>
      <c r="E48" s="199"/>
      <c r="F48" s="306"/>
      <c r="G48" s="306"/>
      <c r="H48" s="201"/>
      <c r="I48" s="201"/>
      <c r="J48" s="201"/>
      <c r="K48" s="201"/>
      <c r="L48" s="201"/>
      <c r="M48" s="201"/>
      <c r="N48" s="149"/>
      <c r="O48" s="304"/>
    </row>
    <row r="49" spans="1:15" s="126" customFormat="1" hidden="1" outlineLevel="1" x14ac:dyDescent="0.25">
      <c r="A49" s="124"/>
      <c r="B49" s="148"/>
      <c r="C49" s="307"/>
      <c r="D49" s="282"/>
      <c r="E49" s="218" t="s">
        <v>164</v>
      </c>
      <c r="F49" s="219">
        <v>2007</v>
      </c>
      <c r="G49" s="213">
        <v>2010</v>
      </c>
      <c r="H49" s="213">
        <v>2015</v>
      </c>
      <c r="I49" s="213">
        <v>2020</v>
      </c>
      <c r="J49" s="213">
        <v>2025</v>
      </c>
      <c r="K49" s="213">
        <v>2030</v>
      </c>
      <c r="L49" s="213">
        <v>2035</v>
      </c>
      <c r="M49" s="213">
        <v>2040</v>
      </c>
      <c r="N49" s="149"/>
      <c r="O49" s="308"/>
    </row>
    <row r="50" spans="1:15" s="126" customFormat="1" hidden="1" outlineLevel="1" x14ac:dyDescent="0.25">
      <c r="A50" s="124"/>
      <c r="B50" s="148"/>
      <c r="C50" s="215" t="s">
        <v>165</v>
      </c>
      <c r="D50" s="282"/>
      <c r="E50" s="309">
        <v>0</v>
      </c>
      <c r="F50" s="310">
        <v>950.7</v>
      </c>
      <c r="G50" s="310">
        <v>950.7</v>
      </c>
      <c r="H50" s="310">
        <v>950.7</v>
      </c>
      <c r="I50" s="310">
        <v>950.7</v>
      </c>
      <c r="J50" s="310">
        <v>950.7</v>
      </c>
      <c r="K50" s="310">
        <v>950.7</v>
      </c>
      <c r="L50" s="310">
        <v>950.7</v>
      </c>
      <c r="M50" s="310">
        <v>950.7</v>
      </c>
      <c r="N50" s="149"/>
      <c r="O50" s="308"/>
    </row>
    <row r="51" spans="1:15" s="126" customFormat="1" hidden="1" outlineLevel="1" x14ac:dyDescent="0.25">
      <c r="A51" s="124"/>
      <c r="B51" s="148"/>
      <c r="C51" s="204" t="s">
        <v>166</v>
      </c>
      <c r="D51" s="188"/>
      <c r="E51" s="311">
        <v>0</v>
      </c>
      <c r="F51" s="306">
        <v>103.61620557455188</v>
      </c>
      <c r="G51" s="306">
        <v>103.61620557455188</v>
      </c>
      <c r="H51" s="306">
        <v>103.61620557455188</v>
      </c>
      <c r="I51" s="306">
        <v>103.61620557455188</v>
      </c>
      <c r="J51" s="306">
        <v>103.61620557455188</v>
      </c>
      <c r="K51" s="306">
        <v>103.61620557455188</v>
      </c>
      <c r="L51" s="306">
        <v>103.61620557455188</v>
      </c>
      <c r="M51" s="306">
        <v>103.61620557455188</v>
      </c>
      <c r="N51" s="149"/>
      <c r="O51" s="308"/>
    </row>
    <row r="52" spans="1:15" s="126" customFormat="1" hidden="1" outlineLevel="1" x14ac:dyDescent="0.25">
      <c r="A52" s="124"/>
      <c r="B52" s="148"/>
      <c r="C52" s="206" t="s">
        <v>167</v>
      </c>
      <c r="D52" s="207"/>
      <c r="E52" s="312">
        <v>0</v>
      </c>
      <c r="F52" s="313">
        <v>103.60000000000001</v>
      </c>
      <c r="G52" s="313">
        <v>103.60000000000001</v>
      </c>
      <c r="H52" s="313">
        <v>103.60000000000001</v>
      </c>
      <c r="I52" s="313">
        <v>103.60000000000001</v>
      </c>
      <c r="J52" s="313">
        <v>103.60000000000001</v>
      </c>
      <c r="K52" s="313">
        <v>103.60000000000001</v>
      </c>
      <c r="L52" s="313">
        <v>103.60000000000001</v>
      </c>
      <c r="M52" s="313">
        <v>103.60000000000001</v>
      </c>
      <c r="N52" s="149"/>
      <c r="O52" s="308"/>
    </row>
    <row r="53" spans="1:15" s="126" customFormat="1" hidden="1" outlineLevel="1" x14ac:dyDescent="0.25">
      <c r="A53" s="124"/>
      <c r="B53" s="148"/>
      <c r="C53" s="177"/>
      <c r="D53" s="188"/>
      <c r="E53" s="199"/>
      <c r="F53" s="306"/>
      <c r="G53" s="306"/>
      <c r="H53" s="201"/>
      <c r="I53" s="201"/>
      <c r="J53" s="201"/>
      <c r="K53" s="201"/>
      <c r="L53" s="201"/>
      <c r="M53" s="201"/>
      <c r="N53" s="149"/>
      <c r="O53" s="308"/>
    </row>
    <row r="54" spans="1:15" hidden="1" outlineLevel="1" x14ac:dyDescent="0.25">
      <c r="B54" s="148"/>
      <c r="C54" s="151" t="s">
        <v>254</v>
      </c>
      <c r="D54" s="188"/>
      <c r="E54" s="199"/>
      <c r="F54" s="306"/>
      <c r="G54" s="306"/>
      <c r="H54" s="201"/>
      <c r="I54" s="201"/>
      <c r="J54" s="201"/>
      <c r="K54" s="201"/>
      <c r="L54" s="201"/>
      <c r="M54" s="201"/>
      <c r="N54" s="149"/>
      <c r="O54" s="308"/>
    </row>
    <row r="55" spans="1:15" ht="4.5" hidden="1" customHeight="1" outlineLevel="1" x14ac:dyDescent="0.25">
      <c r="B55" s="148"/>
      <c r="C55" s="177"/>
      <c r="D55" s="188"/>
      <c r="E55" s="199"/>
      <c r="F55" s="306"/>
      <c r="G55" s="306"/>
      <c r="H55" s="201"/>
      <c r="I55" s="201"/>
      <c r="J55" s="201"/>
      <c r="K55" s="201"/>
      <c r="L55" s="201"/>
      <c r="M55" s="201"/>
      <c r="N55" s="149"/>
      <c r="O55" s="308"/>
    </row>
    <row r="56" spans="1:15" hidden="1" outlineLevel="1" x14ac:dyDescent="0.25">
      <c r="B56" s="148"/>
      <c r="C56" s="307"/>
      <c r="D56" s="282"/>
      <c r="E56" s="218" t="s">
        <v>164</v>
      </c>
      <c r="F56" s="219">
        <v>2007</v>
      </c>
      <c r="G56" s="213">
        <v>2010</v>
      </c>
      <c r="H56" s="213">
        <v>2015</v>
      </c>
      <c r="I56" s="213">
        <v>2020</v>
      </c>
      <c r="J56" s="213">
        <v>2025</v>
      </c>
      <c r="K56" s="213">
        <v>2030</v>
      </c>
      <c r="L56" s="213">
        <v>2035</v>
      </c>
      <c r="M56" s="213">
        <v>2040</v>
      </c>
      <c r="N56" s="149"/>
      <c r="O56" s="308"/>
    </row>
    <row r="57" spans="1:15" hidden="1" outlineLevel="1" x14ac:dyDescent="0.25">
      <c r="B57" s="148"/>
      <c r="C57" s="215" t="s">
        <v>165</v>
      </c>
      <c r="D57" s="282"/>
      <c r="E57" s="309">
        <v>0</v>
      </c>
      <c r="F57" s="310">
        <v>18.8</v>
      </c>
      <c r="G57" s="310">
        <v>18.8</v>
      </c>
      <c r="H57" s="310">
        <v>18.8</v>
      </c>
      <c r="I57" s="310">
        <v>18.8</v>
      </c>
      <c r="J57" s="310">
        <v>18.8</v>
      </c>
      <c r="K57" s="310">
        <v>18.8</v>
      </c>
      <c r="L57" s="310">
        <v>18.8</v>
      </c>
      <c r="M57" s="310">
        <v>18.8</v>
      </c>
      <c r="N57" s="149"/>
      <c r="O57" s="308"/>
    </row>
    <row r="58" spans="1:15" s="232" customFormat="1" hidden="1" outlineLevel="1" x14ac:dyDescent="0.25">
      <c r="B58" s="148"/>
      <c r="C58" s="204" t="s">
        <v>166</v>
      </c>
      <c r="D58" s="188"/>
      <c r="E58" s="311">
        <v>0</v>
      </c>
      <c r="F58" s="306">
        <v>10.361620557455186</v>
      </c>
      <c r="G58" s="306">
        <v>10.361620557455186</v>
      </c>
      <c r="H58" s="306">
        <v>10.361620557455186</v>
      </c>
      <c r="I58" s="306">
        <v>10.361620557455186</v>
      </c>
      <c r="J58" s="306">
        <v>10.361620557455186</v>
      </c>
      <c r="K58" s="306">
        <v>10.361620557455186</v>
      </c>
      <c r="L58" s="306">
        <v>10.361620557455186</v>
      </c>
      <c r="M58" s="306">
        <v>10.361620557455186</v>
      </c>
      <c r="N58" s="149"/>
      <c r="O58" s="308"/>
    </row>
    <row r="59" spans="1:15" s="232" customFormat="1" ht="14.25" hidden="1" customHeight="1" outlineLevel="1" x14ac:dyDescent="0.25">
      <c r="B59" s="148"/>
      <c r="C59" s="206" t="s">
        <v>167</v>
      </c>
      <c r="D59" s="207"/>
      <c r="E59" s="312">
        <v>0</v>
      </c>
      <c r="F59" s="313">
        <v>1</v>
      </c>
      <c r="G59" s="313">
        <v>1</v>
      </c>
      <c r="H59" s="313">
        <v>1</v>
      </c>
      <c r="I59" s="313">
        <v>1</v>
      </c>
      <c r="J59" s="313">
        <v>1</v>
      </c>
      <c r="K59" s="313">
        <v>1</v>
      </c>
      <c r="L59" s="313">
        <v>1</v>
      </c>
      <c r="M59" s="313">
        <v>1</v>
      </c>
      <c r="N59" s="149"/>
      <c r="O59" s="308"/>
    </row>
    <row r="60" spans="1:15" ht="15.75" hidden="1" customHeight="1" outlineLevel="1" x14ac:dyDescent="0.25">
      <c r="B60" s="198"/>
      <c r="C60" s="198"/>
      <c r="D60" s="149"/>
      <c r="E60" s="201"/>
      <c r="F60" s="149"/>
      <c r="G60" s="149"/>
      <c r="H60" s="149"/>
      <c r="I60" s="149"/>
      <c r="J60" s="314"/>
      <c r="K60" s="314"/>
      <c r="L60" s="198"/>
      <c r="M60" s="198"/>
      <c r="N60" s="198"/>
      <c r="O60" s="308"/>
    </row>
    <row r="61" spans="1:15" collapsed="1" x14ac:dyDescent="0.25">
      <c r="B61" s="315"/>
      <c r="C61" s="281"/>
      <c r="D61" s="281"/>
      <c r="E61" s="281"/>
      <c r="F61" s="281"/>
      <c r="G61" s="281"/>
      <c r="H61" s="281"/>
      <c r="I61" s="281"/>
      <c r="J61" s="281"/>
      <c r="K61" s="281"/>
      <c r="L61" s="281"/>
      <c r="M61" s="281"/>
      <c r="N61" s="316"/>
    </row>
    <row r="62" spans="1:15" ht="15.75" x14ac:dyDescent="0.25">
      <c r="B62" s="145" t="s">
        <v>168</v>
      </c>
      <c r="C62" s="146"/>
      <c r="D62" s="146"/>
      <c r="E62" s="146"/>
      <c r="F62" s="146"/>
      <c r="G62" s="146"/>
      <c r="H62" s="146"/>
      <c r="I62" s="146"/>
      <c r="J62" s="146"/>
      <c r="K62" s="146"/>
      <c r="L62" s="146"/>
      <c r="M62" s="146"/>
      <c r="N62" s="147"/>
    </row>
    <row r="63" spans="1:15" s="126" customFormat="1" ht="5.25" customHeight="1" x14ac:dyDescent="0.25">
      <c r="B63" s="148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53"/>
    </row>
    <row r="64" spans="1:15" x14ac:dyDescent="0.25">
      <c r="B64" s="148"/>
      <c r="C64" s="151" t="s">
        <v>169</v>
      </c>
      <c r="D64" s="149"/>
      <c r="E64" s="152"/>
      <c r="F64" s="149"/>
      <c r="G64" s="149"/>
      <c r="H64" s="149"/>
      <c r="I64" s="149"/>
      <c r="J64" s="149"/>
      <c r="K64" s="149"/>
      <c r="L64" s="149"/>
      <c r="M64" s="152" t="s">
        <v>152</v>
      </c>
      <c r="N64" s="153"/>
    </row>
    <row r="65" spans="2:15" ht="4.5" customHeight="1" x14ac:dyDescent="0.25">
      <c r="B65" s="148"/>
      <c r="C65" s="149"/>
      <c r="D65" s="149"/>
      <c r="E65" s="149"/>
      <c r="F65" s="149"/>
      <c r="G65" s="149"/>
      <c r="H65" s="149"/>
      <c r="I65" s="149"/>
      <c r="J65" s="149"/>
      <c r="K65" s="149"/>
      <c r="L65" s="149"/>
      <c r="M65" s="149"/>
      <c r="N65" s="153"/>
    </row>
    <row r="66" spans="2:15" ht="15.75" x14ac:dyDescent="0.25">
      <c r="B66" s="173"/>
      <c r="C66" s="154" t="s">
        <v>155</v>
      </c>
      <c r="D66" s="154" t="s">
        <v>156</v>
      </c>
      <c r="E66" s="154" t="s">
        <v>8</v>
      </c>
      <c r="F66" s="155">
        <v>2015</v>
      </c>
      <c r="G66" s="156">
        <v>2020</v>
      </c>
      <c r="H66" s="155">
        <v>2025</v>
      </c>
      <c r="I66" s="155">
        <v>2030</v>
      </c>
      <c r="J66" s="155">
        <v>2035</v>
      </c>
      <c r="K66" s="155">
        <v>2040</v>
      </c>
      <c r="L66" s="155">
        <v>2045</v>
      </c>
      <c r="M66" s="155">
        <v>2050</v>
      </c>
      <c r="N66" s="153"/>
    </row>
    <row r="67" spans="2:15" ht="13.5" customHeight="1" x14ac:dyDescent="0.25">
      <c r="B67" s="214"/>
      <c r="C67" s="221" t="s">
        <v>249</v>
      </c>
      <c r="D67" s="222" t="s">
        <v>247</v>
      </c>
      <c r="E67" s="222"/>
      <c r="F67" s="317">
        <f t="shared" ref="F67:M67" si="2">F19</f>
        <v>0.39</v>
      </c>
      <c r="G67" s="318">
        <f t="shared" si="2"/>
        <v>0.48</v>
      </c>
      <c r="H67" s="317">
        <f t="shared" si="2"/>
        <v>0.56999999999999995</v>
      </c>
      <c r="I67" s="317">
        <f t="shared" si="2"/>
        <v>0.66</v>
      </c>
      <c r="J67" s="317">
        <f t="shared" si="2"/>
        <v>0.74</v>
      </c>
      <c r="K67" s="317">
        <f t="shared" si="2"/>
        <v>0.83</v>
      </c>
      <c r="L67" s="317">
        <f t="shared" si="2"/>
        <v>0.92</v>
      </c>
      <c r="M67" s="317">
        <f t="shared" si="2"/>
        <v>1</v>
      </c>
      <c r="N67" s="158"/>
      <c r="O67" s="281"/>
    </row>
    <row r="68" spans="2:15" x14ac:dyDescent="0.25">
      <c r="B68" s="319"/>
      <c r="C68" s="320"/>
      <c r="D68" s="321"/>
      <c r="E68" s="321"/>
      <c r="F68" s="322"/>
      <c r="G68" s="323"/>
      <c r="H68" s="323"/>
      <c r="I68" s="323"/>
      <c r="J68" s="323"/>
      <c r="K68" s="323"/>
      <c r="L68" s="323"/>
      <c r="M68" s="323"/>
      <c r="N68" s="303"/>
      <c r="O68" s="281"/>
    </row>
    <row r="69" spans="2:15" x14ac:dyDescent="0.25">
      <c r="O69" s="281"/>
    </row>
    <row r="70" spans="2:15" x14ac:dyDescent="0.25">
      <c r="B70" s="124" t="s">
        <v>247</v>
      </c>
      <c r="C70" s="223"/>
      <c r="F70" s="232">
        <v>2015</v>
      </c>
      <c r="G70" s="232">
        <v>2020</v>
      </c>
      <c r="H70" s="232">
        <v>2025</v>
      </c>
      <c r="I70" s="232">
        <v>2030</v>
      </c>
      <c r="J70" s="232">
        <v>2035</v>
      </c>
      <c r="K70" s="232">
        <v>2040</v>
      </c>
      <c r="L70" s="232">
        <v>2045</v>
      </c>
      <c r="M70" s="232">
        <v>2050</v>
      </c>
      <c r="O70" s="281"/>
    </row>
    <row r="71" spans="2:15" x14ac:dyDescent="0.25">
      <c r="C71" s="224" t="s">
        <v>169</v>
      </c>
      <c r="E71" s="124" t="s">
        <v>152</v>
      </c>
      <c r="F71" s="324">
        <f>F67</f>
        <v>0.39</v>
      </c>
      <c r="G71" s="324">
        <f t="shared" ref="G71:M71" si="3">G67</f>
        <v>0.48</v>
      </c>
      <c r="H71" s="324">
        <f t="shared" si="3"/>
        <v>0.56999999999999995</v>
      </c>
      <c r="I71" s="324">
        <f t="shared" si="3"/>
        <v>0.66</v>
      </c>
      <c r="J71" s="324">
        <f t="shared" si="3"/>
        <v>0.74</v>
      </c>
      <c r="K71" s="324">
        <f t="shared" si="3"/>
        <v>0.83</v>
      </c>
      <c r="L71" s="324">
        <f t="shared" si="3"/>
        <v>0.92</v>
      </c>
      <c r="M71" s="324">
        <f t="shared" si="3"/>
        <v>1</v>
      </c>
      <c r="O71" s="281"/>
    </row>
    <row r="72" spans="2:15" x14ac:dyDescent="0.25">
      <c r="B72" s="228" t="s">
        <v>232</v>
      </c>
      <c r="C72" s="124" t="s">
        <v>255</v>
      </c>
      <c r="F72" s="226">
        <f t="shared" ref="F72:M72" si="4">F33</f>
        <v>0.55000000000000004</v>
      </c>
      <c r="G72" s="226">
        <f t="shared" si="4"/>
        <v>0.55000000000000004</v>
      </c>
      <c r="H72" s="226">
        <f t="shared" si="4"/>
        <v>0.55000000000000004</v>
      </c>
      <c r="I72" s="226">
        <f t="shared" si="4"/>
        <v>0.55000000000000004</v>
      </c>
      <c r="J72" s="226">
        <f t="shared" si="4"/>
        <v>0.55000000000000004</v>
      </c>
      <c r="K72" s="226">
        <f t="shared" si="4"/>
        <v>0.55000000000000004</v>
      </c>
      <c r="L72" s="226">
        <f t="shared" si="4"/>
        <v>0.55000000000000004</v>
      </c>
      <c r="M72" s="226">
        <f t="shared" si="4"/>
        <v>0.55000000000000004</v>
      </c>
      <c r="O72" s="281"/>
    </row>
    <row r="73" spans="2:15" x14ac:dyDescent="0.25">
      <c r="B73" s="223" t="s">
        <v>234</v>
      </c>
      <c r="C73" s="224" t="s">
        <v>235</v>
      </c>
      <c r="F73" s="325">
        <f>F71*F72</f>
        <v>0.21450000000000002</v>
      </c>
      <c r="G73" s="325">
        <f t="shared" ref="G73:M73" si="5">G71*G72</f>
        <v>0.26400000000000001</v>
      </c>
      <c r="H73" s="325">
        <f t="shared" si="5"/>
        <v>0.3135</v>
      </c>
      <c r="I73" s="325">
        <f t="shared" si="5"/>
        <v>0.36300000000000004</v>
      </c>
      <c r="J73" s="325">
        <f t="shared" si="5"/>
        <v>0.40700000000000003</v>
      </c>
      <c r="K73" s="325">
        <f t="shared" si="5"/>
        <v>0.45650000000000002</v>
      </c>
      <c r="L73" s="325">
        <f t="shared" si="5"/>
        <v>0.50600000000000012</v>
      </c>
      <c r="M73" s="325">
        <f t="shared" si="5"/>
        <v>0.55000000000000004</v>
      </c>
      <c r="O73" s="281"/>
    </row>
    <row r="74" spans="2:15" x14ac:dyDescent="0.25">
      <c r="C74" s="224"/>
      <c r="F74" s="325"/>
      <c r="G74" s="325"/>
      <c r="H74" s="325"/>
      <c r="I74" s="325"/>
      <c r="J74" s="325"/>
      <c r="K74" s="325"/>
      <c r="L74" s="325"/>
      <c r="M74" s="325"/>
      <c r="O74" s="281"/>
    </row>
    <row r="75" spans="2:15" x14ac:dyDescent="0.25">
      <c r="C75" s="224" t="s">
        <v>236</v>
      </c>
      <c r="E75" s="124" t="s">
        <v>171</v>
      </c>
      <c r="F75" s="325">
        <f>F73*8.766</f>
        <v>1.8803070000000002</v>
      </c>
      <c r="G75" s="325">
        <f t="shared" ref="G75:L75" si="6">G73*8.766</f>
        <v>2.3142240000000003</v>
      </c>
      <c r="H75" s="325">
        <f t="shared" si="6"/>
        <v>2.7481409999999999</v>
      </c>
      <c r="I75" s="325">
        <f t="shared" si="6"/>
        <v>3.1820580000000005</v>
      </c>
      <c r="J75" s="325">
        <f t="shared" si="6"/>
        <v>3.5677620000000001</v>
      </c>
      <c r="K75" s="325">
        <f t="shared" si="6"/>
        <v>4.0016790000000002</v>
      </c>
      <c r="L75" s="325">
        <f t="shared" si="6"/>
        <v>4.4355960000000012</v>
      </c>
      <c r="M75" s="325">
        <f>M73*8.766</f>
        <v>4.8213000000000008</v>
      </c>
      <c r="O75" s="281"/>
    </row>
    <row r="76" spans="2:15" x14ac:dyDescent="0.25">
      <c r="C76" s="224"/>
      <c r="F76" s="325"/>
      <c r="G76" s="325"/>
      <c r="H76" s="325"/>
      <c r="I76" s="325"/>
      <c r="J76" s="325"/>
      <c r="K76" s="325"/>
      <c r="L76" s="325"/>
      <c r="M76" s="325"/>
      <c r="O76" s="281"/>
    </row>
    <row r="77" spans="2:15" ht="15.75" x14ac:dyDescent="0.25">
      <c r="B77" s="128" t="s">
        <v>181</v>
      </c>
      <c r="C77" s="129"/>
      <c r="D77" s="129"/>
      <c r="E77" s="129"/>
      <c r="F77" s="129"/>
      <c r="G77" s="129"/>
      <c r="H77" s="129"/>
      <c r="I77" s="129"/>
      <c r="J77" s="129"/>
      <c r="K77" s="129"/>
      <c r="L77" s="129"/>
      <c r="M77" s="129"/>
      <c r="N77" s="130"/>
    </row>
    <row r="78" spans="2:15" x14ac:dyDescent="0.25">
      <c r="B78" s="131"/>
      <c r="C78" s="132"/>
      <c r="D78" s="132"/>
      <c r="E78" s="132"/>
      <c r="F78" s="132"/>
      <c r="G78" s="132"/>
      <c r="H78" s="132"/>
      <c r="I78" s="132"/>
      <c r="J78" s="132"/>
      <c r="K78" s="132"/>
      <c r="L78" s="132"/>
      <c r="M78" s="132"/>
      <c r="N78" s="133"/>
    </row>
    <row r="79" spans="2:15" x14ac:dyDescent="0.25">
      <c r="B79" s="131"/>
      <c r="C79" s="141" t="s">
        <v>241</v>
      </c>
      <c r="D79" s="132"/>
      <c r="E79" s="142"/>
      <c r="F79" s="132"/>
      <c r="G79" s="142"/>
      <c r="H79" s="132"/>
      <c r="I79" s="132"/>
      <c r="J79" s="132"/>
      <c r="K79" s="132"/>
      <c r="L79" s="132"/>
      <c r="M79" s="142" t="s">
        <v>171</v>
      </c>
      <c r="N79" s="133"/>
    </row>
    <row r="80" spans="2:15" x14ac:dyDescent="0.25">
      <c r="B80" s="131"/>
      <c r="C80" s="132"/>
      <c r="D80" s="132"/>
      <c r="E80" s="132"/>
      <c r="F80" s="132"/>
      <c r="G80" s="132"/>
      <c r="H80" s="132"/>
      <c r="I80" s="132"/>
      <c r="J80" s="132"/>
      <c r="K80" s="132"/>
      <c r="L80" s="132"/>
      <c r="M80" s="132"/>
      <c r="N80" s="133"/>
    </row>
    <row r="81" spans="2:15" ht="15.75" x14ac:dyDescent="0.25">
      <c r="B81" s="134"/>
      <c r="C81" s="327" t="s">
        <v>146</v>
      </c>
      <c r="D81" s="327" t="s">
        <v>242</v>
      </c>
      <c r="E81" s="327" t="s">
        <v>8</v>
      </c>
      <c r="F81" s="327" t="s">
        <v>16</v>
      </c>
      <c r="G81" s="327" t="s">
        <v>17</v>
      </c>
      <c r="H81" s="327" t="s">
        <v>18</v>
      </c>
      <c r="I81" s="327" t="s">
        <v>19</v>
      </c>
      <c r="J81" s="327" t="s">
        <v>20</v>
      </c>
      <c r="K81" s="327" t="s">
        <v>21</v>
      </c>
      <c r="L81" s="327" t="s">
        <v>22</v>
      </c>
      <c r="M81" s="327" t="s">
        <v>23</v>
      </c>
      <c r="N81" s="133"/>
    </row>
    <row r="82" spans="2:15" ht="15.75" x14ac:dyDescent="0.25">
      <c r="B82" s="134"/>
      <c r="C82" s="233" t="s">
        <v>150</v>
      </c>
      <c r="D82" s="233" t="s">
        <v>243</v>
      </c>
      <c r="E82" s="233"/>
      <c r="F82" s="328">
        <f t="shared" ref="F82:M82" si="7">F75</f>
        <v>1.8803070000000002</v>
      </c>
      <c r="G82" s="328">
        <f t="shared" si="7"/>
        <v>2.3142240000000003</v>
      </c>
      <c r="H82" s="328">
        <f t="shared" si="7"/>
        <v>2.7481409999999999</v>
      </c>
      <c r="I82" s="328">
        <f t="shared" si="7"/>
        <v>3.1820580000000005</v>
      </c>
      <c r="J82" s="328">
        <f t="shared" si="7"/>
        <v>3.5677620000000001</v>
      </c>
      <c r="K82" s="328">
        <f t="shared" si="7"/>
        <v>4.0016790000000002</v>
      </c>
      <c r="L82" s="328">
        <f t="shared" si="7"/>
        <v>4.4355960000000012</v>
      </c>
      <c r="M82" s="328">
        <f t="shared" si="7"/>
        <v>4.8213000000000008</v>
      </c>
      <c r="N82" s="133"/>
    </row>
    <row r="83" spans="2:15" ht="15.75" x14ac:dyDescent="0.25">
      <c r="B83" s="134"/>
      <c r="C83" s="233" t="s">
        <v>249</v>
      </c>
      <c r="D83" s="233" t="s">
        <v>247</v>
      </c>
      <c r="E83" s="233"/>
      <c r="F83" s="328">
        <f t="shared" ref="F83:M83" si="8">-F75</f>
        <v>-1.8803070000000002</v>
      </c>
      <c r="G83" s="328">
        <f t="shared" si="8"/>
        <v>-2.3142240000000003</v>
      </c>
      <c r="H83" s="328">
        <f t="shared" si="8"/>
        <v>-2.7481409999999999</v>
      </c>
      <c r="I83" s="328">
        <f t="shared" si="8"/>
        <v>-3.1820580000000005</v>
      </c>
      <c r="J83" s="328">
        <f t="shared" si="8"/>
        <v>-3.5677620000000001</v>
      </c>
      <c r="K83" s="328">
        <f t="shared" si="8"/>
        <v>-4.0016790000000002</v>
      </c>
      <c r="L83" s="328">
        <f t="shared" si="8"/>
        <v>-4.4355960000000012</v>
      </c>
      <c r="M83" s="328">
        <f t="shared" si="8"/>
        <v>-4.8213000000000008</v>
      </c>
      <c r="N83" s="133"/>
    </row>
    <row r="84" spans="2:15" ht="15.75" x14ac:dyDescent="0.25">
      <c r="B84" s="134"/>
      <c r="C84" s="1938" t="s">
        <v>118</v>
      </c>
      <c r="D84" s="1938"/>
      <c r="E84" s="1938"/>
      <c r="F84" s="1950">
        <f>SUBTOTAL(109,III.b.1.Outputs[2015])</f>
        <v>0</v>
      </c>
      <c r="G84" s="1950">
        <f>SUBTOTAL(109,III.b.1.Outputs[2020])</f>
        <v>0</v>
      </c>
      <c r="H84" s="1950">
        <f>SUBTOTAL(109,III.b.1.Outputs[2025])</f>
        <v>0</v>
      </c>
      <c r="I84" s="1950">
        <f>SUBTOTAL(109,III.b.1.Outputs[2030])</f>
        <v>0</v>
      </c>
      <c r="J84" s="1950">
        <f>SUBTOTAL(109,III.b.1.Outputs[2035])</f>
        <v>0</v>
      </c>
      <c r="K84" s="1950">
        <f>SUBTOTAL(109,III.b.1.Outputs[2040])</f>
        <v>0</v>
      </c>
      <c r="L84" s="1950">
        <f>SUBTOTAL(109,III.b.1.Outputs[2045])</f>
        <v>0</v>
      </c>
      <c r="M84" s="1950">
        <f>SUBTOTAL(109,III.b.1.Outputs[2050])</f>
        <v>0</v>
      </c>
      <c r="N84" s="133"/>
    </row>
    <row r="85" spans="2:15" ht="15.75" x14ac:dyDescent="0.25">
      <c r="B85" s="137"/>
      <c r="C85" s="138"/>
      <c r="D85" s="138"/>
      <c r="E85" s="138"/>
      <c r="F85" s="328"/>
      <c r="G85" s="138"/>
      <c r="H85" s="138"/>
      <c r="I85" s="138"/>
      <c r="J85" s="138"/>
      <c r="K85" s="138"/>
      <c r="L85" s="138"/>
      <c r="M85" s="138"/>
      <c r="N85" s="140"/>
      <c r="O85" s="231"/>
    </row>
    <row r="86" spans="2:15" x14ac:dyDescent="0.25">
      <c r="O86" s="231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O135"/>
  <sheetViews>
    <sheetView zoomScale="85" zoomScaleNormal="85" workbookViewId="0">
      <selection activeCell="L26" sqref="L26"/>
    </sheetView>
  </sheetViews>
  <sheetFormatPr baseColWidth="10" defaultColWidth="9.140625" defaultRowHeight="15" outlineLevelRow="2" x14ac:dyDescent="0.25"/>
  <cols>
    <col min="1" max="1" width="7.7109375" style="124" customWidth="1"/>
    <col min="2" max="2" width="5.85546875" style="124" customWidth="1"/>
    <col min="3" max="3" width="20.42578125" style="124" customWidth="1"/>
    <col min="4" max="4" width="37.28515625" style="124" customWidth="1"/>
    <col min="5" max="5" width="20.7109375" style="124" customWidth="1"/>
    <col min="6" max="13" width="17.7109375" style="124" customWidth="1"/>
    <col min="14" max="14" width="2" style="124" customWidth="1"/>
    <col min="15" max="15" width="10.85546875" style="124" customWidth="1"/>
    <col min="16" max="16384" width="9.140625" style="124"/>
  </cols>
  <sheetData>
    <row r="1" spans="1:14" ht="20.25" x14ac:dyDescent="0.3">
      <c r="A1" s="123" t="s">
        <v>206</v>
      </c>
      <c r="B1" s="123" t="s">
        <v>207</v>
      </c>
      <c r="C1" s="123"/>
    </row>
    <row r="2" spans="1:14" s="126" customFormat="1" ht="15.75" x14ac:dyDescent="0.2">
      <c r="A2" s="125" t="s">
        <v>258</v>
      </c>
      <c r="B2" s="125" t="str">
        <f>INDEX(Modulos[Modulos], MATCH($A2, Modulos[Código], 0))</f>
        <v>Hidráulica de Pasada</v>
      </c>
      <c r="C2" s="125"/>
      <c r="E2" s="259"/>
    </row>
    <row r="4" spans="1:14" ht="23.25" x14ac:dyDescent="0.35">
      <c r="A4" s="127"/>
      <c r="B4" s="128" t="s">
        <v>144</v>
      </c>
      <c r="C4" s="129"/>
      <c r="D4" s="129"/>
      <c r="E4" s="129"/>
      <c r="F4" s="129"/>
      <c r="G4" s="129"/>
      <c r="H4" s="129"/>
      <c r="I4" s="129"/>
      <c r="J4" s="129"/>
      <c r="K4" s="129"/>
      <c r="L4" s="129"/>
      <c r="M4" s="129"/>
      <c r="N4" s="130"/>
    </row>
    <row r="5" spans="1:14" x14ac:dyDescent="0.25">
      <c r="B5" s="131"/>
      <c r="C5" s="132"/>
      <c r="D5" s="132"/>
      <c r="E5" s="132"/>
      <c r="F5" s="132"/>
      <c r="G5" s="132"/>
      <c r="H5" s="132"/>
      <c r="I5" s="132"/>
      <c r="J5" s="132"/>
      <c r="K5" s="132"/>
      <c r="L5" s="132"/>
      <c r="M5" s="132"/>
      <c r="N5" s="133"/>
    </row>
    <row r="6" spans="1:14" ht="15.75" x14ac:dyDescent="0.25">
      <c r="B6" s="134"/>
      <c r="C6" s="132"/>
      <c r="D6" s="135" t="s">
        <v>145</v>
      </c>
      <c r="E6" s="135" t="s">
        <v>3</v>
      </c>
      <c r="F6" s="132"/>
      <c r="G6" s="132"/>
      <c r="H6" s="132"/>
      <c r="I6" s="132"/>
      <c r="J6" s="132"/>
      <c r="K6" s="132"/>
      <c r="L6" s="132"/>
      <c r="M6" s="132"/>
      <c r="N6" s="133"/>
    </row>
    <row r="7" spans="1:14" ht="15.75" x14ac:dyDescent="0.25">
      <c r="B7" s="134"/>
      <c r="C7" s="132"/>
      <c r="D7" s="136" t="str">
        <f>B2</f>
        <v>Hidráulica de Pasada</v>
      </c>
      <c r="E7" s="136">
        <f>Control!F56</f>
        <v>1</v>
      </c>
      <c r="F7" s="132"/>
      <c r="G7" s="132"/>
      <c r="H7" s="132"/>
      <c r="I7" s="132"/>
      <c r="J7" s="132"/>
      <c r="K7" s="132"/>
      <c r="L7" s="132"/>
      <c r="M7" s="132"/>
      <c r="N7" s="133"/>
    </row>
    <row r="8" spans="1:14" x14ac:dyDescent="0.25">
      <c r="B8" s="294"/>
      <c r="C8" s="139"/>
      <c r="D8" s="139"/>
      <c r="E8" s="139"/>
      <c r="F8" s="139"/>
      <c r="G8" s="139"/>
      <c r="H8" s="139"/>
      <c r="I8" s="139"/>
      <c r="J8" s="139"/>
      <c r="K8" s="139"/>
      <c r="L8" s="139"/>
      <c r="M8" s="139"/>
      <c r="N8" s="140"/>
    </row>
    <row r="10" spans="1:14" ht="23.25" x14ac:dyDescent="0.35">
      <c r="A10" s="127"/>
      <c r="B10" s="145" t="s">
        <v>151</v>
      </c>
      <c r="C10" s="146"/>
      <c r="D10" s="146"/>
      <c r="E10" s="146"/>
      <c r="F10" s="146"/>
      <c r="G10" s="146"/>
      <c r="H10" s="146"/>
      <c r="I10" s="146"/>
      <c r="J10" s="146"/>
      <c r="K10" s="146"/>
      <c r="L10" s="146"/>
      <c r="M10" s="146"/>
      <c r="N10" s="147"/>
    </row>
    <row r="11" spans="1:14" x14ac:dyDescent="0.25">
      <c r="B11" s="148"/>
      <c r="C11" s="149"/>
      <c r="D11" s="149"/>
      <c r="E11" s="149"/>
      <c r="F11" s="149"/>
      <c r="G11" s="149"/>
      <c r="H11" s="149"/>
      <c r="I11" s="149"/>
      <c r="J11" s="149"/>
      <c r="K11" s="149"/>
      <c r="L11" s="149"/>
      <c r="M11" s="149"/>
      <c r="N11" s="153"/>
    </row>
    <row r="12" spans="1:14" x14ac:dyDescent="0.25">
      <c r="B12" s="148"/>
      <c r="C12" s="151" t="s">
        <v>260</v>
      </c>
      <c r="D12" s="149"/>
      <c r="E12" s="152"/>
      <c r="F12" s="149"/>
      <c r="G12" s="149"/>
      <c r="H12" s="149"/>
      <c r="I12" s="149"/>
      <c r="J12" s="149"/>
      <c r="K12" s="149"/>
      <c r="L12" s="149"/>
      <c r="M12" s="152" t="s">
        <v>152</v>
      </c>
      <c r="N12" s="153"/>
    </row>
    <row r="13" spans="1:14" x14ac:dyDescent="0.25">
      <c r="B13" s="148"/>
      <c r="C13" s="149"/>
      <c r="D13" s="149"/>
      <c r="E13" s="149"/>
      <c r="F13" s="149"/>
      <c r="G13" s="149"/>
      <c r="H13" s="149"/>
      <c r="I13" s="149"/>
      <c r="J13" s="149"/>
      <c r="K13" s="149"/>
      <c r="L13" s="149"/>
      <c r="M13" s="149"/>
      <c r="N13" s="153"/>
    </row>
    <row r="14" spans="1:14" ht="15.75" x14ac:dyDescent="0.25">
      <c r="B14" s="173"/>
      <c r="C14" s="154" t="s">
        <v>3</v>
      </c>
      <c r="D14" s="154" t="s">
        <v>7</v>
      </c>
      <c r="E14" s="154" t="s">
        <v>8</v>
      </c>
      <c r="F14" s="155">
        <v>2015</v>
      </c>
      <c r="G14" s="156">
        <v>2020</v>
      </c>
      <c r="H14" s="155">
        <v>2025</v>
      </c>
      <c r="I14" s="155">
        <v>2030</v>
      </c>
      <c r="J14" s="155">
        <v>2035</v>
      </c>
      <c r="K14" s="155">
        <v>2040</v>
      </c>
      <c r="L14" s="155">
        <v>2045</v>
      </c>
      <c r="M14" s="155">
        <v>2050</v>
      </c>
      <c r="N14" s="153"/>
    </row>
    <row r="15" spans="1:14" ht="15.75" x14ac:dyDescent="0.25">
      <c r="B15" s="214"/>
      <c r="C15" s="157">
        <v>1</v>
      </c>
      <c r="D15" s="158"/>
      <c r="E15" s="159" t="s">
        <v>12</v>
      </c>
      <c r="F15" s="334">
        <v>2.08</v>
      </c>
      <c r="G15" s="335">
        <v>2.1670000000000003</v>
      </c>
      <c r="H15" s="334">
        <v>2.2540000000000004</v>
      </c>
      <c r="I15" s="334">
        <v>2.3410000000000006</v>
      </c>
      <c r="J15" s="334">
        <v>2.4280000000000008</v>
      </c>
      <c r="K15" s="334">
        <v>2.515000000000001</v>
      </c>
      <c r="L15" s="334">
        <v>2.6020000000000012</v>
      </c>
      <c r="M15" s="334">
        <v>2.6890000000000014</v>
      </c>
      <c r="N15" s="163"/>
    </row>
    <row r="16" spans="1:14" ht="15.75" x14ac:dyDescent="0.25">
      <c r="B16" s="173"/>
      <c r="C16" s="157">
        <v>2</v>
      </c>
      <c r="D16" s="158"/>
      <c r="E16" s="158" t="s">
        <v>133</v>
      </c>
      <c r="F16" s="334">
        <v>2.08</v>
      </c>
      <c r="G16" s="336">
        <v>2.3919999999999999</v>
      </c>
      <c r="H16" s="337">
        <v>2.8703999999999996</v>
      </c>
      <c r="I16" s="337">
        <v>3.3412683958317695</v>
      </c>
      <c r="J16" s="337">
        <v>3.6753952354149466</v>
      </c>
      <c r="K16" s="337">
        <v>4.0429347589564415</v>
      </c>
      <c r="L16" s="337">
        <v>4.4472282348520862</v>
      </c>
      <c r="M16" s="337">
        <v>4.8919510583372956</v>
      </c>
      <c r="N16" s="153"/>
    </row>
    <row r="17" spans="1:14" ht="15.75" x14ac:dyDescent="0.25">
      <c r="B17" s="173"/>
      <c r="C17" s="157">
        <v>3</v>
      </c>
      <c r="D17" s="158"/>
      <c r="E17" s="158"/>
      <c r="F17" s="334">
        <v>2.08</v>
      </c>
      <c r="G17" s="336">
        <v>3.2664600729459634</v>
      </c>
      <c r="H17" s="337">
        <v>4.1958134305946189</v>
      </c>
      <c r="I17" s="337">
        <v>5.1214009861591574</v>
      </c>
      <c r="J17" s="337">
        <v>5.6367513793429636</v>
      </c>
      <c r="K17" s="337">
        <v>6.242638225739876</v>
      </c>
      <c r="L17" s="337">
        <v>6.6669518503330494</v>
      </c>
      <c r="M17" s="337">
        <v>7.12317314275497</v>
      </c>
      <c r="N17" s="153"/>
    </row>
    <row r="18" spans="1:14" ht="15.75" x14ac:dyDescent="0.25">
      <c r="B18" s="173"/>
      <c r="C18" s="167">
        <v>4</v>
      </c>
      <c r="D18" s="168"/>
      <c r="E18" s="158" t="s">
        <v>136</v>
      </c>
      <c r="F18" s="338">
        <v>2.08</v>
      </c>
      <c r="G18" s="339">
        <v>4.1409201458919274</v>
      </c>
      <c r="H18" s="340">
        <v>5.5212268611892377</v>
      </c>
      <c r="I18" s="340">
        <v>6.9015335764865462</v>
      </c>
      <c r="J18" s="340">
        <v>7.59810752327098</v>
      </c>
      <c r="K18" s="340">
        <v>8.4423416925233106</v>
      </c>
      <c r="L18" s="340">
        <v>8.8866754658140117</v>
      </c>
      <c r="M18" s="340">
        <v>9.3543952271726436</v>
      </c>
      <c r="N18" s="153"/>
    </row>
    <row r="19" spans="1:14" ht="15.75" x14ac:dyDescent="0.25">
      <c r="B19" s="173"/>
      <c r="C19" s="174" t="s">
        <v>153</v>
      </c>
      <c r="D19" s="175"/>
      <c r="E19" s="175"/>
      <c r="F19" s="176">
        <f>(INDEX(F$15:F$18,ROUNDDOWN($E$7,0))*(1-MOD($E$7,1)))+(INDEX(F$15:F$18,ROUNDUP($E$7,0))*MOD($E$7,1))</f>
        <v>2.08</v>
      </c>
      <c r="G19" s="176">
        <f t="shared" ref="G19:M19" si="0">(INDEX(G$15:G$18,ROUNDDOWN($E$7,0))*(1-MOD($E$7,1)))+(INDEX(G$15:G$18,ROUNDUP($E$7,0))*MOD($E$7,1))</f>
        <v>2.1670000000000003</v>
      </c>
      <c r="H19" s="176">
        <f t="shared" si="0"/>
        <v>2.2540000000000004</v>
      </c>
      <c r="I19" s="176">
        <f t="shared" si="0"/>
        <v>2.3410000000000006</v>
      </c>
      <c r="J19" s="176">
        <f t="shared" si="0"/>
        <v>2.4280000000000008</v>
      </c>
      <c r="K19" s="176">
        <f t="shared" si="0"/>
        <v>2.515000000000001</v>
      </c>
      <c r="L19" s="176">
        <f t="shared" si="0"/>
        <v>2.6020000000000012</v>
      </c>
      <c r="M19" s="176">
        <f t="shared" si="0"/>
        <v>2.6890000000000014</v>
      </c>
      <c r="N19" s="153"/>
    </row>
    <row r="20" spans="1:14" x14ac:dyDescent="0.25">
      <c r="B20" s="216"/>
      <c r="C20" s="149"/>
      <c r="D20" s="179"/>
      <c r="E20" s="149"/>
      <c r="F20" s="149"/>
      <c r="G20" s="295"/>
      <c r="H20" s="295"/>
      <c r="I20" s="295"/>
      <c r="J20" s="295"/>
      <c r="K20" s="295"/>
      <c r="L20" s="295"/>
      <c r="M20" s="295"/>
      <c r="N20" s="153"/>
    </row>
    <row r="21" spans="1:14" x14ac:dyDescent="0.25">
      <c r="B21" s="217"/>
      <c r="C21" s="149" t="s">
        <v>11</v>
      </c>
      <c r="D21" s="179"/>
      <c r="E21" s="149"/>
      <c r="F21" s="149"/>
      <c r="G21" s="149"/>
      <c r="H21" s="149"/>
      <c r="I21" s="149"/>
      <c r="J21" s="149"/>
      <c r="K21" s="149"/>
      <c r="L21" s="149"/>
      <c r="M21" s="149"/>
      <c r="N21" s="153"/>
    </row>
    <row r="22" spans="1:14" x14ac:dyDescent="0.25">
      <c r="B22" s="217"/>
      <c r="C22" s="152" t="s">
        <v>12</v>
      </c>
      <c r="D22" s="149" t="s">
        <v>261</v>
      </c>
      <c r="E22" s="149"/>
      <c r="F22" s="149"/>
      <c r="G22" s="149"/>
      <c r="H22" s="149"/>
      <c r="I22" s="149" t="s">
        <v>212</v>
      </c>
      <c r="K22" s="149"/>
      <c r="L22" s="149"/>
      <c r="M22" s="149"/>
      <c r="N22" s="153"/>
    </row>
    <row r="23" spans="1:14" x14ac:dyDescent="0.25">
      <c r="B23" s="217"/>
      <c r="C23" s="152" t="s">
        <v>133</v>
      </c>
      <c r="D23" s="149" t="s">
        <v>213</v>
      </c>
      <c r="E23" s="149"/>
      <c r="F23" s="149"/>
      <c r="G23" s="149"/>
      <c r="H23" s="149"/>
      <c r="I23" s="149"/>
      <c r="J23" s="149"/>
      <c r="K23" s="149"/>
      <c r="L23" s="149"/>
      <c r="M23" s="149"/>
      <c r="N23" s="153"/>
    </row>
    <row r="24" spans="1:14" x14ac:dyDescent="0.25">
      <c r="B24" s="217"/>
      <c r="C24" s="152" t="s">
        <v>136</v>
      </c>
      <c r="D24" s="149" t="s">
        <v>262</v>
      </c>
      <c r="E24" s="149"/>
      <c r="F24" s="149"/>
      <c r="G24" s="149"/>
      <c r="H24" s="149"/>
      <c r="I24" s="149" t="s">
        <v>215</v>
      </c>
      <c r="J24" s="149"/>
      <c r="K24" s="149"/>
      <c r="L24" s="149"/>
      <c r="M24" s="149"/>
      <c r="N24" s="153"/>
    </row>
    <row r="25" spans="1:14" x14ac:dyDescent="0.25">
      <c r="B25" s="217"/>
      <c r="C25" s="152"/>
      <c r="D25" s="179"/>
      <c r="E25" s="149"/>
      <c r="F25" s="149"/>
      <c r="G25" s="149"/>
      <c r="H25" s="149"/>
      <c r="I25" s="149"/>
      <c r="J25" s="149"/>
      <c r="K25" s="149"/>
      <c r="L25" s="149"/>
      <c r="M25" s="149"/>
      <c r="N25" s="153"/>
    </row>
    <row r="26" spans="1:14" x14ac:dyDescent="0.25">
      <c r="B26" s="217"/>
      <c r="C26" s="149"/>
      <c r="D26" s="179"/>
      <c r="E26" s="149"/>
      <c r="F26" s="149"/>
      <c r="G26" s="149"/>
      <c r="H26" s="149"/>
      <c r="I26" s="149"/>
      <c r="J26" s="149"/>
      <c r="K26" s="149"/>
      <c r="L26" s="149"/>
      <c r="M26" s="149"/>
      <c r="N26" s="296"/>
    </row>
    <row r="28" spans="1:14" s="126" customFormat="1" ht="23.25" x14ac:dyDescent="0.2">
      <c r="A28" s="180"/>
      <c r="B28" s="145" t="s">
        <v>216</v>
      </c>
      <c r="C28" s="146"/>
      <c r="D28" s="146"/>
      <c r="E28" s="146"/>
      <c r="F28" s="146"/>
      <c r="G28" s="146"/>
      <c r="H28" s="146"/>
      <c r="I28" s="146"/>
      <c r="J28" s="146"/>
      <c r="K28" s="146"/>
      <c r="L28" s="146"/>
      <c r="M28" s="146"/>
      <c r="N28" s="147"/>
    </row>
    <row r="29" spans="1:14" x14ac:dyDescent="0.25">
      <c r="B29" s="148"/>
      <c r="C29" s="149"/>
      <c r="D29" s="149"/>
      <c r="E29" s="149"/>
      <c r="F29" s="149"/>
      <c r="G29" s="149"/>
      <c r="H29" s="149"/>
      <c r="I29" s="149"/>
      <c r="J29" s="149"/>
      <c r="K29" s="149"/>
      <c r="L29" s="149"/>
      <c r="M29" s="149"/>
      <c r="N29" s="153"/>
    </row>
    <row r="30" spans="1:14" x14ac:dyDescent="0.25">
      <c r="B30" s="148"/>
      <c r="C30" s="151" t="s">
        <v>217</v>
      </c>
      <c r="D30" s="149"/>
      <c r="E30" s="149"/>
      <c r="F30" s="149"/>
      <c r="G30" s="152"/>
      <c r="H30" s="149"/>
      <c r="I30" s="149"/>
      <c r="J30" s="149"/>
      <c r="K30" s="149"/>
      <c r="L30" s="149"/>
      <c r="M30" s="149"/>
      <c r="N30" s="153"/>
    </row>
    <row r="31" spans="1:14" x14ac:dyDescent="0.25">
      <c r="B31" s="148"/>
      <c r="C31" s="149"/>
      <c r="D31" s="149"/>
      <c r="E31" s="149"/>
      <c r="F31" s="149"/>
      <c r="G31" s="149"/>
      <c r="H31" s="149"/>
      <c r="I31" s="149"/>
      <c r="J31" s="149"/>
      <c r="K31" s="149"/>
      <c r="L31" s="149"/>
      <c r="M31" s="149"/>
      <c r="N31" s="153"/>
    </row>
    <row r="32" spans="1:14" ht="15.75" x14ac:dyDescent="0.25">
      <c r="B32" s="173"/>
      <c r="C32" s="154" t="s">
        <v>155</v>
      </c>
      <c r="D32" s="154" t="s">
        <v>156</v>
      </c>
      <c r="E32" s="154" t="s">
        <v>8</v>
      </c>
      <c r="F32" s="155">
        <v>2015</v>
      </c>
      <c r="G32" s="156">
        <v>2020</v>
      </c>
      <c r="H32" s="155">
        <v>2025</v>
      </c>
      <c r="I32" s="155">
        <v>2030</v>
      </c>
      <c r="J32" s="155">
        <v>2035</v>
      </c>
      <c r="K32" s="155">
        <v>2040</v>
      </c>
      <c r="L32" s="155">
        <v>2045</v>
      </c>
      <c r="M32" s="155">
        <v>2050</v>
      </c>
      <c r="N32" s="153"/>
    </row>
    <row r="33" spans="1:15" ht="15.75" x14ac:dyDescent="0.25">
      <c r="B33" s="173"/>
      <c r="C33" s="221" t="s">
        <v>249</v>
      </c>
      <c r="D33" s="222" t="s">
        <v>259</v>
      </c>
      <c r="E33" s="181" t="s">
        <v>12</v>
      </c>
      <c r="F33" s="297">
        <v>0.35</v>
      </c>
      <c r="G33" s="183">
        <f t="shared" ref="G33:M33" si="1">F33</f>
        <v>0.35</v>
      </c>
      <c r="H33" s="184">
        <f t="shared" si="1"/>
        <v>0.35</v>
      </c>
      <c r="I33" s="184">
        <f t="shared" si="1"/>
        <v>0.35</v>
      </c>
      <c r="J33" s="184">
        <f t="shared" si="1"/>
        <v>0.35</v>
      </c>
      <c r="K33" s="184">
        <f t="shared" si="1"/>
        <v>0.35</v>
      </c>
      <c r="L33" s="184">
        <f t="shared" si="1"/>
        <v>0.35</v>
      </c>
      <c r="M33" s="184">
        <f t="shared" si="1"/>
        <v>0.35</v>
      </c>
      <c r="N33" s="153"/>
    </row>
    <row r="34" spans="1:15" ht="15.75" x14ac:dyDescent="0.25">
      <c r="B34" s="173"/>
      <c r="C34" s="157"/>
      <c r="D34" s="158"/>
      <c r="E34" s="158"/>
      <c r="F34" s="298"/>
      <c r="G34" s="268"/>
      <c r="H34" s="268"/>
      <c r="I34" s="268"/>
      <c r="J34" s="268"/>
      <c r="K34" s="268"/>
      <c r="L34" s="268"/>
      <c r="M34" s="268"/>
      <c r="N34" s="153"/>
    </row>
    <row r="35" spans="1:15" ht="15.75" x14ac:dyDescent="0.25">
      <c r="B35" s="173"/>
      <c r="C35" s="151" t="s">
        <v>161</v>
      </c>
      <c r="D35" s="149"/>
      <c r="E35" s="149"/>
      <c r="F35" s="149"/>
      <c r="G35" s="152"/>
      <c r="H35" s="149"/>
      <c r="I35" s="149"/>
      <c r="J35" s="268"/>
      <c r="K35" s="268"/>
      <c r="L35" s="268"/>
      <c r="M35" s="268"/>
      <c r="N35" s="153"/>
    </row>
    <row r="36" spans="1:15" ht="4.5" customHeight="1" x14ac:dyDescent="0.25">
      <c r="B36" s="173"/>
      <c r="C36" s="149"/>
      <c r="D36" s="149"/>
      <c r="E36" s="149"/>
      <c r="F36" s="149"/>
      <c r="G36" s="149"/>
      <c r="H36" s="149"/>
      <c r="I36" s="149"/>
      <c r="J36" s="268"/>
      <c r="K36" s="268"/>
      <c r="L36" s="268"/>
      <c r="M36" s="268"/>
      <c r="N36" s="153"/>
    </row>
    <row r="37" spans="1:15" ht="15.75" x14ac:dyDescent="0.25">
      <c r="B37" s="173"/>
      <c r="C37" s="154"/>
      <c r="D37" s="154"/>
      <c r="E37" s="154"/>
      <c r="F37" s="155"/>
      <c r="G37" s="185" t="s">
        <v>219</v>
      </c>
      <c r="H37" s="185"/>
      <c r="I37" s="149"/>
      <c r="J37" s="268"/>
      <c r="K37" s="268"/>
      <c r="L37" s="268"/>
      <c r="M37" s="268"/>
      <c r="N37" s="153"/>
    </row>
    <row r="38" spans="1:15" ht="15.75" x14ac:dyDescent="0.25">
      <c r="B38" s="173"/>
      <c r="C38" s="182"/>
      <c r="D38" s="181" t="s">
        <v>263</v>
      </c>
      <c r="E38" s="181" t="s">
        <v>133</v>
      </c>
      <c r="F38" s="299">
        <f>50/1000</f>
        <v>0.05</v>
      </c>
      <c r="G38" s="300" t="s">
        <v>162</v>
      </c>
      <c r="H38" s="301"/>
      <c r="I38" s="149"/>
      <c r="J38" s="268"/>
      <c r="K38" s="268"/>
      <c r="L38" s="268"/>
      <c r="M38" s="268"/>
      <c r="N38" s="153"/>
    </row>
    <row r="39" spans="1:15" ht="15.75" x14ac:dyDescent="0.25">
      <c r="B39" s="173"/>
      <c r="C39" s="149"/>
      <c r="D39" s="149"/>
      <c r="E39" s="149"/>
      <c r="F39" s="149"/>
      <c r="G39" s="149"/>
      <c r="H39" s="149"/>
      <c r="I39" s="149"/>
      <c r="J39" s="268"/>
      <c r="K39" s="268"/>
      <c r="L39" s="268"/>
      <c r="M39" s="268"/>
      <c r="N39" s="153"/>
    </row>
    <row r="40" spans="1:15" x14ac:dyDescent="0.25">
      <c r="B40" s="149"/>
      <c r="C40" s="149" t="s">
        <v>8</v>
      </c>
      <c r="D40" s="149"/>
      <c r="E40" s="149"/>
      <c r="F40" s="149"/>
      <c r="G40" s="149"/>
      <c r="H40" s="149"/>
      <c r="I40" s="149"/>
      <c r="J40" s="149"/>
      <c r="K40" s="149"/>
      <c r="L40" s="149"/>
      <c r="M40" s="149"/>
      <c r="N40" s="153"/>
    </row>
    <row r="41" spans="1:15" x14ac:dyDescent="0.25">
      <c r="B41" s="149"/>
      <c r="C41" s="302" t="s">
        <v>12</v>
      </c>
      <c r="D41" s="3487" t="s">
        <v>2299</v>
      </c>
      <c r="E41" s="149"/>
      <c r="F41" s="149"/>
      <c r="G41" s="149"/>
      <c r="H41" s="149"/>
      <c r="I41" s="149"/>
      <c r="J41" s="149"/>
      <c r="K41" s="149"/>
      <c r="L41" s="149"/>
      <c r="M41" s="149"/>
      <c r="N41" s="153"/>
    </row>
    <row r="42" spans="1:15" x14ac:dyDescent="0.25">
      <c r="B42" s="149"/>
      <c r="C42" s="302" t="s">
        <v>133</v>
      </c>
      <c r="D42" s="179" t="s">
        <v>264</v>
      </c>
      <c r="E42" s="149"/>
      <c r="F42" s="149"/>
      <c r="G42" s="149"/>
      <c r="H42" s="149"/>
      <c r="I42" s="149"/>
      <c r="J42" s="149"/>
      <c r="K42" s="149"/>
      <c r="L42" s="149"/>
      <c r="M42" s="149"/>
      <c r="N42" s="153"/>
    </row>
    <row r="43" spans="1:15" x14ac:dyDescent="0.25">
      <c r="B43" s="149"/>
      <c r="C43" s="302"/>
      <c r="D43" s="179"/>
      <c r="E43" s="149"/>
      <c r="F43" s="149"/>
      <c r="G43" s="149"/>
      <c r="H43" s="149"/>
      <c r="I43" s="149"/>
      <c r="J43" s="149"/>
      <c r="K43" s="149"/>
      <c r="L43" s="149"/>
      <c r="M43" s="149"/>
      <c r="N43" s="153"/>
    </row>
    <row r="44" spans="1:15" x14ac:dyDescent="0.25"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303"/>
      <c r="O44" s="304"/>
    </row>
    <row r="45" spans="1:15" x14ac:dyDescent="0.25">
      <c r="O45" s="304"/>
    </row>
    <row r="46" spans="1:15" s="126" customFormat="1" ht="23.25" hidden="1" outlineLevel="1" x14ac:dyDescent="0.2">
      <c r="A46" s="180"/>
      <c r="B46" s="145" t="s">
        <v>163</v>
      </c>
      <c r="C46" s="146"/>
      <c r="D46" s="146"/>
      <c r="E46" s="146"/>
      <c r="F46" s="146"/>
      <c r="G46" s="146"/>
      <c r="H46" s="146"/>
      <c r="I46" s="146"/>
      <c r="J46" s="146"/>
      <c r="K46" s="146"/>
      <c r="L46" s="146"/>
      <c r="M46" s="146"/>
      <c r="N46" s="146"/>
      <c r="O46" s="305"/>
    </row>
    <row r="47" spans="1:15" ht="5.25" hidden="1" customHeight="1" outlineLevel="1" x14ac:dyDescent="0.25">
      <c r="B47" s="220"/>
      <c r="C47" s="150"/>
      <c r="D47" s="150"/>
      <c r="E47" s="150"/>
      <c r="F47" s="150"/>
      <c r="G47" s="150"/>
      <c r="H47" s="150"/>
      <c r="I47" s="150"/>
      <c r="J47" s="150"/>
      <c r="K47" s="150"/>
      <c r="L47" s="150"/>
      <c r="M47" s="150"/>
      <c r="N47" s="150"/>
      <c r="O47" s="304"/>
    </row>
    <row r="48" spans="1:15" s="126" customFormat="1" hidden="1" outlineLevel="1" x14ac:dyDescent="0.25">
      <c r="A48" s="124"/>
      <c r="B48" s="148"/>
      <c r="C48" s="151" t="s">
        <v>253</v>
      </c>
      <c r="D48" s="188"/>
      <c r="E48" s="199"/>
      <c r="F48" s="306"/>
      <c r="G48" s="306"/>
      <c r="H48" s="201"/>
      <c r="I48" s="201"/>
      <c r="J48" s="201"/>
      <c r="K48" s="201"/>
      <c r="L48" s="201"/>
      <c r="M48" s="201"/>
      <c r="N48" s="149"/>
      <c r="O48" s="304"/>
    </row>
    <row r="49" spans="1:15" s="126" customFormat="1" ht="4.5" hidden="1" customHeight="1" outlineLevel="1" x14ac:dyDescent="0.25">
      <c r="A49" s="124"/>
      <c r="B49" s="148"/>
      <c r="C49" s="177"/>
      <c r="D49" s="188"/>
      <c r="E49" s="199"/>
      <c r="F49" s="306"/>
      <c r="G49" s="306"/>
      <c r="H49" s="201"/>
      <c r="I49" s="201"/>
      <c r="J49" s="201"/>
      <c r="K49" s="201"/>
      <c r="L49" s="201"/>
      <c r="M49" s="201"/>
      <c r="N49" s="149"/>
      <c r="O49" s="304"/>
    </row>
    <row r="50" spans="1:15" s="126" customFormat="1" hidden="1" outlineLevel="1" x14ac:dyDescent="0.25">
      <c r="A50" s="124"/>
      <c r="B50" s="148"/>
      <c r="C50" s="307"/>
      <c r="D50" s="282"/>
      <c r="E50" s="218" t="s">
        <v>164</v>
      </c>
      <c r="F50" s="219">
        <v>2007</v>
      </c>
      <c r="G50" s="213">
        <v>2010</v>
      </c>
      <c r="H50" s="213">
        <v>2015</v>
      </c>
      <c r="I50" s="213">
        <v>2020</v>
      </c>
      <c r="J50" s="213">
        <v>2025</v>
      </c>
      <c r="K50" s="213">
        <v>2030</v>
      </c>
      <c r="L50" s="213">
        <v>2035</v>
      </c>
      <c r="M50" s="213">
        <v>2040</v>
      </c>
      <c r="N50" s="149"/>
      <c r="O50" s="308"/>
    </row>
    <row r="51" spans="1:15" s="126" customFormat="1" hidden="1" outlineLevel="1" x14ac:dyDescent="0.25">
      <c r="A51" s="124"/>
      <c r="B51" s="148"/>
      <c r="C51" s="215" t="s">
        <v>165</v>
      </c>
      <c r="D51" s="282"/>
      <c r="E51" s="309">
        <v>0</v>
      </c>
      <c r="F51" s="310">
        <v>950.7</v>
      </c>
      <c r="G51" s="310">
        <v>950.7</v>
      </c>
      <c r="H51" s="310">
        <v>950.7</v>
      </c>
      <c r="I51" s="310">
        <v>950.7</v>
      </c>
      <c r="J51" s="310">
        <v>950.7</v>
      </c>
      <c r="K51" s="310">
        <v>950.7</v>
      </c>
      <c r="L51" s="310">
        <v>950.7</v>
      </c>
      <c r="M51" s="310">
        <v>950.7</v>
      </c>
      <c r="N51" s="149"/>
      <c r="O51" s="308"/>
    </row>
    <row r="52" spans="1:15" s="126" customFormat="1" hidden="1" outlineLevel="1" x14ac:dyDescent="0.25">
      <c r="A52" s="124"/>
      <c r="B52" s="148"/>
      <c r="C52" s="204" t="s">
        <v>166</v>
      </c>
      <c r="D52" s="188"/>
      <c r="E52" s="311">
        <v>0</v>
      </c>
      <c r="F52" s="306">
        <v>103.61620557455188</v>
      </c>
      <c r="G52" s="306">
        <v>103.61620557455188</v>
      </c>
      <c r="H52" s="306">
        <v>103.61620557455188</v>
      </c>
      <c r="I52" s="306">
        <v>103.61620557455188</v>
      </c>
      <c r="J52" s="306">
        <v>103.61620557455188</v>
      </c>
      <c r="K52" s="306">
        <v>103.61620557455188</v>
      </c>
      <c r="L52" s="306">
        <v>103.61620557455188</v>
      </c>
      <c r="M52" s="306">
        <v>103.61620557455188</v>
      </c>
      <c r="N52" s="149"/>
      <c r="O52" s="308"/>
    </row>
    <row r="53" spans="1:15" s="126" customFormat="1" hidden="1" outlineLevel="1" x14ac:dyDescent="0.25">
      <c r="A53" s="124"/>
      <c r="B53" s="148"/>
      <c r="C53" s="206" t="s">
        <v>167</v>
      </c>
      <c r="D53" s="207"/>
      <c r="E53" s="312">
        <v>0</v>
      </c>
      <c r="F53" s="313">
        <v>103.60000000000001</v>
      </c>
      <c r="G53" s="313">
        <v>103.60000000000001</v>
      </c>
      <c r="H53" s="313">
        <v>103.60000000000001</v>
      </c>
      <c r="I53" s="313">
        <v>103.60000000000001</v>
      </c>
      <c r="J53" s="313">
        <v>103.60000000000001</v>
      </c>
      <c r="K53" s="313">
        <v>103.60000000000001</v>
      </c>
      <c r="L53" s="313">
        <v>103.60000000000001</v>
      </c>
      <c r="M53" s="313">
        <v>103.60000000000001</v>
      </c>
      <c r="N53" s="149"/>
      <c r="O53" s="308"/>
    </row>
    <row r="54" spans="1:15" s="126" customFormat="1" hidden="1" outlineLevel="1" x14ac:dyDescent="0.25">
      <c r="A54" s="124"/>
      <c r="B54" s="148"/>
      <c r="C54" s="177"/>
      <c r="D54" s="188"/>
      <c r="E54" s="199"/>
      <c r="F54" s="306"/>
      <c r="G54" s="306"/>
      <c r="H54" s="201"/>
      <c r="I54" s="201"/>
      <c r="J54" s="201"/>
      <c r="K54" s="201"/>
      <c r="L54" s="201"/>
      <c r="M54" s="201"/>
      <c r="N54" s="149"/>
      <c r="O54" s="308"/>
    </row>
    <row r="55" spans="1:15" hidden="1" outlineLevel="1" x14ac:dyDescent="0.25">
      <c r="B55" s="148"/>
      <c r="C55" s="151" t="s">
        <v>254</v>
      </c>
      <c r="D55" s="188"/>
      <c r="E55" s="199"/>
      <c r="F55" s="306"/>
      <c r="G55" s="306"/>
      <c r="H55" s="201"/>
      <c r="I55" s="201"/>
      <c r="J55" s="201"/>
      <c r="K55" s="201"/>
      <c r="L55" s="201"/>
      <c r="M55" s="201"/>
      <c r="N55" s="149"/>
      <c r="O55" s="308"/>
    </row>
    <row r="56" spans="1:15" ht="4.5" hidden="1" customHeight="1" outlineLevel="1" x14ac:dyDescent="0.25">
      <c r="B56" s="148"/>
      <c r="C56" s="177"/>
      <c r="D56" s="188"/>
      <c r="E56" s="199"/>
      <c r="F56" s="306"/>
      <c r="G56" s="306"/>
      <c r="H56" s="201"/>
      <c r="I56" s="201"/>
      <c r="J56" s="201"/>
      <c r="K56" s="201"/>
      <c r="L56" s="201"/>
      <c r="M56" s="201"/>
      <c r="N56" s="149"/>
      <c r="O56" s="308"/>
    </row>
    <row r="57" spans="1:15" hidden="1" outlineLevel="1" x14ac:dyDescent="0.25">
      <c r="B57" s="148"/>
      <c r="C57" s="307"/>
      <c r="D57" s="282"/>
      <c r="E57" s="218" t="s">
        <v>164</v>
      </c>
      <c r="F57" s="219">
        <v>2007</v>
      </c>
      <c r="G57" s="213">
        <v>2010</v>
      </c>
      <c r="H57" s="213">
        <v>2015</v>
      </c>
      <c r="I57" s="213">
        <v>2020</v>
      </c>
      <c r="J57" s="213">
        <v>2025</v>
      </c>
      <c r="K57" s="213">
        <v>2030</v>
      </c>
      <c r="L57" s="213">
        <v>2035</v>
      </c>
      <c r="M57" s="213">
        <v>2040</v>
      </c>
      <c r="N57" s="149"/>
      <c r="O57" s="308"/>
    </row>
    <row r="58" spans="1:15" hidden="1" outlineLevel="1" x14ac:dyDescent="0.25">
      <c r="B58" s="148"/>
      <c r="C58" s="215" t="s">
        <v>165</v>
      </c>
      <c r="D58" s="282"/>
      <c r="E58" s="309">
        <v>0</v>
      </c>
      <c r="F58" s="310">
        <v>18.8</v>
      </c>
      <c r="G58" s="310">
        <v>18.8</v>
      </c>
      <c r="H58" s="310">
        <v>18.8</v>
      </c>
      <c r="I58" s="310">
        <v>18.8</v>
      </c>
      <c r="J58" s="310">
        <v>18.8</v>
      </c>
      <c r="K58" s="310">
        <v>18.8</v>
      </c>
      <c r="L58" s="310">
        <v>18.8</v>
      </c>
      <c r="M58" s="310">
        <v>18.8</v>
      </c>
      <c r="N58" s="149"/>
      <c r="O58" s="308"/>
    </row>
    <row r="59" spans="1:15" s="232" customFormat="1" hidden="1" outlineLevel="1" x14ac:dyDescent="0.25">
      <c r="B59" s="148"/>
      <c r="C59" s="204" t="s">
        <v>166</v>
      </c>
      <c r="D59" s="188"/>
      <c r="E59" s="311">
        <v>0</v>
      </c>
      <c r="F59" s="306">
        <v>10.361620557455186</v>
      </c>
      <c r="G59" s="306">
        <v>10.361620557455186</v>
      </c>
      <c r="H59" s="306">
        <v>10.361620557455186</v>
      </c>
      <c r="I59" s="306">
        <v>10.361620557455186</v>
      </c>
      <c r="J59" s="306">
        <v>10.361620557455186</v>
      </c>
      <c r="K59" s="306">
        <v>10.361620557455186</v>
      </c>
      <c r="L59" s="306">
        <v>10.361620557455186</v>
      </c>
      <c r="M59" s="306">
        <v>10.361620557455186</v>
      </c>
      <c r="N59" s="149"/>
      <c r="O59" s="308"/>
    </row>
    <row r="60" spans="1:15" s="232" customFormat="1" ht="14.25" hidden="1" customHeight="1" outlineLevel="1" x14ac:dyDescent="0.25">
      <c r="B60" s="148"/>
      <c r="C60" s="206" t="s">
        <v>167</v>
      </c>
      <c r="D60" s="207"/>
      <c r="E60" s="312">
        <v>0</v>
      </c>
      <c r="F60" s="313">
        <v>1</v>
      </c>
      <c r="G60" s="313">
        <v>1</v>
      </c>
      <c r="H60" s="313">
        <v>1</v>
      </c>
      <c r="I60" s="313">
        <v>1</v>
      </c>
      <c r="J60" s="313">
        <v>1</v>
      </c>
      <c r="K60" s="313">
        <v>1</v>
      </c>
      <c r="L60" s="313">
        <v>1</v>
      </c>
      <c r="M60" s="313">
        <v>1</v>
      </c>
      <c r="N60" s="149"/>
      <c r="O60" s="308"/>
    </row>
    <row r="61" spans="1:15" ht="15.75" hidden="1" customHeight="1" outlineLevel="1" x14ac:dyDescent="0.25">
      <c r="B61" s="198"/>
      <c r="C61" s="198"/>
      <c r="D61" s="149"/>
      <c r="E61" s="201"/>
      <c r="F61" s="149"/>
      <c r="G61" s="149"/>
      <c r="H61" s="149"/>
      <c r="I61" s="149"/>
      <c r="J61" s="314"/>
      <c r="K61" s="314"/>
      <c r="L61" s="198"/>
      <c r="M61" s="198"/>
      <c r="N61" s="198"/>
      <c r="O61" s="308"/>
    </row>
    <row r="62" spans="1:15" collapsed="1" x14ac:dyDescent="0.25">
      <c r="B62" s="315"/>
      <c r="C62" s="281"/>
      <c r="D62" s="281"/>
      <c r="E62" s="281"/>
      <c r="F62" s="281"/>
      <c r="G62" s="281"/>
      <c r="H62" s="281"/>
      <c r="I62" s="281"/>
      <c r="J62" s="281"/>
      <c r="K62" s="281"/>
      <c r="L62" s="281"/>
      <c r="M62" s="281"/>
      <c r="N62" s="316"/>
    </row>
    <row r="63" spans="1:15" ht="15.75" x14ac:dyDescent="0.25">
      <c r="B63" s="145" t="s">
        <v>168</v>
      </c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7"/>
    </row>
    <row r="64" spans="1:15" s="126" customFormat="1" ht="5.25" customHeight="1" x14ac:dyDescent="0.25">
      <c r="B64" s="148"/>
      <c r="C64" s="149"/>
      <c r="D64" s="149"/>
      <c r="E64" s="149"/>
      <c r="F64" s="149"/>
      <c r="G64" s="149"/>
      <c r="H64" s="149"/>
      <c r="I64" s="149"/>
      <c r="J64" s="149"/>
      <c r="K64" s="149"/>
      <c r="L64" s="149"/>
      <c r="M64" s="149"/>
      <c r="N64" s="153"/>
    </row>
    <row r="65" spans="2:15" x14ac:dyDescent="0.25">
      <c r="B65" s="148"/>
      <c r="C65" s="151" t="s">
        <v>169</v>
      </c>
      <c r="D65" s="149"/>
      <c r="E65" s="152"/>
      <c r="F65" s="149"/>
      <c r="G65" s="149"/>
      <c r="H65" s="149"/>
      <c r="I65" s="149"/>
      <c r="J65" s="149"/>
      <c r="K65" s="149"/>
      <c r="L65" s="149"/>
      <c r="M65" s="152" t="s">
        <v>152</v>
      </c>
      <c r="N65" s="153"/>
    </row>
    <row r="66" spans="2:15" ht="4.5" customHeight="1" x14ac:dyDescent="0.25">
      <c r="B66" s="148"/>
      <c r="C66" s="149"/>
      <c r="D66" s="149"/>
      <c r="E66" s="149"/>
      <c r="F66" s="149"/>
      <c r="G66" s="149"/>
      <c r="H66" s="149"/>
      <c r="I66" s="149"/>
      <c r="J66" s="149"/>
      <c r="K66" s="149"/>
      <c r="L66" s="149"/>
      <c r="M66" s="149"/>
      <c r="N66" s="153"/>
    </row>
    <row r="67" spans="2:15" ht="15.75" x14ac:dyDescent="0.25">
      <c r="B67" s="173"/>
      <c r="C67" s="154" t="s">
        <v>155</v>
      </c>
      <c r="D67" s="154" t="s">
        <v>156</v>
      </c>
      <c r="E67" s="154" t="s">
        <v>8</v>
      </c>
      <c r="F67" s="155">
        <v>2015</v>
      </c>
      <c r="G67" s="156">
        <v>2020</v>
      </c>
      <c r="H67" s="155">
        <v>2025</v>
      </c>
      <c r="I67" s="155">
        <v>2030</v>
      </c>
      <c r="J67" s="155">
        <v>2035</v>
      </c>
      <c r="K67" s="155">
        <v>2040</v>
      </c>
      <c r="L67" s="155">
        <v>2045</v>
      </c>
      <c r="M67" s="155">
        <v>2050</v>
      </c>
      <c r="N67" s="153"/>
    </row>
    <row r="68" spans="2:15" ht="13.5" customHeight="1" x14ac:dyDescent="0.25">
      <c r="B68" s="214"/>
      <c r="C68" s="221" t="s">
        <v>249</v>
      </c>
      <c r="D68" s="222" t="s">
        <v>259</v>
      </c>
      <c r="E68" s="222"/>
      <c r="F68" s="317">
        <f t="shared" ref="F68:M68" si="2">F19</f>
        <v>2.08</v>
      </c>
      <c r="G68" s="318">
        <f t="shared" si="2"/>
        <v>2.1670000000000003</v>
      </c>
      <c r="H68" s="317">
        <f t="shared" si="2"/>
        <v>2.2540000000000004</v>
      </c>
      <c r="I68" s="317">
        <f t="shared" si="2"/>
        <v>2.3410000000000006</v>
      </c>
      <c r="J68" s="317">
        <f t="shared" si="2"/>
        <v>2.4280000000000008</v>
      </c>
      <c r="K68" s="317">
        <f t="shared" si="2"/>
        <v>2.515000000000001</v>
      </c>
      <c r="L68" s="317">
        <f t="shared" si="2"/>
        <v>2.6020000000000012</v>
      </c>
      <c r="M68" s="317">
        <f t="shared" si="2"/>
        <v>2.6890000000000014</v>
      </c>
      <c r="N68" s="158"/>
      <c r="O68" s="281"/>
    </row>
    <row r="69" spans="2:15" x14ac:dyDescent="0.25">
      <c r="B69" s="319"/>
      <c r="C69" s="320"/>
      <c r="D69" s="321"/>
      <c r="E69" s="321"/>
      <c r="F69" s="322"/>
      <c r="G69" s="323"/>
      <c r="H69" s="323"/>
      <c r="I69" s="323"/>
      <c r="J69" s="323"/>
      <c r="K69" s="323"/>
      <c r="L69" s="323"/>
      <c r="M69" s="323"/>
      <c r="N69" s="303"/>
      <c r="O69" s="281"/>
    </row>
    <row r="70" spans="2:15" x14ac:dyDescent="0.25">
      <c r="O70" s="281"/>
    </row>
    <row r="71" spans="2:15" x14ac:dyDescent="0.25">
      <c r="B71" s="124" t="s">
        <v>259</v>
      </c>
      <c r="C71" s="223"/>
      <c r="F71" s="232">
        <v>2015</v>
      </c>
      <c r="G71" s="232">
        <v>2020</v>
      </c>
      <c r="H71" s="232">
        <v>2025</v>
      </c>
      <c r="I71" s="232">
        <v>2030</v>
      </c>
      <c r="J71" s="232">
        <v>2035</v>
      </c>
      <c r="K71" s="232">
        <v>2040</v>
      </c>
      <c r="L71" s="232">
        <v>2045</v>
      </c>
      <c r="M71" s="232">
        <v>2050</v>
      </c>
      <c r="O71" s="281"/>
    </row>
    <row r="72" spans="2:15" x14ac:dyDescent="0.25">
      <c r="C72" s="224" t="s">
        <v>169</v>
      </c>
      <c r="E72" s="124" t="s">
        <v>152</v>
      </c>
      <c r="F72" s="324">
        <f>F68</f>
        <v>2.08</v>
      </c>
      <c r="G72" s="324">
        <f t="shared" ref="G72:M72" si="3">G68</f>
        <v>2.1670000000000003</v>
      </c>
      <c r="H72" s="324">
        <f t="shared" si="3"/>
        <v>2.2540000000000004</v>
      </c>
      <c r="I72" s="324">
        <f t="shared" si="3"/>
        <v>2.3410000000000006</v>
      </c>
      <c r="J72" s="324">
        <f t="shared" si="3"/>
        <v>2.4280000000000008</v>
      </c>
      <c r="K72" s="324">
        <f t="shared" si="3"/>
        <v>2.515000000000001</v>
      </c>
      <c r="L72" s="324">
        <f t="shared" si="3"/>
        <v>2.6020000000000012</v>
      </c>
      <c r="M72" s="324">
        <f t="shared" si="3"/>
        <v>2.6890000000000014</v>
      </c>
      <c r="O72" s="281"/>
    </row>
    <row r="73" spans="2:15" x14ac:dyDescent="0.25">
      <c r="B73" s="228" t="s">
        <v>232</v>
      </c>
      <c r="C73" s="124" t="s">
        <v>255</v>
      </c>
      <c r="F73" s="226">
        <f t="shared" ref="F73:M73" si="4">F33</f>
        <v>0.35</v>
      </c>
      <c r="G73" s="226">
        <f t="shared" si="4"/>
        <v>0.35</v>
      </c>
      <c r="H73" s="226">
        <f t="shared" si="4"/>
        <v>0.35</v>
      </c>
      <c r="I73" s="226">
        <f t="shared" si="4"/>
        <v>0.35</v>
      </c>
      <c r="J73" s="226">
        <f t="shared" si="4"/>
        <v>0.35</v>
      </c>
      <c r="K73" s="226">
        <f t="shared" si="4"/>
        <v>0.35</v>
      </c>
      <c r="L73" s="226">
        <f t="shared" si="4"/>
        <v>0.35</v>
      </c>
      <c r="M73" s="226">
        <f t="shared" si="4"/>
        <v>0.35</v>
      </c>
      <c r="O73" s="281"/>
    </row>
    <row r="74" spans="2:15" x14ac:dyDescent="0.25">
      <c r="B74" s="223" t="s">
        <v>234</v>
      </c>
      <c r="C74" s="224" t="s">
        <v>235</v>
      </c>
      <c r="F74" s="325">
        <f>F72*F73</f>
        <v>0.72799999999999998</v>
      </c>
      <c r="G74" s="325">
        <f t="shared" ref="G74:M74" si="5">G72*G73</f>
        <v>0.75845000000000007</v>
      </c>
      <c r="H74" s="325">
        <f t="shared" si="5"/>
        <v>0.78890000000000016</v>
      </c>
      <c r="I74" s="325">
        <f t="shared" si="5"/>
        <v>0.81935000000000013</v>
      </c>
      <c r="J74" s="325">
        <f t="shared" si="5"/>
        <v>0.84980000000000022</v>
      </c>
      <c r="K74" s="325">
        <f t="shared" si="5"/>
        <v>0.88025000000000031</v>
      </c>
      <c r="L74" s="325">
        <f t="shared" si="5"/>
        <v>0.9107000000000004</v>
      </c>
      <c r="M74" s="325">
        <f t="shared" si="5"/>
        <v>0.94115000000000038</v>
      </c>
      <c r="O74" s="281"/>
    </row>
    <row r="75" spans="2:15" x14ac:dyDescent="0.25">
      <c r="C75" s="224"/>
      <c r="F75" s="325"/>
      <c r="G75" s="325"/>
      <c r="H75" s="325"/>
      <c r="I75" s="325"/>
      <c r="J75" s="325"/>
      <c r="K75" s="325"/>
      <c r="L75" s="325"/>
      <c r="M75" s="325"/>
      <c r="O75" s="281"/>
    </row>
    <row r="76" spans="2:15" x14ac:dyDescent="0.25">
      <c r="C76" s="224" t="s">
        <v>236</v>
      </c>
      <c r="E76" s="124" t="s">
        <v>171</v>
      </c>
      <c r="F76" s="325">
        <f>F74*8.766</f>
        <v>6.3816480000000002</v>
      </c>
      <c r="G76" s="325">
        <f t="shared" ref="G76:L76" si="6">G74*8.766</f>
        <v>6.6485727000000008</v>
      </c>
      <c r="H76" s="325">
        <f t="shared" si="6"/>
        <v>6.9154974000000013</v>
      </c>
      <c r="I76" s="325">
        <f t="shared" si="6"/>
        <v>7.182422100000001</v>
      </c>
      <c r="J76" s="325">
        <f t="shared" si="6"/>
        <v>7.4493468000000016</v>
      </c>
      <c r="K76" s="325">
        <f t="shared" si="6"/>
        <v>7.7162715000000031</v>
      </c>
      <c r="L76" s="325">
        <f t="shared" si="6"/>
        <v>7.9831962000000036</v>
      </c>
      <c r="M76" s="325">
        <f>M74*8.766</f>
        <v>8.2501209000000024</v>
      </c>
      <c r="O76" s="281"/>
    </row>
    <row r="77" spans="2:15" x14ac:dyDescent="0.25">
      <c r="C77" s="224"/>
      <c r="F77" s="325"/>
      <c r="G77" s="325"/>
      <c r="H77" s="325"/>
      <c r="I77" s="325"/>
      <c r="J77" s="325"/>
      <c r="K77" s="325"/>
      <c r="L77" s="325"/>
      <c r="M77" s="325"/>
      <c r="O77" s="281"/>
    </row>
    <row r="78" spans="2:15" x14ac:dyDescent="0.25">
      <c r="B78" s="124" t="s">
        <v>237</v>
      </c>
      <c r="C78" s="224"/>
      <c r="F78" s="325"/>
      <c r="G78" s="325"/>
      <c r="H78" s="325"/>
      <c r="I78" s="325"/>
      <c r="J78" s="325"/>
      <c r="K78" s="325"/>
      <c r="L78" s="325"/>
      <c r="M78" s="325"/>
      <c r="O78" s="281"/>
    </row>
    <row r="79" spans="2:15" x14ac:dyDescent="0.25">
      <c r="C79" s="124" t="s">
        <v>265</v>
      </c>
      <c r="E79" s="124" t="s">
        <v>172</v>
      </c>
      <c r="F79" s="326">
        <f>F72/$F$38</f>
        <v>41.6</v>
      </c>
      <c r="G79" s="326">
        <f>G72/$F$38</f>
        <v>43.34</v>
      </c>
      <c r="H79" s="326">
        <f t="shared" ref="H79:M79" si="7">H72/$F$38</f>
        <v>45.080000000000005</v>
      </c>
      <c r="I79" s="326">
        <f t="shared" si="7"/>
        <v>46.820000000000007</v>
      </c>
      <c r="J79" s="326">
        <f t="shared" si="7"/>
        <v>48.560000000000016</v>
      </c>
      <c r="K79" s="326">
        <f t="shared" si="7"/>
        <v>50.300000000000018</v>
      </c>
      <c r="L79" s="326">
        <f t="shared" si="7"/>
        <v>52.04000000000002</v>
      </c>
      <c r="M79" s="326">
        <f t="shared" si="7"/>
        <v>53.780000000000022</v>
      </c>
      <c r="O79" s="281"/>
    </row>
    <row r="80" spans="2:15" x14ac:dyDescent="0.25">
      <c r="F80" s="326"/>
      <c r="G80" s="326"/>
      <c r="H80" s="326"/>
      <c r="I80" s="326"/>
      <c r="J80" s="326"/>
      <c r="K80" s="326"/>
      <c r="L80" s="326"/>
      <c r="M80" s="326"/>
      <c r="N80" s="326"/>
      <c r="O80" s="281"/>
    </row>
    <row r="81" spans="1:15" ht="16.5" customHeight="1" x14ac:dyDescent="0.35">
      <c r="A81" s="127"/>
      <c r="C81" s="124" t="s">
        <v>266</v>
      </c>
      <c r="F81" s="326"/>
      <c r="G81" s="326"/>
      <c r="H81" s="326"/>
      <c r="I81" s="326"/>
      <c r="J81" s="326"/>
      <c r="K81" s="326"/>
      <c r="L81" s="326"/>
      <c r="M81" s="326"/>
      <c r="N81" s="326"/>
      <c r="O81" s="281"/>
    </row>
    <row r="82" spans="1:15" x14ac:dyDescent="0.25">
      <c r="C82" s="124" t="s">
        <v>238</v>
      </c>
      <c r="E82" s="124" t="s">
        <v>173</v>
      </c>
      <c r="F82" s="286" t="s">
        <v>239</v>
      </c>
      <c r="G82" s="286">
        <f t="shared" ref="G82:M82" si="8">(G79-F79)/(G71-F71)</f>
        <v>0.34800000000000042</v>
      </c>
      <c r="H82" s="286">
        <f t="shared" si="8"/>
        <v>0.34800000000000042</v>
      </c>
      <c r="I82" s="286">
        <f t="shared" si="8"/>
        <v>0.34800000000000042</v>
      </c>
      <c r="J82" s="286">
        <f t="shared" si="8"/>
        <v>0.34800000000000181</v>
      </c>
      <c r="K82" s="286">
        <f t="shared" si="8"/>
        <v>0.34800000000000042</v>
      </c>
      <c r="L82" s="286">
        <f t="shared" si="8"/>
        <v>0.34800000000000042</v>
      </c>
      <c r="M82" s="286">
        <f t="shared" si="8"/>
        <v>0.34800000000000042</v>
      </c>
      <c r="N82" s="326"/>
    </row>
    <row r="83" spans="1:15" ht="12" customHeight="1" x14ac:dyDescent="0.25">
      <c r="N83" s="326"/>
    </row>
    <row r="84" spans="1:15" ht="12.75" hidden="1" customHeight="1" outlineLevel="1" x14ac:dyDescent="0.25">
      <c r="B84" s="124" t="s">
        <v>180</v>
      </c>
      <c r="F84" s="326"/>
      <c r="G84" s="326"/>
      <c r="H84" s="326"/>
      <c r="I84" s="326"/>
      <c r="J84" s="326"/>
      <c r="K84" s="326"/>
      <c r="L84" s="326"/>
      <c r="M84" s="326"/>
      <c r="N84" s="326"/>
    </row>
    <row r="85" spans="1:15" hidden="1" outlineLevel="1" x14ac:dyDescent="0.25">
      <c r="C85" s="124" t="s">
        <v>175</v>
      </c>
      <c r="E85" s="124" t="s">
        <v>176</v>
      </c>
      <c r="F85" s="326">
        <v>0</v>
      </c>
      <c r="G85" s="326">
        <v>106.01733333333343</v>
      </c>
      <c r="H85" s="326">
        <v>0</v>
      </c>
      <c r="I85" s="326">
        <v>0</v>
      </c>
      <c r="J85" s="326">
        <v>0</v>
      </c>
      <c r="K85" s="326">
        <v>0</v>
      </c>
      <c r="L85" s="326">
        <v>0</v>
      </c>
      <c r="M85" s="326">
        <v>0</v>
      </c>
      <c r="N85" s="326"/>
    </row>
    <row r="86" spans="1:15" hidden="1" outlineLevel="1" x14ac:dyDescent="0.25">
      <c r="C86" s="124" t="s">
        <v>177</v>
      </c>
      <c r="E86" s="124" t="s">
        <v>176</v>
      </c>
      <c r="F86" s="326">
        <v>12.929999999999998</v>
      </c>
      <c r="G86" s="326">
        <v>16</v>
      </c>
      <c r="H86" s="326">
        <v>16</v>
      </c>
      <c r="I86" s="326">
        <v>16</v>
      </c>
      <c r="J86" s="326">
        <v>16</v>
      </c>
      <c r="K86" s="326">
        <v>16</v>
      </c>
      <c r="L86" s="326">
        <v>16</v>
      </c>
      <c r="M86" s="326">
        <v>16</v>
      </c>
      <c r="N86" s="326"/>
    </row>
    <row r="87" spans="1:15" hidden="1" outlineLevel="1" x14ac:dyDescent="0.25">
      <c r="C87" s="124" t="s">
        <v>178</v>
      </c>
      <c r="E87" s="124" t="s">
        <v>176</v>
      </c>
      <c r="F87" s="326">
        <v>12.929999999999998</v>
      </c>
      <c r="G87" s="326">
        <v>122.01733333333343</v>
      </c>
      <c r="H87" s="326">
        <v>16</v>
      </c>
      <c r="I87" s="326">
        <v>16</v>
      </c>
      <c r="J87" s="326">
        <v>16</v>
      </c>
      <c r="K87" s="326">
        <v>16</v>
      </c>
      <c r="L87" s="326">
        <v>16</v>
      </c>
      <c r="M87" s="326">
        <v>16</v>
      </c>
      <c r="N87" s="326"/>
    </row>
    <row r="88" spans="1:15" hidden="1" outlineLevel="1" x14ac:dyDescent="0.25">
      <c r="C88" s="224"/>
      <c r="F88" s="325"/>
      <c r="G88" s="325"/>
      <c r="H88" s="325"/>
      <c r="I88" s="325"/>
      <c r="J88" s="325"/>
      <c r="K88" s="325"/>
      <c r="L88" s="325"/>
      <c r="M88" s="325"/>
      <c r="N88" s="326"/>
    </row>
    <row r="89" spans="1:15" hidden="1" outlineLevel="1" x14ac:dyDescent="0.25">
      <c r="B89" s="124" t="s">
        <v>179</v>
      </c>
      <c r="F89" s="326"/>
      <c r="G89" s="326"/>
      <c r="H89" s="326"/>
      <c r="I89" s="326"/>
      <c r="J89" s="326"/>
      <c r="K89" s="326"/>
      <c r="L89" s="326"/>
      <c r="M89" s="326"/>
      <c r="N89" s="326"/>
    </row>
    <row r="90" spans="1:15" hidden="1" outlineLevel="1" x14ac:dyDescent="0.25">
      <c r="C90" s="124" t="s">
        <v>175</v>
      </c>
      <c r="E90" s="124" t="s">
        <v>176</v>
      </c>
      <c r="F90" s="326">
        <v>0</v>
      </c>
      <c r="G90" s="326">
        <v>106.03391703795818</v>
      </c>
      <c r="H90" s="326">
        <v>0</v>
      </c>
      <c r="I90" s="326">
        <v>0</v>
      </c>
      <c r="J90" s="326">
        <v>0</v>
      </c>
      <c r="K90" s="326">
        <v>0</v>
      </c>
      <c r="L90" s="326">
        <v>0</v>
      </c>
      <c r="M90" s="326">
        <v>0</v>
      </c>
      <c r="N90" s="326"/>
    </row>
    <row r="91" spans="1:15" hidden="1" outlineLevel="1" x14ac:dyDescent="0.25">
      <c r="C91" s="124" t="s">
        <v>177</v>
      </c>
      <c r="E91" s="124" t="s">
        <v>176</v>
      </c>
      <c r="F91" s="326">
        <v>133.97575380789553</v>
      </c>
      <c r="G91" s="326">
        <v>165.78592891928298</v>
      </c>
      <c r="H91" s="326">
        <v>165.78592891928298</v>
      </c>
      <c r="I91" s="326">
        <v>165.78592891928298</v>
      </c>
      <c r="J91" s="326">
        <v>165.78592891928298</v>
      </c>
      <c r="K91" s="326">
        <v>165.78592891928298</v>
      </c>
      <c r="L91" s="326">
        <v>165.78592891928298</v>
      </c>
      <c r="M91" s="326">
        <v>165.78592891928298</v>
      </c>
      <c r="N91" s="326"/>
    </row>
    <row r="92" spans="1:15" hidden="1" outlineLevel="1" x14ac:dyDescent="0.25">
      <c r="C92" s="124" t="s">
        <v>178</v>
      </c>
      <c r="E92" s="124" t="s">
        <v>176</v>
      </c>
      <c r="F92" s="326">
        <v>133.97575380789553</v>
      </c>
      <c r="G92" s="326">
        <v>271.81984595724117</v>
      </c>
      <c r="H92" s="326">
        <v>165.78592891928298</v>
      </c>
      <c r="I92" s="326">
        <v>165.78592891928298</v>
      </c>
      <c r="J92" s="326">
        <v>165.78592891928298</v>
      </c>
      <c r="K92" s="326">
        <v>165.78592891928298</v>
      </c>
      <c r="L92" s="326">
        <v>165.78592891928298</v>
      </c>
      <c r="M92" s="326">
        <v>165.78592891928298</v>
      </c>
    </row>
    <row r="93" spans="1:15" hidden="1" outlineLevel="1" x14ac:dyDescent="0.25">
      <c r="F93" s="326"/>
      <c r="G93" s="326"/>
      <c r="H93" s="326"/>
      <c r="I93" s="326"/>
      <c r="J93" s="326"/>
      <c r="K93" s="326"/>
      <c r="L93" s="326"/>
      <c r="M93" s="326"/>
    </row>
    <row r="94" spans="1:15" hidden="1" outlineLevel="1" x14ac:dyDescent="0.25">
      <c r="B94" s="124" t="s">
        <v>174</v>
      </c>
      <c r="F94" s="326"/>
      <c r="G94" s="326"/>
      <c r="H94" s="326"/>
      <c r="I94" s="326"/>
      <c r="J94" s="326"/>
      <c r="K94" s="326"/>
      <c r="L94" s="326"/>
      <c r="M94" s="326"/>
    </row>
    <row r="95" spans="1:15" hidden="1" outlineLevel="1" x14ac:dyDescent="0.25">
      <c r="C95" s="124" t="s">
        <v>175</v>
      </c>
      <c r="E95" s="124" t="s">
        <v>176</v>
      </c>
      <c r="F95" s="326">
        <v>0</v>
      </c>
      <c r="G95" s="326">
        <v>972.88300000000072</v>
      </c>
      <c r="H95" s="326">
        <v>0</v>
      </c>
      <c r="I95" s="326">
        <v>0</v>
      </c>
      <c r="J95" s="326">
        <v>0</v>
      </c>
      <c r="K95" s="326">
        <v>0</v>
      </c>
      <c r="L95" s="326">
        <v>0</v>
      </c>
      <c r="M95" s="326">
        <v>0</v>
      </c>
    </row>
    <row r="96" spans="1:15" hidden="1" outlineLevel="1" x14ac:dyDescent="0.25">
      <c r="C96" s="124" t="s">
        <v>177</v>
      </c>
      <c r="E96" s="124" t="s">
        <v>176</v>
      </c>
      <c r="F96" s="326">
        <v>243.08399999999997</v>
      </c>
      <c r="G96" s="326">
        <v>300.8</v>
      </c>
      <c r="H96" s="326">
        <v>300.8</v>
      </c>
      <c r="I96" s="326">
        <v>300.8</v>
      </c>
      <c r="J96" s="326">
        <v>300.8</v>
      </c>
      <c r="K96" s="326">
        <v>300.8</v>
      </c>
      <c r="L96" s="326">
        <v>300.8</v>
      </c>
      <c r="M96" s="326">
        <v>300.8</v>
      </c>
    </row>
    <row r="97" spans="2:15" hidden="1" outlineLevel="1" x14ac:dyDescent="0.25">
      <c r="C97" s="124" t="s">
        <v>178</v>
      </c>
      <c r="E97" s="124" t="s">
        <v>176</v>
      </c>
      <c r="F97" s="326">
        <v>243.08399999999997</v>
      </c>
      <c r="G97" s="326">
        <v>1273.6830000000007</v>
      </c>
      <c r="H97" s="326">
        <v>300.8</v>
      </c>
      <c r="I97" s="326">
        <v>300.8</v>
      </c>
      <c r="J97" s="326">
        <v>300.8</v>
      </c>
      <c r="K97" s="326">
        <v>300.8</v>
      </c>
      <c r="L97" s="326">
        <v>300.8</v>
      </c>
      <c r="M97" s="326">
        <v>300.8</v>
      </c>
    </row>
    <row r="98" spans="2:15" hidden="1" outlineLevel="1" x14ac:dyDescent="0.25"/>
    <row r="99" spans="2:15" hidden="1" outlineLevel="1" x14ac:dyDescent="0.25"/>
    <row r="100" spans="2:15" collapsed="1" x14ac:dyDescent="0.25"/>
    <row r="101" spans="2:15" ht="15.75" x14ac:dyDescent="0.25">
      <c r="B101" s="128" t="s">
        <v>181</v>
      </c>
      <c r="C101" s="129"/>
      <c r="D101" s="129"/>
      <c r="E101" s="129"/>
      <c r="F101" s="129"/>
      <c r="G101" s="129"/>
      <c r="H101" s="129"/>
      <c r="I101" s="129"/>
      <c r="J101" s="129"/>
      <c r="K101" s="129"/>
      <c r="L101" s="129"/>
      <c r="M101" s="129"/>
      <c r="N101" s="130"/>
    </row>
    <row r="102" spans="2:15" x14ac:dyDescent="0.25">
      <c r="B102" s="131"/>
      <c r="C102" s="132"/>
      <c r="D102" s="132"/>
      <c r="E102" s="132"/>
      <c r="F102" s="132"/>
      <c r="G102" s="132"/>
      <c r="H102" s="132"/>
      <c r="I102" s="132"/>
      <c r="J102" s="132"/>
      <c r="K102" s="132"/>
      <c r="L102" s="132"/>
      <c r="M102" s="132"/>
      <c r="N102" s="133"/>
    </row>
    <row r="103" spans="2:15" x14ac:dyDescent="0.25">
      <c r="B103" s="131"/>
      <c r="C103" s="141" t="s">
        <v>241</v>
      </c>
      <c r="D103" s="132"/>
      <c r="E103" s="142"/>
      <c r="F103" s="132"/>
      <c r="G103" s="142"/>
      <c r="H103" s="132"/>
      <c r="I103" s="132"/>
      <c r="J103" s="132"/>
      <c r="K103" s="132"/>
      <c r="L103" s="132"/>
      <c r="M103" s="142" t="s">
        <v>171</v>
      </c>
      <c r="N103" s="133"/>
    </row>
    <row r="104" spans="2:15" x14ac:dyDescent="0.25">
      <c r="B104" s="131"/>
      <c r="C104" s="132"/>
      <c r="D104" s="132"/>
      <c r="E104" s="132"/>
      <c r="F104" s="132"/>
      <c r="G104" s="132"/>
      <c r="H104" s="132"/>
      <c r="I104" s="132"/>
      <c r="J104" s="132"/>
      <c r="K104" s="132"/>
      <c r="L104" s="132"/>
      <c r="M104" s="132"/>
      <c r="N104" s="133"/>
    </row>
    <row r="105" spans="2:15" ht="15.75" x14ac:dyDescent="0.25">
      <c r="B105" s="134"/>
      <c r="C105" s="327" t="s">
        <v>146</v>
      </c>
      <c r="D105" s="327" t="s">
        <v>242</v>
      </c>
      <c r="E105" s="327" t="s">
        <v>8</v>
      </c>
      <c r="F105" s="327" t="s">
        <v>16</v>
      </c>
      <c r="G105" s="327" t="s">
        <v>17</v>
      </c>
      <c r="H105" s="327" t="s">
        <v>18</v>
      </c>
      <c r="I105" s="327" t="s">
        <v>19</v>
      </c>
      <c r="J105" s="327" t="s">
        <v>20</v>
      </c>
      <c r="K105" s="327" t="s">
        <v>21</v>
      </c>
      <c r="L105" s="327" t="s">
        <v>22</v>
      </c>
      <c r="M105" s="327" t="s">
        <v>23</v>
      </c>
      <c r="N105" s="133"/>
    </row>
    <row r="106" spans="2:15" ht="15.75" x14ac:dyDescent="0.25">
      <c r="B106" s="134"/>
      <c r="C106" s="233" t="s">
        <v>150</v>
      </c>
      <c r="D106" s="233" t="s">
        <v>243</v>
      </c>
      <c r="E106" s="233"/>
      <c r="F106" s="328">
        <f t="shared" ref="F106:M106" si="9">F76</f>
        <v>6.3816480000000002</v>
      </c>
      <c r="G106" s="328">
        <f t="shared" si="9"/>
        <v>6.6485727000000008</v>
      </c>
      <c r="H106" s="328">
        <f t="shared" si="9"/>
        <v>6.9154974000000013</v>
      </c>
      <c r="I106" s="328">
        <f t="shared" si="9"/>
        <v>7.182422100000001</v>
      </c>
      <c r="J106" s="328">
        <f t="shared" si="9"/>
        <v>7.4493468000000016</v>
      </c>
      <c r="K106" s="328">
        <f t="shared" si="9"/>
        <v>7.7162715000000031</v>
      </c>
      <c r="L106" s="328">
        <f t="shared" si="9"/>
        <v>7.9831962000000036</v>
      </c>
      <c r="M106" s="328">
        <f t="shared" si="9"/>
        <v>8.2501209000000024</v>
      </c>
      <c r="N106" s="133"/>
    </row>
    <row r="107" spans="2:15" ht="15.75" x14ac:dyDescent="0.25">
      <c r="B107" s="134"/>
      <c r="C107" s="233" t="s">
        <v>249</v>
      </c>
      <c r="D107" s="233" t="s">
        <v>259</v>
      </c>
      <c r="E107" s="233"/>
      <c r="F107" s="328">
        <f t="shared" ref="F107:M107" si="10">-F76</f>
        <v>-6.3816480000000002</v>
      </c>
      <c r="G107" s="328">
        <f t="shared" si="10"/>
        <v>-6.6485727000000008</v>
      </c>
      <c r="H107" s="328">
        <f t="shared" si="10"/>
        <v>-6.9154974000000013</v>
      </c>
      <c r="I107" s="328">
        <f t="shared" si="10"/>
        <v>-7.182422100000001</v>
      </c>
      <c r="J107" s="328">
        <f t="shared" si="10"/>
        <v>-7.4493468000000016</v>
      </c>
      <c r="K107" s="328">
        <f t="shared" si="10"/>
        <v>-7.7162715000000031</v>
      </c>
      <c r="L107" s="328">
        <f t="shared" si="10"/>
        <v>-7.9831962000000036</v>
      </c>
      <c r="M107" s="328">
        <f t="shared" si="10"/>
        <v>-8.2501209000000024</v>
      </c>
      <c r="N107" s="133"/>
    </row>
    <row r="108" spans="2:15" ht="15.75" x14ac:dyDescent="0.25">
      <c r="B108" s="134"/>
      <c r="C108" s="1938" t="s">
        <v>118</v>
      </c>
      <c r="D108" s="1938"/>
      <c r="E108" s="1938"/>
      <c r="F108" s="1950">
        <f>SUBTOTAL(109,III.b.2.Outputs[2015])</f>
        <v>0</v>
      </c>
      <c r="G108" s="1950">
        <f>SUBTOTAL(109,III.b.2.Outputs[2020])</f>
        <v>0</v>
      </c>
      <c r="H108" s="1950">
        <f>SUBTOTAL(109,III.b.2.Outputs[2025])</f>
        <v>0</v>
      </c>
      <c r="I108" s="1950">
        <f>SUBTOTAL(109,III.b.2.Outputs[2030])</f>
        <v>0</v>
      </c>
      <c r="J108" s="1950">
        <f>SUBTOTAL(109,III.b.2.Outputs[2035])</f>
        <v>0</v>
      </c>
      <c r="K108" s="1950">
        <f>SUBTOTAL(109,III.b.2.Outputs[2040])</f>
        <v>0</v>
      </c>
      <c r="L108" s="1950">
        <f>SUBTOTAL(109,III.b.2.Outputs[2045])</f>
        <v>0</v>
      </c>
      <c r="M108" s="1950">
        <f>SUBTOTAL(109,III.b.2.Outputs[2050])</f>
        <v>0</v>
      </c>
      <c r="N108" s="1950">
        <f>SUBTOTAL(109,III.b.2.Outputs[Vector])</f>
        <v>0</v>
      </c>
    </row>
    <row r="109" spans="2:15" ht="15.75" x14ac:dyDescent="0.25">
      <c r="B109" s="137"/>
      <c r="C109" s="233"/>
      <c r="D109" s="233"/>
      <c r="E109" s="233"/>
      <c r="F109" s="329"/>
      <c r="G109" s="329"/>
      <c r="H109" s="329"/>
      <c r="I109" s="329"/>
      <c r="J109" s="329"/>
      <c r="K109" s="329"/>
      <c r="L109" s="329"/>
      <c r="M109" s="329"/>
      <c r="N109" s="140"/>
      <c r="O109" s="231"/>
    </row>
    <row r="110" spans="2:15" x14ac:dyDescent="0.25">
      <c r="O110" s="231"/>
    </row>
    <row r="111" spans="2:15" ht="15.75" hidden="1" outlineLevel="1" x14ac:dyDescent="0.25">
      <c r="B111" s="235" t="s">
        <v>244</v>
      </c>
      <c r="C111" s="236"/>
      <c r="D111" s="237"/>
      <c r="E111" s="237"/>
      <c r="F111" s="237"/>
      <c r="G111" s="237"/>
      <c r="H111" s="237"/>
      <c r="I111" s="237"/>
      <c r="J111" s="237"/>
      <c r="K111" s="237"/>
      <c r="L111" s="237"/>
      <c r="M111" s="237"/>
      <c r="N111" s="238"/>
      <c r="O111" s="231"/>
    </row>
    <row r="112" spans="2:15" hidden="1" outlineLevel="1" x14ac:dyDescent="0.25">
      <c r="B112" s="239"/>
      <c r="C112" s="240"/>
      <c r="D112" s="240"/>
      <c r="E112" s="240"/>
      <c r="F112" s="240"/>
      <c r="G112" s="240"/>
      <c r="H112" s="240"/>
      <c r="I112" s="240"/>
      <c r="J112" s="240"/>
      <c r="K112" s="240"/>
      <c r="L112" s="240"/>
      <c r="M112" s="240"/>
      <c r="N112" s="241"/>
      <c r="O112" s="231"/>
    </row>
    <row r="113" spans="1:15" hidden="1" outlineLevel="1" x14ac:dyDescent="0.25">
      <c r="B113" s="242"/>
      <c r="C113" s="243" t="s">
        <v>187</v>
      </c>
      <c r="D113" s="244"/>
      <c r="E113" s="245"/>
      <c r="F113" s="244"/>
      <c r="G113" s="245"/>
      <c r="H113" s="244"/>
      <c r="I113" s="244"/>
      <c r="J113" s="244"/>
      <c r="K113" s="244"/>
      <c r="L113" s="244"/>
      <c r="M113" s="244"/>
      <c r="N113" s="246"/>
      <c r="O113" s="231"/>
    </row>
    <row r="114" spans="1:15" hidden="1" outlineLevel="1" x14ac:dyDescent="0.25">
      <c r="B114" s="242"/>
      <c r="C114" s="244"/>
      <c r="D114" s="244"/>
      <c r="E114" s="244"/>
      <c r="F114" s="244"/>
      <c r="G114" s="244"/>
      <c r="H114" s="244"/>
      <c r="I114" s="244"/>
      <c r="J114" s="244"/>
      <c r="K114" s="244"/>
      <c r="L114" s="244"/>
      <c r="M114" s="244"/>
      <c r="N114" s="246"/>
      <c r="O114" s="231"/>
    </row>
    <row r="115" spans="1:15" ht="15.75" hidden="1" outlineLevel="1" x14ac:dyDescent="0.25">
      <c r="B115" s="247"/>
      <c r="C115" s="248" t="s">
        <v>146</v>
      </c>
      <c r="D115" s="248" t="s">
        <v>256</v>
      </c>
      <c r="E115" s="248" t="s">
        <v>8</v>
      </c>
      <c r="F115" s="330">
        <v>2015</v>
      </c>
      <c r="G115" s="330" t="s">
        <v>17</v>
      </c>
      <c r="H115" s="330" t="s">
        <v>18</v>
      </c>
      <c r="I115" s="330" t="s">
        <v>19</v>
      </c>
      <c r="J115" s="330" t="s">
        <v>20</v>
      </c>
      <c r="K115" s="330" t="s">
        <v>21</v>
      </c>
      <c r="L115" s="330" t="s">
        <v>22</v>
      </c>
      <c r="M115" s="330" t="s">
        <v>23</v>
      </c>
      <c r="N115" s="246"/>
      <c r="O115" s="231"/>
    </row>
    <row r="116" spans="1:15" ht="15.75" hidden="1" outlineLevel="1" x14ac:dyDescent="0.25">
      <c r="B116" s="247"/>
      <c r="C116" s="249" t="s">
        <v>188</v>
      </c>
      <c r="D116" s="250" t="s">
        <v>257</v>
      </c>
      <c r="E116" s="250" t="s">
        <v>152</v>
      </c>
      <c r="F116" s="331">
        <f>F72</f>
        <v>2.08</v>
      </c>
      <c r="G116" s="331">
        <f t="shared" ref="G116:M116" si="11">G72</f>
        <v>2.1670000000000003</v>
      </c>
      <c r="H116" s="331">
        <f t="shared" si="11"/>
        <v>2.2540000000000004</v>
      </c>
      <c r="I116" s="331">
        <f t="shared" si="11"/>
        <v>2.3410000000000006</v>
      </c>
      <c r="J116" s="331">
        <f t="shared" si="11"/>
        <v>2.4280000000000008</v>
      </c>
      <c r="K116" s="331">
        <f t="shared" si="11"/>
        <v>2.515000000000001</v>
      </c>
      <c r="L116" s="331">
        <f t="shared" si="11"/>
        <v>2.6020000000000012</v>
      </c>
      <c r="M116" s="331">
        <f t="shared" si="11"/>
        <v>2.6890000000000014</v>
      </c>
      <c r="N116" s="246"/>
      <c r="O116" s="231"/>
    </row>
    <row r="117" spans="1:15" ht="15.75" hidden="1" outlineLevel="1" x14ac:dyDescent="0.25">
      <c r="B117" s="247"/>
      <c r="C117" s="249" t="s">
        <v>191</v>
      </c>
      <c r="D117" s="250" t="s">
        <v>265</v>
      </c>
      <c r="E117" s="250" t="s">
        <v>172</v>
      </c>
      <c r="F117" s="332">
        <f>F79</f>
        <v>41.6</v>
      </c>
      <c r="G117" s="332">
        <f t="shared" ref="G117:M117" si="12">G79</f>
        <v>43.34</v>
      </c>
      <c r="H117" s="332">
        <f t="shared" si="12"/>
        <v>45.080000000000005</v>
      </c>
      <c r="I117" s="332">
        <f t="shared" si="12"/>
        <v>46.820000000000007</v>
      </c>
      <c r="J117" s="332">
        <f t="shared" si="12"/>
        <v>48.560000000000016</v>
      </c>
      <c r="K117" s="332">
        <f t="shared" si="12"/>
        <v>50.300000000000018</v>
      </c>
      <c r="L117" s="332">
        <f t="shared" si="12"/>
        <v>52.04000000000002</v>
      </c>
      <c r="M117" s="332">
        <f t="shared" si="12"/>
        <v>53.780000000000022</v>
      </c>
      <c r="N117" s="246"/>
      <c r="O117" s="231"/>
    </row>
    <row r="118" spans="1:15" ht="15.75" hidden="1" outlineLevel="1" collapsed="1" x14ac:dyDescent="0.25">
      <c r="B118" s="251"/>
      <c r="C118" s="252"/>
      <c r="D118" s="252"/>
      <c r="E118" s="252"/>
      <c r="F118" s="252"/>
      <c r="G118" s="252"/>
      <c r="H118" s="252"/>
      <c r="I118" s="252"/>
      <c r="J118" s="252"/>
      <c r="K118" s="252"/>
      <c r="L118" s="252"/>
      <c r="M118" s="252"/>
      <c r="N118" s="253"/>
    </row>
    <row r="119" spans="1:15" ht="23.25" hidden="1" outlineLevel="1" x14ac:dyDescent="0.35">
      <c r="A119" s="127"/>
    </row>
    <row r="120" spans="1:15" ht="15.75" hidden="1" outlineLevel="2" x14ac:dyDescent="0.25">
      <c r="B120" s="235" t="s">
        <v>192</v>
      </c>
      <c r="C120" s="237"/>
      <c r="D120" s="237"/>
      <c r="E120" s="237"/>
      <c r="F120" s="237"/>
      <c r="G120" s="237"/>
      <c r="H120" s="237"/>
      <c r="I120" s="237"/>
      <c r="J120" s="237"/>
      <c r="K120" s="237"/>
      <c r="L120" s="237"/>
      <c r="M120" s="237"/>
      <c r="N120" s="238"/>
    </row>
    <row r="121" spans="1:15" hidden="1" outlineLevel="2" x14ac:dyDescent="0.25">
      <c r="B121" s="242"/>
      <c r="C121" s="244"/>
      <c r="D121" s="244"/>
      <c r="E121" s="244"/>
      <c r="F121" s="244"/>
      <c r="G121" s="244"/>
      <c r="H121" s="244"/>
      <c r="I121" s="244"/>
      <c r="J121" s="244"/>
      <c r="K121" s="244"/>
      <c r="L121" s="244"/>
      <c r="M121" s="244"/>
      <c r="N121" s="246"/>
    </row>
    <row r="122" spans="1:15" hidden="1" outlineLevel="2" x14ac:dyDescent="0.25">
      <c r="B122" s="242"/>
      <c r="C122" s="254" t="s">
        <v>193</v>
      </c>
      <c r="D122" s="255"/>
      <c r="E122" s="255"/>
      <c r="F122" s="255"/>
      <c r="G122" s="255"/>
      <c r="H122" s="255"/>
      <c r="I122" s="255"/>
      <c r="J122" s="255"/>
      <c r="K122" s="255"/>
      <c r="L122" s="255"/>
      <c r="M122" s="255"/>
      <c r="N122" s="246"/>
    </row>
    <row r="123" spans="1:15" ht="15.75" hidden="1" outlineLevel="2" x14ac:dyDescent="0.25">
      <c r="A123" s="234"/>
      <c r="B123" s="242"/>
      <c r="C123" s="244"/>
      <c r="D123" s="244"/>
      <c r="E123" s="244"/>
      <c r="F123" s="244"/>
      <c r="G123" s="244"/>
      <c r="H123" s="244"/>
      <c r="I123" s="244"/>
      <c r="J123" s="244"/>
      <c r="K123" s="244"/>
      <c r="L123" s="244"/>
      <c r="M123" s="244"/>
      <c r="N123" s="246"/>
    </row>
    <row r="124" spans="1:15" ht="15.75" hidden="1" outlineLevel="2" x14ac:dyDescent="0.25">
      <c r="A124" s="234"/>
      <c r="B124" s="247"/>
      <c r="C124" s="248" t="s">
        <v>146</v>
      </c>
      <c r="D124" s="248" t="s">
        <v>147</v>
      </c>
      <c r="E124" s="248" t="s">
        <v>148</v>
      </c>
      <c r="F124" s="330">
        <v>2015</v>
      </c>
      <c r="G124" s="330" t="s">
        <v>17</v>
      </c>
      <c r="H124" s="330" t="s">
        <v>18</v>
      </c>
      <c r="I124" s="330" t="s">
        <v>19</v>
      </c>
      <c r="J124" s="330" t="s">
        <v>20</v>
      </c>
      <c r="K124" s="330" t="s">
        <v>21</v>
      </c>
      <c r="L124" s="330" t="s">
        <v>22</v>
      </c>
      <c r="M124" s="330" t="s">
        <v>23</v>
      </c>
      <c r="N124" s="292"/>
    </row>
    <row r="125" spans="1:15" ht="15.75" hidden="1" outlineLevel="2" x14ac:dyDescent="0.25">
      <c r="A125" s="234"/>
      <c r="B125" s="247"/>
      <c r="C125" s="249" t="s">
        <v>202</v>
      </c>
      <c r="D125" s="250" t="s">
        <v>203</v>
      </c>
      <c r="E125" s="250"/>
      <c r="F125" s="333">
        <v>0</v>
      </c>
      <c r="G125" s="333">
        <v>106.01733333333343</v>
      </c>
      <c r="H125" s="333">
        <v>0</v>
      </c>
      <c r="I125" s="333">
        <v>0</v>
      </c>
      <c r="J125" s="333">
        <v>0</v>
      </c>
      <c r="K125" s="333">
        <v>0</v>
      </c>
      <c r="L125" s="333">
        <v>0</v>
      </c>
      <c r="M125" s="333">
        <v>0</v>
      </c>
      <c r="N125" s="292"/>
    </row>
    <row r="126" spans="1:15" ht="15.75" hidden="1" outlineLevel="2" x14ac:dyDescent="0.25">
      <c r="A126" s="234"/>
      <c r="B126" s="247"/>
      <c r="C126" s="249" t="s">
        <v>204</v>
      </c>
      <c r="D126" s="250" t="s">
        <v>205</v>
      </c>
      <c r="E126" s="250"/>
      <c r="F126" s="333">
        <v>12.929999999999998</v>
      </c>
      <c r="G126" s="333">
        <v>16</v>
      </c>
      <c r="H126" s="333">
        <v>16</v>
      </c>
      <c r="I126" s="333">
        <v>16</v>
      </c>
      <c r="J126" s="333">
        <v>16</v>
      </c>
      <c r="K126" s="333">
        <v>16</v>
      </c>
      <c r="L126" s="333">
        <v>16</v>
      </c>
      <c r="M126" s="333">
        <v>16</v>
      </c>
      <c r="N126" s="292"/>
    </row>
    <row r="127" spans="1:15" ht="15.75" hidden="1" outlineLevel="2" x14ac:dyDescent="0.25">
      <c r="A127" s="234"/>
      <c r="B127" s="247"/>
      <c r="C127" s="249" t="s">
        <v>198</v>
      </c>
      <c r="D127" s="250" t="s">
        <v>199</v>
      </c>
      <c r="E127" s="250"/>
      <c r="F127" s="333">
        <v>0</v>
      </c>
      <c r="G127" s="333">
        <v>106.03391703795818</v>
      </c>
      <c r="H127" s="333">
        <v>0</v>
      </c>
      <c r="I127" s="333">
        <v>0</v>
      </c>
      <c r="J127" s="333">
        <v>0</v>
      </c>
      <c r="K127" s="333">
        <v>0</v>
      </c>
      <c r="L127" s="333">
        <v>0</v>
      </c>
      <c r="M127" s="333">
        <v>0</v>
      </c>
      <c r="N127" s="292"/>
    </row>
    <row r="128" spans="1:15" ht="15.75" hidden="1" outlineLevel="2" x14ac:dyDescent="0.25">
      <c r="B128" s="247"/>
      <c r="C128" s="249" t="s">
        <v>200</v>
      </c>
      <c r="D128" s="250" t="s">
        <v>201</v>
      </c>
      <c r="E128" s="250"/>
      <c r="F128" s="333">
        <v>133.97575380789553</v>
      </c>
      <c r="G128" s="333">
        <v>165.78592891928298</v>
      </c>
      <c r="H128" s="333">
        <v>165.78592891928298</v>
      </c>
      <c r="I128" s="333">
        <v>165.78592891928298</v>
      </c>
      <c r="J128" s="333">
        <v>165.78592891928298</v>
      </c>
      <c r="K128" s="333">
        <v>165.78592891928298</v>
      </c>
      <c r="L128" s="333">
        <v>165.78592891928298</v>
      </c>
      <c r="M128" s="333">
        <v>165.78592891928298</v>
      </c>
      <c r="N128" s="292"/>
    </row>
    <row r="129" spans="2:14" hidden="1" outlineLevel="2" x14ac:dyDescent="0.25">
      <c r="B129" s="256"/>
      <c r="C129" s="249" t="s">
        <v>194</v>
      </c>
      <c r="D129" s="250" t="s">
        <v>195</v>
      </c>
      <c r="E129" s="250"/>
      <c r="F129" s="333">
        <v>0</v>
      </c>
      <c r="G129" s="333">
        <v>972.88300000000072</v>
      </c>
      <c r="H129" s="333">
        <v>0</v>
      </c>
      <c r="I129" s="333">
        <v>0</v>
      </c>
      <c r="J129" s="333">
        <v>0</v>
      </c>
      <c r="K129" s="333">
        <v>0</v>
      </c>
      <c r="L129" s="333">
        <v>0</v>
      </c>
      <c r="M129" s="333">
        <v>0</v>
      </c>
      <c r="N129" s="293"/>
    </row>
    <row r="130" spans="2:14" hidden="1" outlineLevel="2" x14ac:dyDescent="0.25">
      <c r="B130" s="256"/>
      <c r="C130" s="249" t="s">
        <v>196</v>
      </c>
      <c r="D130" s="250" t="s">
        <v>197</v>
      </c>
      <c r="E130" s="250"/>
      <c r="F130" s="333">
        <v>243.08399999999997</v>
      </c>
      <c r="G130" s="333">
        <v>300.8</v>
      </c>
      <c r="H130" s="333">
        <v>300.8</v>
      </c>
      <c r="I130" s="333">
        <v>300.8</v>
      </c>
      <c r="J130" s="333">
        <v>300.8</v>
      </c>
      <c r="K130" s="333">
        <v>300.8</v>
      </c>
      <c r="L130" s="333">
        <v>300.8</v>
      </c>
      <c r="M130" s="333">
        <v>300.8</v>
      </c>
      <c r="N130" s="293"/>
    </row>
    <row r="131" spans="2:14" hidden="1" outlineLevel="2" x14ac:dyDescent="0.25">
      <c r="B131" s="257"/>
      <c r="C131" s="252"/>
      <c r="D131" s="252"/>
      <c r="E131" s="252"/>
      <c r="F131" s="252"/>
      <c r="G131" s="252"/>
      <c r="H131" s="252"/>
      <c r="I131" s="252"/>
      <c r="J131" s="252"/>
      <c r="K131" s="252"/>
      <c r="L131" s="252"/>
      <c r="M131" s="252"/>
      <c r="N131" s="258"/>
    </row>
    <row r="132" spans="2:14" hidden="1" outlineLevel="2" x14ac:dyDescent="0.25"/>
    <row r="133" spans="2:14" hidden="1" outlineLevel="1" collapsed="1" x14ac:dyDescent="0.25"/>
    <row r="134" spans="2:14" hidden="1" outlineLevel="1" x14ac:dyDescent="0.25"/>
    <row r="135" spans="2:14" collapsed="1" x14ac:dyDescent="0.25"/>
  </sheetData>
  <pageMargins left="0.7" right="0.7" top="0.75" bottom="0.75" header="0.3" footer="0.3"/>
  <pageSetup orientation="portrait" r:id="rId1"/>
  <ignoredErrors>
    <ignoredError sqref="G115:M115" numberStoredAsText="1"/>
    <ignoredError sqref="F106:M106" calculatedColumn="1"/>
  </ignoredErrors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AE88"/>
  <sheetViews>
    <sheetView topLeftCell="A39" zoomScale="85" zoomScaleNormal="85" workbookViewId="0">
      <selection activeCell="K27" sqref="K27"/>
    </sheetView>
  </sheetViews>
  <sheetFormatPr baseColWidth="10" defaultColWidth="9.140625" defaultRowHeight="15" outlineLevelRow="1" x14ac:dyDescent="0.25"/>
  <cols>
    <col min="1" max="1" width="7.7109375" style="124" customWidth="1"/>
    <col min="2" max="2" width="5.85546875" style="124" customWidth="1"/>
    <col min="3" max="3" width="20.42578125" style="124" customWidth="1"/>
    <col min="4" max="4" width="37.28515625" style="124" customWidth="1"/>
    <col min="5" max="5" width="20.7109375" style="124" customWidth="1"/>
    <col min="6" max="13" width="17.7109375" style="124" customWidth="1"/>
    <col min="14" max="14" width="2" style="124" customWidth="1"/>
    <col min="15" max="24" width="10.85546875" style="124" customWidth="1"/>
    <col min="25" max="16384" width="9.140625" style="124"/>
  </cols>
  <sheetData>
    <row r="1" spans="1:14" ht="20.25" x14ac:dyDescent="0.3">
      <c r="A1" s="123" t="s">
        <v>206</v>
      </c>
      <c r="B1" s="123" t="s">
        <v>207</v>
      </c>
      <c r="C1" s="123"/>
    </row>
    <row r="2" spans="1:14" s="126" customFormat="1" ht="15.75" x14ac:dyDescent="0.2">
      <c r="A2" s="125" t="s">
        <v>267</v>
      </c>
      <c r="B2" s="125" t="str">
        <f>INDEX(Modulos[Modulos], MATCH($A2, Modulos[Código], 0))</f>
        <v>Hidráulica de Embalse</v>
      </c>
      <c r="C2" s="125"/>
      <c r="E2" s="259"/>
    </row>
    <row r="4" spans="1:14" ht="23.25" x14ac:dyDescent="0.35">
      <c r="A4" s="127"/>
      <c r="B4" s="128" t="s">
        <v>144</v>
      </c>
      <c r="C4" s="129"/>
      <c r="D4" s="129"/>
      <c r="E4" s="129"/>
      <c r="F4" s="129"/>
      <c r="G4" s="129"/>
      <c r="H4" s="129"/>
      <c r="I4" s="129"/>
      <c r="J4" s="129"/>
      <c r="K4" s="129"/>
      <c r="L4" s="129"/>
      <c r="M4" s="129"/>
      <c r="N4" s="130"/>
    </row>
    <row r="5" spans="1:14" x14ac:dyDescent="0.25">
      <c r="B5" s="131"/>
      <c r="C5" s="132"/>
      <c r="D5" s="132"/>
      <c r="E5" s="132"/>
      <c r="F5" s="132"/>
      <c r="G5" s="132"/>
      <c r="H5" s="132"/>
      <c r="I5" s="132"/>
      <c r="J5" s="132"/>
      <c r="K5" s="132"/>
      <c r="L5" s="132"/>
      <c r="M5" s="132"/>
      <c r="N5" s="133"/>
    </row>
    <row r="6" spans="1:14" ht="15.75" x14ac:dyDescent="0.25">
      <c r="B6" s="134"/>
      <c r="C6" s="132"/>
      <c r="D6" s="135" t="s">
        <v>145</v>
      </c>
      <c r="E6" s="135" t="s">
        <v>3</v>
      </c>
      <c r="F6" s="132"/>
      <c r="G6" s="132"/>
      <c r="H6" s="132"/>
      <c r="I6" s="132"/>
      <c r="J6" s="132"/>
      <c r="K6" s="132"/>
      <c r="L6" s="132"/>
      <c r="M6" s="132"/>
      <c r="N6" s="133"/>
    </row>
    <row r="7" spans="1:14" ht="15.75" x14ac:dyDescent="0.25">
      <c r="B7" s="134"/>
      <c r="C7" s="132"/>
      <c r="D7" s="136" t="str">
        <f>B2</f>
        <v>Hidráulica de Embalse</v>
      </c>
      <c r="E7" s="136">
        <f>Control!F57</f>
        <v>1</v>
      </c>
      <c r="F7" s="132"/>
      <c r="G7" s="132"/>
      <c r="H7" s="132"/>
      <c r="I7" s="132"/>
      <c r="J7" s="132"/>
      <c r="K7" s="132"/>
      <c r="L7" s="132"/>
      <c r="M7" s="132"/>
      <c r="N7" s="133"/>
    </row>
    <row r="8" spans="1:14" x14ac:dyDescent="0.25">
      <c r="B8" s="294"/>
      <c r="C8" s="139"/>
      <c r="D8" s="139"/>
      <c r="E8" s="139"/>
      <c r="F8" s="139"/>
      <c r="G8" s="139"/>
      <c r="H8" s="139"/>
      <c r="I8" s="139"/>
      <c r="J8" s="139"/>
      <c r="K8" s="139"/>
      <c r="L8" s="139"/>
      <c r="M8" s="139"/>
      <c r="N8" s="140"/>
    </row>
    <row r="10" spans="1:14" ht="23.25" x14ac:dyDescent="0.35">
      <c r="A10" s="127"/>
      <c r="B10" s="145" t="s">
        <v>151</v>
      </c>
      <c r="C10" s="146"/>
      <c r="D10" s="146"/>
      <c r="E10" s="146"/>
      <c r="F10" s="146"/>
      <c r="G10" s="146"/>
      <c r="H10" s="146"/>
      <c r="I10" s="146"/>
      <c r="J10" s="146"/>
      <c r="K10" s="146"/>
      <c r="L10" s="146"/>
      <c r="M10" s="146"/>
      <c r="N10" s="147"/>
    </row>
    <row r="11" spans="1:14" x14ac:dyDescent="0.25">
      <c r="B11" s="148"/>
      <c r="C11" s="149"/>
      <c r="D11" s="149"/>
      <c r="E11" s="149"/>
      <c r="F11" s="149"/>
      <c r="G11" s="149"/>
      <c r="H11" s="149"/>
      <c r="I11" s="149"/>
      <c r="J11" s="149"/>
      <c r="K11" s="149"/>
      <c r="L11" s="149"/>
      <c r="M11" s="149"/>
      <c r="N11" s="153"/>
    </row>
    <row r="12" spans="1:14" x14ac:dyDescent="0.25">
      <c r="B12" s="148"/>
      <c r="C12" s="151" t="s">
        <v>269</v>
      </c>
      <c r="D12" s="149"/>
      <c r="E12" s="152"/>
      <c r="F12" s="149"/>
      <c r="G12" s="149"/>
      <c r="H12" s="149"/>
      <c r="I12" s="149"/>
      <c r="J12" s="149"/>
      <c r="K12" s="149"/>
      <c r="L12" s="149"/>
      <c r="M12" s="152" t="s">
        <v>152</v>
      </c>
      <c r="N12" s="153"/>
    </row>
    <row r="13" spans="1:14" x14ac:dyDescent="0.25">
      <c r="B13" s="148"/>
      <c r="C13" s="149"/>
      <c r="D13" s="149"/>
      <c r="E13" s="149"/>
      <c r="F13" s="149"/>
      <c r="G13" s="149"/>
      <c r="H13" s="149"/>
      <c r="I13" s="149"/>
      <c r="J13" s="149"/>
      <c r="K13" s="149"/>
      <c r="L13" s="149"/>
      <c r="M13" s="149"/>
      <c r="N13" s="153"/>
    </row>
    <row r="14" spans="1:14" ht="15.75" x14ac:dyDescent="0.25">
      <c r="B14" s="173"/>
      <c r="C14" s="154" t="s">
        <v>3</v>
      </c>
      <c r="D14" s="154" t="s">
        <v>7</v>
      </c>
      <c r="E14" s="154" t="s">
        <v>8</v>
      </c>
      <c r="F14" s="155">
        <v>2015</v>
      </c>
      <c r="G14" s="156">
        <v>2020</v>
      </c>
      <c r="H14" s="155">
        <v>2025</v>
      </c>
      <c r="I14" s="155">
        <v>2030</v>
      </c>
      <c r="J14" s="155">
        <v>2035</v>
      </c>
      <c r="K14" s="155">
        <v>2040</v>
      </c>
      <c r="L14" s="155">
        <v>2045</v>
      </c>
      <c r="M14" s="155">
        <v>2050</v>
      </c>
      <c r="N14" s="153"/>
    </row>
    <row r="15" spans="1:14" ht="15.75" x14ac:dyDescent="0.25">
      <c r="B15" s="214"/>
      <c r="C15" s="157">
        <v>1</v>
      </c>
      <c r="D15" s="158"/>
      <c r="E15" s="159"/>
      <c r="F15" s="341">
        <v>3.96</v>
      </c>
      <c r="G15" s="342">
        <v>4.0469999999999997</v>
      </c>
      <c r="H15" s="341">
        <v>4.1339999999999995</v>
      </c>
      <c r="I15" s="341">
        <v>4.2209999999999992</v>
      </c>
      <c r="J15" s="341">
        <v>4.3079999999999989</v>
      </c>
      <c r="K15" s="341">
        <v>4.3949999999999987</v>
      </c>
      <c r="L15" s="341">
        <v>4.4819999999999984</v>
      </c>
      <c r="M15" s="341">
        <v>4.5689999999999982</v>
      </c>
      <c r="N15" s="163"/>
    </row>
    <row r="16" spans="1:14" ht="15.75" x14ac:dyDescent="0.25">
      <c r="B16" s="173"/>
      <c r="C16" s="157">
        <v>2</v>
      </c>
      <c r="D16" s="158"/>
      <c r="E16" s="158"/>
      <c r="F16" s="341">
        <v>3.96</v>
      </c>
      <c r="G16" s="343">
        <v>4.1340000000000003</v>
      </c>
      <c r="H16" s="344">
        <v>4.3080000000000007</v>
      </c>
      <c r="I16" s="344">
        <v>4.4820000000000011</v>
      </c>
      <c r="J16" s="344">
        <v>4.6560000000000015</v>
      </c>
      <c r="K16" s="344">
        <v>4.8300000000000018</v>
      </c>
      <c r="L16" s="344">
        <v>5.0040000000000022</v>
      </c>
      <c r="M16" s="344">
        <v>5.1780000000000026</v>
      </c>
      <c r="N16" s="153"/>
    </row>
    <row r="17" spans="1:31" ht="15.75" x14ac:dyDescent="0.25">
      <c r="B17" s="173"/>
      <c r="C17" s="157">
        <v>3</v>
      </c>
      <c r="D17" s="158"/>
      <c r="E17" s="158"/>
      <c r="F17" s="341">
        <v>3.96</v>
      </c>
      <c r="G17" s="343">
        <v>4.2152642573020263</v>
      </c>
      <c r="H17" s="344">
        <v>4.7980175474486479</v>
      </c>
      <c r="I17" s="344">
        <v>5.5460219343108097</v>
      </c>
      <c r="J17" s="344">
        <v>6.8905687616354889</v>
      </c>
      <c r="K17" s="344">
        <v>7.4845208462616544</v>
      </c>
      <c r="L17" s="344">
        <v>7.8383377329070054</v>
      </c>
      <c r="M17" s="344">
        <v>8.2061976135863226</v>
      </c>
      <c r="N17" s="153"/>
    </row>
    <row r="18" spans="1:31" ht="15.75" x14ac:dyDescent="0.25">
      <c r="B18" s="173"/>
      <c r="C18" s="167">
        <v>4</v>
      </c>
      <c r="D18" s="168"/>
      <c r="E18" s="168"/>
      <c r="F18" s="345">
        <v>3.96</v>
      </c>
      <c r="G18" s="346">
        <v>4.2965285146040522</v>
      </c>
      <c r="H18" s="347">
        <v>5.2880350948972952</v>
      </c>
      <c r="I18" s="347">
        <v>6.6100438686216183</v>
      </c>
      <c r="J18" s="347">
        <v>9.1251375232709773</v>
      </c>
      <c r="K18" s="347">
        <v>10.139041692523307</v>
      </c>
      <c r="L18" s="347">
        <v>10.672675465814008</v>
      </c>
      <c r="M18" s="347">
        <v>11.234395227172641</v>
      </c>
      <c r="N18" s="153"/>
      <c r="AC18" s="2628"/>
    </row>
    <row r="19" spans="1:31" ht="15.75" x14ac:dyDescent="0.25">
      <c r="B19" s="173"/>
      <c r="C19" s="174" t="s">
        <v>153</v>
      </c>
      <c r="D19" s="175"/>
      <c r="E19" s="175"/>
      <c r="F19" s="176">
        <f>(INDEX(F$15:F$18,ROUNDDOWN($E$7,0))*(1-MOD($E$7,1)))+(INDEX(F$15:F$18,ROUNDUP($E$7,0))*MOD($E$7,1))</f>
        <v>3.96</v>
      </c>
      <c r="G19" s="176">
        <f t="shared" ref="G19:M19" si="0">(INDEX(G$15:G$18,ROUNDDOWN($E$7,0))*(1-MOD($E$7,1)))+(INDEX(G$15:G$18,ROUNDUP($E$7,0))*MOD($E$7,1))</f>
        <v>4.0469999999999997</v>
      </c>
      <c r="H19" s="176">
        <f t="shared" si="0"/>
        <v>4.1339999999999995</v>
      </c>
      <c r="I19" s="176">
        <f t="shared" si="0"/>
        <v>4.2209999999999992</v>
      </c>
      <c r="J19" s="176">
        <f t="shared" si="0"/>
        <v>4.3079999999999989</v>
      </c>
      <c r="K19" s="176">
        <f t="shared" si="0"/>
        <v>4.3949999999999987</v>
      </c>
      <c r="L19" s="176">
        <f t="shared" si="0"/>
        <v>4.4819999999999984</v>
      </c>
      <c r="M19" s="176">
        <f t="shared" si="0"/>
        <v>4.5689999999999982</v>
      </c>
      <c r="N19" s="153"/>
      <c r="AE19" s="2629"/>
    </row>
    <row r="20" spans="1:31" x14ac:dyDescent="0.25">
      <c r="B20" s="216"/>
      <c r="C20" s="149"/>
      <c r="D20" s="179"/>
      <c r="E20" s="149"/>
      <c r="F20" s="149"/>
      <c r="G20" s="295"/>
      <c r="H20" s="295"/>
      <c r="I20" s="295"/>
      <c r="J20" s="295"/>
      <c r="K20" s="295"/>
      <c r="L20" s="295"/>
      <c r="M20" s="295"/>
      <c r="N20" s="153"/>
    </row>
    <row r="21" spans="1:31" x14ac:dyDescent="0.25">
      <c r="B21" s="217"/>
      <c r="C21" s="149" t="s">
        <v>11</v>
      </c>
      <c r="D21" s="179"/>
      <c r="E21" s="149"/>
      <c r="F21" s="149"/>
      <c r="G21" s="149"/>
      <c r="H21" s="149"/>
      <c r="I21" s="149"/>
      <c r="J21" s="149"/>
      <c r="K21" s="149"/>
      <c r="L21" s="149"/>
      <c r="M21" s="149"/>
      <c r="N21" s="153"/>
    </row>
    <row r="22" spans="1:31" x14ac:dyDescent="0.25">
      <c r="B22" s="217"/>
      <c r="C22" s="152" t="s">
        <v>12</v>
      </c>
      <c r="D22" s="149" t="s">
        <v>261</v>
      </c>
      <c r="E22" s="149"/>
      <c r="F22" s="149"/>
      <c r="G22" s="149"/>
      <c r="H22" s="149"/>
      <c r="I22" s="149" t="s">
        <v>212</v>
      </c>
      <c r="J22" s="149"/>
      <c r="K22" s="149"/>
      <c r="L22" s="149"/>
      <c r="M22" s="149"/>
      <c r="N22" s="153"/>
    </row>
    <row r="23" spans="1:31" x14ac:dyDescent="0.25">
      <c r="B23" s="217"/>
      <c r="C23" s="152" t="s">
        <v>133</v>
      </c>
      <c r="D23" s="149" t="s">
        <v>262</v>
      </c>
      <c r="E23" s="149"/>
      <c r="F23" s="149"/>
      <c r="G23" s="149"/>
      <c r="H23" s="149"/>
      <c r="I23" s="149" t="s">
        <v>225</v>
      </c>
      <c r="J23" s="149"/>
      <c r="K23" s="149"/>
      <c r="L23" s="149"/>
      <c r="M23" s="149"/>
      <c r="N23" s="153"/>
    </row>
    <row r="24" spans="1:31" x14ac:dyDescent="0.25">
      <c r="B24" s="217"/>
      <c r="C24" s="152"/>
      <c r="D24" s="149"/>
      <c r="E24" s="149"/>
      <c r="F24" s="149"/>
      <c r="G24" s="149"/>
      <c r="H24" s="149"/>
      <c r="I24" s="149"/>
      <c r="J24" s="149"/>
      <c r="K24" s="149"/>
      <c r="L24" s="149"/>
      <c r="M24" s="149"/>
      <c r="N24" s="153"/>
    </row>
    <row r="25" spans="1:31" x14ac:dyDescent="0.25">
      <c r="B25" s="217"/>
      <c r="C25" s="152"/>
      <c r="D25" s="179"/>
      <c r="E25" s="149"/>
      <c r="F25" s="149"/>
      <c r="G25" s="149"/>
      <c r="H25" s="149"/>
      <c r="I25" s="149"/>
      <c r="J25" s="149"/>
      <c r="K25" s="149"/>
      <c r="L25" s="149"/>
      <c r="M25" s="149"/>
      <c r="N25" s="153"/>
    </row>
    <row r="26" spans="1:31" x14ac:dyDescent="0.25">
      <c r="B26" s="217"/>
      <c r="C26" s="149"/>
      <c r="D26" s="179"/>
      <c r="E26" s="149"/>
      <c r="F26" s="149"/>
      <c r="G26" s="149"/>
      <c r="H26" s="149"/>
      <c r="I26" s="149"/>
      <c r="J26" s="149"/>
      <c r="K26" s="149"/>
      <c r="L26" s="149"/>
      <c r="M26" s="149"/>
      <c r="N26" s="296"/>
    </row>
    <row r="28" spans="1:31" s="126" customFormat="1" ht="23.25" x14ac:dyDescent="0.2">
      <c r="A28" s="180"/>
      <c r="B28" s="145" t="s">
        <v>216</v>
      </c>
      <c r="C28" s="146"/>
      <c r="D28" s="146"/>
      <c r="E28" s="146"/>
      <c r="F28" s="146"/>
      <c r="G28" s="146"/>
      <c r="H28" s="146"/>
      <c r="I28" s="146"/>
      <c r="J28" s="146"/>
      <c r="K28" s="146"/>
      <c r="L28" s="146"/>
      <c r="M28" s="146"/>
      <c r="N28" s="147"/>
    </row>
    <row r="29" spans="1:31" x14ac:dyDescent="0.25">
      <c r="B29" s="148"/>
      <c r="C29" s="149"/>
      <c r="D29" s="149"/>
      <c r="E29" s="149"/>
      <c r="F29" s="149"/>
      <c r="G29" s="149"/>
      <c r="H29" s="149"/>
      <c r="I29" s="149"/>
      <c r="J29" s="149"/>
      <c r="K29" s="149"/>
      <c r="L29" s="149"/>
      <c r="M29" s="149"/>
      <c r="N29" s="153"/>
    </row>
    <row r="30" spans="1:31" x14ac:dyDescent="0.25">
      <c r="B30" s="148"/>
      <c r="C30" s="151" t="s">
        <v>217</v>
      </c>
      <c r="D30" s="149"/>
      <c r="E30" s="149"/>
      <c r="F30" s="149"/>
      <c r="G30" s="152"/>
      <c r="H30" s="149"/>
      <c r="I30" s="149"/>
      <c r="J30" s="149"/>
      <c r="K30" s="149"/>
      <c r="L30" s="149"/>
      <c r="M30" s="149"/>
      <c r="N30" s="153"/>
    </row>
    <row r="31" spans="1:31" x14ac:dyDescent="0.25">
      <c r="B31" s="148"/>
      <c r="C31" s="149"/>
      <c r="D31" s="149"/>
      <c r="E31" s="149"/>
      <c r="F31" s="149"/>
      <c r="G31" s="149"/>
      <c r="H31" s="149"/>
      <c r="I31" s="149"/>
      <c r="J31" s="149"/>
      <c r="K31" s="149"/>
      <c r="L31" s="149"/>
      <c r="M31" s="149"/>
      <c r="N31" s="153"/>
    </row>
    <row r="32" spans="1:31" ht="15.75" x14ac:dyDescent="0.25">
      <c r="B32" s="173"/>
      <c r="C32" s="154" t="s">
        <v>155</v>
      </c>
      <c r="D32" s="154" t="s">
        <v>156</v>
      </c>
      <c r="E32" s="154" t="s">
        <v>8</v>
      </c>
      <c r="F32" s="155">
        <v>2015</v>
      </c>
      <c r="G32" s="156">
        <v>2020</v>
      </c>
      <c r="H32" s="155">
        <v>2025</v>
      </c>
      <c r="I32" s="155">
        <v>2030</v>
      </c>
      <c r="J32" s="155">
        <v>2035</v>
      </c>
      <c r="K32" s="155">
        <v>2040</v>
      </c>
      <c r="L32" s="155">
        <v>2045</v>
      </c>
      <c r="M32" s="155">
        <v>2050</v>
      </c>
      <c r="N32" s="153"/>
    </row>
    <row r="33" spans="1:24" ht="15.75" x14ac:dyDescent="0.25">
      <c r="B33" s="173"/>
      <c r="C33" s="221" t="s">
        <v>249</v>
      </c>
      <c r="D33" s="222" t="s">
        <v>268</v>
      </c>
      <c r="E33" s="181" t="s">
        <v>12</v>
      </c>
      <c r="F33" s="297">
        <v>0.4</v>
      </c>
      <c r="G33" s="183">
        <f t="shared" ref="G33:M33" si="1">F33</f>
        <v>0.4</v>
      </c>
      <c r="H33" s="184">
        <f t="shared" si="1"/>
        <v>0.4</v>
      </c>
      <c r="I33" s="184">
        <f t="shared" si="1"/>
        <v>0.4</v>
      </c>
      <c r="J33" s="184">
        <f t="shared" si="1"/>
        <v>0.4</v>
      </c>
      <c r="K33" s="184">
        <f t="shared" si="1"/>
        <v>0.4</v>
      </c>
      <c r="L33" s="184">
        <f t="shared" si="1"/>
        <v>0.4</v>
      </c>
      <c r="M33" s="184">
        <f t="shared" si="1"/>
        <v>0.4</v>
      </c>
      <c r="N33" s="153"/>
    </row>
    <row r="34" spans="1:24" ht="15.75" x14ac:dyDescent="0.25">
      <c r="B34" s="173"/>
      <c r="C34" s="157"/>
      <c r="D34" s="158"/>
      <c r="E34" s="158"/>
      <c r="F34" s="298"/>
      <c r="G34" s="268"/>
      <c r="H34" s="268"/>
      <c r="I34" s="268"/>
      <c r="J34" s="268"/>
      <c r="K34" s="268"/>
      <c r="L34" s="268"/>
      <c r="M34" s="268"/>
      <c r="N34" s="153"/>
    </row>
    <row r="35" spans="1:24" ht="15.75" x14ac:dyDescent="0.25">
      <c r="B35" s="173"/>
      <c r="C35" s="151" t="s">
        <v>161</v>
      </c>
      <c r="D35" s="149"/>
      <c r="E35" s="149"/>
      <c r="F35" s="149"/>
      <c r="G35" s="152"/>
      <c r="H35" s="149"/>
      <c r="I35" s="149"/>
      <c r="J35" s="268"/>
      <c r="K35" s="268"/>
      <c r="L35" s="268"/>
      <c r="M35" s="268"/>
      <c r="N35" s="153"/>
    </row>
    <row r="36" spans="1:24" ht="4.5" customHeight="1" x14ac:dyDescent="0.25">
      <c r="B36" s="173"/>
      <c r="C36" s="149"/>
      <c r="D36" s="149"/>
      <c r="E36" s="149"/>
      <c r="F36" s="149"/>
      <c r="G36" s="149"/>
      <c r="H36" s="149"/>
      <c r="I36" s="149"/>
      <c r="J36" s="268"/>
      <c r="K36" s="268"/>
      <c r="L36" s="268"/>
      <c r="M36" s="268"/>
      <c r="N36" s="153"/>
    </row>
    <row r="37" spans="1:24" ht="15.75" x14ac:dyDescent="0.25">
      <c r="B37" s="173"/>
      <c r="C37" s="154"/>
      <c r="D37" s="154"/>
      <c r="E37" s="154"/>
      <c r="F37" s="155"/>
      <c r="G37" s="185" t="s">
        <v>219</v>
      </c>
      <c r="H37" s="185"/>
      <c r="I37" s="149"/>
      <c r="J37" s="268"/>
      <c r="K37" s="268"/>
      <c r="L37" s="268"/>
      <c r="M37" s="268"/>
      <c r="N37" s="153"/>
    </row>
    <row r="38" spans="1:24" ht="15.75" x14ac:dyDescent="0.25">
      <c r="B38" s="173"/>
      <c r="C38" s="187"/>
      <c r="D38" s="188" t="s">
        <v>270</v>
      </c>
      <c r="E38" s="188" t="s">
        <v>133</v>
      </c>
      <c r="F38" s="269">
        <f>400/1000</f>
        <v>0.4</v>
      </c>
      <c r="G38" s="270" t="s">
        <v>162</v>
      </c>
      <c r="H38" s="271"/>
      <c r="I38" s="149"/>
      <c r="J38" s="268"/>
      <c r="K38" s="268"/>
      <c r="L38" s="268"/>
      <c r="M38" s="268"/>
      <c r="N38" s="153"/>
    </row>
    <row r="39" spans="1:24" ht="15.75" x14ac:dyDescent="0.25">
      <c r="B39" s="173"/>
      <c r="C39" s="187"/>
      <c r="D39" s="158" t="s">
        <v>271</v>
      </c>
      <c r="E39" s="188" t="s">
        <v>133</v>
      </c>
      <c r="F39" s="269">
        <f>10/1000</f>
        <v>0.01</v>
      </c>
      <c r="G39" s="201" t="s">
        <v>272</v>
      </c>
      <c r="H39" s="348"/>
      <c r="I39" s="149"/>
      <c r="J39" s="268"/>
      <c r="K39" s="268"/>
      <c r="L39" s="268"/>
      <c r="M39" s="268"/>
      <c r="N39" s="153"/>
    </row>
    <row r="40" spans="1:24" ht="15.75" x14ac:dyDescent="0.25">
      <c r="B40" s="173"/>
      <c r="C40" s="149"/>
      <c r="D40" s="149"/>
      <c r="E40" s="149"/>
      <c r="F40" s="149"/>
      <c r="G40" s="149"/>
      <c r="H40" s="149"/>
      <c r="I40" s="149"/>
      <c r="J40" s="268"/>
      <c r="K40" s="268"/>
      <c r="L40" s="268"/>
      <c r="M40" s="268"/>
      <c r="N40" s="153"/>
    </row>
    <row r="41" spans="1:24" x14ac:dyDescent="0.25">
      <c r="B41" s="149"/>
      <c r="C41" s="149" t="s">
        <v>8</v>
      </c>
      <c r="D41" s="149"/>
      <c r="E41" s="149"/>
      <c r="F41" s="149"/>
      <c r="G41" s="149"/>
      <c r="H41" s="149"/>
      <c r="I41" s="149"/>
      <c r="J41" s="149"/>
      <c r="K41" s="149"/>
      <c r="L41" s="149"/>
      <c r="M41" s="149"/>
      <c r="N41" s="153"/>
    </row>
    <row r="42" spans="1:24" x14ac:dyDescent="0.25">
      <c r="B42" s="149"/>
      <c r="C42" s="302" t="s">
        <v>12</v>
      </c>
      <c r="D42" s="179" t="s">
        <v>273</v>
      </c>
      <c r="E42" s="149"/>
      <c r="F42" s="149"/>
      <c r="G42" s="149"/>
      <c r="H42" s="149"/>
      <c r="I42" s="149"/>
      <c r="J42" s="149"/>
      <c r="K42" s="149"/>
      <c r="L42" s="149"/>
      <c r="M42" s="149"/>
      <c r="N42" s="153"/>
    </row>
    <row r="43" spans="1:24" x14ac:dyDescent="0.25">
      <c r="B43" s="149"/>
      <c r="C43" s="302" t="s">
        <v>133</v>
      </c>
      <c r="D43" s="179" t="s">
        <v>274</v>
      </c>
      <c r="E43" s="149"/>
      <c r="F43" s="149"/>
      <c r="G43" s="149"/>
      <c r="H43" s="149"/>
      <c r="I43" s="149"/>
      <c r="J43" s="149"/>
      <c r="K43" s="149"/>
      <c r="L43" s="149"/>
      <c r="M43" s="149"/>
      <c r="N43" s="153"/>
    </row>
    <row r="44" spans="1:24" x14ac:dyDescent="0.25">
      <c r="B44" s="149"/>
      <c r="C44" s="302"/>
      <c r="D44" s="179"/>
      <c r="E44" s="149"/>
      <c r="F44" s="149"/>
      <c r="G44" s="149"/>
      <c r="H44" s="149"/>
      <c r="I44" s="149"/>
      <c r="J44" s="149"/>
      <c r="K44" s="149"/>
      <c r="L44" s="149"/>
      <c r="M44" s="149"/>
      <c r="N44" s="153"/>
    </row>
    <row r="45" spans="1:24" x14ac:dyDescent="0.25">
      <c r="B45" s="149"/>
      <c r="C45" s="149"/>
      <c r="D45" s="149"/>
      <c r="E45" s="149"/>
      <c r="F45" s="149"/>
      <c r="G45" s="149"/>
      <c r="H45" s="149"/>
      <c r="I45" s="149"/>
      <c r="J45" s="149"/>
      <c r="K45" s="149"/>
      <c r="L45" s="149"/>
      <c r="M45" s="149"/>
      <c r="N45" s="303"/>
      <c r="O45" s="304"/>
      <c r="P45" s="304"/>
      <c r="Q45" s="304"/>
      <c r="R45" s="304"/>
      <c r="S45" s="304"/>
      <c r="T45" s="304"/>
      <c r="U45" s="304"/>
      <c r="V45" s="304"/>
      <c r="W45" s="304"/>
      <c r="X45" s="304"/>
    </row>
    <row r="46" spans="1:24" x14ac:dyDescent="0.25">
      <c r="O46" s="304"/>
      <c r="P46" s="304"/>
      <c r="Q46" s="304"/>
      <c r="R46" s="304"/>
      <c r="S46" s="304"/>
      <c r="T46" s="304"/>
      <c r="U46" s="304"/>
      <c r="V46" s="304"/>
      <c r="W46" s="304"/>
      <c r="X46" s="304"/>
    </row>
    <row r="47" spans="1:24" s="126" customFormat="1" ht="23.25" hidden="1" outlineLevel="1" x14ac:dyDescent="0.2">
      <c r="A47" s="180"/>
      <c r="B47" s="145" t="s">
        <v>163</v>
      </c>
      <c r="C47" s="146"/>
      <c r="D47" s="146"/>
      <c r="E47" s="146"/>
      <c r="F47" s="146"/>
      <c r="G47" s="146"/>
      <c r="H47" s="146"/>
      <c r="I47" s="146"/>
      <c r="J47" s="146"/>
      <c r="K47" s="146"/>
      <c r="L47" s="146"/>
      <c r="M47" s="146"/>
      <c r="N47" s="146"/>
      <c r="O47" s="305"/>
      <c r="P47" s="305"/>
      <c r="Q47" s="305"/>
      <c r="R47" s="305"/>
      <c r="S47" s="305"/>
      <c r="T47" s="305"/>
      <c r="U47" s="305"/>
      <c r="V47" s="305"/>
      <c r="W47" s="305"/>
      <c r="X47" s="305"/>
    </row>
    <row r="48" spans="1:24" ht="5.25" hidden="1" customHeight="1" outlineLevel="1" x14ac:dyDescent="0.25">
      <c r="B48" s="220"/>
      <c r="C48" s="150"/>
      <c r="D48" s="150"/>
      <c r="E48" s="150"/>
      <c r="F48" s="150"/>
      <c r="G48" s="150"/>
      <c r="H48" s="150"/>
      <c r="I48" s="150"/>
      <c r="J48" s="150"/>
      <c r="K48" s="150"/>
      <c r="L48" s="150"/>
      <c r="M48" s="150"/>
      <c r="N48" s="150"/>
      <c r="O48" s="304"/>
      <c r="P48" s="304"/>
      <c r="Q48" s="304"/>
      <c r="R48" s="304"/>
      <c r="S48" s="304"/>
      <c r="T48" s="304"/>
      <c r="U48" s="304"/>
      <c r="V48" s="304"/>
      <c r="W48" s="304"/>
      <c r="X48" s="304"/>
    </row>
    <row r="49" spans="1:24" s="126" customFormat="1" hidden="1" outlineLevel="1" x14ac:dyDescent="0.25">
      <c r="A49" s="124"/>
      <c r="B49" s="148"/>
      <c r="C49" s="151" t="s">
        <v>253</v>
      </c>
      <c r="D49" s="188"/>
      <c r="E49" s="199"/>
      <c r="F49" s="306"/>
      <c r="G49" s="306"/>
      <c r="H49" s="201"/>
      <c r="I49" s="201"/>
      <c r="J49" s="201"/>
      <c r="K49" s="201"/>
      <c r="L49" s="201"/>
      <c r="M49" s="201"/>
      <c r="N49" s="149"/>
      <c r="O49" s="304"/>
      <c r="P49" s="304"/>
      <c r="Q49" s="304"/>
      <c r="R49" s="304"/>
      <c r="S49" s="304"/>
      <c r="T49" s="304"/>
      <c r="U49" s="304"/>
      <c r="V49" s="304"/>
      <c r="W49" s="304"/>
      <c r="X49" s="304"/>
    </row>
    <row r="50" spans="1:24" s="126" customFormat="1" ht="4.5" hidden="1" customHeight="1" outlineLevel="1" x14ac:dyDescent="0.25">
      <c r="A50" s="124"/>
      <c r="B50" s="148"/>
      <c r="C50" s="177"/>
      <c r="D50" s="188"/>
      <c r="E50" s="199"/>
      <c r="F50" s="306"/>
      <c r="G50" s="306"/>
      <c r="H50" s="201"/>
      <c r="I50" s="201"/>
      <c r="J50" s="201"/>
      <c r="K50" s="201"/>
      <c r="L50" s="201"/>
      <c r="M50" s="201"/>
      <c r="N50" s="149"/>
      <c r="O50" s="304"/>
      <c r="P50" s="304"/>
      <c r="Q50" s="304"/>
      <c r="R50" s="304"/>
      <c r="S50" s="304"/>
      <c r="T50" s="304"/>
      <c r="U50" s="304"/>
      <c r="V50" s="304"/>
      <c r="W50" s="304"/>
      <c r="X50" s="304"/>
    </row>
    <row r="51" spans="1:24" s="126" customFormat="1" hidden="1" outlineLevel="1" x14ac:dyDescent="0.25">
      <c r="A51" s="124"/>
      <c r="B51" s="148"/>
      <c r="C51" s="307"/>
      <c r="D51" s="282"/>
      <c r="E51" s="218" t="s">
        <v>164</v>
      </c>
      <c r="F51" s="219">
        <v>2007</v>
      </c>
      <c r="G51" s="213">
        <v>2010</v>
      </c>
      <c r="H51" s="213">
        <v>2015</v>
      </c>
      <c r="I51" s="213">
        <v>2020</v>
      </c>
      <c r="J51" s="213">
        <v>2025</v>
      </c>
      <c r="K51" s="213">
        <v>2030</v>
      </c>
      <c r="L51" s="213">
        <v>2035</v>
      </c>
      <c r="M51" s="213">
        <v>2040</v>
      </c>
      <c r="N51" s="149"/>
      <c r="O51" s="308"/>
      <c r="P51" s="308"/>
      <c r="Q51" s="308"/>
      <c r="R51" s="308"/>
      <c r="S51" s="308"/>
      <c r="T51" s="308"/>
      <c r="U51" s="308"/>
      <c r="V51" s="308"/>
      <c r="W51" s="308"/>
      <c r="X51" s="308"/>
    </row>
    <row r="52" spans="1:24" s="126" customFormat="1" hidden="1" outlineLevel="1" x14ac:dyDescent="0.25">
      <c r="A52" s="124"/>
      <c r="B52" s="148"/>
      <c r="C52" s="215" t="s">
        <v>165</v>
      </c>
      <c r="D52" s="282"/>
      <c r="E52" s="309">
        <v>0</v>
      </c>
      <c r="F52" s="310">
        <v>950.7</v>
      </c>
      <c r="G52" s="310">
        <v>950.7</v>
      </c>
      <c r="H52" s="310">
        <v>950.7</v>
      </c>
      <c r="I52" s="310">
        <v>950.7</v>
      </c>
      <c r="J52" s="310">
        <v>950.7</v>
      </c>
      <c r="K52" s="310">
        <v>950.7</v>
      </c>
      <c r="L52" s="310">
        <v>950.7</v>
      </c>
      <c r="M52" s="310">
        <v>950.7</v>
      </c>
      <c r="N52" s="149"/>
      <c r="O52" s="308"/>
      <c r="P52" s="308"/>
      <c r="Q52" s="308"/>
      <c r="R52" s="308"/>
      <c r="S52" s="308"/>
      <c r="T52" s="308"/>
      <c r="U52" s="308"/>
      <c r="V52" s="308"/>
      <c r="W52" s="308"/>
      <c r="X52" s="308"/>
    </row>
    <row r="53" spans="1:24" s="126" customFormat="1" hidden="1" outlineLevel="1" x14ac:dyDescent="0.25">
      <c r="A53" s="124"/>
      <c r="B53" s="148"/>
      <c r="C53" s="204" t="s">
        <v>166</v>
      </c>
      <c r="D53" s="188"/>
      <c r="E53" s="311">
        <v>0</v>
      </c>
      <c r="F53" s="306">
        <v>103.61620557455188</v>
      </c>
      <c r="G53" s="306">
        <v>103.61620557455188</v>
      </c>
      <c r="H53" s="306">
        <v>103.61620557455188</v>
      </c>
      <c r="I53" s="306">
        <v>103.61620557455188</v>
      </c>
      <c r="J53" s="306">
        <v>103.61620557455188</v>
      </c>
      <c r="K53" s="306">
        <v>103.61620557455188</v>
      </c>
      <c r="L53" s="306">
        <v>103.61620557455188</v>
      </c>
      <c r="M53" s="306">
        <v>103.61620557455188</v>
      </c>
      <c r="N53" s="149"/>
      <c r="O53" s="308"/>
      <c r="P53" s="308"/>
      <c r="Q53" s="308"/>
      <c r="R53" s="308"/>
      <c r="S53" s="308"/>
      <c r="T53" s="308"/>
      <c r="U53" s="308"/>
      <c r="V53" s="308"/>
      <c r="W53" s="308"/>
      <c r="X53" s="308"/>
    </row>
    <row r="54" spans="1:24" s="126" customFormat="1" hidden="1" outlineLevel="1" x14ac:dyDescent="0.25">
      <c r="A54" s="124"/>
      <c r="B54" s="148"/>
      <c r="C54" s="206" t="s">
        <v>167</v>
      </c>
      <c r="D54" s="207"/>
      <c r="E54" s="312">
        <v>0</v>
      </c>
      <c r="F54" s="313">
        <v>103.60000000000001</v>
      </c>
      <c r="G54" s="313">
        <v>103.60000000000001</v>
      </c>
      <c r="H54" s="313">
        <v>103.60000000000001</v>
      </c>
      <c r="I54" s="313">
        <v>103.60000000000001</v>
      </c>
      <c r="J54" s="313">
        <v>103.60000000000001</v>
      </c>
      <c r="K54" s="313">
        <v>103.60000000000001</v>
      </c>
      <c r="L54" s="313">
        <v>103.60000000000001</v>
      </c>
      <c r="M54" s="313">
        <v>103.60000000000001</v>
      </c>
      <c r="N54" s="149"/>
      <c r="O54" s="308"/>
      <c r="P54" s="308"/>
      <c r="Q54" s="308"/>
      <c r="R54" s="308"/>
      <c r="S54" s="308"/>
      <c r="T54" s="308"/>
      <c r="U54" s="308"/>
      <c r="V54" s="308"/>
      <c r="W54" s="308"/>
      <c r="X54" s="308"/>
    </row>
    <row r="55" spans="1:24" s="126" customFormat="1" hidden="1" outlineLevel="1" x14ac:dyDescent="0.25">
      <c r="A55" s="124"/>
      <c r="B55" s="148"/>
      <c r="C55" s="177"/>
      <c r="D55" s="188"/>
      <c r="E55" s="199"/>
      <c r="F55" s="306"/>
      <c r="G55" s="306"/>
      <c r="H55" s="201"/>
      <c r="I55" s="201"/>
      <c r="J55" s="201"/>
      <c r="K55" s="201"/>
      <c r="L55" s="201"/>
      <c r="M55" s="201"/>
      <c r="N55" s="149"/>
      <c r="O55" s="308"/>
      <c r="P55" s="308"/>
      <c r="Q55" s="308"/>
      <c r="R55" s="308"/>
      <c r="S55" s="308"/>
      <c r="T55" s="308"/>
      <c r="U55" s="308"/>
      <c r="V55" s="308"/>
      <c r="W55" s="308"/>
      <c r="X55" s="308"/>
    </row>
    <row r="56" spans="1:24" hidden="1" outlineLevel="1" x14ac:dyDescent="0.25">
      <c r="B56" s="148"/>
      <c r="C56" s="151" t="s">
        <v>254</v>
      </c>
      <c r="D56" s="188"/>
      <c r="E56" s="199"/>
      <c r="F56" s="306"/>
      <c r="G56" s="306"/>
      <c r="H56" s="201"/>
      <c r="I56" s="201"/>
      <c r="J56" s="201"/>
      <c r="K56" s="201"/>
      <c r="L56" s="201"/>
      <c r="M56" s="201"/>
      <c r="N56" s="149"/>
      <c r="O56" s="308"/>
      <c r="P56" s="308"/>
      <c r="Q56" s="308"/>
      <c r="R56" s="308"/>
      <c r="S56" s="308"/>
      <c r="T56" s="308"/>
      <c r="U56" s="308"/>
      <c r="V56" s="308"/>
      <c r="W56" s="308"/>
      <c r="X56" s="308"/>
    </row>
    <row r="57" spans="1:24" ht="4.5" hidden="1" customHeight="1" outlineLevel="1" x14ac:dyDescent="0.25">
      <c r="B57" s="148"/>
      <c r="C57" s="177"/>
      <c r="D57" s="188"/>
      <c r="E57" s="199"/>
      <c r="F57" s="306"/>
      <c r="G57" s="306"/>
      <c r="H57" s="201"/>
      <c r="I57" s="201"/>
      <c r="J57" s="201"/>
      <c r="K57" s="201"/>
      <c r="L57" s="201"/>
      <c r="M57" s="201"/>
      <c r="N57" s="149"/>
      <c r="O57" s="308"/>
      <c r="P57" s="308"/>
      <c r="Q57" s="308"/>
      <c r="R57" s="308"/>
      <c r="S57" s="308"/>
      <c r="T57" s="308"/>
      <c r="U57" s="308"/>
      <c r="V57" s="308"/>
      <c r="W57" s="308"/>
      <c r="X57" s="308"/>
    </row>
    <row r="58" spans="1:24" hidden="1" outlineLevel="1" x14ac:dyDescent="0.25">
      <c r="B58" s="148"/>
      <c r="C58" s="307"/>
      <c r="D58" s="282"/>
      <c r="E58" s="218" t="s">
        <v>164</v>
      </c>
      <c r="F58" s="219">
        <v>2007</v>
      </c>
      <c r="G58" s="213">
        <v>2010</v>
      </c>
      <c r="H58" s="213">
        <v>2015</v>
      </c>
      <c r="I58" s="213">
        <v>2020</v>
      </c>
      <c r="J58" s="213">
        <v>2025</v>
      </c>
      <c r="K58" s="213">
        <v>2030</v>
      </c>
      <c r="L58" s="213">
        <v>2035</v>
      </c>
      <c r="M58" s="213">
        <v>2040</v>
      </c>
      <c r="N58" s="149"/>
      <c r="O58" s="308"/>
      <c r="P58" s="308"/>
      <c r="Q58" s="308"/>
      <c r="R58" s="308"/>
      <c r="S58" s="308"/>
      <c r="T58" s="308"/>
      <c r="U58" s="308"/>
      <c r="V58" s="308"/>
      <c r="W58" s="308"/>
      <c r="X58" s="308"/>
    </row>
    <row r="59" spans="1:24" hidden="1" outlineLevel="1" x14ac:dyDescent="0.25">
      <c r="B59" s="148"/>
      <c r="C59" s="215" t="s">
        <v>165</v>
      </c>
      <c r="D59" s="282"/>
      <c r="E59" s="309">
        <v>0</v>
      </c>
      <c r="F59" s="310">
        <v>18.8</v>
      </c>
      <c r="G59" s="310">
        <v>18.8</v>
      </c>
      <c r="H59" s="310">
        <v>18.8</v>
      </c>
      <c r="I59" s="310">
        <v>18.8</v>
      </c>
      <c r="J59" s="310">
        <v>18.8</v>
      </c>
      <c r="K59" s="310">
        <v>18.8</v>
      </c>
      <c r="L59" s="310">
        <v>18.8</v>
      </c>
      <c r="M59" s="310">
        <v>18.8</v>
      </c>
      <c r="N59" s="149"/>
      <c r="O59" s="308"/>
      <c r="P59" s="308"/>
      <c r="Q59" s="308"/>
      <c r="R59" s="308"/>
      <c r="S59" s="308"/>
      <c r="T59" s="308"/>
      <c r="U59" s="308"/>
      <c r="V59" s="308"/>
      <c r="W59" s="308"/>
      <c r="X59" s="308"/>
    </row>
    <row r="60" spans="1:24" s="232" customFormat="1" hidden="1" outlineLevel="1" x14ac:dyDescent="0.25">
      <c r="B60" s="148"/>
      <c r="C60" s="204" t="s">
        <v>166</v>
      </c>
      <c r="D60" s="188"/>
      <c r="E60" s="311">
        <v>0</v>
      </c>
      <c r="F60" s="306">
        <v>10.361620557455186</v>
      </c>
      <c r="G60" s="306">
        <v>10.361620557455186</v>
      </c>
      <c r="H60" s="306">
        <v>10.361620557455186</v>
      </c>
      <c r="I60" s="306">
        <v>10.361620557455186</v>
      </c>
      <c r="J60" s="306">
        <v>10.361620557455186</v>
      </c>
      <c r="K60" s="306">
        <v>10.361620557455186</v>
      </c>
      <c r="L60" s="306">
        <v>10.361620557455186</v>
      </c>
      <c r="M60" s="306">
        <v>10.361620557455186</v>
      </c>
      <c r="N60" s="149"/>
      <c r="O60" s="308"/>
      <c r="P60" s="308"/>
      <c r="Q60" s="308"/>
      <c r="R60" s="308"/>
      <c r="S60" s="308"/>
      <c r="T60" s="308"/>
      <c r="U60" s="308"/>
      <c r="V60" s="308"/>
      <c r="W60" s="308"/>
      <c r="X60" s="308"/>
    </row>
    <row r="61" spans="1:24" s="232" customFormat="1" ht="14.25" hidden="1" customHeight="1" outlineLevel="1" x14ac:dyDescent="0.25">
      <c r="B61" s="148"/>
      <c r="C61" s="206" t="s">
        <v>167</v>
      </c>
      <c r="D61" s="207"/>
      <c r="E61" s="312">
        <v>0</v>
      </c>
      <c r="F61" s="313">
        <v>1</v>
      </c>
      <c r="G61" s="313">
        <v>1</v>
      </c>
      <c r="H61" s="313">
        <v>1</v>
      </c>
      <c r="I61" s="313">
        <v>1</v>
      </c>
      <c r="J61" s="313">
        <v>1</v>
      </c>
      <c r="K61" s="313">
        <v>1</v>
      </c>
      <c r="L61" s="313">
        <v>1</v>
      </c>
      <c r="M61" s="313">
        <v>1</v>
      </c>
      <c r="N61" s="149"/>
      <c r="O61" s="308"/>
      <c r="P61" s="308"/>
      <c r="Q61" s="308"/>
      <c r="R61" s="308"/>
      <c r="S61" s="308"/>
      <c r="T61" s="308"/>
      <c r="U61" s="308"/>
      <c r="V61" s="308"/>
      <c r="W61" s="308"/>
      <c r="X61" s="308"/>
    </row>
    <row r="62" spans="1:24" ht="15.75" hidden="1" customHeight="1" outlineLevel="1" x14ac:dyDescent="0.25">
      <c r="B62" s="198"/>
      <c r="C62" s="198"/>
      <c r="D62" s="149"/>
      <c r="E62" s="201"/>
      <c r="F62" s="149"/>
      <c r="G62" s="149"/>
      <c r="H62" s="149"/>
      <c r="I62" s="149"/>
      <c r="J62" s="314"/>
      <c r="K62" s="314"/>
      <c r="L62" s="198"/>
      <c r="M62" s="198"/>
      <c r="N62" s="198"/>
      <c r="O62" s="308"/>
      <c r="P62" s="308"/>
      <c r="Q62" s="308"/>
      <c r="R62" s="308"/>
      <c r="S62" s="308"/>
      <c r="T62" s="308"/>
      <c r="U62" s="308"/>
      <c r="V62" s="308"/>
      <c r="W62" s="308"/>
      <c r="X62" s="308"/>
    </row>
    <row r="63" spans="1:24" collapsed="1" x14ac:dyDescent="0.25">
      <c r="B63" s="315"/>
      <c r="C63" s="281"/>
      <c r="D63" s="281"/>
      <c r="E63" s="281"/>
      <c r="F63" s="281"/>
      <c r="G63" s="281"/>
      <c r="H63" s="281"/>
      <c r="I63" s="281"/>
      <c r="J63" s="281"/>
      <c r="K63" s="281"/>
      <c r="L63" s="281"/>
      <c r="M63" s="281"/>
      <c r="N63" s="316"/>
    </row>
    <row r="64" spans="1:24" ht="15.75" x14ac:dyDescent="0.25">
      <c r="B64" s="145" t="s">
        <v>168</v>
      </c>
      <c r="C64" s="146"/>
      <c r="D64" s="146"/>
      <c r="E64" s="146"/>
      <c r="F64" s="146"/>
      <c r="G64" s="146"/>
      <c r="H64" s="146"/>
      <c r="I64" s="146"/>
      <c r="J64" s="146"/>
      <c r="K64" s="146"/>
      <c r="L64" s="146"/>
      <c r="M64" s="146"/>
      <c r="N64" s="147"/>
    </row>
    <row r="65" spans="2:24" s="126" customFormat="1" ht="5.25" customHeight="1" x14ac:dyDescent="0.25">
      <c r="B65" s="148"/>
      <c r="C65" s="149"/>
      <c r="D65" s="149"/>
      <c r="E65" s="149"/>
      <c r="F65" s="149"/>
      <c r="G65" s="149"/>
      <c r="H65" s="149"/>
      <c r="I65" s="149"/>
      <c r="J65" s="149"/>
      <c r="K65" s="149"/>
      <c r="L65" s="149"/>
      <c r="M65" s="149"/>
      <c r="N65" s="153"/>
    </row>
    <row r="66" spans="2:24" x14ac:dyDescent="0.25">
      <c r="B66" s="148"/>
      <c r="C66" s="151" t="s">
        <v>169</v>
      </c>
      <c r="D66" s="149"/>
      <c r="E66" s="152"/>
      <c r="F66" s="149"/>
      <c r="G66" s="149"/>
      <c r="H66" s="149"/>
      <c r="I66" s="149"/>
      <c r="J66" s="149"/>
      <c r="K66" s="149"/>
      <c r="L66" s="149"/>
      <c r="M66" s="152" t="s">
        <v>152</v>
      </c>
      <c r="N66" s="153"/>
    </row>
    <row r="67" spans="2:24" ht="4.5" customHeight="1" x14ac:dyDescent="0.25">
      <c r="B67" s="148"/>
      <c r="C67" s="149"/>
      <c r="D67" s="149"/>
      <c r="E67" s="149"/>
      <c r="F67" s="149"/>
      <c r="G67" s="149"/>
      <c r="H67" s="149"/>
      <c r="I67" s="149"/>
      <c r="J67" s="149"/>
      <c r="K67" s="149"/>
      <c r="L67" s="149"/>
      <c r="M67" s="149"/>
      <c r="N67" s="153"/>
    </row>
    <row r="68" spans="2:24" ht="15.75" x14ac:dyDescent="0.25">
      <c r="B68" s="173"/>
      <c r="C68" s="154" t="s">
        <v>155</v>
      </c>
      <c r="D68" s="154" t="s">
        <v>156</v>
      </c>
      <c r="E68" s="154" t="s">
        <v>8</v>
      </c>
      <c r="F68" s="155">
        <v>2015</v>
      </c>
      <c r="G68" s="156">
        <v>2020</v>
      </c>
      <c r="H68" s="155">
        <v>2025</v>
      </c>
      <c r="I68" s="155">
        <v>2030</v>
      </c>
      <c r="J68" s="155">
        <v>2035</v>
      </c>
      <c r="K68" s="155">
        <v>2040</v>
      </c>
      <c r="L68" s="155">
        <v>2045</v>
      </c>
      <c r="M68" s="155">
        <v>2050</v>
      </c>
      <c r="N68" s="153"/>
    </row>
    <row r="69" spans="2:24" ht="13.5" customHeight="1" x14ac:dyDescent="0.25">
      <c r="B69" s="214"/>
      <c r="C69" s="221" t="s">
        <v>249</v>
      </c>
      <c r="D69" s="222" t="s">
        <v>268</v>
      </c>
      <c r="E69" s="222"/>
      <c r="F69" s="317">
        <f t="shared" ref="F69:M69" si="2">F19</f>
        <v>3.96</v>
      </c>
      <c r="G69" s="318">
        <f t="shared" si="2"/>
        <v>4.0469999999999997</v>
      </c>
      <c r="H69" s="317">
        <f t="shared" si="2"/>
        <v>4.1339999999999995</v>
      </c>
      <c r="I69" s="317">
        <f t="shared" si="2"/>
        <v>4.2209999999999992</v>
      </c>
      <c r="J69" s="317">
        <f t="shared" si="2"/>
        <v>4.3079999999999989</v>
      </c>
      <c r="K69" s="317">
        <f t="shared" si="2"/>
        <v>4.3949999999999987</v>
      </c>
      <c r="L69" s="317">
        <f t="shared" si="2"/>
        <v>4.4819999999999984</v>
      </c>
      <c r="M69" s="317">
        <f t="shared" si="2"/>
        <v>4.5689999999999982</v>
      </c>
      <c r="N69" s="158"/>
      <c r="O69" s="281"/>
      <c r="P69" s="281"/>
      <c r="Q69" s="281"/>
      <c r="R69" s="281"/>
      <c r="S69" s="281"/>
      <c r="T69" s="281"/>
      <c r="U69" s="281"/>
      <c r="V69" s="281"/>
      <c r="W69" s="281"/>
      <c r="X69" s="281"/>
    </row>
    <row r="70" spans="2:24" x14ac:dyDescent="0.25">
      <c r="B70" s="319"/>
      <c r="C70" s="320"/>
      <c r="D70" s="321"/>
      <c r="E70" s="321"/>
      <c r="F70" s="322"/>
      <c r="G70" s="323"/>
      <c r="H70" s="323"/>
      <c r="I70" s="323"/>
      <c r="J70" s="323"/>
      <c r="K70" s="323"/>
      <c r="L70" s="323"/>
      <c r="M70" s="323"/>
      <c r="N70" s="303"/>
      <c r="O70" s="281"/>
      <c r="P70" s="281"/>
      <c r="Q70" s="281"/>
      <c r="R70" s="281"/>
      <c r="S70" s="281"/>
      <c r="T70" s="281"/>
      <c r="U70" s="281"/>
      <c r="V70" s="281"/>
      <c r="W70" s="281"/>
      <c r="X70" s="281"/>
    </row>
    <row r="71" spans="2:24" x14ac:dyDescent="0.25">
      <c r="O71" s="281"/>
      <c r="P71" s="281"/>
      <c r="Q71" s="281"/>
      <c r="R71" s="281"/>
      <c r="S71" s="281"/>
      <c r="T71" s="281"/>
      <c r="U71" s="281"/>
      <c r="V71" s="281"/>
      <c r="W71" s="281"/>
      <c r="X71" s="281"/>
    </row>
    <row r="72" spans="2:24" x14ac:dyDescent="0.25">
      <c r="B72" s="124" t="s">
        <v>247</v>
      </c>
      <c r="C72" s="223"/>
      <c r="F72" s="232">
        <v>2015</v>
      </c>
      <c r="G72" s="232">
        <v>2020</v>
      </c>
      <c r="H72" s="232">
        <v>2025</v>
      </c>
      <c r="I72" s="232">
        <v>2030</v>
      </c>
      <c r="J72" s="232">
        <v>2035</v>
      </c>
      <c r="K72" s="232">
        <v>2040</v>
      </c>
      <c r="L72" s="232">
        <v>2045</v>
      </c>
      <c r="M72" s="232">
        <v>2050</v>
      </c>
      <c r="O72" s="281"/>
      <c r="P72" s="281"/>
      <c r="Q72" s="281"/>
      <c r="R72" s="281"/>
      <c r="S72" s="281"/>
      <c r="T72" s="281"/>
      <c r="U72" s="281"/>
      <c r="V72" s="281"/>
      <c r="W72" s="281"/>
      <c r="X72" s="281"/>
    </row>
    <row r="73" spans="2:24" x14ac:dyDescent="0.25">
      <c r="C73" s="224" t="s">
        <v>169</v>
      </c>
      <c r="E73" s="124" t="s">
        <v>152</v>
      </c>
      <c r="F73" s="324">
        <f>F69</f>
        <v>3.96</v>
      </c>
      <c r="G73" s="324">
        <f t="shared" ref="G73:M73" si="3">G69</f>
        <v>4.0469999999999997</v>
      </c>
      <c r="H73" s="324">
        <f t="shared" si="3"/>
        <v>4.1339999999999995</v>
      </c>
      <c r="I73" s="324">
        <f t="shared" si="3"/>
        <v>4.2209999999999992</v>
      </c>
      <c r="J73" s="324">
        <f t="shared" si="3"/>
        <v>4.3079999999999989</v>
      </c>
      <c r="K73" s="324">
        <f t="shared" si="3"/>
        <v>4.3949999999999987</v>
      </c>
      <c r="L73" s="324">
        <f t="shared" si="3"/>
        <v>4.4819999999999984</v>
      </c>
      <c r="M73" s="324">
        <f t="shared" si="3"/>
        <v>4.5689999999999982</v>
      </c>
      <c r="O73" s="281"/>
      <c r="P73" s="281"/>
      <c r="Q73" s="281"/>
      <c r="R73" s="281"/>
      <c r="S73" s="281"/>
      <c r="T73" s="281"/>
      <c r="U73" s="281"/>
      <c r="V73" s="281"/>
      <c r="W73" s="281"/>
      <c r="X73" s="281"/>
    </row>
    <row r="74" spans="2:24" x14ac:dyDescent="0.25">
      <c r="B74" s="228" t="s">
        <v>232</v>
      </c>
      <c r="C74" s="124" t="s">
        <v>255</v>
      </c>
      <c r="F74" s="226">
        <f t="shared" ref="F74:M74" si="4">F33</f>
        <v>0.4</v>
      </c>
      <c r="G74" s="226">
        <f t="shared" si="4"/>
        <v>0.4</v>
      </c>
      <c r="H74" s="226">
        <f t="shared" si="4"/>
        <v>0.4</v>
      </c>
      <c r="I74" s="226">
        <f t="shared" si="4"/>
        <v>0.4</v>
      </c>
      <c r="J74" s="226">
        <f t="shared" si="4"/>
        <v>0.4</v>
      </c>
      <c r="K74" s="226">
        <f t="shared" si="4"/>
        <v>0.4</v>
      </c>
      <c r="L74" s="226">
        <f t="shared" si="4"/>
        <v>0.4</v>
      </c>
      <c r="M74" s="226">
        <f t="shared" si="4"/>
        <v>0.4</v>
      </c>
      <c r="O74" s="281"/>
      <c r="P74" s="281"/>
      <c r="Q74" s="281"/>
      <c r="R74" s="281"/>
      <c r="S74" s="281"/>
      <c r="T74" s="281"/>
      <c r="U74" s="281"/>
      <c r="V74" s="281"/>
      <c r="W74" s="281"/>
      <c r="X74" s="281"/>
    </row>
    <row r="75" spans="2:24" x14ac:dyDescent="0.25">
      <c r="B75" s="223" t="s">
        <v>234</v>
      </c>
      <c r="C75" s="224" t="s">
        <v>235</v>
      </c>
      <c r="F75" s="325">
        <f>F73*F74</f>
        <v>1.5840000000000001</v>
      </c>
      <c r="G75" s="325">
        <f t="shared" ref="G75:M75" si="5">G73*G74</f>
        <v>1.6188</v>
      </c>
      <c r="H75" s="325">
        <f t="shared" si="5"/>
        <v>1.6536</v>
      </c>
      <c r="I75" s="325">
        <f t="shared" si="5"/>
        <v>1.6883999999999997</v>
      </c>
      <c r="J75" s="325">
        <f t="shared" si="5"/>
        <v>1.7231999999999996</v>
      </c>
      <c r="K75" s="325">
        <f t="shared" si="5"/>
        <v>1.7579999999999996</v>
      </c>
      <c r="L75" s="325">
        <f t="shared" si="5"/>
        <v>1.7927999999999995</v>
      </c>
      <c r="M75" s="325">
        <f t="shared" si="5"/>
        <v>1.8275999999999994</v>
      </c>
      <c r="O75" s="281"/>
      <c r="P75" s="281"/>
      <c r="Q75" s="281"/>
      <c r="R75" s="281"/>
      <c r="S75" s="281"/>
      <c r="T75" s="281"/>
      <c r="U75" s="281"/>
      <c r="V75" s="281"/>
      <c r="W75" s="281"/>
      <c r="X75" s="281"/>
    </row>
    <row r="76" spans="2:24" x14ac:dyDescent="0.25">
      <c r="C76" s="224"/>
      <c r="F76" s="325"/>
      <c r="G76" s="325"/>
      <c r="H76" s="325"/>
      <c r="I76" s="325"/>
      <c r="J76" s="325"/>
      <c r="K76" s="325"/>
      <c r="L76" s="325"/>
      <c r="M76" s="325"/>
      <c r="O76" s="281"/>
      <c r="P76" s="281"/>
      <c r="Q76" s="281"/>
      <c r="R76" s="281"/>
      <c r="S76" s="281"/>
      <c r="T76" s="281"/>
      <c r="U76" s="281"/>
      <c r="V76" s="281"/>
      <c r="W76" s="281"/>
      <c r="X76" s="281"/>
    </row>
    <row r="77" spans="2:24" x14ac:dyDescent="0.25">
      <c r="C77" s="224" t="s">
        <v>236</v>
      </c>
      <c r="E77" s="124" t="s">
        <v>171</v>
      </c>
      <c r="F77" s="325">
        <f>F75*8.766</f>
        <v>13.885344</v>
      </c>
      <c r="G77" s="325">
        <f t="shared" ref="G77:L77" si="6">G75*8.766</f>
        <v>14.190400800000001</v>
      </c>
      <c r="H77" s="325">
        <f t="shared" si="6"/>
        <v>14.4954576</v>
      </c>
      <c r="I77" s="325">
        <f t="shared" si="6"/>
        <v>14.800514399999997</v>
      </c>
      <c r="J77" s="325">
        <f t="shared" si="6"/>
        <v>15.105571199999996</v>
      </c>
      <c r="K77" s="325">
        <f t="shared" si="6"/>
        <v>15.410627999999996</v>
      </c>
      <c r="L77" s="325">
        <f t="shared" si="6"/>
        <v>15.715684799999996</v>
      </c>
      <c r="M77" s="325">
        <f>M75*8.766</f>
        <v>16.020741599999994</v>
      </c>
      <c r="O77" s="281"/>
      <c r="P77" s="281"/>
      <c r="Q77" s="281"/>
      <c r="R77" s="281"/>
      <c r="S77" s="281"/>
      <c r="T77" s="281"/>
      <c r="U77" s="281"/>
      <c r="V77" s="281"/>
      <c r="W77" s="281"/>
      <c r="X77" s="281"/>
    </row>
    <row r="78" spans="2:24" x14ac:dyDescent="0.25">
      <c r="C78" s="224"/>
      <c r="F78" s="325"/>
      <c r="G78" s="325"/>
      <c r="H78" s="325"/>
      <c r="I78" s="325"/>
      <c r="J78" s="325"/>
      <c r="K78" s="325"/>
      <c r="L78" s="325"/>
      <c r="M78" s="325"/>
      <c r="O78" s="281"/>
      <c r="P78" s="281"/>
      <c r="Q78" s="281"/>
      <c r="R78" s="281"/>
      <c r="S78" s="281"/>
      <c r="T78" s="281"/>
      <c r="U78" s="281"/>
      <c r="V78" s="281"/>
      <c r="W78" s="281"/>
      <c r="X78" s="281"/>
    </row>
    <row r="79" spans="2:24" ht="15.75" x14ac:dyDescent="0.25">
      <c r="B79" s="128" t="s">
        <v>181</v>
      </c>
      <c r="C79" s="129"/>
      <c r="D79" s="129"/>
      <c r="E79" s="129"/>
      <c r="F79" s="129"/>
      <c r="G79" s="129"/>
      <c r="H79" s="129"/>
      <c r="I79" s="129"/>
      <c r="J79" s="129"/>
      <c r="K79" s="129"/>
      <c r="L79" s="129"/>
      <c r="M79" s="129"/>
      <c r="N79" s="130"/>
    </row>
    <row r="80" spans="2:24" x14ac:dyDescent="0.25">
      <c r="B80" s="131"/>
      <c r="C80" s="132"/>
      <c r="D80" s="132"/>
      <c r="E80" s="132"/>
      <c r="F80" s="132"/>
      <c r="G80" s="132"/>
      <c r="H80" s="132"/>
      <c r="I80" s="132"/>
      <c r="J80" s="132"/>
      <c r="K80" s="132"/>
      <c r="L80" s="132"/>
      <c r="M80" s="132"/>
      <c r="N80" s="133"/>
    </row>
    <row r="81" spans="2:24" x14ac:dyDescent="0.25">
      <c r="B81" s="131"/>
      <c r="C81" s="141" t="s">
        <v>241</v>
      </c>
      <c r="D81" s="132"/>
      <c r="E81" s="142"/>
      <c r="F81" s="132"/>
      <c r="G81" s="142"/>
      <c r="H81" s="132"/>
      <c r="I81" s="132"/>
      <c r="J81" s="132"/>
      <c r="K81" s="132"/>
      <c r="L81" s="132"/>
      <c r="M81" s="142" t="s">
        <v>171</v>
      </c>
      <c r="N81" s="133"/>
    </row>
    <row r="82" spans="2:24" x14ac:dyDescent="0.25">
      <c r="B82" s="131"/>
      <c r="C82" s="132"/>
      <c r="D82" s="132"/>
      <c r="E82" s="132"/>
      <c r="F82" s="132"/>
      <c r="G82" s="132"/>
      <c r="H82" s="132"/>
      <c r="I82" s="132"/>
      <c r="J82" s="132"/>
      <c r="K82" s="132"/>
      <c r="L82" s="132"/>
      <c r="M82" s="132"/>
      <c r="N82" s="133"/>
    </row>
    <row r="83" spans="2:24" ht="15.75" x14ac:dyDescent="0.25">
      <c r="B83" s="134"/>
      <c r="C83" s="327" t="s">
        <v>146</v>
      </c>
      <c r="D83" s="327" t="s">
        <v>242</v>
      </c>
      <c r="E83" s="327" t="s">
        <v>8</v>
      </c>
      <c r="F83" s="327" t="s">
        <v>16</v>
      </c>
      <c r="G83" s="327" t="s">
        <v>17</v>
      </c>
      <c r="H83" s="327" t="s">
        <v>18</v>
      </c>
      <c r="I83" s="327" t="s">
        <v>19</v>
      </c>
      <c r="J83" s="327" t="s">
        <v>20</v>
      </c>
      <c r="K83" s="327" t="s">
        <v>21</v>
      </c>
      <c r="L83" s="327" t="s">
        <v>22</v>
      </c>
      <c r="M83" s="327" t="s">
        <v>23</v>
      </c>
      <c r="N83" s="133"/>
    </row>
    <row r="84" spans="2:24" ht="15.75" x14ac:dyDescent="0.25">
      <c r="B84" s="134"/>
      <c r="C84" s="233" t="s">
        <v>150</v>
      </c>
      <c r="D84" s="233" t="s">
        <v>243</v>
      </c>
      <c r="E84" s="233"/>
      <c r="F84" s="328">
        <f t="shared" ref="F84:M84" si="7">F77</f>
        <v>13.885344</v>
      </c>
      <c r="G84" s="328">
        <f t="shared" si="7"/>
        <v>14.190400800000001</v>
      </c>
      <c r="H84" s="328">
        <f t="shared" si="7"/>
        <v>14.4954576</v>
      </c>
      <c r="I84" s="328">
        <f t="shared" si="7"/>
        <v>14.800514399999997</v>
      </c>
      <c r="J84" s="328">
        <f t="shared" si="7"/>
        <v>15.105571199999996</v>
      </c>
      <c r="K84" s="328">
        <f t="shared" si="7"/>
        <v>15.410627999999996</v>
      </c>
      <c r="L84" s="328">
        <f t="shared" si="7"/>
        <v>15.715684799999996</v>
      </c>
      <c r="M84" s="328">
        <f t="shared" si="7"/>
        <v>16.020741599999994</v>
      </c>
      <c r="N84" s="133"/>
    </row>
    <row r="85" spans="2:24" ht="15.75" x14ac:dyDescent="0.25">
      <c r="B85" s="134"/>
      <c r="C85" s="233" t="s">
        <v>249</v>
      </c>
      <c r="D85" s="233" t="s">
        <v>268</v>
      </c>
      <c r="E85" s="233"/>
      <c r="F85" s="328">
        <f t="shared" ref="F85:M85" si="8">-F77</f>
        <v>-13.885344</v>
      </c>
      <c r="G85" s="328">
        <f t="shared" si="8"/>
        <v>-14.190400800000001</v>
      </c>
      <c r="H85" s="328">
        <f t="shared" si="8"/>
        <v>-14.4954576</v>
      </c>
      <c r="I85" s="328">
        <f t="shared" si="8"/>
        <v>-14.800514399999997</v>
      </c>
      <c r="J85" s="328">
        <f t="shared" si="8"/>
        <v>-15.105571199999996</v>
      </c>
      <c r="K85" s="328">
        <f t="shared" si="8"/>
        <v>-15.410627999999996</v>
      </c>
      <c r="L85" s="328">
        <f t="shared" si="8"/>
        <v>-15.715684799999996</v>
      </c>
      <c r="M85" s="328">
        <f t="shared" si="8"/>
        <v>-16.020741599999994</v>
      </c>
      <c r="N85" s="133"/>
    </row>
    <row r="86" spans="2:24" ht="15.75" x14ac:dyDescent="0.25">
      <c r="B86" s="134"/>
      <c r="C86" s="1938" t="s">
        <v>118</v>
      </c>
      <c r="D86" s="1938"/>
      <c r="E86" s="1938"/>
      <c r="F86" s="1950">
        <f>SUBTOTAL(109,III.b.3.Outputs[2015])</f>
        <v>0</v>
      </c>
      <c r="G86" s="1950">
        <f>SUBTOTAL(109,III.b.3.Outputs[2020])</f>
        <v>0</v>
      </c>
      <c r="H86" s="1950">
        <f>SUBTOTAL(109,III.b.3.Outputs[2025])</f>
        <v>0</v>
      </c>
      <c r="I86" s="1950">
        <f>SUBTOTAL(109,III.b.3.Outputs[2030])</f>
        <v>0</v>
      </c>
      <c r="J86" s="1950">
        <f>SUBTOTAL(109,III.b.3.Outputs[2035])</f>
        <v>0</v>
      </c>
      <c r="K86" s="1950">
        <f>SUBTOTAL(109,III.b.3.Outputs[2040])</f>
        <v>0</v>
      </c>
      <c r="L86" s="1950">
        <f>SUBTOTAL(109,III.b.3.Outputs[2045])</f>
        <v>0</v>
      </c>
      <c r="M86" s="1950">
        <f>SUBTOTAL(109,III.b.3.Outputs[2050])</f>
        <v>0</v>
      </c>
      <c r="N86" s="133"/>
    </row>
    <row r="87" spans="2:24" ht="15.75" x14ac:dyDescent="0.25">
      <c r="B87" s="137"/>
      <c r="C87" s="233"/>
      <c r="D87" s="233"/>
      <c r="E87" s="233"/>
      <c r="F87" s="329"/>
      <c r="G87" s="329"/>
      <c r="H87" s="329"/>
      <c r="I87" s="329"/>
      <c r="J87" s="329"/>
      <c r="K87" s="329"/>
      <c r="L87" s="329"/>
      <c r="M87" s="329"/>
      <c r="N87" s="140"/>
      <c r="O87" s="231"/>
      <c r="P87" s="231"/>
      <c r="Q87" s="231"/>
      <c r="R87" s="231"/>
      <c r="S87" s="231"/>
      <c r="T87" s="231"/>
      <c r="U87" s="231"/>
      <c r="V87" s="231"/>
      <c r="W87" s="231"/>
      <c r="X87" s="231"/>
    </row>
    <row r="88" spans="2:24" x14ac:dyDescent="0.25">
      <c r="O88" s="231"/>
      <c r="P88" s="231"/>
      <c r="Q88" s="231"/>
      <c r="R88" s="231"/>
      <c r="S88" s="231"/>
      <c r="T88" s="231"/>
      <c r="U88" s="231"/>
      <c r="V88" s="231"/>
      <c r="W88" s="231"/>
      <c r="X88" s="231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O110"/>
  <sheetViews>
    <sheetView topLeftCell="A25" zoomScaleNormal="100" workbookViewId="0">
      <selection activeCell="G31" sqref="G31"/>
    </sheetView>
  </sheetViews>
  <sheetFormatPr baseColWidth="10" defaultColWidth="8.85546875" defaultRowHeight="12.75" x14ac:dyDescent="0.2"/>
  <cols>
    <col min="1" max="1" width="7.7109375" customWidth="1"/>
    <col min="2" max="2" width="5.85546875" customWidth="1"/>
    <col min="3" max="3" width="20.42578125" customWidth="1"/>
    <col min="4" max="4" width="42.28515625" customWidth="1"/>
    <col min="5" max="5" width="20.7109375" customWidth="1"/>
    <col min="6" max="15" width="17.7109375" customWidth="1"/>
    <col min="16" max="18" width="2" customWidth="1"/>
    <col min="19" max="19" width="10.85546875" customWidth="1"/>
  </cols>
  <sheetData>
    <row r="1" spans="1:14" ht="20.25" x14ac:dyDescent="0.3">
      <c r="A1" s="349" t="s">
        <v>206</v>
      </c>
      <c r="B1" s="349" t="s">
        <v>207</v>
      </c>
      <c r="C1" s="349"/>
    </row>
    <row r="2" spans="1:14" s="14" customFormat="1" ht="19.5" customHeight="1" x14ac:dyDescent="0.2">
      <c r="A2" s="350" t="s">
        <v>58</v>
      </c>
      <c r="B2" s="350" t="str">
        <f>INDEX(Modulos[Modulos], MATCH($A2, Modulos[Código], 0))</f>
        <v>Mareomotriz y Undimotriz</v>
      </c>
      <c r="C2" s="350"/>
      <c r="E2" s="351"/>
    </row>
    <row r="4" spans="1:14" ht="23.25" collapsed="1" x14ac:dyDescent="0.35">
      <c r="A4" s="352"/>
      <c r="B4" s="353" t="s">
        <v>144</v>
      </c>
      <c r="C4" s="354"/>
      <c r="D4" s="355"/>
      <c r="E4" s="356"/>
      <c r="F4" s="355"/>
      <c r="G4" s="355"/>
      <c r="H4" s="355"/>
      <c r="I4" s="355"/>
      <c r="J4" s="355"/>
      <c r="K4" s="355"/>
      <c r="L4" s="355"/>
      <c r="M4" s="355"/>
      <c r="N4" s="357"/>
    </row>
    <row r="5" spans="1:14" x14ac:dyDescent="0.2">
      <c r="B5" s="358"/>
      <c r="C5" s="359"/>
      <c r="D5" s="360"/>
      <c r="E5" s="361"/>
      <c r="F5" s="360"/>
      <c r="G5" s="360"/>
      <c r="H5" s="360"/>
      <c r="I5" s="360"/>
      <c r="J5" s="360"/>
      <c r="K5" s="360"/>
      <c r="L5" s="360"/>
      <c r="M5" s="360"/>
      <c r="N5" s="362"/>
    </row>
    <row r="6" spans="1:14" ht="15.75" x14ac:dyDescent="0.25">
      <c r="B6" s="363"/>
      <c r="C6" s="360"/>
      <c r="D6" s="364" t="s">
        <v>145</v>
      </c>
      <c r="E6" s="364" t="s">
        <v>3</v>
      </c>
      <c r="F6" s="360"/>
      <c r="G6" s="360"/>
      <c r="H6" s="360"/>
      <c r="I6" s="360"/>
      <c r="J6" s="360"/>
      <c r="K6" s="360"/>
      <c r="L6" s="360"/>
      <c r="M6" s="360"/>
      <c r="N6" s="362"/>
    </row>
    <row r="7" spans="1:14" ht="15.75" x14ac:dyDescent="0.25">
      <c r="B7" s="363"/>
      <c r="C7" s="360"/>
      <c r="D7" s="365" t="s">
        <v>275</v>
      </c>
      <c r="E7" s="365">
        <f>Control!F59</f>
        <v>1</v>
      </c>
      <c r="F7" s="360"/>
      <c r="G7" s="360"/>
      <c r="H7" s="360"/>
      <c r="I7" s="360"/>
      <c r="J7" s="360"/>
      <c r="K7" s="360"/>
      <c r="L7" s="360"/>
      <c r="M7" s="360"/>
      <c r="N7" s="362"/>
    </row>
    <row r="8" spans="1:14" ht="15.75" x14ac:dyDescent="0.25">
      <c r="B8" s="363"/>
      <c r="C8" s="360"/>
      <c r="D8" s="366" t="s">
        <v>276</v>
      </c>
      <c r="E8" s="366">
        <f>Control!F60</f>
        <v>1</v>
      </c>
      <c r="F8" s="360"/>
      <c r="G8" s="360"/>
      <c r="H8" s="360"/>
      <c r="I8" s="360"/>
      <c r="J8" s="360"/>
      <c r="K8" s="360"/>
      <c r="L8" s="360"/>
      <c r="M8" s="360"/>
      <c r="N8" s="362"/>
    </row>
    <row r="9" spans="1:14" ht="15.75" x14ac:dyDescent="0.25">
      <c r="B9" s="367"/>
      <c r="C9" s="368"/>
      <c r="D9" s="368"/>
      <c r="E9" s="368"/>
      <c r="F9" s="369"/>
      <c r="G9" s="369"/>
      <c r="H9" s="369"/>
      <c r="I9" s="369"/>
      <c r="J9" s="369"/>
      <c r="K9" s="369"/>
      <c r="L9" s="369"/>
      <c r="M9" s="369"/>
      <c r="N9" s="370"/>
    </row>
    <row r="11" spans="1:14" ht="23.25" collapsed="1" x14ac:dyDescent="0.35">
      <c r="A11" s="352"/>
      <c r="B11" s="371" t="s">
        <v>151</v>
      </c>
      <c r="C11" s="372"/>
      <c r="D11" s="372"/>
      <c r="E11" s="372"/>
      <c r="F11" s="372"/>
      <c r="G11" s="372"/>
      <c r="H11" s="372"/>
      <c r="I11" s="372"/>
      <c r="J11" s="372"/>
      <c r="K11" s="372"/>
      <c r="L11" s="372"/>
      <c r="M11" s="372"/>
      <c r="N11" s="373"/>
    </row>
    <row r="12" spans="1:14" x14ac:dyDescent="0.2">
      <c r="B12" s="374"/>
      <c r="C12" s="375"/>
      <c r="D12" s="375"/>
      <c r="E12" s="375"/>
      <c r="F12" s="375"/>
      <c r="G12" s="375"/>
      <c r="H12" s="375"/>
      <c r="I12" s="375"/>
      <c r="J12" s="375"/>
      <c r="K12" s="375"/>
      <c r="L12" s="375"/>
      <c r="M12" s="375"/>
      <c r="N12" s="376"/>
    </row>
    <row r="13" spans="1:14" x14ac:dyDescent="0.2">
      <c r="B13" s="374"/>
      <c r="C13" s="377" t="s">
        <v>277</v>
      </c>
      <c r="D13" s="375"/>
      <c r="E13" s="378"/>
      <c r="F13" s="375"/>
      <c r="G13" s="375"/>
      <c r="H13" s="375"/>
      <c r="I13" s="375"/>
      <c r="J13" s="375"/>
      <c r="K13" s="375"/>
      <c r="L13" s="375"/>
      <c r="M13" s="378" t="s">
        <v>152</v>
      </c>
      <c r="N13" s="376"/>
    </row>
    <row r="14" spans="1:14" ht="5.25" customHeight="1" x14ac:dyDescent="0.2">
      <c r="B14" s="374"/>
      <c r="C14" s="375"/>
      <c r="D14" s="375"/>
      <c r="E14" s="375"/>
      <c r="F14" s="375"/>
      <c r="G14" s="375"/>
      <c r="H14" s="375"/>
      <c r="I14" s="375"/>
      <c r="J14" s="375"/>
      <c r="K14" s="375"/>
      <c r="L14" s="375"/>
      <c r="M14" s="375"/>
      <c r="N14" s="376"/>
    </row>
    <row r="15" spans="1:14" ht="15.75" x14ac:dyDescent="0.25">
      <c r="B15" s="379"/>
      <c r="C15" s="380" t="s">
        <v>3</v>
      </c>
      <c r="D15" s="380" t="s">
        <v>7</v>
      </c>
      <c r="E15" s="380" t="s">
        <v>8</v>
      </c>
      <c r="F15" s="381">
        <v>2015</v>
      </c>
      <c r="G15" s="382">
        <v>2020</v>
      </c>
      <c r="H15" s="381">
        <v>2025</v>
      </c>
      <c r="I15" s="381">
        <v>2030</v>
      </c>
      <c r="J15" s="381">
        <v>2035</v>
      </c>
      <c r="K15" s="381">
        <v>2040</v>
      </c>
      <c r="L15" s="381">
        <v>2045</v>
      </c>
      <c r="M15" s="381">
        <v>2050</v>
      </c>
      <c r="N15" s="376"/>
    </row>
    <row r="16" spans="1:14" ht="15.75" x14ac:dyDescent="0.2">
      <c r="B16" s="383"/>
      <c r="C16" s="384">
        <v>1</v>
      </c>
      <c r="D16" s="385" t="s">
        <v>278</v>
      </c>
      <c r="E16" s="386" t="s">
        <v>12</v>
      </c>
      <c r="F16" s="387">
        <v>0</v>
      </c>
      <c r="G16" s="388">
        <v>0</v>
      </c>
      <c r="H16" s="387">
        <v>4.0000000000000001E-3</v>
      </c>
      <c r="I16" s="387">
        <v>5.2500000000000003E-3</v>
      </c>
      <c r="J16" s="387">
        <v>7.8750000000000001E-3</v>
      </c>
      <c r="K16" s="387">
        <v>1.0440000000000001E-2</v>
      </c>
      <c r="L16" s="387">
        <v>1.8270000000000002E-2</v>
      </c>
      <c r="M16" s="387">
        <v>3.6540000000000003E-2</v>
      </c>
      <c r="N16" s="389"/>
    </row>
    <row r="17" spans="2:15" ht="15.75" x14ac:dyDescent="0.25">
      <c r="B17" s="379"/>
      <c r="C17" s="384">
        <v>2</v>
      </c>
      <c r="D17" s="385" t="s">
        <v>279</v>
      </c>
      <c r="E17" s="390" t="s">
        <v>12</v>
      </c>
      <c r="F17" s="387">
        <v>0</v>
      </c>
      <c r="G17" s="391">
        <v>0</v>
      </c>
      <c r="H17" s="392">
        <v>5.6000000000000008E-3</v>
      </c>
      <c r="I17" s="392">
        <v>7.4999999999999997E-3</v>
      </c>
      <c r="J17" s="392">
        <v>2.6249999999999999E-2</v>
      </c>
      <c r="K17" s="392">
        <v>0.08</v>
      </c>
      <c r="L17" s="392">
        <v>0.14000000000000001</v>
      </c>
      <c r="M17" s="392">
        <v>0.21</v>
      </c>
      <c r="N17" s="376"/>
    </row>
    <row r="18" spans="2:15" ht="15.75" x14ac:dyDescent="0.25">
      <c r="B18" s="379"/>
      <c r="C18" s="384">
        <v>3</v>
      </c>
      <c r="D18" s="385" t="s">
        <v>280</v>
      </c>
      <c r="E18" s="390" t="s">
        <v>12</v>
      </c>
      <c r="F18" s="387">
        <v>0</v>
      </c>
      <c r="G18" s="391">
        <v>0</v>
      </c>
      <c r="H18" s="392">
        <v>8.0000000000000002E-3</v>
      </c>
      <c r="I18" s="392">
        <v>1.9575000000000002E-2</v>
      </c>
      <c r="J18" s="392">
        <v>0.11542500000000001</v>
      </c>
      <c r="K18" s="392">
        <v>0.18852000000000002</v>
      </c>
      <c r="L18" s="392">
        <v>0.32990999999999998</v>
      </c>
      <c r="M18" s="392">
        <v>0.494865</v>
      </c>
      <c r="N18" s="376"/>
    </row>
    <row r="19" spans="2:15" ht="15.75" x14ac:dyDescent="0.25">
      <c r="B19" s="379"/>
      <c r="C19" s="393">
        <v>4</v>
      </c>
      <c r="D19" s="394" t="s">
        <v>281</v>
      </c>
      <c r="E19" s="395" t="s">
        <v>12</v>
      </c>
      <c r="F19" s="396">
        <v>0</v>
      </c>
      <c r="G19" s="397">
        <v>0</v>
      </c>
      <c r="H19" s="398">
        <v>1.2E-2</v>
      </c>
      <c r="I19" s="398">
        <v>3.7499999999999999E-2</v>
      </c>
      <c r="J19" s="398">
        <v>0.1875</v>
      </c>
      <c r="K19" s="398">
        <v>0.28400000000000003</v>
      </c>
      <c r="L19" s="398">
        <v>0.57840999999999998</v>
      </c>
      <c r="M19" s="398">
        <v>0.90831999999999979</v>
      </c>
      <c r="N19" s="376"/>
      <c r="O19" s="1325"/>
    </row>
    <row r="20" spans="2:15" ht="15.75" x14ac:dyDescent="0.25">
      <c r="B20" s="379"/>
      <c r="C20" s="399" t="s">
        <v>153</v>
      </c>
      <c r="D20" s="400"/>
      <c r="E20" s="400"/>
      <c r="F20" s="176">
        <f>(INDEX(F$16:F$19,ROUNDDOWN($E$7,0))*(1-MOD($E$7,1)))+(INDEX(F$16:F$19,ROUNDUP($E$7,0))*MOD($E$7,1))</f>
        <v>0</v>
      </c>
      <c r="G20" s="176">
        <f t="shared" ref="G20:M20" si="0">(INDEX(G$16:G$19,ROUNDDOWN($E$7,0))*(1-MOD($E$7,1)))+(INDEX(G$16:G$19,ROUNDUP($E$7,0))*MOD($E$7,1))</f>
        <v>0</v>
      </c>
      <c r="H20" s="176">
        <f t="shared" si="0"/>
        <v>4.0000000000000001E-3</v>
      </c>
      <c r="I20" s="176">
        <f t="shared" si="0"/>
        <v>5.2500000000000003E-3</v>
      </c>
      <c r="J20" s="176">
        <f t="shared" si="0"/>
        <v>7.8750000000000001E-3</v>
      </c>
      <c r="K20" s="176">
        <f t="shared" si="0"/>
        <v>1.0440000000000001E-2</v>
      </c>
      <c r="L20" s="176">
        <f t="shared" si="0"/>
        <v>1.8270000000000002E-2</v>
      </c>
      <c r="M20" s="176">
        <f t="shared" si="0"/>
        <v>3.6540000000000003E-2</v>
      </c>
      <c r="N20" s="376"/>
    </row>
    <row r="21" spans="2:15" x14ac:dyDescent="0.2">
      <c r="B21" s="402"/>
      <c r="C21" s="403"/>
      <c r="D21" s="404"/>
      <c r="E21" s="404"/>
      <c r="F21" s="405"/>
      <c r="G21" s="406"/>
      <c r="H21" s="406"/>
      <c r="I21" s="406"/>
      <c r="J21" s="406"/>
      <c r="K21" s="406"/>
      <c r="L21" s="406"/>
      <c r="M21" s="406"/>
      <c r="N21" s="407"/>
    </row>
    <row r="22" spans="2:15" x14ac:dyDescent="0.2">
      <c r="B22" s="408"/>
      <c r="C22" s="377" t="s">
        <v>282</v>
      </c>
      <c r="D22" s="375"/>
      <c r="E22" s="378"/>
      <c r="F22" s="375"/>
      <c r="G22" s="375"/>
      <c r="H22" s="375"/>
      <c r="I22" s="375"/>
      <c r="J22" s="375"/>
      <c r="K22" s="375"/>
      <c r="L22" s="375"/>
      <c r="M22" s="378" t="s">
        <v>152</v>
      </c>
      <c r="N22" s="376"/>
    </row>
    <row r="23" spans="2:15" ht="5.25" customHeight="1" x14ac:dyDescent="0.2">
      <c r="B23" s="408"/>
      <c r="C23" s="375"/>
      <c r="D23" s="375"/>
      <c r="E23" s="375"/>
      <c r="F23" s="375"/>
      <c r="G23" s="375"/>
      <c r="H23" s="375"/>
      <c r="I23" s="375"/>
      <c r="J23" s="375"/>
      <c r="K23" s="375"/>
      <c r="L23" s="375"/>
      <c r="M23" s="375"/>
      <c r="N23" s="376"/>
    </row>
    <row r="24" spans="2:15" ht="15.75" x14ac:dyDescent="0.25">
      <c r="B24" s="379"/>
      <c r="C24" s="380" t="s">
        <v>3</v>
      </c>
      <c r="D24" s="380" t="s">
        <v>7</v>
      </c>
      <c r="E24" s="380" t="s">
        <v>8</v>
      </c>
      <c r="F24" s="381">
        <v>2015</v>
      </c>
      <c r="G24" s="382">
        <v>2020</v>
      </c>
      <c r="H24" s="381">
        <v>2025</v>
      </c>
      <c r="I24" s="381">
        <v>2030</v>
      </c>
      <c r="J24" s="381">
        <v>2035</v>
      </c>
      <c r="K24" s="381">
        <v>2040</v>
      </c>
      <c r="L24" s="381">
        <v>2045</v>
      </c>
      <c r="M24" s="381">
        <v>2050</v>
      </c>
      <c r="N24" s="376"/>
    </row>
    <row r="25" spans="2:15" ht="15.75" x14ac:dyDescent="0.25">
      <c r="B25" s="379"/>
      <c r="C25" s="384">
        <v>1</v>
      </c>
      <c r="D25" s="385" t="s">
        <v>278</v>
      </c>
      <c r="E25" s="409" t="s">
        <v>12</v>
      </c>
      <c r="F25" s="387">
        <v>0</v>
      </c>
      <c r="G25" s="388">
        <v>0</v>
      </c>
      <c r="H25" s="387">
        <v>1E-3</v>
      </c>
      <c r="I25" s="387">
        <v>1.75E-3</v>
      </c>
      <c r="J25" s="387">
        <v>2.6250000000000002E-3</v>
      </c>
      <c r="K25" s="387">
        <v>1.566E-2</v>
      </c>
      <c r="L25" s="387">
        <v>3.3930000000000002E-2</v>
      </c>
      <c r="M25" s="387">
        <v>6.7860000000000004E-2</v>
      </c>
      <c r="N25" s="3518"/>
    </row>
    <row r="26" spans="2:15" ht="15.75" x14ac:dyDescent="0.25">
      <c r="B26" s="379"/>
      <c r="C26" s="384">
        <v>2</v>
      </c>
      <c r="D26" s="385" t="s">
        <v>279</v>
      </c>
      <c r="E26" s="385" t="s">
        <v>12</v>
      </c>
      <c r="F26" s="387">
        <v>0</v>
      </c>
      <c r="G26" s="388">
        <v>0</v>
      </c>
      <c r="H26" s="392">
        <v>1.4000000000000002E-3</v>
      </c>
      <c r="I26" s="392">
        <v>2.5000000000000001E-3</v>
      </c>
      <c r="J26" s="392">
        <v>8.7500000000000008E-3</v>
      </c>
      <c r="K26" s="392">
        <v>0.12</v>
      </c>
      <c r="L26" s="392">
        <v>0.26</v>
      </c>
      <c r="M26" s="392">
        <v>0.39</v>
      </c>
      <c r="N26" s="3518"/>
    </row>
    <row r="27" spans="2:15" ht="15.75" x14ac:dyDescent="0.25">
      <c r="B27" s="379"/>
      <c r="C27" s="384">
        <v>3</v>
      </c>
      <c r="D27" s="385" t="s">
        <v>280</v>
      </c>
      <c r="E27" s="385" t="s">
        <v>12</v>
      </c>
      <c r="F27" s="387">
        <v>0</v>
      </c>
      <c r="G27" s="388">
        <v>0</v>
      </c>
      <c r="H27" s="392">
        <v>2E-3</v>
      </c>
      <c r="I27" s="392">
        <v>6.5250000000000004E-3</v>
      </c>
      <c r="J27" s="392">
        <v>3.8475000000000002E-2</v>
      </c>
      <c r="K27" s="392">
        <v>0.28277999999999998</v>
      </c>
      <c r="L27" s="392">
        <v>0.61269000000000007</v>
      </c>
      <c r="M27" s="392">
        <v>0.91903500000000005</v>
      </c>
      <c r="N27" s="3518"/>
    </row>
    <row r="28" spans="2:15" ht="15.75" x14ac:dyDescent="0.25">
      <c r="B28" s="379"/>
      <c r="C28" s="393">
        <v>4</v>
      </c>
      <c r="D28" s="394" t="s">
        <v>281</v>
      </c>
      <c r="E28" s="394" t="s">
        <v>12</v>
      </c>
      <c r="F28" s="387">
        <v>0</v>
      </c>
      <c r="G28" s="388">
        <v>0</v>
      </c>
      <c r="H28" s="392">
        <v>3.0000000000000001E-3</v>
      </c>
      <c r="I28" s="392">
        <v>1.2500000000000001E-2</v>
      </c>
      <c r="J28" s="392">
        <v>6.25E-2</v>
      </c>
      <c r="K28" s="392">
        <v>0.42599999999999999</v>
      </c>
      <c r="L28" s="392">
        <v>1.07419</v>
      </c>
      <c r="M28" s="392">
        <v>1.6868799999999999</v>
      </c>
      <c r="N28" s="3518"/>
    </row>
    <row r="29" spans="2:15" ht="15.75" x14ac:dyDescent="0.25">
      <c r="B29" s="379"/>
      <c r="C29" s="399" t="s">
        <v>153</v>
      </c>
      <c r="D29" s="400"/>
      <c r="E29" s="400"/>
      <c r="F29" s="176">
        <f>(INDEX(F$25:F$28,ROUNDDOWN($E$8,0))*(1-MOD($E$8,1)))+(INDEX(F$25:F$28,ROUNDUP($E$8,0))*MOD($E$8,1))</f>
        <v>0</v>
      </c>
      <c r="G29" s="176">
        <f t="shared" ref="G29:L29" si="1">(INDEX(G$25:G$28,ROUNDDOWN($E$8,0))*(1-MOD($E$8,1)))+(INDEX(G$25:G$28,ROUNDUP($E$8,0))*MOD($E$8,1))</f>
        <v>0</v>
      </c>
      <c r="H29" s="176">
        <f t="shared" si="1"/>
        <v>1E-3</v>
      </c>
      <c r="I29" s="176">
        <f t="shared" si="1"/>
        <v>1.75E-3</v>
      </c>
      <c r="J29" s="176">
        <f t="shared" si="1"/>
        <v>2.6250000000000002E-3</v>
      </c>
      <c r="K29" s="176">
        <f t="shared" si="1"/>
        <v>1.566E-2</v>
      </c>
      <c r="L29" s="176">
        <f t="shared" si="1"/>
        <v>3.3930000000000002E-2</v>
      </c>
      <c r="M29" s="176">
        <f>(INDEX(M$25:M$28,ROUNDDOWN($E$8,0))*(1-MOD($E$8,1)))+(INDEX(M$25:M$28,ROUNDUP($E$8,0))*MOD($E$8,1))</f>
        <v>6.7860000000000004E-2</v>
      </c>
      <c r="N29" s="376"/>
    </row>
    <row r="30" spans="2:15" ht="15.75" x14ac:dyDescent="0.25">
      <c r="B30" s="379"/>
      <c r="C30" s="375" t="s">
        <v>8</v>
      </c>
      <c r="D30" s="375"/>
      <c r="E30" s="385"/>
      <c r="F30" s="178"/>
      <c r="G30" s="410"/>
      <c r="H30" s="410"/>
      <c r="I30" s="410"/>
      <c r="J30" s="410"/>
      <c r="K30" s="410"/>
      <c r="L30" s="410"/>
      <c r="M30" s="410"/>
      <c r="N30" s="376"/>
    </row>
    <row r="31" spans="2:15" ht="15.75" x14ac:dyDescent="0.25">
      <c r="B31" s="379"/>
      <c r="C31" s="193" t="s">
        <v>12</v>
      </c>
      <c r="D31" s="194" t="s">
        <v>283</v>
      </c>
      <c r="E31" s="385"/>
      <c r="F31" s="178"/>
      <c r="G31" s="410"/>
      <c r="H31" s="410"/>
      <c r="I31" s="410"/>
      <c r="J31" s="410"/>
      <c r="K31" s="410"/>
      <c r="L31" s="410"/>
      <c r="M31" s="410"/>
      <c r="N31" s="376"/>
    </row>
    <row r="32" spans="2:15" ht="15.75" x14ac:dyDescent="0.25">
      <c r="B32" s="379"/>
      <c r="C32" s="280"/>
      <c r="D32" s="194" t="s">
        <v>284</v>
      </c>
      <c r="E32" s="385"/>
      <c r="F32" s="178"/>
      <c r="G32" s="410"/>
      <c r="H32" s="410"/>
      <c r="I32" s="410"/>
      <c r="J32" s="410"/>
      <c r="K32" s="410"/>
      <c r="L32" s="410"/>
      <c r="M32" s="410"/>
      <c r="N32" s="376"/>
    </row>
    <row r="33" spans="1:14" x14ac:dyDescent="0.2">
      <c r="B33" s="408"/>
      <c r="C33" s="375"/>
      <c r="D33" s="411"/>
      <c r="E33" s="375"/>
      <c r="F33" s="375"/>
      <c r="G33" s="375"/>
      <c r="H33" s="375"/>
      <c r="I33" s="375"/>
      <c r="J33" s="375"/>
      <c r="K33" s="375"/>
      <c r="L33" s="375"/>
      <c r="M33" s="375"/>
      <c r="N33" s="376"/>
    </row>
    <row r="35" spans="1:14" s="14" customFormat="1" ht="23.25" x14ac:dyDescent="0.2">
      <c r="A35" s="412"/>
      <c r="B35" s="371" t="s">
        <v>216</v>
      </c>
      <c r="C35" s="372"/>
      <c r="D35" s="372"/>
      <c r="E35" s="372"/>
      <c r="F35" s="372"/>
      <c r="G35" s="372"/>
      <c r="H35" s="372"/>
      <c r="I35" s="372"/>
      <c r="J35" s="372"/>
      <c r="K35" s="372"/>
      <c r="L35" s="372"/>
      <c r="M35" s="372"/>
      <c r="N35" s="373"/>
    </row>
    <row r="36" spans="1:14" ht="10.5" customHeight="1" x14ac:dyDescent="0.2">
      <c r="B36" s="374"/>
      <c r="C36" s="384"/>
      <c r="D36" s="385"/>
      <c r="E36" s="385"/>
      <c r="F36" s="387"/>
      <c r="G36" s="392"/>
      <c r="H36" s="392"/>
      <c r="I36" s="392"/>
      <c r="J36" s="392"/>
      <c r="K36" s="392"/>
      <c r="L36" s="392"/>
      <c r="M36" s="392"/>
      <c r="N36" s="376"/>
    </row>
    <row r="37" spans="1:14" x14ac:dyDescent="0.2">
      <c r="B37" s="374"/>
      <c r="C37" s="377" t="s">
        <v>217</v>
      </c>
      <c r="D37" s="375"/>
      <c r="E37" s="375"/>
      <c r="F37" s="375"/>
      <c r="G37" s="378"/>
      <c r="H37" s="375"/>
      <c r="I37" s="375"/>
      <c r="J37" s="375"/>
      <c r="K37" s="375"/>
      <c r="L37" s="375"/>
      <c r="M37" s="375"/>
      <c r="N37" s="376"/>
    </row>
    <row r="38" spans="1:14" ht="7.5" customHeight="1" x14ac:dyDescent="0.2">
      <c r="B38" s="374"/>
      <c r="C38" s="375"/>
      <c r="D38" s="375"/>
      <c r="E38" s="375"/>
      <c r="F38" s="375"/>
      <c r="G38" s="375"/>
      <c r="H38" s="375"/>
      <c r="I38" s="375"/>
      <c r="J38" s="375"/>
      <c r="K38" s="375"/>
      <c r="L38" s="375"/>
      <c r="M38" s="375"/>
      <c r="N38" s="376"/>
    </row>
    <row r="39" spans="1:14" ht="15.75" x14ac:dyDescent="0.25">
      <c r="B39" s="379"/>
      <c r="C39" s="380" t="s">
        <v>155</v>
      </c>
      <c r="D39" s="380" t="s">
        <v>156</v>
      </c>
      <c r="E39" s="380" t="s">
        <v>8</v>
      </c>
      <c r="F39" s="381">
        <v>2015</v>
      </c>
      <c r="G39" s="382">
        <v>2020</v>
      </c>
      <c r="H39" s="381">
        <v>2025</v>
      </c>
      <c r="I39" s="381">
        <v>2030</v>
      </c>
      <c r="J39" s="381">
        <v>2035</v>
      </c>
      <c r="K39" s="381">
        <v>2040</v>
      </c>
      <c r="L39" s="381">
        <v>2045</v>
      </c>
      <c r="M39" s="381">
        <v>2050</v>
      </c>
      <c r="N39" s="376"/>
    </row>
    <row r="40" spans="1:14" ht="15.75" x14ac:dyDescent="0.25">
      <c r="B40" s="379"/>
      <c r="C40" s="413" t="s">
        <v>285</v>
      </c>
      <c r="D40" s="409" t="s">
        <v>275</v>
      </c>
      <c r="E40" s="409"/>
      <c r="F40" s="414">
        <v>0.3</v>
      </c>
      <c r="G40" s="415">
        <v>0.3</v>
      </c>
      <c r="H40" s="416">
        <v>0.3</v>
      </c>
      <c r="I40" s="416">
        <v>0.3</v>
      </c>
      <c r="J40" s="416">
        <v>0.3</v>
      </c>
      <c r="K40" s="416">
        <v>0.3</v>
      </c>
      <c r="L40" s="416">
        <v>0.3</v>
      </c>
      <c r="M40" s="416">
        <v>0.3</v>
      </c>
      <c r="N40" s="376"/>
    </row>
    <row r="41" spans="1:14" ht="15.75" x14ac:dyDescent="0.25">
      <c r="B41" s="379"/>
      <c r="C41" s="417" t="s">
        <v>286</v>
      </c>
      <c r="D41" s="418" t="s">
        <v>276</v>
      </c>
      <c r="E41" s="418"/>
      <c r="F41" s="419">
        <v>0.5</v>
      </c>
      <c r="G41" s="420">
        <v>0.5</v>
      </c>
      <c r="H41" s="420">
        <v>0.5</v>
      </c>
      <c r="I41" s="420">
        <v>0.5</v>
      </c>
      <c r="J41" s="420">
        <v>0.5</v>
      </c>
      <c r="K41" s="420">
        <v>0.5</v>
      </c>
      <c r="L41" s="420">
        <v>0.5</v>
      </c>
      <c r="M41" s="420">
        <v>0.5</v>
      </c>
      <c r="N41" s="376"/>
    </row>
    <row r="42" spans="1:14" x14ac:dyDescent="0.2">
      <c r="B42" s="374"/>
      <c r="C42" s="375"/>
      <c r="D42" s="375"/>
      <c r="E42" s="375"/>
      <c r="F42" s="375"/>
      <c r="G42" s="375"/>
      <c r="H42" s="375"/>
      <c r="I42" s="375"/>
      <c r="J42" s="375"/>
      <c r="K42" s="375"/>
      <c r="L42" s="375"/>
      <c r="M42" s="375"/>
      <c r="N42" s="376"/>
    </row>
    <row r="43" spans="1:14" x14ac:dyDescent="0.2">
      <c r="B43" s="374"/>
      <c r="C43" s="375" t="s">
        <v>8</v>
      </c>
      <c r="D43" s="375"/>
      <c r="E43" s="375"/>
      <c r="F43" s="375"/>
      <c r="G43" s="375"/>
      <c r="H43" s="375"/>
      <c r="I43" s="375"/>
      <c r="J43" s="375"/>
      <c r="K43" s="375"/>
      <c r="L43" s="375"/>
      <c r="M43" s="375"/>
      <c r="N43" s="376"/>
    </row>
    <row r="44" spans="1:14" s="192" customFormat="1" x14ac:dyDescent="0.2">
      <c r="B44" s="279"/>
      <c r="C44" s="193" t="s">
        <v>12</v>
      </c>
      <c r="D44" s="194" t="s">
        <v>284</v>
      </c>
      <c r="E44" s="195"/>
      <c r="F44" s="195"/>
      <c r="G44" s="195"/>
      <c r="H44" s="195"/>
      <c r="I44" s="195"/>
      <c r="J44" s="195"/>
      <c r="K44" s="195"/>
      <c r="L44" s="195"/>
      <c r="M44" s="195"/>
      <c r="N44" s="196"/>
    </row>
    <row r="45" spans="1:14" s="192" customFormat="1" x14ac:dyDescent="0.2">
      <c r="B45" s="279"/>
      <c r="C45" s="280"/>
      <c r="D45" s="194"/>
      <c r="E45" s="195"/>
      <c r="F45" s="195"/>
      <c r="G45" s="195"/>
      <c r="H45" s="195"/>
      <c r="I45" s="195"/>
      <c r="J45" s="195"/>
      <c r="K45" s="195"/>
      <c r="L45" s="195"/>
      <c r="M45" s="195"/>
      <c r="N45" s="196"/>
    </row>
    <row r="46" spans="1:14" s="192" customFormat="1" x14ac:dyDescent="0.2">
      <c r="B46" s="279"/>
      <c r="C46" s="280"/>
      <c r="D46" s="194"/>
      <c r="E46" s="195"/>
      <c r="F46" s="195"/>
      <c r="G46" s="195"/>
      <c r="H46" s="195"/>
      <c r="I46" s="195"/>
      <c r="J46" s="195"/>
      <c r="K46" s="195"/>
      <c r="L46" s="195"/>
      <c r="M46" s="195"/>
      <c r="N46" s="196"/>
    </row>
    <row r="47" spans="1:14" s="192" customFormat="1" x14ac:dyDescent="0.2">
      <c r="B47" s="279"/>
      <c r="C47" s="377" t="s">
        <v>287</v>
      </c>
      <c r="D47" s="375"/>
      <c r="E47" s="375"/>
      <c r="F47" s="375"/>
      <c r="G47" s="378"/>
      <c r="H47" s="375"/>
      <c r="I47" s="375"/>
      <c r="J47" s="375"/>
      <c r="K47" s="375"/>
      <c r="L47" s="375"/>
      <c r="M47" s="375"/>
      <c r="N47" s="196"/>
    </row>
    <row r="48" spans="1:14" s="192" customFormat="1" ht="5.25" customHeight="1" x14ac:dyDescent="0.2">
      <c r="B48" s="279"/>
      <c r="C48" s="375"/>
      <c r="D48" s="375"/>
      <c r="E48" s="375"/>
      <c r="F48" s="375"/>
      <c r="G48" s="375"/>
      <c r="H48" s="375"/>
      <c r="I48" s="375"/>
      <c r="J48" s="375"/>
      <c r="K48" s="375"/>
      <c r="L48" s="375"/>
      <c r="M48" s="375"/>
      <c r="N48" s="196"/>
    </row>
    <row r="49" spans="2:14" s="192" customFormat="1" ht="15.75" x14ac:dyDescent="0.25">
      <c r="B49" s="421"/>
      <c r="C49" s="380" t="s">
        <v>155</v>
      </c>
      <c r="D49" s="380" t="s">
        <v>156</v>
      </c>
      <c r="E49" s="380" t="s">
        <v>8</v>
      </c>
      <c r="F49" s="381">
        <v>2015</v>
      </c>
      <c r="G49" s="382">
        <v>2020</v>
      </c>
      <c r="H49" s="381">
        <v>2025</v>
      </c>
      <c r="I49" s="381">
        <v>2030</v>
      </c>
      <c r="J49" s="381">
        <v>2035</v>
      </c>
      <c r="K49" s="381">
        <v>2040</v>
      </c>
      <c r="L49" s="381">
        <v>2045</v>
      </c>
      <c r="M49" s="381">
        <v>2050</v>
      </c>
      <c r="N49" s="196"/>
    </row>
    <row r="50" spans="2:14" s="192" customFormat="1" ht="15.75" x14ac:dyDescent="0.25">
      <c r="B50" s="421"/>
      <c r="C50" s="413" t="s">
        <v>285</v>
      </c>
      <c r="D50" s="409" t="s">
        <v>275</v>
      </c>
      <c r="E50" s="409" t="s">
        <v>133</v>
      </c>
      <c r="F50" s="422">
        <v>0.9</v>
      </c>
      <c r="G50" s="415">
        <v>0.9</v>
      </c>
      <c r="H50" s="416">
        <v>0.9</v>
      </c>
      <c r="I50" s="416">
        <v>0.9</v>
      </c>
      <c r="J50" s="416">
        <v>0.9</v>
      </c>
      <c r="K50" s="416">
        <v>0.9</v>
      </c>
      <c r="L50" s="416">
        <v>0.9</v>
      </c>
      <c r="M50" s="416">
        <v>0.9</v>
      </c>
      <c r="N50" s="196"/>
    </row>
    <row r="51" spans="2:14" s="192" customFormat="1" ht="15.75" x14ac:dyDescent="0.25">
      <c r="B51" s="421"/>
      <c r="C51" s="417" t="s">
        <v>286</v>
      </c>
      <c r="D51" s="418" t="s">
        <v>276</v>
      </c>
      <c r="E51" s="418" t="s">
        <v>133</v>
      </c>
      <c r="F51" s="423">
        <v>0.9</v>
      </c>
      <c r="G51" s="424">
        <v>0.9</v>
      </c>
      <c r="H51" s="420">
        <v>0.9</v>
      </c>
      <c r="I51" s="420">
        <v>0.9</v>
      </c>
      <c r="J51" s="420">
        <v>0.9</v>
      </c>
      <c r="K51" s="420">
        <v>0.9</v>
      </c>
      <c r="L51" s="420">
        <v>0.9</v>
      </c>
      <c r="M51" s="420">
        <v>0.9</v>
      </c>
      <c r="N51" s="196"/>
    </row>
    <row r="52" spans="2:14" s="192" customFormat="1" ht="15.75" x14ac:dyDescent="0.25">
      <c r="B52" s="421"/>
      <c r="C52" s="375" t="s">
        <v>8</v>
      </c>
      <c r="D52" s="375"/>
      <c r="E52" s="385"/>
      <c r="F52" s="425"/>
      <c r="G52" s="425"/>
      <c r="H52" s="425"/>
      <c r="I52" s="425"/>
      <c r="J52" s="425"/>
      <c r="K52" s="425"/>
      <c r="L52" s="425"/>
      <c r="M52" s="425"/>
      <c r="N52" s="196"/>
    </row>
    <row r="53" spans="2:14" s="192" customFormat="1" ht="15.75" x14ac:dyDescent="0.25">
      <c r="B53" s="421"/>
      <c r="C53" s="193" t="s">
        <v>133</v>
      </c>
      <c r="D53" s="194" t="s">
        <v>418</v>
      </c>
      <c r="E53" s="385"/>
      <c r="F53" s="425"/>
      <c r="G53" s="425"/>
      <c r="H53" s="425"/>
      <c r="I53" s="425"/>
      <c r="J53" s="425"/>
      <c r="K53" s="425"/>
      <c r="L53" s="425"/>
      <c r="M53" s="425"/>
      <c r="N53" s="196"/>
    </row>
    <row r="54" spans="2:14" ht="15.75" x14ac:dyDescent="0.25">
      <c r="B54" s="379"/>
      <c r="C54" s="384"/>
      <c r="D54" s="385"/>
      <c r="E54" s="385"/>
      <c r="F54" s="426"/>
      <c r="G54" s="425"/>
      <c r="H54" s="425"/>
      <c r="I54" s="425"/>
      <c r="J54" s="425"/>
      <c r="K54" s="425"/>
      <c r="L54" s="425"/>
      <c r="M54" s="425"/>
      <c r="N54" s="376"/>
    </row>
    <row r="55" spans="2:14" ht="15.75" x14ac:dyDescent="0.25">
      <c r="B55" s="379"/>
      <c r="C55" s="377" t="s">
        <v>161</v>
      </c>
      <c r="D55" s="375"/>
      <c r="E55" s="427" t="s">
        <v>8</v>
      </c>
      <c r="F55" s="375"/>
      <c r="G55" s="378"/>
      <c r="H55" s="425"/>
      <c r="I55" s="425"/>
      <c r="J55" s="425"/>
      <c r="K55" s="425"/>
      <c r="L55" s="425"/>
      <c r="M55" s="425"/>
      <c r="N55" s="376"/>
    </row>
    <row r="56" spans="2:14" ht="4.5" customHeight="1" x14ac:dyDescent="0.25">
      <c r="B56" s="379"/>
      <c r="C56" s="375"/>
      <c r="D56" s="375"/>
      <c r="E56" s="375"/>
      <c r="F56" s="375"/>
      <c r="G56" s="375"/>
      <c r="H56" s="425"/>
      <c r="I56" s="425"/>
      <c r="J56" s="425"/>
      <c r="K56" s="425"/>
      <c r="L56" s="425"/>
      <c r="M56" s="425"/>
      <c r="N56" s="376"/>
    </row>
    <row r="57" spans="2:14" ht="15.75" x14ac:dyDescent="0.25">
      <c r="B57" s="379"/>
      <c r="C57" s="380"/>
      <c r="D57" s="380"/>
      <c r="E57" s="380"/>
      <c r="F57" s="381"/>
      <c r="G57" s="428" t="s">
        <v>219</v>
      </c>
      <c r="H57" s="425"/>
      <c r="I57" s="425"/>
      <c r="J57" s="425"/>
      <c r="K57" s="425"/>
      <c r="L57" s="425"/>
      <c r="M57" s="425"/>
      <c r="N57" s="376"/>
    </row>
    <row r="58" spans="2:14" ht="15.75" x14ac:dyDescent="0.25">
      <c r="B58" s="379"/>
      <c r="C58" s="429"/>
      <c r="D58" s="430" t="s">
        <v>288</v>
      </c>
      <c r="E58" s="430" t="s">
        <v>12</v>
      </c>
      <c r="F58" s="431">
        <f>15/1000</f>
        <v>1.4999999999999999E-2</v>
      </c>
      <c r="G58" s="432" t="s">
        <v>162</v>
      </c>
      <c r="H58" s="433"/>
      <c r="I58" s="425"/>
      <c r="J58" s="425"/>
      <c r="K58" s="425"/>
      <c r="L58" s="425"/>
      <c r="M58" s="425"/>
      <c r="N58" s="376"/>
    </row>
    <row r="59" spans="2:14" ht="15.75" x14ac:dyDescent="0.25">
      <c r="B59" s="379"/>
      <c r="C59" s="417"/>
      <c r="D59" s="434" t="s">
        <v>289</v>
      </c>
      <c r="E59" s="418" t="s">
        <v>136</v>
      </c>
      <c r="F59" s="435">
        <f>4.5/1000</f>
        <v>4.4999999999999997E-3</v>
      </c>
      <c r="G59" s="436" t="s">
        <v>162</v>
      </c>
      <c r="H59" s="425"/>
      <c r="I59" s="437"/>
      <c r="J59" s="425"/>
      <c r="K59" s="425"/>
      <c r="L59" s="425"/>
      <c r="M59" s="425"/>
      <c r="N59" s="376"/>
    </row>
    <row r="60" spans="2:14" ht="15.75" x14ac:dyDescent="0.25">
      <c r="B60" s="379"/>
      <c r="C60" s="375"/>
      <c r="D60" s="375"/>
      <c r="E60" s="375"/>
      <c r="F60" s="375"/>
      <c r="G60" s="375"/>
      <c r="H60" s="425"/>
      <c r="I60" s="425"/>
      <c r="J60" s="425"/>
      <c r="K60" s="425"/>
      <c r="L60" s="425"/>
      <c r="M60" s="425"/>
      <c r="N60" s="376"/>
    </row>
    <row r="61" spans="2:14" x14ac:dyDescent="0.2">
      <c r="B61" s="375"/>
      <c r="C61" s="375" t="s">
        <v>8</v>
      </c>
      <c r="D61" s="375"/>
      <c r="E61" s="375"/>
      <c r="F61" s="375"/>
      <c r="G61" s="375"/>
      <c r="H61" s="375"/>
      <c r="I61" s="375"/>
      <c r="J61" s="375"/>
      <c r="K61" s="375"/>
      <c r="L61" s="375"/>
      <c r="M61" s="375"/>
      <c r="N61" s="376"/>
    </row>
    <row r="62" spans="2:14" x14ac:dyDescent="0.2">
      <c r="B62" s="375"/>
      <c r="C62" s="438" t="s">
        <v>12</v>
      </c>
      <c r="D62" s="194" t="s">
        <v>284</v>
      </c>
      <c r="E62" s="375"/>
      <c r="F62" s="375"/>
      <c r="G62" s="375"/>
      <c r="H62" s="375"/>
      <c r="I62" s="375"/>
      <c r="J62" s="375"/>
      <c r="K62" s="375"/>
      <c r="L62" s="375"/>
      <c r="M62" s="375"/>
      <c r="N62" s="376"/>
    </row>
    <row r="63" spans="2:14" x14ac:dyDescent="0.2">
      <c r="B63" s="375"/>
      <c r="C63" s="438" t="s">
        <v>136</v>
      </c>
      <c r="D63" s="411" t="s">
        <v>290</v>
      </c>
      <c r="E63" s="375"/>
      <c r="F63" s="375"/>
      <c r="G63" s="375"/>
      <c r="H63" s="375"/>
      <c r="I63" s="375"/>
      <c r="J63" s="375"/>
      <c r="K63" s="375"/>
      <c r="L63" s="375"/>
      <c r="M63" s="375"/>
      <c r="N63" s="376"/>
    </row>
    <row r="64" spans="2:14" x14ac:dyDescent="0.2">
      <c r="B64" s="375"/>
      <c r="C64" s="438"/>
      <c r="D64" s="411"/>
      <c r="E64" s="375"/>
      <c r="F64" s="375"/>
      <c r="G64" s="375"/>
      <c r="H64" s="375"/>
      <c r="I64" s="375"/>
      <c r="J64" s="375"/>
      <c r="K64" s="375"/>
      <c r="L64" s="375"/>
      <c r="M64" s="375"/>
      <c r="N64" s="376"/>
    </row>
    <row r="65" spans="2:15" s="192" customFormat="1" x14ac:dyDescent="0.2">
      <c r="B65" s="279"/>
      <c r="C65" s="438"/>
      <c r="D65" s="411"/>
      <c r="E65" s="195"/>
      <c r="F65" s="195"/>
      <c r="G65" s="195"/>
      <c r="H65" s="195"/>
      <c r="I65" s="195"/>
      <c r="J65" s="195"/>
      <c r="K65" s="195"/>
      <c r="L65" s="195"/>
      <c r="M65" s="195"/>
      <c r="N65" s="196"/>
    </row>
    <row r="66" spans="2:15" s="192" customFormat="1" x14ac:dyDescent="0.2">
      <c r="B66" s="279"/>
      <c r="C66" s="438"/>
      <c r="D66" s="411"/>
      <c r="E66" s="195"/>
      <c r="F66" s="195"/>
      <c r="G66" s="195"/>
      <c r="H66" s="195"/>
      <c r="I66" s="195"/>
      <c r="J66" s="195"/>
      <c r="K66" s="195"/>
      <c r="L66" s="195"/>
      <c r="M66" s="195"/>
      <c r="N66" s="196"/>
    </row>
    <row r="67" spans="2:15" s="192" customFormat="1" x14ac:dyDescent="0.2">
      <c r="B67" s="279"/>
      <c r="C67" s="438"/>
      <c r="D67" s="411"/>
      <c r="E67" s="195"/>
      <c r="F67" s="195"/>
      <c r="G67" s="195"/>
      <c r="H67" s="195"/>
      <c r="I67" s="195"/>
      <c r="J67" s="195"/>
      <c r="K67" s="195"/>
      <c r="L67" s="195"/>
      <c r="M67" s="195"/>
      <c r="N67" s="196"/>
    </row>
    <row r="68" spans="2:15" x14ac:dyDescent="0.2">
      <c r="B68" s="439"/>
      <c r="C68" s="440"/>
      <c r="D68" s="440"/>
      <c r="E68" s="440"/>
      <c r="F68" s="440"/>
      <c r="G68" s="440"/>
      <c r="H68" s="440"/>
      <c r="I68" s="440"/>
      <c r="J68" s="440"/>
      <c r="K68" s="440"/>
      <c r="L68" s="440"/>
      <c r="M68" s="440"/>
      <c r="N68" s="441"/>
    </row>
    <row r="70" spans="2:15" ht="15.75" x14ac:dyDescent="0.25">
      <c r="B70" s="446" t="s">
        <v>229</v>
      </c>
    </row>
    <row r="71" spans="2:15" x14ac:dyDescent="0.2">
      <c r="B71" s="447">
        <v>1</v>
      </c>
      <c r="C71" t="s">
        <v>230</v>
      </c>
    </row>
    <row r="72" spans="2:15" x14ac:dyDescent="0.2">
      <c r="B72" s="447"/>
    </row>
    <row r="73" spans="2:15" x14ac:dyDescent="0.2">
      <c r="B73" s="447" t="s">
        <v>292</v>
      </c>
      <c r="F73" s="69">
        <v>2015</v>
      </c>
      <c r="G73" s="69">
        <v>2020</v>
      </c>
      <c r="H73" s="69">
        <v>2025</v>
      </c>
      <c r="I73" s="69">
        <v>2030</v>
      </c>
      <c r="J73" s="69">
        <v>2035</v>
      </c>
      <c r="K73" s="69">
        <v>2040</v>
      </c>
      <c r="L73" s="69">
        <v>2045</v>
      </c>
      <c r="M73" s="69">
        <v>2050</v>
      </c>
    </row>
    <row r="74" spans="2:15" x14ac:dyDescent="0.2">
      <c r="C74" s="447" t="s">
        <v>169</v>
      </c>
      <c r="E74" t="s">
        <v>152</v>
      </c>
      <c r="F74" s="448">
        <f t="shared" ref="F74:M74" si="2">F20</f>
        <v>0</v>
      </c>
      <c r="G74" s="448">
        <f t="shared" si="2"/>
        <v>0</v>
      </c>
      <c r="H74" s="448">
        <f t="shared" si="2"/>
        <v>4.0000000000000001E-3</v>
      </c>
      <c r="I74" s="448">
        <f t="shared" si="2"/>
        <v>5.2500000000000003E-3</v>
      </c>
      <c r="J74" s="448">
        <f t="shared" si="2"/>
        <v>7.8750000000000001E-3</v>
      </c>
      <c r="K74" s="448">
        <f t="shared" si="2"/>
        <v>1.0440000000000001E-2</v>
      </c>
      <c r="L74" s="448">
        <f t="shared" si="2"/>
        <v>1.8270000000000002E-2</v>
      </c>
      <c r="M74" s="448">
        <f t="shared" si="2"/>
        <v>3.6540000000000003E-2</v>
      </c>
    </row>
    <row r="75" spans="2:15" x14ac:dyDescent="0.2">
      <c r="B75" s="449" t="s">
        <v>232</v>
      </c>
      <c r="C75" s="449" t="s">
        <v>233</v>
      </c>
      <c r="E75" s="449"/>
      <c r="F75" s="450">
        <f t="shared" ref="F75:M75" si="3">F40</f>
        <v>0.3</v>
      </c>
      <c r="G75" s="450">
        <f t="shared" si="3"/>
        <v>0.3</v>
      </c>
      <c r="H75" s="450">
        <f t="shared" si="3"/>
        <v>0.3</v>
      </c>
      <c r="I75" s="450">
        <f t="shared" si="3"/>
        <v>0.3</v>
      </c>
      <c r="J75" s="450">
        <f t="shared" si="3"/>
        <v>0.3</v>
      </c>
      <c r="K75" s="450">
        <f t="shared" si="3"/>
        <v>0.3</v>
      </c>
      <c r="L75" s="450">
        <f t="shared" si="3"/>
        <v>0.3</v>
      </c>
      <c r="M75" s="450">
        <f t="shared" si="3"/>
        <v>0.3</v>
      </c>
      <c r="N75" s="450"/>
      <c r="O75" s="450"/>
    </row>
    <row r="76" spans="2:15" x14ac:dyDescent="0.2">
      <c r="B76" s="449" t="s">
        <v>232</v>
      </c>
      <c r="C76" s="449" t="s">
        <v>287</v>
      </c>
      <c r="E76" s="449"/>
      <c r="F76" s="450">
        <f t="shared" ref="F76:M76" si="4">F50</f>
        <v>0.9</v>
      </c>
      <c r="G76" s="450">
        <f t="shared" si="4"/>
        <v>0.9</v>
      </c>
      <c r="H76" s="450">
        <f t="shared" si="4"/>
        <v>0.9</v>
      </c>
      <c r="I76" s="450">
        <f t="shared" si="4"/>
        <v>0.9</v>
      </c>
      <c r="J76" s="450">
        <f t="shared" si="4"/>
        <v>0.9</v>
      </c>
      <c r="K76" s="450">
        <f t="shared" si="4"/>
        <v>0.9</v>
      </c>
      <c r="L76" s="450">
        <f t="shared" si="4"/>
        <v>0.9</v>
      </c>
      <c r="M76" s="450">
        <f t="shared" si="4"/>
        <v>0.9</v>
      </c>
    </row>
    <row r="77" spans="2:15" x14ac:dyDescent="0.2">
      <c r="B77" s="451" t="s">
        <v>234</v>
      </c>
      <c r="C77" s="447" t="s">
        <v>235</v>
      </c>
      <c r="F77" s="452">
        <f>F74*F75*F76</f>
        <v>0</v>
      </c>
      <c r="G77" s="452">
        <f t="shared" ref="G77:L77" si="5">G74*G75*G76</f>
        <v>0</v>
      </c>
      <c r="H77" s="452">
        <f t="shared" si="5"/>
        <v>1.08E-3</v>
      </c>
      <c r="I77" s="452">
        <f t="shared" si="5"/>
        <v>1.4175000000000001E-3</v>
      </c>
      <c r="J77" s="452">
        <f t="shared" si="5"/>
        <v>2.1262500000000001E-3</v>
      </c>
      <c r="K77" s="452">
        <f t="shared" si="5"/>
        <v>2.8188000000000002E-3</v>
      </c>
      <c r="L77" s="452">
        <f t="shared" si="5"/>
        <v>4.9329000000000005E-3</v>
      </c>
      <c r="M77" s="452">
        <f>M74*M75*M76</f>
        <v>9.865800000000001E-3</v>
      </c>
    </row>
    <row r="78" spans="2:15" x14ac:dyDescent="0.2">
      <c r="B78" s="451"/>
      <c r="C78" s="447"/>
      <c r="F78" s="452"/>
      <c r="G78" s="452"/>
      <c r="H78" s="452"/>
      <c r="I78" s="452"/>
      <c r="J78" s="452"/>
      <c r="K78" s="452"/>
      <c r="L78" s="452"/>
      <c r="M78" s="452"/>
    </row>
    <row r="79" spans="2:15" x14ac:dyDescent="0.2">
      <c r="C79" s="447" t="s">
        <v>236</v>
      </c>
      <c r="E79" t="s">
        <v>171</v>
      </c>
      <c r="F79" s="452">
        <f>F77*8.766</f>
        <v>0</v>
      </c>
      <c r="G79" s="452">
        <f t="shared" ref="G79:L79" si="6">G77*8.766</f>
        <v>0</v>
      </c>
      <c r="H79" s="452">
        <f t="shared" si="6"/>
        <v>9.4672799999999998E-3</v>
      </c>
      <c r="I79" s="452">
        <f t="shared" si="6"/>
        <v>1.2425805000000002E-2</v>
      </c>
      <c r="J79" s="452">
        <f t="shared" si="6"/>
        <v>1.8638707500000001E-2</v>
      </c>
      <c r="K79" s="452">
        <f t="shared" si="6"/>
        <v>2.4709600800000002E-2</v>
      </c>
      <c r="L79" s="452">
        <f t="shared" si="6"/>
        <v>4.3241801400000002E-2</v>
      </c>
      <c r="M79" s="452">
        <f>M77*8.766</f>
        <v>8.6483602800000003E-2</v>
      </c>
    </row>
    <row r="80" spans="2:15" x14ac:dyDescent="0.2">
      <c r="B80" s="447"/>
      <c r="F80" s="452"/>
      <c r="G80" s="452"/>
      <c r="H80" s="452"/>
      <c r="I80" s="452"/>
      <c r="J80" s="452"/>
      <c r="K80" s="452"/>
      <c r="L80" s="452"/>
      <c r="M80" s="452"/>
    </row>
    <row r="81" spans="2:15" x14ac:dyDescent="0.2">
      <c r="B81" s="447" t="s">
        <v>293</v>
      </c>
      <c r="F81" s="69">
        <v>2015</v>
      </c>
      <c r="G81" s="69">
        <v>2020</v>
      </c>
      <c r="H81" s="69">
        <v>2025</v>
      </c>
      <c r="I81" s="69">
        <v>2030</v>
      </c>
      <c r="J81" s="69">
        <v>2035</v>
      </c>
      <c r="K81" s="69">
        <v>2040</v>
      </c>
      <c r="L81" s="69">
        <v>2045</v>
      </c>
      <c r="M81" s="69">
        <v>2050</v>
      </c>
    </row>
    <row r="82" spans="2:15" x14ac:dyDescent="0.2">
      <c r="C82" s="447" t="s">
        <v>169</v>
      </c>
      <c r="E82" t="s">
        <v>152</v>
      </c>
      <c r="F82" s="448">
        <f t="shared" ref="F82:M82" si="7">F29</f>
        <v>0</v>
      </c>
      <c r="G82" s="448">
        <f t="shared" si="7"/>
        <v>0</v>
      </c>
      <c r="H82" s="448">
        <f t="shared" si="7"/>
        <v>1E-3</v>
      </c>
      <c r="I82" s="448">
        <f t="shared" si="7"/>
        <v>1.75E-3</v>
      </c>
      <c r="J82" s="448">
        <f t="shared" si="7"/>
        <v>2.6250000000000002E-3</v>
      </c>
      <c r="K82" s="448">
        <f t="shared" si="7"/>
        <v>1.566E-2</v>
      </c>
      <c r="L82" s="448">
        <f t="shared" si="7"/>
        <v>3.3930000000000002E-2</v>
      </c>
      <c r="M82" s="448">
        <f t="shared" si="7"/>
        <v>6.7860000000000004E-2</v>
      </c>
    </row>
    <row r="83" spans="2:15" x14ac:dyDescent="0.2">
      <c r="B83" s="449" t="s">
        <v>232</v>
      </c>
      <c r="C83" s="449" t="s">
        <v>233</v>
      </c>
      <c r="E83" s="449"/>
      <c r="F83" s="450">
        <f t="shared" ref="F83:M83" si="8">F41</f>
        <v>0.5</v>
      </c>
      <c r="G83" s="450">
        <f t="shared" si="8"/>
        <v>0.5</v>
      </c>
      <c r="H83" s="450">
        <f t="shared" si="8"/>
        <v>0.5</v>
      </c>
      <c r="I83" s="450">
        <f t="shared" si="8"/>
        <v>0.5</v>
      </c>
      <c r="J83" s="450">
        <f t="shared" si="8"/>
        <v>0.5</v>
      </c>
      <c r="K83" s="450">
        <f t="shared" si="8"/>
        <v>0.5</v>
      </c>
      <c r="L83" s="450">
        <f t="shared" si="8"/>
        <v>0.5</v>
      </c>
      <c r="M83" s="450">
        <f t="shared" si="8"/>
        <v>0.5</v>
      </c>
      <c r="N83" s="450"/>
      <c r="O83" s="450"/>
    </row>
    <row r="84" spans="2:15" x14ac:dyDescent="0.2">
      <c r="B84" s="449" t="s">
        <v>232</v>
      </c>
      <c r="C84" s="449" t="s">
        <v>287</v>
      </c>
      <c r="E84" s="449"/>
      <c r="F84" s="450">
        <f t="shared" ref="F84:M84" si="9">F51</f>
        <v>0.9</v>
      </c>
      <c r="G84" s="450">
        <f t="shared" si="9"/>
        <v>0.9</v>
      </c>
      <c r="H84" s="450">
        <f t="shared" si="9"/>
        <v>0.9</v>
      </c>
      <c r="I84" s="450">
        <f t="shared" si="9"/>
        <v>0.9</v>
      </c>
      <c r="J84" s="450">
        <f t="shared" si="9"/>
        <v>0.9</v>
      </c>
      <c r="K84" s="450">
        <f t="shared" si="9"/>
        <v>0.9</v>
      </c>
      <c r="L84" s="450">
        <f t="shared" si="9"/>
        <v>0.9</v>
      </c>
      <c r="M84" s="450">
        <f t="shared" si="9"/>
        <v>0.9</v>
      </c>
    </row>
    <row r="85" spans="2:15" x14ac:dyDescent="0.2">
      <c r="B85" s="451" t="s">
        <v>234</v>
      </c>
      <c r="C85" s="447" t="s">
        <v>235</v>
      </c>
      <c r="F85" s="452">
        <f>F82*F83*F84</f>
        <v>0</v>
      </c>
      <c r="G85" s="452">
        <f t="shared" ref="G85:L85" si="10">G82*G83*G84</f>
        <v>0</v>
      </c>
      <c r="H85" s="452">
        <f t="shared" si="10"/>
        <v>4.5000000000000004E-4</v>
      </c>
      <c r="I85" s="452">
        <f t="shared" si="10"/>
        <v>7.8750000000000001E-4</v>
      </c>
      <c r="J85" s="452">
        <f t="shared" si="10"/>
        <v>1.18125E-3</v>
      </c>
      <c r="K85" s="452">
        <f t="shared" si="10"/>
        <v>7.0470000000000003E-3</v>
      </c>
      <c r="L85" s="452">
        <f t="shared" si="10"/>
        <v>1.5268500000000001E-2</v>
      </c>
      <c r="M85" s="452">
        <f>M82*M83*M84</f>
        <v>3.0537000000000002E-2</v>
      </c>
    </row>
    <row r="86" spans="2:15" x14ac:dyDescent="0.2">
      <c r="B86" s="451"/>
      <c r="C86" s="447"/>
      <c r="F86" s="452"/>
      <c r="G86" s="452"/>
      <c r="H86" s="452"/>
      <c r="I86" s="452"/>
      <c r="J86" s="452"/>
      <c r="K86" s="452"/>
      <c r="L86" s="452"/>
      <c r="M86" s="452"/>
    </row>
    <row r="87" spans="2:15" x14ac:dyDescent="0.2">
      <c r="C87" s="447" t="s">
        <v>236</v>
      </c>
      <c r="E87" t="s">
        <v>171</v>
      </c>
      <c r="F87" s="452">
        <f>F85*8.766</f>
        <v>0</v>
      </c>
      <c r="G87" s="452">
        <f t="shared" ref="G87:L87" si="11">G85*8.766</f>
        <v>0</v>
      </c>
      <c r="H87" s="452">
        <f t="shared" si="11"/>
        <v>3.9447000000000006E-3</v>
      </c>
      <c r="I87" s="452">
        <f t="shared" si="11"/>
        <v>6.9032249999999998E-3</v>
      </c>
      <c r="J87" s="452">
        <f t="shared" si="11"/>
        <v>1.03548375E-2</v>
      </c>
      <c r="K87" s="452">
        <f t="shared" si="11"/>
        <v>6.1774002000000001E-2</v>
      </c>
      <c r="L87" s="452">
        <f t="shared" si="11"/>
        <v>0.133843671</v>
      </c>
      <c r="M87" s="452">
        <f>M85*8.766</f>
        <v>0.26768734199999999</v>
      </c>
    </row>
    <row r="88" spans="2:15" x14ac:dyDescent="0.2">
      <c r="B88" s="447"/>
    </row>
    <row r="89" spans="2:15" x14ac:dyDescent="0.2">
      <c r="B89" s="447"/>
    </row>
    <row r="90" spans="2:15" s="453" customFormat="1" x14ac:dyDescent="0.2">
      <c r="B90" s="453" t="s">
        <v>237</v>
      </c>
      <c r="F90" s="454">
        <v>2015</v>
      </c>
      <c r="G90" s="454">
        <v>2020</v>
      </c>
      <c r="H90" s="454">
        <v>2025</v>
      </c>
      <c r="I90" s="454">
        <v>2030</v>
      </c>
      <c r="J90" s="454">
        <v>2035</v>
      </c>
      <c r="K90" s="454">
        <v>2040</v>
      </c>
      <c r="L90" s="454">
        <v>2045</v>
      </c>
      <c r="M90" s="454">
        <v>2050</v>
      </c>
    </row>
    <row r="91" spans="2:15" s="453" customFormat="1" x14ac:dyDescent="0.2">
      <c r="C91" s="453" t="s">
        <v>294</v>
      </c>
      <c r="E91" s="453" t="s">
        <v>172</v>
      </c>
      <c r="F91" s="286">
        <f t="shared" ref="F91:M91" si="12">F74/$F58</f>
        <v>0</v>
      </c>
      <c r="G91" s="286">
        <f t="shared" si="12"/>
        <v>0</v>
      </c>
      <c r="H91" s="286">
        <f t="shared" si="12"/>
        <v>0.26666666666666666</v>
      </c>
      <c r="I91" s="286">
        <f t="shared" si="12"/>
        <v>0.35000000000000003</v>
      </c>
      <c r="J91" s="286">
        <f t="shared" si="12"/>
        <v>0.52500000000000002</v>
      </c>
      <c r="K91" s="286">
        <f t="shared" si="12"/>
        <v>0.69600000000000006</v>
      </c>
      <c r="L91" s="286">
        <f t="shared" si="12"/>
        <v>1.2180000000000002</v>
      </c>
      <c r="M91" s="286">
        <f t="shared" si="12"/>
        <v>2.4360000000000004</v>
      </c>
    </row>
    <row r="92" spans="2:15" s="453" customFormat="1" x14ac:dyDescent="0.2">
      <c r="C92" s="453" t="s">
        <v>295</v>
      </c>
      <c r="F92" s="286"/>
      <c r="G92" s="286">
        <v>0</v>
      </c>
      <c r="H92" s="286">
        <v>0</v>
      </c>
      <c r="I92" s="286">
        <v>0</v>
      </c>
      <c r="J92" s="286">
        <v>0</v>
      </c>
      <c r="K92" s="286">
        <f>H91</f>
        <v>0.26666666666666666</v>
      </c>
      <c r="L92" s="286">
        <f>I91</f>
        <v>0.35000000000000003</v>
      </c>
      <c r="M92" s="286">
        <f>J91</f>
        <v>0.52500000000000002</v>
      </c>
    </row>
    <row r="93" spans="2:15" s="453" customFormat="1" x14ac:dyDescent="0.2">
      <c r="C93" s="453" t="s">
        <v>296</v>
      </c>
      <c r="F93" s="286"/>
      <c r="G93" s="286">
        <f>(G91-F91+G92)/(G$90-F$90)</f>
        <v>0</v>
      </c>
      <c r="H93" s="286">
        <f t="shared" ref="H93:M93" si="13">(H91-G91+H92)/(H$90-G$90)</f>
        <v>5.333333333333333E-2</v>
      </c>
      <c r="I93" s="286">
        <f t="shared" si="13"/>
        <v>1.6666666666666673E-2</v>
      </c>
      <c r="J93" s="286">
        <f t="shared" si="13"/>
        <v>3.4999999999999996E-2</v>
      </c>
      <c r="K93" s="286">
        <f t="shared" si="13"/>
        <v>8.7533333333333338E-2</v>
      </c>
      <c r="L93" s="286">
        <f t="shared" si="13"/>
        <v>0.17440000000000003</v>
      </c>
      <c r="M93" s="286">
        <f t="shared" si="13"/>
        <v>0.34860000000000008</v>
      </c>
    </row>
    <row r="94" spans="2:15" s="453" customFormat="1" x14ac:dyDescent="0.2">
      <c r="F94" s="286"/>
      <c r="G94" s="286"/>
      <c r="H94" s="286"/>
      <c r="I94" s="286"/>
      <c r="J94" s="286"/>
      <c r="K94" s="286"/>
      <c r="L94" s="286"/>
      <c r="M94" s="286"/>
    </row>
    <row r="95" spans="2:15" s="453" customFormat="1" x14ac:dyDescent="0.2">
      <c r="F95" s="454">
        <v>2015</v>
      </c>
      <c r="G95" s="454">
        <v>2020</v>
      </c>
      <c r="H95" s="454">
        <v>2025</v>
      </c>
      <c r="I95" s="454">
        <v>2030</v>
      </c>
      <c r="J95" s="454">
        <v>2035</v>
      </c>
      <c r="K95" s="454">
        <v>2040</v>
      </c>
      <c r="L95" s="454">
        <v>2045</v>
      </c>
      <c r="M95" s="454">
        <v>2050</v>
      </c>
    </row>
    <row r="96" spans="2:15" x14ac:dyDescent="0.2">
      <c r="C96" s="453" t="s">
        <v>297</v>
      </c>
      <c r="D96" s="453"/>
      <c r="E96" s="453" t="s">
        <v>172</v>
      </c>
      <c r="F96" s="286"/>
      <c r="G96" s="286">
        <f t="shared" ref="G96:M96" si="14">G82/$F59</f>
        <v>0</v>
      </c>
      <c r="H96" s="286">
        <f t="shared" si="14"/>
        <v>0.22222222222222224</v>
      </c>
      <c r="I96" s="286">
        <f t="shared" si="14"/>
        <v>0.38888888888888895</v>
      </c>
      <c r="J96" s="286">
        <f t="shared" si="14"/>
        <v>0.58333333333333337</v>
      </c>
      <c r="K96" s="286">
        <f t="shared" si="14"/>
        <v>3.4800000000000004</v>
      </c>
      <c r="L96" s="286">
        <f t="shared" si="14"/>
        <v>7.5400000000000009</v>
      </c>
      <c r="M96" s="286">
        <f t="shared" si="14"/>
        <v>15.080000000000002</v>
      </c>
    </row>
    <row r="97" spans="1:14" x14ac:dyDescent="0.2">
      <c r="C97" s="453" t="s">
        <v>295</v>
      </c>
      <c r="D97" s="453"/>
      <c r="E97" s="453"/>
      <c r="F97" s="286"/>
      <c r="G97" s="286">
        <v>0</v>
      </c>
      <c r="H97" s="286">
        <v>0</v>
      </c>
      <c r="I97" s="286">
        <v>0</v>
      </c>
      <c r="J97" s="286">
        <v>0</v>
      </c>
      <c r="K97" s="286">
        <f>H96</f>
        <v>0.22222222222222224</v>
      </c>
      <c r="L97" s="286">
        <f>I96</f>
        <v>0.38888888888888895</v>
      </c>
      <c r="M97" s="286">
        <f>J96</f>
        <v>0.58333333333333337</v>
      </c>
    </row>
    <row r="98" spans="1:14" x14ac:dyDescent="0.2">
      <c r="C98" s="453" t="s">
        <v>296</v>
      </c>
      <c r="D98" s="453"/>
      <c r="E98" s="453"/>
      <c r="F98" s="286"/>
      <c r="G98" s="286">
        <f>(G96-F96+G97)/(G$90-F$90)</f>
        <v>0</v>
      </c>
      <c r="H98" s="286">
        <f t="shared" ref="H98:M98" si="15">(H96-G96+H97)/(H$90-G$90)</f>
        <v>4.4444444444444446E-2</v>
      </c>
      <c r="I98" s="286">
        <f t="shared" si="15"/>
        <v>3.333333333333334E-2</v>
      </c>
      <c r="J98" s="286">
        <f t="shared" si="15"/>
        <v>3.8888888888888883E-2</v>
      </c>
      <c r="K98" s="286">
        <f t="shared" si="15"/>
        <v>0.62377777777777788</v>
      </c>
      <c r="L98" s="286">
        <f t="shared" si="15"/>
        <v>0.889777777777778</v>
      </c>
      <c r="M98" s="286">
        <f t="shared" si="15"/>
        <v>1.6246666666666669</v>
      </c>
    </row>
    <row r="99" spans="1:14" x14ac:dyDescent="0.2">
      <c r="F99" s="455"/>
      <c r="G99" s="455"/>
      <c r="H99" s="455"/>
      <c r="I99" s="455"/>
      <c r="J99" s="455"/>
      <c r="K99" s="455"/>
      <c r="L99" s="455"/>
      <c r="M99" s="455"/>
    </row>
    <row r="100" spans="1:14" ht="15.75" x14ac:dyDescent="0.25">
      <c r="A100" s="456"/>
      <c r="B100" s="353" t="s">
        <v>181</v>
      </c>
      <c r="C100" s="355"/>
      <c r="D100" s="355"/>
      <c r="E100" s="355"/>
      <c r="F100" s="355"/>
      <c r="G100" s="355"/>
      <c r="H100" s="355"/>
      <c r="I100" s="355"/>
      <c r="J100" s="355"/>
      <c r="K100" s="355"/>
      <c r="L100" s="355"/>
      <c r="M100" s="355"/>
      <c r="N100" s="357"/>
    </row>
    <row r="101" spans="1:14" ht="5.25" customHeight="1" x14ac:dyDescent="0.25">
      <c r="A101" s="456"/>
      <c r="B101" s="358"/>
      <c r="C101" s="360"/>
      <c r="D101" s="360"/>
      <c r="E101" s="360"/>
      <c r="F101" s="360"/>
      <c r="G101" s="360"/>
      <c r="H101" s="360"/>
      <c r="I101" s="360"/>
      <c r="J101" s="360"/>
      <c r="K101" s="360"/>
      <c r="L101" s="360"/>
      <c r="M101" s="360"/>
      <c r="N101" s="362"/>
    </row>
    <row r="102" spans="1:14" ht="15.75" x14ac:dyDescent="0.25">
      <c r="A102" s="456"/>
      <c r="B102" s="358"/>
      <c r="C102" s="457" t="s">
        <v>298</v>
      </c>
      <c r="D102" s="360"/>
      <c r="E102" s="361"/>
      <c r="F102" s="360"/>
      <c r="G102" s="361"/>
      <c r="H102" s="360"/>
      <c r="I102" s="360"/>
      <c r="J102" s="360"/>
      <c r="K102" s="360"/>
      <c r="L102" s="360"/>
      <c r="M102" s="361" t="s">
        <v>171</v>
      </c>
      <c r="N102" s="362"/>
    </row>
    <row r="103" spans="1:14" ht="4.5" customHeight="1" x14ac:dyDescent="0.25">
      <c r="A103" s="456"/>
      <c r="B103" s="358"/>
      <c r="C103" s="360"/>
      <c r="D103" s="360"/>
      <c r="E103" s="360"/>
      <c r="F103" s="360"/>
      <c r="G103" s="360"/>
      <c r="H103" s="360"/>
      <c r="I103" s="360"/>
      <c r="J103" s="360"/>
      <c r="K103" s="360"/>
      <c r="L103" s="360"/>
      <c r="M103" s="360"/>
      <c r="N103" s="362"/>
    </row>
    <row r="104" spans="1:14" ht="15.75" x14ac:dyDescent="0.25">
      <c r="A104" s="456"/>
      <c r="B104" s="363"/>
      <c r="C104" s="458" t="s">
        <v>146</v>
      </c>
      <c r="D104" s="458" t="s">
        <v>242</v>
      </c>
      <c r="E104" s="327" t="s">
        <v>8</v>
      </c>
      <c r="F104" s="327" t="s">
        <v>16</v>
      </c>
      <c r="G104" s="327" t="s">
        <v>17</v>
      </c>
      <c r="H104" s="327" t="s">
        <v>18</v>
      </c>
      <c r="I104" s="327" t="s">
        <v>19</v>
      </c>
      <c r="J104" s="327" t="s">
        <v>20</v>
      </c>
      <c r="K104" s="327" t="s">
        <v>21</v>
      </c>
      <c r="L104" s="327" t="s">
        <v>22</v>
      </c>
      <c r="M104" s="327" t="s">
        <v>23</v>
      </c>
      <c r="N104" s="362"/>
    </row>
    <row r="105" spans="1:14" ht="15.75" x14ac:dyDescent="0.25">
      <c r="A105" s="456"/>
      <c r="B105" s="363"/>
      <c r="C105" s="73" t="s">
        <v>150</v>
      </c>
      <c r="D105" s="73" t="s">
        <v>243</v>
      </c>
      <c r="E105" s="73"/>
      <c r="F105" s="3037">
        <f>F79+F87</f>
        <v>0</v>
      </c>
      <c r="G105" s="3037">
        <f t="shared" ref="G105:L105" si="16">G79+G87</f>
        <v>0</v>
      </c>
      <c r="H105" s="3037">
        <f t="shared" si="16"/>
        <v>1.341198E-2</v>
      </c>
      <c r="I105" s="3037">
        <f t="shared" si="16"/>
        <v>1.9329030000000001E-2</v>
      </c>
      <c r="J105" s="3037">
        <f t="shared" si="16"/>
        <v>2.8993545000000003E-2</v>
      </c>
      <c r="K105" s="3037">
        <f t="shared" si="16"/>
        <v>8.6483602800000003E-2</v>
      </c>
      <c r="L105" s="3037">
        <f t="shared" si="16"/>
        <v>0.1770854724</v>
      </c>
      <c r="M105" s="3037">
        <f>M79+M87</f>
        <v>0.3541709448</v>
      </c>
      <c r="N105" s="362"/>
    </row>
    <row r="106" spans="1:14" ht="15.75" x14ac:dyDescent="0.25">
      <c r="A106" s="456"/>
      <c r="B106" s="363"/>
      <c r="C106" s="73" t="s">
        <v>285</v>
      </c>
      <c r="D106" s="73" t="s">
        <v>275</v>
      </c>
      <c r="E106" s="73"/>
      <c r="F106" s="3037">
        <f>-F79</f>
        <v>0</v>
      </c>
      <c r="G106" s="3037">
        <f t="shared" ref="G106:M106" si="17">-G79</f>
        <v>0</v>
      </c>
      <c r="H106" s="3037">
        <f t="shared" si="17"/>
        <v>-9.4672799999999998E-3</v>
      </c>
      <c r="I106" s="3037">
        <f t="shared" si="17"/>
        <v>-1.2425805000000002E-2</v>
      </c>
      <c r="J106" s="3037">
        <f t="shared" si="17"/>
        <v>-1.8638707500000001E-2</v>
      </c>
      <c r="K106" s="3037">
        <f>-K79</f>
        <v>-2.4709600800000002E-2</v>
      </c>
      <c r="L106" s="3037">
        <f t="shared" si="17"/>
        <v>-4.3241801400000002E-2</v>
      </c>
      <c r="M106" s="3037">
        <f t="shared" si="17"/>
        <v>-8.6483602800000003E-2</v>
      </c>
      <c r="N106" s="362"/>
    </row>
    <row r="107" spans="1:14" ht="15.75" x14ac:dyDescent="0.25">
      <c r="A107" s="456"/>
      <c r="B107" s="363"/>
      <c r="C107" s="73" t="s">
        <v>286</v>
      </c>
      <c r="D107" s="73" t="s">
        <v>276</v>
      </c>
      <c r="E107" s="73"/>
      <c r="F107" s="3037">
        <f>-F87</f>
        <v>0</v>
      </c>
      <c r="G107" s="3037">
        <f t="shared" ref="G107:M107" si="18">-G87</f>
        <v>0</v>
      </c>
      <c r="H107" s="3037">
        <f t="shared" si="18"/>
        <v>-3.9447000000000006E-3</v>
      </c>
      <c r="I107" s="3037">
        <f t="shared" si="18"/>
        <v>-6.9032249999999998E-3</v>
      </c>
      <c r="J107" s="3037">
        <f t="shared" si="18"/>
        <v>-1.03548375E-2</v>
      </c>
      <c r="K107" s="3037">
        <f t="shared" si="18"/>
        <v>-6.1774002000000001E-2</v>
      </c>
      <c r="L107" s="3037">
        <f t="shared" si="18"/>
        <v>-0.133843671</v>
      </c>
      <c r="M107" s="3037">
        <f t="shared" si="18"/>
        <v>-0.26768734199999999</v>
      </c>
      <c r="N107" s="362"/>
    </row>
    <row r="108" spans="1:14" ht="15.75" x14ac:dyDescent="0.25">
      <c r="A108" s="456"/>
      <c r="B108" s="363"/>
      <c r="C108" s="460"/>
      <c r="D108" s="460"/>
      <c r="E108" s="460"/>
      <c r="F108" s="3038">
        <f>SUBTOTAL(109,III.c.Outputs[2015])</f>
        <v>0</v>
      </c>
      <c r="G108" s="3038">
        <f>SUBTOTAL(109,III.c.Outputs[2020])</f>
        <v>0</v>
      </c>
      <c r="H108" s="3038">
        <f>SUBTOTAL(109,III.c.Outputs[2025])</f>
        <v>0</v>
      </c>
      <c r="I108" s="3038">
        <f>SUBTOTAL(109,III.c.Outputs[2030])</f>
        <v>0</v>
      </c>
      <c r="J108" s="3038">
        <f>SUBTOTAL(109,III.c.Outputs[2035])</f>
        <v>0</v>
      </c>
      <c r="K108" s="3038">
        <f>SUBTOTAL(109,III.c.Outputs[2040])</f>
        <v>0</v>
      </c>
      <c r="L108" s="3038">
        <f>SUBTOTAL(109,III.c.Outputs[2045])</f>
        <v>0</v>
      </c>
      <c r="M108" s="3038">
        <f>SUBTOTAL(109,III.c.Outputs[2050])</f>
        <v>0</v>
      </c>
      <c r="N108" s="362"/>
    </row>
    <row r="109" spans="1:14" ht="15.75" x14ac:dyDescent="0.25">
      <c r="A109" s="456"/>
      <c r="B109" s="461"/>
      <c r="C109" s="460"/>
      <c r="D109" s="460"/>
      <c r="E109" s="460"/>
      <c r="F109" s="460"/>
      <c r="G109" s="460"/>
      <c r="H109" s="460"/>
      <c r="I109" s="460"/>
      <c r="J109" s="460"/>
      <c r="K109" s="460"/>
      <c r="L109" s="460"/>
      <c r="M109" s="460"/>
      <c r="N109" s="360"/>
    </row>
    <row r="110" spans="1:14" ht="15.75" x14ac:dyDescent="0.25">
      <c r="A110" s="456"/>
      <c r="B110" s="461"/>
      <c r="C110" s="460"/>
      <c r="D110" s="460"/>
      <c r="E110" s="460"/>
      <c r="F110" s="460"/>
      <c r="G110" s="460"/>
      <c r="H110" s="460"/>
      <c r="I110" s="460"/>
      <c r="J110" s="460"/>
      <c r="K110" s="460"/>
      <c r="L110" s="460"/>
      <c r="M110" s="460"/>
      <c r="N110" s="360"/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AI80"/>
  <sheetViews>
    <sheetView topLeftCell="A4" zoomScaleNormal="100" workbookViewId="0">
      <selection activeCell="M24" sqref="M24"/>
    </sheetView>
  </sheetViews>
  <sheetFormatPr baseColWidth="10" defaultRowHeight="12.75" x14ac:dyDescent="0.2"/>
  <cols>
    <col min="1" max="1" width="8.5703125" customWidth="1"/>
    <col min="4" max="4" width="31.42578125" bestFit="1" customWidth="1"/>
    <col min="14" max="14" width="11.42578125" customWidth="1"/>
  </cols>
  <sheetData>
    <row r="1" spans="1:35" ht="20.25" x14ac:dyDescent="0.3">
      <c r="A1" s="349" t="s">
        <v>206</v>
      </c>
      <c r="B1" s="349" t="s">
        <v>207</v>
      </c>
      <c r="C1" s="349"/>
    </row>
    <row r="2" spans="1:35" ht="15.75" x14ac:dyDescent="0.2">
      <c r="A2" s="350" t="s">
        <v>60</v>
      </c>
      <c r="B2" s="350" t="str">
        <f>INDEX(Modulos[Modulos], MATCH($A2, Modulos[Código], 0))</f>
        <v>Geotérmica</v>
      </c>
      <c r="C2" s="350"/>
      <c r="D2" s="14"/>
      <c r="E2" s="462"/>
      <c r="F2" s="14"/>
      <c r="G2" s="14"/>
      <c r="H2" s="14"/>
      <c r="I2" s="14"/>
      <c r="J2" s="14"/>
      <c r="K2" s="14"/>
      <c r="L2" s="14"/>
      <c r="M2" s="14"/>
      <c r="N2" s="14"/>
    </row>
    <row r="4" spans="1:35" ht="23.25" x14ac:dyDescent="0.35">
      <c r="A4" s="352"/>
      <c r="B4" s="353" t="s">
        <v>144</v>
      </c>
      <c r="C4" s="355"/>
      <c r="D4" s="355"/>
      <c r="E4" s="355"/>
      <c r="F4" s="355"/>
      <c r="G4" s="355"/>
      <c r="H4" s="355"/>
      <c r="I4" s="355"/>
      <c r="J4" s="355"/>
      <c r="K4" s="355"/>
      <c r="L4" s="355"/>
      <c r="M4" s="355"/>
      <c r="N4" s="355"/>
    </row>
    <row r="5" spans="1:35" x14ac:dyDescent="0.2">
      <c r="B5" s="358"/>
      <c r="C5" s="359"/>
      <c r="D5" s="360"/>
      <c r="E5" s="361"/>
      <c r="F5" s="360"/>
      <c r="G5" s="360"/>
      <c r="H5" s="360"/>
      <c r="I5" s="360"/>
      <c r="J5" s="360"/>
      <c r="K5" s="360"/>
      <c r="L5" s="360"/>
      <c r="M5" s="360"/>
      <c r="N5" s="360"/>
    </row>
    <row r="6" spans="1:35" ht="15.75" x14ac:dyDescent="0.25">
      <c r="B6" s="363"/>
      <c r="C6" s="360"/>
      <c r="D6" s="364" t="s">
        <v>2</v>
      </c>
      <c r="E6" s="364" t="s">
        <v>3</v>
      </c>
      <c r="F6" s="360"/>
      <c r="G6" s="360"/>
      <c r="H6" s="360"/>
      <c r="I6" s="360"/>
      <c r="J6" s="360"/>
      <c r="K6" s="360"/>
      <c r="L6" s="360"/>
      <c r="M6" s="360"/>
      <c r="N6" s="360"/>
    </row>
    <row r="7" spans="1:35" ht="15.75" x14ac:dyDescent="0.25">
      <c r="B7" s="363"/>
      <c r="C7" s="360"/>
      <c r="D7" s="463" t="str">
        <f>B2</f>
        <v>Geotérmica</v>
      </c>
      <c r="E7" s="463">
        <f>Control!F62</f>
        <v>1</v>
      </c>
      <c r="F7" s="360"/>
      <c r="G7" s="360"/>
      <c r="H7" s="360"/>
      <c r="I7" s="360"/>
      <c r="J7" s="360"/>
      <c r="K7" s="360"/>
      <c r="L7" s="360"/>
      <c r="M7" s="360"/>
      <c r="N7" s="360"/>
    </row>
    <row r="8" spans="1:35" x14ac:dyDescent="0.2">
      <c r="B8" s="464"/>
      <c r="C8" s="369"/>
      <c r="D8" s="369"/>
      <c r="E8" s="369"/>
      <c r="F8" s="369"/>
      <c r="G8" s="369"/>
      <c r="H8" s="369"/>
      <c r="I8" s="369"/>
      <c r="J8" s="369"/>
      <c r="K8" s="369"/>
      <c r="L8" s="369"/>
      <c r="M8" s="369"/>
      <c r="N8" s="369"/>
    </row>
    <row r="10" spans="1:35" ht="23.25" x14ac:dyDescent="0.35">
      <c r="A10" s="352"/>
      <c r="B10" s="371" t="s">
        <v>151</v>
      </c>
      <c r="C10" s="372"/>
      <c r="D10" s="372"/>
      <c r="E10" s="372"/>
      <c r="F10" s="372"/>
      <c r="G10" s="372"/>
      <c r="H10" s="372"/>
      <c r="I10" s="372"/>
      <c r="J10" s="372"/>
      <c r="K10" s="372"/>
      <c r="L10" s="372"/>
      <c r="M10" s="372"/>
      <c r="N10" s="372"/>
    </row>
    <row r="11" spans="1:35" x14ac:dyDescent="0.2">
      <c r="B11" s="374"/>
      <c r="C11" s="375"/>
      <c r="D11" s="375"/>
      <c r="E11" s="375"/>
      <c r="F11" s="375"/>
      <c r="G11" s="375"/>
      <c r="H11" s="375"/>
      <c r="I11" s="375"/>
      <c r="J11" s="375"/>
      <c r="K11" s="375"/>
      <c r="L11" s="375"/>
      <c r="M11" s="375"/>
      <c r="N11" s="375"/>
    </row>
    <row r="12" spans="1:35" x14ac:dyDescent="0.2">
      <c r="B12" s="374"/>
      <c r="C12" s="377" t="s">
        <v>299</v>
      </c>
      <c r="D12" s="375"/>
      <c r="E12" s="378"/>
      <c r="F12" s="375"/>
      <c r="G12" s="375"/>
      <c r="H12" s="375"/>
      <c r="I12" s="375"/>
      <c r="J12" s="375"/>
      <c r="K12" s="375"/>
      <c r="L12" s="375"/>
      <c r="M12" s="378" t="s">
        <v>152</v>
      </c>
      <c r="N12" s="375"/>
    </row>
    <row r="13" spans="1:35" x14ac:dyDescent="0.2">
      <c r="B13" s="374"/>
      <c r="C13" s="375"/>
      <c r="D13" s="375"/>
      <c r="E13" s="375"/>
      <c r="F13" s="375"/>
      <c r="G13" s="375"/>
      <c r="H13" s="375"/>
      <c r="I13" s="375"/>
      <c r="J13" s="375"/>
      <c r="K13" s="375"/>
      <c r="L13" s="375"/>
      <c r="M13" s="375"/>
      <c r="N13" s="375"/>
    </row>
    <row r="14" spans="1:35" ht="15.75" x14ac:dyDescent="0.25">
      <c r="B14" s="379"/>
      <c r="C14" s="380" t="s">
        <v>3</v>
      </c>
      <c r="D14" s="380" t="s">
        <v>7</v>
      </c>
      <c r="E14" s="380" t="s">
        <v>8</v>
      </c>
      <c r="F14" s="381">
        <v>2015</v>
      </c>
      <c r="G14" s="381">
        <v>2020</v>
      </c>
      <c r="H14" s="381">
        <v>2025</v>
      </c>
      <c r="I14" s="381">
        <v>2030</v>
      </c>
      <c r="J14" s="381">
        <v>2035</v>
      </c>
      <c r="K14" s="381">
        <v>2040</v>
      </c>
      <c r="L14" s="381">
        <v>2045</v>
      </c>
      <c r="M14" s="381">
        <v>2050</v>
      </c>
      <c r="N14" s="376"/>
    </row>
    <row r="15" spans="1:35" ht="15.75" x14ac:dyDescent="0.2">
      <c r="B15" s="383"/>
      <c r="C15" s="384">
        <v>1</v>
      </c>
      <c r="D15" s="385"/>
      <c r="E15" s="409">
        <v>1</v>
      </c>
      <c r="F15" s="410">
        <v>0</v>
      </c>
      <c r="G15" s="410">
        <v>0.05</v>
      </c>
      <c r="H15" s="410">
        <v>0.05</v>
      </c>
      <c r="I15" s="410">
        <v>0.05</v>
      </c>
      <c r="J15" s="410">
        <v>0.05</v>
      </c>
      <c r="K15" s="410">
        <v>0.05</v>
      </c>
      <c r="L15" s="410">
        <v>0.05</v>
      </c>
      <c r="M15" s="410">
        <v>0.05</v>
      </c>
      <c r="N15" s="389"/>
    </row>
    <row r="16" spans="1:35" ht="15.75" x14ac:dyDescent="0.25">
      <c r="B16" s="379"/>
      <c r="C16" s="384">
        <v>2</v>
      </c>
      <c r="D16" s="385"/>
      <c r="E16" s="385">
        <v>1</v>
      </c>
      <c r="F16" s="410">
        <v>0</v>
      </c>
      <c r="G16" s="410">
        <v>0.1</v>
      </c>
      <c r="H16" s="410">
        <v>0.2</v>
      </c>
      <c r="I16" s="410">
        <v>0.30000000000000004</v>
      </c>
      <c r="J16" s="410">
        <v>0.40000000000000008</v>
      </c>
      <c r="K16" s="410">
        <v>0.50000000000000011</v>
      </c>
      <c r="L16" s="410">
        <v>0.60000000000000009</v>
      </c>
      <c r="M16" s="410">
        <v>0.70000000000000007</v>
      </c>
      <c r="N16" s="376"/>
      <c r="Z16" s="1325"/>
      <c r="AC16" s="1325"/>
      <c r="AD16" s="1325"/>
      <c r="AE16" s="1325"/>
      <c r="AF16" s="1325"/>
      <c r="AG16" s="1325"/>
      <c r="AH16" s="1325"/>
      <c r="AI16" s="1325"/>
    </row>
    <row r="17" spans="1:35" ht="15.75" x14ac:dyDescent="0.25">
      <c r="B17" s="379"/>
      <c r="C17" s="384">
        <v>3</v>
      </c>
      <c r="D17" s="385"/>
      <c r="E17" s="385"/>
      <c r="F17" s="410">
        <v>0</v>
      </c>
      <c r="G17" s="410">
        <v>0.27351875000000003</v>
      </c>
      <c r="H17" s="410">
        <v>0.47253125000000007</v>
      </c>
      <c r="I17" s="410">
        <v>0.89506250000000009</v>
      </c>
      <c r="J17" s="410">
        <v>1.0844894843749999</v>
      </c>
      <c r="K17" s="410">
        <v>1.2327660937499998</v>
      </c>
      <c r="L17" s="410">
        <v>1.3344906249999999</v>
      </c>
      <c r="M17" s="410">
        <v>1.4389375</v>
      </c>
      <c r="N17" s="376"/>
      <c r="Z17" s="1325"/>
      <c r="AC17" s="1325"/>
      <c r="AD17" s="1325"/>
      <c r="AE17" s="1325"/>
      <c r="AF17" s="1325"/>
      <c r="AG17" s="1325"/>
      <c r="AH17" s="1325"/>
      <c r="AI17" s="1325"/>
    </row>
    <row r="18" spans="1:35" ht="15.75" x14ac:dyDescent="0.25">
      <c r="B18" s="379"/>
      <c r="C18" s="393">
        <v>4</v>
      </c>
      <c r="D18" s="394"/>
      <c r="E18" s="394">
        <v>2</v>
      </c>
      <c r="F18" s="410">
        <v>0</v>
      </c>
      <c r="G18" s="410">
        <v>0.44703750000000003</v>
      </c>
      <c r="H18" s="410">
        <v>0.74506250000000007</v>
      </c>
      <c r="I18" s="410">
        <v>1.4901250000000001</v>
      </c>
      <c r="J18" s="410">
        <v>1.7689789687499997</v>
      </c>
      <c r="K18" s="410">
        <v>1.9655321874999996</v>
      </c>
      <c r="L18" s="410">
        <v>2.0689812499999998</v>
      </c>
      <c r="M18" s="410">
        <v>2.1778749999999998</v>
      </c>
      <c r="N18" s="376"/>
      <c r="Z18" s="1325"/>
      <c r="AC18" s="1325"/>
      <c r="AD18" s="1325"/>
      <c r="AE18" s="1325"/>
      <c r="AF18" s="1325"/>
      <c r="AG18" s="1325"/>
      <c r="AH18" s="1325"/>
      <c r="AI18" s="1325"/>
    </row>
    <row r="19" spans="1:35" ht="15.75" x14ac:dyDescent="0.25">
      <c r="B19" s="379"/>
      <c r="C19" s="399" t="s">
        <v>153</v>
      </c>
      <c r="D19" s="400"/>
      <c r="E19" s="400"/>
      <c r="F19" s="176">
        <f t="shared" ref="F19:M19" si="0">(INDEX(F$15:F$18,ROUNDDOWN($E$7,0))*(1-MOD($E$7,1)))+(INDEX(F$15:F$18,ROUNDUP($E$7,0))*MOD($E$7,1))</f>
        <v>0</v>
      </c>
      <c r="G19" s="401">
        <f t="shared" si="0"/>
        <v>0.05</v>
      </c>
      <c r="H19" s="401">
        <f t="shared" si="0"/>
        <v>0.05</v>
      </c>
      <c r="I19" s="401">
        <f t="shared" si="0"/>
        <v>0.05</v>
      </c>
      <c r="J19" s="401">
        <f t="shared" si="0"/>
        <v>0.05</v>
      </c>
      <c r="K19" s="401">
        <f t="shared" si="0"/>
        <v>0.05</v>
      </c>
      <c r="L19" s="401">
        <f t="shared" si="0"/>
        <v>0.05</v>
      </c>
      <c r="M19" s="401">
        <f t="shared" si="0"/>
        <v>0.05</v>
      </c>
      <c r="N19" s="376"/>
    </row>
    <row r="20" spans="1:35" x14ac:dyDescent="0.2">
      <c r="B20" s="408"/>
      <c r="C20" s="375"/>
      <c r="D20" s="411"/>
      <c r="E20" s="375"/>
      <c r="F20" s="375"/>
      <c r="G20" s="465"/>
      <c r="H20" s="465"/>
      <c r="I20" s="465"/>
      <c r="J20" s="465"/>
      <c r="K20" s="465"/>
      <c r="L20" s="465"/>
      <c r="M20" s="465"/>
      <c r="N20" s="465"/>
    </row>
    <row r="21" spans="1:35" x14ac:dyDescent="0.2">
      <c r="B21" s="466"/>
      <c r="C21" s="375" t="s">
        <v>11</v>
      </c>
      <c r="D21" s="411"/>
      <c r="E21" s="375"/>
      <c r="F21" s="375"/>
      <c r="G21" s="375"/>
      <c r="H21" s="375"/>
      <c r="I21" s="375"/>
      <c r="J21" s="375"/>
      <c r="K21" s="375"/>
      <c r="L21" s="375"/>
      <c r="M21" s="375"/>
      <c r="N21" s="375"/>
    </row>
    <row r="22" spans="1:35" x14ac:dyDescent="0.2">
      <c r="B22" s="466"/>
      <c r="C22" s="378" t="s">
        <v>12</v>
      </c>
      <c r="D22" s="411" t="s">
        <v>300</v>
      </c>
      <c r="E22" s="375"/>
      <c r="F22" s="375"/>
      <c r="G22" s="375"/>
      <c r="H22" s="375"/>
      <c r="I22" s="375"/>
      <c r="J22" s="375"/>
      <c r="K22" s="375"/>
      <c r="L22" s="375"/>
      <c r="M22" s="375"/>
      <c r="N22" s="375"/>
    </row>
    <row r="23" spans="1:35" x14ac:dyDescent="0.2">
      <c r="B23" s="466"/>
      <c r="C23" s="378" t="s">
        <v>133</v>
      </c>
      <c r="D23" s="411" t="s">
        <v>301</v>
      </c>
      <c r="E23" s="375"/>
      <c r="F23" s="375"/>
      <c r="G23" s="375"/>
      <c r="H23" s="375"/>
      <c r="I23" s="375"/>
      <c r="J23" s="375"/>
      <c r="K23" s="375"/>
      <c r="L23" s="375"/>
      <c r="M23" s="375"/>
      <c r="N23" s="375"/>
    </row>
    <row r="24" spans="1:35" x14ac:dyDescent="0.2">
      <c r="B24" s="466"/>
      <c r="C24" s="378"/>
      <c r="D24" s="411"/>
      <c r="E24" s="375"/>
      <c r="F24" s="375"/>
      <c r="G24" s="375"/>
      <c r="H24" s="375"/>
      <c r="I24" s="375"/>
      <c r="J24" s="375"/>
      <c r="K24" s="375"/>
      <c r="L24" s="375"/>
      <c r="M24" s="375"/>
      <c r="N24" s="375"/>
    </row>
    <row r="26" spans="1:35" ht="23.25" x14ac:dyDescent="0.2">
      <c r="A26" s="412"/>
      <c r="B26" s="371" t="s">
        <v>216</v>
      </c>
      <c r="C26" s="372"/>
      <c r="D26" s="372"/>
      <c r="E26" s="372"/>
      <c r="F26" s="372"/>
      <c r="G26" s="372"/>
      <c r="H26" s="372"/>
      <c r="I26" s="372"/>
      <c r="J26" s="372"/>
      <c r="K26" s="372"/>
      <c r="L26" s="372"/>
      <c r="M26" s="372"/>
      <c r="N26" s="372"/>
    </row>
    <row r="27" spans="1:35" x14ac:dyDescent="0.2">
      <c r="B27" s="374"/>
      <c r="C27" s="375"/>
      <c r="D27" s="375"/>
      <c r="E27" s="375"/>
      <c r="F27" s="375"/>
      <c r="G27" s="375"/>
      <c r="H27" s="375"/>
      <c r="I27" s="375"/>
      <c r="J27" s="375"/>
      <c r="K27" s="375"/>
      <c r="L27" s="375"/>
      <c r="M27" s="375"/>
      <c r="N27" s="375"/>
    </row>
    <row r="28" spans="1:35" x14ac:dyDescent="0.2">
      <c r="B28" s="374"/>
      <c r="C28" s="377" t="s">
        <v>217</v>
      </c>
      <c r="D28" s="375"/>
      <c r="E28" s="375"/>
      <c r="F28" s="375"/>
      <c r="G28" s="378"/>
      <c r="H28" s="375"/>
      <c r="I28" s="375"/>
      <c r="J28" s="375"/>
      <c r="K28" s="375"/>
      <c r="L28" s="375"/>
      <c r="M28" s="375"/>
      <c r="N28" s="375"/>
    </row>
    <row r="29" spans="1:35" x14ac:dyDescent="0.2">
      <c r="B29" s="374"/>
      <c r="C29" s="375"/>
      <c r="D29" s="375"/>
      <c r="E29" s="375"/>
      <c r="F29" s="375"/>
      <c r="G29" s="375"/>
      <c r="H29" s="375"/>
      <c r="I29" s="375"/>
      <c r="J29" s="375"/>
      <c r="K29" s="375"/>
      <c r="L29" s="375"/>
      <c r="M29" s="375"/>
      <c r="N29" s="375"/>
    </row>
    <row r="30" spans="1:35" ht="15.75" x14ac:dyDescent="0.25">
      <c r="B30" s="379"/>
      <c r="C30" s="380" t="s">
        <v>155</v>
      </c>
      <c r="D30" s="380" t="s">
        <v>156</v>
      </c>
      <c r="E30" s="380" t="s">
        <v>8</v>
      </c>
      <c r="F30" s="381">
        <v>2015</v>
      </c>
      <c r="G30" s="381">
        <v>2020</v>
      </c>
      <c r="H30" s="381">
        <v>2025</v>
      </c>
      <c r="I30" s="381">
        <v>2030</v>
      </c>
      <c r="J30" s="381">
        <v>2035</v>
      </c>
      <c r="K30" s="381">
        <v>2040</v>
      </c>
      <c r="L30" s="381">
        <v>2045</v>
      </c>
      <c r="M30" s="381">
        <v>2050</v>
      </c>
      <c r="N30" s="375"/>
    </row>
    <row r="31" spans="1:35" ht="15.75" x14ac:dyDescent="0.25">
      <c r="B31" s="379"/>
      <c r="C31" s="467" t="s">
        <v>302</v>
      </c>
      <c r="D31" s="468" t="s">
        <v>303</v>
      </c>
      <c r="E31" s="468"/>
      <c r="F31" s="469">
        <v>0.8</v>
      </c>
      <c r="G31" s="470">
        <v>0.8</v>
      </c>
      <c r="H31" s="470">
        <v>0.8</v>
      </c>
      <c r="I31" s="470">
        <v>0.8</v>
      </c>
      <c r="J31" s="470">
        <v>0.8</v>
      </c>
      <c r="K31" s="470">
        <v>0.8</v>
      </c>
      <c r="L31" s="470">
        <v>0.8</v>
      </c>
      <c r="M31" s="470">
        <v>0.8</v>
      </c>
      <c r="N31" s="375"/>
    </row>
    <row r="32" spans="1:35" x14ac:dyDescent="0.2">
      <c r="B32" s="471"/>
      <c r="C32" s="375"/>
      <c r="D32" s="375"/>
      <c r="E32" s="375"/>
      <c r="F32" s="375"/>
      <c r="G32" s="375"/>
      <c r="H32" s="375"/>
      <c r="I32" s="375"/>
      <c r="J32" s="375"/>
      <c r="K32" s="375"/>
      <c r="L32" s="375"/>
      <c r="M32" s="375"/>
      <c r="N32" s="375"/>
    </row>
    <row r="33" spans="2:14" ht="15.75" x14ac:dyDescent="0.25">
      <c r="B33" s="379"/>
      <c r="C33" s="377" t="s">
        <v>304</v>
      </c>
      <c r="D33" s="375"/>
      <c r="E33" s="375"/>
      <c r="F33" s="375"/>
      <c r="G33" s="378"/>
      <c r="H33" s="375"/>
      <c r="I33" s="375"/>
      <c r="J33" s="375"/>
      <c r="K33" s="375"/>
      <c r="L33" s="375"/>
      <c r="M33" s="375"/>
      <c r="N33" s="375"/>
    </row>
    <row r="34" spans="2:14" ht="15.75" x14ac:dyDescent="0.25">
      <c r="B34" s="379"/>
      <c r="C34" s="380"/>
      <c r="D34" s="380"/>
      <c r="E34" s="380"/>
      <c r="F34" s="381"/>
      <c r="G34" s="428" t="s">
        <v>305</v>
      </c>
      <c r="H34" s="428"/>
      <c r="I34" s="375"/>
      <c r="J34" s="472"/>
      <c r="K34" s="472"/>
      <c r="L34" s="472"/>
      <c r="M34" s="472"/>
      <c r="N34" s="472"/>
    </row>
    <row r="35" spans="2:14" ht="15.75" x14ac:dyDescent="0.25">
      <c r="B35" s="379"/>
      <c r="C35" s="417"/>
      <c r="D35" s="418" t="s">
        <v>306</v>
      </c>
      <c r="E35" s="418"/>
      <c r="F35" s="473">
        <v>0.1</v>
      </c>
      <c r="G35" s="436" t="s">
        <v>162</v>
      </c>
      <c r="H35" s="436"/>
      <c r="I35" s="375"/>
      <c r="J35" s="410"/>
      <c r="K35" s="410"/>
      <c r="L35" s="410"/>
      <c r="M35" s="410"/>
      <c r="N35" s="410"/>
    </row>
    <row r="36" spans="2:14" ht="15.75" x14ac:dyDescent="0.25">
      <c r="B36" s="379"/>
      <c r="C36" s="384"/>
      <c r="D36" s="385"/>
      <c r="E36" s="385"/>
      <c r="F36" s="178"/>
      <c r="G36" s="442"/>
      <c r="H36" s="442"/>
      <c r="I36" s="375"/>
      <c r="J36" s="410"/>
      <c r="K36" s="410"/>
      <c r="L36" s="410"/>
      <c r="M36" s="410"/>
      <c r="N36" s="410"/>
    </row>
    <row r="37" spans="2:14" ht="15.75" x14ac:dyDescent="0.25">
      <c r="B37" s="379"/>
      <c r="C37" s="377" t="s">
        <v>577</v>
      </c>
      <c r="D37" s="375"/>
      <c r="E37" s="375"/>
      <c r="F37" s="375"/>
      <c r="G37" s="378"/>
      <c r="H37" s="375"/>
      <c r="I37" s="375"/>
      <c r="J37" s="375"/>
      <c r="K37" s="375"/>
      <c r="L37" s="375"/>
      <c r="M37" s="378" t="s">
        <v>190</v>
      </c>
      <c r="N37" s="410"/>
    </row>
    <row r="38" spans="2:14" ht="6" customHeight="1" x14ac:dyDescent="0.25">
      <c r="B38" s="379"/>
      <c r="C38" s="375"/>
      <c r="D38" s="375"/>
      <c r="E38" s="375"/>
      <c r="F38" s="375"/>
      <c r="G38" s="375"/>
      <c r="H38" s="375"/>
      <c r="I38" s="375"/>
      <c r="J38" s="375"/>
      <c r="K38" s="375"/>
      <c r="L38" s="375"/>
      <c r="M38" s="375"/>
      <c r="N38" s="410"/>
    </row>
    <row r="39" spans="2:14" ht="15.75" x14ac:dyDescent="0.25">
      <c r="B39" s="379"/>
      <c r="C39" s="380" t="s">
        <v>155</v>
      </c>
      <c r="D39" s="380" t="s">
        <v>156</v>
      </c>
      <c r="E39" s="380" t="s">
        <v>8</v>
      </c>
      <c r="F39" s="381">
        <v>2015</v>
      </c>
      <c r="G39" s="381">
        <v>2020</v>
      </c>
      <c r="H39" s="381">
        <v>2025</v>
      </c>
      <c r="I39" s="381">
        <v>2030</v>
      </c>
      <c r="J39" s="381">
        <v>2035</v>
      </c>
      <c r="K39" s="381">
        <v>2040</v>
      </c>
      <c r="L39" s="381">
        <v>2045</v>
      </c>
      <c r="M39" s="381">
        <v>2050</v>
      </c>
      <c r="N39" s="410"/>
    </row>
    <row r="40" spans="2:14" ht="15.75" x14ac:dyDescent="0.25">
      <c r="B40" s="379"/>
      <c r="C40" s="467" t="s">
        <v>302</v>
      </c>
      <c r="D40" s="468" t="s">
        <v>303</v>
      </c>
      <c r="E40" s="485" t="s">
        <v>133</v>
      </c>
      <c r="F40" s="469">
        <v>0.1</v>
      </c>
      <c r="G40" s="469">
        <v>0.1</v>
      </c>
      <c r="H40" s="469">
        <v>0.1</v>
      </c>
      <c r="I40" s="469">
        <v>0.1</v>
      </c>
      <c r="J40" s="469">
        <v>0.1</v>
      </c>
      <c r="K40" s="469">
        <v>0.1</v>
      </c>
      <c r="L40" s="469">
        <v>0.1</v>
      </c>
      <c r="M40" s="469">
        <v>0.1</v>
      </c>
      <c r="N40" s="410"/>
    </row>
    <row r="41" spans="2:14" ht="5.25" customHeight="1" x14ac:dyDescent="0.25">
      <c r="B41" s="379"/>
      <c r="C41" s="384"/>
      <c r="D41" s="385"/>
      <c r="E41" s="484"/>
      <c r="F41" s="426"/>
      <c r="G41" s="426"/>
      <c r="H41" s="426"/>
      <c r="I41" s="426"/>
      <c r="J41" s="426"/>
      <c r="K41" s="426"/>
      <c r="L41" s="426"/>
      <c r="M41" s="426"/>
      <c r="N41" s="410"/>
    </row>
    <row r="42" spans="2:14" ht="15.75" x14ac:dyDescent="0.25">
      <c r="B42" s="379"/>
      <c r="C42" s="375" t="s">
        <v>11</v>
      </c>
      <c r="D42" s="411"/>
      <c r="E42" s="484"/>
      <c r="F42" s="426"/>
      <c r="G42" s="426"/>
      <c r="H42" s="426"/>
      <c r="I42" s="426"/>
      <c r="J42" s="426"/>
      <c r="K42" s="426"/>
      <c r="L42" s="426"/>
      <c r="M42" s="426"/>
      <c r="N42" s="410"/>
    </row>
    <row r="43" spans="2:14" ht="15.75" x14ac:dyDescent="0.25">
      <c r="B43" s="379"/>
      <c r="C43" s="378" t="s">
        <v>133</v>
      </c>
      <c r="D43" s="411" t="s">
        <v>2252</v>
      </c>
      <c r="E43" s="484"/>
      <c r="F43" s="426"/>
      <c r="G43" s="426"/>
      <c r="H43" s="426"/>
      <c r="I43" s="426"/>
      <c r="J43" s="426"/>
      <c r="K43" s="426"/>
      <c r="L43" s="426"/>
      <c r="M43" s="426"/>
      <c r="N43" s="410"/>
    </row>
    <row r="44" spans="2:14" ht="15.75" x14ac:dyDescent="0.25">
      <c r="B44" s="379"/>
      <c r="C44" s="378"/>
      <c r="D44" s="411"/>
      <c r="E44" s="484"/>
      <c r="F44" s="426"/>
      <c r="G44" s="426"/>
      <c r="H44" s="426"/>
      <c r="I44" s="426"/>
      <c r="J44" s="426"/>
      <c r="K44" s="426"/>
      <c r="L44" s="426"/>
      <c r="M44" s="426"/>
      <c r="N44" s="410"/>
    </row>
    <row r="47" spans="2:14" ht="15.75" x14ac:dyDescent="0.2">
      <c r="B47" s="371" t="s">
        <v>168</v>
      </c>
      <c r="C47" s="372"/>
      <c r="D47" s="372"/>
      <c r="E47" s="372"/>
      <c r="F47" s="372"/>
      <c r="G47" s="372"/>
      <c r="H47" s="372"/>
      <c r="I47" s="372"/>
      <c r="J47" s="372"/>
      <c r="K47" s="372"/>
      <c r="L47" s="372"/>
      <c r="M47" s="372"/>
      <c r="N47" s="372"/>
    </row>
    <row r="48" spans="2:14" x14ac:dyDescent="0.2">
      <c r="B48" s="374"/>
      <c r="C48" s="375"/>
      <c r="D48" s="375"/>
      <c r="E48" s="375"/>
      <c r="F48" s="375"/>
      <c r="G48" s="375"/>
      <c r="H48" s="375"/>
      <c r="I48" s="375"/>
      <c r="J48" s="375"/>
      <c r="K48" s="375"/>
      <c r="L48" s="375"/>
      <c r="M48" s="375"/>
      <c r="N48" s="375"/>
    </row>
    <row r="49" spans="2:16" x14ac:dyDescent="0.2">
      <c r="B49" s="374"/>
      <c r="C49" s="377" t="s">
        <v>169</v>
      </c>
      <c r="D49" s="375"/>
      <c r="E49" s="378"/>
      <c r="F49" s="375"/>
      <c r="G49" s="375"/>
      <c r="H49" s="375"/>
      <c r="I49" s="375"/>
      <c r="J49" s="375"/>
      <c r="K49" s="375"/>
      <c r="L49" s="375"/>
      <c r="M49" s="378" t="s">
        <v>152</v>
      </c>
      <c r="N49" s="375"/>
    </row>
    <row r="50" spans="2:16" x14ac:dyDescent="0.2">
      <c r="B50" s="374"/>
      <c r="C50" s="375"/>
      <c r="D50" s="375"/>
      <c r="E50" s="375"/>
      <c r="F50" s="375"/>
      <c r="G50" s="375"/>
      <c r="H50" s="375"/>
      <c r="I50" s="375"/>
      <c r="J50" s="375"/>
      <c r="K50" s="375"/>
      <c r="L50" s="375"/>
      <c r="M50" s="375"/>
      <c r="N50" s="375"/>
    </row>
    <row r="51" spans="2:16" ht="15.75" x14ac:dyDescent="0.25">
      <c r="B51" s="379"/>
      <c r="C51" s="380" t="s">
        <v>155</v>
      </c>
      <c r="D51" s="380" t="s">
        <v>7</v>
      </c>
      <c r="E51" s="380" t="s">
        <v>148</v>
      </c>
      <c r="F51" s="381">
        <v>2015</v>
      </c>
      <c r="G51" s="382">
        <v>2020</v>
      </c>
      <c r="H51" s="381">
        <v>2025</v>
      </c>
      <c r="I51" s="381">
        <v>2030</v>
      </c>
      <c r="J51" s="381">
        <v>2035</v>
      </c>
      <c r="K51" s="381">
        <v>2040</v>
      </c>
      <c r="L51" s="381">
        <v>2045</v>
      </c>
      <c r="M51" s="381">
        <v>2050</v>
      </c>
      <c r="N51" s="375"/>
    </row>
    <row r="52" spans="2:16" ht="15.75" x14ac:dyDescent="0.2">
      <c r="B52" s="383"/>
      <c r="C52" s="467" t="s">
        <v>302</v>
      </c>
      <c r="D52" s="468" t="s">
        <v>303</v>
      </c>
      <c r="E52" s="468"/>
      <c r="F52" s="474">
        <f t="shared" ref="F52:M52" si="1">F19</f>
        <v>0</v>
      </c>
      <c r="G52" s="474">
        <f t="shared" si="1"/>
        <v>0.05</v>
      </c>
      <c r="H52" s="474">
        <f t="shared" si="1"/>
        <v>0.05</v>
      </c>
      <c r="I52" s="474">
        <f t="shared" si="1"/>
        <v>0.05</v>
      </c>
      <c r="J52" s="474">
        <f t="shared" si="1"/>
        <v>0.05</v>
      </c>
      <c r="K52" s="474">
        <f t="shared" si="1"/>
        <v>0.05</v>
      </c>
      <c r="L52" s="474">
        <f t="shared" si="1"/>
        <v>0.05</v>
      </c>
      <c r="M52" s="474">
        <f t="shared" si="1"/>
        <v>0.05</v>
      </c>
      <c r="N52" s="375"/>
    </row>
    <row r="53" spans="2:16" ht="15.75" x14ac:dyDescent="0.2">
      <c r="B53" s="383"/>
      <c r="C53" s="384"/>
      <c r="D53" s="385"/>
      <c r="E53" s="385"/>
      <c r="F53" s="410"/>
      <c r="G53" s="410"/>
      <c r="H53" s="410"/>
      <c r="I53" s="410"/>
      <c r="J53" s="410"/>
      <c r="K53" s="410"/>
      <c r="L53" s="410"/>
      <c r="M53" s="410"/>
      <c r="N53" s="375"/>
    </row>
    <row r="54" spans="2:16" ht="15.75" x14ac:dyDescent="0.2">
      <c r="B54" s="383"/>
      <c r="C54" s="384"/>
      <c r="D54" s="385"/>
      <c r="E54" s="385"/>
      <c r="F54" s="410"/>
      <c r="G54" s="410"/>
      <c r="H54" s="410"/>
      <c r="I54" s="410"/>
      <c r="J54" s="410"/>
      <c r="K54" s="410"/>
      <c r="L54" s="410"/>
      <c r="M54" s="410"/>
      <c r="N54" s="375"/>
    </row>
    <row r="55" spans="2:16" x14ac:dyDescent="0.2">
      <c r="B55" s="408"/>
      <c r="C55" s="384"/>
      <c r="D55" s="385"/>
      <c r="E55" s="385"/>
      <c r="F55" s="475"/>
      <c r="G55" s="476"/>
      <c r="H55" s="476"/>
      <c r="I55" s="476"/>
      <c r="J55" s="476"/>
      <c r="K55" s="476"/>
      <c r="L55" s="476"/>
      <c r="M55" s="476"/>
      <c r="N55" s="375"/>
    </row>
    <row r="57" spans="2:16" x14ac:dyDescent="0.2">
      <c r="B57" s="447"/>
      <c r="C57" t="s">
        <v>307</v>
      </c>
      <c r="F57" s="69">
        <v>2015</v>
      </c>
      <c r="G57" s="69">
        <v>2020</v>
      </c>
      <c r="H57" s="69">
        <v>2025</v>
      </c>
      <c r="I57" s="69">
        <v>2030</v>
      </c>
      <c r="J57" s="69">
        <v>2035</v>
      </c>
      <c r="K57" s="69">
        <v>2040</v>
      </c>
      <c r="L57" s="69">
        <v>2045</v>
      </c>
      <c r="M57" s="69">
        <v>2050</v>
      </c>
    </row>
    <row r="59" spans="2:16" x14ac:dyDescent="0.2">
      <c r="C59" s="447" t="s">
        <v>169</v>
      </c>
      <c r="E59" t="s">
        <v>152</v>
      </c>
      <c r="F59" s="477">
        <f>F52</f>
        <v>0</v>
      </c>
      <c r="G59" s="477">
        <f t="shared" ref="G59:M59" si="2">G52</f>
        <v>0.05</v>
      </c>
      <c r="H59" s="477">
        <f t="shared" si="2"/>
        <v>0.05</v>
      </c>
      <c r="I59" s="477">
        <f t="shared" si="2"/>
        <v>0.05</v>
      </c>
      <c r="J59" s="477">
        <f t="shared" si="2"/>
        <v>0.05</v>
      </c>
      <c r="K59" s="477">
        <f t="shared" si="2"/>
        <v>0.05</v>
      </c>
      <c r="L59" s="477">
        <f t="shared" si="2"/>
        <v>0.05</v>
      </c>
      <c r="M59" s="477">
        <f t="shared" si="2"/>
        <v>0.05</v>
      </c>
    </row>
    <row r="60" spans="2:16" x14ac:dyDescent="0.2">
      <c r="B60" s="478" t="s">
        <v>232</v>
      </c>
      <c r="C60" t="s">
        <v>255</v>
      </c>
      <c r="F60" s="479">
        <f t="shared" ref="F60:M60" si="3">F31</f>
        <v>0.8</v>
      </c>
      <c r="G60" s="479">
        <f t="shared" si="3"/>
        <v>0.8</v>
      </c>
      <c r="H60" s="479">
        <f t="shared" si="3"/>
        <v>0.8</v>
      </c>
      <c r="I60" s="479">
        <f t="shared" si="3"/>
        <v>0.8</v>
      </c>
      <c r="J60" s="479">
        <f t="shared" si="3"/>
        <v>0.8</v>
      </c>
      <c r="K60" s="479">
        <f t="shared" si="3"/>
        <v>0.8</v>
      </c>
      <c r="L60" s="479">
        <f t="shared" si="3"/>
        <v>0.8</v>
      </c>
      <c r="M60" s="479">
        <f t="shared" si="3"/>
        <v>0.8</v>
      </c>
    </row>
    <row r="61" spans="2:16" x14ac:dyDescent="0.2">
      <c r="B61" s="451" t="s">
        <v>234</v>
      </c>
      <c r="C61" s="447" t="s">
        <v>308</v>
      </c>
      <c r="F61" s="452">
        <f>F59*F60</f>
        <v>0</v>
      </c>
      <c r="G61" s="480">
        <f t="shared" ref="G61:M61" si="4">G59*G60</f>
        <v>4.0000000000000008E-2</v>
      </c>
      <c r="H61" s="452">
        <f t="shared" si="4"/>
        <v>4.0000000000000008E-2</v>
      </c>
      <c r="I61" s="452">
        <f t="shared" si="4"/>
        <v>4.0000000000000008E-2</v>
      </c>
      <c r="J61" s="452">
        <f t="shared" si="4"/>
        <v>4.0000000000000008E-2</v>
      </c>
      <c r="K61" s="452">
        <f t="shared" si="4"/>
        <v>4.0000000000000008E-2</v>
      </c>
      <c r="L61" s="452">
        <f t="shared" si="4"/>
        <v>4.0000000000000008E-2</v>
      </c>
      <c r="M61" s="452">
        <f t="shared" si="4"/>
        <v>4.0000000000000008E-2</v>
      </c>
      <c r="P61" s="14"/>
    </row>
    <row r="62" spans="2:16" x14ac:dyDescent="0.2">
      <c r="B62" s="451"/>
      <c r="C62" s="447"/>
      <c r="F62" s="452"/>
      <c r="G62" s="452"/>
      <c r="H62" s="452"/>
      <c r="I62" s="452"/>
      <c r="J62" s="452"/>
      <c r="K62" s="452"/>
      <c r="L62" s="452"/>
      <c r="M62" s="452"/>
    </row>
    <row r="63" spans="2:16" x14ac:dyDescent="0.2">
      <c r="C63" s="447" t="s">
        <v>236</v>
      </c>
      <c r="E63" t="s">
        <v>171</v>
      </c>
      <c r="F63" s="452">
        <f>F61*8.766*F40</f>
        <v>0</v>
      </c>
      <c r="G63" s="452">
        <f>G61*8.766</f>
        <v>0.35064000000000006</v>
      </c>
      <c r="H63" s="452">
        <f t="shared" ref="H63:M63" si="5">H61*8.766</f>
        <v>0.35064000000000006</v>
      </c>
      <c r="I63" s="452">
        <f t="shared" si="5"/>
        <v>0.35064000000000006</v>
      </c>
      <c r="J63" s="452">
        <f t="shared" si="5"/>
        <v>0.35064000000000006</v>
      </c>
      <c r="K63" s="452">
        <f t="shared" si="5"/>
        <v>0.35064000000000006</v>
      </c>
      <c r="L63" s="452">
        <f t="shared" si="5"/>
        <v>0.35064000000000006</v>
      </c>
      <c r="M63" s="452">
        <f t="shared" si="5"/>
        <v>0.35064000000000006</v>
      </c>
    </row>
    <row r="64" spans="2:16" x14ac:dyDescent="0.2">
      <c r="C64" s="447"/>
      <c r="F64" s="452"/>
      <c r="G64" s="452"/>
      <c r="H64" s="452"/>
      <c r="I64" s="452"/>
      <c r="J64" s="452"/>
      <c r="K64" s="452"/>
      <c r="L64" s="452"/>
      <c r="M64" s="452"/>
    </row>
    <row r="65" spans="1:14" x14ac:dyDescent="0.2">
      <c r="C65" s="447"/>
      <c r="F65" s="452"/>
      <c r="G65" s="452"/>
      <c r="H65" s="452"/>
      <c r="I65" s="452"/>
      <c r="J65" s="452"/>
      <c r="K65" s="452"/>
      <c r="L65" s="452"/>
      <c r="M65" s="452"/>
    </row>
    <row r="66" spans="1:14" x14ac:dyDescent="0.2">
      <c r="A66" s="14"/>
      <c r="B66" t="s">
        <v>237</v>
      </c>
      <c r="C66" s="447"/>
      <c r="F66" s="452"/>
      <c r="G66" s="452"/>
      <c r="H66" s="452"/>
      <c r="I66" s="452"/>
      <c r="J66" s="452"/>
      <c r="K66" s="452"/>
      <c r="L66" s="452"/>
      <c r="M66" s="452"/>
    </row>
    <row r="67" spans="1:14" ht="27.75" customHeight="1" x14ac:dyDescent="0.2">
      <c r="C67" s="3598" t="s">
        <v>309</v>
      </c>
      <c r="D67" s="3598"/>
      <c r="E67" t="s">
        <v>172</v>
      </c>
      <c r="F67" s="455">
        <f t="shared" ref="F67:M67" si="6">F59/$F$35</f>
        <v>0</v>
      </c>
      <c r="G67" s="455">
        <f t="shared" si="6"/>
        <v>0.5</v>
      </c>
      <c r="H67" s="455">
        <f t="shared" si="6"/>
        <v>0.5</v>
      </c>
      <c r="I67" s="455">
        <f t="shared" si="6"/>
        <v>0.5</v>
      </c>
      <c r="J67" s="455">
        <f t="shared" si="6"/>
        <v>0.5</v>
      </c>
      <c r="K67" s="455">
        <f t="shared" si="6"/>
        <v>0.5</v>
      </c>
      <c r="L67" s="455">
        <f t="shared" si="6"/>
        <v>0.5</v>
      </c>
      <c r="M67" s="455">
        <f t="shared" si="6"/>
        <v>0.5</v>
      </c>
    </row>
    <row r="68" spans="1:14" x14ac:dyDescent="0.2">
      <c r="C68" t="s">
        <v>295</v>
      </c>
      <c r="F68" s="455"/>
      <c r="G68" s="455">
        <v>0</v>
      </c>
      <c r="H68" s="455">
        <v>0</v>
      </c>
      <c r="I68" s="455">
        <v>0</v>
      </c>
      <c r="J68" s="455">
        <v>0</v>
      </c>
      <c r="K68" s="455">
        <f>F67</f>
        <v>0</v>
      </c>
      <c r="L68" s="455">
        <f>G67</f>
        <v>0.5</v>
      </c>
      <c r="M68" s="455">
        <f>H67</f>
        <v>0.5</v>
      </c>
    </row>
    <row r="69" spans="1:14" x14ac:dyDescent="0.2">
      <c r="C69" t="s">
        <v>296</v>
      </c>
      <c r="F69" s="455"/>
      <c r="G69" s="455">
        <f t="shared" ref="G69:M69" si="7">(G67-F67+G68)/(G$30-F$30)</f>
        <v>0.1</v>
      </c>
      <c r="H69" s="455">
        <f t="shared" si="7"/>
        <v>0</v>
      </c>
      <c r="I69" s="455">
        <f t="shared" si="7"/>
        <v>0</v>
      </c>
      <c r="J69" s="455">
        <f t="shared" si="7"/>
        <v>0</v>
      </c>
      <c r="K69" s="455">
        <f t="shared" si="7"/>
        <v>0</v>
      </c>
      <c r="L69" s="455">
        <f t="shared" si="7"/>
        <v>0.1</v>
      </c>
      <c r="M69" s="455">
        <f t="shared" si="7"/>
        <v>0.1</v>
      </c>
    </row>
    <row r="70" spans="1:14" x14ac:dyDescent="0.2">
      <c r="F70" s="455"/>
      <c r="G70" s="455"/>
      <c r="H70" s="455"/>
      <c r="I70" s="455"/>
      <c r="J70" s="455"/>
      <c r="K70" s="455"/>
      <c r="L70" s="455"/>
      <c r="M70" s="455"/>
    </row>
    <row r="71" spans="1:14" ht="15.75" x14ac:dyDescent="0.2">
      <c r="B71" s="353" t="s">
        <v>181</v>
      </c>
      <c r="C71" s="355"/>
      <c r="D71" s="355"/>
      <c r="E71" s="355"/>
      <c r="F71" s="355"/>
      <c r="G71" s="355"/>
      <c r="H71" s="355"/>
      <c r="I71" s="355"/>
      <c r="J71" s="355"/>
      <c r="K71" s="355"/>
      <c r="L71" s="355"/>
      <c r="M71" s="355"/>
      <c r="N71" s="355"/>
    </row>
    <row r="72" spans="1:14" x14ac:dyDescent="0.2">
      <c r="B72" s="358"/>
      <c r="C72" s="360"/>
      <c r="D72" s="360"/>
      <c r="E72" s="360"/>
      <c r="F72" s="360"/>
      <c r="G72" s="360"/>
      <c r="H72" s="360"/>
      <c r="I72" s="360"/>
      <c r="J72" s="360"/>
      <c r="K72" s="360"/>
      <c r="L72" s="360"/>
      <c r="M72" s="360"/>
      <c r="N72" s="360"/>
    </row>
    <row r="73" spans="1:14" x14ac:dyDescent="0.2">
      <c r="B73" s="358"/>
      <c r="C73" s="457" t="s">
        <v>182</v>
      </c>
      <c r="D73" s="360"/>
      <c r="E73" s="361"/>
      <c r="F73" s="360"/>
      <c r="G73" s="360"/>
      <c r="H73" s="360"/>
      <c r="I73" s="360"/>
      <c r="J73" s="360"/>
      <c r="K73" s="360"/>
      <c r="L73" s="360"/>
      <c r="M73" s="361" t="s">
        <v>171</v>
      </c>
      <c r="N73" s="360"/>
    </row>
    <row r="74" spans="1:14" ht="3.75" customHeight="1" x14ac:dyDescent="0.2">
      <c r="B74" s="358"/>
      <c r="C74" s="360"/>
      <c r="D74" s="360"/>
      <c r="E74" s="360"/>
      <c r="F74" s="360"/>
      <c r="G74" s="360"/>
      <c r="H74" s="360"/>
      <c r="I74" s="360"/>
      <c r="J74" s="360"/>
      <c r="K74" s="360"/>
      <c r="L74" s="360"/>
      <c r="M74" s="360"/>
      <c r="N74" s="360"/>
    </row>
    <row r="75" spans="1:14" ht="15.75" x14ac:dyDescent="0.25">
      <c r="B75" s="363"/>
      <c r="C75" s="481" t="s">
        <v>146</v>
      </c>
      <c r="D75" s="481" t="s">
        <v>242</v>
      </c>
      <c r="E75" s="481" t="s">
        <v>8</v>
      </c>
      <c r="F75" s="481" t="s">
        <v>16</v>
      </c>
      <c r="G75" s="481" t="s">
        <v>17</v>
      </c>
      <c r="H75" s="481" t="s">
        <v>18</v>
      </c>
      <c r="I75" s="481" t="s">
        <v>19</v>
      </c>
      <c r="J75" s="481" t="s">
        <v>20</v>
      </c>
      <c r="K75" s="481" t="s">
        <v>21</v>
      </c>
      <c r="L75" s="481" t="s">
        <v>22</v>
      </c>
      <c r="M75" s="481" t="s">
        <v>23</v>
      </c>
      <c r="N75" s="360"/>
    </row>
    <row r="76" spans="1:14" ht="15.75" x14ac:dyDescent="0.25">
      <c r="B76" s="363"/>
      <c r="C76" s="482" t="s">
        <v>150</v>
      </c>
      <c r="D76" s="482" t="str">
        <f>INDEX(Vectors[Descripción], MATCH(C76,Vectors[Código],FALSE))</f>
        <v>Electricidad (suministrada a la red)</v>
      </c>
      <c r="E76" s="482"/>
      <c r="F76" s="483">
        <f t="shared" ref="F76:M76" si="8">F$63</f>
        <v>0</v>
      </c>
      <c r="G76" s="483">
        <f t="shared" si="8"/>
        <v>0.35064000000000006</v>
      </c>
      <c r="H76" s="483">
        <f t="shared" si="8"/>
        <v>0.35064000000000006</v>
      </c>
      <c r="I76" s="483">
        <f t="shared" si="8"/>
        <v>0.35064000000000006</v>
      </c>
      <c r="J76" s="483">
        <f t="shared" si="8"/>
        <v>0.35064000000000006</v>
      </c>
      <c r="K76" s="483">
        <f t="shared" si="8"/>
        <v>0.35064000000000006</v>
      </c>
      <c r="L76" s="483">
        <f t="shared" si="8"/>
        <v>0.35064000000000006</v>
      </c>
      <c r="M76" s="483">
        <f t="shared" si="8"/>
        <v>0.35064000000000006</v>
      </c>
      <c r="N76" s="360"/>
    </row>
    <row r="77" spans="1:14" ht="15.75" x14ac:dyDescent="0.25">
      <c r="B77" s="363"/>
      <c r="C77" s="482" t="s">
        <v>302</v>
      </c>
      <c r="D77" s="482" t="str">
        <f>INDEX(Vectors[Descripción], MATCH(C77,Vectors[Código],FALSE))</f>
        <v>Geotermia</v>
      </c>
      <c r="E77" s="482"/>
      <c r="F77" s="3302">
        <f>-(F63+F64)</f>
        <v>0</v>
      </c>
      <c r="G77" s="3302">
        <f>-(G63+G64)</f>
        <v>-0.35064000000000006</v>
      </c>
      <c r="H77" s="3302">
        <f t="shared" ref="H77:M77" si="9">-(H63+H64)</f>
        <v>-0.35064000000000006</v>
      </c>
      <c r="I77" s="3302">
        <f t="shared" si="9"/>
        <v>-0.35064000000000006</v>
      </c>
      <c r="J77" s="3302">
        <f t="shared" si="9"/>
        <v>-0.35064000000000006</v>
      </c>
      <c r="K77" s="3302">
        <f t="shared" si="9"/>
        <v>-0.35064000000000006</v>
      </c>
      <c r="L77" s="3302">
        <f t="shared" si="9"/>
        <v>-0.35064000000000006</v>
      </c>
      <c r="M77" s="3302">
        <f t="shared" si="9"/>
        <v>-0.35064000000000006</v>
      </c>
      <c r="N77" s="360"/>
    </row>
    <row r="78" spans="1:14" ht="15.75" x14ac:dyDescent="0.25">
      <c r="B78" s="363"/>
      <c r="C78" s="482" t="s">
        <v>184</v>
      </c>
      <c r="D78" s="482" t="str">
        <f>INDEX(Vectors[Descripción], MATCH(C78,Vectors[Código],FALSE))</f>
        <v>Perdidas por conversión</v>
      </c>
      <c r="E78" s="482"/>
      <c r="F78" s="483">
        <f>F64</f>
        <v>0</v>
      </c>
      <c r="G78" s="483">
        <f>G64</f>
        <v>0</v>
      </c>
      <c r="H78" s="483">
        <f t="shared" ref="H78:M78" si="10">H64</f>
        <v>0</v>
      </c>
      <c r="I78" s="483">
        <f t="shared" si="10"/>
        <v>0</v>
      </c>
      <c r="J78" s="483">
        <f t="shared" si="10"/>
        <v>0</v>
      </c>
      <c r="K78" s="483">
        <f t="shared" si="10"/>
        <v>0</v>
      </c>
      <c r="L78" s="483">
        <f t="shared" si="10"/>
        <v>0</v>
      </c>
      <c r="M78" s="483">
        <f t="shared" si="10"/>
        <v>0</v>
      </c>
      <c r="N78" s="360"/>
    </row>
    <row r="79" spans="1:14" ht="15.75" x14ac:dyDescent="0.25">
      <c r="B79" s="363"/>
      <c r="C79" s="3303" t="s">
        <v>118</v>
      </c>
      <c r="D79" s="3303">
        <f>SUBTOTAL(109,III.d.Outputs[Nombre])</f>
        <v>0</v>
      </c>
      <c r="E79" s="3303">
        <f>SUBTOTAL(109,III.d.Outputs[Notas])</f>
        <v>0</v>
      </c>
      <c r="F79" s="3303">
        <f>SUBTOTAL(109,III.d.Outputs[2015])</f>
        <v>0</v>
      </c>
      <c r="G79" s="3303">
        <f>SUBTOTAL(109,III.d.Outputs[2020])</f>
        <v>0</v>
      </c>
      <c r="H79" s="3303">
        <f>SUBTOTAL(109,III.d.Outputs[2025])</f>
        <v>0</v>
      </c>
      <c r="I79" s="3303">
        <f>SUBTOTAL(109,III.d.Outputs[2030])</f>
        <v>0</v>
      </c>
      <c r="J79" s="3303">
        <f>SUBTOTAL(109,III.d.Outputs[2035])</f>
        <v>0</v>
      </c>
      <c r="K79" s="3303">
        <f>SUBTOTAL(109,III.d.Outputs[2040])</f>
        <v>0</v>
      </c>
      <c r="L79" s="3303">
        <f>SUBTOTAL(109,III.d.Outputs[2045])</f>
        <v>0</v>
      </c>
      <c r="M79" s="3303">
        <f>SUBTOTAL(109,III.d.Outputs[2050])</f>
        <v>0</v>
      </c>
      <c r="N79" s="360"/>
    </row>
    <row r="80" spans="1:14" ht="15.75" x14ac:dyDescent="0.25">
      <c r="B80" s="367"/>
      <c r="C80" s="73"/>
      <c r="D80" s="73"/>
      <c r="E80" s="73"/>
      <c r="F80" s="73"/>
      <c r="G80" s="73"/>
      <c r="H80" s="73"/>
      <c r="I80" s="73"/>
      <c r="J80" s="73"/>
      <c r="K80" s="73"/>
      <c r="L80" s="73"/>
      <c r="M80" s="73"/>
      <c r="N80" s="368"/>
    </row>
  </sheetData>
  <mergeCells count="1">
    <mergeCell ref="C67:D67"/>
  </mergeCells>
  <pageMargins left="0.7" right="0.7" top="0.75" bottom="0.75" header="0.3" footer="0.3"/>
  <pageSetup orientation="portrait" verticalDpi="0" r:id="rId1"/>
  <ignoredErrors>
    <ignoredError sqref="G76 G77" calculatedColumn="1"/>
  </ignoredErrors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AC116"/>
  <sheetViews>
    <sheetView topLeftCell="A74" zoomScale="78" zoomScaleNormal="78" workbookViewId="0">
      <selection activeCell="O19" sqref="O19"/>
    </sheetView>
  </sheetViews>
  <sheetFormatPr baseColWidth="10" defaultRowHeight="12.75" x14ac:dyDescent="0.2"/>
  <cols>
    <col min="1" max="1" width="8.5703125" customWidth="1"/>
    <col min="3" max="3" width="14" customWidth="1"/>
    <col min="4" max="4" width="31.42578125" bestFit="1" customWidth="1"/>
    <col min="14" max="14" width="11.42578125" customWidth="1"/>
  </cols>
  <sheetData>
    <row r="1" spans="1:14" ht="20.25" x14ac:dyDescent="0.3">
      <c r="A1" s="349" t="s">
        <v>206</v>
      </c>
      <c r="B1" s="349" t="s">
        <v>207</v>
      </c>
      <c r="C1" s="349"/>
    </row>
    <row r="2" spans="1:14" ht="15.75" x14ac:dyDescent="0.2">
      <c r="A2" s="350" t="s">
        <v>311</v>
      </c>
      <c r="B2" s="350" t="str">
        <f>INDEX(Modulos[Modulos], MATCH($A2, Modulos[Código], 0))</f>
        <v>Plantas Solares</v>
      </c>
      <c r="C2" s="350"/>
      <c r="D2" s="14"/>
      <c r="E2" s="462"/>
      <c r="F2" s="14"/>
      <c r="G2" s="14"/>
      <c r="H2" s="14"/>
      <c r="I2" s="14"/>
      <c r="J2" s="14"/>
      <c r="K2" s="14"/>
      <c r="L2" s="14"/>
      <c r="M2" s="14"/>
      <c r="N2" s="14"/>
    </row>
    <row r="4" spans="1:14" ht="23.25" x14ac:dyDescent="0.35">
      <c r="A4" s="352"/>
      <c r="B4" s="353" t="s">
        <v>144</v>
      </c>
      <c r="C4" s="355"/>
      <c r="D4" s="355"/>
      <c r="E4" s="355"/>
      <c r="F4" s="355"/>
      <c r="G4" s="355"/>
      <c r="H4" s="355"/>
      <c r="I4" s="355"/>
      <c r="J4" s="355"/>
      <c r="K4" s="355"/>
      <c r="L4" s="355"/>
      <c r="M4" s="355"/>
      <c r="N4" s="355"/>
    </row>
    <row r="5" spans="1:14" x14ac:dyDescent="0.2">
      <c r="B5" s="358"/>
      <c r="C5" s="359"/>
      <c r="D5" s="360"/>
      <c r="E5" s="361"/>
      <c r="F5" s="360"/>
      <c r="G5" s="360"/>
      <c r="H5" s="360"/>
      <c r="I5" s="360"/>
      <c r="J5" s="360"/>
      <c r="K5" s="360"/>
      <c r="L5" s="360"/>
      <c r="M5" s="360"/>
      <c r="N5" s="360"/>
    </row>
    <row r="6" spans="1:14" ht="15.75" x14ac:dyDescent="0.25">
      <c r="B6" s="363"/>
      <c r="C6" s="360"/>
      <c r="D6" s="364" t="s">
        <v>2</v>
      </c>
      <c r="E6" s="364" t="s">
        <v>3</v>
      </c>
      <c r="F6" s="360"/>
      <c r="G6" s="360"/>
      <c r="H6" s="360"/>
      <c r="I6" s="360"/>
      <c r="J6" s="360"/>
      <c r="K6" s="360"/>
      <c r="L6" s="360"/>
      <c r="M6" s="360"/>
      <c r="N6" s="360"/>
    </row>
    <row r="7" spans="1:14" ht="15.75" x14ac:dyDescent="0.25">
      <c r="B7" s="363"/>
      <c r="C7" s="360"/>
      <c r="D7" s="360" t="s">
        <v>2221</v>
      </c>
      <c r="E7" s="360">
        <f>Control!F64</f>
        <v>1</v>
      </c>
      <c r="F7" s="360"/>
      <c r="G7" s="360"/>
      <c r="H7" s="360"/>
      <c r="I7" s="360"/>
      <c r="J7" s="360"/>
      <c r="K7" s="360"/>
      <c r="L7" s="360"/>
      <c r="M7" s="360"/>
      <c r="N7" s="360"/>
    </row>
    <row r="8" spans="1:14" ht="15.75" x14ac:dyDescent="0.25">
      <c r="B8" s="363"/>
      <c r="C8" s="360"/>
      <c r="D8" s="463" t="s">
        <v>2222</v>
      </c>
      <c r="E8" s="463">
        <f>Control!F65</f>
        <v>1</v>
      </c>
      <c r="F8" s="360"/>
      <c r="G8" s="360"/>
      <c r="H8" s="360"/>
      <c r="I8" s="360"/>
      <c r="J8" s="360"/>
      <c r="K8" s="360"/>
      <c r="L8" s="360"/>
      <c r="M8" s="360"/>
      <c r="N8" s="360"/>
    </row>
    <row r="9" spans="1:14" ht="15.75" x14ac:dyDescent="0.25">
      <c r="B9" s="363"/>
      <c r="C9" s="360"/>
      <c r="D9" s="73"/>
      <c r="E9" s="73"/>
      <c r="F9" s="360"/>
      <c r="G9" s="360"/>
      <c r="H9" s="360"/>
      <c r="I9" s="360"/>
      <c r="J9" s="360"/>
      <c r="K9" s="360"/>
      <c r="L9" s="360"/>
      <c r="M9" s="360"/>
      <c r="N9" s="360"/>
    </row>
    <row r="10" spans="1:14" x14ac:dyDescent="0.2">
      <c r="B10" s="464"/>
      <c r="C10" s="369"/>
      <c r="D10" s="369"/>
      <c r="E10" s="369"/>
      <c r="F10" s="369"/>
      <c r="G10" s="369"/>
      <c r="H10" s="369"/>
      <c r="I10" s="369"/>
      <c r="J10" s="369"/>
      <c r="K10" s="369"/>
      <c r="L10" s="369"/>
      <c r="M10" s="369"/>
      <c r="N10" s="369"/>
    </row>
    <row r="12" spans="1:14" ht="23.25" x14ac:dyDescent="0.35">
      <c r="A12" s="352"/>
      <c r="B12" s="371" t="s">
        <v>151</v>
      </c>
      <c r="C12" s="372"/>
      <c r="D12" s="372"/>
      <c r="E12" s="372"/>
      <c r="F12" s="372"/>
      <c r="G12" s="372"/>
      <c r="H12" s="372"/>
      <c r="I12" s="372"/>
      <c r="J12" s="372"/>
      <c r="K12" s="372"/>
      <c r="L12" s="372"/>
      <c r="M12" s="372"/>
      <c r="N12" s="372"/>
    </row>
    <row r="13" spans="1:14" x14ac:dyDescent="0.2">
      <c r="B13" s="374"/>
      <c r="C13" s="375"/>
      <c r="D13" s="375"/>
      <c r="E13" s="375"/>
      <c r="F13" s="375"/>
      <c r="G13" s="375"/>
      <c r="H13" s="375"/>
      <c r="I13" s="375"/>
      <c r="J13" s="375"/>
      <c r="K13" s="375"/>
      <c r="L13" s="375"/>
      <c r="M13" s="375"/>
      <c r="N13" s="375"/>
    </row>
    <row r="14" spans="1:14" x14ac:dyDescent="0.2">
      <c r="B14" s="374"/>
      <c r="C14" s="427" t="s">
        <v>1959</v>
      </c>
      <c r="D14" s="375"/>
      <c r="E14" s="375"/>
      <c r="F14" s="375"/>
      <c r="G14" s="375"/>
      <c r="H14" s="375"/>
      <c r="I14" s="375"/>
      <c r="J14" s="375"/>
      <c r="K14" s="375"/>
      <c r="L14" s="375"/>
      <c r="M14" s="375"/>
      <c r="N14" s="375"/>
    </row>
    <row r="15" spans="1:14" x14ac:dyDescent="0.2">
      <c r="B15" s="374"/>
      <c r="C15" s="375"/>
      <c r="D15" s="375"/>
      <c r="E15" s="375"/>
      <c r="F15" s="375"/>
      <c r="G15" s="375"/>
      <c r="H15" s="375"/>
      <c r="I15" s="375"/>
      <c r="J15" s="375"/>
      <c r="K15" s="375"/>
      <c r="L15" s="375"/>
      <c r="M15" s="375"/>
      <c r="N15" s="375"/>
    </row>
    <row r="16" spans="1:14" x14ac:dyDescent="0.2">
      <c r="B16" s="374"/>
      <c r="C16" s="377" t="s">
        <v>299</v>
      </c>
      <c r="D16" s="375"/>
      <c r="E16" s="378"/>
      <c r="F16" s="375"/>
      <c r="G16" s="375"/>
      <c r="H16" s="375"/>
      <c r="I16" s="375"/>
      <c r="J16" s="375"/>
      <c r="K16" s="375"/>
      <c r="L16" s="375"/>
      <c r="M16" s="378" t="s">
        <v>152</v>
      </c>
      <c r="N16" s="375"/>
    </row>
    <row r="17" spans="2:14" x14ac:dyDescent="0.2">
      <c r="B17" s="374"/>
      <c r="C17" s="375"/>
      <c r="D17" s="375"/>
      <c r="E17" s="375"/>
      <c r="F17" s="375"/>
      <c r="G17" s="375"/>
      <c r="H17" s="375"/>
      <c r="I17" s="375"/>
      <c r="J17" s="375"/>
      <c r="K17" s="375"/>
      <c r="L17" s="375"/>
      <c r="M17" s="375"/>
      <c r="N17" s="375"/>
    </row>
    <row r="18" spans="2:14" ht="15.75" x14ac:dyDescent="0.25">
      <c r="B18" s="379"/>
      <c r="C18" s="380" t="s">
        <v>3</v>
      </c>
      <c r="D18" s="380" t="s">
        <v>7</v>
      </c>
      <c r="E18" s="380" t="s">
        <v>8</v>
      </c>
      <c r="F18" s="381">
        <v>2015</v>
      </c>
      <c r="G18" s="381">
        <v>2020</v>
      </c>
      <c r="H18" s="381">
        <v>2025</v>
      </c>
      <c r="I18" s="381">
        <v>2030</v>
      </c>
      <c r="J18" s="381">
        <v>2035</v>
      </c>
      <c r="K18" s="381">
        <v>2040</v>
      </c>
      <c r="L18" s="381">
        <v>2045</v>
      </c>
      <c r="M18" s="381">
        <v>2050</v>
      </c>
      <c r="N18" s="376"/>
    </row>
    <row r="19" spans="2:14" ht="15.75" x14ac:dyDescent="0.2">
      <c r="B19" s="383"/>
      <c r="C19" s="384">
        <v>1</v>
      </c>
      <c r="D19" s="385"/>
      <c r="E19" s="386" t="s">
        <v>12</v>
      </c>
      <c r="F19" s="410">
        <v>0.59</v>
      </c>
      <c r="G19" s="410">
        <v>1.79</v>
      </c>
      <c r="H19" s="410">
        <v>2.59</v>
      </c>
      <c r="I19" s="410">
        <v>2.9899999999999998</v>
      </c>
      <c r="J19" s="410">
        <v>3.3099999999999996</v>
      </c>
      <c r="K19" s="410">
        <v>3.5499999999999994</v>
      </c>
      <c r="L19" s="410">
        <v>3.7099999999999995</v>
      </c>
      <c r="M19" s="410">
        <v>3.8299999999999996</v>
      </c>
      <c r="N19" s="389"/>
    </row>
    <row r="20" spans="2:14" ht="15.75" x14ac:dyDescent="0.25">
      <c r="B20" s="379"/>
      <c r="C20" s="384">
        <v>2</v>
      </c>
      <c r="D20" s="385"/>
      <c r="E20" s="484" t="s">
        <v>133</v>
      </c>
      <c r="F20" s="410">
        <v>0.59</v>
      </c>
      <c r="G20" s="410">
        <v>2.8210000000000002</v>
      </c>
      <c r="H20" s="410">
        <v>3.5089999999999999</v>
      </c>
      <c r="I20" s="410">
        <v>4.1281999999999996</v>
      </c>
      <c r="J20" s="410">
        <v>4.609799999999999</v>
      </c>
      <c r="K20" s="410">
        <v>5.0225999999999988</v>
      </c>
      <c r="L20" s="410">
        <v>5.3665999999999983</v>
      </c>
      <c r="M20" s="410">
        <v>5.6417999999999981</v>
      </c>
      <c r="N20" s="376"/>
    </row>
    <row r="21" spans="2:14" ht="15.75" x14ac:dyDescent="0.25">
      <c r="B21" s="379"/>
      <c r="C21" s="384">
        <v>3</v>
      </c>
      <c r="D21" s="385"/>
      <c r="E21" s="390"/>
      <c r="F21" s="410">
        <v>0.59</v>
      </c>
      <c r="G21" s="410">
        <v>3.1031000000000004</v>
      </c>
      <c r="H21" s="410">
        <v>4.7089999999999996</v>
      </c>
      <c r="I21" s="410">
        <v>5.5345999999999993</v>
      </c>
      <c r="J21" s="410">
        <v>6.0161999999999987</v>
      </c>
      <c r="K21" s="410">
        <v>6.4289999999999985</v>
      </c>
      <c r="L21" s="410">
        <v>6.7729999999999979</v>
      </c>
      <c r="M21" s="410">
        <v>7.0481999999999978</v>
      </c>
      <c r="N21" s="376"/>
    </row>
    <row r="22" spans="2:14" ht="15.75" x14ac:dyDescent="0.25">
      <c r="B22" s="379"/>
      <c r="C22" s="393">
        <v>4</v>
      </c>
      <c r="D22" s="394"/>
      <c r="E22" s="484" t="s">
        <v>136</v>
      </c>
      <c r="F22" s="410">
        <v>0.59</v>
      </c>
      <c r="G22" s="410">
        <v>4.0340300000000004</v>
      </c>
      <c r="H22" s="410">
        <v>6.1216999999999997</v>
      </c>
      <c r="I22" s="410">
        <v>7.1949799999999993</v>
      </c>
      <c r="J22" s="410">
        <v>7.8210599999999983</v>
      </c>
      <c r="K22" s="410">
        <v>8.3576999999999977</v>
      </c>
      <c r="L22" s="410">
        <v>8.8048999999999982</v>
      </c>
      <c r="M22" s="410">
        <v>9.1626599999999971</v>
      </c>
      <c r="N22" s="376"/>
    </row>
    <row r="23" spans="2:14" ht="15.75" x14ac:dyDescent="0.25">
      <c r="B23" s="379"/>
      <c r="C23" s="399" t="s">
        <v>153</v>
      </c>
      <c r="D23" s="400"/>
      <c r="E23" s="400"/>
      <c r="F23" s="176">
        <f>(INDEX(F$19:F$22,ROUNDDOWN($E$7,0))*(1-MOD($E$7,1)))+(INDEX(F$19:F$22,ROUNDUP($E$7,0))*MOD($E$7,1))</f>
        <v>0.59</v>
      </c>
      <c r="G23" s="176">
        <f t="shared" ref="G23:M23" si="0">(INDEX(G$19:G$22,ROUNDDOWN($E$7,0))*(1-MOD($E$7,1)))+(INDEX(G$19:G$22,ROUNDUP($E$7,0))*MOD($E$7,1))</f>
        <v>1.79</v>
      </c>
      <c r="H23" s="176">
        <f t="shared" si="0"/>
        <v>2.59</v>
      </c>
      <c r="I23" s="176">
        <f t="shared" si="0"/>
        <v>2.9899999999999998</v>
      </c>
      <c r="J23" s="176">
        <f t="shared" si="0"/>
        <v>3.3099999999999996</v>
      </c>
      <c r="K23" s="176">
        <f t="shared" si="0"/>
        <v>3.5499999999999994</v>
      </c>
      <c r="L23" s="176">
        <f t="shared" si="0"/>
        <v>3.7099999999999995</v>
      </c>
      <c r="M23" s="176">
        <f t="shared" si="0"/>
        <v>3.8299999999999996</v>
      </c>
      <c r="N23" s="376"/>
    </row>
    <row r="24" spans="2:14" x14ac:dyDescent="0.2">
      <c r="B24" s="408"/>
      <c r="C24" s="375"/>
      <c r="D24" s="411"/>
      <c r="E24" s="375"/>
      <c r="F24" s="375"/>
      <c r="G24" s="465"/>
      <c r="H24" s="465"/>
      <c r="I24" s="465"/>
      <c r="J24" s="465"/>
      <c r="K24" s="465"/>
      <c r="L24" s="465"/>
      <c r="M24" s="465"/>
      <c r="N24" s="465"/>
    </row>
    <row r="25" spans="2:14" x14ac:dyDescent="0.2">
      <c r="B25" s="466"/>
      <c r="C25" s="375" t="s">
        <v>11</v>
      </c>
      <c r="D25" s="411"/>
      <c r="E25" s="375"/>
      <c r="F25" s="375"/>
      <c r="G25" s="375"/>
      <c r="H25" s="375"/>
      <c r="I25" s="375"/>
      <c r="J25" s="375"/>
      <c r="K25" s="375"/>
      <c r="L25" s="375"/>
      <c r="M25" s="375"/>
      <c r="N25" s="375"/>
    </row>
    <row r="26" spans="2:14" x14ac:dyDescent="0.2">
      <c r="B26" s="466"/>
      <c r="C26" s="378" t="s">
        <v>12</v>
      </c>
      <c r="D26" s="411" t="s">
        <v>312</v>
      </c>
      <c r="E26" s="375"/>
      <c r="F26" s="375"/>
      <c r="G26" s="375"/>
      <c r="H26" s="375"/>
      <c r="I26" s="375"/>
      <c r="J26" s="375"/>
      <c r="K26" s="375"/>
      <c r="L26" s="375"/>
      <c r="M26" s="375"/>
      <c r="N26" s="375"/>
    </row>
    <row r="27" spans="2:14" x14ac:dyDescent="0.2">
      <c r="B27" s="466"/>
      <c r="C27" s="378" t="s">
        <v>133</v>
      </c>
      <c r="D27" s="411" t="s">
        <v>313</v>
      </c>
      <c r="E27" s="375"/>
      <c r="F27" s="375"/>
      <c r="G27" s="375"/>
      <c r="H27" s="375"/>
      <c r="I27" s="375"/>
      <c r="J27" s="375"/>
      <c r="K27" s="375"/>
      <c r="L27" s="375"/>
      <c r="M27" s="375"/>
      <c r="N27" s="375"/>
    </row>
    <row r="28" spans="2:14" x14ac:dyDescent="0.2">
      <c r="B28" s="466"/>
      <c r="C28" s="378" t="s">
        <v>136</v>
      </c>
      <c r="D28" s="411" t="s">
        <v>1015</v>
      </c>
      <c r="E28" s="375"/>
      <c r="F28" s="375"/>
      <c r="G28" s="375"/>
      <c r="H28" s="375"/>
      <c r="I28" s="375"/>
      <c r="J28" s="375"/>
      <c r="K28" s="375"/>
      <c r="L28" s="375"/>
      <c r="M28" s="375"/>
      <c r="N28" s="375"/>
    </row>
    <row r="29" spans="2:14" x14ac:dyDescent="0.2">
      <c r="B29" s="466"/>
      <c r="C29" s="378"/>
      <c r="D29" s="411"/>
      <c r="E29" s="375"/>
      <c r="F29" s="375"/>
      <c r="G29" s="375"/>
      <c r="H29" s="375"/>
      <c r="I29" s="375"/>
      <c r="J29" s="375"/>
      <c r="K29" s="375"/>
      <c r="L29" s="375"/>
      <c r="M29" s="375"/>
      <c r="N29" s="375"/>
    </row>
    <row r="30" spans="2:14" x14ac:dyDescent="0.2">
      <c r="B30" s="466"/>
      <c r="C30" s="427" t="s">
        <v>1960</v>
      </c>
      <c r="D30" s="411"/>
      <c r="E30" s="375"/>
      <c r="F30" s="375"/>
      <c r="G30" s="375"/>
      <c r="H30" s="375"/>
      <c r="I30" s="375"/>
      <c r="J30" s="375"/>
      <c r="K30" s="375"/>
      <c r="L30" s="375"/>
      <c r="M30" s="375"/>
      <c r="N30" s="375"/>
    </row>
    <row r="31" spans="2:14" x14ac:dyDescent="0.2">
      <c r="B31" s="466"/>
      <c r="C31" s="378"/>
      <c r="D31" s="411"/>
      <c r="E31" s="375"/>
      <c r="F31" s="375"/>
      <c r="G31" s="375"/>
      <c r="H31" s="375"/>
      <c r="I31" s="375"/>
      <c r="J31" s="375"/>
      <c r="K31" s="375"/>
      <c r="L31" s="375"/>
      <c r="M31" s="375"/>
      <c r="N31" s="375"/>
    </row>
    <row r="32" spans="2:14" x14ac:dyDescent="0.2">
      <c r="B32" s="466"/>
      <c r="C32" s="377" t="s">
        <v>299</v>
      </c>
      <c r="D32" s="375"/>
      <c r="E32" s="378"/>
      <c r="F32" s="375"/>
      <c r="G32" s="375"/>
      <c r="H32" s="375"/>
      <c r="I32" s="375"/>
      <c r="J32" s="375"/>
      <c r="K32" s="375"/>
      <c r="L32" s="375"/>
      <c r="M32" s="378" t="s">
        <v>152</v>
      </c>
      <c r="N32" s="375"/>
    </row>
    <row r="33" spans="1:14" x14ac:dyDescent="0.2">
      <c r="B33" s="466"/>
      <c r="C33" s="375"/>
      <c r="D33" s="375"/>
      <c r="E33" s="375"/>
      <c r="F33" s="375"/>
      <c r="G33" s="375"/>
      <c r="H33" s="375"/>
      <c r="I33" s="375"/>
      <c r="J33" s="375"/>
      <c r="K33" s="375"/>
      <c r="L33" s="375"/>
      <c r="M33" s="375"/>
      <c r="N33" s="375"/>
    </row>
    <row r="34" spans="1:14" x14ac:dyDescent="0.2">
      <c r="B34" s="466"/>
      <c r="C34" s="380" t="s">
        <v>3</v>
      </c>
      <c r="D34" s="380" t="s">
        <v>7</v>
      </c>
      <c r="E34" s="380" t="s">
        <v>8</v>
      </c>
      <c r="F34" s="381">
        <v>2015</v>
      </c>
      <c r="G34" s="381">
        <v>2020</v>
      </c>
      <c r="H34" s="381">
        <v>2025</v>
      </c>
      <c r="I34" s="381">
        <v>2030</v>
      </c>
      <c r="J34" s="381">
        <v>2035</v>
      </c>
      <c r="K34" s="381">
        <v>2040</v>
      </c>
      <c r="L34" s="381">
        <v>2045</v>
      </c>
      <c r="M34" s="381">
        <v>2050</v>
      </c>
      <c r="N34" s="375"/>
    </row>
    <row r="35" spans="1:14" x14ac:dyDescent="0.2">
      <c r="B35" s="466"/>
      <c r="C35" s="384">
        <v>1</v>
      </c>
      <c r="D35" s="385"/>
      <c r="E35" s="386" t="s">
        <v>12</v>
      </c>
      <c r="F35" s="410">
        <v>0</v>
      </c>
      <c r="G35" s="410">
        <v>0.11</v>
      </c>
      <c r="H35" s="410">
        <v>0.11</v>
      </c>
      <c r="I35" s="410">
        <v>0.11</v>
      </c>
      <c r="J35" s="410">
        <v>0.11</v>
      </c>
      <c r="K35" s="410">
        <v>0.11</v>
      </c>
      <c r="L35" s="410">
        <v>0.11</v>
      </c>
      <c r="M35" s="410">
        <v>0.11</v>
      </c>
      <c r="N35" s="375"/>
    </row>
    <row r="36" spans="1:14" x14ac:dyDescent="0.2">
      <c r="B36" s="466"/>
      <c r="C36" s="384">
        <v>2</v>
      </c>
      <c r="D36" s="385"/>
      <c r="E36" s="484" t="s">
        <v>133</v>
      </c>
      <c r="F36" s="410">
        <v>0</v>
      </c>
      <c r="G36" s="410">
        <v>0.11</v>
      </c>
      <c r="H36" s="410">
        <f>G19</f>
        <v>1.79</v>
      </c>
      <c r="I36" s="410">
        <f t="shared" ref="I36:L36" si="1">H19</f>
        <v>2.59</v>
      </c>
      <c r="J36" s="410">
        <f t="shared" si="1"/>
        <v>2.9899999999999998</v>
      </c>
      <c r="K36" s="410">
        <f t="shared" si="1"/>
        <v>3.3099999999999996</v>
      </c>
      <c r="L36" s="410">
        <f t="shared" si="1"/>
        <v>3.5499999999999994</v>
      </c>
      <c r="M36" s="410">
        <f>L19</f>
        <v>3.7099999999999995</v>
      </c>
      <c r="N36" s="375"/>
    </row>
    <row r="37" spans="1:14" x14ac:dyDescent="0.2">
      <c r="B37" s="466"/>
      <c r="C37" s="384">
        <v>3</v>
      </c>
      <c r="D37" s="385"/>
      <c r="E37" s="390"/>
      <c r="F37" s="410">
        <f>F36*1.5</f>
        <v>0</v>
      </c>
      <c r="G37" s="410">
        <v>0.11</v>
      </c>
      <c r="H37" s="410">
        <f t="shared" ref="H37:M37" si="2">H36*1.5</f>
        <v>2.6850000000000001</v>
      </c>
      <c r="I37" s="410">
        <f t="shared" si="2"/>
        <v>3.8849999999999998</v>
      </c>
      <c r="J37" s="410">
        <f t="shared" si="2"/>
        <v>4.4849999999999994</v>
      </c>
      <c r="K37" s="410">
        <f t="shared" si="2"/>
        <v>4.9649999999999999</v>
      </c>
      <c r="L37" s="410">
        <f t="shared" si="2"/>
        <v>5.3249999999999993</v>
      </c>
      <c r="M37" s="410">
        <f t="shared" si="2"/>
        <v>5.5649999999999995</v>
      </c>
      <c r="N37" s="375"/>
    </row>
    <row r="38" spans="1:14" x14ac:dyDescent="0.2">
      <c r="B38" s="466"/>
      <c r="C38" s="393">
        <v>4</v>
      </c>
      <c r="D38" s="394"/>
      <c r="E38" s="484" t="s">
        <v>136</v>
      </c>
      <c r="F38" s="410">
        <f>F37*1.5</f>
        <v>0</v>
      </c>
      <c r="G38" s="410">
        <v>0.11</v>
      </c>
      <c r="H38" s="410">
        <f>H36*3</f>
        <v>5.37</v>
      </c>
      <c r="I38" s="410">
        <f t="shared" ref="I38:M38" si="3">I36*3</f>
        <v>7.77</v>
      </c>
      <c r="J38" s="410">
        <f t="shared" si="3"/>
        <v>8.9699999999999989</v>
      </c>
      <c r="K38" s="410">
        <f t="shared" si="3"/>
        <v>9.93</v>
      </c>
      <c r="L38" s="410">
        <f t="shared" si="3"/>
        <v>10.649999999999999</v>
      </c>
      <c r="M38" s="410">
        <f t="shared" si="3"/>
        <v>11.129999999999999</v>
      </c>
      <c r="N38" s="375"/>
    </row>
    <row r="39" spans="1:14" x14ac:dyDescent="0.2">
      <c r="B39" s="466"/>
      <c r="C39" s="399" t="s">
        <v>153</v>
      </c>
      <c r="D39" s="400"/>
      <c r="E39" s="400"/>
      <c r="F39" s="176">
        <f>(INDEX(F$35:F$38,ROUNDDOWN($E$8,0))*(1-MOD($E$8,1)))+(INDEX(F$35:F$38,ROUNDUP($E$8,0))*MOD($E$8,1))</f>
        <v>0</v>
      </c>
      <c r="G39" s="176">
        <f t="shared" ref="G39:M39" si="4">(INDEX(G$35:G$38,ROUNDDOWN($E$8,0))*(1-MOD($E$8,1)))+(INDEX(G$35:G$38,ROUNDUP($E$8,0))*MOD($E$8,1))</f>
        <v>0.11</v>
      </c>
      <c r="H39" s="176">
        <f t="shared" si="4"/>
        <v>0.11</v>
      </c>
      <c r="I39" s="176">
        <f t="shared" si="4"/>
        <v>0.11</v>
      </c>
      <c r="J39" s="176">
        <f t="shared" si="4"/>
        <v>0.11</v>
      </c>
      <c r="K39" s="176">
        <f t="shared" si="4"/>
        <v>0.11</v>
      </c>
      <c r="L39" s="176">
        <f t="shared" si="4"/>
        <v>0.11</v>
      </c>
      <c r="M39" s="176">
        <f t="shared" si="4"/>
        <v>0.11</v>
      </c>
      <c r="N39" s="375"/>
    </row>
    <row r="40" spans="1:14" x14ac:dyDescent="0.2">
      <c r="B40" s="466"/>
      <c r="C40" s="378"/>
      <c r="D40" s="411"/>
      <c r="E40" s="375"/>
      <c r="F40" s="375"/>
      <c r="G40" s="375"/>
      <c r="H40" s="375"/>
      <c r="I40" s="375"/>
      <c r="J40" s="375"/>
      <c r="K40" s="375"/>
      <c r="L40" s="375"/>
      <c r="M40" s="375"/>
      <c r="N40" s="375"/>
    </row>
    <row r="41" spans="1:14" x14ac:dyDescent="0.2">
      <c r="B41" s="466"/>
      <c r="C41" s="378"/>
      <c r="D41" s="411"/>
      <c r="E41" s="375"/>
      <c r="F41" s="375"/>
      <c r="G41" s="375"/>
      <c r="H41" s="375"/>
      <c r="I41" s="375"/>
      <c r="J41" s="375"/>
      <c r="K41" s="375"/>
      <c r="L41" s="375"/>
      <c r="M41" s="375"/>
      <c r="N41" s="375"/>
    </row>
    <row r="42" spans="1:14" x14ac:dyDescent="0.2">
      <c r="B42" s="466"/>
      <c r="C42" s="378"/>
      <c r="D42" s="411"/>
      <c r="E42" s="375"/>
      <c r="F42" s="375"/>
      <c r="G42" s="375"/>
      <c r="H42" s="375"/>
      <c r="I42" s="375"/>
      <c r="J42" s="375"/>
      <c r="K42" s="375"/>
      <c r="L42" s="375"/>
      <c r="M42" s="375"/>
      <c r="N42" s="375"/>
    </row>
    <row r="44" spans="1:14" ht="23.25" x14ac:dyDescent="0.2">
      <c r="A44" s="412"/>
      <c r="B44" s="371" t="s">
        <v>216</v>
      </c>
      <c r="C44" s="372"/>
      <c r="D44" s="372"/>
      <c r="E44" s="372"/>
      <c r="F44" s="372"/>
      <c r="G44" s="372"/>
      <c r="H44" s="372"/>
      <c r="I44" s="372"/>
      <c r="J44" s="372"/>
      <c r="K44" s="372"/>
      <c r="L44" s="372"/>
      <c r="M44" s="372"/>
      <c r="N44" s="372"/>
    </row>
    <row r="45" spans="1:14" x14ac:dyDescent="0.2">
      <c r="B45" s="374"/>
      <c r="C45" s="375"/>
      <c r="D45" s="375"/>
      <c r="E45" s="375"/>
      <c r="F45" s="375"/>
      <c r="G45" s="375"/>
      <c r="H45" s="375"/>
      <c r="I45" s="375"/>
      <c r="J45" s="375"/>
      <c r="K45" s="375"/>
      <c r="L45" s="375"/>
      <c r="M45" s="375"/>
      <c r="N45" s="375"/>
    </row>
    <row r="46" spans="1:14" x14ac:dyDescent="0.2">
      <c r="B46" s="374"/>
      <c r="C46" s="377" t="s">
        <v>314</v>
      </c>
      <c r="D46" s="375"/>
      <c r="E46" s="375"/>
      <c r="F46" s="375"/>
      <c r="G46" s="378"/>
      <c r="H46" s="375"/>
      <c r="I46" s="375"/>
      <c r="J46" s="375"/>
      <c r="K46" s="375"/>
      <c r="L46" s="375"/>
      <c r="M46" s="375" t="s">
        <v>190</v>
      </c>
      <c r="N46" s="375"/>
    </row>
    <row r="47" spans="1:14" ht="4.5" customHeight="1" x14ac:dyDescent="0.2">
      <c r="B47" s="374"/>
      <c r="C47" s="375"/>
      <c r="D47" s="375"/>
      <c r="E47" s="375"/>
      <c r="F47" s="375"/>
      <c r="G47" s="375"/>
      <c r="H47" s="375"/>
      <c r="I47" s="375"/>
      <c r="J47" s="375"/>
      <c r="K47" s="375"/>
      <c r="L47" s="375"/>
      <c r="M47" s="375"/>
      <c r="N47" s="375"/>
    </row>
    <row r="48" spans="1:14" ht="15.75" x14ac:dyDescent="0.25">
      <c r="B48" s="379"/>
      <c r="C48" s="380" t="s">
        <v>155</v>
      </c>
      <c r="D48" s="380" t="s">
        <v>156</v>
      </c>
      <c r="E48" s="380" t="s">
        <v>8</v>
      </c>
      <c r="F48" s="381">
        <v>2015</v>
      </c>
      <c r="G48" s="381">
        <v>2020</v>
      </c>
      <c r="H48" s="381">
        <v>2025</v>
      </c>
      <c r="I48" s="381">
        <v>2030</v>
      </c>
      <c r="J48" s="381">
        <v>2035</v>
      </c>
      <c r="K48" s="381">
        <v>2040</v>
      </c>
      <c r="L48" s="381">
        <v>2045</v>
      </c>
      <c r="M48" s="381">
        <v>2050</v>
      </c>
      <c r="N48" s="375"/>
    </row>
    <row r="49" spans="2:14" ht="15.75" x14ac:dyDescent="0.25">
      <c r="B49" s="379"/>
      <c r="C49" s="467" t="s">
        <v>315</v>
      </c>
      <c r="D49" s="468" t="str">
        <f>C14</f>
        <v>Solar Fotovoltaica</v>
      </c>
      <c r="E49" s="485" t="s">
        <v>317</v>
      </c>
      <c r="F49" s="469">
        <v>0.3</v>
      </c>
      <c r="G49" s="469">
        <v>0.3</v>
      </c>
      <c r="H49" s="469">
        <v>0.3</v>
      </c>
      <c r="I49" s="469">
        <v>0.3</v>
      </c>
      <c r="J49" s="469">
        <v>0.3</v>
      </c>
      <c r="K49" s="469">
        <v>0.3</v>
      </c>
      <c r="L49" s="469">
        <v>0.3</v>
      </c>
      <c r="M49" s="469">
        <v>0.3</v>
      </c>
      <c r="N49" s="375"/>
    </row>
    <row r="50" spans="2:14" ht="15.75" x14ac:dyDescent="0.25">
      <c r="B50" s="379"/>
      <c r="C50" s="467" t="s">
        <v>315</v>
      </c>
      <c r="D50" s="468" t="str">
        <f>C30</f>
        <v>CSP</v>
      </c>
      <c r="E50" s="485"/>
      <c r="F50" s="469">
        <v>0.3</v>
      </c>
      <c r="G50" s="469">
        <v>0.3</v>
      </c>
      <c r="H50" s="469">
        <v>0.3</v>
      </c>
      <c r="I50" s="469">
        <v>0.3</v>
      </c>
      <c r="J50" s="469">
        <v>0.3</v>
      </c>
      <c r="K50" s="469">
        <v>0.3</v>
      </c>
      <c r="L50" s="469">
        <v>0.3</v>
      </c>
      <c r="M50" s="469">
        <v>0.3</v>
      </c>
      <c r="N50" s="375"/>
    </row>
    <row r="51" spans="2:14" ht="5.25" customHeight="1" x14ac:dyDescent="0.25">
      <c r="B51" s="379"/>
      <c r="C51" s="384"/>
      <c r="D51" s="385"/>
      <c r="E51" s="484"/>
      <c r="F51" s="426"/>
      <c r="G51" s="425"/>
      <c r="H51" s="425"/>
      <c r="I51" s="425"/>
      <c r="J51" s="425"/>
      <c r="K51" s="425"/>
      <c r="L51" s="425"/>
      <c r="M51" s="425"/>
      <c r="N51" s="375"/>
    </row>
    <row r="52" spans="2:14" ht="15.75" x14ac:dyDescent="0.25">
      <c r="B52" s="379"/>
      <c r="C52" s="375" t="s">
        <v>11</v>
      </c>
      <c r="D52" s="411"/>
      <c r="E52" s="375"/>
      <c r="F52" s="426"/>
      <c r="G52" s="425"/>
      <c r="H52" s="425"/>
      <c r="I52" s="425"/>
      <c r="J52" s="425"/>
      <c r="K52" s="425"/>
      <c r="L52" s="425"/>
      <c r="M52" s="425"/>
      <c r="N52" s="375"/>
    </row>
    <row r="53" spans="2:14" ht="15.75" x14ac:dyDescent="0.25">
      <c r="B53" s="379"/>
      <c r="C53" s="378" t="s">
        <v>317</v>
      </c>
      <c r="D53" s="411" t="s">
        <v>318</v>
      </c>
      <c r="E53" s="375"/>
      <c r="F53" s="426"/>
      <c r="G53" s="425"/>
      <c r="H53" s="425"/>
      <c r="I53" s="425"/>
      <c r="J53" s="425"/>
      <c r="K53" s="425"/>
      <c r="L53" s="425"/>
      <c r="M53" s="425"/>
      <c r="N53" s="375"/>
    </row>
    <row r="54" spans="2:14" x14ac:dyDescent="0.2">
      <c r="B54" s="471"/>
      <c r="C54" s="375"/>
      <c r="D54" s="375"/>
      <c r="E54" s="375"/>
      <c r="F54" s="375"/>
      <c r="G54" s="375"/>
      <c r="H54" s="375"/>
      <c r="I54" s="375"/>
      <c r="J54" s="375"/>
      <c r="K54" s="375"/>
      <c r="L54" s="375"/>
      <c r="M54" s="375"/>
      <c r="N54" s="375"/>
    </row>
    <row r="55" spans="2:14" ht="15.75" x14ac:dyDescent="0.25">
      <c r="B55" s="379"/>
      <c r="C55" s="377" t="s">
        <v>161</v>
      </c>
      <c r="D55" s="375"/>
      <c r="E55" s="427" t="s">
        <v>8</v>
      </c>
      <c r="F55" s="375"/>
      <c r="G55" s="378"/>
      <c r="H55" s="375"/>
      <c r="I55" s="375"/>
      <c r="J55" s="375"/>
      <c r="K55" s="375"/>
      <c r="L55" s="375"/>
      <c r="M55" s="375"/>
      <c r="N55" s="375"/>
    </row>
    <row r="56" spans="2:14" ht="15.75" x14ac:dyDescent="0.25">
      <c r="B56" s="379"/>
      <c r="C56" s="380"/>
      <c r="D56" s="380"/>
      <c r="E56" s="380"/>
      <c r="F56" s="381"/>
      <c r="G56" s="428" t="s">
        <v>305</v>
      </c>
      <c r="H56" s="428"/>
      <c r="I56" s="375"/>
      <c r="J56" s="472"/>
      <c r="K56" s="472"/>
      <c r="L56" s="472"/>
      <c r="M56" s="472"/>
      <c r="N56" s="472"/>
    </row>
    <row r="57" spans="2:14" ht="15.75" x14ac:dyDescent="0.25">
      <c r="B57" s="379"/>
      <c r="C57" s="418" t="s">
        <v>306</v>
      </c>
      <c r="D57" s="418"/>
      <c r="E57" s="485" t="s">
        <v>319</v>
      </c>
      <c r="F57" s="473">
        <v>1.2999999999999999E-2</v>
      </c>
      <c r="G57" s="436" t="s">
        <v>162</v>
      </c>
      <c r="H57" s="436"/>
      <c r="I57" s="375"/>
      <c r="J57" s="410"/>
      <c r="K57" s="410"/>
      <c r="L57" s="410"/>
      <c r="M57" s="410"/>
      <c r="N57" s="410"/>
    </row>
    <row r="58" spans="2:14" ht="5.25" customHeight="1" x14ac:dyDescent="0.25">
      <c r="B58" s="379"/>
      <c r="C58" s="384"/>
      <c r="D58" s="385"/>
      <c r="E58" s="385"/>
      <c r="F58" s="178"/>
      <c r="G58" s="442"/>
      <c r="H58" s="442"/>
      <c r="I58" s="375"/>
      <c r="J58" s="410"/>
      <c r="K58" s="410"/>
      <c r="L58" s="410"/>
      <c r="M58" s="410"/>
      <c r="N58" s="410"/>
    </row>
    <row r="59" spans="2:14" ht="15.75" x14ac:dyDescent="0.25">
      <c r="B59" s="379"/>
      <c r="C59" s="375" t="s">
        <v>11</v>
      </c>
      <c r="D59" s="411"/>
      <c r="E59" s="375"/>
      <c r="F59" s="426"/>
      <c r="G59" s="425"/>
      <c r="H59" s="442"/>
      <c r="I59" s="375"/>
      <c r="J59" s="410"/>
      <c r="K59" s="410"/>
      <c r="L59" s="410"/>
      <c r="M59" s="410"/>
      <c r="N59" s="410"/>
    </row>
    <row r="60" spans="2:14" ht="15.75" x14ac:dyDescent="0.25">
      <c r="B60" s="379"/>
      <c r="C60" s="378" t="s">
        <v>319</v>
      </c>
      <c r="D60" s="411" t="s">
        <v>320</v>
      </c>
      <c r="E60" s="375"/>
      <c r="F60" s="426"/>
      <c r="G60" s="425"/>
      <c r="H60" s="442"/>
      <c r="I60" s="375"/>
      <c r="J60" s="410"/>
      <c r="K60" s="410"/>
      <c r="L60" s="410"/>
      <c r="M60" s="410"/>
      <c r="N60" s="410"/>
    </row>
    <row r="61" spans="2:14" ht="15.75" x14ac:dyDescent="0.25">
      <c r="B61" s="379"/>
      <c r="C61" s="378"/>
      <c r="D61" s="411"/>
      <c r="E61" s="375"/>
      <c r="F61" s="426"/>
      <c r="G61" s="425"/>
      <c r="H61" s="442"/>
      <c r="I61" s="375"/>
      <c r="J61" s="410"/>
      <c r="K61" s="410"/>
      <c r="L61" s="410"/>
      <c r="M61" s="410"/>
      <c r="N61" s="410"/>
    </row>
    <row r="62" spans="2:14" ht="15.75" x14ac:dyDescent="0.25">
      <c r="B62" s="379"/>
      <c r="C62" s="378"/>
      <c r="D62" s="411"/>
      <c r="E62" s="375"/>
      <c r="F62" s="426"/>
      <c r="G62" s="425"/>
      <c r="H62" s="442"/>
      <c r="I62" s="375"/>
      <c r="J62" s="410"/>
      <c r="K62" s="410"/>
      <c r="L62" s="410"/>
      <c r="M62" s="410"/>
      <c r="N62" s="410"/>
    </row>
    <row r="63" spans="2:14" ht="15.75" x14ac:dyDescent="0.25">
      <c r="B63" s="379"/>
      <c r="C63" s="377" t="s">
        <v>577</v>
      </c>
      <c r="D63" s="375"/>
      <c r="E63" s="375"/>
      <c r="F63" s="375"/>
      <c r="G63" s="378"/>
      <c r="H63" s="375"/>
      <c r="I63" s="375"/>
      <c r="J63" s="375"/>
      <c r="K63" s="375"/>
      <c r="L63" s="375"/>
      <c r="M63" s="378" t="s">
        <v>190</v>
      </c>
      <c r="N63" s="410"/>
    </row>
    <row r="64" spans="2:14" ht="6" customHeight="1" x14ac:dyDescent="0.25">
      <c r="B64" s="379"/>
      <c r="C64" s="375"/>
      <c r="D64" s="375"/>
      <c r="E64" s="375"/>
      <c r="F64" s="375"/>
      <c r="G64" s="375"/>
      <c r="H64" s="375"/>
      <c r="I64" s="375"/>
      <c r="J64" s="375"/>
      <c r="K64" s="375"/>
      <c r="L64" s="375"/>
      <c r="M64" s="375"/>
      <c r="N64" s="410"/>
    </row>
    <row r="65" spans="2:14" ht="15.75" x14ac:dyDescent="0.25">
      <c r="B65" s="379"/>
      <c r="C65" s="380" t="s">
        <v>155</v>
      </c>
      <c r="D65" s="380" t="s">
        <v>156</v>
      </c>
      <c r="E65" s="380" t="s">
        <v>8</v>
      </c>
      <c r="F65" s="381">
        <v>2015</v>
      </c>
      <c r="G65" s="381">
        <v>2020</v>
      </c>
      <c r="H65" s="381">
        <v>2025</v>
      </c>
      <c r="I65" s="381">
        <v>2030</v>
      </c>
      <c r="J65" s="381">
        <v>2035</v>
      </c>
      <c r="K65" s="381">
        <v>2040</v>
      </c>
      <c r="L65" s="381">
        <v>2045</v>
      </c>
      <c r="M65" s="381">
        <v>2050</v>
      </c>
      <c r="N65" s="410"/>
    </row>
    <row r="66" spans="2:14" ht="15.75" x14ac:dyDescent="0.25">
      <c r="B66" s="379"/>
      <c r="C66" s="467" t="s">
        <v>315</v>
      </c>
      <c r="D66" s="468" t="s">
        <v>1960</v>
      </c>
      <c r="E66" s="485" t="s">
        <v>1067</v>
      </c>
      <c r="F66" s="469">
        <v>0.33</v>
      </c>
      <c r="G66" s="469">
        <v>0.33</v>
      </c>
      <c r="H66" s="469">
        <v>0.33</v>
      </c>
      <c r="I66" s="469">
        <v>0.33</v>
      </c>
      <c r="J66" s="469">
        <v>0.33</v>
      </c>
      <c r="K66" s="469">
        <v>0.33</v>
      </c>
      <c r="L66" s="469">
        <v>0.33</v>
      </c>
      <c r="M66" s="469">
        <v>0.33</v>
      </c>
      <c r="N66" s="410"/>
    </row>
    <row r="67" spans="2:14" ht="5.25" customHeight="1" x14ac:dyDescent="0.25">
      <c r="B67" s="379"/>
      <c r="C67" s="384"/>
      <c r="D67" s="385"/>
      <c r="E67" s="484"/>
      <c r="F67" s="426"/>
      <c r="G67" s="426"/>
      <c r="H67" s="426"/>
      <c r="I67" s="426"/>
      <c r="J67" s="426"/>
      <c r="K67" s="426"/>
      <c r="L67" s="426"/>
      <c r="M67" s="426"/>
      <c r="N67" s="410"/>
    </row>
    <row r="68" spans="2:14" ht="15.75" x14ac:dyDescent="0.25">
      <c r="B68" s="379"/>
      <c r="C68" s="375" t="s">
        <v>11</v>
      </c>
      <c r="D68" s="411"/>
      <c r="E68" s="484"/>
      <c r="F68" s="426"/>
      <c r="G68" s="426"/>
      <c r="H68" s="426"/>
      <c r="I68" s="426"/>
      <c r="J68" s="426"/>
      <c r="K68" s="426"/>
      <c r="L68" s="426"/>
      <c r="M68" s="426"/>
      <c r="N68" s="410"/>
    </row>
    <row r="69" spans="2:14" ht="15.75" x14ac:dyDescent="0.25">
      <c r="B69" s="379"/>
      <c r="C69" s="378" t="s">
        <v>1067</v>
      </c>
      <c r="D69" s="411" t="s">
        <v>2253</v>
      </c>
      <c r="E69" s="484"/>
      <c r="F69" s="426"/>
      <c r="G69" s="426"/>
      <c r="H69" s="426"/>
      <c r="I69" s="426"/>
      <c r="J69" s="426"/>
      <c r="K69" s="426"/>
      <c r="L69" s="426"/>
      <c r="M69" s="426"/>
      <c r="N69" s="410"/>
    </row>
    <row r="70" spans="2:14" x14ac:dyDescent="0.2">
      <c r="B70" s="374"/>
      <c r="C70" s="375"/>
      <c r="D70" s="375"/>
      <c r="E70" s="375"/>
      <c r="F70" s="375"/>
      <c r="G70" s="375"/>
      <c r="H70" s="375"/>
      <c r="I70" s="375"/>
      <c r="J70" s="375"/>
      <c r="K70" s="375"/>
      <c r="L70" s="375"/>
      <c r="M70" s="375"/>
      <c r="N70" s="375"/>
    </row>
    <row r="73" spans="2:14" ht="15.75" x14ac:dyDescent="0.2">
      <c r="B73" s="371" t="s">
        <v>168</v>
      </c>
      <c r="C73" s="372"/>
      <c r="D73" s="372"/>
      <c r="E73" s="372"/>
      <c r="F73" s="372"/>
      <c r="G73" s="372"/>
      <c r="H73" s="372"/>
      <c r="I73" s="372"/>
      <c r="J73" s="372"/>
      <c r="K73" s="372"/>
      <c r="L73" s="372"/>
      <c r="M73" s="372"/>
      <c r="N73" s="372"/>
    </row>
    <row r="74" spans="2:14" x14ac:dyDescent="0.2">
      <c r="B74" s="374"/>
      <c r="C74" s="375"/>
      <c r="D74" s="375"/>
      <c r="E74" s="375"/>
      <c r="F74" s="375"/>
      <c r="G74" s="375"/>
      <c r="H74" s="375"/>
      <c r="I74" s="375"/>
      <c r="J74" s="375"/>
      <c r="K74" s="375"/>
      <c r="L74" s="375"/>
      <c r="M74" s="375"/>
      <c r="N74" s="375"/>
    </row>
    <row r="75" spans="2:14" x14ac:dyDescent="0.2">
      <c r="B75" s="374"/>
      <c r="C75" s="377" t="s">
        <v>169</v>
      </c>
      <c r="D75" s="375"/>
      <c r="E75" s="378"/>
      <c r="F75" s="375"/>
      <c r="G75" s="375"/>
      <c r="H75" s="375"/>
      <c r="I75" s="375"/>
      <c r="J75" s="375"/>
      <c r="K75" s="375"/>
      <c r="L75" s="375"/>
      <c r="M75" s="378" t="s">
        <v>152</v>
      </c>
      <c r="N75" s="375"/>
    </row>
    <row r="76" spans="2:14" x14ac:dyDescent="0.2">
      <c r="B76" s="374"/>
      <c r="C76" s="375"/>
      <c r="D76" s="375"/>
      <c r="E76" s="375"/>
      <c r="F76" s="375"/>
      <c r="G76" s="375"/>
      <c r="H76" s="375"/>
      <c r="I76" s="375"/>
      <c r="J76" s="375"/>
      <c r="K76" s="375"/>
      <c r="L76" s="375"/>
      <c r="M76" s="375"/>
      <c r="N76" s="375"/>
    </row>
    <row r="77" spans="2:14" ht="15.75" x14ac:dyDescent="0.25">
      <c r="B77" s="379"/>
      <c r="C77" s="380" t="s">
        <v>155</v>
      </c>
      <c r="D77" s="380" t="s">
        <v>7</v>
      </c>
      <c r="E77" s="380" t="s">
        <v>148</v>
      </c>
      <c r="F77" s="381">
        <v>2015</v>
      </c>
      <c r="G77" s="382">
        <v>2020</v>
      </c>
      <c r="H77" s="381">
        <v>2025</v>
      </c>
      <c r="I77" s="381">
        <v>2030</v>
      </c>
      <c r="J77" s="381">
        <v>2035</v>
      </c>
      <c r="K77" s="381">
        <v>2040</v>
      </c>
      <c r="L77" s="381">
        <v>2045</v>
      </c>
      <c r="M77" s="381">
        <v>2050</v>
      </c>
      <c r="N77" s="375"/>
    </row>
    <row r="78" spans="2:14" ht="15.75" x14ac:dyDescent="0.25">
      <c r="B78" s="379"/>
      <c r="C78" s="467" t="s">
        <v>315</v>
      </c>
      <c r="D78" s="2871" t="str">
        <f>D49</f>
        <v>Solar Fotovoltaica</v>
      </c>
      <c r="E78" s="429"/>
      <c r="F78" s="2872">
        <f t="shared" ref="F78:M78" si="5">F23</f>
        <v>0.59</v>
      </c>
      <c r="G78" s="2872">
        <f t="shared" si="5"/>
        <v>1.79</v>
      </c>
      <c r="H78" s="2872">
        <f t="shared" si="5"/>
        <v>2.59</v>
      </c>
      <c r="I78" s="2872">
        <f t="shared" si="5"/>
        <v>2.9899999999999998</v>
      </c>
      <c r="J78" s="2872">
        <f t="shared" si="5"/>
        <v>3.3099999999999996</v>
      </c>
      <c r="K78" s="2872">
        <f t="shared" si="5"/>
        <v>3.5499999999999994</v>
      </c>
      <c r="L78" s="2872">
        <f t="shared" si="5"/>
        <v>3.7099999999999995</v>
      </c>
      <c r="M78" s="2872">
        <f t="shared" si="5"/>
        <v>3.8299999999999996</v>
      </c>
      <c r="N78" s="375"/>
    </row>
    <row r="79" spans="2:14" ht="15.75" x14ac:dyDescent="0.2">
      <c r="B79" s="383"/>
      <c r="C79" s="467" t="s">
        <v>315</v>
      </c>
      <c r="D79" s="468" t="str">
        <f>D50</f>
        <v>CSP</v>
      </c>
      <c r="E79" s="468"/>
      <c r="F79" s="474">
        <f t="shared" ref="F79:M79" si="6">F39</f>
        <v>0</v>
      </c>
      <c r="G79" s="474">
        <f t="shared" si="6"/>
        <v>0.11</v>
      </c>
      <c r="H79" s="474">
        <f t="shared" si="6"/>
        <v>0.11</v>
      </c>
      <c r="I79" s="474">
        <f t="shared" si="6"/>
        <v>0.11</v>
      </c>
      <c r="J79" s="474">
        <f t="shared" si="6"/>
        <v>0.11</v>
      </c>
      <c r="K79" s="474">
        <f t="shared" si="6"/>
        <v>0.11</v>
      </c>
      <c r="L79" s="474">
        <f t="shared" si="6"/>
        <v>0.11</v>
      </c>
      <c r="M79" s="474">
        <f t="shared" si="6"/>
        <v>0.11</v>
      </c>
      <c r="N79" s="375"/>
    </row>
    <row r="80" spans="2:14" ht="15.75" x14ac:dyDescent="0.2">
      <c r="B80" s="383"/>
      <c r="C80" s="384"/>
      <c r="D80" s="385"/>
      <c r="E80" s="385"/>
      <c r="F80" s="410"/>
      <c r="G80" s="410"/>
      <c r="H80" s="410"/>
      <c r="I80" s="410"/>
      <c r="J80" s="410"/>
      <c r="K80" s="410"/>
      <c r="L80" s="410"/>
      <c r="M80" s="410"/>
      <c r="N80" s="375"/>
    </row>
    <row r="81" spans="2:14" x14ac:dyDescent="0.2">
      <c r="B81" s="408"/>
      <c r="C81" s="384"/>
      <c r="D81" s="385"/>
      <c r="E81" s="385"/>
      <c r="F81" s="475"/>
      <c r="G81" s="476"/>
      <c r="H81" s="476"/>
      <c r="I81" s="476"/>
      <c r="J81" s="476"/>
      <c r="K81" s="476"/>
      <c r="L81" s="476"/>
      <c r="M81" s="476"/>
      <c r="N81" s="375"/>
    </row>
    <row r="83" spans="2:14" x14ac:dyDescent="0.2">
      <c r="B83" s="447"/>
      <c r="C83" s="80" t="s">
        <v>321</v>
      </c>
      <c r="F83" s="69">
        <v>2015</v>
      </c>
      <c r="G83" s="69">
        <v>2020</v>
      </c>
      <c r="H83" s="69">
        <v>2025</v>
      </c>
      <c r="I83" s="69">
        <v>2030</v>
      </c>
      <c r="J83" s="69">
        <v>2035</v>
      </c>
      <c r="K83" s="69">
        <v>2040</v>
      </c>
      <c r="L83" s="69">
        <v>2045</v>
      </c>
      <c r="M83" s="69">
        <v>2050</v>
      </c>
    </row>
    <row r="84" spans="2:14" x14ac:dyDescent="0.2">
      <c r="B84" s="447"/>
      <c r="F84" s="69"/>
      <c r="G84" s="69"/>
      <c r="H84" s="69"/>
      <c r="I84" s="69"/>
      <c r="J84" s="69"/>
      <c r="K84" s="69"/>
      <c r="L84" s="69"/>
      <c r="M84" s="69"/>
    </row>
    <row r="85" spans="2:14" x14ac:dyDescent="0.2">
      <c r="B85" t="str">
        <f>D78</f>
        <v>Solar Fotovoltaica</v>
      </c>
      <c r="F85" s="69"/>
      <c r="G85" s="69"/>
      <c r="H85" s="69"/>
      <c r="I85" s="69"/>
      <c r="J85" s="69"/>
      <c r="K85" s="69"/>
      <c r="L85" s="69"/>
      <c r="M85" s="69"/>
    </row>
    <row r="86" spans="2:14" x14ac:dyDescent="0.2">
      <c r="C86" s="447" t="s">
        <v>169</v>
      </c>
      <c r="E86" t="s">
        <v>152</v>
      </c>
      <c r="F86" s="2873">
        <f>F78</f>
        <v>0.59</v>
      </c>
      <c r="G86" s="2873">
        <f t="shared" ref="G86:M86" si="7">G78</f>
        <v>1.79</v>
      </c>
      <c r="H86" s="2873">
        <f t="shared" si="7"/>
        <v>2.59</v>
      </c>
      <c r="I86" s="2873">
        <f t="shared" si="7"/>
        <v>2.9899999999999998</v>
      </c>
      <c r="J86" s="2873">
        <f t="shared" si="7"/>
        <v>3.3099999999999996</v>
      </c>
      <c r="K86" s="2873">
        <f t="shared" si="7"/>
        <v>3.5499999999999994</v>
      </c>
      <c r="L86" s="2873">
        <f t="shared" si="7"/>
        <v>3.7099999999999995</v>
      </c>
      <c r="M86" s="2873">
        <f t="shared" si="7"/>
        <v>3.8299999999999996</v>
      </c>
    </row>
    <row r="87" spans="2:14" x14ac:dyDescent="0.2">
      <c r="B87" s="478" t="s">
        <v>232</v>
      </c>
      <c r="C87" t="s">
        <v>255</v>
      </c>
      <c r="F87" s="76">
        <f>F49</f>
        <v>0.3</v>
      </c>
      <c r="G87" s="76">
        <f t="shared" ref="G87:M87" si="8">G49</f>
        <v>0.3</v>
      </c>
      <c r="H87" s="76">
        <f t="shared" si="8"/>
        <v>0.3</v>
      </c>
      <c r="I87" s="76">
        <f t="shared" si="8"/>
        <v>0.3</v>
      </c>
      <c r="J87" s="76">
        <f t="shared" si="8"/>
        <v>0.3</v>
      </c>
      <c r="K87" s="76">
        <f t="shared" si="8"/>
        <v>0.3</v>
      </c>
      <c r="L87" s="76">
        <f t="shared" si="8"/>
        <v>0.3</v>
      </c>
      <c r="M87" s="76">
        <f t="shared" si="8"/>
        <v>0.3</v>
      </c>
    </row>
    <row r="88" spans="2:14" x14ac:dyDescent="0.2">
      <c r="B88" s="451" t="s">
        <v>234</v>
      </c>
      <c r="C88" s="447" t="s">
        <v>308</v>
      </c>
      <c r="F88" s="2874">
        <f>F86*F87</f>
        <v>0.17699999999999999</v>
      </c>
      <c r="G88" s="2874">
        <f t="shared" ref="G88:M88" si="9">G86*G87</f>
        <v>0.53700000000000003</v>
      </c>
      <c r="H88" s="2874">
        <f t="shared" si="9"/>
        <v>0.77699999999999991</v>
      </c>
      <c r="I88" s="2874">
        <f t="shared" si="9"/>
        <v>0.89699999999999991</v>
      </c>
      <c r="J88" s="2874">
        <f t="shared" si="9"/>
        <v>0.99299999999999988</v>
      </c>
      <c r="K88" s="2874">
        <f t="shared" si="9"/>
        <v>1.0649999999999997</v>
      </c>
      <c r="L88" s="2874">
        <f t="shared" si="9"/>
        <v>1.1129999999999998</v>
      </c>
      <c r="M88" s="2874">
        <f t="shared" si="9"/>
        <v>1.1489999999999998</v>
      </c>
    </row>
    <row r="89" spans="2:14" x14ac:dyDescent="0.2">
      <c r="C89" s="447" t="s">
        <v>236</v>
      </c>
      <c r="E89" t="s">
        <v>171</v>
      </c>
      <c r="F89" s="2874">
        <f>F88*8.766</f>
        <v>1.551582</v>
      </c>
      <c r="G89" s="2874">
        <f t="shared" ref="G89:M89" si="10">G88*8.766</f>
        <v>4.7073420000000006</v>
      </c>
      <c r="H89" s="2874">
        <f t="shared" si="10"/>
        <v>6.8111819999999996</v>
      </c>
      <c r="I89" s="2874">
        <f t="shared" si="10"/>
        <v>7.8631019999999996</v>
      </c>
      <c r="J89" s="2874">
        <f t="shared" si="10"/>
        <v>8.7046379999999992</v>
      </c>
      <c r="K89" s="2874">
        <f t="shared" si="10"/>
        <v>9.3357899999999976</v>
      </c>
      <c r="L89" s="2874">
        <f t="shared" si="10"/>
        <v>9.7565579999999983</v>
      </c>
      <c r="M89" s="2874">
        <f t="shared" si="10"/>
        <v>10.072133999999998</v>
      </c>
    </row>
    <row r="90" spans="2:14" x14ac:dyDescent="0.2">
      <c r="C90" s="447" t="s">
        <v>2251</v>
      </c>
      <c r="E90" t="s">
        <v>171</v>
      </c>
      <c r="F90" s="2874">
        <f>F89</f>
        <v>1.551582</v>
      </c>
      <c r="G90" s="2874">
        <f t="shared" ref="G90:L90" si="11">G89</f>
        <v>4.7073420000000006</v>
      </c>
      <c r="H90" s="2874">
        <f t="shared" si="11"/>
        <v>6.8111819999999996</v>
      </c>
      <c r="I90" s="2874">
        <f t="shared" si="11"/>
        <v>7.8631019999999996</v>
      </c>
      <c r="J90" s="2874">
        <f t="shared" si="11"/>
        <v>8.7046379999999992</v>
      </c>
      <c r="K90" s="2874">
        <f t="shared" si="11"/>
        <v>9.3357899999999976</v>
      </c>
      <c r="L90" s="2874">
        <f t="shared" si="11"/>
        <v>9.7565579999999983</v>
      </c>
      <c r="M90" s="2874">
        <f>M89</f>
        <v>10.072133999999998</v>
      </c>
    </row>
    <row r="91" spans="2:14" x14ac:dyDescent="0.2">
      <c r="B91" s="447"/>
      <c r="F91" s="69"/>
      <c r="G91" s="69"/>
      <c r="H91" s="69"/>
      <c r="I91" s="69"/>
      <c r="J91" s="69"/>
      <c r="K91" s="69"/>
      <c r="L91" s="69"/>
      <c r="M91" s="69"/>
    </row>
    <row r="92" spans="2:14" x14ac:dyDescent="0.2">
      <c r="B92" s="447"/>
      <c r="F92" s="69"/>
      <c r="G92" s="69"/>
      <c r="H92" s="69"/>
      <c r="I92" s="69"/>
      <c r="J92" s="69"/>
      <c r="K92" s="69"/>
      <c r="L92" s="69"/>
      <c r="M92" s="69"/>
    </row>
    <row r="93" spans="2:14" x14ac:dyDescent="0.2">
      <c r="B93" s="447" t="str">
        <f>D79</f>
        <v>CSP</v>
      </c>
      <c r="F93" s="69"/>
      <c r="G93" s="69"/>
      <c r="H93" s="69"/>
      <c r="I93" s="69"/>
      <c r="J93" s="69"/>
      <c r="K93" s="69"/>
      <c r="L93" s="69"/>
      <c r="M93" s="69"/>
    </row>
    <row r="95" spans="2:14" x14ac:dyDescent="0.2">
      <c r="C95" s="447" t="s">
        <v>169</v>
      </c>
      <c r="E95" t="s">
        <v>152</v>
      </c>
      <c r="F95" s="477">
        <f>F79</f>
        <v>0</v>
      </c>
      <c r="G95" s="477">
        <f t="shared" ref="G95:M95" si="12">G79</f>
        <v>0.11</v>
      </c>
      <c r="H95" s="477">
        <f t="shared" si="12"/>
        <v>0.11</v>
      </c>
      <c r="I95" s="477">
        <f t="shared" si="12"/>
        <v>0.11</v>
      </c>
      <c r="J95" s="477">
        <f t="shared" si="12"/>
        <v>0.11</v>
      </c>
      <c r="K95" s="477">
        <f t="shared" si="12"/>
        <v>0.11</v>
      </c>
      <c r="L95" s="477">
        <f t="shared" si="12"/>
        <v>0.11</v>
      </c>
      <c r="M95" s="477">
        <f t="shared" si="12"/>
        <v>0.11</v>
      </c>
    </row>
    <row r="96" spans="2:14" x14ac:dyDescent="0.2">
      <c r="B96" s="478" t="s">
        <v>232</v>
      </c>
      <c r="C96" t="s">
        <v>255</v>
      </c>
      <c r="F96" s="479">
        <f>F50</f>
        <v>0.3</v>
      </c>
      <c r="G96" s="479">
        <f t="shared" ref="G96:M96" si="13">G50</f>
        <v>0.3</v>
      </c>
      <c r="H96" s="479">
        <f t="shared" si="13"/>
        <v>0.3</v>
      </c>
      <c r="I96" s="479">
        <f t="shared" si="13"/>
        <v>0.3</v>
      </c>
      <c r="J96" s="479">
        <f t="shared" si="13"/>
        <v>0.3</v>
      </c>
      <c r="K96" s="479">
        <f t="shared" si="13"/>
        <v>0.3</v>
      </c>
      <c r="L96" s="479">
        <f t="shared" si="13"/>
        <v>0.3</v>
      </c>
      <c r="M96" s="479">
        <f t="shared" si="13"/>
        <v>0.3</v>
      </c>
    </row>
    <row r="97" spans="2:29" x14ac:dyDescent="0.2">
      <c r="B97" s="451" t="s">
        <v>234</v>
      </c>
      <c r="C97" s="447" t="s">
        <v>308</v>
      </c>
      <c r="F97" s="452">
        <f>F95*F96</f>
        <v>0</v>
      </c>
      <c r="G97" s="452">
        <f t="shared" ref="G97:M97" si="14">G95*G96</f>
        <v>3.3000000000000002E-2</v>
      </c>
      <c r="H97" s="452">
        <f t="shared" si="14"/>
        <v>3.3000000000000002E-2</v>
      </c>
      <c r="I97" s="452">
        <f t="shared" si="14"/>
        <v>3.3000000000000002E-2</v>
      </c>
      <c r="J97" s="452">
        <f t="shared" si="14"/>
        <v>3.3000000000000002E-2</v>
      </c>
      <c r="K97" s="452">
        <f t="shared" si="14"/>
        <v>3.3000000000000002E-2</v>
      </c>
      <c r="L97" s="452">
        <f t="shared" si="14"/>
        <v>3.3000000000000002E-2</v>
      </c>
      <c r="M97" s="452">
        <f t="shared" si="14"/>
        <v>3.3000000000000002E-2</v>
      </c>
      <c r="AC97" s="14"/>
    </row>
    <row r="98" spans="2:29" x14ac:dyDescent="0.2">
      <c r="C98" s="447" t="s">
        <v>236</v>
      </c>
      <c r="E98" t="s">
        <v>171</v>
      </c>
      <c r="F98" s="452">
        <f>F97*8.766*F66</f>
        <v>0</v>
      </c>
      <c r="G98" s="452">
        <f t="shared" ref="G98:M98" si="15">G97*8.766*G66</f>
        <v>9.5461740000000017E-2</v>
      </c>
      <c r="H98" s="452">
        <f t="shared" si="15"/>
        <v>9.5461740000000017E-2</v>
      </c>
      <c r="I98" s="452">
        <f t="shared" si="15"/>
        <v>9.5461740000000017E-2</v>
      </c>
      <c r="J98" s="452">
        <f t="shared" si="15"/>
        <v>9.5461740000000017E-2</v>
      </c>
      <c r="K98" s="452">
        <f t="shared" si="15"/>
        <v>9.5461740000000017E-2</v>
      </c>
      <c r="L98" s="452">
        <f t="shared" si="15"/>
        <v>9.5461740000000017E-2</v>
      </c>
      <c r="M98" s="452">
        <f t="shared" si="15"/>
        <v>9.5461740000000017E-2</v>
      </c>
    </row>
    <row r="99" spans="2:29" x14ac:dyDescent="0.2">
      <c r="C99" s="447" t="s">
        <v>870</v>
      </c>
      <c r="E99" t="s">
        <v>171</v>
      </c>
      <c r="F99" s="452">
        <f>F97*8.766*(1-F66)</f>
        <v>0</v>
      </c>
      <c r="G99" s="452">
        <f t="shared" ref="G99:M99" si="16">G97*8.766*(1-G66)</f>
        <v>0.19381625999999999</v>
      </c>
      <c r="H99" s="452">
        <f t="shared" si="16"/>
        <v>0.19381625999999999</v>
      </c>
      <c r="I99" s="452">
        <f t="shared" si="16"/>
        <v>0.19381625999999999</v>
      </c>
      <c r="J99" s="452">
        <f t="shared" si="16"/>
        <v>0.19381625999999999</v>
      </c>
      <c r="K99" s="452">
        <f t="shared" si="16"/>
        <v>0.19381625999999999</v>
      </c>
      <c r="L99" s="452">
        <f t="shared" si="16"/>
        <v>0.19381625999999999</v>
      </c>
      <c r="M99" s="452">
        <f t="shared" si="16"/>
        <v>0.19381625999999999</v>
      </c>
    </row>
    <row r="100" spans="2:29" x14ac:dyDescent="0.2">
      <c r="C100" s="447" t="s">
        <v>2251</v>
      </c>
      <c r="E100" t="s">
        <v>171</v>
      </c>
      <c r="F100" s="452">
        <f>F98+F99</f>
        <v>0</v>
      </c>
      <c r="G100" s="452">
        <f t="shared" ref="G100:M100" si="17">G98+G99</f>
        <v>0.28927800000000004</v>
      </c>
      <c r="H100" s="452">
        <f t="shared" si="17"/>
        <v>0.28927800000000004</v>
      </c>
      <c r="I100" s="452">
        <f t="shared" si="17"/>
        <v>0.28927800000000004</v>
      </c>
      <c r="J100" s="452">
        <f t="shared" si="17"/>
        <v>0.28927800000000004</v>
      </c>
      <c r="K100" s="452">
        <f t="shared" si="17"/>
        <v>0.28927800000000004</v>
      </c>
      <c r="L100" s="452">
        <f t="shared" si="17"/>
        <v>0.28927800000000004</v>
      </c>
      <c r="M100" s="452">
        <f t="shared" si="17"/>
        <v>0.28927800000000004</v>
      </c>
    </row>
    <row r="101" spans="2:29" x14ac:dyDescent="0.2">
      <c r="C101" s="447"/>
      <c r="F101" s="452"/>
      <c r="G101" s="452"/>
      <c r="H101" s="452"/>
      <c r="I101" s="452"/>
      <c r="J101" s="452"/>
      <c r="K101" s="452"/>
      <c r="L101" s="452"/>
      <c r="M101" s="452"/>
    </row>
    <row r="102" spans="2:29" x14ac:dyDescent="0.2">
      <c r="C102" s="447"/>
      <c r="F102" s="452"/>
      <c r="G102" s="452"/>
      <c r="H102" s="452"/>
      <c r="I102" s="452"/>
      <c r="J102" s="452"/>
      <c r="K102" s="452"/>
      <c r="L102" s="452"/>
      <c r="M102" s="452"/>
    </row>
    <row r="103" spans="2:29" x14ac:dyDescent="0.2">
      <c r="C103" s="447" t="s">
        <v>1961</v>
      </c>
      <c r="F103" s="452">
        <f>F86+F95</f>
        <v>0.59</v>
      </c>
      <c r="G103" s="452">
        <f t="shared" ref="G103:M103" si="18">G86+G95</f>
        <v>1.9000000000000001</v>
      </c>
      <c r="H103" s="452">
        <f t="shared" si="18"/>
        <v>2.6999999999999997</v>
      </c>
      <c r="I103" s="452">
        <f t="shared" si="18"/>
        <v>3.0999999999999996</v>
      </c>
      <c r="J103" s="452">
        <f t="shared" si="18"/>
        <v>3.4199999999999995</v>
      </c>
      <c r="K103" s="452">
        <f t="shared" si="18"/>
        <v>3.6599999999999993</v>
      </c>
      <c r="L103" s="452">
        <f t="shared" si="18"/>
        <v>3.8199999999999994</v>
      </c>
      <c r="M103" s="452">
        <f t="shared" si="18"/>
        <v>3.9399999999999995</v>
      </c>
    </row>
    <row r="104" spans="2:29" x14ac:dyDescent="0.2">
      <c r="C104" s="447" t="s">
        <v>382</v>
      </c>
      <c r="F104" s="452">
        <f>F89+F98</f>
        <v>1.551582</v>
      </c>
      <c r="G104" s="452">
        <f t="shared" ref="G104:L104" si="19">G89+G98</f>
        <v>4.8028037400000008</v>
      </c>
      <c r="H104" s="452">
        <f t="shared" si="19"/>
        <v>6.9066437399999998</v>
      </c>
      <c r="I104" s="452">
        <f t="shared" si="19"/>
        <v>7.9585637399999998</v>
      </c>
      <c r="J104" s="452">
        <f t="shared" si="19"/>
        <v>8.8000997399999985</v>
      </c>
      <c r="K104" s="452">
        <f t="shared" si="19"/>
        <v>9.4312517399999969</v>
      </c>
      <c r="L104" s="452">
        <f t="shared" si="19"/>
        <v>9.8520197399999976</v>
      </c>
      <c r="M104" s="452">
        <f>M89+M98</f>
        <v>10.167595739999998</v>
      </c>
    </row>
    <row r="105" spans="2:29" x14ac:dyDescent="0.2">
      <c r="C105" s="447"/>
      <c r="F105" s="452"/>
      <c r="G105" s="452"/>
      <c r="H105" s="452"/>
      <c r="I105" s="452"/>
      <c r="J105" s="452"/>
      <c r="K105" s="452"/>
      <c r="L105" s="452"/>
      <c r="M105" s="452"/>
    </row>
    <row r="106" spans="2:29" x14ac:dyDescent="0.2">
      <c r="C106" s="447"/>
      <c r="F106" s="452"/>
      <c r="G106" s="452"/>
      <c r="H106" s="452"/>
      <c r="I106" s="452"/>
      <c r="J106" s="452"/>
      <c r="K106" s="452"/>
      <c r="L106" s="452"/>
      <c r="M106" s="452"/>
    </row>
    <row r="107" spans="2:29" ht="15.75" x14ac:dyDescent="0.2">
      <c r="B107" s="353" t="s">
        <v>181</v>
      </c>
      <c r="C107" s="355"/>
      <c r="D107" s="355"/>
      <c r="E107" s="355"/>
      <c r="F107" s="355"/>
      <c r="G107" s="355"/>
      <c r="H107" s="355"/>
      <c r="I107" s="355"/>
      <c r="J107" s="355"/>
      <c r="K107" s="355"/>
      <c r="L107" s="355"/>
      <c r="M107" s="355"/>
      <c r="N107" s="355"/>
    </row>
    <row r="108" spans="2:29" x14ac:dyDescent="0.2">
      <c r="B108" s="358"/>
      <c r="C108" s="360"/>
      <c r="D108" s="360"/>
      <c r="E108" s="360"/>
      <c r="F108" s="360"/>
      <c r="G108" s="360"/>
      <c r="H108" s="360"/>
      <c r="I108" s="360"/>
      <c r="J108" s="360"/>
      <c r="K108" s="360"/>
      <c r="L108" s="360"/>
      <c r="M108" s="360"/>
      <c r="N108" s="360"/>
    </row>
    <row r="109" spans="2:29" x14ac:dyDescent="0.2">
      <c r="B109" s="358"/>
      <c r="C109" s="457" t="s">
        <v>241</v>
      </c>
      <c r="D109" s="360"/>
      <c r="E109" s="361"/>
      <c r="F109" s="360"/>
      <c r="G109" s="360"/>
      <c r="H109" s="360"/>
      <c r="I109" s="360"/>
      <c r="J109" s="360"/>
      <c r="K109" s="360"/>
      <c r="L109" s="360"/>
      <c r="M109" s="361" t="s">
        <v>171</v>
      </c>
      <c r="N109" s="360"/>
    </row>
    <row r="110" spans="2:29" ht="3.75" customHeight="1" x14ac:dyDescent="0.2">
      <c r="B110" s="358"/>
      <c r="C110" s="360"/>
      <c r="D110" s="360"/>
      <c r="E110" s="360"/>
      <c r="F110" s="360"/>
      <c r="G110" s="360"/>
      <c r="H110" s="360"/>
      <c r="I110" s="360"/>
      <c r="J110" s="360"/>
      <c r="K110" s="360"/>
      <c r="L110" s="360"/>
      <c r="M110" s="360"/>
      <c r="N110" s="360"/>
    </row>
    <row r="111" spans="2:29" ht="15.75" x14ac:dyDescent="0.25">
      <c r="B111" s="363"/>
      <c r="C111" s="481" t="s">
        <v>146</v>
      </c>
      <c r="D111" s="481" t="s">
        <v>242</v>
      </c>
      <c r="E111" s="481" t="s">
        <v>8</v>
      </c>
      <c r="F111" s="481" t="s">
        <v>16</v>
      </c>
      <c r="G111" s="481" t="s">
        <v>17</v>
      </c>
      <c r="H111" s="481" t="s">
        <v>18</v>
      </c>
      <c r="I111" s="481" t="s">
        <v>19</v>
      </c>
      <c r="J111" s="481" t="s">
        <v>20</v>
      </c>
      <c r="K111" s="481" t="s">
        <v>21</v>
      </c>
      <c r="L111" s="481" t="s">
        <v>22</v>
      </c>
      <c r="M111" s="481" t="s">
        <v>23</v>
      </c>
      <c r="N111" s="360"/>
    </row>
    <row r="112" spans="2:29" ht="15.75" x14ac:dyDescent="0.25">
      <c r="B112" s="363"/>
      <c r="C112" s="482" t="s">
        <v>150</v>
      </c>
      <c r="D112" s="482" t="str">
        <f>INDEX(Vectors[Descripción], MATCH(C112,Vectors[Código],FALSE))</f>
        <v>Electricidad (suministrada a la red)</v>
      </c>
      <c r="E112" s="482"/>
      <c r="F112" s="483">
        <f t="shared" ref="F112:M112" si="20">F$104</f>
        <v>1.551582</v>
      </c>
      <c r="G112" s="483">
        <f t="shared" si="20"/>
        <v>4.8028037400000008</v>
      </c>
      <c r="H112" s="483">
        <f t="shared" si="20"/>
        <v>6.9066437399999998</v>
      </c>
      <c r="I112" s="483">
        <f t="shared" si="20"/>
        <v>7.9585637399999998</v>
      </c>
      <c r="J112" s="483">
        <f t="shared" si="20"/>
        <v>8.8000997399999985</v>
      </c>
      <c r="K112" s="483">
        <f t="shared" si="20"/>
        <v>9.4312517399999969</v>
      </c>
      <c r="L112" s="483">
        <f t="shared" si="20"/>
        <v>9.8520197399999976</v>
      </c>
      <c r="M112" s="483">
        <f t="shared" si="20"/>
        <v>10.167595739999998</v>
      </c>
      <c r="N112" s="360"/>
    </row>
    <row r="113" spans="2:14" ht="15.75" x14ac:dyDescent="0.25">
      <c r="B113" s="363"/>
      <c r="C113" s="482" t="s">
        <v>315</v>
      </c>
      <c r="D113" s="482" t="str">
        <f>INDEX(Vectors[Descripción], MATCH(C113,Vectors[Código],FALSE))</f>
        <v>Solar</v>
      </c>
      <c r="E113" s="482"/>
      <c r="F113" s="483">
        <f>-(F90+F100)</f>
        <v>-1.551582</v>
      </c>
      <c r="G113" s="483">
        <f t="shared" ref="G113:M113" si="21">-(G90+G100)</f>
        <v>-4.9966200000000009</v>
      </c>
      <c r="H113" s="483">
        <f t="shared" si="21"/>
        <v>-7.10046</v>
      </c>
      <c r="I113" s="483">
        <f t="shared" si="21"/>
        <v>-8.1523799999999991</v>
      </c>
      <c r="J113" s="483">
        <f t="shared" si="21"/>
        <v>-8.9939159999999987</v>
      </c>
      <c r="K113" s="483">
        <f t="shared" si="21"/>
        <v>-9.6250679999999971</v>
      </c>
      <c r="L113" s="483">
        <f t="shared" si="21"/>
        <v>-10.045835999999998</v>
      </c>
      <c r="M113" s="483">
        <f t="shared" si="21"/>
        <v>-10.361411999999998</v>
      </c>
      <c r="N113" s="360"/>
    </row>
    <row r="114" spans="2:14" ht="15.75" x14ac:dyDescent="0.25">
      <c r="B114" s="363"/>
      <c r="C114" s="482" t="s">
        <v>184</v>
      </c>
      <c r="D114" s="482" t="str">
        <f>INDEX(Vectors[Descripción], MATCH(C114,Vectors[Código],FALSE))</f>
        <v>Perdidas por conversión</v>
      </c>
      <c r="E114" s="482"/>
      <c r="F114" s="3302">
        <f>F99</f>
        <v>0</v>
      </c>
      <c r="G114" s="3302">
        <f t="shared" ref="G114:M114" si="22">G99</f>
        <v>0.19381625999999999</v>
      </c>
      <c r="H114" s="3302">
        <f t="shared" si="22"/>
        <v>0.19381625999999999</v>
      </c>
      <c r="I114" s="3302">
        <f t="shared" si="22"/>
        <v>0.19381625999999999</v>
      </c>
      <c r="J114" s="3302">
        <f t="shared" si="22"/>
        <v>0.19381625999999999</v>
      </c>
      <c r="K114" s="3302">
        <f t="shared" si="22"/>
        <v>0.19381625999999999</v>
      </c>
      <c r="L114" s="3302">
        <f t="shared" si="22"/>
        <v>0.19381625999999999</v>
      </c>
      <c r="M114" s="3302">
        <f t="shared" si="22"/>
        <v>0.19381625999999999</v>
      </c>
      <c r="N114" s="360"/>
    </row>
    <row r="115" spans="2:14" ht="15.75" x14ac:dyDescent="0.25">
      <c r="B115" s="363"/>
      <c r="C115" s="3303" t="s">
        <v>118</v>
      </c>
      <c r="D115" s="3303">
        <f>SUBTOTAL(109,III.e.Outputs[Nombre])</f>
        <v>0</v>
      </c>
      <c r="E115" s="3303">
        <f>SUBTOTAL(109,III.e.Outputs[Notas])</f>
        <v>0</v>
      </c>
      <c r="F115" s="3303">
        <f>SUBTOTAL(109,III.e.Outputs[2015])</f>
        <v>0</v>
      </c>
      <c r="G115" s="3303">
        <f>SUBTOTAL(109,III.e.Outputs[2020])</f>
        <v>0</v>
      </c>
      <c r="H115" s="3303">
        <f>SUBTOTAL(109,III.e.Outputs[2025])</f>
        <v>0</v>
      </c>
      <c r="I115" s="3303">
        <f>SUBTOTAL(109,III.e.Outputs[2030])</f>
        <v>6.9388939039072284E-16</v>
      </c>
      <c r="J115" s="3303">
        <f>SUBTOTAL(109,III.e.Outputs[2035])</f>
        <v>0</v>
      </c>
      <c r="K115" s="3303">
        <f>SUBTOTAL(109,III.e.Outputs[2040])</f>
        <v>0</v>
      </c>
      <c r="L115" s="3303">
        <f>SUBTOTAL(109,III.e.Outputs[2045])</f>
        <v>0</v>
      </c>
      <c r="M115" s="3303">
        <f>SUBTOTAL(109,III.e.Outputs[2050])</f>
        <v>0</v>
      </c>
      <c r="N115" s="360"/>
    </row>
    <row r="116" spans="2:14" ht="15.75" x14ac:dyDescent="0.25">
      <c r="B116" s="367"/>
      <c r="C116" s="73"/>
      <c r="D116" s="73"/>
      <c r="E116" s="73"/>
      <c r="F116" s="73"/>
      <c r="G116" s="73"/>
      <c r="H116" s="73"/>
      <c r="I116" s="73"/>
      <c r="J116" s="73"/>
      <c r="K116" s="73"/>
      <c r="L116" s="73"/>
      <c r="M116" s="73"/>
      <c r="N116" s="368"/>
    </row>
  </sheetData>
  <pageMargins left="0.7" right="0.7" top="0.75" bottom="0.75" header="0.3" footer="0.3"/>
  <pageSetup orientation="portrait" verticalDpi="0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P81"/>
  <sheetViews>
    <sheetView zoomScale="85" zoomScaleNormal="85" workbookViewId="0">
      <selection activeCell="N53" sqref="N53"/>
    </sheetView>
  </sheetViews>
  <sheetFormatPr baseColWidth="10" defaultColWidth="11.42578125" defaultRowHeight="15" x14ac:dyDescent="0.25"/>
  <cols>
    <col min="1" max="2" width="11.42578125" style="1694"/>
    <col min="3" max="3" width="14.42578125" style="1694" customWidth="1"/>
    <col min="4" max="4" width="32.5703125" style="1694" customWidth="1"/>
    <col min="5" max="14" width="16.85546875" style="1694" customWidth="1"/>
    <col min="15" max="16384" width="11.42578125" style="1694"/>
  </cols>
  <sheetData>
    <row r="1" spans="1:16" ht="20.25" x14ac:dyDescent="0.3">
      <c r="A1" s="1693" t="s">
        <v>736</v>
      </c>
      <c r="B1" s="1693" t="s">
        <v>410</v>
      </c>
      <c r="C1" s="1693"/>
    </row>
    <row r="2" spans="1:16" ht="15.75" x14ac:dyDescent="0.25">
      <c r="A2" s="1695" t="s">
        <v>62</v>
      </c>
      <c r="B2" s="1695" t="str">
        <f>INDEX(Modulos[Modulos], MATCH($A2, Modulos[Código], 0))</f>
        <v>Solar de menor escala (GD)</v>
      </c>
      <c r="C2" s="1695"/>
      <c r="D2" s="1696"/>
      <c r="E2" s="259"/>
      <c r="F2" s="1696"/>
      <c r="G2" s="1696"/>
      <c r="H2" s="1696"/>
      <c r="I2" s="1696"/>
      <c r="J2" s="1696"/>
      <c r="K2" s="1696"/>
      <c r="L2" s="1696"/>
      <c r="M2" s="1696"/>
      <c r="N2" s="1696"/>
      <c r="O2" s="1696"/>
      <c r="P2" s="1696"/>
    </row>
    <row r="4" spans="1:16" ht="23.25" x14ac:dyDescent="0.35">
      <c r="A4" s="1697"/>
      <c r="B4" s="1698" t="s">
        <v>144</v>
      </c>
      <c r="C4" s="1699"/>
      <c r="D4" s="1699"/>
      <c r="E4" s="1699"/>
      <c r="F4" s="1699"/>
      <c r="G4" s="1699"/>
      <c r="H4" s="1699"/>
      <c r="I4" s="1699"/>
      <c r="J4" s="1699"/>
      <c r="K4" s="1699"/>
      <c r="L4" s="1699"/>
      <c r="M4" s="1699"/>
      <c r="N4" s="1699"/>
    </row>
    <row r="5" spans="1:16" x14ac:dyDescent="0.25">
      <c r="B5" s="1700"/>
      <c r="C5" s="1701"/>
      <c r="D5" s="1701"/>
      <c r="E5" s="1701"/>
      <c r="F5" s="1701"/>
      <c r="G5" s="1701"/>
      <c r="H5" s="1701"/>
      <c r="I5" s="1701"/>
      <c r="J5" s="1701"/>
      <c r="K5" s="1701"/>
      <c r="L5" s="1701"/>
      <c r="M5" s="1701"/>
      <c r="N5" s="1701"/>
    </row>
    <row r="6" spans="1:16" ht="15.75" x14ac:dyDescent="0.25">
      <c r="B6" s="1702"/>
      <c r="C6" s="1701"/>
      <c r="D6" s="1703" t="s">
        <v>145</v>
      </c>
      <c r="E6" s="1703" t="s">
        <v>3</v>
      </c>
      <c r="F6" s="1701"/>
      <c r="G6" s="1701"/>
      <c r="H6" s="1701"/>
      <c r="I6" s="1701"/>
      <c r="J6" s="1701"/>
      <c r="K6" s="1701"/>
      <c r="L6" s="1701"/>
      <c r="M6" s="1701"/>
      <c r="N6" s="1701"/>
    </row>
    <row r="7" spans="1:16" ht="15.75" x14ac:dyDescent="0.25">
      <c r="B7" s="1702"/>
      <c r="C7" s="1701"/>
      <c r="D7" s="1704" t="s">
        <v>3</v>
      </c>
      <c r="E7" s="1704">
        <f>Control!F67</f>
        <v>1</v>
      </c>
      <c r="F7" s="2879"/>
      <c r="G7" s="1701"/>
      <c r="H7" s="1701"/>
      <c r="I7" s="1701"/>
      <c r="J7" s="1701"/>
      <c r="K7" s="1701"/>
      <c r="L7" s="1701"/>
      <c r="M7" s="1701"/>
      <c r="N7" s="1701"/>
    </row>
    <row r="8" spans="1:16" x14ac:dyDescent="0.25">
      <c r="B8" s="1705"/>
      <c r="C8" s="1706"/>
      <c r="D8" s="1706"/>
      <c r="E8" s="1706"/>
      <c r="F8" s="1706"/>
      <c r="G8" s="1706"/>
      <c r="H8" s="1706"/>
      <c r="I8" s="1706"/>
      <c r="J8" s="1706"/>
      <c r="K8" s="1706"/>
      <c r="L8" s="1706"/>
      <c r="M8" s="1706"/>
      <c r="N8" s="1706"/>
    </row>
    <row r="10" spans="1:16" ht="23.25" x14ac:dyDescent="0.35">
      <c r="A10" s="1697"/>
      <c r="B10" s="1707" t="s">
        <v>151</v>
      </c>
      <c r="C10" s="1708"/>
      <c r="D10" s="1708"/>
      <c r="E10" s="1708"/>
      <c r="F10" s="1708"/>
      <c r="G10" s="1708"/>
      <c r="H10" s="1708"/>
      <c r="I10" s="1708"/>
      <c r="J10" s="1708"/>
      <c r="K10" s="1708"/>
      <c r="L10" s="1708"/>
      <c r="M10" s="1708"/>
      <c r="N10" s="1708"/>
    </row>
    <row r="11" spans="1:16" x14ac:dyDescent="0.25">
      <c r="B11" s="1709"/>
      <c r="C11" s="1710"/>
      <c r="D11" s="1710"/>
      <c r="E11" s="1710"/>
      <c r="F11" s="1710"/>
      <c r="G11" s="1710"/>
      <c r="H11" s="1710"/>
      <c r="I11" s="1710"/>
      <c r="J11" s="1710"/>
      <c r="K11" s="1710"/>
      <c r="L11" s="1710"/>
      <c r="M11" s="1710"/>
      <c r="N11" s="1710"/>
    </row>
    <row r="12" spans="1:16" x14ac:dyDescent="0.25">
      <c r="B12" s="1709"/>
      <c r="C12" s="1711" t="s">
        <v>1962</v>
      </c>
      <c r="D12" s="1710"/>
      <c r="E12" s="1712"/>
      <c r="F12" s="1710"/>
      <c r="G12" s="1710"/>
      <c r="H12" s="1710"/>
      <c r="I12" s="1710"/>
      <c r="J12" s="1710"/>
      <c r="K12" s="1710"/>
      <c r="L12" s="1710"/>
      <c r="M12" s="1712" t="s">
        <v>152</v>
      </c>
      <c r="N12" s="1710"/>
    </row>
    <row r="13" spans="1:16" x14ac:dyDescent="0.25">
      <c r="B13" s="1709"/>
      <c r="C13" s="1710"/>
      <c r="D13" s="1710"/>
      <c r="E13" s="1710"/>
      <c r="F13" s="1710"/>
      <c r="G13" s="1710"/>
      <c r="H13" s="1710"/>
      <c r="I13" s="1710"/>
      <c r="J13" s="1710"/>
      <c r="K13" s="1710"/>
      <c r="L13" s="1710"/>
      <c r="M13" s="1710"/>
      <c r="N13" s="1710"/>
    </row>
    <row r="14" spans="1:16" ht="15.75" x14ac:dyDescent="0.25">
      <c r="B14" s="1713"/>
      <c r="C14" s="1714" t="s">
        <v>3</v>
      </c>
      <c r="D14" s="1714" t="s">
        <v>7</v>
      </c>
      <c r="E14" s="1714" t="s">
        <v>8</v>
      </c>
      <c r="F14" s="1715">
        <v>2015</v>
      </c>
      <c r="G14" s="1716">
        <v>2020</v>
      </c>
      <c r="H14" s="1715">
        <v>2025</v>
      </c>
      <c r="I14" s="1715">
        <v>2030</v>
      </c>
      <c r="J14" s="1715">
        <v>2035</v>
      </c>
      <c r="K14" s="1715">
        <v>2040</v>
      </c>
      <c r="L14" s="1715">
        <v>2045</v>
      </c>
      <c r="M14" s="1715">
        <v>2050</v>
      </c>
      <c r="N14" s="1710"/>
    </row>
    <row r="15" spans="1:16" ht="15.75" x14ac:dyDescent="0.25">
      <c r="B15" s="1717"/>
      <c r="C15" s="1718">
        <v>1</v>
      </c>
      <c r="D15" s="1719"/>
      <c r="E15" s="1720"/>
      <c r="F15" s="1721">
        <v>2.1999999999999999E-2</v>
      </c>
      <c r="G15" s="1722">
        <v>5.6934461417428714E-3</v>
      </c>
      <c r="H15" s="1721">
        <v>5.3371919679852303E-2</v>
      </c>
      <c r="I15" s="1721">
        <v>0.12945139797322508</v>
      </c>
      <c r="J15" s="1721">
        <v>0.17809632987987983</v>
      </c>
      <c r="K15" s="1721">
        <v>0.21346127805838486</v>
      </c>
      <c r="L15" s="1721">
        <v>0.24791444290759665</v>
      </c>
      <c r="M15" s="1721">
        <v>0.27892796563745037</v>
      </c>
      <c r="N15" s="1710"/>
    </row>
    <row r="16" spans="1:16" ht="15.75" x14ac:dyDescent="0.25">
      <c r="B16" s="1713"/>
      <c r="C16" s="1718">
        <v>2</v>
      </c>
      <c r="D16" s="1719"/>
      <c r="E16" s="1719"/>
      <c r="F16" s="1721">
        <v>2.1999999999999999E-2</v>
      </c>
      <c r="G16" s="2875">
        <v>0.21428571428571425</v>
      </c>
      <c r="H16" s="2876">
        <v>0.42857142857142849</v>
      </c>
      <c r="I16" s="2876">
        <v>0.5714285714285714</v>
      </c>
      <c r="J16" s="2876">
        <v>0.71428571428571419</v>
      </c>
      <c r="K16" s="2876">
        <v>0.85714285714285698</v>
      </c>
      <c r="L16" s="2876">
        <v>0.9642857142857143</v>
      </c>
      <c r="M16" s="2876">
        <v>0.98096044129892468</v>
      </c>
      <c r="N16" s="1710"/>
    </row>
    <row r="17" spans="1:14" ht="15.75" x14ac:dyDescent="0.25">
      <c r="B17" s="1713"/>
      <c r="C17" s="1718">
        <v>3</v>
      </c>
      <c r="D17" s="1719"/>
      <c r="E17" s="1719"/>
      <c r="F17" s="1721">
        <v>2.1999999999999999E-2</v>
      </c>
      <c r="G17" s="2875">
        <v>0.42857142857142849</v>
      </c>
      <c r="H17" s="2876">
        <v>0.85714285714285698</v>
      </c>
      <c r="I17" s="2876">
        <v>1.1428571428571428</v>
      </c>
      <c r="J17" s="2876">
        <v>1.4285714285714284</v>
      </c>
      <c r="K17" s="2876">
        <v>1.714285714285714</v>
      </c>
      <c r="L17" s="2876">
        <v>1.9285714285714286</v>
      </c>
      <c r="M17" s="2876">
        <v>1.9619208825978494</v>
      </c>
      <c r="N17" s="1710"/>
    </row>
    <row r="18" spans="1:14" ht="15.75" x14ac:dyDescent="0.25">
      <c r="B18" s="1713"/>
      <c r="C18" s="1723">
        <v>4</v>
      </c>
      <c r="D18" s="1724"/>
      <c r="E18" s="1724"/>
      <c r="F18" s="1725">
        <v>2.1999999999999999E-2</v>
      </c>
      <c r="G18" s="2877">
        <v>0.6</v>
      </c>
      <c r="H18" s="2878">
        <v>1.2</v>
      </c>
      <c r="I18" s="2878">
        <v>1.6</v>
      </c>
      <c r="J18" s="2878">
        <v>2</v>
      </c>
      <c r="K18" s="2878">
        <v>2.4</v>
      </c>
      <c r="L18" s="2878">
        <v>2.7</v>
      </c>
      <c r="M18" s="2878">
        <v>2.7466892356369894</v>
      </c>
      <c r="N18" s="1710"/>
    </row>
    <row r="19" spans="1:14" ht="15.75" x14ac:dyDescent="0.25">
      <c r="B19" s="1713"/>
      <c r="C19" s="1726" t="s">
        <v>153</v>
      </c>
      <c r="D19" s="1727"/>
      <c r="E19" s="1727"/>
      <c r="F19" s="176">
        <f t="shared" ref="F19:M19" si="0">(INDEX(F$15:F$18,ROUNDDOWN($E$7,0))*(1-MOD($E$7,1)))+(INDEX(F$15:F$18,ROUNDUP($E$7,0))*MOD($E$7,1))</f>
        <v>2.1999999999999999E-2</v>
      </c>
      <c r="G19" s="1728">
        <f t="shared" si="0"/>
        <v>5.6934461417428714E-3</v>
      </c>
      <c r="H19" s="1729">
        <f t="shared" si="0"/>
        <v>5.3371919679852303E-2</v>
      </c>
      <c r="I19" s="1729">
        <f t="shared" si="0"/>
        <v>0.12945139797322508</v>
      </c>
      <c r="J19" s="1729">
        <f t="shared" si="0"/>
        <v>0.17809632987987983</v>
      </c>
      <c r="K19" s="1729">
        <f t="shared" si="0"/>
        <v>0.21346127805838486</v>
      </c>
      <c r="L19" s="1729">
        <f t="shared" si="0"/>
        <v>0.24791444290759665</v>
      </c>
      <c r="M19" s="1729">
        <f t="shared" si="0"/>
        <v>0.27892796563745037</v>
      </c>
      <c r="N19" s="1710"/>
    </row>
    <row r="20" spans="1:14" x14ac:dyDescent="0.25">
      <c r="B20" s="1730"/>
      <c r="C20" s="1710"/>
      <c r="D20" s="1731"/>
      <c r="E20" s="1710"/>
      <c r="F20" s="1710"/>
      <c r="G20" s="1732"/>
      <c r="H20" s="1732"/>
      <c r="I20" s="1732"/>
      <c r="J20" s="1732"/>
      <c r="K20" s="1732"/>
      <c r="L20" s="1732"/>
      <c r="M20" s="1732"/>
      <c r="N20" s="1710"/>
    </row>
    <row r="21" spans="1:14" x14ac:dyDescent="0.25">
      <c r="B21" s="1730"/>
      <c r="C21" s="1710" t="s">
        <v>11</v>
      </c>
      <c r="D21" s="1731"/>
      <c r="E21" s="1710"/>
      <c r="F21" s="1710"/>
      <c r="G21" s="1710"/>
      <c r="H21" s="1710"/>
      <c r="I21" s="1710"/>
      <c r="J21" s="1710"/>
      <c r="K21" s="1710"/>
      <c r="L21" s="1710"/>
      <c r="M21" s="1710"/>
      <c r="N21" s="1710"/>
    </row>
    <row r="22" spans="1:14" x14ac:dyDescent="0.25">
      <c r="B22" s="1730"/>
      <c r="C22" s="1712"/>
      <c r="D22" s="1731"/>
      <c r="E22" s="1710"/>
      <c r="F22" s="1710"/>
      <c r="G22" s="1710"/>
      <c r="H22" s="1710"/>
      <c r="I22" s="1710"/>
      <c r="J22" s="1710"/>
      <c r="K22" s="1710"/>
      <c r="L22" s="1710"/>
      <c r="M22" s="1710"/>
      <c r="N22" s="1710"/>
    </row>
    <row r="23" spans="1:14" x14ac:dyDescent="0.25">
      <c r="B23" s="1733"/>
      <c r="C23" s="1734"/>
      <c r="D23" s="1735"/>
      <c r="E23" s="1734"/>
      <c r="F23" s="1734"/>
      <c r="G23" s="1734"/>
      <c r="H23" s="1734"/>
      <c r="I23" s="1734"/>
      <c r="J23" s="1734"/>
      <c r="K23" s="1734"/>
      <c r="L23" s="1734"/>
      <c r="M23" s="1734"/>
      <c r="N23" s="1734"/>
    </row>
    <row r="25" spans="1:14" ht="23.25" x14ac:dyDescent="0.25">
      <c r="A25" s="1736"/>
      <c r="B25" s="1707" t="s">
        <v>216</v>
      </c>
      <c r="C25" s="1708"/>
      <c r="D25" s="1708"/>
      <c r="E25" s="1708"/>
      <c r="F25" s="1708"/>
      <c r="G25" s="1708"/>
      <c r="H25" s="1708"/>
      <c r="I25" s="1708"/>
      <c r="J25" s="1708"/>
      <c r="K25" s="1708"/>
      <c r="L25" s="1708"/>
      <c r="M25" s="1708"/>
      <c r="N25" s="1708"/>
    </row>
    <row r="26" spans="1:14" x14ac:dyDescent="0.25">
      <c r="B26" s="1709"/>
      <c r="C26" s="1710"/>
      <c r="D26" s="1710"/>
      <c r="E26" s="1710"/>
      <c r="F26" s="1710"/>
      <c r="G26" s="1710"/>
      <c r="H26" s="1710"/>
      <c r="I26" s="1710"/>
      <c r="J26" s="1710"/>
      <c r="K26" s="1710"/>
      <c r="L26" s="1710"/>
      <c r="M26" s="1710"/>
      <c r="N26" s="1710"/>
    </row>
    <row r="27" spans="1:14" x14ac:dyDescent="0.25">
      <c r="B27" s="1709"/>
      <c r="C27" s="1711" t="s">
        <v>233</v>
      </c>
      <c r="D27" s="1710"/>
      <c r="E27" s="1710"/>
      <c r="F27" s="1710"/>
      <c r="G27" s="1712"/>
      <c r="H27" s="1710"/>
      <c r="I27" s="1710"/>
      <c r="J27" s="1710"/>
      <c r="K27" s="1710"/>
      <c r="L27" s="1710"/>
      <c r="M27" s="1710"/>
      <c r="N27" s="1710"/>
    </row>
    <row r="28" spans="1:14" x14ac:dyDescent="0.25">
      <c r="B28" s="1709"/>
      <c r="C28" s="1710"/>
      <c r="D28" s="1710"/>
      <c r="E28" s="1710"/>
      <c r="F28" s="1710"/>
      <c r="G28" s="1710"/>
      <c r="H28" s="1710"/>
      <c r="I28" s="1710"/>
      <c r="J28" s="1710"/>
      <c r="K28" s="1710"/>
      <c r="L28" s="1710"/>
      <c r="M28" s="1710"/>
      <c r="N28" s="1710"/>
    </row>
    <row r="29" spans="1:14" ht="15.75" x14ac:dyDescent="0.25">
      <c r="B29" s="1713"/>
      <c r="C29" s="1714" t="s">
        <v>155</v>
      </c>
      <c r="D29" s="1714" t="s">
        <v>838</v>
      </c>
      <c r="E29" s="1714" t="s">
        <v>8</v>
      </c>
      <c r="F29" s="1715">
        <v>2015</v>
      </c>
      <c r="G29" s="1716">
        <v>2020</v>
      </c>
      <c r="H29" s="1715">
        <v>2025</v>
      </c>
      <c r="I29" s="1715">
        <v>2030</v>
      </c>
      <c r="J29" s="1715">
        <v>2035</v>
      </c>
      <c r="K29" s="1715">
        <v>2040</v>
      </c>
      <c r="L29" s="1715">
        <v>2045</v>
      </c>
      <c r="M29" s="1715">
        <v>2050</v>
      </c>
      <c r="N29" s="1710"/>
    </row>
    <row r="30" spans="1:14" ht="15.75" x14ac:dyDescent="0.25">
      <c r="B30" s="1713"/>
      <c r="C30" s="1737" t="s">
        <v>315</v>
      </c>
      <c r="D30" s="1738" t="s">
        <v>316</v>
      </c>
      <c r="E30" s="1738"/>
      <c r="F30" s="1739">
        <v>0.18099999999999999</v>
      </c>
      <c r="G30" s="1740">
        <v>0.18099999999999999</v>
      </c>
      <c r="H30" s="1741">
        <v>0.18099999999999999</v>
      </c>
      <c r="I30" s="1741">
        <v>0.18099999999999999</v>
      </c>
      <c r="J30" s="1741">
        <v>0.18099999999999999</v>
      </c>
      <c r="K30" s="1741">
        <v>0.18099999999999999</v>
      </c>
      <c r="L30" s="1741">
        <v>0.18099999999999999</v>
      </c>
      <c r="M30" s="1741">
        <v>0.18099999999999999</v>
      </c>
      <c r="N30" s="1710"/>
    </row>
    <row r="31" spans="1:14" x14ac:dyDescent="0.25">
      <c r="B31" s="1709"/>
      <c r="C31" s="1710"/>
      <c r="D31" s="1710"/>
      <c r="E31" s="1710"/>
      <c r="F31" s="1710"/>
      <c r="G31" s="1710"/>
      <c r="H31" s="1710"/>
      <c r="I31" s="1710"/>
      <c r="J31" s="1710"/>
      <c r="K31" s="1710"/>
      <c r="L31" s="1710"/>
      <c r="M31" s="1710"/>
      <c r="N31" s="1710"/>
    </row>
    <row r="32" spans="1:14" x14ac:dyDescent="0.25">
      <c r="B32" s="1709"/>
      <c r="C32" s="1711" t="s">
        <v>839</v>
      </c>
      <c r="D32" s="1710"/>
      <c r="E32" s="1712"/>
      <c r="F32" s="1710"/>
      <c r="G32" s="1710"/>
      <c r="H32" s="1710"/>
      <c r="I32" s="1710"/>
      <c r="J32" s="1710"/>
      <c r="K32" s="1710"/>
      <c r="L32" s="1710"/>
      <c r="M32" s="1712" t="s">
        <v>190</v>
      </c>
      <c r="N32" s="1710"/>
    </row>
    <row r="33" spans="1:14" x14ac:dyDescent="0.25">
      <c r="B33" s="1709"/>
      <c r="C33" s="1710"/>
      <c r="D33" s="1710"/>
      <c r="E33" s="1710"/>
      <c r="F33" s="1710"/>
      <c r="G33" s="1710"/>
      <c r="H33" s="1710"/>
      <c r="I33" s="1710"/>
      <c r="J33" s="1710"/>
      <c r="K33" s="1710"/>
      <c r="L33" s="1710"/>
      <c r="M33" s="1710"/>
      <c r="N33" s="1710"/>
    </row>
    <row r="34" spans="1:14" ht="15.75" x14ac:dyDescent="0.25">
      <c r="B34" s="1713"/>
      <c r="C34" s="1714" t="s">
        <v>155</v>
      </c>
      <c r="D34" s="1714" t="s">
        <v>838</v>
      </c>
      <c r="E34" s="1714" t="s">
        <v>8</v>
      </c>
      <c r="F34" s="1715">
        <v>2015</v>
      </c>
      <c r="G34" s="1716">
        <v>2020</v>
      </c>
      <c r="H34" s="1715">
        <v>2025</v>
      </c>
      <c r="I34" s="1715">
        <v>2030</v>
      </c>
      <c r="J34" s="1715">
        <v>2035</v>
      </c>
      <c r="K34" s="1715">
        <v>2040</v>
      </c>
      <c r="L34" s="1715">
        <v>2045</v>
      </c>
      <c r="M34" s="1715">
        <v>2050</v>
      </c>
      <c r="N34" s="1710"/>
    </row>
    <row r="35" spans="1:14" ht="15.75" x14ac:dyDescent="0.25">
      <c r="A35" s="1696"/>
      <c r="B35" s="1717"/>
      <c r="C35" s="1737" t="s">
        <v>315</v>
      </c>
      <c r="D35" s="1738" t="s">
        <v>316</v>
      </c>
      <c r="E35" s="1738"/>
      <c r="F35" s="1742">
        <v>0.2</v>
      </c>
      <c r="G35" s="1741">
        <v>0.2</v>
      </c>
      <c r="H35" s="1741">
        <v>0.2</v>
      </c>
      <c r="I35" s="1741">
        <v>0.2</v>
      </c>
      <c r="J35" s="1741">
        <v>0.2</v>
      </c>
      <c r="K35" s="1741">
        <v>0.2</v>
      </c>
      <c r="L35" s="1741">
        <v>0.2</v>
      </c>
      <c r="M35" s="1741">
        <v>0.2</v>
      </c>
      <c r="N35" s="1710"/>
    </row>
    <row r="36" spans="1:14" ht="15.75" x14ac:dyDescent="0.25">
      <c r="A36" s="1696"/>
      <c r="B36" s="1717"/>
      <c r="C36" s="1718"/>
      <c r="D36" s="1719"/>
      <c r="E36" s="1719"/>
      <c r="F36" s="1743"/>
      <c r="G36" s="1743"/>
      <c r="H36" s="1743"/>
      <c r="I36" s="1743"/>
      <c r="J36" s="1743"/>
      <c r="K36" s="1743"/>
      <c r="L36" s="1743"/>
      <c r="M36" s="1743"/>
      <c r="N36" s="1710"/>
    </row>
    <row r="37" spans="1:14" ht="15.75" x14ac:dyDescent="0.25">
      <c r="A37" s="1696"/>
      <c r="B37" s="1717"/>
      <c r="C37" s="1718" t="s">
        <v>840</v>
      </c>
      <c r="D37" s="1744"/>
      <c r="E37" s="1745">
        <v>5</v>
      </c>
      <c r="F37" s="1743" t="s">
        <v>841</v>
      </c>
      <c r="G37" s="1743"/>
      <c r="H37" s="1743"/>
      <c r="I37" s="1743"/>
      <c r="J37" s="1743"/>
      <c r="K37" s="1743"/>
      <c r="L37" s="1743"/>
      <c r="M37" s="1743"/>
      <c r="N37" s="1710"/>
    </row>
    <row r="38" spans="1:14" x14ac:dyDescent="0.25">
      <c r="B38" s="1730"/>
      <c r="C38" s="1710"/>
      <c r="D38" s="1731"/>
      <c r="E38" s="1710"/>
      <c r="F38" s="1710"/>
      <c r="G38" s="1710"/>
      <c r="H38" s="1710"/>
      <c r="I38" s="1710"/>
      <c r="J38" s="1710"/>
      <c r="K38" s="1710"/>
      <c r="L38" s="1710"/>
      <c r="M38" s="1710"/>
      <c r="N38" s="1710"/>
    </row>
    <row r="40" spans="1:14" ht="15.75" x14ac:dyDescent="0.25">
      <c r="B40" s="1707" t="s">
        <v>168</v>
      </c>
      <c r="C40" s="1708"/>
      <c r="D40" s="1708"/>
      <c r="E40" s="1708"/>
      <c r="F40" s="1708"/>
      <c r="G40" s="1708"/>
      <c r="H40" s="1708"/>
      <c r="I40" s="1708"/>
      <c r="J40" s="1708"/>
      <c r="K40" s="1708"/>
      <c r="L40" s="1708"/>
      <c r="M40" s="1708"/>
      <c r="N40" s="1708"/>
    </row>
    <row r="41" spans="1:14" x14ac:dyDescent="0.25">
      <c r="B41" s="1709"/>
      <c r="C41" s="1710"/>
      <c r="D41" s="1710"/>
      <c r="E41" s="1710"/>
      <c r="F41" s="1710"/>
      <c r="G41" s="1710"/>
      <c r="H41" s="1710"/>
      <c r="I41" s="1710"/>
      <c r="J41" s="1710"/>
      <c r="K41" s="1710"/>
      <c r="L41" s="1710"/>
      <c r="M41" s="1710"/>
      <c r="N41" s="1710"/>
    </row>
    <row r="42" spans="1:14" x14ac:dyDescent="0.25">
      <c r="B42" s="1709"/>
      <c r="C42" s="1711" t="s">
        <v>169</v>
      </c>
      <c r="D42" s="1710"/>
      <c r="E42" s="1712"/>
      <c r="F42" s="1710"/>
      <c r="G42" s="1710"/>
      <c r="H42" s="1710"/>
      <c r="I42" s="1710"/>
      <c r="J42" s="1710"/>
      <c r="K42" s="1710"/>
      <c r="L42" s="1710"/>
      <c r="M42" s="1712" t="s">
        <v>152</v>
      </c>
      <c r="N42" s="1710"/>
    </row>
    <row r="43" spans="1:14" x14ac:dyDescent="0.25">
      <c r="B43" s="1709"/>
      <c r="C43" s="1710"/>
      <c r="D43" s="1710"/>
      <c r="E43" s="1710"/>
      <c r="F43" s="1710"/>
      <c r="G43" s="1710"/>
      <c r="H43" s="1710"/>
      <c r="I43" s="1710"/>
      <c r="J43" s="1710"/>
      <c r="K43" s="1710"/>
      <c r="L43" s="1710"/>
      <c r="M43" s="1710"/>
      <c r="N43" s="1710"/>
    </row>
    <row r="44" spans="1:14" ht="15.75" x14ac:dyDescent="0.25">
      <c r="B44" s="1713"/>
      <c r="C44" s="1714" t="s">
        <v>3</v>
      </c>
      <c r="D44" s="1714" t="s">
        <v>7</v>
      </c>
      <c r="E44" s="1714" t="s">
        <v>8</v>
      </c>
      <c r="F44" s="1715">
        <v>2015</v>
      </c>
      <c r="G44" s="1716">
        <v>2020</v>
      </c>
      <c r="H44" s="1715">
        <v>2025</v>
      </c>
      <c r="I44" s="1715">
        <v>2030</v>
      </c>
      <c r="J44" s="1715">
        <v>2035</v>
      </c>
      <c r="K44" s="1715">
        <v>2040</v>
      </c>
      <c r="L44" s="1715">
        <v>2045</v>
      </c>
      <c r="M44" s="1715">
        <v>2050</v>
      </c>
      <c r="N44" s="1710"/>
    </row>
    <row r="45" spans="1:14" ht="15.75" x14ac:dyDescent="0.25">
      <c r="B45" s="1717"/>
      <c r="C45" s="1737" t="s">
        <v>315</v>
      </c>
      <c r="D45" s="1738" t="s">
        <v>316</v>
      </c>
      <c r="E45" s="1738"/>
      <c r="F45" s="1767">
        <f t="shared" ref="F45:M45" si="1">F19</f>
        <v>2.1999999999999999E-2</v>
      </c>
      <c r="G45" s="1768">
        <f t="shared" si="1"/>
        <v>5.6934461417428714E-3</v>
      </c>
      <c r="H45" s="1769">
        <f t="shared" si="1"/>
        <v>5.3371919679852303E-2</v>
      </c>
      <c r="I45" s="1769">
        <f t="shared" si="1"/>
        <v>0.12945139797322508</v>
      </c>
      <c r="J45" s="1769">
        <f t="shared" si="1"/>
        <v>0.17809632987987983</v>
      </c>
      <c r="K45" s="1769">
        <f t="shared" si="1"/>
        <v>0.21346127805838486</v>
      </c>
      <c r="L45" s="1769">
        <f t="shared" si="1"/>
        <v>0.24791444290759665</v>
      </c>
      <c r="M45" s="1769">
        <f t="shared" si="1"/>
        <v>0.27892796563745037</v>
      </c>
      <c r="N45" s="1710"/>
    </row>
    <row r="46" spans="1:14" x14ac:dyDescent="0.25">
      <c r="B46" s="1730"/>
      <c r="C46" s="1718"/>
      <c r="D46" s="1719"/>
      <c r="E46" s="1719"/>
      <c r="F46" s="1770"/>
      <c r="G46" s="1771"/>
      <c r="H46" s="1771"/>
      <c r="I46" s="1771"/>
      <c r="J46" s="1771"/>
      <c r="K46" s="1771"/>
      <c r="L46" s="1771"/>
      <c r="M46" s="1771"/>
      <c r="N46" s="1710"/>
    </row>
    <row r="48" spans="1:14" x14ac:dyDescent="0.25">
      <c r="B48" s="1694" t="s">
        <v>842</v>
      </c>
      <c r="F48" s="1694">
        <v>2015</v>
      </c>
      <c r="G48" s="1694">
        <v>2020</v>
      </c>
      <c r="H48" s="1694">
        <v>2025</v>
      </c>
      <c r="I48" s="1694">
        <v>2030</v>
      </c>
      <c r="J48" s="1694">
        <v>2035</v>
      </c>
      <c r="K48" s="1694">
        <v>2040</v>
      </c>
      <c r="L48" s="1694">
        <v>2045</v>
      </c>
      <c r="M48" s="1694">
        <v>2050</v>
      </c>
    </row>
    <row r="49" spans="2:14" x14ac:dyDescent="0.25">
      <c r="C49" s="1772" t="s">
        <v>169</v>
      </c>
      <c r="E49" s="1773" t="s">
        <v>152</v>
      </c>
      <c r="F49" s="1774">
        <f t="shared" ref="F49:M49" si="2">F45</f>
        <v>2.1999999999999999E-2</v>
      </c>
      <c r="G49" s="1774">
        <f t="shared" si="2"/>
        <v>5.6934461417428714E-3</v>
      </c>
      <c r="H49" s="1774">
        <f t="shared" si="2"/>
        <v>5.3371919679852303E-2</v>
      </c>
      <c r="I49" s="1774">
        <f t="shared" si="2"/>
        <v>0.12945139797322508</v>
      </c>
      <c r="J49" s="1774">
        <f t="shared" si="2"/>
        <v>0.17809632987987983</v>
      </c>
      <c r="K49" s="1774">
        <f t="shared" si="2"/>
        <v>0.21346127805838486</v>
      </c>
      <c r="L49" s="1774">
        <f t="shared" si="2"/>
        <v>0.24791444290759665</v>
      </c>
      <c r="M49" s="1774">
        <f t="shared" si="2"/>
        <v>0.27892796563745037</v>
      </c>
      <c r="N49" s="1774"/>
    </row>
    <row r="50" spans="2:14" x14ac:dyDescent="0.25">
      <c r="B50" s="1694" t="s">
        <v>232</v>
      </c>
      <c r="C50" s="1694" t="s">
        <v>255</v>
      </c>
      <c r="E50" s="1773"/>
      <c r="F50" s="1775">
        <f t="shared" ref="F50:M50" si="3">F30</f>
        <v>0.18099999999999999</v>
      </c>
      <c r="G50" s="1775">
        <f t="shared" si="3"/>
        <v>0.18099999999999999</v>
      </c>
      <c r="H50" s="1775">
        <f t="shared" si="3"/>
        <v>0.18099999999999999</v>
      </c>
      <c r="I50" s="1775">
        <f t="shared" si="3"/>
        <v>0.18099999999999999</v>
      </c>
      <c r="J50" s="1775">
        <f t="shared" si="3"/>
        <v>0.18099999999999999</v>
      </c>
      <c r="K50" s="1775">
        <f t="shared" si="3"/>
        <v>0.18099999999999999</v>
      </c>
      <c r="L50" s="1775">
        <f t="shared" si="3"/>
        <v>0.18099999999999999</v>
      </c>
      <c r="M50" s="1775">
        <f t="shared" si="3"/>
        <v>0.18099999999999999</v>
      </c>
      <c r="N50" s="1775"/>
    </row>
    <row r="51" spans="2:14" x14ac:dyDescent="0.25">
      <c r="B51" s="1776" t="s">
        <v>234</v>
      </c>
      <c r="C51" s="1772" t="s">
        <v>308</v>
      </c>
      <c r="E51" s="1773" t="s">
        <v>152</v>
      </c>
      <c r="F51" s="1777">
        <f>F50*F49</f>
        <v>3.9819999999999994E-3</v>
      </c>
      <c r="G51" s="1777">
        <f t="shared" ref="G51:L51" si="4">G50*G49</f>
        <v>1.0305137516554597E-3</v>
      </c>
      <c r="H51" s="1777">
        <f t="shared" si="4"/>
        <v>9.660317462053267E-3</v>
      </c>
      <c r="I51" s="1777">
        <f t="shared" si="4"/>
        <v>2.3430703033153737E-2</v>
      </c>
      <c r="J51" s="1777">
        <f t="shared" si="4"/>
        <v>3.223543570825825E-2</v>
      </c>
      <c r="K51" s="1777">
        <f t="shared" si="4"/>
        <v>3.8636491328567661E-2</v>
      </c>
      <c r="L51" s="1777">
        <f t="shared" si="4"/>
        <v>4.4872514166274989E-2</v>
      </c>
      <c r="M51" s="1777">
        <f>M50*M49</f>
        <v>5.0485961780378515E-2</v>
      </c>
      <c r="N51" s="1777"/>
    </row>
    <row r="52" spans="2:14" x14ac:dyDescent="0.25">
      <c r="C52" s="1772" t="s">
        <v>236</v>
      </c>
      <c r="E52" s="1773" t="s">
        <v>171</v>
      </c>
      <c r="F52" s="1777">
        <f>F51*8.766</f>
        <v>3.4906211999999992E-2</v>
      </c>
      <c r="G52" s="1777">
        <f t="shared" ref="G52:L52" si="5">G51*8.766</f>
        <v>9.0334835470117607E-3</v>
      </c>
      <c r="H52" s="1777">
        <f t="shared" si="5"/>
        <v>8.4682342872358943E-2</v>
      </c>
      <c r="I52" s="1777">
        <f t="shared" si="5"/>
        <v>0.20539354278862565</v>
      </c>
      <c r="J52" s="1777">
        <f t="shared" si="5"/>
        <v>0.28257582941859183</v>
      </c>
      <c r="K52" s="1777">
        <f t="shared" si="5"/>
        <v>0.33868748298622414</v>
      </c>
      <c r="L52" s="1777">
        <f t="shared" si="5"/>
        <v>0.39335245918156653</v>
      </c>
      <c r="M52" s="1777">
        <f>M51*8.766</f>
        <v>0.44255994096679807</v>
      </c>
      <c r="N52" s="1777"/>
    </row>
    <row r="53" spans="2:14" x14ac:dyDescent="0.25">
      <c r="E53" s="1773"/>
    </row>
    <row r="54" spans="2:14" x14ac:dyDescent="0.25">
      <c r="B54" s="1778" t="s">
        <v>843</v>
      </c>
      <c r="E54" s="1773"/>
    </row>
    <row r="55" spans="2:14" x14ac:dyDescent="0.25">
      <c r="B55" s="1778"/>
      <c r="C55" s="1772" t="s">
        <v>844</v>
      </c>
      <c r="E55" s="1779" t="s">
        <v>152</v>
      </c>
      <c r="F55" s="1780">
        <f t="shared" ref="F55:M55" si="6">F51/F35</f>
        <v>1.9909999999999997E-2</v>
      </c>
      <c r="G55" s="1780">
        <f t="shared" si="6"/>
        <v>5.1525687582772983E-3</v>
      </c>
      <c r="H55" s="1780">
        <f t="shared" si="6"/>
        <v>4.8301587310266333E-2</v>
      </c>
      <c r="I55" s="1780">
        <f t="shared" si="6"/>
        <v>0.11715351516576868</v>
      </c>
      <c r="J55" s="1780">
        <f t="shared" si="6"/>
        <v>0.16117717854129124</v>
      </c>
      <c r="K55" s="1780">
        <f t="shared" si="6"/>
        <v>0.19318245664283828</v>
      </c>
      <c r="L55" s="1780">
        <f t="shared" si="6"/>
        <v>0.22436257083137492</v>
      </c>
      <c r="M55" s="1780">
        <f t="shared" si="6"/>
        <v>0.25242980890189254</v>
      </c>
      <c r="N55" s="1780"/>
    </row>
    <row r="56" spans="2:14" x14ac:dyDescent="0.25">
      <c r="B56" s="1781" t="s">
        <v>383</v>
      </c>
      <c r="C56" s="1694" t="s">
        <v>845</v>
      </c>
      <c r="E56" s="1773" t="s">
        <v>846</v>
      </c>
      <c r="F56" s="1774">
        <v>110</v>
      </c>
      <c r="G56" s="1774">
        <v>110</v>
      </c>
      <c r="H56" s="1774">
        <v>110</v>
      </c>
      <c r="I56" s="1774">
        <v>110</v>
      </c>
      <c r="J56" s="1774">
        <v>110</v>
      </c>
      <c r="K56" s="1774">
        <v>110</v>
      </c>
      <c r="L56" s="1774">
        <v>110</v>
      </c>
      <c r="M56" s="1774">
        <v>110</v>
      </c>
      <c r="N56" s="1774"/>
    </row>
    <row r="57" spans="2:14" x14ac:dyDescent="0.25">
      <c r="B57" s="1694" t="s">
        <v>234</v>
      </c>
      <c r="C57" s="1772" t="s">
        <v>847</v>
      </c>
      <c r="E57" s="1773" t="s">
        <v>848</v>
      </c>
      <c r="F57" s="1782">
        <f>F55*10^9/F56</f>
        <v>180999.99999999997</v>
      </c>
      <c r="G57" s="1782">
        <f t="shared" ref="G57:M57" si="7">G55*10^9/G56</f>
        <v>46841.534166157253</v>
      </c>
      <c r="H57" s="1782">
        <f t="shared" si="7"/>
        <v>439105.33918423939</v>
      </c>
      <c r="I57" s="1782">
        <f t="shared" si="7"/>
        <v>1065031.9560524425</v>
      </c>
      <c r="J57" s="1782">
        <f t="shared" si="7"/>
        <v>1465247.0776481021</v>
      </c>
      <c r="K57" s="1782">
        <f t="shared" si="7"/>
        <v>1756204.1512985299</v>
      </c>
      <c r="L57" s="1782">
        <f t="shared" si="7"/>
        <v>2039659.734830681</v>
      </c>
      <c r="M57" s="1782">
        <f t="shared" si="7"/>
        <v>2294816.4445626596</v>
      </c>
      <c r="N57" s="1782"/>
    </row>
    <row r="58" spans="2:14" x14ac:dyDescent="0.25">
      <c r="C58" s="1772"/>
      <c r="E58" s="1773" t="s">
        <v>849</v>
      </c>
      <c r="F58" s="1774">
        <f>F57/1000000</f>
        <v>0.18099999999999997</v>
      </c>
      <c r="G58" s="1774">
        <f t="shared" ref="G58:M58" si="8">G57/1000000</f>
        <v>4.6841534166157252E-2</v>
      </c>
      <c r="H58" s="1774">
        <f t="shared" si="8"/>
        <v>0.43910533918423938</v>
      </c>
      <c r="I58" s="1774">
        <f t="shared" si="8"/>
        <v>1.0650319560524426</v>
      </c>
      <c r="J58" s="1774">
        <f t="shared" si="8"/>
        <v>1.4652470776481021</v>
      </c>
      <c r="K58" s="1774">
        <f t="shared" si="8"/>
        <v>1.75620415129853</v>
      </c>
      <c r="L58" s="1774">
        <f t="shared" si="8"/>
        <v>2.0396597348306811</v>
      </c>
      <c r="M58" s="1774">
        <f t="shared" si="8"/>
        <v>2.2948164445626595</v>
      </c>
      <c r="N58" s="1774"/>
    </row>
    <row r="59" spans="2:14" x14ac:dyDescent="0.25">
      <c r="E59" s="1773"/>
      <c r="F59" s="1774"/>
      <c r="G59" s="1774"/>
      <c r="H59" s="1774"/>
      <c r="I59" s="1774"/>
      <c r="J59" s="1774"/>
      <c r="K59" s="1774"/>
      <c r="L59" s="1774"/>
      <c r="M59" s="1774"/>
      <c r="N59" s="1774"/>
    </row>
    <row r="60" spans="2:14" x14ac:dyDescent="0.25">
      <c r="C60" s="1772" t="s">
        <v>120</v>
      </c>
      <c r="E60" s="1773"/>
      <c r="F60" s="1774">
        <f>'Supuestos Globales'!G18</f>
        <v>5420554.3751459168</v>
      </c>
      <c r="G60" s="1774">
        <f>'Supuestos Globales'!H18</f>
        <v>5933918.1554948855</v>
      </c>
      <c r="H60" s="1774">
        <f>'Supuestos Globales'!I18</f>
        <v>6402460.8429500507</v>
      </c>
      <c r="I60" s="1774">
        <f>'Supuestos Globales'!J18</f>
        <v>6868127.93224221</v>
      </c>
      <c r="J60" s="1774">
        <f>'Supuestos Globales'!K18</f>
        <v>7281646.4692399325</v>
      </c>
      <c r="K60" s="1774">
        <f>'Supuestos Globales'!L18</f>
        <v>7650649.962975869</v>
      </c>
      <c r="L60" s="1774">
        <f>'Supuestos Globales'!M18</f>
        <v>7969518.4968252648</v>
      </c>
      <c r="M60" s="1774">
        <f>'Supuestos Globales'!N18</f>
        <v>8227432.6743829194</v>
      </c>
      <c r="N60" s="1774"/>
    </row>
    <row r="61" spans="2:14" x14ac:dyDescent="0.25">
      <c r="C61" s="1772" t="s">
        <v>850</v>
      </c>
      <c r="E61" s="1773"/>
      <c r="F61" s="1774">
        <f>'Supuestos Globales'!G12</f>
        <v>18006407</v>
      </c>
      <c r="G61" s="1774">
        <f>'Supuestos Globales'!H12</f>
        <v>18896684</v>
      </c>
      <c r="H61" s="1774">
        <f>'Supuestos Globales'!I12</f>
        <v>19453564.7830109</v>
      </c>
      <c r="I61" s="1774">
        <f>'Supuestos Globales'!J12</f>
        <v>19921453.997825053</v>
      </c>
      <c r="J61" s="1774">
        <f>'Supuestos Globales'!K12</f>
        <v>20293113.824288625</v>
      </c>
      <c r="K61" s="1774">
        <f>'Supuestos Globales'!L12</f>
        <v>20562681.303090554</v>
      </c>
      <c r="L61" s="1774">
        <f>'Supuestos Globales'!M12</f>
        <v>20725821.854927037</v>
      </c>
      <c r="M61" s="1774">
        <f>'Supuestos Globales'!N12</f>
        <v>20779845.005874563</v>
      </c>
      <c r="N61" s="1774"/>
    </row>
    <row r="62" spans="2:14" x14ac:dyDescent="0.25">
      <c r="C62" s="1772"/>
      <c r="E62" s="1773"/>
      <c r="F62" s="1774"/>
      <c r="G62" s="1774"/>
      <c r="H62" s="1774"/>
      <c r="I62" s="1774"/>
      <c r="J62" s="1774"/>
      <c r="K62" s="1774"/>
      <c r="L62" s="1774"/>
      <c r="M62" s="1774"/>
      <c r="N62" s="1774"/>
    </row>
    <row r="63" spans="2:14" x14ac:dyDescent="0.25">
      <c r="C63" s="1772"/>
      <c r="E63" s="1773"/>
      <c r="F63" s="1774"/>
      <c r="G63" s="1774"/>
      <c r="H63" s="1774"/>
      <c r="I63" s="1774"/>
      <c r="J63" s="1774"/>
      <c r="K63" s="1774"/>
      <c r="L63" s="1774"/>
      <c r="M63" s="1774">
        <f>M57/M61</f>
        <v>0.11043472383523091</v>
      </c>
      <c r="N63" s="1774" t="s">
        <v>851</v>
      </c>
    </row>
    <row r="64" spans="2:14" x14ac:dyDescent="0.25">
      <c r="C64" s="1772"/>
      <c r="E64" s="1773"/>
      <c r="F64" s="1774"/>
      <c r="G64" s="1774"/>
      <c r="H64" s="1774"/>
      <c r="I64" s="1774"/>
      <c r="J64" s="1774"/>
      <c r="K64" s="1774"/>
      <c r="L64" s="1774"/>
      <c r="M64" s="1774">
        <f>M49*10^9/M60</f>
        <v>33.902187556748473</v>
      </c>
      <c r="N64" s="1774" t="s">
        <v>852</v>
      </c>
    </row>
    <row r="65" spans="2:14" x14ac:dyDescent="0.25">
      <c r="C65" s="1772"/>
      <c r="E65" s="1773"/>
      <c r="F65" s="1774"/>
      <c r="G65" s="1774"/>
      <c r="H65" s="1774"/>
      <c r="I65" s="1774"/>
      <c r="J65" s="1774"/>
      <c r="K65" s="1774"/>
      <c r="L65" s="1774"/>
      <c r="M65" s="1774"/>
      <c r="N65" s="1774"/>
    </row>
    <row r="66" spans="2:14" x14ac:dyDescent="0.25">
      <c r="C66" s="1774" t="s">
        <v>853</v>
      </c>
      <c r="E66" s="1774" t="s">
        <v>848</v>
      </c>
      <c r="F66" s="1774">
        <f>F57/F60</f>
        <v>3.3391418565952048E-2</v>
      </c>
      <c r="G66" s="1774">
        <f t="shared" ref="G66:M66" si="9">G57/G60</f>
        <v>7.8938625270355955E-3</v>
      </c>
      <c r="H66" s="1774">
        <f t="shared" si="9"/>
        <v>6.8583838301448097E-2</v>
      </c>
      <c r="I66" s="1774">
        <f t="shared" si="9"/>
        <v>0.15506874166578691</v>
      </c>
      <c r="J66" s="1774">
        <f t="shared" si="9"/>
        <v>0.20122469332146065</v>
      </c>
      <c r="K66" s="1774">
        <f t="shared" si="9"/>
        <v>0.22954966699527582</v>
      </c>
      <c r="L66" s="1774">
        <f t="shared" si="9"/>
        <v>0.25593261821817709</v>
      </c>
      <c r="M66" s="1774">
        <f t="shared" si="9"/>
        <v>0.27892254308052145</v>
      </c>
      <c r="N66" s="1783"/>
    </row>
    <row r="67" spans="2:14" x14ac:dyDescent="0.25">
      <c r="C67" s="1774" t="s">
        <v>854</v>
      </c>
      <c r="E67" s="1774" t="s">
        <v>848</v>
      </c>
      <c r="F67" s="1774">
        <f>F57/F61</f>
        <v>1.0051977609969604E-2</v>
      </c>
      <c r="G67" s="1774">
        <f t="shared" ref="G67:M67" si="10">G57/G61</f>
        <v>2.4788229599519815E-3</v>
      </c>
      <c r="H67" s="1774">
        <f t="shared" si="10"/>
        <v>2.25719730076267E-2</v>
      </c>
      <c r="I67" s="1774">
        <f t="shared" si="10"/>
        <v>5.346155738274519E-2</v>
      </c>
      <c r="J67" s="1774">
        <f t="shared" si="10"/>
        <v>7.2204152124469068E-2</v>
      </c>
      <c r="K67" s="1774">
        <f t="shared" si="10"/>
        <v>8.5407351571148163E-2</v>
      </c>
      <c r="L67" s="1774">
        <f t="shared" si="10"/>
        <v>9.841152496183421E-2</v>
      </c>
      <c r="M67" s="1774">
        <f t="shared" si="10"/>
        <v>0.11043472383523091</v>
      </c>
      <c r="N67" s="1783"/>
    </row>
    <row r="68" spans="2:14" x14ac:dyDescent="0.25">
      <c r="C68" s="1778"/>
      <c r="E68" s="1784"/>
      <c r="F68" s="1783"/>
      <c r="G68" s="1783"/>
      <c r="H68" s="1783"/>
      <c r="I68" s="1783"/>
      <c r="J68" s="1783"/>
      <c r="K68" s="1783"/>
      <c r="L68" s="1783"/>
      <c r="M68" s="1783"/>
      <c r="N68" s="1783"/>
    </row>
    <row r="69" spans="2:14" x14ac:dyDescent="0.25">
      <c r="B69" s="1694" t="s">
        <v>237</v>
      </c>
      <c r="C69" s="1772"/>
      <c r="F69" s="1780"/>
      <c r="G69" s="1780"/>
      <c r="H69" s="1780"/>
      <c r="I69" s="1780"/>
      <c r="J69" s="1780"/>
      <c r="K69" s="1780"/>
      <c r="L69" s="1780"/>
      <c r="M69" s="1780"/>
      <c r="N69" s="1780"/>
    </row>
    <row r="70" spans="2:14" x14ac:dyDescent="0.25">
      <c r="F70" s="1785"/>
      <c r="G70" s="1785"/>
      <c r="H70" s="1785"/>
      <c r="I70" s="1785"/>
      <c r="J70" s="1785"/>
      <c r="K70" s="1785"/>
      <c r="L70" s="1785"/>
      <c r="M70" s="1785"/>
      <c r="N70" s="1785"/>
    </row>
    <row r="71" spans="2:14" x14ac:dyDescent="0.25">
      <c r="C71" s="2637" t="s">
        <v>1648</v>
      </c>
      <c r="E71" s="1694" t="s">
        <v>172</v>
      </c>
      <c r="F71" s="1785">
        <f>F45*10^6/$E$37</f>
        <v>4400</v>
      </c>
      <c r="G71" s="1785">
        <f t="shared" ref="G71:M71" si="11">G45*10^6/$E$37</f>
        <v>1138.6892283485743</v>
      </c>
      <c r="H71" s="1785">
        <f t="shared" si="11"/>
        <v>10674.383935970462</v>
      </c>
      <c r="I71" s="1785">
        <f t="shared" si="11"/>
        <v>25890.279594645013</v>
      </c>
      <c r="J71" s="1785">
        <f t="shared" si="11"/>
        <v>35619.26597597597</v>
      </c>
      <c r="K71" s="1785">
        <f t="shared" si="11"/>
        <v>42692.25561167697</v>
      </c>
      <c r="L71" s="1785">
        <f t="shared" si="11"/>
        <v>49582.888581519328</v>
      </c>
      <c r="M71" s="1785">
        <f t="shared" si="11"/>
        <v>55785.593127490079</v>
      </c>
      <c r="N71" s="1785"/>
    </row>
    <row r="72" spans="2:14" x14ac:dyDescent="0.25">
      <c r="F72" s="1785"/>
      <c r="G72" s="1785"/>
      <c r="H72" s="1785"/>
      <c r="I72" s="1785"/>
      <c r="J72" s="1785"/>
      <c r="K72" s="1785"/>
      <c r="L72" s="1785"/>
      <c r="M72" s="1785"/>
      <c r="N72" s="1785"/>
    </row>
    <row r="73" spans="2:14" ht="15.75" x14ac:dyDescent="0.25">
      <c r="B73" s="1698" t="s">
        <v>181</v>
      </c>
      <c r="C73" s="1699"/>
      <c r="D73" s="1699"/>
      <c r="E73" s="1699"/>
      <c r="F73" s="1699"/>
      <c r="G73" s="1699"/>
      <c r="H73" s="1699"/>
      <c r="I73" s="1699"/>
      <c r="J73" s="1699"/>
      <c r="K73" s="1699"/>
      <c r="L73" s="1699"/>
      <c r="M73" s="1699"/>
      <c r="N73" s="1699"/>
    </row>
    <row r="74" spans="2:14" x14ac:dyDescent="0.25">
      <c r="B74" s="1700"/>
      <c r="C74" s="1701"/>
      <c r="D74" s="1701"/>
      <c r="E74" s="1701"/>
      <c r="F74" s="1701"/>
      <c r="G74" s="1701"/>
      <c r="H74" s="1701"/>
      <c r="I74" s="1701"/>
      <c r="J74" s="1701"/>
      <c r="K74" s="1701"/>
      <c r="L74" s="1701"/>
      <c r="M74" s="1701"/>
      <c r="N74" s="1701"/>
    </row>
    <row r="75" spans="2:14" x14ac:dyDescent="0.25">
      <c r="B75" s="1700"/>
      <c r="C75" s="1786" t="s">
        <v>393</v>
      </c>
      <c r="D75" s="1701"/>
      <c r="E75" s="1787"/>
      <c r="F75" s="1701"/>
      <c r="G75" s="1787"/>
      <c r="H75" s="1701"/>
      <c r="I75" s="1701"/>
      <c r="J75" s="1701"/>
      <c r="K75" s="1701"/>
      <c r="L75" s="1701"/>
      <c r="M75" s="1787" t="s">
        <v>171</v>
      </c>
      <c r="N75" s="1701"/>
    </row>
    <row r="76" spans="2:14" x14ac:dyDescent="0.25">
      <c r="B76" s="1700"/>
      <c r="C76" s="1701"/>
      <c r="D76" s="1701"/>
      <c r="E76" s="1701"/>
      <c r="F76" s="1701"/>
      <c r="G76" s="1701"/>
      <c r="H76" s="1701"/>
      <c r="I76" s="1701"/>
      <c r="J76" s="1701"/>
      <c r="K76" s="1701"/>
      <c r="L76" s="1701"/>
      <c r="M76" s="1701"/>
      <c r="N76" s="1701"/>
    </row>
    <row r="77" spans="2:14" ht="15.75" x14ac:dyDescent="0.25">
      <c r="B77" s="1702"/>
      <c r="C77" s="1942" t="s">
        <v>146</v>
      </c>
      <c r="D77" s="1943" t="s">
        <v>242</v>
      </c>
      <c r="E77" s="1943" t="s">
        <v>8</v>
      </c>
      <c r="F77" s="1943" t="s">
        <v>16</v>
      </c>
      <c r="G77" s="1943" t="s">
        <v>17</v>
      </c>
      <c r="H77" s="1943" t="s">
        <v>18</v>
      </c>
      <c r="I77" s="1943" t="s">
        <v>19</v>
      </c>
      <c r="J77" s="1943" t="s">
        <v>20</v>
      </c>
      <c r="K77" s="1943" t="s">
        <v>21</v>
      </c>
      <c r="L77" s="1943" t="s">
        <v>22</v>
      </c>
      <c r="M77" s="1943" t="s">
        <v>23</v>
      </c>
      <c r="N77" s="1701"/>
    </row>
    <row r="78" spans="2:14" ht="15.75" x14ac:dyDescent="0.25">
      <c r="B78" s="1702"/>
      <c r="C78" s="1788" t="s">
        <v>150</v>
      </c>
      <c r="D78" s="1789" t="s">
        <v>243</v>
      </c>
      <c r="E78" s="1788"/>
      <c r="F78" s="1790">
        <f t="shared" ref="F78:L78" si="12">F52</f>
        <v>3.4906211999999992E-2</v>
      </c>
      <c r="G78" s="1790">
        <f t="shared" si="12"/>
        <v>9.0334835470117607E-3</v>
      </c>
      <c r="H78" s="1790">
        <f t="shared" si="12"/>
        <v>8.4682342872358943E-2</v>
      </c>
      <c r="I78" s="1790">
        <f t="shared" si="12"/>
        <v>0.20539354278862565</v>
      </c>
      <c r="J78" s="1790">
        <f t="shared" si="12"/>
        <v>0.28257582941859183</v>
      </c>
      <c r="K78" s="1790">
        <f t="shared" si="12"/>
        <v>0.33868748298622414</v>
      </c>
      <c r="L78" s="1790">
        <f t="shared" si="12"/>
        <v>0.39335245918156653</v>
      </c>
      <c r="M78" s="1790">
        <f>M52</f>
        <v>0.44255994096679807</v>
      </c>
      <c r="N78" s="1701"/>
    </row>
    <row r="79" spans="2:14" ht="15.75" x14ac:dyDescent="0.25">
      <c r="B79" s="1702"/>
      <c r="C79" s="1788" t="s">
        <v>315</v>
      </c>
      <c r="D79" s="1788" t="s">
        <v>316</v>
      </c>
      <c r="E79" s="1788"/>
      <c r="F79" s="1826">
        <f t="shared" ref="F79:M79" si="13">-F52</f>
        <v>-3.4906211999999992E-2</v>
      </c>
      <c r="G79" s="1826">
        <f t="shared" si="13"/>
        <v>-9.0334835470117607E-3</v>
      </c>
      <c r="H79" s="1826">
        <f t="shared" si="13"/>
        <v>-8.4682342872358943E-2</v>
      </c>
      <c r="I79" s="1826">
        <f t="shared" si="13"/>
        <v>-0.20539354278862565</v>
      </c>
      <c r="J79" s="1826">
        <f t="shared" si="13"/>
        <v>-0.28257582941859183</v>
      </c>
      <c r="K79" s="1826">
        <f t="shared" si="13"/>
        <v>-0.33868748298622414</v>
      </c>
      <c r="L79" s="1826">
        <f t="shared" si="13"/>
        <v>-0.39335245918156653</v>
      </c>
      <c r="M79" s="1826">
        <f t="shared" si="13"/>
        <v>-0.44255994096679807</v>
      </c>
      <c r="N79" s="1701"/>
    </row>
    <row r="80" spans="2:14" ht="15.75" x14ac:dyDescent="0.25">
      <c r="B80" s="1702"/>
      <c r="C80" s="1938" t="s">
        <v>118</v>
      </c>
      <c r="D80" s="1938"/>
      <c r="E80" s="1938"/>
      <c r="F80" s="1944">
        <f>SUBTOTAL(109,IV.a.Outputs[2015])</f>
        <v>0</v>
      </c>
      <c r="G80" s="1944">
        <f>SUBTOTAL(109,IV.a.Outputs[2020])</f>
        <v>0</v>
      </c>
      <c r="H80" s="1944">
        <f>SUBTOTAL(109,IV.a.Outputs[2025])</f>
        <v>0</v>
      </c>
      <c r="I80" s="1944">
        <f>SUBTOTAL(109,IV.a.Outputs[2030])</f>
        <v>0</v>
      </c>
      <c r="J80" s="1944">
        <f>SUBTOTAL(109,IV.a.Outputs[2035])</f>
        <v>0</v>
      </c>
      <c r="K80" s="1944">
        <f>SUBTOTAL(109,IV.a.Outputs[2040])</f>
        <v>0</v>
      </c>
      <c r="L80" s="1944">
        <f>SUBTOTAL(109,IV.a.Outputs[2045])</f>
        <v>0</v>
      </c>
      <c r="M80" s="1944">
        <f>SUBTOTAL(109,IV.a.Outputs[2050])</f>
        <v>0</v>
      </c>
      <c r="N80" s="1701"/>
    </row>
    <row r="81" spans="2:14" ht="15.75" x14ac:dyDescent="0.25">
      <c r="B81" s="1792"/>
      <c r="C81" s="1788"/>
      <c r="D81" s="1788"/>
      <c r="E81" s="1788"/>
      <c r="F81" s="1791"/>
      <c r="G81" s="1791"/>
      <c r="H81" s="1791"/>
      <c r="I81" s="1791"/>
      <c r="J81" s="1791"/>
      <c r="K81" s="1791"/>
      <c r="L81" s="1791"/>
      <c r="M81" s="1791"/>
      <c r="N81" s="1793"/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Q103"/>
  <sheetViews>
    <sheetView topLeftCell="A30" zoomScale="70" zoomScaleNormal="70" workbookViewId="0">
      <selection activeCell="B13" sqref="B13"/>
    </sheetView>
  </sheetViews>
  <sheetFormatPr baseColWidth="10" defaultColWidth="11.42578125" defaultRowHeight="15" outlineLevelRow="1" x14ac:dyDescent="0.25"/>
  <cols>
    <col min="1" max="1" width="11.42578125" style="1694"/>
    <col min="2" max="2" width="24.140625" style="1694" customWidth="1"/>
    <col min="3" max="3" width="11.42578125" style="1694"/>
    <col min="4" max="4" width="54.85546875" style="1694" bestFit="1" customWidth="1"/>
    <col min="5" max="16384" width="11.42578125" style="1694"/>
  </cols>
  <sheetData>
    <row r="1" spans="1:17" ht="20.25" x14ac:dyDescent="0.3">
      <c r="A1" s="1693" t="s">
        <v>737</v>
      </c>
      <c r="B1" s="1693" t="s">
        <v>1643</v>
      </c>
      <c r="C1" s="1693"/>
    </row>
    <row r="2" spans="1:17" ht="15.75" x14ac:dyDescent="0.25">
      <c r="A2" s="1695" t="s">
        <v>68</v>
      </c>
      <c r="B2" s="1695" t="str">
        <f>INDEX(Modulos[Modulos], MATCH($A2, Modulos[Código], 0))</f>
        <v>Residuos</v>
      </c>
      <c r="C2" s="1695"/>
      <c r="D2" s="1696"/>
      <c r="E2" s="259"/>
      <c r="F2" s="1696"/>
      <c r="G2" s="1696"/>
      <c r="H2" s="1696"/>
      <c r="I2" s="1696"/>
      <c r="J2" s="1696"/>
      <c r="K2" s="1696"/>
      <c r="L2" s="1696"/>
      <c r="M2" s="1696"/>
      <c r="N2" s="1696"/>
      <c r="Q2" s="1696"/>
    </row>
    <row r="4" spans="1:17" ht="23.25" x14ac:dyDescent="0.35">
      <c r="A4" s="1697"/>
      <c r="B4" s="1698" t="s">
        <v>144</v>
      </c>
      <c r="C4" s="1699"/>
      <c r="D4" s="1699"/>
      <c r="E4" s="1699"/>
      <c r="F4" s="1699"/>
      <c r="G4" s="1699"/>
      <c r="H4" s="1699"/>
      <c r="I4" s="1699"/>
      <c r="J4" s="1699"/>
      <c r="K4" s="1699"/>
      <c r="L4" s="1699"/>
      <c r="M4" s="1699"/>
      <c r="N4" s="1699"/>
    </row>
    <row r="5" spans="1:17" x14ac:dyDescent="0.25">
      <c r="B5" s="1700"/>
      <c r="C5" s="1701"/>
      <c r="D5" s="1701"/>
      <c r="E5" s="1701"/>
      <c r="F5" s="1701"/>
      <c r="G5" s="1701"/>
      <c r="H5" s="1701"/>
      <c r="I5" s="1701"/>
      <c r="J5" s="1701"/>
      <c r="K5" s="1701"/>
      <c r="L5" s="1701"/>
      <c r="M5" s="1701"/>
      <c r="N5" s="1701"/>
    </row>
    <row r="6" spans="1:17" ht="15.75" x14ac:dyDescent="0.25">
      <c r="B6" s="1702"/>
      <c r="C6" s="1701"/>
      <c r="D6" s="1703" t="s">
        <v>145</v>
      </c>
      <c r="E6" s="1703" t="s">
        <v>3</v>
      </c>
      <c r="F6" s="1701"/>
      <c r="G6" s="1701"/>
      <c r="H6" s="1701"/>
      <c r="I6" s="1701"/>
      <c r="J6" s="1701"/>
      <c r="K6" s="1701"/>
      <c r="L6" s="1701"/>
      <c r="M6" s="1701"/>
      <c r="N6" s="1701"/>
    </row>
    <row r="7" spans="1:17" ht="15.75" x14ac:dyDescent="0.25">
      <c r="B7" s="1702"/>
      <c r="C7" s="1701"/>
      <c r="D7" s="2595" t="s">
        <v>954</v>
      </c>
      <c r="E7" s="2595">
        <f>Control!F$69</f>
        <v>1</v>
      </c>
      <c r="F7" s="1701"/>
      <c r="G7" s="1701"/>
      <c r="H7" s="1701"/>
      <c r="I7" s="1701"/>
      <c r="J7" s="1701"/>
      <c r="K7" s="1701"/>
      <c r="L7" s="1701"/>
      <c r="M7" s="1701"/>
      <c r="N7" s="1701"/>
    </row>
    <row r="8" spans="1:17" ht="15.75" x14ac:dyDescent="0.25">
      <c r="B8" s="1702"/>
      <c r="C8" s="1701"/>
      <c r="D8" s="1788" t="s">
        <v>1024</v>
      </c>
      <c r="E8" s="1788">
        <f>Control!F$69</f>
        <v>1</v>
      </c>
      <c r="F8" s="1701"/>
      <c r="G8" s="1701"/>
      <c r="H8" s="1701"/>
      <c r="I8" s="1701"/>
      <c r="J8" s="1701"/>
      <c r="K8" s="1701"/>
      <c r="L8" s="1701"/>
      <c r="M8" s="1701"/>
      <c r="N8" s="1701"/>
    </row>
    <row r="9" spans="1:17" ht="15.75" x14ac:dyDescent="0.25">
      <c r="B9" s="1702"/>
      <c r="C9" s="1701"/>
      <c r="D9" s="1788" t="s">
        <v>1025</v>
      </c>
      <c r="E9" s="1788">
        <f>Control!F$69</f>
        <v>1</v>
      </c>
      <c r="F9" s="1701"/>
      <c r="G9" s="1701"/>
      <c r="H9" s="1701"/>
      <c r="I9" s="1701"/>
      <c r="J9" s="1701"/>
      <c r="K9" s="1701"/>
      <c r="L9" s="1701"/>
      <c r="M9" s="1701"/>
      <c r="N9" s="1701"/>
    </row>
    <row r="10" spans="1:17" ht="15.75" x14ac:dyDescent="0.25">
      <c r="B10" s="1702"/>
      <c r="C10" s="1701"/>
      <c r="D10" s="2598" t="s">
        <v>1621</v>
      </c>
      <c r="E10" s="2599">
        <v>0</v>
      </c>
      <c r="F10" s="1701"/>
      <c r="G10" s="1701"/>
      <c r="H10" s="1701"/>
      <c r="I10" s="1701"/>
      <c r="J10" s="1701"/>
      <c r="K10" s="1701"/>
      <c r="L10" s="1701"/>
      <c r="M10" s="1701"/>
      <c r="N10" s="1701"/>
    </row>
    <row r="11" spans="1:17" ht="15.75" x14ac:dyDescent="0.25">
      <c r="B11" s="1702"/>
      <c r="C11" s="1701"/>
      <c r="D11" s="1788"/>
      <c r="E11" s="1788"/>
      <c r="F11" s="1701"/>
      <c r="G11" s="1701"/>
      <c r="H11" s="1701"/>
      <c r="I11" s="1701"/>
      <c r="J11" s="1701"/>
      <c r="K11" s="1701"/>
      <c r="L11" s="1701"/>
      <c r="M11" s="1701"/>
      <c r="N11" s="1701"/>
    </row>
    <row r="12" spans="1:17" x14ac:dyDescent="0.25">
      <c r="B12" s="1705"/>
      <c r="C12" s="1706"/>
      <c r="D12" s="2596"/>
      <c r="E12" s="1706"/>
      <c r="F12" s="1706"/>
      <c r="G12" s="1706"/>
      <c r="H12" s="1706"/>
      <c r="I12" s="1706"/>
      <c r="J12" s="1706"/>
      <c r="K12" s="1706"/>
      <c r="L12" s="1706"/>
      <c r="M12" s="1706"/>
      <c r="N12" s="1706"/>
    </row>
    <row r="14" spans="1:17" ht="15.75" hidden="1" outlineLevel="1" x14ac:dyDescent="0.25">
      <c r="B14" s="1707" t="s">
        <v>163</v>
      </c>
      <c r="C14" s="1708"/>
      <c r="D14" s="1708"/>
      <c r="E14" s="1708"/>
      <c r="F14" s="1708"/>
      <c r="G14" s="1708"/>
      <c r="H14" s="1708"/>
      <c r="I14" s="1708"/>
      <c r="J14" s="1708"/>
      <c r="K14" s="1708"/>
      <c r="L14" s="1708"/>
      <c r="M14" s="1708"/>
      <c r="N14" s="1708"/>
      <c r="Q14" s="1819"/>
    </row>
    <row r="15" spans="1:17" hidden="1" outlineLevel="1" x14ac:dyDescent="0.25">
      <c r="B15" s="1746"/>
      <c r="C15" s="1747"/>
      <c r="D15" s="1747"/>
      <c r="E15" s="1747"/>
      <c r="F15" s="1747"/>
      <c r="G15" s="1747"/>
      <c r="H15" s="1747"/>
      <c r="I15" s="1747"/>
      <c r="J15" s="1747"/>
      <c r="K15" s="1747"/>
      <c r="L15" s="1747"/>
      <c r="M15" s="1747"/>
      <c r="N15" s="1747"/>
      <c r="Q15" s="1817"/>
    </row>
    <row r="16" spans="1:17" hidden="1" outlineLevel="1" x14ac:dyDescent="0.25">
      <c r="B16" s="1709"/>
      <c r="C16" s="1711" t="s">
        <v>856</v>
      </c>
      <c r="D16" s="1748"/>
      <c r="E16" s="1749"/>
      <c r="F16" s="1750"/>
      <c r="G16" s="1750"/>
      <c r="H16" s="1750"/>
      <c r="I16" s="1750"/>
      <c r="J16" s="1750"/>
      <c r="K16" s="1750"/>
      <c r="L16" s="1750"/>
      <c r="M16" s="1751" t="s">
        <v>227</v>
      </c>
      <c r="N16" s="1710"/>
      <c r="Q16" s="1816"/>
    </row>
    <row r="17" spans="2:17" hidden="1" outlineLevel="1" x14ac:dyDescent="0.25">
      <c r="B17" s="1709"/>
      <c r="C17" s="1752"/>
      <c r="D17" s="1748"/>
      <c r="E17" s="1749"/>
      <c r="F17" s="1750"/>
      <c r="G17" s="1750"/>
      <c r="H17" s="1750"/>
      <c r="I17" s="1750"/>
      <c r="J17" s="1750"/>
      <c r="K17" s="1750"/>
      <c r="L17" s="1750"/>
      <c r="M17" s="1710"/>
      <c r="N17" s="1710"/>
      <c r="Q17" s="1820"/>
    </row>
    <row r="18" spans="2:17" hidden="1" outlineLevel="1" x14ac:dyDescent="0.25">
      <c r="B18" s="1709"/>
      <c r="C18" s="1753"/>
      <c r="D18" s="1754"/>
      <c r="E18" s="1755" t="s">
        <v>164</v>
      </c>
      <c r="F18" s="1756">
        <v>2015</v>
      </c>
      <c r="G18" s="1756">
        <v>2020</v>
      </c>
      <c r="H18" s="1756">
        <v>2025</v>
      </c>
      <c r="I18" s="1756">
        <v>2030</v>
      </c>
      <c r="J18" s="1756">
        <v>2035</v>
      </c>
      <c r="K18" s="1756">
        <v>2040</v>
      </c>
      <c r="L18" s="1756">
        <v>2045</v>
      </c>
      <c r="M18" s="1756">
        <v>2050</v>
      </c>
      <c r="N18" s="1710"/>
      <c r="Q18" s="1820"/>
    </row>
    <row r="19" spans="2:17" hidden="1" outlineLevel="1" x14ac:dyDescent="0.25">
      <c r="B19" s="1709"/>
      <c r="C19" s="1757" t="s">
        <v>165</v>
      </c>
      <c r="D19" s="1754"/>
      <c r="E19" s="1758">
        <v>0</v>
      </c>
      <c r="F19" s="1759">
        <v>4.4999999999999998E-2</v>
      </c>
      <c r="G19" s="1759">
        <v>4.4999999999999998E-2</v>
      </c>
      <c r="H19" s="1759">
        <v>4.4999999999999998E-2</v>
      </c>
      <c r="I19" s="1759">
        <v>4.4999999999999998E-2</v>
      </c>
      <c r="J19" s="1759">
        <v>4.4999999999999998E-2</v>
      </c>
      <c r="K19" s="1759">
        <v>4.4999999999999998E-2</v>
      </c>
      <c r="L19" s="1759">
        <v>4.4999999999999998E-2</v>
      </c>
      <c r="M19" s="1759">
        <v>4.4999999999999998E-2</v>
      </c>
      <c r="N19" s="1710"/>
      <c r="Q19" s="1821"/>
    </row>
    <row r="20" spans="2:17" hidden="1" outlineLevel="1" x14ac:dyDescent="0.25">
      <c r="B20" s="1709"/>
      <c r="C20" s="1760" t="s">
        <v>166</v>
      </c>
      <c r="D20" s="1748"/>
      <c r="E20" s="1761">
        <v>-6.4758509480882794E-5</v>
      </c>
      <c r="F20" s="1762">
        <v>8.4188247979483984E-3</v>
      </c>
      <c r="G20" s="1762">
        <v>8.0950322505439851E-3</v>
      </c>
      <c r="H20" s="1762">
        <v>7.771239703139571E-3</v>
      </c>
      <c r="I20" s="1762">
        <v>7.4474471557351568E-3</v>
      </c>
      <c r="J20" s="1762">
        <v>7.1236546083307426E-3</v>
      </c>
      <c r="K20" s="1762">
        <v>6.7998620609263285E-3</v>
      </c>
      <c r="L20" s="1762">
        <v>6.4760695135219143E-3</v>
      </c>
      <c r="M20" s="1762">
        <v>6.1522769661175002E-3</v>
      </c>
      <c r="N20" s="1710"/>
      <c r="Q20" s="1817"/>
    </row>
    <row r="21" spans="2:17" hidden="1" outlineLevel="1" x14ac:dyDescent="0.25">
      <c r="B21" s="1709"/>
      <c r="C21" s="1763" t="s">
        <v>167</v>
      </c>
      <c r="D21" s="1764"/>
      <c r="E21" s="1765">
        <v>-6.4758509480882794E-5</v>
      </c>
      <c r="F21" s="1766">
        <v>8.4188247979483984E-3</v>
      </c>
      <c r="G21" s="1766">
        <v>8.0950322505439851E-3</v>
      </c>
      <c r="H21" s="1766">
        <v>7.771239703139571E-3</v>
      </c>
      <c r="I21" s="1766">
        <v>7.4474471557351568E-3</v>
      </c>
      <c r="J21" s="1766">
        <v>7.1236546083307426E-3</v>
      </c>
      <c r="K21" s="1766">
        <v>6.7998620609263285E-3</v>
      </c>
      <c r="L21" s="1766">
        <v>6.4760695135219143E-3</v>
      </c>
      <c r="M21" s="1766">
        <v>6.1522769661175002E-3</v>
      </c>
      <c r="N21" s="1710"/>
      <c r="Q21" s="1816"/>
    </row>
    <row r="22" spans="2:17" hidden="1" outlineLevel="1" x14ac:dyDescent="0.25">
      <c r="B22" s="1709"/>
      <c r="C22" s="1752"/>
      <c r="D22" s="1748"/>
      <c r="E22" s="1749"/>
      <c r="F22" s="1750"/>
      <c r="G22" s="1750"/>
      <c r="H22" s="1750"/>
      <c r="I22" s="1750"/>
      <c r="J22" s="1750"/>
      <c r="K22" s="1750"/>
      <c r="L22" s="1750"/>
      <c r="M22" s="1710"/>
      <c r="N22" s="1710"/>
      <c r="Q22" s="1817"/>
    </row>
    <row r="23" spans="2:17" hidden="1" outlineLevel="1" x14ac:dyDescent="0.25">
      <c r="B23" s="1709"/>
      <c r="C23" s="1711" t="s">
        <v>857</v>
      </c>
      <c r="D23" s="1748"/>
      <c r="E23" s="1749"/>
      <c r="F23" s="1750"/>
      <c r="G23" s="1750"/>
      <c r="H23" s="1750"/>
      <c r="I23" s="1750"/>
      <c r="J23" s="1750"/>
      <c r="K23" s="1750"/>
      <c r="L23" s="1750"/>
      <c r="M23" s="1751" t="s">
        <v>227</v>
      </c>
      <c r="N23" s="1710"/>
      <c r="Q23" s="1817"/>
    </row>
    <row r="24" spans="2:17" hidden="1" outlineLevel="1" x14ac:dyDescent="0.25">
      <c r="B24" s="1709"/>
      <c r="C24" s="1752"/>
      <c r="D24" s="1748"/>
      <c r="E24" s="1749"/>
      <c r="F24" s="1750"/>
      <c r="G24" s="1750"/>
      <c r="H24" s="1750"/>
      <c r="I24" s="1750"/>
      <c r="J24" s="1750"/>
      <c r="K24" s="1750"/>
      <c r="L24" s="1750"/>
      <c r="M24" s="1710"/>
      <c r="N24" s="1710"/>
      <c r="Q24" s="1817"/>
    </row>
    <row r="25" spans="2:17" hidden="1" outlineLevel="1" x14ac:dyDescent="0.25">
      <c r="B25" s="1709"/>
      <c r="C25" s="1753"/>
      <c r="D25" s="1754"/>
      <c r="E25" s="1755" t="s">
        <v>164</v>
      </c>
      <c r="F25" s="1756">
        <v>2015</v>
      </c>
      <c r="G25" s="1756">
        <v>2020</v>
      </c>
      <c r="H25" s="1756">
        <v>2025</v>
      </c>
      <c r="I25" s="1756">
        <v>2030</v>
      </c>
      <c r="J25" s="1756">
        <v>2035</v>
      </c>
      <c r="K25" s="1756">
        <v>2040</v>
      </c>
      <c r="L25" s="1756">
        <v>2045</v>
      </c>
      <c r="M25" s="1756">
        <v>2050</v>
      </c>
      <c r="N25" s="1710"/>
      <c r="Q25" s="1817"/>
    </row>
    <row r="26" spans="2:17" hidden="1" outlineLevel="1" x14ac:dyDescent="0.25">
      <c r="B26" s="1709"/>
      <c r="C26" s="1757" t="s">
        <v>165</v>
      </c>
      <c r="D26" s="1754"/>
      <c r="E26" s="1758">
        <v>0</v>
      </c>
      <c r="F26" s="1759">
        <v>1.7499999999999997E-4</v>
      </c>
      <c r="G26" s="1759">
        <v>1.7499999999999997E-4</v>
      </c>
      <c r="H26" s="1759">
        <v>1.7499999999999997E-4</v>
      </c>
      <c r="I26" s="1759">
        <v>1.7499999999999997E-4</v>
      </c>
      <c r="J26" s="1759">
        <v>1.7499999999999997E-4</v>
      </c>
      <c r="K26" s="1759">
        <v>1.7499999999999997E-4</v>
      </c>
      <c r="L26" s="1759">
        <v>1.7499999999999997E-4</v>
      </c>
      <c r="M26" s="1759">
        <v>1.7499999999999997E-4</v>
      </c>
      <c r="N26" s="1710"/>
      <c r="Q26" s="1817"/>
    </row>
    <row r="27" spans="2:17" hidden="1" outlineLevel="1" x14ac:dyDescent="0.25">
      <c r="B27" s="1709"/>
      <c r="C27" s="1760" t="s">
        <v>166</v>
      </c>
      <c r="D27" s="1748"/>
      <c r="E27" s="1761">
        <v>0</v>
      </c>
      <c r="F27" s="1762">
        <v>1.3499999999999997E-4</v>
      </c>
      <c r="G27" s="1762">
        <v>1.3499999999999997E-4</v>
      </c>
      <c r="H27" s="1762">
        <v>1.3499999999999997E-4</v>
      </c>
      <c r="I27" s="1762">
        <v>1.3499999999999997E-4</v>
      </c>
      <c r="J27" s="1762">
        <v>1.3499999999999997E-4</v>
      </c>
      <c r="K27" s="1762">
        <v>1.3499999999999997E-4</v>
      </c>
      <c r="L27" s="1762">
        <v>1.3499999999999997E-4</v>
      </c>
      <c r="M27" s="1762">
        <v>1.3499999999999997E-4</v>
      </c>
      <c r="N27" s="1710"/>
      <c r="Q27" s="1817"/>
    </row>
    <row r="28" spans="2:17" hidden="1" outlineLevel="1" x14ac:dyDescent="0.25">
      <c r="B28" s="1709"/>
      <c r="C28" s="1763" t="s">
        <v>167</v>
      </c>
      <c r="D28" s="1764"/>
      <c r="E28" s="1765">
        <v>0</v>
      </c>
      <c r="F28" s="1766">
        <v>0</v>
      </c>
      <c r="G28" s="1766">
        <v>0</v>
      </c>
      <c r="H28" s="1766">
        <v>0</v>
      </c>
      <c r="I28" s="1766">
        <v>0</v>
      </c>
      <c r="J28" s="1766">
        <v>0</v>
      </c>
      <c r="K28" s="1766">
        <v>0</v>
      </c>
      <c r="L28" s="1766">
        <v>0</v>
      </c>
      <c r="M28" s="1766">
        <v>0</v>
      </c>
      <c r="N28" s="1710"/>
      <c r="Q28" s="1817"/>
    </row>
    <row r="29" spans="2:17" hidden="1" outlineLevel="1" x14ac:dyDescent="0.25">
      <c r="B29" s="1709"/>
      <c r="C29" s="1815"/>
      <c r="D29" s="1710"/>
      <c r="E29" s="1712"/>
      <c r="F29" s="1822"/>
      <c r="G29" s="1822"/>
      <c r="H29" s="1822"/>
      <c r="I29" s="1822"/>
      <c r="J29" s="1822"/>
      <c r="K29" s="1822"/>
      <c r="L29" s="1822"/>
      <c r="M29" s="1822"/>
      <c r="N29" s="1822"/>
      <c r="Q29" s="1817"/>
    </row>
    <row r="30" spans="2:17" collapsed="1" x14ac:dyDescent="0.25">
      <c r="B30" s="1816"/>
      <c r="C30" s="1817"/>
      <c r="D30" s="1818"/>
      <c r="E30" s="1817"/>
      <c r="F30" s="1817"/>
      <c r="G30" s="1817"/>
      <c r="H30" s="1817"/>
      <c r="I30" s="1817"/>
      <c r="J30" s="1817"/>
      <c r="K30" s="1817"/>
      <c r="L30" s="1817"/>
      <c r="M30" s="1817"/>
      <c r="N30" s="1817"/>
      <c r="Q30" s="1817"/>
    </row>
    <row r="31" spans="2:17" ht="15.75" x14ac:dyDescent="0.25">
      <c r="B31" s="1707" t="s">
        <v>369</v>
      </c>
      <c r="C31" s="1708"/>
      <c r="D31" s="1708"/>
      <c r="E31" s="1708"/>
      <c r="F31" s="1708"/>
      <c r="G31" s="1708"/>
      <c r="H31" s="1708"/>
      <c r="I31" s="1708"/>
      <c r="J31" s="1708"/>
      <c r="K31" s="1708"/>
      <c r="L31" s="1708"/>
      <c r="M31" s="1708"/>
      <c r="N31" s="1708"/>
      <c r="Q31" s="1817"/>
    </row>
    <row r="32" spans="2:17" x14ac:dyDescent="0.25">
      <c r="B32" s="1709"/>
      <c r="C32" s="1710"/>
      <c r="D32" s="1710"/>
      <c r="E32" s="1710"/>
      <c r="F32" s="1710"/>
      <c r="G32" s="1710"/>
      <c r="H32" s="1710"/>
      <c r="I32" s="1710"/>
      <c r="J32" s="1710"/>
      <c r="K32" s="1710"/>
      <c r="L32" s="1710"/>
      <c r="M32" s="1710"/>
      <c r="N32" s="1710"/>
      <c r="Q32" s="1817"/>
    </row>
    <row r="33" spans="2:17" x14ac:dyDescent="0.25">
      <c r="Q33" s="1817"/>
    </row>
    <row r="34" spans="2:17" x14ac:dyDescent="0.25">
      <c r="B34" s="1694" t="str">
        <f>Residuos!C254</f>
        <v>(iii) Generación Eléctrica</v>
      </c>
    </row>
    <row r="35" spans="2:17" x14ac:dyDescent="0.25">
      <c r="B35" s="1694" t="str">
        <f>Residuos!C255</f>
        <v>Nombre</v>
      </c>
      <c r="C35" s="1694" t="str">
        <f>Residuos!D255</f>
        <v xml:space="preserve">Unidad </v>
      </c>
      <c r="D35" s="1694" t="str">
        <f>Residuos!E255</f>
        <v>Notas</v>
      </c>
      <c r="F35" s="1694">
        <v>2015</v>
      </c>
      <c r="G35" s="1694">
        <v>2020</v>
      </c>
      <c r="H35" s="1694">
        <v>2025</v>
      </c>
      <c r="I35" s="1694">
        <v>2030</v>
      </c>
      <c r="J35" s="1694">
        <v>2035</v>
      </c>
      <c r="K35" s="1694">
        <v>2040</v>
      </c>
      <c r="L35" s="1694">
        <v>2045</v>
      </c>
      <c r="M35" s="1694">
        <v>2050</v>
      </c>
    </row>
    <row r="36" spans="2:17" x14ac:dyDescent="0.25">
      <c r="B36" s="1694" t="str">
        <f>Residuos!C256</f>
        <v>Generación de Electricidad</v>
      </c>
      <c r="C36" s="1694" t="str">
        <f>Residuos!D256</f>
        <v>[GWh]</v>
      </c>
      <c r="F36" s="1694">
        <f>INDEX(Residuos!$C$255:$AQ$256,MATCH(V.a!$B$36,Residuos!$C$255:$C$256,0),MATCH(V.a!F$35,Residuos!$C$255:$AQ$255,0))</f>
        <v>262.8</v>
      </c>
      <c r="G36" s="1694">
        <f>INDEX(Residuos!$C$255:$AQ$256,MATCH(V.a!$B$36,Residuos!$C$255:$C$256,0),MATCH(V.a!G$35,Residuos!$C$255:$AQ$255,0))</f>
        <v>350.4</v>
      </c>
      <c r="H36" s="1694">
        <f>INDEX(Residuos!$C$255:$AQ$256,MATCH(V.a!$B$36,Residuos!$C$255:$C$256,0),MATCH(V.a!H$35,Residuos!$C$255:$AQ$255,0))</f>
        <v>411.72</v>
      </c>
      <c r="I36" s="1694">
        <f>INDEX(Residuos!$C$255:$AQ$256,MATCH(V.a!$B$36,Residuos!$C$255:$C$256,0),MATCH(V.a!I$35,Residuos!$C$255:$AQ$255,0))</f>
        <v>411.72</v>
      </c>
      <c r="J36" s="1694">
        <f>INDEX(Residuos!$C$255:$AQ$256,MATCH(V.a!$B$36,Residuos!$C$255:$C$256,0),MATCH(V.a!J$35,Residuos!$C$255:$AQ$255,0))</f>
        <v>411.72</v>
      </c>
      <c r="K36" s="1694">
        <f>INDEX(Residuos!$C$255:$AQ$256,MATCH(V.a!$B$36,Residuos!$C$255:$C$256,0),MATCH(V.a!K$35,Residuos!$C$255:$AQ$255,0))</f>
        <v>411.72</v>
      </c>
      <c r="L36" s="1694">
        <f>INDEX(Residuos!$C$255:$AQ$256,MATCH(V.a!$B$36,Residuos!$C$255:$C$256,0),MATCH(V.a!L$35,Residuos!$C$255:$AQ$255,0))</f>
        <v>411.72</v>
      </c>
      <c r="M36" s="1694">
        <f>INDEX(Residuos!$C$255:$AQ$256,MATCH(V.a!$B$36,Residuos!$C$255:$C$256,0),MATCH(V.a!M$35,Residuos!$C$255:$AQ$255,0))</f>
        <v>411.72</v>
      </c>
    </row>
    <row r="37" spans="2:17" x14ac:dyDescent="0.25">
      <c r="Q37" s="1817"/>
    </row>
    <row r="38" spans="2:17" x14ac:dyDescent="0.25">
      <c r="B38" s="2600" t="s">
        <v>434</v>
      </c>
      <c r="C38" s="1694" t="s">
        <v>1029</v>
      </c>
      <c r="D38" s="1694" t="s">
        <v>8</v>
      </c>
      <c r="F38" s="1694">
        <v>2015</v>
      </c>
      <c r="G38" s="1694">
        <v>2020</v>
      </c>
      <c r="H38" s="1694">
        <v>2025</v>
      </c>
      <c r="I38" s="1694">
        <v>2030</v>
      </c>
      <c r="J38" s="1694">
        <v>2035</v>
      </c>
      <c r="K38" s="1694">
        <v>2040</v>
      </c>
      <c r="L38" s="1694">
        <v>2045</v>
      </c>
      <c r="M38" s="1694">
        <v>2050</v>
      </c>
      <c r="Q38" s="1817"/>
    </row>
    <row r="39" spans="2:17" x14ac:dyDescent="0.25">
      <c r="B39" s="2600" t="s">
        <v>1197</v>
      </c>
      <c r="C39" s="1694" t="str">
        <f>Residuos!D284</f>
        <v>[MM tCO2eq]</v>
      </c>
      <c r="F39" s="2601">
        <f>INDEX(Residuos!$C$278:$AQ$284,MATCH(V.a!$B$39,Residuos!$C$278:$C$284,0),MATCH(V.a!F38,Residuos!$C$278:$AQ$278,0))</f>
        <v>3.1096431517807348</v>
      </c>
      <c r="G39" s="2601">
        <f>INDEX(Residuos!$C$278:$AQ$284,MATCH(V.a!$B$39,Residuos!$C$278:$C$284,0),MATCH(V.a!G38,Residuos!$C$278:$AQ$278,0))</f>
        <v>3.7985207352657593</v>
      </c>
      <c r="H39" s="2601">
        <f>INDEX(Residuos!$C$278:$AQ$284,MATCH(V.a!$B$39,Residuos!$C$278:$C$284,0),MATCH(V.a!H38,Residuos!$C$278:$AQ$278,0))</f>
        <v>4.4703772608361776</v>
      </c>
      <c r="I39" s="2601">
        <f>INDEX(Residuos!$C$278:$AQ$284,MATCH(V.a!$B$39,Residuos!$C$278:$C$284,0),MATCH(V.a!I38,Residuos!$C$278:$AQ$278,0))</f>
        <v>5.1610897215350429</v>
      </c>
      <c r="J39" s="2601">
        <f>INDEX(Residuos!$C$278:$AQ$284,MATCH(V.a!$B$39,Residuos!$C$278:$C$284,0),MATCH(V.a!J38,Residuos!$C$278:$AQ$278,0))</f>
        <v>5.8298104378228848</v>
      </c>
      <c r="K39" s="2601">
        <f>INDEX(Residuos!$C$278:$AQ$284,MATCH(V.a!$B$39,Residuos!$C$278:$C$284,0),MATCH(V.a!K38,Residuos!$C$278:$AQ$278,0))</f>
        <v>6.4941382054423507</v>
      </c>
      <c r="L39" s="2601">
        <f>INDEX(Residuos!$C$278:$AQ$284,MATCH(V.a!$B$39,Residuos!$C$278:$C$284,0),MATCH(V.a!L38,Residuos!$C$278:$AQ$278,0))</f>
        <v>7.1453790542053239</v>
      </c>
      <c r="M39" s="2601">
        <f>INDEX(Residuos!$C$278:$AQ$284,MATCH(V.a!$B$39,Residuos!$C$278:$C$284,0),MATCH(V.a!M38,Residuos!$C$278:$AQ$278,0))</f>
        <v>7.7960917135764722</v>
      </c>
      <c r="Q39" s="1817"/>
    </row>
    <row r="40" spans="2:17" x14ac:dyDescent="0.25">
      <c r="C40" s="2600" t="s">
        <v>1622</v>
      </c>
      <c r="Q40" s="1817"/>
    </row>
    <row r="41" spans="2:17" x14ac:dyDescent="0.25">
      <c r="F41" s="1785"/>
      <c r="G41" s="1785"/>
      <c r="H41" s="1785"/>
      <c r="I41" s="1785"/>
      <c r="J41" s="1785"/>
      <c r="K41" s="1785"/>
      <c r="L41" s="1785"/>
      <c r="M41" s="1785"/>
    </row>
    <row r="42" spans="2:17" hidden="1" outlineLevel="1" x14ac:dyDescent="0.25">
      <c r="C42" s="1694" t="s">
        <v>858</v>
      </c>
      <c r="F42" s="1785">
        <v>0</v>
      </c>
      <c r="G42" s="1785">
        <v>0</v>
      </c>
      <c r="H42" s="1785">
        <v>0</v>
      </c>
      <c r="I42" s="1785">
        <v>0</v>
      </c>
      <c r="J42" s="1785">
        <v>0</v>
      </c>
      <c r="K42" s="1785">
        <v>0</v>
      </c>
      <c r="L42" s="1785">
        <v>0</v>
      </c>
      <c r="M42" s="1785">
        <v>0</v>
      </c>
    </row>
    <row r="43" spans="2:17" hidden="1" outlineLevel="1" x14ac:dyDescent="0.25">
      <c r="C43" s="1694" t="s">
        <v>859</v>
      </c>
      <c r="F43" s="1785"/>
      <c r="G43" s="1785"/>
      <c r="H43" s="1785"/>
      <c r="I43" s="1785"/>
      <c r="J43" s="1785">
        <v>0</v>
      </c>
      <c r="K43" s="1785">
        <v>0</v>
      </c>
      <c r="L43" s="1785">
        <v>0</v>
      </c>
      <c r="M43" s="1785">
        <v>0</v>
      </c>
    </row>
    <row r="44" spans="2:17" hidden="1" outlineLevel="1" x14ac:dyDescent="0.25">
      <c r="C44" s="1694" t="s">
        <v>860</v>
      </c>
      <c r="F44" s="1785">
        <v>0</v>
      </c>
      <c r="G44" s="1785">
        <v>0</v>
      </c>
      <c r="H44" s="1785">
        <v>0</v>
      </c>
      <c r="I44" s="1785">
        <v>0</v>
      </c>
      <c r="J44" s="1785">
        <v>0</v>
      </c>
      <c r="K44" s="1785">
        <v>0</v>
      </c>
      <c r="L44" s="1785">
        <v>0</v>
      </c>
      <c r="M44" s="1785">
        <v>0</v>
      </c>
    </row>
    <row r="45" spans="2:17" hidden="1" outlineLevel="1" x14ac:dyDescent="0.25">
      <c r="F45" s="1785"/>
      <c r="G45" s="1785"/>
      <c r="H45" s="1785"/>
      <c r="I45" s="1785"/>
      <c r="J45" s="1785"/>
      <c r="K45" s="1785"/>
      <c r="L45" s="1785"/>
      <c r="M45" s="1785"/>
    </row>
    <row r="46" spans="2:17" hidden="1" outlineLevel="1" x14ac:dyDescent="0.25">
      <c r="B46" s="1694" t="s">
        <v>180</v>
      </c>
      <c r="F46" s="1785"/>
      <c r="G46" s="1785"/>
      <c r="H46" s="1785"/>
      <c r="I46" s="1785"/>
      <c r="J46" s="1785"/>
      <c r="K46" s="1785"/>
      <c r="L46" s="1785"/>
      <c r="M46" s="1785"/>
    </row>
    <row r="47" spans="2:17" hidden="1" outlineLevel="1" x14ac:dyDescent="0.25">
      <c r="C47" s="1694" t="s">
        <v>175</v>
      </c>
      <c r="E47" s="1694" t="s">
        <v>176</v>
      </c>
      <c r="F47" s="1785">
        <v>0</v>
      </c>
      <c r="G47" s="1785">
        <v>0</v>
      </c>
      <c r="H47" s="1785">
        <v>0</v>
      </c>
      <c r="I47" s="1785">
        <v>0</v>
      </c>
      <c r="J47" s="1785">
        <v>0</v>
      </c>
      <c r="K47" s="1785">
        <v>0</v>
      </c>
      <c r="L47" s="1785">
        <v>0</v>
      </c>
      <c r="M47" s="1785">
        <v>0</v>
      </c>
    </row>
    <row r="48" spans="2:17" hidden="1" outlineLevel="1" x14ac:dyDescent="0.25">
      <c r="C48" s="1694" t="s">
        <v>177</v>
      </c>
      <c r="E48" s="1694" t="s">
        <v>176</v>
      </c>
      <c r="F48" s="1785">
        <v>0</v>
      </c>
      <c r="G48" s="1785">
        <v>0</v>
      </c>
      <c r="H48" s="1785">
        <v>0</v>
      </c>
      <c r="I48" s="1785">
        <v>0</v>
      </c>
      <c r="J48" s="1785">
        <v>0</v>
      </c>
      <c r="K48" s="1785">
        <v>0</v>
      </c>
      <c r="L48" s="1785">
        <v>0</v>
      </c>
      <c r="M48" s="1785">
        <v>0</v>
      </c>
    </row>
    <row r="49" spans="2:17" hidden="1" outlineLevel="1" x14ac:dyDescent="0.25">
      <c r="C49" s="1694" t="s">
        <v>178</v>
      </c>
      <c r="E49" s="1694" t="s">
        <v>176</v>
      </c>
      <c r="F49" s="1785">
        <v>0</v>
      </c>
      <c r="G49" s="1785">
        <v>0</v>
      </c>
      <c r="H49" s="1785">
        <v>0</v>
      </c>
      <c r="I49" s="1785">
        <v>0</v>
      </c>
      <c r="J49" s="1785">
        <v>0</v>
      </c>
      <c r="K49" s="1785">
        <v>0</v>
      </c>
      <c r="L49" s="1785">
        <v>0</v>
      </c>
      <c r="M49" s="1785">
        <v>0</v>
      </c>
    </row>
    <row r="50" spans="2:17" hidden="1" outlineLevel="1" x14ac:dyDescent="0.25">
      <c r="C50" s="1772"/>
      <c r="F50" s="1780"/>
      <c r="G50" s="1780"/>
      <c r="H50" s="1780"/>
      <c r="I50" s="1780"/>
      <c r="J50" s="1780"/>
      <c r="K50" s="1780"/>
      <c r="L50" s="1780"/>
      <c r="M50" s="1780"/>
    </row>
    <row r="51" spans="2:17" hidden="1" outlineLevel="1" x14ac:dyDescent="0.25">
      <c r="B51" s="1694" t="s">
        <v>179</v>
      </c>
      <c r="F51" s="1785"/>
      <c r="G51" s="1785"/>
      <c r="H51" s="1785"/>
      <c r="I51" s="1785"/>
      <c r="J51" s="1785"/>
      <c r="K51" s="1785"/>
      <c r="L51" s="1785"/>
      <c r="M51" s="1785"/>
      <c r="Q51" s="1823"/>
    </row>
    <row r="52" spans="2:17" hidden="1" outlineLevel="1" x14ac:dyDescent="0.25">
      <c r="C52" s="1694" t="s">
        <v>175</v>
      </c>
      <c r="E52" s="1694" t="s">
        <v>176</v>
      </c>
      <c r="F52" s="1785">
        <v>0</v>
      </c>
      <c r="G52" s="1785">
        <v>0</v>
      </c>
      <c r="H52" s="1785">
        <v>0</v>
      </c>
      <c r="I52" s="1785">
        <v>0</v>
      </c>
      <c r="J52" s="1785">
        <v>0</v>
      </c>
      <c r="K52" s="1785">
        <v>0</v>
      </c>
      <c r="L52" s="1785">
        <v>0</v>
      </c>
      <c r="M52" s="1785">
        <v>0</v>
      </c>
      <c r="Q52" s="1823"/>
    </row>
    <row r="53" spans="2:17" hidden="1" outlineLevel="1" x14ac:dyDescent="0.25">
      <c r="C53" s="1694" t="s">
        <v>177</v>
      </c>
      <c r="E53" s="1694" t="s">
        <v>176</v>
      </c>
      <c r="F53" s="1785">
        <v>0</v>
      </c>
      <c r="G53" s="1785">
        <v>0</v>
      </c>
      <c r="H53" s="1785">
        <v>0</v>
      </c>
      <c r="I53" s="1785">
        <v>0</v>
      </c>
      <c r="J53" s="1785">
        <v>0</v>
      </c>
      <c r="K53" s="1785">
        <v>0</v>
      </c>
      <c r="L53" s="1785">
        <v>0</v>
      </c>
      <c r="M53" s="1785">
        <v>0</v>
      </c>
      <c r="Q53" s="1823"/>
    </row>
    <row r="54" spans="2:17" hidden="1" outlineLevel="1" x14ac:dyDescent="0.25">
      <c r="C54" s="1694" t="s">
        <v>178</v>
      </c>
      <c r="E54" s="1694" t="s">
        <v>176</v>
      </c>
      <c r="F54" s="1785">
        <v>0</v>
      </c>
      <c r="G54" s="1785">
        <v>0</v>
      </c>
      <c r="H54" s="1785">
        <v>0</v>
      </c>
      <c r="I54" s="1785">
        <v>0</v>
      </c>
      <c r="J54" s="1785">
        <v>0</v>
      </c>
      <c r="K54" s="1785">
        <v>0</v>
      </c>
      <c r="L54" s="1785">
        <v>0</v>
      </c>
      <c r="M54" s="1785">
        <v>0</v>
      </c>
      <c r="Q54" s="1823"/>
    </row>
    <row r="55" spans="2:17" hidden="1" outlineLevel="1" x14ac:dyDescent="0.25">
      <c r="F55" s="1785"/>
      <c r="G55" s="1785"/>
      <c r="H55" s="1785"/>
      <c r="I55" s="1785"/>
      <c r="J55" s="1785"/>
      <c r="K55" s="1785"/>
      <c r="L55" s="1785"/>
      <c r="M55" s="1785"/>
      <c r="Q55" s="1823"/>
    </row>
    <row r="56" spans="2:17" hidden="1" outlineLevel="1" x14ac:dyDescent="0.25">
      <c r="B56" s="1694" t="s">
        <v>174</v>
      </c>
      <c r="F56" s="1785"/>
      <c r="G56" s="1785"/>
      <c r="H56" s="1785"/>
      <c r="I56" s="1785"/>
      <c r="J56" s="1785"/>
      <c r="K56" s="1785"/>
      <c r="L56" s="1785"/>
      <c r="M56" s="1785"/>
    </row>
    <row r="57" spans="2:17" hidden="1" outlineLevel="1" x14ac:dyDescent="0.25">
      <c r="C57" s="1694" t="s">
        <v>175</v>
      </c>
      <c r="E57" s="1694" t="s">
        <v>176</v>
      </c>
      <c r="F57" s="1785">
        <v>0</v>
      </c>
      <c r="G57" s="1785">
        <v>0</v>
      </c>
      <c r="H57" s="1785">
        <v>0</v>
      </c>
      <c r="I57" s="1785">
        <v>0</v>
      </c>
      <c r="J57" s="1785">
        <v>0</v>
      </c>
      <c r="K57" s="1785">
        <v>0</v>
      </c>
      <c r="L57" s="1785">
        <v>0</v>
      </c>
      <c r="M57" s="1785">
        <v>0</v>
      </c>
    </row>
    <row r="58" spans="2:17" hidden="1" outlineLevel="1" x14ac:dyDescent="0.25">
      <c r="C58" s="1694" t="s">
        <v>177</v>
      </c>
      <c r="E58" s="1694" t="s">
        <v>176</v>
      </c>
      <c r="F58" s="1785">
        <v>0</v>
      </c>
      <c r="G58" s="1785">
        <v>0</v>
      </c>
      <c r="H58" s="1785">
        <v>0</v>
      </c>
      <c r="I58" s="1785">
        <v>0</v>
      </c>
      <c r="J58" s="1785">
        <v>0</v>
      </c>
      <c r="K58" s="1785">
        <v>0</v>
      </c>
      <c r="L58" s="1785">
        <v>0</v>
      </c>
      <c r="M58" s="1785">
        <v>0</v>
      </c>
    </row>
    <row r="59" spans="2:17" hidden="1" outlineLevel="1" x14ac:dyDescent="0.25">
      <c r="C59" s="1694" t="s">
        <v>178</v>
      </c>
      <c r="E59" s="1694" t="s">
        <v>176</v>
      </c>
      <c r="F59" s="1785">
        <v>0</v>
      </c>
      <c r="G59" s="1785">
        <v>0</v>
      </c>
      <c r="H59" s="1785">
        <v>0</v>
      </c>
      <c r="I59" s="1785">
        <v>0</v>
      </c>
      <c r="J59" s="1785">
        <v>0</v>
      </c>
      <c r="K59" s="1785">
        <v>0</v>
      </c>
      <c r="L59" s="1785">
        <v>0</v>
      </c>
      <c r="M59" s="1785">
        <v>0</v>
      </c>
    </row>
    <row r="60" spans="2:17" collapsed="1" x14ac:dyDescent="0.25"/>
    <row r="61" spans="2:17" ht="15.75" x14ac:dyDescent="0.25">
      <c r="B61" s="1698" t="s">
        <v>181</v>
      </c>
      <c r="C61" s="1699"/>
      <c r="D61" s="1699"/>
      <c r="E61" s="1699"/>
      <c r="F61" s="1699"/>
      <c r="G61" s="1699"/>
      <c r="H61" s="1699"/>
      <c r="I61" s="1699"/>
      <c r="J61" s="1699"/>
      <c r="K61" s="1699"/>
      <c r="L61" s="1699"/>
      <c r="M61" s="1699"/>
      <c r="N61" s="1824"/>
      <c r="Q61" s="1823"/>
    </row>
    <row r="62" spans="2:17" x14ac:dyDescent="0.25">
      <c r="B62" s="1700"/>
      <c r="C62" s="1701"/>
      <c r="D62" s="1701"/>
      <c r="E62" s="1701"/>
      <c r="F62" s="1701"/>
      <c r="G62" s="1701"/>
      <c r="H62" s="1701"/>
      <c r="I62" s="1701"/>
      <c r="J62" s="1701"/>
      <c r="K62" s="1701"/>
      <c r="L62" s="1701"/>
      <c r="M62" s="1701"/>
      <c r="N62" s="1825"/>
      <c r="Q62" s="1823"/>
    </row>
    <row r="63" spans="2:17" x14ac:dyDescent="0.25">
      <c r="B63" s="1700"/>
      <c r="C63" s="1786" t="s">
        <v>241</v>
      </c>
      <c r="D63" s="1701"/>
      <c r="E63" s="1787"/>
      <c r="F63" s="1701"/>
      <c r="G63" s="1701"/>
      <c r="H63" s="1701"/>
      <c r="I63" s="1701"/>
      <c r="J63" s="1701"/>
      <c r="K63" s="1701"/>
      <c r="L63" s="1701"/>
      <c r="M63" s="1787" t="s">
        <v>171</v>
      </c>
      <c r="N63" s="1825"/>
      <c r="Q63" s="1823"/>
    </row>
    <row r="64" spans="2:17" x14ac:dyDescent="0.25">
      <c r="B64" s="1700"/>
      <c r="C64" s="1701"/>
      <c r="D64" s="1701"/>
      <c r="E64" s="1701"/>
      <c r="F64" s="1701"/>
      <c r="G64" s="1701"/>
      <c r="H64" s="1701"/>
      <c r="I64" s="1701"/>
      <c r="J64" s="1701"/>
      <c r="K64" s="1701"/>
      <c r="L64" s="1701"/>
      <c r="M64" s="1701"/>
      <c r="N64" s="1825"/>
      <c r="Q64" s="1823"/>
    </row>
    <row r="65" spans="1:17" ht="23.25" x14ac:dyDescent="0.35">
      <c r="A65" s="1697"/>
      <c r="B65" s="1702"/>
      <c r="C65" s="1945" t="s">
        <v>146</v>
      </c>
      <c r="D65" s="1946" t="s">
        <v>242</v>
      </c>
      <c r="E65" s="1946" t="s">
        <v>8</v>
      </c>
      <c r="F65" s="1946" t="s">
        <v>16</v>
      </c>
      <c r="G65" s="1946" t="s">
        <v>17</v>
      </c>
      <c r="H65" s="1946" t="s">
        <v>18</v>
      </c>
      <c r="I65" s="1946" t="s">
        <v>19</v>
      </c>
      <c r="J65" s="1946" t="s">
        <v>20</v>
      </c>
      <c r="K65" s="1946" t="s">
        <v>21</v>
      </c>
      <c r="L65" s="1946" t="s">
        <v>22</v>
      </c>
      <c r="M65" s="1947" t="s">
        <v>23</v>
      </c>
      <c r="N65" s="1825"/>
      <c r="Q65" s="1823"/>
    </row>
    <row r="66" spans="1:17" ht="15.75" x14ac:dyDescent="0.25">
      <c r="B66" s="1702"/>
      <c r="C66" s="1788" t="s">
        <v>150</v>
      </c>
      <c r="D66" s="754" t="str">
        <f>INDEX(Vectors[Descripción], MATCH(C66,Vectors[Código],FALSE))</f>
        <v>Electricidad (suministrada a la red)</v>
      </c>
      <c r="E66" s="2597" t="s">
        <v>171</v>
      </c>
      <c r="F66" s="1790">
        <f t="shared" ref="F66:M66" si="0">F36/1000</f>
        <v>0.26280000000000003</v>
      </c>
      <c r="G66" s="1790">
        <f t="shared" si="0"/>
        <v>0.35039999999999999</v>
      </c>
      <c r="H66" s="1790">
        <f t="shared" si="0"/>
        <v>0.41172000000000003</v>
      </c>
      <c r="I66" s="1790">
        <f t="shared" si="0"/>
        <v>0.41172000000000003</v>
      </c>
      <c r="J66" s="1790">
        <f t="shared" si="0"/>
        <v>0.41172000000000003</v>
      </c>
      <c r="K66" s="1790">
        <f t="shared" si="0"/>
        <v>0.41172000000000003</v>
      </c>
      <c r="L66" s="1790">
        <f t="shared" si="0"/>
        <v>0.41172000000000003</v>
      </c>
      <c r="M66" s="1790">
        <f t="shared" si="0"/>
        <v>0.41172000000000003</v>
      </c>
      <c r="N66" s="1825"/>
      <c r="Q66" s="1823"/>
    </row>
    <row r="67" spans="1:17" ht="15.75" x14ac:dyDescent="0.25">
      <c r="B67" s="1702"/>
      <c r="C67" s="2611" t="s">
        <v>457</v>
      </c>
      <c r="D67" s="754" t="str">
        <f>INDEX(Vectors[Descripción], MATCH(C67,Vectors[Código],FALSE))</f>
        <v>Residuos</v>
      </c>
      <c r="E67" s="1788"/>
      <c r="F67" s="1826">
        <f t="shared" ref="F67:M67" si="1">-F36/1000</f>
        <v>-0.26280000000000003</v>
      </c>
      <c r="G67" s="1826">
        <f t="shared" si="1"/>
        <v>-0.35039999999999999</v>
      </c>
      <c r="H67" s="1826">
        <f t="shared" si="1"/>
        <v>-0.41172000000000003</v>
      </c>
      <c r="I67" s="1826">
        <f t="shared" si="1"/>
        <v>-0.41172000000000003</v>
      </c>
      <c r="J67" s="1826">
        <f t="shared" si="1"/>
        <v>-0.41172000000000003</v>
      </c>
      <c r="K67" s="1826">
        <f t="shared" si="1"/>
        <v>-0.41172000000000003</v>
      </c>
      <c r="L67" s="1826">
        <f t="shared" si="1"/>
        <v>-0.41172000000000003</v>
      </c>
      <c r="M67" s="1826">
        <f t="shared" si="1"/>
        <v>-0.41172000000000003</v>
      </c>
      <c r="N67" s="1825"/>
      <c r="Q67" s="1823"/>
    </row>
    <row r="68" spans="1:17" ht="15.75" x14ac:dyDescent="0.25">
      <c r="B68" s="1702"/>
      <c r="C68" s="2612" t="s">
        <v>118</v>
      </c>
      <c r="D68" s="2612"/>
      <c r="E68" s="2612"/>
      <c r="F68" s="2613">
        <f>SUBTOTAL(109,V.a.Outputs[2015])</f>
        <v>0</v>
      </c>
      <c r="G68" s="2613">
        <f>SUBTOTAL(109,V.a.Outputs[2020])</f>
        <v>0</v>
      </c>
      <c r="H68" s="2613">
        <f>SUBTOTAL(109,V.a.Outputs[2025])</f>
        <v>0</v>
      </c>
      <c r="I68" s="2613">
        <f>SUBTOTAL(109,V.a.Outputs[2030])</f>
        <v>0</v>
      </c>
      <c r="J68" s="2613">
        <f>SUBTOTAL(109,V.a.Outputs[2035])</f>
        <v>0</v>
      </c>
      <c r="K68" s="2613">
        <f>SUBTOTAL(109,V.a.Outputs[2040])</f>
        <v>0</v>
      </c>
      <c r="L68" s="2613">
        <f>SUBTOTAL(109,V.a.Outputs[2045])</f>
        <v>0</v>
      </c>
      <c r="M68" s="2613">
        <f>SUBTOTAL(109,V.a.Outputs[2050])</f>
        <v>0</v>
      </c>
      <c r="N68" s="1825"/>
      <c r="Q68" s="1823"/>
    </row>
    <row r="69" spans="1:17" ht="15.75" x14ac:dyDescent="0.25">
      <c r="A69" s="1827"/>
      <c r="B69" s="1792"/>
      <c r="C69" s="1793"/>
      <c r="D69" s="1793"/>
      <c r="E69" s="1793"/>
      <c r="F69" s="1793"/>
      <c r="G69" s="1793"/>
      <c r="H69" s="1793"/>
      <c r="I69" s="1793"/>
      <c r="J69" s="1793"/>
      <c r="K69" s="1793"/>
      <c r="L69" s="1793"/>
      <c r="M69" s="1793"/>
      <c r="N69" s="1828"/>
    </row>
    <row r="70" spans="1:17" ht="15.75" x14ac:dyDescent="0.25">
      <c r="A70" s="1827"/>
    </row>
    <row r="71" spans="1:17" ht="15.75" hidden="1" outlineLevel="1" x14ac:dyDescent="0.25">
      <c r="A71" s="1827"/>
      <c r="B71" s="1794" t="s">
        <v>244</v>
      </c>
      <c r="C71" s="1795"/>
      <c r="D71" s="1796"/>
      <c r="E71" s="1796"/>
      <c r="F71" s="1796"/>
      <c r="G71" s="1796"/>
      <c r="H71" s="1796"/>
      <c r="I71" s="1796"/>
      <c r="J71" s="1796"/>
      <c r="K71" s="1796"/>
      <c r="L71" s="1796"/>
      <c r="M71" s="1796"/>
      <c r="N71" s="1829"/>
    </row>
    <row r="72" spans="1:17" ht="15.75" hidden="1" outlineLevel="1" x14ac:dyDescent="0.25">
      <c r="A72" s="1827"/>
      <c r="B72" s="1797"/>
      <c r="C72" s="1798"/>
      <c r="D72" s="1798"/>
      <c r="E72" s="1798"/>
      <c r="F72" s="1798"/>
      <c r="G72" s="1798"/>
      <c r="H72" s="1798"/>
      <c r="I72" s="1798"/>
      <c r="J72" s="1798"/>
      <c r="K72" s="1798"/>
      <c r="L72" s="1798"/>
      <c r="M72" s="1798"/>
      <c r="N72" s="1830"/>
    </row>
    <row r="73" spans="1:17" ht="15.75" hidden="1" outlineLevel="1" x14ac:dyDescent="0.25">
      <c r="A73" s="1827"/>
      <c r="B73" s="1799"/>
      <c r="C73" s="1800" t="s">
        <v>861</v>
      </c>
      <c r="D73" s="1801"/>
      <c r="E73" s="1802"/>
      <c r="F73" s="1801"/>
      <c r="G73" s="1801"/>
      <c r="H73" s="1801"/>
      <c r="I73" s="1801"/>
      <c r="J73" s="1801"/>
      <c r="K73" s="1801"/>
      <c r="L73" s="1801"/>
      <c r="M73" s="1802"/>
      <c r="N73" s="1831"/>
    </row>
    <row r="74" spans="1:17" hidden="1" outlineLevel="1" x14ac:dyDescent="0.25">
      <c r="B74" s="1799"/>
      <c r="C74" s="1801"/>
      <c r="D74" s="1801"/>
      <c r="E74" s="1801"/>
      <c r="F74" s="1801"/>
      <c r="G74" s="1801"/>
      <c r="H74" s="1801"/>
      <c r="I74" s="1801"/>
      <c r="J74" s="1801"/>
      <c r="K74" s="1801"/>
      <c r="L74" s="1801"/>
      <c r="M74" s="1801"/>
      <c r="N74" s="1831"/>
    </row>
    <row r="75" spans="1:17" ht="15.75" hidden="1" outlineLevel="1" x14ac:dyDescent="0.25">
      <c r="B75" s="1803"/>
      <c r="C75" s="1804" t="s">
        <v>146</v>
      </c>
      <c r="D75" s="1804" t="s">
        <v>310</v>
      </c>
      <c r="E75" s="1804" t="s">
        <v>8</v>
      </c>
      <c r="F75" s="1804" t="s">
        <v>16</v>
      </c>
      <c r="G75" s="1804" t="s">
        <v>17</v>
      </c>
      <c r="H75" s="1804" t="s">
        <v>18</v>
      </c>
      <c r="I75" s="1804" t="s">
        <v>19</v>
      </c>
      <c r="J75" s="1804" t="s">
        <v>20</v>
      </c>
      <c r="K75" s="1804" t="s">
        <v>21</v>
      </c>
      <c r="L75" s="1804" t="s">
        <v>22</v>
      </c>
      <c r="M75" s="1804" t="s">
        <v>23</v>
      </c>
      <c r="N75" s="1831"/>
    </row>
    <row r="76" spans="1:17" ht="15.75" hidden="1" outlineLevel="1" x14ac:dyDescent="0.25">
      <c r="B76" s="1803"/>
      <c r="C76" s="1805"/>
      <c r="D76" s="1805"/>
      <c r="E76" s="1806"/>
      <c r="F76" s="1832"/>
      <c r="G76" s="1832"/>
      <c r="H76" s="1832"/>
      <c r="I76" s="1832"/>
      <c r="J76" s="1832"/>
      <c r="K76" s="1832"/>
      <c r="L76" s="1832"/>
      <c r="M76" s="1832"/>
      <c r="N76" s="1831"/>
    </row>
    <row r="77" spans="1:17" ht="15.75" hidden="1" outlineLevel="1" x14ac:dyDescent="0.25">
      <c r="B77" s="1803"/>
      <c r="C77" s="1805"/>
      <c r="D77" s="1806"/>
      <c r="E77" s="1806"/>
      <c r="F77" s="1832"/>
      <c r="G77" s="1832"/>
      <c r="H77" s="1832"/>
      <c r="I77" s="1832"/>
      <c r="J77" s="1832"/>
      <c r="K77" s="1832"/>
      <c r="L77" s="1832"/>
      <c r="M77" s="1832"/>
      <c r="N77" s="1831"/>
    </row>
    <row r="78" spans="1:17" ht="15.75" hidden="1" outlineLevel="1" x14ac:dyDescent="0.25">
      <c r="B78" s="1803"/>
      <c r="C78" s="1805"/>
      <c r="D78" s="1806"/>
      <c r="E78" s="1805"/>
      <c r="F78" s="1833"/>
      <c r="G78" s="1833"/>
      <c r="H78" s="1833"/>
      <c r="I78" s="1833"/>
      <c r="J78" s="1833"/>
      <c r="K78" s="1833"/>
      <c r="L78" s="1833"/>
      <c r="M78" s="1833"/>
      <c r="N78" s="1831"/>
    </row>
    <row r="79" spans="1:17" ht="15.75" hidden="1" outlineLevel="1" x14ac:dyDescent="0.25">
      <c r="B79" s="1807"/>
      <c r="C79" s="1808"/>
      <c r="D79" s="1808"/>
      <c r="E79" s="1808"/>
      <c r="F79" s="1808"/>
      <c r="G79" s="1808"/>
      <c r="H79" s="1808"/>
      <c r="I79" s="1808"/>
      <c r="J79" s="1808"/>
      <c r="K79" s="1808"/>
      <c r="L79" s="1808"/>
      <c r="M79" s="1808"/>
      <c r="N79" s="1834"/>
    </row>
    <row r="80" spans="1:17" collapsed="1" x14ac:dyDescent="0.25"/>
    <row r="81" spans="2:17" ht="15.75" hidden="1" outlineLevel="1" x14ac:dyDescent="0.25">
      <c r="B81" s="1794" t="s">
        <v>192</v>
      </c>
      <c r="C81" s="1796"/>
      <c r="D81" s="1796"/>
      <c r="E81" s="1796"/>
      <c r="F81" s="1796"/>
      <c r="G81" s="1796"/>
      <c r="H81" s="1796"/>
      <c r="I81" s="1796"/>
      <c r="J81" s="1796"/>
      <c r="K81" s="1796"/>
      <c r="L81" s="1796"/>
      <c r="M81" s="1796"/>
      <c r="N81" s="1796"/>
      <c r="Q81" s="1819"/>
    </row>
    <row r="82" spans="2:17" hidden="1" outlineLevel="1" x14ac:dyDescent="0.25">
      <c r="B82" s="1799"/>
      <c r="C82" s="1801"/>
      <c r="D82" s="1801"/>
      <c r="E82" s="1801"/>
      <c r="F82" s="1801"/>
      <c r="G82" s="1801"/>
      <c r="H82" s="1801"/>
      <c r="I82" s="1801"/>
      <c r="J82" s="1801"/>
      <c r="K82" s="1801"/>
      <c r="L82" s="1801"/>
      <c r="M82" s="1801"/>
      <c r="N82" s="1801"/>
      <c r="Q82" s="1817"/>
    </row>
    <row r="83" spans="2:17" hidden="1" outlineLevel="1" x14ac:dyDescent="0.25">
      <c r="B83" s="1799"/>
      <c r="C83" s="1809" t="s">
        <v>193</v>
      </c>
      <c r="D83" s="1810"/>
      <c r="E83" s="1810"/>
      <c r="F83" s="1810"/>
      <c r="G83" s="1810"/>
      <c r="H83" s="1810"/>
      <c r="I83" s="1810"/>
      <c r="J83" s="1810"/>
      <c r="K83" s="1810"/>
      <c r="L83" s="1810"/>
      <c r="M83" s="1811" t="s">
        <v>176</v>
      </c>
      <c r="N83" s="1801"/>
      <c r="Q83" s="1817"/>
    </row>
    <row r="84" spans="2:17" hidden="1" outlineLevel="1" x14ac:dyDescent="0.25">
      <c r="B84" s="1799"/>
      <c r="C84" s="1801"/>
      <c r="D84" s="1801"/>
      <c r="E84" s="1801"/>
      <c r="F84" s="1801"/>
      <c r="G84" s="1801"/>
      <c r="H84" s="1801"/>
      <c r="I84" s="1801"/>
      <c r="J84" s="1801"/>
      <c r="K84" s="1801"/>
      <c r="L84" s="1801"/>
      <c r="M84" s="1801"/>
      <c r="N84" s="1801"/>
      <c r="Q84" s="1817"/>
    </row>
    <row r="85" spans="2:17" ht="15.75" hidden="1" outlineLevel="1" x14ac:dyDescent="0.25">
      <c r="B85" s="1803"/>
      <c r="C85" s="1804" t="s">
        <v>146</v>
      </c>
      <c r="D85" s="1804" t="s">
        <v>147</v>
      </c>
      <c r="E85" s="1804" t="s">
        <v>148</v>
      </c>
      <c r="F85" s="1804" t="s">
        <v>16</v>
      </c>
      <c r="G85" s="1804" t="s">
        <v>17</v>
      </c>
      <c r="H85" s="1804" t="s">
        <v>18</v>
      </c>
      <c r="I85" s="1804" t="s">
        <v>19</v>
      </c>
      <c r="J85" s="1804" t="s">
        <v>20</v>
      </c>
      <c r="K85" s="1804" t="s">
        <v>21</v>
      </c>
      <c r="L85" s="1804" t="s">
        <v>22</v>
      </c>
      <c r="M85" s="1804" t="s">
        <v>23</v>
      </c>
      <c r="N85" s="1835"/>
      <c r="Q85" s="1836"/>
    </row>
    <row r="86" spans="2:17" ht="15.75" hidden="1" outlineLevel="1" x14ac:dyDescent="0.25">
      <c r="B86" s="1803"/>
      <c r="C86" s="1805" t="s">
        <v>202</v>
      </c>
      <c r="D86" s="1806" t="s">
        <v>203</v>
      </c>
      <c r="E86" s="1806"/>
      <c r="F86" s="1812">
        <v>0</v>
      </c>
      <c r="G86" s="1812">
        <v>0</v>
      </c>
      <c r="H86" s="1812">
        <v>0</v>
      </c>
      <c r="I86" s="1812">
        <v>0</v>
      </c>
      <c r="J86" s="1812">
        <v>0</v>
      </c>
      <c r="K86" s="1812">
        <v>0</v>
      </c>
      <c r="L86" s="1812">
        <v>0</v>
      </c>
      <c r="M86" s="1812">
        <v>0</v>
      </c>
      <c r="N86" s="1835"/>
      <c r="Q86" s="1836"/>
    </row>
    <row r="87" spans="2:17" ht="15.75" hidden="1" outlineLevel="1" x14ac:dyDescent="0.25">
      <c r="B87" s="1803"/>
      <c r="C87" s="1805" t="s">
        <v>204</v>
      </c>
      <c r="D87" s="1806" t="s">
        <v>205</v>
      </c>
      <c r="E87" s="1806"/>
      <c r="F87" s="1812">
        <v>0</v>
      </c>
      <c r="G87" s="1812">
        <v>0</v>
      </c>
      <c r="H87" s="1812">
        <v>0</v>
      </c>
      <c r="I87" s="1812">
        <v>0</v>
      </c>
      <c r="J87" s="1812">
        <v>0</v>
      </c>
      <c r="K87" s="1812">
        <v>0</v>
      </c>
      <c r="L87" s="1812">
        <v>0</v>
      </c>
      <c r="M87" s="1812">
        <v>0</v>
      </c>
      <c r="N87" s="1835"/>
      <c r="Q87" s="1836"/>
    </row>
    <row r="88" spans="2:17" ht="15.75" hidden="1" outlineLevel="1" x14ac:dyDescent="0.25">
      <c r="B88" s="1803"/>
      <c r="C88" s="1805" t="s">
        <v>198</v>
      </c>
      <c r="D88" s="1806" t="s">
        <v>199</v>
      </c>
      <c r="E88" s="1806"/>
      <c r="F88" s="1812">
        <v>0</v>
      </c>
      <c r="G88" s="1812">
        <v>0</v>
      </c>
      <c r="H88" s="1812">
        <v>0</v>
      </c>
      <c r="I88" s="1812">
        <v>0</v>
      </c>
      <c r="J88" s="1812">
        <v>0</v>
      </c>
      <c r="K88" s="1812">
        <v>0</v>
      </c>
      <c r="L88" s="1812">
        <v>0</v>
      </c>
      <c r="M88" s="1812">
        <v>0</v>
      </c>
      <c r="N88" s="1835"/>
      <c r="Q88" s="1836"/>
    </row>
    <row r="89" spans="2:17" ht="15.75" hidden="1" outlineLevel="1" x14ac:dyDescent="0.25">
      <c r="B89" s="1813"/>
      <c r="C89" s="1805" t="s">
        <v>200</v>
      </c>
      <c r="D89" s="1806" t="s">
        <v>201</v>
      </c>
      <c r="E89" s="1806"/>
      <c r="F89" s="1812">
        <v>0</v>
      </c>
      <c r="G89" s="1812">
        <v>0</v>
      </c>
      <c r="H89" s="1812">
        <v>0</v>
      </c>
      <c r="I89" s="1812">
        <v>0</v>
      </c>
      <c r="J89" s="1812">
        <v>0</v>
      </c>
      <c r="K89" s="1812">
        <v>0</v>
      </c>
      <c r="L89" s="1812">
        <v>0</v>
      </c>
      <c r="M89" s="1812">
        <v>0</v>
      </c>
      <c r="N89" s="1837"/>
      <c r="Q89" s="1836"/>
    </row>
    <row r="90" spans="2:17" hidden="1" outlineLevel="1" x14ac:dyDescent="0.25">
      <c r="B90" s="1813"/>
      <c r="C90" s="1805" t="s">
        <v>194</v>
      </c>
      <c r="D90" s="1806" t="s">
        <v>195</v>
      </c>
      <c r="E90" s="1806"/>
      <c r="F90" s="1812">
        <v>0</v>
      </c>
      <c r="G90" s="1812">
        <v>0</v>
      </c>
      <c r="H90" s="1812">
        <v>0</v>
      </c>
      <c r="I90" s="1812">
        <v>0</v>
      </c>
      <c r="J90" s="1812">
        <v>0</v>
      </c>
      <c r="K90" s="1812">
        <v>0</v>
      </c>
      <c r="L90" s="1812">
        <v>0</v>
      </c>
      <c r="M90" s="1812">
        <v>0</v>
      </c>
      <c r="N90" s="1837"/>
      <c r="Q90" s="1838"/>
    </row>
    <row r="91" spans="2:17" hidden="1" outlineLevel="1" x14ac:dyDescent="0.25">
      <c r="B91" s="1813"/>
      <c r="C91" s="1805" t="s">
        <v>196</v>
      </c>
      <c r="D91" s="1806" t="s">
        <v>195</v>
      </c>
      <c r="E91" s="1806"/>
      <c r="F91" s="1812"/>
      <c r="G91" s="1812"/>
      <c r="H91" s="1812"/>
      <c r="I91" s="1812"/>
      <c r="J91" s="1812"/>
      <c r="K91" s="1812"/>
      <c r="L91" s="1812"/>
      <c r="M91" s="1812"/>
      <c r="N91" s="1837"/>
      <c r="Q91" s="1838"/>
    </row>
    <row r="92" spans="2:17" hidden="1" outlineLevel="1" x14ac:dyDescent="0.25">
      <c r="B92" s="1814"/>
      <c r="C92" s="1808"/>
      <c r="D92" s="1808"/>
      <c r="E92" s="1808"/>
      <c r="F92" s="1808"/>
      <c r="G92" s="1808"/>
      <c r="H92" s="1808"/>
      <c r="I92" s="1808"/>
      <c r="J92" s="1808"/>
      <c r="K92" s="1808"/>
      <c r="L92" s="1808"/>
      <c r="M92" s="1808"/>
      <c r="N92" s="1839"/>
      <c r="Q92" s="1838"/>
    </row>
    <row r="93" spans="2:17" collapsed="1" x14ac:dyDescent="0.25">
      <c r="Q93" s="1817"/>
    </row>
    <row r="94" spans="2:17" ht="15.75" x14ac:dyDescent="0.25">
      <c r="B94" s="701" t="s">
        <v>434</v>
      </c>
      <c r="C94" s="704"/>
      <c r="D94" s="705"/>
      <c r="E94" s="705"/>
      <c r="F94" s="705"/>
      <c r="G94" s="705"/>
      <c r="H94" s="705"/>
      <c r="I94" s="705"/>
      <c r="J94" s="705"/>
      <c r="K94" s="705"/>
      <c r="L94" s="705"/>
      <c r="M94" s="705"/>
      <c r="N94" s="702"/>
    </row>
    <row r="95" spans="2:17" x14ac:dyDescent="0.25">
      <c r="B95" s="703"/>
      <c r="C95" s="708"/>
      <c r="D95" s="708"/>
      <c r="E95" s="708"/>
      <c r="F95" s="708"/>
      <c r="G95" s="708"/>
      <c r="H95" s="708"/>
      <c r="I95" s="708"/>
      <c r="J95" s="708"/>
      <c r="K95" s="708"/>
      <c r="L95" s="708"/>
      <c r="M95" s="708"/>
      <c r="N95" s="706"/>
    </row>
    <row r="96" spans="2:17" x14ac:dyDescent="0.25">
      <c r="B96" s="707"/>
      <c r="C96" s="710" t="s">
        <v>394</v>
      </c>
      <c r="D96" s="711"/>
      <c r="E96" s="712"/>
      <c r="F96" s="711"/>
      <c r="G96" s="712"/>
      <c r="H96" s="711"/>
      <c r="I96" s="711"/>
      <c r="J96" s="711"/>
      <c r="K96" s="711"/>
      <c r="L96" s="711"/>
      <c r="M96" s="713" t="s">
        <v>395</v>
      </c>
      <c r="N96" s="709"/>
    </row>
    <row r="97" spans="2:14" x14ac:dyDescent="0.25">
      <c r="B97" s="707"/>
      <c r="C97" s="711"/>
      <c r="D97" s="711"/>
      <c r="E97" s="711"/>
      <c r="F97" s="711"/>
      <c r="G97" s="711"/>
      <c r="H97" s="711"/>
      <c r="I97" s="711"/>
      <c r="J97" s="711"/>
      <c r="K97" s="711"/>
      <c r="L97" s="711"/>
      <c r="M97" s="711"/>
      <c r="N97" s="709"/>
    </row>
    <row r="98" spans="2:14" ht="15.75" x14ac:dyDescent="0.25">
      <c r="B98" s="714"/>
      <c r="C98" s="715" t="s">
        <v>396</v>
      </c>
      <c r="D98" s="715" t="s">
        <v>397</v>
      </c>
      <c r="E98" s="715" t="s">
        <v>148</v>
      </c>
      <c r="F98" s="716">
        <v>2015</v>
      </c>
      <c r="G98" s="716">
        <v>2020</v>
      </c>
      <c r="H98" s="716" t="s">
        <v>18</v>
      </c>
      <c r="I98" s="716" t="s">
        <v>19</v>
      </c>
      <c r="J98" s="716" t="s">
        <v>20</v>
      </c>
      <c r="K98" s="716" t="s">
        <v>21</v>
      </c>
      <c r="L98" s="716" t="s">
        <v>22</v>
      </c>
      <c r="M98" s="716" t="s">
        <v>23</v>
      </c>
      <c r="N98" s="709"/>
    </row>
    <row r="99" spans="2:14" ht="15.75" outlineLevel="1" x14ac:dyDescent="0.25">
      <c r="B99" s="714"/>
      <c r="C99" s="717" t="s">
        <v>398</v>
      </c>
      <c r="D99" s="718" t="s">
        <v>399</v>
      </c>
      <c r="E99" s="717"/>
      <c r="F99" s="719">
        <f>F45</f>
        <v>0</v>
      </c>
      <c r="G99" s="719">
        <f t="shared" ref="G99:M101" si="2">G45</f>
        <v>0</v>
      </c>
      <c r="H99" s="719">
        <f t="shared" si="2"/>
        <v>0</v>
      </c>
      <c r="I99" s="719">
        <f t="shared" si="2"/>
        <v>0</v>
      </c>
      <c r="J99" s="719">
        <f t="shared" si="2"/>
        <v>0</v>
      </c>
      <c r="K99" s="719">
        <f t="shared" si="2"/>
        <v>0</v>
      </c>
      <c r="L99" s="719">
        <f t="shared" si="2"/>
        <v>0</v>
      </c>
      <c r="M99" s="719">
        <f t="shared" si="2"/>
        <v>0</v>
      </c>
      <c r="N99" s="709"/>
    </row>
    <row r="100" spans="2:14" ht="15.75" outlineLevel="1" x14ac:dyDescent="0.25">
      <c r="B100" s="714"/>
      <c r="C100" s="717" t="s">
        <v>400</v>
      </c>
      <c r="D100" s="718" t="s">
        <v>399</v>
      </c>
      <c r="E100" s="717"/>
      <c r="F100" s="719">
        <f>F46</f>
        <v>0</v>
      </c>
      <c r="G100" s="719">
        <f t="shared" si="2"/>
        <v>0</v>
      </c>
      <c r="H100" s="719">
        <f t="shared" si="2"/>
        <v>0</v>
      </c>
      <c r="I100" s="719">
        <f t="shared" si="2"/>
        <v>0</v>
      </c>
      <c r="J100" s="719">
        <f t="shared" si="2"/>
        <v>0</v>
      </c>
      <c r="K100" s="719">
        <f t="shared" si="2"/>
        <v>0</v>
      </c>
      <c r="L100" s="719">
        <f t="shared" si="2"/>
        <v>0</v>
      </c>
      <c r="M100" s="719">
        <f t="shared" si="2"/>
        <v>0</v>
      </c>
      <c r="N100" s="709"/>
    </row>
    <row r="101" spans="2:14" ht="15.75" outlineLevel="1" x14ac:dyDescent="0.25">
      <c r="B101" s="714"/>
      <c r="C101" s="717" t="s">
        <v>401</v>
      </c>
      <c r="D101" s="718" t="s">
        <v>399</v>
      </c>
      <c r="E101" s="717"/>
      <c r="F101" s="719">
        <f>F47</f>
        <v>0</v>
      </c>
      <c r="G101" s="719">
        <f t="shared" si="2"/>
        <v>0</v>
      </c>
      <c r="H101" s="719">
        <f t="shared" si="2"/>
        <v>0</v>
      </c>
      <c r="I101" s="719">
        <f t="shared" si="2"/>
        <v>0</v>
      </c>
      <c r="J101" s="719">
        <f t="shared" si="2"/>
        <v>0</v>
      </c>
      <c r="K101" s="719">
        <f t="shared" si="2"/>
        <v>0</v>
      </c>
      <c r="L101" s="719">
        <f t="shared" si="2"/>
        <v>0</v>
      </c>
      <c r="M101" s="719">
        <f t="shared" si="2"/>
        <v>0</v>
      </c>
      <c r="N101" s="709"/>
    </row>
    <row r="102" spans="2:14" ht="15.75" x14ac:dyDescent="0.25">
      <c r="B102" s="714"/>
      <c r="C102" s="717" t="s">
        <v>118</v>
      </c>
      <c r="D102" s="717"/>
      <c r="E102" s="717"/>
      <c r="F102" s="721">
        <f>F39</f>
        <v>3.1096431517807348</v>
      </c>
      <c r="G102" s="721">
        <f t="shared" ref="G102:M102" si="3">G39</f>
        <v>3.7985207352657593</v>
      </c>
      <c r="H102" s="721">
        <f t="shared" si="3"/>
        <v>4.4703772608361776</v>
      </c>
      <c r="I102" s="721">
        <f t="shared" si="3"/>
        <v>5.1610897215350429</v>
      </c>
      <c r="J102" s="721">
        <f t="shared" si="3"/>
        <v>5.8298104378228848</v>
      </c>
      <c r="K102" s="721">
        <f t="shared" si="3"/>
        <v>6.4941382054423507</v>
      </c>
      <c r="L102" s="721">
        <f t="shared" si="3"/>
        <v>7.1453790542053239</v>
      </c>
      <c r="M102" s="721">
        <f t="shared" si="3"/>
        <v>7.7960917135764722</v>
      </c>
      <c r="N102" s="709"/>
    </row>
    <row r="103" spans="2:14" x14ac:dyDescent="0.25">
      <c r="B103" s="720"/>
      <c r="C103" s="720"/>
      <c r="D103" s="720"/>
      <c r="E103" s="720"/>
      <c r="F103" s="720"/>
      <c r="G103" s="720"/>
      <c r="H103" s="720"/>
      <c r="I103" s="720"/>
      <c r="J103" s="720"/>
      <c r="K103" s="720"/>
      <c r="L103" s="720"/>
      <c r="M103" s="720"/>
      <c r="N103" s="720"/>
    </row>
  </sheetData>
  <pageMargins left="0.7" right="0.7" top="0.75" bottom="0.75" header="0.3" footer="0.3"/>
  <ignoredErrors>
    <ignoredError sqref="E66:M67" calculatedColumn="1"/>
    <ignoredError sqref="F75:M75 H98:M98" numberStoredAsText="1"/>
  </ignoredErrors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Q109"/>
  <sheetViews>
    <sheetView topLeftCell="A10" zoomScale="70" zoomScaleNormal="70" workbookViewId="0">
      <selection activeCell="R111" sqref="R111"/>
    </sheetView>
  </sheetViews>
  <sheetFormatPr baseColWidth="10" defaultColWidth="11.42578125" defaultRowHeight="15" outlineLevelRow="1" x14ac:dyDescent="0.25"/>
  <cols>
    <col min="1" max="1" width="11.42578125" style="1694"/>
    <col min="2" max="2" width="24.140625" style="1694" customWidth="1"/>
    <col min="3" max="3" width="11.42578125" style="1694"/>
    <col min="4" max="4" width="49.7109375" style="1694" customWidth="1"/>
    <col min="5" max="16384" width="11.42578125" style="1694"/>
  </cols>
  <sheetData>
    <row r="1" spans="1:17" ht="20.25" x14ac:dyDescent="0.3">
      <c r="A1" s="1693" t="s">
        <v>737</v>
      </c>
      <c r="B1" s="1693" t="s">
        <v>1643</v>
      </c>
      <c r="C1" s="1693"/>
    </row>
    <row r="2" spans="1:17" ht="15.75" x14ac:dyDescent="0.25">
      <c r="A2" s="1695" t="s">
        <v>764</v>
      </c>
      <c r="B2" s="1695" t="str">
        <f>INDEX(Modulos[Modulos], MATCH($A2, Modulos[Código], 0))</f>
        <v>Agropecuario</v>
      </c>
      <c r="C2" s="1695"/>
      <c r="D2" s="1696"/>
      <c r="E2" s="259"/>
      <c r="F2" s="1696"/>
      <c r="G2" s="1696"/>
      <c r="H2" s="1696"/>
      <c r="I2" s="1696"/>
      <c r="J2" s="1696"/>
      <c r="K2" s="1696"/>
      <c r="L2" s="1696"/>
      <c r="M2" s="1696"/>
      <c r="N2" s="1696"/>
      <c r="Q2" s="1696"/>
    </row>
    <row r="4" spans="1:17" ht="23.25" x14ac:dyDescent="0.35">
      <c r="A4" s="1697"/>
      <c r="B4" s="1698" t="s">
        <v>144</v>
      </c>
      <c r="C4" s="1699"/>
      <c r="D4" s="1699"/>
      <c r="E4" s="1699"/>
      <c r="F4" s="1699"/>
      <c r="G4" s="1699"/>
      <c r="H4" s="1699"/>
      <c r="I4" s="1699"/>
      <c r="J4" s="1699"/>
      <c r="K4" s="1699"/>
      <c r="L4" s="1699"/>
      <c r="M4" s="1699"/>
      <c r="N4" s="1699"/>
    </row>
    <row r="5" spans="1:17" x14ac:dyDescent="0.25">
      <c r="B5" s="1700"/>
      <c r="C5" s="1701"/>
      <c r="D5" s="1701"/>
      <c r="E5" s="1701"/>
      <c r="F5" s="1701"/>
      <c r="G5" s="1701"/>
      <c r="H5" s="1701"/>
      <c r="I5" s="1701"/>
      <c r="J5" s="1701"/>
      <c r="K5" s="1701"/>
      <c r="L5" s="1701"/>
      <c r="M5" s="1701"/>
      <c r="N5" s="1701"/>
    </row>
    <row r="6" spans="1:17" ht="15.75" x14ac:dyDescent="0.25">
      <c r="B6" s="1702"/>
      <c r="C6" s="1701"/>
      <c r="D6" s="1703" t="s">
        <v>145</v>
      </c>
      <c r="E6" s="1703" t="s">
        <v>3</v>
      </c>
      <c r="F6" s="1701"/>
      <c r="G6" s="1701"/>
      <c r="H6" s="1701"/>
      <c r="I6" s="1701"/>
      <c r="J6" s="1701"/>
      <c r="K6" s="1701"/>
      <c r="L6" s="1701"/>
      <c r="M6" s="1701"/>
      <c r="N6" s="1701"/>
    </row>
    <row r="7" spans="1:17" ht="30.75" customHeight="1" x14ac:dyDescent="0.25">
      <c r="B7" s="1702"/>
      <c r="C7" s="1701"/>
      <c r="D7" s="2603" t="s">
        <v>1350</v>
      </c>
      <c r="E7" s="2595">
        <f>Control!F71</f>
        <v>1</v>
      </c>
      <c r="F7" s="1701"/>
      <c r="G7" s="1701"/>
      <c r="H7" s="2605"/>
      <c r="I7" s="1701"/>
      <c r="J7" s="1701"/>
      <c r="K7" s="1701"/>
      <c r="L7" s="1701"/>
      <c r="M7" s="1701"/>
      <c r="N7" s="1701"/>
    </row>
    <row r="8" spans="1:17" ht="30.75" customHeight="1" x14ac:dyDescent="0.25">
      <c r="B8" s="1702"/>
      <c r="C8" s="1701"/>
      <c r="D8" s="2604" t="s">
        <v>1351</v>
      </c>
      <c r="E8" s="1788">
        <f>Control!F72</f>
        <v>1</v>
      </c>
      <c r="F8" s="1701"/>
      <c r="G8" s="1701"/>
      <c r="H8" s="2605"/>
      <c r="I8" s="1701"/>
      <c r="J8" s="1701"/>
      <c r="K8" s="1701"/>
      <c r="L8" s="1701"/>
      <c r="M8" s="1701"/>
      <c r="N8" s="1701"/>
    </row>
    <row r="9" spans="1:17" ht="15.75" x14ac:dyDescent="0.25">
      <c r="B9" s="1702"/>
      <c r="C9" s="1701"/>
      <c r="D9" s="1788"/>
      <c r="E9" s="1788"/>
      <c r="F9" s="1701"/>
      <c r="G9" s="1701"/>
      <c r="H9" s="1701"/>
      <c r="I9" s="1701"/>
      <c r="J9" s="1701"/>
      <c r="K9" s="1701"/>
      <c r="L9" s="1701"/>
      <c r="M9" s="1701"/>
      <c r="N9" s="1701"/>
    </row>
    <row r="10" spans="1:17" x14ac:dyDescent="0.25">
      <c r="B10" s="1705"/>
      <c r="C10" s="1706"/>
      <c r="D10" s="2596"/>
      <c r="E10" s="1706"/>
      <c r="F10" s="1706"/>
      <c r="G10" s="1706"/>
      <c r="H10" s="1706"/>
      <c r="I10" s="1706"/>
      <c r="J10" s="1706"/>
      <c r="K10" s="1706"/>
      <c r="L10" s="1706"/>
      <c r="M10" s="1706"/>
      <c r="N10" s="1706"/>
    </row>
    <row r="12" spans="1:17" ht="23.25" x14ac:dyDescent="0.35">
      <c r="A12" s="1697"/>
      <c r="B12" s="1707" t="s">
        <v>151</v>
      </c>
      <c r="C12" s="1708"/>
      <c r="D12" s="1708"/>
      <c r="E12" s="1708"/>
      <c r="F12" s="1708"/>
      <c r="G12" s="1708"/>
      <c r="H12" s="1708"/>
      <c r="I12" s="1708"/>
      <c r="J12" s="1708"/>
      <c r="K12" s="1708"/>
      <c r="L12" s="1708"/>
      <c r="M12" s="1708"/>
      <c r="N12" s="1708"/>
    </row>
    <row r="13" spans="1:17" x14ac:dyDescent="0.25">
      <c r="B13" s="1709"/>
      <c r="C13" s="1710"/>
      <c r="D13" s="1710"/>
      <c r="E13" s="1710"/>
      <c r="F13" s="1710"/>
      <c r="G13" s="1710"/>
      <c r="H13" s="1710"/>
      <c r="I13" s="1710"/>
      <c r="J13" s="1710"/>
      <c r="K13" s="1710"/>
      <c r="L13" s="1710"/>
      <c r="M13" s="1710"/>
      <c r="N13" s="1710"/>
    </row>
    <row r="15" spans="1:17" ht="23.25" x14ac:dyDescent="0.25">
      <c r="A15" s="1736"/>
      <c r="B15" s="1707" t="s">
        <v>369</v>
      </c>
      <c r="C15" s="1708"/>
      <c r="D15" s="1708"/>
      <c r="E15" s="1708"/>
      <c r="F15" s="1708"/>
      <c r="G15" s="1708"/>
      <c r="H15" s="1708"/>
      <c r="I15" s="1708"/>
      <c r="J15" s="1708"/>
      <c r="K15" s="1708"/>
      <c r="L15" s="1708"/>
      <c r="M15" s="1708"/>
      <c r="N15" s="1708"/>
      <c r="Q15" s="1696"/>
    </row>
    <row r="16" spans="1:17" x14ac:dyDescent="0.25">
      <c r="B16" s="1709"/>
      <c r="C16" s="1710"/>
      <c r="D16" s="1710"/>
      <c r="E16" s="1710"/>
      <c r="F16" s="1710"/>
      <c r="G16" s="1710"/>
      <c r="H16" s="1710"/>
      <c r="I16" s="1710"/>
      <c r="J16" s="1710"/>
      <c r="K16" s="1710"/>
      <c r="L16" s="1710"/>
      <c r="M16" s="1710"/>
      <c r="N16" s="1710"/>
    </row>
    <row r="17" spans="2:17" x14ac:dyDescent="0.25">
      <c r="B17" s="1816"/>
      <c r="C17" s="1817"/>
      <c r="D17" s="1818"/>
      <c r="E17" s="1817"/>
      <c r="F17" s="1817"/>
      <c r="G17" s="1817"/>
      <c r="H17" s="1817"/>
      <c r="I17" s="1817"/>
      <c r="J17" s="1817"/>
      <c r="K17" s="1817"/>
      <c r="L17" s="1817"/>
      <c r="M17" s="1817"/>
      <c r="N17" s="1817"/>
    </row>
    <row r="18" spans="2:17" ht="15.75" hidden="1" outlineLevel="1" x14ac:dyDescent="0.25">
      <c r="B18" s="1707" t="s">
        <v>163</v>
      </c>
      <c r="C18" s="1708"/>
      <c r="D18" s="1708"/>
      <c r="E18" s="1708"/>
      <c r="F18" s="1708"/>
      <c r="G18" s="1708"/>
      <c r="H18" s="1708"/>
      <c r="I18" s="1708"/>
      <c r="J18" s="1708"/>
      <c r="K18" s="1708"/>
      <c r="L18" s="1708"/>
      <c r="M18" s="1708"/>
      <c r="N18" s="1708"/>
      <c r="Q18" s="1819"/>
    </row>
    <row r="19" spans="2:17" hidden="1" outlineLevel="1" x14ac:dyDescent="0.25">
      <c r="B19" s="1746"/>
      <c r="C19" s="1747"/>
      <c r="D19" s="1747"/>
      <c r="E19" s="1747"/>
      <c r="F19" s="1747"/>
      <c r="G19" s="1747"/>
      <c r="H19" s="1747"/>
      <c r="I19" s="1747"/>
      <c r="J19" s="1747"/>
      <c r="K19" s="1747"/>
      <c r="L19" s="1747"/>
      <c r="M19" s="1747"/>
      <c r="N19" s="1747"/>
      <c r="Q19" s="1817"/>
    </row>
    <row r="20" spans="2:17" hidden="1" outlineLevel="1" x14ac:dyDescent="0.25">
      <c r="B20" s="1709"/>
      <c r="C20" s="1711" t="s">
        <v>856</v>
      </c>
      <c r="D20" s="1748"/>
      <c r="E20" s="1749"/>
      <c r="F20" s="1750"/>
      <c r="G20" s="1750"/>
      <c r="H20" s="1750"/>
      <c r="I20" s="1750"/>
      <c r="J20" s="1750"/>
      <c r="K20" s="1750"/>
      <c r="L20" s="1750"/>
      <c r="M20" s="1751" t="s">
        <v>227</v>
      </c>
      <c r="N20" s="1710"/>
      <c r="Q20" s="1816"/>
    </row>
    <row r="21" spans="2:17" hidden="1" outlineLevel="1" x14ac:dyDescent="0.25">
      <c r="B21" s="1709"/>
      <c r="C21" s="1752"/>
      <c r="D21" s="1748"/>
      <c r="E21" s="1749"/>
      <c r="F21" s="1750"/>
      <c r="G21" s="1750"/>
      <c r="H21" s="1750"/>
      <c r="I21" s="1750"/>
      <c r="J21" s="1750"/>
      <c r="K21" s="1750"/>
      <c r="L21" s="1750"/>
      <c r="M21" s="1710"/>
      <c r="N21" s="1710"/>
      <c r="Q21" s="1820"/>
    </row>
    <row r="22" spans="2:17" hidden="1" outlineLevel="1" x14ac:dyDescent="0.25">
      <c r="B22" s="1709"/>
      <c r="C22" s="1753"/>
      <c r="D22" s="1754"/>
      <c r="E22" s="1755" t="s">
        <v>164</v>
      </c>
      <c r="F22" s="1756">
        <v>2015</v>
      </c>
      <c r="G22" s="1756">
        <v>2020</v>
      </c>
      <c r="H22" s="1756">
        <v>2025</v>
      </c>
      <c r="I22" s="1756">
        <v>2030</v>
      </c>
      <c r="J22" s="1756">
        <v>2035</v>
      </c>
      <c r="K22" s="1756">
        <v>2040</v>
      </c>
      <c r="L22" s="1756">
        <v>2045</v>
      </c>
      <c r="M22" s="1756">
        <v>2050</v>
      </c>
      <c r="N22" s="1710"/>
      <c r="Q22" s="1820"/>
    </row>
    <row r="23" spans="2:17" hidden="1" outlineLevel="1" x14ac:dyDescent="0.25">
      <c r="B23" s="1709"/>
      <c r="C23" s="1757" t="s">
        <v>165</v>
      </c>
      <c r="D23" s="1754"/>
      <c r="E23" s="1758">
        <v>0</v>
      </c>
      <c r="F23" s="1759">
        <v>4.4999999999999998E-2</v>
      </c>
      <c r="G23" s="1759">
        <v>4.4999999999999998E-2</v>
      </c>
      <c r="H23" s="1759">
        <v>4.4999999999999998E-2</v>
      </c>
      <c r="I23" s="1759">
        <v>4.4999999999999998E-2</v>
      </c>
      <c r="J23" s="1759">
        <v>4.4999999999999998E-2</v>
      </c>
      <c r="K23" s="1759">
        <v>4.4999999999999998E-2</v>
      </c>
      <c r="L23" s="1759">
        <v>4.4999999999999998E-2</v>
      </c>
      <c r="M23" s="1759">
        <v>4.4999999999999998E-2</v>
      </c>
      <c r="N23" s="1710"/>
      <c r="Q23" s="1821"/>
    </row>
    <row r="24" spans="2:17" hidden="1" outlineLevel="1" x14ac:dyDescent="0.25">
      <c r="B24" s="1709"/>
      <c r="C24" s="1760" t="s">
        <v>166</v>
      </c>
      <c r="D24" s="1748"/>
      <c r="E24" s="1761">
        <v>-6.4758509480882794E-5</v>
      </c>
      <c r="F24" s="1762">
        <v>8.4188247979483984E-3</v>
      </c>
      <c r="G24" s="1762">
        <v>8.0950322505439851E-3</v>
      </c>
      <c r="H24" s="1762">
        <v>7.771239703139571E-3</v>
      </c>
      <c r="I24" s="1762">
        <v>7.4474471557351568E-3</v>
      </c>
      <c r="J24" s="1762">
        <v>7.1236546083307426E-3</v>
      </c>
      <c r="K24" s="1762">
        <v>6.7998620609263285E-3</v>
      </c>
      <c r="L24" s="1762">
        <v>6.4760695135219143E-3</v>
      </c>
      <c r="M24" s="1762">
        <v>6.1522769661175002E-3</v>
      </c>
      <c r="N24" s="1710"/>
      <c r="Q24" s="1817"/>
    </row>
    <row r="25" spans="2:17" hidden="1" outlineLevel="1" x14ac:dyDescent="0.25">
      <c r="B25" s="1709"/>
      <c r="C25" s="1763" t="s">
        <v>167</v>
      </c>
      <c r="D25" s="1764"/>
      <c r="E25" s="1765">
        <v>-6.4758509480882794E-5</v>
      </c>
      <c r="F25" s="1766">
        <v>8.4188247979483984E-3</v>
      </c>
      <c r="G25" s="1766">
        <v>8.0950322505439851E-3</v>
      </c>
      <c r="H25" s="1766">
        <v>7.771239703139571E-3</v>
      </c>
      <c r="I25" s="1766">
        <v>7.4474471557351568E-3</v>
      </c>
      <c r="J25" s="1766">
        <v>7.1236546083307426E-3</v>
      </c>
      <c r="K25" s="1766">
        <v>6.7998620609263285E-3</v>
      </c>
      <c r="L25" s="1766">
        <v>6.4760695135219143E-3</v>
      </c>
      <c r="M25" s="1766">
        <v>6.1522769661175002E-3</v>
      </c>
      <c r="N25" s="1710"/>
      <c r="Q25" s="1816"/>
    </row>
    <row r="26" spans="2:17" hidden="1" outlineLevel="1" x14ac:dyDescent="0.25">
      <c r="B26" s="1709"/>
      <c r="C26" s="1752"/>
      <c r="D26" s="1748"/>
      <c r="E26" s="1749"/>
      <c r="F26" s="1750"/>
      <c r="G26" s="1750"/>
      <c r="H26" s="1750"/>
      <c r="I26" s="1750"/>
      <c r="J26" s="1750"/>
      <c r="K26" s="1750"/>
      <c r="L26" s="1750"/>
      <c r="M26" s="1710"/>
      <c r="N26" s="1710"/>
      <c r="Q26" s="1817"/>
    </row>
    <row r="27" spans="2:17" hidden="1" outlineLevel="1" x14ac:dyDescent="0.25">
      <c r="B27" s="1709"/>
      <c r="C27" s="1711" t="s">
        <v>857</v>
      </c>
      <c r="D27" s="1748"/>
      <c r="E27" s="1749"/>
      <c r="F27" s="1750"/>
      <c r="G27" s="1750"/>
      <c r="H27" s="1750"/>
      <c r="I27" s="1750"/>
      <c r="J27" s="1750"/>
      <c r="K27" s="1750"/>
      <c r="L27" s="1750"/>
      <c r="M27" s="1751" t="s">
        <v>227</v>
      </c>
      <c r="N27" s="1710"/>
      <c r="Q27" s="1817"/>
    </row>
    <row r="28" spans="2:17" hidden="1" outlineLevel="1" x14ac:dyDescent="0.25">
      <c r="B28" s="1709"/>
      <c r="C28" s="1752"/>
      <c r="D28" s="1748"/>
      <c r="E28" s="1749"/>
      <c r="F28" s="1750"/>
      <c r="G28" s="1750"/>
      <c r="H28" s="1750"/>
      <c r="I28" s="1750"/>
      <c r="J28" s="1750"/>
      <c r="K28" s="1750"/>
      <c r="L28" s="1750"/>
      <c r="M28" s="1710"/>
      <c r="N28" s="1710"/>
      <c r="Q28" s="1817"/>
    </row>
    <row r="29" spans="2:17" hidden="1" outlineLevel="1" x14ac:dyDescent="0.25">
      <c r="B29" s="1709"/>
      <c r="C29" s="1753"/>
      <c r="D29" s="1754"/>
      <c r="E29" s="1755" t="s">
        <v>164</v>
      </c>
      <c r="F29" s="1756">
        <v>2015</v>
      </c>
      <c r="G29" s="1756">
        <v>2020</v>
      </c>
      <c r="H29" s="1756">
        <v>2025</v>
      </c>
      <c r="I29" s="1756">
        <v>2030</v>
      </c>
      <c r="J29" s="1756">
        <v>2035</v>
      </c>
      <c r="K29" s="1756">
        <v>2040</v>
      </c>
      <c r="L29" s="1756">
        <v>2045</v>
      </c>
      <c r="M29" s="1756">
        <v>2050</v>
      </c>
      <c r="N29" s="1710"/>
      <c r="Q29" s="1817"/>
    </row>
    <row r="30" spans="2:17" hidden="1" outlineLevel="1" x14ac:dyDescent="0.25">
      <c r="B30" s="1709"/>
      <c r="C30" s="1757" t="s">
        <v>165</v>
      </c>
      <c r="D30" s="1754"/>
      <c r="E30" s="1758">
        <v>0</v>
      </c>
      <c r="F30" s="1759">
        <v>1.7499999999999997E-4</v>
      </c>
      <c r="G30" s="1759">
        <v>1.7499999999999997E-4</v>
      </c>
      <c r="H30" s="1759">
        <v>1.7499999999999997E-4</v>
      </c>
      <c r="I30" s="1759">
        <v>1.7499999999999997E-4</v>
      </c>
      <c r="J30" s="1759">
        <v>1.7499999999999997E-4</v>
      </c>
      <c r="K30" s="1759">
        <v>1.7499999999999997E-4</v>
      </c>
      <c r="L30" s="1759">
        <v>1.7499999999999997E-4</v>
      </c>
      <c r="M30" s="1759">
        <v>1.7499999999999997E-4</v>
      </c>
      <c r="N30" s="1710"/>
      <c r="Q30" s="1817"/>
    </row>
    <row r="31" spans="2:17" hidden="1" outlineLevel="1" x14ac:dyDescent="0.25">
      <c r="B31" s="1709"/>
      <c r="C31" s="1760" t="s">
        <v>166</v>
      </c>
      <c r="D31" s="1748"/>
      <c r="E31" s="1761">
        <v>0</v>
      </c>
      <c r="F31" s="1762">
        <v>1.3499999999999997E-4</v>
      </c>
      <c r="G31" s="1762">
        <v>1.3499999999999997E-4</v>
      </c>
      <c r="H31" s="1762">
        <v>1.3499999999999997E-4</v>
      </c>
      <c r="I31" s="1762">
        <v>1.3499999999999997E-4</v>
      </c>
      <c r="J31" s="1762">
        <v>1.3499999999999997E-4</v>
      </c>
      <c r="K31" s="1762">
        <v>1.3499999999999997E-4</v>
      </c>
      <c r="L31" s="1762">
        <v>1.3499999999999997E-4</v>
      </c>
      <c r="M31" s="1762">
        <v>1.3499999999999997E-4</v>
      </c>
      <c r="N31" s="1710"/>
      <c r="Q31" s="1817"/>
    </row>
    <row r="32" spans="2:17" hidden="1" outlineLevel="1" x14ac:dyDescent="0.25">
      <c r="B32" s="1709"/>
      <c r="C32" s="1763" t="s">
        <v>167</v>
      </c>
      <c r="D32" s="1764"/>
      <c r="E32" s="1765">
        <v>0</v>
      </c>
      <c r="F32" s="1766">
        <v>0</v>
      </c>
      <c r="G32" s="1766">
        <v>0</v>
      </c>
      <c r="H32" s="1766">
        <v>0</v>
      </c>
      <c r="I32" s="1766">
        <v>0</v>
      </c>
      <c r="J32" s="1766">
        <v>0</v>
      </c>
      <c r="K32" s="1766">
        <v>0</v>
      </c>
      <c r="L32" s="1766">
        <v>0</v>
      </c>
      <c r="M32" s="1766">
        <v>0</v>
      </c>
      <c r="N32" s="1710"/>
      <c r="Q32" s="1817"/>
    </row>
    <row r="33" spans="2:17" hidden="1" outlineLevel="1" x14ac:dyDescent="0.25">
      <c r="B33" s="1709"/>
      <c r="C33" s="1815"/>
      <c r="D33" s="1710"/>
      <c r="E33" s="1712"/>
      <c r="F33" s="1822"/>
      <c r="G33" s="1822"/>
      <c r="H33" s="1822"/>
      <c r="I33" s="1822"/>
      <c r="J33" s="1822"/>
      <c r="K33" s="1822"/>
      <c r="L33" s="1822"/>
      <c r="M33" s="1822"/>
      <c r="N33" s="1822"/>
      <c r="Q33" s="1817"/>
    </row>
    <row r="34" spans="2:17" collapsed="1" x14ac:dyDescent="0.25">
      <c r="B34" s="1816"/>
      <c r="C34" s="1817"/>
      <c r="D34" s="1818"/>
      <c r="E34" s="1817"/>
      <c r="F34" s="1817"/>
      <c r="G34" s="1817"/>
      <c r="H34" s="1817"/>
      <c r="I34" s="1817"/>
      <c r="J34" s="1817"/>
      <c r="K34" s="1817"/>
      <c r="L34" s="1817"/>
      <c r="M34" s="1817"/>
      <c r="N34" s="1817"/>
      <c r="Q34" s="1817"/>
    </row>
    <row r="35" spans="2:17" ht="15.75" x14ac:dyDescent="0.25">
      <c r="B35" s="1707" t="s">
        <v>369</v>
      </c>
      <c r="C35" s="1708"/>
      <c r="D35" s="1708"/>
      <c r="E35" s="1708"/>
      <c r="F35" s="1708"/>
      <c r="G35" s="1708"/>
      <c r="H35" s="1708"/>
      <c r="I35" s="1708"/>
      <c r="J35" s="1708"/>
      <c r="K35" s="1708"/>
      <c r="L35" s="1708"/>
      <c r="M35" s="1708"/>
      <c r="N35" s="1708"/>
      <c r="Q35" s="1817"/>
    </row>
    <row r="36" spans="2:17" x14ac:dyDescent="0.25">
      <c r="B36" s="1709"/>
      <c r="C36" s="1710"/>
      <c r="D36" s="1710"/>
      <c r="E36" s="1710"/>
      <c r="F36" s="1710"/>
      <c r="G36" s="1710"/>
      <c r="H36" s="1710"/>
      <c r="I36" s="1710"/>
      <c r="J36" s="1710"/>
      <c r="K36" s="1710"/>
      <c r="L36" s="1710"/>
      <c r="M36" s="1710"/>
      <c r="N36" s="1710"/>
      <c r="Q36" s="1817"/>
    </row>
    <row r="37" spans="2:17" x14ac:dyDescent="0.25">
      <c r="Q37" s="1817"/>
    </row>
    <row r="38" spans="2:17" x14ac:dyDescent="0.25">
      <c r="B38" s="1694" t="str">
        <f>Residuos!C254</f>
        <v>(iii) Generación Eléctrica</v>
      </c>
    </row>
    <row r="39" spans="2:17" x14ac:dyDescent="0.25">
      <c r="B39" s="1694" t="str">
        <f>Residuos!C255</f>
        <v>Nombre</v>
      </c>
      <c r="C39" s="1694" t="str">
        <f>Residuos!D255</f>
        <v xml:space="preserve">Unidad </v>
      </c>
      <c r="D39" s="1694" t="str">
        <f>Residuos!E255</f>
        <v>Notas</v>
      </c>
      <c r="F39" s="1694">
        <v>2015</v>
      </c>
      <c r="G39" s="1694">
        <v>2020</v>
      </c>
      <c r="H39" s="1694">
        <v>2025</v>
      </c>
      <c r="I39" s="1694">
        <v>2030</v>
      </c>
      <c r="J39" s="1694">
        <v>2035</v>
      </c>
      <c r="K39" s="1694">
        <v>2040</v>
      </c>
      <c r="L39" s="1694">
        <v>2045</v>
      </c>
      <c r="M39" s="1694">
        <v>2050</v>
      </c>
    </row>
    <row r="40" spans="2:17" x14ac:dyDescent="0.25">
      <c r="B40" s="1694" t="s">
        <v>236</v>
      </c>
      <c r="C40" s="2606" t="s">
        <v>1596</v>
      </c>
      <c r="F40" s="2601">
        <f>INDEX('Sector Agropecuario'!$C$650:$AS$651,MATCH(V.b!$B$40,'Sector Agropecuario'!$C$650:$C$651,0),MATCH(V.b!F39,'Sector Agropecuario'!$C$650:$AS$650,0))</f>
        <v>3.4389010267325153</v>
      </c>
      <c r="G40" s="2601">
        <f>INDEX('Sector Agropecuario'!$C$650:$AS$651,MATCH(V.b!$B$40,'Sector Agropecuario'!$C$650:$C$651,0),MATCH(V.b!G39,'Sector Agropecuario'!$C$650:$AS$650,0))</f>
        <v>4.2392356044495445</v>
      </c>
      <c r="H40" s="2601">
        <f>INDEX('Sector Agropecuario'!$C$650:$AS$651,MATCH(V.b!$B$40,'Sector Agropecuario'!$C$650:$C$651,0),MATCH(V.b!H39,'Sector Agropecuario'!$C$650:$AS$650,0))</f>
        <v>4.9529130700314612</v>
      </c>
      <c r="I40" s="2601">
        <f>INDEX('Sector Agropecuario'!$C$650:$AS$651,MATCH(V.b!$B$40,'Sector Agropecuario'!$C$650:$C$651,0),MATCH(V.b!I39,'Sector Agropecuario'!$C$650:$AS$650,0))</f>
        <v>5.6121819002050293</v>
      </c>
      <c r="J40" s="2601">
        <f>INDEX('Sector Agropecuario'!$C$650:$AS$651,MATCH(V.b!$B$40,'Sector Agropecuario'!$C$650:$C$651,0),MATCH(V.b!J39,'Sector Agropecuario'!$C$650:$AS$650,0))</f>
        <v>6.2600763354361897</v>
      </c>
      <c r="K40" s="2601">
        <f>INDEX('Sector Agropecuario'!$C$650:$AS$651,MATCH(V.b!$B$40,'Sector Agropecuario'!$C$650:$C$651,0),MATCH(V.b!K39,'Sector Agropecuario'!$C$650:$AS$650,0))</f>
        <v>6.9065998236423072</v>
      </c>
      <c r="L40" s="2601">
        <f>INDEX('Sector Agropecuario'!$C$650:$AS$651,MATCH(V.b!$B$40,'Sector Agropecuario'!$C$650:$C$651,0),MATCH(V.b!L39,'Sector Agropecuario'!$C$650:$AS$650,0))</f>
        <v>7.4835421882092019</v>
      </c>
      <c r="M40" s="2601">
        <f>INDEX('Sector Agropecuario'!$C$650:$AS$651,MATCH(V.b!$B$40,'Sector Agropecuario'!$C$650:$C$651,0),MATCH(V.b!M39,'Sector Agropecuario'!$C$650:$AS$650,0))</f>
        <v>8.0416559644615386</v>
      </c>
    </row>
    <row r="41" spans="2:17" x14ac:dyDescent="0.25">
      <c r="Q41" s="1817"/>
    </row>
    <row r="42" spans="2:17" x14ac:dyDescent="0.25">
      <c r="B42" s="2600" t="s">
        <v>434</v>
      </c>
      <c r="C42" s="1694" t="s">
        <v>1029</v>
      </c>
      <c r="D42" s="1694" t="s">
        <v>8</v>
      </c>
      <c r="F42" s="1694">
        <v>2015</v>
      </c>
      <c r="G42" s="1694">
        <v>2020</v>
      </c>
      <c r="H42" s="1694">
        <v>2025</v>
      </c>
      <c r="I42" s="1694">
        <v>2030</v>
      </c>
      <c r="J42" s="1694">
        <v>2035</v>
      </c>
      <c r="K42" s="1694">
        <v>2040</v>
      </c>
      <c r="L42" s="1694">
        <v>2045</v>
      </c>
      <c r="M42" s="1694">
        <v>2050</v>
      </c>
      <c r="Q42" s="1817"/>
    </row>
    <row r="43" spans="2:17" x14ac:dyDescent="0.25">
      <c r="B43" s="2600" t="s">
        <v>1347</v>
      </c>
      <c r="C43" s="1694" t="str">
        <f>Residuos!D284</f>
        <v>[MM tCO2eq]</v>
      </c>
      <c r="F43" s="2601">
        <f>INDEX('Sector Agropecuario'!$C$733:$AS$734,MATCH(V.b!$B$43,'Sector Agropecuario'!$C$733:$C$734,0),MATCH(V.b!F42,'Sector Agropecuario'!$C$733:$AS$733,0))</f>
        <v>12.816572783657763</v>
      </c>
      <c r="G43" s="2601">
        <f>INDEX('Sector Agropecuario'!$C$733:$AS$734,MATCH(V.b!$B$43,'Sector Agropecuario'!$C$733:$C$734,0),MATCH(V.b!G42,'Sector Agropecuario'!$C$733:$AS$733,0))</f>
        <v>12.78736097645349</v>
      </c>
      <c r="H43" s="2601">
        <f>INDEX('Sector Agropecuario'!$C$733:$AS$734,MATCH(V.b!$B$43,'Sector Agropecuario'!$C$733:$C$734,0),MATCH(V.b!H42,'Sector Agropecuario'!$C$733:$AS$733,0))</f>
        <v>12.778526133715729</v>
      </c>
      <c r="I43" s="2601">
        <f>INDEX('Sector Agropecuario'!$C$733:$AS$734,MATCH(V.b!$B$43,'Sector Agropecuario'!$C$733:$C$734,0),MATCH(V.b!I42,'Sector Agropecuario'!$C$733:$AS$733,0))</f>
        <v>12.913262357995444</v>
      </c>
      <c r="J43" s="2601">
        <f>INDEX('Sector Agropecuario'!$C$733:$AS$734,MATCH(V.b!$B$43,'Sector Agropecuario'!$C$733:$C$734,0),MATCH(V.b!J42,'Sector Agropecuario'!$C$733:$AS$733,0))</f>
        <v>13.100772485088362</v>
      </c>
      <c r="K43" s="2601">
        <f>INDEX('Sector Agropecuario'!$C$733:$AS$734,MATCH(V.b!$B$43,'Sector Agropecuario'!$C$733:$C$734,0),MATCH(V.b!K42,'Sector Agropecuario'!$C$733:$AS$733,0))</f>
        <v>13.309006434440434</v>
      </c>
      <c r="L43" s="2601">
        <f>INDEX('Sector Agropecuario'!$C$733:$AS$734,MATCH(V.b!$B$43,'Sector Agropecuario'!$C$733:$C$734,0),MATCH(V.b!L42,'Sector Agropecuario'!$C$733:$AS$733,0))</f>
        <v>13.522309091729012</v>
      </c>
      <c r="M43" s="2601">
        <f>INDEX('Sector Agropecuario'!$C$733:$AS$734,MATCH(V.b!$B$43,'Sector Agropecuario'!$C$733:$C$734,0),MATCH(V.b!M42,'Sector Agropecuario'!$C$733:$AS$733,0))</f>
        <v>13.732410206521122</v>
      </c>
      <c r="Q43" s="1817"/>
    </row>
    <row r="44" spans="2:17" x14ac:dyDescent="0.25">
      <c r="C44" s="2600"/>
      <c r="Q44" s="1817"/>
    </row>
    <row r="45" spans="2:17" x14ac:dyDescent="0.25">
      <c r="F45" s="1785"/>
      <c r="G45" s="1785"/>
      <c r="H45" s="1785"/>
      <c r="I45" s="1785"/>
      <c r="J45" s="1785"/>
      <c r="K45" s="1785"/>
      <c r="L45" s="1785"/>
      <c r="M45" s="1785"/>
    </row>
    <row r="46" spans="2:17" hidden="1" outlineLevel="1" x14ac:dyDescent="0.25">
      <c r="C46" s="1694" t="s">
        <v>858</v>
      </c>
      <c r="F46" s="1785">
        <v>0</v>
      </c>
      <c r="G46" s="1785">
        <v>0</v>
      </c>
      <c r="H46" s="1785">
        <v>0</v>
      </c>
      <c r="I46" s="1785">
        <v>0</v>
      </c>
      <c r="J46" s="1785">
        <v>0</v>
      </c>
      <c r="K46" s="1785">
        <v>0</v>
      </c>
      <c r="L46" s="1785">
        <v>0</v>
      </c>
      <c r="M46" s="1785">
        <v>0</v>
      </c>
    </row>
    <row r="47" spans="2:17" hidden="1" outlineLevel="1" x14ac:dyDescent="0.25">
      <c r="C47" s="1694" t="s">
        <v>859</v>
      </c>
      <c r="F47" s="1785"/>
      <c r="G47" s="1785"/>
      <c r="H47" s="1785"/>
      <c r="I47" s="1785"/>
      <c r="J47" s="1785">
        <v>0</v>
      </c>
      <c r="K47" s="1785">
        <v>0</v>
      </c>
      <c r="L47" s="1785">
        <v>0</v>
      </c>
      <c r="M47" s="1785">
        <v>0</v>
      </c>
    </row>
    <row r="48" spans="2:17" hidden="1" outlineLevel="1" x14ac:dyDescent="0.25">
      <c r="C48" s="1694" t="s">
        <v>860</v>
      </c>
      <c r="F48" s="1785">
        <v>0</v>
      </c>
      <c r="G48" s="1785">
        <v>0</v>
      </c>
      <c r="H48" s="1785">
        <v>0</v>
      </c>
      <c r="I48" s="1785">
        <v>0</v>
      </c>
      <c r="J48" s="1785">
        <v>0</v>
      </c>
      <c r="K48" s="1785">
        <v>0</v>
      </c>
      <c r="L48" s="1785">
        <v>0</v>
      </c>
      <c r="M48" s="1785">
        <v>0</v>
      </c>
    </row>
    <row r="49" spans="2:17" hidden="1" outlineLevel="1" x14ac:dyDescent="0.25">
      <c r="F49" s="1785"/>
      <c r="G49" s="1785"/>
      <c r="H49" s="1785"/>
      <c r="I49" s="1785"/>
      <c r="J49" s="1785"/>
      <c r="K49" s="1785"/>
      <c r="L49" s="1785"/>
      <c r="M49" s="1785"/>
    </row>
    <row r="50" spans="2:17" hidden="1" outlineLevel="1" x14ac:dyDescent="0.25">
      <c r="B50" s="1694" t="s">
        <v>180</v>
      </c>
      <c r="F50" s="1785"/>
      <c r="G50" s="1785"/>
      <c r="H50" s="1785"/>
      <c r="I50" s="1785"/>
      <c r="J50" s="1785"/>
      <c r="K50" s="1785"/>
      <c r="L50" s="1785"/>
      <c r="M50" s="1785"/>
    </row>
    <row r="51" spans="2:17" hidden="1" outlineLevel="1" x14ac:dyDescent="0.25">
      <c r="C51" s="1694" t="s">
        <v>175</v>
      </c>
      <c r="E51" s="1694" t="s">
        <v>176</v>
      </c>
      <c r="F51" s="1785">
        <v>0</v>
      </c>
      <c r="G51" s="1785">
        <v>0</v>
      </c>
      <c r="H51" s="1785">
        <v>0</v>
      </c>
      <c r="I51" s="1785">
        <v>0</v>
      </c>
      <c r="J51" s="1785">
        <v>0</v>
      </c>
      <c r="K51" s="1785">
        <v>0</v>
      </c>
      <c r="L51" s="1785">
        <v>0</v>
      </c>
      <c r="M51" s="1785">
        <v>0</v>
      </c>
    </row>
    <row r="52" spans="2:17" hidden="1" outlineLevel="1" x14ac:dyDescent="0.25">
      <c r="C52" s="1694" t="s">
        <v>177</v>
      </c>
      <c r="E52" s="1694" t="s">
        <v>176</v>
      </c>
      <c r="F52" s="1785">
        <v>0</v>
      </c>
      <c r="G52" s="1785">
        <v>0</v>
      </c>
      <c r="H52" s="1785">
        <v>0</v>
      </c>
      <c r="I52" s="1785">
        <v>0</v>
      </c>
      <c r="J52" s="1785">
        <v>0</v>
      </c>
      <c r="K52" s="1785">
        <v>0</v>
      </c>
      <c r="L52" s="1785">
        <v>0</v>
      </c>
      <c r="M52" s="1785">
        <v>0</v>
      </c>
    </row>
    <row r="53" spans="2:17" hidden="1" outlineLevel="1" x14ac:dyDescent="0.25">
      <c r="C53" s="1694" t="s">
        <v>178</v>
      </c>
      <c r="E53" s="1694" t="s">
        <v>176</v>
      </c>
      <c r="F53" s="1785">
        <v>0</v>
      </c>
      <c r="G53" s="1785">
        <v>0</v>
      </c>
      <c r="H53" s="1785">
        <v>0</v>
      </c>
      <c r="I53" s="1785">
        <v>0</v>
      </c>
      <c r="J53" s="1785">
        <v>0</v>
      </c>
      <c r="K53" s="1785">
        <v>0</v>
      </c>
      <c r="L53" s="1785">
        <v>0</v>
      </c>
      <c r="M53" s="1785">
        <v>0</v>
      </c>
    </row>
    <row r="54" spans="2:17" hidden="1" outlineLevel="1" x14ac:dyDescent="0.25">
      <c r="C54" s="1772"/>
      <c r="F54" s="1780"/>
      <c r="G54" s="1780"/>
      <c r="H54" s="1780"/>
      <c r="I54" s="1780"/>
      <c r="J54" s="1780"/>
      <c r="K54" s="1780"/>
      <c r="L54" s="1780"/>
      <c r="M54" s="1780"/>
    </row>
    <row r="55" spans="2:17" hidden="1" outlineLevel="1" x14ac:dyDescent="0.25">
      <c r="B55" s="1694" t="s">
        <v>179</v>
      </c>
      <c r="F55" s="1785"/>
      <c r="G55" s="1785"/>
      <c r="H55" s="1785"/>
      <c r="I55" s="1785"/>
      <c r="J55" s="1785"/>
      <c r="K55" s="1785"/>
      <c r="L55" s="1785"/>
      <c r="M55" s="1785"/>
      <c r="Q55" s="1823"/>
    </row>
    <row r="56" spans="2:17" hidden="1" outlineLevel="1" x14ac:dyDescent="0.25">
      <c r="C56" s="1694" t="s">
        <v>175</v>
      </c>
      <c r="E56" s="1694" t="s">
        <v>176</v>
      </c>
      <c r="F56" s="1785">
        <v>0</v>
      </c>
      <c r="G56" s="1785">
        <v>0</v>
      </c>
      <c r="H56" s="1785">
        <v>0</v>
      </c>
      <c r="I56" s="1785">
        <v>0</v>
      </c>
      <c r="J56" s="1785">
        <v>0</v>
      </c>
      <c r="K56" s="1785">
        <v>0</v>
      </c>
      <c r="L56" s="1785">
        <v>0</v>
      </c>
      <c r="M56" s="1785">
        <v>0</v>
      </c>
      <c r="Q56" s="1823"/>
    </row>
    <row r="57" spans="2:17" hidden="1" outlineLevel="1" x14ac:dyDescent="0.25">
      <c r="C57" s="1694" t="s">
        <v>177</v>
      </c>
      <c r="E57" s="1694" t="s">
        <v>176</v>
      </c>
      <c r="F57" s="1785">
        <v>0</v>
      </c>
      <c r="G57" s="1785">
        <v>0</v>
      </c>
      <c r="H57" s="1785">
        <v>0</v>
      </c>
      <c r="I57" s="1785">
        <v>0</v>
      </c>
      <c r="J57" s="1785">
        <v>0</v>
      </c>
      <c r="K57" s="1785">
        <v>0</v>
      </c>
      <c r="L57" s="1785">
        <v>0</v>
      </c>
      <c r="M57" s="1785">
        <v>0</v>
      </c>
      <c r="Q57" s="1823"/>
    </row>
    <row r="58" spans="2:17" hidden="1" outlineLevel="1" x14ac:dyDescent="0.25">
      <c r="C58" s="1694" t="s">
        <v>178</v>
      </c>
      <c r="E58" s="1694" t="s">
        <v>176</v>
      </c>
      <c r="F58" s="1785">
        <v>0</v>
      </c>
      <c r="G58" s="1785">
        <v>0</v>
      </c>
      <c r="H58" s="1785">
        <v>0</v>
      </c>
      <c r="I58" s="1785">
        <v>0</v>
      </c>
      <c r="J58" s="1785">
        <v>0</v>
      </c>
      <c r="K58" s="1785">
        <v>0</v>
      </c>
      <c r="L58" s="1785">
        <v>0</v>
      </c>
      <c r="M58" s="1785">
        <v>0</v>
      </c>
      <c r="Q58" s="1823"/>
    </row>
    <row r="59" spans="2:17" hidden="1" outlineLevel="1" x14ac:dyDescent="0.25">
      <c r="F59" s="1785"/>
      <c r="G59" s="1785"/>
      <c r="H59" s="1785"/>
      <c r="I59" s="1785"/>
      <c r="J59" s="1785"/>
      <c r="K59" s="1785"/>
      <c r="L59" s="1785"/>
      <c r="M59" s="1785"/>
      <c r="Q59" s="1823"/>
    </row>
    <row r="60" spans="2:17" hidden="1" outlineLevel="1" x14ac:dyDescent="0.25">
      <c r="B60" s="1694" t="s">
        <v>174</v>
      </c>
      <c r="F60" s="1785"/>
      <c r="G60" s="1785"/>
      <c r="H60" s="1785"/>
      <c r="I60" s="1785"/>
      <c r="J60" s="1785"/>
      <c r="K60" s="1785"/>
      <c r="L60" s="1785"/>
      <c r="M60" s="1785"/>
    </row>
    <row r="61" spans="2:17" hidden="1" outlineLevel="1" x14ac:dyDescent="0.25">
      <c r="C61" s="1694" t="s">
        <v>175</v>
      </c>
      <c r="E61" s="1694" t="s">
        <v>176</v>
      </c>
      <c r="F61" s="1785">
        <v>0</v>
      </c>
      <c r="G61" s="1785">
        <v>0</v>
      </c>
      <c r="H61" s="1785">
        <v>0</v>
      </c>
      <c r="I61" s="1785">
        <v>0</v>
      </c>
      <c r="J61" s="1785">
        <v>0</v>
      </c>
      <c r="K61" s="1785">
        <v>0</v>
      </c>
      <c r="L61" s="1785">
        <v>0</v>
      </c>
      <c r="M61" s="1785">
        <v>0</v>
      </c>
    </row>
    <row r="62" spans="2:17" hidden="1" outlineLevel="1" x14ac:dyDescent="0.25">
      <c r="C62" s="1694" t="s">
        <v>177</v>
      </c>
      <c r="E62" s="1694" t="s">
        <v>176</v>
      </c>
      <c r="F62" s="1785">
        <v>0</v>
      </c>
      <c r="G62" s="1785">
        <v>0</v>
      </c>
      <c r="H62" s="1785">
        <v>0</v>
      </c>
      <c r="I62" s="1785">
        <v>0</v>
      </c>
      <c r="J62" s="1785">
        <v>0</v>
      </c>
      <c r="K62" s="1785">
        <v>0</v>
      </c>
      <c r="L62" s="1785">
        <v>0</v>
      </c>
      <c r="M62" s="1785">
        <v>0</v>
      </c>
    </row>
    <row r="63" spans="2:17" hidden="1" outlineLevel="1" x14ac:dyDescent="0.25">
      <c r="C63" s="1694" t="s">
        <v>178</v>
      </c>
      <c r="E63" s="1694" t="s">
        <v>176</v>
      </c>
      <c r="F63" s="1785">
        <v>0</v>
      </c>
      <c r="G63" s="1785">
        <v>0</v>
      </c>
      <c r="H63" s="1785">
        <v>0</v>
      </c>
      <c r="I63" s="1785">
        <v>0</v>
      </c>
      <c r="J63" s="1785">
        <v>0</v>
      </c>
      <c r="K63" s="1785">
        <v>0</v>
      </c>
      <c r="L63" s="1785">
        <v>0</v>
      </c>
      <c r="M63" s="1785">
        <v>0</v>
      </c>
    </row>
    <row r="64" spans="2:17" collapsed="1" x14ac:dyDescent="0.25"/>
    <row r="65" spans="1:17" ht="15.75" x14ac:dyDescent="0.25">
      <c r="B65" s="1698" t="s">
        <v>181</v>
      </c>
      <c r="C65" s="1699"/>
      <c r="D65" s="1699"/>
      <c r="E65" s="1699"/>
      <c r="F65" s="1699"/>
      <c r="G65" s="1699"/>
      <c r="H65" s="1699"/>
      <c r="I65" s="1699"/>
      <c r="J65" s="1699"/>
      <c r="K65" s="1699"/>
      <c r="L65" s="1699"/>
      <c r="M65" s="1699"/>
      <c r="N65" s="1824"/>
      <c r="Q65" s="1823"/>
    </row>
    <row r="66" spans="1:17" x14ac:dyDescent="0.25">
      <c r="B66" s="1700"/>
      <c r="C66" s="1701"/>
      <c r="D66" s="1701"/>
      <c r="E66" s="1701"/>
      <c r="F66" s="1701"/>
      <c r="G66" s="1701"/>
      <c r="H66" s="1701"/>
      <c r="I66" s="1701"/>
      <c r="J66" s="1701"/>
      <c r="K66" s="1701"/>
      <c r="L66" s="1701"/>
      <c r="M66" s="1701"/>
      <c r="N66" s="1825"/>
      <c r="Q66" s="1823"/>
    </row>
    <row r="67" spans="1:17" x14ac:dyDescent="0.25">
      <c r="B67" s="1700"/>
      <c r="C67" s="1786" t="s">
        <v>241</v>
      </c>
      <c r="D67" s="1701"/>
      <c r="E67" s="1787"/>
      <c r="F67" s="1701"/>
      <c r="G67" s="1701"/>
      <c r="H67" s="1701"/>
      <c r="I67" s="1701"/>
      <c r="J67" s="1701"/>
      <c r="K67" s="1701"/>
      <c r="L67" s="1701"/>
      <c r="M67" s="1787" t="s">
        <v>171</v>
      </c>
      <c r="N67" s="1825"/>
      <c r="Q67" s="1823"/>
    </row>
    <row r="68" spans="1:17" x14ac:dyDescent="0.25">
      <c r="B68" s="1700"/>
      <c r="C68" s="1701"/>
      <c r="D68" s="1701"/>
      <c r="E68" s="1701"/>
      <c r="F68" s="1701"/>
      <c r="G68" s="1701"/>
      <c r="H68" s="1701"/>
      <c r="I68" s="1701"/>
      <c r="J68" s="1701"/>
      <c r="K68" s="1701"/>
      <c r="L68" s="1701"/>
      <c r="M68" s="1701"/>
      <c r="N68" s="1825"/>
      <c r="Q68" s="1823"/>
    </row>
    <row r="69" spans="1:17" ht="23.25" x14ac:dyDescent="0.35">
      <c r="A69" s="1697"/>
      <c r="B69" s="1702"/>
      <c r="C69" s="1945" t="s">
        <v>146</v>
      </c>
      <c r="D69" s="1946" t="s">
        <v>242</v>
      </c>
      <c r="E69" s="1946" t="s">
        <v>8</v>
      </c>
      <c r="F69" s="1946" t="s">
        <v>16</v>
      </c>
      <c r="G69" s="1946" t="s">
        <v>17</v>
      </c>
      <c r="H69" s="1946" t="s">
        <v>18</v>
      </c>
      <c r="I69" s="1946" t="s">
        <v>19</v>
      </c>
      <c r="J69" s="1946" t="s">
        <v>20</v>
      </c>
      <c r="K69" s="1946" t="s">
        <v>21</v>
      </c>
      <c r="L69" s="1946" t="s">
        <v>22</v>
      </c>
      <c r="M69" s="1947" t="s">
        <v>23</v>
      </c>
      <c r="N69" s="1825"/>
      <c r="Q69" s="1823"/>
    </row>
    <row r="70" spans="1:17" ht="15.75" x14ac:dyDescent="0.25">
      <c r="B70" s="1702"/>
      <c r="C70" s="1788" t="s">
        <v>150</v>
      </c>
      <c r="D70" s="754" t="str">
        <f>INDEX(Vectors[Descripción], MATCH(C70,Vectors[Código],FALSE))</f>
        <v>Electricidad (suministrada a la red)</v>
      </c>
      <c r="E70" s="2597" t="s">
        <v>171</v>
      </c>
      <c r="F70" s="1790">
        <f t="shared" ref="F70:M70" si="0">F40/1000</f>
        <v>3.4389010267325154E-3</v>
      </c>
      <c r="G70" s="1790">
        <f t="shared" si="0"/>
        <v>4.2392356044495443E-3</v>
      </c>
      <c r="H70" s="1790">
        <f t="shared" si="0"/>
        <v>4.9529130700314613E-3</v>
      </c>
      <c r="I70" s="1790">
        <f t="shared" si="0"/>
        <v>5.6121819002050294E-3</v>
      </c>
      <c r="J70" s="1790">
        <f t="shared" si="0"/>
        <v>6.2600763354361899E-3</v>
      </c>
      <c r="K70" s="1790">
        <f t="shared" si="0"/>
        <v>6.9065998236423074E-3</v>
      </c>
      <c r="L70" s="1790">
        <f t="shared" si="0"/>
        <v>7.4835421882092018E-3</v>
      </c>
      <c r="M70" s="1790">
        <f t="shared" si="0"/>
        <v>8.0416559644615384E-3</v>
      </c>
      <c r="N70" s="1825"/>
      <c r="Q70" s="1823"/>
    </row>
    <row r="71" spans="1:17" ht="15.75" x14ac:dyDescent="0.25">
      <c r="B71" s="1702"/>
      <c r="C71" s="2611" t="s">
        <v>457</v>
      </c>
      <c r="D71" s="754" t="str">
        <f>INDEX(Vectors[Descripción], MATCH(C71,Vectors[Código],FALSE))</f>
        <v>Residuos</v>
      </c>
      <c r="E71" s="1788"/>
      <c r="F71" s="1826">
        <f t="shared" ref="F71:M71" si="1">-F40/1000</f>
        <v>-3.4389010267325154E-3</v>
      </c>
      <c r="G71" s="1826">
        <f t="shared" si="1"/>
        <v>-4.2392356044495443E-3</v>
      </c>
      <c r="H71" s="1826">
        <f t="shared" si="1"/>
        <v>-4.9529130700314613E-3</v>
      </c>
      <c r="I71" s="1826">
        <f t="shared" si="1"/>
        <v>-5.6121819002050294E-3</v>
      </c>
      <c r="J71" s="1826">
        <f t="shared" si="1"/>
        <v>-6.2600763354361899E-3</v>
      </c>
      <c r="K71" s="1826">
        <f t="shared" si="1"/>
        <v>-6.9065998236423074E-3</v>
      </c>
      <c r="L71" s="1826">
        <f t="shared" si="1"/>
        <v>-7.4835421882092018E-3</v>
      </c>
      <c r="M71" s="1826">
        <f t="shared" si="1"/>
        <v>-8.0416559644615384E-3</v>
      </c>
      <c r="N71" s="1825"/>
      <c r="Q71" s="1823"/>
    </row>
    <row r="72" spans="1:17" ht="15.75" x14ac:dyDescent="0.25">
      <c r="B72" s="1702"/>
      <c r="C72" s="2612" t="s">
        <v>118</v>
      </c>
      <c r="D72" s="2612"/>
      <c r="E72" s="2612"/>
      <c r="F72" s="2613">
        <f>SUBTOTAL(109,V.b.Outputs[2015])</f>
        <v>0</v>
      </c>
      <c r="G72" s="2613">
        <f>SUBTOTAL(109,V.b.Outputs[2020])</f>
        <v>0</v>
      </c>
      <c r="H72" s="2613">
        <f>SUBTOTAL(109,V.b.Outputs[2025])</f>
        <v>0</v>
      </c>
      <c r="I72" s="2613">
        <f>SUBTOTAL(109,V.b.Outputs[2030])</f>
        <v>0</v>
      </c>
      <c r="J72" s="2613">
        <f>SUBTOTAL(109,V.b.Outputs[2035])</f>
        <v>0</v>
      </c>
      <c r="K72" s="2613">
        <f>SUBTOTAL(109,V.b.Outputs[2040])</f>
        <v>0</v>
      </c>
      <c r="L72" s="2613">
        <f>SUBTOTAL(109,V.b.Outputs[2045])</f>
        <v>0</v>
      </c>
      <c r="M72" s="2613">
        <f>SUBTOTAL(109,V.b.Outputs[2050])</f>
        <v>0</v>
      </c>
      <c r="N72" s="1825"/>
      <c r="Q72" s="1823"/>
    </row>
    <row r="73" spans="1:17" ht="15.75" x14ac:dyDescent="0.25">
      <c r="A73" s="1827"/>
      <c r="B73" s="1792"/>
      <c r="C73" s="1793"/>
      <c r="D73" s="1793"/>
      <c r="E73" s="1793"/>
      <c r="F73" s="1793"/>
      <c r="G73" s="1793"/>
      <c r="H73" s="1793"/>
      <c r="I73" s="1793"/>
      <c r="J73" s="1793"/>
      <c r="K73" s="1793"/>
      <c r="L73" s="1793"/>
      <c r="M73" s="1793"/>
      <c r="N73" s="1828"/>
    </row>
    <row r="74" spans="1:17" ht="15.75" x14ac:dyDescent="0.25">
      <c r="A74" s="1827"/>
    </row>
    <row r="75" spans="1:17" ht="15.75" hidden="1" outlineLevel="1" x14ac:dyDescent="0.25">
      <c r="A75" s="1827"/>
      <c r="B75" s="1794" t="s">
        <v>244</v>
      </c>
      <c r="C75" s="1795"/>
      <c r="D75" s="1796"/>
      <c r="E75" s="1796"/>
      <c r="F75" s="1796"/>
      <c r="G75" s="1796"/>
      <c r="H75" s="1796"/>
      <c r="I75" s="1796"/>
      <c r="J75" s="1796"/>
      <c r="K75" s="1796"/>
      <c r="L75" s="1796"/>
      <c r="M75" s="1796"/>
      <c r="N75" s="1829"/>
    </row>
    <row r="76" spans="1:17" ht="15.75" hidden="1" outlineLevel="1" x14ac:dyDescent="0.25">
      <c r="A76" s="1827"/>
      <c r="B76" s="1797"/>
      <c r="C76" s="1798"/>
      <c r="D76" s="1798"/>
      <c r="E76" s="1798"/>
      <c r="F76" s="1798"/>
      <c r="G76" s="1798"/>
      <c r="H76" s="1798"/>
      <c r="I76" s="1798"/>
      <c r="J76" s="1798"/>
      <c r="K76" s="1798"/>
      <c r="L76" s="1798"/>
      <c r="M76" s="1798"/>
      <c r="N76" s="1830"/>
    </row>
    <row r="77" spans="1:17" ht="15.75" hidden="1" outlineLevel="1" x14ac:dyDescent="0.25">
      <c r="A77" s="1827"/>
      <c r="B77" s="1799"/>
      <c r="C77" s="1800" t="s">
        <v>861</v>
      </c>
      <c r="D77" s="1801"/>
      <c r="E77" s="1802"/>
      <c r="F77" s="1801"/>
      <c r="G77" s="1801"/>
      <c r="H77" s="1801"/>
      <c r="I77" s="1801"/>
      <c r="J77" s="1801"/>
      <c r="K77" s="1801"/>
      <c r="L77" s="1801"/>
      <c r="M77" s="1802"/>
      <c r="N77" s="1831"/>
    </row>
    <row r="78" spans="1:17" hidden="1" outlineLevel="1" x14ac:dyDescent="0.25">
      <c r="B78" s="1799"/>
      <c r="C78" s="1801"/>
      <c r="D78" s="1801"/>
      <c r="E78" s="1801"/>
      <c r="F78" s="1801"/>
      <c r="G78" s="1801"/>
      <c r="H78" s="1801"/>
      <c r="I78" s="1801"/>
      <c r="J78" s="1801"/>
      <c r="K78" s="1801"/>
      <c r="L78" s="1801"/>
      <c r="M78" s="1801"/>
      <c r="N78" s="1831"/>
    </row>
    <row r="79" spans="1:17" ht="15.75" hidden="1" outlineLevel="1" x14ac:dyDescent="0.25">
      <c r="B79" s="1803"/>
      <c r="C79" s="1804" t="s">
        <v>146</v>
      </c>
      <c r="D79" s="1804" t="s">
        <v>310</v>
      </c>
      <c r="E79" s="1804" t="s">
        <v>8</v>
      </c>
      <c r="F79" s="1804" t="s">
        <v>16</v>
      </c>
      <c r="G79" s="1804" t="s">
        <v>17</v>
      </c>
      <c r="H79" s="1804" t="s">
        <v>18</v>
      </c>
      <c r="I79" s="1804" t="s">
        <v>19</v>
      </c>
      <c r="J79" s="1804" t="s">
        <v>20</v>
      </c>
      <c r="K79" s="1804" t="s">
        <v>21</v>
      </c>
      <c r="L79" s="1804" t="s">
        <v>22</v>
      </c>
      <c r="M79" s="1804" t="s">
        <v>23</v>
      </c>
      <c r="N79" s="1831"/>
    </row>
    <row r="80" spans="1:17" ht="15.75" hidden="1" outlineLevel="1" x14ac:dyDescent="0.25">
      <c r="B80" s="1803"/>
      <c r="C80" s="1805"/>
      <c r="D80" s="1805"/>
      <c r="E80" s="1806"/>
      <c r="F80" s="1832"/>
      <c r="G80" s="1832"/>
      <c r="H80" s="1832"/>
      <c r="I80" s="1832"/>
      <c r="J80" s="1832"/>
      <c r="K80" s="1832"/>
      <c r="L80" s="1832"/>
      <c r="M80" s="1832"/>
      <c r="N80" s="1831"/>
    </row>
    <row r="81" spans="2:17" ht="15.75" hidden="1" outlineLevel="1" x14ac:dyDescent="0.25">
      <c r="B81" s="1803"/>
      <c r="C81" s="1805"/>
      <c r="D81" s="1806"/>
      <c r="E81" s="1806"/>
      <c r="F81" s="1832"/>
      <c r="G81" s="1832"/>
      <c r="H81" s="1832"/>
      <c r="I81" s="1832"/>
      <c r="J81" s="1832"/>
      <c r="K81" s="1832"/>
      <c r="L81" s="1832"/>
      <c r="M81" s="1832"/>
      <c r="N81" s="1831"/>
    </row>
    <row r="82" spans="2:17" ht="15.75" hidden="1" outlineLevel="1" x14ac:dyDescent="0.25">
      <c r="B82" s="1803"/>
      <c r="C82" s="1805"/>
      <c r="D82" s="1806"/>
      <c r="E82" s="1805"/>
      <c r="F82" s="1833"/>
      <c r="G82" s="1833"/>
      <c r="H82" s="1833"/>
      <c r="I82" s="1833"/>
      <c r="J82" s="1833"/>
      <c r="K82" s="1833"/>
      <c r="L82" s="1833"/>
      <c r="M82" s="1833"/>
      <c r="N82" s="1831"/>
    </row>
    <row r="83" spans="2:17" ht="15.75" hidden="1" outlineLevel="1" x14ac:dyDescent="0.25">
      <c r="B83" s="1807"/>
      <c r="C83" s="1808"/>
      <c r="D83" s="1808"/>
      <c r="E83" s="1808"/>
      <c r="F83" s="1808"/>
      <c r="G83" s="1808"/>
      <c r="H83" s="1808"/>
      <c r="I83" s="1808"/>
      <c r="J83" s="1808"/>
      <c r="K83" s="1808"/>
      <c r="L83" s="1808"/>
      <c r="M83" s="1808"/>
      <c r="N83" s="1834"/>
    </row>
    <row r="84" spans="2:17" collapsed="1" x14ac:dyDescent="0.25"/>
    <row r="85" spans="2:17" ht="15.75" hidden="1" outlineLevel="1" x14ac:dyDescent="0.25">
      <c r="B85" s="1794" t="s">
        <v>192</v>
      </c>
      <c r="C85" s="1796"/>
      <c r="D85" s="1796"/>
      <c r="E85" s="1796"/>
      <c r="F85" s="1796"/>
      <c r="G85" s="1796"/>
      <c r="H85" s="1796"/>
      <c r="I85" s="1796"/>
      <c r="J85" s="1796"/>
      <c r="K85" s="1796"/>
      <c r="L85" s="1796"/>
      <c r="M85" s="1796"/>
      <c r="N85" s="1796"/>
      <c r="Q85" s="1819"/>
    </row>
    <row r="86" spans="2:17" hidden="1" outlineLevel="1" x14ac:dyDescent="0.25">
      <c r="B86" s="1799"/>
      <c r="C86" s="1801"/>
      <c r="D86" s="1801"/>
      <c r="E86" s="1801"/>
      <c r="F86" s="1801"/>
      <c r="G86" s="1801"/>
      <c r="H86" s="1801"/>
      <c r="I86" s="1801"/>
      <c r="J86" s="1801"/>
      <c r="K86" s="1801"/>
      <c r="L86" s="1801"/>
      <c r="M86" s="1801"/>
      <c r="N86" s="1801"/>
      <c r="Q86" s="1817"/>
    </row>
    <row r="87" spans="2:17" hidden="1" outlineLevel="1" x14ac:dyDescent="0.25">
      <c r="B87" s="1799"/>
      <c r="C87" s="1809" t="s">
        <v>193</v>
      </c>
      <c r="D87" s="1810"/>
      <c r="E87" s="1810"/>
      <c r="F87" s="1810"/>
      <c r="G87" s="1810"/>
      <c r="H87" s="1810"/>
      <c r="I87" s="1810"/>
      <c r="J87" s="1810"/>
      <c r="K87" s="1810"/>
      <c r="L87" s="1810"/>
      <c r="M87" s="1811" t="s">
        <v>176</v>
      </c>
      <c r="N87" s="1801"/>
      <c r="Q87" s="1817"/>
    </row>
    <row r="88" spans="2:17" hidden="1" outlineLevel="1" x14ac:dyDescent="0.25">
      <c r="B88" s="1799"/>
      <c r="C88" s="1801"/>
      <c r="D88" s="1801"/>
      <c r="E88" s="1801"/>
      <c r="F88" s="1801"/>
      <c r="G88" s="1801"/>
      <c r="H88" s="1801"/>
      <c r="I88" s="1801"/>
      <c r="J88" s="1801"/>
      <c r="K88" s="1801"/>
      <c r="L88" s="1801"/>
      <c r="M88" s="1801"/>
      <c r="N88" s="1801"/>
      <c r="Q88" s="1817"/>
    </row>
    <row r="89" spans="2:17" ht="15.75" hidden="1" outlineLevel="1" x14ac:dyDescent="0.25">
      <c r="B89" s="1803"/>
      <c r="C89" s="1804" t="s">
        <v>146</v>
      </c>
      <c r="D89" s="1804" t="s">
        <v>147</v>
      </c>
      <c r="E89" s="1804" t="s">
        <v>148</v>
      </c>
      <c r="F89" s="1804" t="s">
        <v>16</v>
      </c>
      <c r="G89" s="1804" t="s">
        <v>17</v>
      </c>
      <c r="H89" s="1804" t="s">
        <v>18</v>
      </c>
      <c r="I89" s="1804" t="s">
        <v>19</v>
      </c>
      <c r="J89" s="1804" t="s">
        <v>20</v>
      </c>
      <c r="K89" s="1804" t="s">
        <v>21</v>
      </c>
      <c r="L89" s="1804" t="s">
        <v>22</v>
      </c>
      <c r="M89" s="1804" t="s">
        <v>23</v>
      </c>
      <c r="N89" s="1835"/>
      <c r="Q89" s="1836"/>
    </row>
    <row r="90" spans="2:17" ht="15.75" hidden="1" outlineLevel="1" x14ac:dyDescent="0.25">
      <c r="B90" s="1803"/>
      <c r="C90" s="1805" t="s">
        <v>202</v>
      </c>
      <c r="D90" s="1806" t="s">
        <v>203</v>
      </c>
      <c r="E90" s="1806"/>
      <c r="F90" s="1812">
        <v>0</v>
      </c>
      <c r="G90" s="1812">
        <v>0</v>
      </c>
      <c r="H90" s="1812">
        <v>0</v>
      </c>
      <c r="I90" s="1812">
        <v>0</v>
      </c>
      <c r="J90" s="1812">
        <v>0</v>
      </c>
      <c r="K90" s="1812">
        <v>0</v>
      </c>
      <c r="L90" s="1812">
        <v>0</v>
      </c>
      <c r="M90" s="1812">
        <v>0</v>
      </c>
      <c r="N90" s="1835"/>
      <c r="Q90" s="1836"/>
    </row>
    <row r="91" spans="2:17" ht="15.75" hidden="1" outlineLevel="1" x14ac:dyDescent="0.25">
      <c r="B91" s="1803"/>
      <c r="C91" s="1805" t="s">
        <v>204</v>
      </c>
      <c r="D91" s="1806" t="s">
        <v>205</v>
      </c>
      <c r="E91" s="1806"/>
      <c r="F91" s="1812">
        <v>0</v>
      </c>
      <c r="G91" s="1812">
        <v>0</v>
      </c>
      <c r="H91" s="1812">
        <v>0</v>
      </c>
      <c r="I91" s="1812">
        <v>0</v>
      </c>
      <c r="J91" s="1812">
        <v>0</v>
      </c>
      <c r="K91" s="1812">
        <v>0</v>
      </c>
      <c r="L91" s="1812">
        <v>0</v>
      </c>
      <c r="M91" s="1812">
        <v>0</v>
      </c>
      <c r="N91" s="1835"/>
      <c r="Q91" s="1836"/>
    </row>
    <row r="92" spans="2:17" ht="15.75" hidden="1" outlineLevel="1" x14ac:dyDescent="0.25">
      <c r="B92" s="1803"/>
      <c r="C92" s="1805" t="s">
        <v>198</v>
      </c>
      <c r="D92" s="1806" t="s">
        <v>199</v>
      </c>
      <c r="E92" s="1806"/>
      <c r="F92" s="1812">
        <v>0</v>
      </c>
      <c r="G92" s="1812">
        <v>0</v>
      </c>
      <c r="H92" s="1812">
        <v>0</v>
      </c>
      <c r="I92" s="1812">
        <v>0</v>
      </c>
      <c r="J92" s="1812">
        <v>0</v>
      </c>
      <c r="K92" s="1812">
        <v>0</v>
      </c>
      <c r="L92" s="1812">
        <v>0</v>
      </c>
      <c r="M92" s="1812">
        <v>0</v>
      </c>
      <c r="N92" s="1835"/>
      <c r="Q92" s="1836"/>
    </row>
    <row r="93" spans="2:17" ht="15.75" hidden="1" outlineLevel="1" x14ac:dyDescent="0.25">
      <c r="B93" s="1813"/>
      <c r="C93" s="1805" t="s">
        <v>200</v>
      </c>
      <c r="D93" s="1806" t="s">
        <v>201</v>
      </c>
      <c r="E93" s="1806"/>
      <c r="F93" s="1812">
        <v>0</v>
      </c>
      <c r="G93" s="1812">
        <v>0</v>
      </c>
      <c r="H93" s="1812">
        <v>0</v>
      </c>
      <c r="I93" s="1812">
        <v>0</v>
      </c>
      <c r="J93" s="1812">
        <v>0</v>
      </c>
      <c r="K93" s="1812">
        <v>0</v>
      </c>
      <c r="L93" s="1812">
        <v>0</v>
      </c>
      <c r="M93" s="1812">
        <v>0</v>
      </c>
      <c r="N93" s="1837"/>
      <c r="Q93" s="1836"/>
    </row>
    <row r="94" spans="2:17" hidden="1" outlineLevel="1" x14ac:dyDescent="0.25">
      <c r="B94" s="1813"/>
      <c r="C94" s="1805" t="s">
        <v>194</v>
      </c>
      <c r="D94" s="1806" t="s">
        <v>195</v>
      </c>
      <c r="E94" s="1806"/>
      <c r="F94" s="1812">
        <v>0</v>
      </c>
      <c r="G94" s="1812">
        <v>0</v>
      </c>
      <c r="H94" s="1812">
        <v>0</v>
      </c>
      <c r="I94" s="1812">
        <v>0</v>
      </c>
      <c r="J94" s="1812">
        <v>0</v>
      </c>
      <c r="K94" s="1812">
        <v>0</v>
      </c>
      <c r="L94" s="1812">
        <v>0</v>
      </c>
      <c r="M94" s="1812">
        <v>0</v>
      </c>
      <c r="N94" s="1837"/>
      <c r="Q94" s="1838"/>
    </row>
    <row r="95" spans="2:17" hidden="1" outlineLevel="1" x14ac:dyDescent="0.25">
      <c r="B95" s="1813"/>
      <c r="C95" s="1805" t="s">
        <v>196</v>
      </c>
      <c r="D95" s="1806" t="s">
        <v>195</v>
      </c>
      <c r="E95" s="1806"/>
      <c r="F95" s="1812"/>
      <c r="G95" s="1812"/>
      <c r="H95" s="1812"/>
      <c r="I95" s="1812"/>
      <c r="J95" s="1812"/>
      <c r="K95" s="1812"/>
      <c r="L95" s="1812"/>
      <c r="M95" s="1812"/>
      <c r="N95" s="1837"/>
      <c r="Q95" s="1838"/>
    </row>
    <row r="96" spans="2:17" hidden="1" outlineLevel="1" x14ac:dyDescent="0.25">
      <c r="B96" s="1814"/>
      <c r="C96" s="1808"/>
      <c r="D96" s="1808"/>
      <c r="E96" s="1808"/>
      <c r="F96" s="1808"/>
      <c r="G96" s="1808"/>
      <c r="H96" s="1808"/>
      <c r="I96" s="1808"/>
      <c r="J96" s="1808"/>
      <c r="K96" s="1808"/>
      <c r="L96" s="1808"/>
      <c r="M96" s="1808"/>
      <c r="N96" s="1839"/>
      <c r="Q96" s="1838"/>
    </row>
    <row r="97" spans="2:17" collapsed="1" x14ac:dyDescent="0.25">
      <c r="Q97" s="1817"/>
    </row>
    <row r="100" spans="2:17" ht="15.75" x14ac:dyDescent="0.25">
      <c r="B100" s="701" t="s">
        <v>434</v>
      </c>
      <c r="C100" s="704"/>
      <c r="D100" s="705"/>
      <c r="E100" s="705"/>
      <c r="F100" s="705"/>
      <c r="G100" s="705"/>
      <c r="H100" s="705"/>
      <c r="I100" s="705"/>
      <c r="J100" s="705"/>
      <c r="K100" s="705"/>
      <c r="L100" s="705"/>
      <c r="M100" s="705"/>
      <c r="N100" s="702"/>
    </row>
    <row r="101" spans="2:17" x14ac:dyDescent="0.25">
      <c r="B101" s="703"/>
      <c r="C101" s="708"/>
      <c r="D101" s="708"/>
      <c r="E101" s="708"/>
      <c r="F101" s="708"/>
      <c r="G101" s="708"/>
      <c r="H101" s="708"/>
      <c r="I101" s="708"/>
      <c r="J101" s="708"/>
      <c r="K101" s="708"/>
      <c r="L101" s="708"/>
      <c r="M101" s="708"/>
      <c r="N101" s="706"/>
    </row>
    <row r="102" spans="2:17" x14ac:dyDescent="0.25">
      <c r="B102" s="707"/>
      <c r="C102" s="710" t="s">
        <v>394</v>
      </c>
      <c r="D102" s="711"/>
      <c r="E102" s="712"/>
      <c r="F102" s="711"/>
      <c r="G102" s="712"/>
      <c r="H102" s="711"/>
      <c r="I102" s="711"/>
      <c r="J102" s="711"/>
      <c r="K102" s="711"/>
      <c r="L102" s="711"/>
      <c r="M102" s="713" t="s">
        <v>395</v>
      </c>
      <c r="N102" s="709"/>
    </row>
    <row r="103" spans="2:17" x14ac:dyDescent="0.25">
      <c r="B103" s="707"/>
      <c r="C103" s="711"/>
      <c r="D103" s="711"/>
      <c r="E103" s="711"/>
      <c r="F103" s="711"/>
      <c r="G103" s="711"/>
      <c r="H103" s="711"/>
      <c r="I103" s="711"/>
      <c r="J103" s="711"/>
      <c r="K103" s="711"/>
      <c r="L103" s="711"/>
      <c r="M103" s="711"/>
      <c r="N103" s="709"/>
    </row>
    <row r="104" spans="2:17" ht="15.75" x14ac:dyDescent="0.25">
      <c r="B104" s="714"/>
      <c r="C104" s="715" t="s">
        <v>396</v>
      </c>
      <c r="D104" s="715" t="s">
        <v>397</v>
      </c>
      <c r="E104" s="715" t="s">
        <v>148</v>
      </c>
      <c r="F104" s="716">
        <v>2015</v>
      </c>
      <c r="G104" s="716">
        <v>2020</v>
      </c>
      <c r="H104" s="716" t="s">
        <v>18</v>
      </c>
      <c r="I104" s="716" t="s">
        <v>19</v>
      </c>
      <c r="J104" s="716" t="s">
        <v>20</v>
      </c>
      <c r="K104" s="716" t="s">
        <v>21</v>
      </c>
      <c r="L104" s="716" t="s">
        <v>22</v>
      </c>
      <c r="M104" s="716" t="s">
        <v>23</v>
      </c>
      <c r="N104" s="709"/>
    </row>
    <row r="105" spans="2:17" ht="15.75" hidden="1" outlineLevel="1" x14ac:dyDescent="0.25">
      <c r="B105" s="714"/>
      <c r="C105" s="717" t="s">
        <v>398</v>
      </c>
      <c r="D105" s="718" t="s">
        <v>399</v>
      </c>
      <c r="E105" s="717"/>
      <c r="F105" s="719">
        <f>F51</f>
        <v>0</v>
      </c>
      <c r="G105" s="719">
        <f t="shared" ref="G105:M107" si="2">G51</f>
        <v>0</v>
      </c>
      <c r="H105" s="719">
        <f t="shared" si="2"/>
        <v>0</v>
      </c>
      <c r="I105" s="719">
        <f t="shared" si="2"/>
        <v>0</v>
      </c>
      <c r="J105" s="719">
        <f t="shared" si="2"/>
        <v>0</v>
      </c>
      <c r="K105" s="719">
        <f t="shared" si="2"/>
        <v>0</v>
      </c>
      <c r="L105" s="719">
        <f t="shared" si="2"/>
        <v>0</v>
      </c>
      <c r="M105" s="719">
        <f t="shared" si="2"/>
        <v>0</v>
      </c>
      <c r="N105" s="709"/>
    </row>
    <row r="106" spans="2:17" ht="15.75" hidden="1" outlineLevel="1" x14ac:dyDescent="0.25">
      <c r="B106" s="714"/>
      <c r="C106" s="717" t="s">
        <v>400</v>
      </c>
      <c r="D106" s="718" t="s">
        <v>399</v>
      </c>
      <c r="E106" s="717"/>
      <c r="F106" s="719">
        <f>F52</f>
        <v>0</v>
      </c>
      <c r="G106" s="719">
        <f t="shared" si="2"/>
        <v>0</v>
      </c>
      <c r="H106" s="719">
        <f t="shared" si="2"/>
        <v>0</v>
      </c>
      <c r="I106" s="719">
        <f t="shared" si="2"/>
        <v>0</v>
      </c>
      <c r="J106" s="719">
        <f t="shared" si="2"/>
        <v>0</v>
      </c>
      <c r="K106" s="719">
        <f t="shared" si="2"/>
        <v>0</v>
      </c>
      <c r="L106" s="719">
        <f t="shared" si="2"/>
        <v>0</v>
      </c>
      <c r="M106" s="719">
        <f t="shared" si="2"/>
        <v>0</v>
      </c>
      <c r="N106" s="709"/>
    </row>
    <row r="107" spans="2:17" ht="15.75" hidden="1" outlineLevel="1" x14ac:dyDescent="0.25">
      <c r="B107" s="714"/>
      <c r="C107" s="717" t="s">
        <v>401</v>
      </c>
      <c r="D107" s="718" t="s">
        <v>399</v>
      </c>
      <c r="E107" s="717"/>
      <c r="F107" s="719">
        <f>F53</f>
        <v>0</v>
      </c>
      <c r="G107" s="719">
        <f t="shared" si="2"/>
        <v>0</v>
      </c>
      <c r="H107" s="719">
        <f t="shared" si="2"/>
        <v>0</v>
      </c>
      <c r="I107" s="719">
        <f t="shared" si="2"/>
        <v>0</v>
      </c>
      <c r="J107" s="719">
        <f t="shared" si="2"/>
        <v>0</v>
      </c>
      <c r="K107" s="719">
        <f t="shared" si="2"/>
        <v>0</v>
      </c>
      <c r="L107" s="719">
        <f t="shared" si="2"/>
        <v>0</v>
      </c>
      <c r="M107" s="719">
        <f t="shared" si="2"/>
        <v>0</v>
      </c>
      <c r="N107" s="709"/>
    </row>
    <row r="108" spans="2:17" ht="15.75" collapsed="1" x14ac:dyDescent="0.25">
      <c r="B108" s="714"/>
      <c r="C108" s="717" t="s">
        <v>118</v>
      </c>
      <c r="D108" s="717"/>
      <c r="E108" s="717"/>
      <c r="F108" s="721">
        <f>F43</f>
        <v>12.816572783657763</v>
      </c>
      <c r="G108" s="721">
        <f t="shared" ref="G108:M108" si="3">G43</f>
        <v>12.78736097645349</v>
      </c>
      <c r="H108" s="721">
        <f t="shared" si="3"/>
        <v>12.778526133715729</v>
      </c>
      <c r="I108" s="721">
        <f t="shared" si="3"/>
        <v>12.913262357995444</v>
      </c>
      <c r="J108" s="721">
        <f t="shared" si="3"/>
        <v>13.100772485088362</v>
      </c>
      <c r="K108" s="721">
        <f t="shared" si="3"/>
        <v>13.309006434440434</v>
      </c>
      <c r="L108" s="721">
        <f t="shared" si="3"/>
        <v>13.522309091729012</v>
      </c>
      <c r="M108" s="721">
        <f t="shared" si="3"/>
        <v>13.732410206521122</v>
      </c>
      <c r="N108" s="709"/>
    </row>
    <row r="109" spans="2:17" x14ac:dyDescent="0.25">
      <c r="B109" s="720"/>
      <c r="C109" s="720"/>
      <c r="D109" s="720"/>
      <c r="E109" s="720"/>
      <c r="F109" s="720"/>
      <c r="G109" s="720"/>
      <c r="H109" s="720"/>
      <c r="I109" s="720"/>
      <c r="J109" s="720"/>
      <c r="K109" s="720"/>
      <c r="L109" s="720"/>
      <c r="M109" s="720"/>
      <c r="N109" s="720"/>
    </row>
  </sheetData>
  <pageMargins left="0.7" right="0.7" top="0.75" bottom="0.75" header="0.3" footer="0.3"/>
  <ignoredErrors>
    <ignoredError sqref="F70:M71" calculatedColumn="1"/>
    <ignoredError sqref="H104:M104" numberStoredAsText="1"/>
  </ignoredErrors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AH1772"/>
  <sheetViews>
    <sheetView topLeftCell="E1" zoomScale="85" zoomScaleNormal="85" workbookViewId="0">
      <selection activeCell="M176" sqref="M176"/>
    </sheetView>
  </sheetViews>
  <sheetFormatPr baseColWidth="10" defaultColWidth="11.42578125" defaultRowHeight="15" outlineLevelRow="2" x14ac:dyDescent="0.25"/>
  <cols>
    <col min="1" max="1" width="8.28515625" style="751" customWidth="1"/>
    <col min="2" max="2" width="23.85546875" style="751" customWidth="1"/>
    <col min="3" max="3" width="22.28515625" style="751" customWidth="1"/>
    <col min="4" max="4" width="80.7109375" style="751" customWidth="1"/>
    <col min="5" max="5" width="28" style="751" customWidth="1"/>
    <col min="6" max="13" width="25.7109375" style="751" customWidth="1"/>
    <col min="14" max="14" width="12.28515625" style="751" bestFit="1" customWidth="1"/>
    <col min="15" max="16" width="11.42578125" style="751"/>
    <col min="17" max="17" width="15.42578125" style="751" bestFit="1" customWidth="1"/>
    <col min="18" max="16384" width="11.42578125" style="751"/>
  </cols>
  <sheetData>
    <row r="1" spans="1:14" ht="21" x14ac:dyDescent="0.35">
      <c r="A1" s="750" t="s">
        <v>478</v>
      </c>
      <c r="B1" s="750" t="s">
        <v>424</v>
      </c>
      <c r="C1" s="750"/>
    </row>
    <row r="2" spans="1:14" ht="21" x14ac:dyDescent="0.35">
      <c r="A2" s="750" t="s">
        <v>86</v>
      </c>
      <c r="B2" s="750" t="str">
        <f>INDEX(Modulos[Modulos], MATCH($A2, Modulos[Código], 0))</f>
        <v>Residencial</v>
      </c>
      <c r="C2" s="750"/>
    </row>
    <row r="3" spans="1:14" x14ac:dyDescent="0.25">
      <c r="F3" s="874"/>
      <c r="G3" s="874"/>
      <c r="H3" s="874"/>
      <c r="I3" s="874"/>
      <c r="J3" s="874"/>
      <c r="K3" s="874"/>
      <c r="L3" s="874"/>
      <c r="M3" s="874"/>
      <c r="N3" s="874"/>
    </row>
    <row r="4" spans="1:14" ht="15.75" x14ac:dyDescent="0.25">
      <c r="B4" s="752" t="s">
        <v>144</v>
      </c>
      <c r="C4" s="753"/>
      <c r="D4" s="753"/>
      <c r="E4" s="753"/>
      <c r="F4" s="753"/>
      <c r="G4" s="753"/>
      <c r="H4" s="753"/>
      <c r="I4" s="753"/>
      <c r="J4" s="753"/>
      <c r="K4" s="753"/>
      <c r="L4" s="753"/>
      <c r="M4" s="753"/>
      <c r="N4" s="753"/>
    </row>
    <row r="5" spans="1:14" x14ac:dyDescent="0.25">
      <c r="B5" s="754"/>
      <c r="C5" s="755"/>
      <c r="D5" s="755"/>
      <c r="E5" s="755"/>
      <c r="F5" s="755"/>
      <c r="G5" s="755"/>
      <c r="H5" s="755"/>
      <c r="I5" s="755"/>
      <c r="J5" s="755"/>
      <c r="K5" s="755"/>
      <c r="L5" s="755"/>
      <c r="M5" s="755"/>
      <c r="N5" s="755"/>
    </row>
    <row r="6" spans="1:14" x14ac:dyDescent="0.25">
      <c r="B6" s="754"/>
      <c r="C6" s="755"/>
      <c r="D6" s="756" t="s">
        <v>2</v>
      </c>
      <c r="E6" s="756" t="s">
        <v>3</v>
      </c>
      <c r="F6" s="755"/>
      <c r="G6" s="755"/>
      <c r="H6" s="755"/>
      <c r="I6" s="755"/>
      <c r="J6" s="755"/>
      <c r="K6" s="755"/>
      <c r="L6" s="755"/>
      <c r="M6" s="755"/>
      <c r="N6" s="755"/>
    </row>
    <row r="7" spans="1:14" ht="18.75" x14ac:dyDescent="0.3">
      <c r="B7" s="754"/>
      <c r="C7" s="2889" t="s">
        <v>1967</v>
      </c>
      <c r="D7" s="894" t="s">
        <v>1901</v>
      </c>
      <c r="E7" s="757">
        <f>Control!F85</f>
        <v>1</v>
      </c>
      <c r="F7" s="3298"/>
      <c r="G7" s="3299"/>
      <c r="H7" s="3299"/>
      <c r="I7" s="3299"/>
      <c r="J7" s="3299"/>
      <c r="K7" s="3299"/>
      <c r="L7" s="3299"/>
      <c r="M7" s="3299"/>
      <c r="N7" s="3299"/>
    </row>
    <row r="8" spans="1:14" ht="18.75" x14ac:dyDescent="0.3">
      <c r="B8" s="754"/>
      <c r="C8" s="2889" t="s">
        <v>1968</v>
      </c>
      <c r="D8" s="894" t="s">
        <v>1902</v>
      </c>
      <c r="E8" s="757">
        <f>Control!F85</f>
        <v>1</v>
      </c>
      <c r="F8" s="3298"/>
      <c r="G8" s="755"/>
      <c r="H8" s="755"/>
      <c r="I8" s="755"/>
      <c r="J8" s="755"/>
      <c r="K8" s="755"/>
      <c r="L8" s="755"/>
      <c r="M8" s="755"/>
      <c r="N8" s="755"/>
    </row>
    <row r="9" spans="1:14" ht="18.75" x14ac:dyDescent="0.3">
      <c r="B9" s="754"/>
      <c r="C9" s="2889" t="s">
        <v>1969</v>
      </c>
      <c r="D9" s="894" t="s">
        <v>1963</v>
      </c>
      <c r="E9" s="757">
        <v>1</v>
      </c>
      <c r="F9" s="3298"/>
      <c r="G9" s="755"/>
      <c r="H9" s="755"/>
      <c r="I9" s="755"/>
      <c r="J9" s="755"/>
      <c r="K9" s="755"/>
      <c r="L9" s="755"/>
      <c r="M9" s="755"/>
      <c r="N9" s="755"/>
    </row>
    <row r="10" spans="1:14" ht="18.75" x14ac:dyDescent="0.3">
      <c r="B10" s="754"/>
      <c r="C10" s="2889" t="s">
        <v>1970</v>
      </c>
      <c r="D10" s="894" t="s">
        <v>1982</v>
      </c>
      <c r="E10" s="757">
        <f>Control!F86</f>
        <v>1</v>
      </c>
      <c r="F10" s="3298"/>
      <c r="G10" s="755"/>
      <c r="H10" s="755"/>
      <c r="I10" s="755"/>
      <c r="J10" s="755"/>
      <c r="K10" s="755"/>
      <c r="L10" s="755"/>
      <c r="M10" s="755"/>
      <c r="N10" s="755"/>
    </row>
    <row r="11" spans="1:14" ht="18.75" x14ac:dyDescent="0.3">
      <c r="B11" s="754"/>
      <c r="C11" s="2889" t="s">
        <v>1971</v>
      </c>
      <c r="D11" s="894" t="s">
        <v>1966</v>
      </c>
      <c r="E11" s="757">
        <v>1</v>
      </c>
      <c r="F11" s="755"/>
      <c r="G11" s="755"/>
      <c r="H11" s="755"/>
      <c r="I11" s="755"/>
      <c r="J11" s="755"/>
      <c r="K11" s="755"/>
      <c r="L11" s="755"/>
      <c r="M11" s="755"/>
      <c r="N11" s="755"/>
    </row>
    <row r="12" spans="1:14" ht="18.75" x14ac:dyDescent="0.3">
      <c r="B12" s="754"/>
      <c r="C12" s="2889" t="s">
        <v>1972</v>
      </c>
      <c r="D12" s="894" t="s">
        <v>2132</v>
      </c>
      <c r="E12" s="757">
        <f>Control!F87</f>
        <v>1</v>
      </c>
      <c r="F12" s="2887"/>
      <c r="G12" s="755"/>
      <c r="H12" s="755"/>
      <c r="I12" s="755"/>
      <c r="J12" s="755"/>
      <c r="K12" s="755"/>
      <c r="L12" s="755"/>
      <c r="M12" s="755"/>
      <c r="N12" s="755"/>
    </row>
    <row r="13" spans="1:14" ht="18.75" x14ac:dyDescent="0.3">
      <c r="B13" s="755"/>
      <c r="C13" s="2889" t="s">
        <v>1973</v>
      </c>
      <c r="D13" s="894" t="s">
        <v>1965</v>
      </c>
      <c r="E13" s="757">
        <f>Control!F87</f>
        <v>1</v>
      </c>
      <c r="F13" s="755"/>
      <c r="G13" s="755"/>
      <c r="H13" s="755"/>
      <c r="I13" s="755"/>
      <c r="J13" s="755"/>
      <c r="K13" s="755"/>
      <c r="L13" s="755"/>
      <c r="M13" s="755"/>
      <c r="N13" s="755"/>
    </row>
    <row r="14" spans="1:14" ht="18.75" x14ac:dyDescent="0.3">
      <c r="B14" s="755"/>
      <c r="C14" s="755"/>
      <c r="D14" s="894"/>
      <c r="E14" s="755"/>
      <c r="F14" s="2887"/>
      <c r="G14" s="755"/>
      <c r="H14" s="755"/>
      <c r="I14" s="755"/>
      <c r="J14" s="755"/>
      <c r="K14" s="755"/>
      <c r="L14" s="755"/>
      <c r="M14" s="755"/>
      <c r="N14" s="755"/>
    </row>
    <row r="15" spans="1:14" x14ac:dyDescent="0.25">
      <c r="B15" s="755"/>
      <c r="C15" s="755"/>
      <c r="D15" s="755"/>
      <c r="E15" s="755"/>
      <c r="F15" s="755"/>
      <c r="G15" s="755"/>
      <c r="H15" s="755"/>
      <c r="I15" s="755"/>
      <c r="J15" s="755"/>
      <c r="K15" s="755"/>
      <c r="L15" s="755"/>
      <c r="M15" s="755"/>
      <c r="N15" s="755"/>
    </row>
    <row r="17" spans="1:34" ht="15.75" x14ac:dyDescent="0.25">
      <c r="B17" s="758" t="s">
        <v>323</v>
      </c>
      <c r="C17" s="759"/>
      <c r="D17" s="760"/>
      <c r="E17" s="761"/>
      <c r="F17" s="760"/>
      <c r="G17" s="760"/>
      <c r="H17" s="760"/>
      <c r="I17" s="760"/>
      <c r="J17" s="760"/>
      <c r="K17" s="760"/>
      <c r="L17" s="760"/>
      <c r="M17" s="760"/>
      <c r="N17" s="760"/>
    </row>
    <row r="18" spans="1:34" ht="15.75" x14ac:dyDescent="0.25">
      <c r="B18" s="762"/>
      <c r="C18" s="763"/>
      <c r="D18" s="763"/>
      <c r="E18" s="763"/>
      <c r="F18" s="764"/>
      <c r="G18" s="764"/>
      <c r="H18" s="764"/>
      <c r="I18" s="764"/>
      <c r="J18" s="764"/>
      <c r="K18" s="764"/>
      <c r="L18" s="764"/>
      <c r="M18" s="764"/>
      <c r="N18" s="764"/>
    </row>
    <row r="19" spans="1:34" ht="15.75" x14ac:dyDescent="0.25">
      <c r="B19" s="765"/>
      <c r="C19" s="766" t="s">
        <v>138</v>
      </c>
      <c r="D19" s="768"/>
      <c r="E19" s="768"/>
      <c r="F19" s="768"/>
      <c r="G19" s="768"/>
      <c r="H19" s="768"/>
      <c r="I19" s="768"/>
      <c r="J19" s="768"/>
      <c r="K19" s="768"/>
      <c r="L19" s="768"/>
      <c r="M19" s="2888" t="s">
        <v>120</v>
      </c>
      <c r="N19" s="764"/>
    </row>
    <row r="20" spans="1:34" ht="15.75" x14ac:dyDescent="0.25">
      <c r="B20" s="765"/>
      <c r="C20" s="769" t="s">
        <v>15</v>
      </c>
      <c r="D20" s="769" t="s">
        <v>8</v>
      </c>
      <c r="E20" s="770"/>
      <c r="F20" s="770" t="s">
        <v>16</v>
      </c>
      <c r="G20" s="770" t="s">
        <v>17</v>
      </c>
      <c r="H20" s="770" t="s">
        <v>18</v>
      </c>
      <c r="I20" s="770" t="s">
        <v>19</v>
      </c>
      <c r="J20" s="770" t="s">
        <v>20</v>
      </c>
      <c r="K20" s="770" t="s">
        <v>21</v>
      </c>
      <c r="L20" s="770" t="s">
        <v>22</v>
      </c>
      <c r="M20" s="770" t="s">
        <v>23</v>
      </c>
      <c r="N20" s="764"/>
    </row>
    <row r="21" spans="1:34" ht="15.75" x14ac:dyDescent="0.25">
      <c r="B21" s="765"/>
      <c r="C21" s="775" t="s">
        <v>480</v>
      </c>
      <c r="D21" s="776"/>
      <c r="E21" s="777"/>
      <c r="F21" s="778">
        <f>'Supuestos Globales'!G16</f>
        <v>4607471.2188740289</v>
      </c>
      <c r="G21" s="778">
        <f>'Supuestos Globales'!H16</f>
        <v>4865812.8875058061</v>
      </c>
      <c r="H21" s="778">
        <f>'Supuestos Globales'!I16</f>
        <v>5121968.6743600406</v>
      </c>
      <c r="I21" s="778">
        <f>'Supuestos Globales'!J16</f>
        <v>5357139.7871489236</v>
      </c>
      <c r="J21" s="778">
        <f>'Supuestos Globales'!K16</f>
        <v>5606867.7813147483</v>
      </c>
      <c r="K21" s="778">
        <f>'Supuestos Globales'!L16</f>
        <v>5814493.9718616605</v>
      </c>
      <c r="L21" s="778">
        <f>'Supuestos Globales'!M16</f>
        <v>5977138.872618949</v>
      </c>
      <c r="M21" s="778">
        <f>'Supuestos Globales'!N16</f>
        <v>6088300.1790433601</v>
      </c>
      <c r="N21" s="764"/>
    </row>
    <row r="22" spans="1:34" ht="15.75" x14ac:dyDescent="0.25">
      <c r="B22" s="765"/>
      <c r="C22" s="775" t="s">
        <v>481</v>
      </c>
      <c r="D22" s="776"/>
      <c r="E22" s="777"/>
      <c r="F22" s="778">
        <f>'Supuestos Globales'!G17</f>
        <v>813083.15627188794</v>
      </c>
      <c r="G22" s="778">
        <f>'Supuestos Globales'!H17</f>
        <v>1068105.2679890795</v>
      </c>
      <c r="H22" s="778">
        <f>'Supuestos Globales'!I17</f>
        <v>1280492.1685900101</v>
      </c>
      <c r="I22" s="778">
        <f>'Supuestos Globales'!J17</f>
        <v>1510988.1450932864</v>
      </c>
      <c r="J22" s="778">
        <f>'Supuestos Globales'!K17</f>
        <v>1674778.6879251841</v>
      </c>
      <c r="K22" s="778">
        <f>'Supuestos Globales'!L17</f>
        <v>1836155.9911142085</v>
      </c>
      <c r="L22" s="778">
        <f>'Supuestos Globales'!M17</f>
        <v>1992379.6242063157</v>
      </c>
      <c r="M22" s="778">
        <f>'Supuestos Globales'!N17</f>
        <v>2139132.4953395594</v>
      </c>
      <c r="N22" s="764"/>
    </row>
    <row r="23" spans="1:34" ht="15.75" x14ac:dyDescent="0.25">
      <c r="B23" s="765"/>
      <c r="C23" s="771" t="s">
        <v>482</v>
      </c>
      <c r="D23" s="772"/>
      <c r="E23" s="773"/>
      <c r="F23" s="774">
        <f>'Supuestos Globales'!G18</f>
        <v>5420554.3751459168</v>
      </c>
      <c r="G23" s="774">
        <f>'Supuestos Globales'!H18</f>
        <v>5933918.1554948855</v>
      </c>
      <c r="H23" s="774">
        <f>'Supuestos Globales'!I18</f>
        <v>6402460.8429500507</v>
      </c>
      <c r="I23" s="774">
        <f>'Supuestos Globales'!J18</f>
        <v>6868127.93224221</v>
      </c>
      <c r="J23" s="774">
        <f>'Supuestos Globales'!K18</f>
        <v>7281646.4692399325</v>
      </c>
      <c r="K23" s="774">
        <f>'Supuestos Globales'!L18</f>
        <v>7650649.962975869</v>
      </c>
      <c r="L23" s="774">
        <f>'Supuestos Globales'!M18</f>
        <v>7969518.4968252648</v>
      </c>
      <c r="M23" s="774">
        <f>'Supuestos Globales'!N18</f>
        <v>8227432.6743829194</v>
      </c>
      <c r="N23" s="764"/>
    </row>
    <row r="24" spans="1:34" ht="15.75" x14ac:dyDescent="0.25">
      <c r="B24" s="765"/>
      <c r="C24" s="779"/>
      <c r="D24" s="767"/>
      <c r="E24" s="2733"/>
      <c r="F24" s="2734"/>
      <c r="G24" s="2734"/>
      <c r="H24" s="2734"/>
      <c r="I24" s="2734"/>
      <c r="J24" s="2734"/>
      <c r="K24" s="2734"/>
      <c r="L24" s="2734"/>
      <c r="M24" s="2734"/>
      <c r="N24" s="764"/>
    </row>
    <row r="25" spans="1:34" s="1009" customFormat="1" ht="15.75" x14ac:dyDescent="0.25">
      <c r="A25" s="1023"/>
      <c r="B25" s="1040"/>
      <c r="C25" s="1034" t="s">
        <v>1903</v>
      </c>
      <c r="D25" s="1035"/>
      <c r="E25" s="1035"/>
      <c r="F25" s="1035"/>
      <c r="G25" s="1035"/>
      <c r="H25" s="1035"/>
      <c r="I25" s="1035"/>
      <c r="J25" s="1035"/>
      <c r="K25" s="1035"/>
      <c r="L25" s="1035"/>
      <c r="M25" s="2888" t="s">
        <v>171</v>
      </c>
      <c r="N25" s="1035"/>
      <c r="AE25" s="1028"/>
      <c r="AF25" s="1029"/>
      <c r="AG25" s="1029"/>
      <c r="AH25" s="1030"/>
    </row>
    <row r="26" spans="1:34" s="1009" customFormat="1" ht="15.75" x14ac:dyDescent="0.25">
      <c r="A26" s="1023"/>
      <c r="B26" s="1040"/>
      <c r="C26" s="1036"/>
      <c r="D26" s="1036" t="s">
        <v>15</v>
      </c>
      <c r="E26" s="1036" t="s">
        <v>8</v>
      </c>
      <c r="F26" s="1037" t="s">
        <v>16</v>
      </c>
      <c r="G26" s="1037" t="s">
        <v>17</v>
      </c>
      <c r="H26" s="1037" t="s">
        <v>18</v>
      </c>
      <c r="I26" s="1037" t="s">
        <v>19</v>
      </c>
      <c r="J26" s="1037" t="s">
        <v>20</v>
      </c>
      <c r="K26" s="1037" t="s">
        <v>21</v>
      </c>
      <c r="L26" s="1037" t="s">
        <v>22</v>
      </c>
      <c r="M26" s="1037" t="s">
        <v>23</v>
      </c>
      <c r="N26" s="1035"/>
      <c r="AE26" s="1028"/>
      <c r="AF26" s="1029"/>
      <c r="AG26" s="1029"/>
      <c r="AH26" s="1030"/>
    </row>
    <row r="27" spans="1:34" s="1009" customFormat="1" ht="15.75" x14ac:dyDescent="0.25">
      <c r="A27" s="1023"/>
      <c r="B27" s="1040"/>
      <c r="C27" s="1038"/>
      <c r="D27" s="1038" t="s">
        <v>1900</v>
      </c>
      <c r="E27" s="1039"/>
      <c r="F27" s="2730">
        <f>D.a!F116</f>
        <v>49.668117513432826</v>
      </c>
      <c r="G27" s="2730">
        <f>D.a!G116</f>
        <v>55.48285931895176</v>
      </c>
      <c r="H27" s="2730">
        <f>D.a!H116</f>
        <v>63.729252131304541</v>
      </c>
      <c r="I27" s="2730">
        <f>D.a!I116</f>
        <v>73.541463968046287</v>
      </c>
      <c r="J27" s="2730">
        <f>D.a!J116</f>
        <v>85.015140956756909</v>
      </c>
      <c r="K27" s="2730">
        <f>D.a!K116</f>
        <v>98.828088195868162</v>
      </c>
      <c r="L27" s="2730">
        <f>D.a!L116</f>
        <v>115.59674427764985</v>
      </c>
      <c r="M27" s="2730">
        <f>D.a!M116</f>
        <v>133.42997120831023</v>
      </c>
      <c r="N27" s="1035"/>
      <c r="AE27" s="1028"/>
      <c r="AF27" s="1029"/>
      <c r="AG27" s="1029"/>
      <c r="AH27" s="1030"/>
    </row>
    <row r="28" spans="1:34" ht="15.75" x14ac:dyDescent="0.25">
      <c r="B28" s="765"/>
      <c r="C28" s="779"/>
      <c r="D28" s="767"/>
      <c r="E28" s="2733"/>
      <c r="F28" s="2734"/>
      <c r="G28" s="2734"/>
      <c r="H28" s="2734"/>
      <c r="I28" s="2734"/>
      <c r="J28" s="2734"/>
      <c r="K28" s="2734"/>
      <c r="L28" s="2734"/>
      <c r="M28" s="2734"/>
      <c r="N28" s="764"/>
    </row>
    <row r="30" spans="1:34" ht="15.75" x14ac:dyDescent="0.25">
      <c r="B30" s="780" t="s">
        <v>151</v>
      </c>
      <c r="C30" s="781"/>
      <c r="D30" s="782"/>
      <c r="E30" s="782"/>
      <c r="F30" s="782"/>
      <c r="G30" s="782"/>
      <c r="H30" s="782"/>
      <c r="I30" s="782"/>
      <c r="J30" s="782"/>
      <c r="K30" s="782"/>
      <c r="L30" s="782"/>
      <c r="M30" s="782"/>
      <c r="N30" s="782"/>
    </row>
    <row r="31" spans="1:34" x14ac:dyDescent="0.25">
      <c r="B31" s="783"/>
      <c r="C31" s="784"/>
      <c r="D31" s="784"/>
      <c r="E31" s="784"/>
      <c r="F31" s="784"/>
      <c r="G31" s="784"/>
      <c r="H31" s="784"/>
      <c r="I31" s="784"/>
      <c r="J31" s="784"/>
      <c r="K31" s="784"/>
      <c r="L31" s="784"/>
      <c r="M31" s="784"/>
      <c r="N31" s="784"/>
    </row>
    <row r="32" spans="1:34" x14ac:dyDescent="0.25">
      <c r="B32" s="784"/>
      <c r="C32" s="785" t="s">
        <v>1903</v>
      </c>
      <c r="D32" s="784"/>
      <c r="E32" s="786"/>
      <c r="F32" s="784"/>
      <c r="G32" s="784"/>
      <c r="H32" s="784"/>
      <c r="I32" s="784"/>
      <c r="J32" s="784"/>
      <c r="K32" s="784"/>
      <c r="L32" s="784"/>
      <c r="M32" s="786" t="s">
        <v>171</v>
      </c>
      <c r="N32" s="784"/>
    </row>
    <row r="33" spans="2:14" ht="4.5" customHeight="1" x14ac:dyDescent="0.25">
      <c r="B33" s="784"/>
      <c r="C33" s="784"/>
      <c r="D33" s="784"/>
      <c r="E33" s="784"/>
      <c r="F33" s="784"/>
      <c r="G33" s="784"/>
      <c r="H33" s="784"/>
      <c r="I33" s="784"/>
      <c r="J33" s="784"/>
      <c r="K33" s="784"/>
      <c r="L33" s="784"/>
      <c r="M33" s="784"/>
      <c r="N33" s="784"/>
    </row>
    <row r="34" spans="2:14" x14ac:dyDescent="0.25">
      <c r="B34" s="784"/>
      <c r="C34" s="787" t="s">
        <v>3</v>
      </c>
      <c r="D34" s="787" t="s">
        <v>483</v>
      </c>
      <c r="E34" s="787" t="s">
        <v>8</v>
      </c>
      <c r="F34" s="788">
        <v>2015</v>
      </c>
      <c r="G34" s="789">
        <v>2020</v>
      </c>
      <c r="H34" s="788">
        <v>2025</v>
      </c>
      <c r="I34" s="788">
        <v>2030</v>
      </c>
      <c r="J34" s="788">
        <v>2035</v>
      </c>
      <c r="K34" s="788">
        <v>2040</v>
      </c>
      <c r="L34" s="788">
        <v>2045</v>
      </c>
      <c r="M34" s="788">
        <v>2050</v>
      </c>
      <c r="N34" s="784"/>
    </row>
    <row r="35" spans="2:14" x14ac:dyDescent="0.25">
      <c r="B35" s="784"/>
      <c r="C35" s="798" t="s">
        <v>153</v>
      </c>
      <c r="D35" s="2958" t="s">
        <v>2055</v>
      </c>
      <c r="E35" s="2895" t="s">
        <v>12</v>
      </c>
      <c r="F35" s="401">
        <f>F27</f>
        <v>49.668117513432826</v>
      </c>
      <c r="G35" s="401">
        <f t="shared" ref="G35:M35" si="0">G27</f>
        <v>55.48285931895176</v>
      </c>
      <c r="H35" s="401">
        <f t="shared" si="0"/>
        <v>63.729252131304541</v>
      </c>
      <c r="I35" s="401">
        <f t="shared" si="0"/>
        <v>73.541463968046287</v>
      </c>
      <c r="J35" s="401">
        <f t="shared" si="0"/>
        <v>85.015140956756909</v>
      </c>
      <c r="K35" s="401">
        <f t="shared" si="0"/>
        <v>98.828088195868162</v>
      </c>
      <c r="L35" s="401">
        <f t="shared" si="0"/>
        <v>115.59674427764985</v>
      </c>
      <c r="M35" s="401">
        <f t="shared" si="0"/>
        <v>133.42997120831023</v>
      </c>
      <c r="N35" s="784"/>
    </row>
    <row r="36" spans="2:14" ht="5.25" customHeight="1" x14ac:dyDescent="0.25">
      <c r="B36" s="784"/>
      <c r="C36" s="2896"/>
      <c r="D36" s="2896"/>
      <c r="E36" s="2896"/>
      <c r="F36" s="410"/>
      <c r="G36" s="410"/>
      <c r="H36" s="410"/>
      <c r="I36" s="410"/>
      <c r="J36" s="410"/>
      <c r="K36" s="410"/>
      <c r="L36" s="410"/>
      <c r="M36" s="410"/>
      <c r="N36" s="784"/>
    </row>
    <row r="37" spans="2:14" x14ac:dyDescent="0.25">
      <c r="B37" s="784"/>
      <c r="C37" s="2897" t="s">
        <v>8</v>
      </c>
      <c r="D37" s="2896"/>
      <c r="E37" s="2896"/>
      <c r="F37" s="410"/>
      <c r="G37" s="410"/>
      <c r="H37" s="410"/>
      <c r="I37" s="410"/>
      <c r="J37" s="410"/>
      <c r="K37" s="410"/>
      <c r="L37" s="410"/>
      <c r="M37" s="410"/>
      <c r="N37" s="784"/>
    </row>
    <row r="38" spans="2:14" x14ac:dyDescent="0.25">
      <c r="B38" s="784"/>
      <c r="C38" s="2897" t="s">
        <v>12</v>
      </c>
      <c r="D38" s="2896" t="s">
        <v>1978</v>
      </c>
      <c r="E38" s="2896"/>
      <c r="F38" s="410"/>
      <c r="G38" s="410"/>
      <c r="H38" s="410"/>
      <c r="I38" s="410"/>
      <c r="J38" s="410"/>
      <c r="K38" s="410"/>
      <c r="L38" s="410"/>
      <c r="M38" s="410"/>
      <c r="N38" s="784"/>
    </row>
    <row r="39" spans="2:14" x14ac:dyDescent="0.25">
      <c r="B39" s="784"/>
      <c r="C39" s="2897"/>
      <c r="D39" s="2896" t="s">
        <v>1979</v>
      </c>
      <c r="E39" s="2896"/>
      <c r="F39" s="410"/>
      <c r="G39" s="410"/>
      <c r="H39" s="410"/>
      <c r="I39" s="410"/>
      <c r="J39" s="410"/>
      <c r="K39" s="410"/>
      <c r="L39" s="410"/>
      <c r="M39" s="410"/>
      <c r="N39" s="784"/>
    </row>
    <row r="40" spans="2:14" x14ac:dyDescent="0.25">
      <c r="B40" s="784"/>
      <c r="C40" s="800"/>
      <c r="D40" s="791"/>
      <c r="E40" s="791"/>
      <c r="F40" s="178"/>
      <c r="G40" s="178"/>
      <c r="H40" s="178"/>
      <c r="I40" s="178"/>
      <c r="J40" s="178"/>
      <c r="K40" s="178"/>
      <c r="L40" s="178"/>
      <c r="M40" s="178"/>
      <c r="N40" s="784"/>
    </row>
    <row r="41" spans="2:14" x14ac:dyDescent="0.25">
      <c r="B41" s="2892" t="s">
        <v>1967</v>
      </c>
      <c r="C41" s="785" t="s">
        <v>1901</v>
      </c>
      <c r="D41" s="791"/>
      <c r="E41" s="791"/>
      <c r="F41" s="178"/>
      <c r="G41" s="178"/>
      <c r="H41" s="178"/>
      <c r="I41" s="178"/>
      <c r="J41" s="178"/>
      <c r="K41" s="178"/>
      <c r="L41" s="178"/>
      <c r="M41" s="475"/>
      <c r="N41" s="784"/>
    </row>
    <row r="42" spans="2:14" x14ac:dyDescent="0.25">
      <c r="B42" s="784"/>
      <c r="C42" s="785" t="s">
        <v>1974</v>
      </c>
      <c r="D42" s="2890"/>
      <c r="E42" s="786"/>
      <c r="F42" s="784"/>
      <c r="G42" s="784"/>
      <c r="H42" s="784"/>
      <c r="I42" s="784"/>
      <c r="J42" s="784"/>
      <c r="K42" s="784"/>
      <c r="L42" s="784"/>
      <c r="M42" s="2891" t="s">
        <v>1977</v>
      </c>
      <c r="N42" s="784"/>
    </row>
    <row r="43" spans="2:14" ht="4.5" customHeight="1" x14ac:dyDescent="0.25">
      <c r="B43" s="784"/>
      <c r="C43" s="784"/>
      <c r="D43" s="784"/>
      <c r="E43" s="784"/>
      <c r="F43" s="784"/>
      <c r="G43" s="784"/>
      <c r="H43" s="784"/>
      <c r="I43" s="784"/>
      <c r="J43" s="784"/>
      <c r="K43" s="784"/>
      <c r="L43" s="784"/>
      <c r="M43" s="784"/>
      <c r="N43" s="784"/>
    </row>
    <row r="44" spans="2:14" x14ac:dyDescent="0.25">
      <c r="B44" s="784"/>
      <c r="C44" s="787" t="s">
        <v>3</v>
      </c>
      <c r="D44" s="787" t="s">
        <v>483</v>
      </c>
      <c r="E44" s="787" t="s">
        <v>8</v>
      </c>
      <c r="F44" s="788">
        <v>2015</v>
      </c>
      <c r="G44" s="789">
        <v>2020</v>
      </c>
      <c r="H44" s="788">
        <v>2025</v>
      </c>
      <c r="I44" s="788">
        <v>2030</v>
      </c>
      <c r="J44" s="788">
        <v>2035</v>
      </c>
      <c r="K44" s="788">
        <v>2040</v>
      </c>
      <c r="L44" s="788">
        <v>2045</v>
      </c>
      <c r="M44" s="788">
        <v>2050</v>
      </c>
      <c r="N44" s="784"/>
    </row>
    <row r="45" spans="2:14" x14ac:dyDescent="0.25">
      <c r="B45" s="784"/>
      <c r="C45" s="790">
        <v>1</v>
      </c>
      <c r="D45" s="791"/>
      <c r="E45" s="2894" t="s">
        <v>133</v>
      </c>
      <c r="F45" s="3176">
        <v>1</v>
      </c>
      <c r="G45" s="3177">
        <v>1</v>
      </c>
      <c r="H45" s="3176">
        <v>1</v>
      </c>
      <c r="I45" s="3176">
        <v>1</v>
      </c>
      <c r="J45" s="3176">
        <v>1</v>
      </c>
      <c r="K45" s="3176">
        <v>1</v>
      </c>
      <c r="L45" s="3176">
        <v>1</v>
      </c>
      <c r="M45" s="3176">
        <v>1</v>
      </c>
      <c r="N45" s="784"/>
    </row>
    <row r="46" spans="2:14" x14ac:dyDescent="0.25">
      <c r="B46" s="784"/>
      <c r="C46" s="790">
        <v>2</v>
      </c>
      <c r="D46" s="791"/>
      <c r="E46" s="2894" t="s">
        <v>133</v>
      </c>
      <c r="F46" s="3176">
        <v>1</v>
      </c>
      <c r="G46" s="3177">
        <v>0.7407407407407407</v>
      </c>
      <c r="H46" s="3176">
        <v>0.7407407407407407</v>
      </c>
      <c r="I46" s="3176">
        <v>0.7407407407407407</v>
      </c>
      <c r="J46" s="3176">
        <v>0.7407407407407407</v>
      </c>
      <c r="K46" s="3176">
        <v>0.7407407407407407</v>
      </c>
      <c r="L46" s="3176">
        <v>0.7407407407407407</v>
      </c>
      <c r="M46" s="3176">
        <v>0.7407407407407407</v>
      </c>
      <c r="N46" s="784"/>
    </row>
    <row r="47" spans="2:14" x14ac:dyDescent="0.25">
      <c r="B47" s="784"/>
      <c r="C47" s="790">
        <v>3</v>
      </c>
      <c r="D47" s="791"/>
      <c r="E47" s="2894" t="s">
        <v>133</v>
      </c>
      <c r="F47" s="3176">
        <v>1</v>
      </c>
      <c r="G47" s="3178">
        <v>0.7407407407407407</v>
      </c>
      <c r="H47" s="3176">
        <v>0.7407407407407407</v>
      </c>
      <c r="I47" s="3176">
        <v>0.59090909090909094</v>
      </c>
      <c r="J47" s="3176">
        <v>0.59090909090909094</v>
      </c>
      <c r="K47" s="3176">
        <v>0.59259259259259267</v>
      </c>
      <c r="L47" s="3176">
        <v>0.59259259259259267</v>
      </c>
      <c r="M47" s="3176">
        <v>0.59259259259259267</v>
      </c>
      <c r="N47" s="784"/>
    </row>
    <row r="48" spans="2:14" x14ac:dyDescent="0.25">
      <c r="B48" s="784"/>
      <c r="C48" s="796">
        <v>4</v>
      </c>
      <c r="D48" s="797"/>
      <c r="E48" s="2894" t="s">
        <v>133</v>
      </c>
      <c r="F48" s="3176">
        <v>1</v>
      </c>
      <c r="G48" s="3178">
        <v>0.7407407407407407</v>
      </c>
      <c r="H48" s="3176">
        <v>0.7407407407407407</v>
      </c>
      <c r="I48" s="3176">
        <v>0.5</v>
      </c>
      <c r="J48" s="3176">
        <v>0.5</v>
      </c>
      <c r="K48" s="3176">
        <v>0.19459038723487057</v>
      </c>
      <c r="L48" s="3176">
        <v>0.19459038723487057</v>
      </c>
      <c r="M48" s="3176">
        <v>0.19459038723487057</v>
      </c>
      <c r="N48" s="784"/>
    </row>
    <row r="49" spans="2:14" x14ac:dyDescent="0.25">
      <c r="B49" s="784"/>
      <c r="C49" s="798" t="s">
        <v>153</v>
      </c>
      <c r="D49" s="799"/>
      <c r="E49" s="799"/>
      <c r="F49" s="401">
        <f t="shared" ref="F49:M49" si="1">(INDEX(F$45:F$48,ROUNDDOWN($E$7,0))*(1-MOD($E$7,1)))+(INDEX(F$45:F$48,ROUNDUP($E$7,0))*MOD($E$7,1))</f>
        <v>1</v>
      </c>
      <c r="G49" s="401">
        <f t="shared" si="1"/>
        <v>1</v>
      </c>
      <c r="H49" s="401">
        <f t="shared" si="1"/>
        <v>1</v>
      </c>
      <c r="I49" s="401">
        <f t="shared" si="1"/>
        <v>1</v>
      </c>
      <c r="J49" s="401">
        <f t="shared" si="1"/>
        <v>1</v>
      </c>
      <c r="K49" s="401">
        <f t="shared" si="1"/>
        <v>1</v>
      </c>
      <c r="L49" s="401">
        <f t="shared" si="1"/>
        <v>1</v>
      </c>
      <c r="M49" s="401">
        <f t="shared" si="1"/>
        <v>1</v>
      </c>
      <c r="N49" s="784"/>
    </row>
    <row r="50" spans="2:14" x14ac:dyDescent="0.25">
      <c r="B50" s="784"/>
      <c r="C50" s="800"/>
      <c r="D50" s="791"/>
      <c r="E50" s="791"/>
      <c r="F50" s="178"/>
      <c r="G50" s="178"/>
      <c r="H50" s="178"/>
      <c r="I50" s="178"/>
      <c r="J50" s="178"/>
      <c r="K50" s="178"/>
      <c r="L50" s="178"/>
      <c r="M50" s="178"/>
      <c r="N50" s="784"/>
    </row>
    <row r="51" spans="2:14" x14ac:dyDescent="0.25">
      <c r="B51" s="784"/>
      <c r="C51" s="785" t="s">
        <v>486</v>
      </c>
      <c r="D51" s="784"/>
      <c r="E51" s="786"/>
      <c r="F51" s="784"/>
      <c r="G51" s="784"/>
      <c r="H51" s="784"/>
      <c r="I51" s="784"/>
      <c r="J51" s="784"/>
      <c r="K51" s="784"/>
      <c r="L51" s="784"/>
      <c r="M51" s="2891" t="s">
        <v>1977</v>
      </c>
      <c r="N51" s="784"/>
    </row>
    <row r="52" spans="2:14" ht="5.25" customHeight="1" x14ac:dyDescent="0.25">
      <c r="B52" s="784"/>
      <c r="C52" s="784"/>
      <c r="D52" s="784"/>
      <c r="E52" s="784"/>
      <c r="F52" s="784"/>
      <c r="G52" s="784"/>
      <c r="H52" s="784"/>
      <c r="I52" s="784"/>
      <c r="J52" s="784"/>
      <c r="K52" s="784"/>
      <c r="L52" s="784"/>
      <c r="M52" s="784"/>
      <c r="N52" s="784"/>
    </row>
    <row r="53" spans="2:14" x14ac:dyDescent="0.25">
      <c r="B53" s="784"/>
      <c r="C53" s="787" t="s">
        <v>3</v>
      </c>
      <c r="D53" s="787" t="s">
        <v>483</v>
      </c>
      <c r="E53" s="787" t="s">
        <v>8</v>
      </c>
      <c r="F53" s="788">
        <v>2015</v>
      </c>
      <c r="G53" s="789">
        <v>2020</v>
      </c>
      <c r="H53" s="788">
        <v>2025</v>
      </c>
      <c r="I53" s="788">
        <v>2030</v>
      </c>
      <c r="J53" s="788">
        <v>2035</v>
      </c>
      <c r="K53" s="788">
        <v>2040</v>
      </c>
      <c r="L53" s="788">
        <v>2045</v>
      </c>
      <c r="M53" s="788">
        <v>2050</v>
      </c>
      <c r="N53" s="784"/>
    </row>
    <row r="54" spans="2:14" x14ac:dyDescent="0.25">
      <c r="B54" s="784"/>
      <c r="C54" s="790">
        <v>1</v>
      </c>
      <c r="D54" s="791"/>
      <c r="E54" s="2894" t="s">
        <v>133</v>
      </c>
      <c r="F54" s="794">
        <v>1</v>
      </c>
      <c r="G54" s="793">
        <v>1</v>
      </c>
      <c r="H54" s="794">
        <v>1</v>
      </c>
      <c r="I54" s="794">
        <v>1</v>
      </c>
      <c r="J54" s="794">
        <v>1</v>
      </c>
      <c r="K54" s="794">
        <v>1</v>
      </c>
      <c r="L54" s="794">
        <v>1</v>
      </c>
      <c r="M54" s="794">
        <v>1</v>
      </c>
      <c r="N54" s="784"/>
    </row>
    <row r="55" spans="2:14" x14ac:dyDescent="0.25">
      <c r="B55" s="784"/>
      <c r="C55" s="790">
        <v>2</v>
      </c>
      <c r="D55" s="791"/>
      <c r="E55" s="2894" t="s">
        <v>133</v>
      </c>
      <c r="F55" s="794">
        <v>1</v>
      </c>
      <c r="G55" s="793">
        <v>0.74074074074074103</v>
      </c>
      <c r="H55" s="794">
        <v>0.74074074074074081</v>
      </c>
      <c r="I55" s="794">
        <v>0.66454545454545444</v>
      </c>
      <c r="J55" s="794">
        <v>0.66454545454545444</v>
      </c>
      <c r="K55" s="794">
        <v>0.7407407407407407</v>
      </c>
      <c r="L55" s="794">
        <v>0.7407407407407407</v>
      </c>
      <c r="M55" s="794">
        <v>0.7407407407407407</v>
      </c>
      <c r="N55" s="784"/>
    </row>
    <row r="56" spans="2:14" x14ac:dyDescent="0.25">
      <c r="B56" s="784"/>
      <c r="C56" s="790">
        <v>3</v>
      </c>
      <c r="D56" s="791"/>
      <c r="E56" s="2894" t="s">
        <v>133</v>
      </c>
      <c r="F56" s="794">
        <v>1</v>
      </c>
      <c r="G56" s="795">
        <v>0.74074074074074081</v>
      </c>
      <c r="H56" s="794">
        <v>0.74074074074074081</v>
      </c>
      <c r="I56" s="794">
        <v>0.59090909090909094</v>
      </c>
      <c r="J56" s="794">
        <v>0.59090909090909094</v>
      </c>
      <c r="K56" s="794">
        <v>0.59259259259259267</v>
      </c>
      <c r="L56" s="794">
        <v>0.59259259259259267</v>
      </c>
      <c r="M56" s="794">
        <v>0.59259259259259267</v>
      </c>
      <c r="N56" s="784"/>
    </row>
    <row r="57" spans="2:14" x14ac:dyDescent="0.25">
      <c r="B57" s="784"/>
      <c r="C57" s="796">
        <v>4</v>
      </c>
      <c r="D57" s="797"/>
      <c r="E57" s="2894" t="s">
        <v>133</v>
      </c>
      <c r="F57" s="794">
        <v>1</v>
      </c>
      <c r="G57" s="795">
        <v>0.74074074074074081</v>
      </c>
      <c r="H57" s="794">
        <v>0.74074074074074081</v>
      </c>
      <c r="I57" s="794">
        <v>0.5</v>
      </c>
      <c r="J57" s="794">
        <v>0.5</v>
      </c>
      <c r="K57" s="794">
        <v>0.26455026455026459</v>
      </c>
      <c r="L57" s="794">
        <v>0.26455026455026459</v>
      </c>
      <c r="M57" s="794">
        <v>0.26455026455026459</v>
      </c>
      <c r="N57" s="784"/>
    </row>
    <row r="58" spans="2:14" x14ac:dyDescent="0.25">
      <c r="B58" s="784"/>
      <c r="C58" s="798" t="s">
        <v>153</v>
      </c>
      <c r="D58" s="799"/>
      <c r="E58" s="799"/>
      <c r="F58" s="401">
        <f t="shared" ref="F58:M58" si="2">(INDEX(F$54:F$57,ROUNDDOWN($E$7,0))*(1-MOD($E$7,1)))+(INDEX(F$54:F$57,ROUNDUP($E$7,0))*MOD($E$7,1))</f>
        <v>1</v>
      </c>
      <c r="G58" s="401">
        <f t="shared" si="2"/>
        <v>1</v>
      </c>
      <c r="H58" s="401">
        <f t="shared" si="2"/>
        <v>1</v>
      </c>
      <c r="I58" s="401">
        <f t="shared" si="2"/>
        <v>1</v>
      </c>
      <c r="J58" s="401">
        <f t="shared" si="2"/>
        <v>1</v>
      </c>
      <c r="K58" s="401">
        <f t="shared" si="2"/>
        <v>1</v>
      </c>
      <c r="L58" s="401">
        <f t="shared" si="2"/>
        <v>1</v>
      </c>
      <c r="M58" s="401">
        <f t="shared" si="2"/>
        <v>1</v>
      </c>
      <c r="N58" s="784"/>
    </row>
    <row r="59" spans="2:14" ht="5.25" customHeight="1" x14ac:dyDescent="0.25">
      <c r="B59" s="784"/>
      <c r="C59" s="800"/>
      <c r="D59" s="791"/>
      <c r="E59" s="791"/>
      <c r="F59" s="410"/>
      <c r="G59" s="410"/>
      <c r="H59" s="410"/>
      <c r="I59" s="410"/>
      <c r="J59" s="410"/>
      <c r="K59" s="410"/>
      <c r="L59" s="410"/>
      <c r="M59" s="410"/>
      <c r="N59" s="784"/>
    </row>
    <row r="60" spans="2:14" x14ac:dyDescent="0.25">
      <c r="B60" s="784"/>
      <c r="C60" s="2897" t="s">
        <v>8</v>
      </c>
      <c r="D60" s="791"/>
      <c r="E60" s="791"/>
      <c r="F60" s="410"/>
      <c r="G60" s="410"/>
      <c r="H60" s="410"/>
      <c r="I60" s="410"/>
      <c r="J60" s="410"/>
      <c r="K60" s="410"/>
      <c r="L60" s="410"/>
      <c r="M60" s="410"/>
      <c r="N60" s="784"/>
    </row>
    <row r="61" spans="2:14" x14ac:dyDescent="0.25">
      <c r="B61" s="784"/>
      <c r="C61" s="2897" t="s">
        <v>133</v>
      </c>
      <c r="D61" s="2959" t="s">
        <v>1975</v>
      </c>
      <c r="E61" s="791"/>
      <c r="F61" s="850"/>
      <c r="G61" s="850"/>
      <c r="H61" s="850"/>
      <c r="I61" s="850"/>
      <c r="J61" s="850"/>
      <c r="K61" s="850"/>
      <c r="L61" s="850"/>
      <c r="M61" s="850"/>
      <c r="N61" s="784"/>
    </row>
    <row r="62" spans="2:14" x14ac:dyDescent="0.25">
      <c r="B62" s="784"/>
      <c r="C62" s="800"/>
      <c r="D62" s="2896" t="s">
        <v>1976</v>
      </c>
      <c r="E62" s="791"/>
      <c r="F62" s="850"/>
      <c r="G62" s="850"/>
      <c r="H62" s="850"/>
      <c r="I62" s="850"/>
      <c r="J62" s="850"/>
      <c r="K62" s="850"/>
      <c r="L62" s="850"/>
      <c r="M62" s="850"/>
      <c r="N62" s="784"/>
    </row>
    <row r="63" spans="2:14" x14ac:dyDescent="0.25">
      <c r="B63" s="784"/>
      <c r="C63" s="800"/>
      <c r="D63" s="3175" t="s">
        <v>2220</v>
      </c>
      <c r="E63" s="791"/>
      <c r="F63" s="850"/>
      <c r="G63" s="850"/>
      <c r="H63" s="850"/>
      <c r="I63" s="850"/>
      <c r="J63" s="850"/>
      <c r="K63" s="850"/>
      <c r="L63" s="850"/>
      <c r="M63" s="850"/>
      <c r="N63" s="784"/>
    </row>
    <row r="64" spans="2:14" x14ac:dyDescent="0.25">
      <c r="B64" s="784"/>
      <c r="C64" s="800"/>
      <c r="D64" s="3175"/>
      <c r="E64" s="791"/>
      <c r="F64" s="850"/>
      <c r="G64" s="850"/>
      <c r="H64" s="850"/>
      <c r="I64" s="850"/>
      <c r="J64" s="850"/>
      <c r="K64" s="850"/>
      <c r="L64" s="850"/>
      <c r="M64" s="850"/>
      <c r="N64" s="784"/>
    </row>
    <row r="65" spans="2:14" x14ac:dyDescent="0.25">
      <c r="B65" s="784"/>
      <c r="C65" s="800"/>
      <c r="D65" s="791"/>
      <c r="E65" s="791"/>
      <c r="F65" s="178"/>
      <c r="G65" s="178"/>
      <c r="H65" s="178"/>
      <c r="I65" s="178"/>
      <c r="J65" s="178"/>
      <c r="K65" s="178"/>
      <c r="L65" s="178"/>
      <c r="M65" s="178"/>
      <c r="N65" s="784"/>
    </row>
    <row r="66" spans="2:14" x14ac:dyDescent="0.25">
      <c r="B66" s="2892" t="s">
        <v>1968</v>
      </c>
      <c r="C66" s="785" t="s">
        <v>1902</v>
      </c>
      <c r="D66" s="791"/>
      <c r="E66" s="791"/>
      <c r="F66" s="178"/>
      <c r="G66" s="178"/>
      <c r="H66" s="178"/>
      <c r="I66" s="178"/>
      <c r="J66" s="178"/>
      <c r="K66" s="178"/>
      <c r="L66" s="178"/>
      <c r="M66" s="178"/>
      <c r="N66" s="784"/>
    </row>
    <row r="67" spans="2:14" x14ac:dyDescent="0.25">
      <c r="B67" s="784"/>
      <c r="C67" s="785" t="s">
        <v>485</v>
      </c>
      <c r="D67" s="784"/>
      <c r="E67" s="786"/>
      <c r="F67" s="784"/>
      <c r="G67" s="784"/>
      <c r="H67" s="784"/>
      <c r="I67" s="784"/>
      <c r="J67" s="784"/>
      <c r="K67" s="784"/>
      <c r="L67" s="784"/>
      <c r="M67" s="2891" t="s">
        <v>1977</v>
      </c>
      <c r="N67" s="784"/>
    </row>
    <row r="68" spans="2:14" ht="4.5" customHeight="1" x14ac:dyDescent="0.25">
      <c r="B68" s="784"/>
      <c r="C68" s="784"/>
      <c r="D68" s="784"/>
      <c r="E68" s="784"/>
      <c r="F68" s="784"/>
      <c r="G68" s="784"/>
      <c r="H68" s="784"/>
      <c r="I68" s="784"/>
      <c r="J68" s="784"/>
      <c r="K68" s="784"/>
      <c r="L68" s="784"/>
      <c r="M68" s="784"/>
      <c r="N68" s="784"/>
    </row>
    <row r="69" spans="2:14" x14ac:dyDescent="0.25">
      <c r="B69" s="784"/>
      <c r="C69" s="787" t="s">
        <v>3</v>
      </c>
      <c r="D69" s="787" t="s">
        <v>483</v>
      </c>
      <c r="E69" s="787" t="s">
        <v>8</v>
      </c>
      <c r="F69" s="788">
        <v>2015</v>
      </c>
      <c r="G69" s="789">
        <v>2020</v>
      </c>
      <c r="H69" s="788">
        <v>2025</v>
      </c>
      <c r="I69" s="788">
        <v>2030</v>
      </c>
      <c r="J69" s="788">
        <v>2035</v>
      </c>
      <c r="K69" s="788">
        <v>2040</v>
      </c>
      <c r="L69" s="788">
        <v>2045</v>
      </c>
      <c r="M69" s="788">
        <v>2050</v>
      </c>
      <c r="N69" s="784"/>
    </row>
    <row r="70" spans="2:14" x14ac:dyDescent="0.25">
      <c r="B70" s="784"/>
      <c r="C70" s="790">
        <v>1</v>
      </c>
      <c r="D70" s="791"/>
      <c r="E70" s="2894" t="s">
        <v>136</v>
      </c>
      <c r="F70" s="794">
        <f>F45</f>
        <v>1</v>
      </c>
      <c r="G70" s="793">
        <f>1-(1-G45)*$G$86</f>
        <v>1</v>
      </c>
      <c r="H70" s="794">
        <f t="shared" ref="H70:M70" si="3">1-(1-H45)*$G$86</f>
        <v>1</v>
      </c>
      <c r="I70" s="794">
        <f t="shared" si="3"/>
        <v>1</v>
      </c>
      <c r="J70" s="794">
        <f t="shared" si="3"/>
        <v>1</v>
      </c>
      <c r="K70" s="794">
        <f t="shared" si="3"/>
        <v>1</v>
      </c>
      <c r="L70" s="794">
        <f t="shared" si="3"/>
        <v>1</v>
      </c>
      <c r="M70" s="794">
        <f t="shared" si="3"/>
        <v>1</v>
      </c>
      <c r="N70" s="784"/>
    </row>
    <row r="71" spans="2:14" x14ac:dyDescent="0.25">
      <c r="B71" s="784"/>
      <c r="C71" s="790">
        <v>2</v>
      </c>
      <c r="D71" s="791"/>
      <c r="E71" s="2894" t="s">
        <v>136</v>
      </c>
      <c r="F71" s="794">
        <f>F46</f>
        <v>1</v>
      </c>
      <c r="G71" s="793">
        <f>1-(1-G46)*$G$86</f>
        <v>0.7407407407407407</v>
      </c>
      <c r="H71" s="794">
        <f t="shared" ref="H71:M71" si="4">1-(1-H46)*$G$86</f>
        <v>0.7407407407407407</v>
      </c>
      <c r="I71" s="794">
        <f t="shared" si="4"/>
        <v>0.7407407407407407</v>
      </c>
      <c r="J71" s="794">
        <f t="shared" si="4"/>
        <v>0.7407407407407407</v>
      </c>
      <c r="K71" s="794">
        <f t="shared" si="4"/>
        <v>0.7407407407407407</v>
      </c>
      <c r="L71" s="794">
        <f t="shared" si="4"/>
        <v>0.7407407407407407</v>
      </c>
      <c r="M71" s="794">
        <f t="shared" si="4"/>
        <v>0.7407407407407407</v>
      </c>
      <c r="N71" s="784"/>
    </row>
    <row r="72" spans="2:14" x14ac:dyDescent="0.25">
      <c r="B72" s="784"/>
      <c r="C72" s="790">
        <v>3</v>
      </c>
      <c r="D72" s="791"/>
      <c r="E72" s="2894" t="s">
        <v>136</v>
      </c>
      <c r="F72" s="794">
        <f>F47</f>
        <v>1</v>
      </c>
      <c r="G72" s="795">
        <f>1-(1-G47)*$G$86</f>
        <v>0.7407407407407407</v>
      </c>
      <c r="H72" s="794">
        <f t="shared" ref="H72:M72" si="5">1-(1-H47)*$G$86</f>
        <v>0.7407407407407407</v>
      </c>
      <c r="I72" s="794">
        <f t="shared" si="5"/>
        <v>0.59090909090909094</v>
      </c>
      <c r="J72" s="794">
        <f t="shared" si="5"/>
        <v>0.59090909090909094</v>
      </c>
      <c r="K72" s="794">
        <f t="shared" si="5"/>
        <v>0.59259259259259267</v>
      </c>
      <c r="L72" s="794">
        <f t="shared" si="5"/>
        <v>0.59259259259259267</v>
      </c>
      <c r="M72" s="794">
        <f t="shared" si="5"/>
        <v>0.59259259259259267</v>
      </c>
      <c r="N72" s="784"/>
    </row>
    <row r="73" spans="2:14" x14ac:dyDescent="0.25">
      <c r="B73" s="784"/>
      <c r="C73" s="796">
        <v>4</v>
      </c>
      <c r="D73" s="797"/>
      <c r="E73" s="2894" t="s">
        <v>136</v>
      </c>
      <c r="F73" s="794">
        <f>F48</f>
        <v>1</v>
      </c>
      <c r="G73" s="795">
        <f>1-(1-G48)*$G$86</f>
        <v>0.7407407407407407</v>
      </c>
      <c r="H73" s="794">
        <f t="shared" ref="H73:M73" si="6">1-(1-H48)*$G$86</f>
        <v>0.7407407407407407</v>
      </c>
      <c r="I73" s="794">
        <f t="shared" si="6"/>
        <v>0.5</v>
      </c>
      <c r="J73" s="794">
        <f t="shared" si="6"/>
        <v>0.5</v>
      </c>
      <c r="K73" s="794">
        <f t="shared" si="6"/>
        <v>0.19459038723487054</v>
      </c>
      <c r="L73" s="794">
        <f t="shared" si="6"/>
        <v>0.19459038723487054</v>
      </c>
      <c r="M73" s="794">
        <f t="shared" si="6"/>
        <v>0.19459038723487054</v>
      </c>
      <c r="N73" s="784"/>
    </row>
    <row r="74" spans="2:14" x14ac:dyDescent="0.25">
      <c r="B74" s="784"/>
      <c r="C74" s="798" t="s">
        <v>153</v>
      </c>
      <c r="D74" s="799"/>
      <c r="E74" s="799"/>
      <c r="F74" s="2898">
        <f t="shared" ref="F74:M74" si="7">(INDEX(F$70:F$73,ROUNDDOWN($E$8,0))*(1-MOD($E$8,1)))+(INDEX(F$70:F$73,ROUNDUP($E$8,0))*MOD($E$8,1))</f>
        <v>1</v>
      </c>
      <c r="G74" s="401">
        <f t="shared" si="7"/>
        <v>1</v>
      </c>
      <c r="H74" s="401">
        <f t="shared" si="7"/>
        <v>1</v>
      </c>
      <c r="I74" s="401">
        <f t="shared" si="7"/>
        <v>1</v>
      </c>
      <c r="J74" s="401">
        <f t="shared" si="7"/>
        <v>1</v>
      </c>
      <c r="K74" s="401">
        <f t="shared" si="7"/>
        <v>1</v>
      </c>
      <c r="L74" s="401">
        <f t="shared" si="7"/>
        <v>1</v>
      </c>
      <c r="M74" s="401">
        <f t="shared" si="7"/>
        <v>1</v>
      </c>
      <c r="N74" s="784"/>
    </row>
    <row r="75" spans="2:14" x14ac:dyDescent="0.25">
      <c r="B75" s="784"/>
      <c r="C75" s="800"/>
      <c r="D75" s="791"/>
      <c r="E75" s="791"/>
      <c r="F75" s="2899"/>
      <c r="G75" s="410"/>
      <c r="H75" s="410"/>
      <c r="I75" s="410"/>
      <c r="J75" s="410"/>
      <c r="K75" s="410"/>
      <c r="L75" s="410"/>
      <c r="M75" s="410"/>
      <c r="N75" s="784"/>
    </row>
    <row r="76" spans="2:14" x14ac:dyDescent="0.25">
      <c r="B76" s="784"/>
      <c r="C76" s="785" t="s">
        <v>487</v>
      </c>
      <c r="D76" s="784"/>
      <c r="E76" s="786"/>
      <c r="F76" s="2900"/>
      <c r="G76" s="784"/>
      <c r="H76" s="784"/>
      <c r="I76" s="784"/>
      <c r="J76" s="784"/>
      <c r="K76" s="784"/>
      <c r="L76" s="784"/>
      <c r="M76" s="2891" t="s">
        <v>1977</v>
      </c>
      <c r="N76" s="784"/>
    </row>
    <row r="77" spans="2:14" ht="5.25" customHeight="1" x14ac:dyDescent="0.25">
      <c r="B77" s="784"/>
      <c r="C77" s="784"/>
      <c r="D77" s="784"/>
      <c r="E77" s="784"/>
      <c r="F77" s="2900"/>
      <c r="G77" s="784"/>
      <c r="H77" s="784"/>
      <c r="I77" s="784"/>
      <c r="J77" s="784"/>
      <c r="K77" s="784"/>
      <c r="L77" s="784"/>
      <c r="M77" s="784"/>
      <c r="N77" s="784"/>
    </row>
    <row r="78" spans="2:14" x14ac:dyDescent="0.25">
      <c r="B78" s="784"/>
      <c r="C78" s="787" t="s">
        <v>3</v>
      </c>
      <c r="D78" s="787" t="s">
        <v>483</v>
      </c>
      <c r="E78" s="787" t="s">
        <v>8</v>
      </c>
      <c r="F78" s="2901">
        <v>2015</v>
      </c>
      <c r="G78" s="789">
        <v>2020</v>
      </c>
      <c r="H78" s="788">
        <v>2025</v>
      </c>
      <c r="I78" s="788">
        <v>2030</v>
      </c>
      <c r="J78" s="788">
        <v>2035</v>
      </c>
      <c r="K78" s="788">
        <v>2040</v>
      </c>
      <c r="L78" s="788">
        <v>2045</v>
      </c>
      <c r="M78" s="788">
        <v>2050</v>
      </c>
      <c r="N78" s="784"/>
    </row>
    <row r="79" spans="2:14" x14ac:dyDescent="0.25">
      <c r="B79" s="784"/>
      <c r="C79" s="790">
        <v>1</v>
      </c>
      <c r="D79" s="791"/>
      <c r="E79" s="2894" t="s">
        <v>136</v>
      </c>
      <c r="F79" s="794">
        <v>1</v>
      </c>
      <c r="G79" s="793">
        <f t="shared" ref="G79:M82" si="8">1-(1-G54)*$G$86</f>
        <v>1</v>
      </c>
      <c r="H79" s="794">
        <f t="shared" si="8"/>
        <v>1</v>
      </c>
      <c r="I79" s="794">
        <f t="shared" si="8"/>
        <v>1</v>
      </c>
      <c r="J79" s="794">
        <f t="shared" si="8"/>
        <v>1</v>
      </c>
      <c r="K79" s="794">
        <f t="shared" si="8"/>
        <v>1</v>
      </c>
      <c r="L79" s="794">
        <f t="shared" si="8"/>
        <v>1</v>
      </c>
      <c r="M79" s="794">
        <f t="shared" si="8"/>
        <v>1</v>
      </c>
      <c r="N79" s="784"/>
    </row>
    <row r="80" spans="2:14" x14ac:dyDescent="0.25">
      <c r="B80" s="784"/>
      <c r="C80" s="790">
        <v>2</v>
      </c>
      <c r="D80" s="791"/>
      <c r="E80" s="2894" t="s">
        <v>136</v>
      </c>
      <c r="F80" s="794">
        <v>1</v>
      </c>
      <c r="G80" s="793">
        <f t="shared" si="8"/>
        <v>0.74074074074074103</v>
      </c>
      <c r="H80" s="794">
        <f t="shared" si="8"/>
        <v>0.74074074074074081</v>
      </c>
      <c r="I80" s="794">
        <f t="shared" si="8"/>
        <v>0.66454545454545444</v>
      </c>
      <c r="J80" s="794">
        <f t="shared" si="8"/>
        <v>0.66454545454545444</v>
      </c>
      <c r="K80" s="794">
        <f t="shared" si="8"/>
        <v>0.7407407407407407</v>
      </c>
      <c r="L80" s="794">
        <f t="shared" si="8"/>
        <v>0.7407407407407407</v>
      </c>
      <c r="M80" s="794">
        <f t="shared" si="8"/>
        <v>0.7407407407407407</v>
      </c>
      <c r="N80" s="784"/>
    </row>
    <row r="81" spans="2:14" x14ac:dyDescent="0.25">
      <c r="B81" s="784"/>
      <c r="C81" s="790">
        <v>3</v>
      </c>
      <c r="D81" s="791"/>
      <c r="E81" s="2894" t="s">
        <v>136</v>
      </c>
      <c r="F81" s="794">
        <v>1</v>
      </c>
      <c r="G81" s="795">
        <f t="shared" si="8"/>
        <v>0.74074074074074081</v>
      </c>
      <c r="H81" s="794">
        <f t="shared" si="8"/>
        <v>0.74074074074074081</v>
      </c>
      <c r="I81" s="794">
        <f t="shared" si="8"/>
        <v>0.59090909090909094</v>
      </c>
      <c r="J81" s="794">
        <f t="shared" si="8"/>
        <v>0.59090909090909094</v>
      </c>
      <c r="K81" s="794">
        <f t="shared" si="8"/>
        <v>0.59259259259259267</v>
      </c>
      <c r="L81" s="794">
        <f t="shared" si="8"/>
        <v>0.59259259259259267</v>
      </c>
      <c r="M81" s="794">
        <f t="shared" si="8"/>
        <v>0.59259259259259267</v>
      </c>
      <c r="N81" s="784"/>
    </row>
    <row r="82" spans="2:14" x14ac:dyDescent="0.25">
      <c r="B82" s="784"/>
      <c r="C82" s="796">
        <v>4</v>
      </c>
      <c r="D82" s="797"/>
      <c r="E82" s="2894" t="s">
        <v>136</v>
      </c>
      <c r="F82" s="794">
        <v>1</v>
      </c>
      <c r="G82" s="795">
        <f t="shared" si="8"/>
        <v>0.74074074074074081</v>
      </c>
      <c r="H82" s="794">
        <f t="shared" si="8"/>
        <v>0.74074074074074081</v>
      </c>
      <c r="I82" s="794">
        <f t="shared" si="8"/>
        <v>0.5</v>
      </c>
      <c r="J82" s="794">
        <f t="shared" si="8"/>
        <v>0.5</v>
      </c>
      <c r="K82" s="794">
        <f t="shared" si="8"/>
        <v>0.26455026455026465</v>
      </c>
      <c r="L82" s="794">
        <f t="shared" si="8"/>
        <v>0.26455026455026465</v>
      </c>
      <c r="M82" s="794">
        <f t="shared" si="8"/>
        <v>0.26455026455026465</v>
      </c>
      <c r="N82" s="784"/>
    </row>
    <row r="83" spans="2:14" x14ac:dyDescent="0.25">
      <c r="B83" s="784"/>
      <c r="C83" s="798" t="s">
        <v>153</v>
      </c>
      <c r="D83" s="799"/>
      <c r="E83" s="799"/>
      <c r="F83" s="2898">
        <f t="shared" ref="F83:M83" si="9">(INDEX(F$79:F$82,ROUNDDOWN($E$7,0))*(1-MOD($E$7,1)))+(INDEX(F$79:F$82,ROUNDUP($E$7,0))*MOD($E$7,1))</f>
        <v>1</v>
      </c>
      <c r="G83" s="401">
        <f t="shared" si="9"/>
        <v>1</v>
      </c>
      <c r="H83" s="401">
        <f t="shared" si="9"/>
        <v>1</v>
      </c>
      <c r="I83" s="401">
        <f t="shared" si="9"/>
        <v>1</v>
      </c>
      <c r="J83" s="401">
        <f t="shared" si="9"/>
        <v>1</v>
      </c>
      <c r="K83" s="401">
        <f t="shared" si="9"/>
        <v>1</v>
      </c>
      <c r="L83" s="401">
        <f t="shared" si="9"/>
        <v>1</v>
      </c>
      <c r="M83" s="401">
        <f t="shared" si="9"/>
        <v>1</v>
      </c>
      <c r="N83" s="784"/>
    </row>
    <row r="84" spans="2:14" ht="5.25" customHeight="1" x14ac:dyDescent="0.25">
      <c r="B84" s="784"/>
      <c r="C84" s="800"/>
      <c r="D84" s="791"/>
      <c r="E84" s="791"/>
      <c r="F84" s="410"/>
      <c r="G84" s="410"/>
      <c r="H84" s="410"/>
      <c r="I84" s="410"/>
      <c r="J84" s="410"/>
      <c r="K84" s="410"/>
      <c r="L84" s="410"/>
      <c r="M84" s="410"/>
      <c r="N84" s="784"/>
    </row>
    <row r="85" spans="2:14" x14ac:dyDescent="0.25">
      <c r="B85" s="784"/>
      <c r="C85" s="2897" t="s">
        <v>8</v>
      </c>
      <c r="D85" s="791"/>
      <c r="E85" s="791"/>
      <c r="F85" s="410"/>
      <c r="G85" s="410"/>
      <c r="H85" s="410"/>
      <c r="I85" s="410"/>
      <c r="J85" s="410"/>
      <c r="K85" s="410"/>
      <c r="L85" s="410"/>
      <c r="M85" s="410"/>
      <c r="N85" s="784"/>
    </row>
    <row r="86" spans="2:14" x14ac:dyDescent="0.25">
      <c r="B86" s="784"/>
      <c r="C86" s="2897" t="s">
        <v>136</v>
      </c>
      <c r="D86" s="2896" t="s">
        <v>1975</v>
      </c>
      <c r="E86" s="791"/>
      <c r="F86" s="410"/>
      <c r="G86" s="800">
        <v>1</v>
      </c>
      <c r="H86" s="2896" t="s">
        <v>1986</v>
      </c>
      <c r="I86" s="410"/>
      <c r="J86" s="410"/>
      <c r="K86" s="410"/>
      <c r="L86" s="410"/>
      <c r="M86" s="410"/>
      <c r="N86" s="784"/>
    </row>
    <row r="87" spans="2:14" x14ac:dyDescent="0.25">
      <c r="B87" s="784"/>
      <c r="C87" s="800"/>
      <c r="D87" s="2896" t="s">
        <v>1976</v>
      </c>
      <c r="E87" s="791"/>
      <c r="F87" s="410"/>
      <c r="G87" s="410"/>
      <c r="H87" s="410" t="s">
        <v>2059</v>
      </c>
      <c r="I87" s="410"/>
      <c r="J87" s="410"/>
      <c r="K87" s="410"/>
      <c r="L87" s="410"/>
      <c r="M87" s="410"/>
      <c r="N87" s="784"/>
    </row>
    <row r="88" spans="2:14" x14ac:dyDescent="0.25">
      <c r="B88" s="784"/>
      <c r="C88" s="800"/>
      <c r="D88" s="2896" t="s">
        <v>1980</v>
      </c>
      <c r="E88" s="791"/>
      <c r="F88" s="410"/>
      <c r="G88" s="410"/>
      <c r="H88" s="410" t="s">
        <v>2060</v>
      </c>
      <c r="I88" s="410"/>
      <c r="J88" s="410"/>
      <c r="K88" s="410"/>
      <c r="L88" s="410"/>
      <c r="M88" s="410"/>
      <c r="N88" s="784"/>
    </row>
    <row r="89" spans="2:14" x14ac:dyDescent="0.25">
      <c r="B89" s="784"/>
      <c r="C89" s="784"/>
      <c r="D89" s="784" t="s">
        <v>2219</v>
      </c>
      <c r="E89" s="784"/>
      <c r="F89" s="784"/>
      <c r="G89" s="410"/>
      <c r="H89" s="410"/>
      <c r="I89" s="410"/>
      <c r="J89" s="410"/>
      <c r="K89" s="410"/>
      <c r="L89" s="410"/>
      <c r="M89" s="410"/>
      <c r="N89" s="784"/>
    </row>
    <row r="90" spans="2:14" x14ac:dyDescent="0.25">
      <c r="B90" s="784"/>
      <c r="C90" s="800"/>
      <c r="D90" s="2896"/>
      <c r="E90" s="791"/>
      <c r="F90" s="410"/>
      <c r="G90" s="410"/>
      <c r="H90" s="410"/>
      <c r="I90" s="410"/>
      <c r="J90" s="410"/>
      <c r="K90" s="410"/>
      <c r="L90" s="410"/>
      <c r="M90" s="410"/>
      <c r="N90" s="784"/>
    </row>
    <row r="91" spans="2:14" x14ac:dyDescent="0.25">
      <c r="B91" s="2892" t="s">
        <v>1969</v>
      </c>
      <c r="C91" s="785" t="s">
        <v>2248</v>
      </c>
      <c r="D91" s="791"/>
      <c r="E91" s="791"/>
      <c r="F91" s="410"/>
      <c r="G91" s="410"/>
      <c r="H91" s="410"/>
      <c r="I91" s="410"/>
      <c r="J91" s="410"/>
      <c r="K91" s="410"/>
      <c r="L91" s="410"/>
      <c r="M91" s="2904" t="s">
        <v>190</v>
      </c>
      <c r="N91" s="784"/>
    </row>
    <row r="92" spans="2:14" ht="6" customHeight="1" x14ac:dyDescent="0.25">
      <c r="B92" s="784"/>
      <c r="C92" s="785"/>
      <c r="D92" s="791"/>
      <c r="E92" s="791"/>
      <c r="F92" s="410"/>
      <c r="G92" s="410"/>
      <c r="H92" s="410"/>
      <c r="I92" s="410"/>
      <c r="J92" s="410"/>
      <c r="K92" s="410"/>
      <c r="L92" s="410"/>
      <c r="M92" s="410"/>
      <c r="N92" s="784"/>
    </row>
    <row r="93" spans="2:14" x14ac:dyDescent="0.25">
      <c r="B93" s="784"/>
      <c r="C93" s="787" t="s">
        <v>3</v>
      </c>
      <c r="D93" s="787" t="s">
        <v>483</v>
      </c>
      <c r="E93" s="787" t="s">
        <v>8</v>
      </c>
      <c r="F93" s="788">
        <v>2015</v>
      </c>
      <c r="G93" s="789">
        <v>2020</v>
      </c>
      <c r="H93" s="788">
        <v>2025</v>
      </c>
      <c r="I93" s="788">
        <v>2030</v>
      </c>
      <c r="J93" s="788">
        <v>2035</v>
      </c>
      <c r="K93" s="788">
        <v>2040</v>
      </c>
      <c r="L93" s="788">
        <v>2045</v>
      </c>
      <c r="M93" s="788">
        <v>2050</v>
      </c>
      <c r="N93" s="784"/>
    </row>
    <row r="94" spans="2:14" x14ac:dyDescent="0.25">
      <c r="B94" s="784"/>
      <c r="C94" s="800">
        <v>1</v>
      </c>
      <c r="D94" s="791"/>
      <c r="E94" s="2894" t="s">
        <v>317</v>
      </c>
      <c r="F94" s="1912">
        <v>0</v>
      </c>
      <c r="G94" s="1912">
        <v>0</v>
      </c>
      <c r="H94" s="1911">
        <v>0</v>
      </c>
      <c r="I94" s="1911">
        <v>0</v>
      </c>
      <c r="J94" s="1911">
        <v>0</v>
      </c>
      <c r="K94" s="1911">
        <v>0</v>
      </c>
      <c r="L94" s="1911">
        <v>0</v>
      </c>
      <c r="M94" s="1911">
        <v>0</v>
      </c>
      <c r="N94" s="784"/>
    </row>
    <row r="95" spans="2:14" x14ac:dyDescent="0.25">
      <c r="B95" s="784"/>
      <c r="C95" s="800">
        <v>2</v>
      </c>
      <c r="D95" s="791"/>
      <c r="E95" s="2894" t="s">
        <v>317</v>
      </c>
      <c r="F95" s="2903">
        <v>2.0000000000000001E-4</v>
      </c>
      <c r="G95" s="2903">
        <v>1.6366723076011119E-3</v>
      </c>
      <c r="H95" s="2854">
        <v>7.6715044736497019E-3</v>
      </c>
      <c r="I95" s="2854">
        <v>3.3001559412649005E-2</v>
      </c>
      <c r="J95" s="2854">
        <v>0.10554142701507294</v>
      </c>
      <c r="K95" s="2854">
        <v>0.19456507623761804</v>
      </c>
      <c r="L95" s="2854">
        <v>0.23600302024457429</v>
      </c>
      <c r="M95" s="2854">
        <v>0.25</v>
      </c>
      <c r="N95" s="784"/>
    </row>
    <row r="96" spans="2:14" x14ac:dyDescent="0.25">
      <c r="B96" s="784"/>
      <c r="C96" s="800">
        <v>3</v>
      </c>
      <c r="D96" s="791"/>
      <c r="E96" s="2894" t="s">
        <v>317</v>
      </c>
      <c r="F96" s="2903">
        <v>2.0000000000000001E-4</v>
      </c>
      <c r="G96" s="2903">
        <v>2.9460101536820018E-3</v>
      </c>
      <c r="H96" s="2854">
        <v>1.3808708052569462E-2</v>
      </c>
      <c r="I96" s="2854">
        <v>5.9402806942768206E-2</v>
      </c>
      <c r="J96" s="2854">
        <v>0.1899745686271313</v>
      </c>
      <c r="K96" s="2854">
        <v>0.35021713722771247</v>
      </c>
      <c r="L96" s="2854">
        <v>0.42480543644023372</v>
      </c>
      <c r="M96" s="2854">
        <v>0.45</v>
      </c>
      <c r="N96" s="784"/>
    </row>
    <row r="97" spans="2:14" x14ac:dyDescent="0.25">
      <c r="B97" s="784"/>
      <c r="C97" s="800">
        <v>4</v>
      </c>
      <c r="D97" s="791"/>
      <c r="E97" s="2894" t="s">
        <v>317</v>
      </c>
      <c r="F97" s="2903">
        <v>2.0000000000000001E-4</v>
      </c>
      <c r="G97" s="2903">
        <v>4.255347999762891E-3</v>
      </c>
      <c r="H97" s="2854">
        <v>1.9945911631489226E-2</v>
      </c>
      <c r="I97" s="2854">
        <v>8.5804054472887414E-2</v>
      </c>
      <c r="J97" s="2854">
        <v>0.27440771023918964</v>
      </c>
      <c r="K97" s="2854">
        <v>0.50586919821780685</v>
      </c>
      <c r="L97" s="2854">
        <v>0.61360785263589313</v>
      </c>
      <c r="M97" s="2854">
        <v>0.65</v>
      </c>
      <c r="N97" s="784"/>
    </row>
    <row r="98" spans="2:14" x14ac:dyDescent="0.25">
      <c r="B98" s="784"/>
      <c r="C98" s="798" t="s">
        <v>153</v>
      </c>
      <c r="D98" s="799"/>
      <c r="E98" s="799"/>
      <c r="F98" s="2673">
        <f t="shared" ref="F98:M98" si="10">(INDEX(F$94:F$97,ROUNDDOWN($E$9,0))*(1-MOD($E$9,1)))+(INDEX(F$94:F$97,ROUNDUP($E$9,0))*MOD($E$9,1))</f>
        <v>0</v>
      </c>
      <c r="G98" s="2673">
        <f t="shared" si="10"/>
        <v>0</v>
      </c>
      <c r="H98" s="2673">
        <f t="shared" si="10"/>
        <v>0</v>
      </c>
      <c r="I98" s="2673">
        <f t="shared" si="10"/>
        <v>0</v>
      </c>
      <c r="J98" s="2673">
        <f t="shared" si="10"/>
        <v>0</v>
      </c>
      <c r="K98" s="2673">
        <f t="shared" si="10"/>
        <v>0</v>
      </c>
      <c r="L98" s="2673">
        <f t="shared" si="10"/>
        <v>0</v>
      </c>
      <c r="M98" s="2673">
        <f t="shared" si="10"/>
        <v>0</v>
      </c>
      <c r="N98" s="784"/>
    </row>
    <row r="99" spans="2:14" ht="5.25" customHeight="1" x14ac:dyDescent="0.25">
      <c r="B99" s="784"/>
      <c r="C99" s="800"/>
      <c r="D99" s="791"/>
      <c r="E99" s="791"/>
      <c r="F99" s="2902"/>
      <c r="G99" s="2902"/>
      <c r="H99" s="2902"/>
      <c r="I99" s="2902"/>
      <c r="J99" s="2902"/>
      <c r="K99" s="2902"/>
      <c r="L99" s="2902"/>
      <c r="M99" s="2902"/>
      <c r="N99" s="784"/>
    </row>
    <row r="100" spans="2:14" x14ac:dyDescent="0.25">
      <c r="B100" s="784"/>
      <c r="C100" s="2897" t="s">
        <v>8</v>
      </c>
      <c r="D100" s="791"/>
      <c r="E100" s="791"/>
      <c r="F100" s="2902"/>
      <c r="G100" s="2902"/>
      <c r="H100" s="2902"/>
      <c r="I100" s="2902"/>
      <c r="J100" s="2902"/>
      <c r="K100" s="2902"/>
      <c r="L100" s="2902"/>
      <c r="M100" s="2902"/>
      <c r="N100" s="784"/>
    </row>
    <row r="101" spans="2:14" x14ac:dyDescent="0.25">
      <c r="B101" s="784"/>
      <c r="C101" s="2897" t="s">
        <v>317</v>
      </c>
      <c r="D101" s="3300" t="s">
        <v>2249</v>
      </c>
      <c r="E101" s="791"/>
      <c r="F101" s="2902"/>
      <c r="G101" s="2902"/>
      <c r="H101" s="2902"/>
      <c r="I101" s="2902"/>
      <c r="J101" s="2902"/>
      <c r="K101" s="2902"/>
      <c r="L101" s="2902"/>
      <c r="M101" s="2902"/>
      <c r="N101" s="784"/>
    </row>
    <row r="102" spans="2:14" x14ac:dyDescent="0.25">
      <c r="B102" s="784"/>
      <c r="C102" s="800"/>
      <c r="D102" s="2896" t="s">
        <v>1981</v>
      </c>
      <c r="E102" s="791"/>
      <c r="F102" s="2902"/>
      <c r="G102" s="2902"/>
      <c r="H102" s="2902"/>
      <c r="I102" s="2902"/>
      <c r="J102" s="2902"/>
      <c r="K102" s="2902"/>
      <c r="L102" s="2902"/>
      <c r="M102" s="2902"/>
      <c r="N102" s="784"/>
    </row>
    <row r="103" spans="2:14" x14ac:dyDescent="0.25">
      <c r="B103" s="784"/>
      <c r="C103" s="800"/>
      <c r="D103" s="2896"/>
      <c r="E103" s="791"/>
      <c r="F103" s="2902"/>
      <c r="G103" s="2902"/>
      <c r="H103" s="2902"/>
      <c r="I103" s="2902"/>
      <c r="J103" s="2902"/>
      <c r="K103" s="2902"/>
      <c r="L103" s="2902"/>
      <c r="M103" s="2902"/>
      <c r="N103" s="784"/>
    </row>
    <row r="104" spans="2:14" x14ac:dyDescent="0.25">
      <c r="B104" s="2892" t="s">
        <v>1970</v>
      </c>
      <c r="C104" s="785" t="s">
        <v>1982</v>
      </c>
      <c r="D104" s="791"/>
      <c r="E104" s="791"/>
      <c r="F104" s="410"/>
      <c r="G104" s="410"/>
      <c r="H104" s="410"/>
      <c r="I104" s="410"/>
      <c r="J104" s="410"/>
      <c r="K104" s="410"/>
      <c r="L104" s="410"/>
      <c r="M104" s="2904" t="s">
        <v>190</v>
      </c>
      <c r="N104" s="784"/>
    </row>
    <row r="105" spans="2:14" ht="6" customHeight="1" x14ac:dyDescent="0.25">
      <c r="B105" s="784"/>
      <c r="C105" s="785"/>
      <c r="D105" s="791"/>
      <c r="E105" s="791"/>
      <c r="F105" s="410"/>
      <c r="G105" s="410"/>
      <c r="H105" s="410"/>
      <c r="I105" s="410"/>
      <c r="J105" s="410"/>
      <c r="K105" s="410"/>
      <c r="L105" s="410"/>
      <c r="M105" s="410"/>
      <c r="N105" s="784"/>
    </row>
    <row r="106" spans="2:14" x14ac:dyDescent="0.25">
      <c r="B106" s="784"/>
      <c r="C106" s="787" t="s">
        <v>3</v>
      </c>
      <c r="D106" s="787" t="s">
        <v>483</v>
      </c>
      <c r="E106" s="787" t="s">
        <v>8</v>
      </c>
      <c r="F106" s="788">
        <v>2015</v>
      </c>
      <c r="G106" s="789">
        <v>2020</v>
      </c>
      <c r="H106" s="788">
        <v>2025</v>
      </c>
      <c r="I106" s="788">
        <v>2030</v>
      </c>
      <c r="J106" s="788">
        <v>2035</v>
      </c>
      <c r="K106" s="788">
        <v>2040</v>
      </c>
      <c r="L106" s="788">
        <v>2045</v>
      </c>
      <c r="M106" s="788">
        <v>2050</v>
      </c>
      <c r="N106" s="784"/>
    </row>
    <row r="107" spans="2:14" x14ac:dyDescent="0.25">
      <c r="B107" s="784"/>
      <c r="C107" s="800">
        <v>1</v>
      </c>
      <c r="D107" s="791"/>
      <c r="E107" s="2894" t="s">
        <v>319</v>
      </c>
      <c r="F107" s="1912">
        <v>0</v>
      </c>
      <c r="G107" s="1912">
        <v>0</v>
      </c>
      <c r="H107" s="1911">
        <v>0</v>
      </c>
      <c r="I107" s="1911">
        <v>0</v>
      </c>
      <c r="J107" s="1911">
        <v>0</v>
      </c>
      <c r="K107" s="1911">
        <v>0</v>
      </c>
      <c r="L107" s="1911">
        <v>0</v>
      </c>
      <c r="M107" s="1911">
        <v>0</v>
      </c>
      <c r="N107" s="784"/>
    </row>
    <row r="108" spans="2:14" x14ac:dyDescent="0.25">
      <c r="B108" s="784"/>
      <c r="C108" s="800">
        <v>2</v>
      </c>
      <c r="D108" s="791"/>
      <c r="E108" s="2894" t="s">
        <v>319</v>
      </c>
      <c r="F108" s="2903">
        <v>2.0000000000000001E-4</v>
      </c>
      <c r="G108" s="2903">
        <v>1.6366723076011119E-3</v>
      </c>
      <c r="H108" s="2854">
        <v>7.6715044736497019E-3</v>
      </c>
      <c r="I108" s="2854">
        <v>3.3001559412649005E-2</v>
      </c>
      <c r="J108" s="2854">
        <v>0.10554142701507294</v>
      </c>
      <c r="K108" s="2854">
        <v>0.19456507623761804</v>
      </c>
      <c r="L108" s="2854">
        <v>0.23600302024457429</v>
      </c>
      <c r="M108" s="2854">
        <v>0.25</v>
      </c>
      <c r="N108" s="784"/>
    </row>
    <row r="109" spans="2:14" x14ac:dyDescent="0.25">
      <c r="B109" s="784"/>
      <c r="C109" s="800">
        <v>3</v>
      </c>
      <c r="D109" s="791"/>
      <c r="E109" s="2894" t="s">
        <v>319</v>
      </c>
      <c r="F109" s="2903">
        <v>2.0000000000000001E-4</v>
      </c>
      <c r="G109" s="2903">
        <v>2.9460101536820018E-3</v>
      </c>
      <c r="H109" s="2854">
        <v>1.3808708052569462E-2</v>
      </c>
      <c r="I109" s="2854">
        <v>5.9402806942768206E-2</v>
      </c>
      <c r="J109" s="2854">
        <v>0.1899745686271313</v>
      </c>
      <c r="K109" s="2854">
        <v>0.35021713722771247</v>
      </c>
      <c r="L109" s="2854">
        <v>0.42480543644023372</v>
      </c>
      <c r="M109" s="2854">
        <v>0.45</v>
      </c>
      <c r="N109" s="784"/>
    </row>
    <row r="110" spans="2:14" x14ac:dyDescent="0.25">
      <c r="B110" s="784"/>
      <c r="C110" s="800">
        <v>4</v>
      </c>
      <c r="D110" s="791"/>
      <c r="E110" s="2894" t="s">
        <v>319</v>
      </c>
      <c r="F110" s="2903">
        <v>2.0000000000000001E-4</v>
      </c>
      <c r="G110" s="2903">
        <v>4.255347999762891E-3</v>
      </c>
      <c r="H110" s="2854">
        <v>1.9945911631489226E-2</v>
      </c>
      <c r="I110" s="2854">
        <v>8.5804054472887414E-2</v>
      </c>
      <c r="J110" s="2854">
        <v>0.27440771023918964</v>
      </c>
      <c r="K110" s="2854">
        <v>0.50586919821780685</v>
      </c>
      <c r="L110" s="2854">
        <v>0.61360785263589313</v>
      </c>
      <c r="M110" s="2854">
        <v>0.65</v>
      </c>
      <c r="N110" s="784"/>
    </row>
    <row r="111" spans="2:14" x14ac:dyDescent="0.25">
      <c r="B111" s="784"/>
      <c r="C111" s="798" t="s">
        <v>153</v>
      </c>
      <c r="D111" s="799"/>
      <c r="E111" s="799"/>
      <c r="F111" s="2673">
        <f t="shared" ref="F111:M111" si="11">(INDEX(F$107:F$110,ROUNDDOWN($E$10,0))*(1-MOD($E$10,1)))+(INDEX(F$107:F$110,ROUNDUP($E$10,0))*MOD($E$10,1))</f>
        <v>0</v>
      </c>
      <c r="G111" s="2673">
        <f t="shared" si="11"/>
        <v>0</v>
      </c>
      <c r="H111" s="2673">
        <f t="shared" si="11"/>
        <v>0</v>
      </c>
      <c r="I111" s="2673">
        <f t="shared" si="11"/>
        <v>0</v>
      </c>
      <c r="J111" s="2673">
        <f t="shared" si="11"/>
        <v>0</v>
      </c>
      <c r="K111" s="2673">
        <f t="shared" si="11"/>
        <v>0</v>
      </c>
      <c r="L111" s="2673">
        <f t="shared" si="11"/>
        <v>0</v>
      </c>
      <c r="M111" s="2673">
        <f t="shared" si="11"/>
        <v>0</v>
      </c>
      <c r="N111" s="784"/>
    </row>
    <row r="112" spans="2:14" ht="5.25" customHeight="1" x14ac:dyDescent="0.25">
      <c r="B112" s="784"/>
      <c r="C112" s="800"/>
      <c r="D112" s="791"/>
      <c r="E112" s="791"/>
      <c r="F112" s="2902"/>
      <c r="G112" s="2902"/>
      <c r="H112" s="2902"/>
      <c r="I112" s="2902"/>
      <c r="J112" s="2902"/>
      <c r="K112" s="2902"/>
      <c r="L112" s="2902"/>
      <c r="M112" s="2902"/>
      <c r="N112" s="784"/>
    </row>
    <row r="113" spans="2:14" x14ac:dyDescent="0.25">
      <c r="B113" s="784"/>
      <c r="C113" s="2897" t="s">
        <v>8</v>
      </c>
      <c r="D113" s="791"/>
      <c r="E113" s="791"/>
      <c r="F113" s="2902"/>
      <c r="G113" s="2902"/>
      <c r="H113" s="2902"/>
      <c r="I113" s="2902"/>
      <c r="J113" s="2902"/>
      <c r="K113" s="2902"/>
      <c r="L113" s="2902"/>
      <c r="M113" s="2902"/>
      <c r="N113" s="784"/>
    </row>
    <row r="114" spans="2:14" x14ac:dyDescent="0.25">
      <c r="B114" s="784"/>
      <c r="C114" s="2897" t="s">
        <v>319</v>
      </c>
      <c r="D114" s="2896" t="s">
        <v>1983</v>
      </c>
      <c r="E114" s="791"/>
      <c r="F114" s="2902"/>
      <c r="G114" s="2902"/>
      <c r="H114" s="2902"/>
      <c r="I114" s="2902"/>
      <c r="J114" s="2902"/>
      <c r="K114" s="2902"/>
      <c r="L114" s="2902"/>
      <c r="M114" s="2902"/>
      <c r="N114" s="784"/>
    </row>
    <row r="115" spans="2:14" x14ac:dyDescent="0.25">
      <c r="B115" s="784"/>
      <c r="C115" s="800"/>
      <c r="D115" s="2896" t="s">
        <v>1984</v>
      </c>
      <c r="E115" s="791"/>
      <c r="F115" s="2902"/>
      <c r="G115" s="2902"/>
      <c r="H115" s="2902"/>
      <c r="I115" s="2902"/>
      <c r="J115" s="2902"/>
      <c r="K115" s="2902"/>
      <c r="L115" s="2902"/>
      <c r="M115" s="2902"/>
      <c r="N115" s="784"/>
    </row>
    <row r="116" spans="2:14" x14ac:dyDescent="0.25">
      <c r="B116" s="784"/>
      <c r="C116" s="800"/>
      <c r="D116" s="2896"/>
      <c r="E116" s="791"/>
      <c r="F116" s="2902"/>
      <c r="G116" s="2902"/>
      <c r="H116" s="2902"/>
      <c r="I116" s="2902"/>
      <c r="J116" s="2902"/>
      <c r="K116" s="2902"/>
      <c r="L116" s="2902"/>
      <c r="M116" s="2902"/>
      <c r="N116" s="784"/>
    </row>
    <row r="117" spans="2:14" x14ac:dyDescent="0.25">
      <c r="B117" s="2892" t="s">
        <v>1971</v>
      </c>
      <c r="C117" s="785" t="s">
        <v>1966</v>
      </c>
      <c r="D117" s="2896"/>
      <c r="E117" s="791"/>
      <c r="F117" s="2902"/>
      <c r="G117" s="2902"/>
      <c r="H117" s="2902"/>
      <c r="I117" s="2902"/>
      <c r="J117" s="2902"/>
      <c r="K117" s="2902"/>
      <c r="L117" s="2902"/>
      <c r="M117" s="2902"/>
      <c r="N117" s="784"/>
    </row>
    <row r="118" spans="2:14" ht="3.75" customHeight="1" x14ac:dyDescent="0.25">
      <c r="B118" s="784"/>
      <c r="C118" s="800"/>
      <c r="D118" s="2896"/>
      <c r="E118" s="791"/>
      <c r="F118" s="2902"/>
      <c r="G118" s="2902"/>
      <c r="H118" s="2902"/>
      <c r="I118" s="2902"/>
      <c r="J118" s="2902"/>
      <c r="K118" s="2902"/>
      <c r="L118" s="2902"/>
      <c r="M118" s="2902"/>
      <c r="N118" s="784"/>
    </row>
    <row r="119" spans="2:14" x14ac:dyDescent="0.25">
      <c r="B119" s="784"/>
      <c r="C119" s="2905" t="s">
        <v>1985</v>
      </c>
      <c r="D119" s="791"/>
      <c r="E119" s="791"/>
      <c r="F119" s="1911"/>
      <c r="G119" s="1911"/>
      <c r="H119" s="1911"/>
      <c r="I119" s="1911"/>
      <c r="J119" s="1911"/>
      <c r="K119" s="1911"/>
      <c r="L119" s="1911"/>
      <c r="M119" s="410" t="s">
        <v>190</v>
      </c>
      <c r="N119" s="784"/>
    </row>
    <row r="120" spans="2:14" ht="2.25" customHeight="1" x14ac:dyDescent="0.25">
      <c r="B120" s="784"/>
      <c r="C120" s="800"/>
      <c r="D120" s="791"/>
      <c r="E120" s="791"/>
      <c r="F120" s="1911"/>
      <c r="G120" s="1911"/>
      <c r="H120" s="1911"/>
      <c r="I120" s="1911"/>
      <c r="J120" s="1911"/>
      <c r="K120" s="1911"/>
      <c r="L120" s="1911"/>
      <c r="M120" s="410"/>
      <c r="N120" s="784"/>
    </row>
    <row r="121" spans="2:14" x14ac:dyDescent="0.25">
      <c r="B121" s="784"/>
      <c r="C121" s="787"/>
      <c r="D121" s="787"/>
      <c r="E121" s="787"/>
      <c r="F121" s="788">
        <v>2015</v>
      </c>
      <c r="G121" s="789">
        <v>2020</v>
      </c>
      <c r="H121" s="788">
        <v>2025</v>
      </c>
      <c r="I121" s="788">
        <v>2030</v>
      </c>
      <c r="J121" s="788">
        <v>2035</v>
      </c>
      <c r="K121" s="788">
        <v>2040</v>
      </c>
      <c r="L121" s="788">
        <v>2045</v>
      </c>
      <c r="M121" s="788">
        <v>2050</v>
      </c>
      <c r="N121" s="784"/>
    </row>
    <row r="122" spans="2:14" x14ac:dyDescent="0.25">
      <c r="B122" s="784"/>
      <c r="C122" s="3602" t="s">
        <v>635</v>
      </c>
      <c r="D122" s="791" t="s">
        <v>509</v>
      </c>
      <c r="E122" s="2896" t="s">
        <v>1073</v>
      </c>
      <c r="F122" s="2854">
        <v>0</v>
      </c>
      <c r="G122" s="2854">
        <v>0</v>
      </c>
      <c r="H122" s="2854">
        <v>0</v>
      </c>
      <c r="I122" s="2854">
        <v>0</v>
      </c>
      <c r="J122" s="2854">
        <v>0</v>
      </c>
      <c r="K122" s="2854">
        <v>0</v>
      </c>
      <c r="L122" s="2854">
        <v>0</v>
      </c>
      <c r="M122" s="2854">
        <v>0</v>
      </c>
      <c r="N122" s="784"/>
    </row>
    <row r="123" spans="2:14" x14ac:dyDescent="0.25">
      <c r="B123" s="784"/>
      <c r="C123" s="3603"/>
      <c r="D123" s="791" t="s">
        <v>510</v>
      </c>
      <c r="E123" s="2896" t="s">
        <v>1073</v>
      </c>
      <c r="F123" s="2854">
        <v>0.85436333333333336</v>
      </c>
      <c r="G123" s="2854">
        <v>0.8091493333333335</v>
      </c>
      <c r="H123" s="2854">
        <v>0.74877333333333329</v>
      </c>
      <c r="I123" s="2854">
        <v>0.69252666666666651</v>
      </c>
      <c r="J123" s="2854">
        <v>0.64258000000000015</v>
      </c>
      <c r="K123" s="2854">
        <v>0.621776</v>
      </c>
      <c r="L123" s="2854">
        <v>0.62126666666666663</v>
      </c>
      <c r="M123" s="2854">
        <v>0.62063733333333326</v>
      </c>
      <c r="N123" s="784"/>
    </row>
    <row r="124" spans="2:14" x14ac:dyDescent="0.25">
      <c r="B124" s="784"/>
      <c r="C124" s="3603"/>
      <c r="D124" s="791" t="s">
        <v>511</v>
      </c>
      <c r="E124" s="2896" t="s">
        <v>1073</v>
      </c>
      <c r="F124" s="2854">
        <v>0.14563666666666666</v>
      </c>
      <c r="G124" s="2854">
        <v>0.16085066666666664</v>
      </c>
      <c r="H124" s="2854">
        <v>0.17496</v>
      </c>
      <c r="I124" s="2854">
        <v>0.18575333333333335</v>
      </c>
      <c r="J124" s="2854">
        <v>0.19064000000000003</v>
      </c>
      <c r="K124" s="2854">
        <v>0.19355733333333339</v>
      </c>
      <c r="L124" s="2854">
        <v>0.19423333333333337</v>
      </c>
      <c r="M124" s="2854">
        <v>0.19502933333333336</v>
      </c>
      <c r="N124" s="784"/>
    </row>
    <row r="125" spans="2:14" x14ac:dyDescent="0.25">
      <c r="B125" s="784"/>
      <c r="C125" s="3603"/>
      <c r="D125" s="791" t="s">
        <v>498</v>
      </c>
      <c r="E125" s="2896" t="s">
        <v>1073</v>
      </c>
      <c r="F125" s="2854">
        <v>0</v>
      </c>
      <c r="G125" s="2854">
        <v>3.0000000000000013E-2</v>
      </c>
      <c r="H125" s="2854">
        <v>7.6266666666666649E-2</v>
      </c>
      <c r="I125" s="2854">
        <v>0.12171999999999997</v>
      </c>
      <c r="J125" s="2854">
        <v>0.16677999999999998</v>
      </c>
      <c r="K125" s="2854">
        <v>0.1846666666666667</v>
      </c>
      <c r="L125" s="2854">
        <v>0.1845</v>
      </c>
      <c r="M125" s="2854">
        <v>0.18433333333333335</v>
      </c>
      <c r="N125" s="784"/>
    </row>
    <row r="126" spans="2:14" x14ac:dyDescent="0.25">
      <c r="B126" s="784"/>
      <c r="C126" s="3603"/>
      <c r="D126" s="791" t="s">
        <v>612</v>
      </c>
      <c r="E126" s="2896" t="s">
        <v>1073</v>
      </c>
      <c r="F126" s="2854">
        <v>0</v>
      </c>
      <c r="G126" s="2854">
        <v>0</v>
      </c>
      <c r="H126" s="2854">
        <v>0</v>
      </c>
      <c r="I126" s="2854">
        <v>0</v>
      </c>
      <c r="J126" s="2854">
        <v>0</v>
      </c>
      <c r="K126" s="2854">
        <v>0</v>
      </c>
      <c r="L126" s="2854">
        <v>0</v>
      </c>
      <c r="M126" s="2854">
        <v>0</v>
      </c>
      <c r="N126" s="784"/>
    </row>
    <row r="127" spans="2:14" x14ac:dyDescent="0.25">
      <c r="B127" s="784"/>
      <c r="C127" s="3603"/>
      <c r="D127" s="791" t="s">
        <v>1957</v>
      </c>
      <c r="E127" s="2896" t="s">
        <v>1073</v>
      </c>
      <c r="F127" s="2854">
        <v>0</v>
      </c>
      <c r="G127" s="2854">
        <v>0</v>
      </c>
      <c r="H127" s="2854">
        <v>0</v>
      </c>
      <c r="I127" s="2854">
        <v>0</v>
      </c>
      <c r="J127" s="2854">
        <v>0</v>
      </c>
      <c r="K127" s="2854">
        <v>0</v>
      </c>
      <c r="L127" s="2854">
        <v>0</v>
      </c>
      <c r="M127" s="2854">
        <v>0</v>
      </c>
      <c r="N127" s="784"/>
    </row>
    <row r="128" spans="2:14" x14ac:dyDescent="0.25">
      <c r="B128" s="784"/>
      <c r="C128" s="3604"/>
      <c r="D128" s="807" t="s">
        <v>1685</v>
      </c>
      <c r="E128" s="2906" t="s">
        <v>1073</v>
      </c>
      <c r="F128" s="2855">
        <v>0</v>
      </c>
      <c r="G128" s="2855">
        <v>0</v>
      </c>
      <c r="H128" s="2855">
        <v>0</v>
      </c>
      <c r="I128" s="2855">
        <v>0</v>
      </c>
      <c r="J128" s="2855">
        <v>0</v>
      </c>
      <c r="K128" s="2855">
        <v>0</v>
      </c>
      <c r="L128" s="2855">
        <v>0</v>
      </c>
      <c r="M128" s="2855">
        <v>0</v>
      </c>
      <c r="N128" s="784"/>
    </row>
    <row r="129" spans="2:15" x14ac:dyDescent="0.25">
      <c r="B129" s="784"/>
      <c r="C129" s="3605" t="s">
        <v>636</v>
      </c>
      <c r="D129" s="791" t="s">
        <v>509</v>
      </c>
      <c r="E129" s="2896" t="s">
        <v>1087</v>
      </c>
      <c r="F129" s="2854">
        <v>0</v>
      </c>
      <c r="G129" s="2854">
        <v>0</v>
      </c>
      <c r="H129" s="2854">
        <v>0</v>
      </c>
      <c r="I129" s="2854">
        <v>0</v>
      </c>
      <c r="J129" s="2854">
        <v>0</v>
      </c>
      <c r="K129" s="2854">
        <v>0</v>
      </c>
      <c r="L129" s="2854">
        <v>0</v>
      </c>
      <c r="M129" s="2854">
        <v>0</v>
      </c>
      <c r="N129" s="784"/>
    </row>
    <row r="130" spans="2:15" x14ac:dyDescent="0.25">
      <c r="B130" s="784"/>
      <c r="C130" s="3603"/>
      <c r="D130" s="791" t="s">
        <v>510</v>
      </c>
      <c r="E130" s="2896" t="s">
        <v>1087</v>
      </c>
      <c r="F130" s="2854">
        <v>0.85436333333333336</v>
      </c>
      <c r="G130" s="2854">
        <v>0.83</v>
      </c>
      <c r="H130" s="2854">
        <v>0.76</v>
      </c>
      <c r="I130" s="2854">
        <v>0.7</v>
      </c>
      <c r="J130" s="2854">
        <v>0.65</v>
      </c>
      <c r="K130" s="2854">
        <v>0.63</v>
      </c>
      <c r="L130" s="2854">
        <v>0.62</v>
      </c>
      <c r="M130" s="2854">
        <v>0.61</v>
      </c>
      <c r="N130" s="784"/>
    </row>
    <row r="131" spans="2:15" x14ac:dyDescent="0.25">
      <c r="B131" s="784"/>
      <c r="C131" s="3603"/>
      <c r="D131" s="791" t="s">
        <v>511</v>
      </c>
      <c r="E131" s="2896" t="s">
        <v>1087</v>
      </c>
      <c r="F131" s="2854">
        <v>0.14563666666666666</v>
      </c>
      <c r="G131" s="2854">
        <v>0.12</v>
      </c>
      <c r="H131" s="2854">
        <v>0.13</v>
      </c>
      <c r="I131" s="2854">
        <v>0.14000000000000001</v>
      </c>
      <c r="J131" s="2854">
        <v>0.14000000000000001</v>
      </c>
      <c r="K131" s="2854">
        <v>0.15</v>
      </c>
      <c r="L131" s="2854">
        <v>0.15</v>
      </c>
      <c r="M131" s="2854">
        <v>0.16</v>
      </c>
      <c r="N131" s="784"/>
    </row>
    <row r="132" spans="2:15" x14ac:dyDescent="0.25">
      <c r="B132" s="784"/>
      <c r="C132" s="3603"/>
      <c r="D132" s="791" t="s">
        <v>498</v>
      </c>
      <c r="E132" s="2896" t="s">
        <v>1087</v>
      </c>
      <c r="F132" s="2854">
        <v>0</v>
      </c>
      <c r="G132" s="2854">
        <v>0.03</v>
      </c>
      <c r="H132" s="2854">
        <v>7.0000000000000007E-2</v>
      </c>
      <c r="I132" s="2854">
        <v>0.11</v>
      </c>
      <c r="J132" s="2854">
        <v>0.15</v>
      </c>
      <c r="K132" s="2854">
        <v>0.16</v>
      </c>
      <c r="L132" s="2854">
        <v>0.17</v>
      </c>
      <c r="M132" s="2854">
        <v>0.17</v>
      </c>
      <c r="N132" s="784"/>
    </row>
    <row r="133" spans="2:15" x14ac:dyDescent="0.25">
      <c r="B133" s="784"/>
      <c r="C133" s="3603"/>
      <c r="D133" s="791" t="s">
        <v>612</v>
      </c>
      <c r="E133" s="2896" t="s">
        <v>1087</v>
      </c>
      <c r="F133" s="2854">
        <v>0</v>
      </c>
      <c r="G133" s="2854">
        <v>0</v>
      </c>
      <c r="H133" s="2854">
        <v>0</v>
      </c>
      <c r="I133" s="2854">
        <v>0</v>
      </c>
      <c r="J133" s="2854">
        <v>0</v>
      </c>
      <c r="K133" s="2854">
        <v>0</v>
      </c>
      <c r="L133" s="2854">
        <v>0</v>
      </c>
      <c r="M133" s="2854">
        <v>0</v>
      </c>
      <c r="N133" s="784"/>
    </row>
    <row r="134" spans="2:15" x14ac:dyDescent="0.25">
      <c r="B134" s="784"/>
      <c r="C134" s="3603"/>
      <c r="D134" s="791" t="s">
        <v>1957</v>
      </c>
      <c r="E134" s="2896" t="s">
        <v>1087</v>
      </c>
      <c r="F134" s="2854">
        <v>0</v>
      </c>
      <c r="G134" s="2854">
        <v>0.02</v>
      </c>
      <c r="H134" s="2854">
        <v>0.04</v>
      </c>
      <c r="I134" s="2854">
        <v>0.05</v>
      </c>
      <c r="J134" s="2854">
        <v>0.06</v>
      </c>
      <c r="K134" s="2854">
        <v>0.06</v>
      </c>
      <c r="L134" s="2854">
        <v>0.06</v>
      </c>
      <c r="M134" s="2854">
        <v>0.06</v>
      </c>
      <c r="N134" s="784"/>
    </row>
    <row r="135" spans="2:15" x14ac:dyDescent="0.25">
      <c r="B135" s="784"/>
      <c r="C135" s="3604"/>
      <c r="D135" s="807" t="s">
        <v>1685</v>
      </c>
      <c r="E135" s="2906" t="s">
        <v>1087</v>
      </c>
      <c r="F135" s="2855">
        <v>0</v>
      </c>
      <c r="G135" s="2855">
        <v>0</v>
      </c>
      <c r="H135" s="2855">
        <v>0</v>
      </c>
      <c r="I135" s="2855">
        <v>0</v>
      </c>
      <c r="J135" s="2855">
        <v>0</v>
      </c>
      <c r="K135" s="2855">
        <v>0</v>
      </c>
      <c r="L135" s="2855">
        <v>0</v>
      </c>
      <c r="M135" s="2855">
        <v>0</v>
      </c>
      <c r="N135" s="784"/>
    </row>
    <row r="136" spans="2:15" x14ac:dyDescent="0.25">
      <c r="B136" s="784"/>
      <c r="C136" s="3605" t="s">
        <v>637</v>
      </c>
      <c r="D136" s="791" t="s">
        <v>509</v>
      </c>
      <c r="E136" s="2907" t="s">
        <v>1077</v>
      </c>
      <c r="F136" s="2854">
        <v>0</v>
      </c>
      <c r="G136" s="2854">
        <v>0</v>
      </c>
      <c r="H136" s="2854">
        <v>0</v>
      </c>
      <c r="I136" s="2854">
        <v>0</v>
      </c>
      <c r="J136" s="2854">
        <v>0</v>
      </c>
      <c r="K136" s="2854">
        <v>0</v>
      </c>
      <c r="L136" s="2854">
        <v>0</v>
      </c>
      <c r="M136" s="2854">
        <v>0</v>
      </c>
      <c r="N136" s="784"/>
    </row>
    <row r="137" spans="2:15" x14ac:dyDescent="0.25">
      <c r="B137" s="784"/>
      <c r="C137" s="3603"/>
      <c r="D137" s="791" t="s">
        <v>510</v>
      </c>
      <c r="E137" s="2896" t="s">
        <v>1077</v>
      </c>
      <c r="F137" s="2854">
        <v>0.85436333333333336</v>
      </c>
      <c r="G137" s="2854">
        <v>0.83514933333333352</v>
      </c>
      <c r="H137" s="2854">
        <v>0.7617733333333333</v>
      </c>
      <c r="I137" s="2854">
        <v>0.70552666666666652</v>
      </c>
      <c r="J137" s="2854">
        <v>0.6581800000000001</v>
      </c>
      <c r="K137" s="2854">
        <v>0.63737599999999994</v>
      </c>
      <c r="L137" s="2854">
        <v>0.622</v>
      </c>
      <c r="M137" s="2854">
        <v>0.60763733333333325</v>
      </c>
      <c r="N137" s="784"/>
    </row>
    <row r="138" spans="2:15" x14ac:dyDescent="0.25">
      <c r="B138" s="784"/>
      <c r="C138" s="3603"/>
      <c r="D138" s="791" t="s">
        <v>511</v>
      </c>
      <c r="E138" s="2896" t="s">
        <v>1077</v>
      </c>
      <c r="F138" s="2854">
        <v>0.14563666666666666</v>
      </c>
      <c r="G138" s="2854">
        <v>0.10885066666666664</v>
      </c>
      <c r="H138" s="2854">
        <v>0.12296</v>
      </c>
      <c r="I138" s="2854">
        <v>0.12075333333333335</v>
      </c>
      <c r="J138" s="2854">
        <v>0.11264000000000003</v>
      </c>
      <c r="K138" s="2854">
        <v>0.11555733333333339</v>
      </c>
      <c r="L138" s="2854">
        <v>0.13</v>
      </c>
      <c r="M138" s="2854">
        <v>0.14302933333333337</v>
      </c>
      <c r="N138" s="784"/>
    </row>
    <row r="139" spans="2:15" x14ac:dyDescent="0.25">
      <c r="B139" s="784"/>
      <c r="C139" s="3603"/>
      <c r="D139" s="791" t="s">
        <v>498</v>
      </c>
      <c r="E139" s="2896" t="s">
        <v>1077</v>
      </c>
      <c r="F139" s="2854">
        <v>0</v>
      </c>
      <c r="G139" s="2854">
        <v>3.0000000000000013E-2</v>
      </c>
      <c r="H139" s="2854">
        <v>6.3266666666666652E-2</v>
      </c>
      <c r="I139" s="2854">
        <v>0.10871999999999997</v>
      </c>
      <c r="J139" s="2854">
        <v>0.15117999999999998</v>
      </c>
      <c r="K139" s="2854">
        <v>0.1690666666666667</v>
      </c>
      <c r="L139" s="2854">
        <v>0.17</v>
      </c>
      <c r="M139" s="2854">
        <v>0.17133333333333334</v>
      </c>
      <c r="N139" s="784"/>
    </row>
    <row r="140" spans="2:15" x14ac:dyDescent="0.25">
      <c r="B140" s="784"/>
      <c r="C140" s="3603"/>
      <c r="D140" s="791" t="s">
        <v>612</v>
      </c>
      <c r="E140" s="2896" t="s">
        <v>1077</v>
      </c>
      <c r="F140" s="2854">
        <v>0</v>
      </c>
      <c r="G140" s="2854">
        <v>0</v>
      </c>
      <c r="H140" s="2854">
        <v>0</v>
      </c>
      <c r="I140" s="2854">
        <v>0</v>
      </c>
      <c r="J140" s="2854">
        <v>0</v>
      </c>
      <c r="K140" s="2854">
        <v>0</v>
      </c>
      <c r="L140" s="2854">
        <v>0</v>
      </c>
      <c r="M140" s="2854">
        <v>0</v>
      </c>
      <c r="N140" s="784"/>
    </row>
    <row r="141" spans="2:15" x14ac:dyDescent="0.25">
      <c r="B141" s="784"/>
      <c r="C141" s="3603"/>
      <c r="D141" s="791" t="s">
        <v>1957</v>
      </c>
      <c r="E141" s="2896" t="s">
        <v>1077</v>
      </c>
      <c r="F141" s="2854">
        <v>0</v>
      </c>
      <c r="G141" s="2854">
        <v>2.6000000000000002E-2</v>
      </c>
      <c r="H141" s="2854">
        <v>5.2000000000000005E-2</v>
      </c>
      <c r="I141" s="2854">
        <v>6.5000000000000002E-2</v>
      </c>
      <c r="J141" s="2854">
        <v>7.8E-2</v>
      </c>
      <c r="K141" s="2854">
        <v>7.8E-2</v>
      </c>
      <c r="L141" s="2854">
        <v>7.8E-2</v>
      </c>
      <c r="M141" s="2854">
        <v>7.8E-2</v>
      </c>
      <c r="N141" s="784"/>
      <c r="O141" s="2908"/>
    </row>
    <row r="142" spans="2:15" x14ac:dyDescent="0.25">
      <c r="B142" s="784"/>
      <c r="C142" s="3604"/>
      <c r="D142" s="807" t="s">
        <v>1685</v>
      </c>
      <c r="E142" s="2906" t="s">
        <v>1077</v>
      </c>
      <c r="F142" s="2855">
        <v>0</v>
      </c>
      <c r="G142" s="2855">
        <v>0</v>
      </c>
      <c r="H142" s="2855">
        <v>0</v>
      </c>
      <c r="I142" s="2855">
        <v>0</v>
      </c>
      <c r="J142" s="2855">
        <v>0</v>
      </c>
      <c r="K142" s="2855">
        <v>0</v>
      </c>
      <c r="L142" s="2855">
        <v>0</v>
      </c>
      <c r="M142" s="2855">
        <v>0</v>
      </c>
      <c r="N142" s="784"/>
    </row>
    <row r="143" spans="2:15" x14ac:dyDescent="0.25">
      <c r="B143" s="784"/>
      <c r="C143" s="3605" t="s">
        <v>638</v>
      </c>
      <c r="D143" s="791" t="s">
        <v>509</v>
      </c>
      <c r="E143" s="2907" t="s">
        <v>1113</v>
      </c>
      <c r="F143" s="2854">
        <v>0</v>
      </c>
      <c r="G143" s="2854">
        <v>0</v>
      </c>
      <c r="H143" s="2854">
        <v>0</v>
      </c>
      <c r="I143" s="2854">
        <v>0</v>
      </c>
      <c r="J143" s="2854">
        <v>0</v>
      </c>
      <c r="K143" s="2854">
        <v>0</v>
      </c>
      <c r="L143" s="2854">
        <v>0</v>
      </c>
      <c r="M143" s="2854">
        <v>0</v>
      </c>
      <c r="N143" s="784"/>
    </row>
    <row r="144" spans="2:15" x14ac:dyDescent="0.25">
      <c r="B144" s="784"/>
      <c r="C144" s="3603"/>
      <c r="D144" s="791" t="s">
        <v>510</v>
      </c>
      <c r="E144" s="2896" t="s">
        <v>1113</v>
      </c>
      <c r="F144" s="2854">
        <v>0.85436333333333336</v>
      </c>
      <c r="G144" s="2854">
        <v>0.83514933333333352</v>
      </c>
      <c r="H144" s="2854">
        <v>0.7617733333333333</v>
      </c>
      <c r="I144" s="2854">
        <v>0.70552666666666652</v>
      </c>
      <c r="J144" s="2854">
        <v>0.65839999999999999</v>
      </c>
      <c r="K144" s="2854">
        <v>0.63939599999999996</v>
      </c>
      <c r="L144" s="2854">
        <v>0.622</v>
      </c>
      <c r="M144" s="2854">
        <v>0.60763733333333325</v>
      </c>
      <c r="N144" s="784"/>
    </row>
    <row r="145" spans="2:14" x14ac:dyDescent="0.25">
      <c r="B145" s="784"/>
      <c r="C145" s="3603"/>
      <c r="D145" s="791" t="s">
        <v>511</v>
      </c>
      <c r="E145" s="2896" t="s">
        <v>1113</v>
      </c>
      <c r="F145" s="2854">
        <v>0.14563666666666666</v>
      </c>
      <c r="G145" s="2854">
        <v>9.8850666666666642E-2</v>
      </c>
      <c r="H145" s="2854">
        <v>0.11296</v>
      </c>
      <c r="I145" s="2854">
        <v>0.10075333333333335</v>
      </c>
      <c r="J145" s="2854">
        <v>9.5600000000000004E-2</v>
      </c>
      <c r="K145" s="2854">
        <v>9.5560000000000006E-2</v>
      </c>
      <c r="L145" s="2854">
        <v>0.11</v>
      </c>
      <c r="M145" s="2854">
        <v>0.12302933333333337</v>
      </c>
      <c r="N145" s="784"/>
    </row>
    <row r="146" spans="2:14" x14ac:dyDescent="0.25">
      <c r="B146" s="784"/>
      <c r="C146" s="3603"/>
      <c r="D146" s="791" t="s">
        <v>498</v>
      </c>
      <c r="E146" s="2896" t="s">
        <v>1113</v>
      </c>
      <c r="F146" s="2854">
        <v>0</v>
      </c>
      <c r="G146" s="2854">
        <v>3.0000000000000013E-2</v>
      </c>
      <c r="H146" s="2854">
        <v>6.3266666666666652E-2</v>
      </c>
      <c r="I146" s="2854">
        <v>0.10871999999999997</v>
      </c>
      <c r="J146" s="2854">
        <v>0.15</v>
      </c>
      <c r="K146" s="2854">
        <v>0.16907</v>
      </c>
      <c r="L146" s="2854">
        <v>0.17</v>
      </c>
      <c r="M146" s="2854">
        <v>0.17133333333333334</v>
      </c>
      <c r="N146" s="784"/>
    </row>
    <row r="147" spans="2:14" x14ac:dyDescent="0.25">
      <c r="B147" s="784"/>
      <c r="C147" s="3603"/>
      <c r="D147" s="791" t="s">
        <v>612</v>
      </c>
      <c r="E147" s="2896" t="s">
        <v>1113</v>
      </c>
      <c r="F147" s="2854">
        <v>0</v>
      </c>
      <c r="G147" s="2854">
        <v>0</v>
      </c>
      <c r="H147" s="2854">
        <v>0</v>
      </c>
      <c r="I147" s="2854">
        <v>0</v>
      </c>
      <c r="J147" s="2854">
        <v>0</v>
      </c>
      <c r="K147" s="2854">
        <v>0</v>
      </c>
      <c r="L147" s="2854">
        <v>0</v>
      </c>
      <c r="M147" s="2854">
        <v>0</v>
      </c>
      <c r="N147" s="784"/>
    </row>
    <row r="148" spans="2:14" x14ac:dyDescent="0.25">
      <c r="B148" s="784"/>
      <c r="C148" s="3603"/>
      <c r="D148" s="791" t="s">
        <v>1957</v>
      </c>
      <c r="E148" s="2896" t="s">
        <v>1113</v>
      </c>
      <c r="F148" s="2854">
        <v>0</v>
      </c>
      <c r="G148" s="2854">
        <v>3.5999999999999997E-2</v>
      </c>
      <c r="H148" s="2854">
        <v>6.2E-2</v>
      </c>
      <c r="I148" s="2854">
        <v>8.5000000000000006E-2</v>
      </c>
      <c r="J148" s="2854">
        <v>9.6000000000000002E-2</v>
      </c>
      <c r="K148" s="2854">
        <v>9.6000000000000002E-2</v>
      </c>
      <c r="L148" s="2854">
        <v>9.8000000000000004E-2</v>
      </c>
      <c r="M148" s="2854">
        <v>9.8000000000000004E-2</v>
      </c>
      <c r="N148" s="784"/>
    </row>
    <row r="149" spans="2:14" x14ac:dyDescent="0.25">
      <c r="B149" s="784"/>
      <c r="C149" s="3604"/>
      <c r="D149" s="807" t="s">
        <v>1685</v>
      </c>
      <c r="E149" s="2906" t="s">
        <v>1113</v>
      </c>
      <c r="F149" s="2855">
        <v>0</v>
      </c>
      <c r="G149" s="2855">
        <v>0</v>
      </c>
      <c r="H149" s="2855">
        <v>0</v>
      </c>
      <c r="I149" s="2855">
        <v>0</v>
      </c>
      <c r="J149" s="2855">
        <v>0</v>
      </c>
      <c r="K149" s="2855">
        <v>0</v>
      </c>
      <c r="L149" s="2855">
        <v>0</v>
      </c>
      <c r="M149" s="2855">
        <v>0</v>
      </c>
      <c r="N149" s="784"/>
    </row>
    <row r="150" spans="2:14" x14ac:dyDescent="0.25">
      <c r="B150" s="784"/>
      <c r="C150" s="3599" t="s">
        <v>153</v>
      </c>
      <c r="D150" s="791" t="s">
        <v>509</v>
      </c>
      <c r="E150" s="791"/>
      <c r="F150" s="2854">
        <f>IF($E$11=1,F122,IF($E$11=2,F129,IF($E$11=3,F136,IF($E$11=4,F143,))))</f>
        <v>0</v>
      </c>
      <c r="G150" s="2854">
        <f t="shared" ref="G150:M150" si="12">IF($E$11=1,G122,IF($E$11=2,G129,IF($E$11=3,G136,IF($E$11=4,G143,))))</f>
        <v>0</v>
      </c>
      <c r="H150" s="2854">
        <f t="shared" si="12"/>
        <v>0</v>
      </c>
      <c r="I150" s="2854">
        <f t="shared" si="12"/>
        <v>0</v>
      </c>
      <c r="J150" s="2854">
        <f t="shared" si="12"/>
        <v>0</v>
      </c>
      <c r="K150" s="2854">
        <f t="shared" si="12"/>
        <v>0</v>
      </c>
      <c r="L150" s="2854">
        <f t="shared" si="12"/>
        <v>0</v>
      </c>
      <c r="M150" s="2854">
        <f t="shared" si="12"/>
        <v>0</v>
      </c>
      <c r="N150" s="784"/>
    </row>
    <row r="151" spans="2:14" x14ac:dyDescent="0.25">
      <c r="B151" s="784"/>
      <c r="C151" s="3600"/>
      <c r="D151" s="791" t="s">
        <v>510</v>
      </c>
      <c r="E151" s="791"/>
      <c r="F151" s="2854">
        <f t="shared" ref="F151:M156" si="13">IF($E$11=1,F123,IF($E$11=2,F130,IF($E$11=3,F137,IF($E$11=4,F144,))))</f>
        <v>0.85436333333333336</v>
      </c>
      <c r="G151" s="2854">
        <f t="shared" si="13"/>
        <v>0.8091493333333335</v>
      </c>
      <c r="H151" s="2854">
        <f t="shared" si="13"/>
        <v>0.74877333333333329</v>
      </c>
      <c r="I151" s="2854">
        <f t="shared" si="13"/>
        <v>0.69252666666666651</v>
      </c>
      <c r="J151" s="2854">
        <f t="shared" si="13"/>
        <v>0.64258000000000015</v>
      </c>
      <c r="K151" s="2854">
        <f t="shared" si="13"/>
        <v>0.621776</v>
      </c>
      <c r="L151" s="2854">
        <f t="shared" si="13"/>
        <v>0.62126666666666663</v>
      </c>
      <c r="M151" s="2854">
        <f t="shared" si="13"/>
        <v>0.62063733333333326</v>
      </c>
      <c r="N151" s="784"/>
    </row>
    <row r="152" spans="2:14" x14ac:dyDescent="0.25">
      <c r="B152" s="784"/>
      <c r="C152" s="3600"/>
      <c r="D152" s="791" t="s">
        <v>511</v>
      </c>
      <c r="E152" s="791"/>
      <c r="F152" s="2854">
        <f t="shared" si="13"/>
        <v>0.14563666666666666</v>
      </c>
      <c r="G152" s="2854">
        <f t="shared" si="13"/>
        <v>0.16085066666666664</v>
      </c>
      <c r="H152" s="2854">
        <f t="shared" si="13"/>
        <v>0.17496</v>
      </c>
      <c r="I152" s="2854">
        <f t="shared" si="13"/>
        <v>0.18575333333333335</v>
      </c>
      <c r="J152" s="2854">
        <f t="shared" si="13"/>
        <v>0.19064000000000003</v>
      </c>
      <c r="K152" s="2854">
        <f t="shared" si="13"/>
        <v>0.19355733333333339</v>
      </c>
      <c r="L152" s="2854">
        <f t="shared" si="13"/>
        <v>0.19423333333333337</v>
      </c>
      <c r="M152" s="2854">
        <f t="shared" si="13"/>
        <v>0.19502933333333336</v>
      </c>
      <c r="N152" s="784"/>
    </row>
    <row r="153" spans="2:14" x14ac:dyDescent="0.25">
      <c r="B153" s="784"/>
      <c r="C153" s="3600"/>
      <c r="D153" s="791" t="s">
        <v>498</v>
      </c>
      <c r="E153" s="791"/>
      <c r="F153" s="2854">
        <f t="shared" si="13"/>
        <v>0</v>
      </c>
      <c r="G153" s="2854">
        <f t="shared" si="13"/>
        <v>3.0000000000000013E-2</v>
      </c>
      <c r="H153" s="2854">
        <f t="shared" si="13"/>
        <v>7.6266666666666649E-2</v>
      </c>
      <c r="I153" s="2854">
        <f t="shared" si="13"/>
        <v>0.12171999999999997</v>
      </c>
      <c r="J153" s="2854">
        <f t="shared" si="13"/>
        <v>0.16677999999999998</v>
      </c>
      <c r="K153" s="2854">
        <f t="shared" si="13"/>
        <v>0.1846666666666667</v>
      </c>
      <c r="L153" s="2854">
        <f t="shared" si="13"/>
        <v>0.1845</v>
      </c>
      <c r="M153" s="2854">
        <f t="shared" si="13"/>
        <v>0.18433333333333335</v>
      </c>
      <c r="N153" s="784"/>
    </row>
    <row r="154" spans="2:14" x14ac:dyDescent="0.25">
      <c r="B154" s="784"/>
      <c r="C154" s="3600"/>
      <c r="D154" s="791" t="s">
        <v>612</v>
      </c>
      <c r="E154" s="791"/>
      <c r="F154" s="2854">
        <f t="shared" si="13"/>
        <v>0</v>
      </c>
      <c r="G154" s="2854">
        <f t="shared" si="13"/>
        <v>0</v>
      </c>
      <c r="H154" s="2854">
        <f t="shared" si="13"/>
        <v>0</v>
      </c>
      <c r="I154" s="2854">
        <f t="shared" si="13"/>
        <v>0</v>
      </c>
      <c r="J154" s="2854">
        <f t="shared" si="13"/>
        <v>0</v>
      </c>
      <c r="K154" s="2854">
        <f t="shared" si="13"/>
        <v>0</v>
      </c>
      <c r="L154" s="2854">
        <f t="shared" si="13"/>
        <v>0</v>
      </c>
      <c r="M154" s="2854">
        <f t="shared" si="13"/>
        <v>0</v>
      </c>
      <c r="N154" s="784"/>
    </row>
    <row r="155" spans="2:14" x14ac:dyDescent="0.25">
      <c r="B155" s="784"/>
      <c r="C155" s="3600"/>
      <c r="D155" s="791" t="s">
        <v>1957</v>
      </c>
      <c r="E155" s="791"/>
      <c r="F155" s="2854">
        <f t="shared" si="13"/>
        <v>0</v>
      </c>
      <c r="G155" s="2854">
        <f t="shared" si="13"/>
        <v>0</v>
      </c>
      <c r="H155" s="2854">
        <f t="shared" si="13"/>
        <v>0</v>
      </c>
      <c r="I155" s="2854">
        <f t="shared" si="13"/>
        <v>0</v>
      </c>
      <c r="J155" s="2854">
        <f t="shared" si="13"/>
        <v>0</v>
      </c>
      <c r="K155" s="2854">
        <f t="shared" si="13"/>
        <v>0</v>
      </c>
      <c r="L155" s="2854">
        <f t="shared" si="13"/>
        <v>0</v>
      </c>
      <c r="M155" s="2854">
        <f t="shared" si="13"/>
        <v>0</v>
      </c>
      <c r="N155" s="784"/>
    </row>
    <row r="156" spans="2:14" x14ac:dyDescent="0.25">
      <c r="B156" s="784"/>
      <c r="C156" s="3601"/>
      <c r="D156" s="807" t="s">
        <v>1685</v>
      </c>
      <c r="E156" s="807"/>
      <c r="F156" s="2855">
        <f t="shared" si="13"/>
        <v>0</v>
      </c>
      <c r="G156" s="2855">
        <f t="shared" si="13"/>
        <v>0</v>
      </c>
      <c r="H156" s="2855">
        <f t="shared" si="13"/>
        <v>0</v>
      </c>
      <c r="I156" s="2855">
        <f t="shared" si="13"/>
        <v>0</v>
      </c>
      <c r="J156" s="2855">
        <f t="shared" si="13"/>
        <v>0</v>
      </c>
      <c r="K156" s="2855">
        <f t="shared" si="13"/>
        <v>0</v>
      </c>
      <c r="L156" s="2855">
        <f t="shared" si="13"/>
        <v>0</v>
      </c>
      <c r="M156" s="2855">
        <f t="shared" si="13"/>
        <v>0</v>
      </c>
      <c r="N156" s="784"/>
    </row>
    <row r="157" spans="2:14" ht="5.25" customHeight="1" x14ac:dyDescent="0.25">
      <c r="B157" s="784"/>
      <c r="C157" s="800"/>
      <c r="D157" s="791"/>
      <c r="E157" s="791"/>
      <c r="F157" s="1911"/>
      <c r="G157" s="1911"/>
      <c r="H157" s="1911"/>
      <c r="I157" s="1911"/>
      <c r="J157" s="1911"/>
      <c r="K157" s="1911"/>
      <c r="L157" s="1911"/>
      <c r="M157" s="410"/>
      <c r="N157" s="784"/>
    </row>
    <row r="158" spans="2:14" x14ac:dyDescent="0.25">
      <c r="B158" s="784"/>
      <c r="C158" s="2897" t="s">
        <v>8</v>
      </c>
      <c r="D158" s="791"/>
      <c r="E158" s="791"/>
      <c r="F158" s="2902"/>
      <c r="G158" s="2902"/>
      <c r="H158" s="2902"/>
      <c r="I158" s="2902"/>
      <c r="J158" s="2902"/>
      <c r="K158" s="2902"/>
      <c r="L158" s="2902"/>
      <c r="M158" s="2902"/>
      <c r="N158" s="784"/>
    </row>
    <row r="159" spans="2:14" x14ac:dyDescent="0.25">
      <c r="B159" s="784"/>
      <c r="C159" s="2897" t="s">
        <v>1073</v>
      </c>
      <c r="D159" s="2896" t="s">
        <v>1987</v>
      </c>
      <c r="E159" s="791"/>
      <c r="F159" s="2902"/>
      <c r="G159" s="2902"/>
      <c r="H159" s="2902"/>
      <c r="I159" s="2902"/>
      <c r="J159" s="2902"/>
      <c r="K159" s="2902"/>
      <c r="L159" s="2902"/>
      <c r="M159" s="2902"/>
      <c r="N159" s="784"/>
    </row>
    <row r="160" spans="2:14" x14ac:dyDescent="0.25">
      <c r="B160" s="784"/>
      <c r="C160" s="800"/>
      <c r="D160" s="2896" t="s">
        <v>1988</v>
      </c>
      <c r="E160" s="791"/>
      <c r="F160" s="2902"/>
      <c r="G160" s="2902"/>
      <c r="H160" s="2902"/>
      <c r="I160" s="2902"/>
      <c r="J160" s="2902"/>
      <c r="K160" s="2902"/>
      <c r="L160" s="2902"/>
      <c r="M160" s="2902"/>
      <c r="N160" s="784"/>
    </row>
    <row r="161" spans="2:14" ht="3.75" customHeight="1" x14ac:dyDescent="0.25">
      <c r="B161" s="784"/>
      <c r="C161" s="800"/>
      <c r="D161" s="2896"/>
      <c r="E161" s="791"/>
      <c r="F161" s="2902"/>
      <c r="G161" s="2902"/>
      <c r="H161" s="2902"/>
      <c r="I161" s="2902"/>
      <c r="J161" s="2902"/>
      <c r="K161" s="2902"/>
      <c r="L161" s="2902"/>
      <c r="M161" s="2902"/>
      <c r="N161" s="784"/>
    </row>
    <row r="162" spans="2:14" x14ac:dyDescent="0.25">
      <c r="B162" s="784"/>
      <c r="C162" s="2897" t="s">
        <v>1087</v>
      </c>
      <c r="D162" s="2896" t="s">
        <v>1987</v>
      </c>
      <c r="E162" s="791"/>
      <c r="F162" s="2902"/>
      <c r="G162" s="2902"/>
      <c r="H162" s="2902"/>
      <c r="I162" s="2902"/>
      <c r="J162" s="2902"/>
      <c r="K162" s="2902"/>
      <c r="L162" s="2902"/>
      <c r="M162" s="2902"/>
      <c r="N162" s="784"/>
    </row>
    <row r="163" spans="2:14" x14ac:dyDescent="0.25">
      <c r="B163" s="784"/>
      <c r="C163" s="800"/>
      <c r="D163" s="2959" t="s">
        <v>1990</v>
      </c>
      <c r="E163" s="791"/>
      <c r="F163" s="2902"/>
      <c r="G163" s="2902"/>
      <c r="H163" s="2902"/>
      <c r="I163" s="2902"/>
      <c r="J163" s="2902"/>
      <c r="K163" s="2902"/>
      <c r="L163" s="2902"/>
      <c r="M163" s="2902"/>
      <c r="N163" s="784"/>
    </row>
    <row r="164" spans="2:14" ht="3.75" customHeight="1" x14ac:dyDescent="0.25">
      <c r="B164" s="784"/>
      <c r="C164" s="800"/>
      <c r="D164" s="2896"/>
      <c r="E164" s="791"/>
      <c r="F164" s="2902"/>
      <c r="G164" s="2902"/>
      <c r="H164" s="2902"/>
      <c r="I164" s="2902"/>
      <c r="J164" s="2902"/>
      <c r="K164" s="2902"/>
      <c r="L164" s="2902"/>
      <c r="M164" s="2902"/>
      <c r="N164" s="784"/>
    </row>
    <row r="165" spans="2:14" x14ac:dyDescent="0.25">
      <c r="B165" s="784"/>
      <c r="C165" s="2897" t="s">
        <v>1077</v>
      </c>
      <c r="D165" s="2959" t="s">
        <v>2056</v>
      </c>
      <c r="E165" s="791"/>
      <c r="F165" s="2902"/>
      <c r="G165" s="2902"/>
      <c r="H165" s="2902"/>
      <c r="I165" s="2902"/>
      <c r="J165" s="2902"/>
      <c r="K165" s="2902"/>
      <c r="L165" s="2902"/>
      <c r="M165" s="2902"/>
      <c r="N165" s="784"/>
    </row>
    <row r="166" spans="2:14" ht="3.75" customHeight="1" x14ac:dyDescent="0.25">
      <c r="B166" s="784"/>
      <c r="C166" s="800"/>
      <c r="D166" s="2896"/>
      <c r="E166" s="791"/>
      <c r="F166" s="2902"/>
      <c r="G166" s="2902"/>
      <c r="H166" s="2902"/>
      <c r="I166" s="2902"/>
      <c r="J166" s="2902"/>
      <c r="K166" s="2902"/>
      <c r="L166" s="2902"/>
      <c r="M166" s="2902"/>
      <c r="N166" s="784"/>
    </row>
    <row r="167" spans="2:14" x14ac:dyDescent="0.25">
      <c r="B167" s="784"/>
      <c r="C167" s="2897" t="s">
        <v>1113</v>
      </c>
      <c r="D167" s="2959" t="s">
        <v>2057</v>
      </c>
      <c r="E167" s="791"/>
      <c r="F167" s="2902"/>
      <c r="G167" s="2902"/>
      <c r="H167" s="2902"/>
      <c r="I167" s="2902"/>
      <c r="J167" s="2902"/>
      <c r="K167" s="2902"/>
      <c r="L167" s="2902"/>
      <c r="M167" s="2902"/>
      <c r="N167" s="784"/>
    </row>
    <row r="168" spans="2:14" x14ac:dyDescent="0.25">
      <c r="B168" s="784"/>
      <c r="C168" s="800"/>
      <c r="D168" s="2896"/>
      <c r="E168" s="791"/>
      <c r="F168" s="2902"/>
      <c r="G168" s="2902"/>
      <c r="H168" s="2902"/>
      <c r="I168" s="2902"/>
      <c r="J168" s="2902"/>
      <c r="K168" s="2902"/>
      <c r="L168" s="2902"/>
      <c r="M168" s="2902"/>
      <c r="N168" s="784"/>
    </row>
    <row r="169" spans="2:14" x14ac:dyDescent="0.25">
      <c r="B169" s="784"/>
      <c r="C169" s="2897"/>
      <c r="D169" s="2896"/>
      <c r="E169" s="791"/>
      <c r="F169" s="2902"/>
      <c r="G169" s="2902"/>
      <c r="H169" s="2902"/>
      <c r="I169" s="2902"/>
      <c r="J169" s="2902"/>
      <c r="K169" s="2902"/>
      <c r="L169" s="2902"/>
      <c r="M169" s="2902"/>
      <c r="N169" s="784"/>
    </row>
    <row r="170" spans="2:14" x14ac:dyDescent="0.25">
      <c r="B170" s="2892" t="s">
        <v>1972</v>
      </c>
      <c r="C170" s="785" t="s">
        <v>2254</v>
      </c>
      <c r="D170" s="791"/>
      <c r="E170" s="791"/>
      <c r="F170" s="410"/>
      <c r="G170" s="410"/>
      <c r="H170" s="410"/>
      <c r="I170" s="410"/>
      <c r="J170" s="410"/>
      <c r="K170" s="410"/>
      <c r="L170" s="410"/>
      <c r="M170" s="2904"/>
      <c r="N170" s="784"/>
    </row>
    <row r="171" spans="2:14" x14ac:dyDescent="0.25">
      <c r="B171" s="784"/>
      <c r="C171" s="800"/>
      <c r="D171" s="791"/>
      <c r="E171" s="791"/>
      <c r="F171" s="410"/>
      <c r="G171" s="410"/>
      <c r="H171" s="410"/>
      <c r="I171" s="410"/>
      <c r="J171" s="410"/>
      <c r="K171" s="410"/>
      <c r="L171" s="410"/>
      <c r="M171" s="2904" t="s">
        <v>997</v>
      </c>
      <c r="N171" s="784"/>
    </row>
    <row r="172" spans="2:14" x14ac:dyDescent="0.25">
      <c r="B172" s="784"/>
      <c r="C172" s="787" t="s">
        <v>3</v>
      </c>
      <c r="D172" s="787" t="s">
        <v>483</v>
      </c>
      <c r="E172" s="787" t="s">
        <v>8</v>
      </c>
      <c r="F172" s="788">
        <v>2015</v>
      </c>
      <c r="G172" s="789">
        <v>2020</v>
      </c>
      <c r="H172" s="788">
        <v>2025</v>
      </c>
      <c r="I172" s="788">
        <v>2030</v>
      </c>
      <c r="J172" s="788">
        <v>2035</v>
      </c>
      <c r="K172" s="788">
        <v>2040</v>
      </c>
      <c r="L172" s="788">
        <v>2045</v>
      </c>
      <c r="M172" s="788">
        <v>2050</v>
      </c>
      <c r="N172" s="784"/>
    </row>
    <row r="173" spans="2:14" x14ac:dyDescent="0.25">
      <c r="B173" s="784"/>
      <c r="C173" s="800">
        <v>1</v>
      </c>
      <c r="D173" s="2947" t="s">
        <v>2049</v>
      </c>
      <c r="E173" s="2896" t="s">
        <v>1115</v>
      </c>
      <c r="F173" s="178">
        <v>0</v>
      </c>
      <c r="G173" s="178">
        <v>0</v>
      </c>
      <c r="H173" s="178">
        <v>0</v>
      </c>
      <c r="I173" s="178">
        <v>0</v>
      </c>
      <c r="J173" s="178">
        <v>0</v>
      </c>
      <c r="K173" s="178">
        <v>0</v>
      </c>
      <c r="L173" s="178">
        <v>0</v>
      </c>
      <c r="M173" s="178">
        <v>0</v>
      </c>
      <c r="N173" s="784"/>
    </row>
    <row r="174" spans="2:14" x14ac:dyDescent="0.25">
      <c r="B174" s="784"/>
      <c r="C174" s="800">
        <v>2</v>
      </c>
      <c r="D174" s="2947" t="s">
        <v>2049</v>
      </c>
      <c r="E174" s="2896" t="s">
        <v>1117</v>
      </c>
      <c r="F174" s="178">
        <v>0</v>
      </c>
      <c r="G174" s="178">
        <v>0.10914478902750957</v>
      </c>
      <c r="H174" s="178">
        <v>0.1256087150074453</v>
      </c>
      <c r="I174" s="178">
        <v>0.12916208405413987</v>
      </c>
      <c r="J174" s="178">
        <v>0.12991643357313853</v>
      </c>
      <c r="K174" s="178">
        <v>0.1300192729875852</v>
      </c>
      <c r="L174" s="178">
        <v>0.1301245409549121</v>
      </c>
      <c r="M174" s="178">
        <v>0.13020737152737027</v>
      </c>
      <c r="N174" s="784"/>
    </row>
    <row r="175" spans="2:14" x14ac:dyDescent="0.25">
      <c r="B175" s="784"/>
      <c r="C175" s="800">
        <v>3</v>
      </c>
      <c r="D175" s="2947" t="s">
        <v>2049</v>
      </c>
      <c r="E175" s="2896" t="s">
        <v>1123</v>
      </c>
      <c r="F175" s="178">
        <v>0</v>
      </c>
      <c r="G175" s="178">
        <v>0.15368754957613417</v>
      </c>
      <c r="H175" s="178">
        <v>0.16932827925707306</v>
      </c>
      <c r="I175" s="178">
        <v>0.17270397985143293</v>
      </c>
      <c r="J175" s="178">
        <v>0.17342061189448166</v>
      </c>
      <c r="K175" s="178">
        <v>0.173518309338206</v>
      </c>
      <c r="L175" s="178">
        <v>0.17361831390716653</v>
      </c>
      <c r="M175" s="178">
        <v>0.17369700295100177</v>
      </c>
      <c r="N175" s="784"/>
    </row>
    <row r="176" spans="2:14" x14ac:dyDescent="0.25">
      <c r="B176" s="784"/>
      <c r="C176" s="800">
        <v>4</v>
      </c>
      <c r="D176" s="2947" t="s">
        <v>2049</v>
      </c>
      <c r="E176" s="2896" t="s">
        <v>1124</v>
      </c>
      <c r="F176" s="178">
        <v>0</v>
      </c>
      <c r="G176" s="178">
        <v>0.19823031012475856</v>
      </c>
      <c r="H176" s="178">
        <v>0.21304784350670081</v>
      </c>
      <c r="I176" s="178">
        <v>0.21624587564872588</v>
      </c>
      <c r="J176" s="178">
        <v>0.21692479021582467</v>
      </c>
      <c r="K176" s="178">
        <v>0.21701734568882669</v>
      </c>
      <c r="L176" s="178">
        <v>0.21711208685942085</v>
      </c>
      <c r="M176" s="178">
        <v>0.21718663437463326</v>
      </c>
      <c r="N176" s="784"/>
    </row>
    <row r="177" spans="2:14" x14ac:dyDescent="0.25">
      <c r="B177" s="784"/>
      <c r="C177" s="798" t="s">
        <v>153</v>
      </c>
      <c r="D177" s="799"/>
      <c r="E177" s="799"/>
      <c r="F177" s="176">
        <f t="shared" ref="F177:M177" si="14">(INDEX(F$173:F$176,ROUNDDOWN($E$12,0))*(1-MOD($E$12,1)))+(INDEX(F$173:F$176,ROUNDUP($E$12,0))*MOD($E$12,1))</f>
        <v>0</v>
      </c>
      <c r="G177" s="176">
        <f t="shared" si="14"/>
        <v>0</v>
      </c>
      <c r="H177" s="176">
        <f t="shared" si="14"/>
        <v>0</v>
      </c>
      <c r="I177" s="176">
        <f t="shared" si="14"/>
        <v>0</v>
      </c>
      <c r="J177" s="176">
        <f t="shared" si="14"/>
        <v>0</v>
      </c>
      <c r="K177" s="176">
        <f t="shared" si="14"/>
        <v>0</v>
      </c>
      <c r="L177" s="176">
        <f t="shared" si="14"/>
        <v>0</v>
      </c>
      <c r="M177" s="176">
        <f t="shared" si="14"/>
        <v>0</v>
      </c>
      <c r="N177" s="784"/>
    </row>
    <row r="178" spans="2:14" x14ac:dyDescent="0.25">
      <c r="B178" s="784"/>
      <c r="C178" s="800"/>
      <c r="D178" s="791"/>
      <c r="E178" s="791"/>
      <c r="F178" s="178"/>
      <c r="G178" s="178"/>
      <c r="H178" s="178"/>
      <c r="I178" s="178"/>
      <c r="J178" s="178"/>
      <c r="K178" s="178"/>
      <c r="L178" s="178"/>
      <c r="M178" s="178"/>
      <c r="N178" s="784"/>
    </row>
    <row r="179" spans="2:14" x14ac:dyDescent="0.25">
      <c r="B179" s="784"/>
      <c r="C179" s="2897" t="s">
        <v>8</v>
      </c>
      <c r="D179" s="791"/>
      <c r="E179" s="791"/>
      <c r="F179" s="2902"/>
      <c r="G179" s="2902"/>
      <c r="H179" s="2902"/>
      <c r="I179" s="2902"/>
      <c r="J179" s="2902"/>
      <c r="K179" s="2902"/>
      <c r="L179" s="2902"/>
      <c r="M179" s="2902"/>
      <c r="N179" s="784"/>
    </row>
    <row r="180" spans="2:14" x14ac:dyDescent="0.25">
      <c r="B180" s="784"/>
      <c r="C180" s="2897" t="s">
        <v>1115</v>
      </c>
      <c r="D180" s="2896" t="s">
        <v>1987</v>
      </c>
      <c r="E180" s="791"/>
      <c r="F180" s="2902"/>
      <c r="G180" s="2902"/>
      <c r="H180" s="2902"/>
      <c r="I180" s="2902"/>
      <c r="J180" s="2902"/>
      <c r="K180" s="2902"/>
      <c r="L180" s="2902"/>
      <c r="M180" s="2902"/>
      <c r="N180" s="784"/>
    </row>
    <row r="181" spans="2:14" x14ac:dyDescent="0.25">
      <c r="B181" s="784"/>
      <c r="C181" s="800"/>
      <c r="D181" s="2896" t="s">
        <v>1989</v>
      </c>
      <c r="E181" s="791"/>
      <c r="F181" s="2902"/>
      <c r="G181" s="2902"/>
      <c r="H181" s="2902"/>
      <c r="I181" s="2902"/>
      <c r="J181" s="2902"/>
      <c r="K181" s="2902"/>
      <c r="L181" s="2902"/>
      <c r="M181" s="2902"/>
      <c r="N181" s="784"/>
    </row>
    <row r="182" spans="2:14" ht="3.75" customHeight="1" x14ac:dyDescent="0.25">
      <c r="B182" s="784"/>
      <c r="C182" s="800"/>
      <c r="D182" s="2896"/>
      <c r="E182" s="791"/>
      <c r="F182" s="2902"/>
      <c r="G182" s="2902"/>
      <c r="H182" s="2902"/>
      <c r="I182" s="2902"/>
      <c r="J182" s="2902"/>
      <c r="K182" s="2902"/>
      <c r="L182" s="2902"/>
      <c r="M182" s="2902"/>
      <c r="N182" s="784"/>
    </row>
    <row r="183" spans="2:14" x14ac:dyDescent="0.25">
      <c r="B183" s="784"/>
      <c r="C183" s="2897" t="s">
        <v>1117</v>
      </c>
      <c r="D183" s="2896" t="s">
        <v>1987</v>
      </c>
      <c r="E183" s="791"/>
      <c r="F183" s="2902"/>
      <c r="G183" s="2902"/>
      <c r="H183" s="2902"/>
      <c r="I183" s="2902"/>
      <c r="J183" s="2902"/>
      <c r="K183" s="2902"/>
      <c r="L183" s="2902"/>
      <c r="M183" s="2902"/>
      <c r="N183" s="784"/>
    </row>
    <row r="184" spans="2:14" x14ac:dyDescent="0.25">
      <c r="B184" s="784"/>
      <c r="C184" s="800"/>
      <c r="D184" s="2896" t="s">
        <v>1990</v>
      </c>
      <c r="E184" s="791"/>
      <c r="F184" s="2902"/>
      <c r="G184" s="2902"/>
      <c r="H184" s="2902"/>
      <c r="I184" s="2902"/>
      <c r="J184" s="2902"/>
      <c r="K184" s="2902"/>
      <c r="L184" s="2902"/>
      <c r="M184" s="2902"/>
      <c r="N184" s="784"/>
    </row>
    <row r="185" spans="2:14" ht="3.75" customHeight="1" x14ac:dyDescent="0.25">
      <c r="B185" s="784"/>
      <c r="C185" s="800"/>
      <c r="D185" s="2896"/>
      <c r="E185" s="791"/>
      <c r="F185" s="2902"/>
      <c r="G185" s="2902"/>
      <c r="H185" s="2902"/>
      <c r="I185" s="2902"/>
      <c r="J185" s="2902"/>
      <c r="K185" s="2902"/>
      <c r="L185" s="2902"/>
      <c r="M185" s="2902"/>
      <c r="N185" s="784"/>
    </row>
    <row r="186" spans="2:14" x14ac:dyDescent="0.25">
      <c r="B186" s="784"/>
      <c r="C186" s="2897" t="s">
        <v>1123</v>
      </c>
      <c r="D186" s="2896" t="s">
        <v>1993</v>
      </c>
      <c r="E186" s="791"/>
      <c r="F186" s="2902"/>
      <c r="G186" s="2902"/>
      <c r="H186" s="2902"/>
      <c r="I186" s="2902"/>
      <c r="J186" s="2902"/>
      <c r="K186" s="2902"/>
      <c r="L186" s="2902"/>
      <c r="M186" s="2902"/>
      <c r="N186" s="784"/>
    </row>
    <row r="187" spans="2:14" ht="3.75" customHeight="1" x14ac:dyDescent="0.25">
      <c r="B187" s="784"/>
      <c r="C187" s="800"/>
      <c r="D187" s="2896"/>
      <c r="E187" s="791"/>
      <c r="F187" s="2902"/>
      <c r="G187" s="2902"/>
      <c r="H187" s="2902"/>
      <c r="I187" s="2902"/>
      <c r="J187" s="2902"/>
      <c r="K187" s="2902"/>
      <c r="L187" s="2902"/>
      <c r="M187" s="2902"/>
      <c r="N187" s="784"/>
    </row>
    <row r="188" spans="2:14" x14ac:dyDescent="0.25">
      <c r="B188" s="784"/>
      <c r="C188" s="2897" t="s">
        <v>1124</v>
      </c>
      <c r="D188" s="2896" t="s">
        <v>1994</v>
      </c>
      <c r="E188" s="791"/>
      <c r="F188" s="2902"/>
      <c r="G188" s="2902"/>
      <c r="H188" s="2902"/>
      <c r="I188" s="2902"/>
      <c r="J188" s="2902"/>
      <c r="K188" s="2902"/>
      <c r="L188" s="2902"/>
      <c r="M188" s="2902"/>
      <c r="N188" s="784"/>
    </row>
    <row r="189" spans="2:14" x14ac:dyDescent="0.25">
      <c r="B189" s="784"/>
      <c r="C189" s="800"/>
      <c r="D189" s="2896"/>
      <c r="E189" s="791"/>
      <c r="F189" s="2902"/>
      <c r="G189" s="2902"/>
      <c r="H189" s="2902"/>
      <c r="I189" s="2902"/>
      <c r="J189" s="2902"/>
      <c r="K189" s="2902"/>
      <c r="L189" s="2902"/>
      <c r="M189" s="2902"/>
      <c r="N189" s="784"/>
    </row>
    <row r="190" spans="2:14" x14ac:dyDescent="0.25">
      <c r="B190" s="784"/>
      <c r="C190" s="800"/>
      <c r="D190" s="791"/>
      <c r="E190" s="791"/>
      <c r="F190" s="410"/>
      <c r="G190" s="410"/>
      <c r="H190" s="410"/>
      <c r="I190" s="410"/>
      <c r="J190" s="410"/>
      <c r="K190" s="410"/>
      <c r="L190" s="410"/>
      <c r="M190" s="410"/>
      <c r="N190" s="784"/>
    </row>
    <row r="191" spans="2:14" x14ac:dyDescent="0.25">
      <c r="B191" s="2892" t="s">
        <v>1973</v>
      </c>
      <c r="C191" s="785" t="s">
        <v>2255</v>
      </c>
      <c r="D191" s="791"/>
      <c r="E191" s="791"/>
      <c r="F191" s="410"/>
      <c r="G191" s="410"/>
      <c r="H191" s="410"/>
      <c r="I191" s="410"/>
      <c r="J191" s="410"/>
      <c r="K191" s="410"/>
      <c r="L191" s="410"/>
      <c r="M191" s="2904"/>
      <c r="N191" s="784"/>
    </row>
    <row r="192" spans="2:14" x14ac:dyDescent="0.25">
      <c r="B192" s="784"/>
      <c r="C192" s="800"/>
      <c r="D192" s="791"/>
      <c r="E192" s="791"/>
      <c r="F192" s="410"/>
      <c r="G192" s="410"/>
      <c r="H192" s="410"/>
      <c r="I192" s="410"/>
      <c r="J192" s="410"/>
      <c r="K192" s="410"/>
      <c r="L192" s="410"/>
      <c r="M192" s="2904" t="s">
        <v>997</v>
      </c>
      <c r="N192" s="784"/>
    </row>
    <row r="193" spans="2:14" x14ac:dyDescent="0.25">
      <c r="B193" s="784"/>
      <c r="C193" s="787" t="s">
        <v>3</v>
      </c>
      <c r="D193" s="787" t="s">
        <v>483</v>
      </c>
      <c r="E193" s="787" t="s">
        <v>8</v>
      </c>
      <c r="F193" s="788">
        <v>2015</v>
      </c>
      <c r="G193" s="789">
        <v>2020</v>
      </c>
      <c r="H193" s="788">
        <v>2025</v>
      </c>
      <c r="I193" s="788">
        <v>2030</v>
      </c>
      <c r="J193" s="788">
        <v>2035</v>
      </c>
      <c r="K193" s="788">
        <v>2040</v>
      </c>
      <c r="L193" s="788">
        <v>2045</v>
      </c>
      <c r="M193" s="788">
        <v>2050</v>
      </c>
      <c r="N193" s="784"/>
    </row>
    <row r="194" spans="2:14" x14ac:dyDescent="0.25">
      <c r="B194" s="784"/>
      <c r="C194" s="800">
        <v>1</v>
      </c>
      <c r="D194" s="2947" t="s">
        <v>2049</v>
      </c>
      <c r="E194" s="2896" t="s">
        <v>1115</v>
      </c>
      <c r="F194" s="1907">
        <v>0</v>
      </c>
      <c r="G194" s="1907">
        <v>0</v>
      </c>
      <c r="H194" s="1907">
        <v>0</v>
      </c>
      <c r="I194" s="1907">
        <v>0</v>
      </c>
      <c r="J194" s="1907">
        <v>0</v>
      </c>
      <c r="K194" s="1907">
        <v>0</v>
      </c>
      <c r="L194" s="1907">
        <v>0</v>
      </c>
      <c r="M194" s="1907">
        <v>0</v>
      </c>
      <c r="N194" s="784"/>
    </row>
    <row r="195" spans="2:14" x14ac:dyDescent="0.25">
      <c r="B195" s="784"/>
      <c r="C195" s="800">
        <v>2</v>
      </c>
      <c r="D195" s="2947" t="s">
        <v>2049</v>
      </c>
      <c r="E195" s="2896" t="s">
        <v>1117</v>
      </c>
      <c r="F195" s="1907">
        <v>0</v>
      </c>
      <c r="G195" s="1907">
        <v>0.10914478902750957</v>
      </c>
      <c r="H195" s="1907">
        <v>0.1256087150074453</v>
      </c>
      <c r="I195" s="1907">
        <v>0.12916208405413987</v>
      </c>
      <c r="J195" s="1907">
        <v>0.12991643357313853</v>
      </c>
      <c r="K195" s="1907">
        <v>0.1300192729875852</v>
      </c>
      <c r="L195" s="1907">
        <v>0.1301245409549121</v>
      </c>
      <c r="M195" s="1907">
        <v>0.13020737152737027</v>
      </c>
      <c r="N195" s="784"/>
    </row>
    <row r="196" spans="2:14" x14ac:dyDescent="0.25">
      <c r="B196" s="784"/>
      <c r="C196" s="800">
        <v>3</v>
      </c>
      <c r="D196" s="2947" t="s">
        <v>2049</v>
      </c>
      <c r="E196" s="2896" t="s">
        <v>1123</v>
      </c>
      <c r="F196" s="1907">
        <v>0</v>
      </c>
      <c r="G196" s="1907">
        <v>0.15368754957613417</v>
      </c>
      <c r="H196" s="1907">
        <v>0.16932827925707306</v>
      </c>
      <c r="I196" s="1907">
        <v>0.17270397985143293</v>
      </c>
      <c r="J196" s="1907">
        <v>0.17342061189448166</v>
      </c>
      <c r="K196" s="1907">
        <v>0.173518309338206</v>
      </c>
      <c r="L196" s="1907">
        <v>0.17361831390716653</v>
      </c>
      <c r="M196" s="1907">
        <v>0.17369700295100177</v>
      </c>
      <c r="N196" s="784"/>
    </row>
    <row r="197" spans="2:14" x14ac:dyDescent="0.25">
      <c r="B197" s="784"/>
      <c r="C197" s="800">
        <v>4</v>
      </c>
      <c r="D197" s="2947" t="s">
        <v>2049</v>
      </c>
      <c r="E197" s="2896" t="s">
        <v>1124</v>
      </c>
      <c r="F197" s="1907">
        <v>0</v>
      </c>
      <c r="G197" s="1907">
        <v>0.19823031012475856</v>
      </c>
      <c r="H197" s="1907">
        <v>0.21304784350670081</v>
      </c>
      <c r="I197" s="1907">
        <v>0.21624587564872588</v>
      </c>
      <c r="J197" s="1907">
        <v>0.21692479021582467</v>
      </c>
      <c r="K197" s="1907">
        <v>0.21701734568882669</v>
      </c>
      <c r="L197" s="1907">
        <v>0.21711208685942085</v>
      </c>
      <c r="M197" s="1907">
        <v>0.21718663437463326</v>
      </c>
      <c r="N197" s="784"/>
    </row>
    <row r="198" spans="2:14" x14ac:dyDescent="0.25">
      <c r="B198" s="784"/>
      <c r="C198" s="798" t="s">
        <v>153</v>
      </c>
      <c r="D198" s="799"/>
      <c r="E198" s="799"/>
      <c r="F198" s="1908">
        <f t="shared" ref="F198:M198" si="15">(INDEX(F$194:F$197,ROUNDDOWN($E$13,0))*(1-MOD($E$13,1)))+(INDEX(F$194:F$197,ROUNDUP($E$13,0))*MOD($E$13,1))</f>
        <v>0</v>
      </c>
      <c r="G198" s="1908">
        <f t="shared" si="15"/>
        <v>0</v>
      </c>
      <c r="H198" s="1908">
        <f t="shared" si="15"/>
        <v>0</v>
      </c>
      <c r="I198" s="1908">
        <f t="shared" si="15"/>
        <v>0</v>
      </c>
      <c r="J198" s="1908">
        <f t="shared" si="15"/>
        <v>0</v>
      </c>
      <c r="K198" s="1908">
        <f t="shared" si="15"/>
        <v>0</v>
      </c>
      <c r="L198" s="1908">
        <f t="shared" si="15"/>
        <v>0</v>
      </c>
      <c r="M198" s="1908">
        <f t="shared" si="15"/>
        <v>0</v>
      </c>
      <c r="N198" s="784"/>
    </row>
    <row r="199" spans="2:14" ht="17.25" customHeight="1" x14ac:dyDescent="0.25">
      <c r="B199" s="784"/>
      <c r="C199" s="800"/>
      <c r="D199" s="791"/>
      <c r="E199" s="791"/>
      <c r="F199" s="410"/>
      <c r="G199" s="410"/>
      <c r="H199" s="410"/>
      <c r="I199" s="410"/>
      <c r="J199" s="410"/>
      <c r="K199" s="410"/>
      <c r="L199" s="410"/>
      <c r="M199" s="410"/>
      <c r="N199" s="784"/>
    </row>
    <row r="200" spans="2:14" x14ac:dyDescent="0.25">
      <c r="B200" s="784"/>
      <c r="C200" s="2897" t="s">
        <v>8</v>
      </c>
      <c r="D200" s="791"/>
      <c r="E200" s="791"/>
      <c r="F200" s="410"/>
      <c r="G200" s="410"/>
      <c r="H200" s="410"/>
      <c r="I200" s="410"/>
      <c r="J200" s="410"/>
      <c r="K200" s="410"/>
      <c r="L200" s="410"/>
      <c r="M200" s="410"/>
      <c r="N200" s="784"/>
    </row>
    <row r="201" spans="2:14" x14ac:dyDescent="0.25">
      <c r="B201" s="784"/>
      <c r="C201" s="2897" t="s">
        <v>1115</v>
      </c>
      <c r="D201" s="2896" t="s">
        <v>1987</v>
      </c>
      <c r="E201" s="791"/>
      <c r="F201" s="410"/>
      <c r="G201" s="410"/>
      <c r="H201" s="410"/>
      <c r="I201" s="410"/>
      <c r="J201" s="410"/>
      <c r="K201" s="410"/>
      <c r="L201" s="410"/>
      <c r="M201" s="410"/>
      <c r="N201" s="784"/>
    </row>
    <row r="202" spans="2:14" x14ac:dyDescent="0.25">
      <c r="B202" s="784"/>
      <c r="C202" s="800"/>
      <c r="D202" s="2896" t="s">
        <v>1989</v>
      </c>
      <c r="E202" s="791"/>
      <c r="F202" s="410"/>
      <c r="G202" s="410"/>
      <c r="H202" s="410"/>
      <c r="I202" s="410"/>
      <c r="J202" s="410"/>
      <c r="K202" s="410"/>
      <c r="L202" s="410"/>
      <c r="M202" s="410"/>
      <c r="N202" s="784"/>
    </row>
    <row r="203" spans="2:14" ht="4.5" customHeight="1" x14ac:dyDescent="0.25">
      <c r="B203" s="784"/>
      <c r="C203" s="800"/>
      <c r="D203" s="2896"/>
      <c r="E203" s="791"/>
      <c r="F203" s="410"/>
      <c r="G203" s="410"/>
      <c r="H203" s="410"/>
      <c r="I203" s="410"/>
      <c r="J203" s="410"/>
      <c r="K203" s="410"/>
      <c r="L203" s="410"/>
      <c r="M203" s="410"/>
      <c r="N203" s="784"/>
    </row>
    <row r="204" spans="2:14" x14ac:dyDescent="0.25">
      <c r="B204" s="784"/>
      <c r="C204" s="2897" t="s">
        <v>1117</v>
      </c>
      <c r="D204" s="2896" t="s">
        <v>1987</v>
      </c>
      <c r="E204" s="791"/>
      <c r="F204" s="410"/>
      <c r="G204" s="410"/>
      <c r="H204" s="410"/>
      <c r="I204" s="410"/>
      <c r="J204" s="410"/>
      <c r="K204" s="410"/>
      <c r="L204" s="410"/>
      <c r="M204" s="410"/>
      <c r="N204" s="784"/>
    </row>
    <row r="205" spans="2:14" x14ac:dyDescent="0.25">
      <c r="B205" s="784"/>
      <c r="C205" s="800"/>
      <c r="D205" s="2896" t="s">
        <v>1990</v>
      </c>
      <c r="E205" s="791"/>
      <c r="F205" s="410"/>
      <c r="G205" s="410"/>
      <c r="H205" s="410"/>
      <c r="I205" s="410"/>
      <c r="J205" s="410"/>
      <c r="K205" s="410"/>
      <c r="L205" s="410"/>
      <c r="M205" s="410"/>
      <c r="N205" s="784"/>
    </row>
    <row r="206" spans="2:14" ht="3.75" customHeight="1" x14ac:dyDescent="0.25">
      <c r="B206" s="784"/>
      <c r="C206" s="800"/>
      <c r="D206" s="2896"/>
      <c r="E206" s="791"/>
      <c r="F206" s="410"/>
      <c r="G206" s="410"/>
      <c r="H206" s="410"/>
      <c r="I206" s="410"/>
      <c r="J206" s="410"/>
      <c r="K206" s="410"/>
      <c r="L206" s="410"/>
      <c r="M206" s="410"/>
      <c r="N206" s="784"/>
    </row>
    <row r="207" spans="2:14" x14ac:dyDescent="0.25">
      <c r="B207" s="784"/>
      <c r="C207" s="2897" t="s">
        <v>1123</v>
      </c>
      <c r="D207" s="2896" t="s">
        <v>1993</v>
      </c>
      <c r="E207" s="791"/>
      <c r="F207" s="410"/>
      <c r="G207" s="410"/>
      <c r="H207" s="410"/>
      <c r="I207" s="410"/>
      <c r="J207" s="410"/>
      <c r="K207" s="410"/>
      <c r="L207" s="410"/>
      <c r="M207" s="410"/>
      <c r="N207" s="784"/>
    </row>
    <row r="208" spans="2:14" ht="3.75" customHeight="1" x14ac:dyDescent="0.25">
      <c r="B208" s="784"/>
      <c r="C208" s="800"/>
      <c r="D208" s="2896"/>
      <c r="E208" s="791"/>
      <c r="F208" s="410"/>
      <c r="G208" s="410"/>
      <c r="H208" s="410"/>
      <c r="I208" s="410"/>
      <c r="J208" s="410"/>
      <c r="K208" s="410"/>
      <c r="L208" s="410"/>
      <c r="M208" s="410"/>
      <c r="N208" s="784"/>
    </row>
    <row r="209" spans="2:14" x14ac:dyDescent="0.25">
      <c r="B209" s="784"/>
      <c r="C209" s="2897" t="s">
        <v>1124</v>
      </c>
      <c r="D209" s="2896" t="s">
        <v>1994</v>
      </c>
      <c r="E209" s="791"/>
      <c r="F209" s="410"/>
      <c r="G209" s="410"/>
      <c r="H209" s="410"/>
      <c r="I209" s="410"/>
      <c r="J209" s="410"/>
      <c r="K209" s="410"/>
      <c r="L209" s="410"/>
      <c r="M209" s="410"/>
      <c r="N209" s="784"/>
    </row>
    <row r="210" spans="2:14" x14ac:dyDescent="0.25">
      <c r="B210" s="784"/>
      <c r="C210" s="800"/>
      <c r="D210" s="791"/>
      <c r="E210" s="791"/>
      <c r="F210" s="410"/>
      <c r="G210" s="410"/>
      <c r="H210" s="410"/>
      <c r="I210" s="410"/>
      <c r="J210" s="410"/>
      <c r="K210" s="410"/>
      <c r="L210" s="410"/>
      <c r="M210" s="410"/>
      <c r="N210" s="784"/>
    </row>
    <row r="211" spans="2:14" x14ac:dyDescent="0.25">
      <c r="B211" s="784"/>
      <c r="C211" s="800"/>
      <c r="D211" s="791"/>
      <c r="E211" s="791"/>
      <c r="F211" s="410"/>
      <c r="G211" s="410"/>
      <c r="H211" s="410"/>
      <c r="I211" s="410"/>
      <c r="J211" s="410"/>
      <c r="K211" s="410"/>
      <c r="L211" s="410"/>
      <c r="M211" s="410"/>
      <c r="N211" s="784"/>
    </row>
    <row r="212" spans="2:14" x14ac:dyDescent="0.25">
      <c r="B212" s="784"/>
      <c r="C212" s="800"/>
      <c r="D212" s="791"/>
      <c r="E212" s="791"/>
      <c r="F212" s="410"/>
      <c r="G212" s="410"/>
      <c r="H212" s="410"/>
      <c r="I212" s="410"/>
      <c r="J212" s="410"/>
      <c r="K212" s="410"/>
      <c r="L212" s="410"/>
      <c r="M212" s="410"/>
      <c r="N212" s="784"/>
    </row>
    <row r="214" spans="2:14" ht="15.75" x14ac:dyDescent="0.25">
      <c r="B214" s="780" t="s">
        <v>13</v>
      </c>
      <c r="C214" s="781"/>
      <c r="D214" s="782"/>
      <c r="E214" s="782"/>
      <c r="F214" s="782"/>
      <c r="G214" s="782"/>
      <c r="H214" s="782"/>
      <c r="I214" s="782"/>
      <c r="J214" s="782"/>
      <c r="K214" s="782"/>
      <c r="L214" s="782"/>
      <c r="M214" s="782"/>
      <c r="N214" s="782"/>
    </row>
    <row r="215" spans="2:14" x14ac:dyDescent="0.25">
      <c r="B215" s="784"/>
      <c r="C215" s="800"/>
      <c r="D215" s="791"/>
      <c r="E215" s="791"/>
      <c r="F215" s="178"/>
      <c r="G215" s="178"/>
      <c r="H215" s="178"/>
      <c r="I215" s="178"/>
      <c r="J215" s="178"/>
      <c r="K215" s="178"/>
      <c r="L215" s="178"/>
      <c r="M215" s="178"/>
      <c r="N215" s="784"/>
    </row>
    <row r="216" spans="2:14" x14ac:dyDescent="0.25">
      <c r="B216" s="784"/>
      <c r="C216" s="785" t="s">
        <v>1991</v>
      </c>
      <c r="D216" s="791"/>
      <c r="E216" s="791"/>
      <c r="F216" s="784"/>
      <c r="G216" s="784"/>
      <c r="H216" s="784"/>
      <c r="I216" s="784"/>
      <c r="J216" s="784"/>
      <c r="K216" s="784"/>
      <c r="L216" s="784"/>
      <c r="M216" s="1933" t="s">
        <v>190</v>
      </c>
      <c r="N216" s="784"/>
    </row>
    <row r="217" spans="2:14" ht="5.25" customHeight="1" x14ac:dyDescent="0.25">
      <c r="B217" s="784"/>
      <c r="C217" s="800"/>
      <c r="D217" s="791"/>
      <c r="E217" s="791"/>
      <c r="F217" s="784"/>
      <c r="G217" s="784"/>
      <c r="H217" s="784"/>
      <c r="I217" s="784"/>
      <c r="J217" s="784"/>
      <c r="K217" s="784"/>
      <c r="L217" s="784"/>
      <c r="M217" s="784"/>
      <c r="N217" s="784"/>
    </row>
    <row r="218" spans="2:14" x14ac:dyDescent="0.25">
      <c r="B218" s="784"/>
      <c r="C218" s="2923" t="s">
        <v>500</v>
      </c>
      <c r="D218" s="2924" t="s">
        <v>483</v>
      </c>
      <c r="E218" s="2924" t="s">
        <v>8</v>
      </c>
      <c r="F218" s="828">
        <v>2015</v>
      </c>
      <c r="G218" s="829">
        <v>2020</v>
      </c>
      <c r="H218" s="828">
        <v>2025</v>
      </c>
      <c r="I218" s="828">
        <v>2030</v>
      </c>
      <c r="J218" s="828">
        <v>2035</v>
      </c>
      <c r="K218" s="828">
        <v>2040</v>
      </c>
      <c r="L218" s="828">
        <v>2045</v>
      </c>
      <c r="M218" s="830">
        <v>2050</v>
      </c>
      <c r="N218" s="784"/>
    </row>
    <row r="219" spans="2:14" x14ac:dyDescent="0.25">
      <c r="B219" s="784"/>
      <c r="C219" s="2925" t="s">
        <v>501</v>
      </c>
      <c r="D219" s="791"/>
      <c r="E219" s="2896" t="s">
        <v>1125</v>
      </c>
      <c r="F219" s="178">
        <v>0.56299999999999994</v>
      </c>
      <c r="G219" s="178">
        <v>0.56299999999999994</v>
      </c>
      <c r="H219" s="178">
        <v>0.56299999999999994</v>
      </c>
      <c r="I219" s="178">
        <v>0.56299999999999994</v>
      </c>
      <c r="J219" s="178">
        <v>0.56299999999999994</v>
      </c>
      <c r="K219" s="178">
        <v>0.56299999999999994</v>
      </c>
      <c r="L219" s="178">
        <v>0.56299999999999994</v>
      </c>
      <c r="M219" s="831">
        <v>0.56299999999999994</v>
      </c>
      <c r="N219" s="784"/>
    </row>
    <row r="220" spans="2:14" x14ac:dyDescent="0.25">
      <c r="B220" s="784"/>
      <c r="C220" s="2925" t="s">
        <v>502</v>
      </c>
      <c r="D220" s="791"/>
      <c r="E220" s="2896" t="s">
        <v>1125</v>
      </c>
      <c r="F220" s="178">
        <v>0.17600000000000002</v>
      </c>
      <c r="G220" s="178">
        <v>0.17600000000000002</v>
      </c>
      <c r="H220" s="178">
        <v>0.17600000000000002</v>
      </c>
      <c r="I220" s="178">
        <v>0.17600000000000002</v>
      </c>
      <c r="J220" s="178">
        <v>0.17600000000000002</v>
      </c>
      <c r="K220" s="178">
        <v>0.17600000000000002</v>
      </c>
      <c r="L220" s="178">
        <v>0.17600000000000002</v>
      </c>
      <c r="M220" s="831">
        <v>0.17600000000000002</v>
      </c>
      <c r="N220" s="784"/>
    </row>
    <row r="221" spans="2:14" x14ac:dyDescent="0.25">
      <c r="B221" s="784"/>
      <c r="C221" s="2925" t="s">
        <v>503</v>
      </c>
      <c r="D221" s="791"/>
      <c r="E221" s="2896" t="s">
        <v>1125</v>
      </c>
      <c r="F221" s="178">
        <v>7.5999999999999998E-2</v>
      </c>
      <c r="G221" s="178">
        <v>7.5999999999999998E-2</v>
      </c>
      <c r="H221" s="178">
        <v>7.5999999999999998E-2</v>
      </c>
      <c r="I221" s="178">
        <v>7.5999999999999998E-2</v>
      </c>
      <c r="J221" s="178">
        <v>7.5999999999999998E-2</v>
      </c>
      <c r="K221" s="178">
        <v>7.5999999999999998E-2</v>
      </c>
      <c r="L221" s="178">
        <v>7.5999999999999998E-2</v>
      </c>
      <c r="M221" s="831">
        <v>7.5999999999999998E-2</v>
      </c>
      <c r="N221" s="784"/>
    </row>
    <row r="222" spans="2:14" x14ac:dyDescent="0.25">
      <c r="B222" s="784"/>
      <c r="C222" s="2925" t="s">
        <v>504</v>
      </c>
      <c r="D222" s="791"/>
      <c r="E222" s="2896" t="s">
        <v>1125</v>
      </c>
      <c r="F222" s="178">
        <v>0.05</v>
      </c>
      <c r="G222" s="178">
        <v>0.05</v>
      </c>
      <c r="H222" s="178">
        <v>0.05</v>
      </c>
      <c r="I222" s="178">
        <v>0.05</v>
      </c>
      <c r="J222" s="178">
        <v>0.05</v>
      </c>
      <c r="K222" s="178">
        <v>0.05</v>
      </c>
      <c r="L222" s="178">
        <v>0.05</v>
      </c>
      <c r="M222" s="831">
        <v>0.05</v>
      </c>
      <c r="N222" s="784"/>
    </row>
    <row r="223" spans="2:14" x14ac:dyDescent="0.25">
      <c r="B223" s="784"/>
      <c r="C223" s="2925" t="s">
        <v>505</v>
      </c>
      <c r="D223" s="791"/>
      <c r="E223" s="2896" t="s">
        <v>1125</v>
      </c>
      <c r="F223" s="178">
        <v>2.7999999999999997E-2</v>
      </c>
      <c r="G223" s="178">
        <v>2.7999999999999997E-2</v>
      </c>
      <c r="H223" s="178">
        <v>2.7999999999999997E-2</v>
      </c>
      <c r="I223" s="178">
        <v>2.7999999999999997E-2</v>
      </c>
      <c r="J223" s="178">
        <v>2.7999999999999997E-2</v>
      </c>
      <c r="K223" s="178">
        <v>2.7999999999999997E-2</v>
      </c>
      <c r="L223" s="178">
        <v>2.7999999999999997E-2</v>
      </c>
      <c r="M223" s="831">
        <v>2.7999999999999997E-2</v>
      </c>
      <c r="N223" s="784"/>
    </row>
    <row r="224" spans="2:14" x14ac:dyDescent="0.25">
      <c r="B224" s="784"/>
      <c r="C224" s="2926" t="s">
        <v>506</v>
      </c>
      <c r="D224" s="807"/>
      <c r="E224" s="2896" t="s">
        <v>1125</v>
      </c>
      <c r="F224" s="473">
        <v>0.10700000000000003</v>
      </c>
      <c r="G224" s="473">
        <v>0.10700000000000003</v>
      </c>
      <c r="H224" s="473">
        <v>0.10700000000000003</v>
      </c>
      <c r="I224" s="473">
        <v>0.10700000000000003</v>
      </c>
      <c r="J224" s="473">
        <v>0.10700000000000003</v>
      </c>
      <c r="K224" s="473">
        <v>0.10700000000000003</v>
      </c>
      <c r="L224" s="473">
        <v>0.10700000000000003</v>
      </c>
      <c r="M224" s="832">
        <v>0.10700000000000003</v>
      </c>
      <c r="N224" s="784"/>
    </row>
    <row r="225" spans="2:14" x14ac:dyDescent="0.25">
      <c r="B225" s="784"/>
      <c r="C225" s="2927"/>
      <c r="D225" s="2911" t="s">
        <v>118</v>
      </c>
      <c r="E225" s="2909"/>
      <c r="F225" s="2910">
        <f>SUM(F219:F224)</f>
        <v>1</v>
      </c>
      <c r="G225" s="2910">
        <f t="shared" ref="G225:M225" si="16">SUM(G219:G224)</f>
        <v>1</v>
      </c>
      <c r="H225" s="2910">
        <f t="shared" si="16"/>
        <v>1</v>
      </c>
      <c r="I225" s="2910">
        <f t="shared" si="16"/>
        <v>1</v>
      </c>
      <c r="J225" s="2910">
        <f t="shared" si="16"/>
        <v>1</v>
      </c>
      <c r="K225" s="2910">
        <f t="shared" si="16"/>
        <v>1</v>
      </c>
      <c r="L225" s="2910">
        <f t="shared" si="16"/>
        <v>1</v>
      </c>
      <c r="M225" s="2928">
        <f t="shared" si="16"/>
        <v>1</v>
      </c>
      <c r="N225" s="784"/>
    </row>
    <row r="226" spans="2:14" x14ac:dyDescent="0.25">
      <c r="B226" s="784"/>
      <c r="C226" s="800"/>
      <c r="D226" s="805"/>
      <c r="E226" s="791"/>
      <c r="F226" s="178"/>
      <c r="G226" s="178"/>
      <c r="H226" s="178"/>
      <c r="I226" s="178"/>
      <c r="J226" s="178"/>
      <c r="K226" s="178"/>
      <c r="L226" s="178"/>
      <c r="M226" s="178"/>
      <c r="N226" s="784"/>
    </row>
    <row r="227" spans="2:14" x14ac:dyDescent="0.25">
      <c r="B227" s="784"/>
      <c r="C227" s="2897" t="s">
        <v>8</v>
      </c>
      <c r="D227" s="805"/>
      <c r="E227" s="791"/>
      <c r="F227" s="178"/>
      <c r="G227" s="178"/>
      <c r="H227" s="178"/>
      <c r="I227" s="178"/>
      <c r="J227" s="178"/>
      <c r="K227" s="178"/>
      <c r="L227" s="178"/>
      <c r="M227" s="178"/>
      <c r="N227" s="784"/>
    </row>
    <row r="228" spans="2:14" x14ac:dyDescent="0.25">
      <c r="B228" s="784"/>
      <c r="C228" s="2897" t="s">
        <v>1125</v>
      </c>
      <c r="D228" s="2896" t="s">
        <v>1987</v>
      </c>
      <c r="E228" s="791"/>
      <c r="F228" s="178"/>
      <c r="G228" s="178"/>
      <c r="H228" s="178"/>
      <c r="I228" s="178"/>
      <c r="J228" s="178"/>
      <c r="K228" s="178"/>
      <c r="L228" s="178"/>
      <c r="M228" s="178"/>
      <c r="N228" s="784"/>
    </row>
    <row r="229" spans="2:14" x14ac:dyDescent="0.25">
      <c r="B229" s="784"/>
      <c r="C229" s="800"/>
      <c r="D229" s="2896" t="s">
        <v>1995</v>
      </c>
      <c r="E229" s="791"/>
      <c r="F229" s="178"/>
      <c r="G229" s="178"/>
      <c r="H229" s="178"/>
      <c r="I229" s="178"/>
      <c r="J229" s="178"/>
      <c r="K229" s="178"/>
      <c r="L229" s="178"/>
      <c r="M229" s="178"/>
      <c r="N229" s="784"/>
    </row>
    <row r="230" spans="2:14" x14ac:dyDescent="0.25">
      <c r="B230" s="784"/>
      <c r="C230" s="800"/>
      <c r="D230" s="805"/>
      <c r="E230" s="791"/>
      <c r="F230" s="178"/>
      <c r="G230" s="178"/>
      <c r="H230" s="178"/>
      <c r="I230" s="178"/>
      <c r="J230" s="178"/>
      <c r="K230" s="178"/>
      <c r="L230" s="178"/>
      <c r="M230" s="178"/>
      <c r="N230" s="784"/>
    </row>
    <row r="231" spans="2:14" x14ac:dyDescent="0.25">
      <c r="B231" s="784"/>
      <c r="C231" s="785" t="s">
        <v>1992</v>
      </c>
      <c r="D231" s="791"/>
      <c r="E231" s="2896"/>
      <c r="F231" s="791"/>
      <c r="G231" s="791"/>
      <c r="H231" s="791"/>
      <c r="I231" s="791"/>
      <c r="J231" s="791"/>
      <c r="K231" s="791"/>
      <c r="L231" s="791"/>
      <c r="M231" s="1934" t="s">
        <v>190</v>
      </c>
      <c r="N231" s="791"/>
    </row>
    <row r="232" spans="2:14" ht="4.5" customHeight="1" x14ac:dyDescent="0.25">
      <c r="B232" s="784"/>
      <c r="C232" s="800"/>
      <c r="D232" s="791"/>
      <c r="E232" s="791"/>
      <c r="F232" s="791"/>
      <c r="G232" s="791"/>
      <c r="H232" s="791"/>
      <c r="I232" s="791"/>
      <c r="J232" s="791"/>
      <c r="K232" s="791"/>
      <c r="L232" s="791"/>
      <c r="M232" s="791"/>
      <c r="N232" s="791"/>
    </row>
    <row r="233" spans="2:14" x14ac:dyDescent="0.25">
      <c r="B233" s="784"/>
      <c r="C233" s="2919" t="s">
        <v>507</v>
      </c>
      <c r="D233" s="822"/>
      <c r="E233" s="822" t="s">
        <v>1996</v>
      </c>
      <c r="F233" s="828">
        <v>2015</v>
      </c>
      <c r="G233" s="829">
        <v>2020</v>
      </c>
      <c r="H233" s="828">
        <v>2025</v>
      </c>
      <c r="I233" s="828">
        <v>2030</v>
      </c>
      <c r="J233" s="828">
        <v>2035</v>
      </c>
      <c r="K233" s="828">
        <v>2040</v>
      </c>
      <c r="L233" s="828">
        <v>2045</v>
      </c>
      <c r="M233" s="830">
        <v>2050</v>
      </c>
      <c r="N233" s="791"/>
    </row>
    <row r="234" spans="2:14" x14ac:dyDescent="0.25">
      <c r="B234" s="784"/>
      <c r="C234" s="2920">
        <v>1</v>
      </c>
      <c r="D234" s="803"/>
      <c r="E234" s="791"/>
      <c r="F234" s="178">
        <v>1.6986720078633121E-2</v>
      </c>
      <c r="G234" s="178">
        <v>1.6986720078633121E-2</v>
      </c>
      <c r="H234" s="178">
        <v>1.6986720078633121E-2</v>
      </c>
      <c r="I234" s="178">
        <v>1.6986720078633121E-2</v>
      </c>
      <c r="J234" s="178">
        <v>1.6986720078633121E-2</v>
      </c>
      <c r="K234" s="178">
        <v>1.6986720078633121E-2</v>
      </c>
      <c r="L234" s="178">
        <v>1.6986720078633121E-2</v>
      </c>
      <c r="M234" s="831">
        <v>1.6986720078633121E-2</v>
      </c>
      <c r="N234" s="791"/>
    </row>
    <row r="235" spans="2:14" x14ac:dyDescent="0.25">
      <c r="B235" s="784"/>
      <c r="C235" s="2920">
        <v>2</v>
      </c>
      <c r="D235" s="803"/>
      <c r="E235" s="791"/>
      <c r="F235" s="178">
        <v>2.9018743141128844E-2</v>
      </c>
      <c r="G235" s="178">
        <v>2.9018743141128844E-2</v>
      </c>
      <c r="H235" s="178">
        <v>2.9018743141128844E-2</v>
      </c>
      <c r="I235" s="178">
        <v>2.9018743141128844E-2</v>
      </c>
      <c r="J235" s="178">
        <v>2.9018743141128844E-2</v>
      </c>
      <c r="K235" s="178">
        <v>2.9018743141128844E-2</v>
      </c>
      <c r="L235" s="178">
        <v>2.9018743141128844E-2</v>
      </c>
      <c r="M235" s="831">
        <v>2.9018743141128844E-2</v>
      </c>
      <c r="N235" s="791"/>
    </row>
    <row r="236" spans="2:14" x14ac:dyDescent="0.25">
      <c r="B236" s="784"/>
      <c r="C236" s="2920">
        <v>3</v>
      </c>
      <c r="D236" s="803"/>
      <c r="E236" s="791"/>
      <c r="F236" s="178">
        <v>1.5031058959608233E-2</v>
      </c>
      <c r="G236" s="178">
        <v>1.5031058959608233E-2</v>
      </c>
      <c r="H236" s="178">
        <v>1.5031058959608233E-2</v>
      </c>
      <c r="I236" s="178">
        <v>1.5031058959608233E-2</v>
      </c>
      <c r="J236" s="178">
        <v>1.5031058959608233E-2</v>
      </c>
      <c r="K236" s="178">
        <v>1.5031058959608233E-2</v>
      </c>
      <c r="L236" s="178">
        <v>1.5031058959608233E-2</v>
      </c>
      <c r="M236" s="831">
        <v>1.5031058959608233E-2</v>
      </c>
      <c r="N236" s="791"/>
    </row>
    <row r="237" spans="2:14" x14ac:dyDescent="0.25">
      <c r="B237" s="784"/>
      <c r="C237" s="2920">
        <v>4</v>
      </c>
      <c r="D237" s="803"/>
      <c r="E237" s="791"/>
      <c r="F237" s="178">
        <v>4.0119754264187769E-2</v>
      </c>
      <c r="G237" s="178">
        <v>4.0119754264187769E-2</v>
      </c>
      <c r="H237" s="178">
        <v>4.0119754264187769E-2</v>
      </c>
      <c r="I237" s="178">
        <v>4.0119754264187769E-2</v>
      </c>
      <c r="J237" s="178">
        <v>4.0119754264187769E-2</v>
      </c>
      <c r="K237" s="178">
        <v>4.0119754264187769E-2</v>
      </c>
      <c r="L237" s="178">
        <v>4.0119754264187769E-2</v>
      </c>
      <c r="M237" s="831">
        <v>4.0119754264187769E-2</v>
      </c>
      <c r="N237" s="791"/>
    </row>
    <row r="238" spans="2:14" x14ac:dyDescent="0.25">
      <c r="B238" s="784"/>
      <c r="C238" s="2920">
        <v>5</v>
      </c>
      <c r="D238" s="803"/>
      <c r="E238" s="791"/>
      <c r="F238" s="178">
        <v>0.1071602952313316</v>
      </c>
      <c r="G238" s="178">
        <v>0.1071602952313316</v>
      </c>
      <c r="H238" s="178">
        <v>0.1071602952313316</v>
      </c>
      <c r="I238" s="178">
        <v>0.1071602952313316</v>
      </c>
      <c r="J238" s="178">
        <v>0.1071602952313316</v>
      </c>
      <c r="K238" s="178">
        <v>0.1071602952313316</v>
      </c>
      <c r="L238" s="178">
        <v>0.1071602952313316</v>
      </c>
      <c r="M238" s="831">
        <v>0.1071602952313316</v>
      </c>
      <c r="N238" s="791"/>
    </row>
    <row r="239" spans="2:14" x14ac:dyDescent="0.25">
      <c r="B239" s="784"/>
      <c r="C239" s="2920">
        <v>6</v>
      </c>
      <c r="D239" s="803"/>
      <c r="E239" s="791"/>
      <c r="F239" s="178">
        <v>5.2219190936618358E-2</v>
      </c>
      <c r="G239" s="178">
        <v>5.2219190936618358E-2</v>
      </c>
      <c r="H239" s="178">
        <v>5.2219190936618358E-2</v>
      </c>
      <c r="I239" s="178">
        <v>5.2219190936618358E-2</v>
      </c>
      <c r="J239" s="178">
        <v>5.2219190936618358E-2</v>
      </c>
      <c r="K239" s="178">
        <v>5.2219190936618358E-2</v>
      </c>
      <c r="L239" s="178">
        <v>5.2219190936618358E-2</v>
      </c>
      <c r="M239" s="831">
        <v>5.2219190936618358E-2</v>
      </c>
      <c r="N239" s="791"/>
    </row>
    <row r="240" spans="2:14" x14ac:dyDescent="0.25">
      <c r="B240" s="784"/>
      <c r="C240" s="2920">
        <v>7</v>
      </c>
      <c r="D240" s="803"/>
      <c r="E240" s="791"/>
      <c r="F240" s="178">
        <v>6.1848934604229404E-2</v>
      </c>
      <c r="G240" s="178">
        <v>6.1848934604229404E-2</v>
      </c>
      <c r="H240" s="178">
        <v>6.1848934604229404E-2</v>
      </c>
      <c r="I240" s="178">
        <v>6.1848934604229404E-2</v>
      </c>
      <c r="J240" s="178">
        <v>6.1848934604229404E-2</v>
      </c>
      <c r="K240" s="178">
        <v>6.1848934604229404E-2</v>
      </c>
      <c r="L240" s="178">
        <v>6.1848934604229404E-2</v>
      </c>
      <c r="M240" s="831">
        <v>6.1848934604229404E-2</v>
      </c>
      <c r="N240" s="791"/>
    </row>
    <row r="241" spans="2:14" x14ac:dyDescent="0.25">
      <c r="B241" s="784"/>
      <c r="C241" s="2920">
        <v>8</v>
      </c>
      <c r="D241" s="803"/>
      <c r="E241" s="791"/>
      <c r="F241" s="178">
        <v>0.11557715085782826</v>
      </c>
      <c r="G241" s="178">
        <v>0.11557715085782826</v>
      </c>
      <c r="H241" s="178">
        <v>0.11557715085782826</v>
      </c>
      <c r="I241" s="178">
        <v>0.11557715085782826</v>
      </c>
      <c r="J241" s="178">
        <v>0.11557715085782826</v>
      </c>
      <c r="K241" s="178">
        <v>0.11557715085782826</v>
      </c>
      <c r="L241" s="178">
        <v>0.11557715085782826</v>
      </c>
      <c r="M241" s="831">
        <v>0.11557715085782826</v>
      </c>
      <c r="N241" s="791"/>
    </row>
    <row r="242" spans="2:14" x14ac:dyDescent="0.25">
      <c r="B242" s="784"/>
      <c r="C242" s="2920">
        <v>9</v>
      </c>
      <c r="D242" s="803"/>
      <c r="E242" s="791"/>
      <c r="F242" s="178">
        <v>5.6590146930368956E-2</v>
      </c>
      <c r="G242" s="178">
        <v>5.6590146930368956E-2</v>
      </c>
      <c r="H242" s="178">
        <v>5.6590146930368956E-2</v>
      </c>
      <c r="I242" s="178">
        <v>5.6590146930368956E-2</v>
      </c>
      <c r="J242" s="178">
        <v>5.6590146930368956E-2</v>
      </c>
      <c r="K242" s="178">
        <v>5.6590146930368956E-2</v>
      </c>
      <c r="L242" s="178">
        <v>5.6590146930368956E-2</v>
      </c>
      <c r="M242" s="831">
        <v>5.6590146930368956E-2</v>
      </c>
      <c r="N242" s="791"/>
    </row>
    <row r="243" spans="2:14" x14ac:dyDescent="0.25">
      <c r="B243" s="784"/>
      <c r="C243" s="2920">
        <v>10</v>
      </c>
      <c r="D243" s="803"/>
      <c r="E243" s="791"/>
      <c r="F243" s="178">
        <v>5.0003308088827192E-2</v>
      </c>
      <c r="G243" s="178">
        <v>5.0003308088827192E-2</v>
      </c>
      <c r="H243" s="178">
        <v>5.0003308088827192E-2</v>
      </c>
      <c r="I243" s="178">
        <v>5.0003308088827192E-2</v>
      </c>
      <c r="J243" s="178">
        <v>5.0003308088827192E-2</v>
      </c>
      <c r="K243" s="178">
        <v>5.0003308088827192E-2</v>
      </c>
      <c r="L243" s="178">
        <v>5.0003308088827192E-2</v>
      </c>
      <c r="M243" s="831">
        <v>5.0003308088827192E-2</v>
      </c>
      <c r="N243" s="791"/>
    </row>
    <row r="244" spans="2:14" x14ac:dyDescent="0.25">
      <c r="B244" s="784"/>
      <c r="C244" s="2920">
        <v>11</v>
      </c>
      <c r="D244" s="803"/>
      <c r="E244" s="791"/>
      <c r="F244" s="178">
        <v>6.266856578068053E-3</v>
      </c>
      <c r="G244" s="178">
        <v>6.266856578068053E-3</v>
      </c>
      <c r="H244" s="178">
        <v>6.266856578068053E-3</v>
      </c>
      <c r="I244" s="178">
        <v>6.266856578068053E-3</v>
      </c>
      <c r="J244" s="178">
        <v>6.266856578068053E-3</v>
      </c>
      <c r="K244" s="178">
        <v>6.266856578068053E-3</v>
      </c>
      <c r="L244" s="178">
        <v>6.266856578068053E-3</v>
      </c>
      <c r="M244" s="831">
        <v>6.266856578068053E-3</v>
      </c>
      <c r="N244" s="791"/>
    </row>
    <row r="245" spans="2:14" x14ac:dyDescent="0.25">
      <c r="B245" s="784"/>
      <c r="C245" s="2920">
        <v>12</v>
      </c>
      <c r="D245" s="803"/>
      <c r="E245" s="791"/>
      <c r="F245" s="178">
        <v>8.8827165579032415E-3</v>
      </c>
      <c r="G245" s="178">
        <v>8.8827165579032415E-3</v>
      </c>
      <c r="H245" s="178">
        <v>8.8827165579032415E-3</v>
      </c>
      <c r="I245" s="178">
        <v>8.8827165579032415E-3</v>
      </c>
      <c r="J245" s="178">
        <v>8.8827165579032415E-3</v>
      </c>
      <c r="K245" s="178">
        <v>8.8827165579032415E-3</v>
      </c>
      <c r="L245" s="178">
        <v>8.8827165579032415E-3</v>
      </c>
      <c r="M245" s="831">
        <v>8.8827165579032415E-3</v>
      </c>
      <c r="N245" s="791"/>
    </row>
    <row r="246" spans="2:14" x14ac:dyDescent="0.25">
      <c r="B246" s="784"/>
      <c r="C246" s="2920">
        <v>13</v>
      </c>
      <c r="D246" s="803"/>
      <c r="E246" s="791"/>
      <c r="F246" s="178">
        <v>0.40834094560724099</v>
      </c>
      <c r="G246" s="178">
        <v>0.40834094560724099</v>
      </c>
      <c r="H246" s="178">
        <v>0.40834094560724099</v>
      </c>
      <c r="I246" s="178">
        <v>0.40834094560724099</v>
      </c>
      <c r="J246" s="178">
        <v>0.40834094560724099</v>
      </c>
      <c r="K246" s="178">
        <v>0.40834094560724099</v>
      </c>
      <c r="L246" s="178">
        <v>0.40834094560724099</v>
      </c>
      <c r="M246" s="831">
        <v>0.40834094560724099</v>
      </c>
      <c r="N246" s="791"/>
    </row>
    <row r="247" spans="2:14" x14ac:dyDescent="0.25">
      <c r="B247" s="784"/>
      <c r="C247" s="2920">
        <v>14</v>
      </c>
      <c r="D247" s="803"/>
      <c r="E247" s="791"/>
      <c r="F247" s="178">
        <v>2.2279821566758402E-2</v>
      </c>
      <c r="G247" s="178">
        <v>2.2279821566758402E-2</v>
      </c>
      <c r="H247" s="178">
        <v>2.2279821566758402E-2</v>
      </c>
      <c r="I247" s="178">
        <v>2.2279821566758402E-2</v>
      </c>
      <c r="J247" s="178">
        <v>2.2279821566758402E-2</v>
      </c>
      <c r="K247" s="178">
        <v>2.2279821566758402E-2</v>
      </c>
      <c r="L247" s="178">
        <v>2.2279821566758402E-2</v>
      </c>
      <c r="M247" s="831">
        <v>2.2279821566758402E-2</v>
      </c>
      <c r="N247" s="791"/>
    </row>
    <row r="248" spans="2:14" x14ac:dyDescent="0.25">
      <c r="B248" s="784"/>
      <c r="C248" s="2921">
        <v>15</v>
      </c>
      <c r="D248" s="804"/>
      <c r="E248" s="807"/>
      <c r="F248" s="473">
        <v>9.6743565972674979E-3</v>
      </c>
      <c r="G248" s="473">
        <v>9.6743565972674979E-3</v>
      </c>
      <c r="H248" s="473">
        <v>9.6743565972674979E-3</v>
      </c>
      <c r="I248" s="473">
        <v>9.6743565972674979E-3</v>
      </c>
      <c r="J248" s="473">
        <v>9.6743565972674979E-3</v>
      </c>
      <c r="K248" s="473">
        <v>9.6743565972674979E-3</v>
      </c>
      <c r="L248" s="473">
        <v>9.6743565972674979E-3</v>
      </c>
      <c r="M248" s="832">
        <v>9.6743565972674979E-3</v>
      </c>
      <c r="N248" s="791"/>
    </row>
    <row r="249" spans="2:14" x14ac:dyDescent="0.25">
      <c r="B249" s="784"/>
      <c r="C249" s="825"/>
      <c r="D249" s="2922" t="s">
        <v>118</v>
      </c>
      <c r="E249" s="807"/>
      <c r="F249" s="473">
        <f>SUM(F234:F248)</f>
        <v>0.99999999999999989</v>
      </c>
      <c r="G249" s="473">
        <f t="shared" ref="G249:M249" si="17">SUM(G234:G248)</f>
        <v>0.99999999999999989</v>
      </c>
      <c r="H249" s="473">
        <f t="shared" si="17"/>
        <v>0.99999999999999989</v>
      </c>
      <c r="I249" s="473">
        <f t="shared" si="17"/>
        <v>0.99999999999999989</v>
      </c>
      <c r="J249" s="473">
        <f t="shared" si="17"/>
        <v>0.99999999999999989</v>
      </c>
      <c r="K249" s="473">
        <f t="shared" si="17"/>
        <v>0.99999999999999989</v>
      </c>
      <c r="L249" s="473">
        <f t="shared" si="17"/>
        <v>0.99999999999999989</v>
      </c>
      <c r="M249" s="832">
        <f t="shared" si="17"/>
        <v>0.99999999999999989</v>
      </c>
      <c r="N249" s="784"/>
    </row>
    <row r="250" spans="2:14" x14ac:dyDescent="0.25">
      <c r="B250" s="784"/>
      <c r="C250" s="2897" t="s">
        <v>8</v>
      </c>
      <c r="D250" s="805"/>
      <c r="E250" s="791"/>
      <c r="F250" s="178"/>
      <c r="G250" s="178"/>
      <c r="H250" s="178"/>
      <c r="I250" s="178"/>
      <c r="J250" s="178"/>
      <c r="K250" s="178"/>
      <c r="L250" s="178"/>
      <c r="M250" s="178"/>
      <c r="N250" s="784"/>
    </row>
    <row r="251" spans="2:14" x14ac:dyDescent="0.25">
      <c r="B251" s="784"/>
      <c r="C251" s="2897" t="s">
        <v>1128</v>
      </c>
      <c r="D251" s="2896" t="s">
        <v>1987</v>
      </c>
      <c r="E251" s="791"/>
      <c r="F251" s="178"/>
      <c r="G251" s="178"/>
      <c r="H251" s="178"/>
      <c r="I251" s="178"/>
      <c r="J251" s="178"/>
      <c r="K251" s="178"/>
      <c r="L251" s="178"/>
      <c r="M251" s="178"/>
      <c r="N251" s="784"/>
    </row>
    <row r="252" spans="2:14" x14ac:dyDescent="0.25">
      <c r="B252" s="784"/>
      <c r="C252" s="800"/>
      <c r="D252" s="2912" t="s">
        <v>1997</v>
      </c>
      <c r="E252" s="791"/>
      <c r="F252" s="178"/>
      <c r="G252" s="178"/>
      <c r="H252" s="178"/>
      <c r="I252" s="178"/>
      <c r="J252" s="178"/>
      <c r="K252" s="178"/>
      <c r="L252" s="178"/>
      <c r="M252" s="178"/>
      <c r="N252" s="784"/>
    </row>
    <row r="253" spans="2:14" x14ac:dyDescent="0.25">
      <c r="B253" s="784"/>
      <c r="C253" s="800"/>
      <c r="D253" s="2912"/>
      <c r="E253" s="791"/>
      <c r="F253" s="178"/>
      <c r="G253" s="178"/>
      <c r="H253" s="178"/>
      <c r="I253" s="178"/>
      <c r="J253" s="178"/>
      <c r="K253" s="178"/>
      <c r="L253" s="178"/>
      <c r="M253" s="178"/>
      <c r="N253" s="784"/>
    </row>
    <row r="254" spans="2:14" x14ac:dyDescent="0.25">
      <c r="B254" s="784"/>
      <c r="C254" s="808" t="s">
        <v>1998</v>
      </c>
      <c r="D254" s="805"/>
      <c r="E254" s="2913" t="s">
        <v>2000</v>
      </c>
      <c r="F254" s="178"/>
      <c r="G254" s="178"/>
      <c r="H254" s="178"/>
      <c r="I254" s="178"/>
      <c r="J254" s="178"/>
      <c r="K254" s="178"/>
      <c r="L254" s="178"/>
      <c r="M254" s="827" t="s">
        <v>190</v>
      </c>
      <c r="N254" s="784"/>
    </row>
    <row r="255" spans="2:14" ht="4.5" customHeight="1" x14ac:dyDescent="0.25">
      <c r="B255" s="784"/>
      <c r="C255" s="800"/>
      <c r="D255" s="805"/>
      <c r="E255" s="791"/>
      <c r="F255" s="178"/>
      <c r="G255" s="178"/>
      <c r="H255" s="178"/>
      <c r="I255" s="178"/>
      <c r="J255" s="178"/>
      <c r="K255" s="178"/>
      <c r="L255" s="178"/>
      <c r="M255" s="178"/>
      <c r="N255" s="784"/>
    </row>
    <row r="256" spans="2:14" x14ac:dyDescent="0.25">
      <c r="B256" s="784"/>
      <c r="C256" s="2914" t="s">
        <v>513</v>
      </c>
      <c r="D256" s="2916" t="s">
        <v>1999</v>
      </c>
      <c r="E256" s="2916" t="s">
        <v>531</v>
      </c>
      <c r="F256" s="828">
        <v>2015</v>
      </c>
      <c r="G256" s="829">
        <v>2020</v>
      </c>
      <c r="H256" s="828">
        <v>2025</v>
      </c>
      <c r="I256" s="828">
        <v>2030</v>
      </c>
      <c r="J256" s="828">
        <v>2035</v>
      </c>
      <c r="K256" s="828">
        <v>2040</v>
      </c>
      <c r="L256" s="828">
        <v>2045</v>
      </c>
      <c r="M256" s="830">
        <v>2050</v>
      </c>
      <c r="N256" s="784"/>
    </row>
    <row r="257" spans="2:14" x14ac:dyDescent="0.25">
      <c r="B257" s="784"/>
      <c r="C257" s="823">
        <v>1</v>
      </c>
      <c r="D257" s="809" t="s">
        <v>508</v>
      </c>
      <c r="E257" s="810" t="s">
        <v>509</v>
      </c>
      <c r="F257" s="811">
        <v>0</v>
      </c>
      <c r="G257" s="811">
        <v>0</v>
      </c>
      <c r="H257" s="811">
        <v>0</v>
      </c>
      <c r="I257" s="811">
        <v>0</v>
      </c>
      <c r="J257" s="811">
        <v>0</v>
      </c>
      <c r="K257" s="811">
        <v>0</v>
      </c>
      <c r="L257" s="811">
        <v>0</v>
      </c>
      <c r="M257" s="2917">
        <v>0</v>
      </c>
      <c r="N257" s="784"/>
    </row>
    <row r="258" spans="2:14" x14ac:dyDescent="0.25">
      <c r="B258" s="784"/>
      <c r="C258" s="823">
        <v>1</v>
      </c>
      <c r="D258" s="812" t="s">
        <v>508</v>
      </c>
      <c r="E258" s="813" t="s">
        <v>510</v>
      </c>
      <c r="F258" s="178">
        <v>7.1980424549359934E-2</v>
      </c>
      <c r="G258" s="178">
        <v>9.231513706496515E-2</v>
      </c>
      <c r="H258" s="178">
        <v>0.12140317907999425</v>
      </c>
      <c r="I258" s="178">
        <v>0.15451816976478541</v>
      </c>
      <c r="J258" s="178">
        <v>0.18821957295499733</v>
      </c>
      <c r="K258" s="178">
        <v>0.22464634618793591</v>
      </c>
      <c r="L258" s="178">
        <v>0.27480032031778134</v>
      </c>
      <c r="M258" s="831">
        <v>0.28125703475718949</v>
      </c>
      <c r="N258" s="784"/>
    </row>
    <row r="259" spans="2:14" x14ac:dyDescent="0.25">
      <c r="B259" s="784"/>
      <c r="C259" s="823">
        <v>1</v>
      </c>
      <c r="D259" s="812" t="s">
        <v>508</v>
      </c>
      <c r="E259" s="813" t="s">
        <v>511</v>
      </c>
      <c r="F259" s="178">
        <v>0.34427402702911714</v>
      </c>
      <c r="G259" s="178">
        <v>0.33745076687817677</v>
      </c>
      <c r="H259" s="178">
        <v>0.32769034967052202</v>
      </c>
      <c r="I259" s="178">
        <v>0.31657870025994433</v>
      </c>
      <c r="J259" s="178">
        <v>0.30527028165102266</v>
      </c>
      <c r="K259" s="178">
        <v>0.29304737217851801</v>
      </c>
      <c r="L259" s="178">
        <v>0.27621833597607132</v>
      </c>
      <c r="M259" s="831">
        <v>0.27405180215826558</v>
      </c>
      <c r="N259" s="784"/>
    </row>
    <row r="260" spans="2:14" x14ac:dyDescent="0.25">
      <c r="B260" s="784"/>
      <c r="C260" s="823">
        <v>1</v>
      </c>
      <c r="D260" s="812" t="s">
        <v>508</v>
      </c>
      <c r="E260" s="813" t="s">
        <v>494</v>
      </c>
      <c r="F260" s="178">
        <v>0.43604483583431364</v>
      </c>
      <c r="G260" s="178">
        <v>0.42006855447971281</v>
      </c>
      <c r="H260" s="178">
        <v>0.39721508443778741</v>
      </c>
      <c r="I260" s="178">
        <v>0.37119777989860597</v>
      </c>
      <c r="J260" s="178">
        <v>0.34471975130594856</v>
      </c>
      <c r="K260" s="178">
        <v>0.31610049359266368</v>
      </c>
      <c r="L260" s="178">
        <v>0.2766962482100519</v>
      </c>
      <c r="M260" s="831">
        <v>0.27162343066069466</v>
      </c>
      <c r="N260" s="784"/>
    </row>
    <row r="261" spans="2:14" x14ac:dyDescent="0.25">
      <c r="B261" s="784"/>
      <c r="C261" s="825">
        <v>1</v>
      </c>
      <c r="D261" s="815" t="s">
        <v>508</v>
      </c>
      <c r="E261" s="816" t="s">
        <v>498</v>
      </c>
      <c r="F261" s="473">
        <v>0.14770071258720932</v>
      </c>
      <c r="G261" s="473">
        <v>0.15016554157714515</v>
      </c>
      <c r="H261" s="473">
        <v>0.15369138681169628</v>
      </c>
      <c r="I261" s="473">
        <v>0.15770535007666434</v>
      </c>
      <c r="J261" s="473">
        <v>0.16179039408803159</v>
      </c>
      <c r="K261" s="473">
        <v>0.1662057880408824</v>
      </c>
      <c r="L261" s="473">
        <v>0.1722850954960955</v>
      </c>
      <c r="M261" s="832">
        <v>0.17306773242385029</v>
      </c>
      <c r="N261" s="784"/>
    </row>
    <row r="262" spans="2:14" x14ac:dyDescent="0.25">
      <c r="B262" s="784"/>
      <c r="C262" s="823">
        <v>2</v>
      </c>
      <c r="D262" s="817" t="s">
        <v>508</v>
      </c>
      <c r="E262" s="818" t="s">
        <v>509</v>
      </c>
      <c r="F262" s="819">
        <v>0</v>
      </c>
      <c r="G262" s="819">
        <v>0</v>
      </c>
      <c r="H262" s="819">
        <v>0</v>
      </c>
      <c r="I262" s="819">
        <v>0</v>
      </c>
      <c r="J262" s="819">
        <v>0</v>
      </c>
      <c r="K262" s="819">
        <v>0</v>
      </c>
      <c r="L262" s="819">
        <v>0</v>
      </c>
      <c r="M262" s="2918">
        <v>0</v>
      </c>
      <c r="N262" s="784"/>
    </row>
    <row r="263" spans="2:14" x14ac:dyDescent="0.25">
      <c r="B263" s="784"/>
      <c r="C263" s="823">
        <v>2</v>
      </c>
      <c r="D263" s="812" t="s">
        <v>508</v>
      </c>
      <c r="E263" s="813" t="s">
        <v>510</v>
      </c>
      <c r="F263" s="178">
        <v>0.11067369188649048</v>
      </c>
      <c r="G263" s="178">
        <v>0.12733307992600806</v>
      </c>
      <c r="H263" s="178">
        <v>0.15097199023271077</v>
      </c>
      <c r="I263" s="178">
        <v>0.17735727781608282</v>
      </c>
      <c r="J263" s="178">
        <v>0.2039021517143117</v>
      </c>
      <c r="K263" s="178">
        <v>0.23226751093619508</v>
      </c>
      <c r="L263" s="178">
        <v>0.26856972827394804</v>
      </c>
      <c r="M263" s="831">
        <v>0.27347251316372112</v>
      </c>
      <c r="N263" s="784"/>
    </row>
    <row r="264" spans="2:14" x14ac:dyDescent="0.25">
      <c r="B264" s="784"/>
      <c r="C264" s="823">
        <v>2</v>
      </c>
      <c r="D264" s="812" t="s">
        <v>508</v>
      </c>
      <c r="E264" s="813" t="s">
        <v>511</v>
      </c>
      <c r="F264" s="178">
        <v>0.37061724739442548</v>
      </c>
      <c r="G264" s="178">
        <v>0.36106110722213175</v>
      </c>
      <c r="H264" s="178">
        <v>0.34750138102599026</v>
      </c>
      <c r="I264" s="178">
        <v>0.33236628086295406</v>
      </c>
      <c r="J264" s="178">
        <v>0.31713963897036951</v>
      </c>
      <c r="K264" s="178">
        <v>0.30086873225285993</v>
      </c>
      <c r="L264" s="178">
        <v>0.28004509355606361</v>
      </c>
      <c r="M264" s="831">
        <v>0.27723276338342229</v>
      </c>
      <c r="N264" s="784"/>
    </row>
    <row r="265" spans="2:14" x14ac:dyDescent="0.25">
      <c r="B265" s="784"/>
      <c r="C265" s="823">
        <v>2</v>
      </c>
      <c r="D265" s="812" t="s">
        <v>508</v>
      </c>
      <c r="E265" s="813" t="s">
        <v>494</v>
      </c>
      <c r="F265" s="178">
        <v>0.38676352426277738</v>
      </c>
      <c r="G265" s="178">
        <v>0.37557901836342833</v>
      </c>
      <c r="H265" s="178">
        <v>0.35970871561567164</v>
      </c>
      <c r="I265" s="178">
        <v>0.34199459526910031</v>
      </c>
      <c r="J265" s="178">
        <v>0.32417333448761398</v>
      </c>
      <c r="K265" s="178">
        <v>0.30512986621604504</v>
      </c>
      <c r="L265" s="178">
        <v>0.28075788070190572</v>
      </c>
      <c r="M265" s="831">
        <v>0.27746632963215256</v>
      </c>
      <c r="N265" s="784"/>
    </row>
    <row r="266" spans="2:14" x14ac:dyDescent="0.25">
      <c r="B266" s="784"/>
      <c r="C266" s="825">
        <v>2</v>
      </c>
      <c r="D266" s="815" t="s">
        <v>508</v>
      </c>
      <c r="E266" s="816" t="s">
        <v>498</v>
      </c>
      <c r="F266" s="473">
        <v>0.13194553645630666</v>
      </c>
      <c r="G266" s="473">
        <v>0.13602679448843202</v>
      </c>
      <c r="H266" s="473">
        <v>0.14181791312562736</v>
      </c>
      <c r="I266" s="473">
        <v>0.14828184605186298</v>
      </c>
      <c r="J266" s="473">
        <v>0.15478487482770481</v>
      </c>
      <c r="K266" s="473">
        <v>0.16173389059490001</v>
      </c>
      <c r="L266" s="473">
        <v>0.17062729746808264</v>
      </c>
      <c r="M266" s="832">
        <v>0.17182839382070389</v>
      </c>
      <c r="N266" s="784"/>
    </row>
    <row r="267" spans="2:14" x14ac:dyDescent="0.25">
      <c r="B267" s="784"/>
      <c r="C267" s="823">
        <v>3</v>
      </c>
      <c r="D267" s="809" t="s">
        <v>508</v>
      </c>
      <c r="E267" s="818" t="s">
        <v>509</v>
      </c>
      <c r="F267" s="819">
        <v>0</v>
      </c>
      <c r="G267" s="819">
        <v>0</v>
      </c>
      <c r="H267" s="819">
        <v>0</v>
      </c>
      <c r="I267" s="819">
        <v>0</v>
      </c>
      <c r="J267" s="819">
        <v>0</v>
      </c>
      <c r="K267" s="819">
        <v>0</v>
      </c>
      <c r="L267" s="819">
        <v>0</v>
      </c>
      <c r="M267" s="2918">
        <v>0</v>
      </c>
      <c r="N267" s="784"/>
    </row>
    <row r="268" spans="2:14" x14ac:dyDescent="0.25">
      <c r="B268" s="784"/>
      <c r="C268" s="823">
        <v>3</v>
      </c>
      <c r="D268" s="812" t="s">
        <v>508</v>
      </c>
      <c r="E268" s="813" t="s">
        <v>510</v>
      </c>
      <c r="F268" s="178">
        <v>6.8855310490407648E-2</v>
      </c>
      <c r="G268" s="178">
        <v>8.5362266629995173E-2</v>
      </c>
      <c r="H268" s="178">
        <v>0.10948651514392051</v>
      </c>
      <c r="I268" s="178">
        <v>0.1374348391685157</v>
      </c>
      <c r="J268" s="178">
        <v>0.16670379289426096</v>
      </c>
      <c r="K268" s="178">
        <v>0.19933876204169473</v>
      </c>
      <c r="L268" s="178">
        <v>0.24330529138923074</v>
      </c>
      <c r="M268" s="831">
        <v>0.24944327143139686</v>
      </c>
      <c r="N268" s="784"/>
    </row>
    <row r="269" spans="2:14" x14ac:dyDescent="0.25">
      <c r="B269" s="784"/>
      <c r="C269" s="823">
        <v>3</v>
      </c>
      <c r="D269" s="812" t="s">
        <v>508</v>
      </c>
      <c r="E269" s="813" t="s">
        <v>511</v>
      </c>
      <c r="F269" s="178">
        <v>0.27699232889949993</v>
      </c>
      <c r="G269" s="178">
        <v>0.27478601119570495</v>
      </c>
      <c r="H269" s="178">
        <v>0.27156156714091206</v>
      </c>
      <c r="I269" s="178">
        <v>0.26782599762916065</v>
      </c>
      <c r="J269" s="178">
        <v>0.26391391291586852</v>
      </c>
      <c r="K269" s="178">
        <v>0.25955192700011864</v>
      </c>
      <c r="L269" s="178">
        <v>0.25367536615791431</v>
      </c>
      <c r="M269" s="831">
        <v>0.25285496450917583</v>
      </c>
      <c r="N269" s="784"/>
    </row>
    <row r="270" spans="2:14" x14ac:dyDescent="0.25">
      <c r="B270" s="784"/>
      <c r="C270" s="823">
        <v>3</v>
      </c>
      <c r="D270" s="812" t="s">
        <v>508</v>
      </c>
      <c r="E270" s="813" t="s">
        <v>494</v>
      </c>
      <c r="F270" s="178">
        <v>0.53562477029782996</v>
      </c>
      <c r="G270" s="178">
        <v>0.51779474376096202</v>
      </c>
      <c r="H270" s="178">
        <v>0.49173688139385247</v>
      </c>
      <c r="I270" s="178">
        <v>0.46154843509245158</v>
      </c>
      <c r="J270" s="178">
        <v>0.42993350759017018</v>
      </c>
      <c r="K270" s="178">
        <v>0.39468277080938208</v>
      </c>
      <c r="L270" s="178">
        <v>0.34719222328678218</v>
      </c>
      <c r="M270" s="831">
        <v>0.34056227006529599</v>
      </c>
      <c r="N270" s="784"/>
    </row>
    <row r="271" spans="2:14" x14ac:dyDescent="0.25">
      <c r="B271" s="784"/>
      <c r="C271" s="825">
        <v>3</v>
      </c>
      <c r="D271" s="815" t="s">
        <v>508</v>
      </c>
      <c r="E271" s="816" t="s">
        <v>498</v>
      </c>
      <c r="F271" s="473">
        <v>0.11852759031226252</v>
      </c>
      <c r="G271" s="473">
        <v>0.12205697841333782</v>
      </c>
      <c r="H271" s="473">
        <v>0.12721503632131503</v>
      </c>
      <c r="I271" s="473">
        <v>0.13319072810987201</v>
      </c>
      <c r="J271" s="473">
        <v>0.13944878659970036</v>
      </c>
      <c r="K271" s="473">
        <v>0.14642654014880455</v>
      </c>
      <c r="L271" s="473">
        <v>0.15582711916607273</v>
      </c>
      <c r="M271" s="832">
        <v>0.15713949399413119</v>
      </c>
      <c r="N271" s="784"/>
    </row>
    <row r="272" spans="2:14" x14ac:dyDescent="0.25">
      <c r="B272" s="784"/>
      <c r="C272" s="823">
        <v>4</v>
      </c>
      <c r="D272" s="817" t="s">
        <v>508</v>
      </c>
      <c r="E272" s="818" t="s">
        <v>509</v>
      </c>
      <c r="F272" s="819">
        <v>0</v>
      </c>
      <c r="G272" s="819">
        <v>0</v>
      </c>
      <c r="H272" s="819">
        <v>0</v>
      </c>
      <c r="I272" s="819">
        <v>0</v>
      </c>
      <c r="J272" s="819">
        <v>0</v>
      </c>
      <c r="K272" s="819">
        <v>0</v>
      </c>
      <c r="L272" s="819">
        <v>0</v>
      </c>
      <c r="M272" s="2918">
        <v>0</v>
      </c>
      <c r="N272" s="784"/>
    </row>
    <row r="273" spans="2:14" x14ac:dyDescent="0.25">
      <c r="B273" s="784"/>
      <c r="C273" s="823">
        <v>4</v>
      </c>
      <c r="D273" s="812" t="s">
        <v>508</v>
      </c>
      <c r="E273" s="813" t="s">
        <v>510</v>
      </c>
      <c r="F273" s="178">
        <v>0.13544746926815288</v>
      </c>
      <c r="G273" s="178">
        <v>0.15112143841837788</v>
      </c>
      <c r="H273" s="178">
        <v>0.17272813038354301</v>
      </c>
      <c r="I273" s="178">
        <v>0.19600738168142645</v>
      </c>
      <c r="J273" s="178">
        <v>0.21858224756819991</v>
      </c>
      <c r="K273" s="178">
        <v>0.24181934140141945</v>
      </c>
      <c r="L273" s="178">
        <v>0.27030251820866558</v>
      </c>
      <c r="M273" s="831">
        <v>0.27404612804669526</v>
      </c>
      <c r="N273" s="784"/>
    </row>
    <row r="274" spans="2:14" x14ac:dyDescent="0.25">
      <c r="B274" s="784"/>
      <c r="C274" s="823">
        <v>4</v>
      </c>
      <c r="D274" s="812" t="s">
        <v>508</v>
      </c>
      <c r="E274" s="813" t="s">
        <v>511</v>
      </c>
      <c r="F274" s="178">
        <v>0.30456081850539396</v>
      </c>
      <c r="G274" s="178">
        <v>0.30135728186527566</v>
      </c>
      <c r="H274" s="178">
        <v>0.29694118095817607</v>
      </c>
      <c r="I274" s="178">
        <v>0.29218323268275664</v>
      </c>
      <c r="J274" s="178">
        <v>0.28756925077932799</v>
      </c>
      <c r="K274" s="178">
        <v>0.28281991889082431</v>
      </c>
      <c r="L274" s="178">
        <v>0.27699836216486406</v>
      </c>
      <c r="M274" s="831">
        <v>0.27623322149325158</v>
      </c>
      <c r="N274" s="784"/>
    </row>
    <row r="275" spans="2:14" x14ac:dyDescent="0.25">
      <c r="B275" s="784"/>
      <c r="C275" s="823">
        <v>4</v>
      </c>
      <c r="D275" s="812" t="s">
        <v>508</v>
      </c>
      <c r="E275" s="813" t="s">
        <v>494</v>
      </c>
      <c r="F275" s="178">
        <v>0.42264625229888531</v>
      </c>
      <c r="G275" s="178">
        <v>0.40626126978092164</v>
      </c>
      <c r="H275" s="178">
        <v>0.3836744401956933</v>
      </c>
      <c r="I275" s="178">
        <v>0.3593391794910602</v>
      </c>
      <c r="J275" s="178">
        <v>0.33574025701296856</v>
      </c>
      <c r="K275" s="178">
        <v>0.31144906614890355</v>
      </c>
      <c r="L275" s="178">
        <v>0.28167381588716028</v>
      </c>
      <c r="M275" s="831">
        <v>0.27776038584513979</v>
      </c>
      <c r="N275" s="784"/>
    </row>
    <row r="276" spans="2:14" x14ac:dyDescent="0.25">
      <c r="B276" s="784"/>
      <c r="C276" s="825">
        <v>4</v>
      </c>
      <c r="D276" s="815" t="s">
        <v>508</v>
      </c>
      <c r="E276" s="816" t="s">
        <v>498</v>
      </c>
      <c r="F276" s="473">
        <v>0.1373454599275678</v>
      </c>
      <c r="G276" s="473">
        <v>0.14126000993542484</v>
      </c>
      <c r="H276" s="473">
        <v>0.14665624846258751</v>
      </c>
      <c r="I276" s="473">
        <v>0.15247020614475681</v>
      </c>
      <c r="J276" s="473">
        <v>0.15810824463950343</v>
      </c>
      <c r="K276" s="473">
        <v>0.16391167355885272</v>
      </c>
      <c r="L276" s="473">
        <v>0.17102530373931021</v>
      </c>
      <c r="M276" s="832">
        <v>0.17196026461491343</v>
      </c>
      <c r="N276" s="784"/>
    </row>
    <row r="277" spans="2:14" x14ac:dyDescent="0.25">
      <c r="B277" s="784"/>
      <c r="C277" s="823">
        <v>5</v>
      </c>
      <c r="D277" s="809" t="s">
        <v>508</v>
      </c>
      <c r="E277" s="818" t="s">
        <v>509</v>
      </c>
      <c r="F277" s="819">
        <v>0</v>
      </c>
      <c r="G277" s="819">
        <v>0</v>
      </c>
      <c r="H277" s="819">
        <v>0</v>
      </c>
      <c r="I277" s="819">
        <v>0</v>
      </c>
      <c r="J277" s="819">
        <v>0</v>
      </c>
      <c r="K277" s="819">
        <v>0</v>
      </c>
      <c r="L277" s="819">
        <v>0</v>
      </c>
      <c r="M277" s="2918">
        <v>0</v>
      </c>
      <c r="N277" s="784"/>
    </row>
    <row r="278" spans="2:14" x14ac:dyDescent="0.25">
      <c r="B278" s="784"/>
      <c r="C278" s="823">
        <v>5</v>
      </c>
      <c r="D278" s="812" t="s">
        <v>508</v>
      </c>
      <c r="E278" s="813" t="s">
        <v>510</v>
      </c>
      <c r="F278" s="178">
        <v>0.14224609433346197</v>
      </c>
      <c r="G278" s="178">
        <v>0.1706384440480625</v>
      </c>
      <c r="H278" s="178">
        <v>0.20063824208925582</v>
      </c>
      <c r="I278" s="178">
        <v>0.22502954485711693</v>
      </c>
      <c r="J278" s="178">
        <v>0.2434051860184801</v>
      </c>
      <c r="K278" s="178">
        <v>0.25853174609898499</v>
      </c>
      <c r="L278" s="178">
        <v>0.27334523077384976</v>
      </c>
      <c r="M278" s="831">
        <v>0.27505177553676458</v>
      </c>
      <c r="N278" s="784"/>
    </row>
    <row r="279" spans="2:14" x14ac:dyDescent="0.25">
      <c r="B279" s="784"/>
      <c r="C279" s="823">
        <v>5</v>
      </c>
      <c r="D279" s="812" t="s">
        <v>508</v>
      </c>
      <c r="E279" s="813" t="s">
        <v>511</v>
      </c>
      <c r="F279" s="178">
        <v>0.44476274936239618</v>
      </c>
      <c r="G279" s="178">
        <v>0.40887267560386753</v>
      </c>
      <c r="H279" s="178">
        <v>0.37095066579269254</v>
      </c>
      <c r="I279" s="178">
        <v>0.3401182174675379</v>
      </c>
      <c r="J279" s="178">
        <v>0.31689001961597252</v>
      </c>
      <c r="K279" s="178">
        <v>0.29776890556731878</v>
      </c>
      <c r="L279" s="178">
        <v>0.27904354246965557</v>
      </c>
      <c r="M279" s="831">
        <v>0.27688634103937904</v>
      </c>
      <c r="N279" s="784"/>
    </row>
    <row r="280" spans="2:14" x14ac:dyDescent="0.25">
      <c r="B280" s="784"/>
      <c r="C280" s="823">
        <v>5</v>
      </c>
      <c r="D280" s="812" t="s">
        <v>508</v>
      </c>
      <c r="E280" s="813" t="s">
        <v>494</v>
      </c>
      <c r="F280" s="178">
        <v>0.31578454035262965</v>
      </c>
      <c r="G280" s="178">
        <v>0.30730132738190979</v>
      </c>
      <c r="H280" s="178">
        <v>0.2983378326933685</v>
      </c>
      <c r="I280" s="178">
        <v>0.29105007320558401</v>
      </c>
      <c r="J280" s="178">
        <v>0.28555970417969084</v>
      </c>
      <c r="K280" s="178">
        <v>0.28104011238939502</v>
      </c>
      <c r="L280" s="178">
        <v>0.27661406288667467</v>
      </c>
      <c r="M280" s="831">
        <v>0.27610417262350895</v>
      </c>
      <c r="N280" s="784"/>
    </row>
    <row r="281" spans="2:14" x14ac:dyDescent="0.25">
      <c r="B281" s="784"/>
      <c r="C281" s="825">
        <v>5</v>
      </c>
      <c r="D281" s="815" t="s">
        <v>508</v>
      </c>
      <c r="E281" s="816" t="s">
        <v>498</v>
      </c>
      <c r="F281" s="473">
        <v>9.720661595151231E-2</v>
      </c>
      <c r="G281" s="473">
        <v>0.11318755296616027</v>
      </c>
      <c r="H281" s="473">
        <v>0.1300732594246832</v>
      </c>
      <c r="I281" s="473">
        <v>0.1438021644697611</v>
      </c>
      <c r="J281" s="473">
        <v>0.15414509018585659</v>
      </c>
      <c r="K281" s="473">
        <v>0.16265923594430107</v>
      </c>
      <c r="L281" s="473">
        <v>0.17099716386982006</v>
      </c>
      <c r="M281" s="832">
        <v>0.17195771080034744</v>
      </c>
      <c r="N281" s="784"/>
    </row>
    <row r="282" spans="2:14" x14ac:dyDescent="0.25">
      <c r="B282" s="784"/>
      <c r="C282" s="823">
        <v>6</v>
      </c>
      <c r="D282" s="817" t="s">
        <v>508</v>
      </c>
      <c r="E282" s="818" t="s">
        <v>509</v>
      </c>
      <c r="F282" s="819">
        <v>0</v>
      </c>
      <c r="G282" s="819">
        <v>0</v>
      </c>
      <c r="H282" s="819">
        <v>0</v>
      </c>
      <c r="I282" s="819">
        <v>0</v>
      </c>
      <c r="J282" s="819">
        <v>0</v>
      </c>
      <c r="K282" s="819">
        <v>0</v>
      </c>
      <c r="L282" s="819">
        <v>0</v>
      </c>
      <c r="M282" s="2918">
        <v>0</v>
      </c>
      <c r="N282" s="784"/>
    </row>
    <row r="283" spans="2:14" x14ac:dyDescent="0.25">
      <c r="B283" s="784"/>
      <c r="C283" s="823">
        <v>6</v>
      </c>
      <c r="D283" s="812" t="s">
        <v>508</v>
      </c>
      <c r="E283" s="813" t="s">
        <v>510</v>
      </c>
      <c r="F283" s="178">
        <v>0.29657208779302352</v>
      </c>
      <c r="G283" s="178">
        <v>0.29141646796458687</v>
      </c>
      <c r="H283" s="178">
        <v>0.2864633498173294</v>
      </c>
      <c r="I283" s="178">
        <v>0.28276422783247468</v>
      </c>
      <c r="J283" s="178">
        <v>0.28015111882666227</v>
      </c>
      <c r="K283" s="178">
        <v>0.27810280629602735</v>
      </c>
      <c r="L283" s="178">
        <v>0.27618075389562574</v>
      </c>
      <c r="M283" s="831">
        <v>0.27596442532293913</v>
      </c>
      <c r="N283" s="784"/>
    </row>
    <row r="284" spans="2:14" x14ac:dyDescent="0.25">
      <c r="B284" s="784"/>
      <c r="C284" s="823">
        <v>6</v>
      </c>
      <c r="D284" s="812" t="s">
        <v>508</v>
      </c>
      <c r="E284" s="813" t="s">
        <v>511</v>
      </c>
      <c r="F284" s="178">
        <v>0.35013518727735427</v>
      </c>
      <c r="G284" s="178">
        <v>0.33164539426085854</v>
      </c>
      <c r="H284" s="178">
        <v>0.31388184062877961</v>
      </c>
      <c r="I284" s="178">
        <v>0.30061554052932554</v>
      </c>
      <c r="J284" s="178">
        <v>0.29124404956319194</v>
      </c>
      <c r="K284" s="178">
        <v>0.28389810940762805</v>
      </c>
      <c r="L284" s="178">
        <v>0.27700498069897772</v>
      </c>
      <c r="M284" s="831">
        <v>0.27622915341426085</v>
      </c>
      <c r="N284" s="784"/>
    </row>
    <row r="285" spans="2:14" x14ac:dyDescent="0.25">
      <c r="B285" s="784"/>
      <c r="C285" s="823">
        <v>6</v>
      </c>
      <c r="D285" s="812" t="s">
        <v>508</v>
      </c>
      <c r="E285" s="813" t="s">
        <v>494</v>
      </c>
      <c r="F285" s="178">
        <v>0.24941162556034766</v>
      </c>
      <c r="G285" s="178">
        <v>0.25599628545981201</v>
      </c>
      <c r="H285" s="178">
        <v>0.26232231405130457</v>
      </c>
      <c r="I285" s="178">
        <v>0.26704676251869414</v>
      </c>
      <c r="J285" s="178">
        <v>0.27038417579897467</v>
      </c>
      <c r="K285" s="178">
        <v>0.27300024172913689</v>
      </c>
      <c r="L285" s="178">
        <v>0.27545505061473147</v>
      </c>
      <c r="M285" s="831">
        <v>0.27573134136639255</v>
      </c>
      <c r="N285" s="784"/>
    </row>
    <row r="286" spans="2:14" x14ac:dyDescent="0.25">
      <c r="B286" s="784"/>
      <c r="C286" s="825">
        <v>6</v>
      </c>
      <c r="D286" s="815" t="s">
        <v>508</v>
      </c>
      <c r="E286" s="816" t="s">
        <v>498</v>
      </c>
      <c r="F286" s="473">
        <v>0.10388109936927456</v>
      </c>
      <c r="G286" s="473">
        <v>0.12094185231474261</v>
      </c>
      <c r="H286" s="473">
        <v>0.13733249550258639</v>
      </c>
      <c r="I286" s="473">
        <v>0.14957346911950567</v>
      </c>
      <c r="J286" s="473">
        <v>0.15822065581117123</v>
      </c>
      <c r="K286" s="473">
        <v>0.16499884256720776</v>
      </c>
      <c r="L286" s="473">
        <v>0.17135921479066521</v>
      </c>
      <c r="M286" s="832">
        <v>0.1720750798964075</v>
      </c>
      <c r="N286" s="784"/>
    </row>
    <row r="287" spans="2:14" x14ac:dyDescent="0.25">
      <c r="B287" s="784"/>
      <c r="C287" s="823">
        <v>7</v>
      </c>
      <c r="D287" s="809" t="s">
        <v>508</v>
      </c>
      <c r="E287" s="818" t="s">
        <v>509</v>
      </c>
      <c r="F287" s="819">
        <v>0</v>
      </c>
      <c r="G287" s="819">
        <v>0</v>
      </c>
      <c r="H287" s="819">
        <v>0</v>
      </c>
      <c r="I287" s="819">
        <v>0</v>
      </c>
      <c r="J287" s="819">
        <v>0</v>
      </c>
      <c r="K287" s="819">
        <v>0</v>
      </c>
      <c r="L287" s="819">
        <v>0</v>
      </c>
      <c r="M287" s="2918">
        <v>0</v>
      </c>
      <c r="N287" s="784"/>
    </row>
    <row r="288" spans="2:14" x14ac:dyDescent="0.25">
      <c r="B288" s="784"/>
      <c r="C288" s="823">
        <v>7</v>
      </c>
      <c r="D288" s="812" t="s">
        <v>508</v>
      </c>
      <c r="E288" s="813" t="s">
        <v>510</v>
      </c>
      <c r="F288" s="178">
        <v>0.2243387117142098</v>
      </c>
      <c r="G288" s="178">
        <v>0.24023601078129403</v>
      </c>
      <c r="H288" s="178">
        <v>0.25330080498999347</v>
      </c>
      <c r="I288" s="178">
        <v>0.26191121513097604</v>
      </c>
      <c r="J288" s="178">
        <v>0.26749007487805398</v>
      </c>
      <c r="K288" s="178">
        <v>0.27160271681308473</v>
      </c>
      <c r="L288" s="178">
        <v>0.27527080757904165</v>
      </c>
      <c r="M288" s="831">
        <v>0.27567267637887849</v>
      </c>
      <c r="N288" s="784"/>
    </row>
    <row r="289" spans="2:14" x14ac:dyDescent="0.25">
      <c r="B289" s="784"/>
      <c r="C289" s="823">
        <v>7</v>
      </c>
      <c r="D289" s="812" t="s">
        <v>508</v>
      </c>
      <c r="E289" s="813" t="s">
        <v>511</v>
      </c>
      <c r="F289" s="178">
        <v>0.38187520703948125</v>
      </c>
      <c r="G289" s="178">
        <v>0.349165332316418</v>
      </c>
      <c r="H289" s="178">
        <v>0.32228354692345162</v>
      </c>
      <c r="I289" s="178">
        <v>0.30456698791319281</v>
      </c>
      <c r="J289" s="178">
        <v>0.2930880692205009</v>
      </c>
      <c r="K289" s="178">
        <v>0.28462600268278287</v>
      </c>
      <c r="L289" s="178">
        <v>0.27707863322581017</v>
      </c>
      <c r="M289" s="831">
        <v>0.27625175829301168</v>
      </c>
      <c r="N289" s="784"/>
    </row>
    <row r="290" spans="2:14" x14ac:dyDescent="0.25">
      <c r="B290" s="784"/>
      <c r="C290" s="823">
        <v>7</v>
      </c>
      <c r="D290" s="812" t="s">
        <v>508</v>
      </c>
      <c r="E290" s="813" t="s">
        <v>494</v>
      </c>
      <c r="F290" s="178">
        <v>0.2528401604485111</v>
      </c>
      <c r="G290" s="178">
        <v>0.25994346629492143</v>
      </c>
      <c r="H290" s="178">
        <v>0.26578113901487133</v>
      </c>
      <c r="I290" s="178">
        <v>0.26962848292130082</v>
      </c>
      <c r="J290" s="178">
        <v>0.27212125524007624</v>
      </c>
      <c r="K290" s="178">
        <v>0.27395888522854267</v>
      </c>
      <c r="L290" s="178">
        <v>0.27559787877537323</v>
      </c>
      <c r="M290" s="831">
        <v>0.27577744368028728</v>
      </c>
      <c r="N290" s="784"/>
    </row>
    <row r="291" spans="2:14" x14ac:dyDescent="0.25">
      <c r="B291" s="784"/>
      <c r="C291" s="825">
        <v>7</v>
      </c>
      <c r="D291" s="815" t="s">
        <v>508</v>
      </c>
      <c r="E291" s="816" t="s">
        <v>498</v>
      </c>
      <c r="F291" s="473">
        <v>0.14094592079779789</v>
      </c>
      <c r="G291" s="473">
        <v>0.1506551906073666</v>
      </c>
      <c r="H291" s="473">
        <v>0.15863450907168355</v>
      </c>
      <c r="I291" s="473">
        <v>0.16389331403453053</v>
      </c>
      <c r="J291" s="473">
        <v>0.16730060066136884</v>
      </c>
      <c r="K291" s="473">
        <v>0.16981239527558958</v>
      </c>
      <c r="L291" s="473">
        <v>0.17205268041977501</v>
      </c>
      <c r="M291" s="832">
        <v>0.17229812164782249</v>
      </c>
      <c r="N291" s="784"/>
    </row>
    <row r="292" spans="2:14" x14ac:dyDescent="0.25">
      <c r="B292" s="784"/>
      <c r="C292" s="823">
        <v>8</v>
      </c>
      <c r="D292" s="817" t="s">
        <v>508</v>
      </c>
      <c r="E292" s="818" t="s">
        <v>509</v>
      </c>
      <c r="F292" s="819">
        <v>0</v>
      </c>
      <c r="G292" s="819">
        <v>0</v>
      </c>
      <c r="H292" s="819">
        <v>0</v>
      </c>
      <c r="I292" s="819">
        <v>0</v>
      </c>
      <c r="J292" s="819">
        <v>0</v>
      </c>
      <c r="K292" s="819">
        <v>0</v>
      </c>
      <c r="L292" s="819">
        <v>0</v>
      </c>
      <c r="M292" s="2918">
        <v>0</v>
      </c>
      <c r="N292" s="784"/>
    </row>
    <row r="293" spans="2:14" x14ac:dyDescent="0.25">
      <c r="B293" s="784"/>
      <c r="C293" s="823">
        <v>8</v>
      </c>
      <c r="D293" s="812" t="s">
        <v>508</v>
      </c>
      <c r="E293" s="813" t="s">
        <v>510</v>
      </c>
      <c r="F293" s="178">
        <v>0.19759482504041628</v>
      </c>
      <c r="G293" s="178">
        <v>0.21817346492562534</v>
      </c>
      <c r="H293" s="178">
        <v>0.23780453812978353</v>
      </c>
      <c r="I293" s="178">
        <v>0.25176014564818505</v>
      </c>
      <c r="J293" s="178">
        <v>0.26130546641129149</v>
      </c>
      <c r="K293" s="178">
        <v>0.26828506787975165</v>
      </c>
      <c r="L293" s="178">
        <v>0.27453535641252524</v>
      </c>
      <c r="M293" s="831">
        <v>0.27646172237165334</v>
      </c>
      <c r="N293" s="784"/>
    </row>
    <row r="294" spans="2:14" x14ac:dyDescent="0.25">
      <c r="B294" s="784"/>
      <c r="C294" s="823">
        <v>8</v>
      </c>
      <c r="D294" s="812" t="s">
        <v>508</v>
      </c>
      <c r="E294" s="813" t="s">
        <v>511</v>
      </c>
      <c r="F294" s="178">
        <v>0.4249897486766645</v>
      </c>
      <c r="G294" s="178">
        <v>0.38577992520786736</v>
      </c>
      <c r="H294" s="178">
        <v>0.34837556227952232</v>
      </c>
      <c r="I294" s="178">
        <v>0.32178503393320301</v>
      </c>
      <c r="J294" s="178">
        <v>0.30359771231417543</v>
      </c>
      <c r="K294" s="178">
        <v>0.29029902284842607</v>
      </c>
      <c r="L294" s="178">
        <v>0.27838994084076396</v>
      </c>
      <c r="M294" s="831">
        <v>0.2747195102576428</v>
      </c>
      <c r="N294" s="784"/>
    </row>
    <row r="295" spans="2:14" x14ac:dyDescent="0.25">
      <c r="B295" s="784"/>
      <c r="C295" s="823">
        <v>8</v>
      </c>
      <c r="D295" s="812" t="s">
        <v>508</v>
      </c>
      <c r="E295" s="813" t="s">
        <v>494</v>
      </c>
      <c r="F295" s="178">
        <v>0.25583842432607246</v>
      </c>
      <c r="G295" s="178">
        <v>0.26110319859893244</v>
      </c>
      <c r="H295" s="178">
        <v>0.2661255504030558</v>
      </c>
      <c r="I295" s="178">
        <v>0.26969590898043788</v>
      </c>
      <c r="J295" s="178">
        <v>0.27213795371517863</v>
      </c>
      <c r="K295" s="178">
        <v>0.27392359292413215</v>
      </c>
      <c r="L295" s="178">
        <v>0.2755226470136567</v>
      </c>
      <c r="M295" s="831">
        <v>0.27601548240016932</v>
      </c>
      <c r="N295" s="784"/>
    </row>
    <row r="296" spans="2:14" x14ac:dyDescent="0.25">
      <c r="B296" s="784"/>
      <c r="C296" s="825">
        <v>8</v>
      </c>
      <c r="D296" s="815" t="s">
        <v>508</v>
      </c>
      <c r="E296" s="816" t="s">
        <v>498</v>
      </c>
      <c r="F296" s="473">
        <v>0.1215770019568468</v>
      </c>
      <c r="G296" s="473">
        <v>0.13494341126757486</v>
      </c>
      <c r="H296" s="473">
        <v>0.14769434918763841</v>
      </c>
      <c r="I296" s="473">
        <v>0.156758911438174</v>
      </c>
      <c r="J296" s="473">
        <v>0.16295886755935449</v>
      </c>
      <c r="K296" s="473">
        <v>0.16749231634769013</v>
      </c>
      <c r="L296" s="473">
        <v>0.17155205573305399</v>
      </c>
      <c r="M296" s="832">
        <v>0.17280328497053454</v>
      </c>
      <c r="N296" s="784"/>
    </row>
    <row r="297" spans="2:14" x14ac:dyDescent="0.25">
      <c r="B297" s="784"/>
      <c r="C297" s="823">
        <v>9</v>
      </c>
      <c r="D297" s="809" t="s">
        <v>508</v>
      </c>
      <c r="E297" s="818" t="s">
        <v>509</v>
      </c>
      <c r="F297" s="819">
        <v>0</v>
      </c>
      <c r="G297" s="819">
        <v>0</v>
      </c>
      <c r="H297" s="819">
        <v>0</v>
      </c>
      <c r="I297" s="819">
        <v>0</v>
      </c>
      <c r="J297" s="819">
        <v>0</v>
      </c>
      <c r="K297" s="819">
        <v>0</v>
      </c>
      <c r="L297" s="819">
        <v>0</v>
      </c>
      <c r="M297" s="2918">
        <v>0</v>
      </c>
      <c r="N297" s="784"/>
    </row>
    <row r="298" spans="2:14" x14ac:dyDescent="0.25">
      <c r="B298" s="784"/>
      <c r="C298" s="823">
        <v>9</v>
      </c>
      <c r="D298" s="812" t="s">
        <v>508</v>
      </c>
      <c r="E298" s="813" t="s">
        <v>510</v>
      </c>
      <c r="F298" s="178">
        <v>0.21193198585006537</v>
      </c>
      <c r="G298" s="178">
        <v>0.23716009868913429</v>
      </c>
      <c r="H298" s="178">
        <v>0.2536275674598597</v>
      </c>
      <c r="I298" s="178">
        <v>0.26290575923402171</v>
      </c>
      <c r="J298" s="178">
        <v>0.26836682815108959</v>
      </c>
      <c r="K298" s="178">
        <v>0.27214736399194328</v>
      </c>
      <c r="L298" s="178">
        <v>0.27535803533644526</v>
      </c>
      <c r="M298" s="831">
        <v>0.27570101484000936</v>
      </c>
      <c r="N298" s="784"/>
    </row>
    <row r="299" spans="2:14" x14ac:dyDescent="0.25">
      <c r="B299" s="784"/>
      <c r="C299" s="823">
        <v>9</v>
      </c>
      <c r="D299" s="812" t="s">
        <v>508</v>
      </c>
      <c r="E299" s="813" t="s">
        <v>511</v>
      </c>
      <c r="F299" s="178">
        <v>0.45262685078321124</v>
      </c>
      <c r="G299" s="178">
        <v>0.38287186777127241</v>
      </c>
      <c r="H299" s="178">
        <v>0.33733980551679066</v>
      </c>
      <c r="I299" s="178">
        <v>0.31168588071802761</v>
      </c>
      <c r="J299" s="178">
        <v>0.29658618729398478</v>
      </c>
      <c r="K299" s="178">
        <v>0.28613311793295071</v>
      </c>
      <c r="L299" s="178">
        <v>0.27725570698583379</v>
      </c>
      <c r="M299" s="831">
        <v>0.27630737884107021</v>
      </c>
      <c r="N299" s="784"/>
    </row>
    <row r="300" spans="2:14" x14ac:dyDescent="0.25">
      <c r="B300" s="784"/>
      <c r="C300" s="823">
        <v>9</v>
      </c>
      <c r="D300" s="812" t="s">
        <v>508</v>
      </c>
      <c r="E300" s="813" t="s">
        <v>494</v>
      </c>
      <c r="F300" s="178">
        <v>0.21299322676480931</v>
      </c>
      <c r="G300" s="178">
        <v>0.23780255232499664</v>
      </c>
      <c r="H300" s="178">
        <v>0.25399666071872684</v>
      </c>
      <c r="I300" s="178">
        <v>0.26312083428665878</v>
      </c>
      <c r="J300" s="178">
        <v>0.26849124932857754</v>
      </c>
      <c r="K300" s="178">
        <v>0.27220902818369852</v>
      </c>
      <c r="L300" s="178">
        <v>0.27536640230679021</v>
      </c>
      <c r="M300" s="831">
        <v>0.27570368834235998</v>
      </c>
      <c r="N300" s="784"/>
    </row>
    <row r="301" spans="2:14" x14ac:dyDescent="0.25">
      <c r="B301" s="784"/>
      <c r="C301" s="825">
        <v>9</v>
      </c>
      <c r="D301" s="815" t="s">
        <v>508</v>
      </c>
      <c r="E301" s="816" t="s">
        <v>498</v>
      </c>
      <c r="F301" s="473">
        <v>0.12244793660191405</v>
      </c>
      <c r="G301" s="473">
        <v>0.14216548121459671</v>
      </c>
      <c r="H301" s="473">
        <v>0.15503596630462285</v>
      </c>
      <c r="I301" s="473">
        <v>0.16228752576129185</v>
      </c>
      <c r="J301" s="473">
        <v>0.16655573522634809</v>
      </c>
      <c r="K301" s="473">
        <v>0.16951048989140738</v>
      </c>
      <c r="L301" s="473">
        <v>0.17201985537093073</v>
      </c>
      <c r="M301" s="832">
        <v>0.17228791797656054</v>
      </c>
      <c r="N301" s="784"/>
    </row>
    <row r="302" spans="2:14" x14ac:dyDescent="0.25">
      <c r="B302" s="784"/>
      <c r="C302" s="823">
        <v>10</v>
      </c>
      <c r="D302" s="817" t="s">
        <v>508</v>
      </c>
      <c r="E302" s="818" t="s">
        <v>509</v>
      </c>
      <c r="F302" s="819">
        <v>0</v>
      </c>
      <c r="G302" s="819">
        <v>0</v>
      </c>
      <c r="H302" s="819">
        <v>0</v>
      </c>
      <c r="I302" s="819">
        <v>0</v>
      </c>
      <c r="J302" s="819">
        <v>0</v>
      </c>
      <c r="K302" s="819">
        <v>0</v>
      </c>
      <c r="L302" s="819">
        <v>0</v>
      </c>
      <c r="M302" s="2918">
        <v>0</v>
      </c>
      <c r="N302" s="784"/>
    </row>
    <row r="303" spans="2:14" x14ac:dyDescent="0.25">
      <c r="B303" s="784"/>
      <c r="C303" s="823">
        <v>10</v>
      </c>
      <c r="D303" s="812" t="s">
        <v>508</v>
      </c>
      <c r="E303" s="813" t="s">
        <v>510</v>
      </c>
      <c r="F303" s="178">
        <v>0.13588572817590663</v>
      </c>
      <c r="G303" s="178">
        <v>0.17755876825500061</v>
      </c>
      <c r="H303" s="178">
        <v>0.21279675383115559</v>
      </c>
      <c r="I303" s="178">
        <v>0.23652730316217274</v>
      </c>
      <c r="J303" s="178">
        <v>0.25212369867645396</v>
      </c>
      <c r="K303" s="178">
        <v>0.26373438974075691</v>
      </c>
      <c r="L303" s="178">
        <v>0.27417226487180846</v>
      </c>
      <c r="M303" s="831">
        <v>0.27532056958590523</v>
      </c>
      <c r="N303" s="784"/>
    </row>
    <row r="304" spans="2:14" x14ac:dyDescent="0.25">
      <c r="B304" s="784"/>
      <c r="C304" s="823">
        <v>10</v>
      </c>
      <c r="D304" s="812" t="s">
        <v>508</v>
      </c>
      <c r="E304" s="813" t="s">
        <v>511</v>
      </c>
      <c r="F304" s="178">
        <v>0.28971696144320513</v>
      </c>
      <c r="G304" s="178">
        <v>0.28559215373457936</v>
      </c>
      <c r="H304" s="178">
        <v>0.28210428929596149</v>
      </c>
      <c r="I304" s="178">
        <v>0.27975543371391792</v>
      </c>
      <c r="J304" s="178">
        <v>0.27821169866790291</v>
      </c>
      <c r="K304" s="178">
        <v>0.27706246962405073</v>
      </c>
      <c r="L304" s="178">
        <v>0.27602932618837811</v>
      </c>
      <c r="M304" s="831">
        <v>0.27591566670667073</v>
      </c>
      <c r="N304" s="784"/>
    </row>
    <row r="305" spans="2:14" x14ac:dyDescent="0.25">
      <c r="B305" s="784"/>
      <c r="C305" s="823">
        <v>10</v>
      </c>
      <c r="D305" s="812" t="s">
        <v>508</v>
      </c>
      <c r="E305" s="813" t="s">
        <v>494</v>
      </c>
      <c r="F305" s="178">
        <v>0.49625993980159522</v>
      </c>
      <c r="G305" s="178">
        <v>0.43064421322317492</v>
      </c>
      <c r="H305" s="178">
        <v>0.37516071544257418</v>
      </c>
      <c r="I305" s="178">
        <v>0.3377960971304852</v>
      </c>
      <c r="J305" s="178">
        <v>0.31323900166224827</v>
      </c>
      <c r="K305" s="178">
        <v>0.29495754370247729</v>
      </c>
      <c r="L305" s="178">
        <v>0.27852272734737388</v>
      </c>
      <c r="M305" s="831">
        <v>0.27671467955422335</v>
      </c>
      <c r="N305" s="784"/>
    </row>
    <row r="306" spans="2:14" x14ac:dyDescent="0.25">
      <c r="B306" s="784"/>
      <c r="C306" s="825">
        <v>10</v>
      </c>
      <c r="D306" s="815" t="s">
        <v>508</v>
      </c>
      <c r="E306" s="816" t="s">
        <v>498</v>
      </c>
      <c r="F306" s="473">
        <v>7.8137370579293E-2</v>
      </c>
      <c r="G306" s="473">
        <v>0.10620486478724506</v>
      </c>
      <c r="H306" s="473">
        <v>0.1299382414303088</v>
      </c>
      <c r="I306" s="473">
        <v>0.14592116599342417</v>
      </c>
      <c r="J306" s="473">
        <v>0.15642560099339492</v>
      </c>
      <c r="K306" s="473">
        <v>0.16424559693271518</v>
      </c>
      <c r="L306" s="473">
        <v>0.17127568159243955</v>
      </c>
      <c r="M306" s="832">
        <v>0.17204908415320058</v>
      </c>
      <c r="N306" s="784"/>
    </row>
    <row r="307" spans="2:14" x14ac:dyDescent="0.25">
      <c r="B307" s="784"/>
      <c r="C307" s="823">
        <v>11</v>
      </c>
      <c r="D307" s="809" t="s">
        <v>508</v>
      </c>
      <c r="E307" s="818" t="s">
        <v>509</v>
      </c>
      <c r="F307" s="819">
        <v>0</v>
      </c>
      <c r="G307" s="819">
        <v>0</v>
      </c>
      <c r="H307" s="819">
        <v>0</v>
      </c>
      <c r="I307" s="819">
        <v>0</v>
      </c>
      <c r="J307" s="819">
        <v>0</v>
      </c>
      <c r="K307" s="819">
        <v>0</v>
      </c>
      <c r="L307" s="819">
        <v>0</v>
      </c>
      <c r="M307" s="2918">
        <v>0</v>
      </c>
      <c r="N307" s="784"/>
    </row>
    <row r="308" spans="2:14" x14ac:dyDescent="0.25">
      <c r="B308" s="784"/>
      <c r="C308" s="823">
        <v>11</v>
      </c>
      <c r="D308" s="812" t="s">
        <v>508</v>
      </c>
      <c r="E308" s="813" t="s">
        <v>510</v>
      </c>
      <c r="F308" s="178">
        <v>0.12627535449538205</v>
      </c>
      <c r="G308" s="178">
        <v>0.14841131116773379</v>
      </c>
      <c r="H308" s="178">
        <v>0.1761143894671485</v>
      </c>
      <c r="I308" s="178">
        <v>0.20283100699286891</v>
      </c>
      <c r="J308" s="178">
        <v>0.226102030979213</v>
      </c>
      <c r="K308" s="178">
        <v>0.24773919325363986</v>
      </c>
      <c r="L308" s="178">
        <v>0.27152978364546948</v>
      </c>
      <c r="M308" s="831">
        <v>0.27445746579606367</v>
      </c>
      <c r="N308" s="784"/>
    </row>
    <row r="309" spans="2:14" x14ac:dyDescent="0.25">
      <c r="B309" s="784"/>
      <c r="C309" s="823">
        <v>11</v>
      </c>
      <c r="D309" s="812" t="s">
        <v>508</v>
      </c>
      <c r="E309" s="813" t="s">
        <v>511</v>
      </c>
      <c r="F309" s="178">
        <v>0.28090110536927138</v>
      </c>
      <c r="G309" s="178">
        <v>0.28015542489959194</v>
      </c>
      <c r="H309" s="178">
        <v>0.27922220819955756</v>
      </c>
      <c r="I309" s="178">
        <v>0.27832222180187416</v>
      </c>
      <c r="J309" s="178">
        <v>0.27753830501196924</v>
      </c>
      <c r="K309" s="178">
        <v>0.27680942712491236</v>
      </c>
      <c r="L309" s="178">
        <v>0.27600800801843711</v>
      </c>
      <c r="M309" s="831">
        <v>0.27590938497569084</v>
      </c>
      <c r="N309" s="784"/>
    </row>
    <row r="310" spans="2:14" x14ac:dyDescent="0.25">
      <c r="B310" s="784"/>
      <c r="C310" s="823">
        <v>11</v>
      </c>
      <c r="D310" s="812" t="s">
        <v>508</v>
      </c>
      <c r="E310" s="813" t="s">
        <v>494</v>
      </c>
      <c r="F310" s="178">
        <v>0.55022268764290772</v>
      </c>
      <c r="G310" s="178">
        <v>0.50962259298105972</v>
      </c>
      <c r="H310" s="178">
        <v>0.45881170560768214</v>
      </c>
      <c r="I310" s="178">
        <v>0.4098101098490744</v>
      </c>
      <c r="J310" s="178">
        <v>0.36712816071498572</v>
      </c>
      <c r="K310" s="178">
        <v>0.32744291694810002</v>
      </c>
      <c r="L310" s="178">
        <v>0.28380801847651194</v>
      </c>
      <c r="M310" s="831">
        <v>0.27843828568324203</v>
      </c>
      <c r="N310" s="784"/>
    </row>
    <row r="311" spans="2:14" x14ac:dyDescent="0.25">
      <c r="B311" s="784"/>
      <c r="C311" s="825">
        <v>11</v>
      </c>
      <c r="D311" s="815" t="s">
        <v>508</v>
      </c>
      <c r="E311" s="816" t="s">
        <v>498</v>
      </c>
      <c r="F311" s="473">
        <v>4.2600852492438925E-2</v>
      </c>
      <c r="G311" s="473">
        <v>6.1810670951614702E-2</v>
      </c>
      <c r="H311" s="473">
        <v>8.5851696725611826E-2</v>
      </c>
      <c r="I311" s="473">
        <v>0.10903666135618267</v>
      </c>
      <c r="J311" s="473">
        <v>0.12923150329383198</v>
      </c>
      <c r="K311" s="473">
        <v>0.1480084626733478</v>
      </c>
      <c r="L311" s="473">
        <v>0.16865418985958144</v>
      </c>
      <c r="M311" s="832">
        <v>0.17119486354500346</v>
      </c>
      <c r="N311" s="784"/>
    </row>
    <row r="312" spans="2:14" x14ac:dyDescent="0.25">
      <c r="B312" s="784"/>
      <c r="C312" s="823">
        <v>12</v>
      </c>
      <c r="D312" s="817" t="s">
        <v>508</v>
      </c>
      <c r="E312" s="818" t="s">
        <v>509</v>
      </c>
      <c r="F312" s="819">
        <v>0</v>
      </c>
      <c r="G312" s="819">
        <v>0</v>
      </c>
      <c r="H312" s="819">
        <v>0</v>
      </c>
      <c r="I312" s="819">
        <v>0</v>
      </c>
      <c r="J312" s="819">
        <v>0</v>
      </c>
      <c r="K312" s="819">
        <v>0</v>
      </c>
      <c r="L312" s="819">
        <v>0</v>
      </c>
      <c r="M312" s="2918">
        <v>0</v>
      </c>
      <c r="N312" s="784"/>
    </row>
    <row r="313" spans="2:14" x14ac:dyDescent="0.25">
      <c r="B313" s="784"/>
      <c r="C313" s="823">
        <v>12</v>
      </c>
      <c r="D313" s="812" t="s">
        <v>508</v>
      </c>
      <c r="E313" s="813" t="s">
        <v>510</v>
      </c>
      <c r="F313" s="178">
        <v>0.24170141428408876</v>
      </c>
      <c r="G313" s="178">
        <v>0.24329067960102949</v>
      </c>
      <c r="H313" s="178">
        <v>0.2457328122423828</v>
      </c>
      <c r="I313" s="178">
        <v>0.24875543625253543</v>
      </c>
      <c r="J313" s="178">
        <v>0.25216811368620368</v>
      </c>
      <c r="K313" s="178">
        <v>0.25630978037561419</v>
      </c>
      <c r="L313" s="178">
        <v>0.26254107290632145</v>
      </c>
      <c r="M313" s="831">
        <v>0.26347806857202377</v>
      </c>
      <c r="N313" s="784"/>
    </row>
    <row r="314" spans="2:14" x14ac:dyDescent="0.25">
      <c r="B314" s="784"/>
      <c r="C314" s="823">
        <v>12</v>
      </c>
      <c r="D314" s="812" t="s">
        <v>508</v>
      </c>
      <c r="E314" s="813" t="s">
        <v>511</v>
      </c>
      <c r="F314" s="178">
        <v>0.70633702363290851</v>
      </c>
      <c r="G314" s="178">
        <v>0.69667213035875186</v>
      </c>
      <c r="H314" s="178">
        <v>0.68182064452538027</v>
      </c>
      <c r="I314" s="178">
        <v>0.66343898215936081</v>
      </c>
      <c r="J314" s="178">
        <v>0.64268526481340038</v>
      </c>
      <c r="K314" s="178">
        <v>0.61749830194219357</v>
      </c>
      <c r="L314" s="178">
        <v>0.57960357371313609</v>
      </c>
      <c r="M314" s="831">
        <v>0.57390536649069868</v>
      </c>
      <c r="N314" s="784"/>
    </row>
    <row r="315" spans="2:14" x14ac:dyDescent="0.25">
      <c r="B315" s="784"/>
      <c r="C315" s="823">
        <v>12</v>
      </c>
      <c r="D315" s="812" t="s">
        <v>508</v>
      </c>
      <c r="E315" s="813" t="s">
        <v>494</v>
      </c>
      <c r="F315" s="178">
        <v>2.3518055810668283E-5</v>
      </c>
      <c r="G315" s="178">
        <v>2.3196255463495914E-5</v>
      </c>
      <c r="H315" s="178">
        <v>2.2701763371174122E-5</v>
      </c>
      <c r="I315" s="178">
        <v>2.2089731229359654E-5</v>
      </c>
      <c r="J315" s="178">
        <v>2.139871962089157E-5</v>
      </c>
      <c r="K315" s="178">
        <v>2.0560099558956202E-5</v>
      </c>
      <c r="L315" s="178">
        <v>1.9298364291509346E-5</v>
      </c>
      <c r="M315" s="831">
        <v>1.9108637927189979E-5</v>
      </c>
      <c r="N315" s="784"/>
    </row>
    <row r="316" spans="2:14" x14ac:dyDescent="0.25">
      <c r="B316" s="784"/>
      <c r="C316" s="825">
        <v>12</v>
      </c>
      <c r="D316" s="815" t="s">
        <v>508</v>
      </c>
      <c r="E316" s="816" t="s">
        <v>498</v>
      </c>
      <c r="F316" s="473">
        <v>5.193804402719196E-2</v>
      </c>
      <c r="G316" s="473">
        <v>6.0013993784755068E-2</v>
      </c>
      <c r="H316" s="473">
        <v>7.2423841468865782E-2</v>
      </c>
      <c r="I316" s="473">
        <v>8.7783491856874327E-2</v>
      </c>
      <c r="J316" s="473">
        <v>0.10512522278077507</v>
      </c>
      <c r="K316" s="473">
        <v>0.1261713575826332</v>
      </c>
      <c r="L316" s="473">
        <v>0.15783605501625109</v>
      </c>
      <c r="M316" s="832">
        <v>0.16259745629935035</v>
      </c>
      <c r="N316" s="784"/>
    </row>
    <row r="317" spans="2:14" x14ac:dyDescent="0.25">
      <c r="B317" s="784"/>
      <c r="C317" s="823">
        <v>13</v>
      </c>
      <c r="D317" s="809" t="s">
        <v>508</v>
      </c>
      <c r="E317" s="818" t="s">
        <v>509</v>
      </c>
      <c r="F317" s="819">
        <v>0</v>
      </c>
      <c r="G317" s="819">
        <v>0</v>
      </c>
      <c r="H317" s="819">
        <v>0</v>
      </c>
      <c r="I317" s="819">
        <v>0</v>
      </c>
      <c r="J317" s="819">
        <v>0</v>
      </c>
      <c r="K317" s="819">
        <v>0</v>
      </c>
      <c r="L317" s="819">
        <v>0</v>
      </c>
      <c r="M317" s="2918">
        <v>0</v>
      </c>
      <c r="N317" s="784"/>
    </row>
    <row r="318" spans="2:14" x14ac:dyDescent="0.25">
      <c r="B318" s="784"/>
      <c r="C318" s="823">
        <v>13</v>
      </c>
      <c r="D318" s="812" t="s">
        <v>508</v>
      </c>
      <c r="E318" s="813" t="s">
        <v>510</v>
      </c>
      <c r="F318" s="178">
        <v>0.20644289164909943</v>
      </c>
      <c r="G318" s="178">
        <v>0.2244201473299221</v>
      </c>
      <c r="H318" s="178">
        <v>0.24124507590738015</v>
      </c>
      <c r="I318" s="178">
        <v>0.2535351242759134</v>
      </c>
      <c r="J318" s="178">
        <v>0.26207913816205969</v>
      </c>
      <c r="K318" s="178">
        <v>0.26869833103237778</v>
      </c>
      <c r="L318" s="178">
        <v>0.27484809577433744</v>
      </c>
      <c r="M318" s="831">
        <v>0.27553657281284882</v>
      </c>
      <c r="N318" s="784"/>
    </row>
    <row r="319" spans="2:14" x14ac:dyDescent="0.25">
      <c r="B319" s="784"/>
      <c r="C319" s="823">
        <v>13</v>
      </c>
      <c r="D319" s="812" t="s">
        <v>508</v>
      </c>
      <c r="E319" s="813" t="s">
        <v>511</v>
      </c>
      <c r="F319" s="178">
        <v>0.46696995382159662</v>
      </c>
      <c r="G319" s="178">
        <v>0.4174793743954065</v>
      </c>
      <c r="H319" s="178">
        <v>0.37116109985526491</v>
      </c>
      <c r="I319" s="178">
        <v>0.33732714734695984</v>
      </c>
      <c r="J319" s="178">
        <v>0.31380585992922155</v>
      </c>
      <c r="K319" s="178">
        <v>0.2955835185272907</v>
      </c>
      <c r="L319" s="178">
        <v>0.27865349173020759</v>
      </c>
      <c r="M319" s="831">
        <v>0.27675814529010051</v>
      </c>
      <c r="N319" s="784"/>
    </row>
    <row r="320" spans="2:14" x14ac:dyDescent="0.25">
      <c r="B320" s="784"/>
      <c r="C320" s="823">
        <v>13</v>
      </c>
      <c r="D320" s="812" t="s">
        <v>508</v>
      </c>
      <c r="E320" s="813" t="s">
        <v>494</v>
      </c>
      <c r="F320" s="178">
        <v>0.21713219121977603</v>
      </c>
      <c r="G320" s="178">
        <v>0.23234127420164752</v>
      </c>
      <c r="H320" s="178">
        <v>0.24657546764261826</v>
      </c>
      <c r="I320" s="178">
        <v>0.25697307052522234</v>
      </c>
      <c r="J320" s="178">
        <v>0.26420146058095723</v>
      </c>
      <c r="K320" s="178">
        <v>0.269801417294321</v>
      </c>
      <c r="L320" s="178">
        <v>0.27500422933304774</v>
      </c>
      <c r="M320" s="831">
        <v>0.27558669334177843</v>
      </c>
      <c r="N320" s="784"/>
    </row>
    <row r="321" spans="2:14" x14ac:dyDescent="0.25">
      <c r="B321" s="784"/>
      <c r="C321" s="825">
        <v>13</v>
      </c>
      <c r="D321" s="815" t="s">
        <v>508</v>
      </c>
      <c r="E321" s="816" t="s">
        <v>498</v>
      </c>
      <c r="F321" s="473">
        <v>0.10945496330952788</v>
      </c>
      <c r="G321" s="473">
        <v>0.12575920407302393</v>
      </c>
      <c r="H321" s="473">
        <v>0.1410183565947368</v>
      </c>
      <c r="I321" s="473">
        <v>0.15216465785190444</v>
      </c>
      <c r="J321" s="473">
        <v>0.15991354132776145</v>
      </c>
      <c r="K321" s="473">
        <v>0.16591673314601041</v>
      </c>
      <c r="L321" s="473">
        <v>0.171494183162407</v>
      </c>
      <c r="M321" s="832">
        <v>0.17211858855527237</v>
      </c>
      <c r="N321" s="784"/>
    </row>
    <row r="322" spans="2:14" x14ac:dyDescent="0.25">
      <c r="B322" s="784"/>
      <c r="C322" s="823">
        <v>14</v>
      </c>
      <c r="D322" s="817" t="s">
        <v>508</v>
      </c>
      <c r="E322" s="818" t="s">
        <v>509</v>
      </c>
      <c r="F322" s="819">
        <v>0</v>
      </c>
      <c r="G322" s="819">
        <v>0</v>
      </c>
      <c r="H322" s="819">
        <v>0</v>
      </c>
      <c r="I322" s="819">
        <v>0</v>
      </c>
      <c r="J322" s="819">
        <v>0</v>
      </c>
      <c r="K322" s="819">
        <v>0</v>
      </c>
      <c r="L322" s="819">
        <v>0</v>
      </c>
      <c r="M322" s="2918">
        <v>0</v>
      </c>
      <c r="N322" s="784"/>
    </row>
    <row r="323" spans="2:14" x14ac:dyDescent="0.25">
      <c r="B323" s="784"/>
      <c r="C323" s="823">
        <v>14</v>
      </c>
      <c r="D323" s="812" t="s">
        <v>508</v>
      </c>
      <c r="E323" s="813" t="s">
        <v>510</v>
      </c>
      <c r="F323" s="178">
        <v>8.2026599157511162E-2</v>
      </c>
      <c r="G323" s="178">
        <v>0.14218184970616687</v>
      </c>
      <c r="H323" s="178">
        <v>0.19138544185547537</v>
      </c>
      <c r="I323" s="178">
        <v>0.22369882831555607</v>
      </c>
      <c r="J323" s="178">
        <v>0.24458699640833559</v>
      </c>
      <c r="K323" s="178">
        <v>0.25996114091483152</v>
      </c>
      <c r="L323" s="178">
        <v>0.2736560993951066</v>
      </c>
      <c r="M323" s="831">
        <v>0.27515549990325461</v>
      </c>
      <c r="N323" s="784"/>
    </row>
    <row r="324" spans="2:14" x14ac:dyDescent="0.25">
      <c r="B324" s="784"/>
      <c r="C324" s="823">
        <v>14</v>
      </c>
      <c r="D324" s="812" t="s">
        <v>508</v>
      </c>
      <c r="E324" s="813" t="s">
        <v>511</v>
      </c>
      <c r="F324" s="178">
        <v>0.16409797195886688</v>
      </c>
      <c r="G324" s="178">
        <v>0.19878304412052353</v>
      </c>
      <c r="H324" s="178">
        <v>0.22715347111976114</v>
      </c>
      <c r="I324" s="178">
        <v>0.24578513054986967</v>
      </c>
      <c r="J324" s="178">
        <v>0.25782909364560747</v>
      </c>
      <c r="K324" s="178">
        <v>0.26669371155955407</v>
      </c>
      <c r="L324" s="178">
        <v>0.27459012324110832</v>
      </c>
      <c r="M324" s="831">
        <v>0.27545466647465827</v>
      </c>
      <c r="N324" s="784"/>
    </row>
    <row r="325" spans="2:14" x14ac:dyDescent="0.25">
      <c r="B325" s="784"/>
      <c r="C325" s="823">
        <v>14</v>
      </c>
      <c r="D325" s="812" t="s">
        <v>508</v>
      </c>
      <c r="E325" s="813" t="s">
        <v>494</v>
      </c>
      <c r="F325" s="178">
        <v>0.65721404341638867</v>
      </c>
      <c r="G325" s="178">
        <v>0.53886458140595728</v>
      </c>
      <c r="H325" s="178">
        <v>0.4420614161503939</v>
      </c>
      <c r="I325" s="178">
        <v>0.37848804776765393</v>
      </c>
      <c r="J325" s="178">
        <v>0.33739265819456282</v>
      </c>
      <c r="K325" s="178">
        <v>0.30714556064914189</v>
      </c>
      <c r="L325" s="178">
        <v>0.28020209430808168</v>
      </c>
      <c r="M325" s="831">
        <v>0.2772521731979708</v>
      </c>
      <c r="N325" s="784"/>
    </row>
    <row r="326" spans="2:14" x14ac:dyDescent="0.25">
      <c r="B326" s="784"/>
      <c r="C326" s="825">
        <v>14</v>
      </c>
      <c r="D326" s="815" t="s">
        <v>508</v>
      </c>
      <c r="E326" s="816" t="s">
        <v>498</v>
      </c>
      <c r="F326" s="473">
        <v>9.6661385467233338E-2</v>
      </c>
      <c r="G326" s="473">
        <v>0.12017052476735225</v>
      </c>
      <c r="H326" s="473">
        <v>0.1393996708743695</v>
      </c>
      <c r="I326" s="473">
        <v>0.15202799336692022</v>
      </c>
      <c r="J326" s="473">
        <v>0.16019125175149398</v>
      </c>
      <c r="K326" s="473">
        <v>0.1661995868764726</v>
      </c>
      <c r="L326" s="473">
        <v>0.1715516830557034</v>
      </c>
      <c r="M326" s="832">
        <v>0.17213766042411632</v>
      </c>
      <c r="N326" s="784"/>
    </row>
    <row r="327" spans="2:14" x14ac:dyDescent="0.25">
      <c r="B327" s="784"/>
      <c r="C327" s="823">
        <v>15</v>
      </c>
      <c r="D327" s="809" t="s">
        <v>508</v>
      </c>
      <c r="E327" s="818" t="s">
        <v>509</v>
      </c>
      <c r="F327" s="819">
        <v>0</v>
      </c>
      <c r="G327" s="819">
        <v>0</v>
      </c>
      <c r="H327" s="819">
        <v>0</v>
      </c>
      <c r="I327" s="819">
        <v>0</v>
      </c>
      <c r="J327" s="819">
        <v>0</v>
      </c>
      <c r="K327" s="819">
        <v>0</v>
      </c>
      <c r="L327" s="819">
        <v>0</v>
      </c>
      <c r="M327" s="2918">
        <v>0</v>
      </c>
      <c r="N327" s="784"/>
    </row>
    <row r="328" spans="2:14" x14ac:dyDescent="0.25">
      <c r="B328" s="784"/>
      <c r="C328" s="823">
        <v>15</v>
      </c>
      <c r="D328" s="812" t="s">
        <v>508</v>
      </c>
      <c r="E328" s="813" t="s">
        <v>510</v>
      </c>
      <c r="F328" s="178">
        <v>5.0049772090508232E-2</v>
      </c>
      <c r="G328" s="178">
        <v>6.1364964836685937E-2</v>
      </c>
      <c r="H328" s="178">
        <v>7.8575214602834342E-2</v>
      </c>
      <c r="I328" s="178">
        <v>9.9584348394979774E-2</v>
      </c>
      <c r="J328" s="178">
        <v>0.12292497936665109</v>
      </c>
      <c r="K328" s="178">
        <v>0.15072470916557212</v>
      </c>
      <c r="L328" s="178">
        <v>0.19149861517726607</v>
      </c>
      <c r="M328" s="831">
        <v>0.19752345356872439</v>
      </c>
      <c r="N328" s="784"/>
    </row>
    <row r="329" spans="2:14" x14ac:dyDescent="0.25">
      <c r="B329" s="784"/>
      <c r="C329" s="823">
        <v>15</v>
      </c>
      <c r="D329" s="812" t="s">
        <v>508</v>
      </c>
      <c r="E329" s="813" t="s">
        <v>511</v>
      </c>
      <c r="F329" s="178">
        <v>0.25172078219097754</v>
      </c>
      <c r="G329" s="178">
        <v>0.24786943693834104</v>
      </c>
      <c r="H329" s="178">
        <v>0.24201159472386022</v>
      </c>
      <c r="I329" s="178">
        <v>0.23486072867080784</v>
      </c>
      <c r="J329" s="178">
        <v>0.22691629234499652</v>
      </c>
      <c r="K329" s="178">
        <v>0.21745411527144903</v>
      </c>
      <c r="L329" s="178">
        <v>0.20357592575473624</v>
      </c>
      <c r="M329" s="831">
        <v>0.20152525518664671</v>
      </c>
      <c r="N329" s="784"/>
    </row>
    <row r="330" spans="2:14" x14ac:dyDescent="0.25">
      <c r="B330" s="784"/>
      <c r="C330" s="823">
        <v>15</v>
      </c>
      <c r="D330" s="812" t="s">
        <v>508</v>
      </c>
      <c r="E330" s="813" t="s">
        <v>494</v>
      </c>
      <c r="F330" s="178">
        <v>0.6191293119195217</v>
      </c>
      <c r="G330" s="178">
        <v>0.60818966792847839</v>
      </c>
      <c r="H330" s="178">
        <v>0.59155062256160229</v>
      </c>
      <c r="I330" s="178">
        <v>0.57123877729286765</v>
      </c>
      <c r="J330" s="178">
        <v>0.5486728167224959</v>
      </c>
      <c r="K330" s="178">
        <v>0.52179575383285803</v>
      </c>
      <c r="L330" s="178">
        <v>0.4823751247814555</v>
      </c>
      <c r="M330" s="831">
        <v>0.47655024944927088</v>
      </c>
      <c r="N330" s="784"/>
    </row>
    <row r="331" spans="2:14" x14ac:dyDescent="0.25">
      <c r="B331" s="784"/>
      <c r="C331" s="825">
        <v>15</v>
      </c>
      <c r="D331" s="815" t="s">
        <v>508</v>
      </c>
      <c r="E331" s="816" t="s">
        <v>498</v>
      </c>
      <c r="F331" s="473">
        <v>7.9100133798992542E-2</v>
      </c>
      <c r="G331" s="473">
        <v>8.2575930296494723E-2</v>
      </c>
      <c r="H331" s="473">
        <v>8.786256811170326E-2</v>
      </c>
      <c r="I331" s="473">
        <v>9.431614564134469E-2</v>
      </c>
      <c r="J331" s="473">
        <v>0.10148591156585635</v>
      </c>
      <c r="K331" s="473">
        <v>0.11002542173012092</v>
      </c>
      <c r="L331" s="473">
        <v>0.12255033428654227</v>
      </c>
      <c r="M331" s="832">
        <v>0.12440104179535794</v>
      </c>
      <c r="N331" s="784"/>
    </row>
    <row r="332" spans="2:14" x14ac:dyDescent="0.25">
      <c r="B332" s="784"/>
      <c r="C332" s="823">
        <v>1</v>
      </c>
      <c r="D332" s="817" t="s">
        <v>512</v>
      </c>
      <c r="E332" s="818" t="s">
        <v>509</v>
      </c>
      <c r="F332" s="819">
        <v>0.4456015435008403</v>
      </c>
      <c r="G332" s="819">
        <v>0.38842132262749712</v>
      </c>
      <c r="H332" s="819">
        <v>0.33576882753806736</v>
      </c>
      <c r="I332" s="819">
        <v>0.30755344483405544</v>
      </c>
      <c r="J332" s="819">
        <v>0.28834603100095635</v>
      </c>
      <c r="K332" s="819">
        <v>0.27247811149318002</v>
      </c>
      <c r="L332" s="819">
        <v>0.25637729028703599</v>
      </c>
      <c r="M332" s="2918">
        <v>0.25447536096571105</v>
      </c>
      <c r="N332" s="784"/>
    </row>
    <row r="333" spans="2:14" x14ac:dyDescent="0.25">
      <c r="B333" s="784"/>
      <c r="C333" s="823">
        <v>1</v>
      </c>
      <c r="D333" s="812" t="s">
        <v>512</v>
      </c>
      <c r="E333" s="813" t="s">
        <v>510</v>
      </c>
      <c r="F333" s="178">
        <v>4.3052138893342785E-2</v>
      </c>
      <c r="G333" s="178">
        <v>7.5327502244286332E-2</v>
      </c>
      <c r="H333" s="178">
        <v>0.11195439948819128</v>
      </c>
      <c r="I333" s="178">
        <v>0.141533512873904</v>
      </c>
      <c r="J333" s="178">
        <v>0.16450008958192977</v>
      </c>
      <c r="K333" s="178">
        <v>0.18412843214151514</v>
      </c>
      <c r="L333" s="178">
        <v>0.20495476454830172</v>
      </c>
      <c r="M333" s="831">
        <v>0.20725442288030479</v>
      </c>
      <c r="N333" s="784"/>
    </row>
    <row r="334" spans="2:14" x14ac:dyDescent="0.25">
      <c r="B334" s="784"/>
      <c r="C334" s="823">
        <v>1</v>
      </c>
      <c r="D334" s="812" t="s">
        <v>512</v>
      </c>
      <c r="E334" s="813" t="s">
        <v>511</v>
      </c>
      <c r="F334" s="178">
        <v>0.18980925549564745</v>
      </c>
      <c r="G334" s="178">
        <v>0.20004607079032108</v>
      </c>
      <c r="H334" s="178">
        <v>0.20715460430193883</v>
      </c>
      <c r="I334" s="178">
        <v>0.20762471456378309</v>
      </c>
      <c r="J334" s="178">
        <v>0.20699486659640248</v>
      </c>
      <c r="K334" s="178">
        <v>0.20625479500803562</v>
      </c>
      <c r="L334" s="178">
        <v>0.20519854827152986</v>
      </c>
      <c r="M334" s="831">
        <v>0.20512762574153653</v>
      </c>
      <c r="N334" s="784"/>
    </row>
    <row r="335" spans="2:14" x14ac:dyDescent="0.25">
      <c r="B335" s="784"/>
      <c r="C335" s="823">
        <v>1</v>
      </c>
      <c r="D335" s="812" t="s">
        <v>512</v>
      </c>
      <c r="E335" s="813" t="s">
        <v>494</v>
      </c>
      <c r="F335" s="178">
        <v>0.23927064263754061</v>
      </c>
      <c r="G335" s="178">
        <v>0.24207983068868963</v>
      </c>
      <c r="H335" s="178">
        <v>0.23923982303133404</v>
      </c>
      <c r="I335" s="178">
        <v>0.22989935847297482</v>
      </c>
      <c r="J335" s="178">
        <v>0.22131683384462142</v>
      </c>
      <c r="K335" s="178">
        <v>0.21371201837900625</v>
      </c>
      <c r="L335" s="178">
        <v>0.20528071042756457</v>
      </c>
      <c r="M335" s="831">
        <v>0.20441083367660429</v>
      </c>
      <c r="N335" s="784"/>
    </row>
    <row r="336" spans="2:14" x14ac:dyDescent="0.25">
      <c r="B336" s="784"/>
      <c r="C336" s="825">
        <v>1</v>
      </c>
      <c r="D336" s="815" t="s">
        <v>512</v>
      </c>
      <c r="E336" s="816" t="s">
        <v>498</v>
      </c>
      <c r="F336" s="473">
        <v>8.2266419472628707E-2</v>
      </c>
      <c r="G336" s="473">
        <v>9.4125273649205823E-2</v>
      </c>
      <c r="H336" s="473">
        <v>0.10588234564046854</v>
      </c>
      <c r="I336" s="473">
        <v>0.11338896925528261</v>
      </c>
      <c r="J336" s="473">
        <v>0.11884217897609005</v>
      </c>
      <c r="K336" s="473">
        <v>0.12342664297826306</v>
      </c>
      <c r="L336" s="473">
        <v>0.12818868646556775</v>
      </c>
      <c r="M336" s="832">
        <v>0.12873175673584342</v>
      </c>
      <c r="N336" s="784"/>
    </row>
    <row r="337" spans="2:14" x14ac:dyDescent="0.25">
      <c r="B337" s="784"/>
      <c r="C337" s="823">
        <v>2</v>
      </c>
      <c r="D337" s="809" t="s">
        <v>512</v>
      </c>
      <c r="E337" s="818" t="s">
        <v>509</v>
      </c>
      <c r="F337" s="819">
        <v>0.44995749324841616</v>
      </c>
      <c r="G337" s="819">
        <v>0.39402008041892173</v>
      </c>
      <c r="H337" s="819">
        <v>0.34070096432213087</v>
      </c>
      <c r="I337" s="819">
        <v>0.31164697076705355</v>
      </c>
      <c r="J337" s="819">
        <v>0.29156060517666804</v>
      </c>
      <c r="K337" s="819">
        <v>0.27495797814574879</v>
      </c>
      <c r="L337" s="819">
        <v>0.25892999183242771</v>
      </c>
      <c r="M337" s="2918">
        <v>0.25687941071639714</v>
      </c>
      <c r="N337" s="784"/>
    </row>
    <row r="338" spans="2:14" x14ac:dyDescent="0.25">
      <c r="B338" s="784"/>
      <c r="C338" s="823">
        <v>2</v>
      </c>
      <c r="D338" s="812" t="s">
        <v>512</v>
      </c>
      <c r="E338" s="813" t="s">
        <v>510</v>
      </c>
      <c r="F338" s="178">
        <v>6.3444345899162813E-2</v>
      </c>
      <c r="G338" s="178">
        <v>9.1927867877212605E-2</v>
      </c>
      <c r="H338" s="178">
        <v>0.12401495447902239</v>
      </c>
      <c r="I338" s="178">
        <v>0.1491990746476132</v>
      </c>
      <c r="J338" s="178">
        <v>0.16872956741544357</v>
      </c>
      <c r="K338" s="178">
        <v>0.18542657936630222</v>
      </c>
      <c r="L338" s="178">
        <v>0.20226690975994319</v>
      </c>
      <c r="M338" s="831">
        <v>0.20429919177347322</v>
      </c>
      <c r="N338" s="784"/>
    </row>
    <row r="339" spans="2:14" x14ac:dyDescent="0.25">
      <c r="B339" s="784"/>
      <c r="C339" s="823">
        <v>2</v>
      </c>
      <c r="D339" s="812" t="s">
        <v>512</v>
      </c>
      <c r="E339" s="813" t="s">
        <v>511</v>
      </c>
      <c r="F339" s="178">
        <v>0.20238154913551099</v>
      </c>
      <c r="G339" s="178">
        <v>0.21032539199922615</v>
      </c>
      <c r="H339" s="178">
        <v>0.21506555476727551</v>
      </c>
      <c r="I339" s="178">
        <v>0.21323185701578251</v>
      </c>
      <c r="J339" s="178">
        <v>0.21074832372601149</v>
      </c>
      <c r="K339" s="178">
        <v>0.20837783156351292</v>
      </c>
      <c r="L339" s="178">
        <v>0.20567567667748227</v>
      </c>
      <c r="M339" s="831">
        <v>0.20540008215811045</v>
      </c>
      <c r="N339" s="784"/>
    </row>
    <row r="340" spans="2:14" x14ac:dyDescent="0.25">
      <c r="B340" s="784"/>
      <c r="C340" s="823">
        <v>2</v>
      </c>
      <c r="D340" s="812" t="s">
        <v>512</v>
      </c>
      <c r="E340" s="813" t="s">
        <v>494</v>
      </c>
      <c r="F340" s="178">
        <v>0.21101157093537856</v>
      </c>
      <c r="G340" s="178">
        <v>0.21767960088225075</v>
      </c>
      <c r="H340" s="178">
        <v>0.22072112179378295</v>
      </c>
      <c r="I340" s="178">
        <v>0.21720922445136728</v>
      </c>
      <c r="J340" s="178">
        <v>0.21335829984843749</v>
      </c>
      <c r="K340" s="178">
        <v>0.20980343825619444</v>
      </c>
      <c r="L340" s="178">
        <v>0.20588741069921129</v>
      </c>
      <c r="M340" s="831">
        <v>0.20546846346849665</v>
      </c>
      <c r="N340" s="784"/>
    </row>
    <row r="341" spans="2:14" x14ac:dyDescent="0.25">
      <c r="B341" s="784"/>
      <c r="C341" s="825">
        <v>2</v>
      </c>
      <c r="D341" s="815" t="s">
        <v>512</v>
      </c>
      <c r="E341" s="816" t="s">
        <v>498</v>
      </c>
      <c r="F341" s="473">
        <v>7.320504078153163E-2</v>
      </c>
      <c r="G341" s="473">
        <v>8.6047058822388708E-2</v>
      </c>
      <c r="H341" s="473">
        <v>9.9497404637788125E-2</v>
      </c>
      <c r="I341" s="473">
        <v>0.10871287311818335</v>
      </c>
      <c r="J341" s="473">
        <v>0.11560320383343928</v>
      </c>
      <c r="K341" s="473">
        <v>0.12143417266824166</v>
      </c>
      <c r="L341" s="473">
        <v>0.12724001103093555</v>
      </c>
      <c r="M341" s="832">
        <v>0.12795285188352257</v>
      </c>
      <c r="N341" s="784"/>
    </row>
    <row r="342" spans="2:14" x14ac:dyDescent="0.25">
      <c r="B342" s="784"/>
      <c r="C342" s="823">
        <v>3</v>
      </c>
      <c r="D342" s="817" t="s">
        <v>512</v>
      </c>
      <c r="E342" s="818" t="s">
        <v>509</v>
      </c>
      <c r="F342" s="819">
        <v>0.39894360425146724</v>
      </c>
      <c r="G342" s="819">
        <v>0.3551727195644433</v>
      </c>
      <c r="H342" s="819">
        <v>0.31425892702062341</v>
      </c>
      <c r="I342" s="819">
        <v>0.29423806864290514</v>
      </c>
      <c r="J342" s="819">
        <v>0.28067142593299077</v>
      </c>
      <c r="K342" s="819">
        <v>0.26926197290459875</v>
      </c>
      <c r="L342" s="819">
        <v>0.25812508962588471</v>
      </c>
      <c r="M342" s="2918">
        <v>0.25663104333988151</v>
      </c>
      <c r="N342" s="784"/>
    </row>
    <row r="343" spans="2:14" x14ac:dyDescent="0.25">
      <c r="B343" s="784"/>
      <c r="C343" s="823">
        <v>3</v>
      </c>
      <c r="D343" s="812" t="s">
        <v>512</v>
      </c>
      <c r="E343" s="813" t="s">
        <v>510</v>
      </c>
      <c r="F343" s="178">
        <v>4.4291767456180089E-2</v>
      </c>
      <c r="G343" s="178">
        <v>7.2545116846855967E-2</v>
      </c>
      <c r="H343" s="178">
        <v>0.10628432596129232</v>
      </c>
      <c r="I343" s="178">
        <v>0.13503546360785393</v>
      </c>
      <c r="J343" s="178">
        <v>0.15852549072869199</v>
      </c>
      <c r="K343" s="178">
        <v>0.17940963097799104</v>
      </c>
      <c r="L343" s="178">
        <v>0.20130300913286303</v>
      </c>
      <c r="M343" s="831">
        <v>0.20398242059390562</v>
      </c>
      <c r="N343" s="784"/>
    </row>
    <row r="344" spans="2:14" x14ac:dyDescent="0.25">
      <c r="B344" s="784"/>
      <c r="C344" s="823">
        <v>3</v>
      </c>
      <c r="D344" s="812" t="s">
        <v>512</v>
      </c>
      <c r="E344" s="813" t="s">
        <v>511</v>
      </c>
      <c r="F344" s="178">
        <v>0.16667749996015707</v>
      </c>
      <c r="G344" s="178">
        <v>0.17863655051415744</v>
      </c>
      <c r="H344" s="178">
        <v>0.18976257880050254</v>
      </c>
      <c r="I344" s="178">
        <v>0.19511949428340589</v>
      </c>
      <c r="J344" s="178">
        <v>0.1987208228422917</v>
      </c>
      <c r="K344" s="178">
        <v>0.20174144170166441</v>
      </c>
      <c r="L344" s="178">
        <v>0.20467911529460131</v>
      </c>
      <c r="M344" s="831">
        <v>0.20507505520520189</v>
      </c>
      <c r="N344" s="784"/>
    </row>
    <row r="345" spans="2:14" x14ac:dyDescent="0.25">
      <c r="B345" s="784"/>
      <c r="C345" s="823">
        <v>3</v>
      </c>
      <c r="D345" s="812" t="s">
        <v>512</v>
      </c>
      <c r="E345" s="813" t="s">
        <v>494</v>
      </c>
      <c r="F345" s="178">
        <v>0.31801445437210885</v>
      </c>
      <c r="G345" s="178">
        <v>0.30982467295224714</v>
      </c>
      <c r="H345" s="178">
        <v>0.29298821046395179</v>
      </c>
      <c r="I345" s="178">
        <v>0.2694168329126197</v>
      </c>
      <c r="J345" s="178">
        <v>0.24842464876376077</v>
      </c>
      <c r="K345" s="178">
        <v>0.2293560022576924</v>
      </c>
      <c r="L345" s="178">
        <v>0.20885386355843416</v>
      </c>
      <c r="M345" s="831">
        <v>0.20642616036244144</v>
      </c>
      <c r="N345" s="784"/>
    </row>
    <row r="346" spans="2:14" x14ac:dyDescent="0.25">
      <c r="B346" s="784"/>
      <c r="C346" s="825">
        <v>3</v>
      </c>
      <c r="D346" s="815" t="s">
        <v>512</v>
      </c>
      <c r="E346" s="816" t="s">
        <v>498</v>
      </c>
      <c r="F346" s="473">
        <v>7.2072673960086736E-2</v>
      </c>
      <c r="G346" s="473">
        <v>8.3820940122296211E-2</v>
      </c>
      <c r="H346" s="473">
        <v>9.6705957753630001E-2</v>
      </c>
      <c r="I346" s="473">
        <v>0.10619014055321534</v>
      </c>
      <c r="J346" s="473">
        <v>0.11365761173226466</v>
      </c>
      <c r="K346" s="473">
        <v>0.12023095215805332</v>
      </c>
      <c r="L346" s="473">
        <v>0.12703892238821687</v>
      </c>
      <c r="M346" s="832">
        <v>0.12788532049856952</v>
      </c>
      <c r="N346" s="784"/>
    </row>
    <row r="347" spans="2:14" x14ac:dyDescent="0.25">
      <c r="B347" s="784"/>
      <c r="C347" s="823">
        <v>4</v>
      </c>
      <c r="D347" s="809" t="s">
        <v>512</v>
      </c>
      <c r="E347" s="818" t="s">
        <v>509</v>
      </c>
      <c r="F347" s="819">
        <v>0.47719746527005336</v>
      </c>
      <c r="G347" s="819">
        <v>0.41357744513424038</v>
      </c>
      <c r="H347" s="819">
        <v>0.35325857834659724</v>
      </c>
      <c r="I347" s="819">
        <v>0.31933147487521918</v>
      </c>
      <c r="J347" s="819">
        <v>0.29589232098856499</v>
      </c>
      <c r="K347" s="819">
        <v>0.27667942442215782</v>
      </c>
      <c r="L347" s="819">
        <v>0.25815382163041678</v>
      </c>
      <c r="M347" s="2918">
        <v>0.25581832256683062</v>
      </c>
      <c r="N347" s="784"/>
    </row>
    <row r="348" spans="2:14" x14ac:dyDescent="0.25">
      <c r="B348" s="784"/>
      <c r="C348" s="823">
        <v>4</v>
      </c>
      <c r="D348" s="812" t="s">
        <v>512</v>
      </c>
      <c r="E348" s="813" t="s">
        <v>510</v>
      </c>
      <c r="F348" s="178">
        <v>7.3129706429851768E-2</v>
      </c>
      <c r="G348" s="178">
        <v>0.10163311928490124</v>
      </c>
      <c r="H348" s="178">
        <v>0.13256066682154677</v>
      </c>
      <c r="I348" s="178">
        <v>0.15565005245185179</v>
      </c>
      <c r="J348" s="178">
        <v>0.17300631258377216</v>
      </c>
      <c r="K348" s="178">
        <v>0.18750460717519432</v>
      </c>
      <c r="L348" s="178">
        <v>0.20177052906608722</v>
      </c>
      <c r="M348" s="831">
        <v>0.20344971033850645</v>
      </c>
      <c r="N348" s="784"/>
    </row>
    <row r="349" spans="2:14" x14ac:dyDescent="0.25">
      <c r="B349" s="784"/>
      <c r="C349" s="823">
        <v>4</v>
      </c>
      <c r="D349" s="812" t="s">
        <v>512</v>
      </c>
      <c r="E349" s="813" t="s">
        <v>511</v>
      </c>
      <c r="F349" s="178">
        <v>0.15875151890398739</v>
      </c>
      <c r="G349" s="178">
        <v>0.17407340200594829</v>
      </c>
      <c r="H349" s="178">
        <v>0.18782172031219269</v>
      </c>
      <c r="I349" s="178">
        <v>0.1944109549619355</v>
      </c>
      <c r="J349" s="178">
        <v>0.19868954340303346</v>
      </c>
      <c r="K349" s="178">
        <v>0.20215278524961991</v>
      </c>
      <c r="L349" s="178">
        <v>0.20545363915930601</v>
      </c>
      <c r="M349" s="831">
        <v>0.20589976660519357</v>
      </c>
      <c r="N349" s="784"/>
    </row>
    <row r="350" spans="2:14" x14ac:dyDescent="0.25">
      <c r="B350" s="784"/>
      <c r="C350" s="823">
        <v>4</v>
      </c>
      <c r="D350" s="812" t="s">
        <v>512</v>
      </c>
      <c r="E350" s="813" t="s">
        <v>494</v>
      </c>
      <c r="F350" s="178">
        <v>0.21853798114245601</v>
      </c>
      <c r="G350" s="178">
        <v>0.22460009026817609</v>
      </c>
      <c r="H350" s="178">
        <v>0.22619515847829952</v>
      </c>
      <c r="I350" s="178">
        <v>0.22106478545057975</v>
      </c>
      <c r="J350" s="178">
        <v>0.21600183141976331</v>
      </c>
      <c r="K350" s="178">
        <v>0.2115242775158577</v>
      </c>
      <c r="L350" s="178">
        <v>0.20683234656414853</v>
      </c>
      <c r="M350" s="831">
        <v>0.20634445282777553</v>
      </c>
      <c r="N350" s="784"/>
    </row>
    <row r="351" spans="2:14" x14ac:dyDescent="0.25">
      <c r="B351" s="784"/>
      <c r="C351" s="825">
        <v>4</v>
      </c>
      <c r="D351" s="815" t="s">
        <v>512</v>
      </c>
      <c r="E351" s="816" t="s">
        <v>498</v>
      </c>
      <c r="F351" s="473">
        <v>7.2383328253651444E-2</v>
      </c>
      <c r="G351" s="473">
        <v>8.6115943306734138E-2</v>
      </c>
      <c r="H351" s="473">
        <v>0.10016387604136379</v>
      </c>
      <c r="I351" s="473">
        <v>0.10954273226041383</v>
      </c>
      <c r="J351" s="473">
        <v>0.11640999160486594</v>
      </c>
      <c r="K351" s="473">
        <v>0.12213890563717011</v>
      </c>
      <c r="L351" s="473">
        <v>0.12778966358004148</v>
      </c>
      <c r="M351" s="832">
        <v>0.12848774766169385</v>
      </c>
      <c r="N351" s="784"/>
    </row>
    <row r="352" spans="2:14" x14ac:dyDescent="0.25">
      <c r="B352" s="784"/>
      <c r="C352" s="823">
        <v>5</v>
      </c>
      <c r="D352" s="817" t="s">
        <v>512</v>
      </c>
      <c r="E352" s="818" t="s">
        <v>509</v>
      </c>
      <c r="F352" s="819">
        <v>0.65256581018994653</v>
      </c>
      <c r="G352" s="819">
        <v>0.53547212642124398</v>
      </c>
      <c r="H352" s="819">
        <v>0.42697173424916113</v>
      </c>
      <c r="I352" s="819">
        <v>0.36279991315613724</v>
      </c>
      <c r="J352" s="819">
        <v>0.3210727655296019</v>
      </c>
      <c r="K352" s="819">
        <v>0.28941159433728086</v>
      </c>
      <c r="L352" s="819">
        <v>0.2608657339530957</v>
      </c>
      <c r="M352" s="2918">
        <v>0.2575258336655924</v>
      </c>
      <c r="N352" s="784"/>
    </row>
    <row r="353" spans="2:14" x14ac:dyDescent="0.25">
      <c r="B353" s="784"/>
      <c r="C353" s="823">
        <v>5</v>
      </c>
      <c r="D353" s="812" t="s">
        <v>512</v>
      </c>
      <c r="E353" s="813" t="s">
        <v>510</v>
      </c>
      <c r="F353" s="178">
        <v>5.2400973438397981E-2</v>
      </c>
      <c r="G353" s="178">
        <v>9.3416992689488151E-2</v>
      </c>
      <c r="H353" s="178">
        <v>0.13347402557755325</v>
      </c>
      <c r="I353" s="178">
        <v>0.15975377020717252</v>
      </c>
      <c r="J353" s="178">
        <v>0.17737347043256521</v>
      </c>
      <c r="K353" s="178">
        <v>0.19086351335974105</v>
      </c>
      <c r="L353" s="178">
        <v>0.20316818029451253</v>
      </c>
      <c r="M353" s="831">
        <v>0.20458571563788946</v>
      </c>
      <c r="N353" s="784"/>
    </row>
    <row r="354" spans="2:14" x14ac:dyDescent="0.25">
      <c r="B354" s="784"/>
      <c r="C354" s="823">
        <v>5</v>
      </c>
      <c r="D354" s="812" t="s">
        <v>512</v>
      </c>
      <c r="E354" s="813" t="s">
        <v>511</v>
      </c>
      <c r="F354" s="178">
        <v>0.15075907193446433</v>
      </c>
      <c r="G354" s="178">
        <v>0.17204522772409875</v>
      </c>
      <c r="H354" s="178">
        <v>0.18917648061504108</v>
      </c>
      <c r="I354" s="178">
        <v>0.19603685730207371</v>
      </c>
      <c r="J354" s="178">
        <v>0.19982585697824312</v>
      </c>
      <c r="K354" s="178">
        <v>0.20254812268598812</v>
      </c>
      <c r="L354" s="178">
        <v>0.2048230555242806</v>
      </c>
      <c r="M354" s="831">
        <v>0.20511719386971092</v>
      </c>
      <c r="N354" s="784"/>
    </row>
    <row r="355" spans="2:14" x14ac:dyDescent="0.25">
      <c r="B355" s="784"/>
      <c r="C355" s="823">
        <v>5</v>
      </c>
      <c r="D355" s="812" t="s">
        <v>512</v>
      </c>
      <c r="E355" s="813" t="s">
        <v>494</v>
      </c>
      <c r="F355" s="178">
        <v>0.10882402083978825</v>
      </c>
      <c r="G355" s="178">
        <v>0.13852201912127621</v>
      </c>
      <c r="H355" s="178">
        <v>0.16542769598202614</v>
      </c>
      <c r="I355" s="178">
        <v>0.18056753515715526</v>
      </c>
      <c r="J355" s="178">
        <v>0.19025326467128548</v>
      </c>
      <c r="K355" s="178">
        <v>0.19756638049485473</v>
      </c>
      <c r="L355" s="178">
        <v>0.20411749819471911</v>
      </c>
      <c r="M355" s="831">
        <v>0.20489059771598367</v>
      </c>
      <c r="N355" s="784"/>
    </row>
    <row r="356" spans="2:14" x14ac:dyDescent="0.25">
      <c r="B356" s="784"/>
      <c r="C356" s="825">
        <v>5</v>
      </c>
      <c r="D356" s="815" t="s">
        <v>512</v>
      </c>
      <c r="E356" s="816" t="s">
        <v>498</v>
      </c>
      <c r="F356" s="473">
        <v>3.5450123597402974E-2</v>
      </c>
      <c r="G356" s="473">
        <v>6.0543634043892729E-2</v>
      </c>
      <c r="H356" s="473">
        <v>8.4950063576218426E-2</v>
      </c>
      <c r="I356" s="473">
        <v>0.10084192417746134</v>
      </c>
      <c r="J356" s="473">
        <v>0.11147464238830418</v>
      </c>
      <c r="K356" s="473">
        <v>0.1196103891221352</v>
      </c>
      <c r="L356" s="473">
        <v>0.12702553203339215</v>
      </c>
      <c r="M356" s="832">
        <v>0.1278806591108235</v>
      </c>
      <c r="N356" s="784"/>
    </row>
    <row r="357" spans="2:14" x14ac:dyDescent="0.25">
      <c r="B357" s="784"/>
      <c r="C357" s="823">
        <v>6</v>
      </c>
      <c r="D357" s="809" t="s">
        <v>512</v>
      </c>
      <c r="E357" s="818" t="s">
        <v>509</v>
      </c>
      <c r="F357" s="819">
        <v>0.56503650264247085</v>
      </c>
      <c r="G357" s="819">
        <v>0.45692919289528044</v>
      </c>
      <c r="H357" s="819">
        <v>0.36970458537831347</v>
      </c>
      <c r="I357" s="819">
        <v>0.32494323654594176</v>
      </c>
      <c r="J357" s="819">
        <v>0.29691804978690556</v>
      </c>
      <c r="K357" s="819">
        <v>0.2763292924518459</v>
      </c>
      <c r="L357" s="819">
        <v>0.2588912948116015</v>
      </c>
      <c r="M357" s="2918">
        <v>0.25676983927130409</v>
      </c>
      <c r="N357" s="784"/>
    </row>
    <row r="358" spans="2:14" x14ac:dyDescent="0.25">
      <c r="B358" s="784"/>
      <c r="C358" s="823">
        <v>6</v>
      </c>
      <c r="D358" s="812" t="s">
        <v>512</v>
      </c>
      <c r="E358" s="813" t="s">
        <v>510</v>
      </c>
      <c r="F358" s="178">
        <v>0.12848099597126747</v>
      </c>
      <c r="G358" s="178">
        <v>0.15616403848852423</v>
      </c>
      <c r="H358" s="178">
        <v>0.17817648461567437</v>
      </c>
      <c r="I358" s="178">
        <v>0.18897028479211228</v>
      </c>
      <c r="J358" s="178">
        <v>0.19563825082015629</v>
      </c>
      <c r="K358" s="178">
        <v>0.20050480173549121</v>
      </c>
      <c r="L358" s="178">
        <v>0.20456659540079777</v>
      </c>
      <c r="M358" s="831">
        <v>0.2050684455178656</v>
      </c>
      <c r="N358" s="784"/>
    </row>
    <row r="359" spans="2:14" x14ac:dyDescent="0.25">
      <c r="B359" s="784"/>
      <c r="C359" s="823">
        <v>6</v>
      </c>
      <c r="D359" s="812" t="s">
        <v>512</v>
      </c>
      <c r="E359" s="813" t="s">
        <v>511</v>
      </c>
      <c r="F359" s="178">
        <v>0.15044175799520526</v>
      </c>
      <c r="G359" s="178">
        <v>0.17259090813456368</v>
      </c>
      <c r="H359" s="178">
        <v>0.18930261776450985</v>
      </c>
      <c r="I359" s="178">
        <v>0.19607684042127879</v>
      </c>
      <c r="J359" s="178">
        <v>0.19999521933260136</v>
      </c>
      <c r="K359" s="178">
        <v>0.20275880293733936</v>
      </c>
      <c r="L359" s="178">
        <v>0.20488423556626931</v>
      </c>
      <c r="M359" s="831">
        <v>0.20517043945070784</v>
      </c>
      <c r="N359" s="784"/>
    </row>
    <row r="360" spans="2:14" x14ac:dyDescent="0.25">
      <c r="B360" s="784"/>
      <c r="C360" s="823">
        <v>6</v>
      </c>
      <c r="D360" s="812" t="s">
        <v>512</v>
      </c>
      <c r="E360" s="813" t="s">
        <v>494</v>
      </c>
      <c r="F360" s="178">
        <v>0.10914530221938377</v>
      </c>
      <c r="G360" s="178">
        <v>0.14170074616598485</v>
      </c>
      <c r="H360" s="178">
        <v>0.1683803080087759</v>
      </c>
      <c r="I360" s="178">
        <v>0.1827132075956785</v>
      </c>
      <c r="J360" s="178">
        <v>0.19180209027384174</v>
      </c>
      <c r="K360" s="178">
        <v>0.19852023139554556</v>
      </c>
      <c r="L360" s="178">
        <v>0.20428692418737807</v>
      </c>
      <c r="M360" s="831">
        <v>0.20497864337676333</v>
      </c>
      <c r="N360" s="784"/>
    </row>
    <row r="361" spans="2:14" x14ac:dyDescent="0.25">
      <c r="B361" s="784"/>
      <c r="C361" s="825">
        <v>6</v>
      </c>
      <c r="D361" s="815" t="s">
        <v>512</v>
      </c>
      <c r="E361" s="816" t="s">
        <v>498</v>
      </c>
      <c r="F361" s="473">
        <v>4.6895441171672499E-2</v>
      </c>
      <c r="G361" s="473">
        <v>7.2615114315646712E-2</v>
      </c>
      <c r="H361" s="473">
        <v>9.4436004232726384E-2</v>
      </c>
      <c r="I361" s="473">
        <v>0.10729643064498871</v>
      </c>
      <c r="J361" s="473">
        <v>0.11564638978649522</v>
      </c>
      <c r="K361" s="473">
        <v>0.12188687147977793</v>
      </c>
      <c r="L361" s="473">
        <v>0.1273709500339533</v>
      </c>
      <c r="M361" s="832">
        <v>0.12801263238335914</v>
      </c>
      <c r="N361" s="784"/>
    </row>
    <row r="362" spans="2:14" x14ac:dyDescent="0.25">
      <c r="B362" s="784"/>
      <c r="C362" s="823">
        <v>7</v>
      </c>
      <c r="D362" s="817" t="s">
        <v>512</v>
      </c>
      <c r="E362" s="818" t="s">
        <v>509</v>
      </c>
      <c r="F362" s="819">
        <v>0.60936637873944333</v>
      </c>
      <c r="G362" s="819">
        <v>0.47744870805268447</v>
      </c>
      <c r="H362" s="819">
        <v>0.37777073867077082</v>
      </c>
      <c r="I362" s="819">
        <v>0.327760841043582</v>
      </c>
      <c r="J362" s="819">
        <v>0.29788369846985513</v>
      </c>
      <c r="K362" s="819">
        <v>0.27676247745833948</v>
      </c>
      <c r="L362" s="819">
        <v>0.25897932882172925</v>
      </c>
      <c r="M362" s="2918">
        <v>0.25686689462332518</v>
      </c>
      <c r="N362" s="784"/>
    </row>
    <row r="363" spans="2:14" x14ac:dyDescent="0.25">
      <c r="B363" s="784"/>
      <c r="C363" s="823">
        <v>7</v>
      </c>
      <c r="D363" s="812" t="s">
        <v>512</v>
      </c>
      <c r="E363" s="813" t="s">
        <v>510</v>
      </c>
      <c r="F363" s="178">
        <v>8.9123544213273523E-2</v>
      </c>
      <c r="G363" s="178">
        <v>0.13081693526752575</v>
      </c>
      <c r="H363" s="178">
        <v>0.16293988046882235</v>
      </c>
      <c r="I363" s="178">
        <v>0.18000926458186786</v>
      </c>
      <c r="J363" s="178">
        <v>0.19040965276268354</v>
      </c>
      <c r="K363" s="178">
        <v>0.19784013412204401</v>
      </c>
      <c r="L363" s="178">
        <v>0.20418630106750255</v>
      </c>
      <c r="M363" s="831">
        <v>0.20492745207223437</v>
      </c>
      <c r="N363" s="784"/>
    </row>
    <row r="364" spans="2:14" x14ac:dyDescent="0.25">
      <c r="B364" s="784"/>
      <c r="C364" s="823">
        <v>7</v>
      </c>
      <c r="D364" s="812" t="s">
        <v>512</v>
      </c>
      <c r="E364" s="813" t="s">
        <v>511</v>
      </c>
      <c r="F364" s="178">
        <v>0.14610894773792579</v>
      </c>
      <c r="G364" s="178">
        <v>0.17159013333747578</v>
      </c>
      <c r="H364" s="178">
        <v>0.1895700411118105</v>
      </c>
      <c r="I364" s="178">
        <v>0.19663030185520014</v>
      </c>
      <c r="J364" s="178">
        <v>0.20043116709603029</v>
      </c>
      <c r="K364" s="178">
        <v>0.20295748989987669</v>
      </c>
      <c r="L364" s="178">
        <v>0.20489931037403392</v>
      </c>
      <c r="M364" s="831">
        <v>0.20515610938720488</v>
      </c>
      <c r="N364" s="784"/>
    </row>
    <row r="365" spans="2:14" x14ac:dyDescent="0.25">
      <c r="B365" s="784"/>
      <c r="C365" s="823">
        <v>7</v>
      </c>
      <c r="D365" s="812" t="s">
        <v>512</v>
      </c>
      <c r="E365" s="813" t="s">
        <v>494</v>
      </c>
      <c r="F365" s="178">
        <v>9.9433323885646394E-2</v>
      </c>
      <c r="G365" s="178">
        <v>0.13819360828621113</v>
      </c>
      <c r="H365" s="178">
        <v>0.16775780000413512</v>
      </c>
      <c r="I365" s="178">
        <v>0.18301633694804365</v>
      </c>
      <c r="J365" s="178">
        <v>0.19222274170072437</v>
      </c>
      <c r="K365" s="178">
        <v>0.19876596437525579</v>
      </c>
      <c r="L365" s="178">
        <v>0.20431529846683677</v>
      </c>
      <c r="M365" s="831">
        <v>0.20496882067528027</v>
      </c>
      <c r="N365" s="784"/>
    </row>
    <row r="366" spans="2:14" x14ac:dyDescent="0.25">
      <c r="B366" s="784"/>
      <c r="C366" s="825">
        <v>7</v>
      </c>
      <c r="D366" s="815" t="s">
        <v>512</v>
      </c>
      <c r="E366" s="816" t="s">
        <v>498</v>
      </c>
      <c r="F366" s="473">
        <v>5.5967805423710895E-2</v>
      </c>
      <c r="G366" s="473">
        <v>8.1950615056102821E-2</v>
      </c>
      <c r="H366" s="473">
        <v>0.10196153974446133</v>
      </c>
      <c r="I366" s="473">
        <v>0.11258325557130625</v>
      </c>
      <c r="J366" s="473">
        <v>0.11905273997070667</v>
      </c>
      <c r="K366" s="473">
        <v>0.12367393414448404</v>
      </c>
      <c r="L366" s="473">
        <v>0.12761976126989749</v>
      </c>
      <c r="M366" s="832">
        <v>0.12808072324195541</v>
      </c>
      <c r="N366" s="784"/>
    </row>
    <row r="367" spans="2:14" x14ac:dyDescent="0.25">
      <c r="B367" s="784"/>
      <c r="C367" s="823">
        <v>8</v>
      </c>
      <c r="D367" s="809" t="s">
        <v>512</v>
      </c>
      <c r="E367" s="818" t="s">
        <v>509</v>
      </c>
      <c r="F367" s="819">
        <v>0.65880235010432331</v>
      </c>
      <c r="G367" s="819">
        <v>0.52914845796905652</v>
      </c>
      <c r="H367" s="819">
        <v>0.41845484493609397</v>
      </c>
      <c r="I367" s="819">
        <v>0.3560945437129725</v>
      </c>
      <c r="J367" s="819">
        <v>0.31607396349235545</v>
      </c>
      <c r="K367" s="819">
        <v>0.28529485699839607</v>
      </c>
      <c r="L367" s="819">
        <v>0.2562322000286828</v>
      </c>
      <c r="M367" s="2918">
        <v>0.25293499464009916</v>
      </c>
      <c r="N367" s="784"/>
    </row>
    <row r="368" spans="2:14" x14ac:dyDescent="0.25">
      <c r="B368" s="784"/>
      <c r="C368" s="823">
        <v>8</v>
      </c>
      <c r="D368" s="812" t="s">
        <v>512</v>
      </c>
      <c r="E368" s="813" t="s">
        <v>510</v>
      </c>
      <c r="F368" s="178">
        <v>6.9478534054197377E-2</v>
      </c>
      <c r="G368" s="178">
        <v>0.11099824122583289</v>
      </c>
      <c r="H368" s="178">
        <v>0.14735238633982098</v>
      </c>
      <c r="I368" s="178">
        <v>0.16920656912865356</v>
      </c>
      <c r="J368" s="178">
        <v>0.18353275773161262</v>
      </c>
      <c r="K368" s="178">
        <v>0.19459011143003502</v>
      </c>
      <c r="L368" s="178">
        <v>0.20515111391332347</v>
      </c>
      <c r="M368" s="831">
        <v>0.20632482690934828</v>
      </c>
      <c r="N368" s="784"/>
    </row>
    <row r="369" spans="2:17" x14ac:dyDescent="0.25">
      <c r="B369" s="784"/>
      <c r="C369" s="823">
        <v>8</v>
      </c>
      <c r="D369" s="812" t="s">
        <v>512</v>
      </c>
      <c r="E369" s="813" t="s">
        <v>511</v>
      </c>
      <c r="F369" s="178">
        <v>0.14108112933302505</v>
      </c>
      <c r="G369" s="178">
        <v>0.16588593302843974</v>
      </c>
      <c r="H369" s="178">
        <v>0.18533673336855866</v>
      </c>
      <c r="I369" s="178">
        <v>0.19367707186116637</v>
      </c>
      <c r="J369" s="178">
        <v>0.19845614762452848</v>
      </c>
      <c r="K369" s="178">
        <v>0.20205669075814289</v>
      </c>
      <c r="L369" s="178">
        <v>0.20522726416373432</v>
      </c>
      <c r="M369" s="831">
        <v>0.2056335566337546</v>
      </c>
      <c r="N369" s="784"/>
    </row>
    <row r="370" spans="2:17" x14ac:dyDescent="0.25">
      <c r="B370" s="784"/>
      <c r="C370" s="823">
        <v>8</v>
      </c>
      <c r="D370" s="812" t="s">
        <v>512</v>
      </c>
      <c r="E370" s="813" t="s">
        <v>494</v>
      </c>
      <c r="F370" s="178">
        <v>8.7818401983281932E-2</v>
      </c>
      <c r="G370" s="178">
        <v>0.12505685201601688</v>
      </c>
      <c r="H370" s="178">
        <v>0.15708147374463952</v>
      </c>
      <c r="I370" s="178">
        <v>0.17547429987954283</v>
      </c>
      <c r="J370" s="178">
        <v>0.18735514711044074</v>
      </c>
      <c r="K370" s="178">
        <v>0.1965025571762582</v>
      </c>
      <c r="L370" s="178">
        <v>0.20517061859091035</v>
      </c>
      <c r="M370" s="831">
        <v>0.20614776900371895</v>
      </c>
      <c r="N370" s="784"/>
    </row>
    <row r="371" spans="2:17" x14ac:dyDescent="0.25">
      <c r="B371" s="784"/>
      <c r="C371" s="825">
        <v>8</v>
      </c>
      <c r="D371" s="815" t="s">
        <v>512</v>
      </c>
      <c r="E371" s="816" t="s">
        <v>498</v>
      </c>
      <c r="F371" s="473">
        <v>4.2819584525172441E-2</v>
      </c>
      <c r="G371" s="473">
        <v>6.8910515760654115E-2</v>
      </c>
      <c r="H371" s="473">
        <v>9.1774561610886957E-2</v>
      </c>
      <c r="I371" s="473">
        <v>0.10554751541766481</v>
      </c>
      <c r="J371" s="473">
        <v>0.1145819840410626</v>
      </c>
      <c r="K371" s="473">
        <v>0.12155578363716767</v>
      </c>
      <c r="L371" s="473">
        <v>0.12821880330334898</v>
      </c>
      <c r="M371" s="832">
        <v>0.12895885281307898</v>
      </c>
      <c r="N371" s="784"/>
    </row>
    <row r="372" spans="2:17" x14ac:dyDescent="0.25">
      <c r="B372" s="784"/>
      <c r="C372" s="823">
        <v>9</v>
      </c>
      <c r="D372" s="817" t="s">
        <v>512</v>
      </c>
      <c r="E372" s="818" t="s">
        <v>509</v>
      </c>
      <c r="F372" s="819">
        <v>0.79454591784689454</v>
      </c>
      <c r="G372" s="819">
        <v>0.64374633620835953</v>
      </c>
      <c r="H372" s="819">
        <v>0.50469000185099577</v>
      </c>
      <c r="I372" s="819">
        <v>0.41711450103574477</v>
      </c>
      <c r="J372" s="819">
        <v>0.35729038959696036</v>
      </c>
      <c r="K372" s="819">
        <v>0.30947844910418182</v>
      </c>
      <c r="L372" s="819">
        <v>0.26335921244215571</v>
      </c>
      <c r="M372" s="2918">
        <v>0.25769999090005274</v>
      </c>
      <c r="N372" s="784"/>
      <c r="P372" s="820"/>
      <c r="Q372" s="820">
        <f>SUM(P372:P376)*M23/10^9</f>
        <v>0</v>
      </c>
    </row>
    <row r="373" spans="2:17" x14ac:dyDescent="0.25">
      <c r="B373" s="784"/>
      <c r="C373" s="823">
        <v>9</v>
      </c>
      <c r="D373" s="812" t="s">
        <v>512</v>
      </c>
      <c r="E373" s="813" t="s">
        <v>510</v>
      </c>
      <c r="F373" s="178">
        <v>4.48541595108932E-2</v>
      </c>
      <c r="G373" s="178">
        <v>8.8834351946996501E-2</v>
      </c>
      <c r="H373" s="178">
        <v>0.129815914349935</v>
      </c>
      <c r="I373" s="178">
        <v>0.1562438180108528</v>
      </c>
      <c r="J373" s="178">
        <v>0.17442049738989301</v>
      </c>
      <c r="K373" s="178">
        <v>0.18895490533637793</v>
      </c>
      <c r="L373" s="178">
        <v>0.20298772304963805</v>
      </c>
      <c r="M373" s="831">
        <v>0.20470030421485996</v>
      </c>
      <c r="N373" s="784"/>
      <c r="P373" s="820"/>
    </row>
    <row r="374" spans="2:17" x14ac:dyDescent="0.25">
      <c r="B374" s="784"/>
      <c r="C374" s="823">
        <v>9</v>
      </c>
      <c r="D374" s="812" t="s">
        <v>512</v>
      </c>
      <c r="E374" s="813" t="s">
        <v>511</v>
      </c>
      <c r="F374" s="178">
        <v>8.9366758447132974E-2</v>
      </c>
      <c r="G374" s="178">
        <v>0.12438516251051104</v>
      </c>
      <c r="H374" s="178">
        <v>0.15549800617721715</v>
      </c>
      <c r="I374" s="178">
        <v>0.17338264697621159</v>
      </c>
      <c r="J374" s="178">
        <v>0.18525873805693868</v>
      </c>
      <c r="K374" s="178">
        <v>0.19472961062171834</v>
      </c>
      <c r="L374" s="178">
        <v>0.20382930193294796</v>
      </c>
      <c r="M374" s="831">
        <v>0.20497180408743126</v>
      </c>
      <c r="N374" s="784"/>
      <c r="P374" s="820"/>
    </row>
    <row r="375" spans="2:17" x14ac:dyDescent="0.25">
      <c r="B375" s="784"/>
      <c r="C375" s="823">
        <v>9</v>
      </c>
      <c r="D375" s="812" t="s">
        <v>512</v>
      </c>
      <c r="E375" s="813" t="s">
        <v>494</v>
      </c>
      <c r="F375" s="178">
        <v>4.5050418750681484E-2</v>
      </c>
      <c r="G375" s="178">
        <v>8.8991098019384873E-2</v>
      </c>
      <c r="H375" s="178">
        <v>0.12992914853393342</v>
      </c>
      <c r="I375" s="178">
        <v>0.15631938433643225</v>
      </c>
      <c r="J375" s="178">
        <v>0.17446828396998026</v>
      </c>
      <c r="K375" s="178">
        <v>0.18898036642596575</v>
      </c>
      <c r="L375" s="178">
        <v>0.20299143363126682</v>
      </c>
      <c r="M375" s="831">
        <v>0.20470150127726175</v>
      </c>
      <c r="N375" s="784"/>
      <c r="P375" s="820"/>
    </row>
    <row r="376" spans="2:17" x14ac:dyDescent="0.25">
      <c r="B376" s="784"/>
      <c r="C376" s="825">
        <v>9</v>
      </c>
      <c r="D376" s="815" t="s">
        <v>512</v>
      </c>
      <c r="E376" s="816" t="s">
        <v>498</v>
      </c>
      <c r="F376" s="473">
        <v>2.6182745444397717E-2</v>
      </c>
      <c r="G376" s="473">
        <v>5.4043051314748049E-2</v>
      </c>
      <c r="H376" s="473">
        <v>8.006692908791857E-2</v>
      </c>
      <c r="I376" s="473">
        <v>9.6939649640758657E-2</v>
      </c>
      <c r="J376" s="473">
        <v>0.10856209098622785</v>
      </c>
      <c r="K376" s="473">
        <v>0.11785666851175625</v>
      </c>
      <c r="L376" s="473">
        <v>0.12683232894399149</v>
      </c>
      <c r="M376" s="832">
        <v>0.12792639952039439</v>
      </c>
      <c r="N376" s="784"/>
      <c r="P376" s="820"/>
    </row>
    <row r="377" spans="2:17" x14ac:dyDescent="0.25">
      <c r="B377" s="784"/>
      <c r="C377" s="823">
        <v>10</v>
      </c>
      <c r="D377" s="809" t="s">
        <v>512</v>
      </c>
      <c r="E377" s="818" t="s">
        <v>509</v>
      </c>
      <c r="F377" s="819">
        <v>0.80939829006196773</v>
      </c>
      <c r="G377" s="819">
        <v>0.69541646692188996</v>
      </c>
      <c r="H377" s="819">
        <v>0.57036665407407183</v>
      </c>
      <c r="I377" s="819">
        <v>0.47692219316840356</v>
      </c>
      <c r="J377" s="819">
        <v>0.40224137790050629</v>
      </c>
      <c r="K377" s="819">
        <v>0.33625776507031963</v>
      </c>
      <c r="L377" s="819">
        <v>0.26812711581359899</v>
      </c>
      <c r="M377" s="2918">
        <v>0.25968488213141816</v>
      </c>
      <c r="N377" s="784"/>
    </row>
    <row r="378" spans="2:17" x14ac:dyDescent="0.25">
      <c r="B378" s="784"/>
      <c r="C378" s="823">
        <v>10</v>
      </c>
      <c r="D378" s="812" t="s">
        <v>512</v>
      </c>
      <c r="E378" s="813" t="s">
        <v>510</v>
      </c>
      <c r="F378" s="178">
        <v>2.7844063929200098E-2</v>
      </c>
      <c r="G378" s="178">
        <v>6.2279248670970712E-2</v>
      </c>
      <c r="H378" s="178">
        <v>0.10115871389405547</v>
      </c>
      <c r="I378" s="178">
        <v>0.13176939014896275</v>
      </c>
      <c r="J378" s="178">
        <v>0.15647711742463555</v>
      </c>
      <c r="K378" s="178">
        <v>0.1783961050381693</v>
      </c>
      <c r="L378" s="178">
        <v>0.20118019568774792</v>
      </c>
      <c r="M378" s="831">
        <v>0.20399287442937139</v>
      </c>
      <c r="N378" s="784"/>
    </row>
    <row r="379" spans="2:17" x14ac:dyDescent="0.25">
      <c r="B379" s="784"/>
      <c r="C379" s="823">
        <v>10</v>
      </c>
      <c r="D379" s="812" t="s">
        <v>512</v>
      </c>
      <c r="E379" s="813" t="s">
        <v>511</v>
      </c>
      <c r="F379" s="178">
        <v>5.5028129486978626E-2</v>
      </c>
      <c r="G379" s="178">
        <v>8.6175249753497635E-2</v>
      </c>
      <c r="H379" s="178">
        <v>0.12023792288820989</v>
      </c>
      <c r="I379" s="178">
        <v>0.14553734418212283</v>
      </c>
      <c r="J379" s="178">
        <v>0.16573252332791519</v>
      </c>
      <c r="K379" s="178">
        <v>0.18356702814909595</v>
      </c>
      <c r="L379" s="178">
        <v>0.20196681537519903</v>
      </c>
      <c r="M379" s="831">
        <v>0.20424782210031298</v>
      </c>
      <c r="N379" s="784"/>
    </row>
    <row r="380" spans="2:17" x14ac:dyDescent="0.25">
      <c r="B380" s="784"/>
      <c r="C380" s="823">
        <v>10</v>
      </c>
      <c r="D380" s="812" t="s">
        <v>512</v>
      </c>
      <c r="E380" s="813" t="s">
        <v>494</v>
      </c>
      <c r="F380" s="178">
        <v>9.1527075409340131E-2</v>
      </c>
      <c r="G380" s="178">
        <v>0.11825944442327818</v>
      </c>
      <c r="H380" s="178">
        <v>0.14585480553731062</v>
      </c>
      <c r="I380" s="178">
        <v>0.16402301949988551</v>
      </c>
      <c r="J380" s="178">
        <v>0.17815938268915771</v>
      </c>
      <c r="K380" s="178">
        <v>0.19050981757819221</v>
      </c>
      <c r="L380" s="178">
        <v>0.20302297783083761</v>
      </c>
      <c r="M380" s="831">
        <v>0.20459013003195559</v>
      </c>
      <c r="N380" s="784"/>
    </row>
    <row r="381" spans="2:17" x14ac:dyDescent="0.25">
      <c r="B381" s="784"/>
      <c r="C381" s="825">
        <v>10</v>
      </c>
      <c r="D381" s="815" t="s">
        <v>512</v>
      </c>
      <c r="E381" s="816" t="s">
        <v>498</v>
      </c>
      <c r="F381" s="473">
        <v>1.6202441112513344E-2</v>
      </c>
      <c r="G381" s="473">
        <v>3.7869590230363598E-2</v>
      </c>
      <c r="H381" s="473">
        <v>6.2381903606352145E-2</v>
      </c>
      <c r="I381" s="473">
        <v>8.1748053000625404E-2</v>
      </c>
      <c r="J381" s="473">
        <v>9.7389598657785362E-2</v>
      </c>
      <c r="K381" s="473">
        <v>0.11126928416422281</v>
      </c>
      <c r="L381" s="473">
        <v>0.12570289529261636</v>
      </c>
      <c r="M381" s="832">
        <v>0.12748429130694172</v>
      </c>
      <c r="N381" s="784"/>
    </row>
    <row r="382" spans="2:17" x14ac:dyDescent="0.25">
      <c r="B382" s="784"/>
      <c r="C382" s="823">
        <v>11</v>
      </c>
      <c r="D382" s="817" t="s">
        <v>512</v>
      </c>
      <c r="E382" s="818" t="s">
        <v>509</v>
      </c>
      <c r="F382" s="819">
        <v>0.55307999257596763</v>
      </c>
      <c r="G382" s="819">
        <v>0.48513135117528705</v>
      </c>
      <c r="H382" s="819">
        <v>0.41569826195198295</v>
      </c>
      <c r="I382" s="819">
        <v>0.36982884094984458</v>
      </c>
      <c r="J382" s="819">
        <v>0.33245820254213521</v>
      </c>
      <c r="K382" s="819">
        <v>0.2987642599803037</v>
      </c>
      <c r="L382" s="819">
        <v>0.26268935393972959</v>
      </c>
      <c r="M382" s="2918">
        <v>0.25801974958963581</v>
      </c>
      <c r="N382" s="784"/>
    </row>
    <row r="383" spans="2:17" x14ac:dyDescent="0.25">
      <c r="B383" s="784"/>
      <c r="C383" s="823">
        <v>11</v>
      </c>
      <c r="D383" s="812" t="s">
        <v>512</v>
      </c>
      <c r="E383" s="813" t="s">
        <v>510</v>
      </c>
      <c r="F383" s="178">
        <v>5.8047127744126847E-2</v>
      </c>
      <c r="G383" s="178">
        <v>8.4506284474526364E-2</v>
      </c>
      <c r="H383" s="178">
        <v>0.11450160564588691</v>
      </c>
      <c r="I383" s="178">
        <v>0.13912138421746034</v>
      </c>
      <c r="J383" s="178">
        <v>0.16019357479097335</v>
      </c>
      <c r="K383" s="178">
        <v>0.17974546057117971</v>
      </c>
      <c r="L383" s="178">
        <v>0.20125635378888071</v>
      </c>
      <c r="M383" s="831">
        <v>0.20398851175638652</v>
      </c>
      <c r="N383" s="784"/>
    </row>
    <row r="384" spans="2:17" x14ac:dyDescent="0.25">
      <c r="B384" s="784"/>
      <c r="C384" s="823">
        <v>11</v>
      </c>
      <c r="D384" s="812" t="s">
        <v>512</v>
      </c>
      <c r="E384" s="813" t="s">
        <v>511</v>
      </c>
      <c r="F384" s="178">
        <v>0.12548601673918131</v>
      </c>
      <c r="G384" s="178">
        <v>0.14397058901397464</v>
      </c>
      <c r="H384" s="178">
        <v>0.16275933819452995</v>
      </c>
      <c r="I384" s="178">
        <v>0.17500987534060328</v>
      </c>
      <c r="J384" s="178">
        <v>0.18495644870591313</v>
      </c>
      <c r="K384" s="178">
        <v>0.19390580793939874</v>
      </c>
      <c r="L384" s="178">
        <v>0.20346811860654518</v>
      </c>
      <c r="M384" s="831">
        <v>0.20470764247138781</v>
      </c>
      <c r="N384" s="784"/>
    </row>
    <row r="385" spans="2:14" x14ac:dyDescent="0.25">
      <c r="B385" s="784"/>
      <c r="C385" s="823">
        <v>11</v>
      </c>
      <c r="D385" s="812" t="s">
        <v>512</v>
      </c>
      <c r="E385" s="813" t="s">
        <v>494</v>
      </c>
      <c r="F385" s="178">
        <v>0.24294865273787394</v>
      </c>
      <c r="G385" s="178">
        <v>0.24754338007144355</v>
      </c>
      <c r="H385" s="178">
        <v>0.24681292444057856</v>
      </c>
      <c r="I385" s="178">
        <v>0.23751916089020922</v>
      </c>
      <c r="J385" s="178">
        <v>0.22808753357840245</v>
      </c>
      <c r="K385" s="178">
        <v>0.21856979267156321</v>
      </c>
      <c r="L385" s="178">
        <v>0.20732049117026111</v>
      </c>
      <c r="M385" s="831">
        <v>0.20596019853615141</v>
      </c>
      <c r="N385" s="784"/>
    </row>
    <row r="386" spans="2:14" x14ac:dyDescent="0.25">
      <c r="B386" s="784"/>
      <c r="C386" s="825">
        <v>11</v>
      </c>
      <c r="D386" s="815" t="s">
        <v>512</v>
      </c>
      <c r="E386" s="816" t="s">
        <v>498</v>
      </c>
      <c r="F386" s="473">
        <v>2.0438210202850415E-2</v>
      </c>
      <c r="G386" s="473">
        <v>3.8848395264768451E-2</v>
      </c>
      <c r="H386" s="473">
        <v>6.0227869767021748E-2</v>
      </c>
      <c r="I386" s="473">
        <v>7.8520738601882578E-2</v>
      </c>
      <c r="J386" s="473">
        <v>9.4304240382575857E-2</v>
      </c>
      <c r="K386" s="473">
        <v>0.10901467883755457</v>
      </c>
      <c r="L386" s="473">
        <v>0.12526568249458339</v>
      </c>
      <c r="M386" s="832">
        <v>0.12732389764643851</v>
      </c>
      <c r="N386" s="784"/>
    </row>
    <row r="387" spans="2:14" x14ac:dyDescent="0.25">
      <c r="B387" s="784"/>
      <c r="C387" s="823">
        <v>12</v>
      </c>
      <c r="D387" s="809" t="s">
        <v>512</v>
      </c>
      <c r="E387" s="818" t="s">
        <v>509</v>
      </c>
      <c r="F387" s="819">
        <v>0.40973512195949918</v>
      </c>
      <c r="G387" s="819">
        <v>0.3806639853197733</v>
      </c>
      <c r="H387" s="819">
        <v>0.35033976132364603</v>
      </c>
      <c r="I387" s="819">
        <v>0.33483435359944119</v>
      </c>
      <c r="J387" s="819">
        <v>0.32201011992265005</v>
      </c>
      <c r="K387" s="819">
        <v>0.30778127132885374</v>
      </c>
      <c r="L387" s="819">
        <v>0.28820322507223883</v>
      </c>
      <c r="M387" s="2918">
        <v>0.28515991326502882</v>
      </c>
      <c r="N387" s="784"/>
    </row>
    <row r="388" spans="2:14" x14ac:dyDescent="0.25">
      <c r="B388" s="784"/>
      <c r="C388" s="823">
        <v>12</v>
      </c>
      <c r="D388" s="812" t="s">
        <v>512</v>
      </c>
      <c r="E388" s="813" t="s">
        <v>510</v>
      </c>
      <c r="F388" s="178">
        <v>0.14316524564476762</v>
      </c>
      <c r="G388" s="178">
        <v>0.15426574803927098</v>
      </c>
      <c r="H388" s="178">
        <v>0.16797123182095744</v>
      </c>
      <c r="I388" s="178">
        <v>0.17928710870750028</v>
      </c>
      <c r="J388" s="178">
        <v>0.19072312790037954</v>
      </c>
      <c r="K388" s="178">
        <v>0.2040573868630563</v>
      </c>
      <c r="L388" s="178">
        <v>0.2232100006209953</v>
      </c>
      <c r="M388" s="831">
        <v>0.22607564460790863</v>
      </c>
      <c r="N388" s="784"/>
    </row>
    <row r="389" spans="2:14" x14ac:dyDescent="0.25">
      <c r="B389" s="784"/>
      <c r="C389" s="823">
        <v>12</v>
      </c>
      <c r="D389" s="812" t="s">
        <v>512</v>
      </c>
      <c r="E389" s="813" t="s">
        <v>511</v>
      </c>
      <c r="F389" s="178">
        <v>0.41598576949193583</v>
      </c>
      <c r="G389" s="178">
        <v>0.42475806679377787</v>
      </c>
      <c r="H389" s="178">
        <v>0.42759008670059839</v>
      </c>
      <c r="I389" s="178">
        <v>0.41628224172575806</v>
      </c>
      <c r="J389" s="178">
        <v>0.40077782907578896</v>
      </c>
      <c r="K389" s="178">
        <v>0.38163995442608351</v>
      </c>
      <c r="L389" s="178">
        <v>0.35287519789525895</v>
      </c>
      <c r="M389" s="831">
        <v>0.34871717994786466</v>
      </c>
      <c r="N389" s="784"/>
    </row>
    <row r="390" spans="2:14" x14ac:dyDescent="0.25">
      <c r="B390" s="784"/>
      <c r="C390" s="823">
        <v>12</v>
      </c>
      <c r="D390" s="812" t="s">
        <v>512</v>
      </c>
      <c r="E390" s="813" t="s">
        <v>494</v>
      </c>
      <c r="F390" s="178">
        <v>1.385057871246399E-5</v>
      </c>
      <c r="G390" s="178">
        <v>1.4142659363243687E-5</v>
      </c>
      <c r="H390" s="178">
        <v>1.4236953729809621E-5</v>
      </c>
      <c r="I390" s="178">
        <v>1.3860449992473472E-5</v>
      </c>
      <c r="J390" s="178">
        <v>1.334421817987758E-5</v>
      </c>
      <c r="K390" s="178">
        <v>1.2707007345601302E-5</v>
      </c>
      <c r="L390" s="178">
        <v>1.1749261783868158E-5</v>
      </c>
      <c r="M390" s="831">
        <v>1.1610817252607965E-5</v>
      </c>
      <c r="N390" s="784"/>
    </row>
    <row r="391" spans="2:14" x14ac:dyDescent="0.25">
      <c r="B391" s="784"/>
      <c r="C391" s="825">
        <v>12</v>
      </c>
      <c r="D391" s="815" t="s">
        <v>512</v>
      </c>
      <c r="E391" s="816" t="s">
        <v>498</v>
      </c>
      <c r="F391" s="473">
        <v>3.1100012325084882E-2</v>
      </c>
      <c r="G391" s="473">
        <v>4.0298057187814706E-2</v>
      </c>
      <c r="H391" s="473">
        <v>5.4084683201068184E-2</v>
      </c>
      <c r="I391" s="473">
        <v>6.9582435517307945E-2</v>
      </c>
      <c r="J391" s="473">
        <v>8.6475578883001641E-2</v>
      </c>
      <c r="K391" s="473">
        <v>0.1065086803746607</v>
      </c>
      <c r="L391" s="473">
        <v>0.13569982714972301</v>
      </c>
      <c r="M391" s="832">
        <v>0.14003565136194523</v>
      </c>
      <c r="N391" s="784"/>
    </row>
    <row r="392" spans="2:14" x14ac:dyDescent="0.25">
      <c r="B392" s="784"/>
      <c r="C392" s="823">
        <v>13</v>
      </c>
      <c r="D392" s="817" t="s">
        <v>512</v>
      </c>
      <c r="E392" s="818" t="s">
        <v>509</v>
      </c>
      <c r="F392" s="819">
        <v>0.55627354415167318</v>
      </c>
      <c r="G392" s="819">
        <v>0.45016507529064381</v>
      </c>
      <c r="H392" s="819">
        <v>0.3633293573993272</v>
      </c>
      <c r="I392" s="819">
        <v>0.31937034317845631</v>
      </c>
      <c r="J392" s="819">
        <v>0.29329056493239974</v>
      </c>
      <c r="K392" s="819">
        <v>0.27460002729307498</v>
      </c>
      <c r="L392" s="819">
        <v>0.25871699881091176</v>
      </c>
      <c r="M392" s="2918">
        <v>0.25682063937933725</v>
      </c>
      <c r="N392" s="784"/>
    </row>
    <row r="393" spans="2:14" x14ac:dyDescent="0.25">
      <c r="B393" s="784"/>
      <c r="C393" s="823">
        <v>13</v>
      </c>
      <c r="D393" s="812" t="s">
        <v>512</v>
      </c>
      <c r="E393" s="813" t="s">
        <v>510</v>
      </c>
      <c r="F393" s="178">
        <v>9.3114597313520744E-2</v>
      </c>
      <c r="G393" s="178">
        <v>0.12974602729062998</v>
      </c>
      <c r="H393" s="178">
        <v>0.16100064324216029</v>
      </c>
      <c r="I393" s="178">
        <v>0.1786025169294537</v>
      </c>
      <c r="J393" s="178">
        <v>0.18943627679551928</v>
      </c>
      <c r="K393" s="178">
        <v>0.19729617505311542</v>
      </c>
      <c r="L393" s="178">
        <v>0.20410067140525967</v>
      </c>
      <c r="M393" s="831">
        <v>0.20488963030948978</v>
      </c>
      <c r="N393" s="784"/>
    </row>
    <row r="394" spans="2:14" x14ac:dyDescent="0.25">
      <c r="B394" s="784"/>
      <c r="C394" s="823">
        <v>13</v>
      </c>
      <c r="D394" s="812" t="s">
        <v>512</v>
      </c>
      <c r="E394" s="813" t="s">
        <v>511</v>
      </c>
      <c r="F394" s="178">
        <v>0.20304879116262189</v>
      </c>
      <c r="G394" s="178">
        <v>0.21205798968862061</v>
      </c>
      <c r="H394" s="178">
        <v>0.21591627607788411</v>
      </c>
      <c r="I394" s="178">
        <v>0.21296978530420718</v>
      </c>
      <c r="J394" s="178">
        <v>0.2101452716608477</v>
      </c>
      <c r="K394" s="178">
        <v>0.20785759987258706</v>
      </c>
      <c r="L394" s="178">
        <v>0.20556879367008085</v>
      </c>
      <c r="M394" s="831">
        <v>0.20536012225394124</v>
      </c>
      <c r="N394" s="784"/>
    </row>
    <row r="395" spans="2:14" x14ac:dyDescent="0.25">
      <c r="B395" s="784"/>
      <c r="C395" s="823">
        <v>13</v>
      </c>
      <c r="D395" s="812" t="s">
        <v>512</v>
      </c>
      <c r="E395" s="813" t="s">
        <v>494</v>
      </c>
      <c r="F395" s="178">
        <v>9.7625144207631187E-2</v>
      </c>
      <c r="G395" s="178">
        <v>0.1331232473651412</v>
      </c>
      <c r="H395" s="178">
        <v>0.16325380514249938</v>
      </c>
      <c r="I395" s="178">
        <v>0.18001258935732439</v>
      </c>
      <c r="J395" s="178">
        <v>0.19028595685592137</v>
      </c>
      <c r="K395" s="178">
        <v>0.1977295052140865</v>
      </c>
      <c r="L395" s="178">
        <v>0.20416090775293197</v>
      </c>
      <c r="M395" s="831">
        <v>0.20490893436680302</v>
      </c>
      <c r="N395" s="784"/>
    </row>
    <row r="396" spans="2:14" x14ac:dyDescent="0.25">
      <c r="B396" s="784"/>
      <c r="C396" s="825">
        <v>13</v>
      </c>
      <c r="D396" s="815" t="s">
        <v>512</v>
      </c>
      <c r="E396" s="816" t="s">
        <v>498</v>
      </c>
      <c r="F396" s="473">
        <v>4.9937923164552936E-2</v>
      </c>
      <c r="G396" s="473">
        <v>7.4907660364964407E-2</v>
      </c>
      <c r="H396" s="473">
        <v>9.6499918138128929E-2</v>
      </c>
      <c r="I396" s="473">
        <v>0.1090447652305583</v>
      </c>
      <c r="J396" s="473">
        <v>0.1168419297553118</v>
      </c>
      <c r="K396" s="473">
        <v>0.12251669256713607</v>
      </c>
      <c r="L396" s="473">
        <v>0.12745262836081572</v>
      </c>
      <c r="M396" s="832">
        <v>0.12802067369042866</v>
      </c>
      <c r="N396" s="784"/>
    </row>
    <row r="397" spans="2:14" x14ac:dyDescent="0.25">
      <c r="B397" s="784"/>
      <c r="C397" s="823">
        <v>14</v>
      </c>
      <c r="D397" s="809" t="s">
        <v>512</v>
      </c>
      <c r="E397" s="818" t="s">
        <v>509</v>
      </c>
      <c r="F397" s="819">
        <v>0.82811149147222884</v>
      </c>
      <c r="G397" s="819">
        <v>0.71221293427249799</v>
      </c>
      <c r="H397" s="819">
        <v>0.5836249262168226</v>
      </c>
      <c r="I397" s="819">
        <v>0.48525507840513976</v>
      </c>
      <c r="J397" s="819">
        <v>0.40731707268630102</v>
      </c>
      <c r="K397" s="819">
        <v>0.33918980915886771</v>
      </c>
      <c r="L397" s="819">
        <v>0.26863101815937956</v>
      </c>
      <c r="M397" s="2918">
        <v>0.2599629082859643</v>
      </c>
      <c r="N397" s="784"/>
    </row>
    <row r="398" spans="2:14" x14ac:dyDescent="0.25">
      <c r="B398" s="784"/>
      <c r="C398" s="823">
        <v>14</v>
      </c>
      <c r="D398" s="812" t="s">
        <v>512</v>
      </c>
      <c r="E398" s="813" t="s">
        <v>510</v>
      </c>
      <c r="F398" s="178">
        <v>1.6856896910674733E-2</v>
      </c>
      <c r="G398" s="178">
        <v>5.2444908306244362E-2</v>
      </c>
      <c r="H398" s="178">
        <v>9.3302322042440489E-2</v>
      </c>
      <c r="I398" s="178">
        <v>0.1264045975008791</v>
      </c>
      <c r="J398" s="178">
        <v>0.15304181539515355</v>
      </c>
      <c r="K398" s="178">
        <v>0.17647201171564647</v>
      </c>
      <c r="L398" s="178">
        <v>0.20087468072726725</v>
      </c>
      <c r="M398" s="831">
        <v>0.20386238142561458</v>
      </c>
      <c r="N398" s="784"/>
    </row>
    <row r="399" spans="2:14" x14ac:dyDescent="0.25">
      <c r="B399" s="784"/>
      <c r="C399" s="823">
        <v>14</v>
      </c>
      <c r="D399" s="812" t="s">
        <v>512</v>
      </c>
      <c r="E399" s="813" t="s">
        <v>511</v>
      </c>
      <c r="F399" s="178">
        <v>2.979649078251996E-2</v>
      </c>
      <c r="G399" s="178">
        <v>6.3853462866398453E-2</v>
      </c>
      <c r="H399" s="178">
        <v>0.10243088710567902</v>
      </c>
      <c r="I399" s="178">
        <v>0.13300721319729744</v>
      </c>
      <c r="J399" s="178">
        <v>0.15746935407540774</v>
      </c>
      <c r="K399" s="178">
        <v>0.17893643533192996</v>
      </c>
      <c r="L399" s="178">
        <v>0.2012482445174828</v>
      </c>
      <c r="M399" s="831">
        <v>0.2039833835577344</v>
      </c>
      <c r="N399" s="784"/>
    </row>
    <row r="400" spans="2:14" x14ac:dyDescent="0.25">
      <c r="B400" s="784"/>
      <c r="C400" s="823">
        <v>14</v>
      </c>
      <c r="D400" s="812" t="s">
        <v>512</v>
      </c>
      <c r="E400" s="813" t="s">
        <v>494</v>
      </c>
      <c r="F400" s="178">
        <v>0.10754249987857754</v>
      </c>
      <c r="G400" s="178">
        <v>0.13240040455492647</v>
      </c>
      <c r="H400" s="178">
        <v>0.15727878337425732</v>
      </c>
      <c r="I400" s="178">
        <v>0.1726782434533897</v>
      </c>
      <c r="J400" s="178">
        <v>0.18407169306049601</v>
      </c>
      <c r="K400" s="178">
        <v>0.19374363119802376</v>
      </c>
      <c r="L400" s="178">
        <v>0.20349275807174938</v>
      </c>
      <c r="M400" s="831">
        <v>0.20471041046117577</v>
      </c>
      <c r="N400" s="784"/>
    </row>
    <row r="401" spans="2:14" x14ac:dyDescent="0.25">
      <c r="B401" s="784"/>
      <c r="C401" s="825">
        <v>14</v>
      </c>
      <c r="D401" s="815" t="s">
        <v>512</v>
      </c>
      <c r="E401" s="816" t="s">
        <v>498</v>
      </c>
      <c r="F401" s="473">
        <v>1.7692620955998887E-2</v>
      </c>
      <c r="G401" s="473">
        <v>3.9088289999932697E-2</v>
      </c>
      <c r="H401" s="473">
        <v>6.336308126080066E-2</v>
      </c>
      <c r="I401" s="473">
        <v>8.2654867443294103E-2</v>
      </c>
      <c r="J401" s="473">
        <v>9.810006478264173E-2</v>
      </c>
      <c r="K401" s="473">
        <v>0.11165811259553197</v>
      </c>
      <c r="L401" s="473">
        <v>0.12575329852412093</v>
      </c>
      <c r="M401" s="832">
        <v>0.12748091626951086</v>
      </c>
      <c r="N401" s="784"/>
    </row>
    <row r="402" spans="2:14" x14ac:dyDescent="0.25">
      <c r="B402" s="784"/>
      <c r="C402" s="823">
        <v>15</v>
      </c>
      <c r="D402" s="817" t="s">
        <v>512</v>
      </c>
      <c r="E402" s="818" t="s">
        <v>509</v>
      </c>
      <c r="F402" s="819">
        <v>0.30467538337064337</v>
      </c>
      <c r="G402" s="819">
        <v>0.27989408925923781</v>
      </c>
      <c r="H402" s="819">
        <v>0.25937802994860731</v>
      </c>
      <c r="I402" s="819">
        <v>0.25538198194880157</v>
      </c>
      <c r="J402" s="819">
        <v>0.25477558412774687</v>
      </c>
      <c r="K402" s="819">
        <v>0.25489045916720049</v>
      </c>
      <c r="L402" s="819">
        <v>0.25595136289736803</v>
      </c>
      <c r="M402" s="2918">
        <v>0.25594121259425623</v>
      </c>
      <c r="N402" s="784"/>
    </row>
    <row r="403" spans="2:14" x14ac:dyDescent="0.25">
      <c r="B403" s="784"/>
      <c r="C403" s="823">
        <v>15</v>
      </c>
      <c r="D403" s="812" t="s">
        <v>512</v>
      </c>
      <c r="E403" s="813" t="s">
        <v>510</v>
      </c>
      <c r="F403" s="178">
        <v>3.7294657113218957E-2</v>
      </c>
      <c r="G403" s="178">
        <v>6.0323069895148088E-2</v>
      </c>
      <c r="H403" s="178">
        <v>9.0335770676703453E-2</v>
      </c>
      <c r="I403" s="178">
        <v>0.1191737529073794</v>
      </c>
      <c r="J403" s="178">
        <v>0.14525895725620769</v>
      </c>
      <c r="K403" s="178">
        <v>0.17060447227684725</v>
      </c>
      <c r="L403" s="178">
        <v>0.19972152116782155</v>
      </c>
      <c r="M403" s="831">
        <v>0.203456564852287</v>
      </c>
      <c r="N403" s="784"/>
    </row>
    <row r="404" spans="2:14" x14ac:dyDescent="0.25">
      <c r="B404" s="784"/>
      <c r="C404" s="823">
        <v>15</v>
      </c>
      <c r="D404" s="812" t="s">
        <v>512</v>
      </c>
      <c r="E404" s="813" t="s">
        <v>511</v>
      </c>
      <c r="F404" s="178">
        <v>0.17585901717535049</v>
      </c>
      <c r="G404" s="178">
        <v>0.18436714105190644</v>
      </c>
      <c r="H404" s="178">
        <v>0.19254129246938045</v>
      </c>
      <c r="I404" s="178">
        <v>0.19650745789465573</v>
      </c>
      <c r="J404" s="178">
        <v>0.19935086285368644</v>
      </c>
      <c r="K404" s="178">
        <v>0.20193946487610384</v>
      </c>
      <c r="L404" s="178">
        <v>0.20468346498971551</v>
      </c>
      <c r="M404" s="831">
        <v>0.20507163324163169</v>
      </c>
      <c r="N404" s="784"/>
    </row>
    <row r="405" spans="2:14" x14ac:dyDescent="0.25">
      <c r="B405" s="784"/>
      <c r="C405" s="823">
        <v>15</v>
      </c>
      <c r="D405" s="812" t="s">
        <v>512</v>
      </c>
      <c r="E405" s="813" t="s">
        <v>494</v>
      </c>
      <c r="F405" s="178">
        <v>0.42600622760790863</v>
      </c>
      <c r="G405" s="178">
        <v>0.40830119131308057</v>
      </c>
      <c r="H405" s="178">
        <v>0.37705068691812826</v>
      </c>
      <c r="I405" s="178">
        <v>0.33611630512136992</v>
      </c>
      <c r="J405" s="178">
        <v>0.29700179766927237</v>
      </c>
      <c r="K405" s="178">
        <v>0.25850784208445832</v>
      </c>
      <c r="L405" s="178">
        <v>0.21364115371150028</v>
      </c>
      <c r="M405" s="831">
        <v>0.20798728090219329</v>
      </c>
      <c r="N405" s="784"/>
    </row>
    <row r="406" spans="2:14" x14ac:dyDescent="0.25">
      <c r="B406" s="784"/>
      <c r="C406" s="825">
        <v>15</v>
      </c>
      <c r="D406" s="815" t="s">
        <v>512</v>
      </c>
      <c r="E406" s="816" t="s">
        <v>498</v>
      </c>
      <c r="F406" s="473">
        <v>5.616471473287854E-2</v>
      </c>
      <c r="G406" s="473">
        <v>6.7114508480627069E-2</v>
      </c>
      <c r="H406" s="473">
        <v>8.0694219987180682E-2</v>
      </c>
      <c r="I406" s="473">
        <v>9.2820502127793358E-2</v>
      </c>
      <c r="J406" s="473">
        <v>0.10361279809308675</v>
      </c>
      <c r="K406" s="473">
        <v>0.11405776159539016</v>
      </c>
      <c r="L406" s="473">
        <v>0.12600249723359455</v>
      </c>
      <c r="M406" s="832">
        <v>0.12754330840963171</v>
      </c>
      <c r="N406" s="784"/>
    </row>
    <row r="407" spans="2:14" x14ac:dyDescent="0.25">
      <c r="B407" s="784"/>
      <c r="C407" s="800"/>
      <c r="D407" s="812"/>
      <c r="E407" s="813"/>
      <c r="F407" s="178"/>
      <c r="G407" s="178"/>
      <c r="H407" s="178"/>
      <c r="I407" s="178"/>
      <c r="J407" s="178"/>
      <c r="K407" s="178"/>
      <c r="L407" s="178"/>
      <c r="M407" s="178"/>
      <c r="N407" s="784"/>
    </row>
    <row r="408" spans="2:14" x14ac:dyDescent="0.25">
      <c r="B408" s="784"/>
      <c r="C408" s="2897" t="s">
        <v>8</v>
      </c>
      <c r="D408" s="805"/>
      <c r="E408" s="813"/>
      <c r="F408" s="178"/>
      <c r="G408" s="178"/>
      <c r="H408" s="178"/>
      <c r="I408" s="178"/>
      <c r="J408" s="178"/>
      <c r="K408" s="178"/>
      <c r="L408" s="178"/>
      <c r="M408" s="178"/>
      <c r="N408" s="784"/>
    </row>
    <row r="409" spans="2:14" x14ac:dyDescent="0.25">
      <c r="B409" s="784"/>
      <c r="C409" s="2897" t="s">
        <v>1038</v>
      </c>
      <c r="D409" s="2896" t="s">
        <v>1987</v>
      </c>
      <c r="E409" s="813"/>
      <c r="F409" s="178"/>
      <c r="G409" s="178"/>
      <c r="H409" s="178"/>
      <c r="I409" s="178"/>
      <c r="J409" s="178"/>
      <c r="K409" s="178"/>
      <c r="L409" s="178"/>
      <c r="M409" s="178"/>
      <c r="N409" s="784"/>
    </row>
    <row r="410" spans="2:14" x14ac:dyDescent="0.25">
      <c r="B410" s="784"/>
      <c r="C410" s="800"/>
      <c r="D410" s="2912" t="s">
        <v>2001</v>
      </c>
      <c r="E410" s="813"/>
      <c r="F410" s="178"/>
      <c r="G410" s="178"/>
      <c r="H410" s="178"/>
      <c r="I410" s="178"/>
      <c r="J410" s="178"/>
      <c r="K410" s="178"/>
      <c r="L410" s="178"/>
      <c r="M410" s="178"/>
      <c r="N410" s="784"/>
    </row>
    <row r="411" spans="2:14" x14ac:dyDescent="0.25">
      <c r="B411" s="784"/>
      <c r="C411" s="800"/>
      <c r="D411" s="2912"/>
      <c r="E411" s="813"/>
      <c r="F411" s="178"/>
      <c r="G411" s="178"/>
      <c r="H411" s="178"/>
      <c r="I411" s="178"/>
      <c r="J411" s="178"/>
      <c r="K411" s="178"/>
      <c r="L411" s="178"/>
      <c r="M411" s="178"/>
      <c r="N411" s="784"/>
    </row>
    <row r="412" spans="2:14" x14ac:dyDescent="0.25">
      <c r="B412" s="784"/>
      <c r="C412" s="800"/>
      <c r="D412" s="2912"/>
      <c r="E412" s="813"/>
      <c r="F412" s="178"/>
      <c r="G412" s="178"/>
      <c r="H412" s="178"/>
      <c r="I412" s="178"/>
      <c r="J412" s="178"/>
      <c r="K412" s="178"/>
      <c r="L412" s="178"/>
      <c r="M412" s="178"/>
      <c r="N412" s="784"/>
    </row>
    <row r="413" spans="2:14" x14ac:dyDescent="0.25">
      <c r="B413" s="784"/>
      <c r="C413" s="785" t="s">
        <v>2015</v>
      </c>
      <c r="D413" s="2912"/>
      <c r="E413" s="813"/>
      <c r="F413" s="178"/>
      <c r="G413" s="178"/>
      <c r="H413" s="178"/>
      <c r="I413" s="178"/>
      <c r="J413" s="178"/>
      <c r="K413" s="178"/>
      <c r="L413" s="178"/>
      <c r="M413" s="178"/>
      <c r="N413" s="784"/>
    </row>
    <row r="414" spans="2:14" x14ac:dyDescent="0.25">
      <c r="B414" s="784"/>
      <c r="C414" s="800"/>
      <c r="D414" s="2912"/>
      <c r="E414" s="813"/>
      <c r="F414" s="178"/>
      <c r="G414" s="178"/>
      <c r="H414" s="178"/>
      <c r="I414" s="178"/>
      <c r="J414" s="178"/>
      <c r="K414" s="178"/>
      <c r="L414" s="178"/>
      <c r="M414" s="178"/>
      <c r="N414" s="784"/>
    </row>
    <row r="415" spans="2:14" x14ac:dyDescent="0.25">
      <c r="B415" s="784"/>
      <c r="C415" s="821" t="s">
        <v>507</v>
      </c>
      <c r="D415" s="2941" t="s">
        <v>2016</v>
      </c>
      <c r="E415" s="813"/>
      <c r="F415" s="178"/>
      <c r="G415" s="178"/>
      <c r="H415" s="178"/>
      <c r="I415" s="178"/>
      <c r="J415" s="178"/>
      <c r="K415" s="178"/>
      <c r="L415" s="178"/>
      <c r="M415" s="178"/>
      <c r="N415" s="784"/>
    </row>
    <row r="416" spans="2:14" x14ac:dyDescent="0.25">
      <c r="B416" s="784"/>
      <c r="C416" s="2920">
        <v>1</v>
      </c>
      <c r="D416" s="2939">
        <v>1.8400825027442875</v>
      </c>
      <c r="E416" s="813"/>
      <c r="F416" s="178"/>
      <c r="G416" s="178"/>
      <c r="H416" s="178"/>
      <c r="I416" s="178"/>
      <c r="J416" s="178"/>
      <c r="K416" s="178"/>
      <c r="L416" s="178"/>
      <c r="M416" s="178"/>
      <c r="N416" s="784"/>
    </row>
    <row r="417" spans="2:14" x14ac:dyDescent="0.25">
      <c r="B417" s="784"/>
      <c r="C417" s="2920">
        <v>2</v>
      </c>
      <c r="D417" s="2939">
        <v>1.853973137915468</v>
      </c>
      <c r="E417" s="813"/>
      <c r="F417" s="178"/>
      <c r="G417" s="178"/>
      <c r="H417" s="178"/>
      <c r="I417" s="178"/>
      <c r="J417" s="178"/>
      <c r="K417" s="178"/>
      <c r="L417" s="178"/>
      <c r="M417" s="178"/>
      <c r="N417" s="784"/>
    </row>
    <row r="418" spans="2:14" x14ac:dyDescent="0.25">
      <c r="B418" s="784"/>
      <c r="C418" s="2920">
        <v>3</v>
      </c>
      <c r="D418" s="2939">
        <v>1.6869316641811007</v>
      </c>
      <c r="E418" s="813"/>
      <c r="F418" s="178"/>
      <c r="G418" s="178"/>
      <c r="H418" s="178"/>
      <c r="I418" s="178"/>
      <c r="J418" s="178"/>
      <c r="K418" s="178"/>
      <c r="L418" s="178"/>
      <c r="M418" s="178"/>
      <c r="N418" s="784"/>
    </row>
    <row r="419" spans="2:14" x14ac:dyDescent="0.25">
      <c r="B419" s="784"/>
      <c r="C419" s="2920">
        <v>4</v>
      </c>
      <c r="D419" s="2939">
        <v>1.9586572828430726</v>
      </c>
      <c r="E419" s="813"/>
      <c r="F419" s="178"/>
      <c r="G419" s="178"/>
      <c r="H419" s="178"/>
      <c r="I419" s="178"/>
      <c r="J419" s="178"/>
      <c r="K419" s="178"/>
      <c r="L419" s="178"/>
      <c r="M419" s="178"/>
      <c r="N419" s="784"/>
    </row>
    <row r="420" spans="2:14" x14ac:dyDescent="0.25">
      <c r="B420" s="784"/>
      <c r="C420" s="2920">
        <v>5</v>
      </c>
      <c r="D420" s="2939">
        <v>3.0869126523374009</v>
      </c>
      <c r="E420" s="813"/>
      <c r="F420" s="178"/>
      <c r="G420" s="178"/>
      <c r="H420" s="178"/>
      <c r="I420" s="178"/>
      <c r="J420" s="178"/>
      <c r="K420" s="178"/>
      <c r="L420" s="178"/>
      <c r="M420" s="178"/>
      <c r="N420" s="784"/>
    </row>
    <row r="421" spans="2:14" x14ac:dyDescent="0.25">
      <c r="B421" s="784"/>
      <c r="C421" s="2920">
        <v>6</v>
      </c>
      <c r="D421" s="2939">
        <v>2.4323892569261822</v>
      </c>
      <c r="E421" s="813"/>
      <c r="F421" s="178"/>
      <c r="G421" s="178"/>
      <c r="H421" s="178"/>
      <c r="I421" s="178"/>
      <c r="J421" s="178"/>
      <c r="K421" s="178"/>
      <c r="L421" s="178"/>
      <c r="M421" s="178"/>
      <c r="N421" s="784"/>
    </row>
    <row r="422" spans="2:14" x14ac:dyDescent="0.25">
      <c r="B422" s="784"/>
      <c r="C422" s="2920">
        <v>7</v>
      </c>
      <c r="D422" s="2939">
        <v>2.77881721193783</v>
      </c>
      <c r="E422" s="813"/>
      <c r="F422" s="178"/>
      <c r="G422" s="178"/>
      <c r="H422" s="178"/>
      <c r="I422" s="178"/>
      <c r="J422" s="178"/>
      <c r="K422" s="178"/>
      <c r="L422" s="178"/>
      <c r="M422" s="178"/>
      <c r="N422" s="784"/>
    </row>
    <row r="423" spans="2:14" x14ac:dyDescent="0.25">
      <c r="B423" s="784"/>
      <c r="C423" s="2920">
        <v>8</v>
      </c>
      <c r="D423" s="2939">
        <v>3.1813955403602865</v>
      </c>
      <c r="E423" s="813"/>
      <c r="F423" s="178"/>
      <c r="G423" s="178"/>
      <c r="H423" s="178"/>
      <c r="I423" s="178"/>
      <c r="J423" s="178"/>
      <c r="K423" s="178"/>
      <c r="L423" s="178"/>
      <c r="M423" s="178"/>
      <c r="N423" s="784"/>
    </row>
    <row r="424" spans="2:14" x14ac:dyDescent="0.25">
      <c r="B424" s="784"/>
      <c r="C424" s="2920">
        <v>9</v>
      </c>
      <c r="D424" s="2939">
        <v>4</v>
      </c>
      <c r="E424" s="813"/>
      <c r="F424" s="178"/>
      <c r="G424" s="178"/>
      <c r="H424" s="178"/>
      <c r="I424" s="178"/>
      <c r="J424" s="178"/>
      <c r="K424" s="178"/>
      <c r="L424" s="178"/>
      <c r="M424" s="178"/>
      <c r="N424" s="784"/>
    </row>
    <row r="425" spans="2:14" x14ac:dyDescent="0.25">
      <c r="B425" s="784"/>
      <c r="C425" s="2920">
        <v>10</v>
      </c>
      <c r="D425" s="2939">
        <v>4</v>
      </c>
      <c r="E425" s="813"/>
      <c r="F425" s="178"/>
      <c r="G425" s="178"/>
      <c r="H425" s="178"/>
      <c r="I425" s="178"/>
      <c r="J425" s="178"/>
      <c r="K425" s="178"/>
      <c r="L425" s="178"/>
      <c r="M425" s="178"/>
      <c r="N425" s="784"/>
    </row>
    <row r="426" spans="2:14" x14ac:dyDescent="0.25">
      <c r="B426" s="784"/>
      <c r="C426" s="2920">
        <v>11</v>
      </c>
      <c r="D426" s="2939">
        <v>2.3035400005914837</v>
      </c>
      <c r="E426" s="813"/>
      <c r="F426" s="178"/>
      <c r="G426" s="178"/>
      <c r="H426" s="178"/>
      <c r="I426" s="178"/>
      <c r="J426" s="178"/>
      <c r="K426" s="178"/>
      <c r="L426" s="178"/>
      <c r="M426" s="178"/>
      <c r="N426" s="784"/>
    </row>
    <row r="427" spans="2:14" x14ac:dyDescent="0.25">
      <c r="B427" s="784"/>
      <c r="C427" s="2920">
        <v>12</v>
      </c>
      <c r="D427" s="2939">
        <v>1.708616801745737</v>
      </c>
      <c r="E427" s="813"/>
      <c r="F427" s="178"/>
      <c r="G427" s="178"/>
      <c r="H427" s="178"/>
      <c r="I427" s="178"/>
      <c r="J427" s="178"/>
      <c r="K427" s="178"/>
      <c r="L427" s="178"/>
      <c r="M427" s="178"/>
      <c r="N427" s="784"/>
    </row>
    <row r="428" spans="2:14" x14ac:dyDescent="0.25">
      <c r="B428" s="784"/>
      <c r="C428" s="2920">
        <v>13</v>
      </c>
      <c r="D428" s="2939">
        <v>2.3761081730538547</v>
      </c>
      <c r="E428" s="813"/>
      <c r="F428" s="178"/>
      <c r="G428" s="178"/>
      <c r="H428" s="178"/>
      <c r="I428" s="178"/>
      <c r="J428" s="178"/>
      <c r="K428" s="178"/>
      <c r="L428" s="178"/>
      <c r="M428" s="178"/>
      <c r="N428" s="784"/>
    </row>
    <row r="429" spans="2:14" x14ac:dyDescent="0.25">
      <c r="B429" s="784"/>
      <c r="C429" s="2920">
        <v>14</v>
      </c>
      <c r="D429" s="2939">
        <v>4</v>
      </c>
      <c r="E429" s="813"/>
      <c r="F429" s="178"/>
      <c r="G429" s="178"/>
      <c r="H429" s="178"/>
      <c r="I429" s="178"/>
      <c r="J429" s="178"/>
      <c r="K429" s="178"/>
      <c r="L429" s="178"/>
      <c r="M429" s="178"/>
      <c r="N429" s="784"/>
    </row>
    <row r="430" spans="2:14" x14ac:dyDescent="0.25">
      <c r="B430" s="784"/>
      <c r="C430" s="2921">
        <v>15</v>
      </c>
      <c r="D430" s="2940">
        <v>1.8400825027442875</v>
      </c>
      <c r="E430" s="813"/>
      <c r="F430" s="178"/>
      <c r="G430" s="178"/>
      <c r="H430" s="178"/>
      <c r="I430" s="178"/>
      <c r="J430" s="178"/>
      <c r="K430" s="178"/>
      <c r="L430" s="178"/>
      <c r="M430" s="178"/>
      <c r="N430" s="784"/>
    </row>
    <row r="431" spans="2:14" x14ac:dyDescent="0.25">
      <c r="B431" s="784"/>
      <c r="C431" s="800"/>
      <c r="D431" s="2912"/>
      <c r="E431" s="813"/>
      <c r="F431" s="178"/>
      <c r="G431" s="178"/>
      <c r="H431" s="178"/>
      <c r="I431" s="178"/>
      <c r="J431" s="178"/>
      <c r="K431" s="178"/>
      <c r="L431" s="178"/>
      <c r="M431" s="178"/>
      <c r="N431" s="784"/>
    </row>
    <row r="432" spans="2:14" x14ac:dyDescent="0.25">
      <c r="B432" s="784"/>
      <c r="C432" s="2897" t="s">
        <v>8</v>
      </c>
      <c r="D432" s="805"/>
      <c r="E432" s="813"/>
      <c r="F432" s="178"/>
      <c r="G432" s="178"/>
      <c r="H432" s="178"/>
      <c r="I432" s="178"/>
      <c r="J432" s="178"/>
      <c r="K432" s="178"/>
      <c r="L432" s="178"/>
      <c r="M432" s="178"/>
      <c r="N432" s="784"/>
    </row>
    <row r="433" spans="2:14" x14ac:dyDescent="0.25">
      <c r="B433" s="784"/>
      <c r="C433" s="2897" t="s">
        <v>1039</v>
      </c>
      <c r="D433" s="2896" t="s">
        <v>2017</v>
      </c>
      <c r="E433" s="813"/>
      <c r="F433" s="178"/>
      <c r="G433" s="178"/>
      <c r="H433" s="178"/>
      <c r="I433" s="178"/>
      <c r="J433" s="178"/>
      <c r="K433" s="178"/>
      <c r="L433" s="178"/>
      <c r="M433" s="178"/>
      <c r="N433" s="784"/>
    </row>
    <row r="434" spans="2:14" x14ac:dyDescent="0.25">
      <c r="B434" s="784"/>
      <c r="C434" s="800"/>
      <c r="D434" s="2912" t="s">
        <v>2001</v>
      </c>
      <c r="E434" s="813"/>
      <c r="F434" s="178"/>
      <c r="G434" s="178"/>
      <c r="H434" s="178"/>
      <c r="I434" s="178"/>
      <c r="J434" s="178"/>
      <c r="K434" s="178"/>
      <c r="L434" s="178"/>
      <c r="M434" s="178"/>
      <c r="N434" s="784"/>
    </row>
    <row r="435" spans="2:14" x14ac:dyDescent="0.25">
      <c r="B435" s="784"/>
      <c r="C435" s="800"/>
      <c r="D435" s="2912"/>
      <c r="E435" s="813"/>
      <c r="F435" s="178"/>
      <c r="G435" s="178"/>
      <c r="H435" s="178"/>
      <c r="I435" s="178"/>
      <c r="J435" s="178"/>
      <c r="K435" s="178"/>
      <c r="L435" s="178"/>
      <c r="M435" s="178"/>
      <c r="N435" s="784"/>
    </row>
    <row r="436" spans="2:14" x14ac:dyDescent="0.25">
      <c r="B436" s="784"/>
      <c r="C436" s="800"/>
      <c r="D436" s="2912"/>
      <c r="E436" s="813"/>
      <c r="F436" s="178"/>
      <c r="G436" s="178"/>
      <c r="H436" s="178"/>
      <c r="I436" s="178"/>
      <c r="J436" s="178"/>
      <c r="K436" s="178"/>
      <c r="L436" s="178"/>
      <c r="M436" s="178"/>
      <c r="N436" s="784"/>
    </row>
    <row r="437" spans="2:14" x14ac:dyDescent="0.25">
      <c r="B437" s="784"/>
      <c r="C437" s="808" t="s">
        <v>2002</v>
      </c>
      <c r="D437" s="824"/>
      <c r="E437" s="824"/>
      <c r="F437" s="178"/>
      <c r="G437" s="178"/>
      <c r="H437" s="178"/>
      <c r="I437" s="178"/>
      <c r="J437" s="178"/>
      <c r="K437" s="178"/>
      <c r="L437" s="178"/>
      <c r="M437" s="827" t="s">
        <v>190</v>
      </c>
      <c r="N437" s="784"/>
    </row>
    <row r="438" spans="2:14" x14ac:dyDescent="0.25">
      <c r="B438" s="784"/>
      <c r="C438" s="808"/>
      <c r="D438" s="824"/>
      <c r="E438" s="824"/>
      <c r="F438" s="178"/>
      <c r="G438" s="178"/>
      <c r="H438" s="178"/>
      <c r="I438" s="178"/>
      <c r="J438" s="178"/>
      <c r="K438" s="178"/>
      <c r="L438" s="178"/>
      <c r="M438" s="827"/>
      <c r="N438" s="784"/>
    </row>
    <row r="439" spans="2:14" x14ac:dyDescent="0.25">
      <c r="B439" s="784"/>
      <c r="C439" s="2914" t="s">
        <v>507</v>
      </c>
      <c r="D439" s="828" t="s">
        <v>8</v>
      </c>
      <c r="E439" s="2915" t="s">
        <v>1040</v>
      </c>
      <c r="F439" s="828">
        <v>2015</v>
      </c>
      <c r="G439" s="829">
        <v>2020</v>
      </c>
      <c r="H439" s="828">
        <v>2025</v>
      </c>
      <c r="I439" s="828">
        <v>2030</v>
      </c>
      <c r="J439" s="828">
        <v>2035</v>
      </c>
      <c r="K439" s="828">
        <v>2040</v>
      </c>
      <c r="L439" s="828">
        <v>2045</v>
      </c>
      <c r="M439" s="830">
        <v>2050</v>
      </c>
      <c r="N439" s="784"/>
    </row>
    <row r="440" spans="2:14" x14ac:dyDescent="0.25">
      <c r="B440" s="784"/>
      <c r="C440" s="823">
        <v>1</v>
      </c>
      <c r="D440" s="824"/>
      <c r="E440" s="824"/>
      <c r="F440" s="833">
        <v>7.2377880347956778E-3</v>
      </c>
      <c r="G440" s="833">
        <v>7.2377880347956778E-3</v>
      </c>
      <c r="H440" s="833">
        <v>7.2377880347956787E-3</v>
      </c>
      <c r="I440" s="833">
        <v>7.2377880347956787E-3</v>
      </c>
      <c r="J440" s="833">
        <v>7.237788034795677E-3</v>
      </c>
      <c r="K440" s="833">
        <v>7.2377880347956778E-3</v>
      </c>
      <c r="L440" s="833">
        <v>7.2377880347956787E-3</v>
      </c>
      <c r="M440" s="834">
        <v>7.2377880347956804E-3</v>
      </c>
      <c r="N440" s="784"/>
    </row>
    <row r="441" spans="2:14" x14ac:dyDescent="0.25">
      <c r="B441" s="784"/>
      <c r="C441" s="823">
        <v>2</v>
      </c>
      <c r="D441" s="824"/>
      <c r="E441" s="824"/>
      <c r="F441" s="833">
        <v>1.2247119482651194E-2</v>
      </c>
      <c r="G441" s="833">
        <v>1.2247119482651194E-2</v>
      </c>
      <c r="H441" s="833">
        <v>1.2247119482651194E-2</v>
      </c>
      <c r="I441" s="833">
        <v>1.2247119482651194E-2</v>
      </c>
      <c r="J441" s="833">
        <v>1.2247119482651192E-2</v>
      </c>
      <c r="K441" s="833">
        <v>1.2247119482651192E-2</v>
      </c>
      <c r="L441" s="833">
        <v>1.2247119482651194E-2</v>
      </c>
      <c r="M441" s="834">
        <v>1.2247119482651196E-2</v>
      </c>
      <c r="N441" s="784"/>
    </row>
    <row r="442" spans="2:14" x14ac:dyDescent="0.25">
      <c r="B442" s="784"/>
      <c r="C442" s="823">
        <v>3</v>
      </c>
      <c r="D442" s="824"/>
      <c r="E442" s="824"/>
      <c r="F442" s="833">
        <v>7.2375448453161316E-3</v>
      </c>
      <c r="G442" s="833">
        <v>7.2375448453161316E-3</v>
      </c>
      <c r="H442" s="833">
        <v>7.2375448453161333E-3</v>
      </c>
      <c r="I442" s="833">
        <v>7.2375448453161325E-3</v>
      </c>
      <c r="J442" s="833">
        <v>7.2375448453161307E-3</v>
      </c>
      <c r="K442" s="833">
        <v>7.2375448453161325E-3</v>
      </c>
      <c r="L442" s="833">
        <v>7.2375448453161325E-3</v>
      </c>
      <c r="M442" s="834">
        <v>7.2375448453161333E-3</v>
      </c>
      <c r="N442" s="784"/>
    </row>
    <row r="443" spans="2:14" x14ac:dyDescent="0.25">
      <c r="B443" s="784"/>
      <c r="C443" s="823">
        <v>4</v>
      </c>
      <c r="D443" s="824"/>
      <c r="E443" s="824"/>
      <c r="F443" s="833">
        <v>1.5860883931339692E-2</v>
      </c>
      <c r="G443" s="833">
        <v>1.5860883931339692E-2</v>
      </c>
      <c r="H443" s="833">
        <v>1.5860883931339692E-2</v>
      </c>
      <c r="I443" s="833">
        <v>1.5860883931339692E-2</v>
      </c>
      <c r="J443" s="833">
        <v>1.5860883931339689E-2</v>
      </c>
      <c r="K443" s="833">
        <v>1.5860883931339692E-2</v>
      </c>
      <c r="L443" s="833">
        <v>1.5860883931339692E-2</v>
      </c>
      <c r="M443" s="834">
        <v>1.5860883931339692E-2</v>
      </c>
      <c r="N443" s="784"/>
    </row>
    <row r="444" spans="2:14" x14ac:dyDescent="0.25">
      <c r="B444" s="784"/>
      <c r="C444" s="823">
        <v>5</v>
      </c>
      <c r="D444" s="824"/>
      <c r="E444" s="824"/>
      <c r="F444" s="833">
        <v>7.1620105957268809E-2</v>
      </c>
      <c r="G444" s="833">
        <v>7.1620105957268795E-2</v>
      </c>
      <c r="H444" s="833">
        <v>7.1620105957268809E-2</v>
      </c>
      <c r="I444" s="833">
        <v>7.1620105957268823E-2</v>
      </c>
      <c r="J444" s="833">
        <v>7.1620105957268795E-2</v>
      </c>
      <c r="K444" s="833">
        <v>7.1620105957268809E-2</v>
      </c>
      <c r="L444" s="833">
        <v>7.1620105957268823E-2</v>
      </c>
      <c r="M444" s="834">
        <v>7.1620105957268823E-2</v>
      </c>
      <c r="N444" s="784"/>
    </row>
    <row r="445" spans="2:14" x14ac:dyDescent="0.25">
      <c r="B445" s="784"/>
      <c r="C445" s="823">
        <v>6</v>
      </c>
      <c r="D445" s="824"/>
      <c r="E445" s="824"/>
      <c r="F445" s="833">
        <v>4.3209078457588854E-2</v>
      </c>
      <c r="G445" s="833">
        <v>4.3209078457588847E-2</v>
      </c>
      <c r="H445" s="833">
        <v>4.3209078457588854E-2</v>
      </c>
      <c r="I445" s="833">
        <v>4.3209078457588854E-2</v>
      </c>
      <c r="J445" s="833">
        <v>4.320907845758884E-2</v>
      </c>
      <c r="K445" s="833">
        <v>4.3209078457588847E-2</v>
      </c>
      <c r="L445" s="833">
        <v>4.3209078457588854E-2</v>
      </c>
      <c r="M445" s="834">
        <v>4.3209078457588861E-2</v>
      </c>
      <c r="N445" s="784"/>
    </row>
    <row r="446" spans="2:14" x14ac:dyDescent="0.25">
      <c r="B446" s="784"/>
      <c r="C446" s="823">
        <v>7</v>
      </c>
      <c r="D446" s="824"/>
      <c r="E446" s="824"/>
      <c r="F446" s="833">
        <v>5.1871084006889077E-2</v>
      </c>
      <c r="G446" s="833">
        <v>5.1871084006889077E-2</v>
      </c>
      <c r="H446" s="833">
        <v>5.1871084006889091E-2</v>
      </c>
      <c r="I446" s="833">
        <v>5.1871084006889084E-2</v>
      </c>
      <c r="J446" s="833">
        <v>5.1871084006889071E-2</v>
      </c>
      <c r="K446" s="833">
        <v>5.1871084006889084E-2</v>
      </c>
      <c r="L446" s="833">
        <v>5.1871084006889077E-2</v>
      </c>
      <c r="M446" s="834">
        <v>5.1871084006889091E-2</v>
      </c>
      <c r="N446" s="784"/>
    </row>
    <row r="447" spans="2:14" x14ac:dyDescent="0.25">
      <c r="B447" s="784"/>
      <c r="C447" s="823">
        <v>8</v>
      </c>
      <c r="D447" s="824"/>
      <c r="E447" s="824"/>
      <c r="F447" s="833">
        <v>0.12992831021108944</v>
      </c>
      <c r="G447" s="833">
        <v>0.12992831021108944</v>
      </c>
      <c r="H447" s="833">
        <v>0.12992831021108947</v>
      </c>
      <c r="I447" s="833">
        <v>0.12992831021108947</v>
      </c>
      <c r="J447" s="833">
        <v>0.12992831021108942</v>
      </c>
      <c r="K447" s="833">
        <v>0.12992831021108944</v>
      </c>
      <c r="L447" s="833">
        <v>0.12992831021108947</v>
      </c>
      <c r="M447" s="834">
        <v>0.12992831021108944</v>
      </c>
      <c r="N447" s="784"/>
    </row>
    <row r="448" spans="2:14" x14ac:dyDescent="0.25">
      <c r="B448" s="784"/>
      <c r="C448" s="823">
        <v>9</v>
      </c>
      <c r="D448" s="824"/>
      <c r="E448" s="824"/>
      <c r="F448" s="833">
        <v>7.5596676808890942E-2</v>
      </c>
      <c r="G448" s="833">
        <v>7.5596676808890942E-2</v>
      </c>
      <c r="H448" s="833">
        <v>7.5596676808890956E-2</v>
      </c>
      <c r="I448" s="833">
        <v>7.5596676808890942E-2</v>
      </c>
      <c r="J448" s="833">
        <v>7.5596676808890928E-2</v>
      </c>
      <c r="K448" s="833">
        <v>7.5596676808890942E-2</v>
      </c>
      <c r="L448" s="833">
        <v>7.5596676808890956E-2</v>
      </c>
      <c r="M448" s="834">
        <v>7.5596676808890956E-2</v>
      </c>
      <c r="N448" s="784"/>
    </row>
    <row r="449" spans="2:14" x14ac:dyDescent="0.25">
      <c r="B449" s="784"/>
      <c r="C449" s="823">
        <v>10</v>
      </c>
      <c r="D449" s="824"/>
      <c r="E449" s="824"/>
      <c r="F449" s="833">
        <v>0.1305547131680414</v>
      </c>
      <c r="G449" s="833">
        <v>0.1305547131680414</v>
      </c>
      <c r="H449" s="833">
        <v>0.13055471316804143</v>
      </c>
      <c r="I449" s="833">
        <v>0.13055471316804143</v>
      </c>
      <c r="J449" s="833">
        <v>0.1305547131680414</v>
      </c>
      <c r="K449" s="833">
        <v>0.1305547131680414</v>
      </c>
      <c r="L449" s="833">
        <v>0.13055471316804143</v>
      </c>
      <c r="M449" s="834">
        <v>0.1305547131680414</v>
      </c>
      <c r="N449" s="784"/>
    </row>
    <row r="450" spans="2:14" x14ac:dyDescent="0.25">
      <c r="B450" s="784"/>
      <c r="C450" s="823">
        <v>11</v>
      </c>
      <c r="D450" s="824"/>
      <c r="E450" s="824"/>
      <c r="F450" s="833">
        <v>2.4159638083945931E-2</v>
      </c>
      <c r="G450" s="833">
        <v>2.4159638083945927E-2</v>
      </c>
      <c r="H450" s="833">
        <v>2.4159638083945931E-2</v>
      </c>
      <c r="I450" s="833">
        <v>2.4159638083945931E-2</v>
      </c>
      <c r="J450" s="833">
        <v>2.4159638083945927E-2</v>
      </c>
      <c r="K450" s="833">
        <v>2.4159638083945931E-2</v>
      </c>
      <c r="L450" s="833">
        <v>2.4159638083945934E-2</v>
      </c>
      <c r="M450" s="834">
        <v>2.4159638083945934E-2</v>
      </c>
      <c r="N450" s="784"/>
    </row>
    <row r="451" spans="2:14" x14ac:dyDescent="0.25">
      <c r="B451" s="784"/>
      <c r="C451" s="823">
        <v>12</v>
      </c>
      <c r="D451" s="824"/>
      <c r="E451" s="824"/>
      <c r="F451" s="833">
        <v>6.2318090506078498E-2</v>
      </c>
      <c r="G451" s="833">
        <v>6.2318090506078484E-2</v>
      </c>
      <c r="H451" s="833">
        <v>6.2318090506078498E-2</v>
      </c>
      <c r="I451" s="833">
        <v>6.2318090506078484E-2</v>
      </c>
      <c r="J451" s="833">
        <v>6.2318090506078484E-2</v>
      </c>
      <c r="K451" s="833">
        <v>6.2318090506078484E-2</v>
      </c>
      <c r="L451" s="833">
        <v>6.2318090506078498E-2</v>
      </c>
      <c r="M451" s="834">
        <v>6.2318090506078498E-2</v>
      </c>
      <c r="N451" s="784"/>
    </row>
    <row r="452" spans="2:14" x14ac:dyDescent="0.25">
      <c r="B452" s="784"/>
      <c r="C452" s="823">
        <v>13</v>
      </c>
      <c r="D452" s="824"/>
      <c r="E452" s="824"/>
      <c r="F452" s="833">
        <v>0.31266522326203472</v>
      </c>
      <c r="G452" s="833">
        <v>0.31266522326203472</v>
      </c>
      <c r="H452" s="833">
        <v>0.31266522326203472</v>
      </c>
      <c r="I452" s="833">
        <v>0.31266522326203472</v>
      </c>
      <c r="J452" s="833">
        <v>0.31266522326203466</v>
      </c>
      <c r="K452" s="833">
        <v>0.31266522326203472</v>
      </c>
      <c r="L452" s="833">
        <v>0.31266522326203472</v>
      </c>
      <c r="M452" s="834">
        <v>0.31266522326203477</v>
      </c>
      <c r="N452" s="784"/>
    </row>
    <row r="453" spans="2:14" x14ac:dyDescent="0.25">
      <c r="B453" s="784"/>
      <c r="C453" s="823">
        <v>14</v>
      </c>
      <c r="D453" s="824"/>
      <c r="E453" s="824"/>
      <c r="F453" s="833">
        <v>5.1371644210241006E-2</v>
      </c>
      <c r="G453" s="833">
        <v>5.1371644210241006E-2</v>
      </c>
      <c r="H453" s="833">
        <v>5.1371644210241006E-2</v>
      </c>
      <c r="I453" s="833">
        <v>5.1371644210240999E-2</v>
      </c>
      <c r="J453" s="833">
        <v>5.1371644210240999E-2</v>
      </c>
      <c r="K453" s="833">
        <v>5.1371644210240999E-2</v>
      </c>
      <c r="L453" s="833">
        <v>5.1371644210241006E-2</v>
      </c>
      <c r="M453" s="834">
        <v>5.1371644210241013E-2</v>
      </c>
      <c r="N453" s="784"/>
    </row>
    <row r="454" spans="2:14" x14ac:dyDescent="0.25">
      <c r="B454" s="784"/>
      <c r="C454" s="825">
        <v>15</v>
      </c>
      <c r="D454" s="826"/>
      <c r="E454" s="826"/>
      <c r="F454" s="835">
        <v>4.1220990338285335E-3</v>
      </c>
      <c r="G454" s="835">
        <v>4.1220990338285326E-3</v>
      </c>
      <c r="H454" s="835">
        <v>4.1220990338285335E-3</v>
      </c>
      <c r="I454" s="835">
        <v>4.1220990338285335E-3</v>
      </c>
      <c r="J454" s="835">
        <v>4.1220990338285335E-3</v>
      </c>
      <c r="K454" s="835">
        <v>4.1220990338285335E-3</v>
      </c>
      <c r="L454" s="835">
        <v>4.1220990338285335E-3</v>
      </c>
      <c r="M454" s="836">
        <v>4.1220990338285335E-3</v>
      </c>
      <c r="N454" s="784"/>
    </row>
    <row r="455" spans="2:14" ht="6" customHeight="1" x14ac:dyDescent="0.25">
      <c r="B455" s="784"/>
      <c r="C455" s="801"/>
      <c r="D455" s="824"/>
      <c r="E455" s="824"/>
      <c r="F455" s="833"/>
      <c r="G455" s="178"/>
      <c r="H455" s="178"/>
      <c r="I455" s="178"/>
      <c r="J455" s="178"/>
      <c r="K455" s="178"/>
      <c r="L455" s="178"/>
      <c r="M455" s="178"/>
      <c r="N455" s="784"/>
    </row>
    <row r="456" spans="2:14" x14ac:dyDescent="0.25">
      <c r="B456" s="784"/>
      <c r="C456" s="2897" t="s">
        <v>8</v>
      </c>
      <c r="D456" s="805"/>
      <c r="E456" s="824"/>
      <c r="F456" s="833"/>
      <c r="G456" s="178"/>
      <c r="H456" s="178"/>
      <c r="I456" s="178"/>
      <c r="J456" s="178"/>
      <c r="K456" s="178"/>
      <c r="L456" s="178"/>
      <c r="M456" s="178"/>
      <c r="N456" s="784"/>
    </row>
    <row r="457" spans="2:14" x14ac:dyDescent="0.25">
      <c r="B457" s="784"/>
      <c r="C457" s="2897" t="s">
        <v>1040</v>
      </c>
      <c r="D457" s="2896" t="s">
        <v>2003</v>
      </c>
      <c r="E457" s="824"/>
      <c r="F457" s="833"/>
      <c r="G457" s="178"/>
      <c r="H457" s="178"/>
      <c r="I457" s="178"/>
      <c r="J457" s="178"/>
      <c r="K457" s="178"/>
      <c r="L457" s="178"/>
      <c r="M457" s="178"/>
      <c r="N457" s="784"/>
    </row>
    <row r="458" spans="2:14" x14ac:dyDescent="0.25">
      <c r="B458" s="784"/>
      <c r="C458" s="800"/>
      <c r="D458" s="2912"/>
      <c r="E458" s="824"/>
      <c r="F458" s="833"/>
      <c r="G458" s="178"/>
      <c r="H458" s="178"/>
      <c r="I458" s="178"/>
      <c r="J458" s="178"/>
      <c r="K458" s="178"/>
      <c r="L458" s="178"/>
      <c r="M458" s="178"/>
      <c r="N458" s="784"/>
    </row>
    <row r="459" spans="2:14" x14ac:dyDescent="0.25">
      <c r="B459" s="784"/>
      <c r="C459" s="801"/>
      <c r="D459" s="824"/>
      <c r="E459" s="824"/>
      <c r="F459" s="833"/>
      <c r="G459" s="178"/>
      <c r="H459" s="178"/>
      <c r="I459" s="178"/>
      <c r="J459" s="178"/>
      <c r="K459" s="178"/>
      <c r="L459" s="178"/>
      <c r="M459" s="178"/>
      <c r="N459" s="784"/>
    </row>
    <row r="460" spans="2:14" x14ac:dyDescent="0.25">
      <c r="B460" s="784"/>
      <c r="C460" s="2929" t="s">
        <v>1002</v>
      </c>
      <c r="D460" s="2930" t="s">
        <v>2013</v>
      </c>
      <c r="E460" s="2935"/>
      <c r="F460" s="833"/>
      <c r="G460" s="178"/>
      <c r="H460" s="178"/>
      <c r="I460" s="178"/>
      <c r="J460" s="178"/>
      <c r="K460" s="178"/>
      <c r="L460" s="178"/>
      <c r="M460" s="178"/>
      <c r="N460" s="784"/>
    </row>
    <row r="461" spans="2:14" x14ac:dyDescent="0.25">
      <c r="B461" s="784"/>
      <c r="C461" s="2931" t="s">
        <v>509</v>
      </c>
      <c r="D461" s="2936">
        <v>0.6</v>
      </c>
      <c r="E461" s="824"/>
      <c r="F461" s="833"/>
      <c r="G461" s="178"/>
      <c r="H461" s="178"/>
      <c r="I461" s="178"/>
      <c r="J461" s="178"/>
      <c r="K461" s="178"/>
      <c r="L461" s="178"/>
      <c r="M461" s="178"/>
      <c r="N461" s="784"/>
    </row>
    <row r="462" spans="2:14" x14ac:dyDescent="0.25">
      <c r="B462" s="784"/>
      <c r="C462" s="2932" t="s">
        <v>1000</v>
      </c>
      <c r="D462" s="2937">
        <v>0.9</v>
      </c>
      <c r="E462" s="824"/>
      <c r="F462" s="833"/>
      <c r="G462" s="178"/>
      <c r="H462" s="178"/>
      <c r="I462" s="178"/>
      <c r="J462" s="178"/>
      <c r="K462" s="178"/>
      <c r="L462" s="178"/>
      <c r="M462" s="178"/>
      <c r="N462" s="784"/>
    </row>
    <row r="463" spans="2:14" x14ac:dyDescent="0.25">
      <c r="B463" s="784"/>
      <c r="C463" s="2933" t="s">
        <v>510</v>
      </c>
      <c r="D463" s="2937">
        <v>0.95</v>
      </c>
      <c r="E463" s="824"/>
      <c r="F463" s="833"/>
      <c r="G463" s="178"/>
      <c r="H463" s="178"/>
      <c r="I463" s="178"/>
      <c r="J463" s="178"/>
      <c r="K463" s="178"/>
      <c r="L463" s="178"/>
      <c r="M463" s="178"/>
      <c r="N463" s="784"/>
    </row>
    <row r="464" spans="2:14" x14ac:dyDescent="0.25">
      <c r="B464" s="784"/>
      <c r="C464" s="2933" t="s">
        <v>511</v>
      </c>
      <c r="D464" s="2937">
        <v>0.95</v>
      </c>
      <c r="E464" s="824"/>
      <c r="F464" s="833"/>
      <c r="G464" s="178"/>
      <c r="H464" s="178"/>
      <c r="I464" s="178"/>
      <c r="J464" s="178"/>
      <c r="K464" s="178"/>
      <c r="L464" s="178"/>
      <c r="M464" s="178"/>
      <c r="N464" s="784"/>
    </row>
    <row r="465" spans="2:14" x14ac:dyDescent="0.25">
      <c r="B465" s="784"/>
      <c r="C465" s="2933" t="s">
        <v>494</v>
      </c>
      <c r="D465" s="2937">
        <v>0.95</v>
      </c>
      <c r="E465" s="824"/>
      <c r="F465" s="833"/>
      <c r="G465" s="178"/>
      <c r="H465" s="178"/>
      <c r="I465" s="178"/>
      <c r="J465" s="178"/>
      <c r="K465" s="178"/>
      <c r="L465" s="178"/>
      <c r="M465" s="178"/>
      <c r="N465" s="784"/>
    </row>
    <row r="466" spans="2:14" x14ac:dyDescent="0.25">
      <c r="B466" s="784"/>
      <c r="C466" s="2934" t="s">
        <v>498</v>
      </c>
      <c r="D466" s="2938">
        <v>0.99</v>
      </c>
      <c r="E466" s="824"/>
      <c r="F466" s="833"/>
      <c r="G466" s="178"/>
      <c r="H466" s="178"/>
      <c r="I466" s="178"/>
      <c r="J466" s="178"/>
      <c r="K466" s="178"/>
      <c r="L466" s="178"/>
      <c r="M466" s="178"/>
      <c r="N466" s="784"/>
    </row>
    <row r="467" spans="2:14" x14ac:dyDescent="0.25">
      <c r="B467" s="784"/>
      <c r="C467" s="2897"/>
      <c r="D467" s="1914"/>
      <c r="E467" s="824"/>
      <c r="F467" s="833"/>
      <c r="G467" s="178"/>
      <c r="H467" s="178"/>
      <c r="I467" s="178"/>
      <c r="J467" s="178"/>
      <c r="K467" s="178"/>
      <c r="L467" s="178"/>
      <c r="M467" s="178"/>
      <c r="N467" s="784"/>
    </row>
    <row r="468" spans="2:14" x14ac:dyDescent="0.25">
      <c r="B468" s="784"/>
      <c r="C468" s="2897" t="s">
        <v>8</v>
      </c>
      <c r="D468" s="805"/>
      <c r="E468" s="824"/>
      <c r="F468" s="833"/>
      <c r="G468" s="178"/>
      <c r="H468" s="178"/>
      <c r="I468" s="178"/>
      <c r="J468" s="178"/>
      <c r="K468" s="178"/>
      <c r="L468" s="178"/>
      <c r="M468" s="178"/>
      <c r="N468" s="784"/>
    </row>
    <row r="469" spans="2:14" x14ac:dyDescent="0.25">
      <c r="B469" s="784"/>
      <c r="C469" s="2897" t="s">
        <v>1041</v>
      </c>
      <c r="D469" s="2896" t="s">
        <v>2004</v>
      </c>
      <c r="E469" s="824"/>
      <c r="F469" s="833"/>
      <c r="G469" s="178"/>
      <c r="H469" s="178"/>
      <c r="I469" s="178"/>
      <c r="J469" s="178"/>
      <c r="K469" s="178"/>
      <c r="L469" s="178"/>
      <c r="M469" s="178"/>
      <c r="N469" s="784"/>
    </row>
    <row r="470" spans="2:14" x14ac:dyDescent="0.25">
      <c r="B470" s="784"/>
      <c r="C470" s="800"/>
      <c r="D470" s="2960" t="s">
        <v>2005</v>
      </c>
      <c r="E470" s="824"/>
      <c r="F470" s="833"/>
      <c r="G470" s="178"/>
      <c r="H470" s="178"/>
      <c r="I470" s="178"/>
      <c r="J470" s="178"/>
      <c r="K470" s="178"/>
      <c r="L470" s="178"/>
      <c r="M470" s="178"/>
      <c r="N470" s="784"/>
    </row>
    <row r="471" spans="2:14" x14ac:dyDescent="0.25">
      <c r="B471" s="784"/>
      <c r="C471" s="800"/>
      <c r="D471" s="824"/>
      <c r="E471" s="824"/>
      <c r="F471" s="833"/>
      <c r="G471" s="178"/>
      <c r="H471" s="178"/>
      <c r="I471" s="178"/>
      <c r="J471" s="178"/>
      <c r="K471" s="178"/>
      <c r="L471" s="178"/>
      <c r="M471" s="178"/>
      <c r="N471" s="784"/>
    </row>
    <row r="472" spans="2:14" x14ac:dyDescent="0.25">
      <c r="B472" s="784"/>
      <c r="C472" s="800"/>
      <c r="D472" s="824"/>
      <c r="E472" s="824"/>
      <c r="F472" s="833"/>
      <c r="G472" s="178"/>
      <c r="H472" s="178"/>
      <c r="I472" s="178"/>
      <c r="J472" s="178"/>
      <c r="K472" s="178"/>
      <c r="L472" s="178"/>
      <c r="M472" s="178"/>
      <c r="N472" s="784"/>
    </row>
    <row r="473" spans="2:14" x14ac:dyDescent="0.25">
      <c r="B473" s="784"/>
      <c r="C473" s="808" t="s">
        <v>2012</v>
      </c>
      <c r="D473" s="824"/>
      <c r="E473" s="824"/>
      <c r="F473" s="178"/>
      <c r="G473" s="178"/>
      <c r="H473" s="178"/>
      <c r="I473" s="178"/>
      <c r="J473" s="178"/>
      <c r="K473" s="178"/>
      <c r="L473" s="178"/>
      <c r="M473" s="827" t="s">
        <v>190</v>
      </c>
      <c r="N473" s="784"/>
    </row>
    <row r="474" spans="2:14" x14ac:dyDescent="0.25">
      <c r="B474" s="784"/>
      <c r="C474" s="808"/>
      <c r="D474" s="824"/>
      <c r="E474" s="824"/>
      <c r="F474" s="178"/>
      <c r="G474" s="178"/>
      <c r="H474" s="178"/>
      <c r="I474" s="178"/>
      <c r="J474" s="178"/>
      <c r="K474" s="178"/>
      <c r="L474" s="178"/>
      <c r="M474" s="827"/>
      <c r="N474" s="784"/>
    </row>
    <row r="475" spans="2:14" x14ac:dyDescent="0.25">
      <c r="B475" s="784"/>
      <c r="C475" s="2914" t="s">
        <v>507</v>
      </c>
      <c r="D475" s="828" t="s">
        <v>8</v>
      </c>
      <c r="E475" s="2915" t="s">
        <v>1193</v>
      </c>
      <c r="F475" s="828">
        <v>2015</v>
      </c>
      <c r="G475" s="829">
        <v>2020</v>
      </c>
      <c r="H475" s="828">
        <v>2025</v>
      </c>
      <c r="I475" s="828">
        <v>2030</v>
      </c>
      <c r="J475" s="828">
        <v>2035</v>
      </c>
      <c r="K475" s="828">
        <v>2040</v>
      </c>
      <c r="L475" s="828">
        <v>2045</v>
      </c>
      <c r="M475" s="830">
        <v>2050</v>
      </c>
      <c r="N475" s="784"/>
    </row>
    <row r="476" spans="2:14" x14ac:dyDescent="0.25">
      <c r="B476" s="784"/>
      <c r="C476" s="823">
        <v>1</v>
      </c>
      <c r="D476" s="824"/>
      <c r="E476" s="824"/>
      <c r="F476" s="833">
        <v>1.2981952156278348E-2</v>
      </c>
      <c r="G476" s="833">
        <v>1.304555239257052E-2</v>
      </c>
      <c r="H476" s="833">
        <v>1.3187063913936918E-2</v>
      </c>
      <c r="I476" s="833">
        <v>1.3440831570349903E-2</v>
      </c>
      <c r="J476" s="833">
        <v>1.3917748535444502E-2</v>
      </c>
      <c r="K476" s="833">
        <v>1.4436746044815242E-2</v>
      </c>
      <c r="L476" s="833">
        <v>1.4957846372692755E-2</v>
      </c>
      <c r="M476" s="834">
        <v>1.5468367380411017E-2</v>
      </c>
      <c r="N476" s="784"/>
    </row>
    <row r="477" spans="2:14" x14ac:dyDescent="0.25">
      <c r="B477" s="784"/>
      <c r="C477" s="823">
        <v>2</v>
      </c>
      <c r="D477" s="824"/>
      <c r="E477" s="824"/>
      <c r="F477" s="833">
        <v>2.9018488504331273E-2</v>
      </c>
      <c r="G477" s="833">
        <v>2.844908722415326E-2</v>
      </c>
      <c r="H477" s="833">
        <v>2.8226456406926576E-2</v>
      </c>
      <c r="I477" s="833">
        <v>2.8307038789709364E-2</v>
      </c>
      <c r="J477" s="833">
        <v>2.8949700316891324E-2</v>
      </c>
      <c r="K477" s="833">
        <v>2.9113022618001739E-2</v>
      </c>
      <c r="L477" s="833">
        <v>2.9098421529732479E-2</v>
      </c>
      <c r="M477" s="834">
        <v>2.9084132171244507E-2</v>
      </c>
      <c r="N477" s="784"/>
    </row>
    <row r="478" spans="2:14" x14ac:dyDescent="0.25">
      <c r="B478" s="784"/>
      <c r="C478" s="823">
        <v>3</v>
      </c>
      <c r="D478" s="824"/>
      <c r="E478" s="824"/>
      <c r="F478" s="833">
        <v>1.4762848375867707E-2</v>
      </c>
      <c r="G478" s="833">
        <v>1.4605330664078091E-2</v>
      </c>
      <c r="H478" s="833">
        <v>1.4578271729487138E-2</v>
      </c>
      <c r="I478" s="833">
        <v>1.4627155279296035E-2</v>
      </c>
      <c r="J478" s="833">
        <v>1.4950248805295722E-2</v>
      </c>
      <c r="K478" s="833">
        <v>1.5079893616873213E-2</v>
      </c>
      <c r="L478" s="833">
        <v>1.5072330580197836E-2</v>
      </c>
      <c r="M478" s="834">
        <v>1.5064929012566768E-2</v>
      </c>
      <c r="N478" s="784"/>
    </row>
    <row r="479" spans="2:14" x14ac:dyDescent="0.25">
      <c r="B479" s="784"/>
      <c r="C479" s="823">
        <v>4</v>
      </c>
      <c r="D479" s="824"/>
      <c r="E479" s="824"/>
      <c r="F479" s="833">
        <v>4.1235873972479804E-2</v>
      </c>
      <c r="G479" s="833">
        <v>4.119792106325091E-2</v>
      </c>
      <c r="H479" s="833">
        <v>4.1357722332697112E-2</v>
      </c>
      <c r="I479" s="833">
        <v>4.043258649427444E-2</v>
      </c>
      <c r="J479" s="833">
        <v>4.0307540453801242E-2</v>
      </c>
      <c r="K479" s="833">
        <v>4.0250100000593411E-2</v>
      </c>
      <c r="L479" s="833">
        <v>4.0229913320884249E-2</v>
      </c>
      <c r="M479" s="834">
        <v>4.0210157622012591E-2</v>
      </c>
      <c r="N479" s="784"/>
    </row>
    <row r="480" spans="2:14" x14ac:dyDescent="0.25">
      <c r="B480" s="784"/>
      <c r="C480" s="823">
        <v>5</v>
      </c>
      <c r="D480" s="824"/>
      <c r="E480" s="824"/>
      <c r="F480" s="833">
        <v>0.11329820173910994</v>
      </c>
      <c r="G480" s="833">
        <v>0.11324087866320712</v>
      </c>
      <c r="H480" s="833">
        <v>0.11113372360147622</v>
      </c>
      <c r="I480" s="833">
        <v>0.10824917655635442</v>
      </c>
      <c r="J480" s="833">
        <v>0.10766187416391521</v>
      </c>
      <c r="K480" s="833">
        <v>0.10750845009547649</v>
      </c>
      <c r="L480" s="833">
        <v>0.10745453125681337</v>
      </c>
      <c r="M480" s="834">
        <v>0.10740176357260353</v>
      </c>
      <c r="N480" s="784"/>
    </row>
    <row r="481" spans="2:14" x14ac:dyDescent="0.25">
      <c r="B481" s="784"/>
      <c r="C481" s="823">
        <v>6</v>
      </c>
      <c r="D481" s="824"/>
      <c r="E481" s="824"/>
      <c r="F481" s="833">
        <v>5.5554436175909987E-2</v>
      </c>
      <c r="G481" s="833">
        <v>5.5051247703432692E-2</v>
      </c>
      <c r="H481" s="833">
        <v>5.3600890081248007E-2</v>
      </c>
      <c r="I481" s="833">
        <v>5.2155628817216568E-2</v>
      </c>
      <c r="J481" s="833">
        <v>5.1845798778168861E-2</v>
      </c>
      <c r="K481" s="833">
        <v>5.1745092585251222E-2</v>
      </c>
      <c r="L481" s="833">
        <v>5.1692331171560114E-2</v>
      </c>
      <c r="M481" s="834">
        <v>5.1640150152976037E-2</v>
      </c>
      <c r="N481" s="784"/>
    </row>
    <row r="482" spans="2:14" x14ac:dyDescent="0.25">
      <c r="B482" s="784"/>
      <c r="C482" s="823">
        <v>7</v>
      </c>
      <c r="D482" s="824"/>
      <c r="E482" s="824"/>
      <c r="F482" s="833">
        <v>6.8938131628674279E-2</v>
      </c>
      <c r="G482" s="833">
        <v>6.5774340609326812E-2</v>
      </c>
      <c r="H482" s="833">
        <v>6.3843346711425206E-2</v>
      </c>
      <c r="I482" s="833">
        <v>6.2477396384011931E-2</v>
      </c>
      <c r="J482" s="833">
        <v>6.213842729863877E-2</v>
      </c>
      <c r="K482" s="833">
        <v>6.2049876635773431E-2</v>
      </c>
      <c r="L482" s="833">
        <v>6.2018756688602593E-2</v>
      </c>
      <c r="M482" s="834">
        <v>6.1988301144943761E-2</v>
      </c>
      <c r="N482" s="784"/>
    </row>
    <row r="483" spans="2:14" x14ac:dyDescent="0.25">
      <c r="B483" s="784"/>
      <c r="C483" s="823">
        <v>8</v>
      </c>
      <c r="D483" s="824"/>
      <c r="E483" s="824"/>
      <c r="F483" s="833">
        <v>0.11833374643138123</v>
      </c>
      <c r="G483" s="833">
        <v>0.11870555821812402</v>
      </c>
      <c r="H483" s="833">
        <v>0.11931609653751681</v>
      </c>
      <c r="I483" s="833">
        <v>0.1167515578608769</v>
      </c>
      <c r="J483" s="833">
        <v>0.11611812607475143</v>
      </c>
      <c r="K483" s="833">
        <v>0.11595265138410335</v>
      </c>
      <c r="L483" s="833">
        <v>0.11589449751529596</v>
      </c>
      <c r="M483" s="834">
        <v>0.1158375852178338</v>
      </c>
      <c r="N483" s="784"/>
    </row>
    <row r="484" spans="2:14" x14ac:dyDescent="0.25">
      <c r="B484" s="784"/>
      <c r="C484" s="823">
        <v>9</v>
      </c>
      <c r="D484" s="824"/>
      <c r="E484" s="824"/>
      <c r="F484" s="833">
        <v>5.3754271510788029E-2</v>
      </c>
      <c r="G484" s="833">
        <v>5.4098270199027E-2</v>
      </c>
      <c r="H484" s="833">
        <v>5.5018092873193557E-2</v>
      </c>
      <c r="I484" s="833">
        <v>5.6424998255120477E-2</v>
      </c>
      <c r="J484" s="833">
        <v>5.6855025124580801E-2</v>
      </c>
      <c r="K484" s="833">
        <v>5.6774003599240105E-2</v>
      </c>
      <c r="L484" s="833">
        <v>5.6745529666841238E-2</v>
      </c>
      <c r="M484" s="834">
        <v>5.6717663646164797E-2</v>
      </c>
      <c r="N484" s="784"/>
    </row>
    <row r="485" spans="2:14" x14ac:dyDescent="0.25">
      <c r="B485" s="784"/>
      <c r="C485" s="823">
        <v>10</v>
      </c>
      <c r="D485" s="824"/>
      <c r="E485" s="824"/>
      <c r="F485" s="833">
        <v>4.7805574363867023E-2</v>
      </c>
      <c r="G485" s="833">
        <v>4.8154440338492893E-2</v>
      </c>
      <c r="H485" s="833">
        <v>4.8992793048358574E-2</v>
      </c>
      <c r="I485" s="833">
        <v>4.9849502198393375E-2</v>
      </c>
      <c r="J485" s="833">
        <v>5.0237355651338092E-2</v>
      </c>
      <c r="K485" s="833">
        <v>5.0165764667515024E-2</v>
      </c>
      <c r="L485" s="833">
        <v>5.0140604972913186E-2</v>
      </c>
      <c r="M485" s="834">
        <v>5.0115982431840657E-2</v>
      </c>
      <c r="N485" s="784"/>
    </row>
    <row r="486" spans="2:14" x14ac:dyDescent="0.25">
      <c r="B486" s="784"/>
      <c r="C486" s="823">
        <v>11</v>
      </c>
      <c r="D486" s="824"/>
      <c r="E486" s="824"/>
      <c r="F486" s="833">
        <v>6.5501924090006032E-3</v>
      </c>
      <c r="G486" s="833">
        <v>6.5540815131336135E-3</v>
      </c>
      <c r="H486" s="833">
        <v>6.4992272118477414E-3</v>
      </c>
      <c r="I486" s="833">
        <v>6.3157221495279553E-3</v>
      </c>
      <c r="J486" s="833">
        <v>6.2961894874847E-3</v>
      </c>
      <c r="K486" s="833">
        <v>6.2872170725575723E-3</v>
      </c>
      <c r="L486" s="833">
        <v>6.2840638372288682E-3</v>
      </c>
      <c r="M486" s="834">
        <v>6.2809779227286722E-3</v>
      </c>
      <c r="N486" s="784"/>
    </row>
    <row r="487" spans="2:14" x14ac:dyDescent="0.25">
      <c r="B487" s="784"/>
      <c r="C487" s="823">
        <v>12</v>
      </c>
      <c r="D487" s="824"/>
      <c r="E487" s="824"/>
      <c r="F487" s="833">
        <v>1.0087430925466953E-2</v>
      </c>
      <c r="G487" s="833">
        <v>9.5727849520986976E-3</v>
      </c>
      <c r="H487" s="833">
        <v>9.2120814397275552E-3</v>
      </c>
      <c r="I487" s="833">
        <v>8.9729759599932804E-3</v>
      </c>
      <c r="J487" s="833">
        <v>8.9242933702845216E-3</v>
      </c>
      <c r="K487" s="833">
        <v>8.9115757633559528E-3</v>
      </c>
      <c r="L487" s="833">
        <v>8.9071063303449508E-3</v>
      </c>
      <c r="M487" s="834">
        <v>8.9027323186716828E-3</v>
      </c>
      <c r="N487" s="784"/>
    </row>
    <row r="488" spans="2:14" x14ac:dyDescent="0.25">
      <c r="B488" s="784"/>
      <c r="C488" s="823">
        <v>13</v>
      </c>
      <c r="D488" s="824"/>
      <c r="E488" s="824"/>
      <c r="F488" s="833">
        <v>0.39997181758283457</v>
      </c>
      <c r="G488" s="833">
        <v>0.40289581115032963</v>
      </c>
      <c r="H488" s="833">
        <v>0.405526306358302</v>
      </c>
      <c r="I488" s="833">
        <v>0.41152496831607505</v>
      </c>
      <c r="J488" s="833">
        <v>0.4102522432122514</v>
      </c>
      <c r="K488" s="833">
        <v>0.40966761129191254</v>
      </c>
      <c r="L488" s="833">
        <v>0.40946215021588428</v>
      </c>
      <c r="M488" s="834">
        <v>0.40926107568523623</v>
      </c>
      <c r="N488" s="784"/>
    </row>
    <row r="489" spans="2:14" x14ac:dyDescent="0.25">
      <c r="B489" s="784"/>
      <c r="C489" s="823">
        <v>14</v>
      </c>
      <c r="D489" s="824"/>
      <c r="E489" s="824"/>
      <c r="F489" s="833">
        <v>2.1262884796852687E-2</v>
      </c>
      <c r="G489" s="833">
        <v>2.1463038313375728E-2</v>
      </c>
      <c r="H489" s="833">
        <v>2.1678918720649018E-2</v>
      </c>
      <c r="I489" s="833">
        <v>2.2028720352031118E-2</v>
      </c>
      <c r="J489" s="833">
        <v>2.2384105425770576E-2</v>
      </c>
      <c r="K489" s="833">
        <v>2.2352206849329731E-2</v>
      </c>
      <c r="L489" s="833">
        <v>2.2340996520896914E-2</v>
      </c>
      <c r="M489" s="834">
        <v>2.2330025530324815E-2</v>
      </c>
      <c r="N489" s="784"/>
    </row>
    <row r="490" spans="2:14" x14ac:dyDescent="0.25">
      <c r="B490" s="784"/>
      <c r="C490" s="825">
        <v>15</v>
      </c>
      <c r="D490" s="826"/>
      <c r="E490" s="826"/>
      <c r="F490" s="835">
        <v>6.4441494271574801E-3</v>
      </c>
      <c r="G490" s="835">
        <v>7.1916569953989658E-3</v>
      </c>
      <c r="H490" s="835">
        <v>7.829009033207629E-3</v>
      </c>
      <c r="I490" s="835">
        <v>8.4417410167690818E-3</v>
      </c>
      <c r="J490" s="835">
        <v>9.1613233013827667E-3</v>
      </c>
      <c r="K490" s="835">
        <v>9.70578777520089E-3</v>
      </c>
      <c r="L490" s="835">
        <v>9.700920020111083E-3</v>
      </c>
      <c r="M490" s="836">
        <v>9.6961561904411863E-3</v>
      </c>
      <c r="N490" s="784"/>
    </row>
    <row r="491" spans="2:14" x14ac:dyDescent="0.25">
      <c r="B491" s="784"/>
      <c r="C491" s="801"/>
      <c r="D491" s="824"/>
      <c r="E491" s="824"/>
      <c r="F491" s="833"/>
      <c r="G491" s="178"/>
      <c r="H491" s="178"/>
      <c r="I491" s="178"/>
      <c r="J491" s="178"/>
      <c r="K491" s="178"/>
      <c r="L491" s="178"/>
      <c r="M491" s="178"/>
      <c r="N491" s="784"/>
    </row>
    <row r="492" spans="2:14" x14ac:dyDescent="0.25">
      <c r="B492" s="784"/>
      <c r="C492" s="2897" t="s">
        <v>8</v>
      </c>
      <c r="D492" s="805"/>
      <c r="E492" s="824"/>
      <c r="F492" s="833"/>
      <c r="G492" s="178"/>
      <c r="H492" s="178"/>
      <c r="I492" s="178"/>
      <c r="J492" s="178"/>
      <c r="K492" s="178"/>
      <c r="L492" s="178"/>
      <c r="M492" s="178"/>
      <c r="N492" s="784"/>
    </row>
    <row r="493" spans="2:14" x14ac:dyDescent="0.25">
      <c r="B493" s="784"/>
      <c r="C493" s="2897" t="s">
        <v>1193</v>
      </c>
      <c r="D493" s="2896" t="s">
        <v>2014</v>
      </c>
      <c r="E493" s="824"/>
      <c r="F493" s="833"/>
      <c r="G493" s="178"/>
      <c r="H493" s="178"/>
      <c r="I493" s="178"/>
      <c r="J493" s="178"/>
      <c r="K493" s="178"/>
      <c r="L493" s="178"/>
      <c r="M493" s="178"/>
      <c r="N493" s="784"/>
    </row>
    <row r="494" spans="2:14" x14ac:dyDescent="0.25">
      <c r="B494" s="784"/>
      <c r="C494" s="800"/>
      <c r="D494" s="824"/>
      <c r="E494" s="824"/>
      <c r="F494" s="833"/>
      <c r="G494" s="178"/>
      <c r="H494" s="178"/>
      <c r="I494" s="178"/>
      <c r="J494" s="178"/>
      <c r="K494" s="178"/>
      <c r="L494" s="178"/>
      <c r="M494" s="178"/>
      <c r="N494" s="784"/>
    </row>
    <row r="495" spans="2:14" x14ac:dyDescent="0.25">
      <c r="B495" s="784"/>
      <c r="C495" s="800"/>
      <c r="D495" s="824"/>
      <c r="E495" s="824"/>
      <c r="F495" s="833"/>
      <c r="G495" s="178"/>
      <c r="H495" s="178"/>
      <c r="I495" s="178"/>
      <c r="J495" s="178"/>
      <c r="K495" s="178"/>
      <c r="L495" s="178"/>
      <c r="M495" s="178"/>
      <c r="N495" s="784"/>
    </row>
    <row r="496" spans="2:14" x14ac:dyDescent="0.25">
      <c r="B496" s="784"/>
      <c r="C496" s="808" t="s">
        <v>2030</v>
      </c>
      <c r="D496" s="824"/>
      <c r="E496" s="824"/>
      <c r="F496" s="833"/>
      <c r="G496" s="178"/>
      <c r="H496" s="178"/>
      <c r="I496" s="178"/>
      <c r="J496" s="178"/>
      <c r="K496" s="178"/>
      <c r="L496" s="178"/>
      <c r="M496" s="178"/>
      <c r="N496" s="784"/>
    </row>
    <row r="497" spans="2:14" x14ac:dyDescent="0.25">
      <c r="B497" s="784"/>
      <c r="C497" s="800"/>
      <c r="D497" s="824"/>
      <c r="E497" s="824"/>
      <c r="F497" s="833"/>
      <c r="G497" s="178"/>
      <c r="H497" s="178"/>
      <c r="I497" s="178"/>
      <c r="J497" s="178"/>
      <c r="K497" s="178"/>
      <c r="L497" s="178"/>
      <c r="M497" s="178"/>
      <c r="N497" s="784"/>
    </row>
    <row r="498" spans="2:14" x14ac:dyDescent="0.25">
      <c r="B498" s="784"/>
      <c r="C498" s="2914" t="s">
        <v>507</v>
      </c>
      <c r="D498" s="828" t="s">
        <v>8</v>
      </c>
      <c r="E498" s="2915" t="s">
        <v>2031</v>
      </c>
      <c r="F498" s="828" t="s">
        <v>510</v>
      </c>
      <c r="G498" s="829" t="s">
        <v>511</v>
      </c>
      <c r="H498" s="830" t="s">
        <v>498</v>
      </c>
      <c r="I498" s="784"/>
      <c r="J498" s="784"/>
      <c r="K498" s="784"/>
      <c r="L498" s="784"/>
      <c r="M498" s="784"/>
      <c r="N498" s="784"/>
    </row>
    <row r="499" spans="2:14" x14ac:dyDescent="0.25">
      <c r="B499" s="784"/>
      <c r="C499" s="823">
        <v>1</v>
      </c>
      <c r="D499" s="824"/>
      <c r="E499" s="824"/>
      <c r="F499" s="833">
        <v>1</v>
      </c>
      <c r="G499" s="833"/>
      <c r="H499" s="834"/>
      <c r="I499" s="784"/>
      <c r="J499" s="784"/>
      <c r="K499" s="784"/>
      <c r="L499" s="784"/>
      <c r="M499" s="784"/>
      <c r="N499" s="784"/>
    </row>
    <row r="500" spans="2:14" x14ac:dyDescent="0.25">
      <c r="B500" s="784"/>
      <c r="C500" s="823">
        <v>2</v>
      </c>
      <c r="D500" s="824"/>
      <c r="E500" s="824"/>
      <c r="F500" s="833">
        <v>1</v>
      </c>
      <c r="G500" s="833"/>
      <c r="H500" s="834"/>
      <c r="I500" s="784"/>
      <c r="J500" s="784"/>
      <c r="K500" s="784"/>
      <c r="L500" s="784"/>
      <c r="M500" s="784"/>
      <c r="N500" s="784"/>
    </row>
    <row r="501" spans="2:14" x14ac:dyDescent="0.25">
      <c r="B501" s="784"/>
      <c r="C501" s="823">
        <v>3</v>
      </c>
      <c r="D501" s="824"/>
      <c r="E501" s="824"/>
      <c r="F501" s="833">
        <v>1</v>
      </c>
      <c r="G501" s="833"/>
      <c r="H501" s="834"/>
      <c r="I501" s="784"/>
      <c r="J501" s="784"/>
      <c r="K501" s="784"/>
      <c r="L501" s="784"/>
      <c r="M501" s="784"/>
      <c r="N501" s="784"/>
    </row>
    <row r="502" spans="2:14" x14ac:dyDescent="0.25">
      <c r="B502" s="784"/>
      <c r="C502" s="823">
        <v>4</v>
      </c>
      <c r="D502" s="824"/>
      <c r="E502" s="824"/>
      <c r="F502" s="833">
        <v>1</v>
      </c>
      <c r="G502" s="833"/>
      <c r="H502" s="834"/>
      <c r="I502" s="784"/>
      <c r="J502" s="784"/>
      <c r="K502" s="784"/>
      <c r="L502" s="784"/>
      <c r="M502" s="784"/>
      <c r="N502" s="784"/>
    </row>
    <row r="503" spans="2:14" x14ac:dyDescent="0.25">
      <c r="B503" s="784"/>
      <c r="C503" s="823">
        <v>5</v>
      </c>
      <c r="D503" s="824"/>
      <c r="E503" s="824"/>
      <c r="F503" s="833">
        <v>0.3</v>
      </c>
      <c r="G503" s="833">
        <v>0.7</v>
      </c>
      <c r="H503" s="834"/>
      <c r="I503" s="784"/>
      <c r="J503" s="784"/>
      <c r="K503" s="784"/>
      <c r="L503" s="784"/>
      <c r="M503" s="784"/>
      <c r="N503" s="784"/>
    </row>
    <row r="504" spans="2:14" x14ac:dyDescent="0.25">
      <c r="B504" s="784"/>
      <c r="C504" s="823">
        <v>6</v>
      </c>
      <c r="D504" s="824"/>
      <c r="E504" s="824"/>
      <c r="F504" s="833">
        <v>1</v>
      </c>
      <c r="G504" s="833"/>
      <c r="H504" s="834"/>
      <c r="I504" s="784"/>
      <c r="J504" s="784"/>
      <c r="K504" s="784"/>
      <c r="L504" s="784"/>
      <c r="M504" s="784"/>
      <c r="N504" s="784"/>
    </row>
    <row r="505" spans="2:14" x14ac:dyDescent="0.25">
      <c r="B505" s="784"/>
      <c r="C505" s="823">
        <v>7</v>
      </c>
      <c r="D505" s="824"/>
      <c r="E505" s="824"/>
      <c r="F505" s="833">
        <v>1</v>
      </c>
      <c r="G505" s="833"/>
      <c r="H505" s="834"/>
      <c r="I505" s="784"/>
      <c r="J505" s="784"/>
      <c r="K505" s="784"/>
      <c r="L505" s="784"/>
      <c r="M505" s="784"/>
      <c r="N505" s="784"/>
    </row>
    <row r="506" spans="2:14" x14ac:dyDescent="0.25">
      <c r="B506" s="784"/>
      <c r="C506" s="823">
        <v>8</v>
      </c>
      <c r="D506" s="824"/>
      <c r="E506" s="824"/>
      <c r="F506" s="833">
        <v>0.3</v>
      </c>
      <c r="G506" s="833">
        <v>0.7</v>
      </c>
      <c r="H506" s="834"/>
      <c r="I506" s="784"/>
      <c r="J506" s="784"/>
      <c r="K506" s="784"/>
      <c r="L506" s="784"/>
      <c r="M506" s="784"/>
      <c r="N506" s="784"/>
    </row>
    <row r="507" spans="2:14" x14ac:dyDescent="0.25">
      <c r="B507" s="784"/>
      <c r="C507" s="823">
        <v>9</v>
      </c>
      <c r="D507" s="824"/>
      <c r="E507" s="824"/>
      <c r="F507" s="833">
        <v>1</v>
      </c>
      <c r="G507" s="833"/>
      <c r="H507" s="834"/>
      <c r="I507" s="784"/>
      <c r="J507" s="784"/>
      <c r="K507" s="784"/>
      <c r="L507" s="784"/>
      <c r="M507" s="784"/>
      <c r="N507" s="784"/>
    </row>
    <row r="508" spans="2:14" x14ac:dyDescent="0.25">
      <c r="B508" s="784"/>
      <c r="C508" s="823">
        <v>10</v>
      </c>
      <c r="D508" s="824"/>
      <c r="E508" s="824"/>
      <c r="F508" s="833">
        <v>1</v>
      </c>
      <c r="G508" s="833"/>
      <c r="H508" s="834"/>
      <c r="I508" s="784"/>
      <c r="J508" s="784"/>
      <c r="K508" s="784"/>
      <c r="L508" s="784"/>
      <c r="M508" s="784"/>
      <c r="N508" s="784"/>
    </row>
    <row r="509" spans="2:14" x14ac:dyDescent="0.25">
      <c r="B509" s="784"/>
      <c r="C509" s="823">
        <v>11</v>
      </c>
      <c r="D509" s="824"/>
      <c r="E509" s="824"/>
      <c r="F509" s="833">
        <v>1</v>
      </c>
      <c r="G509" s="833"/>
      <c r="H509" s="834"/>
      <c r="I509" s="784"/>
      <c r="J509" s="784"/>
      <c r="K509" s="784"/>
      <c r="L509" s="784"/>
      <c r="M509" s="784"/>
      <c r="N509" s="784"/>
    </row>
    <row r="510" spans="2:14" x14ac:dyDescent="0.25">
      <c r="B510" s="784"/>
      <c r="C510" s="823">
        <v>12</v>
      </c>
      <c r="D510" s="824"/>
      <c r="E510" s="824"/>
      <c r="F510" s="833">
        <v>0.22</v>
      </c>
      <c r="G510" s="833">
        <v>0.78</v>
      </c>
      <c r="H510" s="834"/>
      <c r="I510" s="784"/>
      <c r="J510" s="784"/>
      <c r="K510" s="784"/>
      <c r="L510" s="784"/>
      <c r="M510" s="784"/>
      <c r="N510" s="784"/>
    </row>
    <row r="511" spans="2:14" x14ac:dyDescent="0.25">
      <c r="B511" s="784"/>
      <c r="C511" s="823">
        <v>13</v>
      </c>
      <c r="D511" s="824"/>
      <c r="E511" s="824"/>
      <c r="F511" s="833">
        <v>0.3</v>
      </c>
      <c r="G511" s="833">
        <v>0.65</v>
      </c>
      <c r="H511" s="834">
        <v>0.05</v>
      </c>
      <c r="I511" s="784"/>
      <c r="J511" s="784"/>
      <c r="K511" s="784"/>
      <c r="L511" s="784"/>
      <c r="M511" s="784"/>
      <c r="N511" s="784"/>
    </row>
    <row r="512" spans="2:14" x14ac:dyDescent="0.25">
      <c r="B512" s="784"/>
      <c r="C512" s="823">
        <v>14</v>
      </c>
      <c r="D512" s="824"/>
      <c r="E512" s="824"/>
      <c r="F512" s="833">
        <v>1</v>
      </c>
      <c r="G512" s="833"/>
      <c r="H512" s="834"/>
      <c r="I512" s="784"/>
      <c r="J512" s="784"/>
      <c r="K512" s="784"/>
      <c r="L512" s="784"/>
      <c r="M512" s="784"/>
      <c r="N512" s="784"/>
    </row>
    <row r="513" spans="2:14" x14ac:dyDescent="0.25">
      <c r="B513" s="784"/>
      <c r="C513" s="825">
        <v>15</v>
      </c>
      <c r="D513" s="826"/>
      <c r="E513" s="826"/>
      <c r="F513" s="835">
        <v>1</v>
      </c>
      <c r="G513" s="835"/>
      <c r="H513" s="836"/>
      <c r="I513" s="784"/>
      <c r="J513" s="784"/>
      <c r="K513" s="784"/>
      <c r="L513" s="784"/>
      <c r="M513" s="784"/>
      <c r="N513" s="784"/>
    </row>
    <row r="514" spans="2:14" x14ac:dyDescent="0.25">
      <c r="B514" s="784"/>
      <c r="C514" s="800"/>
      <c r="D514" s="824"/>
      <c r="E514" s="824"/>
      <c r="F514" s="833"/>
      <c r="G514" s="178"/>
      <c r="H514" s="178"/>
      <c r="I514" s="178"/>
      <c r="J514" s="178"/>
      <c r="K514" s="178"/>
      <c r="L514" s="178"/>
      <c r="M514" s="178"/>
      <c r="N514" s="784"/>
    </row>
    <row r="515" spans="2:14" x14ac:dyDescent="0.25">
      <c r="B515" s="784"/>
      <c r="C515" s="2897" t="s">
        <v>8</v>
      </c>
      <c r="D515" s="805"/>
      <c r="E515" s="824"/>
      <c r="F515" s="833"/>
      <c r="G515" s="178"/>
      <c r="H515" s="178"/>
      <c r="I515" s="178"/>
      <c r="J515" s="178"/>
      <c r="K515" s="178"/>
      <c r="L515" s="178"/>
      <c r="M515" s="178"/>
      <c r="N515" s="784"/>
    </row>
    <row r="516" spans="2:14" x14ac:dyDescent="0.25">
      <c r="B516" s="784"/>
      <c r="C516" s="2946" t="s">
        <v>2031</v>
      </c>
      <c r="D516" s="2947" t="s">
        <v>2032</v>
      </c>
      <c r="E516" s="824"/>
      <c r="F516" s="833"/>
      <c r="G516" s="178"/>
      <c r="H516" s="178"/>
      <c r="I516" s="178"/>
      <c r="J516" s="178"/>
      <c r="K516" s="178"/>
      <c r="L516" s="178"/>
      <c r="M516" s="178"/>
      <c r="N516" s="784"/>
    </row>
    <row r="517" spans="2:14" x14ac:dyDescent="0.25">
      <c r="B517" s="784"/>
      <c r="C517" s="800"/>
      <c r="D517" s="824"/>
      <c r="E517" s="824"/>
      <c r="F517" s="833"/>
      <c r="G517" s="178"/>
      <c r="H517" s="178"/>
      <c r="I517" s="178"/>
      <c r="J517" s="178"/>
      <c r="K517" s="178"/>
      <c r="L517" s="178"/>
      <c r="M517" s="178"/>
      <c r="N517" s="784"/>
    </row>
    <row r="518" spans="2:14" x14ac:dyDescent="0.25">
      <c r="B518" s="784"/>
      <c r="C518" s="800"/>
      <c r="D518" s="824"/>
      <c r="E518" s="824"/>
      <c r="F518" s="833"/>
      <c r="G518" s="178"/>
      <c r="H518" s="178"/>
      <c r="I518" s="178"/>
      <c r="J518" s="178"/>
      <c r="K518" s="178"/>
      <c r="L518" s="178"/>
      <c r="M518" s="178"/>
      <c r="N518" s="784"/>
    </row>
    <row r="520" spans="2:14" ht="15.75" x14ac:dyDescent="0.25">
      <c r="B520" s="780" t="s">
        <v>168</v>
      </c>
      <c r="C520" s="781"/>
      <c r="D520" s="782"/>
      <c r="E520" s="782"/>
      <c r="F520" s="782"/>
      <c r="G520" s="782"/>
      <c r="H520" s="782"/>
      <c r="I520" s="782"/>
      <c r="J520" s="782"/>
      <c r="K520" s="782"/>
      <c r="L520" s="782"/>
      <c r="M520" s="782"/>
      <c r="N520" s="782"/>
    </row>
    <row r="521" spans="2:14" x14ac:dyDescent="0.25">
      <c r="B521" s="783"/>
      <c r="C521" s="784"/>
      <c r="D521" s="784"/>
      <c r="E521" s="784"/>
      <c r="F521" s="784"/>
      <c r="G521" s="784"/>
      <c r="H521" s="784"/>
      <c r="I521" s="784"/>
      <c r="J521" s="784"/>
      <c r="K521" s="784"/>
      <c r="L521" s="784"/>
      <c r="M521" s="784"/>
      <c r="N521" s="784"/>
    </row>
    <row r="522" spans="2:14" x14ac:dyDescent="0.25">
      <c r="B522" s="784"/>
      <c r="C522" s="2890" t="s">
        <v>2009</v>
      </c>
      <c r="D522" s="784"/>
      <c r="E522" s="784"/>
      <c r="F522" s="784"/>
      <c r="G522" s="784"/>
      <c r="H522" s="784"/>
      <c r="I522" s="784"/>
      <c r="J522" s="784"/>
      <c r="K522" s="784"/>
      <c r="L522" s="784"/>
      <c r="M522" s="784"/>
      <c r="N522" s="784"/>
    </row>
    <row r="523" spans="2:14" x14ac:dyDescent="0.25">
      <c r="B523" s="784"/>
      <c r="C523" s="784"/>
      <c r="D523" s="784"/>
      <c r="E523" s="784"/>
      <c r="F523" s="784"/>
      <c r="G523" s="784"/>
      <c r="H523" s="784"/>
      <c r="I523" s="784"/>
      <c r="J523" s="784"/>
      <c r="K523" s="784"/>
      <c r="L523" s="784"/>
      <c r="M523" s="784"/>
      <c r="N523" s="784"/>
    </row>
    <row r="524" spans="2:14" x14ac:dyDescent="0.25">
      <c r="B524" s="784"/>
      <c r="C524" s="785" t="s">
        <v>2006</v>
      </c>
      <c r="D524" s="791"/>
      <c r="E524" s="791"/>
      <c r="F524" s="178"/>
      <c r="G524" s="178"/>
      <c r="H524" s="178"/>
      <c r="I524" s="178"/>
      <c r="J524" s="178"/>
      <c r="K524" s="178"/>
      <c r="L524" s="178"/>
      <c r="M524" s="178" t="s">
        <v>514</v>
      </c>
      <c r="N524" s="784"/>
    </row>
    <row r="525" spans="2:14" ht="5.25" customHeight="1" x14ac:dyDescent="0.25">
      <c r="B525" s="784"/>
      <c r="C525" s="814"/>
      <c r="D525" s="807"/>
      <c r="E525" s="807"/>
      <c r="F525" s="473"/>
      <c r="G525" s="473"/>
      <c r="H525" s="473"/>
      <c r="I525" s="473"/>
      <c r="J525" s="473"/>
      <c r="K525" s="473"/>
      <c r="L525" s="473"/>
      <c r="M525" s="473"/>
      <c r="N525" s="784"/>
    </row>
    <row r="526" spans="2:14" x14ac:dyDescent="0.25">
      <c r="B526" s="784"/>
      <c r="C526" s="801" t="s">
        <v>120</v>
      </c>
      <c r="D526" s="791"/>
      <c r="E526" s="791"/>
      <c r="F526" s="475">
        <f t="shared" ref="F526:M526" si="18">F23</f>
        <v>5420554.3751459168</v>
      </c>
      <c r="G526" s="475">
        <f t="shared" si="18"/>
        <v>5933918.1554948855</v>
      </c>
      <c r="H526" s="475">
        <f t="shared" si="18"/>
        <v>6402460.8429500507</v>
      </c>
      <c r="I526" s="475">
        <f t="shared" si="18"/>
        <v>6868127.93224221</v>
      </c>
      <c r="J526" s="475">
        <f t="shared" si="18"/>
        <v>7281646.4692399325</v>
      </c>
      <c r="K526" s="475">
        <f t="shared" si="18"/>
        <v>7650649.962975869</v>
      </c>
      <c r="L526" s="475">
        <f t="shared" si="18"/>
        <v>7969518.4968252648</v>
      </c>
      <c r="M526" s="475">
        <f t="shared" si="18"/>
        <v>8227432.6743829194</v>
      </c>
      <c r="N526" s="784"/>
    </row>
    <row r="527" spans="2:14" x14ac:dyDescent="0.25">
      <c r="B527" s="784"/>
      <c r="C527" s="801" t="s">
        <v>480</v>
      </c>
      <c r="D527" s="791"/>
      <c r="E527" s="791"/>
      <c r="F527" s="475">
        <f t="shared" ref="F527:M528" si="19">F21</f>
        <v>4607471.2188740289</v>
      </c>
      <c r="G527" s="475">
        <f t="shared" si="19"/>
        <v>4865812.8875058061</v>
      </c>
      <c r="H527" s="475">
        <f t="shared" si="19"/>
        <v>5121968.6743600406</v>
      </c>
      <c r="I527" s="475">
        <f t="shared" si="19"/>
        <v>5357139.7871489236</v>
      </c>
      <c r="J527" s="475">
        <f t="shared" si="19"/>
        <v>5606867.7813147483</v>
      </c>
      <c r="K527" s="475">
        <f t="shared" si="19"/>
        <v>5814493.9718616605</v>
      </c>
      <c r="L527" s="475">
        <f t="shared" si="19"/>
        <v>5977138.872618949</v>
      </c>
      <c r="M527" s="475">
        <f t="shared" si="19"/>
        <v>6088300.1790433601</v>
      </c>
      <c r="N527" s="784"/>
    </row>
    <row r="528" spans="2:14" x14ac:dyDescent="0.25">
      <c r="B528" s="784"/>
      <c r="C528" s="837" t="s">
        <v>481</v>
      </c>
      <c r="D528" s="807"/>
      <c r="E528" s="807"/>
      <c r="F528" s="838">
        <f t="shared" si="19"/>
        <v>813083.15627188794</v>
      </c>
      <c r="G528" s="838">
        <f t="shared" si="19"/>
        <v>1068105.2679890795</v>
      </c>
      <c r="H528" s="838">
        <f t="shared" si="19"/>
        <v>1280492.1685900101</v>
      </c>
      <c r="I528" s="838">
        <f t="shared" si="19"/>
        <v>1510988.1450932864</v>
      </c>
      <c r="J528" s="838">
        <f t="shared" si="19"/>
        <v>1674778.6879251841</v>
      </c>
      <c r="K528" s="838">
        <f t="shared" si="19"/>
        <v>1836155.9911142085</v>
      </c>
      <c r="L528" s="838">
        <f t="shared" si="19"/>
        <v>1992379.6242063157</v>
      </c>
      <c r="M528" s="838">
        <f t="shared" si="19"/>
        <v>2139132.4953395594</v>
      </c>
      <c r="N528" s="784"/>
    </row>
    <row r="529" spans="2:14" x14ac:dyDescent="0.25">
      <c r="B529" s="784"/>
      <c r="C529" s="784"/>
      <c r="D529" s="784"/>
      <c r="E529" s="784"/>
      <c r="F529" s="784"/>
      <c r="G529" s="784"/>
      <c r="H529" s="784"/>
      <c r="I529" s="784"/>
      <c r="J529" s="784"/>
      <c r="K529" s="784"/>
      <c r="L529" s="784"/>
      <c r="M529" s="784"/>
      <c r="N529" s="784"/>
    </row>
    <row r="530" spans="2:14" x14ac:dyDescent="0.25">
      <c r="B530" s="784"/>
      <c r="C530" s="785" t="s">
        <v>2007</v>
      </c>
      <c r="D530" s="784"/>
      <c r="E530" s="786"/>
      <c r="F530" s="784"/>
      <c r="G530" s="784"/>
      <c r="H530" s="784"/>
      <c r="I530" s="784"/>
      <c r="J530" s="784"/>
      <c r="K530" s="784"/>
      <c r="L530" s="784"/>
      <c r="M530" s="786" t="s">
        <v>171</v>
      </c>
      <c r="N530" s="784"/>
    </row>
    <row r="531" spans="2:14" ht="5.25" customHeight="1" x14ac:dyDescent="0.25">
      <c r="B531" s="784"/>
      <c r="C531" s="784"/>
      <c r="D531" s="784"/>
      <c r="E531" s="784"/>
      <c r="F531" s="784"/>
      <c r="G531" s="784"/>
      <c r="H531" s="784"/>
      <c r="I531" s="784"/>
      <c r="J531" s="784"/>
      <c r="K531" s="784"/>
      <c r="L531" s="784"/>
      <c r="M531" s="784"/>
      <c r="N531" s="784"/>
    </row>
    <row r="532" spans="2:14" x14ac:dyDescent="0.25">
      <c r="B532" s="784"/>
      <c r="C532" s="787" t="s">
        <v>488</v>
      </c>
      <c r="D532" s="787" t="s">
        <v>483</v>
      </c>
      <c r="E532" s="787" t="s">
        <v>8</v>
      </c>
      <c r="F532" s="788">
        <v>2015</v>
      </c>
      <c r="G532" s="789">
        <v>2020</v>
      </c>
      <c r="H532" s="788">
        <v>2025</v>
      </c>
      <c r="I532" s="788">
        <v>2030</v>
      </c>
      <c r="J532" s="788">
        <v>2035</v>
      </c>
      <c r="K532" s="788">
        <v>2040</v>
      </c>
      <c r="L532" s="788">
        <v>2045</v>
      </c>
      <c r="M532" s="788">
        <v>2050</v>
      </c>
      <c r="N532" s="784"/>
    </row>
    <row r="533" spans="2:14" x14ac:dyDescent="0.25">
      <c r="B533" s="784"/>
      <c r="C533" s="806" t="s">
        <v>479</v>
      </c>
      <c r="D533" s="807"/>
      <c r="E533" s="839"/>
      <c r="F533" s="840">
        <f t="shared" ref="F533:M533" si="20">F35</f>
        <v>49.668117513432826</v>
      </c>
      <c r="G533" s="840">
        <f t="shared" si="20"/>
        <v>55.48285931895176</v>
      </c>
      <c r="H533" s="840">
        <f t="shared" si="20"/>
        <v>63.729252131304541</v>
      </c>
      <c r="I533" s="840">
        <f t="shared" si="20"/>
        <v>73.541463968046287</v>
      </c>
      <c r="J533" s="840">
        <f t="shared" si="20"/>
        <v>85.015140956756909</v>
      </c>
      <c r="K533" s="840">
        <f t="shared" si="20"/>
        <v>98.828088195868162</v>
      </c>
      <c r="L533" s="840">
        <f t="shared" si="20"/>
        <v>115.59674427764985</v>
      </c>
      <c r="M533" s="840">
        <f t="shared" si="20"/>
        <v>133.42997120831023</v>
      </c>
      <c r="N533" s="784"/>
    </row>
    <row r="534" spans="2:14" x14ac:dyDescent="0.25">
      <c r="B534" s="784"/>
      <c r="C534" s="790"/>
      <c r="D534" s="791"/>
      <c r="E534" s="792"/>
      <c r="F534" s="794"/>
      <c r="G534" s="794"/>
      <c r="H534" s="794"/>
      <c r="I534" s="794"/>
      <c r="J534" s="794"/>
      <c r="K534" s="794"/>
      <c r="L534" s="794"/>
      <c r="M534" s="794"/>
      <c r="N534" s="784"/>
    </row>
    <row r="535" spans="2:14" x14ac:dyDescent="0.25">
      <c r="B535" s="784"/>
      <c r="C535" s="785" t="s">
        <v>2008</v>
      </c>
      <c r="D535" s="791"/>
      <c r="E535" s="792"/>
      <c r="F535" s="794"/>
      <c r="G535" s="794"/>
      <c r="H535" s="794"/>
      <c r="I535" s="794"/>
      <c r="J535" s="794"/>
      <c r="K535" s="794"/>
      <c r="L535" s="794"/>
      <c r="M535" s="841" t="s">
        <v>515</v>
      </c>
      <c r="N535" s="784"/>
    </row>
    <row r="536" spans="2:14" ht="4.5" customHeight="1" x14ac:dyDescent="0.25">
      <c r="B536" s="784"/>
      <c r="C536" s="801"/>
      <c r="D536" s="791"/>
      <c r="E536" s="791"/>
      <c r="F536" s="178"/>
      <c r="G536" s="178"/>
      <c r="H536" s="178"/>
      <c r="I536" s="178"/>
      <c r="J536" s="178"/>
      <c r="K536" s="178"/>
      <c r="L536" s="178"/>
      <c r="M536" s="475"/>
      <c r="N536" s="784"/>
    </row>
    <row r="537" spans="2:14" x14ac:dyDescent="0.25">
      <c r="B537" s="784"/>
      <c r="C537" s="842" t="s">
        <v>516</v>
      </c>
      <c r="D537" s="843"/>
      <c r="E537" s="843"/>
      <c r="F537" s="844">
        <v>0</v>
      </c>
      <c r="G537" s="844">
        <f t="shared" ref="G537:M537" si="21">G527-F527</f>
        <v>258341.66863177717</v>
      </c>
      <c r="H537" s="844">
        <f t="shared" si="21"/>
        <v>256155.78685423452</v>
      </c>
      <c r="I537" s="844">
        <f t="shared" si="21"/>
        <v>235171.11278888304</v>
      </c>
      <c r="J537" s="844">
        <f t="shared" si="21"/>
        <v>249727.99416582473</v>
      </c>
      <c r="K537" s="844">
        <f t="shared" si="21"/>
        <v>207626.19054691214</v>
      </c>
      <c r="L537" s="844">
        <f t="shared" si="21"/>
        <v>162644.90075728856</v>
      </c>
      <c r="M537" s="844">
        <f t="shared" si="21"/>
        <v>111161.30642441101</v>
      </c>
      <c r="N537" s="784"/>
    </row>
    <row r="538" spans="2:14" x14ac:dyDescent="0.25">
      <c r="B538" s="784"/>
      <c r="C538" s="801" t="s">
        <v>517</v>
      </c>
      <c r="D538" s="791"/>
      <c r="E538" s="791"/>
      <c r="F538" s="475">
        <f>0</f>
        <v>0</v>
      </c>
      <c r="G538" s="475">
        <f t="shared" ref="G538:M538" si="22">G537+F538</f>
        <v>258341.66863177717</v>
      </c>
      <c r="H538" s="475">
        <f t="shared" si="22"/>
        <v>514497.45548601169</v>
      </c>
      <c r="I538" s="475">
        <f t="shared" si="22"/>
        <v>749668.56827489473</v>
      </c>
      <c r="J538" s="475">
        <f t="shared" si="22"/>
        <v>999396.56244071946</v>
      </c>
      <c r="K538" s="475">
        <f t="shared" si="22"/>
        <v>1207022.7529876316</v>
      </c>
      <c r="L538" s="475">
        <f t="shared" si="22"/>
        <v>1369667.6537449202</v>
      </c>
      <c r="M538" s="475">
        <f t="shared" si="22"/>
        <v>1480828.9601693312</v>
      </c>
      <c r="N538" s="784"/>
    </row>
    <row r="539" spans="2:14" x14ac:dyDescent="0.25">
      <c r="B539" s="784"/>
      <c r="C539" s="837" t="s">
        <v>485</v>
      </c>
      <c r="D539" s="807"/>
      <c r="E539" s="807"/>
      <c r="F539" s="838">
        <f>F527</f>
        <v>4607471.2188740289</v>
      </c>
      <c r="G539" s="838">
        <f>F539</f>
        <v>4607471.2188740289</v>
      </c>
      <c r="H539" s="838">
        <f t="shared" ref="H539:M539" si="23">G539</f>
        <v>4607471.2188740289</v>
      </c>
      <c r="I539" s="838">
        <f t="shared" si="23"/>
        <v>4607471.2188740289</v>
      </c>
      <c r="J539" s="838">
        <f t="shared" si="23"/>
        <v>4607471.2188740289</v>
      </c>
      <c r="K539" s="838">
        <f t="shared" si="23"/>
        <v>4607471.2188740289</v>
      </c>
      <c r="L539" s="838">
        <f t="shared" si="23"/>
        <v>4607471.2188740289</v>
      </c>
      <c r="M539" s="838">
        <f t="shared" si="23"/>
        <v>4607471.2188740289</v>
      </c>
      <c r="N539" s="784"/>
    </row>
    <row r="540" spans="2:14" x14ac:dyDescent="0.25">
      <c r="B540" s="784"/>
      <c r="C540" s="801"/>
      <c r="D540" s="791"/>
      <c r="E540" s="791"/>
      <c r="F540" s="475"/>
      <c r="G540" s="475"/>
      <c r="H540" s="475"/>
      <c r="I540" s="475"/>
      <c r="J540" s="475"/>
      <c r="K540" s="475"/>
      <c r="L540" s="475"/>
      <c r="M540" s="475"/>
      <c r="N540" s="784"/>
    </row>
    <row r="541" spans="2:14" x14ac:dyDescent="0.25">
      <c r="B541" s="784"/>
      <c r="C541" s="785" t="s">
        <v>2010</v>
      </c>
      <c r="D541" s="791"/>
      <c r="E541" s="791"/>
      <c r="F541" s="178"/>
      <c r="G541" s="178"/>
      <c r="H541" s="178"/>
      <c r="I541" s="178"/>
      <c r="J541" s="178"/>
      <c r="K541" s="178"/>
      <c r="L541" s="178"/>
      <c r="M541" s="841" t="s">
        <v>518</v>
      </c>
      <c r="N541" s="784"/>
    </row>
    <row r="542" spans="2:14" ht="6" customHeight="1" x14ac:dyDescent="0.25">
      <c r="B542" s="784"/>
      <c r="C542" s="837"/>
      <c r="D542" s="807"/>
      <c r="E542" s="807"/>
      <c r="F542" s="473"/>
      <c r="G542" s="473"/>
      <c r="H542" s="473"/>
      <c r="I542" s="473"/>
      <c r="J542" s="473"/>
      <c r="K542" s="473"/>
      <c r="L542" s="473"/>
      <c r="M542" s="473"/>
      <c r="N542" s="784"/>
    </row>
    <row r="543" spans="2:14" x14ac:dyDescent="0.25">
      <c r="B543" s="784"/>
      <c r="C543" s="801" t="s">
        <v>519</v>
      </c>
      <c r="D543" s="791"/>
      <c r="E543" s="791"/>
      <c r="F543" s="475">
        <v>0</v>
      </c>
      <c r="G543" s="475">
        <f t="shared" ref="G543:M543" si="24">G528-F528</f>
        <v>255022.11171719152</v>
      </c>
      <c r="H543" s="475">
        <f t="shared" si="24"/>
        <v>212386.90060093068</v>
      </c>
      <c r="I543" s="475">
        <f t="shared" si="24"/>
        <v>230495.97650327627</v>
      </c>
      <c r="J543" s="475">
        <f t="shared" si="24"/>
        <v>163790.54283189774</v>
      </c>
      <c r="K543" s="475">
        <f t="shared" si="24"/>
        <v>161377.30318902433</v>
      </c>
      <c r="L543" s="475">
        <f t="shared" si="24"/>
        <v>156223.63309210725</v>
      </c>
      <c r="M543" s="475">
        <f t="shared" si="24"/>
        <v>146752.87113324367</v>
      </c>
      <c r="N543" s="784"/>
    </row>
    <row r="544" spans="2:14" x14ac:dyDescent="0.25">
      <c r="B544" s="784"/>
      <c r="C544" s="801" t="s">
        <v>520</v>
      </c>
      <c r="D544" s="791"/>
      <c r="E544" s="791"/>
      <c r="F544" s="475">
        <f>0</f>
        <v>0</v>
      </c>
      <c r="G544" s="475">
        <f t="shared" ref="G544:M544" si="25">G543+F544</f>
        <v>255022.11171719152</v>
      </c>
      <c r="H544" s="475">
        <f t="shared" si="25"/>
        <v>467409.0123181222</v>
      </c>
      <c r="I544" s="475">
        <f t="shared" si="25"/>
        <v>697904.98882139847</v>
      </c>
      <c r="J544" s="475">
        <f t="shared" si="25"/>
        <v>861695.5316532962</v>
      </c>
      <c r="K544" s="475">
        <f t="shared" si="25"/>
        <v>1023072.8348423205</v>
      </c>
      <c r="L544" s="475">
        <f t="shared" si="25"/>
        <v>1179296.4679344278</v>
      </c>
      <c r="M544" s="475">
        <f t="shared" si="25"/>
        <v>1326049.3390676714</v>
      </c>
      <c r="N544" s="784"/>
    </row>
    <row r="545" spans="2:14" x14ac:dyDescent="0.25">
      <c r="B545" s="784"/>
      <c r="C545" s="837" t="s">
        <v>487</v>
      </c>
      <c r="D545" s="807"/>
      <c r="E545" s="807"/>
      <c r="F545" s="838">
        <f>F528</f>
        <v>813083.15627188794</v>
      </c>
      <c r="G545" s="838">
        <f>F545</f>
        <v>813083.15627188794</v>
      </c>
      <c r="H545" s="838">
        <f t="shared" ref="H545:M545" si="26">G545</f>
        <v>813083.15627188794</v>
      </c>
      <c r="I545" s="838">
        <f t="shared" si="26"/>
        <v>813083.15627188794</v>
      </c>
      <c r="J545" s="838">
        <f t="shared" si="26"/>
        <v>813083.15627188794</v>
      </c>
      <c r="K545" s="838">
        <f t="shared" si="26"/>
        <v>813083.15627188794</v>
      </c>
      <c r="L545" s="838">
        <f t="shared" si="26"/>
        <v>813083.15627188794</v>
      </c>
      <c r="M545" s="838">
        <f t="shared" si="26"/>
        <v>813083.15627188794</v>
      </c>
      <c r="N545" s="784"/>
    </row>
    <row r="546" spans="2:14" x14ac:dyDescent="0.25">
      <c r="B546" s="784"/>
      <c r="C546" s="800"/>
      <c r="D546" s="791"/>
      <c r="E546" s="791"/>
      <c r="F546" s="178"/>
      <c r="G546" s="178"/>
      <c r="H546" s="178"/>
      <c r="I546" s="178"/>
      <c r="J546" s="178"/>
      <c r="K546" s="178"/>
      <c r="L546" s="178"/>
      <c r="M546" s="178"/>
      <c r="N546" s="784"/>
    </row>
    <row r="547" spans="2:14" x14ac:dyDescent="0.25">
      <c r="B547" s="784"/>
      <c r="C547" s="785" t="s">
        <v>2011</v>
      </c>
      <c r="D547" s="791"/>
      <c r="E547" s="791"/>
      <c r="F547" s="178"/>
      <c r="G547" s="178"/>
      <c r="H547" s="178"/>
      <c r="I547" s="178"/>
      <c r="J547" s="178"/>
      <c r="K547" s="178"/>
      <c r="L547" s="178"/>
      <c r="M547" s="178"/>
      <c r="N547" s="784"/>
    </row>
    <row r="548" spans="2:14" ht="4.5" customHeight="1" x14ac:dyDescent="0.25">
      <c r="B548" s="784"/>
      <c r="C548" s="814"/>
      <c r="D548" s="807"/>
      <c r="E548" s="807"/>
      <c r="F548" s="473"/>
      <c r="G548" s="473"/>
      <c r="H548" s="473"/>
      <c r="I548" s="473"/>
      <c r="J548" s="473"/>
      <c r="K548" s="473"/>
      <c r="L548" s="473"/>
      <c r="M548" s="473"/>
      <c r="N548" s="784"/>
    </row>
    <row r="549" spans="2:14" x14ac:dyDescent="0.25">
      <c r="B549" s="784"/>
      <c r="C549" s="801" t="s">
        <v>120</v>
      </c>
      <c r="D549" s="791"/>
      <c r="E549" s="791"/>
      <c r="F549" s="475"/>
      <c r="G549" s="475"/>
      <c r="H549" s="475"/>
      <c r="I549" s="475"/>
      <c r="J549" s="475"/>
      <c r="K549" s="475"/>
      <c r="L549" s="475"/>
      <c r="M549" s="475"/>
      <c r="N549" s="784"/>
    </row>
    <row r="550" spans="2:14" ht="4.5" customHeight="1" x14ac:dyDescent="0.25">
      <c r="B550" s="784"/>
      <c r="C550" s="800"/>
      <c r="D550" s="791"/>
      <c r="E550" s="791"/>
      <c r="F550" s="178"/>
      <c r="G550" s="178"/>
      <c r="H550" s="178"/>
      <c r="I550" s="178"/>
      <c r="J550" s="178"/>
      <c r="K550" s="178"/>
      <c r="L550" s="178"/>
      <c r="M550" s="178"/>
      <c r="N550" s="784"/>
    </row>
    <row r="551" spans="2:14" x14ac:dyDescent="0.25">
      <c r="B551" s="784"/>
      <c r="C551" s="787" t="s">
        <v>507</v>
      </c>
      <c r="D551" s="787" t="s">
        <v>521</v>
      </c>
      <c r="E551" s="787"/>
      <c r="F551" s="788">
        <v>2015</v>
      </c>
      <c r="G551" s="789">
        <v>2020</v>
      </c>
      <c r="H551" s="788">
        <v>2025</v>
      </c>
      <c r="I551" s="788">
        <v>2030</v>
      </c>
      <c r="J551" s="788">
        <v>2035</v>
      </c>
      <c r="K551" s="788">
        <v>2040</v>
      </c>
      <c r="L551" s="788">
        <v>2045</v>
      </c>
      <c r="M551" s="788">
        <v>2050</v>
      </c>
      <c r="N551" s="784"/>
    </row>
    <row r="552" spans="2:14" x14ac:dyDescent="0.25">
      <c r="B552" s="784"/>
      <c r="C552" s="800">
        <v>1</v>
      </c>
      <c r="D552" s="791" t="s">
        <v>522</v>
      </c>
      <c r="E552" s="791"/>
      <c r="F552" s="475">
        <v>92077.439841613668</v>
      </c>
      <c r="G552" s="475">
        <v>101241.1622370874</v>
      </c>
      <c r="H552" s="475">
        <v>109518.55093580043</v>
      </c>
      <c r="I552" s="475">
        <v>117676.73041209183</v>
      </c>
      <c r="J552" s="475">
        <v>125317.11000910337</v>
      </c>
      <c r="K552" s="475">
        <v>132226.58589822179</v>
      </c>
      <c r="L552" s="475">
        <v>137971.77917196718</v>
      </c>
      <c r="M552" s="475">
        <v>142226.9928596277</v>
      </c>
      <c r="N552" s="784"/>
    </row>
    <row r="553" spans="2:14" x14ac:dyDescent="0.25">
      <c r="B553" s="784"/>
      <c r="C553" s="800">
        <v>2</v>
      </c>
      <c r="D553" s="791" t="s">
        <v>522</v>
      </c>
      <c r="E553" s="791"/>
      <c r="F553" s="475">
        <v>157297.67509488136</v>
      </c>
      <c r="G553" s="475">
        <v>172952.23967120305</v>
      </c>
      <c r="H553" s="475">
        <v>187092.66321473179</v>
      </c>
      <c r="I553" s="475">
        <v>201029.43933312525</v>
      </c>
      <c r="J553" s="475">
        <v>214081.64788192479</v>
      </c>
      <c r="K553" s="475">
        <v>225885.23946040473</v>
      </c>
      <c r="L553" s="475">
        <v>235699.86448131542</v>
      </c>
      <c r="M553" s="475">
        <v>242969.12849704246</v>
      </c>
      <c r="N553" s="784"/>
    </row>
    <row r="554" spans="2:14" x14ac:dyDescent="0.25">
      <c r="B554" s="784"/>
      <c r="C554" s="800">
        <v>3</v>
      </c>
      <c r="D554" s="791" t="s">
        <v>522</v>
      </c>
      <c r="E554" s="791"/>
      <c r="F554" s="475">
        <v>81476.672406580561</v>
      </c>
      <c r="G554" s="475">
        <v>89585.386212320256</v>
      </c>
      <c r="H554" s="475">
        <v>96909.808878144395</v>
      </c>
      <c r="I554" s="475">
        <v>104128.74673922376</v>
      </c>
      <c r="J554" s="475">
        <v>110889.49841258091</v>
      </c>
      <c r="K554" s="475">
        <v>117003.49446294073</v>
      </c>
      <c r="L554" s="475">
        <v>122087.25038711325</v>
      </c>
      <c r="M554" s="475">
        <v>125852.56632384962</v>
      </c>
      <c r="N554" s="784"/>
    </row>
    <row r="555" spans="2:14" x14ac:dyDescent="0.25">
      <c r="B555" s="784"/>
      <c r="C555" s="800">
        <v>4</v>
      </c>
      <c r="D555" s="791" t="s">
        <v>522</v>
      </c>
      <c r="E555" s="791"/>
      <c r="F555" s="475">
        <v>217471.30950652185</v>
      </c>
      <c r="G555" s="475">
        <v>239114.46892457141</v>
      </c>
      <c r="H555" s="475">
        <v>258664.25834856092</v>
      </c>
      <c r="I555" s="475">
        <v>277932.49579032889</v>
      </c>
      <c r="J555" s="475">
        <v>295977.77766336035</v>
      </c>
      <c r="K555" s="475">
        <v>312296.78883694456</v>
      </c>
      <c r="L555" s="475">
        <v>325865.96177179855</v>
      </c>
      <c r="M555" s="475">
        <v>335916.05541555543</v>
      </c>
      <c r="N555" s="784"/>
    </row>
    <row r="556" spans="2:14" x14ac:dyDescent="0.25">
      <c r="B556" s="784"/>
      <c r="C556" s="800">
        <v>5</v>
      </c>
      <c r="D556" s="791" t="s">
        <v>522</v>
      </c>
      <c r="E556" s="791"/>
      <c r="F556" s="475">
        <v>580868.20715812198</v>
      </c>
      <c r="G556" s="475">
        <v>638677.31879187003</v>
      </c>
      <c r="H556" s="475">
        <v>690895.01665187685</v>
      </c>
      <c r="I556" s="475">
        <v>742360.68613855052</v>
      </c>
      <c r="J556" s="475">
        <v>790559.8281450799</v>
      </c>
      <c r="K556" s="475">
        <v>834148.08254288102</v>
      </c>
      <c r="L556" s="475">
        <v>870391.48942341376</v>
      </c>
      <c r="M556" s="475">
        <v>897235.39766062982</v>
      </c>
      <c r="N556" s="784"/>
    </row>
    <row r="557" spans="2:14" x14ac:dyDescent="0.25">
      <c r="B557" s="784"/>
      <c r="C557" s="800">
        <v>6</v>
      </c>
      <c r="D557" s="791" t="s">
        <v>522</v>
      </c>
      <c r="E557" s="791"/>
      <c r="F557" s="475">
        <v>283056.96389806637</v>
      </c>
      <c r="G557" s="475">
        <v>311227.33270642278</v>
      </c>
      <c r="H557" s="475">
        <v>336673.00667490112</v>
      </c>
      <c r="I557" s="475">
        <v>361752.2173639338</v>
      </c>
      <c r="J557" s="475">
        <v>385239.64984988159</v>
      </c>
      <c r="K557" s="475">
        <v>406480.1977046543</v>
      </c>
      <c r="L557" s="475">
        <v>424141.60279879341</v>
      </c>
      <c r="M557" s="475">
        <v>437222.63403987198</v>
      </c>
      <c r="N557" s="784"/>
    </row>
    <row r="558" spans="2:14" x14ac:dyDescent="0.25">
      <c r="B558" s="784"/>
      <c r="C558" s="800">
        <v>7</v>
      </c>
      <c r="D558" s="791" t="s">
        <v>522</v>
      </c>
      <c r="E558" s="791"/>
      <c r="F558" s="475">
        <v>335255.51306706906</v>
      </c>
      <c r="G558" s="475">
        <v>368620.78102611896</v>
      </c>
      <c r="H558" s="475">
        <v>398758.89303071052</v>
      </c>
      <c r="I558" s="475">
        <v>428462.96224377753</v>
      </c>
      <c r="J558" s="475">
        <v>456281.71335403196</v>
      </c>
      <c r="K558" s="475">
        <v>481439.2317235212</v>
      </c>
      <c r="L558" s="475">
        <v>502357.57743309095</v>
      </c>
      <c r="M558" s="475">
        <v>517850.88231342391</v>
      </c>
      <c r="N558" s="784"/>
    </row>
    <row r="559" spans="2:14" x14ac:dyDescent="0.25">
      <c r="B559" s="784"/>
      <c r="C559" s="800">
        <v>8</v>
      </c>
      <c r="D559" s="791" t="s">
        <v>522</v>
      </c>
      <c r="E559" s="791"/>
      <c r="F559" s="475">
        <v>626492.23074929998</v>
      </c>
      <c r="G559" s="475">
        <v>688841.93221127591</v>
      </c>
      <c r="H559" s="475">
        <v>745161.04490115901</v>
      </c>
      <c r="I559" s="475">
        <v>800669.0614983479</v>
      </c>
      <c r="J559" s="475">
        <v>852653.98273135466</v>
      </c>
      <c r="K559" s="475">
        <v>899665.8563295817</v>
      </c>
      <c r="L559" s="475">
        <v>938755.98477305239</v>
      </c>
      <c r="M559" s="475">
        <v>967708.33531714929</v>
      </c>
      <c r="N559" s="784"/>
    </row>
    <row r="560" spans="2:14" x14ac:dyDescent="0.25">
      <c r="B560" s="784"/>
      <c r="C560" s="800">
        <v>9</v>
      </c>
      <c r="D560" s="791" t="s">
        <v>522</v>
      </c>
      <c r="E560" s="791"/>
      <c r="F560" s="475">
        <v>306749.96853356139</v>
      </c>
      <c r="G560" s="475">
        <v>337278.31034342421</v>
      </c>
      <c r="H560" s="475">
        <v>364853.88941293216</v>
      </c>
      <c r="I560" s="475">
        <v>392032.33075478772</v>
      </c>
      <c r="J560" s="475">
        <v>417485.75566537637</v>
      </c>
      <c r="K560" s="475">
        <v>440504.22267766827</v>
      </c>
      <c r="L560" s="475">
        <v>459643.95830641838</v>
      </c>
      <c r="M560" s="475">
        <v>473819.92439581791</v>
      </c>
      <c r="N560" s="784"/>
    </row>
    <row r="561" spans="2:14" x14ac:dyDescent="0.25">
      <c r="B561" s="784"/>
      <c r="C561" s="800">
        <v>10</v>
      </c>
      <c r="D561" s="791" t="s">
        <v>522</v>
      </c>
      <c r="E561" s="791"/>
      <c r="F561" s="475">
        <v>271045.65043266118</v>
      </c>
      <c r="G561" s="475">
        <v>298020.63042057125</v>
      </c>
      <c r="H561" s="475">
        <v>322386.53598425613</v>
      </c>
      <c r="I561" s="475">
        <v>346401.52886743611</v>
      </c>
      <c r="J561" s="475">
        <v>368892.2894814004</v>
      </c>
      <c r="K561" s="475">
        <v>389231.51035609399</v>
      </c>
      <c r="L561" s="475">
        <v>406143.46675303869</v>
      </c>
      <c r="M561" s="475">
        <v>418669.41408265434</v>
      </c>
      <c r="N561" s="784"/>
    </row>
    <row r="562" spans="2:14" x14ac:dyDescent="0.25">
      <c r="B562" s="784"/>
      <c r="C562" s="800">
        <v>11</v>
      </c>
      <c r="D562" s="791" t="s">
        <v>522</v>
      </c>
      <c r="E562" s="791"/>
      <c r="F562" s="475">
        <v>33969.836842658719</v>
      </c>
      <c r="G562" s="475">
        <v>37350.579782309556</v>
      </c>
      <c r="H562" s="475">
        <v>40404.3304519874</v>
      </c>
      <c r="I562" s="475">
        <v>43414.101642622722</v>
      </c>
      <c r="J562" s="475">
        <v>46232.842571702757</v>
      </c>
      <c r="K562" s="475">
        <v>48781.933521943967</v>
      </c>
      <c r="L562" s="475">
        <v>50901.48939224596</v>
      </c>
      <c r="M562" s="475">
        <v>52471.35183574049</v>
      </c>
      <c r="N562" s="784"/>
    </row>
    <row r="563" spans="2:14" x14ac:dyDescent="0.25">
      <c r="B563" s="784"/>
      <c r="C563" s="800">
        <v>12</v>
      </c>
      <c r="D563" s="791" t="s">
        <v>522</v>
      </c>
      <c r="E563" s="791"/>
      <c r="F563" s="475">
        <v>48149.248101123441</v>
      </c>
      <c r="G563" s="475">
        <v>52941.153087930834</v>
      </c>
      <c r="H563" s="475">
        <v>57269.575367800171</v>
      </c>
      <c r="I563" s="475">
        <v>61535.660614448403</v>
      </c>
      <c r="J563" s="475">
        <v>65530.977311307855</v>
      </c>
      <c r="K563" s="475">
        <v>69144.088942193339</v>
      </c>
      <c r="L563" s="475">
        <v>72148.372475731085</v>
      </c>
      <c r="M563" s="475">
        <v>74373.514051375401</v>
      </c>
      <c r="N563" s="784"/>
    </row>
    <row r="564" spans="2:14" x14ac:dyDescent="0.25">
      <c r="B564" s="784"/>
      <c r="C564" s="800">
        <v>13</v>
      </c>
      <c r="D564" s="791" t="s">
        <v>522</v>
      </c>
      <c r="E564" s="791"/>
      <c r="F564" s="475">
        <v>2213434.2992625488</v>
      </c>
      <c r="G564" s="475">
        <v>2433719.5015222128</v>
      </c>
      <c r="H564" s="475">
        <v>2632698.2751020947</v>
      </c>
      <c r="I564" s="475">
        <v>2828811.3979628603</v>
      </c>
      <c r="J564" s="475">
        <v>3012477.2154367315</v>
      </c>
      <c r="K564" s="475">
        <v>3178572.9599449364</v>
      </c>
      <c r="L564" s="475">
        <v>3316680.7078349181</v>
      </c>
      <c r="M564" s="475">
        <v>3418971.0836659647</v>
      </c>
      <c r="N564" s="784"/>
    </row>
    <row r="565" spans="2:14" x14ac:dyDescent="0.25">
      <c r="B565" s="784"/>
      <c r="C565" s="800">
        <v>14</v>
      </c>
      <c r="D565" s="791" t="s">
        <v>522</v>
      </c>
      <c r="E565" s="791"/>
      <c r="F565" s="475">
        <v>120768.9842711625</v>
      </c>
      <c r="G565" s="475">
        <v>132788.1438801605</v>
      </c>
      <c r="H565" s="475">
        <v>143644.78615084826</v>
      </c>
      <c r="I565" s="475">
        <v>154345.07332812354</v>
      </c>
      <c r="J565" s="475">
        <v>164366.21297931726</v>
      </c>
      <c r="K565" s="475">
        <v>173428.6976271343</v>
      </c>
      <c r="L565" s="475">
        <v>180964.10648847156</v>
      </c>
      <c r="M565" s="475">
        <v>186545.25465896245</v>
      </c>
      <c r="N565" s="784"/>
    </row>
    <row r="566" spans="2:14" x14ac:dyDescent="0.25">
      <c r="B566" s="784"/>
      <c r="C566" s="814">
        <v>15</v>
      </c>
      <c r="D566" s="826" t="s">
        <v>522</v>
      </c>
      <c r="E566" s="826"/>
      <c r="F566" s="838">
        <v>52440.375980040044</v>
      </c>
      <c r="G566" s="838">
        <v>57659.342196107398</v>
      </c>
      <c r="H566" s="838">
        <v>62373.519482531818</v>
      </c>
      <c r="I566" s="838">
        <v>67019.804172736884</v>
      </c>
      <c r="J566" s="838">
        <v>71371.189043848761</v>
      </c>
      <c r="K566" s="838">
        <v>75306.306202554086</v>
      </c>
      <c r="L566" s="838">
        <v>78578.335658102049</v>
      </c>
      <c r="M566" s="838">
        <v>81001.784942097904</v>
      </c>
      <c r="N566" s="784"/>
    </row>
    <row r="567" spans="2:14" ht="5.25" customHeight="1" x14ac:dyDescent="0.25">
      <c r="B567" s="784"/>
      <c r="C567" s="800"/>
      <c r="D567" s="824"/>
      <c r="E567" s="824"/>
      <c r="F567" s="178"/>
      <c r="G567" s="178"/>
      <c r="H567" s="178"/>
      <c r="I567" s="178"/>
      <c r="J567" s="178"/>
      <c r="K567" s="178"/>
      <c r="L567" s="178"/>
      <c r="M567" s="178"/>
      <c r="N567" s="784"/>
    </row>
    <row r="568" spans="2:14" x14ac:dyDescent="0.25">
      <c r="B568" s="784"/>
      <c r="C568" s="800">
        <v>1</v>
      </c>
      <c r="D568" s="824" t="s">
        <v>481</v>
      </c>
      <c r="E568" s="824"/>
      <c r="F568" s="475">
        <v>13811.615976242056</v>
      </c>
      <c r="G568" s="475">
        <v>18223.409202675743</v>
      </c>
      <c r="H568" s="475">
        <v>21903.710187160075</v>
      </c>
      <c r="I568" s="475">
        <v>25888.880690660193</v>
      </c>
      <c r="J568" s="475">
        <v>28822.935302093782</v>
      </c>
      <c r="K568" s="475">
        <v>31734.380615573227</v>
      </c>
      <c r="L568" s="475">
        <v>34492.944792991788</v>
      </c>
      <c r="M568" s="475">
        <v>36979.018143503214</v>
      </c>
      <c r="N568" s="784"/>
    </row>
    <row r="569" spans="2:14" x14ac:dyDescent="0.25">
      <c r="B569" s="784"/>
      <c r="C569" s="800">
        <v>2</v>
      </c>
      <c r="D569" s="824" t="s">
        <v>481</v>
      </c>
      <c r="E569" s="824"/>
      <c r="F569" s="475">
        <v>23594.651264232212</v>
      </c>
      <c r="G569" s="475">
        <v>31131.403140816565</v>
      </c>
      <c r="H569" s="475">
        <v>37418.532642946338</v>
      </c>
      <c r="I569" s="475">
        <v>44226.476653287536</v>
      </c>
      <c r="J569" s="475">
        <v>49238.779012842708</v>
      </c>
      <c r="K569" s="475">
        <v>54212.457470497131</v>
      </c>
      <c r="L569" s="475">
        <v>58924.966120328849</v>
      </c>
      <c r="M569" s="475">
        <v>63171.973409231054</v>
      </c>
      <c r="N569" s="784"/>
    </row>
    <row r="570" spans="2:14" x14ac:dyDescent="0.25">
      <c r="B570" s="784"/>
      <c r="C570" s="800">
        <v>3</v>
      </c>
      <c r="D570" s="824" t="s">
        <v>481</v>
      </c>
      <c r="E570" s="824"/>
      <c r="F570" s="475">
        <v>12221.500860987087</v>
      </c>
      <c r="G570" s="475">
        <v>16125.369518217656</v>
      </c>
      <c r="H570" s="475">
        <v>19381.961775628868</v>
      </c>
      <c r="I570" s="475">
        <v>22908.324282629219</v>
      </c>
      <c r="J570" s="475">
        <v>25504.584634893614</v>
      </c>
      <c r="K570" s="475">
        <v>28080.838671105772</v>
      </c>
      <c r="L570" s="475">
        <v>30521.812596778309</v>
      </c>
      <c r="M570" s="475">
        <v>32721.667244200908</v>
      </c>
      <c r="N570" s="784"/>
    </row>
    <row r="571" spans="2:14" x14ac:dyDescent="0.25">
      <c r="B571" s="784"/>
      <c r="C571" s="800">
        <v>4</v>
      </c>
      <c r="D571" s="824" t="s">
        <v>481</v>
      </c>
      <c r="E571" s="824"/>
      <c r="F571" s="475">
        <v>32620.696425978287</v>
      </c>
      <c r="G571" s="475">
        <v>43040.604406422877</v>
      </c>
      <c r="H571" s="475">
        <v>51732.851669712159</v>
      </c>
      <c r="I571" s="475">
        <v>61145.14907387233</v>
      </c>
      <c r="J571" s="475">
        <v>68074.888862572887</v>
      </c>
      <c r="K571" s="475">
        <v>74951.229320866696</v>
      </c>
      <c r="L571" s="475">
        <v>81466.490442949624</v>
      </c>
      <c r="M571" s="475">
        <v>87338.174408044433</v>
      </c>
      <c r="N571" s="784"/>
    </row>
    <row r="572" spans="2:14" x14ac:dyDescent="0.25">
      <c r="B572" s="784"/>
      <c r="C572" s="800">
        <v>5</v>
      </c>
      <c r="D572" s="824" t="s">
        <v>481</v>
      </c>
      <c r="E572" s="824"/>
      <c r="F572" s="475">
        <v>87130.231073718329</v>
      </c>
      <c r="G572" s="475">
        <v>114961.91738253667</v>
      </c>
      <c r="H572" s="475">
        <v>138179.0033303753</v>
      </c>
      <c r="I572" s="475">
        <v>163319.35095048105</v>
      </c>
      <c r="J572" s="475">
        <v>181828.7604733684</v>
      </c>
      <c r="K572" s="475">
        <v>200195.53981029143</v>
      </c>
      <c r="L572" s="475">
        <v>217597.87235585341</v>
      </c>
      <c r="M572" s="475">
        <v>233281.20339176382</v>
      </c>
      <c r="N572" s="784"/>
    </row>
    <row r="573" spans="2:14" x14ac:dyDescent="0.25">
      <c r="B573" s="784"/>
      <c r="C573" s="800">
        <v>6</v>
      </c>
      <c r="D573" s="824" t="s">
        <v>481</v>
      </c>
      <c r="E573" s="824"/>
      <c r="F573" s="475">
        <v>42458.544584709969</v>
      </c>
      <c r="G573" s="475">
        <v>56020.919887156131</v>
      </c>
      <c r="H573" s="475">
        <v>67334.601334980194</v>
      </c>
      <c r="I573" s="475">
        <v>79585.487820065406</v>
      </c>
      <c r="J573" s="475">
        <v>88605.119465472788</v>
      </c>
      <c r="K573" s="475">
        <v>97555.247449117029</v>
      </c>
      <c r="L573" s="475">
        <v>106035.40069969834</v>
      </c>
      <c r="M573" s="475">
        <v>113677.88485036674</v>
      </c>
      <c r="N573" s="784"/>
    </row>
    <row r="574" spans="2:14" x14ac:dyDescent="0.25">
      <c r="B574" s="784"/>
      <c r="C574" s="800">
        <v>7</v>
      </c>
      <c r="D574" s="824" t="s">
        <v>481</v>
      </c>
      <c r="E574" s="824"/>
      <c r="F574" s="475">
        <v>50288.326960060374</v>
      </c>
      <c r="G574" s="475">
        <v>66351.740584701445</v>
      </c>
      <c r="H574" s="475">
        <v>79751.778606142063</v>
      </c>
      <c r="I574" s="475">
        <v>94261.851693631019</v>
      </c>
      <c r="J574" s="475">
        <v>104944.79407142737</v>
      </c>
      <c r="K574" s="475">
        <v>115545.41561364508</v>
      </c>
      <c r="L574" s="475">
        <v>125589.39435827272</v>
      </c>
      <c r="M574" s="475">
        <v>134641.22940149024</v>
      </c>
      <c r="N574" s="784"/>
    </row>
    <row r="575" spans="2:14" x14ac:dyDescent="0.25">
      <c r="B575" s="784"/>
      <c r="C575" s="800">
        <v>8</v>
      </c>
      <c r="D575" s="824" t="s">
        <v>481</v>
      </c>
      <c r="E575" s="824"/>
      <c r="F575" s="475">
        <v>93973.834612395032</v>
      </c>
      <c r="G575" s="475">
        <v>123991.54779802973</v>
      </c>
      <c r="H575" s="475">
        <v>149032.20898023172</v>
      </c>
      <c r="I575" s="475">
        <v>176147.19352963648</v>
      </c>
      <c r="J575" s="475">
        <v>196110.41602821159</v>
      </c>
      <c r="K575" s="475">
        <v>215919.80551909961</v>
      </c>
      <c r="L575" s="475">
        <v>234688.99619326307</v>
      </c>
      <c r="M575" s="475">
        <v>251604.16718245888</v>
      </c>
      <c r="N575" s="784"/>
    </row>
    <row r="576" spans="2:14" x14ac:dyDescent="0.25">
      <c r="B576" s="784"/>
      <c r="C576" s="800">
        <v>9</v>
      </c>
      <c r="D576" s="824" t="s">
        <v>481</v>
      </c>
      <c r="E576" s="824"/>
      <c r="F576" s="475">
        <v>46012.495280034222</v>
      </c>
      <c r="G576" s="475">
        <v>60710.095861816393</v>
      </c>
      <c r="H576" s="475">
        <v>72970.777882586393</v>
      </c>
      <c r="I576" s="475">
        <v>86247.112766053266</v>
      </c>
      <c r="J576" s="475">
        <v>96021.723803036584</v>
      </c>
      <c r="K576" s="475">
        <v>105721.01344264038</v>
      </c>
      <c r="L576" s="475">
        <v>114910.98957660458</v>
      </c>
      <c r="M576" s="475">
        <v>123193.18034291269</v>
      </c>
      <c r="N576" s="784"/>
    </row>
    <row r="577" spans="2:14" x14ac:dyDescent="0.25">
      <c r="B577" s="784"/>
      <c r="C577" s="800">
        <v>10</v>
      </c>
      <c r="D577" s="824" t="s">
        <v>481</v>
      </c>
      <c r="E577" s="824"/>
      <c r="F577" s="475">
        <v>40656.847564899188</v>
      </c>
      <c r="G577" s="475">
        <v>53643.713475702854</v>
      </c>
      <c r="H577" s="475">
        <v>64477.307196851194</v>
      </c>
      <c r="I577" s="475">
        <v>76208.336350835918</v>
      </c>
      <c r="J577" s="475">
        <v>84845.226580722112</v>
      </c>
      <c r="K577" s="475">
        <v>93415.562485462549</v>
      </c>
      <c r="L577" s="475">
        <v>101535.86668825966</v>
      </c>
      <c r="M577" s="475">
        <v>108854.04766149016</v>
      </c>
      <c r="N577" s="784"/>
    </row>
    <row r="578" spans="2:14" x14ac:dyDescent="0.25">
      <c r="B578" s="784"/>
      <c r="C578" s="800">
        <v>11</v>
      </c>
      <c r="D578" s="824" t="s">
        <v>481</v>
      </c>
      <c r="E578" s="824"/>
      <c r="F578" s="475">
        <v>5095.4755263988091</v>
      </c>
      <c r="G578" s="475">
        <v>6723.1043608157242</v>
      </c>
      <c r="H578" s="475">
        <v>8080.866090397476</v>
      </c>
      <c r="I578" s="475">
        <v>9551.1023613769958</v>
      </c>
      <c r="J578" s="475">
        <v>10633.553791491635</v>
      </c>
      <c r="K578" s="475">
        <v>11707.664045266552</v>
      </c>
      <c r="L578" s="475">
        <v>12725.372348061488</v>
      </c>
      <c r="M578" s="475">
        <v>13642.551477292531</v>
      </c>
      <c r="N578" s="784"/>
    </row>
    <row r="579" spans="2:14" x14ac:dyDescent="0.25">
      <c r="B579" s="784"/>
      <c r="C579" s="800">
        <v>12</v>
      </c>
      <c r="D579" s="824" t="s">
        <v>481</v>
      </c>
      <c r="E579" s="824"/>
      <c r="F579" s="475">
        <v>7222.3872151685182</v>
      </c>
      <c r="G579" s="475">
        <v>9529.4075558275563</v>
      </c>
      <c r="H579" s="475">
        <v>11453.915073560029</v>
      </c>
      <c r="I579" s="475">
        <v>13537.845335178643</v>
      </c>
      <c r="J579" s="475">
        <v>15072.124781600809</v>
      </c>
      <c r="K579" s="475">
        <v>16594.581346126401</v>
      </c>
      <c r="L579" s="475">
        <v>18037.093118932768</v>
      </c>
      <c r="M579" s="475">
        <v>19337.11365335761</v>
      </c>
      <c r="N579" s="784"/>
    </row>
    <row r="580" spans="2:14" x14ac:dyDescent="0.25">
      <c r="B580" s="784"/>
      <c r="C580" s="800">
        <v>13</v>
      </c>
      <c r="D580" s="824" t="s">
        <v>481</v>
      </c>
      <c r="E580" s="824"/>
      <c r="F580" s="475">
        <v>332015.14488938241</v>
      </c>
      <c r="G580" s="475">
        <v>438069.51027399855</v>
      </c>
      <c r="H580" s="475">
        <v>526539.65502041869</v>
      </c>
      <c r="I580" s="475">
        <v>622338.50755182898</v>
      </c>
      <c r="J580" s="475">
        <v>692869.75955044839</v>
      </c>
      <c r="K580" s="475">
        <v>762857.51038678468</v>
      </c>
      <c r="L580" s="475">
        <v>829170.1769587294</v>
      </c>
      <c r="M580" s="475">
        <v>888932.48175315105</v>
      </c>
      <c r="N580" s="784"/>
    </row>
    <row r="581" spans="2:14" x14ac:dyDescent="0.25">
      <c r="B581" s="784"/>
      <c r="C581" s="800">
        <v>14</v>
      </c>
      <c r="D581" s="824" t="s">
        <v>481</v>
      </c>
      <c r="E581" s="824"/>
      <c r="F581" s="475">
        <v>18115.347640674379</v>
      </c>
      <c r="G581" s="475">
        <v>23901.865898428903</v>
      </c>
      <c r="H581" s="475">
        <v>28728.957230169639</v>
      </c>
      <c r="I581" s="475">
        <v>33955.916132187165</v>
      </c>
      <c r="J581" s="475">
        <v>37804.228985242975</v>
      </c>
      <c r="K581" s="475">
        <v>41622.88743051223</v>
      </c>
      <c r="L581" s="475">
        <v>45241.026622117883</v>
      </c>
      <c r="M581" s="475">
        <v>48501.76621133025</v>
      </c>
      <c r="N581" s="784"/>
    </row>
    <row r="582" spans="2:14" x14ac:dyDescent="0.25">
      <c r="B582" s="784"/>
      <c r="C582" s="814">
        <v>15</v>
      </c>
      <c r="D582" s="826" t="s">
        <v>481</v>
      </c>
      <c r="E582" s="826"/>
      <c r="F582" s="838">
        <v>7866.0563970060093</v>
      </c>
      <c r="G582" s="838">
        <v>10378.681595299338</v>
      </c>
      <c r="H582" s="838">
        <v>12474.703896506357</v>
      </c>
      <c r="I582" s="838">
        <v>14744.35691800211</v>
      </c>
      <c r="J582" s="838">
        <v>16415.373480085218</v>
      </c>
      <c r="K582" s="838">
        <v>18073.513488612978</v>
      </c>
      <c r="L582" s="838">
        <v>19644.583914525509</v>
      </c>
      <c r="M582" s="838">
        <v>21060.464084945459</v>
      </c>
      <c r="N582" s="784"/>
    </row>
    <row r="583" spans="2:14" ht="5.25" customHeight="1" x14ac:dyDescent="0.25">
      <c r="B583" s="784"/>
      <c r="C583" s="800"/>
      <c r="D583" s="824"/>
      <c r="E583" s="824"/>
      <c r="F583" s="475"/>
      <c r="G583" s="475"/>
      <c r="H583" s="475"/>
      <c r="I583" s="475"/>
      <c r="J583" s="475"/>
      <c r="K583" s="475"/>
      <c r="L583" s="475"/>
      <c r="M583" s="475"/>
      <c r="N583" s="784"/>
    </row>
    <row r="584" spans="2:14" x14ac:dyDescent="0.25">
      <c r="B584" s="784"/>
      <c r="C584" s="800">
        <v>1</v>
      </c>
      <c r="D584" s="824" t="s">
        <v>480</v>
      </c>
      <c r="E584" s="824"/>
      <c r="F584" s="475">
        <v>78265.823865371611</v>
      </c>
      <c r="G584" s="475">
        <v>83017.753034411653</v>
      </c>
      <c r="H584" s="475">
        <v>87614.840748640359</v>
      </c>
      <c r="I584" s="475">
        <v>91787.84972143163</v>
      </c>
      <c r="J584" s="475">
        <v>96494.174707009588</v>
      </c>
      <c r="K584" s="475">
        <v>100492.20528264856</v>
      </c>
      <c r="L584" s="475">
        <v>103478.83437897539</v>
      </c>
      <c r="M584" s="475">
        <v>105247.97471612449</v>
      </c>
      <c r="N584" s="784"/>
    </row>
    <row r="585" spans="2:14" x14ac:dyDescent="0.25">
      <c r="B585" s="784"/>
      <c r="C585" s="800">
        <v>2</v>
      </c>
      <c r="D585" s="824" t="s">
        <v>480</v>
      </c>
      <c r="E585" s="824"/>
      <c r="F585" s="475">
        <v>133703.02383064915</v>
      </c>
      <c r="G585" s="475">
        <v>141820.83653038647</v>
      </c>
      <c r="H585" s="475">
        <v>149674.13057178544</v>
      </c>
      <c r="I585" s="475">
        <v>156802.96267983771</v>
      </c>
      <c r="J585" s="475">
        <v>164842.86886908207</v>
      </c>
      <c r="K585" s="475">
        <v>171672.78198990761</v>
      </c>
      <c r="L585" s="475">
        <v>176774.89836098658</v>
      </c>
      <c r="M585" s="475">
        <v>179797.15508781141</v>
      </c>
      <c r="N585" s="784"/>
    </row>
    <row r="586" spans="2:14" x14ac:dyDescent="0.25">
      <c r="B586" s="784"/>
      <c r="C586" s="800">
        <v>3</v>
      </c>
      <c r="D586" s="824" t="s">
        <v>480</v>
      </c>
      <c r="E586" s="824"/>
      <c r="F586" s="475">
        <v>69255.171545593475</v>
      </c>
      <c r="G586" s="475">
        <v>73460.016694102596</v>
      </c>
      <c r="H586" s="475">
        <v>77527.84710251553</v>
      </c>
      <c r="I586" s="475">
        <v>81220.422456594533</v>
      </c>
      <c r="J586" s="475">
        <v>85384.913777687296</v>
      </c>
      <c r="K586" s="475">
        <v>88922.655791834957</v>
      </c>
      <c r="L586" s="475">
        <v>91565.437790334938</v>
      </c>
      <c r="M586" s="475">
        <v>93130.89907964872</v>
      </c>
      <c r="N586" s="784"/>
    </row>
    <row r="587" spans="2:14" x14ac:dyDescent="0.25">
      <c r="B587" s="784"/>
      <c r="C587" s="800">
        <v>4</v>
      </c>
      <c r="D587" s="824" t="s">
        <v>480</v>
      </c>
      <c r="E587" s="824"/>
      <c r="F587" s="475">
        <v>184850.61308054355</v>
      </c>
      <c r="G587" s="475">
        <v>196073.86451814853</v>
      </c>
      <c r="H587" s="475">
        <v>206931.40667884875</v>
      </c>
      <c r="I587" s="475">
        <v>216787.34671645655</v>
      </c>
      <c r="J587" s="475">
        <v>227902.88880078745</v>
      </c>
      <c r="K587" s="475">
        <v>237345.55951607786</v>
      </c>
      <c r="L587" s="475">
        <v>244399.47132884891</v>
      </c>
      <c r="M587" s="475">
        <v>248577.88100751099</v>
      </c>
      <c r="N587" s="784"/>
    </row>
    <row r="588" spans="2:14" x14ac:dyDescent="0.25">
      <c r="B588" s="784"/>
      <c r="C588" s="800">
        <v>5</v>
      </c>
      <c r="D588" s="824" t="s">
        <v>480</v>
      </c>
      <c r="E588" s="824"/>
      <c r="F588" s="475">
        <v>493737.97608440364</v>
      </c>
      <c r="G588" s="475">
        <v>523715.40140933334</v>
      </c>
      <c r="H588" s="475">
        <v>552716.01332150155</v>
      </c>
      <c r="I588" s="475">
        <v>579041.3351880695</v>
      </c>
      <c r="J588" s="475">
        <v>608731.06767171156</v>
      </c>
      <c r="K588" s="475">
        <v>633952.54273258965</v>
      </c>
      <c r="L588" s="475">
        <v>652793.61706756032</v>
      </c>
      <c r="M588" s="475">
        <v>663954.19426886598</v>
      </c>
      <c r="N588" s="784"/>
    </row>
    <row r="589" spans="2:14" x14ac:dyDescent="0.25">
      <c r="B589" s="784"/>
      <c r="C589" s="800">
        <v>6</v>
      </c>
      <c r="D589" s="824" t="s">
        <v>480</v>
      </c>
      <c r="E589" s="824"/>
      <c r="F589" s="475">
        <v>240598.4193133564</v>
      </c>
      <c r="G589" s="475">
        <v>255206.41281926664</v>
      </c>
      <c r="H589" s="475">
        <v>269338.40533992089</v>
      </c>
      <c r="I589" s="475">
        <v>282166.72954386839</v>
      </c>
      <c r="J589" s="475">
        <v>296634.53038440878</v>
      </c>
      <c r="K589" s="475">
        <v>308924.95025553729</v>
      </c>
      <c r="L589" s="475">
        <v>318106.2020990951</v>
      </c>
      <c r="M589" s="475">
        <v>323544.74918950524</v>
      </c>
      <c r="N589" s="784"/>
    </row>
    <row r="590" spans="2:14" x14ac:dyDescent="0.25">
      <c r="B590" s="784"/>
      <c r="C590" s="800">
        <v>7</v>
      </c>
      <c r="D590" s="824" t="s">
        <v>480</v>
      </c>
      <c r="E590" s="824"/>
      <c r="F590" s="475">
        <v>284967.18610700866</v>
      </c>
      <c r="G590" s="475">
        <v>302269.04044141748</v>
      </c>
      <c r="H590" s="475">
        <v>319007.11442456848</v>
      </c>
      <c r="I590" s="475">
        <v>334201.11055014649</v>
      </c>
      <c r="J590" s="475">
        <v>351336.91928260459</v>
      </c>
      <c r="K590" s="475">
        <v>365893.81610987615</v>
      </c>
      <c r="L590" s="475">
        <v>376768.18307481823</v>
      </c>
      <c r="M590" s="475">
        <v>383209.65291193366</v>
      </c>
      <c r="N590" s="784"/>
    </row>
    <row r="591" spans="2:14" x14ac:dyDescent="0.25">
      <c r="B591" s="784"/>
      <c r="C591" s="800">
        <v>8</v>
      </c>
      <c r="D591" s="824" t="s">
        <v>480</v>
      </c>
      <c r="E591" s="824"/>
      <c r="F591" s="475">
        <v>532518.39613690495</v>
      </c>
      <c r="G591" s="475">
        <v>564850.38441324618</v>
      </c>
      <c r="H591" s="475">
        <v>596128.83592092735</v>
      </c>
      <c r="I591" s="475">
        <v>624521.86796871142</v>
      </c>
      <c r="J591" s="475">
        <v>656543.56670314306</v>
      </c>
      <c r="K591" s="475">
        <v>683746.05081048212</v>
      </c>
      <c r="L591" s="475">
        <v>704066.98857978929</v>
      </c>
      <c r="M591" s="475">
        <v>716104.16813469038</v>
      </c>
      <c r="N591" s="784"/>
    </row>
    <row r="592" spans="2:14" x14ac:dyDescent="0.25">
      <c r="B592" s="784"/>
      <c r="C592" s="800">
        <v>9</v>
      </c>
      <c r="D592" s="824" t="s">
        <v>480</v>
      </c>
      <c r="E592" s="824"/>
      <c r="F592" s="475">
        <v>260737.47325352716</v>
      </c>
      <c r="G592" s="475">
        <v>276568.21448160784</v>
      </c>
      <c r="H592" s="475">
        <v>291883.11153034575</v>
      </c>
      <c r="I592" s="475">
        <v>305785.21798873448</v>
      </c>
      <c r="J592" s="475">
        <v>321464.03186233982</v>
      </c>
      <c r="K592" s="475">
        <v>334783.2092350279</v>
      </c>
      <c r="L592" s="475">
        <v>344732.96872981382</v>
      </c>
      <c r="M592" s="475">
        <v>350626.74405290524</v>
      </c>
      <c r="N592" s="784"/>
    </row>
    <row r="593" spans="2:14" x14ac:dyDescent="0.25">
      <c r="B593" s="784"/>
      <c r="C593" s="800">
        <v>10</v>
      </c>
      <c r="D593" s="824" t="s">
        <v>480</v>
      </c>
      <c r="E593" s="824"/>
      <c r="F593" s="475">
        <v>230388.80286776199</v>
      </c>
      <c r="G593" s="475">
        <v>244376.9169448684</v>
      </c>
      <c r="H593" s="475">
        <v>257909.22878740495</v>
      </c>
      <c r="I593" s="475">
        <v>270193.19251660019</v>
      </c>
      <c r="J593" s="475">
        <v>284047.06290067825</v>
      </c>
      <c r="K593" s="475">
        <v>295815.94787063147</v>
      </c>
      <c r="L593" s="475">
        <v>304607.60006477905</v>
      </c>
      <c r="M593" s="475">
        <v>309815.36642116419</v>
      </c>
      <c r="N593" s="784"/>
    </row>
    <row r="594" spans="2:14" x14ac:dyDescent="0.25">
      <c r="B594" s="784"/>
      <c r="C594" s="800">
        <v>11</v>
      </c>
      <c r="D594" s="824" t="s">
        <v>480</v>
      </c>
      <c r="E594" s="824"/>
      <c r="F594" s="475">
        <v>28874.36131625991</v>
      </c>
      <c r="G594" s="475">
        <v>30627.475421493833</v>
      </c>
      <c r="H594" s="475">
        <v>32323.464361589926</v>
      </c>
      <c r="I594" s="475">
        <v>33862.999281245728</v>
      </c>
      <c r="J594" s="475">
        <v>35599.288780211122</v>
      </c>
      <c r="K594" s="475">
        <v>37074.269476677415</v>
      </c>
      <c r="L594" s="475">
        <v>38176.117044184473</v>
      </c>
      <c r="M594" s="475">
        <v>38828.800358447959</v>
      </c>
      <c r="N594" s="784"/>
    </row>
    <row r="595" spans="2:14" x14ac:dyDescent="0.25">
      <c r="B595" s="784"/>
      <c r="C595" s="800">
        <v>12</v>
      </c>
      <c r="D595" s="824" t="s">
        <v>480</v>
      </c>
      <c r="E595" s="824"/>
      <c r="F595" s="475">
        <v>40926.86088595492</v>
      </c>
      <c r="G595" s="475">
        <v>43411.745532103276</v>
      </c>
      <c r="H595" s="475">
        <v>45815.660294240144</v>
      </c>
      <c r="I595" s="475">
        <v>47997.815279269758</v>
      </c>
      <c r="J595" s="475">
        <v>50458.852529707045</v>
      </c>
      <c r="K595" s="475">
        <v>52549.507596066935</v>
      </c>
      <c r="L595" s="475">
        <v>54111.279356798317</v>
      </c>
      <c r="M595" s="475">
        <v>55036.400398017795</v>
      </c>
      <c r="N595" s="784"/>
    </row>
    <row r="596" spans="2:14" x14ac:dyDescent="0.25">
      <c r="B596" s="784"/>
      <c r="C596" s="800">
        <v>13</v>
      </c>
      <c r="D596" s="824" t="s">
        <v>480</v>
      </c>
      <c r="E596" s="824"/>
      <c r="F596" s="475">
        <v>1881419.1543731664</v>
      </c>
      <c r="G596" s="475">
        <v>1995649.9912482142</v>
      </c>
      <c r="H596" s="475">
        <v>2106158.6200816762</v>
      </c>
      <c r="I596" s="475">
        <v>2206472.8904110314</v>
      </c>
      <c r="J596" s="475">
        <v>2319607.455886283</v>
      </c>
      <c r="K596" s="475">
        <v>2415715.4495581519</v>
      </c>
      <c r="L596" s="475">
        <v>2487510.5308761885</v>
      </c>
      <c r="M596" s="475">
        <v>2530038.6019128137</v>
      </c>
      <c r="N596" s="784"/>
    </row>
    <row r="597" spans="2:14" x14ac:dyDescent="0.25">
      <c r="B597" s="784"/>
      <c r="C597" s="800">
        <v>14</v>
      </c>
      <c r="D597" s="824" t="s">
        <v>480</v>
      </c>
      <c r="E597" s="824"/>
      <c r="F597" s="475">
        <v>102653.63663048812</v>
      </c>
      <c r="G597" s="475">
        <v>108886.27798173159</v>
      </c>
      <c r="H597" s="475">
        <v>114915.82892067861</v>
      </c>
      <c r="I597" s="475">
        <v>120389.15719593638</v>
      </c>
      <c r="J597" s="475">
        <v>126561.98399407428</v>
      </c>
      <c r="K597" s="475">
        <v>131805.81019662207</v>
      </c>
      <c r="L597" s="475">
        <v>135723.07986635368</v>
      </c>
      <c r="M597" s="475">
        <v>138043.4884476322</v>
      </c>
      <c r="N597" s="784"/>
    </row>
    <row r="598" spans="2:14" x14ac:dyDescent="0.25">
      <c r="B598" s="784"/>
      <c r="C598" s="814">
        <v>15</v>
      </c>
      <c r="D598" s="826" t="s">
        <v>480</v>
      </c>
      <c r="E598" s="826"/>
      <c r="F598" s="838">
        <v>44574.319583034034</v>
      </c>
      <c r="G598" s="838">
        <v>47280.660600808056</v>
      </c>
      <c r="H598" s="838">
        <v>49898.815586025463</v>
      </c>
      <c r="I598" s="838">
        <v>52275.447254734776</v>
      </c>
      <c r="J598" s="838">
        <v>54955.815563763543</v>
      </c>
      <c r="K598" s="838">
        <v>57232.792713941104</v>
      </c>
      <c r="L598" s="838">
        <v>58933.75174357654</v>
      </c>
      <c r="M598" s="838">
        <v>59941.320857152445</v>
      </c>
      <c r="N598" s="784"/>
    </row>
    <row r="599" spans="2:14" x14ac:dyDescent="0.25">
      <c r="B599" s="784"/>
      <c r="C599" s="800"/>
      <c r="D599" s="824"/>
      <c r="E599" s="824"/>
      <c r="F599" s="178"/>
      <c r="G599" s="178"/>
      <c r="H599" s="178"/>
      <c r="I599" s="178"/>
      <c r="J599" s="178"/>
      <c r="K599" s="178"/>
      <c r="L599" s="178"/>
      <c r="M599" s="178"/>
      <c r="N599" s="784"/>
    </row>
    <row r="600" spans="2:14" x14ac:dyDescent="0.25">
      <c r="B600" s="784"/>
      <c r="C600" s="800"/>
      <c r="D600" s="824"/>
      <c r="E600" s="824"/>
      <c r="F600" s="178"/>
      <c r="G600" s="178"/>
      <c r="H600" s="178"/>
      <c r="I600" s="178"/>
      <c r="J600" s="178"/>
      <c r="K600" s="178"/>
      <c r="L600" s="178"/>
      <c r="M600" s="178"/>
      <c r="N600" s="784"/>
    </row>
    <row r="601" spans="2:14" x14ac:dyDescent="0.25">
      <c r="B601" s="784"/>
      <c r="C601" s="800"/>
      <c r="D601" s="824"/>
      <c r="E601" s="824"/>
      <c r="F601" s="178"/>
      <c r="G601" s="178"/>
      <c r="H601" s="178"/>
      <c r="I601" s="178"/>
      <c r="J601" s="178"/>
      <c r="K601" s="178"/>
      <c r="L601" s="178"/>
      <c r="M601" s="178"/>
      <c r="N601" s="784"/>
    </row>
    <row r="602" spans="2:14" x14ac:dyDescent="0.25">
      <c r="B602" s="784"/>
      <c r="C602" s="785" t="s">
        <v>523</v>
      </c>
      <c r="D602" s="824"/>
      <c r="E602" s="824"/>
      <c r="F602" s="178"/>
      <c r="G602" s="178"/>
      <c r="H602" s="178"/>
      <c r="I602" s="178"/>
      <c r="J602" s="178"/>
      <c r="K602" s="178"/>
      <c r="L602" s="178"/>
      <c r="M602" s="178" t="s">
        <v>514</v>
      </c>
      <c r="N602" s="784"/>
    </row>
    <row r="603" spans="2:14" ht="4.5" customHeight="1" x14ac:dyDescent="0.25">
      <c r="B603" s="784"/>
      <c r="C603" s="791"/>
      <c r="D603" s="791"/>
      <c r="E603" s="791"/>
      <c r="F603" s="178"/>
      <c r="G603" s="178"/>
      <c r="H603" s="178"/>
      <c r="I603" s="178"/>
      <c r="J603" s="178"/>
      <c r="K603" s="178"/>
      <c r="L603" s="178"/>
      <c r="M603" s="178"/>
      <c r="N603" s="784"/>
    </row>
    <row r="604" spans="2:14" x14ac:dyDescent="0.25">
      <c r="B604" s="784"/>
      <c r="C604" s="788"/>
      <c r="D604" s="788"/>
      <c r="E604" s="788"/>
      <c r="F604" s="788">
        <v>2015</v>
      </c>
      <c r="G604" s="789">
        <v>2020</v>
      </c>
      <c r="H604" s="788">
        <v>2025</v>
      </c>
      <c r="I604" s="788">
        <v>2030</v>
      </c>
      <c r="J604" s="788">
        <v>2035</v>
      </c>
      <c r="K604" s="788">
        <v>2040</v>
      </c>
      <c r="L604" s="788">
        <v>2045</v>
      </c>
      <c r="M604" s="788">
        <v>2050</v>
      </c>
      <c r="N604" s="784"/>
    </row>
    <row r="605" spans="2:14" x14ac:dyDescent="0.25">
      <c r="B605" s="784"/>
      <c r="C605" s="845" t="s">
        <v>484</v>
      </c>
      <c r="D605" s="846"/>
      <c r="E605" s="846"/>
      <c r="F605" s="847" t="s">
        <v>239</v>
      </c>
      <c r="G605" s="848">
        <f>(G527-F527)/(G527-F527)*G49</f>
        <v>1</v>
      </c>
      <c r="H605" s="848">
        <f>(H527-G527)/(H527-F527)*G49+(G527-F527)/(H527-F527)*H49</f>
        <v>1</v>
      </c>
      <c r="I605" s="848">
        <f>((G527-F527)*G49+(H527-G527)*H49+(I527-H527)*I49)/(I527-F527)</f>
        <v>1</v>
      </c>
      <c r="J605" s="848">
        <f>((G527-F527)*G49+(H527-G527)*H49+(I527-H527)*I49+(J527-I527)*J49)/(J527-F527)</f>
        <v>1</v>
      </c>
      <c r="K605" s="848">
        <f>((G527-F527)*G49+(H527-G527)*H49+(I527-H527)*I49+(J527-I527)*J49+(K527-J527)*K49)/(K527-F527)</f>
        <v>1</v>
      </c>
      <c r="L605" s="848">
        <f>((G527-F527)*G49+(H527-G527)*H49+(I527-H527)*I49+(J527-I527)*J49+(K527-J527)*K49+(L527-K527)*L49)/(L527-F527)</f>
        <v>1</v>
      </c>
      <c r="M605" s="848">
        <f>((G527-F527)*G49+(H527-G527)*H49+(I527-H527)*I49+(J527-I527)*J49+(K527-J527)*K49+(L527-K527)*L49+(M527-L527)*M49)/(M527-F527)</f>
        <v>1</v>
      </c>
      <c r="N605" s="784"/>
    </row>
    <row r="606" spans="2:14" x14ac:dyDescent="0.25">
      <c r="B606" s="784"/>
      <c r="C606" s="837" t="s">
        <v>486</v>
      </c>
      <c r="D606" s="807"/>
      <c r="E606" s="807"/>
      <c r="F606" s="849" t="s">
        <v>239</v>
      </c>
      <c r="G606" s="435">
        <f>(G528-F528)/(G528-F528)*G58</f>
        <v>1</v>
      </c>
      <c r="H606" s="435">
        <f>(H528-G528)/(H528-F528)*G58+(G528-F528)/(H528-F528)*H58</f>
        <v>1</v>
      </c>
      <c r="I606" s="435">
        <f>((G528-F528)*G58+(H528-G528)*H58+(I528-H528)*I58)/(I528-F528)</f>
        <v>1</v>
      </c>
      <c r="J606" s="435">
        <f>((G528-F528)*G58+(H528-G528)*H58+(I528-H528)*I58+(J528-I528)*J58)/(J528-F528)</f>
        <v>1</v>
      </c>
      <c r="K606" s="435">
        <f>((G528-F528)*G58+(H528-G528)*H58+(I528-H528)*I58+(J528-I528)*J58+(K528-J528)*K58)/(K528-F528)</f>
        <v>1</v>
      </c>
      <c r="L606" s="435">
        <f>((G528-F528)*G58+(H528-G528)*H58+(I528-H528)*I58+(J528-I528)*J58+(K528-J528)*K58+(L528-K528)*L58)/(L528-F528)</f>
        <v>1</v>
      </c>
      <c r="M606" s="435">
        <f>((G528-F528)*G58+(H528-G528)*H58+(I528-H528)*I58+(J528-I528)*J58+(K528-J528)*K58+(L528-K528)*L58+(M528-L528)*M58)/(M528-F528)</f>
        <v>1</v>
      </c>
      <c r="N606" s="784"/>
    </row>
    <row r="607" spans="2:14" x14ac:dyDescent="0.25">
      <c r="B607" s="784"/>
      <c r="C607" s="800"/>
      <c r="D607" s="824"/>
      <c r="E607" s="824"/>
      <c r="F607" s="178"/>
      <c r="G607" s="850"/>
      <c r="H607" s="850"/>
      <c r="I607" s="850"/>
      <c r="J607" s="850"/>
      <c r="K607" s="850"/>
      <c r="L607" s="850"/>
      <c r="M607" s="850"/>
      <c r="N607" s="784"/>
    </row>
    <row r="608" spans="2:14" x14ac:dyDescent="0.25">
      <c r="B608" s="784"/>
      <c r="C608" s="800"/>
      <c r="D608" s="824"/>
      <c r="E608" s="824"/>
      <c r="F608" s="178"/>
      <c r="G608" s="850"/>
      <c r="H608" s="850"/>
      <c r="I608" s="850"/>
      <c r="J608" s="850"/>
      <c r="K608" s="850"/>
      <c r="L608" s="850"/>
      <c r="M608" s="850"/>
      <c r="N608" s="784"/>
    </row>
    <row r="609" spans="1:13" ht="21" x14ac:dyDescent="0.35">
      <c r="A609" s="851"/>
      <c r="B609" s="852"/>
    </row>
    <row r="610" spans="1:13" ht="21" x14ac:dyDescent="0.35">
      <c r="A610" s="851"/>
      <c r="B610" s="853" t="s">
        <v>229</v>
      </c>
    </row>
    <row r="611" spans="1:13" x14ac:dyDescent="0.25">
      <c r="A611" s="853" t="s">
        <v>701</v>
      </c>
      <c r="B611" s="853" t="s">
        <v>2064</v>
      </c>
    </row>
    <row r="612" spans="1:13" x14ac:dyDescent="0.25">
      <c r="A612" s="853" t="s">
        <v>702</v>
      </c>
      <c r="B612" s="853" t="s">
        <v>524</v>
      </c>
    </row>
    <row r="613" spans="1:13" x14ac:dyDescent="0.25">
      <c r="A613" s="853" t="s">
        <v>703</v>
      </c>
      <c r="B613" s="853" t="s">
        <v>2063</v>
      </c>
    </row>
    <row r="614" spans="1:13" x14ac:dyDescent="0.25">
      <c r="A614" s="853" t="s">
        <v>704</v>
      </c>
      <c r="B614" s="853" t="s">
        <v>525</v>
      </c>
    </row>
    <row r="617" spans="1:13" x14ac:dyDescent="0.25">
      <c r="A617" s="853" t="s">
        <v>701</v>
      </c>
      <c r="B617" s="853" t="s">
        <v>2064</v>
      </c>
    </row>
    <row r="618" spans="1:13" hidden="1" outlineLevel="1" x14ac:dyDescent="0.25">
      <c r="C618" s="2969"/>
      <c r="D618" s="863"/>
      <c r="E618" s="863"/>
      <c r="F618" s="866">
        <v>2015</v>
      </c>
      <c r="G618" s="866">
        <v>2020</v>
      </c>
      <c r="H618" s="866">
        <v>2025</v>
      </c>
      <c r="I618" s="866">
        <v>2030</v>
      </c>
      <c r="J618" s="866">
        <v>2035</v>
      </c>
      <c r="K618" s="866">
        <v>2040</v>
      </c>
      <c r="L618" s="866">
        <v>2045</v>
      </c>
      <c r="M618" s="866">
        <v>2050</v>
      </c>
    </row>
    <row r="619" spans="1:13" hidden="1" outlineLevel="1" x14ac:dyDescent="0.25">
      <c r="B619" s="2943" t="s">
        <v>619</v>
      </c>
      <c r="C619" s="1904" t="str">
        <f t="shared" ref="C619:C624" si="27">C219</f>
        <v>Calefacción</v>
      </c>
      <c r="D619" s="1904"/>
      <c r="E619" s="852" t="s">
        <v>171</v>
      </c>
      <c r="F619" s="858">
        <f t="shared" ref="F619:M624" si="28">F$35*F219</f>
        <v>27.963150160062678</v>
      </c>
      <c r="G619" s="858">
        <f t="shared" si="28"/>
        <v>31.236849796569839</v>
      </c>
      <c r="H619" s="858">
        <f t="shared" si="28"/>
        <v>35.879568949924455</v>
      </c>
      <c r="I619" s="858">
        <f t="shared" si="28"/>
        <v>41.403844214010057</v>
      </c>
      <c r="J619" s="858">
        <f t="shared" si="28"/>
        <v>47.863524358654132</v>
      </c>
      <c r="K619" s="858">
        <f t="shared" si="28"/>
        <v>55.640213654273772</v>
      </c>
      <c r="L619" s="858">
        <f t="shared" si="28"/>
        <v>65.080967028316863</v>
      </c>
      <c r="M619" s="858">
        <f t="shared" si="28"/>
        <v>75.121073790278658</v>
      </c>
    </row>
    <row r="620" spans="1:13" hidden="1" outlineLevel="1" x14ac:dyDescent="0.25">
      <c r="B620" s="2943" t="s">
        <v>621</v>
      </c>
      <c r="C620" s="1904" t="str">
        <f t="shared" si="27"/>
        <v>ACS</v>
      </c>
      <c r="D620" s="1904"/>
      <c r="E620" s="852" t="s">
        <v>171</v>
      </c>
      <c r="F620" s="858">
        <f t="shared" si="28"/>
        <v>8.7415886823641777</v>
      </c>
      <c r="G620" s="858">
        <f t="shared" si="28"/>
        <v>9.7649832401355106</v>
      </c>
      <c r="H620" s="858">
        <f t="shared" si="28"/>
        <v>11.2163483751096</v>
      </c>
      <c r="I620" s="858">
        <f t="shared" si="28"/>
        <v>12.943297658376148</v>
      </c>
      <c r="J620" s="858">
        <f t="shared" si="28"/>
        <v>14.962664808389217</v>
      </c>
      <c r="K620" s="858">
        <f t="shared" si="28"/>
        <v>17.3937435224728</v>
      </c>
      <c r="L620" s="858">
        <f t="shared" si="28"/>
        <v>20.345026992866377</v>
      </c>
      <c r="M620" s="858">
        <f t="shared" si="28"/>
        <v>23.483674932662602</v>
      </c>
    </row>
    <row r="621" spans="1:13" hidden="1" outlineLevel="1" x14ac:dyDescent="0.25">
      <c r="B621" s="2943" t="s">
        <v>2018</v>
      </c>
      <c r="C621" s="1904" t="str">
        <f t="shared" si="27"/>
        <v>Cocción</v>
      </c>
      <c r="D621" s="1904"/>
      <c r="E621" s="852" t="s">
        <v>171</v>
      </c>
      <c r="F621" s="858">
        <f t="shared" si="28"/>
        <v>3.7747769310208947</v>
      </c>
      <c r="G621" s="858">
        <f t="shared" si="28"/>
        <v>4.2166973082403336</v>
      </c>
      <c r="H621" s="858">
        <f t="shared" si="28"/>
        <v>4.8434231619791452</v>
      </c>
      <c r="I621" s="858">
        <f t="shared" si="28"/>
        <v>5.5891512615715175</v>
      </c>
      <c r="J621" s="858">
        <f t="shared" si="28"/>
        <v>6.4611507127135246</v>
      </c>
      <c r="K621" s="858">
        <f t="shared" si="28"/>
        <v>7.5109347028859803</v>
      </c>
      <c r="L621" s="858">
        <f t="shared" si="28"/>
        <v>8.7853525651013875</v>
      </c>
      <c r="M621" s="858">
        <f t="shared" si="28"/>
        <v>10.140677811831578</v>
      </c>
    </row>
    <row r="622" spans="1:13" hidden="1" outlineLevel="1" x14ac:dyDescent="0.25">
      <c r="B622" s="2943" t="s">
        <v>2019</v>
      </c>
      <c r="C622" s="2967" t="str">
        <f t="shared" si="27"/>
        <v>Refrigeración</v>
      </c>
      <c r="D622" s="2967"/>
      <c r="E622" s="852" t="s">
        <v>171</v>
      </c>
      <c r="F622" s="870">
        <f t="shared" si="28"/>
        <v>2.4834058756716413</v>
      </c>
      <c r="G622" s="870">
        <f t="shared" si="28"/>
        <v>2.774142965947588</v>
      </c>
      <c r="H622" s="870">
        <f t="shared" si="28"/>
        <v>3.1864626065652271</v>
      </c>
      <c r="I622" s="870">
        <f t="shared" si="28"/>
        <v>3.6770731984023146</v>
      </c>
      <c r="J622" s="870">
        <f t="shared" si="28"/>
        <v>4.2507570478378458</v>
      </c>
      <c r="K622" s="870">
        <f t="shared" si="28"/>
        <v>4.9414044097934084</v>
      </c>
      <c r="L622" s="870">
        <f t="shared" si="28"/>
        <v>5.7798372138824927</v>
      </c>
      <c r="M622" s="870">
        <f t="shared" si="28"/>
        <v>6.6714985604155119</v>
      </c>
    </row>
    <row r="623" spans="1:13" hidden="1" outlineLevel="1" x14ac:dyDescent="0.25">
      <c r="B623" s="2943" t="s">
        <v>2020</v>
      </c>
      <c r="C623" s="2967" t="str">
        <f t="shared" si="27"/>
        <v>Iluminación</v>
      </c>
      <c r="D623" s="2967"/>
      <c r="E623" s="852" t="s">
        <v>171</v>
      </c>
      <c r="F623" s="870">
        <f t="shared" si="28"/>
        <v>1.3907072903761191</v>
      </c>
      <c r="G623" s="870">
        <f t="shared" si="28"/>
        <v>1.5535200609306492</v>
      </c>
      <c r="H623" s="870">
        <f t="shared" si="28"/>
        <v>1.784419059676527</v>
      </c>
      <c r="I623" s="870">
        <f t="shared" si="28"/>
        <v>2.0591609911052959</v>
      </c>
      <c r="J623" s="870">
        <f t="shared" si="28"/>
        <v>2.3804239467891932</v>
      </c>
      <c r="K623" s="870">
        <f t="shared" si="28"/>
        <v>2.7671864694843085</v>
      </c>
      <c r="L623" s="870">
        <f t="shared" si="28"/>
        <v>3.2367088397741952</v>
      </c>
      <c r="M623" s="870">
        <f t="shared" si="28"/>
        <v>3.7360391938326862</v>
      </c>
    </row>
    <row r="624" spans="1:13" hidden="1" outlineLevel="1" x14ac:dyDescent="0.25">
      <c r="B624" s="2943" t="s">
        <v>2021</v>
      </c>
      <c r="C624" s="2968" t="str">
        <f t="shared" si="27"/>
        <v>Otros artefacos Electricos</v>
      </c>
      <c r="D624" s="2968"/>
      <c r="E624" s="863" t="s">
        <v>171</v>
      </c>
      <c r="F624" s="871">
        <f t="shared" si="28"/>
        <v>5.3144885739373136</v>
      </c>
      <c r="G624" s="871">
        <f t="shared" si="28"/>
        <v>5.9366659471278398</v>
      </c>
      <c r="H624" s="871">
        <f t="shared" si="28"/>
        <v>6.8190299780495875</v>
      </c>
      <c r="I624" s="871">
        <f t="shared" si="28"/>
        <v>7.8689366445809545</v>
      </c>
      <c r="J624" s="871">
        <f t="shared" si="28"/>
        <v>9.0966200823729917</v>
      </c>
      <c r="K624" s="871">
        <f t="shared" si="28"/>
        <v>10.574605436957896</v>
      </c>
      <c r="L624" s="871">
        <f t="shared" si="28"/>
        <v>12.368851637708536</v>
      </c>
      <c r="M624" s="871">
        <f t="shared" si="28"/>
        <v>14.277006919289198</v>
      </c>
    </row>
    <row r="625" spans="2:13" s="865" customFormat="1" hidden="1" outlineLevel="1" x14ac:dyDescent="0.25">
      <c r="C625" s="1904" t="s">
        <v>118</v>
      </c>
      <c r="D625" s="1904"/>
      <c r="E625" s="852" t="s">
        <v>171</v>
      </c>
      <c r="F625" s="875">
        <f>SUM(F619:F624)</f>
        <v>49.668117513432826</v>
      </c>
      <c r="G625" s="875">
        <f t="shared" ref="G625:M625" si="29">SUM(G619:G624)</f>
        <v>55.482859318951768</v>
      </c>
      <c r="H625" s="875">
        <f t="shared" si="29"/>
        <v>63.729252131304541</v>
      </c>
      <c r="I625" s="875">
        <f t="shared" si="29"/>
        <v>73.541463968046287</v>
      </c>
      <c r="J625" s="875">
        <f t="shared" si="29"/>
        <v>85.015140956756909</v>
      </c>
      <c r="K625" s="875">
        <f t="shared" si="29"/>
        <v>98.828088195868162</v>
      </c>
      <c r="L625" s="875">
        <f t="shared" si="29"/>
        <v>115.59674427764985</v>
      </c>
      <c r="M625" s="875">
        <f t="shared" si="29"/>
        <v>133.42997120831023</v>
      </c>
    </row>
    <row r="626" spans="2:13" hidden="1" outlineLevel="1" x14ac:dyDescent="0.25">
      <c r="C626" s="1904"/>
      <c r="F626" s="858"/>
      <c r="G626" s="858"/>
      <c r="H626" s="858"/>
      <c r="I626" s="858"/>
      <c r="J626" s="858"/>
      <c r="K626" s="858"/>
      <c r="L626" s="858"/>
      <c r="M626" s="858"/>
    </row>
    <row r="627" spans="2:13" hidden="1" outlineLevel="1" x14ac:dyDescent="0.25">
      <c r="F627" s="858"/>
      <c r="G627" s="858"/>
      <c r="H627" s="858"/>
      <c r="I627" s="858"/>
      <c r="J627" s="858"/>
      <c r="K627" s="858"/>
      <c r="L627" s="858"/>
      <c r="M627" s="858"/>
    </row>
    <row r="628" spans="2:13" hidden="1" outlineLevel="1" x14ac:dyDescent="0.25">
      <c r="B628" s="2942"/>
      <c r="F628" s="858"/>
      <c r="G628" s="858"/>
      <c r="H628" s="858"/>
      <c r="I628" s="858"/>
      <c r="J628" s="858"/>
      <c r="K628" s="858"/>
      <c r="L628" s="858"/>
      <c r="M628" s="858"/>
    </row>
    <row r="629" spans="2:13" hidden="1" outlineLevel="1" x14ac:dyDescent="0.25">
      <c r="B629" s="2943" t="s">
        <v>2022</v>
      </c>
      <c r="C629" s="751" t="s">
        <v>507</v>
      </c>
      <c r="M629" s="859"/>
    </row>
    <row r="630" spans="2:13" hidden="1" outlineLevel="1" x14ac:dyDescent="0.25">
      <c r="C630" s="860">
        <v>1</v>
      </c>
      <c r="D630" s="860" t="s">
        <v>514</v>
      </c>
      <c r="E630" s="860" t="s">
        <v>171</v>
      </c>
      <c r="F630" s="861">
        <f t="shared" ref="F630:M644" si="30">F440*F$619</f>
        <v>0.20239135364369651</v>
      </c>
      <c r="G630" s="861">
        <f t="shared" si="30"/>
        <v>0.22608569770232298</v>
      </c>
      <c r="H630" s="861">
        <f t="shared" si="30"/>
        <v>0.25968871483938977</v>
      </c>
      <c r="I630" s="861">
        <f t="shared" si="30"/>
        <v>0.2996722482467063</v>
      </c>
      <c r="J630" s="861">
        <f t="shared" si="30"/>
        <v>0.34642604390621828</v>
      </c>
      <c r="K630" s="861">
        <f t="shared" si="30"/>
        <v>0.40271207264037778</v>
      </c>
      <c r="L630" s="861">
        <f t="shared" si="30"/>
        <v>0.47104224445048387</v>
      </c>
      <c r="M630" s="861">
        <f t="shared" si="30"/>
        <v>0.54371040904028223</v>
      </c>
    </row>
    <row r="631" spans="2:13" hidden="1" outlineLevel="1" x14ac:dyDescent="0.25">
      <c r="C631" s="852">
        <v>2</v>
      </c>
      <c r="D631" s="852" t="s">
        <v>514</v>
      </c>
      <c r="E631" s="852" t="s">
        <v>171</v>
      </c>
      <c r="F631" s="862">
        <f t="shared" si="30"/>
        <v>0.34246804112160451</v>
      </c>
      <c r="G631" s="862">
        <f t="shared" si="30"/>
        <v>0.38256143172021945</v>
      </c>
      <c r="H631" s="862">
        <f t="shared" si="30"/>
        <v>0.43942136791574665</v>
      </c>
      <c r="I631" s="862">
        <f t="shared" si="30"/>
        <v>0.50707782713005745</v>
      </c>
      <c r="J631" s="862">
        <f t="shared" si="30"/>
        <v>0.58619030168122299</v>
      </c>
      <c r="K631" s="862">
        <f t="shared" si="30"/>
        <v>0.68143234466413116</v>
      </c>
      <c r="L631" s="862">
        <f t="shared" si="30"/>
        <v>0.7970543792422794</v>
      </c>
      <c r="M631" s="862">
        <f t="shared" si="30"/>
        <v>0.92001676637459984</v>
      </c>
    </row>
    <row r="632" spans="2:13" hidden="1" outlineLevel="1" x14ac:dyDescent="0.25">
      <c r="C632" s="751">
        <v>3</v>
      </c>
      <c r="D632" s="751" t="s">
        <v>514</v>
      </c>
      <c r="E632" s="751" t="s">
        <v>171</v>
      </c>
      <c r="F632" s="859">
        <f t="shared" si="30"/>
        <v>0.2023845532997626</v>
      </c>
      <c r="G632" s="859">
        <f t="shared" si="30"/>
        <v>0.22607810122907829</v>
      </c>
      <c r="H632" s="859">
        <f t="shared" si="30"/>
        <v>0.25967998930569053</v>
      </c>
      <c r="I632" s="859">
        <f t="shared" si="30"/>
        <v>0.29966217926738065</v>
      </c>
      <c r="J632" s="859">
        <f t="shared" si="30"/>
        <v>0.34641440400064027</v>
      </c>
      <c r="K632" s="859">
        <f t="shared" si="30"/>
        <v>0.40269854152577744</v>
      </c>
      <c r="L632" s="859">
        <f t="shared" si="30"/>
        <v>0.47102641744398388</v>
      </c>
      <c r="M632" s="859">
        <f t="shared" si="30"/>
        <v>0.54369214038544422</v>
      </c>
    </row>
    <row r="633" spans="2:13" hidden="1" outlineLevel="1" x14ac:dyDescent="0.25">
      <c r="C633" s="751">
        <v>4</v>
      </c>
      <c r="D633" s="751" t="s">
        <v>514</v>
      </c>
      <c r="E633" s="751" t="s">
        <v>171</v>
      </c>
      <c r="F633" s="859">
        <f t="shared" si="30"/>
        <v>0.4435202790433771</v>
      </c>
      <c r="G633" s="859">
        <f t="shared" si="30"/>
        <v>0.49544404900408606</v>
      </c>
      <c r="H633" s="859">
        <f t="shared" si="30"/>
        <v>0.56908167862125136</v>
      </c>
      <c r="I633" s="859">
        <f t="shared" si="30"/>
        <v>0.65670156738968399</v>
      </c>
      <c r="J633" s="859">
        <f t="shared" si="30"/>
        <v>0.75915780439746305</v>
      </c>
      <c r="K633" s="859">
        <f t="shared" si="30"/>
        <v>0.8825029706853782</v>
      </c>
      <c r="L633" s="859">
        <f t="shared" si="30"/>
        <v>1.0322416641754792</v>
      </c>
      <c r="M633" s="859">
        <f t="shared" si="30"/>
        <v>1.191486632185214</v>
      </c>
    </row>
    <row r="634" spans="2:13" hidden="1" outlineLevel="1" x14ac:dyDescent="0.25">
      <c r="C634" s="751">
        <v>5</v>
      </c>
      <c r="D634" s="751" t="s">
        <v>514</v>
      </c>
      <c r="E634" s="751" t="s">
        <v>171</v>
      </c>
      <c r="F634" s="859">
        <f t="shared" si="30"/>
        <v>2.0027237773627071</v>
      </c>
      <c r="G634" s="859">
        <f t="shared" si="30"/>
        <v>2.237186492201622</v>
      </c>
      <c r="H634" s="859">
        <f t="shared" si="30"/>
        <v>2.5696985298947213</v>
      </c>
      <c r="I634" s="859">
        <f t="shared" si="30"/>
        <v>2.965347709645652</v>
      </c>
      <c r="J634" s="859">
        <f t="shared" si="30"/>
        <v>3.427990686055125</v>
      </c>
      <c r="K634" s="859">
        <f t="shared" si="30"/>
        <v>3.9849579974041625</v>
      </c>
      <c r="L634" s="859">
        <f t="shared" si="30"/>
        <v>4.6611057543695722</v>
      </c>
      <c r="M634" s="859">
        <f t="shared" si="30"/>
        <v>5.3801792644835675</v>
      </c>
    </row>
    <row r="635" spans="2:13" hidden="1" outlineLevel="1" x14ac:dyDescent="0.25">
      <c r="C635" s="751">
        <v>6</v>
      </c>
      <c r="D635" s="751" t="s">
        <v>514</v>
      </c>
      <c r="E635" s="751" t="s">
        <v>171</v>
      </c>
      <c r="F635" s="859">
        <f t="shared" si="30"/>
        <v>1.2082619491874866</v>
      </c>
      <c r="G635" s="859">
        <f t="shared" si="30"/>
        <v>1.3497154936279043</v>
      </c>
      <c r="H635" s="859">
        <f t="shared" si="30"/>
        <v>1.5503231097817547</v>
      </c>
      <c r="I635" s="859">
        <f t="shared" si="30"/>
        <v>1.7890219530889468</v>
      </c>
      <c r="J635" s="859">
        <f t="shared" si="30"/>
        <v>2.0681387792698009</v>
      </c>
      <c r="K635" s="859">
        <f t="shared" si="30"/>
        <v>2.4041623571845219</v>
      </c>
      <c r="L635" s="859">
        <f t="shared" si="30"/>
        <v>2.8120886104222969</v>
      </c>
      <c r="M635" s="859">
        <f t="shared" si="30"/>
        <v>3.2459123712224729</v>
      </c>
    </row>
    <row r="636" spans="2:13" hidden="1" outlineLevel="1" x14ac:dyDescent="0.25">
      <c r="C636" s="751">
        <v>7</v>
      </c>
      <c r="D636" s="751" t="s">
        <v>514</v>
      </c>
      <c r="E636" s="751" t="s">
        <v>171</v>
      </c>
      <c r="F636" s="859">
        <f t="shared" si="30"/>
        <v>1.450478911049865</v>
      </c>
      <c r="G636" s="859">
        <f t="shared" si="30"/>
        <v>1.6202892599084502</v>
      </c>
      <c r="H636" s="859">
        <f t="shared" si="30"/>
        <v>1.8611121351325008</v>
      </c>
      <c r="I636" s="859">
        <f t="shared" si="30"/>
        <v>2.1476622814330644</v>
      </c>
      <c r="J636" s="859">
        <f t="shared" si="30"/>
        <v>2.4827328928735297</v>
      </c>
      <c r="K636" s="859">
        <f t="shared" si="30"/>
        <v>2.8861181966220921</v>
      </c>
      <c r="L636" s="859">
        <f t="shared" si="30"/>
        <v>3.3758203079754021</v>
      </c>
      <c r="M636" s="859">
        <f t="shared" si="30"/>
        <v>3.8966115292632586</v>
      </c>
    </row>
    <row r="637" spans="2:13" hidden="1" outlineLevel="1" x14ac:dyDescent="0.25">
      <c r="C637" s="751">
        <v>8</v>
      </c>
      <c r="D637" s="751" t="s">
        <v>514</v>
      </c>
      <c r="E637" s="751" t="s">
        <v>171</v>
      </c>
      <c r="F637" s="859">
        <f t="shared" si="30"/>
        <v>3.633204848475899</v>
      </c>
      <c r="G637" s="859">
        <f t="shared" si="30"/>
        <v>4.058551110385932</v>
      </c>
      <c r="H637" s="859">
        <f t="shared" si="30"/>
        <v>4.661771764765958</v>
      </c>
      <c r="I637" s="859">
        <f t="shared" si="30"/>
        <v>5.3795315149695204</v>
      </c>
      <c r="J637" s="859">
        <f t="shared" si="30"/>
        <v>6.2188268406672487</v>
      </c>
      <c r="K637" s="859">
        <f t="shared" si="30"/>
        <v>7.2292389398837775</v>
      </c>
      <c r="L637" s="859">
        <f t="shared" si="30"/>
        <v>8.4558600728928397</v>
      </c>
      <c r="M637" s="859">
        <f t="shared" si="30"/>
        <v>9.7603541788134667</v>
      </c>
    </row>
    <row r="638" spans="2:13" hidden="1" outlineLevel="1" x14ac:dyDescent="0.25">
      <c r="C638" s="751">
        <v>9</v>
      </c>
      <c r="D638" s="751" t="s">
        <v>514</v>
      </c>
      <c r="E638" s="751" t="s">
        <v>171</v>
      </c>
      <c r="F638" s="859">
        <f t="shared" si="30"/>
        <v>2.1139212252087454</v>
      </c>
      <c r="G638" s="859">
        <f t="shared" si="30"/>
        <v>2.3614020385991608</v>
      </c>
      <c r="H638" s="859">
        <f t="shared" si="30"/>
        <v>2.7123761779497579</v>
      </c>
      <c r="I638" s="859">
        <f t="shared" si="30"/>
        <v>3.1299930296921876</v>
      </c>
      <c r="J638" s="859">
        <f t="shared" si="30"/>
        <v>3.6183233818756548</v>
      </c>
      <c r="K638" s="859">
        <f t="shared" si="30"/>
        <v>4.2062152491997749</v>
      </c>
      <c r="L638" s="859">
        <f t="shared" si="30"/>
        <v>4.9199048308497586</v>
      </c>
      <c r="M638" s="859">
        <f t="shared" si="30"/>
        <v>5.6789035368605445</v>
      </c>
    </row>
    <row r="639" spans="2:13" hidden="1" outlineLevel="1" x14ac:dyDescent="0.25">
      <c r="C639" s="751">
        <v>10</v>
      </c>
      <c r="D639" s="751" t="s">
        <v>514</v>
      </c>
      <c r="E639" s="751" t="s">
        <v>171</v>
      </c>
      <c r="F639" s="859">
        <f t="shared" si="30"/>
        <v>3.650721048421854</v>
      </c>
      <c r="G639" s="859">
        <f t="shared" si="30"/>
        <v>4.0781179654643678</v>
      </c>
      <c r="H639" s="859">
        <f t="shared" si="30"/>
        <v>4.684246832850353</v>
      </c>
      <c r="I639" s="859">
        <f t="shared" si="30"/>
        <v>5.405467005414355</v>
      </c>
      <c r="J639" s="859">
        <f t="shared" si="30"/>
        <v>6.2488086938556533</v>
      </c>
      <c r="K639" s="859">
        <f t="shared" si="30"/>
        <v>7.2640921342422535</v>
      </c>
      <c r="L639" s="859">
        <f t="shared" si="30"/>
        <v>8.4966269830806702</v>
      </c>
      <c r="M639" s="859">
        <f t="shared" si="30"/>
        <v>9.807410241565103</v>
      </c>
    </row>
    <row r="640" spans="2:13" hidden="1" outlineLevel="1" x14ac:dyDescent="0.25">
      <c r="C640" s="751">
        <v>11</v>
      </c>
      <c r="D640" s="751" t="s">
        <v>514</v>
      </c>
      <c r="E640" s="751" t="s">
        <v>171</v>
      </c>
      <c r="F640" s="859">
        <f t="shared" si="30"/>
        <v>0.67557958755414904</v>
      </c>
      <c r="G640" s="859">
        <f t="shared" si="30"/>
        <v>0.75467098596770732</v>
      </c>
      <c r="H640" s="859">
        <f t="shared" si="30"/>
        <v>0.86683740043815871</v>
      </c>
      <c r="I640" s="859">
        <f t="shared" si="30"/>
        <v>1.0003018914945618</v>
      </c>
      <c r="J640" s="859">
        <f t="shared" si="30"/>
        <v>1.156365425927214</v>
      </c>
      <c r="K640" s="859">
        <f t="shared" si="30"/>
        <v>1.344247424800681</v>
      </c>
      <c r="L640" s="859">
        <f t="shared" si="30"/>
        <v>1.5723326095573538</v>
      </c>
      <c r="M640" s="859">
        <f t="shared" si="30"/>
        <v>1.8148979552505291</v>
      </c>
    </row>
    <row r="641" spans="3:13" hidden="1" outlineLevel="1" x14ac:dyDescent="0.25">
      <c r="C641" s="751">
        <v>12</v>
      </c>
      <c r="D641" s="751" t="s">
        <v>514</v>
      </c>
      <c r="E641" s="751" t="s">
        <v>171</v>
      </c>
      <c r="F641" s="859">
        <f t="shared" si="30"/>
        <v>1.7426101225098494</v>
      </c>
      <c r="G641" s="859">
        <f t="shared" si="30"/>
        <v>1.9466208327474186</v>
      </c>
      <c r="H641" s="859">
        <f t="shared" si="30"/>
        <v>2.2359462251404758</v>
      </c>
      <c r="I641" s="859">
        <f t="shared" si="30"/>
        <v>2.5802085110282529</v>
      </c>
      <c r="J641" s="859">
        <f t="shared" si="30"/>
        <v>2.9827634429225003</v>
      </c>
      <c r="K641" s="859">
        <f t="shared" si="30"/>
        <v>3.467391870284577</v>
      </c>
      <c r="L641" s="859">
        <f t="shared" si="30"/>
        <v>4.0557215934937609</v>
      </c>
      <c r="M641" s="859">
        <f t="shared" si="30"/>
        <v>4.6814018753763866</v>
      </c>
    </row>
    <row r="642" spans="3:13" hidden="1" outlineLevel="1" x14ac:dyDescent="0.25">
      <c r="C642" s="751">
        <v>13</v>
      </c>
      <c r="D642" s="751" t="s">
        <v>514</v>
      </c>
      <c r="E642" s="751" t="s">
        <v>171</v>
      </c>
      <c r="F642" s="859">
        <f t="shared" si="30"/>
        <v>8.7431045879057994</v>
      </c>
      <c r="G642" s="859">
        <f t="shared" si="30"/>
        <v>9.7666766156471532</v>
      </c>
      <c r="H642" s="859">
        <f t="shared" si="30"/>
        <v>11.218293436273699</v>
      </c>
      <c r="I642" s="859">
        <f t="shared" si="30"/>
        <v>12.945542195079959</v>
      </c>
      <c r="J642" s="859">
        <f t="shared" si="30"/>
        <v>14.965259529706429</v>
      </c>
      <c r="K642" s="859">
        <f t="shared" si="30"/>
        <v>17.396759824560821</v>
      </c>
      <c r="L642" s="859">
        <f t="shared" si="30"/>
        <v>20.348555086017811</v>
      </c>
      <c r="M642" s="859">
        <f t="shared" si="30"/>
        <v>23.487747308321264</v>
      </c>
    </row>
    <row r="643" spans="3:13" hidden="1" outlineLevel="1" x14ac:dyDescent="0.25">
      <c r="C643" s="852">
        <v>14</v>
      </c>
      <c r="D643" s="852" t="s">
        <v>514</v>
      </c>
      <c r="E643" s="852" t="s">
        <v>171</v>
      </c>
      <c r="F643" s="862">
        <f t="shared" si="30"/>
        <v>1.4365130010202838</v>
      </c>
      <c r="G643" s="862">
        <f t="shared" si="30"/>
        <v>1.6046883339981248</v>
      </c>
      <c r="H643" s="862">
        <f t="shared" si="30"/>
        <v>1.8431924505123296</v>
      </c>
      <c r="I643" s="862">
        <f t="shared" si="30"/>
        <v>2.1269835538983699</v>
      </c>
      <c r="J643" s="862">
        <f t="shared" si="30"/>
        <v>2.4588279440009835</v>
      </c>
      <c r="K643" s="862">
        <f t="shared" si="30"/>
        <v>2.8583292596291456</v>
      </c>
      <c r="L643" s="862">
        <f t="shared" si="30"/>
        <v>3.3433162830371197</v>
      </c>
      <c r="M643" s="862">
        <f t="shared" si="30"/>
        <v>3.8590930754454567</v>
      </c>
    </row>
    <row r="644" spans="3:13" hidden="1" outlineLevel="1" x14ac:dyDescent="0.25">
      <c r="C644" s="863">
        <v>15</v>
      </c>
      <c r="D644" s="863" t="s">
        <v>514</v>
      </c>
      <c r="E644" s="863" t="s">
        <v>171</v>
      </c>
      <c r="F644" s="864">
        <f t="shared" si="30"/>
        <v>0.11526687425759656</v>
      </c>
      <c r="G644" s="864">
        <f t="shared" si="30"/>
        <v>0.12876138836628753</v>
      </c>
      <c r="H644" s="864">
        <f t="shared" si="30"/>
        <v>0.14789913650266784</v>
      </c>
      <c r="I644" s="864">
        <f t="shared" si="30"/>
        <v>0.17067074623135797</v>
      </c>
      <c r="J644" s="864">
        <f t="shared" si="30"/>
        <v>0.19729818751443667</v>
      </c>
      <c r="K644" s="864">
        <f t="shared" si="30"/>
        <v>0.2293544709462951</v>
      </c>
      <c r="L644" s="864">
        <f t="shared" si="30"/>
        <v>0.26827019130805158</v>
      </c>
      <c r="M644" s="864">
        <f t="shared" si="30"/>
        <v>0.30965650569106962</v>
      </c>
    </row>
    <row r="645" spans="3:13" hidden="1" outlineLevel="1" x14ac:dyDescent="0.25">
      <c r="C645" s="852"/>
      <c r="D645" s="852"/>
      <c r="E645" s="852"/>
      <c r="F645" s="862"/>
      <c r="G645" s="862"/>
      <c r="H645" s="862"/>
      <c r="I645" s="862"/>
      <c r="J645" s="862"/>
      <c r="K645" s="862"/>
      <c r="L645" s="862"/>
      <c r="M645" s="862"/>
    </row>
    <row r="646" spans="3:13" hidden="1" outlineLevel="1" x14ac:dyDescent="0.25">
      <c r="C646" s="751" t="s">
        <v>507</v>
      </c>
      <c r="E646" s="863"/>
      <c r="F646" s="866">
        <v>2015</v>
      </c>
      <c r="G646" s="866">
        <v>2020</v>
      </c>
      <c r="H646" s="866">
        <v>2025</v>
      </c>
      <c r="I646" s="866">
        <v>2030</v>
      </c>
      <c r="J646" s="866">
        <v>2035</v>
      </c>
      <c r="K646" s="866">
        <v>2040</v>
      </c>
      <c r="L646" s="866">
        <v>2045</v>
      </c>
      <c r="M646" s="866">
        <v>2050</v>
      </c>
    </row>
    <row r="647" spans="3:13" hidden="1" outlineLevel="1" x14ac:dyDescent="0.25">
      <c r="C647" s="860">
        <v>1</v>
      </c>
      <c r="D647" s="860" t="s">
        <v>526</v>
      </c>
      <c r="E647" s="852" t="s">
        <v>171</v>
      </c>
      <c r="F647" s="859">
        <f t="shared" ref="F647:M661" si="31">F584/(F584+F568*$D416)*F630</f>
        <v>0.15278042617804355</v>
      </c>
      <c r="G647" s="859">
        <f t="shared" si="31"/>
        <v>0.1610388122046516</v>
      </c>
      <c r="H647" s="859">
        <f t="shared" si="31"/>
        <v>0.17786647001466888</v>
      </c>
      <c r="I647" s="859">
        <f t="shared" si="31"/>
        <v>0.19728289401485175</v>
      </c>
      <c r="J647" s="859">
        <f t="shared" si="31"/>
        <v>0.22355331188618108</v>
      </c>
      <c r="K647" s="859">
        <f t="shared" si="31"/>
        <v>0.25470716697488643</v>
      </c>
      <c r="L647" s="859">
        <f t="shared" si="31"/>
        <v>0.2919633565234106</v>
      </c>
      <c r="M647" s="859">
        <f t="shared" si="31"/>
        <v>0.33021882736403957</v>
      </c>
    </row>
    <row r="648" spans="3:13" hidden="1" outlineLevel="1" x14ac:dyDescent="0.25">
      <c r="C648" s="852">
        <v>2</v>
      </c>
      <c r="D648" s="852" t="s">
        <v>526</v>
      </c>
      <c r="E648" s="852" t="s">
        <v>171</v>
      </c>
      <c r="F648" s="859">
        <f t="shared" si="31"/>
        <v>0.25804350207545312</v>
      </c>
      <c r="G648" s="859">
        <f t="shared" si="31"/>
        <v>0.27190452511579999</v>
      </c>
      <c r="H648" s="859">
        <f t="shared" si="31"/>
        <v>0.3002551310457291</v>
      </c>
      <c r="I648" s="859">
        <f t="shared" si="31"/>
        <v>0.3329651756675403</v>
      </c>
      <c r="J648" s="859">
        <f t="shared" si="31"/>
        <v>0.37726623021241379</v>
      </c>
      <c r="K648" s="859">
        <f t="shared" si="31"/>
        <v>0.42979962224476165</v>
      </c>
      <c r="L648" s="859">
        <f t="shared" si="31"/>
        <v>0.49261977142990943</v>
      </c>
      <c r="M648" s="859">
        <f t="shared" si="31"/>
        <v>0.55711457733340164</v>
      </c>
    </row>
    <row r="649" spans="3:13" hidden="1" outlineLevel="1" x14ac:dyDescent="0.25">
      <c r="C649" s="751">
        <v>3</v>
      </c>
      <c r="D649" s="751" t="s">
        <v>526</v>
      </c>
      <c r="E649" s="751" t="s">
        <v>171</v>
      </c>
      <c r="F649" s="859">
        <f t="shared" si="31"/>
        <v>0.15595709072401465</v>
      </c>
      <c r="G649" s="859">
        <f t="shared" si="31"/>
        <v>0.1649841343346837</v>
      </c>
      <c r="H649" s="859">
        <f t="shared" si="31"/>
        <v>0.18265033212287324</v>
      </c>
      <c r="I649" s="859">
        <f t="shared" si="31"/>
        <v>0.20305049990916707</v>
      </c>
      <c r="J649" s="859">
        <f t="shared" si="31"/>
        <v>0.23034577549412236</v>
      </c>
      <c r="K649" s="859">
        <f t="shared" si="31"/>
        <v>0.26273538954803111</v>
      </c>
      <c r="L649" s="859">
        <f t="shared" si="31"/>
        <v>0.30149346173128905</v>
      </c>
      <c r="M649" s="859">
        <f t="shared" si="31"/>
        <v>0.34136383991735247</v>
      </c>
    </row>
    <row r="650" spans="3:13" hidden="1" outlineLevel="1" x14ac:dyDescent="0.25">
      <c r="C650" s="751">
        <v>4</v>
      </c>
      <c r="D650" s="751" t="s">
        <v>526</v>
      </c>
      <c r="E650" s="751" t="s">
        <v>171</v>
      </c>
      <c r="F650" s="859">
        <f t="shared" si="31"/>
        <v>0.32959669620428278</v>
      </c>
      <c r="G650" s="859">
        <f t="shared" si="31"/>
        <v>0.34647668811237992</v>
      </c>
      <c r="H650" s="859">
        <f t="shared" si="31"/>
        <v>0.38202007707999869</v>
      </c>
      <c r="I650" s="859">
        <f t="shared" si="31"/>
        <v>0.42301203713533703</v>
      </c>
      <c r="J650" s="859">
        <f t="shared" si="31"/>
        <v>0.47894775589854471</v>
      </c>
      <c r="K650" s="859">
        <f t="shared" si="31"/>
        <v>0.54525192320204718</v>
      </c>
      <c r="L650" s="859">
        <f t="shared" si="31"/>
        <v>0.62450877644661784</v>
      </c>
      <c r="M650" s="859">
        <f t="shared" si="31"/>
        <v>0.70578305156872989</v>
      </c>
    </row>
    <row r="651" spans="3:13" hidden="1" outlineLevel="1" x14ac:dyDescent="0.25">
      <c r="C651" s="751">
        <v>5</v>
      </c>
      <c r="D651" s="751" t="s">
        <v>526</v>
      </c>
      <c r="E651" s="751" t="s">
        <v>171</v>
      </c>
      <c r="F651" s="859">
        <f t="shared" si="31"/>
        <v>1.2964717240961954</v>
      </c>
      <c r="G651" s="859">
        <f t="shared" si="31"/>
        <v>1.3335518154772663</v>
      </c>
      <c r="H651" s="859">
        <f t="shared" si="31"/>
        <v>1.450390970486809</v>
      </c>
      <c r="I651" s="859">
        <f t="shared" si="31"/>
        <v>1.585181459723245</v>
      </c>
      <c r="J651" s="859">
        <f t="shared" si="31"/>
        <v>1.7834937997620421</v>
      </c>
      <c r="K651" s="859">
        <f t="shared" si="31"/>
        <v>2.0178897579660342</v>
      </c>
      <c r="L651" s="859">
        <f t="shared" si="31"/>
        <v>2.2972758213869002</v>
      </c>
      <c r="M651" s="859">
        <f t="shared" si="31"/>
        <v>2.5809280766532883</v>
      </c>
    </row>
    <row r="652" spans="3:13" hidden="1" outlineLevel="1" x14ac:dyDescent="0.25">
      <c r="C652" s="751">
        <v>6</v>
      </c>
      <c r="D652" s="751" t="s">
        <v>526</v>
      </c>
      <c r="E652" s="751" t="s">
        <v>171</v>
      </c>
      <c r="F652" s="859">
        <f t="shared" si="31"/>
        <v>0.84538466910907362</v>
      </c>
      <c r="G652" s="859">
        <f t="shared" si="31"/>
        <v>0.87990161348059104</v>
      </c>
      <c r="H652" s="859">
        <f t="shared" si="31"/>
        <v>0.96407294263942045</v>
      </c>
      <c r="I652" s="859">
        <f t="shared" si="31"/>
        <v>1.0610675395986533</v>
      </c>
      <c r="J652" s="859">
        <f t="shared" si="31"/>
        <v>1.1978392749698143</v>
      </c>
      <c r="K652" s="859">
        <f t="shared" si="31"/>
        <v>1.3597258004998987</v>
      </c>
      <c r="L652" s="859">
        <f t="shared" si="31"/>
        <v>1.5529567989832151</v>
      </c>
      <c r="M652" s="859">
        <f t="shared" si="31"/>
        <v>1.7501734473367485</v>
      </c>
    </row>
    <row r="653" spans="3:13" hidden="1" outlineLevel="1" x14ac:dyDescent="0.25">
      <c r="C653" s="751">
        <v>7</v>
      </c>
      <c r="D653" s="751" t="s">
        <v>526</v>
      </c>
      <c r="E653" s="751" t="s">
        <v>171</v>
      </c>
      <c r="F653" s="859">
        <f t="shared" si="31"/>
        <v>0.97322789482458605</v>
      </c>
      <c r="G653" s="859">
        <f t="shared" si="31"/>
        <v>1.0064006798642164</v>
      </c>
      <c r="H653" s="859">
        <f t="shared" si="31"/>
        <v>1.0981928421701601</v>
      </c>
      <c r="I653" s="859">
        <f t="shared" si="31"/>
        <v>1.2040024986130144</v>
      </c>
      <c r="J653" s="859">
        <f t="shared" si="31"/>
        <v>1.3566577227055181</v>
      </c>
      <c r="K653" s="859">
        <f t="shared" si="31"/>
        <v>1.537196042561376</v>
      </c>
      <c r="L653" s="859">
        <f t="shared" si="31"/>
        <v>1.7525144943164122</v>
      </c>
      <c r="M653" s="859">
        <f t="shared" si="31"/>
        <v>1.9716289695439868</v>
      </c>
    </row>
    <row r="654" spans="3:13" hidden="1" outlineLevel="1" x14ac:dyDescent="0.25">
      <c r="C654" s="751">
        <v>8</v>
      </c>
      <c r="D654" s="751" t="s">
        <v>526</v>
      </c>
      <c r="E654" s="751" t="s">
        <v>171</v>
      </c>
      <c r="F654" s="859">
        <f t="shared" si="31"/>
        <v>2.3268553414644155</v>
      </c>
      <c r="G654" s="859">
        <f t="shared" si="31"/>
        <v>2.3896952209229667</v>
      </c>
      <c r="H654" s="859">
        <f t="shared" si="31"/>
        <v>2.5965826494676443</v>
      </c>
      <c r="I654" s="859">
        <f t="shared" si="31"/>
        <v>2.8353366313877566</v>
      </c>
      <c r="J654" s="859">
        <f t="shared" si="31"/>
        <v>3.1886726957386258</v>
      </c>
      <c r="K654" s="859">
        <f t="shared" si="31"/>
        <v>3.606232773043371</v>
      </c>
      <c r="L654" s="859">
        <f t="shared" si="31"/>
        <v>4.103859727636836</v>
      </c>
      <c r="M654" s="859">
        <f t="shared" si="31"/>
        <v>4.6087502240971592</v>
      </c>
    </row>
    <row r="655" spans="3:13" hidden="1" outlineLevel="1" x14ac:dyDescent="0.25">
      <c r="C655" s="751">
        <v>9</v>
      </c>
      <c r="D655" s="751" t="s">
        <v>526</v>
      </c>
      <c r="E655" s="751" t="s">
        <v>171</v>
      </c>
      <c r="F655" s="859">
        <f t="shared" si="31"/>
        <v>1.2391952009844369</v>
      </c>
      <c r="G655" s="859">
        <f t="shared" si="31"/>
        <v>1.2573699166566956</v>
      </c>
      <c r="H655" s="859">
        <f t="shared" si="31"/>
        <v>1.3561880889748796</v>
      </c>
      <c r="I655" s="859">
        <f t="shared" si="31"/>
        <v>1.4707196163613898</v>
      </c>
      <c r="J655" s="859">
        <f t="shared" si="31"/>
        <v>1.6485852094936413</v>
      </c>
      <c r="K655" s="859">
        <f t="shared" si="31"/>
        <v>1.8585602263905985</v>
      </c>
      <c r="L655" s="859">
        <f t="shared" si="31"/>
        <v>2.1085306417927541</v>
      </c>
      <c r="M655" s="859">
        <f t="shared" si="31"/>
        <v>2.3608924816161809</v>
      </c>
    </row>
    <row r="656" spans="3:13" hidden="1" outlineLevel="1" x14ac:dyDescent="0.25">
      <c r="C656" s="751">
        <v>10</v>
      </c>
      <c r="D656" s="751" t="s">
        <v>526</v>
      </c>
      <c r="E656" s="751" t="s">
        <v>171</v>
      </c>
      <c r="F656" s="859">
        <f t="shared" si="31"/>
        <v>2.1400778559714313</v>
      </c>
      <c r="G656" s="859">
        <f t="shared" si="31"/>
        <v>2.171465410182325</v>
      </c>
      <c r="H656" s="859">
        <f t="shared" si="31"/>
        <v>2.3421234164251774</v>
      </c>
      <c r="I656" s="859">
        <f t="shared" si="31"/>
        <v>2.5399182314597577</v>
      </c>
      <c r="J656" s="859">
        <f t="shared" si="31"/>
        <v>2.8470903516383737</v>
      </c>
      <c r="K656" s="859">
        <f t="shared" si="31"/>
        <v>3.2097151290837869</v>
      </c>
      <c r="L656" s="859">
        <f t="shared" si="31"/>
        <v>3.6414115641774303</v>
      </c>
      <c r="M656" s="859">
        <f t="shared" si="31"/>
        <v>4.0772379655944802</v>
      </c>
    </row>
    <row r="657" spans="3:14" hidden="1" outlineLevel="1" x14ac:dyDescent="0.25">
      <c r="C657" s="751">
        <v>11</v>
      </c>
      <c r="D657" s="751" t="s">
        <v>526</v>
      </c>
      <c r="E657" s="751" t="s">
        <v>171</v>
      </c>
      <c r="F657" s="859">
        <f t="shared" si="31"/>
        <v>0.48032434907870314</v>
      </c>
      <c r="G657" s="859">
        <f t="shared" si="31"/>
        <v>0.50122433411220391</v>
      </c>
      <c r="H657" s="859">
        <f t="shared" si="31"/>
        <v>0.55006386910010596</v>
      </c>
      <c r="I657" s="859">
        <f t="shared" si="31"/>
        <v>0.60634778509473142</v>
      </c>
      <c r="J657" s="859">
        <f t="shared" si="31"/>
        <v>0.68502204228170738</v>
      </c>
      <c r="K657" s="859">
        <f t="shared" si="31"/>
        <v>0.77817599421750283</v>
      </c>
      <c r="L657" s="859">
        <f t="shared" si="31"/>
        <v>0.88940553444416237</v>
      </c>
      <c r="M657" s="859">
        <f t="shared" si="31"/>
        <v>1.0030652208534085</v>
      </c>
    </row>
    <row r="658" spans="3:14" hidden="1" outlineLevel="1" x14ac:dyDescent="0.25">
      <c r="C658" s="751">
        <v>12</v>
      </c>
      <c r="D658" s="751" t="s">
        <v>526</v>
      </c>
      <c r="E658" s="751" t="s">
        <v>171</v>
      </c>
      <c r="F658" s="859">
        <f t="shared" si="31"/>
        <v>1.3389032077906176</v>
      </c>
      <c r="G658" s="859">
        <f t="shared" si="31"/>
        <v>1.4156601771735309</v>
      </c>
      <c r="H658" s="859">
        <f t="shared" si="31"/>
        <v>1.5667166340236447</v>
      </c>
      <c r="I658" s="859">
        <f t="shared" si="31"/>
        <v>1.7411282392501755</v>
      </c>
      <c r="J658" s="859">
        <f t="shared" si="31"/>
        <v>1.9748612780236612</v>
      </c>
      <c r="K658" s="859">
        <f t="shared" si="31"/>
        <v>2.2521919652554545</v>
      </c>
      <c r="L658" s="859">
        <f t="shared" si="31"/>
        <v>2.5840210178008673</v>
      </c>
      <c r="M658" s="859">
        <f t="shared" si="31"/>
        <v>2.9252822991512519</v>
      </c>
    </row>
    <row r="659" spans="3:14" hidden="1" outlineLevel="1" x14ac:dyDescent="0.25">
      <c r="C659" s="751">
        <v>13</v>
      </c>
      <c r="D659" s="751" t="s">
        <v>526</v>
      </c>
      <c r="E659" s="751" t="s">
        <v>171</v>
      </c>
      <c r="F659" s="859">
        <f t="shared" si="31"/>
        <v>6.1600952803980036</v>
      </c>
      <c r="G659" s="859">
        <f t="shared" si="31"/>
        <v>6.4187530811815305</v>
      </c>
      <c r="H659" s="859">
        <f t="shared" si="31"/>
        <v>7.0377058429990029</v>
      </c>
      <c r="I659" s="859">
        <f t="shared" si="31"/>
        <v>7.7509660204158415</v>
      </c>
      <c r="J659" s="859">
        <f t="shared" si="31"/>
        <v>8.7529108434475695</v>
      </c>
      <c r="K659" s="859">
        <f t="shared" si="31"/>
        <v>9.9390180978775504</v>
      </c>
      <c r="L659" s="859">
        <f t="shared" si="31"/>
        <v>11.354991992911657</v>
      </c>
      <c r="M659" s="859">
        <f t="shared" si="31"/>
        <v>12.800916938520514</v>
      </c>
    </row>
    <row r="660" spans="3:14" hidden="1" outlineLevel="1" x14ac:dyDescent="0.25">
      <c r="C660" s="751">
        <v>14</v>
      </c>
      <c r="D660" s="751" t="s">
        <v>526</v>
      </c>
      <c r="E660" s="751" t="s">
        <v>171</v>
      </c>
      <c r="F660" s="859">
        <f t="shared" si="31"/>
        <v>0.84209382818430423</v>
      </c>
      <c r="G660" s="859">
        <f t="shared" si="31"/>
        <v>0.85444443758341682</v>
      </c>
      <c r="H660" s="859">
        <f t="shared" si="31"/>
        <v>0.92159622525616502</v>
      </c>
      <c r="I660" s="859">
        <f t="shared" si="31"/>
        <v>0.99942600725345132</v>
      </c>
      <c r="J660" s="859">
        <f t="shared" si="31"/>
        <v>1.1202943886868384</v>
      </c>
      <c r="K660" s="859">
        <f t="shared" si="31"/>
        <v>1.262982696115204</v>
      </c>
      <c r="L660" s="859">
        <f t="shared" si="31"/>
        <v>1.4328498355873374</v>
      </c>
      <c r="M660" s="859">
        <f t="shared" si="31"/>
        <v>1.6043420650728302</v>
      </c>
    </row>
    <row r="661" spans="3:14" hidden="1" outlineLevel="1" x14ac:dyDescent="0.25">
      <c r="C661" s="751">
        <v>15</v>
      </c>
      <c r="D661" s="751" t="s">
        <v>526</v>
      </c>
      <c r="E661" s="751" t="s">
        <v>171</v>
      </c>
      <c r="F661" s="859">
        <f t="shared" si="31"/>
        <v>8.701222584977282E-2</v>
      </c>
      <c r="G661" s="859">
        <f t="shared" si="31"/>
        <v>9.1715580645134007E-2</v>
      </c>
      <c r="H661" s="859">
        <f t="shared" si="31"/>
        <v>0.1012993473521439</v>
      </c>
      <c r="I661" s="859">
        <f t="shared" si="31"/>
        <v>0.11235748033791021</v>
      </c>
      <c r="J661" s="859">
        <f t="shared" si="31"/>
        <v>0.12731913210293536</v>
      </c>
      <c r="K661" s="859">
        <f t="shared" si="31"/>
        <v>0.14506202196704998</v>
      </c>
      <c r="L661" s="859">
        <f t="shared" si="31"/>
        <v>0.16628034201231773</v>
      </c>
      <c r="M661" s="859">
        <f t="shared" si="31"/>
        <v>0.18806777743218683</v>
      </c>
      <c r="N661" s="859"/>
    </row>
    <row r="662" spans="3:14" hidden="1" outlineLevel="1" x14ac:dyDescent="0.25">
      <c r="C662" s="751">
        <v>1</v>
      </c>
      <c r="D662" s="751" t="s">
        <v>527</v>
      </c>
      <c r="E662" s="751" t="s">
        <v>171</v>
      </c>
      <c r="F662" s="859">
        <f t="shared" ref="F662:M676" si="32">F630-F647</f>
        <v>4.961092746565296E-2</v>
      </c>
      <c r="G662" s="859">
        <f t="shared" si="32"/>
        <v>6.5046885497671375E-2</v>
      </c>
      <c r="H662" s="859">
        <f t="shared" si="32"/>
        <v>8.1822244824720891E-2</v>
      </c>
      <c r="I662" s="859">
        <f t="shared" si="32"/>
        <v>0.10238935423185455</v>
      </c>
      <c r="J662" s="859">
        <f t="shared" si="32"/>
        <v>0.12287273202003721</v>
      </c>
      <c r="K662" s="859">
        <f t="shared" si="32"/>
        <v>0.14800490566549135</v>
      </c>
      <c r="L662" s="859">
        <f t="shared" si="32"/>
        <v>0.17907888792707327</v>
      </c>
      <c r="M662" s="859">
        <f t="shared" si="32"/>
        <v>0.21349158167624266</v>
      </c>
      <c r="N662" s="859"/>
    </row>
    <row r="663" spans="3:14" hidden="1" outlineLevel="1" x14ac:dyDescent="0.25">
      <c r="C663" s="751">
        <v>2</v>
      </c>
      <c r="D663" s="751" t="s">
        <v>527</v>
      </c>
      <c r="E663" s="751" t="s">
        <v>171</v>
      </c>
      <c r="F663" s="859">
        <f t="shared" si="32"/>
        <v>8.4424539046151381E-2</v>
      </c>
      <c r="G663" s="859">
        <f t="shared" si="32"/>
        <v>0.11065690660441946</v>
      </c>
      <c r="H663" s="859">
        <f t="shared" si="32"/>
        <v>0.13916623687001756</v>
      </c>
      <c r="I663" s="859">
        <f t="shared" si="32"/>
        <v>0.17411265146251714</v>
      </c>
      <c r="J663" s="859">
        <f t="shared" si="32"/>
        <v>0.2089240714688092</v>
      </c>
      <c r="K663" s="859">
        <f t="shared" si="32"/>
        <v>0.25163272241936951</v>
      </c>
      <c r="L663" s="859">
        <f t="shared" si="32"/>
        <v>0.30443460781236997</v>
      </c>
      <c r="M663" s="859">
        <f t="shared" si="32"/>
        <v>0.3629021890411982</v>
      </c>
    </row>
    <row r="664" spans="3:14" hidden="1" outlineLevel="1" x14ac:dyDescent="0.25">
      <c r="C664" s="751">
        <v>3</v>
      </c>
      <c r="D664" s="751" t="s">
        <v>527</v>
      </c>
      <c r="E664" s="751" t="s">
        <v>171</v>
      </c>
      <c r="F664" s="859">
        <f t="shared" si="32"/>
        <v>4.6427462575747952E-2</v>
      </c>
      <c r="G664" s="859">
        <f t="shared" si="32"/>
        <v>6.1093966894394586E-2</v>
      </c>
      <c r="H664" s="859">
        <f t="shared" si="32"/>
        <v>7.702965718281729E-2</v>
      </c>
      <c r="I664" s="859">
        <f t="shared" si="32"/>
        <v>9.6611679358213576E-2</v>
      </c>
      <c r="J664" s="859">
        <f t="shared" si="32"/>
        <v>0.11606862850651792</v>
      </c>
      <c r="K664" s="859">
        <f t="shared" si="32"/>
        <v>0.13996315197774634</v>
      </c>
      <c r="L664" s="859">
        <f t="shared" si="32"/>
        <v>0.16953295571269483</v>
      </c>
      <c r="M664" s="859">
        <f t="shared" si="32"/>
        <v>0.20232830046809175</v>
      </c>
    </row>
    <row r="665" spans="3:14" hidden="1" outlineLevel="1" x14ac:dyDescent="0.25">
      <c r="C665" s="751">
        <v>4</v>
      </c>
      <c r="D665" s="751" t="s">
        <v>527</v>
      </c>
      <c r="E665" s="751" t="s">
        <v>171</v>
      </c>
      <c r="F665" s="859">
        <f t="shared" si="32"/>
        <v>0.11392358283909432</v>
      </c>
      <c r="G665" s="859">
        <f t="shared" si="32"/>
        <v>0.14896736089170615</v>
      </c>
      <c r="H665" s="859">
        <f t="shared" si="32"/>
        <v>0.18706160154125268</v>
      </c>
      <c r="I665" s="859">
        <f t="shared" si="32"/>
        <v>0.23368953025434697</v>
      </c>
      <c r="J665" s="859">
        <f t="shared" si="32"/>
        <v>0.28021004849891834</v>
      </c>
      <c r="K665" s="859">
        <f t="shared" si="32"/>
        <v>0.33725104748333101</v>
      </c>
      <c r="L665" s="859">
        <f t="shared" si="32"/>
        <v>0.4077328877288614</v>
      </c>
      <c r="M665" s="859">
        <f t="shared" si="32"/>
        <v>0.48570358061648411</v>
      </c>
    </row>
    <row r="666" spans="3:14" hidden="1" outlineLevel="1" x14ac:dyDescent="0.25">
      <c r="C666" s="751">
        <v>5</v>
      </c>
      <c r="D666" s="751" t="s">
        <v>527</v>
      </c>
      <c r="E666" s="751" t="s">
        <v>171</v>
      </c>
      <c r="F666" s="859">
        <f t="shared" si="32"/>
        <v>0.70625205326651175</v>
      </c>
      <c r="G666" s="859">
        <f t="shared" si="32"/>
        <v>0.90363467672435571</v>
      </c>
      <c r="H666" s="859">
        <f t="shared" si="32"/>
        <v>1.1193075594079123</v>
      </c>
      <c r="I666" s="859">
        <f t="shared" si="32"/>
        <v>1.380166249922407</v>
      </c>
      <c r="J666" s="859">
        <f t="shared" si="32"/>
        <v>1.6444968862930829</v>
      </c>
      <c r="K666" s="859">
        <f t="shared" si="32"/>
        <v>1.9670682394381283</v>
      </c>
      <c r="L666" s="859">
        <f t="shared" si="32"/>
        <v>2.363829932982672</v>
      </c>
      <c r="M666" s="859">
        <f t="shared" si="32"/>
        <v>2.7992511878302793</v>
      </c>
    </row>
    <row r="667" spans="3:14" hidden="1" outlineLevel="1" x14ac:dyDescent="0.25">
      <c r="C667" s="751">
        <v>6</v>
      </c>
      <c r="D667" s="751" t="s">
        <v>527</v>
      </c>
      <c r="E667" s="751" t="s">
        <v>171</v>
      </c>
      <c r="F667" s="859">
        <f t="shared" si="32"/>
        <v>0.36287728007841302</v>
      </c>
      <c r="G667" s="859">
        <f t="shared" si="32"/>
        <v>0.46981388014731329</v>
      </c>
      <c r="H667" s="859">
        <f t="shared" si="32"/>
        <v>0.58625016714233424</v>
      </c>
      <c r="I667" s="859">
        <f t="shared" si="32"/>
        <v>0.72795441349029355</v>
      </c>
      <c r="J667" s="859">
        <f t="shared" si="32"/>
        <v>0.87029950429998659</v>
      </c>
      <c r="K667" s="859">
        <f t="shared" si="32"/>
        <v>1.0444365566846232</v>
      </c>
      <c r="L667" s="859">
        <f t="shared" si="32"/>
        <v>1.2591318114390817</v>
      </c>
      <c r="M667" s="859">
        <f t="shared" si="32"/>
        <v>1.4957389238857244</v>
      </c>
    </row>
    <row r="668" spans="3:14" hidden="1" outlineLevel="1" x14ac:dyDescent="0.25">
      <c r="C668" s="751">
        <v>7</v>
      </c>
      <c r="D668" s="751" t="s">
        <v>527</v>
      </c>
      <c r="E668" s="751" t="s">
        <v>171</v>
      </c>
      <c r="F668" s="859">
        <f t="shared" si="32"/>
        <v>0.47725101622527899</v>
      </c>
      <c r="G668" s="859">
        <f t="shared" si="32"/>
        <v>0.61388858004423374</v>
      </c>
      <c r="H668" s="859">
        <f t="shared" si="32"/>
        <v>0.76291929296234073</v>
      </c>
      <c r="I668" s="859">
        <f t="shared" si="32"/>
        <v>0.94365978282004992</v>
      </c>
      <c r="J668" s="859">
        <f t="shared" si="32"/>
        <v>1.1260751701680116</v>
      </c>
      <c r="K668" s="859">
        <f t="shared" si="32"/>
        <v>1.3489221540607161</v>
      </c>
      <c r="L668" s="859">
        <f t="shared" si="32"/>
        <v>1.62330581365899</v>
      </c>
      <c r="M668" s="859">
        <f t="shared" si="32"/>
        <v>1.9249825597192718</v>
      </c>
    </row>
    <row r="669" spans="3:14" hidden="1" outlineLevel="1" x14ac:dyDescent="0.25">
      <c r="C669" s="751">
        <v>8</v>
      </c>
      <c r="D669" s="751" t="s">
        <v>527</v>
      </c>
      <c r="E669" s="751" t="s">
        <v>171</v>
      </c>
      <c r="F669" s="859">
        <f t="shared" si="32"/>
        <v>1.3063495070114834</v>
      </c>
      <c r="G669" s="859">
        <f t="shared" si="32"/>
        <v>1.6688558894629653</v>
      </c>
      <c r="H669" s="859">
        <f t="shared" si="32"/>
        <v>2.0651891152983137</v>
      </c>
      <c r="I669" s="859">
        <f t="shared" si="32"/>
        <v>2.5441948835817638</v>
      </c>
      <c r="J669" s="859">
        <f t="shared" si="32"/>
        <v>3.0301541449286229</v>
      </c>
      <c r="K669" s="859">
        <f t="shared" si="32"/>
        <v>3.6230061668404066</v>
      </c>
      <c r="L669" s="859">
        <f t="shared" si="32"/>
        <v>4.3520003452560037</v>
      </c>
      <c r="M669" s="859">
        <f t="shared" si="32"/>
        <v>5.1516039547163075</v>
      </c>
    </row>
    <row r="670" spans="3:14" hidden="1" outlineLevel="1" x14ac:dyDescent="0.25">
      <c r="C670" s="751">
        <v>9</v>
      </c>
      <c r="D670" s="751" t="s">
        <v>527</v>
      </c>
      <c r="E670" s="751" t="s">
        <v>171</v>
      </c>
      <c r="F670" s="859">
        <f t="shared" si="32"/>
        <v>0.87472602422430845</v>
      </c>
      <c r="G670" s="859">
        <f t="shared" si="32"/>
        <v>1.1040321219424651</v>
      </c>
      <c r="H670" s="859">
        <f t="shared" si="32"/>
        <v>1.3561880889748783</v>
      </c>
      <c r="I670" s="859">
        <f t="shared" si="32"/>
        <v>1.6592734133307978</v>
      </c>
      <c r="J670" s="859">
        <f t="shared" si="32"/>
        <v>1.9697381723820135</v>
      </c>
      <c r="K670" s="859">
        <f t="shared" si="32"/>
        <v>2.3476550228091764</v>
      </c>
      <c r="L670" s="859">
        <f t="shared" si="32"/>
        <v>2.8113741890570045</v>
      </c>
      <c r="M670" s="859">
        <f t="shared" si="32"/>
        <v>3.3180110552443636</v>
      </c>
    </row>
    <row r="671" spans="3:14" hidden="1" outlineLevel="1" x14ac:dyDescent="0.25">
      <c r="C671" s="751">
        <v>10</v>
      </c>
      <c r="D671" s="751" t="s">
        <v>527</v>
      </c>
      <c r="E671" s="751" t="s">
        <v>171</v>
      </c>
      <c r="F671" s="859">
        <f t="shared" si="32"/>
        <v>1.5106431924504227</v>
      </c>
      <c r="G671" s="859">
        <f t="shared" si="32"/>
        <v>1.9066525552820428</v>
      </c>
      <c r="H671" s="859">
        <f t="shared" si="32"/>
        <v>2.3421234164251756</v>
      </c>
      <c r="I671" s="859">
        <f t="shared" si="32"/>
        <v>2.8655487739545973</v>
      </c>
      <c r="J671" s="859">
        <f t="shared" si="32"/>
        <v>3.4017183422172796</v>
      </c>
      <c r="K671" s="859">
        <f t="shared" si="32"/>
        <v>4.0543770051584662</v>
      </c>
      <c r="L671" s="859">
        <f t="shared" si="32"/>
        <v>4.8552154189032404</v>
      </c>
      <c r="M671" s="859">
        <f t="shared" si="32"/>
        <v>5.7301722759706228</v>
      </c>
    </row>
    <row r="672" spans="3:14" hidden="1" outlineLevel="1" x14ac:dyDescent="0.25">
      <c r="C672" s="751">
        <v>11</v>
      </c>
      <c r="D672" s="751" t="s">
        <v>527</v>
      </c>
      <c r="E672" s="751" t="s">
        <v>171</v>
      </c>
      <c r="F672" s="859">
        <f t="shared" si="32"/>
        <v>0.1952552384754459</v>
      </c>
      <c r="G672" s="859">
        <f t="shared" si="32"/>
        <v>0.25344665185550341</v>
      </c>
      <c r="H672" s="859">
        <f t="shared" si="32"/>
        <v>0.31677353133805275</v>
      </c>
      <c r="I672" s="859">
        <f t="shared" si="32"/>
        <v>0.39395410639983042</v>
      </c>
      <c r="J672" s="859">
        <f t="shared" si="32"/>
        <v>0.47134338364550665</v>
      </c>
      <c r="K672" s="859">
        <f t="shared" si="32"/>
        <v>0.56607143058317821</v>
      </c>
      <c r="L672" s="859">
        <f t="shared" si="32"/>
        <v>0.6829270751131914</v>
      </c>
      <c r="M672" s="859">
        <f t="shared" si="32"/>
        <v>0.81183273439712056</v>
      </c>
    </row>
    <row r="673" spans="3:13" hidden="1" outlineLevel="1" x14ac:dyDescent="0.25">
      <c r="C673" s="751">
        <v>12</v>
      </c>
      <c r="D673" s="751" t="s">
        <v>527</v>
      </c>
      <c r="E673" s="751" t="s">
        <v>171</v>
      </c>
      <c r="F673" s="859">
        <f t="shared" si="32"/>
        <v>0.40370691471923181</v>
      </c>
      <c r="G673" s="859">
        <f t="shared" si="32"/>
        <v>0.53096065557388772</v>
      </c>
      <c r="H673" s="859">
        <f t="shared" si="32"/>
        <v>0.66922959111683111</v>
      </c>
      <c r="I673" s="859">
        <f t="shared" si="32"/>
        <v>0.83908027177807742</v>
      </c>
      <c r="J673" s="859">
        <f t="shared" si="32"/>
        <v>1.0079021648988391</v>
      </c>
      <c r="K673" s="859">
        <f t="shared" si="32"/>
        <v>1.2151999050291225</v>
      </c>
      <c r="L673" s="859">
        <f t="shared" si="32"/>
        <v>1.4717005756928936</v>
      </c>
      <c r="M673" s="859">
        <f t="shared" si="32"/>
        <v>1.7561195762251347</v>
      </c>
    </row>
    <row r="674" spans="3:13" hidden="1" outlineLevel="1" x14ac:dyDescent="0.25">
      <c r="C674" s="852">
        <v>13</v>
      </c>
      <c r="D674" s="852" t="s">
        <v>527</v>
      </c>
      <c r="E674" s="852" t="s">
        <v>171</v>
      </c>
      <c r="F674" s="862">
        <f t="shared" si="32"/>
        <v>2.5830093075077958</v>
      </c>
      <c r="G674" s="862">
        <f t="shared" si="32"/>
        <v>3.3479235344656226</v>
      </c>
      <c r="H674" s="862">
        <f t="shared" si="32"/>
        <v>4.1805875932746961</v>
      </c>
      <c r="I674" s="862">
        <f t="shared" si="32"/>
        <v>5.1945761746641175</v>
      </c>
      <c r="J674" s="862">
        <f t="shared" si="32"/>
        <v>6.2123486862588599</v>
      </c>
      <c r="K674" s="862">
        <f t="shared" si="32"/>
        <v>7.4577417266832704</v>
      </c>
      <c r="L674" s="862">
        <f t="shared" si="32"/>
        <v>8.9935630931061539</v>
      </c>
      <c r="M674" s="862">
        <f t="shared" si="32"/>
        <v>10.686830369800751</v>
      </c>
    </row>
    <row r="675" spans="3:13" hidden="1" outlineLevel="1" x14ac:dyDescent="0.25">
      <c r="C675" s="852">
        <v>14</v>
      </c>
      <c r="D675" s="852" t="s">
        <v>527</v>
      </c>
      <c r="E675" s="852" t="s">
        <v>171</v>
      </c>
      <c r="F675" s="862">
        <f t="shared" si="32"/>
        <v>0.59441917283597956</v>
      </c>
      <c r="G675" s="862">
        <f t="shared" si="32"/>
        <v>0.75024389641470801</v>
      </c>
      <c r="H675" s="862">
        <f t="shared" si="32"/>
        <v>0.92159622525616458</v>
      </c>
      <c r="I675" s="862">
        <f t="shared" si="32"/>
        <v>1.1275575466449186</v>
      </c>
      <c r="J675" s="862">
        <f t="shared" si="32"/>
        <v>1.3385335553141451</v>
      </c>
      <c r="K675" s="862">
        <f t="shared" si="32"/>
        <v>1.5953465635139417</v>
      </c>
      <c r="L675" s="862">
        <f t="shared" si="32"/>
        <v>1.9104664474497823</v>
      </c>
      <c r="M675" s="862">
        <f t="shared" si="32"/>
        <v>2.2547510103726265</v>
      </c>
    </row>
    <row r="676" spans="3:13" hidden="1" outlineLevel="1" x14ac:dyDescent="0.25">
      <c r="C676" s="863">
        <v>15</v>
      </c>
      <c r="D676" s="863" t="s">
        <v>527</v>
      </c>
      <c r="E676" s="863" t="s">
        <v>171</v>
      </c>
      <c r="F676" s="864">
        <f t="shared" si="32"/>
        <v>2.825464840782374E-2</v>
      </c>
      <c r="G676" s="864">
        <f t="shared" si="32"/>
        <v>3.7045807721153526E-2</v>
      </c>
      <c r="H676" s="864">
        <f t="shared" si="32"/>
        <v>4.6599789150523943E-2</v>
      </c>
      <c r="I676" s="864">
        <f t="shared" si="32"/>
        <v>5.8313265893447763E-2</v>
      </c>
      <c r="J676" s="864">
        <f t="shared" si="32"/>
        <v>6.9979055411501317E-2</v>
      </c>
      <c r="K676" s="864">
        <f t="shared" si="32"/>
        <v>8.4292448979245121E-2</v>
      </c>
      <c r="L676" s="864">
        <f t="shared" si="32"/>
        <v>0.10198984929573385</v>
      </c>
      <c r="M676" s="864">
        <f t="shared" si="32"/>
        <v>0.12158872825888278</v>
      </c>
    </row>
    <row r="677" spans="3:13" hidden="1" outlineLevel="1" x14ac:dyDescent="0.25">
      <c r="C677" s="852"/>
      <c r="D677" s="852"/>
      <c r="E677" s="852"/>
      <c r="F677" s="862"/>
      <c r="G677" s="862"/>
      <c r="H677" s="862"/>
      <c r="I677" s="862"/>
      <c r="J677" s="862"/>
      <c r="K677" s="862"/>
      <c r="L677" s="862"/>
      <c r="M677" s="862"/>
    </row>
    <row r="678" spans="3:13" hidden="1" outlineLevel="1" x14ac:dyDescent="0.25">
      <c r="C678" s="751" t="s">
        <v>507</v>
      </c>
      <c r="F678" s="857">
        <v>2015</v>
      </c>
      <c r="G678" s="857">
        <v>2020</v>
      </c>
      <c r="H678" s="857">
        <v>2025</v>
      </c>
      <c r="I678" s="857">
        <v>2030</v>
      </c>
      <c r="J678" s="857">
        <v>2035</v>
      </c>
      <c r="K678" s="857">
        <v>2040</v>
      </c>
      <c r="L678" s="857">
        <v>2045</v>
      </c>
      <c r="M678" s="857">
        <v>2050</v>
      </c>
    </row>
    <row r="679" spans="3:13" hidden="1" outlineLevel="1" x14ac:dyDescent="0.25">
      <c r="C679" s="860">
        <v>1</v>
      </c>
      <c r="D679" s="860" t="s">
        <v>485</v>
      </c>
      <c r="E679" s="860" t="s">
        <v>171</v>
      </c>
      <c r="F679" s="861">
        <f t="shared" ref="F679:F708" si="33">F647</f>
        <v>0.15278042617804355</v>
      </c>
      <c r="G679" s="861">
        <f>F679</f>
        <v>0.15278042617804355</v>
      </c>
      <c r="H679" s="861">
        <f t="shared" ref="H679:M679" si="34">G679</f>
        <v>0.15278042617804355</v>
      </c>
      <c r="I679" s="861">
        <f t="shared" si="34"/>
        <v>0.15278042617804355</v>
      </c>
      <c r="J679" s="861">
        <f t="shared" si="34"/>
        <v>0.15278042617804355</v>
      </c>
      <c r="K679" s="861">
        <f t="shared" si="34"/>
        <v>0.15278042617804355</v>
      </c>
      <c r="L679" s="861">
        <f t="shared" si="34"/>
        <v>0.15278042617804355</v>
      </c>
      <c r="M679" s="861">
        <f t="shared" si="34"/>
        <v>0.15278042617804355</v>
      </c>
    </row>
    <row r="680" spans="3:13" hidden="1" outlineLevel="1" x14ac:dyDescent="0.25">
      <c r="C680" s="751">
        <v>2</v>
      </c>
      <c r="D680" s="751" t="s">
        <v>485</v>
      </c>
      <c r="E680" s="751" t="s">
        <v>171</v>
      </c>
      <c r="F680" s="859">
        <f t="shared" si="33"/>
        <v>0.25804350207545312</v>
      </c>
      <c r="G680" s="859">
        <f t="shared" ref="G680:M708" si="35">F680</f>
        <v>0.25804350207545312</v>
      </c>
      <c r="H680" s="859">
        <f t="shared" si="35"/>
        <v>0.25804350207545312</v>
      </c>
      <c r="I680" s="859">
        <f t="shared" si="35"/>
        <v>0.25804350207545312</v>
      </c>
      <c r="J680" s="859">
        <f t="shared" si="35"/>
        <v>0.25804350207545312</v>
      </c>
      <c r="K680" s="859">
        <f t="shared" si="35"/>
        <v>0.25804350207545312</v>
      </c>
      <c r="L680" s="859">
        <f t="shared" si="35"/>
        <v>0.25804350207545312</v>
      </c>
      <c r="M680" s="859">
        <f t="shared" si="35"/>
        <v>0.25804350207545312</v>
      </c>
    </row>
    <row r="681" spans="3:13" hidden="1" outlineLevel="1" x14ac:dyDescent="0.25">
      <c r="C681" s="751">
        <v>3</v>
      </c>
      <c r="D681" s="751" t="s">
        <v>485</v>
      </c>
      <c r="E681" s="751" t="s">
        <v>171</v>
      </c>
      <c r="F681" s="859">
        <f t="shared" si="33"/>
        <v>0.15595709072401465</v>
      </c>
      <c r="G681" s="859">
        <f t="shared" si="35"/>
        <v>0.15595709072401465</v>
      </c>
      <c r="H681" s="859">
        <f t="shared" si="35"/>
        <v>0.15595709072401465</v>
      </c>
      <c r="I681" s="859">
        <f t="shared" si="35"/>
        <v>0.15595709072401465</v>
      </c>
      <c r="J681" s="859">
        <f t="shared" si="35"/>
        <v>0.15595709072401465</v>
      </c>
      <c r="K681" s="859">
        <f t="shared" si="35"/>
        <v>0.15595709072401465</v>
      </c>
      <c r="L681" s="859">
        <f t="shared" si="35"/>
        <v>0.15595709072401465</v>
      </c>
      <c r="M681" s="859">
        <f t="shared" si="35"/>
        <v>0.15595709072401465</v>
      </c>
    </row>
    <row r="682" spans="3:13" hidden="1" outlineLevel="1" x14ac:dyDescent="0.25">
      <c r="C682" s="751">
        <v>4</v>
      </c>
      <c r="D682" s="751" t="s">
        <v>485</v>
      </c>
      <c r="E682" s="751" t="s">
        <v>171</v>
      </c>
      <c r="F682" s="859">
        <f t="shared" si="33"/>
        <v>0.32959669620428278</v>
      </c>
      <c r="G682" s="859">
        <f t="shared" si="35"/>
        <v>0.32959669620428278</v>
      </c>
      <c r="H682" s="859">
        <f t="shared" si="35"/>
        <v>0.32959669620428278</v>
      </c>
      <c r="I682" s="859">
        <f t="shared" si="35"/>
        <v>0.32959669620428278</v>
      </c>
      <c r="J682" s="859">
        <f t="shared" si="35"/>
        <v>0.32959669620428278</v>
      </c>
      <c r="K682" s="859">
        <f t="shared" si="35"/>
        <v>0.32959669620428278</v>
      </c>
      <c r="L682" s="859">
        <f t="shared" si="35"/>
        <v>0.32959669620428278</v>
      </c>
      <c r="M682" s="859">
        <f t="shared" si="35"/>
        <v>0.32959669620428278</v>
      </c>
    </row>
    <row r="683" spans="3:13" hidden="1" outlineLevel="1" x14ac:dyDescent="0.25">
      <c r="C683" s="751">
        <v>5</v>
      </c>
      <c r="D683" s="751" t="s">
        <v>485</v>
      </c>
      <c r="E683" s="751" t="s">
        <v>171</v>
      </c>
      <c r="F683" s="859">
        <f t="shared" si="33"/>
        <v>1.2964717240961954</v>
      </c>
      <c r="G683" s="859">
        <f t="shared" si="35"/>
        <v>1.2964717240961954</v>
      </c>
      <c r="H683" s="859">
        <f t="shared" si="35"/>
        <v>1.2964717240961954</v>
      </c>
      <c r="I683" s="859">
        <f t="shared" si="35"/>
        <v>1.2964717240961954</v>
      </c>
      <c r="J683" s="859">
        <f t="shared" si="35"/>
        <v>1.2964717240961954</v>
      </c>
      <c r="K683" s="859">
        <f t="shared" si="35"/>
        <v>1.2964717240961954</v>
      </c>
      <c r="L683" s="859">
        <f t="shared" si="35"/>
        <v>1.2964717240961954</v>
      </c>
      <c r="M683" s="859">
        <f t="shared" si="35"/>
        <v>1.2964717240961954</v>
      </c>
    </row>
    <row r="684" spans="3:13" hidden="1" outlineLevel="1" x14ac:dyDescent="0.25">
      <c r="C684" s="751">
        <v>6</v>
      </c>
      <c r="D684" s="751" t="s">
        <v>485</v>
      </c>
      <c r="E684" s="751" t="s">
        <v>171</v>
      </c>
      <c r="F684" s="859">
        <f t="shared" si="33"/>
        <v>0.84538466910907362</v>
      </c>
      <c r="G684" s="859">
        <f t="shared" si="35"/>
        <v>0.84538466910907362</v>
      </c>
      <c r="H684" s="859">
        <f t="shared" si="35"/>
        <v>0.84538466910907362</v>
      </c>
      <c r="I684" s="859">
        <f t="shared" si="35"/>
        <v>0.84538466910907362</v>
      </c>
      <c r="J684" s="859">
        <f t="shared" si="35"/>
        <v>0.84538466910907362</v>
      </c>
      <c r="K684" s="859">
        <f t="shared" si="35"/>
        <v>0.84538466910907362</v>
      </c>
      <c r="L684" s="859">
        <f t="shared" si="35"/>
        <v>0.84538466910907362</v>
      </c>
      <c r="M684" s="859">
        <f t="shared" si="35"/>
        <v>0.84538466910907362</v>
      </c>
    </row>
    <row r="685" spans="3:13" hidden="1" outlineLevel="1" x14ac:dyDescent="0.25">
      <c r="C685" s="751">
        <v>7</v>
      </c>
      <c r="D685" s="751" t="s">
        <v>485</v>
      </c>
      <c r="E685" s="751" t="s">
        <v>171</v>
      </c>
      <c r="F685" s="859">
        <f t="shared" si="33"/>
        <v>0.97322789482458605</v>
      </c>
      <c r="G685" s="859">
        <f t="shared" si="35"/>
        <v>0.97322789482458605</v>
      </c>
      <c r="H685" s="859">
        <f t="shared" si="35"/>
        <v>0.97322789482458605</v>
      </c>
      <c r="I685" s="859">
        <f t="shared" si="35"/>
        <v>0.97322789482458605</v>
      </c>
      <c r="J685" s="859">
        <f t="shared" si="35"/>
        <v>0.97322789482458605</v>
      </c>
      <c r="K685" s="859">
        <f t="shared" si="35"/>
        <v>0.97322789482458605</v>
      </c>
      <c r="L685" s="859">
        <f t="shared" si="35"/>
        <v>0.97322789482458605</v>
      </c>
      <c r="M685" s="859">
        <f t="shared" si="35"/>
        <v>0.97322789482458605</v>
      </c>
    </row>
    <row r="686" spans="3:13" hidden="1" outlineLevel="1" x14ac:dyDescent="0.25">
      <c r="C686" s="751">
        <v>8</v>
      </c>
      <c r="D686" s="751" t="s">
        <v>485</v>
      </c>
      <c r="E686" s="751" t="s">
        <v>171</v>
      </c>
      <c r="F686" s="859">
        <f t="shared" si="33"/>
        <v>2.3268553414644155</v>
      </c>
      <c r="G686" s="859">
        <f t="shared" si="35"/>
        <v>2.3268553414644155</v>
      </c>
      <c r="H686" s="859">
        <f t="shared" si="35"/>
        <v>2.3268553414644155</v>
      </c>
      <c r="I686" s="859">
        <f t="shared" si="35"/>
        <v>2.3268553414644155</v>
      </c>
      <c r="J686" s="859">
        <f t="shared" si="35"/>
        <v>2.3268553414644155</v>
      </c>
      <c r="K686" s="859">
        <f t="shared" si="35"/>
        <v>2.3268553414644155</v>
      </c>
      <c r="L686" s="859">
        <f t="shared" si="35"/>
        <v>2.3268553414644155</v>
      </c>
      <c r="M686" s="859">
        <f t="shared" si="35"/>
        <v>2.3268553414644155</v>
      </c>
    </row>
    <row r="687" spans="3:13" hidden="1" outlineLevel="1" x14ac:dyDescent="0.25">
      <c r="C687" s="751">
        <v>9</v>
      </c>
      <c r="D687" s="751" t="s">
        <v>485</v>
      </c>
      <c r="E687" s="751" t="s">
        <v>171</v>
      </c>
      <c r="F687" s="859">
        <f t="shared" si="33"/>
        <v>1.2391952009844369</v>
      </c>
      <c r="G687" s="859">
        <f t="shared" si="35"/>
        <v>1.2391952009844369</v>
      </c>
      <c r="H687" s="859">
        <f t="shared" si="35"/>
        <v>1.2391952009844369</v>
      </c>
      <c r="I687" s="859">
        <f t="shared" si="35"/>
        <v>1.2391952009844369</v>
      </c>
      <c r="J687" s="859">
        <f t="shared" si="35"/>
        <v>1.2391952009844369</v>
      </c>
      <c r="K687" s="859">
        <f t="shared" si="35"/>
        <v>1.2391952009844369</v>
      </c>
      <c r="L687" s="859">
        <f t="shared" si="35"/>
        <v>1.2391952009844369</v>
      </c>
      <c r="M687" s="859">
        <f t="shared" si="35"/>
        <v>1.2391952009844369</v>
      </c>
    </row>
    <row r="688" spans="3:13" hidden="1" outlineLevel="1" x14ac:dyDescent="0.25">
      <c r="C688" s="751">
        <v>10</v>
      </c>
      <c r="D688" s="751" t="s">
        <v>485</v>
      </c>
      <c r="E688" s="751" t="s">
        <v>171</v>
      </c>
      <c r="F688" s="859">
        <f t="shared" si="33"/>
        <v>2.1400778559714313</v>
      </c>
      <c r="G688" s="859">
        <f t="shared" si="35"/>
        <v>2.1400778559714313</v>
      </c>
      <c r="H688" s="859">
        <f t="shared" si="35"/>
        <v>2.1400778559714313</v>
      </c>
      <c r="I688" s="859">
        <f t="shared" si="35"/>
        <v>2.1400778559714313</v>
      </c>
      <c r="J688" s="859">
        <f t="shared" si="35"/>
        <v>2.1400778559714313</v>
      </c>
      <c r="K688" s="859">
        <f t="shared" si="35"/>
        <v>2.1400778559714313</v>
      </c>
      <c r="L688" s="859">
        <f t="shared" si="35"/>
        <v>2.1400778559714313</v>
      </c>
      <c r="M688" s="859">
        <f t="shared" si="35"/>
        <v>2.1400778559714313</v>
      </c>
    </row>
    <row r="689" spans="3:13" hidden="1" outlineLevel="1" x14ac:dyDescent="0.25">
      <c r="C689" s="751">
        <v>11</v>
      </c>
      <c r="D689" s="751" t="s">
        <v>485</v>
      </c>
      <c r="E689" s="751" t="s">
        <v>171</v>
      </c>
      <c r="F689" s="859">
        <f t="shared" si="33"/>
        <v>0.48032434907870314</v>
      </c>
      <c r="G689" s="859">
        <f t="shared" si="35"/>
        <v>0.48032434907870314</v>
      </c>
      <c r="H689" s="859">
        <f t="shared" si="35"/>
        <v>0.48032434907870314</v>
      </c>
      <c r="I689" s="859">
        <f t="shared" si="35"/>
        <v>0.48032434907870314</v>
      </c>
      <c r="J689" s="859">
        <f t="shared" si="35"/>
        <v>0.48032434907870314</v>
      </c>
      <c r="K689" s="859">
        <f t="shared" si="35"/>
        <v>0.48032434907870314</v>
      </c>
      <c r="L689" s="859">
        <f t="shared" si="35"/>
        <v>0.48032434907870314</v>
      </c>
      <c r="M689" s="859">
        <f t="shared" si="35"/>
        <v>0.48032434907870314</v>
      </c>
    </row>
    <row r="690" spans="3:13" hidden="1" outlineLevel="1" x14ac:dyDescent="0.25">
      <c r="C690" s="751">
        <v>12</v>
      </c>
      <c r="D690" s="751" t="s">
        <v>485</v>
      </c>
      <c r="E690" s="751" t="s">
        <v>171</v>
      </c>
      <c r="F690" s="859">
        <f t="shared" si="33"/>
        <v>1.3389032077906176</v>
      </c>
      <c r="G690" s="859">
        <f t="shared" si="35"/>
        <v>1.3389032077906176</v>
      </c>
      <c r="H690" s="859">
        <f t="shared" si="35"/>
        <v>1.3389032077906176</v>
      </c>
      <c r="I690" s="859">
        <f t="shared" si="35"/>
        <v>1.3389032077906176</v>
      </c>
      <c r="J690" s="859">
        <f t="shared" si="35"/>
        <v>1.3389032077906176</v>
      </c>
      <c r="K690" s="859">
        <f t="shared" si="35"/>
        <v>1.3389032077906176</v>
      </c>
      <c r="L690" s="859">
        <f t="shared" si="35"/>
        <v>1.3389032077906176</v>
      </c>
      <c r="M690" s="859">
        <f t="shared" si="35"/>
        <v>1.3389032077906176</v>
      </c>
    </row>
    <row r="691" spans="3:13" hidden="1" outlineLevel="1" x14ac:dyDescent="0.25">
      <c r="C691" s="751">
        <v>13</v>
      </c>
      <c r="D691" s="751" t="s">
        <v>485</v>
      </c>
      <c r="E691" s="751" t="s">
        <v>171</v>
      </c>
      <c r="F691" s="859">
        <f t="shared" si="33"/>
        <v>6.1600952803980036</v>
      </c>
      <c r="G691" s="859">
        <f t="shared" si="35"/>
        <v>6.1600952803980036</v>
      </c>
      <c r="H691" s="859">
        <f t="shared" si="35"/>
        <v>6.1600952803980036</v>
      </c>
      <c r="I691" s="859">
        <f t="shared" si="35"/>
        <v>6.1600952803980036</v>
      </c>
      <c r="J691" s="859">
        <f t="shared" si="35"/>
        <v>6.1600952803980036</v>
      </c>
      <c r="K691" s="859">
        <f t="shared" si="35"/>
        <v>6.1600952803980036</v>
      </c>
      <c r="L691" s="859">
        <f t="shared" si="35"/>
        <v>6.1600952803980036</v>
      </c>
      <c r="M691" s="859">
        <f t="shared" si="35"/>
        <v>6.1600952803980036</v>
      </c>
    </row>
    <row r="692" spans="3:13" hidden="1" outlineLevel="1" x14ac:dyDescent="0.25">
      <c r="C692" s="751">
        <v>14</v>
      </c>
      <c r="D692" s="751" t="s">
        <v>485</v>
      </c>
      <c r="E692" s="751" t="s">
        <v>171</v>
      </c>
      <c r="F692" s="859">
        <f t="shared" si="33"/>
        <v>0.84209382818430423</v>
      </c>
      <c r="G692" s="859">
        <f t="shared" si="35"/>
        <v>0.84209382818430423</v>
      </c>
      <c r="H692" s="859">
        <f t="shared" si="35"/>
        <v>0.84209382818430423</v>
      </c>
      <c r="I692" s="859">
        <f t="shared" si="35"/>
        <v>0.84209382818430423</v>
      </c>
      <c r="J692" s="859">
        <f t="shared" si="35"/>
        <v>0.84209382818430423</v>
      </c>
      <c r="K692" s="859">
        <f t="shared" si="35"/>
        <v>0.84209382818430423</v>
      </c>
      <c r="L692" s="859">
        <f t="shared" si="35"/>
        <v>0.84209382818430423</v>
      </c>
      <c r="M692" s="859">
        <f t="shared" si="35"/>
        <v>0.84209382818430423</v>
      </c>
    </row>
    <row r="693" spans="3:13" hidden="1" outlineLevel="1" x14ac:dyDescent="0.25">
      <c r="C693" s="751">
        <v>15</v>
      </c>
      <c r="D693" s="751" t="s">
        <v>485</v>
      </c>
      <c r="E693" s="751" t="s">
        <v>171</v>
      </c>
      <c r="F693" s="859">
        <f t="shared" si="33"/>
        <v>8.701222584977282E-2</v>
      </c>
      <c r="G693" s="859">
        <f t="shared" si="35"/>
        <v>8.701222584977282E-2</v>
      </c>
      <c r="H693" s="859">
        <f t="shared" si="35"/>
        <v>8.701222584977282E-2</v>
      </c>
      <c r="I693" s="859">
        <f t="shared" si="35"/>
        <v>8.701222584977282E-2</v>
      </c>
      <c r="J693" s="859">
        <f t="shared" si="35"/>
        <v>8.701222584977282E-2</v>
      </c>
      <c r="K693" s="859">
        <f t="shared" si="35"/>
        <v>8.701222584977282E-2</v>
      </c>
      <c r="L693" s="859">
        <f t="shared" si="35"/>
        <v>8.701222584977282E-2</v>
      </c>
      <c r="M693" s="859">
        <f t="shared" si="35"/>
        <v>8.701222584977282E-2</v>
      </c>
    </row>
    <row r="694" spans="3:13" hidden="1" outlineLevel="1" x14ac:dyDescent="0.25">
      <c r="C694" s="751">
        <v>1</v>
      </c>
      <c r="D694" s="751" t="s">
        <v>487</v>
      </c>
      <c r="E694" s="751" t="s">
        <v>171</v>
      </c>
      <c r="F694" s="859">
        <f t="shared" si="33"/>
        <v>4.961092746565296E-2</v>
      </c>
      <c r="G694" s="859">
        <f t="shared" si="35"/>
        <v>4.961092746565296E-2</v>
      </c>
      <c r="H694" s="859">
        <f t="shared" si="35"/>
        <v>4.961092746565296E-2</v>
      </c>
      <c r="I694" s="859">
        <f t="shared" si="35"/>
        <v>4.961092746565296E-2</v>
      </c>
      <c r="J694" s="859">
        <f t="shared" si="35"/>
        <v>4.961092746565296E-2</v>
      </c>
      <c r="K694" s="859">
        <f t="shared" si="35"/>
        <v>4.961092746565296E-2</v>
      </c>
      <c r="L694" s="859">
        <f t="shared" si="35"/>
        <v>4.961092746565296E-2</v>
      </c>
      <c r="M694" s="859">
        <f t="shared" si="35"/>
        <v>4.961092746565296E-2</v>
      </c>
    </row>
    <row r="695" spans="3:13" hidden="1" outlineLevel="1" x14ac:dyDescent="0.25">
      <c r="C695" s="751">
        <v>2</v>
      </c>
      <c r="D695" s="751" t="s">
        <v>487</v>
      </c>
      <c r="E695" s="751" t="s">
        <v>171</v>
      </c>
      <c r="F695" s="859">
        <f t="shared" si="33"/>
        <v>8.4424539046151381E-2</v>
      </c>
      <c r="G695" s="859">
        <f t="shared" si="35"/>
        <v>8.4424539046151381E-2</v>
      </c>
      <c r="H695" s="859">
        <f t="shared" si="35"/>
        <v>8.4424539046151381E-2</v>
      </c>
      <c r="I695" s="859">
        <f t="shared" si="35"/>
        <v>8.4424539046151381E-2</v>
      </c>
      <c r="J695" s="859">
        <f t="shared" si="35"/>
        <v>8.4424539046151381E-2</v>
      </c>
      <c r="K695" s="859">
        <f t="shared" si="35"/>
        <v>8.4424539046151381E-2</v>
      </c>
      <c r="L695" s="859">
        <f t="shared" si="35"/>
        <v>8.4424539046151381E-2</v>
      </c>
      <c r="M695" s="859">
        <f t="shared" si="35"/>
        <v>8.4424539046151381E-2</v>
      </c>
    </row>
    <row r="696" spans="3:13" hidden="1" outlineLevel="1" x14ac:dyDescent="0.25">
      <c r="C696" s="751">
        <v>3</v>
      </c>
      <c r="D696" s="751" t="s">
        <v>487</v>
      </c>
      <c r="E696" s="751" t="s">
        <v>171</v>
      </c>
      <c r="F696" s="859">
        <f t="shared" si="33"/>
        <v>4.6427462575747952E-2</v>
      </c>
      <c r="G696" s="859">
        <f t="shared" si="35"/>
        <v>4.6427462575747952E-2</v>
      </c>
      <c r="H696" s="859">
        <f t="shared" si="35"/>
        <v>4.6427462575747952E-2</v>
      </c>
      <c r="I696" s="859">
        <f t="shared" si="35"/>
        <v>4.6427462575747952E-2</v>
      </c>
      <c r="J696" s="859">
        <f t="shared" si="35"/>
        <v>4.6427462575747952E-2</v>
      </c>
      <c r="K696" s="859">
        <f t="shared" si="35"/>
        <v>4.6427462575747952E-2</v>
      </c>
      <c r="L696" s="859">
        <f t="shared" si="35"/>
        <v>4.6427462575747952E-2</v>
      </c>
      <c r="M696" s="859">
        <f t="shared" si="35"/>
        <v>4.6427462575747952E-2</v>
      </c>
    </row>
    <row r="697" spans="3:13" hidden="1" outlineLevel="1" x14ac:dyDescent="0.25">
      <c r="C697" s="751">
        <v>4</v>
      </c>
      <c r="D697" s="751" t="s">
        <v>487</v>
      </c>
      <c r="E697" s="751" t="s">
        <v>171</v>
      </c>
      <c r="F697" s="859">
        <f t="shared" si="33"/>
        <v>0.11392358283909432</v>
      </c>
      <c r="G697" s="859">
        <f t="shared" si="35"/>
        <v>0.11392358283909432</v>
      </c>
      <c r="H697" s="859">
        <f t="shared" si="35"/>
        <v>0.11392358283909432</v>
      </c>
      <c r="I697" s="859">
        <f t="shared" si="35"/>
        <v>0.11392358283909432</v>
      </c>
      <c r="J697" s="859">
        <f t="shared" si="35"/>
        <v>0.11392358283909432</v>
      </c>
      <c r="K697" s="859">
        <f t="shared" si="35"/>
        <v>0.11392358283909432</v>
      </c>
      <c r="L697" s="859">
        <f t="shared" si="35"/>
        <v>0.11392358283909432</v>
      </c>
      <c r="M697" s="859">
        <f t="shared" si="35"/>
        <v>0.11392358283909432</v>
      </c>
    </row>
    <row r="698" spans="3:13" hidden="1" outlineLevel="1" x14ac:dyDescent="0.25">
      <c r="C698" s="751">
        <v>5</v>
      </c>
      <c r="D698" s="751" t="s">
        <v>487</v>
      </c>
      <c r="E698" s="751" t="s">
        <v>171</v>
      </c>
      <c r="F698" s="859">
        <f t="shared" si="33"/>
        <v>0.70625205326651175</v>
      </c>
      <c r="G698" s="859">
        <f t="shared" si="35"/>
        <v>0.70625205326651175</v>
      </c>
      <c r="H698" s="859">
        <f t="shared" si="35"/>
        <v>0.70625205326651175</v>
      </c>
      <c r="I698" s="859">
        <f t="shared" si="35"/>
        <v>0.70625205326651175</v>
      </c>
      <c r="J698" s="859">
        <f t="shared" si="35"/>
        <v>0.70625205326651175</v>
      </c>
      <c r="K698" s="859">
        <f t="shared" si="35"/>
        <v>0.70625205326651175</v>
      </c>
      <c r="L698" s="859">
        <f t="shared" si="35"/>
        <v>0.70625205326651175</v>
      </c>
      <c r="M698" s="859">
        <f t="shared" si="35"/>
        <v>0.70625205326651175</v>
      </c>
    </row>
    <row r="699" spans="3:13" hidden="1" outlineLevel="1" x14ac:dyDescent="0.25">
      <c r="C699" s="751">
        <v>6</v>
      </c>
      <c r="D699" s="751" t="s">
        <v>487</v>
      </c>
      <c r="E699" s="751" t="s">
        <v>171</v>
      </c>
      <c r="F699" s="859">
        <f t="shared" si="33"/>
        <v>0.36287728007841302</v>
      </c>
      <c r="G699" s="859">
        <f t="shared" si="35"/>
        <v>0.36287728007841302</v>
      </c>
      <c r="H699" s="859">
        <f t="shared" si="35"/>
        <v>0.36287728007841302</v>
      </c>
      <c r="I699" s="859">
        <f t="shared" si="35"/>
        <v>0.36287728007841302</v>
      </c>
      <c r="J699" s="859">
        <f t="shared" si="35"/>
        <v>0.36287728007841302</v>
      </c>
      <c r="K699" s="859">
        <f t="shared" si="35"/>
        <v>0.36287728007841302</v>
      </c>
      <c r="L699" s="859">
        <f t="shared" si="35"/>
        <v>0.36287728007841302</v>
      </c>
      <c r="M699" s="859">
        <f t="shared" si="35"/>
        <v>0.36287728007841302</v>
      </c>
    </row>
    <row r="700" spans="3:13" hidden="1" outlineLevel="1" x14ac:dyDescent="0.25">
      <c r="C700" s="751">
        <v>7</v>
      </c>
      <c r="D700" s="751" t="s">
        <v>487</v>
      </c>
      <c r="E700" s="751" t="s">
        <v>171</v>
      </c>
      <c r="F700" s="859">
        <f t="shared" si="33"/>
        <v>0.47725101622527899</v>
      </c>
      <c r="G700" s="859">
        <f t="shared" si="35"/>
        <v>0.47725101622527899</v>
      </c>
      <c r="H700" s="859">
        <f t="shared" si="35"/>
        <v>0.47725101622527899</v>
      </c>
      <c r="I700" s="859">
        <f t="shared" si="35"/>
        <v>0.47725101622527899</v>
      </c>
      <c r="J700" s="859">
        <f t="shared" si="35"/>
        <v>0.47725101622527899</v>
      </c>
      <c r="K700" s="859">
        <f t="shared" si="35"/>
        <v>0.47725101622527899</v>
      </c>
      <c r="L700" s="859">
        <f t="shared" si="35"/>
        <v>0.47725101622527899</v>
      </c>
      <c r="M700" s="859">
        <f t="shared" si="35"/>
        <v>0.47725101622527899</v>
      </c>
    </row>
    <row r="701" spans="3:13" hidden="1" outlineLevel="1" x14ac:dyDescent="0.25">
      <c r="C701" s="751">
        <v>8</v>
      </c>
      <c r="D701" s="751" t="s">
        <v>487</v>
      </c>
      <c r="E701" s="751" t="s">
        <v>171</v>
      </c>
      <c r="F701" s="859">
        <f t="shared" si="33"/>
        <v>1.3063495070114834</v>
      </c>
      <c r="G701" s="859">
        <f t="shared" si="35"/>
        <v>1.3063495070114834</v>
      </c>
      <c r="H701" s="859">
        <f t="shared" si="35"/>
        <v>1.3063495070114834</v>
      </c>
      <c r="I701" s="859">
        <f t="shared" si="35"/>
        <v>1.3063495070114834</v>
      </c>
      <c r="J701" s="859">
        <f t="shared" si="35"/>
        <v>1.3063495070114834</v>
      </c>
      <c r="K701" s="859">
        <f t="shared" si="35"/>
        <v>1.3063495070114834</v>
      </c>
      <c r="L701" s="859">
        <f t="shared" si="35"/>
        <v>1.3063495070114834</v>
      </c>
      <c r="M701" s="859">
        <f t="shared" si="35"/>
        <v>1.3063495070114834</v>
      </c>
    </row>
    <row r="702" spans="3:13" hidden="1" outlineLevel="1" x14ac:dyDescent="0.25">
      <c r="C702" s="751">
        <v>9</v>
      </c>
      <c r="D702" s="751" t="s">
        <v>487</v>
      </c>
      <c r="E702" s="751" t="s">
        <v>171</v>
      </c>
      <c r="F702" s="859">
        <f t="shared" si="33"/>
        <v>0.87472602422430845</v>
      </c>
      <c r="G702" s="859">
        <f t="shared" si="35"/>
        <v>0.87472602422430845</v>
      </c>
      <c r="H702" s="859">
        <f t="shared" si="35"/>
        <v>0.87472602422430845</v>
      </c>
      <c r="I702" s="859">
        <f t="shared" si="35"/>
        <v>0.87472602422430845</v>
      </c>
      <c r="J702" s="859">
        <f t="shared" si="35"/>
        <v>0.87472602422430845</v>
      </c>
      <c r="K702" s="859">
        <f t="shared" si="35"/>
        <v>0.87472602422430845</v>
      </c>
      <c r="L702" s="859">
        <f t="shared" si="35"/>
        <v>0.87472602422430845</v>
      </c>
      <c r="M702" s="859">
        <f t="shared" si="35"/>
        <v>0.87472602422430845</v>
      </c>
    </row>
    <row r="703" spans="3:13" hidden="1" outlineLevel="1" x14ac:dyDescent="0.25">
      <c r="C703" s="751">
        <v>10</v>
      </c>
      <c r="D703" s="751" t="s">
        <v>487</v>
      </c>
      <c r="E703" s="751" t="s">
        <v>171</v>
      </c>
      <c r="F703" s="859">
        <f t="shared" si="33"/>
        <v>1.5106431924504227</v>
      </c>
      <c r="G703" s="859">
        <f t="shared" si="35"/>
        <v>1.5106431924504227</v>
      </c>
      <c r="H703" s="859">
        <f t="shared" si="35"/>
        <v>1.5106431924504227</v>
      </c>
      <c r="I703" s="859">
        <f t="shared" si="35"/>
        <v>1.5106431924504227</v>
      </c>
      <c r="J703" s="859">
        <f t="shared" si="35"/>
        <v>1.5106431924504227</v>
      </c>
      <c r="K703" s="859">
        <f t="shared" si="35"/>
        <v>1.5106431924504227</v>
      </c>
      <c r="L703" s="859">
        <f t="shared" si="35"/>
        <v>1.5106431924504227</v>
      </c>
      <c r="M703" s="859">
        <f t="shared" si="35"/>
        <v>1.5106431924504227</v>
      </c>
    </row>
    <row r="704" spans="3:13" hidden="1" outlineLevel="1" x14ac:dyDescent="0.25">
      <c r="C704" s="751">
        <v>11</v>
      </c>
      <c r="D704" s="751" t="s">
        <v>487</v>
      </c>
      <c r="E704" s="751" t="s">
        <v>171</v>
      </c>
      <c r="F704" s="859">
        <f t="shared" si="33"/>
        <v>0.1952552384754459</v>
      </c>
      <c r="G704" s="859">
        <f t="shared" si="35"/>
        <v>0.1952552384754459</v>
      </c>
      <c r="H704" s="859">
        <f t="shared" si="35"/>
        <v>0.1952552384754459</v>
      </c>
      <c r="I704" s="859">
        <f t="shared" si="35"/>
        <v>0.1952552384754459</v>
      </c>
      <c r="J704" s="859">
        <f t="shared" si="35"/>
        <v>0.1952552384754459</v>
      </c>
      <c r="K704" s="859">
        <f t="shared" si="35"/>
        <v>0.1952552384754459</v>
      </c>
      <c r="L704" s="859">
        <f t="shared" si="35"/>
        <v>0.1952552384754459</v>
      </c>
      <c r="M704" s="859">
        <f t="shared" si="35"/>
        <v>0.1952552384754459</v>
      </c>
    </row>
    <row r="705" spans="3:13" hidden="1" outlineLevel="1" x14ac:dyDescent="0.25">
      <c r="C705" s="751">
        <v>12</v>
      </c>
      <c r="D705" s="751" t="s">
        <v>487</v>
      </c>
      <c r="E705" s="751" t="s">
        <v>171</v>
      </c>
      <c r="F705" s="859">
        <f t="shared" si="33"/>
        <v>0.40370691471923181</v>
      </c>
      <c r="G705" s="859">
        <f t="shared" si="35"/>
        <v>0.40370691471923181</v>
      </c>
      <c r="H705" s="859">
        <f t="shared" si="35"/>
        <v>0.40370691471923181</v>
      </c>
      <c r="I705" s="859">
        <f t="shared" si="35"/>
        <v>0.40370691471923181</v>
      </c>
      <c r="J705" s="859">
        <f t="shared" si="35"/>
        <v>0.40370691471923181</v>
      </c>
      <c r="K705" s="859">
        <f t="shared" si="35"/>
        <v>0.40370691471923181</v>
      </c>
      <c r="L705" s="859">
        <f t="shared" si="35"/>
        <v>0.40370691471923181</v>
      </c>
      <c r="M705" s="859">
        <f t="shared" si="35"/>
        <v>0.40370691471923181</v>
      </c>
    </row>
    <row r="706" spans="3:13" hidden="1" outlineLevel="1" x14ac:dyDescent="0.25">
      <c r="C706" s="751">
        <v>13</v>
      </c>
      <c r="D706" s="751" t="s">
        <v>487</v>
      </c>
      <c r="E706" s="751" t="s">
        <v>171</v>
      </c>
      <c r="F706" s="859">
        <f t="shared" si="33"/>
        <v>2.5830093075077958</v>
      </c>
      <c r="G706" s="859">
        <f t="shared" si="35"/>
        <v>2.5830093075077958</v>
      </c>
      <c r="H706" s="859">
        <f t="shared" si="35"/>
        <v>2.5830093075077958</v>
      </c>
      <c r="I706" s="859">
        <f t="shared" si="35"/>
        <v>2.5830093075077958</v>
      </c>
      <c r="J706" s="859">
        <f t="shared" si="35"/>
        <v>2.5830093075077958</v>
      </c>
      <c r="K706" s="859">
        <f t="shared" si="35"/>
        <v>2.5830093075077958</v>
      </c>
      <c r="L706" s="859">
        <f t="shared" si="35"/>
        <v>2.5830093075077958</v>
      </c>
      <c r="M706" s="859">
        <f t="shared" si="35"/>
        <v>2.5830093075077958</v>
      </c>
    </row>
    <row r="707" spans="3:13" hidden="1" outlineLevel="1" x14ac:dyDescent="0.25">
      <c r="C707" s="751">
        <v>14</v>
      </c>
      <c r="D707" s="751" t="s">
        <v>487</v>
      </c>
      <c r="E707" s="751" t="s">
        <v>171</v>
      </c>
      <c r="F707" s="859">
        <f t="shared" si="33"/>
        <v>0.59441917283597956</v>
      </c>
      <c r="G707" s="859">
        <f t="shared" si="35"/>
        <v>0.59441917283597956</v>
      </c>
      <c r="H707" s="859">
        <f t="shared" si="35"/>
        <v>0.59441917283597956</v>
      </c>
      <c r="I707" s="859">
        <f t="shared" si="35"/>
        <v>0.59441917283597956</v>
      </c>
      <c r="J707" s="859">
        <f t="shared" si="35"/>
        <v>0.59441917283597956</v>
      </c>
      <c r="K707" s="859">
        <f t="shared" si="35"/>
        <v>0.59441917283597956</v>
      </c>
      <c r="L707" s="859">
        <f t="shared" si="35"/>
        <v>0.59441917283597956</v>
      </c>
      <c r="M707" s="859">
        <f t="shared" si="35"/>
        <v>0.59441917283597956</v>
      </c>
    </row>
    <row r="708" spans="3:13" hidden="1" outlineLevel="1" x14ac:dyDescent="0.25">
      <c r="C708" s="751">
        <v>15</v>
      </c>
      <c r="D708" s="751" t="s">
        <v>487</v>
      </c>
      <c r="E708" s="751" t="s">
        <v>171</v>
      </c>
      <c r="F708" s="859">
        <f t="shared" si="33"/>
        <v>2.825464840782374E-2</v>
      </c>
      <c r="G708" s="859">
        <f t="shared" si="35"/>
        <v>2.825464840782374E-2</v>
      </c>
      <c r="H708" s="859">
        <f t="shared" si="35"/>
        <v>2.825464840782374E-2</v>
      </c>
      <c r="I708" s="859">
        <f t="shared" si="35"/>
        <v>2.825464840782374E-2</v>
      </c>
      <c r="J708" s="859">
        <f t="shared" si="35"/>
        <v>2.825464840782374E-2</v>
      </c>
      <c r="K708" s="859">
        <f t="shared" si="35"/>
        <v>2.825464840782374E-2</v>
      </c>
      <c r="L708" s="859">
        <f t="shared" si="35"/>
        <v>2.825464840782374E-2</v>
      </c>
      <c r="M708" s="859">
        <f t="shared" si="35"/>
        <v>2.825464840782374E-2</v>
      </c>
    </row>
    <row r="709" spans="3:13" hidden="1" outlineLevel="1" x14ac:dyDescent="0.25">
      <c r="C709" s="751">
        <v>1</v>
      </c>
      <c r="D709" s="751" t="s">
        <v>484</v>
      </c>
      <c r="E709" s="751" t="s">
        <v>171</v>
      </c>
      <c r="F709" s="859">
        <v>0</v>
      </c>
      <c r="G709" s="859">
        <f t="shared" ref="G709:M723" si="36">G647-$F647</f>
        <v>8.2583860266080555E-3</v>
      </c>
      <c r="H709" s="859">
        <f t="shared" si="36"/>
        <v>2.5086043836625327E-2</v>
      </c>
      <c r="I709" s="859">
        <f t="shared" si="36"/>
        <v>4.4502467836808196E-2</v>
      </c>
      <c r="J709" s="859">
        <f t="shared" si="36"/>
        <v>7.0772885708137528E-2</v>
      </c>
      <c r="K709" s="859">
        <f t="shared" si="36"/>
        <v>0.10192674079684289</v>
      </c>
      <c r="L709" s="859">
        <f t="shared" si="36"/>
        <v>0.13918293034536705</v>
      </c>
      <c r="M709" s="859">
        <f t="shared" si="36"/>
        <v>0.17743840118599602</v>
      </c>
    </row>
    <row r="710" spans="3:13" hidden="1" outlineLevel="1" x14ac:dyDescent="0.25">
      <c r="C710" s="751">
        <v>2</v>
      </c>
      <c r="D710" s="751" t="s">
        <v>484</v>
      </c>
      <c r="E710" s="751" t="s">
        <v>171</v>
      </c>
      <c r="F710" s="859">
        <v>0</v>
      </c>
      <c r="G710" s="859">
        <f t="shared" si="36"/>
        <v>1.3861023040346865E-2</v>
      </c>
      <c r="H710" s="859">
        <f t="shared" si="36"/>
        <v>4.2211628970275972E-2</v>
      </c>
      <c r="I710" s="859">
        <f t="shared" si="36"/>
        <v>7.4921673592087179E-2</v>
      </c>
      <c r="J710" s="859">
        <f t="shared" si="36"/>
        <v>0.11922272813696067</v>
      </c>
      <c r="K710" s="859">
        <f t="shared" si="36"/>
        <v>0.17175612016930852</v>
      </c>
      <c r="L710" s="859">
        <f t="shared" si="36"/>
        <v>0.2345762693544563</v>
      </c>
      <c r="M710" s="859">
        <f t="shared" si="36"/>
        <v>0.29907107525794852</v>
      </c>
    </row>
    <row r="711" spans="3:13" hidden="1" outlineLevel="1" x14ac:dyDescent="0.25">
      <c r="C711" s="751">
        <v>3</v>
      </c>
      <c r="D711" s="751" t="s">
        <v>484</v>
      </c>
      <c r="E711" s="751" t="s">
        <v>171</v>
      </c>
      <c r="F711" s="859">
        <v>0</v>
      </c>
      <c r="G711" s="859">
        <f t="shared" si="36"/>
        <v>9.0270436106690555E-3</v>
      </c>
      <c r="H711" s="859">
        <f t="shared" si="36"/>
        <v>2.6693241398858591E-2</v>
      </c>
      <c r="I711" s="859">
        <f t="shared" si="36"/>
        <v>4.7093409185152424E-2</v>
      </c>
      <c r="J711" s="859">
        <f t="shared" si="36"/>
        <v>7.438868477010771E-2</v>
      </c>
      <c r="K711" s="859">
        <f t="shared" si="36"/>
        <v>0.10677829882401646</v>
      </c>
      <c r="L711" s="859">
        <f t="shared" si="36"/>
        <v>0.1455363710072744</v>
      </c>
      <c r="M711" s="859">
        <f t="shared" si="36"/>
        <v>0.18540674919333783</v>
      </c>
    </row>
    <row r="712" spans="3:13" hidden="1" outlineLevel="1" x14ac:dyDescent="0.25">
      <c r="C712" s="751">
        <v>4</v>
      </c>
      <c r="D712" s="751" t="s">
        <v>484</v>
      </c>
      <c r="E712" s="751" t="s">
        <v>171</v>
      </c>
      <c r="F712" s="859">
        <v>0</v>
      </c>
      <c r="G712" s="859">
        <f t="shared" si="36"/>
        <v>1.6879991908097136E-2</v>
      </c>
      <c r="H712" s="859">
        <f t="shared" si="36"/>
        <v>5.2423380875715908E-2</v>
      </c>
      <c r="I712" s="859">
        <f t="shared" si="36"/>
        <v>9.3415340931054247E-2</v>
      </c>
      <c r="J712" s="859">
        <f t="shared" si="36"/>
        <v>0.14935105969426193</v>
      </c>
      <c r="K712" s="859">
        <f t="shared" si="36"/>
        <v>0.2156552269977644</v>
      </c>
      <c r="L712" s="859">
        <f t="shared" si="36"/>
        <v>0.29491208024233506</v>
      </c>
      <c r="M712" s="859">
        <f t="shared" si="36"/>
        <v>0.37618635536444711</v>
      </c>
    </row>
    <row r="713" spans="3:13" hidden="1" outlineLevel="1" x14ac:dyDescent="0.25">
      <c r="C713" s="751">
        <v>5</v>
      </c>
      <c r="D713" s="751" t="s">
        <v>484</v>
      </c>
      <c r="E713" s="751" t="s">
        <v>171</v>
      </c>
      <c r="F713" s="859">
        <v>0</v>
      </c>
      <c r="G713" s="859">
        <f t="shared" si="36"/>
        <v>3.7080091381070934E-2</v>
      </c>
      <c r="H713" s="859">
        <f t="shared" si="36"/>
        <v>0.15391924639061361</v>
      </c>
      <c r="I713" s="859">
        <f t="shared" si="36"/>
        <v>0.2887097356270496</v>
      </c>
      <c r="J713" s="859">
        <f t="shared" si="36"/>
        <v>0.48702207566584677</v>
      </c>
      <c r="K713" s="859">
        <f t="shared" si="36"/>
        <v>0.72141803386983883</v>
      </c>
      <c r="L713" s="859">
        <f t="shared" si="36"/>
        <v>1.0008040972907049</v>
      </c>
      <c r="M713" s="859">
        <f t="shared" si="36"/>
        <v>1.2844563525570929</v>
      </c>
    </row>
    <row r="714" spans="3:13" hidden="1" outlineLevel="1" x14ac:dyDescent="0.25">
      <c r="C714" s="751">
        <v>6</v>
      </c>
      <c r="D714" s="751" t="s">
        <v>484</v>
      </c>
      <c r="E714" s="751" t="s">
        <v>171</v>
      </c>
      <c r="F714" s="859">
        <v>0</v>
      </c>
      <c r="G714" s="859">
        <f t="shared" si="36"/>
        <v>3.4516944371517422E-2</v>
      </c>
      <c r="H714" s="859">
        <f t="shared" si="36"/>
        <v>0.11868827353034683</v>
      </c>
      <c r="I714" s="859">
        <f t="shared" si="36"/>
        <v>0.21568287048957968</v>
      </c>
      <c r="J714" s="859">
        <f t="shared" si="36"/>
        <v>0.35245460586074073</v>
      </c>
      <c r="K714" s="859">
        <f t="shared" si="36"/>
        <v>0.51434113139082505</v>
      </c>
      <c r="L714" s="859">
        <f t="shared" si="36"/>
        <v>0.70757212987414153</v>
      </c>
      <c r="M714" s="859">
        <f t="shared" si="36"/>
        <v>0.90478877822767489</v>
      </c>
    </row>
    <row r="715" spans="3:13" hidden="1" outlineLevel="1" x14ac:dyDescent="0.25">
      <c r="C715" s="751">
        <v>7</v>
      </c>
      <c r="D715" s="751" t="s">
        <v>484</v>
      </c>
      <c r="E715" s="751" t="s">
        <v>171</v>
      </c>
      <c r="F715" s="859">
        <v>0</v>
      </c>
      <c r="G715" s="859">
        <f t="shared" si="36"/>
        <v>3.3172785039630392E-2</v>
      </c>
      <c r="H715" s="859">
        <f t="shared" si="36"/>
        <v>0.12496494734557406</v>
      </c>
      <c r="I715" s="859">
        <f t="shared" si="36"/>
        <v>0.2307746037884284</v>
      </c>
      <c r="J715" s="859">
        <f t="shared" si="36"/>
        <v>0.38342982788093205</v>
      </c>
      <c r="K715" s="859">
        <f t="shared" si="36"/>
        <v>0.56396814773678994</v>
      </c>
      <c r="L715" s="859">
        <f t="shared" si="36"/>
        <v>0.7792865994918261</v>
      </c>
      <c r="M715" s="859">
        <f t="shared" si="36"/>
        <v>0.99840107471940076</v>
      </c>
    </row>
    <row r="716" spans="3:13" hidden="1" outlineLevel="1" x14ac:dyDescent="0.25">
      <c r="C716" s="751">
        <v>8</v>
      </c>
      <c r="D716" s="751" t="s">
        <v>484</v>
      </c>
      <c r="E716" s="751" t="s">
        <v>171</v>
      </c>
      <c r="F716" s="859">
        <v>0</v>
      </c>
      <c r="G716" s="859">
        <f t="shared" si="36"/>
        <v>6.2839879458551184E-2</v>
      </c>
      <c r="H716" s="859">
        <f t="shared" si="36"/>
        <v>0.26972730800322875</v>
      </c>
      <c r="I716" s="859">
        <f t="shared" si="36"/>
        <v>0.50848128992334107</v>
      </c>
      <c r="J716" s="859">
        <f t="shared" si="36"/>
        <v>0.86181735427421025</v>
      </c>
      <c r="K716" s="859">
        <f t="shared" si="36"/>
        <v>1.2793774315789554</v>
      </c>
      <c r="L716" s="859">
        <f t="shared" si="36"/>
        <v>1.7770043861724205</v>
      </c>
      <c r="M716" s="859">
        <f t="shared" si="36"/>
        <v>2.2818948826327436</v>
      </c>
    </row>
    <row r="717" spans="3:13" hidden="1" outlineLevel="1" x14ac:dyDescent="0.25">
      <c r="C717" s="751">
        <v>9</v>
      </c>
      <c r="D717" s="751" t="s">
        <v>484</v>
      </c>
      <c r="E717" s="751" t="s">
        <v>171</v>
      </c>
      <c r="F717" s="859">
        <v>0</v>
      </c>
      <c r="G717" s="859">
        <f t="shared" si="36"/>
        <v>1.8174715672258701E-2</v>
      </c>
      <c r="H717" s="859">
        <f t="shared" si="36"/>
        <v>0.11699288799044272</v>
      </c>
      <c r="I717" s="859">
        <f t="shared" si="36"/>
        <v>0.2315244153769529</v>
      </c>
      <c r="J717" s="859">
        <f t="shared" si="36"/>
        <v>0.40939000850920437</v>
      </c>
      <c r="K717" s="859">
        <f t="shared" si="36"/>
        <v>0.61936502540616156</v>
      </c>
      <c r="L717" s="859">
        <f t="shared" si="36"/>
        <v>0.86933544080831715</v>
      </c>
      <c r="M717" s="859">
        <f t="shared" si="36"/>
        <v>1.121697280631744</v>
      </c>
    </row>
    <row r="718" spans="3:13" hidden="1" outlineLevel="1" x14ac:dyDescent="0.25">
      <c r="C718" s="751">
        <v>10</v>
      </c>
      <c r="D718" s="751" t="s">
        <v>484</v>
      </c>
      <c r="E718" s="751" t="s">
        <v>171</v>
      </c>
      <c r="F718" s="859">
        <v>0</v>
      </c>
      <c r="G718" s="859">
        <f t="shared" si="36"/>
        <v>3.1387554210893676E-2</v>
      </c>
      <c r="H718" s="859">
        <f t="shared" si="36"/>
        <v>0.20204556045374611</v>
      </c>
      <c r="I718" s="859">
        <f t="shared" si="36"/>
        <v>0.3998403754883264</v>
      </c>
      <c r="J718" s="859">
        <f t="shared" si="36"/>
        <v>0.70701249566694235</v>
      </c>
      <c r="K718" s="859">
        <f t="shared" si="36"/>
        <v>1.0696372731123556</v>
      </c>
      <c r="L718" s="859">
        <f t="shared" si="36"/>
        <v>1.501333708205999</v>
      </c>
      <c r="M718" s="859">
        <f t="shared" si="36"/>
        <v>1.9371601096230489</v>
      </c>
    </row>
    <row r="719" spans="3:13" hidden="1" outlineLevel="1" x14ac:dyDescent="0.25">
      <c r="C719" s="751">
        <v>11</v>
      </c>
      <c r="D719" s="751" t="s">
        <v>484</v>
      </c>
      <c r="E719" s="751" t="s">
        <v>171</v>
      </c>
      <c r="F719" s="859">
        <v>0</v>
      </c>
      <c r="G719" s="859">
        <f t="shared" si="36"/>
        <v>2.0899985033500768E-2</v>
      </c>
      <c r="H719" s="859">
        <f t="shared" si="36"/>
        <v>6.9739520021402823E-2</v>
      </c>
      <c r="I719" s="859">
        <f t="shared" si="36"/>
        <v>0.12602343601602828</v>
      </c>
      <c r="J719" s="859">
        <f t="shared" si="36"/>
        <v>0.20469769320300424</v>
      </c>
      <c r="K719" s="859">
        <f t="shared" si="36"/>
        <v>0.29785164513879969</v>
      </c>
      <c r="L719" s="859">
        <f t="shared" si="36"/>
        <v>0.40908118536545923</v>
      </c>
      <c r="M719" s="859">
        <f t="shared" si="36"/>
        <v>0.52274087177470541</v>
      </c>
    </row>
    <row r="720" spans="3:13" hidden="1" outlineLevel="1" x14ac:dyDescent="0.25">
      <c r="C720" s="751">
        <v>12</v>
      </c>
      <c r="D720" s="751" t="s">
        <v>484</v>
      </c>
      <c r="E720" s="751" t="s">
        <v>171</v>
      </c>
      <c r="F720" s="859">
        <v>0</v>
      </c>
      <c r="G720" s="859">
        <f t="shared" si="36"/>
        <v>7.675696938291332E-2</v>
      </c>
      <c r="H720" s="859">
        <f t="shared" si="36"/>
        <v>0.22781342623302714</v>
      </c>
      <c r="I720" s="859">
        <f t="shared" si="36"/>
        <v>0.4022250314595579</v>
      </c>
      <c r="J720" s="859">
        <f t="shared" si="36"/>
        <v>0.63595807023304363</v>
      </c>
      <c r="K720" s="859">
        <f t="shared" si="36"/>
        <v>0.91328875746483695</v>
      </c>
      <c r="L720" s="859">
        <f t="shared" si="36"/>
        <v>1.2451178100102498</v>
      </c>
      <c r="M720" s="859">
        <f t="shared" si="36"/>
        <v>1.5863790913606344</v>
      </c>
    </row>
    <row r="721" spans="3:13" hidden="1" outlineLevel="1" x14ac:dyDescent="0.25">
      <c r="C721" s="751">
        <v>13</v>
      </c>
      <c r="D721" s="751" t="s">
        <v>484</v>
      </c>
      <c r="E721" s="751" t="s">
        <v>171</v>
      </c>
      <c r="F721" s="859">
        <v>0</v>
      </c>
      <c r="G721" s="859">
        <f t="shared" si="36"/>
        <v>0.25865780078352696</v>
      </c>
      <c r="H721" s="859">
        <f t="shared" si="36"/>
        <v>0.87761056260099934</v>
      </c>
      <c r="I721" s="859">
        <f t="shared" si="36"/>
        <v>1.5908707400178379</v>
      </c>
      <c r="J721" s="859">
        <f t="shared" si="36"/>
        <v>2.592815563049566</v>
      </c>
      <c r="K721" s="859">
        <f t="shared" si="36"/>
        <v>3.7789228174795468</v>
      </c>
      <c r="L721" s="859">
        <f t="shared" si="36"/>
        <v>5.1948967125136534</v>
      </c>
      <c r="M721" s="859">
        <f t="shared" si="36"/>
        <v>6.6408216581225101</v>
      </c>
    </row>
    <row r="722" spans="3:13" hidden="1" outlineLevel="1" x14ac:dyDescent="0.25">
      <c r="C722" s="751">
        <v>14</v>
      </c>
      <c r="D722" s="751" t="s">
        <v>484</v>
      </c>
      <c r="E722" s="751" t="s">
        <v>171</v>
      </c>
      <c r="F722" s="859">
        <v>0</v>
      </c>
      <c r="G722" s="859">
        <f t="shared" si="36"/>
        <v>1.2350609399112589E-2</v>
      </c>
      <c r="H722" s="859">
        <f t="shared" si="36"/>
        <v>7.9502397071860798E-2</v>
      </c>
      <c r="I722" s="859">
        <f t="shared" si="36"/>
        <v>0.15733217906914709</v>
      </c>
      <c r="J722" s="859">
        <f t="shared" si="36"/>
        <v>0.27820056050253417</v>
      </c>
      <c r="K722" s="859">
        <f t="shared" si="36"/>
        <v>0.42088886793089975</v>
      </c>
      <c r="L722" s="859">
        <f t="shared" si="36"/>
        <v>0.59075600740303313</v>
      </c>
      <c r="M722" s="859">
        <f t="shared" si="36"/>
        <v>0.76224823688852594</v>
      </c>
    </row>
    <row r="723" spans="3:13" hidden="1" outlineLevel="1" x14ac:dyDescent="0.25">
      <c r="C723" s="751">
        <v>15</v>
      </c>
      <c r="D723" s="751" t="s">
        <v>484</v>
      </c>
      <c r="E723" s="751" t="s">
        <v>171</v>
      </c>
      <c r="F723" s="859">
        <v>0</v>
      </c>
      <c r="G723" s="859">
        <f t="shared" si="36"/>
        <v>4.7033547953611865E-3</v>
      </c>
      <c r="H723" s="859">
        <f t="shared" si="36"/>
        <v>1.4287121502371075E-2</v>
      </c>
      <c r="I723" s="859">
        <f t="shared" si="36"/>
        <v>2.5345254488137389E-2</v>
      </c>
      <c r="J723" s="859">
        <f t="shared" si="36"/>
        <v>4.0306906253162536E-2</v>
      </c>
      <c r="K723" s="859">
        <f t="shared" si="36"/>
        <v>5.8049796117277161E-2</v>
      </c>
      <c r="L723" s="859">
        <f t="shared" si="36"/>
        <v>7.9268116162544908E-2</v>
      </c>
      <c r="M723" s="859">
        <f t="shared" si="36"/>
        <v>0.10105555158241401</v>
      </c>
    </row>
    <row r="724" spans="3:13" hidden="1" outlineLevel="1" x14ac:dyDescent="0.25">
      <c r="C724" s="751">
        <v>1</v>
      </c>
      <c r="D724" s="751" t="s">
        <v>486</v>
      </c>
      <c r="E724" s="751" t="s">
        <v>171</v>
      </c>
      <c r="F724" s="859">
        <v>0</v>
      </c>
      <c r="G724" s="859">
        <f t="shared" ref="G724:M738" si="37">G662-$F694</f>
        <v>1.5435958032018415E-2</v>
      </c>
      <c r="H724" s="859">
        <f t="shared" si="37"/>
        <v>3.2211317359067931E-2</v>
      </c>
      <c r="I724" s="859">
        <f t="shared" si="37"/>
        <v>5.2778426766201592E-2</v>
      </c>
      <c r="J724" s="859">
        <f t="shared" si="37"/>
        <v>7.3261804554384247E-2</v>
      </c>
      <c r="K724" s="859">
        <f t="shared" si="37"/>
        <v>9.8393978199838389E-2</v>
      </c>
      <c r="L724" s="859">
        <f t="shared" si="37"/>
        <v>0.12946796046142031</v>
      </c>
      <c r="M724" s="859">
        <f t="shared" si="37"/>
        <v>0.1638806542105897</v>
      </c>
    </row>
    <row r="725" spans="3:13" hidden="1" outlineLevel="1" x14ac:dyDescent="0.25">
      <c r="C725" s="751">
        <v>2</v>
      </c>
      <c r="D725" s="751" t="s">
        <v>486</v>
      </c>
      <c r="E725" s="751" t="s">
        <v>171</v>
      </c>
      <c r="F725" s="859">
        <v>0</v>
      </c>
      <c r="G725" s="859">
        <f t="shared" si="37"/>
        <v>2.6232367558268077E-2</v>
      </c>
      <c r="H725" s="859">
        <f t="shared" si="37"/>
        <v>5.4741697823866176E-2</v>
      </c>
      <c r="I725" s="859">
        <f t="shared" si="37"/>
        <v>8.9688112416365762E-2</v>
      </c>
      <c r="J725" s="859">
        <f t="shared" si="37"/>
        <v>0.12449953242265782</v>
      </c>
      <c r="K725" s="859">
        <f t="shared" si="37"/>
        <v>0.16720818337321813</v>
      </c>
      <c r="L725" s="859">
        <f t="shared" si="37"/>
        <v>0.22001006876621859</v>
      </c>
      <c r="M725" s="859">
        <f t="shared" si="37"/>
        <v>0.27847764999504682</v>
      </c>
    </row>
    <row r="726" spans="3:13" hidden="1" outlineLevel="1" x14ac:dyDescent="0.25">
      <c r="C726" s="751">
        <v>3</v>
      </c>
      <c r="D726" s="751" t="s">
        <v>486</v>
      </c>
      <c r="E726" s="751" t="s">
        <v>171</v>
      </c>
      <c r="F726" s="859">
        <v>0</v>
      </c>
      <c r="G726" s="859">
        <f t="shared" si="37"/>
        <v>1.4666504318646634E-2</v>
      </c>
      <c r="H726" s="859">
        <f t="shared" si="37"/>
        <v>3.0602194607069338E-2</v>
      </c>
      <c r="I726" s="859">
        <f t="shared" si="37"/>
        <v>5.0184216782465624E-2</v>
      </c>
      <c r="J726" s="859">
        <f t="shared" si="37"/>
        <v>6.9641165930769966E-2</v>
      </c>
      <c r="K726" s="859">
        <f t="shared" si="37"/>
        <v>9.3535689401998384E-2</v>
      </c>
      <c r="L726" s="859">
        <f t="shared" si="37"/>
        <v>0.12310549313694688</v>
      </c>
      <c r="M726" s="859">
        <f t="shared" si="37"/>
        <v>0.1559008378923438</v>
      </c>
    </row>
    <row r="727" spans="3:13" hidden="1" outlineLevel="1" x14ac:dyDescent="0.25">
      <c r="C727" s="751">
        <v>4</v>
      </c>
      <c r="D727" s="751" t="s">
        <v>486</v>
      </c>
      <c r="E727" s="751" t="s">
        <v>171</v>
      </c>
      <c r="F727" s="859">
        <v>0</v>
      </c>
      <c r="G727" s="859">
        <f t="shared" si="37"/>
        <v>3.5043778052611829E-2</v>
      </c>
      <c r="H727" s="859">
        <f t="shared" si="37"/>
        <v>7.3138018702158358E-2</v>
      </c>
      <c r="I727" s="859">
        <f t="shared" si="37"/>
        <v>0.11976594741525265</v>
      </c>
      <c r="J727" s="859">
        <f t="shared" si="37"/>
        <v>0.16628646565982402</v>
      </c>
      <c r="K727" s="859">
        <f t="shared" si="37"/>
        <v>0.2233274646442367</v>
      </c>
      <c r="L727" s="859">
        <f t="shared" si="37"/>
        <v>0.29380930488976709</v>
      </c>
      <c r="M727" s="859">
        <f t="shared" si="37"/>
        <v>0.37177999777738979</v>
      </c>
    </row>
    <row r="728" spans="3:13" hidden="1" outlineLevel="1" x14ac:dyDescent="0.25">
      <c r="C728" s="751">
        <v>5</v>
      </c>
      <c r="D728" s="751" t="s">
        <v>486</v>
      </c>
      <c r="E728" s="751" t="s">
        <v>171</v>
      </c>
      <c r="F728" s="859">
        <v>0</v>
      </c>
      <c r="G728" s="859">
        <f t="shared" si="37"/>
        <v>0.19738262345784396</v>
      </c>
      <c r="H728" s="859">
        <f t="shared" si="37"/>
        <v>0.41305550614140052</v>
      </c>
      <c r="I728" s="859">
        <f t="shared" si="37"/>
        <v>0.67391419665589525</v>
      </c>
      <c r="J728" s="859">
        <f t="shared" si="37"/>
        <v>0.93824483302657113</v>
      </c>
      <c r="K728" s="859">
        <f t="shared" si="37"/>
        <v>1.2608161861716165</v>
      </c>
      <c r="L728" s="859">
        <f t="shared" si="37"/>
        <v>1.6575778797161602</v>
      </c>
      <c r="M728" s="859">
        <f t="shared" si="37"/>
        <v>2.0929991345637675</v>
      </c>
    </row>
    <row r="729" spans="3:13" hidden="1" outlineLevel="1" x14ac:dyDescent="0.25">
      <c r="C729" s="751">
        <v>6</v>
      </c>
      <c r="D729" s="751" t="s">
        <v>486</v>
      </c>
      <c r="E729" s="751" t="s">
        <v>171</v>
      </c>
      <c r="F729" s="859">
        <v>0</v>
      </c>
      <c r="G729" s="859">
        <f t="shared" si="37"/>
        <v>0.10693660006890027</v>
      </c>
      <c r="H729" s="859">
        <f t="shared" si="37"/>
        <v>0.22337288706392122</v>
      </c>
      <c r="I729" s="859">
        <f t="shared" si="37"/>
        <v>0.36507713341188053</v>
      </c>
      <c r="J729" s="859">
        <f t="shared" si="37"/>
        <v>0.50742222422157357</v>
      </c>
      <c r="K729" s="859">
        <f t="shared" si="37"/>
        <v>0.68155927660621018</v>
      </c>
      <c r="L729" s="859">
        <f t="shared" si="37"/>
        <v>0.89625453136066868</v>
      </c>
      <c r="M729" s="859">
        <f t="shared" si="37"/>
        <v>1.1328616438073114</v>
      </c>
    </row>
    <row r="730" spans="3:13" hidden="1" outlineLevel="1" x14ac:dyDescent="0.25">
      <c r="C730" s="751">
        <v>7</v>
      </c>
      <c r="D730" s="751" t="s">
        <v>486</v>
      </c>
      <c r="E730" s="751" t="s">
        <v>171</v>
      </c>
      <c r="F730" s="859">
        <v>0</v>
      </c>
      <c r="G730" s="859">
        <f t="shared" si="37"/>
        <v>0.13663756381895475</v>
      </c>
      <c r="H730" s="859">
        <f t="shared" si="37"/>
        <v>0.28566827673706174</v>
      </c>
      <c r="I730" s="859">
        <f t="shared" si="37"/>
        <v>0.46640876659477093</v>
      </c>
      <c r="J730" s="859">
        <f t="shared" si="37"/>
        <v>0.64882415394273263</v>
      </c>
      <c r="K730" s="859">
        <f t="shared" si="37"/>
        <v>0.87167113783543715</v>
      </c>
      <c r="L730" s="859">
        <f t="shared" si="37"/>
        <v>1.146054797433711</v>
      </c>
      <c r="M730" s="859">
        <f t="shared" si="37"/>
        <v>1.4477315434939928</v>
      </c>
    </row>
    <row r="731" spans="3:13" hidden="1" outlineLevel="1" x14ac:dyDescent="0.25">
      <c r="C731" s="751">
        <v>8</v>
      </c>
      <c r="D731" s="751" t="s">
        <v>486</v>
      </c>
      <c r="E731" s="751" t="s">
        <v>171</v>
      </c>
      <c r="F731" s="859">
        <v>0</v>
      </c>
      <c r="G731" s="859">
        <f t="shared" si="37"/>
        <v>0.36250638245148181</v>
      </c>
      <c r="H731" s="859">
        <f t="shared" si="37"/>
        <v>0.75883960828683028</v>
      </c>
      <c r="I731" s="859">
        <f t="shared" si="37"/>
        <v>1.2378453765702804</v>
      </c>
      <c r="J731" s="859">
        <f t="shared" si="37"/>
        <v>1.7238046379171394</v>
      </c>
      <c r="K731" s="859">
        <f t="shared" si="37"/>
        <v>2.3166566598289231</v>
      </c>
      <c r="L731" s="859">
        <f t="shared" si="37"/>
        <v>3.0456508382445202</v>
      </c>
      <c r="M731" s="859">
        <f t="shared" si="37"/>
        <v>3.8452544477048241</v>
      </c>
    </row>
    <row r="732" spans="3:13" hidden="1" outlineLevel="1" x14ac:dyDescent="0.25">
      <c r="C732" s="751">
        <v>9</v>
      </c>
      <c r="D732" s="751" t="s">
        <v>486</v>
      </c>
      <c r="E732" s="751" t="s">
        <v>171</v>
      </c>
      <c r="F732" s="859">
        <v>0</v>
      </c>
      <c r="G732" s="859">
        <f t="shared" si="37"/>
        <v>0.22930609771815669</v>
      </c>
      <c r="H732" s="859">
        <f t="shared" si="37"/>
        <v>0.48146206475056985</v>
      </c>
      <c r="I732" s="859">
        <f t="shared" si="37"/>
        <v>0.78454738910648936</v>
      </c>
      <c r="J732" s="859">
        <f t="shared" si="37"/>
        <v>1.0950121481577051</v>
      </c>
      <c r="K732" s="859">
        <f t="shared" si="37"/>
        <v>1.4729289985848679</v>
      </c>
      <c r="L732" s="859">
        <f t="shared" si="37"/>
        <v>1.9366481648326961</v>
      </c>
      <c r="M732" s="859">
        <f t="shared" si="37"/>
        <v>2.4432850310200553</v>
      </c>
    </row>
    <row r="733" spans="3:13" hidden="1" outlineLevel="1" x14ac:dyDescent="0.25">
      <c r="C733" s="751">
        <v>10</v>
      </c>
      <c r="D733" s="751" t="s">
        <v>486</v>
      </c>
      <c r="E733" s="751" t="s">
        <v>171</v>
      </c>
      <c r="F733" s="859">
        <v>0</v>
      </c>
      <c r="G733" s="859">
        <f t="shared" si="37"/>
        <v>0.39600936283162014</v>
      </c>
      <c r="H733" s="859">
        <f t="shared" si="37"/>
        <v>0.83148022397475296</v>
      </c>
      <c r="I733" s="859">
        <f t="shared" si="37"/>
        <v>1.3549055815041746</v>
      </c>
      <c r="J733" s="859">
        <f t="shared" si="37"/>
        <v>1.891075149766857</v>
      </c>
      <c r="K733" s="859">
        <f t="shared" si="37"/>
        <v>2.5437338127080436</v>
      </c>
      <c r="L733" s="859">
        <f t="shared" si="37"/>
        <v>3.3445722264528177</v>
      </c>
      <c r="M733" s="859">
        <f t="shared" si="37"/>
        <v>4.2195290835202002</v>
      </c>
    </row>
    <row r="734" spans="3:13" hidden="1" outlineLevel="1" x14ac:dyDescent="0.25">
      <c r="C734" s="751">
        <v>11</v>
      </c>
      <c r="D734" s="751" t="s">
        <v>486</v>
      </c>
      <c r="E734" s="751" t="s">
        <v>171</v>
      </c>
      <c r="F734" s="859">
        <v>0</v>
      </c>
      <c r="G734" s="859">
        <f t="shared" si="37"/>
        <v>5.8191413380057511E-2</v>
      </c>
      <c r="H734" s="859">
        <f t="shared" si="37"/>
        <v>0.12151829286260685</v>
      </c>
      <c r="I734" s="859">
        <f t="shared" si="37"/>
        <v>0.19869886792438451</v>
      </c>
      <c r="J734" s="859">
        <f t="shared" si="37"/>
        <v>0.27608814517006075</v>
      </c>
      <c r="K734" s="859">
        <f t="shared" si="37"/>
        <v>0.37081619210773231</v>
      </c>
      <c r="L734" s="859">
        <f t="shared" si="37"/>
        <v>0.48767183663774549</v>
      </c>
      <c r="M734" s="859">
        <f t="shared" si="37"/>
        <v>0.61657749592167466</v>
      </c>
    </row>
    <row r="735" spans="3:13" hidden="1" outlineLevel="1" x14ac:dyDescent="0.25">
      <c r="C735" s="751">
        <v>12</v>
      </c>
      <c r="D735" s="751" t="s">
        <v>486</v>
      </c>
      <c r="E735" s="751" t="s">
        <v>171</v>
      </c>
      <c r="F735" s="859">
        <v>0</v>
      </c>
      <c r="G735" s="859">
        <f t="shared" si="37"/>
        <v>0.12725374085465591</v>
      </c>
      <c r="H735" s="859">
        <f t="shared" si="37"/>
        <v>0.2655226763975993</v>
      </c>
      <c r="I735" s="859">
        <f t="shared" si="37"/>
        <v>0.43537335705884561</v>
      </c>
      <c r="J735" s="859">
        <f t="shared" si="37"/>
        <v>0.60419525017960729</v>
      </c>
      <c r="K735" s="859">
        <f t="shared" si="37"/>
        <v>0.81149299030989064</v>
      </c>
      <c r="L735" s="859">
        <f t="shared" si="37"/>
        <v>1.0679936609736618</v>
      </c>
      <c r="M735" s="859">
        <f t="shared" si="37"/>
        <v>1.3524126615059029</v>
      </c>
    </row>
    <row r="736" spans="3:13" hidden="1" outlineLevel="1" x14ac:dyDescent="0.25">
      <c r="C736" s="751">
        <v>13</v>
      </c>
      <c r="D736" s="751" t="s">
        <v>486</v>
      </c>
      <c r="E736" s="751" t="s">
        <v>171</v>
      </c>
      <c r="F736" s="859">
        <v>0</v>
      </c>
      <c r="G736" s="859">
        <f t="shared" si="37"/>
        <v>0.76491422695782685</v>
      </c>
      <c r="H736" s="859">
        <f t="shared" si="37"/>
        <v>1.5975782857669003</v>
      </c>
      <c r="I736" s="859">
        <f t="shared" si="37"/>
        <v>2.6115668671563217</v>
      </c>
      <c r="J736" s="859">
        <f t="shared" si="37"/>
        <v>3.6293393787510642</v>
      </c>
      <c r="K736" s="859">
        <f t="shared" si="37"/>
        <v>4.8747324191754746</v>
      </c>
      <c r="L736" s="859">
        <f t="shared" si="37"/>
        <v>6.4105537855983581</v>
      </c>
      <c r="M736" s="859">
        <f t="shared" si="37"/>
        <v>8.1038210622929547</v>
      </c>
    </row>
    <row r="737" spans="2:13" hidden="1" outlineLevel="1" x14ac:dyDescent="0.25">
      <c r="C737" s="852">
        <v>14</v>
      </c>
      <c r="D737" s="852" t="s">
        <v>486</v>
      </c>
      <c r="E737" s="852" t="s">
        <v>171</v>
      </c>
      <c r="F737" s="859">
        <v>0</v>
      </c>
      <c r="G737" s="862">
        <f t="shared" si="37"/>
        <v>0.15582472357872845</v>
      </c>
      <c r="H737" s="862">
        <f t="shared" si="37"/>
        <v>0.32717705242018502</v>
      </c>
      <c r="I737" s="862">
        <f t="shared" si="37"/>
        <v>0.53313837380893903</v>
      </c>
      <c r="J737" s="862">
        <f t="shared" si="37"/>
        <v>0.74411438247816553</v>
      </c>
      <c r="K737" s="862">
        <f t="shared" si="37"/>
        <v>1.0009273906779621</v>
      </c>
      <c r="L737" s="862">
        <f t="shared" si="37"/>
        <v>1.3160472746138028</v>
      </c>
      <c r="M737" s="862">
        <f t="shared" si="37"/>
        <v>1.6603318375366469</v>
      </c>
    </row>
    <row r="738" spans="2:13" hidden="1" outlineLevel="1" x14ac:dyDescent="0.25">
      <c r="C738" s="863">
        <v>15</v>
      </c>
      <c r="D738" s="863" t="s">
        <v>486</v>
      </c>
      <c r="E738" s="863" t="s">
        <v>171</v>
      </c>
      <c r="F738" s="864">
        <v>0</v>
      </c>
      <c r="G738" s="864">
        <f t="shared" si="37"/>
        <v>8.7911593133297855E-3</v>
      </c>
      <c r="H738" s="864">
        <f t="shared" si="37"/>
        <v>1.8345140742700203E-2</v>
      </c>
      <c r="I738" s="864">
        <f t="shared" si="37"/>
        <v>3.0058617485624023E-2</v>
      </c>
      <c r="J738" s="864">
        <f t="shared" si="37"/>
        <v>4.1724407003677577E-2</v>
      </c>
      <c r="K738" s="864">
        <f t="shared" si="37"/>
        <v>5.6037800571421381E-2</v>
      </c>
      <c r="L738" s="864">
        <f t="shared" si="37"/>
        <v>7.3735200887910107E-2</v>
      </c>
      <c r="M738" s="864">
        <f t="shared" si="37"/>
        <v>9.3334079851059043E-2</v>
      </c>
    </row>
    <row r="739" spans="2:13" hidden="1" outlineLevel="1" x14ac:dyDescent="0.25">
      <c r="C739" s="852"/>
      <c r="D739" s="852"/>
      <c r="E739" s="852"/>
      <c r="F739" s="862"/>
      <c r="G739" s="862"/>
      <c r="H739" s="862"/>
      <c r="I739" s="862"/>
      <c r="J739" s="862"/>
      <c r="K739" s="862"/>
      <c r="L739" s="862"/>
      <c r="M739" s="862"/>
    </row>
    <row r="740" spans="2:13" hidden="1" outlineLevel="1" x14ac:dyDescent="0.25">
      <c r="C740" s="852"/>
      <c r="D740" s="852"/>
      <c r="E740" s="852"/>
      <c r="F740" s="862"/>
      <c r="G740" s="862"/>
      <c r="H740" s="862"/>
      <c r="I740" s="862"/>
      <c r="J740" s="862"/>
      <c r="K740" s="862"/>
      <c r="L740" s="862"/>
      <c r="M740" s="862"/>
    </row>
    <row r="741" spans="2:13" hidden="1" outlineLevel="1" x14ac:dyDescent="0.25">
      <c r="F741" s="751">
        <f t="shared" ref="F741:M741" si="38">F618</f>
        <v>2015</v>
      </c>
      <c r="G741" s="751">
        <f t="shared" si="38"/>
        <v>2020</v>
      </c>
      <c r="H741" s="751">
        <f t="shared" si="38"/>
        <v>2025</v>
      </c>
      <c r="I741" s="751">
        <f t="shared" si="38"/>
        <v>2030</v>
      </c>
      <c r="J741" s="751">
        <f t="shared" si="38"/>
        <v>2035</v>
      </c>
      <c r="K741" s="751">
        <f t="shared" si="38"/>
        <v>2040</v>
      </c>
      <c r="L741" s="751">
        <f t="shared" si="38"/>
        <v>2045</v>
      </c>
      <c r="M741" s="751">
        <f t="shared" si="38"/>
        <v>2050</v>
      </c>
    </row>
    <row r="742" spans="2:13" hidden="1" outlineLevel="1" x14ac:dyDescent="0.25">
      <c r="B742" s="2943" t="s">
        <v>2023</v>
      </c>
      <c r="C742" s="751" t="str">
        <f>C620</f>
        <v>ACS</v>
      </c>
      <c r="E742" s="751" t="str">
        <f t="shared" ref="E742:M742" si="39">E620</f>
        <v>TWh</v>
      </c>
      <c r="F742" s="858">
        <f t="shared" si="39"/>
        <v>8.7415886823641777</v>
      </c>
      <c r="G742" s="858">
        <f t="shared" si="39"/>
        <v>9.7649832401355106</v>
      </c>
      <c r="H742" s="858">
        <f t="shared" si="39"/>
        <v>11.2163483751096</v>
      </c>
      <c r="I742" s="858">
        <f t="shared" si="39"/>
        <v>12.943297658376148</v>
      </c>
      <c r="J742" s="858">
        <f t="shared" si="39"/>
        <v>14.962664808389217</v>
      </c>
      <c r="K742" s="858">
        <f t="shared" si="39"/>
        <v>17.3937435224728</v>
      </c>
      <c r="L742" s="858">
        <f t="shared" si="39"/>
        <v>20.345026992866377</v>
      </c>
      <c r="M742" s="858">
        <f t="shared" si="39"/>
        <v>23.483674932662602</v>
      </c>
    </row>
    <row r="743" spans="2:13" hidden="1" outlineLevel="1" x14ac:dyDescent="0.25"/>
    <row r="744" spans="2:13" hidden="1" outlineLevel="1" x14ac:dyDescent="0.25"/>
    <row r="745" spans="2:13" hidden="1" outlineLevel="1" x14ac:dyDescent="0.25">
      <c r="C745" s="863"/>
      <c r="D745" s="863"/>
      <c r="E745" s="863"/>
      <c r="F745" s="866">
        <v>2015</v>
      </c>
      <c r="G745" s="866">
        <v>2020</v>
      </c>
      <c r="H745" s="866">
        <v>2025</v>
      </c>
      <c r="I745" s="866">
        <v>2030</v>
      </c>
      <c r="J745" s="866">
        <v>2035</v>
      </c>
      <c r="K745" s="866">
        <v>2040</v>
      </c>
      <c r="L745" s="866">
        <v>2045</v>
      </c>
      <c r="M745" s="866">
        <v>2050</v>
      </c>
    </row>
    <row r="746" spans="2:13" hidden="1" outlineLevel="1" x14ac:dyDescent="0.25">
      <c r="B746" s="2943" t="s">
        <v>2026</v>
      </c>
      <c r="C746" s="1904"/>
      <c r="D746" s="1906"/>
      <c r="E746" s="852" t="s">
        <v>171</v>
      </c>
      <c r="F746" s="862">
        <f t="shared" ref="F746:M746" si="40">F621</f>
        <v>3.7747769310208947</v>
      </c>
      <c r="G746" s="862">
        <f t="shared" si="40"/>
        <v>4.2166973082403336</v>
      </c>
      <c r="H746" s="862">
        <f t="shared" si="40"/>
        <v>4.8434231619791452</v>
      </c>
      <c r="I746" s="862">
        <f t="shared" si="40"/>
        <v>5.5891512615715175</v>
      </c>
      <c r="J746" s="862">
        <f t="shared" si="40"/>
        <v>6.4611507127135246</v>
      </c>
      <c r="K746" s="862">
        <f t="shared" si="40"/>
        <v>7.5109347028859803</v>
      </c>
      <c r="L746" s="862">
        <f t="shared" si="40"/>
        <v>8.7853525651013875</v>
      </c>
      <c r="M746" s="862">
        <f t="shared" si="40"/>
        <v>10.140677811831578</v>
      </c>
    </row>
    <row r="747" spans="2:13" hidden="1" outlineLevel="1" x14ac:dyDescent="0.25">
      <c r="B747" s="2943"/>
      <c r="C747" s="1904"/>
      <c r="D747" s="1906"/>
      <c r="E747" s="863"/>
      <c r="F747" s="862"/>
      <c r="G747" s="862"/>
      <c r="H747" s="862"/>
      <c r="I747" s="862"/>
      <c r="J747" s="862"/>
      <c r="K747" s="862"/>
      <c r="L747" s="862"/>
      <c r="M747" s="862"/>
    </row>
    <row r="748" spans="2:13" hidden="1" outlineLevel="1" x14ac:dyDescent="0.25">
      <c r="B748" s="2948" t="s">
        <v>2034</v>
      </c>
      <c r="C748" s="860">
        <v>1</v>
      </c>
      <c r="D748" s="860" t="s">
        <v>514</v>
      </c>
      <c r="E748" s="751" t="s">
        <v>171</v>
      </c>
      <c r="F748" s="861">
        <f t="shared" ref="F748:M762" si="41">F$746*F234</f>
        <v>6.412107908653375E-2</v>
      </c>
      <c r="G748" s="861">
        <f t="shared" si="41"/>
        <v>7.162785683140431E-2</v>
      </c>
      <c r="H748" s="861">
        <f t="shared" si="41"/>
        <v>8.227387347490786E-2</v>
      </c>
      <c r="I748" s="861">
        <f t="shared" si="41"/>
        <v>9.4941347957454542E-2</v>
      </c>
      <c r="J748" s="861">
        <f t="shared" si="41"/>
        <v>0.10975375854272552</v>
      </c>
      <c r="K748" s="861">
        <f t="shared" si="41"/>
        <v>0.12758614532681559</v>
      </c>
      <c r="L748" s="861">
        <f t="shared" si="41"/>
        <v>0.14923432481547874</v>
      </c>
      <c r="M748" s="861">
        <f t="shared" si="41"/>
        <v>0.17225685539718885</v>
      </c>
    </row>
    <row r="749" spans="2:13" hidden="1" outlineLevel="1" x14ac:dyDescent="0.25">
      <c r="B749" s="2943"/>
      <c r="C749" s="852">
        <v>2</v>
      </c>
      <c r="D749" s="852" t="s">
        <v>514</v>
      </c>
      <c r="E749" s="852" t="s">
        <v>171</v>
      </c>
      <c r="F749" s="862">
        <f t="shared" si="41"/>
        <v>0.10953928217635397</v>
      </c>
      <c r="G749" s="862">
        <f t="shared" si="41"/>
        <v>0.12236325609171564</v>
      </c>
      <c r="H749" s="862">
        <f t="shared" si="41"/>
        <v>0.14055005266126691</v>
      </c>
      <c r="I749" s="862">
        <f t="shared" si="41"/>
        <v>0.1621901448364601</v>
      </c>
      <c r="J749" s="862">
        <f t="shared" si="41"/>
        <v>0.18749447292835533</v>
      </c>
      <c r="K749" s="862">
        <f t="shared" si="41"/>
        <v>0.21795788489283915</v>
      </c>
      <c r="L749" s="862">
        <f t="shared" si="41"/>
        <v>0.2549398894909346</v>
      </c>
      <c r="M749" s="862">
        <f t="shared" si="41"/>
        <v>0.29426972469848506</v>
      </c>
    </row>
    <row r="750" spans="2:13" hidden="1" outlineLevel="1" x14ac:dyDescent="0.25">
      <c r="B750" s="2943"/>
      <c r="C750" s="852">
        <v>3</v>
      </c>
      <c r="D750" s="852" t="s">
        <v>514</v>
      </c>
      <c r="E750" s="852" t="s">
        <v>171</v>
      </c>
      <c r="F750" s="862">
        <f t="shared" si="41"/>
        <v>5.6738894609544087E-2</v>
      </c>
      <c r="G750" s="862">
        <f t="shared" si="41"/>
        <v>6.3381425854981785E-2</v>
      </c>
      <c r="H750" s="862">
        <f t="shared" si="41"/>
        <v>7.2801779114040663E-2</v>
      </c>
      <c r="I750" s="862">
        <f t="shared" si="41"/>
        <v>8.4010862146850218E-2</v>
      </c>
      <c r="J750" s="862">
        <f t="shared" si="41"/>
        <v>9.7117937309711744E-2</v>
      </c>
      <c r="K750" s="862">
        <f t="shared" si="41"/>
        <v>0.11289730236084672</v>
      </c>
      <c r="L750" s="862">
        <f t="shared" si="41"/>
        <v>0.1320531523869844</v>
      </c>
      <c r="M750" s="862">
        <f t="shared" si="41"/>
        <v>0.15242512608003145</v>
      </c>
    </row>
    <row r="751" spans="2:13" hidden="1" outlineLevel="1" x14ac:dyDescent="0.25">
      <c r="B751" s="2943"/>
      <c r="C751" s="751">
        <v>4</v>
      </c>
      <c r="D751" s="751" t="s">
        <v>514</v>
      </c>
      <c r="E751" s="751" t="s">
        <v>171</v>
      </c>
      <c r="F751" s="862">
        <f t="shared" si="41"/>
        <v>0.15144312287468317</v>
      </c>
      <c r="G751" s="862">
        <f t="shared" si="41"/>
        <v>0.16917285981306421</v>
      </c>
      <c r="H751" s="862">
        <f t="shared" si="41"/>
        <v>0.19431694705607863</v>
      </c>
      <c r="I751" s="862">
        <f t="shared" si="41"/>
        <v>0.22423537515962433</v>
      </c>
      <c r="J751" s="862">
        <f t="shared" si="41"/>
        <v>0.25921977885794828</v>
      </c>
      <c r="K751" s="862">
        <f t="shared" si="41"/>
        <v>0.30133685457414572</v>
      </c>
      <c r="L751" s="862">
        <f t="shared" si="41"/>
        <v>0.35246618603611934</v>
      </c>
      <c r="M751" s="862">
        <f t="shared" si="41"/>
        <v>0.40684150188298424</v>
      </c>
    </row>
    <row r="752" spans="2:13" hidden="1" outlineLevel="1" x14ac:dyDescent="0.25">
      <c r="B752" s="2943"/>
      <c r="C752" s="751">
        <v>5</v>
      </c>
      <c r="D752" s="751" t="s">
        <v>514</v>
      </c>
      <c r="E752" s="751" t="s">
        <v>171</v>
      </c>
      <c r="F752" s="862">
        <f t="shared" si="41"/>
        <v>0.4045062103606189</v>
      </c>
      <c r="G752" s="862">
        <f t="shared" si="41"/>
        <v>0.45186252845219538</v>
      </c>
      <c r="H752" s="862">
        <f t="shared" si="41"/>
        <v>0.51902265596795483</v>
      </c>
      <c r="I752" s="862">
        <f t="shared" si="41"/>
        <v>0.59893509928257327</v>
      </c>
      <c r="J752" s="862">
        <f t="shared" si="41"/>
        <v>0.69237881790850986</v>
      </c>
      <c r="K752" s="862">
        <f t="shared" si="41"/>
        <v>0.80487398022451551</v>
      </c>
      <c r="L752" s="862">
        <f t="shared" si="41"/>
        <v>0.94144097458760101</v>
      </c>
      <c r="M752" s="862">
        <f t="shared" si="41"/>
        <v>1.0866780281616857</v>
      </c>
    </row>
    <row r="753" spans="2:13" hidden="1" outlineLevel="1" x14ac:dyDescent="0.25">
      <c r="B753" s="2943"/>
      <c r="C753" s="751">
        <v>6</v>
      </c>
      <c r="D753" s="751" t="s">
        <v>514</v>
      </c>
      <c r="E753" s="751" t="s">
        <v>171</v>
      </c>
      <c r="F753" s="862">
        <f t="shared" si="41"/>
        <v>0.19711579730412238</v>
      </c>
      <c r="G753" s="862">
        <f t="shared" si="41"/>
        <v>0.22019252186092667</v>
      </c>
      <c r="H753" s="862">
        <f t="shared" si="41"/>
        <v>0.25291963888222879</v>
      </c>
      <c r="I753" s="862">
        <f t="shared" si="41"/>
        <v>0.29186095690164443</v>
      </c>
      <c r="J753" s="862">
        <f t="shared" si="41"/>
        <v>0.33739606273745532</v>
      </c>
      <c r="K753" s="862">
        <f t="shared" si="41"/>
        <v>0.39221493336247587</v>
      </c>
      <c r="L753" s="862">
        <f t="shared" si="41"/>
        <v>0.45876400304253923</v>
      </c>
      <c r="M753" s="862">
        <f t="shared" si="41"/>
        <v>0.52953799088276243</v>
      </c>
    </row>
    <row r="754" spans="2:13" hidden="1" outlineLevel="1" x14ac:dyDescent="0.25">
      <c r="B754" s="2943"/>
      <c r="C754" s="751">
        <v>7</v>
      </c>
      <c r="D754" s="751" t="s">
        <v>514</v>
      </c>
      <c r="E754" s="751" t="s">
        <v>171</v>
      </c>
      <c r="F754" s="862">
        <f t="shared" si="41"/>
        <v>0.23346593155226508</v>
      </c>
      <c r="G754" s="862">
        <f t="shared" si="41"/>
        <v>0.26079823606318653</v>
      </c>
      <c r="H754" s="862">
        <f t="shared" si="41"/>
        <v>0.29956056240585816</v>
      </c>
      <c r="I754" s="862">
        <f t="shared" si="41"/>
        <v>0.34568305087008305</v>
      </c>
      <c r="J754" s="862">
        <f t="shared" si="41"/>
        <v>0.399615287898689</v>
      </c>
      <c r="K754" s="862">
        <f t="shared" si="41"/>
        <v>0.46454330925543219</v>
      </c>
      <c r="L754" s="862">
        <f t="shared" si="41"/>
        <v>0.54336469627405481</v>
      </c>
      <c r="M754" s="862">
        <f t="shared" si="41"/>
        <v>0.62719011882653142</v>
      </c>
    </row>
    <row r="755" spans="2:13" hidden="1" outlineLevel="1" x14ac:dyDescent="0.25">
      <c r="B755" s="2943"/>
      <c r="C755" s="751">
        <v>8</v>
      </c>
      <c r="D755" s="751" t="s">
        <v>514</v>
      </c>
      <c r="E755" s="751" t="s">
        <v>171</v>
      </c>
      <c r="F755" s="862">
        <f t="shared" si="41"/>
        <v>0.43627796281125192</v>
      </c>
      <c r="G755" s="862">
        <f t="shared" si="41"/>
        <v>0.48735386091629135</v>
      </c>
      <c r="H755" s="862">
        <f t="shared" si="41"/>
        <v>0.55978904946036323</v>
      </c>
      <c r="I755" s="862">
        <f t="shared" si="41"/>
        <v>0.64597817852587236</v>
      </c>
      <c r="J755" s="862">
        <f t="shared" si="41"/>
        <v>0.74676139063845559</v>
      </c>
      <c r="K755" s="862">
        <f t="shared" si="41"/>
        <v>0.8680924332387504</v>
      </c>
      <c r="L755" s="862">
        <f t="shared" si="41"/>
        <v>1.0153860187559316</v>
      </c>
      <c r="M755" s="862">
        <f t="shared" si="41"/>
        <v>1.17203064925869</v>
      </c>
    </row>
    <row r="756" spans="2:13" hidden="1" outlineLevel="1" x14ac:dyDescent="0.25">
      <c r="B756" s="2943"/>
      <c r="C756" s="751">
        <v>9</v>
      </c>
      <c r="D756" s="751" t="s">
        <v>514</v>
      </c>
      <c r="E756" s="751" t="s">
        <v>171</v>
      </c>
      <c r="F756" s="862">
        <f t="shared" si="41"/>
        <v>0.21361518115583963</v>
      </c>
      <c r="G756" s="862">
        <f t="shared" si="41"/>
        <v>0.23862352023421177</v>
      </c>
      <c r="H756" s="862">
        <f t="shared" si="41"/>
        <v>0.27409002838235202</v>
      </c>
      <c r="I756" s="862">
        <f t="shared" si="41"/>
        <v>0.3162908911083892</v>
      </c>
      <c r="J756" s="862">
        <f t="shared" si="41"/>
        <v>0.36563746817171644</v>
      </c>
      <c r="K756" s="862">
        <f t="shared" si="41"/>
        <v>0.42504489842072474</v>
      </c>
      <c r="L756" s="862">
        <f t="shared" si="41"/>
        <v>0.49716439249418132</v>
      </c>
      <c r="M756" s="862">
        <f t="shared" si="41"/>
        <v>0.57386244734508141</v>
      </c>
    </row>
    <row r="757" spans="2:13" hidden="1" outlineLevel="1" x14ac:dyDescent="0.25">
      <c r="B757" s="2943"/>
      <c r="C757" s="751">
        <v>10</v>
      </c>
      <c r="D757" s="751" t="s">
        <v>514</v>
      </c>
      <c r="E757" s="751" t="s">
        <v>171</v>
      </c>
      <c r="F757" s="862">
        <f t="shared" si="41"/>
        <v>0.1887513338484354</v>
      </c>
      <c r="G757" s="862">
        <f t="shared" si="41"/>
        <v>0.21084881462126973</v>
      </c>
      <c r="H757" s="862">
        <f t="shared" si="41"/>
        <v>0.24218718057300476</v>
      </c>
      <c r="I757" s="862">
        <f t="shared" si="41"/>
        <v>0.27947605248741775</v>
      </c>
      <c r="J757" s="862">
        <f t="shared" si="41"/>
        <v>0.32307890969615977</v>
      </c>
      <c r="K757" s="862">
        <f t="shared" si="41"/>
        <v>0.3755715819834714</v>
      </c>
      <c r="L757" s="862">
        <f t="shared" si="41"/>
        <v>0.43929669098173291</v>
      </c>
      <c r="M757" s="862">
        <f t="shared" si="41"/>
        <v>0.50706743685454836</v>
      </c>
    </row>
    <row r="758" spans="2:13" hidden="1" outlineLevel="1" x14ac:dyDescent="0.25">
      <c r="B758" s="2943"/>
      <c r="C758" s="751">
        <v>11</v>
      </c>
      <c r="D758" s="751" t="s">
        <v>514</v>
      </c>
      <c r="E758" s="751" t="s">
        <v>171</v>
      </c>
      <c r="F758" s="862">
        <f t="shared" si="41"/>
        <v>2.3655985640907831E-2</v>
      </c>
      <c r="G758" s="862">
        <f t="shared" si="41"/>
        <v>2.6425437263867788E-2</v>
      </c>
      <c r="H758" s="862">
        <f t="shared" si="41"/>
        <v>3.0353038303016174E-2</v>
      </c>
      <c r="I758" s="862">
        <f t="shared" si="41"/>
        <v>3.5026409349396818E-2</v>
      </c>
      <c r="J758" s="862">
        <f t="shared" si="41"/>
        <v>4.0491104845857842E-2</v>
      </c>
      <c r="K758" s="862">
        <f t="shared" si="41"/>
        <v>4.7069950550220625E-2</v>
      </c>
      <c r="L758" s="862">
        <f t="shared" si="41"/>
        <v>5.5056544513252675E-2</v>
      </c>
      <c r="M758" s="862">
        <f t="shared" si="41"/>
        <v>6.355017345114547E-2</v>
      </c>
    </row>
    <row r="759" spans="2:13" hidden="1" outlineLevel="1" x14ac:dyDescent="0.25">
      <c r="B759" s="2943"/>
      <c r="C759" s="751">
        <v>12</v>
      </c>
      <c r="D759" s="751" t="s">
        <v>514</v>
      </c>
      <c r="E759" s="751" t="s">
        <v>171</v>
      </c>
      <c r="F759" s="862">
        <f t="shared" si="41"/>
        <v>3.3530273547570481E-2</v>
      </c>
      <c r="G759" s="862">
        <f t="shared" si="41"/>
        <v>3.745572699957244E-2</v>
      </c>
      <c r="H759" s="862">
        <f t="shared" si="41"/>
        <v>4.302275511784423E-2</v>
      </c>
      <c r="I759" s="862">
        <f t="shared" si="41"/>
        <v>4.9646846455787111E-2</v>
      </c>
      <c r="J759" s="862">
        <f t="shared" si="41"/>
        <v>5.7392570418928757E-2</v>
      </c>
      <c r="K759" s="862">
        <f t="shared" si="41"/>
        <v>6.6717504050655366E-2</v>
      </c>
      <c r="L759" s="862">
        <f t="shared" si="41"/>
        <v>7.8037796697043804E-2</v>
      </c>
      <c r="M759" s="862">
        <f t="shared" si="41"/>
        <v>9.0076766707518366E-2</v>
      </c>
    </row>
    <row r="760" spans="2:13" hidden="1" outlineLevel="1" x14ac:dyDescent="0.25">
      <c r="B760" s="2943"/>
      <c r="C760" s="751">
        <v>13</v>
      </c>
      <c r="D760" s="751" t="s">
        <v>514</v>
      </c>
      <c r="E760" s="852" t="s">
        <v>171</v>
      </c>
      <c r="F760" s="862">
        <f t="shared" si="41"/>
        <v>1.5413959814694713</v>
      </c>
      <c r="G760" s="862">
        <f t="shared" si="41"/>
        <v>1.7218501661863657</v>
      </c>
      <c r="H760" s="862">
        <f t="shared" si="41"/>
        <v>1.9777679939385773</v>
      </c>
      <c r="I760" s="862">
        <f t="shared" si="41"/>
        <v>2.2822793112920174</v>
      </c>
      <c r="J760" s="862">
        <f t="shared" si="41"/>
        <v>2.6383523917403395</v>
      </c>
      <c r="K760" s="862">
        <f t="shared" si="41"/>
        <v>3.0670221789707028</v>
      </c>
      <c r="L760" s="862">
        <f t="shared" si="41"/>
        <v>3.5874191739265009</v>
      </c>
      <c r="M760" s="862">
        <f t="shared" si="41"/>
        <v>4.1408539667816742</v>
      </c>
    </row>
    <row r="761" spans="2:13" hidden="1" outlineLevel="1" x14ac:dyDescent="0.25">
      <c r="B761" s="2943"/>
      <c r="C761" s="852">
        <v>14</v>
      </c>
      <c r="D761" s="852" t="s">
        <v>514</v>
      </c>
      <c r="E761" s="852" t="s">
        <v>171</v>
      </c>
      <c r="F761" s="862">
        <f t="shared" si="41"/>
        <v>8.410135647746142E-2</v>
      </c>
      <c r="G761" s="862">
        <f t="shared" si="41"/>
        <v>9.3947263628625086E-2</v>
      </c>
      <c r="H761" s="862">
        <f t="shared" si="41"/>
        <v>0.10791060382120013</v>
      </c>
      <c r="I761" s="862">
        <f t="shared" si="41"/>
        <v>0.12452529281743603</v>
      </c>
      <c r="J761" s="862">
        <f t="shared" si="41"/>
        <v>0.14395328499519119</v>
      </c>
      <c r="K761" s="862">
        <f t="shared" si="41"/>
        <v>0.16734228497987319</v>
      </c>
      <c r="L761" s="862">
        <f t="shared" si="41"/>
        <v>0.19573608755152214</v>
      </c>
      <c r="M761" s="862">
        <f t="shared" si="41"/>
        <v>0.2259324922135936</v>
      </c>
    </row>
    <row r="762" spans="2:13" hidden="1" outlineLevel="1" x14ac:dyDescent="0.25">
      <c r="B762" s="2943"/>
      <c r="C762" s="863">
        <v>15</v>
      </c>
      <c r="D762" s="863" t="s">
        <v>514</v>
      </c>
      <c r="E762" s="863" t="s">
        <v>171</v>
      </c>
      <c r="F762" s="864">
        <f t="shared" si="41"/>
        <v>3.6518538105835149E-2</v>
      </c>
      <c r="G762" s="864">
        <f t="shared" si="41"/>
        <v>4.0793833422654975E-2</v>
      </c>
      <c r="H762" s="864">
        <f t="shared" si="41"/>
        <v>4.6857002820451146E-2</v>
      </c>
      <c r="I762" s="864">
        <f t="shared" si="41"/>
        <v>5.4071442380510371E-2</v>
      </c>
      <c r="J762" s="864">
        <f t="shared" si="41"/>
        <v>6.2507476023479683E-2</v>
      </c>
      <c r="K762" s="864">
        <f t="shared" si="41"/>
        <v>7.2663460694510379E-2</v>
      </c>
      <c r="L762" s="864">
        <f t="shared" si="41"/>
        <v>8.499263354750955E-2</v>
      </c>
      <c r="M762" s="864">
        <f t="shared" si="41"/>
        <v>9.8104533289656959E-2</v>
      </c>
    </row>
    <row r="763" spans="2:13" hidden="1" outlineLevel="1" x14ac:dyDescent="0.25">
      <c r="B763" s="2943"/>
      <c r="C763" s="1904"/>
      <c r="D763" s="1906"/>
      <c r="E763" s="852"/>
      <c r="F763" s="862"/>
      <c r="G763" s="862"/>
      <c r="H763" s="862"/>
      <c r="I763" s="862"/>
      <c r="J763" s="862"/>
      <c r="K763" s="862"/>
      <c r="L763" s="862"/>
      <c r="M763" s="862"/>
    </row>
    <row r="764" spans="2:13" hidden="1" outlineLevel="1" x14ac:dyDescent="0.25">
      <c r="B764" s="2948" t="s">
        <v>2033</v>
      </c>
      <c r="C764" s="2950"/>
      <c r="D764" s="2950" t="s">
        <v>510</v>
      </c>
      <c r="E764" s="860" t="s">
        <v>171</v>
      </c>
      <c r="F764" s="861">
        <f>F748+F749+F750+F751+F753+F754+F756+F757+F758+F761+F762+F752*$F$503+F755*$F$506+F759*$F$510+F760*$F$511</f>
        <v>2.0810972094048497</v>
      </c>
      <c r="G764" s="861">
        <f t="shared" ref="G764:M764" si="42">G748+G749+G750+G751+G753+G754+G756+G757+G758+G761+G762+G752*$F$503+G755*$F$506+G759*$F$510+G760*$F$511</f>
        <v>2.3247352522922702</v>
      </c>
      <c r="H764" s="861">
        <f t="shared" si="42"/>
        <v>2.6702596234303995</v>
      </c>
      <c r="I764" s="861">
        <f t="shared" si="42"/>
        <v>3.0813919089656787</v>
      </c>
      <c r="J764" s="861">
        <f t="shared" si="42"/>
        <v>3.5621396875856455</v>
      </c>
      <c r="K764" s="861">
        <f t="shared" si="42"/>
        <v>4.1409030350226903</v>
      </c>
      <c r="L764" s="861">
        <f t="shared" si="42"/>
        <v>4.8435107665886692</v>
      </c>
      <c r="M764" s="861">
        <f t="shared" si="42"/>
        <v>5.5907240828582792</v>
      </c>
    </row>
    <row r="765" spans="2:13" hidden="1" outlineLevel="1" x14ac:dyDescent="0.25">
      <c r="B765" s="2943"/>
      <c r="C765" s="2951"/>
      <c r="D765" s="2951" t="s">
        <v>511</v>
      </c>
      <c r="E765" s="852" t="s">
        <v>171</v>
      </c>
      <c r="F765" s="862">
        <f>F752*$G$503+F755*$G$506+F759*$G$510+F760*$G$511</f>
        <v>1.6166099225425707</v>
      </c>
      <c r="G765" s="862">
        <f t="shared" ref="G765:M765" si="43">G752*$G$503+G755*$G$506+G759*$G$510+G760*$G$511</f>
        <v>1.805869547638745</v>
      </c>
      <c r="H765" s="862">
        <f t="shared" si="43"/>
        <v>2.0742751388518164</v>
      </c>
      <c r="I765" s="862">
        <f t="shared" si="43"/>
        <v>2.3936453870412375</v>
      </c>
      <c r="J765" s="862">
        <f t="shared" si="43"/>
        <v>2.7670934055408614</v>
      </c>
      <c r="K765" s="862">
        <f t="shared" si="43"/>
        <v>3.2166805589147542</v>
      </c>
      <c r="L765" s="862">
        <f t="shared" si="43"/>
        <v>3.7624708398163929</v>
      </c>
      <c r="M765" s="862">
        <f t="shared" si="43"/>
        <v>4.3429110306342151</v>
      </c>
    </row>
    <row r="766" spans="2:13" hidden="1" outlineLevel="1" x14ac:dyDescent="0.25">
      <c r="B766" s="2943"/>
      <c r="C766" s="2952"/>
      <c r="D766" s="2952" t="s">
        <v>498</v>
      </c>
      <c r="E766" s="863" t="s">
        <v>171</v>
      </c>
      <c r="F766" s="864">
        <f>F760*$H$511</f>
        <v>7.7069799073473569E-2</v>
      </c>
      <c r="G766" s="864">
        <f t="shared" ref="G766:M766" si="44">G760*$H$511</f>
        <v>8.6092508309318291E-2</v>
      </c>
      <c r="H766" s="864">
        <f t="shared" si="44"/>
        <v>9.8888399696928864E-2</v>
      </c>
      <c r="I766" s="864">
        <f t="shared" si="44"/>
        <v>0.11411396556460088</v>
      </c>
      <c r="J766" s="864">
        <f t="shared" si="44"/>
        <v>0.13191761958701698</v>
      </c>
      <c r="K766" s="864">
        <f t="shared" si="44"/>
        <v>0.15335110894853515</v>
      </c>
      <c r="L766" s="864">
        <f t="shared" si="44"/>
        <v>0.17937095869632505</v>
      </c>
      <c r="M766" s="864">
        <f t="shared" si="44"/>
        <v>0.20704269833908373</v>
      </c>
    </row>
    <row r="767" spans="2:13" hidden="1" outlineLevel="1" x14ac:dyDescent="0.25">
      <c r="B767" s="2943"/>
      <c r="C767" s="1904"/>
      <c r="D767" s="1906"/>
      <c r="E767" s="852"/>
      <c r="F767" s="862"/>
      <c r="G767" s="862"/>
      <c r="H767" s="862"/>
      <c r="I767" s="862"/>
      <c r="J767" s="862"/>
      <c r="K767" s="862"/>
      <c r="L767" s="862"/>
      <c r="M767" s="862"/>
    </row>
    <row r="768" spans="2:13" hidden="1" outlineLevel="1" x14ac:dyDescent="0.25">
      <c r="B768" s="2943"/>
      <c r="C768" s="1904"/>
      <c r="D768" s="1906"/>
      <c r="E768" s="852"/>
      <c r="F768" s="862"/>
      <c r="G768" s="862"/>
      <c r="H768" s="862"/>
      <c r="I768" s="862"/>
      <c r="J768" s="862"/>
      <c r="K768" s="862"/>
      <c r="L768" s="862"/>
      <c r="M768" s="862"/>
    </row>
    <row r="769" spans="1:13" hidden="1" outlineLevel="1" x14ac:dyDescent="0.25">
      <c r="B769" s="2943" t="s">
        <v>2027</v>
      </c>
      <c r="C769" s="1904"/>
      <c r="D769" s="1906"/>
      <c r="E769" s="852" t="s">
        <v>171</v>
      </c>
      <c r="F769" s="862">
        <f t="shared" ref="F769:M769" si="45">F622</f>
        <v>2.4834058756716413</v>
      </c>
      <c r="G769" s="862">
        <f t="shared" si="45"/>
        <v>2.774142965947588</v>
      </c>
      <c r="H769" s="862">
        <f t="shared" si="45"/>
        <v>3.1864626065652271</v>
      </c>
      <c r="I769" s="862">
        <f t="shared" si="45"/>
        <v>3.6770731984023146</v>
      </c>
      <c r="J769" s="862">
        <f t="shared" si="45"/>
        <v>4.2507570478378458</v>
      </c>
      <c r="K769" s="862">
        <f t="shared" si="45"/>
        <v>4.9414044097934084</v>
      </c>
      <c r="L769" s="862">
        <f t="shared" si="45"/>
        <v>5.7798372138824927</v>
      </c>
      <c r="M769" s="862">
        <f t="shared" si="45"/>
        <v>6.6714985604155119</v>
      </c>
    </row>
    <row r="770" spans="1:13" hidden="1" outlineLevel="1" x14ac:dyDescent="0.25">
      <c r="B770" s="2943"/>
      <c r="C770" s="1904"/>
      <c r="D770" s="1906"/>
      <c r="E770" s="852"/>
      <c r="F770" s="862"/>
      <c r="G770" s="862"/>
      <c r="H770" s="862"/>
      <c r="I770" s="862"/>
      <c r="J770" s="862"/>
      <c r="K770" s="862"/>
      <c r="L770" s="862"/>
      <c r="M770" s="862"/>
    </row>
    <row r="771" spans="1:13" hidden="1" outlineLevel="1" x14ac:dyDescent="0.25">
      <c r="B771" s="2943" t="s">
        <v>2028</v>
      </c>
      <c r="C771" s="1904"/>
      <c r="D771" s="1906"/>
      <c r="E771" s="852" t="s">
        <v>171</v>
      </c>
      <c r="F771" s="862">
        <f t="shared" ref="F771:M771" si="46">F623</f>
        <v>1.3907072903761191</v>
      </c>
      <c r="G771" s="862">
        <f t="shared" si="46"/>
        <v>1.5535200609306492</v>
      </c>
      <c r="H771" s="862">
        <f t="shared" si="46"/>
        <v>1.784419059676527</v>
      </c>
      <c r="I771" s="862">
        <f t="shared" si="46"/>
        <v>2.0591609911052959</v>
      </c>
      <c r="J771" s="862">
        <f t="shared" si="46"/>
        <v>2.3804239467891932</v>
      </c>
      <c r="K771" s="862">
        <f t="shared" si="46"/>
        <v>2.7671864694843085</v>
      </c>
      <c r="L771" s="862">
        <f t="shared" si="46"/>
        <v>3.2367088397741952</v>
      </c>
      <c r="M771" s="862">
        <f t="shared" si="46"/>
        <v>3.7360391938326862</v>
      </c>
    </row>
    <row r="772" spans="1:13" hidden="1" outlineLevel="1" x14ac:dyDescent="0.25">
      <c r="B772" s="2943"/>
      <c r="C772" s="1904"/>
      <c r="D772" s="1906"/>
      <c r="E772" s="852"/>
      <c r="F772" s="862"/>
      <c r="G772" s="862"/>
      <c r="H772" s="862"/>
      <c r="I772" s="862"/>
      <c r="J772" s="862"/>
      <c r="K772" s="862"/>
      <c r="L772" s="862"/>
      <c r="M772" s="862"/>
    </row>
    <row r="773" spans="1:13" hidden="1" outlineLevel="1" x14ac:dyDescent="0.25">
      <c r="B773" s="2943" t="s">
        <v>2029</v>
      </c>
      <c r="C773" s="1904"/>
      <c r="D773" s="1906"/>
      <c r="E773" s="852" t="s">
        <v>171</v>
      </c>
      <c r="F773" s="862">
        <f t="shared" ref="F773:M773" si="47">F624</f>
        <v>5.3144885739373136</v>
      </c>
      <c r="G773" s="862">
        <f t="shared" si="47"/>
        <v>5.9366659471278398</v>
      </c>
      <c r="H773" s="862">
        <f t="shared" si="47"/>
        <v>6.8190299780495875</v>
      </c>
      <c r="I773" s="862">
        <f t="shared" si="47"/>
        <v>7.8689366445809545</v>
      </c>
      <c r="J773" s="862">
        <f t="shared" si="47"/>
        <v>9.0966200823729917</v>
      </c>
      <c r="K773" s="862">
        <f t="shared" si="47"/>
        <v>10.574605436957896</v>
      </c>
      <c r="L773" s="862">
        <f t="shared" si="47"/>
        <v>12.368851637708536</v>
      </c>
      <c r="M773" s="862">
        <f t="shared" si="47"/>
        <v>14.277006919289198</v>
      </c>
    </row>
    <row r="774" spans="1:13" hidden="1" outlineLevel="1" x14ac:dyDescent="0.25">
      <c r="B774" s="2943"/>
      <c r="C774" s="1904"/>
      <c r="D774" s="1906"/>
      <c r="E774" s="852"/>
      <c r="F774" s="862"/>
      <c r="G774" s="862"/>
      <c r="H774" s="862"/>
      <c r="I774" s="862"/>
      <c r="J774" s="862"/>
      <c r="K774" s="862"/>
      <c r="L774" s="862"/>
      <c r="M774" s="862"/>
    </row>
    <row r="775" spans="1:13" collapsed="1" x14ac:dyDescent="0.25">
      <c r="B775" s="1905"/>
      <c r="C775" s="852"/>
      <c r="D775" s="1906"/>
      <c r="E775" s="852"/>
      <c r="F775" s="862"/>
      <c r="G775" s="862"/>
      <c r="H775" s="862"/>
      <c r="I775" s="862"/>
      <c r="J775" s="862"/>
      <c r="K775" s="862"/>
      <c r="L775" s="862"/>
      <c r="M775" s="862"/>
    </row>
    <row r="776" spans="1:13" x14ac:dyDescent="0.25">
      <c r="A776" s="853" t="s">
        <v>702</v>
      </c>
      <c r="B776" s="853" t="s">
        <v>524</v>
      </c>
      <c r="F776" s="859"/>
      <c r="G776" s="859"/>
      <c r="H776" s="859"/>
      <c r="I776" s="859"/>
      <c r="J776" s="859"/>
      <c r="K776" s="859"/>
      <c r="L776" s="859"/>
      <c r="M776" s="859"/>
    </row>
    <row r="777" spans="1:13" hidden="1" outlineLevel="1" x14ac:dyDescent="0.25">
      <c r="A777" s="2970" t="s">
        <v>2061</v>
      </c>
      <c r="B777" s="2970" t="s">
        <v>2062</v>
      </c>
      <c r="F777" s="859"/>
      <c r="G777" s="859"/>
      <c r="H777" s="859"/>
      <c r="I777" s="859"/>
      <c r="J777" s="859"/>
      <c r="K777" s="859"/>
      <c r="L777" s="859"/>
      <c r="M777" s="859"/>
    </row>
    <row r="778" spans="1:13" hidden="1" outlineLevel="2" x14ac:dyDescent="0.25">
      <c r="B778" s="853" t="s">
        <v>529</v>
      </c>
      <c r="C778" s="863" t="s">
        <v>507</v>
      </c>
      <c r="D778" s="863"/>
      <c r="E778" s="863"/>
      <c r="F778" s="866">
        <v>2015</v>
      </c>
      <c r="G778" s="866">
        <v>2020</v>
      </c>
      <c r="H778" s="866">
        <v>2025</v>
      </c>
      <c r="I778" s="866">
        <v>2030</v>
      </c>
      <c r="J778" s="866">
        <v>2035</v>
      </c>
      <c r="K778" s="866">
        <v>2040</v>
      </c>
      <c r="L778" s="866">
        <v>2045</v>
      </c>
      <c r="M778" s="866">
        <v>2050</v>
      </c>
    </row>
    <row r="779" spans="1:13" hidden="1" outlineLevel="2" x14ac:dyDescent="0.25">
      <c r="C779" s="751">
        <v>1</v>
      </c>
      <c r="D779" s="751" t="s">
        <v>485</v>
      </c>
      <c r="E779" s="751" t="s">
        <v>171</v>
      </c>
      <c r="F779" s="859">
        <f t="shared" ref="F779:M793" si="48">F679*(F$74-1)</f>
        <v>0</v>
      </c>
      <c r="G779" s="859">
        <f t="shared" si="48"/>
        <v>0</v>
      </c>
      <c r="H779" s="859">
        <f t="shared" si="48"/>
        <v>0</v>
      </c>
      <c r="I779" s="859">
        <f t="shared" si="48"/>
        <v>0</v>
      </c>
      <c r="J779" s="859">
        <f t="shared" si="48"/>
        <v>0</v>
      </c>
      <c r="K779" s="859">
        <f t="shared" si="48"/>
        <v>0</v>
      </c>
      <c r="L779" s="859">
        <f t="shared" si="48"/>
        <v>0</v>
      </c>
      <c r="M779" s="859">
        <f t="shared" si="48"/>
        <v>0</v>
      </c>
    </row>
    <row r="780" spans="1:13" hidden="1" outlineLevel="2" x14ac:dyDescent="0.25">
      <c r="C780" s="751">
        <v>2</v>
      </c>
      <c r="D780" s="751" t="s">
        <v>485</v>
      </c>
      <c r="E780" s="751" t="s">
        <v>171</v>
      </c>
      <c r="F780" s="859">
        <f t="shared" si="48"/>
        <v>0</v>
      </c>
      <c r="G780" s="859">
        <f t="shared" si="48"/>
        <v>0</v>
      </c>
      <c r="H780" s="859">
        <f t="shared" si="48"/>
        <v>0</v>
      </c>
      <c r="I780" s="859">
        <f t="shared" si="48"/>
        <v>0</v>
      </c>
      <c r="J780" s="859">
        <f t="shared" si="48"/>
        <v>0</v>
      </c>
      <c r="K780" s="859">
        <f t="shared" si="48"/>
        <v>0</v>
      </c>
      <c r="L780" s="859">
        <f t="shared" si="48"/>
        <v>0</v>
      </c>
      <c r="M780" s="859">
        <f t="shared" si="48"/>
        <v>0</v>
      </c>
    </row>
    <row r="781" spans="1:13" hidden="1" outlineLevel="2" x14ac:dyDescent="0.25">
      <c r="C781" s="751">
        <v>3</v>
      </c>
      <c r="D781" s="751" t="s">
        <v>485</v>
      </c>
      <c r="E781" s="751" t="s">
        <v>171</v>
      </c>
      <c r="F781" s="859">
        <f t="shared" si="48"/>
        <v>0</v>
      </c>
      <c r="G781" s="859">
        <f t="shared" si="48"/>
        <v>0</v>
      </c>
      <c r="H781" s="859">
        <f t="shared" si="48"/>
        <v>0</v>
      </c>
      <c r="I781" s="859">
        <f t="shared" si="48"/>
        <v>0</v>
      </c>
      <c r="J781" s="859">
        <f t="shared" si="48"/>
        <v>0</v>
      </c>
      <c r="K781" s="859">
        <f t="shared" si="48"/>
        <v>0</v>
      </c>
      <c r="L781" s="859">
        <f t="shared" si="48"/>
        <v>0</v>
      </c>
      <c r="M781" s="859">
        <f t="shared" si="48"/>
        <v>0</v>
      </c>
    </row>
    <row r="782" spans="1:13" hidden="1" outlineLevel="2" x14ac:dyDescent="0.25">
      <c r="C782" s="751">
        <v>4</v>
      </c>
      <c r="D782" s="751" t="s">
        <v>485</v>
      </c>
      <c r="E782" s="751" t="s">
        <v>171</v>
      </c>
      <c r="F782" s="859">
        <f t="shared" si="48"/>
        <v>0</v>
      </c>
      <c r="G782" s="859">
        <f t="shared" si="48"/>
        <v>0</v>
      </c>
      <c r="H782" s="859">
        <f t="shared" si="48"/>
        <v>0</v>
      </c>
      <c r="I782" s="859">
        <f t="shared" si="48"/>
        <v>0</v>
      </c>
      <c r="J782" s="859">
        <f t="shared" si="48"/>
        <v>0</v>
      </c>
      <c r="K782" s="859">
        <f t="shared" si="48"/>
        <v>0</v>
      </c>
      <c r="L782" s="859">
        <f t="shared" si="48"/>
        <v>0</v>
      </c>
      <c r="M782" s="859">
        <f t="shared" si="48"/>
        <v>0</v>
      </c>
    </row>
    <row r="783" spans="1:13" hidden="1" outlineLevel="2" x14ac:dyDescent="0.25">
      <c r="C783" s="751">
        <v>5</v>
      </c>
      <c r="D783" s="751" t="s">
        <v>485</v>
      </c>
      <c r="E783" s="751" t="s">
        <v>171</v>
      </c>
      <c r="F783" s="859">
        <f t="shared" si="48"/>
        <v>0</v>
      </c>
      <c r="G783" s="859">
        <f t="shared" si="48"/>
        <v>0</v>
      </c>
      <c r="H783" s="859">
        <f t="shared" si="48"/>
        <v>0</v>
      </c>
      <c r="I783" s="859">
        <f t="shared" si="48"/>
        <v>0</v>
      </c>
      <c r="J783" s="859">
        <f t="shared" si="48"/>
        <v>0</v>
      </c>
      <c r="K783" s="859">
        <f t="shared" si="48"/>
        <v>0</v>
      </c>
      <c r="L783" s="859">
        <f t="shared" si="48"/>
        <v>0</v>
      </c>
      <c r="M783" s="859">
        <f t="shared" si="48"/>
        <v>0</v>
      </c>
    </row>
    <row r="784" spans="1:13" hidden="1" outlineLevel="2" x14ac:dyDescent="0.25">
      <c r="C784" s="751">
        <v>6</v>
      </c>
      <c r="D784" s="751" t="s">
        <v>485</v>
      </c>
      <c r="E784" s="751" t="s">
        <v>171</v>
      </c>
      <c r="F784" s="859">
        <f t="shared" si="48"/>
        <v>0</v>
      </c>
      <c r="G784" s="859">
        <f t="shared" si="48"/>
        <v>0</v>
      </c>
      <c r="H784" s="859">
        <f t="shared" si="48"/>
        <v>0</v>
      </c>
      <c r="I784" s="859">
        <f t="shared" si="48"/>
        <v>0</v>
      </c>
      <c r="J784" s="859">
        <f t="shared" si="48"/>
        <v>0</v>
      </c>
      <c r="K784" s="859">
        <f t="shared" si="48"/>
        <v>0</v>
      </c>
      <c r="L784" s="859">
        <f t="shared" si="48"/>
        <v>0</v>
      </c>
      <c r="M784" s="859">
        <f t="shared" si="48"/>
        <v>0</v>
      </c>
    </row>
    <row r="785" spans="3:13" hidden="1" outlineLevel="2" x14ac:dyDescent="0.25">
      <c r="C785" s="751">
        <v>7</v>
      </c>
      <c r="D785" s="751" t="s">
        <v>485</v>
      </c>
      <c r="E785" s="751" t="s">
        <v>171</v>
      </c>
      <c r="F785" s="859">
        <f t="shared" si="48"/>
        <v>0</v>
      </c>
      <c r="G785" s="859">
        <f t="shared" si="48"/>
        <v>0</v>
      </c>
      <c r="H785" s="859">
        <f t="shared" si="48"/>
        <v>0</v>
      </c>
      <c r="I785" s="859">
        <f t="shared" si="48"/>
        <v>0</v>
      </c>
      <c r="J785" s="859">
        <f t="shared" si="48"/>
        <v>0</v>
      </c>
      <c r="K785" s="859">
        <f t="shared" si="48"/>
        <v>0</v>
      </c>
      <c r="L785" s="859">
        <f t="shared" si="48"/>
        <v>0</v>
      </c>
      <c r="M785" s="859">
        <f t="shared" si="48"/>
        <v>0</v>
      </c>
    </row>
    <row r="786" spans="3:13" hidden="1" outlineLevel="2" x14ac:dyDescent="0.25">
      <c r="C786" s="751">
        <v>8</v>
      </c>
      <c r="D786" s="751" t="s">
        <v>485</v>
      </c>
      <c r="E786" s="751" t="s">
        <v>171</v>
      </c>
      <c r="F786" s="859">
        <f t="shared" si="48"/>
        <v>0</v>
      </c>
      <c r="G786" s="859">
        <f t="shared" si="48"/>
        <v>0</v>
      </c>
      <c r="H786" s="859">
        <f t="shared" si="48"/>
        <v>0</v>
      </c>
      <c r="I786" s="859">
        <f t="shared" si="48"/>
        <v>0</v>
      </c>
      <c r="J786" s="859">
        <f t="shared" si="48"/>
        <v>0</v>
      </c>
      <c r="K786" s="859">
        <f t="shared" si="48"/>
        <v>0</v>
      </c>
      <c r="L786" s="859">
        <f t="shared" si="48"/>
        <v>0</v>
      </c>
      <c r="M786" s="859">
        <f t="shared" si="48"/>
        <v>0</v>
      </c>
    </row>
    <row r="787" spans="3:13" hidden="1" outlineLevel="2" x14ac:dyDescent="0.25">
      <c r="C787" s="751">
        <v>9</v>
      </c>
      <c r="D787" s="751" t="s">
        <v>485</v>
      </c>
      <c r="E787" s="751" t="s">
        <v>171</v>
      </c>
      <c r="F787" s="859">
        <f t="shared" si="48"/>
        <v>0</v>
      </c>
      <c r="G787" s="859">
        <f t="shared" si="48"/>
        <v>0</v>
      </c>
      <c r="H787" s="859">
        <f t="shared" si="48"/>
        <v>0</v>
      </c>
      <c r="I787" s="859">
        <f t="shared" si="48"/>
        <v>0</v>
      </c>
      <c r="J787" s="859">
        <f t="shared" si="48"/>
        <v>0</v>
      </c>
      <c r="K787" s="859">
        <f t="shared" si="48"/>
        <v>0</v>
      </c>
      <c r="L787" s="859">
        <f t="shared" si="48"/>
        <v>0</v>
      </c>
      <c r="M787" s="859">
        <f t="shared" si="48"/>
        <v>0</v>
      </c>
    </row>
    <row r="788" spans="3:13" hidden="1" outlineLevel="2" x14ac:dyDescent="0.25">
      <c r="C788" s="751">
        <v>10</v>
      </c>
      <c r="D788" s="751" t="s">
        <v>485</v>
      </c>
      <c r="E788" s="751" t="s">
        <v>171</v>
      </c>
      <c r="F788" s="859">
        <f t="shared" si="48"/>
        <v>0</v>
      </c>
      <c r="G788" s="859">
        <f t="shared" si="48"/>
        <v>0</v>
      </c>
      <c r="H788" s="859">
        <f t="shared" si="48"/>
        <v>0</v>
      </c>
      <c r="I788" s="859">
        <f t="shared" si="48"/>
        <v>0</v>
      </c>
      <c r="J788" s="859">
        <f t="shared" si="48"/>
        <v>0</v>
      </c>
      <c r="K788" s="859">
        <f t="shared" si="48"/>
        <v>0</v>
      </c>
      <c r="L788" s="859">
        <f t="shared" si="48"/>
        <v>0</v>
      </c>
      <c r="M788" s="859">
        <f t="shared" si="48"/>
        <v>0</v>
      </c>
    </row>
    <row r="789" spans="3:13" hidden="1" outlineLevel="2" x14ac:dyDescent="0.25">
      <c r="C789" s="751">
        <v>11</v>
      </c>
      <c r="D789" s="751" t="s">
        <v>485</v>
      </c>
      <c r="E789" s="751" t="s">
        <v>171</v>
      </c>
      <c r="F789" s="859">
        <f t="shared" si="48"/>
        <v>0</v>
      </c>
      <c r="G789" s="859">
        <f t="shared" si="48"/>
        <v>0</v>
      </c>
      <c r="H789" s="859">
        <f t="shared" si="48"/>
        <v>0</v>
      </c>
      <c r="I789" s="859">
        <f t="shared" si="48"/>
        <v>0</v>
      </c>
      <c r="J789" s="859">
        <f t="shared" si="48"/>
        <v>0</v>
      </c>
      <c r="K789" s="859">
        <f t="shared" si="48"/>
        <v>0</v>
      </c>
      <c r="L789" s="859">
        <f t="shared" si="48"/>
        <v>0</v>
      </c>
      <c r="M789" s="859">
        <f t="shared" si="48"/>
        <v>0</v>
      </c>
    </row>
    <row r="790" spans="3:13" hidden="1" outlineLevel="2" x14ac:dyDescent="0.25">
      <c r="C790" s="751">
        <v>12</v>
      </c>
      <c r="D790" s="751" t="s">
        <v>485</v>
      </c>
      <c r="E790" s="751" t="s">
        <v>171</v>
      </c>
      <c r="F790" s="859">
        <f t="shared" si="48"/>
        <v>0</v>
      </c>
      <c r="G790" s="859">
        <f t="shared" si="48"/>
        <v>0</v>
      </c>
      <c r="H790" s="859">
        <f t="shared" si="48"/>
        <v>0</v>
      </c>
      <c r="I790" s="859">
        <f t="shared" si="48"/>
        <v>0</v>
      </c>
      <c r="J790" s="859">
        <f t="shared" si="48"/>
        <v>0</v>
      </c>
      <c r="K790" s="859">
        <f t="shared" si="48"/>
        <v>0</v>
      </c>
      <c r="L790" s="859">
        <f t="shared" si="48"/>
        <v>0</v>
      </c>
      <c r="M790" s="859">
        <f t="shared" si="48"/>
        <v>0</v>
      </c>
    </row>
    <row r="791" spans="3:13" hidden="1" outlineLevel="2" x14ac:dyDescent="0.25">
      <c r="C791" s="751">
        <v>13</v>
      </c>
      <c r="D791" s="751" t="s">
        <v>485</v>
      </c>
      <c r="E791" s="751" t="s">
        <v>171</v>
      </c>
      <c r="F791" s="859">
        <f t="shared" si="48"/>
        <v>0</v>
      </c>
      <c r="G791" s="859">
        <f t="shared" si="48"/>
        <v>0</v>
      </c>
      <c r="H791" s="859">
        <f t="shared" si="48"/>
        <v>0</v>
      </c>
      <c r="I791" s="859">
        <f t="shared" si="48"/>
        <v>0</v>
      </c>
      <c r="J791" s="859">
        <f t="shared" si="48"/>
        <v>0</v>
      </c>
      <c r="K791" s="859">
        <f t="shared" si="48"/>
        <v>0</v>
      </c>
      <c r="L791" s="859">
        <f t="shared" si="48"/>
        <v>0</v>
      </c>
      <c r="M791" s="859">
        <f t="shared" si="48"/>
        <v>0</v>
      </c>
    </row>
    <row r="792" spans="3:13" hidden="1" outlineLevel="2" x14ac:dyDescent="0.25">
      <c r="C792" s="751">
        <v>14</v>
      </c>
      <c r="D792" s="751" t="s">
        <v>485</v>
      </c>
      <c r="E792" s="751" t="s">
        <v>171</v>
      </c>
      <c r="F792" s="859">
        <f t="shared" si="48"/>
        <v>0</v>
      </c>
      <c r="G792" s="859">
        <f t="shared" si="48"/>
        <v>0</v>
      </c>
      <c r="H792" s="859">
        <f t="shared" si="48"/>
        <v>0</v>
      </c>
      <c r="I792" s="859">
        <f t="shared" si="48"/>
        <v>0</v>
      </c>
      <c r="J792" s="859">
        <f t="shared" si="48"/>
        <v>0</v>
      </c>
      <c r="K792" s="859">
        <f t="shared" si="48"/>
        <v>0</v>
      </c>
      <c r="L792" s="859">
        <f t="shared" si="48"/>
        <v>0</v>
      </c>
      <c r="M792" s="859">
        <f t="shared" si="48"/>
        <v>0</v>
      </c>
    </row>
    <row r="793" spans="3:13" hidden="1" outlineLevel="2" x14ac:dyDescent="0.25">
      <c r="C793" s="751">
        <v>15</v>
      </c>
      <c r="D793" s="751" t="s">
        <v>485</v>
      </c>
      <c r="E793" s="751" t="s">
        <v>171</v>
      </c>
      <c r="F793" s="859">
        <f t="shared" si="48"/>
        <v>0</v>
      </c>
      <c r="G793" s="859">
        <f t="shared" si="48"/>
        <v>0</v>
      </c>
      <c r="H793" s="859">
        <f t="shared" si="48"/>
        <v>0</v>
      </c>
      <c r="I793" s="859">
        <f t="shared" si="48"/>
        <v>0</v>
      </c>
      <c r="J793" s="859">
        <f t="shared" si="48"/>
        <v>0</v>
      </c>
      <c r="K793" s="859">
        <f t="shared" si="48"/>
        <v>0</v>
      </c>
      <c r="L793" s="859">
        <f t="shared" si="48"/>
        <v>0</v>
      </c>
      <c r="M793" s="859">
        <f t="shared" si="48"/>
        <v>0</v>
      </c>
    </row>
    <row r="794" spans="3:13" hidden="1" outlineLevel="2" x14ac:dyDescent="0.25">
      <c r="C794" s="751">
        <v>1</v>
      </c>
      <c r="D794" s="751" t="s">
        <v>487</v>
      </c>
      <c r="E794" s="751" t="s">
        <v>171</v>
      </c>
      <c r="F794" s="859">
        <f t="shared" ref="F794:M808" si="49">F694*(F$83-1)</f>
        <v>0</v>
      </c>
      <c r="G794" s="859">
        <f t="shared" si="49"/>
        <v>0</v>
      </c>
      <c r="H794" s="859">
        <f t="shared" si="49"/>
        <v>0</v>
      </c>
      <c r="I794" s="859">
        <f t="shared" si="49"/>
        <v>0</v>
      </c>
      <c r="J794" s="859">
        <f t="shared" si="49"/>
        <v>0</v>
      </c>
      <c r="K794" s="859">
        <f t="shared" si="49"/>
        <v>0</v>
      </c>
      <c r="L794" s="859">
        <f t="shared" si="49"/>
        <v>0</v>
      </c>
      <c r="M794" s="859">
        <f t="shared" si="49"/>
        <v>0</v>
      </c>
    </row>
    <row r="795" spans="3:13" hidden="1" outlineLevel="2" x14ac:dyDescent="0.25">
      <c r="C795" s="751">
        <v>2</v>
      </c>
      <c r="D795" s="751" t="s">
        <v>487</v>
      </c>
      <c r="E795" s="751" t="s">
        <v>171</v>
      </c>
      <c r="F795" s="859">
        <f t="shared" si="49"/>
        <v>0</v>
      </c>
      <c r="G795" s="859">
        <f t="shared" si="49"/>
        <v>0</v>
      </c>
      <c r="H795" s="859">
        <f t="shared" si="49"/>
        <v>0</v>
      </c>
      <c r="I795" s="859">
        <f t="shared" si="49"/>
        <v>0</v>
      </c>
      <c r="J795" s="859">
        <f t="shared" si="49"/>
        <v>0</v>
      </c>
      <c r="K795" s="859">
        <f t="shared" si="49"/>
        <v>0</v>
      </c>
      <c r="L795" s="859">
        <f t="shared" si="49"/>
        <v>0</v>
      </c>
      <c r="M795" s="859">
        <f t="shared" si="49"/>
        <v>0</v>
      </c>
    </row>
    <row r="796" spans="3:13" hidden="1" outlineLevel="2" x14ac:dyDescent="0.25">
      <c r="C796" s="751">
        <v>3</v>
      </c>
      <c r="D796" s="751" t="s">
        <v>487</v>
      </c>
      <c r="E796" s="751" t="s">
        <v>171</v>
      </c>
      <c r="F796" s="859">
        <f t="shared" si="49"/>
        <v>0</v>
      </c>
      <c r="G796" s="859">
        <f t="shared" si="49"/>
        <v>0</v>
      </c>
      <c r="H796" s="859">
        <f t="shared" si="49"/>
        <v>0</v>
      </c>
      <c r="I796" s="859">
        <f t="shared" si="49"/>
        <v>0</v>
      </c>
      <c r="J796" s="859">
        <f t="shared" si="49"/>
        <v>0</v>
      </c>
      <c r="K796" s="859">
        <f t="shared" si="49"/>
        <v>0</v>
      </c>
      <c r="L796" s="859">
        <f t="shared" si="49"/>
        <v>0</v>
      </c>
      <c r="M796" s="859">
        <f t="shared" si="49"/>
        <v>0</v>
      </c>
    </row>
    <row r="797" spans="3:13" hidden="1" outlineLevel="2" x14ac:dyDescent="0.25">
      <c r="C797" s="751">
        <v>4</v>
      </c>
      <c r="D797" s="751" t="s">
        <v>487</v>
      </c>
      <c r="E797" s="751" t="s">
        <v>171</v>
      </c>
      <c r="F797" s="859">
        <f t="shared" si="49"/>
        <v>0</v>
      </c>
      <c r="G797" s="859">
        <f t="shared" si="49"/>
        <v>0</v>
      </c>
      <c r="H797" s="859">
        <f t="shared" si="49"/>
        <v>0</v>
      </c>
      <c r="I797" s="859">
        <f t="shared" si="49"/>
        <v>0</v>
      </c>
      <c r="J797" s="859">
        <f t="shared" si="49"/>
        <v>0</v>
      </c>
      <c r="K797" s="859">
        <f t="shared" si="49"/>
        <v>0</v>
      </c>
      <c r="L797" s="859">
        <f t="shared" si="49"/>
        <v>0</v>
      </c>
      <c r="M797" s="859">
        <f t="shared" si="49"/>
        <v>0</v>
      </c>
    </row>
    <row r="798" spans="3:13" hidden="1" outlineLevel="2" x14ac:dyDescent="0.25">
      <c r="C798" s="751">
        <v>5</v>
      </c>
      <c r="D798" s="751" t="s">
        <v>487</v>
      </c>
      <c r="E798" s="751" t="s">
        <v>171</v>
      </c>
      <c r="F798" s="859">
        <f t="shared" si="49"/>
        <v>0</v>
      </c>
      <c r="G798" s="859">
        <f t="shared" si="49"/>
        <v>0</v>
      </c>
      <c r="H798" s="859">
        <f t="shared" si="49"/>
        <v>0</v>
      </c>
      <c r="I798" s="859">
        <f t="shared" si="49"/>
        <v>0</v>
      </c>
      <c r="J798" s="859">
        <f t="shared" si="49"/>
        <v>0</v>
      </c>
      <c r="K798" s="859">
        <f t="shared" si="49"/>
        <v>0</v>
      </c>
      <c r="L798" s="859">
        <f t="shared" si="49"/>
        <v>0</v>
      </c>
      <c r="M798" s="859">
        <f t="shared" si="49"/>
        <v>0</v>
      </c>
    </row>
    <row r="799" spans="3:13" hidden="1" outlineLevel="2" x14ac:dyDescent="0.25">
      <c r="C799" s="751">
        <v>6</v>
      </c>
      <c r="D799" s="751" t="s">
        <v>487</v>
      </c>
      <c r="E799" s="751" t="s">
        <v>171</v>
      </c>
      <c r="F799" s="859">
        <f t="shared" si="49"/>
        <v>0</v>
      </c>
      <c r="G799" s="859">
        <f t="shared" si="49"/>
        <v>0</v>
      </c>
      <c r="H799" s="859">
        <f t="shared" si="49"/>
        <v>0</v>
      </c>
      <c r="I799" s="859">
        <f t="shared" si="49"/>
        <v>0</v>
      </c>
      <c r="J799" s="859">
        <f t="shared" si="49"/>
        <v>0</v>
      </c>
      <c r="K799" s="859">
        <f t="shared" si="49"/>
        <v>0</v>
      </c>
      <c r="L799" s="859">
        <f t="shared" si="49"/>
        <v>0</v>
      </c>
      <c r="M799" s="859">
        <f t="shared" si="49"/>
        <v>0</v>
      </c>
    </row>
    <row r="800" spans="3:13" hidden="1" outlineLevel="2" x14ac:dyDescent="0.25">
      <c r="C800" s="751">
        <v>7</v>
      </c>
      <c r="D800" s="751" t="s">
        <v>487</v>
      </c>
      <c r="E800" s="751" t="s">
        <v>171</v>
      </c>
      <c r="F800" s="859">
        <f t="shared" si="49"/>
        <v>0</v>
      </c>
      <c r="G800" s="859">
        <f t="shared" si="49"/>
        <v>0</v>
      </c>
      <c r="H800" s="859">
        <f t="shared" si="49"/>
        <v>0</v>
      </c>
      <c r="I800" s="859">
        <f t="shared" si="49"/>
        <v>0</v>
      </c>
      <c r="J800" s="859">
        <f t="shared" si="49"/>
        <v>0</v>
      </c>
      <c r="K800" s="859">
        <f t="shared" si="49"/>
        <v>0</v>
      </c>
      <c r="L800" s="859">
        <f t="shared" si="49"/>
        <v>0</v>
      </c>
      <c r="M800" s="859">
        <f t="shared" si="49"/>
        <v>0</v>
      </c>
    </row>
    <row r="801" spans="3:13" hidden="1" outlineLevel="2" x14ac:dyDescent="0.25">
      <c r="C801" s="751">
        <v>8</v>
      </c>
      <c r="D801" s="751" t="s">
        <v>487</v>
      </c>
      <c r="E801" s="751" t="s">
        <v>171</v>
      </c>
      <c r="F801" s="859">
        <f t="shared" si="49"/>
        <v>0</v>
      </c>
      <c r="G801" s="859">
        <f t="shared" si="49"/>
        <v>0</v>
      </c>
      <c r="H801" s="859">
        <f t="shared" si="49"/>
        <v>0</v>
      </c>
      <c r="I801" s="859">
        <f t="shared" si="49"/>
        <v>0</v>
      </c>
      <c r="J801" s="859">
        <f t="shared" si="49"/>
        <v>0</v>
      </c>
      <c r="K801" s="859">
        <f t="shared" si="49"/>
        <v>0</v>
      </c>
      <c r="L801" s="859">
        <f t="shared" si="49"/>
        <v>0</v>
      </c>
      <c r="M801" s="859">
        <f t="shared" si="49"/>
        <v>0</v>
      </c>
    </row>
    <row r="802" spans="3:13" hidden="1" outlineLevel="2" x14ac:dyDescent="0.25">
      <c r="C802" s="751">
        <v>9</v>
      </c>
      <c r="D802" s="751" t="s">
        <v>487</v>
      </c>
      <c r="E802" s="751" t="s">
        <v>171</v>
      </c>
      <c r="F802" s="859">
        <f t="shared" si="49"/>
        <v>0</v>
      </c>
      <c r="G802" s="859">
        <f t="shared" si="49"/>
        <v>0</v>
      </c>
      <c r="H802" s="859">
        <f t="shared" si="49"/>
        <v>0</v>
      </c>
      <c r="I802" s="859">
        <f t="shared" si="49"/>
        <v>0</v>
      </c>
      <c r="J802" s="859">
        <f t="shared" si="49"/>
        <v>0</v>
      </c>
      <c r="K802" s="859">
        <f t="shared" si="49"/>
        <v>0</v>
      </c>
      <c r="L802" s="859">
        <f t="shared" si="49"/>
        <v>0</v>
      </c>
      <c r="M802" s="859">
        <f t="shared" si="49"/>
        <v>0</v>
      </c>
    </row>
    <row r="803" spans="3:13" hidden="1" outlineLevel="2" x14ac:dyDescent="0.25">
      <c r="C803" s="751">
        <v>10</v>
      </c>
      <c r="D803" s="751" t="s">
        <v>487</v>
      </c>
      <c r="E803" s="751" t="s">
        <v>171</v>
      </c>
      <c r="F803" s="859">
        <f t="shared" si="49"/>
        <v>0</v>
      </c>
      <c r="G803" s="859">
        <f t="shared" si="49"/>
        <v>0</v>
      </c>
      <c r="H803" s="859">
        <f t="shared" si="49"/>
        <v>0</v>
      </c>
      <c r="I803" s="859">
        <f t="shared" si="49"/>
        <v>0</v>
      </c>
      <c r="J803" s="859">
        <f t="shared" si="49"/>
        <v>0</v>
      </c>
      <c r="K803" s="859">
        <f t="shared" si="49"/>
        <v>0</v>
      </c>
      <c r="L803" s="859">
        <f t="shared" si="49"/>
        <v>0</v>
      </c>
      <c r="M803" s="859">
        <f t="shared" si="49"/>
        <v>0</v>
      </c>
    </row>
    <row r="804" spans="3:13" hidden="1" outlineLevel="2" x14ac:dyDescent="0.25">
      <c r="C804" s="751">
        <v>11</v>
      </c>
      <c r="D804" s="751" t="s">
        <v>487</v>
      </c>
      <c r="E804" s="751" t="s">
        <v>171</v>
      </c>
      <c r="F804" s="859">
        <f t="shared" si="49"/>
        <v>0</v>
      </c>
      <c r="G804" s="859">
        <f t="shared" si="49"/>
        <v>0</v>
      </c>
      <c r="H804" s="859">
        <f t="shared" si="49"/>
        <v>0</v>
      </c>
      <c r="I804" s="859">
        <f t="shared" si="49"/>
        <v>0</v>
      </c>
      <c r="J804" s="859">
        <f t="shared" si="49"/>
        <v>0</v>
      </c>
      <c r="K804" s="859">
        <f t="shared" si="49"/>
        <v>0</v>
      </c>
      <c r="L804" s="859">
        <f t="shared" si="49"/>
        <v>0</v>
      </c>
      <c r="M804" s="859">
        <f t="shared" si="49"/>
        <v>0</v>
      </c>
    </row>
    <row r="805" spans="3:13" hidden="1" outlineLevel="2" x14ac:dyDescent="0.25">
      <c r="C805" s="751">
        <v>12</v>
      </c>
      <c r="D805" s="751" t="s">
        <v>487</v>
      </c>
      <c r="E805" s="751" t="s">
        <v>171</v>
      </c>
      <c r="F805" s="859">
        <f t="shared" si="49"/>
        <v>0</v>
      </c>
      <c r="G805" s="859">
        <f t="shared" si="49"/>
        <v>0</v>
      </c>
      <c r="H805" s="859">
        <f t="shared" si="49"/>
        <v>0</v>
      </c>
      <c r="I805" s="859">
        <f t="shared" si="49"/>
        <v>0</v>
      </c>
      <c r="J805" s="859">
        <f t="shared" si="49"/>
        <v>0</v>
      </c>
      <c r="K805" s="859">
        <f t="shared" si="49"/>
        <v>0</v>
      </c>
      <c r="L805" s="859">
        <f t="shared" si="49"/>
        <v>0</v>
      </c>
      <c r="M805" s="859">
        <f t="shared" si="49"/>
        <v>0</v>
      </c>
    </row>
    <row r="806" spans="3:13" hidden="1" outlineLevel="2" x14ac:dyDescent="0.25">
      <c r="C806" s="751">
        <v>13</v>
      </c>
      <c r="D806" s="751" t="s">
        <v>487</v>
      </c>
      <c r="E806" s="751" t="s">
        <v>171</v>
      </c>
      <c r="F806" s="859">
        <f t="shared" si="49"/>
        <v>0</v>
      </c>
      <c r="G806" s="859">
        <f t="shared" si="49"/>
        <v>0</v>
      </c>
      <c r="H806" s="859">
        <f t="shared" si="49"/>
        <v>0</v>
      </c>
      <c r="I806" s="859">
        <f t="shared" si="49"/>
        <v>0</v>
      </c>
      <c r="J806" s="859">
        <f t="shared" si="49"/>
        <v>0</v>
      </c>
      <c r="K806" s="859">
        <f t="shared" si="49"/>
        <v>0</v>
      </c>
      <c r="L806" s="859">
        <f t="shared" si="49"/>
        <v>0</v>
      </c>
      <c r="M806" s="859">
        <f t="shared" si="49"/>
        <v>0</v>
      </c>
    </row>
    <row r="807" spans="3:13" hidden="1" outlineLevel="2" x14ac:dyDescent="0.25">
      <c r="C807" s="751">
        <v>14</v>
      </c>
      <c r="D807" s="751" t="s">
        <v>487</v>
      </c>
      <c r="E807" s="751" t="s">
        <v>171</v>
      </c>
      <c r="F807" s="859">
        <f t="shared" si="49"/>
        <v>0</v>
      </c>
      <c r="G807" s="859">
        <f t="shared" si="49"/>
        <v>0</v>
      </c>
      <c r="H807" s="859">
        <f t="shared" si="49"/>
        <v>0</v>
      </c>
      <c r="I807" s="859">
        <f t="shared" si="49"/>
        <v>0</v>
      </c>
      <c r="J807" s="859">
        <f t="shared" si="49"/>
        <v>0</v>
      </c>
      <c r="K807" s="859">
        <f t="shared" si="49"/>
        <v>0</v>
      </c>
      <c r="L807" s="859">
        <f t="shared" si="49"/>
        <v>0</v>
      </c>
      <c r="M807" s="859">
        <f t="shared" si="49"/>
        <v>0</v>
      </c>
    </row>
    <row r="808" spans="3:13" hidden="1" outlineLevel="2" x14ac:dyDescent="0.25">
      <c r="C808" s="751">
        <v>15</v>
      </c>
      <c r="D808" s="751" t="s">
        <v>487</v>
      </c>
      <c r="E808" s="751" t="s">
        <v>171</v>
      </c>
      <c r="F808" s="859">
        <f t="shared" si="49"/>
        <v>0</v>
      </c>
      <c r="G808" s="859">
        <f t="shared" si="49"/>
        <v>0</v>
      </c>
      <c r="H808" s="859">
        <f t="shared" si="49"/>
        <v>0</v>
      </c>
      <c r="I808" s="859">
        <f t="shared" si="49"/>
        <v>0</v>
      </c>
      <c r="J808" s="859">
        <f t="shared" si="49"/>
        <v>0</v>
      </c>
      <c r="K808" s="859">
        <f t="shared" si="49"/>
        <v>0</v>
      </c>
      <c r="L808" s="859">
        <f t="shared" si="49"/>
        <v>0</v>
      </c>
      <c r="M808" s="859">
        <f t="shared" si="49"/>
        <v>0</v>
      </c>
    </row>
    <row r="809" spans="3:13" hidden="1" outlineLevel="2" x14ac:dyDescent="0.25">
      <c r="C809" s="751">
        <v>1</v>
      </c>
      <c r="D809" s="751" t="s">
        <v>484</v>
      </c>
      <c r="E809" s="751" t="s">
        <v>171</v>
      </c>
      <c r="F809" s="751">
        <v>0</v>
      </c>
      <c r="G809" s="867">
        <f t="shared" ref="G809:M823" si="50">G709*(G$605-1)</f>
        <v>0</v>
      </c>
      <c r="H809" s="867">
        <f t="shared" si="50"/>
        <v>0</v>
      </c>
      <c r="I809" s="867">
        <f t="shared" si="50"/>
        <v>0</v>
      </c>
      <c r="J809" s="867">
        <f t="shared" si="50"/>
        <v>0</v>
      </c>
      <c r="K809" s="867">
        <f t="shared" si="50"/>
        <v>0</v>
      </c>
      <c r="L809" s="867">
        <f t="shared" si="50"/>
        <v>0</v>
      </c>
      <c r="M809" s="867">
        <f t="shared" si="50"/>
        <v>0</v>
      </c>
    </row>
    <row r="810" spans="3:13" hidden="1" outlineLevel="2" x14ac:dyDescent="0.25">
      <c r="C810" s="751">
        <v>2</v>
      </c>
      <c r="D810" s="751" t="s">
        <v>484</v>
      </c>
      <c r="E810" s="751" t="s">
        <v>171</v>
      </c>
      <c r="F810" s="751">
        <v>0</v>
      </c>
      <c r="G810" s="867">
        <f t="shared" si="50"/>
        <v>0</v>
      </c>
      <c r="H810" s="867">
        <f t="shared" si="50"/>
        <v>0</v>
      </c>
      <c r="I810" s="867">
        <f t="shared" si="50"/>
        <v>0</v>
      </c>
      <c r="J810" s="867">
        <f t="shared" si="50"/>
        <v>0</v>
      </c>
      <c r="K810" s="867">
        <f t="shared" si="50"/>
        <v>0</v>
      </c>
      <c r="L810" s="867">
        <f t="shared" si="50"/>
        <v>0</v>
      </c>
      <c r="M810" s="867">
        <f t="shared" si="50"/>
        <v>0</v>
      </c>
    </row>
    <row r="811" spans="3:13" hidden="1" outlineLevel="2" x14ac:dyDescent="0.25">
      <c r="C811" s="751">
        <v>3</v>
      </c>
      <c r="D811" s="751" t="s">
        <v>484</v>
      </c>
      <c r="E811" s="751" t="s">
        <v>171</v>
      </c>
      <c r="F811" s="751">
        <v>0</v>
      </c>
      <c r="G811" s="867">
        <f t="shared" si="50"/>
        <v>0</v>
      </c>
      <c r="H811" s="867">
        <f t="shared" si="50"/>
        <v>0</v>
      </c>
      <c r="I811" s="867">
        <f t="shared" si="50"/>
        <v>0</v>
      </c>
      <c r="J811" s="867">
        <f t="shared" si="50"/>
        <v>0</v>
      </c>
      <c r="K811" s="867">
        <f t="shared" si="50"/>
        <v>0</v>
      </c>
      <c r="L811" s="867">
        <f t="shared" si="50"/>
        <v>0</v>
      </c>
      <c r="M811" s="867">
        <f t="shared" si="50"/>
        <v>0</v>
      </c>
    </row>
    <row r="812" spans="3:13" hidden="1" outlineLevel="2" x14ac:dyDescent="0.25">
      <c r="C812" s="751">
        <v>4</v>
      </c>
      <c r="D812" s="751" t="s">
        <v>484</v>
      </c>
      <c r="E812" s="751" t="s">
        <v>171</v>
      </c>
      <c r="F812" s="751">
        <v>0</v>
      </c>
      <c r="G812" s="867">
        <f t="shared" si="50"/>
        <v>0</v>
      </c>
      <c r="H812" s="867">
        <f t="shared" si="50"/>
        <v>0</v>
      </c>
      <c r="I812" s="867">
        <f t="shared" si="50"/>
        <v>0</v>
      </c>
      <c r="J812" s="867">
        <f t="shared" si="50"/>
        <v>0</v>
      </c>
      <c r="K812" s="867">
        <f t="shared" si="50"/>
        <v>0</v>
      </c>
      <c r="L812" s="867">
        <f t="shared" si="50"/>
        <v>0</v>
      </c>
      <c r="M812" s="867">
        <f t="shared" si="50"/>
        <v>0</v>
      </c>
    </row>
    <row r="813" spans="3:13" hidden="1" outlineLevel="2" x14ac:dyDescent="0.25">
      <c r="C813" s="751">
        <v>5</v>
      </c>
      <c r="D813" s="751" t="s">
        <v>484</v>
      </c>
      <c r="E813" s="751" t="s">
        <v>171</v>
      </c>
      <c r="F813" s="751">
        <v>0</v>
      </c>
      <c r="G813" s="867">
        <f t="shared" si="50"/>
        <v>0</v>
      </c>
      <c r="H813" s="867">
        <f t="shared" si="50"/>
        <v>0</v>
      </c>
      <c r="I813" s="867">
        <f t="shared" si="50"/>
        <v>0</v>
      </c>
      <c r="J813" s="867">
        <f t="shared" si="50"/>
        <v>0</v>
      </c>
      <c r="K813" s="867">
        <f t="shared" si="50"/>
        <v>0</v>
      </c>
      <c r="L813" s="867">
        <f t="shared" si="50"/>
        <v>0</v>
      </c>
      <c r="M813" s="867">
        <f t="shared" si="50"/>
        <v>0</v>
      </c>
    </row>
    <row r="814" spans="3:13" hidden="1" outlineLevel="2" x14ac:dyDescent="0.25">
      <c r="C814" s="751">
        <v>6</v>
      </c>
      <c r="D814" s="751" t="s">
        <v>484</v>
      </c>
      <c r="E814" s="751" t="s">
        <v>171</v>
      </c>
      <c r="F814" s="751">
        <v>0</v>
      </c>
      <c r="G814" s="867">
        <f t="shared" si="50"/>
        <v>0</v>
      </c>
      <c r="H814" s="867">
        <f t="shared" si="50"/>
        <v>0</v>
      </c>
      <c r="I814" s="867">
        <f t="shared" si="50"/>
        <v>0</v>
      </c>
      <c r="J814" s="867">
        <f t="shared" si="50"/>
        <v>0</v>
      </c>
      <c r="K814" s="867">
        <f t="shared" si="50"/>
        <v>0</v>
      </c>
      <c r="L814" s="867">
        <f t="shared" si="50"/>
        <v>0</v>
      </c>
      <c r="M814" s="867">
        <f t="shared" si="50"/>
        <v>0</v>
      </c>
    </row>
    <row r="815" spans="3:13" hidden="1" outlineLevel="2" x14ac:dyDescent="0.25">
      <c r="C815" s="751">
        <v>7</v>
      </c>
      <c r="D815" s="751" t="s">
        <v>484</v>
      </c>
      <c r="E815" s="751" t="s">
        <v>171</v>
      </c>
      <c r="F815" s="751">
        <v>0</v>
      </c>
      <c r="G815" s="867">
        <f t="shared" si="50"/>
        <v>0</v>
      </c>
      <c r="H815" s="867">
        <f t="shared" si="50"/>
        <v>0</v>
      </c>
      <c r="I815" s="867">
        <f t="shared" si="50"/>
        <v>0</v>
      </c>
      <c r="J815" s="867">
        <f t="shared" si="50"/>
        <v>0</v>
      </c>
      <c r="K815" s="867">
        <f t="shared" si="50"/>
        <v>0</v>
      </c>
      <c r="L815" s="867">
        <f t="shared" si="50"/>
        <v>0</v>
      </c>
      <c r="M815" s="867">
        <f t="shared" si="50"/>
        <v>0</v>
      </c>
    </row>
    <row r="816" spans="3:13" hidden="1" outlineLevel="2" x14ac:dyDescent="0.25">
      <c r="C816" s="751">
        <v>8</v>
      </c>
      <c r="D816" s="751" t="s">
        <v>484</v>
      </c>
      <c r="E816" s="751" t="s">
        <v>171</v>
      </c>
      <c r="F816" s="751">
        <v>0</v>
      </c>
      <c r="G816" s="867">
        <f t="shared" si="50"/>
        <v>0</v>
      </c>
      <c r="H816" s="867">
        <f t="shared" si="50"/>
        <v>0</v>
      </c>
      <c r="I816" s="867">
        <f t="shared" si="50"/>
        <v>0</v>
      </c>
      <c r="J816" s="867">
        <f t="shared" si="50"/>
        <v>0</v>
      </c>
      <c r="K816" s="867">
        <f t="shared" si="50"/>
        <v>0</v>
      </c>
      <c r="L816" s="867">
        <f t="shared" si="50"/>
        <v>0</v>
      </c>
      <c r="M816" s="867">
        <f t="shared" si="50"/>
        <v>0</v>
      </c>
    </row>
    <row r="817" spans="3:13" hidden="1" outlineLevel="2" x14ac:dyDescent="0.25">
      <c r="C817" s="751">
        <v>9</v>
      </c>
      <c r="D817" s="751" t="s">
        <v>484</v>
      </c>
      <c r="E817" s="751" t="s">
        <v>171</v>
      </c>
      <c r="F817" s="751">
        <v>0</v>
      </c>
      <c r="G817" s="867">
        <f t="shared" si="50"/>
        <v>0</v>
      </c>
      <c r="H817" s="867">
        <f t="shared" si="50"/>
        <v>0</v>
      </c>
      <c r="I817" s="867">
        <f t="shared" si="50"/>
        <v>0</v>
      </c>
      <c r="J817" s="867">
        <f t="shared" si="50"/>
        <v>0</v>
      </c>
      <c r="K817" s="867">
        <f t="shared" si="50"/>
        <v>0</v>
      </c>
      <c r="L817" s="867">
        <f t="shared" si="50"/>
        <v>0</v>
      </c>
      <c r="M817" s="867">
        <f t="shared" si="50"/>
        <v>0</v>
      </c>
    </row>
    <row r="818" spans="3:13" hidden="1" outlineLevel="2" x14ac:dyDescent="0.25">
      <c r="C818" s="751">
        <v>10</v>
      </c>
      <c r="D818" s="751" t="s">
        <v>484</v>
      </c>
      <c r="E818" s="751" t="s">
        <v>171</v>
      </c>
      <c r="F818" s="751">
        <v>0</v>
      </c>
      <c r="G818" s="867">
        <f t="shared" si="50"/>
        <v>0</v>
      </c>
      <c r="H818" s="867">
        <f t="shared" si="50"/>
        <v>0</v>
      </c>
      <c r="I818" s="867">
        <f t="shared" si="50"/>
        <v>0</v>
      </c>
      <c r="J818" s="867">
        <f t="shared" si="50"/>
        <v>0</v>
      </c>
      <c r="K818" s="867">
        <f t="shared" si="50"/>
        <v>0</v>
      </c>
      <c r="L818" s="867">
        <f t="shared" si="50"/>
        <v>0</v>
      </c>
      <c r="M818" s="867">
        <f t="shared" si="50"/>
        <v>0</v>
      </c>
    </row>
    <row r="819" spans="3:13" hidden="1" outlineLevel="2" x14ac:dyDescent="0.25">
      <c r="C819" s="751">
        <v>11</v>
      </c>
      <c r="D819" s="751" t="s">
        <v>484</v>
      </c>
      <c r="E819" s="751" t="s">
        <v>171</v>
      </c>
      <c r="F819" s="751">
        <v>0</v>
      </c>
      <c r="G819" s="867">
        <f t="shared" si="50"/>
        <v>0</v>
      </c>
      <c r="H819" s="867">
        <f t="shared" si="50"/>
        <v>0</v>
      </c>
      <c r="I819" s="867">
        <f t="shared" si="50"/>
        <v>0</v>
      </c>
      <c r="J819" s="867">
        <f t="shared" si="50"/>
        <v>0</v>
      </c>
      <c r="K819" s="867">
        <f t="shared" si="50"/>
        <v>0</v>
      </c>
      <c r="L819" s="867">
        <f t="shared" si="50"/>
        <v>0</v>
      </c>
      <c r="M819" s="867">
        <f t="shared" si="50"/>
        <v>0</v>
      </c>
    </row>
    <row r="820" spans="3:13" hidden="1" outlineLevel="2" x14ac:dyDescent="0.25">
      <c r="C820" s="751">
        <v>12</v>
      </c>
      <c r="D820" s="751" t="s">
        <v>484</v>
      </c>
      <c r="E820" s="751" t="s">
        <v>171</v>
      </c>
      <c r="F820" s="751">
        <v>0</v>
      </c>
      <c r="G820" s="867">
        <f t="shared" si="50"/>
        <v>0</v>
      </c>
      <c r="H820" s="867">
        <f t="shared" si="50"/>
        <v>0</v>
      </c>
      <c r="I820" s="867">
        <f t="shared" si="50"/>
        <v>0</v>
      </c>
      <c r="J820" s="867">
        <f t="shared" si="50"/>
        <v>0</v>
      </c>
      <c r="K820" s="867">
        <f t="shared" si="50"/>
        <v>0</v>
      </c>
      <c r="L820" s="867">
        <f t="shared" si="50"/>
        <v>0</v>
      </c>
      <c r="M820" s="867">
        <f t="shared" si="50"/>
        <v>0</v>
      </c>
    </row>
    <row r="821" spans="3:13" hidden="1" outlineLevel="2" x14ac:dyDescent="0.25">
      <c r="C821" s="751">
        <v>13</v>
      </c>
      <c r="D821" s="751" t="s">
        <v>484</v>
      </c>
      <c r="E821" s="751" t="s">
        <v>171</v>
      </c>
      <c r="F821" s="751">
        <v>0</v>
      </c>
      <c r="G821" s="867">
        <f t="shared" si="50"/>
        <v>0</v>
      </c>
      <c r="H821" s="867">
        <f t="shared" si="50"/>
        <v>0</v>
      </c>
      <c r="I821" s="867">
        <f t="shared" si="50"/>
        <v>0</v>
      </c>
      <c r="J821" s="867">
        <f t="shared" si="50"/>
        <v>0</v>
      </c>
      <c r="K821" s="867">
        <f t="shared" si="50"/>
        <v>0</v>
      </c>
      <c r="L821" s="867">
        <f t="shared" si="50"/>
        <v>0</v>
      </c>
      <c r="M821" s="867">
        <f t="shared" si="50"/>
        <v>0</v>
      </c>
    </row>
    <row r="822" spans="3:13" hidden="1" outlineLevel="2" x14ac:dyDescent="0.25">
      <c r="C822" s="751">
        <v>14</v>
      </c>
      <c r="D822" s="751" t="s">
        <v>484</v>
      </c>
      <c r="E822" s="751" t="s">
        <v>171</v>
      </c>
      <c r="F822" s="751">
        <v>0</v>
      </c>
      <c r="G822" s="867">
        <f t="shared" si="50"/>
        <v>0</v>
      </c>
      <c r="H822" s="867">
        <f t="shared" si="50"/>
        <v>0</v>
      </c>
      <c r="I822" s="867">
        <f t="shared" si="50"/>
        <v>0</v>
      </c>
      <c r="J822" s="867">
        <f t="shared" si="50"/>
        <v>0</v>
      </c>
      <c r="K822" s="867">
        <f t="shared" si="50"/>
        <v>0</v>
      </c>
      <c r="L822" s="867">
        <f t="shared" si="50"/>
        <v>0</v>
      </c>
      <c r="M822" s="867">
        <f t="shared" si="50"/>
        <v>0</v>
      </c>
    </row>
    <row r="823" spans="3:13" hidden="1" outlineLevel="2" x14ac:dyDescent="0.25">
      <c r="C823" s="751">
        <v>15</v>
      </c>
      <c r="D823" s="751" t="s">
        <v>484</v>
      </c>
      <c r="E823" s="751" t="s">
        <v>171</v>
      </c>
      <c r="F823" s="751">
        <v>0</v>
      </c>
      <c r="G823" s="867">
        <f t="shared" si="50"/>
        <v>0</v>
      </c>
      <c r="H823" s="867">
        <f t="shared" si="50"/>
        <v>0</v>
      </c>
      <c r="I823" s="867">
        <f t="shared" si="50"/>
        <v>0</v>
      </c>
      <c r="J823" s="867">
        <f t="shared" si="50"/>
        <v>0</v>
      </c>
      <c r="K823" s="867">
        <f t="shared" si="50"/>
        <v>0</v>
      </c>
      <c r="L823" s="867">
        <f t="shared" si="50"/>
        <v>0</v>
      </c>
      <c r="M823" s="867">
        <f t="shared" si="50"/>
        <v>0</v>
      </c>
    </row>
    <row r="824" spans="3:13" hidden="1" outlineLevel="2" x14ac:dyDescent="0.25">
      <c r="C824" s="751">
        <v>1</v>
      </c>
      <c r="D824" s="751" t="s">
        <v>486</v>
      </c>
      <c r="E824" s="751" t="s">
        <v>171</v>
      </c>
      <c r="F824" s="751">
        <v>0</v>
      </c>
      <c r="G824" s="867">
        <f t="shared" ref="G824:M838" si="51">G724*(G$606-1)</f>
        <v>0</v>
      </c>
      <c r="H824" s="867">
        <f t="shared" si="51"/>
        <v>0</v>
      </c>
      <c r="I824" s="867">
        <f t="shared" si="51"/>
        <v>0</v>
      </c>
      <c r="J824" s="867">
        <f t="shared" si="51"/>
        <v>0</v>
      </c>
      <c r="K824" s="867">
        <f t="shared" si="51"/>
        <v>0</v>
      </c>
      <c r="L824" s="867">
        <f t="shared" si="51"/>
        <v>0</v>
      </c>
      <c r="M824" s="867">
        <f t="shared" si="51"/>
        <v>0</v>
      </c>
    </row>
    <row r="825" spans="3:13" hidden="1" outlineLevel="2" x14ac:dyDescent="0.25">
      <c r="C825" s="751">
        <v>2</v>
      </c>
      <c r="D825" s="751" t="s">
        <v>486</v>
      </c>
      <c r="E825" s="751" t="s">
        <v>171</v>
      </c>
      <c r="F825" s="751">
        <v>0</v>
      </c>
      <c r="G825" s="867">
        <f t="shared" si="51"/>
        <v>0</v>
      </c>
      <c r="H825" s="867">
        <f t="shared" si="51"/>
        <v>0</v>
      </c>
      <c r="I825" s="867">
        <f t="shared" si="51"/>
        <v>0</v>
      </c>
      <c r="J825" s="867">
        <f t="shared" si="51"/>
        <v>0</v>
      </c>
      <c r="K825" s="867">
        <f t="shared" si="51"/>
        <v>0</v>
      </c>
      <c r="L825" s="867">
        <f t="shared" si="51"/>
        <v>0</v>
      </c>
      <c r="M825" s="867">
        <f t="shared" si="51"/>
        <v>0</v>
      </c>
    </row>
    <row r="826" spans="3:13" hidden="1" outlineLevel="2" x14ac:dyDescent="0.25">
      <c r="C826" s="751">
        <v>3</v>
      </c>
      <c r="D826" s="751" t="s">
        <v>486</v>
      </c>
      <c r="E826" s="751" t="s">
        <v>171</v>
      </c>
      <c r="F826" s="751">
        <v>0</v>
      </c>
      <c r="G826" s="867">
        <f t="shared" si="51"/>
        <v>0</v>
      </c>
      <c r="H826" s="867">
        <f t="shared" si="51"/>
        <v>0</v>
      </c>
      <c r="I826" s="867">
        <f t="shared" si="51"/>
        <v>0</v>
      </c>
      <c r="J826" s="867">
        <f t="shared" si="51"/>
        <v>0</v>
      </c>
      <c r="K826" s="867">
        <f t="shared" si="51"/>
        <v>0</v>
      </c>
      <c r="L826" s="867">
        <f t="shared" si="51"/>
        <v>0</v>
      </c>
      <c r="M826" s="867">
        <f t="shared" si="51"/>
        <v>0</v>
      </c>
    </row>
    <row r="827" spans="3:13" hidden="1" outlineLevel="2" x14ac:dyDescent="0.25">
      <c r="C827" s="751">
        <v>4</v>
      </c>
      <c r="D827" s="751" t="s">
        <v>486</v>
      </c>
      <c r="E827" s="751" t="s">
        <v>171</v>
      </c>
      <c r="F827" s="751">
        <v>0</v>
      </c>
      <c r="G827" s="867">
        <f t="shared" si="51"/>
        <v>0</v>
      </c>
      <c r="H827" s="867">
        <f t="shared" si="51"/>
        <v>0</v>
      </c>
      <c r="I827" s="867">
        <f t="shared" si="51"/>
        <v>0</v>
      </c>
      <c r="J827" s="867">
        <f t="shared" si="51"/>
        <v>0</v>
      </c>
      <c r="K827" s="867">
        <f t="shared" si="51"/>
        <v>0</v>
      </c>
      <c r="L827" s="867">
        <f t="shared" si="51"/>
        <v>0</v>
      </c>
      <c r="M827" s="867">
        <f t="shared" si="51"/>
        <v>0</v>
      </c>
    </row>
    <row r="828" spans="3:13" hidden="1" outlineLevel="2" x14ac:dyDescent="0.25">
      <c r="C828" s="751">
        <v>5</v>
      </c>
      <c r="D828" s="751" t="s">
        <v>486</v>
      </c>
      <c r="E828" s="751" t="s">
        <v>171</v>
      </c>
      <c r="F828" s="751">
        <v>0</v>
      </c>
      <c r="G828" s="867">
        <f t="shared" si="51"/>
        <v>0</v>
      </c>
      <c r="H828" s="867">
        <f t="shared" si="51"/>
        <v>0</v>
      </c>
      <c r="I828" s="867">
        <f t="shared" si="51"/>
        <v>0</v>
      </c>
      <c r="J828" s="867">
        <f t="shared" si="51"/>
        <v>0</v>
      </c>
      <c r="K828" s="867">
        <f t="shared" si="51"/>
        <v>0</v>
      </c>
      <c r="L828" s="867">
        <f t="shared" si="51"/>
        <v>0</v>
      </c>
      <c r="M828" s="867">
        <f t="shared" si="51"/>
        <v>0</v>
      </c>
    </row>
    <row r="829" spans="3:13" hidden="1" outlineLevel="2" x14ac:dyDescent="0.25">
      <c r="C829" s="751">
        <v>6</v>
      </c>
      <c r="D829" s="751" t="s">
        <v>486</v>
      </c>
      <c r="E829" s="751" t="s">
        <v>171</v>
      </c>
      <c r="F829" s="751">
        <v>0</v>
      </c>
      <c r="G829" s="867">
        <f t="shared" si="51"/>
        <v>0</v>
      </c>
      <c r="H829" s="867">
        <f t="shared" si="51"/>
        <v>0</v>
      </c>
      <c r="I829" s="867">
        <f t="shared" si="51"/>
        <v>0</v>
      </c>
      <c r="J829" s="867">
        <f t="shared" si="51"/>
        <v>0</v>
      </c>
      <c r="K829" s="867">
        <f t="shared" si="51"/>
        <v>0</v>
      </c>
      <c r="L829" s="867">
        <f t="shared" si="51"/>
        <v>0</v>
      </c>
      <c r="M829" s="867">
        <f t="shared" si="51"/>
        <v>0</v>
      </c>
    </row>
    <row r="830" spans="3:13" hidden="1" outlineLevel="2" x14ac:dyDescent="0.25">
      <c r="C830" s="751">
        <v>7</v>
      </c>
      <c r="D830" s="751" t="s">
        <v>486</v>
      </c>
      <c r="E830" s="751" t="s">
        <v>171</v>
      </c>
      <c r="F830" s="751">
        <v>0</v>
      </c>
      <c r="G830" s="867">
        <f t="shared" si="51"/>
        <v>0</v>
      </c>
      <c r="H830" s="867">
        <f t="shared" si="51"/>
        <v>0</v>
      </c>
      <c r="I830" s="867">
        <f t="shared" si="51"/>
        <v>0</v>
      </c>
      <c r="J830" s="867">
        <f t="shared" si="51"/>
        <v>0</v>
      </c>
      <c r="K830" s="867">
        <f t="shared" si="51"/>
        <v>0</v>
      </c>
      <c r="L830" s="867">
        <f t="shared" si="51"/>
        <v>0</v>
      </c>
      <c r="M830" s="867">
        <f t="shared" si="51"/>
        <v>0</v>
      </c>
    </row>
    <row r="831" spans="3:13" hidden="1" outlineLevel="2" x14ac:dyDescent="0.25">
      <c r="C831" s="751">
        <v>8</v>
      </c>
      <c r="D831" s="751" t="s">
        <v>486</v>
      </c>
      <c r="E831" s="751" t="s">
        <v>171</v>
      </c>
      <c r="F831" s="751">
        <v>0</v>
      </c>
      <c r="G831" s="867">
        <f t="shared" si="51"/>
        <v>0</v>
      </c>
      <c r="H831" s="867">
        <f t="shared" si="51"/>
        <v>0</v>
      </c>
      <c r="I831" s="867">
        <f t="shared" si="51"/>
        <v>0</v>
      </c>
      <c r="J831" s="867">
        <f t="shared" si="51"/>
        <v>0</v>
      </c>
      <c r="K831" s="867">
        <f t="shared" si="51"/>
        <v>0</v>
      </c>
      <c r="L831" s="867">
        <f t="shared" si="51"/>
        <v>0</v>
      </c>
      <c r="M831" s="867">
        <f t="shared" si="51"/>
        <v>0</v>
      </c>
    </row>
    <row r="832" spans="3:13" hidden="1" outlineLevel="2" x14ac:dyDescent="0.25">
      <c r="C832" s="751">
        <v>9</v>
      </c>
      <c r="D832" s="751" t="s">
        <v>486</v>
      </c>
      <c r="E832" s="751" t="s">
        <v>171</v>
      </c>
      <c r="F832" s="751">
        <v>0</v>
      </c>
      <c r="G832" s="867">
        <f t="shared" si="51"/>
        <v>0</v>
      </c>
      <c r="H832" s="867">
        <f t="shared" si="51"/>
        <v>0</v>
      </c>
      <c r="I832" s="867">
        <f t="shared" si="51"/>
        <v>0</v>
      </c>
      <c r="J832" s="867">
        <f t="shared" si="51"/>
        <v>0</v>
      </c>
      <c r="K832" s="867">
        <f t="shared" si="51"/>
        <v>0</v>
      </c>
      <c r="L832" s="867">
        <f t="shared" si="51"/>
        <v>0</v>
      </c>
      <c r="M832" s="867">
        <f t="shared" si="51"/>
        <v>0</v>
      </c>
    </row>
    <row r="833" spans="1:17" hidden="1" outlineLevel="2" x14ac:dyDescent="0.25">
      <c r="C833" s="751">
        <v>10</v>
      </c>
      <c r="D833" s="751" t="s">
        <v>486</v>
      </c>
      <c r="E833" s="751" t="s">
        <v>171</v>
      </c>
      <c r="F833" s="751">
        <v>0</v>
      </c>
      <c r="G833" s="867">
        <f t="shared" si="51"/>
        <v>0</v>
      </c>
      <c r="H833" s="867">
        <f t="shared" si="51"/>
        <v>0</v>
      </c>
      <c r="I833" s="867">
        <f t="shared" si="51"/>
        <v>0</v>
      </c>
      <c r="J833" s="867">
        <f t="shared" si="51"/>
        <v>0</v>
      </c>
      <c r="K833" s="867">
        <f t="shared" si="51"/>
        <v>0</v>
      </c>
      <c r="L833" s="867">
        <f t="shared" si="51"/>
        <v>0</v>
      </c>
      <c r="M833" s="867">
        <f t="shared" si="51"/>
        <v>0</v>
      </c>
    </row>
    <row r="834" spans="1:17" hidden="1" outlineLevel="2" x14ac:dyDescent="0.25">
      <c r="C834" s="751">
        <v>11</v>
      </c>
      <c r="D834" s="751" t="s">
        <v>486</v>
      </c>
      <c r="E834" s="751" t="s">
        <v>171</v>
      </c>
      <c r="F834" s="751">
        <v>0</v>
      </c>
      <c r="G834" s="867">
        <f t="shared" si="51"/>
        <v>0</v>
      </c>
      <c r="H834" s="867">
        <f t="shared" si="51"/>
        <v>0</v>
      </c>
      <c r="I834" s="867">
        <f t="shared" si="51"/>
        <v>0</v>
      </c>
      <c r="J834" s="867">
        <f t="shared" si="51"/>
        <v>0</v>
      </c>
      <c r="K834" s="867">
        <f t="shared" si="51"/>
        <v>0</v>
      </c>
      <c r="L834" s="867">
        <f t="shared" si="51"/>
        <v>0</v>
      </c>
      <c r="M834" s="867">
        <f t="shared" si="51"/>
        <v>0</v>
      </c>
    </row>
    <row r="835" spans="1:17" hidden="1" outlineLevel="2" x14ac:dyDescent="0.25">
      <c r="C835" s="751">
        <v>12</v>
      </c>
      <c r="D835" s="751" t="s">
        <v>486</v>
      </c>
      <c r="E835" s="751" t="s">
        <v>171</v>
      </c>
      <c r="F835" s="751">
        <v>0</v>
      </c>
      <c r="G835" s="867">
        <f t="shared" si="51"/>
        <v>0</v>
      </c>
      <c r="H835" s="867">
        <f t="shared" si="51"/>
        <v>0</v>
      </c>
      <c r="I835" s="867">
        <f t="shared" si="51"/>
        <v>0</v>
      </c>
      <c r="J835" s="867">
        <f t="shared" si="51"/>
        <v>0</v>
      </c>
      <c r="K835" s="867">
        <f t="shared" si="51"/>
        <v>0</v>
      </c>
      <c r="L835" s="867">
        <f t="shared" si="51"/>
        <v>0</v>
      </c>
      <c r="M835" s="867">
        <f t="shared" si="51"/>
        <v>0</v>
      </c>
    </row>
    <row r="836" spans="1:17" hidden="1" outlineLevel="2" x14ac:dyDescent="0.25">
      <c r="C836" s="751">
        <v>13</v>
      </c>
      <c r="D836" s="751" t="s">
        <v>486</v>
      </c>
      <c r="E836" s="751" t="s">
        <v>171</v>
      </c>
      <c r="F836" s="751">
        <v>0</v>
      </c>
      <c r="G836" s="867">
        <f t="shared" si="51"/>
        <v>0</v>
      </c>
      <c r="H836" s="867">
        <f t="shared" si="51"/>
        <v>0</v>
      </c>
      <c r="I836" s="867">
        <f t="shared" si="51"/>
        <v>0</v>
      </c>
      <c r="J836" s="867">
        <f t="shared" si="51"/>
        <v>0</v>
      </c>
      <c r="K836" s="867">
        <f t="shared" si="51"/>
        <v>0</v>
      </c>
      <c r="L836" s="867">
        <f t="shared" si="51"/>
        <v>0</v>
      </c>
      <c r="M836" s="867">
        <f t="shared" si="51"/>
        <v>0</v>
      </c>
    </row>
    <row r="837" spans="1:17" hidden="1" outlineLevel="2" x14ac:dyDescent="0.25">
      <c r="C837" s="751">
        <v>14</v>
      </c>
      <c r="D837" s="751" t="s">
        <v>486</v>
      </c>
      <c r="E837" s="751" t="s">
        <v>171</v>
      </c>
      <c r="F837" s="751">
        <v>0</v>
      </c>
      <c r="G837" s="867">
        <f t="shared" si="51"/>
        <v>0</v>
      </c>
      <c r="H837" s="867">
        <f t="shared" si="51"/>
        <v>0</v>
      </c>
      <c r="I837" s="867">
        <f t="shared" si="51"/>
        <v>0</v>
      </c>
      <c r="J837" s="867">
        <f t="shared" si="51"/>
        <v>0</v>
      </c>
      <c r="K837" s="867">
        <f t="shared" si="51"/>
        <v>0</v>
      </c>
      <c r="L837" s="867">
        <f t="shared" si="51"/>
        <v>0</v>
      </c>
      <c r="M837" s="867">
        <f t="shared" si="51"/>
        <v>0</v>
      </c>
    </row>
    <row r="838" spans="1:17" hidden="1" outlineLevel="2" x14ac:dyDescent="0.25">
      <c r="C838" s="863">
        <v>15</v>
      </c>
      <c r="D838" s="863" t="s">
        <v>486</v>
      </c>
      <c r="E838" s="863" t="s">
        <v>171</v>
      </c>
      <c r="F838" s="863">
        <v>0</v>
      </c>
      <c r="G838" s="868">
        <f t="shared" si="51"/>
        <v>0</v>
      </c>
      <c r="H838" s="868">
        <f t="shared" si="51"/>
        <v>0</v>
      </c>
      <c r="I838" s="868">
        <f t="shared" si="51"/>
        <v>0</v>
      </c>
      <c r="J838" s="868">
        <f t="shared" si="51"/>
        <v>0</v>
      </c>
      <c r="K838" s="868">
        <f t="shared" si="51"/>
        <v>0</v>
      </c>
      <c r="L838" s="868">
        <f t="shared" si="51"/>
        <v>0</v>
      </c>
      <c r="M838" s="868">
        <f t="shared" si="51"/>
        <v>0</v>
      </c>
    </row>
    <row r="839" spans="1:17" hidden="1" outlineLevel="2" x14ac:dyDescent="0.25">
      <c r="C839" s="852"/>
      <c r="D839" s="852"/>
      <c r="E839" s="852"/>
      <c r="F839" s="852"/>
      <c r="G839" s="869"/>
      <c r="H839" s="869"/>
      <c r="I839" s="869"/>
      <c r="J839" s="869"/>
      <c r="K839" s="869"/>
      <c r="L839" s="869"/>
      <c r="M839" s="869"/>
    </row>
    <row r="840" spans="1:17" hidden="1" outlineLevel="2" x14ac:dyDescent="0.25">
      <c r="C840" s="852"/>
      <c r="D840" s="852"/>
      <c r="E840" s="852"/>
      <c r="F840" s="852"/>
      <c r="G840" s="1910"/>
      <c r="H840" s="869"/>
      <c r="I840" s="869"/>
      <c r="J840" s="869"/>
      <c r="K840" s="869"/>
      <c r="L840" s="869"/>
      <c r="M840" s="869"/>
    </row>
    <row r="841" spans="1:17" hidden="1" outlineLevel="2" x14ac:dyDescent="0.25">
      <c r="B841" s="2948" t="s">
        <v>2035</v>
      </c>
      <c r="C841" s="852"/>
      <c r="D841" s="852"/>
      <c r="E841" s="852"/>
      <c r="F841" s="852"/>
      <c r="G841" s="869"/>
      <c r="H841" s="869"/>
      <c r="I841" s="869"/>
      <c r="J841" s="869"/>
      <c r="K841" s="869"/>
      <c r="L841" s="869"/>
      <c r="M841" s="869"/>
    </row>
    <row r="842" spans="1:17" hidden="1" outlineLevel="2" x14ac:dyDescent="0.25">
      <c r="A842" s="853"/>
      <c r="B842" s="853"/>
      <c r="C842" s="865"/>
    </row>
    <row r="843" spans="1:17" hidden="1" outlineLevel="2" x14ac:dyDescent="0.25">
      <c r="C843" s="863" t="s">
        <v>507</v>
      </c>
      <c r="D843" s="863"/>
      <c r="E843" s="863"/>
      <c r="F843" s="866">
        <v>2015</v>
      </c>
      <c r="G843" s="866">
        <v>2020</v>
      </c>
      <c r="H843" s="866">
        <v>2025</v>
      </c>
      <c r="I843" s="866">
        <v>2030</v>
      </c>
      <c r="J843" s="866">
        <v>2035</v>
      </c>
      <c r="K843" s="866">
        <v>2040</v>
      </c>
      <c r="L843" s="866">
        <v>2045</v>
      </c>
      <c r="M843" s="866">
        <v>2050</v>
      </c>
    </row>
    <row r="844" spans="1:17" hidden="1" outlineLevel="2" x14ac:dyDescent="0.25">
      <c r="C844" s="751">
        <v>1</v>
      </c>
      <c r="D844" s="751" t="s">
        <v>485</v>
      </c>
      <c r="E844" s="751" t="s">
        <v>171</v>
      </c>
      <c r="F844" s="859">
        <f t="shared" ref="F844:M853" si="52">F679+F779</f>
        <v>0.15278042617804355</v>
      </c>
      <c r="G844" s="859">
        <f t="shared" si="52"/>
        <v>0.15278042617804355</v>
      </c>
      <c r="H844" s="859">
        <f t="shared" si="52"/>
        <v>0.15278042617804355</v>
      </c>
      <c r="I844" s="859">
        <f t="shared" si="52"/>
        <v>0.15278042617804355</v>
      </c>
      <c r="J844" s="859">
        <f t="shared" si="52"/>
        <v>0.15278042617804355</v>
      </c>
      <c r="K844" s="859">
        <f t="shared" si="52"/>
        <v>0.15278042617804355</v>
      </c>
      <c r="L844" s="859">
        <f t="shared" si="52"/>
        <v>0.15278042617804355</v>
      </c>
      <c r="M844" s="859">
        <f t="shared" si="52"/>
        <v>0.15278042617804355</v>
      </c>
      <c r="N844" s="859"/>
      <c r="O844" s="859"/>
      <c r="P844" s="859"/>
      <c r="Q844" s="859"/>
    </row>
    <row r="845" spans="1:17" hidden="1" outlineLevel="2" x14ac:dyDescent="0.25">
      <c r="C845" s="751">
        <v>2</v>
      </c>
      <c r="D845" s="751" t="s">
        <v>485</v>
      </c>
      <c r="E845" s="751" t="s">
        <v>171</v>
      </c>
      <c r="F845" s="859">
        <f t="shared" si="52"/>
        <v>0.25804350207545312</v>
      </c>
      <c r="G845" s="859">
        <f t="shared" si="52"/>
        <v>0.25804350207545312</v>
      </c>
      <c r="H845" s="859">
        <f t="shared" si="52"/>
        <v>0.25804350207545312</v>
      </c>
      <c r="I845" s="859">
        <f t="shared" si="52"/>
        <v>0.25804350207545312</v>
      </c>
      <c r="J845" s="859">
        <f t="shared" si="52"/>
        <v>0.25804350207545312</v>
      </c>
      <c r="K845" s="859">
        <f t="shared" si="52"/>
        <v>0.25804350207545312</v>
      </c>
      <c r="L845" s="859">
        <f t="shared" si="52"/>
        <v>0.25804350207545312</v>
      </c>
      <c r="M845" s="859">
        <f t="shared" si="52"/>
        <v>0.25804350207545312</v>
      </c>
      <c r="N845" s="859"/>
      <c r="O845" s="859"/>
      <c r="P845" s="859"/>
      <c r="Q845" s="859"/>
    </row>
    <row r="846" spans="1:17" hidden="1" outlineLevel="2" x14ac:dyDescent="0.25">
      <c r="C846" s="751">
        <v>3</v>
      </c>
      <c r="D846" s="751" t="s">
        <v>485</v>
      </c>
      <c r="E846" s="751" t="s">
        <v>171</v>
      </c>
      <c r="F846" s="859">
        <f t="shared" si="52"/>
        <v>0.15595709072401465</v>
      </c>
      <c r="G846" s="859">
        <f t="shared" si="52"/>
        <v>0.15595709072401465</v>
      </c>
      <c r="H846" s="859">
        <f t="shared" si="52"/>
        <v>0.15595709072401465</v>
      </c>
      <c r="I846" s="859">
        <f t="shared" si="52"/>
        <v>0.15595709072401465</v>
      </c>
      <c r="J846" s="859">
        <f t="shared" si="52"/>
        <v>0.15595709072401465</v>
      </c>
      <c r="K846" s="859">
        <f t="shared" si="52"/>
        <v>0.15595709072401465</v>
      </c>
      <c r="L846" s="859">
        <f t="shared" si="52"/>
        <v>0.15595709072401465</v>
      </c>
      <c r="M846" s="859">
        <f t="shared" si="52"/>
        <v>0.15595709072401465</v>
      </c>
      <c r="N846" s="859"/>
      <c r="O846" s="859"/>
      <c r="P846" s="859"/>
      <c r="Q846" s="859"/>
    </row>
    <row r="847" spans="1:17" hidden="1" outlineLevel="2" x14ac:dyDescent="0.25">
      <c r="C847" s="751">
        <v>4</v>
      </c>
      <c r="D847" s="751" t="s">
        <v>485</v>
      </c>
      <c r="E847" s="751" t="s">
        <v>171</v>
      </c>
      <c r="F847" s="859">
        <f t="shared" si="52"/>
        <v>0.32959669620428278</v>
      </c>
      <c r="G847" s="859">
        <f t="shared" si="52"/>
        <v>0.32959669620428278</v>
      </c>
      <c r="H847" s="859">
        <f t="shared" si="52"/>
        <v>0.32959669620428278</v>
      </c>
      <c r="I847" s="859">
        <f t="shared" si="52"/>
        <v>0.32959669620428278</v>
      </c>
      <c r="J847" s="859">
        <f t="shared" si="52"/>
        <v>0.32959669620428278</v>
      </c>
      <c r="K847" s="859">
        <f t="shared" si="52"/>
        <v>0.32959669620428278</v>
      </c>
      <c r="L847" s="859">
        <f t="shared" si="52"/>
        <v>0.32959669620428278</v>
      </c>
      <c r="M847" s="859">
        <f t="shared" si="52"/>
        <v>0.32959669620428278</v>
      </c>
      <c r="N847" s="859"/>
      <c r="O847" s="859"/>
      <c r="P847" s="859"/>
      <c r="Q847" s="859"/>
    </row>
    <row r="848" spans="1:17" hidden="1" outlineLevel="2" x14ac:dyDescent="0.25">
      <c r="C848" s="751">
        <v>5</v>
      </c>
      <c r="D848" s="751" t="s">
        <v>485</v>
      </c>
      <c r="E848" s="751" t="s">
        <v>171</v>
      </c>
      <c r="F848" s="859">
        <f t="shared" si="52"/>
        <v>1.2964717240961954</v>
      </c>
      <c r="G848" s="859">
        <f t="shared" si="52"/>
        <v>1.2964717240961954</v>
      </c>
      <c r="H848" s="859">
        <f t="shared" si="52"/>
        <v>1.2964717240961954</v>
      </c>
      <c r="I848" s="859">
        <f t="shared" si="52"/>
        <v>1.2964717240961954</v>
      </c>
      <c r="J848" s="859">
        <f t="shared" si="52"/>
        <v>1.2964717240961954</v>
      </c>
      <c r="K848" s="859">
        <f t="shared" si="52"/>
        <v>1.2964717240961954</v>
      </c>
      <c r="L848" s="859">
        <f t="shared" si="52"/>
        <v>1.2964717240961954</v>
      </c>
      <c r="M848" s="859">
        <f t="shared" si="52"/>
        <v>1.2964717240961954</v>
      </c>
      <c r="N848" s="859"/>
      <c r="O848" s="859"/>
      <c r="P848" s="859"/>
      <c r="Q848" s="859"/>
    </row>
    <row r="849" spans="3:17" hidden="1" outlineLevel="2" x14ac:dyDescent="0.25">
      <c r="C849" s="751">
        <v>6</v>
      </c>
      <c r="D849" s="751" t="s">
        <v>485</v>
      </c>
      <c r="E849" s="751" t="s">
        <v>171</v>
      </c>
      <c r="F849" s="859">
        <f t="shared" si="52"/>
        <v>0.84538466910907362</v>
      </c>
      <c r="G849" s="859">
        <f t="shared" si="52"/>
        <v>0.84538466910907362</v>
      </c>
      <c r="H849" s="859">
        <f t="shared" si="52"/>
        <v>0.84538466910907362</v>
      </c>
      <c r="I849" s="859">
        <f t="shared" si="52"/>
        <v>0.84538466910907362</v>
      </c>
      <c r="J849" s="859">
        <f t="shared" si="52"/>
        <v>0.84538466910907362</v>
      </c>
      <c r="K849" s="859">
        <f t="shared" si="52"/>
        <v>0.84538466910907362</v>
      </c>
      <c r="L849" s="859">
        <f t="shared" si="52"/>
        <v>0.84538466910907362</v>
      </c>
      <c r="M849" s="859">
        <f t="shared" si="52"/>
        <v>0.84538466910907362</v>
      </c>
      <c r="N849" s="859"/>
      <c r="O849" s="859"/>
      <c r="P849" s="859"/>
      <c r="Q849" s="859"/>
    </row>
    <row r="850" spans="3:17" hidden="1" outlineLevel="2" x14ac:dyDescent="0.25">
      <c r="C850" s="751">
        <v>7</v>
      </c>
      <c r="D850" s="751" t="s">
        <v>485</v>
      </c>
      <c r="E850" s="751" t="s">
        <v>171</v>
      </c>
      <c r="F850" s="859">
        <f t="shared" si="52"/>
        <v>0.97322789482458605</v>
      </c>
      <c r="G850" s="859">
        <f t="shared" si="52"/>
        <v>0.97322789482458605</v>
      </c>
      <c r="H850" s="859">
        <f t="shared" si="52"/>
        <v>0.97322789482458605</v>
      </c>
      <c r="I850" s="859">
        <f t="shared" si="52"/>
        <v>0.97322789482458605</v>
      </c>
      <c r="J850" s="859">
        <f t="shared" si="52"/>
        <v>0.97322789482458605</v>
      </c>
      <c r="K850" s="859">
        <f t="shared" si="52"/>
        <v>0.97322789482458605</v>
      </c>
      <c r="L850" s="859">
        <f t="shared" si="52"/>
        <v>0.97322789482458605</v>
      </c>
      <c r="M850" s="859">
        <f t="shared" si="52"/>
        <v>0.97322789482458605</v>
      </c>
      <c r="N850" s="859"/>
      <c r="O850" s="859"/>
      <c r="P850" s="859"/>
      <c r="Q850" s="859"/>
    </row>
    <row r="851" spans="3:17" hidden="1" outlineLevel="2" x14ac:dyDescent="0.25">
      <c r="C851" s="751">
        <v>8</v>
      </c>
      <c r="D851" s="751" t="s">
        <v>485</v>
      </c>
      <c r="E851" s="751" t="s">
        <v>171</v>
      </c>
      <c r="F851" s="859">
        <f t="shared" si="52"/>
        <v>2.3268553414644155</v>
      </c>
      <c r="G851" s="859">
        <f t="shared" si="52"/>
        <v>2.3268553414644155</v>
      </c>
      <c r="H851" s="859">
        <f t="shared" si="52"/>
        <v>2.3268553414644155</v>
      </c>
      <c r="I851" s="859">
        <f t="shared" si="52"/>
        <v>2.3268553414644155</v>
      </c>
      <c r="J851" s="859">
        <f t="shared" si="52"/>
        <v>2.3268553414644155</v>
      </c>
      <c r="K851" s="859">
        <f t="shared" si="52"/>
        <v>2.3268553414644155</v>
      </c>
      <c r="L851" s="859">
        <f t="shared" si="52"/>
        <v>2.3268553414644155</v>
      </c>
      <c r="M851" s="859">
        <f t="shared" si="52"/>
        <v>2.3268553414644155</v>
      </c>
      <c r="N851" s="859"/>
      <c r="O851" s="859"/>
      <c r="P851" s="859"/>
      <c r="Q851" s="859"/>
    </row>
    <row r="852" spans="3:17" hidden="1" outlineLevel="2" x14ac:dyDescent="0.25">
      <c r="C852" s="751">
        <v>9</v>
      </c>
      <c r="D852" s="751" t="s">
        <v>485</v>
      </c>
      <c r="E852" s="751" t="s">
        <v>171</v>
      </c>
      <c r="F852" s="859">
        <f t="shared" si="52"/>
        <v>1.2391952009844369</v>
      </c>
      <c r="G852" s="859">
        <f t="shared" si="52"/>
        <v>1.2391952009844369</v>
      </c>
      <c r="H852" s="859">
        <f t="shared" si="52"/>
        <v>1.2391952009844369</v>
      </c>
      <c r="I852" s="859">
        <f t="shared" si="52"/>
        <v>1.2391952009844369</v>
      </c>
      <c r="J852" s="859">
        <f t="shared" si="52"/>
        <v>1.2391952009844369</v>
      </c>
      <c r="K852" s="859">
        <f t="shared" si="52"/>
        <v>1.2391952009844369</v>
      </c>
      <c r="L852" s="859">
        <f t="shared" si="52"/>
        <v>1.2391952009844369</v>
      </c>
      <c r="M852" s="859">
        <f t="shared" si="52"/>
        <v>1.2391952009844369</v>
      </c>
      <c r="N852" s="859"/>
      <c r="O852" s="859"/>
      <c r="P852" s="859"/>
      <c r="Q852" s="859"/>
    </row>
    <row r="853" spans="3:17" hidden="1" outlineLevel="2" x14ac:dyDescent="0.25">
      <c r="C853" s="751">
        <v>10</v>
      </c>
      <c r="D853" s="751" t="s">
        <v>485</v>
      </c>
      <c r="E853" s="751" t="s">
        <v>171</v>
      </c>
      <c r="F853" s="859">
        <f t="shared" si="52"/>
        <v>2.1400778559714313</v>
      </c>
      <c r="G853" s="859">
        <f t="shared" si="52"/>
        <v>2.1400778559714313</v>
      </c>
      <c r="H853" s="859">
        <f t="shared" si="52"/>
        <v>2.1400778559714313</v>
      </c>
      <c r="I853" s="859">
        <f t="shared" si="52"/>
        <v>2.1400778559714313</v>
      </c>
      <c r="J853" s="859">
        <f t="shared" si="52"/>
        <v>2.1400778559714313</v>
      </c>
      <c r="K853" s="859">
        <f t="shared" si="52"/>
        <v>2.1400778559714313</v>
      </c>
      <c r="L853" s="859">
        <f t="shared" si="52"/>
        <v>2.1400778559714313</v>
      </c>
      <c r="M853" s="859">
        <f t="shared" si="52"/>
        <v>2.1400778559714313</v>
      </c>
      <c r="N853" s="859"/>
      <c r="O853" s="859"/>
      <c r="P853" s="859"/>
      <c r="Q853" s="859"/>
    </row>
    <row r="854" spans="3:17" hidden="1" outlineLevel="2" x14ac:dyDescent="0.25">
      <c r="C854" s="751">
        <v>11</v>
      </c>
      <c r="D854" s="751" t="s">
        <v>485</v>
      </c>
      <c r="E854" s="751" t="s">
        <v>171</v>
      </c>
      <c r="F854" s="859">
        <f t="shared" ref="F854:M863" si="53">F689+F789</f>
        <v>0.48032434907870314</v>
      </c>
      <c r="G854" s="859">
        <f t="shared" si="53"/>
        <v>0.48032434907870314</v>
      </c>
      <c r="H854" s="859">
        <f t="shared" si="53"/>
        <v>0.48032434907870314</v>
      </c>
      <c r="I854" s="859">
        <f t="shared" si="53"/>
        <v>0.48032434907870314</v>
      </c>
      <c r="J854" s="859">
        <f t="shared" si="53"/>
        <v>0.48032434907870314</v>
      </c>
      <c r="K854" s="859">
        <f t="shared" si="53"/>
        <v>0.48032434907870314</v>
      </c>
      <c r="L854" s="859">
        <f t="shared" si="53"/>
        <v>0.48032434907870314</v>
      </c>
      <c r="M854" s="859">
        <f t="shared" si="53"/>
        <v>0.48032434907870314</v>
      </c>
      <c r="N854" s="859"/>
      <c r="O854" s="859"/>
      <c r="P854" s="859"/>
      <c r="Q854" s="859"/>
    </row>
    <row r="855" spans="3:17" hidden="1" outlineLevel="2" x14ac:dyDescent="0.25">
      <c r="C855" s="751">
        <v>12</v>
      </c>
      <c r="D855" s="751" t="s">
        <v>485</v>
      </c>
      <c r="E855" s="751" t="s">
        <v>171</v>
      </c>
      <c r="F855" s="859">
        <f t="shared" si="53"/>
        <v>1.3389032077906176</v>
      </c>
      <c r="G855" s="859">
        <f t="shared" si="53"/>
        <v>1.3389032077906176</v>
      </c>
      <c r="H855" s="859">
        <f t="shared" si="53"/>
        <v>1.3389032077906176</v>
      </c>
      <c r="I855" s="859">
        <f t="shared" si="53"/>
        <v>1.3389032077906176</v>
      </c>
      <c r="J855" s="859">
        <f t="shared" si="53"/>
        <v>1.3389032077906176</v>
      </c>
      <c r="K855" s="859">
        <f t="shared" si="53"/>
        <v>1.3389032077906176</v>
      </c>
      <c r="L855" s="859">
        <f t="shared" si="53"/>
        <v>1.3389032077906176</v>
      </c>
      <c r="M855" s="859">
        <f t="shared" si="53"/>
        <v>1.3389032077906176</v>
      </c>
      <c r="N855" s="859"/>
      <c r="O855" s="859"/>
      <c r="P855" s="859"/>
      <c r="Q855" s="859"/>
    </row>
    <row r="856" spans="3:17" hidden="1" outlineLevel="2" x14ac:dyDescent="0.25">
      <c r="C856" s="751">
        <v>13</v>
      </c>
      <c r="D856" s="751" t="s">
        <v>485</v>
      </c>
      <c r="E856" s="751" t="s">
        <v>171</v>
      </c>
      <c r="F856" s="859">
        <f t="shared" si="53"/>
        <v>6.1600952803980036</v>
      </c>
      <c r="G856" s="859">
        <f t="shared" si="53"/>
        <v>6.1600952803980036</v>
      </c>
      <c r="H856" s="859">
        <f t="shared" si="53"/>
        <v>6.1600952803980036</v>
      </c>
      <c r="I856" s="859">
        <f t="shared" si="53"/>
        <v>6.1600952803980036</v>
      </c>
      <c r="J856" s="859">
        <f t="shared" si="53"/>
        <v>6.1600952803980036</v>
      </c>
      <c r="K856" s="859">
        <f t="shared" si="53"/>
        <v>6.1600952803980036</v>
      </c>
      <c r="L856" s="859">
        <f t="shared" si="53"/>
        <v>6.1600952803980036</v>
      </c>
      <c r="M856" s="859">
        <f t="shared" si="53"/>
        <v>6.1600952803980036</v>
      </c>
      <c r="N856" s="859"/>
      <c r="O856" s="859"/>
      <c r="P856" s="859"/>
      <c r="Q856" s="859"/>
    </row>
    <row r="857" spans="3:17" hidden="1" outlineLevel="2" x14ac:dyDescent="0.25">
      <c r="C857" s="751">
        <v>14</v>
      </c>
      <c r="D857" s="751" t="s">
        <v>485</v>
      </c>
      <c r="E857" s="751" t="s">
        <v>171</v>
      </c>
      <c r="F857" s="859">
        <f t="shared" si="53"/>
        <v>0.84209382818430423</v>
      </c>
      <c r="G857" s="859">
        <f t="shared" si="53"/>
        <v>0.84209382818430423</v>
      </c>
      <c r="H857" s="859">
        <f t="shared" si="53"/>
        <v>0.84209382818430423</v>
      </c>
      <c r="I857" s="859">
        <f t="shared" si="53"/>
        <v>0.84209382818430423</v>
      </c>
      <c r="J857" s="859">
        <f t="shared" si="53"/>
        <v>0.84209382818430423</v>
      </c>
      <c r="K857" s="859">
        <f t="shared" si="53"/>
        <v>0.84209382818430423</v>
      </c>
      <c r="L857" s="859">
        <f t="shared" si="53"/>
        <v>0.84209382818430423</v>
      </c>
      <c r="M857" s="859">
        <f t="shared" si="53"/>
        <v>0.84209382818430423</v>
      </c>
      <c r="N857" s="859"/>
      <c r="O857" s="859"/>
      <c r="P857" s="859"/>
      <c r="Q857" s="859"/>
    </row>
    <row r="858" spans="3:17" hidden="1" outlineLevel="2" x14ac:dyDescent="0.25">
      <c r="C858" s="751">
        <v>15</v>
      </c>
      <c r="D858" s="751" t="s">
        <v>485</v>
      </c>
      <c r="E858" s="751" t="s">
        <v>171</v>
      </c>
      <c r="F858" s="859">
        <f t="shared" si="53"/>
        <v>8.701222584977282E-2</v>
      </c>
      <c r="G858" s="859">
        <f t="shared" si="53"/>
        <v>8.701222584977282E-2</v>
      </c>
      <c r="H858" s="859">
        <f t="shared" si="53"/>
        <v>8.701222584977282E-2</v>
      </c>
      <c r="I858" s="859">
        <f t="shared" si="53"/>
        <v>8.701222584977282E-2</v>
      </c>
      <c r="J858" s="859">
        <f t="shared" si="53"/>
        <v>8.701222584977282E-2</v>
      </c>
      <c r="K858" s="859">
        <f t="shared" si="53"/>
        <v>8.701222584977282E-2</v>
      </c>
      <c r="L858" s="859">
        <f t="shared" si="53"/>
        <v>8.701222584977282E-2</v>
      </c>
      <c r="M858" s="859">
        <f t="shared" si="53"/>
        <v>8.701222584977282E-2</v>
      </c>
      <c r="N858" s="859"/>
      <c r="O858" s="859"/>
      <c r="P858" s="859"/>
      <c r="Q858" s="859"/>
    </row>
    <row r="859" spans="3:17" hidden="1" outlineLevel="2" x14ac:dyDescent="0.25">
      <c r="C859" s="751">
        <v>1</v>
      </c>
      <c r="D859" s="751" t="s">
        <v>487</v>
      </c>
      <c r="E859" s="751" t="s">
        <v>171</v>
      </c>
      <c r="F859" s="859">
        <f t="shared" si="53"/>
        <v>4.961092746565296E-2</v>
      </c>
      <c r="G859" s="859">
        <f t="shared" si="53"/>
        <v>4.961092746565296E-2</v>
      </c>
      <c r="H859" s="859">
        <f t="shared" si="53"/>
        <v>4.961092746565296E-2</v>
      </c>
      <c r="I859" s="859">
        <f t="shared" si="53"/>
        <v>4.961092746565296E-2</v>
      </c>
      <c r="J859" s="859">
        <f t="shared" si="53"/>
        <v>4.961092746565296E-2</v>
      </c>
      <c r="K859" s="859">
        <f t="shared" si="53"/>
        <v>4.961092746565296E-2</v>
      </c>
      <c r="L859" s="859">
        <f t="shared" si="53"/>
        <v>4.961092746565296E-2</v>
      </c>
      <c r="M859" s="859">
        <f t="shared" si="53"/>
        <v>4.961092746565296E-2</v>
      </c>
      <c r="N859" s="859"/>
      <c r="O859" s="859"/>
      <c r="P859" s="859"/>
      <c r="Q859" s="859"/>
    </row>
    <row r="860" spans="3:17" hidden="1" outlineLevel="2" x14ac:dyDescent="0.25">
      <c r="C860" s="751">
        <v>2</v>
      </c>
      <c r="D860" s="751" t="s">
        <v>487</v>
      </c>
      <c r="E860" s="751" t="s">
        <v>171</v>
      </c>
      <c r="F860" s="859">
        <f t="shared" si="53"/>
        <v>8.4424539046151381E-2</v>
      </c>
      <c r="G860" s="859">
        <f t="shared" si="53"/>
        <v>8.4424539046151381E-2</v>
      </c>
      <c r="H860" s="859">
        <f t="shared" si="53"/>
        <v>8.4424539046151381E-2</v>
      </c>
      <c r="I860" s="859">
        <f t="shared" si="53"/>
        <v>8.4424539046151381E-2</v>
      </c>
      <c r="J860" s="859">
        <f t="shared" si="53"/>
        <v>8.4424539046151381E-2</v>
      </c>
      <c r="K860" s="859">
        <f t="shared" si="53"/>
        <v>8.4424539046151381E-2</v>
      </c>
      <c r="L860" s="859">
        <f t="shared" si="53"/>
        <v>8.4424539046151381E-2</v>
      </c>
      <c r="M860" s="859">
        <f t="shared" si="53"/>
        <v>8.4424539046151381E-2</v>
      </c>
      <c r="N860" s="859"/>
      <c r="O860" s="859"/>
      <c r="P860" s="859"/>
      <c r="Q860" s="859"/>
    </row>
    <row r="861" spans="3:17" hidden="1" outlineLevel="2" x14ac:dyDescent="0.25">
      <c r="C861" s="751">
        <v>3</v>
      </c>
      <c r="D861" s="751" t="s">
        <v>487</v>
      </c>
      <c r="E861" s="751" t="s">
        <v>171</v>
      </c>
      <c r="F861" s="859">
        <f t="shared" si="53"/>
        <v>4.6427462575747952E-2</v>
      </c>
      <c r="G861" s="859">
        <f t="shared" si="53"/>
        <v>4.6427462575747952E-2</v>
      </c>
      <c r="H861" s="859">
        <f t="shared" si="53"/>
        <v>4.6427462575747952E-2</v>
      </c>
      <c r="I861" s="859">
        <f t="shared" si="53"/>
        <v>4.6427462575747952E-2</v>
      </c>
      <c r="J861" s="859">
        <f t="shared" si="53"/>
        <v>4.6427462575747952E-2</v>
      </c>
      <c r="K861" s="859">
        <f t="shared" si="53"/>
        <v>4.6427462575747952E-2</v>
      </c>
      <c r="L861" s="859">
        <f t="shared" si="53"/>
        <v>4.6427462575747952E-2</v>
      </c>
      <c r="M861" s="859">
        <f t="shared" si="53"/>
        <v>4.6427462575747952E-2</v>
      </c>
      <c r="N861" s="859"/>
      <c r="O861" s="859"/>
      <c r="P861" s="859"/>
      <c r="Q861" s="859"/>
    </row>
    <row r="862" spans="3:17" hidden="1" outlineLevel="2" x14ac:dyDescent="0.25">
      <c r="C862" s="751">
        <v>4</v>
      </c>
      <c r="D862" s="751" t="s">
        <v>487</v>
      </c>
      <c r="E862" s="751" t="s">
        <v>171</v>
      </c>
      <c r="F862" s="859">
        <f t="shared" si="53"/>
        <v>0.11392358283909432</v>
      </c>
      <c r="G862" s="859">
        <f t="shared" si="53"/>
        <v>0.11392358283909432</v>
      </c>
      <c r="H862" s="859">
        <f t="shared" si="53"/>
        <v>0.11392358283909432</v>
      </c>
      <c r="I862" s="859">
        <f t="shared" si="53"/>
        <v>0.11392358283909432</v>
      </c>
      <c r="J862" s="859">
        <f t="shared" si="53"/>
        <v>0.11392358283909432</v>
      </c>
      <c r="K862" s="859">
        <f t="shared" si="53"/>
        <v>0.11392358283909432</v>
      </c>
      <c r="L862" s="859">
        <f t="shared" si="53"/>
        <v>0.11392358283909432</v>
      </c>
      <c r="M862" s="859">
        <f t="shared" si="53"/>
        <v>0.11392358283909432</v>
      </c>
      <c r="N862" s="859"/>
      <c r="O862" s="859"/>
      <c r="P862" s="859"/>
      <c r="Q862" s="859"/>
    </row>
    <row r="863" spans="3:17" hidden="1" outlineLevel="2" x14ac:dyDescent="0.25">
      <c r="C863" s="751">
        <v>5</v>
      </c>
      <c r="D863" s="751" t="s">
        <v>487</v>
      </c>
      <c r="E863" s="751" t="s">
        <v>171</v>
      </c>
      <c r="F863" s="859">
        <f t="shared" si="53"/>
        <v>0.70625205326651175</v>
      </c>
      <c r="G863" s="859">
        <f t="shared" si="53"/>
        <v>0.70625205326651175</v>
      </c>
      <c r="H863" s="859">
        <f t="shared" si="53"/>
        <v>0.70625205326651175</v>
      </c>
      <c r="I863" s="859">
        <f t="shared" si="53"/>
        <v>0.70625205326651175</v>
      </c>
      <c r="J863" s="859">
        <f t="shared" si="53"/>
        <v>0.70625205326651175</v>
      </c>
      <c r="K863" s="859">
        <f t="shared" si="53"/>
        <v>0.70625205326651175</v>
      </c>
      <c r="L863" s="859">
        <f t="shared" si="53"/>
        <v>0.70625205326651175</v>
      </c>
      <c r="M863" s="859">
        <f t="shared" si="53"/>
        <v>0.70625205326651175</v>
      </c>
      <c r="N863" s="859"/>
      <c r="P863" s="859"/>
      <c r="Q863" s="859"/>
    </row>
    <row r="864" spans="3:17" hidden="1" outlineLevel="2" x14ac:dyDescent="0.25">
      <c r="C864" s="751">
        <v>6</v>
      </c>
      <c r="D864" s="751" t="s">
        <v>487</v>
      </c>
      <c r="E864" s="751" t="s">
        <v>171</v>
      </c>
      <c r="F864" s="859">
        <f t="shared" ref="F864:M873" si="54">F699+F799</f>
        <v>0.36287728007841302</v>
      </c>
      <c r="G864" s="859">
        <f t="shared" si="54"/>
        <v>0.36287728007841302</v>
      </c>
      <c r="H864" s="859">
        <f t="shared" si="54"/>
        <v>0.36287728007841302</v>
      </c>
      <c r="I864" s="859">
        <f t="shared" si="54"/>
        <v>0.36287728007841302</v>
      </c>
      <c r="J864" s="859">
        <f t="shared" si="54"/>
        <v>0.36287728007841302</v>
      </c>
      <c r="K864" s="859">
        <f t="shared" si="54"/>
        <v>0.36287728007841302</v>
      </c>
      <c r="L864" s="859">
        <f t="shared" si="54"/>
        <v>0.36287728007841302</v>
      </c>
      <c r="M864" s="859">
        <f t="shared" si="54"/>
        <v>0.36287728007841302</v>
      </c>
      <c r="N864" s="859"/>
      <c r="O864" s="859"/>
      <c r="P864" s="859"/>
      <c r="Q864" s="859"/>
    </row>
    <row r="865" spans="3:17" hidden="1" outlineLevel="2" x14ac:dyDescent="0.25">
      <c r="C865" s="751">
        <v>7</v>
      </c>
      <c r="D865" s="751" t="s">
        <v>487</v>
      </c>
      <c r="E865" s="751" t="s">
        <v>171</v>
      </c>
      <c r="F865" s="859">
        <f t="shared" si="54"/>
        <v>0.47725101622527899</v>
      </c>
      <c r="G865" s="859">
        <f t="shared" si="54"/>
        <v>0.47725101622527899</v>
      </c>
      <c r="H865" s="859">
        <f t="shared" si="54"/>
        <v>0.47725101622527899</v>
      </c>
      <c r="I865" s="859">
        <f t="shared" si="54"/>
        <v>0.47725101622527899</v>
      </c>
      <c r="J865" s="859">
        <f t="shared" si="54"/>
        <v>0.47725101622527899</v>
      </c>
      <c r="K865" s="859">
        <f t="shared" si="54"/>
        <v>0.47725101622527899</v>
      </c>
      <c r="L865" s="859">
        <f t="shared" si="54"/>
        <v>0.47725101622527899</v>
      </c>
      <c r="M865" s="859">
        <f t="shared" si="54"/>
        <v>0.47725101622527899</v>
      </c>
      <c r="N865" s="859"/>
      <c r="O865" s="859"/>
      <c r="P865" s="859"/>
      <c r="Q865" s="859"/>
    </row>
    <row r="866" spans="3:17" hidden="1" outlineLevel="2" x14ac:dyDescent="0.25">
      <c r="C866" s="751">
        <v>8</v>
      </c>
      <c r="D866" s="751" t="s">
        <v>487</v>
      </c>
      <c r="E866" s="751" t="s">
        <v>171</v>
      </c>
      <c r="F866" s="859">
        <f t="shared" si="54"/>
        <v>1.3063495070114834</v>
      </c>
      <c r="G866" s="859">
        <f t="shared" si="54"/>
        <v>1.3063495070114834</v>
      </c>
      <c r="H866" s="859">
        <f t="shared" si="54"/>
        <v>1.3063495070114834</v>
      </c>
      <c r="I866" s="859">
        <f t="shared" si="54"/>
        <v>1.3063495070114834</v>
      </c>
      <c r="J866" s="859">
        <f t="shared" si="54"/>
        <v>1.3063495070114834</v>
      </c>
      <c r="K866" s="859">
        <f t="shared" si="54"/>
        <v>1.3063495070114834</v>
      </c>
      <c r="L866" s="859">
        <f t="shared" si="54"/>
        <v>1.3063495070114834</v>
      </c>
      <c r="M866" s="859">
        <f t="shared" si="54"/>
        <v>1.3063495070114834</v>
      </c>
      <c r="N866" s="859"/>
      <c r="O866" s="859"/>
      <c r="P866" s="859"/>
      <c r="Q866" s="859"/>
    </row>
    <row r="867" spans="3:17" hidden="1" outlineLevel="2" x14ac:dyDescent="0.25">
      <c r="C867" s="751">
        <v>9</v>
      </c>
      <c r="D867" s="751" t="s">
        <v>487</v>
      </c>
      <c r="E867" s="751" t="s">
        <v>171</v>
      </c>
      <c r="F867" s="859">
        <f t="shared" si="54"/>
        <v>0.87472602422430845</v>
      </c>
      <c r="G867" s="859">
        <f t="shared" si="54"/>
        <v>0.87472602422430845</v>
      </c>
      <c r="H867" s="859">
        <f t="shared" si="54"/>
        <v>0.87472602422430845</v>
      </c>
      <c r="I867" s="859">
        <f t="shared" si="54"/>
        <v>0.87472602422430845</v>
      </c>
      <c r="J867" s="859">
        <f t="shared" si="54"/>
        <v>0.87472602422430845</v>
      </c>
      <c r="K867" s="859">
        <f t="shared" si="54"/>
        <v>0.87472602422430845</v>
      </c>
      <c r="L867" s="859">
        <f t="shared" si="54"/>
        <v>0.87472602422430845</v>
      </c>
      <c r="M867" s="859">
        <f t="shared" si="54"/>
        <v>0.87472602422430845</v>
      </c>
      <c r="N867" s="859"/>
      <c r="O867" s="859"/>
      <c r="P867" s="859"/>
      <c r="Q867" s="859"/>
    </row>
    <row r="868" spans="3:17" hidden="1" outlineLevel="2" x14ac:dyDescent="0.25">
      <c r="C868" s="751">
        <v>10</v>
      </c>
      <c r="D868" s="751" t="s">
        <v>487</v>
      </c>
      <c r="E868" s="751" t="s">
        <v>171</v>
      </c>
      <c r="F868" s="859">
        <f t="shared" si="54"/>
        <v>1.5106431924504227</v>
      </c>
      <c r="G868" s="859">
        <f t="shared" si="54"/>
        <v>1.5106431924504227</v>
      </c>
      <c r="H868" s="859">
        <f t="shared" si="54"/>
        <v>1.5106431924504227</v>
      </c>
      <c r="I868" s="859">
        <f t="shared" si="54"/>
        <v>1.5106431924504227</v>
      </c>
      <c r="J868" s="859">
        <f t="shared" si="54"/>
        <v>1.5106431924504227</v>
      </c>
      <c r="K868" s="859">
        <f t="shared" si="54"/>
        <v>1.5106431924504227</v>
      </c>
      <c r="L868" s="859">
        <f t="shared" si="54"/>
        <v>1.5106431924504227</v>
      </c>
      <c r="M868" s="859">
        <f t="shared" si="54"/>
        <v>1.5106431924504227</v>
      </c>
      <c r="N868" s="859"/>
      <c r="O868" s="859"/>
      <c r="P868" s="859"/>
      <c r="Q868" s="859"/>
    </row>
    <row r="869" spans="3:17" hidden="1" outlineLevel="2" x14ac:dyDescent="0.25">
      <c r="C869" s="751">
        <v>11</v>
      </c>
      <c r="D869" s="751" t="s">
        <v>487</v>
      </c>
      <c r="E869" s="751" t="s">
        <v>171</v>
      </c>
      <c r="F869" s="859">
        <f t="shared" si="54"/>
        <v>0.1952552384754459</v>
      </c>
      <c r="G869" s="859">
        <f t="shared" si="54"/>
        <v>0.1952552384754459</v>
      </c>
      <c r="H869" s="859">
        <f t="shared" si="54"/>
        <v>0.1952552384754459</v>
      </c>
      <c r="I869" s="859">
        <f t="shared" si="54"/>
        <v>0.1952552384754459</v>
      </c>
      <c r="J869" s="859">
        <f t="shared" si="54"/>
        <v>0.1952552384754459</v>
      </c>
      <c r="K869" s="859">
        <f t="shared" si="54"/>
        <v>0.1952552384754459</v>
      </c>
      <c r="L869" s="859">
        <f t="shared" si="54"/>
        <v>0.1952552384754459</v>
      </c>
      <c r="M869" s="859">
        <f t="shared" si="54"/>
        <v>0.1952552384754459</v>
      </c>
      <c r="N869" s="859"/>
      <c r="O869" s="859"/>
      <c r="P869" s="859"/>
      <c r="Q869" s="859"/>
    </row>
    <row r="870" spans="3:17" hidden="1" outlineLevel="2" x14ac:dyDescent="0.25">
      <c r="C870" s="751">
        <v>12</v>
      </c>
      <c r="D870" s="751" t="s">
        <v>487</v>
      </c>
      <c r="E870" s="751" t="s">
        <v>171</v>
      </c>
      <c r="F870" s="859">
        <f t="shared" si="54"/>
        <v>0.40370691471923181</v>
      </c>
      <c r="G870" s="859">
        <f t="shared" si="54"/>
        <v>0.40370691471923181</v>
      </c>
      <c r="H870" s="859">
        <f t="shared" si="54"/>
        <v>0.40370691471923181</v>
      </c>
      <c r="I870" s="859">
        <f t="shared" si="54"/>
        <v>0.40370691471923181</v>
      </c>
      <c r="J870" s="859">
        <f t="shared" si="54"/>
        <v>0.40370691471923181</v>
      </c>
      <c r="K870" s="859">
        <f t="shared" si="54"/>
        <v>0.40370691471923181</v>
      </c>
      <c r="L870" s="859">
        <f t="shared" si="54"/>
        <v>0.40370691471923181</v>
      </c>
      <c r="M870" s="859">
        <f t="shared" si="54"/>
        <v>0.40370691471923181</v>
      </c>
      <c r="N870" s="859"/>
      <c r="O870" s="859"/>
      <c r="P870" s="859"/>
      <c r="Q870" s="859"/>
    </row>
    <row r="871" spans="3:17" hidden="1" outlineLevel="2" x14ac:dyDescent="0.25">
      <c r="C871" s="751">
        <v>13</v>
      </c>
      <c r="D871" s="751" t="s">
        <v>487</v>
      </c>
      <c r="E871" s="751" t="s">
        <v>171</v>
      </c>
      <c r="F871" s="859">
        <f t="shared" si="54"/>
        <v>2.5830093075077958</v>
      </c>
      <c r="G871" s="859">
        <f t="shared" si="54"/>
        <v>2.5830093075077958</v>
      </c>
      <c r="H871" s="859">
        <f t="shared" si="54"/>
        <v>2.5830093075077958</v>
      </c>
      <c r="I871" s="859">
        <f t="shared" si="54"/>
        <v>2.5830093075077958</v>
      </c>
      <c r="J871" s="859">
        <f t="shared" si="54"/>
        <v>2.5830093075077958</v>
      </c>
      <c r="K871" s="859">
        <f t="shared" si="54"/>
        <v>2.5830093075077958</v>
      </c>
      <c r="L871" s="859">
        <f t="shared" si="54"/>
        <v>2.5830093075077958</v>
      </c>
      <c r="M871" s="859">
        <f t="shared" si="54"/>
        <v>2.5830093075077958</v>
      </c>
      <c r="N871" s="859"/>
      <c r="O871" s="859"/>
      <c r="P871" s="859"/>
      <c r="Q871" s="859"/>
    </row>
    <row r="872" spans="3:17" hidden="1" outlineLevel="2" x14ac:dyDescent="0.25">
      <c r="C872" s="751">
        <v>14</v>
      </c>
      <c r="D872" s="751" t="s">
        <v>487</v>
      </c>
      <c r="E872" s="751" t="s">
        <v>171</v>
      </c>
      <c r="F872" s="859">
        <f t="shared" si="54"/>
        <v>0.59441917283597956</v>
      </c>
      <c r="G872" s="859">
        <f t="shared" si="54"/>
        <v>0.59441917283597956</v>
      </c>
      <c r="H872" s="859">
        <f t="shared" si="54"/>
        <v>0.59441917283597956</v>
      </c>
      <c r="I872" s="859">
        <f t="shared" si="54"/>
        <v>0.59441917283597956</v>
      </c>
      <c r="J872" s="859">
        <f t="shared" si="54"/>
        <v>0.59441917283597956</v>
      </c>
      <c r="K872" s="859">
        <f t="shared" si="54"/>
        <v>0.59441917283597956</v>
      </c>
      <c r="L872" s="859">
        <f t="shared" si="54"/>
        <v>0.59441917283597956</v>
      </c>
      <c r="M872" s="859">
        <f t="shared" si="54"/>
        <v>0.59441917283597956</v>
      </c>
      <c r="N872" s="859"/>
      <c r="O872" s="859"/>
      <c r="P872" s="859"/>
      <c r="Q872" s="859"/>
    </row>
    <row r="873" spans="3:17" hidden="1" outlineLevel="2" x14ac:dyDescent="0.25">
      <c r="C873" s="751">
        <v>15</v>
      </c>
      <c r="D873" s="751" t="s">
        <v>487</v>
      </c>
      <c r="E873" s="751" t="s">
        <v>171</v>
      </c>
      <c r="F873" s="859">
        <f t="shared" si="54"/>
        <v>2.825464840782374E-2</v>
      </c>
      <c r="G873" s="859">
        <f t="shared" si="54"/>
        <v>2.825464840782374E-2</v>
      </c>
      <c r="H873" s="859">
        <f t="shared" si="54"/>
        <v>2.825464840782374E-2</v>
      </c>
      <c r="I873" s="859">
        <f t="shared" si="54"/>
        <v>2.825464840782374E-2</v>
      </c>
      <c r="J873" s="859">
        <f t="shared" si="54"/>
        <v>2.825464840782374E-2</v>
      </c>
      <c r="K873" s="859">
        <f t="shared" si="54"/>
        <v>2.825464840782374E-2</v>
      </c>
      <c r="L873" s="859">
        <f t="shared" si="54"/>
        <v>2.825464840782374E-2</v>
      </c>
      <c r="M873" s="859">
        <f t="shared" si="54"/>
        <v>2.825464840782374E-2</v>
      </c>
      <c r="N873" s="859"/>
      <c r="O873" s="859"/>
      <c r="P873" s="859"/>
      <c r="Q873" s="859"/>
    </row>
    <row r="874" spans="3:17" hidden="1" outlineLevel="2" x14ac:dyDescent="0.25">
      <c r="C874" s="751">
        <v>1</v>
      </c>
      <c r="D874" s="751" t="s">
        <v>484</v>
      </c>
      <c r="E874" s="751" t="s">
        <v>171</v>
      </c>
      <c r="F874" s="859">
        <f t="shared" ref="F874:M883" si="55">F709+F809</f>
        <v>0</v>
      </c>
      <c r="G874" s="859">
        <f t="shared" si="55"/>
        <v>8.2583860266080555E-3</v>
      </c>
      <c r="H874" s="859">
        <f t="shared" si="55"/>
        <v>2.5086043836625327E-2</v>
      </c>
      <c r="I874" s="859">
        <f t="shared" si="55"/>
        <v>4.4502467836808196E-2</v>
      </c>
      <c r="J874" s="859">
        <f t="shared" si="55"/>
        <v>7.0772885708137528E-2</v>
      </c>
      <c r="K874" s="859">
        <f t="shared" si="55"/>
        <v>0.10192674079684289</v>
      </c>
      <c r="L874" s="859">
        <f t="shared" si="55"/>
        <v>0.13918293034536705</v>
      </c>
      <c r="M874" s="859">
        <f t="shared" si="55"/>
        <v>0.17743840118599602</v>
      </c>
      <c r="N874" s="859"/>
      <c r="O874" s="859"/>
      <c r="P874" s="859"/>
      <c r="Q874" s="859"/>
    </row>
    <row r="875" spans="3:17" hidden="1" outlineLevel="2" x14ac:dyDescent="0.25">
      <c r="C875" s="751">
        <v>2</v>
      </c>
      <c r="D875" s="751" t="s">
        <v>484</v>
      </c>
      <c r="E875" s="751" t="s">
        <v>171</v>
      </c>
      <c r="F875" s="859">
        <f t="shared" si="55"/>
        <v>0</v>
      </c>
      <c r="G875" s="859">
        <f t="shared" si="55"/>
        <v>1.3861023040346865E-2</v>
      </c>
      <c r="H875" s="859">
        <f t="shared" si="55"/>
        <v>4.2211628970275972E-2</v>
      </c>
      <c r="I875" s="859">
        <f t="shared" si="55"/>
        <v>7.4921673592087179E-2</v>
      </c>
      <c r="J875" s="859">
        <f t="shared" si="55"/>
        <v>0.11922272813696067</v>
      </c>
      <c r="K875" s="859">
        <f t="shared" si="55"/>
        <v>0.17175612016930852</v>
      </c>
      <c r="L875" s="859">
        <f t="shared" si="55"/>
        <v>0.2345762693544563</v>
      </c>
      <c r="M875" s="859">
        <f t="shared" si="55"/>
        <v>0.29907107525794852</v>
      </c>
      <c r="N875" s="859"/>
      <c r="O875" s="859"/>
      <c r="P875" s="859"/>
      <c r="Q875" s="859"/>
    </row>
    <row r="876" spans="3:17" hidden="1" outlineLevel="2" x14ac:dyDescent="0.25">
      <c r="C876" s="751">
        <v>3</v>
      </c>
      <c r="D876" s="751" t="s">
        <v>484</v>
      </c>
      <c r="E876" s="751" t="s">
        <v>171</v>
      </c>
      <c r="F876" s="859">
        <f t="shared" si="55"/>
        <v>0</v>
      </c>
      <c r="G876" s="859">
        <f t="shared" si="55"/>
        <v>9.0270436106690555E-3</v>
      </c>
      <c r="H876" s="859">
        <f t="shared" si="55"/>
        <v>2.6693241398858591E-2</v>
      </c>
      <c r="I876" s="859">
        <f t="shared" si="55"/>
        <v>4.7093409185152424E-2</v>
      </c>
      <c r="J876" s="859">
        <f t="shared" si="55"/>
        <v>7.438868477010771E-2</v>
      </c>
      <c r="K876" s="859">
        <f t="shared" si="55"/>
        <v>0.10677829882401646</v>
      </c>
      <c r="L876" s="859">
        <f t="shared" si="55"/>
        <v>0.1455363710072744</v>
      </c>
      <c r="M876" s="859">
        <f t="shared" si="55"/>
        <v>0.18540674919333783</v>
      </c>
      <c r="N876" s="859"/>
      <c r="O876" s="859"/>
      <c r="P876" s="859"/>
      <c r="Q876" s="859"/>
    </row>
    <row r="877" spans="3:17" hidden="1" outlineLevel="2" x14ac:dyDescent="0.25">
      <c r="C877" s="751">
        <v>4</v>
      </c>
      <c r="D877" s="751" t="s">
        <v>484</v>
      </c>
      <c r="E877" s="751" t="s">
        <v>171</v>
      </c>
      <c r="F877" s="859">
        <f t="shared" si="55"/>
        <v>0</v>
      </c>
      <c r="G877" s="859">
        <f t="shared" si="55"/>
        <v>1.6879991908097136E-2</v>
      </c>
      <c r="H877" s="859">
        <f t="shared" si="55"/>
        <v>5.2423380875715908E-2</v>
      </c>
      <c r="I877" s="859">
        <f t="shared" si="55"/>
        <v>9.3415340931054247E-2</v>
      </c>
      <c r="J877" s="859">
        <f t="shared" si="55"/>
        <v>0.14935105969426193</v>
      </c>
      <c r="K877" s="859">
        <f t="shared" si="55"/>
        <v>0.2156552269977644</v>
      </c>
      <c r="L877" s="859">
        <f t="shared" si="55"/>
        <v>0.29491208024233506</v>
      </c>
      <c r="M877" s="859">
        <f t="shared" si="55"/>
        <v>0.37618635536444711</v>
      </c>
      <c r="N877" s="859"/>
      <c r="O877" s="859"/>
      <c r="P877" s="859"/>
      <c r="Q877" s="859"/>
    </row>
    <row r="878" spans="3:17" hidden="1" outlineLevel="2" x14ac:dyDescent="0.25">
      <c r="C878" s="751">
        <v>5</v>
      </c>
      <c r="D878" s="751" t="s">
        <v>484</v>
      </c>
      <c r="E878" s="751" t="s">
        <v>171</v>
      </c>
      <c r="F878" s="859">
        <f t="shared" si="55"/>
        <v>0</v>
      </c>
      <c r="G878" s="859">
        <f t="shared" si="55"/>
        <v>3.7080091381070934E-2</v>
      </c>
      <c r="H878" s="859">
        <f t="shared" si="55"/>
        <v>0.15391924639061361</v>
      </c>
      <c r="I878" s="859">
        <f t="shared" si="55"/>
        <v>0.2887097356270496</v>
      </c>
      <c r="J878" s="859">
        <f t="shared" si="55"/>
        <v>0.48702207566584677</v>
      </c>
      <c r="K878" s="859">
        <f t="shared" si="55"/>
        <v>0.72141803386983883</v>
      </c>
      <c r="L878" s="859">
        <f t="shared" si="55"/>
        <v>1.0008040972907049</v>
      </c>
      <c r="M878" s="859">
        <f t="shared" si="55"/>
        <v>1.2844563525570929</v>
      </c>
      <c r="N878" s="859"/>
      <c r="O878" s="859"/>
      <c r="P878" s="859"/>
      <c r="Q878" s="859"/>
    </row>
    <row r="879" spans="3:17" hidden="1" outlineLevel="2" x14ac:dyDescent="0.25">
      <c r="C879" s="751">
        <v>6</v>
      </c>
      <c r="D879" s="751" t="s">
        <v>484</v>
      </c>
      <c r="E879" s="751" t="s">
        <v>171</v>
      </c>
      <c r="F879" s="859">
        <f t="shared" si="55"/>
        <v>0</v>
      </c>
      <c r="G879" s="859">
        <f t="shared" si="55"/>
        <v>3.4516944371517422E-2</v>
      </c>
      <c r="H879" s="859">
        <f t="shared" si="55"/>
        <v>0.11868827353034683</v>
      </c>
      <c r="I879" s="859">
        <f t="shared" si="55"/>
        <v>0.21568287048957968</v>
      </c>
      <c r="J879" s="859">
        <f t="shared" si="55"/>
        <v>0.35245460586074073</v>
      </c>
      <c r="K879" s="859">
        <f t="shared" si="55"/>
        <v>0.51434113139082505</v>
      </c>
      <c r="L879" s="859">
        <f t="shared" si="55"/>
        <v>0.70757212987414153</v>
      </c>
      <c r="M879" s="859">
        <f t="shared" si="55"/>
        <v>0.90478877822767489</v>
      </c>
      <c r="N879" s="859"/>
      <c r="O879" s="859"/>
      <c r="P879" s="859"/>
      <c r="Q879" s="859"/>
    </row>
    <row r="880" spans="3:17" hidden="1" outlineLevel="2" x14ac:dyDescent="0.25">
      <c r="C880" s="751">
        <v>7</v>
      </c>
      <c r="D880" s="751" t="s">
        <v>484</v>
      </c>
      <c r="E880" s="751" t="s">
        <v>171</v>
      </c>
      <c r="F880" s="859">
        <f t="shared" si="55"/>
        <v>0</v>
      </c>
      <c r="G880" s="859">
        <f t="shared" si="55"/>
        <v>3.3172785039630392E-2</v>
      </c>
      <c r="H880" s="859">
        <f t="shared" si="55"/>
        <v>0.12496494734557406</v>
      </c>
      <c r="I880" s="859">
        <f t="shared" si="55"/>
        <v>0.2307746037884284</v>
      </c>
      <c r="J880" s="859">
        <f t="shared" si="55"/>
        <v>0.38342982788093205</v>
      </c>
      <c r="K880" s="859">
        <f t="shared" si="55"/>
        <v>0.56396814773678994</v>
      </c>
      <c r="L880" s="859">
        <f t="shared" si="55"/>
        <v>0.7792865994918261</v>
      </c>
      <c r="M880" s="859">
        <f t="shared" si="55"/>
        <v>0.99840107471940076</v>
      </c>
      <c r="N880" s="859"/>
      <c r="O880" s="859"/>
      <c r="P880" s="859"/>
      <c r="Q880" s="859"/>
    </row>
    <row r="881" spans="3:17" hidden="1" outlineLevel="2" x14ac:dyDescent="0.25">
      <c r="C881" s="751">
        <v>8</v>
      </c>
      <c r="D881" s="751" t="s">
        <v>484</v>
      </c>
      <c r="E881" s="751" t="s">
        <v>171</v>
      </c>
      <c r="F881" s="859">
        <f t="shared" si="55"/>
        <v>0</v>
      </c>
      <c r="G881" s="859">
        <f t="shared" si="55"/>
        <v>6.2839879458551184E-2</v>
      </c>
      <c r="H881" s="859">
        <f t="shared" si="55"/>
        <v>0.26972730800322875</v>
      </c>
      <c r="I881" s="859">
        <f t="shared" si="55"/>
        <v>0.50848128992334107</v>
      </c>
      <c r="J881" s="859">
        <f t="shared" si="55"/>
        <v>0.86181735427421025</v>
      </c>
      <c r="K881" s="859">
        <f t="shared" si="55"/>
        <v>1.2793774315789554</v>
      </c>
      <c r="L881" s="859">
        <f t="shared" si="55"/>
        <v>1.7770043861724205</v>
      </c>
      <c r="M881" s="859">
        <f t="shared" si="55"/>
        <v>2.2818948826327436</v>
      </c>
      <c r="N881" s="859"/>
      <c r="O881" s="859"/>
      <c r="P881" s="859"/>
      <c r="Q881" s="859"/>
    </row>
    <row r="882" spans="3:17" hidden="1" outlineLevel="2" x14ac:dyDescent="0.25">
      <c r="C882" s="751">
        <v>9</v>
      </c>
      <c r="D882" s="751" t="s">
        <v>484</v>
      </c>
      <c r="E882" s="751" t="s">
        <v>171</v>
      </c>
      <c r="F882" s="859">
        <f t="shared" si="55"/>
        <v>0</v>
      </c>
      <c r="G882" s="859">
        <f t="shared" si="55"/>
        <v>1.8174715672258701E-2</v>
      </c>
      <c r="H882" s="859">
        <f t="shared" si="55"/>
        <v>0.11699288799044272</v>
      </c>
      <c r="I882" s="859">
        <f t="shared" si="55"/>
        <v>0.2315244153769529</v>
      </c>
      <c r="J882" s="859">
        <f t="shared" si="55"/>
        <v>0.40939000850920437</v>
      </c>
      <c r="K882" s="859">
        <f t="shared" si="55"/>
        <v>0.61936502540616156</v>
      </c>
      <c r="L882" s="859">
        <f t="shared" si="55"/>
        <v>0.86933544080831715</v>
      </c>
      <c r="M882" s="859">
        <f t="shared" si="55"/>
        <v>1.121697280631744</v>
      </c>
      <c r="N882" s="859"/>
      <c r="O882" s="859"/>
      <c r="P882" s="859"/>
      <c r="Q882" s="859"/>
    </row>
    <row r="883" spans="3:17" hidden="1" outlineLevel="2" x14ac:dyDescent="0.25">
      <c r="C883" s="751">
        <v>10</v>
      </c>
      <c r="D883" s="751" t="s">
        <v>484</v>
      </c>
      <c r="E883" s="751" t="s">
        <v>171</v>
      </c>
      <c r="F883" s="859">
        <f t="shared" si="55"/>
        <v>0</v>
      </c>
      <c r="G883" s="859">
        <f t="shared" si="55"/>
        <v>3.1387554210893676E-2</v>
      </c>
      <c r="H883" s="859">
        <f t="shared" si="55"/>
        <v>0.20204556045374611</v>
      </c>
      <c r="I883" s="859">
        <f t="shared" si="55"/>
        <v>0.3998403754883264</v>
      </c>
      <c r="J883" s="859">
        <f t="shared" si="55"/>
        <v>0.70701249566694235</v>
      </c>
      <c r="K883" s="859">
        <f t="shared" si="55"/>
        <v>1.0696372731123556</v>
      </c>
      <c r="L883" s="859">
        <f t="shared" si="55"/>
        <v>1.501333708205999</v>
      </c>
      <c r="M883" s="859">
        <f t="shared" si="55"/>
        <v>1.9371601096230489</v>
      </c>
      <c r="N883" s="859"/>
      <c r="O883" s="859"/>
      <c r="P883" s="859"/>
      <c r="Q883" s="859"/>
    </row>
    <row r="884" spans="3:17" hidden="1" outlineLevel="2" x14ac:dyDescent="0.25">
      <c r="C884" s="751">
        <v>11</v>
      </c>
      <c r="D884" s="751" t="s">
        <v>484</v>
      </c>
      <c r="E884" s="751" t="s">
        <v>171</v>
      </c>
      <c r="F884" s="859">
        <f t="shared" ref="F884:M893" si="56">F719+F819</f>
        <v>0</v>
      </c>
      <c r="G884" s="859">
        <f t="shared" si="56"/>
        <v>2.0899985033500768E-2</v>
      </c>
      <c r="H884" s="859">
        <f t="shared" si="56"/>
        <v>6.9739520021402823E-2</v>
      </c>
      <c r="I884" s="859">
        <f t="shared" si="56"/>
        <v>0.12602343601602828</v>
      </c>
      <c r="J884" s="859">
        <f t="shared" si="56"/>
        <v>0.20469769320300424</v>
      </c>
      <c r="K884" s="859">
        <f t="shared" si="56"/>
        <v>0.29785164513879969</v>
      </c>
      <c r="L884" s="859">
        <f t="shared" si="56"/>
        <v>0.40908118536545923</v>
      </c>
      <c r="M884" s="859">
        <f t="shared" si="56"/>
        <v>0.52274087177470541</v>
      </c>
      <c r="N884" s="859"/>
      <c r="O884" s="859"/>
      <c r="P884" s="859"/>
      <c r="Q884" s="859"/>
    </row>
    <row r="885" spans="3:17" hidden="1" outlineLevel="2" x14ac:dyDescent="0.25">
      <c r="C885" s="751">
        <v>12</v>
      </c>
      <c r="D885" s="751" t="s">
        <v>484</v>
      </c>
      <c r="E885" s="751" t="s">
        <v>171</v>
      </c>
      <c r="F885" s="859">
        <f t="shared" si="56"/>
        <v>0</v>
      </c>
      <c r="G885" s="859">
        <f t="shared" si="56"/>
        <v>7.675696938291332E-2</v>
      </c>
      <c r="H885" s="859">
        <f t="shared" si="56"/>
        <v>0.22781342623302714</v>
      </c>
      <c r="I885" s="859">
        <f t="shared" si="56"/>
        <v>0.4022250314595579</v>
      </c>
      <c r="J885" s="859">
        <f t="shared" si="56"/>
        <v>0.63595807023304363</v>
      </c>
      <c r="K885" s="859">
        <f t="shared" si="56"/>
        <v>0.91328875746483695</v>
      </c>
      <c r="L885" s="859">
        <f t="shared" si="56"/>
        <v>1.2451178100102498</v>
      </c>
      <c r="M885" s="859">
        <f t="shared" si="56"/>
        <v>1.5863790913606344</v>
      </c>
      <c r="N885" s="859"/>
      <c r="O885" s="859"/>
      <c r="P885" s="859"/>
      <c r="Q885" s="859"/>
    </row>
    <row r="886" spans="3:17" hidden="1" outlineLevel="2" x14ac:dyDescent="0.25">
      <c r="C886" s="751">
        <v>13</v>
      </c>
      <c r="D886" s="751" t="s">
        <v>484</v>
      </c>
      <c r="E886" s="751" t="s">
        <v>171</v>
      </c>
      <c r="F886" s="859">
        <f t="shared" si="56"/>
        <v>0</v>
      </c>
      <c r="G886" s="859">
        <f t="shared" si="56"/>
        <v>0.25865780078352696</v>
      </c>
      <c r="H886" s="859">
        <f t="shared" si="56"/>
        <v>0.87761056260099934</v>
      </c>
      <c r="I886" s="859">
        <f t="shared" si="56"/>
        <v>1.5908707400178379</v>
      </c>
      <c r="J886" s="859">
        <f t="shared" si="56"/>
        <v>2.592815563049566</v>
      </c>
      <c r="K886" s="859">
        <f t="shared" si="56"/>
        <v>3.7789228174795468</v>
      </c>
      <c r="L886" s="859">
        <f t="shared" si="56"/>
        <v>5.1948967125136534</v>
      </c>
      <c r="M886" s="859">
        <f t="shared" si="56"/>
        <v>6.6408216581225101</v>
      </c>
      <c r="N886" s="859"/>
      <c r="O886" s="859"/>
      <c r="P886" s="859"/>
      <c r="Q886" s="859"/>
    </row>
    <row r="887" spans="3:17" hidden="1" outlineLevel="2" x14ac:dyDescent="0.25">
      <c r="C887" s="751">
        <v>14</v>
      </c>
      <c r="D887" s="751" t="s">
        <v>484</v>
      </c>
      <c r="E887" s="751" t="s">
        <v>171</v>
      </c>
      <c r="F887" s="859">
        <f t="shared" si="56"/>
        <v>0</v>
      </c>
      <c r="G887" s="859">
        <f t="shared" si="56"/>
        <v>1.2350609399112589E-2</v>
      </c>
      <c r="H887" s="859">
        <f t="shared" si="56"/>
        <v>7.9502397071860798E-2</v>
      </c>
      <c r="I887" s="859">
        <f t="shared" si="56"/>
        <v>0.15733217906914709</v>
      </c>
      <c r="J887" s="859">
        <f t="shared" si="56"/>
        <v>0.27820056050253417</v>
      </c>
      <c r="K887" s="859">
        <f t="shared" si="56"/>
        <v>0.42088886793089975</v>
      </c>
      <c r="L887" s="859">
        <f t="shared" si="56"/>
        <v>0.59075600740303313</v>
      </c>
      <c r="M887" s="859">
        <f t="shared" si="56"/>
        <v>0.76224823688852594</v>
      </c>
      <c r="N887" s="859"/>
      <c r="O887" s="859"/>
      <c r="P887" s="859"/>
      <c r="Q887" s="859"/>
    </row>
    <row r="888" spans="3:17" hidden="1" outlineLevel="2" x14ac:dyDescent="0.25">
      <c r="C888" s="751">
        <v>15</v>
      </c>
      <c r="D888" s="751" t="s">
        <v>484</v>
      </c>
      <c r="E888" s="751" t="s">
        <v>171</v>
      </c>
      <c r="F888" s="859">
        <f t="shared" si="56"/>
        <v>0</v>
      </c>
      <c r="G888" s="859">
        <f t="shared" si="56"/>
        <v>4.7033547953611865E-3</v>
      </c>
      <c r="H888" s="859">
        <f t="shared" si="56"/>
        <v>1.4287121502371075E-2</v>
      </c>
      <c r="I888" s="859">
        <f t="shared" si="56"/>
        <v>2.5345254488137389E-2</v>
      </c>
      <c r="J888" s="859">
        <f t="shared" si="56"/>
        <v>4.0306906253162536E-2</v>
      </c>
      <c r="K888" s="859">
        <f t="shared" si="56"/>
        <v>5.8049796117277161E-2</v>
      </c>
      <c r="L888" s="859">
        <f t="shared" si="56"/>
        <v>7.9268116162544908E-2</v>
      </c>
      <c r="M888" s="859">
        <f t="shared" si="56"/>
        <v>0.10105555158241401</v>
      </c>
      <c r="N888" s="859"/>
      <c r="O888" s="859"/>
      <c r="P888" s="859"/>
      <c r="Q888" s="859"/>
    </row>
    <row r="889" spans="3:17" hidden="1" outlineLevel="2" x14ac:dyDescent="0.25">
      <c r="C889" s="751">
        <v>1</v>
      </c>
      <c r="D889" s="751" t="s">
        <v>486</v>
      </c>
      <c r="E889" s="751" t="s">
        <v>171</v>
      </c>
      <c r="F889" s="859">
        <f t="shared" si="56"/>
        <v>0</v>
      </c>
      <c r="G889" s="859">
        <f t="shared" si="56"/>
        <v>1.5435958032018415E-2</v>
      </c>
      <c r="H889" s="859">
        <f t="shared" si="56"/>
        <v>3.2211317359067931E-2</v>
      </c>
      <c r="I889" s="859">
        <f t="shared" si="56"/>
        <v>5.2778426766201592E-2</v>
      </c>
      <c r="J889" s="859">
        <f t="shared" si="56"/>
        <v>7.3261804554384247E-2</v>
      </c>
      <c r="K889" s="859">
        <f t="shared" si="56"/>
        <v>9.8393978199838389E-2</v>
      </c>
      <c r="L889" s="859">
        <f t="shared" si="56"/>
        <v>0.12946796046142031</v>
      </c>
      <c r="M889" s="859">
        <f t="shared" si="56"/>
        <v>0.1638806542105897</v>
      </c>
      <c r="N889" s="859"/>
      <c r="O889" s="859"/>
      <c r="P889" s="859"/>
      <c r="Q889" s="859"/>
    </row>
    <row r="890" spans="3:17" hidden="1" outlineLevel="2" x14ac:dyDescent="0.25">
      <c r="C890" s="751">
        <v>2</v>
      </c>
      <c r="D890" s="751" t="s">
        <v>486</v>
      </c>
      <c r="E890" s="751" t="s">
        <v>171</v>
      </c>
      <c r="F890" s="859">
        <f t="shared" si="56"/>
        <v>0</v>
      </c>
      <c r="G890" s="859">
        <f t="shared" si="56"/>
        <v>2.6232367558268077E-2</v>
      </c>
      <c r="H890" s="859">
        <f t="shared" si="56"/>
        <v>5.4741697823866176E-2</v>
      </c>
      <c r="I890" s="859">
        <f t="shared" si="56"/>
        <v>8.9688112416365762E-2</v>
      </c>
      <c r="J890" s="859">
        <f t="shared" si="56"/>
        <v>0.12449953242265782</v>
      </c>
      <c r="K890" s="859">
        <f t="shared" si="56"/>
        <v>0.16720818337321813</v>
      </c>
      <c r="L890" s="859">
        <f t="shared" si="56"/>
        <v>0.22001006876621859</v>
      </c>
      <c r="M890" s="859">
        <f t="shared" si="56"/>
        <v>0.27847764999504682</v>
      </c>
      <c r="N890" s="859"/>
      <c r="O890" s="859"/>
      <c r="P890" s="859"/>
      <c r="Q890" s="859"/>
    </row>
    <row r="891" spans="3:17" hidden="1" outlineLevel="2" x14ac:dyDescent="0.25">
      <c r="C891" s="751">
        <v>3</v>
      </c>
      <c r="D891" s="751" t="s">
        <v>486</v>
      </c>
      <c r="E891" s="751" t="s">
        <v>171</v>
      </c>
      <c r="F891" s="859">
        <f t="shared" si="56"/>
        <v>0</v>
      </c>
      <c r="G891" s="859">
        <f t="shared" si="56"/>
        <v>1.4666504318646634E-2</v>
      </c>
      <c r="H891" s="859">
        <f t="shared" si="56"/>
        <v>3.0602194607069338E-2</v>
      </c>
      <c r="I891" s="859">
        <f t="shared" si="56"/>
        <v>5.0184216782465624E-2</v>
      </c>
      <c r="J891" s="859">
        <f t="shared" si="56"/>
        <v>6.9641165930769966E-2</v>
      </c>
      <c r="K891" s="859">
        <f t="shared" si="56"/>
        <v>9.3535689401998384E-2</v>
      </c>
      <c r="L891" s="859">
        <f t="shared" si="56"/>
        <v>0.12310549313694688</v>
      </c>
      <c r="M891" s="859">
        <f t="shared" si="56"/>
        <v>0.1559008378923438</v>
      </c>
      <c r="N891" s="859"/>
      <c r="O891" s="859"/>
      <c r="P891" s="859"/>
      <c r="Q891" s="859"/>
    </row>
    <row r="892" spans="3:17" hidden="1" outlineLevel="2" x14ac:dyDescent="0.25">
      <c r="C892" s="751">
        <v>4</v>
      </c>
      <c r="D892" s="751" t="s">
        <v>486</v>
      </c>
      <c r="E892" s="751" t="s">
        <v>171</v>
      </c>
      <c r="F892" s="859">
        <f t="shared" si="56"/>
        <v>0</v>
      </c>
      <c r="G892" s="859">
        <f t="shared" si="56"/>
        <v>3.5043778052611829E-2</v>
      </c>
      <c r="H892" s="859">
        <f t="shared" si="56"/>
        <v>7.3138018702158358E-2</v>
      </c>
      <c r="I892" s="859">
        <f t="shared" si="56"/>
        <v>0.11976594741525265</v>
      </c>
      <c r="J892" s="859">
        <f t="shared" si="56"/>
        <v>0.16628646565982402</v>
      </c>
      <c r="K892" s="859">
        <f t="shared" si="56"/>
        <v>0.2233274646442367</v>
      </c>
      <c r="L892" s="859">
        <f t="shared" si="56"/>
        <v>0.29380930488976709</v>
      </c>
      <c r="M892" s="859">
        <f t="shared" si="56"/>
        <v>0.37177999777738979</v>
      </c>
      <c r="N892" s="859"/>
      <c r="O892" s="859"/>
      <c r="P892" s="859"/>
      <c r="Q892" s="859"/>
    </row>
    <row r="893" spans="3:17" hidden="1" outlineLevel="2" x14ac:dyDescent="0.25">
      <c r="C893" s="751">
        <v>5</v>
      </c>
      <c r="D893" s="751" t="s">
        <v>486</v>
      </c>
      <c r="E893" s="751" t="s">
        <v>171</v>
      </c>
      <c r="F893" s="859">
        <f t="shared" si="56"/>
        <v>0</v>
      </c>
      <c r="G893" s="859">
        <f t="shared" si="56"/>
        <v>0.19738262345784396</v>
      </c>
      <c r="H893" s="859">
        <f t="shared" si="56"/>
        <v>0.41305550614140052</v>
      </c>
      <c r="I893" s="859">
        <f t="shared" si="56"/>
        <v>0.67391419665589525</v>
      </c>
      <c r="J893" s="859">
        <f t="shared" si="56"/>
        <v>0.93824483302657113</v>
      </c>
      <c r="K893" s="859">
        <f t="shared" si="56"/>
        <v>1.2608161861716165</v>
      </c>
      <c r="L893" s="859">
        <f t="shared" si="56"/>
        <v>1.6575778797161602</v>
      </c>
      <c r="M893" s="859">
        <f t="shared" si="56"/>
        <v>2.0929991345637675</v>
      </c>
      <c r="N893" s="859"/>
      <c r="O893" s="859"/>
      <c r="P893" s="859"/>
      <c r="Q893" s="859"/>
    </row>
    <row r="894" spans="3:17" hidden="1" outlineLevel="2" x14ac:dyDescent="0.25">
      <c r="C894" s="751">
        <v>6</v>
      </c>
      <c r="D894" s="751" t="s">
        <v>486</v>
      </c>
      <c r="E894" s="751" t="s">
        <v>171</v>
      </c>
      <c r="F894" s="859">
        <f t="shared" ref="F894:M903" si="57">F729+F829</f>
        <v>0</v>
      </c>
      <c r="G894" s="859">
        <f t="shared" si="57"/>
        <v>0.10693660006890027</v>
      </c>
      <c r="H894" s="859">
        <f t="shared" si="57"/>
        <v>0.22337288706392122</v>
      </c>
      <c r="I894" s="859">
        <f t="shared" si="57"/>
        <v>0.36507713341188053</v>
      </c>
      <c r="J894" s="859">
        <f t="shared" si="57"/>
        <v>0.50742222422157357</v>
      </c>
      <c r="K894" s="859">
        <f t="shared" si="57"/>
        <v>0.68155927660621018</v>
      </c>
      <c r="L894" s="859">
        <f t="shared" si="57"/>
        <v>0.89625453136066868</v>
      </c>
      <c r="M894" s="859">
        <f t="shared" si="57"/>
        <v>1.1328616438073114</v>
      </c>
      <c r="N894" s="859"/>
      <c r="O894" s="859"/>
      <c r="P894" s="859"/>
      <c r="Q894" s="859"/>
    </row>
    <row r="895" spans="3:17" hidden="1" outlineLevel="2" x14ac:dyDescent="0.25">
      <c r="C895" s="751">
        <v>7</v>
      </c>
      <c r="D895" s="751" t="s">
        <v>486</v>
      </c>
      <c r="E895" s="751" t="s">
        <v>171</v>
      </c>
      <c r="F895" s="859">
        <f t="shared" si="57"/>
        <v>0</v>
      </c>
      <c r="G895" s="859">
        <f t="shared" si="57"/>
        <v>0.13663756381895475</v>
      </c>
      <c r="H895" s="859">
        <f t="shared" si="57"/>
        <v>0.28566827673706174</v>
      </c>
      <c r="I895" s="859">
        <f t="shared" si="57"/>
        <v>0.46640876659477093</v>
      </c>
      <c r="J895" s="859">
        <f t="shared" si="57"/>
        <v>0.64882415394273263</v>
      </c>
      <c r="K895" s="859">
        <f t="shared" si="57"/>
        <v>0.87167113783543715</v>
      </c>
      <c r="L895" s="859">
        <f t="shared" si="57"/>
        <v>1.146054797433711</v>
      </c>
      <c r="M895" s="859">
        <f t="shared" si="57"/>
        <v>1.4477315434939928</v>
      </c>
      <c r="N895" s="859"/>
      <c r="O895" s="859"/>
      <c r="P895" s="859"/>
      <c r="Q895" s="859"/>
    </row>
    <row r="896" spans="3:17" hidden="1" outlineLevel="2" x14ac:dyDescent="0.25">
      <c r="C896" s="751">
        <v>8</v>
      </c>
      <c r="D896" s="751" t="s">
        <v>486</v>
      </c>
      <c r="E896" s="751" t="s">
        <v>171</v>
      </c>
      <c r="F896" s="859">
        <f t="shared" si="57"/>
        <v>0</v>
      </c>
      <c r="G896" s="859">
        <f t="shared" si="57"/>
        <v>0.36250638245148181</v>
      </c>
      <c r="H896" s="859">
        <f t="shared" si="57"/>
        <v>0.75883960828683028</v>
      </c>
      <c r="I896" s="859">
        <f t="shared" si="57"/>
        <v>1.2378453765702804</v>
      </c>
      <c r="J896" s="859">
        <f t="shared" si="57"/>
        <v>1.7238046379171394</v>
      </c>
      <c r="K896" s="859">
        <f t="shared" si="57"/>
        <v>2.3166566598289231</v>
      </c>
      <c r="L896" s="859">
        <f t="shared" si="57"/>
        <v>3.0456508382445202</v>
      </c>
      <c r="M896" s="859">
        <f t="shared" si="57"/>
        <v>3.8452544477048241</v>
      </c>
      <c r="N896" s="859"/>
      <c r="O896" s="859"/>
      <c r="P896" s="859"/>
      <c r="Q896" s="859"/>
    </row>
    <row r="897" spans="3:17" hidden="1" outlineLevel="2" x14ac:dyDescent="0.25">
      <c r="C897" s="751">
        <v>9</v>
      </c>
      <c r="D897" s="751" t="s">
        <v>486</v>
      </c>
      <c r="E897" s="751" t="s">
        <v>171</v>
      </c>
      <c r="F897" s="859">
        <f t="shared" si="57"/>
        <v>0</v>
      </c>
      <c r="G897" s="859">
        <f t="shared" si="57"/>
        <v>0.22930609771815669</v>
      </c>
      <c r="H897" s="859">
        <f t="shared" si="57"/>
        <v>0.48146206475056985</v>
      </c>
      <c r="I897" s="859">
        <f t="shared" si="57"/>
        <v>0.78454738910648936</v>
      </c>
      <c r="J897" s="859">
        <f t="shared" si="57"/>
        <v>1.0950121481577051</v>
      </c>
      <c r="K897" s="859">
        <f t="shared" si="57"/>
        <v>1.4729289985848679</v>
      </c>
      <c r="L897" s="859">
        <f t="shared" si="57"/>
        <v>1.9366481648326961</v>
      </c>
      <c r="M897" s="859">
        <f t="shared" si="57"/>
        <v>2.4432850310200553</v>
      </c>
      <c r="N897" s="859"/>
      <c r="O897" s="859"/>
      <c r="P897" s="859"/>
      <c r="Q897" s="859"/>
    </row>
    <row r="898" spans="3:17" hidden="1" outlineLevel="2" x14ac:dyDescent="0.25">
      <c r="C898" s="751">
        <v>10</v>
      </c>
      <c r="D898" s="751" t="s">
        <v>486</v>
      </c>
      <c r="E898" s="751" t="s">
        <v>171</v>
      </c>
      <c r="F898" s="859">
        <f t="shared" si="57"/>
        <v>0</v>
      </c>
      <c r="G898" s="859">
        <f t="shared" si="57"/>
        <v>0.39600936283162014</v>
      </c>
      <c r="H898" s="859">
        <f t="shared" si="57"/>
        <v>0.83148022397475296</v>
      </c>
      <c r="I898" s="859">
        <f t="shared" si="57"/>
        <v>1.3549055815041746</v>
      </c>
      <c r="J898" s="859">
        <f t="shared" si="57"/>
        <v>1.891075149766857</v>
      </c>
      <c r="K898" s="859">
        <f t="shared" si="57"/>
        <v>2.5437338127080436</v>
      </c>
      <c r="L898" s="859">
        <f t="shared" si="57"/>
        <v>3.3445722264528177</v>
      </c>
      <c r="M898" s="859">
        <f t="shared" si="57"/>
        <v>4.2195290835202002</v>
      </c>
      <c r="N898" s="859"/>
      <c r="O898" s="859"/>
      <c r="P898" s="859"/>
      <c r="Q898" s="859"/>
    </row>
    <row r="899" spans="3:17" hidden="1" outlineLevel="2" x14ac:dyDescent="0.25">
      <c r="C899" s="751">
        <v>11</v>
      </c>
      <c r="D899" s="751" t="s">
        <v>486</v>
      </c>
      <c r="E899" s="751" t="s">
        <v>171</v>
      </c>
      <c r="F899" s="859">
        <f t="shared" si="57"/>
        <v>0</v>
      </c>
      <c r="G899" s="859">
        <f t="shared" si="57"/>
        <v>5.8191413380057511E-2</v>
      </c>
      <c r="H899" s="859">
        <f t="shared" si="57"/>
        <v>0.12151829286260685</v>
      </c>
      <c r="I899" s="859">
        <f t="shared" si="57"/>
        <v>0.19869886792438451</v>
      </c>
      <c r="J899" s="859">
        <f t="shared" si="57"/>
        <v>0.27608814517006075</v>
      </c>
      <c r="K899" s="859">
        <f t="shared" si="57"/>
        <v>0.37081619210773231</v>
      </c>
      <c r="L899" s="859">
        <f t="shared" si="57"/>
        <v>0.48767183663774549</v>
      </c>
      <c r="M899" s="859">
        <f t="shared" si="57"/>
        <v>0.61657749592167466</v>
      </c>
      <c r="N899" s="859"/>
      <c r="O899" s="859"/>
      <c r="P899" s="859"/>
      <c r="Q899" s="859"/>
    </row>
    <row r="900" spans="3:17" hidden="1" outlineLevel="2" x14ac:dyDescent="0.25">
      <c r="C900" s="751">
        <v>12</v>
      </c>
      <c r="D900" s="751" t="s">
        <v>486</v>
      </c>
      <c r="E900" s="751" t="s">
        <v>171</v>
      </c>
      <c r="F900" s="859">
        <f t="shared" si="57"/>
        <v>0</v>
      </c>
      <c r="G900" s="859">
        <f t="shared" si="57"/>
        <v>0.12725374085465591</v>
      </c>
      <c r="H900" s="859">
        <f t="shared" si="57"/>
        <v>0.2655226763975993</v>
      </c>
      <c r="I900" s="859">
        <f t="shared" si="57"/>
        <v>0.43537335705884561</v>
      </c>
      <c r="J900" s="859">
        <f t="shared" si="57"/>
        <v>0.60419525017960729</v>
      </c>
      <c r="K900" s="859">
        <f t="shared" si="57"/>
        <v>0.81149299030989064</v>
      </c>
      <c r="L900" s="859">
        <f t="shared" si="57"/>
        <v>1.0679936609736618</v>
      </c>
      <c r="M900" s="859">
        <f t="shared" si="57"/>
        <v>1.3524126615059029</v>
      </c>
      <c r="N900" s="859"/>
      <c r="O900" s="859"/>
      <c r="P900" s="859"/>
      <c r="Q900" s="859"/>
    </row>
    <row r="901" spans="3:17" hidden="1" outlineLevel="2" x14ac:dyDescent="0.25">
      <c r="C901" s="751">
        <v>13</v>
      </c>
      <c r="D901" s="751" t="s">
        <v>486</v>
      </c>
      <c r="E901" s="751" t="s">
        <v>171</v>
      </c>
      <c r="F901" s="859">
        <f t="shared" si="57"/>
        <v>0</v>
      </c>
      <c r="G901" s="859">
        <f t="shared" si="57"/>
        <v>0.76491422695782685</v>
      </c>
      <c r="H901" s="859">
        <f t="shared" si="57"/>
        <v>1.5975782857669003</v>
      </c>
      <c r="I901" s="859">
        <f t="shared" si="57"/>
        <v>2.6115668671563217</v>
      </c>
      <c r="J901" s="859">
        <f t="shared" si="57"/>
        <v>3.6293393787510642</v>
      </c>
      <c r="K901" s="859">
        <f t="shared" si="57"/>
        <v>4.8747324191754746</v>
      </c>
      <c r="L901" s="859">
        <f t="shared" si="57"/>
        <v>6.4105537855983581</v>
      </c>
      <c r="M901" s="859">
        <f t="shared" si="57"/>
        <v>8.1038210622929547</v>
      </c>
      <c r="N901" s="859"/>
      <c r="O901" s="859"/>
      <c r="P901" s="859"/>
      <c r="Q901" s="859"/>
    </row>
    <row r="902" spans="3:17" hidden="1" outlineLevel="2" x14ac:dyDescent="0.25">
      <c r="C902" s="751">
        <v>14</v>
      </c>
      <c r="D902" s="751" t="s">
        <v>486</v>
      </c>
      <c r="E902" s="751" t="s">
        <v>171</v>
      </c>
      <c r="F902" s="859">
        <f t="shared" si="57"/>
        <v>0</v>
      </c>
      <c r="G902" s="859">
        <f t="shared" si="57"/>
        <v>0.15582472357872845</v>
      </c>
      <c r="H902" s="859">
        <f t="shared" si="57"/>
        <v>0.32717705242018502</v>
      </c>
      <c r="I902" s="859">
        <f t="shared" si="57"/>
        <v>0.53313837380893903</v>
      </c>
      <c r="J902" s="859">
        <f t="shared" si="57"/>
        <v>0.74411438247816553</v>
      </c>
      <c r="K902" s="859">
        <f t="shared" si="57"/>
        <v>1.0009273906779621</v>
      </c>
      <c r="L902" s="859">
        <f t="shared" si="57"/>
        <v>1.3160472746138028</v>
      </c>
      <c r="M902" s="859">
        <f t="shared" si="57"/>
        <v>1.6603318375366469</v>
      </c>
      <c r="N902" s="859"/>
      <c r="O902" s="859"/>
      <c r="P902" s="859"/>
      <c r="Q902" s="859"/>
    </row>
    <row r="903" spans="3:17" s="852" customFormat="1" hidden="1" outlineLevel="2" x14ac:dyDescent="0.25">
      <c r="C903" s="863">
        <v>15</v>
      </c>
      <c r="D903" s="863" t="s">
        <v>486</v>
      </c>
      <c r="E903" s="863" t="s">
        <v>171</v>
      </c>
      <c r="F903" s="864">
        <f t="shared" si="57"/>
        <v>0</v>
      </c>
      <c r="G903" s="864">
        <f t="shared" si="57"/>
        <v>8.7911593133297855E-3</v>
      </c>
      <c r="H903" s="864">
        <f t="shared" si="57"/>
        <v>1.8345140742700203E-2</v>
      </c>
      <c r="I903" s="864">
        <f t="shared" si="57"/>
        <v>3.0058617485624023E-2</v>
      </c>
      <c r="J903" s="864">
        <f t="shared" si="57"/>
        <v>4.1724407003677577E-2</v>
      </c>
      <c r="K903" s="864">
        <f t="shared" si="57"/>
        <v>5.6037800571421381E-2</v>
      </c>
      <c r="L903" s="864">
        <f t="shared" si="57"/>
        <v>7.3735200887910107E-2</v>
      </c>
      <c r="M903" s="864">
        <f t="shared" si="57"/>
        <v>9.3334079851059043E-2</v>
      </c>
      <c r="N903" s="862"/>
      <c r="O903" s="862"/>
      <c r="P903" s="862"/>
      <c r="Q903" s="862"/>
    </row>
    <row r="904" spans="3:17" hidden="1" outlineLevel="2" x14ac:dyDescent="0.25"/>
    <row r="905" spans="3:17" hidden="1" outlineLevel="2" x14ac:dyDescent="0.25"/>
    <row r="906" spans="3:17" hidden="1" outlineLevel="2" x14ac:dyDescent="0.25">
      <c r="C906" s="865" t="s">
        <v>530</v>
      </c>
      <c r="M906" s="751" t="s">
        <v>171</v>
      </c>
    </row>
    <row r="907" spans="3:17" hidden="1" outlineLevel="2" x14ac:dyDescent="0.25">
      <c r="C907" s="863" t="s">
        <v>507</v>
      </c>
      <c r="D907" s="863"/>
      <c r="E907" s="863"/>
      <c r="F907" s="866">
        <v>2015</v>
      </c>
      <c r="G907" s="866">
        <v>2020</v>
      </c>
      <c r="H907" s="866">
        <v>2025</v>
      </c>
      <c r="I907" s="866">
        <v>2030</v>
      </c>
      <c r="J907" s="866">
        <v>2035</v>
      </c>
      <c r="K907" s="866">
        <v>2040</v>
      </c>
      <c r="L907" s="866">
        <v>2045</v>
      </c>
      <c r="M907" s="866">
        <v>2050</v>
      </c>
    </row>
    <row r="908" spans="3:17" hidden="1" outlineLevel="2" x14ac:dyDescent="0.25">
      <c r="C908" s="751">
        <v>1</v>
      </c>
      <c r="D908" s="751" t="s">
        <v>508</v>
      </c>
      <c r="E908" s="751" t="s">
        <v>171</v>
      </c>
      <c r="F908" s="859">
        <f t="shared" ref="F908:M922" si="58">F859+F889</f>
        <v>4.961092746565296E-2</v>
      </c>
      <c r="G908" s="859">
        <f t="shared" si="58"/>
        <v>6.5046885497671375E-2</v>
      </c>
      <c r="H908" s="859">
        <f t="shared" si="58"/>
        <v>8.1822244824720891E-2</v>
      </c>
      <c r="I908" s="859">
        <f t="shared" si="58"/>
        <v>0.10238935423185455</v>
      </c>
      <c r="J908" s="859">
        <f t="shared" si="58"/>
        <v>0.12287273202003721</v>
      </c>
      <c r="K908" s="859">
        <f t="shared" si="58"/>
        <v>0.14800490566549135</v>
      </c>
      <c r="L908" s="859">
        <f t="shared" si="58"/>
        <v>0.17907888792707327</v>
      </c>
      <c r="M908" s="859">
        <f t="shared" si="58"/>
        <v>0.21349158167624266</v>
      </c>
    </row>
    <row r="909" spans="3:17" hidden="1" outlineLevel="2" x14ac:dyDescent="0.25">
      <c r="C909" s="751">
        <v>2</v>
      </c>
      <c r="D909" s="751" t="s">
        <v>508</v>
      </c>
      <c r="E909" s="751" t="s">
        <v>171</v>
      </c>
      <c r="F909" s="859">
        <f t="shared" si="58"/>
        <v>8.4424539046151381E-2</v>
      </c>
      <c r="G909" s="859">
        <f t="shared" si="58"/>
        <v>0.11065690660441946</v>
      </c>
      <c r="H909" s="859">
        <f t="shared" si="58"/>
        <v>0.13916623687001756</v>
      </c>
      <c r="I909" s="859">
        <f t="shared" si="58"/>
        <v>0.17411265146251714</v>
      </c>
      <c r="J909" s="859">
        <f t="shared" si="58"/>
        <v>0.2089240714688092</v>
      </c>
      <c r="K909" s="859">
        <f t="shared" si="58"/>
        <v>0.25163272241936951</v>
      </c>
      <c r="L909" s="859">
        <f t="shared" si="58"/>
        <v>0.30443460781236997</v>
      </c>
      <c r="M909" s="859">
        <f t="shared" si="58"/>
        <v>0.3629021890411982</v>
      </c>
    </row>
    <row r="910" spans="3:17" hidden="1" outlineLevel="2" x14ac:dyDescent="0.25">
      <c r="C910" s="751">
        <v>3</v>
      </c>
      <c r="D910" s="751" t="s">
        <v>508</v>
      </c>
      <c r="E910" s="751" t="s">
        <v>171</v>
      </c>
      <c r="F910" s="859">
        <f t="shared" si="58"/>
        <v>4.6427462575747952E-2</v>
      </c>
      <c r="G910" s="859">
        <f t="shared" si="58"/>
        <v>6.1093966894394586E-2</v>
      </c>
      <c r="H910" s="859">
        <f t="shared" si="58"/>
        <v>7.702965718281729E-2</v>
      </c>
      <c r="I910" s="859">
        <f t="shared" si="58"/>
        <v>9.6611679358213576E-2</v>
      </c>
      <c r="J910" s="859">
        <f t="shared" si="58"/>
        <v>0.11606862850651792</v>
      </c>
      <c r="K910" s="859">
        <f t="shared" si="58"/>
        <v>0.13996315197774634</v>
      </c>
      <c r="L910" s="859">
        <f t="shared" si="58"/>
        <v>0.16953295571269483</v>
      </c>
      <c r="M910" s="859">
        <f t="shared" si="58"/>
        <v>0.20232830046809175</v>
      </c>
    </row>
    <row r="911" spans="3:17" hidden="1" outlineLevel="2" x14ac:dyDescent="0.25">
      <c r="C911" s="751">
        <v>4</v>
      </c>
      <c r="D911" s="751" t="s">
        <v>508</v>
      </c>
      <c r="E911" s="751" t="s">
        <v>171</v>
      </c>
      <c r="F911" s="859">
        <f t="shared" si="58"/>
        <v>0.11392358283909432</v>
      </c>
      <c r="G911" s="859">
        <f t="shared" si="58"/>
        <v>0.14896736089170615</v>
      </c>
      <c r="H911" s="859">
        <f t="shared" si="58"/>
        <v>0.18706160154125268</v>
      </c>
      <c r="I911" s="859">
        <f t="shared" si="58"/>
        <v>0.23368953025434697</v>
      </c>
      <c r="J911" s="859">
        <f t="shared" si="58"/>
        <v>0.28021004849891834</v>
      </c>
      <c r="K911" s="859">
        <f t="shared" si="58"/>
        <v>0.33725104748333101</v>
      </c>
      <c r="L911" s="859">
        <f t="shared" si="58"/>
        <v>0.4077328877288614</v>
      </c>
      <c r="M911" s="859">
        <f t="shared" si="58"/>
        <v>0.48570358061648411</v>
      </c>
    </row>
    <row r="912" spans="3:17" hidden="1" outlineLevel="2" x14ac:dyDescent="0.25">
      <c r="C912" s="751">
        <v>5</v>
      </c>
      <c r="D912" s="751" t="s">
        <v>508</v>
      </c>
      <c r="E912" s="751" t="s">
        <v>171</v>
      </c>
      <c r="F912" s="859">
        <f t="shared" si="58"/>
        <v>0.70625205326651175</v>
      </c>
      <c r="G912" s="859">
        <f t="shared" si="58"/>
        <v>0.90363467672435571</v>
      </c>
      <c r="H912" s="859">
        <f t="shared" si="58"/>
        <v>1.1193075594079123</v>
      </c>
      <c r="I912" s="859">
        <f t="shared" si="58"/>
        <v>1.380166249922407</v>
      </c>
      <c r="J912" s="859">
        <f t="shared" si="58"/>
        <v>1.6444968862930829</v>
      </c>
      <c r="K912" s="859">
        <f t="shared" si="58"/>
        <v>1.9670682394381283</v>
      </c>
      <c r="L912" s="859">
        <f t="shared" si="58"/>
        <v>2.363829932982672</v>
      </c>
      <c r="M912" s="859">
        <f t="shared" si="58"/>
        <v>2.7992511878302793</v>
      </c>
    </row>
    <row r="913" spans="3:13" hidden="1" outlineLevel="2" x14ac:dyDescent="0.25">
      <c r="C913" s="751">
        <v>6</v>
      </c>
      <c r="D913" s="751" t="s">
        <v>508</v>
      </c>
      <c r="E913" s="751" t="s">
        <v>171</v>
      </c>
      <c r="F913" s="859">
        <f t="shared" si="58"/>
        <v>0.36287728007841302</v>
      </c>
      <c r="G913" s="859">
        <f t="shared" si="58"/>
        <v>0.46981388014731329</v>
      </c>
      <c r="H913" s="859">
        <f t="shared" si="58"/>
        <v>0.58625016714233424</v>
      </c>
      <c r="I913" s="859">
        <f t="shared" si="58"/>
        <v>0.72795441349029355</v>
      </c>
      <c r="J913" s="859">
        <f t="shared" si="58"/>
        <v>0.87029950429998659</v>
      </c>
      <c r="K913" s="859">
        <f t="shared" si="58"/>
        <v>1.0444365566846232</v>
      </c>
      <c r="L913" s="859">
        <f t="shared" si="58"/>
        <v>1.2591318114390817</v>
      </c>
      <c r="M913" s="859">
        <f t="shared" si="58"/>
        <v>1.4957389238857244</v>
      </c>
    </row>
    <row r="914" spans="3:13" hidden="1" outlineLevel="2" x14ac:dyDescent="0.25">
      <c r="C914" s="751">
        <v>7</v>
      </c>
      <c r="D914" s="751" t="s">
        <v>508</v>
      </c>
      <c r="E914" s="751" t="s">
        <v>171</v>
      </c>
      <c r="F914" s="859">
        <f t="shared" si="58"/>
        <v>0.47725101622527899</v>
      </c>
      <c r="G914" s="859">
        <f t="shared" si="58"/>
        <v>0.61388858004423374</v>
      </c>
      <c r="H914" s="859">
        <f t="shared" si="58"/>
        <v>0.76291929296234073</v>
      </c>
      <c r="I914" s="859">
        <f t="shared" si="58"/>
        <v>0.94365978282004992</v>
      </c>
      <c r="J914" s="859">
        <f t="shared" si="58"/>
        <v>1.1260751701680116</v>
      </c>
      <c r="K914" s="859">
        <f t="shared" si="58"/>
        <v>1.3489221540607161</v>
      </c>
      <c r="L914" s="859">
        <f t="shared" si="58"/>
        <v>1.62330581365899</v>
      </c>
      <c r="M914" s="859">
        <f t="shared" si="58"/>
        <v>1.9249825597192718</v>
      </c>
    </row>
    <row r="915" spans="3:13" hidden="1" outlineLevel="2" x14ac:dyDescent="0.25">
      <c r="C915" s="751">
        <v>8</v>
      </c>
      <c r="D915" s="751" t="s">
        <v>508</v>
      </c>
      <c r="E915" s="751" t="s">
        <v>171</v>
      </c>
      <c r="F915" s="859">
        <f t="shared" si="58"/>
        <v>1.3063495070114834</v>
      </c>
      <c r="G915" s="859">
        <f t="shared" si="58"/>
        <v>1.6688558894629653</v>
      </c>
      <c r="H915" s="859">
        <f t="shared" si="58"/>
        <v>2.0651891152983137</v>
      </c>
      <c r="I915" s="859">
        <f t="shared" si="58"/>
        <v>2.5441948835817638</v>
      </c>
      <c r="J915" s="859">
        <f t="shared" si="58"/>
        <v>3.0301541449286229</v>
      </c>
      <c r="K915" s="859">
        <f t="shared" si="58"/>
        <v>3.6230061668404066</v>
      </c>
      <c r="L915" s="859">
        <f t="shared" si="58"/>
        <v>4.3520003452560037</v>
      </c>
      <c r="M915" s="859">
        <f t="shared" si="58"/>
        <v>5.1516039547163075</v>
      </c>
    </row>
    <row r="916" spans="3:13" hidden="1" outlineLevel="2" x14ac:dyDescent="0.25">
      <c r="C916" s="751">
        <v>9</v>
      </c>
      <c r="D916" s="751" t="s">
        <v>508</v>
      </c>
      <c r="E916" s="751" t="s">
        <v>171</v>
      </c>
      <c r="F916" s="859">
        <f t="shared" si="58"/>
        <v>0.87472602422430845</v>
      </c>
      <c r="G916" s="859">
        <f t="shared" si="58"/>
        <v>1.1040321219424651</v>
      </c>
      <c r="H916" s="859">
        <f t="shared" si="58"/>
        <v>1.3561880889748783</v>
      </c>
      <c r="I916" s="859">
        <f t="shared" si="58"/>
        <v>1.6592734133307978</v>
      </c>
      <c r="J916" s="859">
        <f t="shared" si="58"/>
        <v>1.9697381723820135</v>
      </c>
      <c r="K916" s="859">
        <f t="shared" si="58"/>
        <v>2.3476550228091764</v>
      </c>
      <c r="L916" s="859">
        <f t="shared" si="58"/>
        <v>2.8113741890570045</v>
      </c>
      <c r="M916" s="859">
        <f t="shared" si="58"/>
        <v>3.318011055244364</v>
      </c>
    </row>
    <row r="917" spans="3:13" hidden="1" outlineLevel="2" x14ac:dyDescent="0.25">
      <c r="C917" s="751">
        <v>10</v>
      </c>
      <c r="D917" s="751" t="s">
        <v>508</v>
      </c>
      <c r="E917" s="751" t="s">
        <v>171</v>
      </c>
      <c r="F917" s="859">
        <f t="shared" si="58"/>
        <v>1.5106431924504227</v>
      </c>
      <c r="G917" s="859">
        <f t="shared" si="58"/>
        <v>1.9066525552820428</v>
      </c>
      <c r="H917" s="859">
        <f t="shared" si="58"/>
        <v>2.3421234164251756</v>
      </c>
      <c r="I917" s="859">
        <f t="shared" si="58"/>
        <v>2.8655487739545973</v>
      </c>
      <c r="J917" s="859">
        <f t="shared" si="58"/>
        <v>3.4017183422172796</v>
      </c>
      <c r="K917" s="859">
        <f t="shared" si="58"/>
        <v>4.0543770051584662</v>
      </c>
      <c r="L917" s="859">
        <f t="shared" si="58"/>
        <v>4.8552154189032404</v>
      </c>
      <c r="M917" s="859">
        <f t="shared" si="58"/>
        <v>5.7301722759706228</v>
      </c>
    </row>
    <row r="918" spans="3:13" hidden="1" outlineLevel="2" x14ac:dyDescent="0.25">
      <c r="C918" s="751">
        <v>11</v>
      </c>
      <c r="D918" s="751" t="s">
        <v>508</v>
      </c>
      <c r="E918" s="751" t="s">
        <v>171</v>
      </c>
      <c r="F918" s="859">
        <f t="shared" si="58"/>
        <v>0.1952552384754459</v>
      </c>
      <c r="G918" s="859">
        <f t="shared" si="58"/>
        <v>0.25344665185550341</v>
      </c>
      <c r="H918" s="859">
        <f t="shared" si="58"/>
        <v>0.31677353133805275</v>
      </c>
      <c r="I918" s="859">
        <f t="shared" si="58"/>
        <v>0.39395410639983042</v>
      </c>
      <c r="J918" s="859">
        <f t="shared" si="58"/>
        <v>0.47134338364550665</v>
      </c>
      <c r="K918" s="859">
        <f t="shared" si="58"/>
        <v>0.56607143058317821</v>
      </c>
      <c r="L918" s="859">
        <f t="shared" si="58"/>
        <v>0.6829270751131914</v>
      </c>
      <c r="M918" s="859">
        <f t="shared" si="58"/>
        <v>0.81183273439712056</v>
      </c>
    </row>
    <row r="919" spans="3:13" hidden="1" outlineLevel="2" x14ac:dyDescent="0.25">
      <c r="C919" s="751">
        <v>12</v>
      </c>
      <c r="D919" s="751" t="s">
        <v>508</v>
      </c>
      <c r="E919" s="751" t="s">
        <v>171</v>
      </c>
      <c r="F919" s="859">
        <f t="shared" si="58"/>
        <v>0.40370691471923181</v>
      </c>
      <c r="G919" s="859">
        <f t="shared" si="58"/>
        <v>0.53096065557388772</v>
      </c>
      <c r="H919" s="859">
        <f t="shared" si="58"/>
        <v>0.66922959111683111</v>
      </c>
      <c r="I919" s="859">
        <f t="shared" si="58"/>
        <v>0.83908027177807742</v>
      </c>
      <c r="J919" s="859">
        <f t="shared" si="58"/>
        <v>1.0079021648988391</v>
      </c>
      <c r="K919" s="859">
        <f t="shared" si="58"/>
        <v>1.2151999050291225</v>
      </c>
      <c r="L919" s="859">
        <f t="shared" si="58"/>
        <v>1.4717005756928936</v>
      </c>
      <c r="M919" s="859">
        <f t="shared" si="58"/>
        <v>1.7561195762251347</v>
      </c>
    </row>
    <row r="920" spans="3:13" hidden="1" outlineLevel="2" x14ac:dyDescent="0.25">
      <c r="C920" s="751">
        <v>13</v>
      </c>
      <c r="D920" s="751" t="s">
        <v>508</v>
      </c>
      <c r="E920" s="751" t="s">
        <v>171</v>
      </c>
      <c r="F920" s="859">
        <f t="shared" si="58"/>
        <v>2.5830093075077958</v>
      </c>
      <c r="G920" s="859">
        <f t="shared" si="58"/>
        <v>3.3479235344656226</v>
      </c>
      <c r="H920" s="859">
        <f t="shared" si="58"/>
        <v>4.1805875932746961</v>
      </c>
      <c r="I920" s="859">
        <f t="shared" si="58"/>
        <v>5.1945761746641175</v>
      </c>
      <c r="J920" s="859">
        <f t="shared" si="58"/>
        <v>6.2123486862588599</v>
      </c>
      <c r="K920" s="859">
        <f t="shared" si="58"/>
        <v>7.4577417266832704</v>
      </c>
      <c r="L920" s="859">
        <f t="shared" si="58"/>
        <v>8.9935630931061539</v>
      </c>
      <c r="M920" s="859">
        <f t="shared" si="58"/>
        <v>10.686830369800751</v>
      </c>
    </row>
    <row r="921" spans="3:13" hidden="1" outlineLevel="2" x14ac:dyDescent="0.25">
      <c r="C921" s="751">
        <v>14</v>
      </c>
      <c r="D921" s="751" t="s">
        <v>508</v>
      </c>
      <c r="E921" s="751" t="s">
        <v>171</v>
      </c>
      <c r="F921" s="859">
        <f t="shared" si="58"/>
        <v>0.59441917283597956</v>
      </c>
      <c r="G921" s="859">
        <f t="shared" si="58"/>
        <v>0.75024389641470801</v>
      </c>
      <c r="H921" s="859">
        <f t="shared" si="58"/>
        <v>0.92159622525616458</v>
      </c>
      <c r="I921" s="859">
        <f t="shared" si="58"/>
        <v>1.1275575466449186</v>
      </c>
      <c r="J921" s="859">
        <f t="shared" si="58"/>
        <v>1.3385335553141451</v>
      </c>
      <c r="K921" s="859">
        <f t="shared" si="58"/>
        <v>1.5953465635139417</v>
      </c>
      <c r="L921" s="859">
        <f t="shared" si="58"/>
        <v>1.9104664474497823</v>
      </c>
      <c r="M921" s="859">
        <f t="shared" si="58"/>
        <v>2.2547510103726265</v>
      </c>
    </row>
    <row r="922" spans="3:13" hidden="1" outlineLevel="2" x14ac:dyDescent="0.25">
      <c r="C922" s="751">
        <v>15</v>
      </c>
      <c r="D922" s="751" t="s">
        <v>508</v>
      </c>
      <c r="E922" s="751" t="s">
        <v>171</v>
      </c>
      <c r="F922" s="859">
        <f t="shared" si="58"/>
        <v>2.825464840782374E-2</v>
      </c>
      <c r="G922" s="859">
        <f t="shared" si="58"/>
        <v>3.7045807721153526E-2</v>
      </c>
      <c r="H922" s="859">
        <f t="shared" si="58"/>
        <v>4.6599789150523943E-2</v>
      </c>
      <c r="I922" s="859">
        <f t="shared" si="58"/>
        <v>5.8313265893447763E-2</v>
      </c>
      <c r="J922" s="859">
        <f t="shared" si="58"/>
        <v>6.9979055411501317E-2</v>
      </c>
      <c r="K922" s="859">
        <f t="shared" si="58"/>
        <v>8.4292448979245121E-2</v>
      </c>
      <c r="L922" s="859">
        <f t="shared" si="58"/>
        <v>0.10198984929573385</v>
      </c>
      <c r="M922" s="859">
        <f t="shared" si="58"/>
        <v>0.12158872825888278</v>
      </c>
    </row>
    <row r="923" spans="3:13" hidden="1" outlineLevel="2" x14ac:dyDescent="0.25">
      <c r="C923" s="751">
        <v>1</v>
      </c>
      <c r="D923" s="751" t="s">
        <v>512</v>
      </c>
      <c r="E923" s="751" t="s">
        <v>171</v>
      </c>
      <c r="F923" s="859">
        <f t="shared" ref="F923:M937" si="59">F844+F874</f>
        <v>0.15278042617804355</v>
      </c>
      <c r="G923" s="859">
        <f t="shared" si="59"/>
        <v>0.1610388122046516</v>
      </c>
      <c r="H923" s="859">
        <f t="shared" si="59"/>
        <v>0.17786647001466888</v>
      </c>
      <c r="I923" s="859">
        <f t="shared" si="59"/>
        <v>0.19728289401485175</v>
      </c>
      <c r="J923" s="859">
        <f t="shared" si="59"/>
        <v>0.22355331188618108</v>
      </c>
      <c r="K923" s="859">
        <f t="shared" si="59"/>
        <v>0.25470716697488643</v>
      </c>
      <c r="L923" s="859">
        <f t="shared" si="59"/>
        <v>0.2919633565234106</v>
      </c>
      <c r="M923" s="859">
        <f t="shared" si="59"/>
        <v>0.33021882736403957</v>
      </c>
    </row>
    <row r="924" spans="3:13" hidden="1" outlineLevel="2" x14ac:dyDescent="0.25">
      <c r="C924" s="751">
        <v>2</v>
      </c>
      <c r="D924" s="751" t="s">
        <v>512</v>
      </c>
      <c r="E924" s="751" t="s">
        <v>171</v>
      </c>
      <c r="F924" s="859">
        <f t="shared" si="59"/>
        <v>0.25804350207545312</v>
      </c>
      <c r="G924" s="859">
        <f t="shared" si="59"/>
        <v>0.27190452511579999</v>
      </c>
      <c r="H924" s="859">
        <f t="shared" si="59"/>
        <v>0.3002551310457291</v>
      </c>
      <c r="I924" s="859">
        <f t="shared" si="59"/>
        <v>0.3329651756675403</v>
      </c>
      <c r="J924" s="859">
        <f t="shared" si="59"/>
        <v>0.37726623021241379</v>
      </c>
      <c r="K924" s="859">
        <f t="shared" si="59"/>
        <v>0.42979962224476165</v>
      </c>
      <c r="L924" s="859">
        <f t="shared" si="59"/>
        <v>0.49261977142990943</v>
      </c>
      <c r="M924" s="859">
        <f t="shared" si="59"/>
        <v>0.55711457733340164</v>
      </c>
    </row>
    <row r="925" spans="3:13" hidden="1" outlineLevel="2" x14ac:dyDescent="0.25">
      <c r="C925" s="751">
        <v>3</v>
      </c>
      <c r="D925" s="751" t="s">
        <v>512</v>
      </c>
      <c r="E925" s="751" t="s">
        <v>171</v>
      </c>
      <c r="F925" s="859">
        <f t="shared" si="59"/>
        <v>0.15595709072401465</v>
      </c>
      <c r="G925" s="859">
        <f t="shared" si="59"/>
        <v>0.1649841343346837</v>
      </c>
      <c r="H925" s="859">
        <f t="shared" si="59"/>
        <v>0.18265033212287324</v>
      </c>
      <c r="I925" s="859">
        <f t="shared" si="59"/>
        <v>0.20305049990916707</v>
      </c>
      <c r="J925" s="859">
        <f t="shared" si="59"/>
        <v>0.23034577549412236</v>
      </c>
      <c r="K925" s="859">
        <f t="shared" si="59"/>
        <v>0.26273538954803111</v>
      </c>
      <c r="L925" s="859">
        <f t="shared" si="59"/>
        <v>0.30149346173128905</v>
      </c>
      <c r="M925" s="859">
        <f t="shared" si="59"/>
        <v>0.34136383991735247</v>
      </c>
    </row>
    <row r="926" spans="3:13" hidden="1" outlineLevel="2" x14ac:dyDescent="0.25">
      <c r="C926" s="751">
        <v>4</v>
      </c>
      <c r="D926" s="751" t="s">
        <v>512</v>
      </c>
      <c r="E926" s="751" t="s">
        <v>171</v>
      </c>
      <c r="F926" s="859">
        <f t="shared" si="59"/>
        <v>0.32959669620428278</v>
      </c>
      <c r="G926" s="859">
        <f t="shared" si="59"/>
        <v>0.34647668811237992</v>
      </c>
      <c r="H926" s="859">
        <f t="shared" si="59"/>
        <v>0.38202007707999869</v>
      </c>
      <c r="I926" s="859">
        <f t="shared" si="59"/>
        <v>0.42301203713533703</v>
      </c>
      <c r="J926" s="859">
        <f t="shared" si="59"/>
        <v>0.47894775589854471</v>
      </c>
      <c r="K926" s="859">
        <f t="shared" si="59"/>
        <v>0.54525192320204718</v>
      </c>
      <c r="L926" s="859">
        <f t="shared" si="59"/>
        <v>0.62450877644661784</v>
      </c>
      <c r="M926" s="859">
        <f t="shared" si="59"/>
        <v>0.70578305156872989</v>
      </c>
    </row>
    <row r="927" spans="3:13" hidden="1" outlineLevel="2" x14ac:dyDescent="0.25">
      <c r="C927" s="852">
        <v>5</v>
      </c>
      <c r="D927" s="852" t="s">
        <v>512</v>
      </c>
      <c r="E927" s="852" t="s">
        <v>171</v>
      </c>
      <c r="F927" s="862">
        <f t="shared" si="59"/>
        <v>1.2964717240961954</v>
      </c>
      <c r="G927" s="862">
        <f t="shared" si="59"/>
        <v>1.3335518154772663</v>
      </c>
      <c r="H927" s="862">
        <f t="shared" si="59"/>
        <v>1.450390970486809</v>
      </c>
      <c r="I927" s="862">
        <f t="shared" si="59"/>
        <v>1.585181459723245</v>
      </c>
      <c r="J927" s="862">
        <f t="shared" si="59"/>
        <v>1.7834937997620421</v>
      </c>
      <c r="K927" s="862">
        <f t="shared" si="59"/>
        <v>2.0178897579660342</v>
      </c>
      <c r="L927" s="862">
        <f t="shared" si="59"/>
        <v>2.2972758213869002</v>
      </c>
      <c r="M927" s="862">
        <f t="shared" si="59"/>
        <v>2.5809280766532883</v>
      </c>
    </row>
    <row r="928" spans="3:13" hidden="1" outlineLevel="2" x14ac:dyDescent="0.25">
      <c r="C928" s="852">
        <v>6</v>
      </c>
      <c r="D928" s="852" t="s">
        <v>512</v>
      </c>
      <c r="E928" s="852" t="s">
        <v>171</v>
      </c>
      <c r="F928" s="862">
        <f t="shared" si="59"/>
        <v>0.84538466910907362</v>
      </c>
      <c r="G928" s="862">
        <f t="shared" si="59"/>
        <v>0.87990161348059104</v>
      </c>
      <c r="H928" s="862">
        <f t="shared" si="59"/>
        <v>0.96407294263942045</v>
      </c>
      <c r="I928" s="862">
        <f t="shared" si="59"/>
        <v>1.0610675395986533</v>
      </c>
      <c r="J928" s="862">
        <f t="shared" si="59"/>
        <v>1.1978392749698143</v>
      </c>
      <c r="K928" s="862">
        <f t="shared" si="59"/>
        <v>1.3597258004998987</v>
      </c>
      <c r="L928" s="862">
        <f t="shared" si="59"/>
        <v>1.5529567989832151</v>
      </c>
      <c r="M928" s="862">
        <f t="shared" si="59"/>
        <v>1.7501734473367485</v>
      </c>
    </row>
    <row r="929" spans="1:13" hidden="1" outlineLevel="2" x14ac:dyDescent="0.25">
      <c r="C929" s="852">
        <v>7</v>
      </c>
      <c r="D929" s="852" t="s">
        <v>512</v>
      </c>
      <c r="E929" s="852" t="s">
        <v>171</v>
      </c>
      <c r="F929" s="862">
        <f t="shared" si="59"/>
        <v>0.97322789482458605</v>
      </c>
      <c r="G929" s="862">
        <f t="shared" si="59"/>
        <v>1.0064006798642164</v>
      </c>
      <c r="H929" s="862">
        <f t="shared" si="59"/>
        <v>1.0981928421701601</v>
      </c>
      <c r="I929" s="862">
        <f t="shared" si="59"/>
        <v>1.2040024986130144</v>
      </c>
      <c r="J929" s="862">
        <f t="shared" si="59"/>
        <v>1.3566577227055181</v>
      </c>
      <c r="K929" s="862">
        <f t="shared" si="59"/>
        <v>1.537196042561376</v>
      </c>
      <c r="L929" s="862">
        <f t="shared" si="59"/>
        <v>1.7525144943164122</v>
      </c>
      <c r="M929" s="862">
        <f t="shared" si="59"/>
        <v>1.9716289695439868</v>
      </c>
    </row>
    <row r="930" spans="1:13" hidden="1" outlineLevel="2" x14ac:dyDescent="0.25">
      <c r="C930" s="852">
        <v>8</v>
      </c>
      <c r="D930" s="852" t="s">
        <v>512</v>
      </c>
      <c r="E930" s="852" t="s">
        <v>171</v>
      </c>
      <c r="F930" s="862">
        <f t="shared" si="59"/>
        <v>2.3268553414644155</v>
      </c>
      <c r="G930" s="862">
        <f t="shared" si="59"/>
        <v>2.3896952209229667</v>
      </c>
      <c r="H930" s="862">
        <f t="shared" si="59"/>
        <v>2.5965826494676443</v>
      </c>
      <c r="I930" s="862">
        <f t="shared" si="59"/>
        <v>2.8353366313877566</v>
      </c>
      <c r="J930" s="862">
        <f t="shared" si="59"/>
        <v>3.1886726957386258</v>
      </c>
      <c r="K930" s="862">
        <f t="shared" si="59"/>
        <v>3.606232773043371</v>
      </c>
      <c r="L930" s="862">
        <f t="shared" si="59"/>
        <v>4.103859727636836</v>
      </c>
      <c r="M930" s="862">
        <f t="shared" si="59"/>
        <v>4.6087502240971592</v>
      </c>
    </row>
    <row r="931" spans="1:13" hidden="1" outlineLevel="2" x14ac:dyDescent="0.25">
      <c r="C931" s="852">
        <v>9</v>
      </c>
      <c r="D931" s="852" t="s">
        <v>512</v>
      </c>
      <c r="E931" s="852" t="s">
        <v>171</v>
      </c>
      <c r="F931" s="862">
        <f t="shared" si="59"/>
        <v>1.2391952009844369</v>
      </c>
      <c r="G931" s="862">
        <f t="shared" si="59"/>
        <v>1.2573699166566956</v>
      </c>
      <c r="H931" s="862">
        <f t="shared" si="59"/>
        <v>1.3561880889748796</v>
      </c>
      <c r="I931" s="862">
        <f t="shared" si="59"/>
        <v>1.4707196163613898</v>
      </c>
      <c r="J931" s="862">
        <f t="shared" si="59"/>
        <v>1.6485852094936413</v>
      </c>
      <c r="K931" s="862">
        <f t="shared" si="59"/>
        <v>1.8585602263905985</v>
      </c>
      <c r="L931" s="862">
        <f t="shared" si="59"/>
        <v>2.1085306417927541</v>
      </c>
      <c r="M931" s="862">
        <f t="shared" si="59"/>
        <v>2.3608924816161809</v>
      </c>
    </row>
    <row r="932" spans="1:13" hidden="1" outlineLevel="2" x14ac:dyDescent="0.25">
      <c r="C932" s="852">
        <v>10</v>
      </c>
      <c r="D932" s="852" t="s">
        <v>512</v>
      </c>
      <c r="E932" s="852" t="s">
        <v>171</v>
      </c>
      <c r="F932" s="862">
        <f t="shared" si="59"/>
        <v>2.1400778559714313</v>
      </c>
      <c r="G932" s="862">
        <f t="shared" si="59"/>
        <v>2.171465410182325</v>
      </c>
      <c r="H932" s="862">
        <f t="shared" si="59"/>
        <v>2.3421234164251774</v>
      </c>
      <c r="I932" s="862">
        <f t="shared" si="59"/>
        <v>2.5399182314597577</v>
      </c>
      <c r="J932" s="862">
        <f t="shared" si="59"/>
        <v>2.8470903516383737</v>
      </c>
      <c r="K932" s="862">
        <f t="shared" si="59"/>
        <v>3.2097151290837869</v>
      </c>
      <c r="L932" s="862">
        <f t="shared" si="59"/>
        <v>3.6414115641774303</v>
      </c>
      <c r="M932" s="862">
        <f t="shared" si="59"/>
        <v>4.0772379655944802</v>
      </c>
    </row>
    <row r="933" spans="1:13" hidden="1" outlineLevel="2" x14ac:dyDescent="0.25">
      <c r="C933" s="852">
        <v>11</v>
      </c>
      <c r="D933" s="852" t="s">
        <v>512</v>
      </c>
      <c r="E933" s="852" t="s">
        <v>171</v>
      </c>
      <c r="F933" s="862">
        <f t="shared" si="59"/>
        <v>0.48032434907870314</v>
      </c>
      <c r="G933" s="862">
        <f t="shared" si="59"/>
        <v>0.50122433411220391</v>
      </c>
      <c r="H933" s="862">
        <f t="shared" si="59"/>
        <v>0.55006386910010596</v>
      </c>
      <c r="I933" s="862">
        <f t="shared" si="59"/>
        <v>0.60634778509473142</v>
      </c>
      <c r="J933" s="862">
        <f t="shared" si="59"/>
        <v>0.68502204228170738</v>
      </c>
      <c r="K933" s="862">
        <f t="shared" si="59"/>
        <v>0.77817599421750283</v>
      </c>
      <c r="L933" s="862">
        <f t="shared" si="59"/>
        <v>0.88940553444416237</v>
      </c>
      <c r="M933" s="862">
        <f t="shared" si="59"/>
        <v>1.0030652208534085</v>
      </c>
    </row>
    <row r="934" spans="1:13" hidden="1" outlineLevel="2" x14ac:dyDescent="0.25">
      <c r="C934" s="852">
        <v>12</v>
      </c>
      <c r="D934" s="852" t="s">
        <v>512</v>
      </c>
      <c r="E934" s="852" t="s">
        <v>171</v>
      </c>
      <c r="F934" s="862">
        <f t="shared" si="59"/>
        <v>1.3389032077906176</v>
      </c>
      <c r="G934" s="862">
        <f t="shared" si="59"/>
        <v>1.4156601771735309</v>
      </c>
      <c r="H934" s="862">
        <f t="shared" si="59"/>
        <v>1.5667166340236447</v>
      </c>
      <c r="I934" s="862">
        <f t="shared" si="59"/>
        <v>1.7411282392501755</v>
      </c>
      <c r="J934" s="862">
        <f t="shared" si="59"/>
        <v>1.9748612780236612</v>
      </c>
      <c r="K934" s="862">
        <f t="shared" si="59"/>
        <v>2.2521919652554545</v>
      </c>
      <c r="L934" s="862">
        <f t="shared" si="59"/>
        <v>2.5840210178008673</v>
      </c>
      <c r="M934" s="862">
        <f t="shared" si="59"/>
        <v>2.9252822991512519</v>
      </c>
    </row>
    <row r="935" spans="1:13" hidden="1" outlineLevel="2" x14ac:dyDescent="0.25">
      <c r="C935" s="852">
        <v>13</v>
      </c>
      <c r="D935" s="852" t="s">
        <v>512</v>
      </c>
      <c r="E935" s="852" t="s">
        <v>171</v>
      </c>
      <c r="F935" s="862">
        <f t="shared" si="59"/>
        <v>6.1600952803980036</v>
      </c>
      <c r="G935" s="862">
        <f t="shared" si="59"/>
        <v>6.4187530811815305</v>
      </c>
      <c r="H935" s="862">
        <f t="shared" si="59"/>
        <v>7.0377058429990029</v>
      </c>
      <c r="I935" s="862">
        <f t="shared" si="59"/>
        <v>7.7509660204158415</v>
      </c>
      <c r="J935" s="862">
        <f t="shared" si="59"/>
        <v>8.7529108434475695</v>
      </c>
      <c r="K935" s="862">
        <f t="shared" si="59"/>
        <v>9.9390180978775504</v>
      </c>
      <c r="L935" s="862">
        <f t="shared" si="59"/>
        <v>11.354991992911657</v>
      </c>
      <c r="M935" s="862">
        <f t="shared" si="59"/>
        <v>12.800916938520514</v>
      </c>
    </row>
    <row r="936" spans="1:13" hidden="1" outlineLevel="2" x14ac:dyDescent="0.25">
      <c r="C936" s="852">
        <v>14</v>
      </c>
      <c r="D936" s="852" t="s">
        <v>512</v>
      </c>
      <c r="E936" s="852" t="s">
        <v>171</v>
      </c>
      <c r="F936" s="862">
        <f t="shared" si="59"/>
        <v>0.84209382818430423</v>
      </c>
      <c r="G936" s="862">
        <f t="shared" si="59"/>
        <v>0.85444443758341682</v>
      </c>
      <c r="H936" s="862">
        <f t="shared" si="59"/>
        <v>0.92159622525616502</v>
      </c>
      <c r="I936" s="862">
        <f t="shared" si="59"/>
        <v>0.99942600725345132</v>
      </c>
      <c r="J936" s="862">
        <f t="shared" si="59"/>
        <v>1.1202943886868384</v>
      </c>
      <c r="K936" s="862">
        <f t="shared" si="59"/>
        <v>1.262982696115204</v>
      </c>
      <c r="L936" s="862">
        <f t="shared" si="59"/>
        <v>1.4328498355873374</v>
      </c>
      <c r="M936" s="862">
        <f t="shared" si="59"/>
        <v>1.6043420650728302</v>
      </c>
    </row>
    <row r="937" spans="1:13" hidden="1" outlineLevel="2" x14ac:dyDescent="0.25">
      <c r="C937" s="863">
        <v>15</v>
      </c>
      <c r="D937" s="863" t="s">
        <v>512</v>
      </c>
      <c r="E937" s="863" t="s">
        <v>171</v>
      </c>
      <c r="F937" s="864">
        <f t="shared" si="59"/>
        <v>8.701222584977282E-2</v>
      </c>
      <c r="G937" s="864">
        <f t="shared" si="59"/>
        <v>9.1715580645134007E-2</v>
      </c>
      <c r="H937" s="864">
        <f t="shared" si="59"/>
        <v>0.1012993473521439</v>
      </c>
      <c r="I937" s="864">
        <f t="shared" si="59"/>
        <v>0.11235748033791021</v>
      </c>
      <c r="J937" s="864">
        <f t="shared" si="59"/>
        <v>0.12731913210293536</v>
      </c>
      <c r="K937" s="864">
        <f t="shared" si="59"/>
        <v>0.14506202196704998</v>
      </c>
      <c r="L937" s="864">
        <f t="shared" si="59"/>
        <v>0.16628034201231773</v>
      </c>
      <c r="M937" s="864">
        <f t="shared" si="59"/>
        <v>0.18806777743218683</v>
      </c>
    </row>
    <row r="938" spans="1:13" hidden="1" outlineLevel="2" x14ac:dyDescent="0.25"/>
    <row r="939" spans="1:13" hidden="1" outlineLevel="2" x14ac:dyDescent="0.25">
      <c r="A939" s="853"/>
      <c r="B939" s="2948" t="s">
        <v>2036</v>
      </c>
      <c r="M939" s="751" t="s">
        <v>171</v>
      </c>
    </row>
    <row r="940" spans="1:13" hidden="1" outlineLevel="2" x14ac:dyDescent="0.25">
      <c r="B940" s="1905" t="s">
        <v>501</v>
      </c>
      <c r="C940" s="863" t="s">
        <v>507</v>
      </c>
      <c r="D940" s="863"/>
      <c r="E940" s="863"/>
      <c r="F940" s="866">
        <v>2015</v>
      </c>
      <c r="G940" s="866">
        <v>2020</v>
      </c>
      <c r="H940" s="866">
        <v>2025</v>
      </c>
      <c r="I940" s="866">
        <v>2030</v>
      </c>
      <c r="J940" s="866">
        <v>2035</v>
      </c>
      <c r="K940" s="866">
        <v>2040</v>
      </c>
      <c r="L940" s="866">
        <v>2045</v>
      </c>
      <c r="M940" s="866">
        <v>2050</v>
      </c>
    </row>
    <row r="941" spans="1:13" hidden="1" outlineLevel="2" x14ac:dyDescent="0.25">
      <c r="C941" s="751">
        <v>1</v>
      </c>
      <c r="D941" s="751" t="s">
        <v>508</v>
      </c>
      <c r="E941" s="751" t="s">
        <v>509</v>
      </c>
      <c r="F941" s="859">
        <f t="shared" ref="F941:M950" si="60">INDEX($C$907:$M$922,MATCH($C941,$C$907:$C$922,0),MATCH(F$940,$C$907:$M$907,0))*F257</f>
        <v>0</v>
      </c>
      <c r="G941" s="859">
        <f t="shared" si="60"/>
        <v>0</v>
      </c>
      <c r="H941" s="859">
        <f t="shared" si="60"/>
        <v>0</v>
      </c>
      <c r="I941" s="859">
        <f t="shared" si="60"/>
        <v>0</v>
      </c>
      <c r="J941" s="859">
        <f t="shared" si="60"/>
        <v>0</v>
      </c>
      <c r="K941" s="859">
        <f t="shared" si="60"/>
        <v>0</v>
      </c>
      <c r="L941" s="859">
        <f t="shared" si="60"/>
        <v>0</v>
      </c>
      <c r="M941" s="859">
        <f t="shared" si="60"/>
        <v>0</v>
      </c>
    </row>
    <row r="942" spans="1:13" hidden="1" outlineLevel="2" x14ac:dyDescent="0.25">
      <c r="C942" s="751">
        <v>1</v>
      </c>
      <c r="D942" s="751" t="s">
        <v>508</v>
      </c>
      <c r="E942" s="751" t="s">
        <v>510</v>
      </c>
      <c r="F942" s="859">
        <f t="shared" si="60"/>
        <v>3.5710156212652015E-3</v>
      </c>
      <c r="G942" s="859">
        <f t="shared" si="60"/>
        <v>6.0048121503666271E-3</v>
      </c>
      <c r="H942" s="859">
        <f t="shared" si="60"/>
        <v>9.933480641182723E-3</v>
      </c>
      <c r="I942" s="859">
        <f t="shared" si="60"/>
        <v>1.5821015619304452E-2</v>
      </c>
      <c r="J942" s="859">
        <f t="shared" si="60"/>
        <v>2.3127053148625228E-2</v>
      </c>
      <c r="K942" s="859">
        <f t="shared" si="60"/>
        <v>3.3248761275642767E-2</v>
      </c>
      <c r="L942" s="859">
        <f t="shared" si="60"/>
        <v>4.9210935764511798E-2</v>
      </c>
      <c r="M942" s="859">
        <f t="shared" si="60"/>
        <v>6.0046009207882341E-2</v>
      </c>
    </row>
    <row r="943" spans="1:13" hidden="1" outlineLevel="2" x14ac:dyDescent="0.25">
      <c r="C943" s="751">
        <v>1</v>
      </c>
      <c r="D943" s="751" t="s">
        <v>508</v>
      </c>
      <c r="E943" s="751" t="s">
        <v>511</v>
      </c>
      <c r="F943" s="859">
        <f t="shared" si="60"/>
        <v>1.7079753783249777E-2</v>
      </c>
      <c r="G943" s="859">
        <f t="shared" si="60"/>
        <v>2.1950121394226162E-2</v>
      </c>
      <c r="H943" s="859">
        <f t="shared" si="60"/>
        <v>2.6812360017439849E-2</v>
      </c>
      <c r="I943" s="859">
        <f t="shared" si="60"/>
        <v>3.2414288683175543E-2</v>
      </c>
      <c r="J943" s="859">
        <f t="shared" si="60"/>
        <v>3.7509393510987386E-2</v>
      </c>
      <c r="K943" s="859">
        <f t="shared" si="60"/>
        <v>4.3372448674801695E-2</v>
      </c>
      <c r="L943" s="859">
        <f t="shared" si="60"/>
        <v>4.9464872431661547E-2</v>
      </c>
      <c r="M943" s="859">
        <f t="shared" si="60"/>
        <v>5.8507752703992853E-2</v>
      </c>
    </row>
    <row r="944" spans="1:13" hidden="1" outlineLevel="2" x14ac:dyDescent="0.25">
      <c r="C944" s="751">
        <v>1</v>
      </c>
      <c r="D944" s="751" t="s">
        <v>508</v>
      </c>
      <c r="E944" s="751" t="s">
        <v>494</v>
      </c>
      <c r="F944" s="859">
        <f t="shared" si="60"/>
        <v>2.1632588722348686E-2</v>
      </c>
      <c r="G944" s="859">
        <f t="shared" si="60"/>
        <v>2.7324151164414209E-2</v>
      </c>
      <c r="H944" s="859">
        <f t="shared" si="60"/>
        <v>3.250102988694082E-2</v>
      </c>
      <c r="I944" s="859">
        <f t="shared" si="60"/>
        <v>3.8006700976116345E-2</v>
      </c>
      <c r="J944" s="859">
        <f t="shared" si="60"/>
        <v>4.2356657624229688E-2</v>
      </c>
      <c r="K944" s="859">
        <f t="shared" si="60"/>
        <v>4.6784423734997443E-2</v>
      </c>
      <c r="L944" s="859">
        <f t="shared" si="60"/>
        <v>4.9550456423049533E-2</v>
      </c>
      <c r="M944" s="859">
        <f t="shared" si="60"/>
        <v>5.7989315832078926E-2</v>
      </c>
    </row>
    <row r="945" spans="3:13" hidden="1" outlineLevel="2" x14ac:dyDescent="0.25">
      <c r="C945" s="751">
        <v>1</v>
      </c>
      <c r="D945" s="751" t="s">
        <v>508</v>
      </c>
      <c r="E945" s="751" t="s">
        <v>498</v>
      </c>
      <c r="F945" s="859">
        <f t="shared" si="60"/>
        <v>7.3275693387892969E-3</v>
      </c>
      <c r="G945" s="859">
        <f t="shared" si="60"/>
        <v>9.76780078866437E-3</v>
      </c>
      <c r="H945" s="859">
        <f t="shared" si="60"/>
        <v>1.2575374279157493E-2</v>
      </c>
      <c r="I945" s="859">
        <f t="shared" si="60"/>
        <v>1.6147348953258214E-2</v>
      </c>
      <c r="J945" s="859">
        <f t="shared" si="60"/>
        <v>1.9879627736194918E-2</v>
      </c>
      <c r="K945" s="859">
        <f t="shared" si="60"/>
        <v>2.459927198004945E-2</v>
      </c>
      <c r="L945" s="859">
        <f t="shared" si="60"/>
        <v>3.0852623307850401E-2</v>
      </c>
      <c r="M945" s="859">
        <f t="shared" si="60"/>
        <v>3.6948503932288546E-2</v>
      </c>
    </row>
    <row r="946" spans="3:13" hidden="1" outlineLevel="2" x14ac:dyDescent="0.25">
      <c r="C946" s="751">
        <v>2</v>
      </c>
      <c r="D946" s="751" t="s">
        <v>508</v>
      </c>
      <c r="E946" s="751" t="s">
        <v>509</v>
      </c>
      <c r="F946" s="859">
        <f t="shared" si="60"/>
        <v>0</v>
      </c>
      <c r="G946" s="859">
        <f t="shared" si="60"/>
        <v>0</v>
      </c>
      <c r="H946" s="859">
        <f t="shared" si="60"/>
        <v>0</v>
      </c>
      <c r="I946" s="859">
        <f t="shared" si="60"/>
        <v>0</v>
      </c>
      <c r="J946" s="859">
        <f t="shared" si="60"/>
        <v>0</v>
      </c>
      <c r="K946" s="859">
        <f t="shared" si="60"/>
        <v>0</v>
      </c>
      <c r="L946" s="859">
        <f t="shared" si="60"/>
        <v>0</v>
      </c>
      <c r="M946" s="859">
        <f t="shared" si="60"/>
        <v>0</v>
      </c>
    </row>
    <row r="947" spans="3:13" hidden="1" outlineLevel="2" x14ac:dyDescent="0.25">
      <c r="C947" s="751">
        <v>2</v>
      </c>
      <c r="D947" s="751" t="s">
        <v>508</v>
      </c>
      <c r="E947" s="751" t="s">
        <v>510</v>
      </c>
      <c r="F947" s="859">
        <f t="shared" si="60"/>
        <v>9.3435754220527432E-3</v>
      </c>
      <c r="G947" s="859">
        <f t="shared" si="60"/>
        <v>1.4090284733025352E-2</v>
      </c>
      <c r="H947" s="859">
        <f t="shared" si="60"/>
        <v>2.1010203753463404E-2</v>
      </c>
      <c r="I947" s="859">
        <f t="shared" si="60"/>
        <v>3.088014589673245E-2</v>
      </c>
      <c r="J947" s="859">
        <f t="shared" si="60"/>
        <v>4.2600067717404835E-2</v>
      </c>
      <c r="K947" s="859">
        <f t="shared" si="60"/>
        <v>5.8446106106445447E-2</v>
      </c>
      <c r="L947" s="859">
        <f t="shared" si="60"/>
        <v>8.1761919897354138E-2</v>
      </c>
      <c r="M947" s="859">
        <f t="shared" si="60"/>
        <v>9.9243773669712279E-2</v>
      </c>
    </row>
    <row r="948" spans="3:13" hidden="1" outlineLevel="2" x14ac:dyDescent="0.25">
      <c r="C948" s="751">
        <v>2</v>
      </c>
      <c r="D948" s="751" t="s">
        <v>508</v>
      </c>
      <c r="E948" s="751" t="s">
        <v>511</v>
      </c>
      <c r="F948" s="859">
        <f t="shared" si="60"/>
        <v>3.1289190273827823E-2</v>
      </c>
      <c r="G948" s="859">
        <f t="shared" si="60"/>
        <v>3.9953905220367715E-2</v>
      </c>
      <c r="H948" s="859">
        <f t="shared" si="60"/>
        <v>4.8360459504521183E-2</v>
      </c>
      <c r="I948" s="859">
        <f t="shared" si="60"/>
        <v>5.7869174417784601E-2</v>
      </c>
      <c r="J948" s="859">
        <f t="shared" si="60"/>
        <v>6.6258104597837833E-2</v>
      </c>
      <c r="K948" s="859">
        <f t="shared" si="60"/>
        <v>7.5708418187651505E-2</v>
      </c>
      <c r="L948" s="859">
        <f t="shared" si="60"/>
        <v>8.5255418226518678E-2</v>
      </c>
      <c r="M948" s="859">
        <f t="shared" si="60"/>
        <v>0.10060837670578449</v>
      </c>
    </row>
    <row r="949" spans="3:13" hidden="1" outlineLevel="2" x14ac:dyDescent="0.25">
      <c r="C949" s="751">
        <v>2</v>
      </c>
      <c r="D949" s="751" t="s">
        <v>508</v>
      </c>
      <c r="E949" s="751" t="s">
        <v>494</v>
      </c>
      <c r="F949" s="859">
        <f t="shared" si="60"/>
        <v>3.2652332255749969E-2</v>
      </c>
      <c r="G949" s="859">
        <f t="shared" si="60"/>
        <v>4.156041235762143E-2</v>
      </c>
      <c r="H949" s="859">
        <f t="shared" si="60"/>
        <v>5.0059308321580342E-2</v>
      </c>
      <c r="I949" s="859">
        <f t="shared" si="60"/>
        <v>5.9545585768153476E-2</v>
      </c>
      <c r="J949" s="859">
        <f t="shared" si="60"/>
        <v>6.772761290277246E-2</v>
      </c>
      <c r="K949" s="859">
        <f t="shared" si="60"/>
        <v>7.6780658927401421E-2</v>
      </c>
      <c r="L949" s="859">
        <f t="shared" si="60"/>
        <v>8.5472415301716828E-2</v>
      </c>
      <c r="M949" s="859">
        <f t="shared" si="60"/>
        <v>0.10069313840873484</v>
      </c>
    </row>
    <row r="950" spans="3:13" hidden="1" outlineLevel="2" x14ac:dyDescent="0.25">
      <c r="C950" s="751">
        <v>2</v>
      </c>
      <c r="D950" s="751" t="s">
        <v>508</v>
      </c>
      <c r="E950" s="751" t="s">
        <v>498</v>
      </c>
      <c r="F950" s="859">
        <f t="shared" si="60"/>
        <v>1.1139441094520853E-2</v>
      </c>
      <c r="G950" s="859">
        <f t="shared" si="60"/>
        <v>1.5052304293404982E-2</v>
      </c>
      <c r="H950" s="859">
        <f t="shared" si="60"/>
        <v>1.973626529045263E-2</v>
      </c>
      <c r="I950" s="859">
        <f t="shared" si="60"/>
        <v>2.5817745379846643E-2</v>
      </c>
      <c r="J950" s="859">
        <f t="shared" si="60"/>
        <v>3.2338286250794088E-2</v>
      </c>
      <c r="K950" s="859">
        <f t="shared" si="60"/>
        <v>4.0697539197871155E-2</v>
      </c>
      <c r="L950" s="859">
        <f t="shared" si="60"/>
        <v>5.1944854386780329E-2</v>
      </c>
      <c r="M950" s="859">
        <f t="shared" si="60"/>
        <v>6.2356900256966538E-2</v>
      </c>
    </row>
    <row r="951" spans="3:13" hidden="1" outlineLevel="2" x14ac:dyDescent="0.25">
      <c r="C951" s="751">
        <v>3</v>
      </c>
      <c r="D951" s="751" t="s">
        <v>508</v>
      </c>
      <c r="E951" s="751" t="s">
        <v>509</v>
      </c>
      <c r="F951" s="859">
        <f t="shared" ref="F951:M960" si="61">INDEX($C$907:$M$922,MATCH($C951,$C$907:$C$922,0),MATCH(F$940,$C$907:$M$907,0))*F267</f>
        <v>0</v>
      </c>
      <c r="G951" s="859">
        <f t="shared" si="61"/>
        <v>0</v>
      </c>
      <c r="H951" s="859">
        <f t="shared" si="61"/>
        <v>0</v>
      </c>
      <c r="I951" s="859">
        <f t="shared" si="61"/>
        <v>0</v>
      </c>
      <c r="J951" s="859">
        <f t="shared" si="61"/>
        <v>0</v>
      </c>
      <c r="K951" s="859">
        <f t="shared" si="61"/>
        <v>0</v>
      </c>
      <c r="L951" s="859">
        <f t="shared" si="61"/>
        <v>0</v>
      </c>
      <c r="M951" s="859">
        <f t="shared" si="61"/>
        <v>0</v>
      </c>
    </row>
    <row r="952" spans="3:13" hidden="1" outlineLevel="2" x14ac:dyDescent="0.25">
      <c r="C952" s="751">
        <v>3</v>
      </c>
      <c r="D952" s="751" t="s">
        <v>508</v>
      </c>
      <c r="E952" s="751" t="s">
        <v>510</v>
      </c>
      <c r="F952" s="859">
        <f t="shared" si="61"/>
        <v>3.1967773509349066E-3</v>
      </c>
      <c r="G952" s="859">
        <f t="shared" si="61"/>
        <v>5.2151194915234086E-3</v>
      </c>
      <c r="H952" s="859">
        <f t="shared" si="61"/>
        <v>8.4337087276775309E-3</v>
      </c>
      <c r="I952" s="859">
        <f t="shared" si="61"/>
        <v>1.3277810614396292E-2</v>
      </c>
      <c r="J952" s="859">
        <f t="shared" si="61"/>
        <v>1.9349080608071476E-2</v>
      </c>
      <c r="K952" s="859">
        <f t="shared" si="61"/>
        <v>2.7900081446697533E-2</v>
      </c>
      <c r="L952" s="859">
        <f t="shared" si="61"/>
        <v>4.1248265189754767E-2</v>
      </c>
      <c r="M952" s="859">
        <f t="shared" si="61"/>
        <v>5.0469433171915427E-2</v>
      </c>
    </row>
    <row r="953" spans="3:13" hidden="1" outlineLevel="2" x14ac:dyDescent="0.25">
      <c r="C953" s="751">
        <v>3</v>
      </c>
      <c r="D953" s="751" t="s">
        <v>508</v>
      </c>
      <c r="E953" s="751" t="s">
        <v>511</v>
      </c>
      <c r="F953" s="859">
        <f t="shared" si="61"/>
        <v>1.2860050983750801E-2</v>
      </c>
      <c r="G953" s="859">
        <f t="shared" si="61"/>
        <v>1.6787767471033138E-2</v>
      </c>
      <c r="H953" s="859">
        <f t="shared" si="61"/>
        <v>2.0918294420893078E-2</v>
      </c>
      <c r="I953" s="859">
        <f t="shared" si="61"/>
        <v>2.5875119406742138E-2</v>
      </c>
      <c r="J953" s="859">
        <f t="shared" si="61"/>
        <v>3.0632125915933464E-2</v>
      </c>
      <c r="K953" s="859">
        <f t="shared" si="61"/>
        <v>3.6327705804834527E-2</v>
      </c>
      <c r="L953" s="859">
        <f t="shared" si="61"/>
        <v>4.3006334616251335E-2</v>
      </c>
      <c r="M953" s="859">
        <f t="shared" si="61"/>
        <v>5.1159715234061202E-2</v>
      </c>
    </row>
    <row r="954" spans="3:13" hidden="1" outlineLevel="2" x14ac:dyDescent="0.25">
      <c r="C954" s="751">
        <v>3</v>
      </c>
      <c r="D954" s="751" t="s">
        <v>508</v>
      </c>
      <c r="E954" s="751" t="s">
        <v>494</v>
      </c>
      <c r="F954" s="859">
        <f t="shared" si="61"/>
        <v>2.4867698977646093E-2</v>
      </c>
      <c r="G954" s="859">
        <f t="shared" si="61"/>
        <v>3.1634134933423742E-2</v>
      </c>
      <c r="H954" s="859">
        <f t="shared" si="61"/>
        <v>3.7878323397916143E-2</v>
      </c>
      <c r="I954" s="859">
        <f t="shared" si="61"/>
        <v>4.4590969419437181E-2</v>
      </c>
      <c r="J954" s="859">
        <f t="shared" si="61"/>
        <v>4.9901792574987662E-2</v>
      </c>
      <c r="K954" s="859">
        <f t="shared" si="61"/>
        <v>5.5241044633791571E-2</v>
      </c>
      <c r="L954" s="859">
        <f t="shared" si="61"/>
        <v>5.8860523814270101E-2</v>
      </c>
      <c r="M954" s="859">
        <f t="shared" si="61"/>
        <v>6.8905385305866609E-2</v>
      </c>
    </row>
    <row r="955" spans="3:13" hidden="1" outlineLevel="2" x14ac:dyDescent="0.25">
      <c r="C955" s="751">
        <v>3</v>
      </c>
      <c r="D955" s="751" t="s">
        <v>508</v>
      </c>
      <c r="E955" s="751" t="s">
        <v>498</v>
      </c>
      <c r="F955" s="859">
        <f t="shared" si="61"/>
        <v>5.5029352634161539E-3</v>
      </c>
      <c r="G955" s="859">
        <f t="shared" si="61"/>
        <v>7.4569449984142949E-3</v>
      </c>
      <c r="H955" s="859">
        <f t="shared" si="61"/>
        <v>9.7993306363305475E-3</v>
      </c>
      <c r="I955" s="859">
        <f t="shared" si="61"/>
        <v>1.2867779917637958E-2</v>
      </c>
      <c r="J955" s="859">
        <f t="shared" si="61"/>
        <v>1.6185629407525316E-2</v>
      </c>
      <c r="K955" s="859">
        <f t="shared" si="61"/>
        <v>2.0494320092422705E-2</v>
      </c>
      <c r="L955" s="859">
        <f t="shared" si="61"/>
        <v>2.6417832092418627E-2</v>
      </c>
      <c r="M955" s="859">
        <f t="shared" si="61"/>
        <v>3.1793766756248475E-2</v>
      </c>
    </row>
    <row r="956" spans="3:13" hidden="1" outlineLevel="2" x14ac:dyDescent="0.25">
      <c r="C956" s="751">
        <v>4</v>
      </c>
      <c r="D956" s="751" t="s">
        <v>508</v>
      </c>
      <c r="E956" s="751" t="s">
        <v>509</v>
      </c>
      <c r="F956" s="859">
        <f t="shared" si="61"/>
        <v>0</v>
      </c>
      <c r="G956" s="859">
        <f t="shared" si="61"/>
        <v>0</v>
      </c>
      <c r="H956" s="859">
        <f t="shared" si="61"/>
        <v>0</v>
      </c>
      <c r="I956" s="859">
        <f t="shared" si="61"/>
        <v>0</v>
      </c>
      <c r="J956" s="859">
        <f t="shared" si="61"/>
        <v>0</v>
      </c>
      <c r="K956" s="859">
        <f t="shared" si="61"/>
        <v>0</v>
      </c>
      <c r="L956" s="859">
        <f t="shared" si="61"/>
        <v>0</v>
      </c>
      <c r="M956" s="859">
        <f t="shared" si="61"/>
        <v>0</v>
      </c>
    </row>
    <row r="957" spans="3:13" hidden="1" outlineLevel="2" x14ac:dyDescent="0.25">
      <c r="C957" s="751">
        <v>4</v>
      </c>
      <c r="D957" s="751" t="s">
        <v>508</v>
      </c>
      <c r="E957" s="751" t="s">
        <v>510</v>
      </c>
      <c r="F957" s="859">
        <f t="shared" si="61"/>
        <v>1.5430660985516096E-2</v>
      </c>
      <c r="G957" s="859">
        <f t="shared" si="61"/>
        <v>2.2512161855344246E-2</v>
      </c>
      <c r="H957" s="859">
        <f t="shared" si="61"/>
        <v>3.2310800700771865E-2</v>
      </c>
      <c r="I957" s="859">
        <f t="shared" si="61"/>
        <v>4.5804872951517042E-2</v>
      </c>
      <c r="J957" s="859">
        <f t="shared" si="61"/>
        <v>6.1248942192087874E-2</v>
      </c>
      <c r="K957" s="859">
        <f t="shared" si="61"/>
        <v>8.1553826189357942E-2</v>
      </c>
      <c r="L957" s="859">
        <f t="shared" si="61"/>
        <v>0.11021122630960235</v>
      </c>
      <c r="M957" s="859">
        <f t="shared" si="61"/>
        <v>0.13310518564636337</v>
      </c>
    </row>
    <row r="958" spans="3:13" hidden="1" outlineLevel="2" x14ac:dyDescent="0.25">
      <c r="C958" s="751">
        <v>4</v>
      </c>
      <c r="D958" s="751" t="s">
        <v>508</v>
      </c>
      <c r="E958" s="751" t="s">
        <v>511</v>
      </c>
      <c r="F958" s="859">
        <f t="shared" si="61"/>
        <v>3.4696659636541616E-2</v>
      </c>
      <c r="G958" s="859">
        <f t="shared" si="61"/>
        <v>4.4892398964968133E-2</v>
      </c>
      <c r="H958" s="859">
        <f t="shared" si="61"/>
        <v>5.5546292873587338E-2</v>
      </c>
      <c r="I958" s="859">
        <f t="shared" si="61"/>
        <v>6.828016239382996E-2</v>
      </c>
      <c r="J958" s="859">
        <f t="shared" si="61"/>
        <v>8.0579793707673111E-2</v>
      </c>
      <c r="K958" s="859">
        <f t="shared" si="61"/>
        <v>9.5381313895081213E-2</v>
      </c>
      <c r="L958" s="859">
        <f t="shared" si="61"/>
        <v>0.11294134210164501</v>
      </c>
      <c r="M958" s="859">
        <f t="shared" si="61"/>
        <v>0.13416746476449862</v>
      </c>
    </row>
    <row r="959" spans="3:13" hidden="1" outlineLevel="2" x14ac:dyDescent="0.25">
      <c r="C959" s="751">
        <v>4</v>
      </c>
      <c r="D959" s="751" t="s">
        <v>508</v>
      </c>
      <c r="E959" s="751" t="s">
        <v>494</v>
      </c>
      <c r="F959" s="859">
        <f t="shared" si="61"/>
        <v>4.8149375335404816E-2</v>
      </c>
      <c r="G959" s="859">
        <f t="shared" si="61"/>
        <v>6.0519669191777349E-2</v>
      </c>
      <c r="H959" s="859">
        <f t="shared" si="61"/>
        <v>7.1770755253449961E-2</v>
      </c>
      <c r="I959" s="859">
        <f t="shared" si="61"/>
        <v>8.397380405724833E-2</v>
      </c>
      <c r="J959" s="859">
        <f t="shared" si="61"/>
        <v>9.4077793700643231E-2</v>
      </c>
      <c r="K959" s="859">
        <f t="shared" si="61"/>
        <v>0.10503652379642298</v>
      </c>
      <c r="L959" s="859">
        <f t="shared" si="61"/>
        <v>0.1148476783492795</v>
      </c>
      <c r="M959" s="859">
        <f t="shared" si="61"/>
        <v>0.13490921395840058</v>
      </c>
    </row>
    <row r="960" spans="3:13" hidden="1" outlineLevel="2" x14ac:dyDescent="0.25">
      <c r="C960" s="751">
        <v>4</v>
      </c>
      <c r="D960" s="751" t="s">
        <v>508</v>
      </c>
      <c r="E960" s="751" t="s">
        <v>498</v>
      </c>
      <c r="F960" s="859">
        <f t="shared" si="61"/>
        <v>1.564688688163178E-2</v>
      </c>
      <c r="G960" s="859">
        <f t="shared" si="61"/>
        <v>2.1043130879616428E-2</v>
      </c>
      <c r="H960" s="859">
        <f t="shared" si="61"/>
        <v>2.7433752713443494E-2</v>
      </c>
      <c r="I960" s="859">
        <f t="shared" si="61"/>
        <v>3.5630690851751669E-2</v>
      </c>
      <c r="J960" s="859">
        <f t="shared" si="61"/>
        <v>4.4303518898514103E-2</v>
      </c>
      <c r="K960" s="859">
        <f t="shared" si="61"/>
        <v>5.5279383602468889E-2</v>
      </c>
      <c r="L960" s="859">
        <f t="shared" si="61"/>
        <v>6.9732640968334592E-2</v>
      </c>
      <c r="M960" s="859">
        <f t="shared" si="61"/>
        <v>8.3521716247221545E-2</v>
      </c>
    </row>
    <row r="961" spans="3:13" hidden="1" outlineLevel="2" x14ac:dyDescent="0.25">
      <c r="C961" s="751">
        <v>5</v>
      </c>
      <c r="D961" s="751" t="s">
        <v>508</v>
      </c>
      <c r="E961" s="751" t="s">
        <v>509</v>
      </c>
      <c r="F961" s="859">
        <f t="shared" ref="F961:M970" si="62">INDEX($C$907:$M$922,MATCH($C961,$C$907:$C$922,0),MATCH(F$940,$C$907:$M$907,0))*F277</f>
        <v>0</v>
      </c>
      <c r="G961" s="859">
        <f t="shared" si="62"/>
        <v>0</v>
      </c>
      <c r="H961" s="859">
        <f t="shared" si="62"/>
        <v>0</v>
      </c>
      <c r="I961" s="859">
        <f t="shared" si="62"/>
        <v>0</v>
      </c>
      <c r="J961" s="859">
        <f t="shared" si="62"/>
        <v>0</v>
      </c>
      <c r="K961" s="859">
        <f t="shared" si="62"/>
        <v>0</v>
      </c>
      <c r="L961" s="859">
        <f t="shared" si="62"/>
        <v>0</v>
      </c>
      <c r="M961" s="859">
        <f t="shared" si="62"/>
        <v>0</v>
      </c>
    </row>
    <row r="962" spans="3:13" hidden="1" outlineLevel="2" x14ac:dyDescent="0.25">
      <c r="C962" s="751">
        <v>5</v>
      </c>
      <c r="D962" s="751" t="s">
        <v>508</v>
      </c>
      <c r="E962" s="751" t="s">
        <v>510</v>
      </c>
      <c r="F962" s="859">
        <f t="shared" si="62"/>
        <v>0.10046159619214944</v>
      </c>
      <c r="G962" s="859">
        <f t="shared" si="62"/>
        <v>0.15419481522411801</v>
      </c>
      <c r="H962" s="859">
        <f t="shared" si="62"/>
        <v>0.2245759010768188</v>
      </c>
      <c r="I962" s="859">
        <f t="shared" si="62"/>
        <v>0.31057818304719315</v>
      </c>
      <c r="J962" s="859">
        <f t="shared" si="62"/>
        <v>0.40027907051497919</v>
      </c>
      <c r="K962" s="859">
        <f t="shared" si="62"/>
        <v>0.50854958663779559</v>
      </c>
      <c r="L962" s="859">
        <f t="shared" si="62"/>
        <v>0.64614163854128226</v>
      </c>
      <c r="M962" s="859">
        <f t="shared" si="62"/>
        <v>0.76993900938611559</v>
      </c>
    </row>
    <row r="963" spans="3:13" hidden="1" outlineLevel="2" x14ac:dyDescent="0.25">
      <c r="C963" s="751">
        <v>5</v>
      </c>
      <c r="D963" s="751" t="s">
        <v>508</v>
      </c>
      <c r="E963" s="751" t="s">
        <v>511</v>
      </c>
      <c r="F963" s="859">
        <f t="shared" si="62"/>
        <v>0.31411460495365123</v>
      </c>
      <c r="G963" s="859">
        <f t="shared" si="62"/>
        <v>0.3694715280407232</v>
      </c>
      <c r="H963" s="859">
        <f t="shared" si="62"/>
        <v>0.41520788438915879</v>
      </c>
      <c r="I963" s="859">
        <f t="shared" si="62"/>
        <v>0.46941968473246548</v>
      </c>
      <c r="J963" s="859">
        <f t="shared" si="62"/>
        <v>0.5211246505558208</v>
      </c>
      <c r="K963" s="859">
        <f t="shared" si="62"/>
        <v>0.58573175683372403</v>
      </c>
      <c r="L963" s="859">
        <f t="shared" si="62"/>
        <v>0.65961147829529332</v>
      </c>
      <c r="M963" s="859">
        <f t="shared" si="62"/>
        <v>0.77507441904846153</v>
      </c>
    </row>
    <row r="964" spans="3:13" hidden="1" outlineLevel="2" x14ac:dyDescent="0.25">
      <c r="C964" s="751">
        <v>5</v>
      </c>
      <c r="D964" s="751" t="s">
        <v>508</v>
      </c>
      <c r="E964" s="751" t="s">
        <v>494</v>
      </c>
      <c r="F964" s="859">
        <f t="shared" si="62"/>
        <v>0.22302348001386632</v>
      </c>
      <c r="G964" s="859">
        <f t="shared" si="62"/>
        <v>0.27768813562571748</v>
      </c>
      <c r="H964" s="859">
        <f t="shared" si="62"/>
        <v>0.33393179139106033</v>
      </c>
      <c r="I964" s="859">
        <f t="shared" si="62"/>
        <v>0.40169748807579292</v>
      </c>
      <c r="J964" s="859">
        <f t="shared" si="62"/>
        <v>0.46960204437427544</v>
      </c>
      <c r="K964" s="859">
        <f t="shared" si="62"/>
        <v>0.55282507908930101</v>
      </c>
      <c r="L964" s="859">
        <f t="shared" si="62"/>
        <v>0.65386860173547279</v>
      </c>
      <c r="M964" s="859">
        <f t="shared" si="62"/>
        <v>0.77288493318125384</v>
      </c>
    </row>
    <row r="965" spans="3:13" hidden="1" outlineLevel="2" x14ac:dyDescent="0.25">
      <c r="C965" s="751">
        <v>5</v>
      </c>
      <c r="D965" s="751" t="s">
        <v>508</v>
      </c>
      <c r="E965" s="751" t="s">
        <v>498</v>
      </c>
      <c r="F965" s="859">
        <f t="shared" si="62"/>
        <v>6.8652372106844828E-2</v>
      </c>
      <c r="G965" s="859">
        <f t="shared" si="62"/>
        <v>0.10228019783379713</v>
      </c>
      <c r="H965" s="859">
        <f t="shared" si="62"/>
        <v>0.14559198255087438</v>
      </c>
      <c r="I965" s="859">
        <f t="shared" si="62"/>
        <v>0.19847089406695537</v>
      </c>
      <c r="J965" s="859">
        <f t="shared" si="62"/>
        <v>0.25349112084800762</v>
      </c>
      <c r="K965" s="859">
        <f t="shared" si="62"/>
        <v>0.3199618168773074</v>
      </c>
      <c r="L965" s="859">
        <f t="shared" si="62"/>
        <v>0.40420821441062371</v>
      </c>
      <c r="M965" s="859">
        <f t="shared" si="62"/>
        <v>0.48135282621444819</v>
      </c>
    </row>
    <row r="966" spans="3:13" hidden="1" outlineLevel="2" x14ac:dyDescent="0.25">
      <c r="C966" s="751">
        <v>6</v>
      </c>
      <c r="D966" s="751" t="s">
        <v>508</v>
      </c>
      <c r="E966" s="751" t="s">
        <v>509</v>
      </c>
      <c r="F966" s="859">
        <f t="shared" si="62"/>
        <v>0</v>
      </c>
      <c r="G966" s="859">
        <f t="shared" si="62"/>
        <v>0</v>
      </c>
      <c r="H966" s="859">
        <f t="shared" si="62"/>
        <v>0</v>
      </c>
      <c r="I966" s="859">
        <f t="shared" si="62"/>
        <v>0</v>
      </c>
      <c r="J966" s="859">
        <f t="shared" si="62"/>
        <v>0</v>
      </c>
      <c r="K966" s="859">
        <f t="shared" si="62"/>
        <v>0</v>
      </c>
      <c r="L966" s="859">
        <f t="shared" si="62"/>
        <v>0</v>
      </c>
      <c r="M966" s="859">
        <f t="shared" si="62"/>
        <v>0</v>
      </c>
    </row>
    <row r="967" spans="3:13" hidden="1" outlineLevel="2" x14ac:dyDescent="0.25">
      <c r="C967" s="751">
        <v>6</v>
      </c>
      <c r="D967" s="751" t="s">
        <v>508</v>
      </c>
      <c r="E967" s="751" t="s">
        <v>510</v>
      </c>
      <c r="F967" s="859">
        <f t="shared" si="62"/>
        <v>0.1076192725655087</v>
      </c>
      <c r="G967" s="859">
        <f t="shared" si="62"/>
        <v>0.13691150155326778</v>
      </c>
      <c r="H967" s="859">
        <f t="shared" si="62"/>
        <v>0.16793918671056232</v>
      </c>
      <c r="I967" s="859">
        <f t="shared" si="62"/>
        <v>0.20583946762782485</v>
      </c>
      <c r="J967" s="859">
        <f t="shared" si="62"/>
        <v>0.24381537984393081</v>
      </c>
      <c r="K967" s="859">
        <f t="shared" si="62"/>
        <v>0.29046073741215356</v>
      </c>
      <c r="L967" s="859">
        <f t="shared" si="62"/>
        <v>0.34774797293721044</v>
      </c>
      <c r="M967" s="859">
        <f t="shared" si="62"/>
        <v>0.41277073256327534</v>
      </c>
    </row>
    <row r="968" spans="3:13" hidden="1" outlineLevel="2" x14ac:dyDescent="0.25">
      <c r="C968" s="751">
        <v>6</v>
      </c>
      <c r="D968" s="751" t="s">
        <v>508</v>
      </c>
      <c r="E968" s="751" t="s">
        <v>511</v>
      </c>
      <c r="F968" s="859">
        <f t="shared" si="62"/>
        <v>0.12705610441895207</v>
      </c>
      <c r="G968" s="859">
        <f t="shared" si="62"/>
        <v>0.15581160951067946</v>
      </c>
      <c r="H968" s="859">
        <f t="shared" si="62"/>
        <v>0.18401328153156557</v>
      </c>
      <c r="I968" s="859">
        <f t="shared" si="62"/>
        <v>0.21883440949209274</v>
      </c>
      <c r="J968" s="859">
        <f t="shared" si="62"/>
        <v>0.25346955196516668</v>
      </c>
      <c r="K968" s="859">
        <f t="shared" si="62"/>
        <v>0.29651356383897748</v>
      </c>
      <c r="L968" s="859">
        <f t="shared" si="62"/>
        <v>0.34878578312515168</v>
      </c>
      <c r="M968" s="859">
        <f t="shared" si="62"/>
        <v>0.4131666966737112</v>
      </c>
    </row>
    <row r="969" spans="3:13" hidden="1" outlineLevel="2" x14ac:dyDescent="0.25">
      <c r="C969" s="751">
        <v>6</v>
      </c>
      <c r="D969" s="751" t="s">
        <v>508</v>
      </c>
      <c r="E969" s="751" t="s">
        <v>494</v>
      </c>
      <c r="F969" s="859">
        <f t="shared" si="62"/>
        <v>9.0505812303274549E-2</v>
      </c>
      <c r="G969" s="859">
        <f t="shared" si="62"/>
        <v>0.12027060817517352</v>
      </c>
      <c r="H969" s="859">
        <f t="shared" si="62"/>
        <v>0.1537865004577412</v>
      </c>
      <c r="I969" s="859">
        <f t="shared" si="62"/>
        <v>0.1943978693837777</v>
      </c>
      <c r="J969" s="859">
        <f t="shared" si="62"/>
        <v>0.23531521416840809</v>
      </c>
      <c r="K969" s="859">
        <f t="shared" si="62"/>
        <v>0.28513143244564954</v>
      </c>
      <c r="L969" s="859">
        <f t="shared" si="62"/>
        <v>0.34683421685057075</v>
      </c>
      <c r="M969" s="859">
        <f t="shared" si="62"/>
        <v>0.41242209981693528</v>
      </c>
    </row>
    <row r="970" spans="3:13" hidden="1" outlineLevel="2" x14ac:dyDescent="0.25">
      <c r="C970" s="751">
        <v>6</v>
      </c>
      <c r="D970" s="751" t="s">
        <v>508</v>
      </c>
      <c r="E970" s="751" t="s">
        <v>498</v>
      </c>
      <c r="F970" s="859">
        <f t="shared" si="62"/>
        <v>3.7696090790677698E-2</v>
      </c>
      <c r="G970" s="859">
        <f t="shared" si="62"/>
        <v>5.682016090819255E-2</v>
      </c>
      <c r="H970" s="859">
        <f t="shared" si="62"/>
        <v>8.051119844246514E-2</v>
      </c>
      <c r="I970" s="859">
        <f t="shared" si="62"/>
        <v>0.10888266698659828</v>
      </c>
      <c r="J970" s="859">
        <f t="shared" si="62"/>
        <v>0.13769935832248112</v>
      </c>
      <c r="K970" s="859">
        <f t="shared" si="62"/>
        <v>0.17233082298784272</v>
      </c>
      <c r="L970" s="859">
        <f t="shared" si="62"/>
        <v>0.21576383852614897</v>
      </c>
      <c r="M970" s="859">
        <f t="shared" si="62"/>
        <v>0.25737939483180261</v>
      </c>
    </row>
    <row r="971" spans="3:13" hidden="1" outlineLevel="2" x14ac:dyDescent="0.25">
      <c r="C971" s="751">
        <v>7</v>
      </c>
      <c r="D971" s="751" t="s">
        <v>508</v>
      </c>
      <c r="E971" s="751" t="s">
        <v>509</v>
      </c>
      <c r="F971" s="859">
        <f t="shared" ref="F971:M980" si="63">INDEX($C$907:$M$922,MATCH($C971,$C$907:$C$922,0),MATCH(F$940,$C$907:$M$907,0))*F287</f>
        <v>0</v>
      </c>
      <c r="G971" s="859">
        <f t="shared" si="63"/>
        <v>0</v>
      </c>
      <c r="H971" s="859">
        <f t="shared" si="63"/>
        <v>0</v>
      </c>
      <c r="I971" s="859">
        <f t="shared" si="63"/>
        <v>0</v>
      </c>
      <c r="J971" s="859">
        <f t="shared" si="63"/>
        <v>0</v>
      </c>
      <c r="K971" s="859">
        <f t="shared" si="63"/>
        <v>0</v>
      </c>
      <c r="L971" s="859">
        <f t="shared" si="63"/>
        <v>0</v>
      </c>
      <c r="M971" s="859">
        <f t="shared" si="63"/>
        <v>0</v>
      </c>
    </row>
    <row r="972" spans="3:13" hidden="1" outlineLevel="2" x14ac:dyDescent="0.25">
      <c r="C972" s="751">
        <v>7</v>
      </c>
      <c r="D972" s="751" t="s">
        <v>508</v>
      </c>
      <c r="E972" s="751" t="s">
        <v>510</v>
      </c>
      <c r="F972" s="859">
        <f t="shared" si="63"/>
        <v>0.10706587814427652</v>
      </c>
      <c r="G972" s="859">
        <f t="shared" si="63"/>
        <v>0.14747814353401983</v>
      </c>
      <c r="H972" s="859">
        <f t="shared" si="63"/>
        <v>0.19324807104975755</v>
      </c>
      <c r="I972" s="859">
        <f t="shared" si="63"/>
        <v>0.24715508038863221</v>
      </c>
      <c r="J972" s="859">
        <f t="shared" si="63"/>
        <v>0.30121393158655879</v>
      </c>
      <c r="K972" s="859">
        <f t="shared" si="63"/>
        <v>0.36637092181224895</v>
      </c>
      <c r="L972" s="859">
        <f t="shared" si="63"/>
        <v>0.44684870227366347</v>
      </c>
      <c r="M972" s="859">
        <f t="shared" si="63"/>
        <v>0.53066509422047592</v>
      </c>
    </row>
    <row r="973" spans="3:13" hidden="1" outlineLevel="2" x14ac:dyDescent="0.25">
      <c r="C973" s="751">
        <v>7</v>
      </c>
      <c r="D973" s="751" t="s">
        <v>508</v>
      </c>
      <c r="E973" s="751" t="s">
        <v>511</v>
      </c>
      <c r="F973" s="859">
        <f t="shared" si="63"/>
        <v>0.18225033063083124</v>
      </c>
      <c r="G973" s="859">
        <f t="shared" si="63"/>
        <v>0.21434861005639885</v>
      </c>
      <c r="H973" s="859">
        <f t="shared" si="63"/>
        <v>0.24587633575223508</v>
      </c>
      <c r="I973" s="859">
        <f t="shared" si="63"/>
        <v>0.28740761766832029</v>
      </c>
      <c r="J973" s="859">
        <f t="shared" si="63"/>
        <v>0.33003919742168952</v>
      </c>
      <c r="K973" s="859">
        <f t="shared" si="63"/>
        <v>0.38393832064055067</v>
      </c>
      <c r="L973" s="859">
        <f t="shared" si="63"/>
        <v>0.44978335615614462</v>
      </c>
      <c r="M973" s="859">
        <f t="shared" si="63"/>
        <v>0.5317798168058312</v>
      </c>
    </row>
    <row r="974" spans="3:13" hidden="1" outlineLevel="2" x14ac:dyDescent="0.25">
      <c r="C974" s="751">
        <v>7</v>
      </c>
      <c r="D974" s="751" t="s">
        <v>508</v>
      </c>
      <c r="E974" s="751" t="s">
        <v>494</v>
      </c>
      <c r="F974" s="859">
        <f t="shared" si="63"/>
        <v>0.12066822351661451</v>
      </c>
      <c r="G974" s="859">
        <f t="shared" si="63"/>
        <v>0.15957632541556546</v>
      </c>
      <c r="H974" s="859">
        <f t="shared" si="63"/>
        <v>0.20276955865995122</v>
      </c>
      <c r="I974" s="859">
        <f t="shared" si="63"/>
        <v>0.25443755563561427</v>
      </c>
      <c r="J974" s="859">
        <f t="shared" si="63"/>
        <v>0.30642898880080177</v>
      </c>
      <c r="K974" s="859">
        <f t="shared" si="63"/>
        <v>0.36954920958655829</v>
      </c>
      <c r="L974" s="859">
        <f t="shared" si="63"/>
        <v>0.44737963884814891</v>
      </c>
      <c r="M974" s="859">
        <f t="shared" si="63"/>
        <v>0.53086676944851674</v>
      </c>
    </row>
    <row r="975" spans="3:13" hidden="1" outlineLevel="2" x14ac:dyDescent="0.25">
      <c r="C975" s="751">
        <v>7</v>
      </c>
      <c r="D975" s="751" t="s">
        <v>508</v>
      </c>
      <c r="E975" s="751" t="s">
        <v>498</v>
      </c>
      <c r="F975" s="859">
        <f t="shared" si="63"/>
        <v>6.7266583933556723E-2</v>
      </c>
      <c r="G975" s="859">
        <f t="shared" si="63"/>
        <v>9.2485501038249665E-2</v>
      </c>
      <c r="H975" s="859">
        <f t="shared" si="63"/>
        <v>0.12102532750039685</v>
      </c>
      <c r="I975" s="859">
        <f t="shared" si="63"/>
        <v>0.15465952912748332</v>
      </c>
      <c r="J975" s="859">
        <f t="shared" si="63"/>
        <v>0.18839305235896148</v>
      </c>
      <c r="K975" s="859">
        <f t="shared" si="63"/>
        <v>0.22906370202135809</v>
      </c>
      <c r="L975" s="859">
        <f t="shared" si="63"/>
        <v>0.27929411638103302</v>
      </c>
      <c r="M975" s="859">
        <f t="shared" si="63"/>
        <v>0.33167087924444782</v>
      </c>
    </row>
    <row r="976" spans="3:13" hidden="1" outlineLevel="2" x14ac:dyDescent="0.25">
      <c r="C976" s="751">
        <v>8</v>
      </c>
      <c r="D976" s="751" t="s">
        <v>508</v>
      </c>
      <c r="E976" s="751" t="s">
        <v>509</v>
      </c>
      <c r="F976" s="859">
        <f t="shared" si="63"/>
        <v>0</v>
      </c>
      <c r="G976" s="859">
        <f t="shared" si="63"/>
        <v>0</v>
      </c>
      <c r="H976" s="859">
        <f t="shared" si="63"/>
        <v>0</v>
      </c>
      <c r="I976" s="859">
        <f t="shared" si="63"/>
        <v>0</v>
      </c>
      <c r="J976" s="859">
        <f t="shared" si="63"/>
        <v>0</v>
      </c>
      <c r="K976" s="859">
        <f t="shared" si="63"/>
        <v>0</v>
      </c>
      <c r="L976" s="859">
        <f t="shared" si="63"/>
        <v>0</v>
      </c>
      <c r="M976" s="859">
        <f t="shared" si="63"/>
        <v>0</v>
      </c>
    </row>
    <row r="977" spans="3:13" hidden="1" outlineLevel="2" x14ac:dyDescent="0.25">
      <c r="C977" s="751">
        <v>8</v>
      </c>
      <c r="D977" s="751" t="s">
        <v>508</v>
      </c>
      <c r="E977" s="751" t="s">
        <v>510</v>
      </c>
      <c r="F977" s="859">
        <f t="shared" si="63"/>
        <v>0.25812790227956811</v>
      </c>
      <c r="G977" s="859">
        <f t="shared" si="63"/>
        <v>0.3641000718656715</v>
      </c>
      <c r="H977" s="859">
        <f t="shared" si="63"/>
        <v>0.49111134371417176</v>
      </c>
      <c r="I977" s="859">
        <f t="shared" si="63"/>
        <v>0.64052687444791212</v>
      </c>
      <c r="J977" s="859">
        <f t="shared" si="63"/>
        <v>0.79179584213868193</v>
      </c>
      <c r="K977" s="859">
        <f t="shared" si="63"/>
        <v>0.97199845539953733</v>
      </c>
      <c r="L977" s="859">
        <f t="shared" si="63"/>
        <v>1.1947779658922899</v>
      </c>
      <c r="M977" s="859">
        <f t="shared" si="63"/>
        <v>1.4242213022974912</v>
      </c>
    </row>
    <row r="978" spans="3:13" hidden="1" outlineLevel="2" x14ac:dyDescent="0.25">
      <c r="C978" s="751">
        <v>8</v>
      </c>
      <c r="D978" s="751" t="s">
        <v>508</v>
      </c>
      <c r="E978" s="751" t="s">
        <v>511</v>
      </c>
      <c r="F978" s="859">
        <f t="shared" si="63"/>
        <v>0.55518514866869495</v>
      </c>
      <c r="G978" s="859">
        <f t="shared" si="63"/>
        <v>0.64381110021973165</v>
      </c>
      <c r="H978" s="859">
        <f t="shared" si="63"/>
        <v>0.71946141925559925</v>
      </c>
      <c r="I978" s="859">
        <f t="shared" si="63"/>
        <v>0.81868383694603941</v>
      </c>
      <c r="J978" s="859">
        <f t="shared" si="63"/>
        <v>0.91994786635964632</v>
      </c>
      <c r="K978" s="859">
        <f t="shared" si="63"/>
        <v>1.0517551500075917</v>
      </c>
      <c r="L978" s="859">
        <f t="shared" si="63"/>
        <v>1.2115531186548032</v>
      </c>
      <c r="M978" s="859">
        <f t="shared" si="63"/>
        <v>1.4152461154809999</v>
      </c>
    </row>
    <row r="979" spans="3:13" hidden="1" outlineLevel="2" x14ac:dyDescent="0.25">
      <c r="C979" s="751">
        <v>8</v>
      </c>
      <c r="D979" s="751" t="s">
        <v>508</v>
      </c>
      <c r="E979" s="751" t="s">
        <v>494</v>
      </c>
      <c r="F979" s="859">
        <f t="shared" si="63"/>
        <v>0.33421439949295945</v>
      </c>
      <c r="G979" s="859">
        <f t="shared" si="63"/>
        <v>0.43574361073944667</v>
      </c>
      <c r="H979" s="859">
        <f t="shared" si="63"/>
        <v>0.54959958999516356</v>
      </c>
      <c r="I979" s="859">
        <f t="shared" si="63"/>
        <v>0.68615895175096309</v>
      </c>
      <c r="J979" s="859">
        <f t="shared" si="63"/>
        <v>0.82461994844244224</v>
      </c>
      <c r="K979" s="859">
        <f t="shared" si="63"/>
        <v>0.99242686640721189</v>
      </c>
      <c r="L979" s="859">
        <f t="shared" si="63"/>
        <v>1.1990746549292819</v>
      </c>
      <c r="M979" s="859">
        <f t="shared" si="63"/>
        <v>1.4219224506956416</v>
      </c>
    </row>
    <row r="980" spans="3:13" hidden="1" outlineLevel="2" x14ac:dyDescent="0.25">
      <c r="C980" s="751">
        <v>8</v>
      </c>
      <c r="D980" s="751" t="s">
        <v>508</v>
      </c>
      <c r="E980" s="751" t="s">
        <v>498</v>
      </c>
      <c r="F980" s="859">
        <f t="shared" si="63"/>
        <v>0.15882205657026097</v>
      </c>
      <c r="G980" s="859">
        <f t="shared" si="63"/>
        <v>0.22520110663811538</v>
      </c>
      <c r="H980" s="859">
        <f t="shared" si="63"/>
        <v>0.30501676233337921</v>
      </c>
      <c r="I980" s="859">
        <f t="shared" si="63"/>
        <v>0.39882522043684909</v>
      </c>
      <c r="J980" s="859">
        <f t="shared" si="63"/>
        <v>0.49379048798785252</v>
      </c>
      <c r="K980" s="859">
        <f t="shared" si="63"/>
        <v>0.60682569502606554</v>
      </c>
      <c r="L980" s="859">
        <f t="shared" si="63"/>
        <v>0.74659460577962811</v>
      </c>
      <c r="M980" s="859">
        <f t="shared" si="63"/>
        <v>0.8902140862421748</v>
      </c>
    </row>
    <row r="981" spans="3:13" hidden="1" outlineLevel="2" x14ac:dyDescent="0.25">
      <c r="C981" s="751">
        <v>9</v>
      </c>
      <c r="D981" s="751" t="s">
        <v>508</v>
      </c>
      <c r="E981" s="751" t="s">
        <v>509</v>
      </c>
      <c r="F981" s="859">
        <f t="shared" ref="F981:M990" si="64">INDEX($C$907:$M$922,MATCH($C981,$C$907:$C$922,0),MATCH(F$940,$C$907:$M$907,0))*F297</f>
        <v>0</v>
      </c>
      <c r="G981" s="859">
        <f t="shared" si="64"/>
        <v>0</v>
      </c>
      <c r="H981" s="859">
        <f t="shared" si="64"/>
        <v>0</v>
      </c>
      <c r="I981" s="859">
        <f t="shared" si="64"/>
        <v>0</v>
      </c>
      <c r="J981" s="859">
        <f t="shared" si="64"/>
        <v>0</v>
      </c>
      <c r="K981" s="859">
        <f t="shared" si="64"/>
        <v>0</v>
      </c>
      <c r="L981" s="859">
        <f t="shared" si="64"/>
        <v>0</v>
      </c>
      <c r="M981" s="859">
        <f t="shared" si="64"/>
        <v>0</v>
      </c>
    </row>
    <row r="982" spans="3:13" hidden="1" outlineLevel="2" x14ac:dyDescent="0.25">
      <c r="C982" s="751">
        <v>9</v>
      </c>
      <c r="D982" s="751" t="s">
        <v>508</v>
      </c>
      <c r="E982" s="751" t="s">
        <v>510</v>
      </c>
      <c r="F982" s="859">
        <f t="shared" si="64"/>
        <v>0.18538242338859007</v>
      </c>
      <c r="G982" s="859">
        <f t="shared" si="64"/>
        <v>0.26183236699584939</v>
      </c>
      <c r="H982" s="859">
        <f t="shared" si="64"/>
        <v>0.34396668602473418</v>
      </c>
      <c r="I982" s="859">
        <f t="shared" si="64"/>
        <v>0.43623253650856009</v>
      </c>
      <c r="J982" s="859">
        <f t="shared" si="64"/>
        <v>0.52861238561028512</v>
      </c>
      <c r="K982" s="859">
        <f t="shared" si="64"/>
        <v>0.63890812601996283</v>
      </c>
      <c r="L982" s="859">
        <f t="shared" si="64"/>
        <v>0.77413447329432883</v>
      </c>
      <c r="M982" s="859">
        <f t="shared" si="64"/>
        <v>0.91477901518124149</v>
      </c>
    </row>
    <row r="983" spans="3:13" hidden="1" outlineLevel="2" x14ac:dyDescent="0.25">
      <c r="C983" s="751">
        <v>9</v>
      </c>
      <c r="D983" s="751" t="s">
        <v>508</v>
      </c>
      <c r="E983" s="751" t="s">
        <v>511</v>
      </c>
      <c r="F983" s="859">
        <f t="shared" si="64"/>
        <v>0.39592448564276767</v>
      </c>
      <c r="G983" s="859">
        <f t="shared" si="64"/>
        <v>0.42270284060759283</v>
      </c>
      <c r="H983" s="859">
        <f t="shared" si="64"/>
        <v>0.45749622617897345</v>
      </c>
      <c r="I983" s="859">
        <f t="shared" si="64"/>
        <v>0.51717209518601759</v>
      </c>
      <c r="J983" s="859">
        <f t="shared" si="64"/>
        <v>0.58419713451420319</v>
      </c>
      <c r="K983" s="859">
        <f t="shared" si="64"/>
        <v>0.67174185150734211</v>
      </c>
      <c r="L983" s="859">
        <f t="shared" si="64"/>
        <v>0.7794695383887249</v>
      </c>
      <c r="M983" s="859">
        <f t="shared" si="64"/>
        <v>0.91679093764026365</v>
      </c>
    </row>
    <row r="984" spans="3:13" hidden="1" outlineLevel="2" x14ac:dyDescent="0.25">
      <c r="C984" s="751">
        <v>9</v>
      </c>
      <c r="D984" s="751" t="s">
        <v>508</v>
      </c>
      <c r="E984" s="751" t="s">
        <v>494</v>
      </c>
      <c r="F984" s="859">
        <f t="shared" si="64"/>
        <v>0.18631071843468822</v>
      </c>
      <c r="G984" s="859">
        <f t="shared" si="64"/>
        <v>0.26254165644670013</v>
      </c>
      <c r="H984" s="859">
        <f t="shared" si="64"/>
        <v>0.3444672459061307</v>
      </c>
      <c r="I984" s="859">
        <f t="shared" si="64"/>
        <v>0.43658940482527153</v>
      </c>
      <c r="J984" s="859">
        <f t="shared" si="64"/>
        <v>0.5288574627530358</v>
      </c>
      <c r="K984" s="859">
        <f t="shared" si="64"/>
        <v>0.63905289226946449</v>
      </c>
      <c r="L984" s="859">
        <f t="shared" si="64"/>
        <v>0.7741579959787972</v>
      </c>
      <c r="M984" s="859">
        <f t="shared" si="64"/>
        <v>0.9147878858915971</v>
      </c>
    </row>
    <row r="985" spans="3:13" hidden="1" outlineLevel="2" x14ac:dyDescent="0.25">
      <c r="C985" s="751">
        <v>9</v>
      </c>
      <c r="D985" s="751" t="s">
        <v>508</v>
      </c>
      <c r="E985" s="751" t="s">
        <v>498</v>
      </c>
      <c r="F985" s="859">
        <f t="shared" si="64"/>
        <v>0.10710839675826246</v>
      </c>
      <c r="G985" s="859">
        <f t="shared" si="64"/>
        <v>0.15695525789232287</v>
      </c>
      <c r="H985" s="859">
        <f t="shared" si="64"/>
        <v>0.2102579308650401</v>
      </c>
      <c r="I985" s="859">
        <f t="shared" si="64"/>
        <v>0.26927937681094849</v>
      </c>
      <c r="J985" s="859">
        <f t="shared" si="64"/>
        <v>0.32807118950448944</v>
      </c>
      <c r="K985" s="859">
        <f t="shared" si="64"/>
        <v>0.39795215301240666</v>
      </c>
      <c r="L985" s="859">
        <f t="shared" si="64"/>
        <v>0.48361218139515361</v>
      </c>
      <c r="M985" s="859">
        <f t="shared" si="64"/>
        <v>0.57165321653126211</v>
      </c>
    </row>
    <row r="986" spans="3:13" hidden="1" outlineLevel="2" x14ac:dyDescent="0.25">
      <c r="C986" s="751">
        <v>10</v>
      </c>
      <c r="D986" s="751" t="s">
        <v>508</v>
      </c>
      <c r="E986" s="751" t="s">
        <v>509</v>
      </c>
      <c r="F986" s="859">
        <f t="shared" si="64"/>
        <v>0</v>
      </c>
      <c r="G986" s="859">
        <f t="shared" si="64"/>
        <v>0</v>
      </c>
      <c r="H986" s="859">
        <f t="shared" si="64"/>
        <v>0</v>
      </c>
      <c r="I986" s="859">
        <f t="shared" si="64"/>
        <v>0</v>
      </c>
      <c r="J986" s="859">
        <f t="shared" si="64"/>
        <v>0</v>
      </c>
      <c r="K986" s="859">
        <f t="shared" si="64"/>
        <v>0</v>
      </c>
      <c r="L986" s="859">
        <f t="shared" si="64"/>
        <v>0</v>
      </c>
      <c r="M986" s="859">
        <f t="shared" si="64"/>
        <v>0</v>
      </c>
    </row>
    <row r="987" spans="3:13" hidden="1" outlineLevel="2" x14ac:dyDescent="0.25">
      <c r="C987" s="751">
        <v>10</v>
      </c>
      <c r="D987" s="751" t="s">
        <v>508</v>
      </c>
      <c r="E987" s="751" t="s">
        <v>510</v>
      </c>
      <c r="F987" s="859">
        <f t="shared" si="64"/>
        <v>0.20527485022010195</v>
      </c>
      <c r="G987" s="859">
        <f t="shared" si="64"/>
        <v>0.33854287920612897</v>
      </c>
      <c r="H987" s="859">
        <f t="shared" si="64"/>
        <v>0.49839626008721322</v>
      </c>
      <c r="I987" s="859">
        <f t="shared" si="64"/>
        <v>0.67778052358315144</v>
      </c>
      <c r="J987" s="859">
        <f t="shared" si="64"/>
        <v>0.85765381029535592</v>
      </c>
      <c r="K987" s="859">
        <f t="shared" si="64"/>
        <v>1.0692786452344258</v>
      </c>
      <c r="L987" s="859">
        <f t="shared" si="64"/>
        <v>1.3311654078412276</v>
      </c>
      <c r="M987" s="859">
        <f t="shared" si="64"/>
        <v>1.5776342948455948</v>
      </c>
    </row>
    <row r="988" spans="3:13" hidden="1" outlineLevel="2" x14ac:dyDescent="0.25">
      <c r="C988" s="751">
        <v>10</v>
      </c>
      <c r="D988" s="751" t="s">
        <v>508</v>
      </c>
      <c r="E988" s="751" t="s">
        <v>511</v>
      </c>
      <c r="F988" s="859">
        <f t="shared" si="64"/>
        <v>0.43765895554159939</v>
      </c>
      <c r="G988" s="859">
        <f t="shared" si="64"/>
        <v>0.54452500968653772</v>
      </c>
      <c r="H988" s="859">
        <f t="shared" si="64"/>
        <v>0.66072306183405338</v>
      </c>
      <c r="I988" s="859">
        <f t="shared" si="64"/>
        <v>0.80165284008605409</v>
      </c>
      <c r="J988" s="859">
        <f t="shared" si="64"/>
        <v>0.94639783837803204</v>
      </c>
      <c r="K988" s="859">
        <f t="shared" si="64"/>
        <v>1.1233157058361674</v>
      </c>
      <c r="L988" s="859">
        <f t="shared" si="64"/>
        <v>1.3401818405792854</v>
      </c>
      <c r="M988" s="859">
        <f t="shared" si="64"/>
        <v>1.5810443038685151</v>
      </c>
    </row>
    <row r="989" spans="3:13" hidden="1" outlineLevel="2" x14ac:dyDescent="0.25">
      <c r="C989" s="751">
        <v>10</v>
      </c>
      <c r="D989" s="751" t="s">
        <v>508</v>
      </c>
      <c r="E989" s="751" t="s">
        <v>494</v>
      </c>
      <c r="F989" s="859">
        <f t="shared" si="64"/>
        <v>0.74967169974713632</v>
      </c>
      <c r="G989" s="859">
        <f t="shared" si="64"/>
        <v>0.8210888895593913</v>
      </c>
      <c r="H989" s="859">
        <f t="shared" si="64"/>
        <v>0.87867269656087499</v>
      </c>
      <c r="I989" s="859">
        <f t="shared" si="64"/>
        <v>0.96797119197890991</v>
      </c>
      <c r="J989" s="859">
        <f t="shared" si="64"/>
        <v>1.0655508574522989</v>
      </c>
      <c r="K989" s="859">
        <f t="shared" si="64"/>
        <v>1.1958690826853473</v>
      </c>
      <c r="L989" s="859">
        <f t="shared" si="64"/>
        <v>1.3522878403319529</v>
      </c>
      <c r="M989" s="859">
        <f t="shared" si="64"/>
        <v>1.5856227851357056</v>
      </c>
    </row>
    <row r="990" spans="3:13" hidden="1" outlineLevel="2" x14ac:dyDescent="0.25">
      <c r="C990" s="751">
        <v>10</v>
      </c>
      <c r="D990" s="751" t="s">
        <v>508</v>
      </c>
      <c r="E990" s="751" t="s">
        <v>498</v>
      </c>
      <c r="F990" s="859">
        <f t="shared" si="64"/>
        <v>0.11803768694158491</v>
      </c>
      <c r="G990" s="859">
        <f t="shared" si="64"/>
        <v>0.20249577682998463</v>
      </c>
      <c r="H990" s="859">
        <f t="shared" si="64"/>
        <v>0.30433139794303415</v>
      </c>
      <c r="I990" s="859">
        <f t="shared" si="64"/>
        <v>0.41814421830648191</v>
      </c>
      <c r="J990" s="859">
        <f t="shared" si="64"/>
        <v>0.53211583609159296</v>
      </c>
      <c r="K990" s="859">
        <f t="shared" si="64"/>
        <v>0.66591357140252627</v>
      </c>
      <c r="L990" s="859">
        <f t="shared" si="64"/>
        <v>0.83158033015077448</v>
      </c>
      <c r="M990" s="859">
        <f t="shared" si="64"/>
        <v>0.98587089212080659</v>
      </c>
    </row>
    <row r="991" spans="3:13" hidden="1" outlineLevel="2" x14ac:dyDescent="0.25">
      <c r="C991" s="751">
        <v>11</v>
      </c>
      <c r="D991" s="751" t="s">
        <v>508</v>
      </c>
      <c r="E991" s="751" t="s">
        <v>509</v>
      </c>
      <c r="F991" s="859">
        <f t="shared" ref="F991:M1000" si="65">INDEX($C$907:$M$922,MATCH($C991,$C$907:$C$922,0),MATCH(F$940,$C$907:$M$907,0))*F307</f>
        <v>0</v>
      </c>
      <c r="G991" s="859">
        <f t="shared" si="65"/>
        <v>0</v>
      </c>
      <c r="H991" s="859">
        <f t="shared" si="65"/>
        <v>0</v>
      </c>
      <c r="I991" s="859">
        <f t="shared" si="65"/>
        <v>0</v>
      </c>
      <c r="J991" s="859">
        <f t="shared" si="65"/>
        <v>0</v>
      </c>
      <c r="K991" s="859">
        <f t="shared" si="65"/>
        <v>0</v>
      </c>
      <c r="L991" s="859">
        <f t="shared" si="65"/>
        <v>0</v>
      </c>
      <c r="M991" s="859">
        <f t="shared" si="65"/>
        <v>0</v>
      </c>
    </row>
    <row r="992" spans="3:13" hidden="1" outlineLevel="2" x14ac:dyDescent="0.25">
      <c r="C992" s="751">
        <v>11</v>
      </c>
      <c r="D992" s="751" t="s">
        <v>508</v>
      </c>
      <c r="E992" s="751" t="s">
        <v>510</v>
      </c>
      <c r="F992" s="859">
        <f t="shared" si="65"/>
        <v>2.4655924455567291E-2</v>
      </c>
      <c r="G992" s="859">
        <f t="shared" si="65"/>
        <v>3.761434991294741E-2</v>
      </c>
      <c r="H992" s="859">
        <f t="shared" si="65"/>
        <v>5.5788377070953792E-2</v>
      </c>
      <c r="I992" s="859">
        <f t="shared" si="65"/>
        <v>7.9906108110053428E-2</v>
      </c>
      <c r="J992" s="859">
        <f t="shared" si="65"/>
        <v>0.10657169633086343</v>
      </c>
      <c r="K992" s="859">
        <f t="shared" si="65"/>
        <v>0.14023807953661035</v>
      </c>
      <c r="L992" s="859">
        <f t="shared" si="65"/>
        <v>0.18543504095111815</v>
      </c>
      <c r="M992" s="859">
        <f t="shared" si="65"/>
        <v>0.22281355493292257</v>
      </c>
    </row>
    <row r="993" spans="3:13" hidden="1" outlineLevel="2" x14ac:dyDescent="0.25">
      <c r="C993" s="751">
        <v>11</v>
      </c>
      <c r="D993" s="751" t="s">
        <v>508</v>
      </c>
      <c r="E993" s="751" t="s">
        <v>511</v>
      </c>
      <c r="F993" s="859">
        <f t="shared" si="65"/>
        <v>5.484741231689344E-2</v>
      </c>
      <c r="G993" s="859">
        <f t="shared" si="65"/>
        <v>7.1004454439957509E-2</v>
      </c>
      <c r="H993" s="859">
        <f t="shared" si="65"/>
        <v>8.8450204919382838E-2</v>
      </c>
      <c r="I993" s="859">
        <f t="shared" si="65"/>
        <v>0.10964618218117274</v>
      </c>
      <c r="J993" s="859">
        <f t="shared" si="65"/>
        <v>0.13081584377558025</v>
      </c>
      <c r="K993" s="859">
        <f t="shared" si="65"/>
        <v>0.15669390841150915</v>
      </c>
      <c r="L993" s="859">
        <f t="shared" si="65"/>
        <v>0.18849334162384954</v>
      </c>
      <c r="M993" s="859">
        <f t="shared" si="65"/>
        <v>0.22399227045064291</v>
      </c>
    </row>
    <row r="994" spans="3:13" hidden="1" outlineLevel="2" x14ac:dyDescent="0.25">
      <c r="C994" s="751">
        <v>11</v>
      </c>
      <c r="D994" s="751" t="s">
        <v>508</v>
      </c>
      <c r="E994" s="751" t="s">
        <v>494</v>
      </c>
      <c r="F994" s="859">
        <f t="shared" si="65"/>
        <v>0.10743386209031673</v>
      </c>
      <c r="G994" s="859">
        <f t="shared" si="65"/>
        <v>0.12916213990096956</v>
      </c>
      <c r="H994" s="859">
        <f t="shared" si="65"/>
        <v>0.14533940420458052</v>
      </c>
      <c r="I994" s="859">
        <f t="shared" si="65"/>
        <v>0.16144637561920844</v>
      </c>
      <c r="J994" s="859">
        <f t="shared" si="65"/>
        <v>0.17304342950295273</v>
      </c>
      <c r="K994" s="859">
        <f t="shared" si="65"/>
        <v>0.1853560804311398</v>
      </c>
      <c r="L994" s="859">
        <f t="shared" si="65"/>
        <v>0.19382017995183487</v>
      </c>
      <c r="M994" s="859">
        <f t="shared" si="65"/>
        <v>0.22604531482707299</v>
      </c>
    </row>
    <row r="995" spans="3:13" hidden="1" outlineLevel="2" x14ac:dyDescent="0.25">
      <c r="C995" s="751">
        <v>11</v>
      </c>
      <c r="D995" s="751" t="s">
        <v>508</v>
      </c>
      <c r="E995" s="751" t="s">
        <v>498</v>
      </c>
      <c r="F995" s="859">
        <f t="shared" si="65"/>
        <v>8.3180396126684569E-3</v>
      </c>
      <c r="G995" s="859">
        <f t="shared" si="65"/>
        <v>1.566570760162897E-2</v>
      </c>
      <c r="H995" s="859">
        <f t="shared" si="65"/>
        <v>2.7195545143135599E-2</v>
      </c>
      <c r="I995" s="859">
        <f t="shared" si="65"/>
        <v>4.2955440489395869E-2</v>
      </c>
      <c r="J995" s="859">
        <f t="shared" si="65"/>
        <v>6.0912414036110203E-2</v>
      </c>
      <c r="K995" s="859">
        <f t="shared" si="65"/>
        <v>8.3783362203918924E-2</v>
      </c>
      <c r="L995" s="859">
        <f t="shared" si="65"/>
        <v>0.11517851258638882</v>
      </c>
      <c r="M995" s="859">
        <f t="shared" si="65"/>
        <v>0.13898159418648209</v>
      </c>
    </row>
    <row r="996" spans="3:13" hidden="1" outlineLevel="2" x14ac:dyDescent="0.25">
      <c r="C996" s="751">
        <v>12</v>
      </c>
      <c r="D996" s="751" t="s">
        <v>508</v>
      </c>
      <c r="E996" s="751" t="s">
        <v>509</v>
      </c>
      <c r="F996" s="859">
        <f t="shared" si="65"/>
        <v>0</v>
      </c>
      <c r="G996" s="859">
        <f t="shared" si="65"/>
        <v>0</v>
      </c>
      <c r="H996" s="859">
        <f t="shared" si="65"/>
        <v>0</v>
      </c>
      <c r="I996" s="859">
        <f t="shared" si="65"/>
        <v>0</v>
      </c>
      <c r="J996" s="859">
        <f t="shared" si="65"/>
        <v>0</v>
      </c>
      <c r="K996" s="859">
        <f t="shared" si="65"/>
        <v>0</v>
      </c>
      <c r="L996" s="859">
        <f t="shared" si="65"/>
        <v>0</v>
      </c>
      <c r="M996" s="859">
        <f t="shared" si="65"/>
        <v>0</v>
      </c>
    </row>
    <row r="997" spans="3:13" hidden="1" outlineLevel="2" x14ac:dyDescent="0.25">
      <c r="C997" s="751">
        <v>12</v>
      </c>
      <c r="D997" s="751" t="s">
        <v>508</v>
      </c>
      <c r="E997" s="751" t="s">
        <v>510</v>
      </c>
      <c r="F997" s="859">
        <f t="shared" si="65"/>
        <v>9.7576532243904335E-2</v>
      </c>
      <c r="G997" s="859">
        <f t="shared" si="65"/>
        <v>0.1291777787359793</v>
      </c>
      <c r="H997" s="859">
        <f t="shared" si="65"/>
        <v>0.16445166946095888</v>
      </c>
      <c r="I997" s="859">
        <f t="shared" si="65"/>
        <v>0.20872577905705164</v>
      </c>
      <c r="J997" s="859">
        <f t="shared" si="65"/>
        <v>0.25416078770278128</v>
      </c>
      <c r="K997" s="859">
        <f t="shared" si="65"/>
        <v>0.31146762077048162</v>
      </c>
      <c r="L997" s="859">
        <f t="shared" si="65"/>
        <v>0.38638184813926324</v>
      </c>
      <c r="M997" s="859">
        <f t="shared" si="65"/>
        <v>0.46269899412531934</v>
      </c>
    </row>
    <row r="998" spans="3:13" hidden="1" outlineLevel="2" x14ac:dyDescent="0.25">
      <c r="C998" s="751">
        <v>12</v>
      </c>
      <c r="D998" s="751" t="s">
        <v>508</v>
      </c>
      <c r="E998" s="751" t="s">
        <v>511</v>
      </c>
      <c r="F998" s="859">
        <f t="shared" si="65"/>
        <v>0.28515314056280661</v>
      </c>
      <c r="G998" s="859">
        <f t="shared" si="65"/>
        <v>0.36990549105533987</v>
      </c>
      <c r="H998" s="859">
        <f t="shared" si="65"/>
        <v>0.45629455115073447</v>
      </c>
      <c r="I998" s="859">
        <f t="shared" si="65"/>
        <v>0.55667856145844752</v>
      </c>
      <c r="J998" s="859">
        <f t="shared" si="65"/>
        <v>0.6477638697540099</v>
      </c>
      <c r="K998" s="859">
        <f t="shared" si="65"/>
        <v>0.75038387787579797</v>
      </c>
      <c r="L998" s="859">
        <f t="shared" si="65"/>
        <v>0.85300291310728082</v>
      </c>
      <c r="M998" s="859">
        <f t="shared" si="65"/>
        <v>1.0078464489949763</v>
      </c>
    </row>
    <row r="999" spans="3:13" hidden="1" outlineLevel="2" x14ac:dyDescent="0.25">
      <c r="C999" s="751">
        <v>12</v>
      </c>
      <c r="D999" s="751" t="s">
        <v>508</v>
      </c>
      <c r="E999" s="751" t="s">
        <v>494</v>
      </c>
      <c r="F999" s="859">
        <f t="shared" si="65"/>
        <v>9.4944017515195939E-6</v>
      </c>
      <c r="G999" s="859">
        <f t="shared" si="65"/>
        <v>1.2316299007757165E-5</v>
      </c>
      <c r="H999" s="859">
        <f t="shared" si="65"/>
        <v>1.5192691818521911E-5</v>
      </c>
      <c r="I999" s="859">
        <f t="shared" si="65"/>
        <v>1.8535057683435781E-5</v>
      </c>
      <c r="J999" s="859">
        <f t="shared" si="65"/>
        <v>2.1567815831959879E-5</v>
      </c>
      <c r="K999" s="859">
        <f t="shared" si="65"/>
        <v>2.498463103143288E-5</v>
      </c>
      <c r="L999" s="859">
        <f t="shared" si="65"/>
        <v>2.8401413837745486E-5</v>
      </c>
      <c r="M999" s="859">
        <f t="shared" si="65"/>
        <v>3.3557053138936404E-5</v>
      </c>
    </row>
    <row r="1000" spans="3:13" hidden="1" outlineLevel="2" x14ac:dyDescent="0.25">
      <c r="C1000" s="751">
        <v>12</v>
      </c>
      <c r="D1000" s="751" t="s">
        <v>508</v>
      </c>
      <c r="E1000" s="751" t="s">
        <v>498</v>
      </c>
      <c r="F1000" s="859">
        <f t="shared" si="65"/>
        <v>2.0967747510769293E-2</v>
      </c>
      <c r="G1000" s="859">
        <f t="shared" si="65"/>
        <v>3.1865069483560771E-2</v>
      </c>
      <c r="H1000" s="859">
        <f t="shared" si="65"/>
        <v>4.8468177813319246E-2</v>
      </c>
      <c r="I1000" s="859">
        <f t="shared" si="65"/>
        <v>7.3657396204894754E-2</v>
      </c>
      <c r="J1000" s="859">
        <f t="shared" si="65"/>
        <v>0.10595593962621595</v>
      </c>
      <c r="K1000" s="859">
        <f t="shared" si="65"/>
        <v>0.15332342175181132</v>
      </c>
      <c r="L1000" s="859">
        <f t="shared" si="65"/>
        <v>0.23228741303251194</v>
      </c>
      <c r="M1000" s="859">
        <f t="shared" si="65"/>
        <v>0.28554057605170002</v>
      </c>
    </row>
    <row r="1001" spans="3:13" hidden="1" outlineLevel="2" x14ac:dyDescent="0.25">
      <c r="C1001" s="751">
        <v>13</v>
      </c>
      <c r="D1001" s="751" t="s">
        <v>508</v>
      </c>
      <c r="E1001" s="751" t="s">
        <v>509</v>
      </c>
      <c r="F1001" s="859">
        <f t="shared" ref="F1001:M1010" si="66">INDEX($C$907:$M$922,MATCH($C1001,$C$907:$C$922,0),MATCH(F$940,$C$907:$M$907,0))*F317</f>
        <v>0</v>
      </c>
      <c r="G1001" s="859">
        <f t="shared" si="66"/>
        <v>0</v>
      </c>
      <c r="H1001" s="859">
        <f t="shared" si="66"/>
        <v>0</v>
      </c>
      <c r="I1001" s="859">
        <f t="shared" si="66"/>
        <v>0</v>
      </c>
      <c r="J1001" s="859">
        <f t="shared" si="66"/>
        <v>0</v>
      </c>
      <c r="K1001" s="859">
        <f t="shared" si="66"/>
        <v>0</v>
      </c>
      <c r="L1001" s="859">
        <f t="shared" si="66"/>
        <v>0</v>
      </c>
      <c r="M1001" s="859">
        <f t="shared" si="66"/>
        <v>0</v>
      </c>
    </row>
    <row r="1002" spans="3:13" hidden="1" outlineLevel="2" x14ac:dyDescent="0.25">
      <c r="C1002" s="751">
        <v>13</v>
      </c>
      <c r="D1002" s="751" t="s">
        <v>508</v>
      </c>
      <c r="E1002" s="751" t="s">
        <v>510</v>
      </c>
      <c r="F1002" s="859">
        <f t="shared" si="66"/>
        <v>0.53324391059844722</v>
      </c>
      <c r="G1002" s="859">
        <f t="shared" si="66"/>
        <v>0.75134149285408858</v>
      </c>
      <c r="H1002" s="859">
        <f t="shared" si="66"/>
        <v>1.0085461712770056</v>
      </c>
      <c r="I1002" s="859">
        <f t="shared" si="66"/>
        <v>1.3170075160041659</v>
      </c>
      <c r="J1002" s="859">
        <f t="shared" si="66"/>
        <v>1.6281269896569257</v>
      </c>
      <c r="K1002" s="859">
        <f t="shared" si="66"/>
        <v>2.0038827552303182</v>
      </c>
      <c r="L1002" s="859">
        <f t="shared" si="66"/>
        <v>2.4718636903665865</v>
      </c>
      <c r="M1002" s="859">
        <f t="shared" si="66"/>
        <v>2.9446126143271685</v>
      </c>
    </row>
    <row r="1003" spans="3:13" hidden="1" outlineLevel="2" x14ac:dyDescent="0.25">
      <c r="C1003" s="751">
        <v>13</v>
      </c>
      <c r="D1003" s="751" t="s">
        <v>508</v>
      </c>
      <c r="E1003" s="751" t="s">
        <v>511</v>
      </c>
      <c r="F1003" s="859">
        <f t="shared" si="66"/>
        <v>1.2061877370476697</v>
      </c>
      <c r="G1003" s="859">
        <f t="shared" si="66"/>
        <v>1.3976890226923664</v>
      </c>
      <c r="H1003" s="859">
        <f t="shared" si="66"/>
        <v>1.551671489161111</v>
      </c>
      <c r="I1003" s="859">
        <f t="shared" si="66"/>
        <v>1.7522715626759298</v>
      </c>
      <c r="J1003" s="859">
        <f t="shared" si="66"/>
        <v>1.9494714216716313</v>
      </c>
      <c r="K1003" s="859">
        <f t="shared" si="66"/>
        <v>2.2043855398408332</v>
      </c>
      <c r="L1003" s="859">
        <f t="shared" si="66"/>
        <v>2.5060877589899557</v>
      </c>
      <c r="M1003" s="859">
        <f t="shared" si="66"/>
        <v>2.9576673521759749</v>
      </c>
    </row>
    <row r="1004" spans="3:13" hidden="1" outlineLevel="2" x14ac:dyDescent="0.25">
      <c r="C1004" s="751">
        <v>13</v>
      </c>
      <c r="D1004" s="751" t="s">
        <v>508</v>
      </c>
      <c r="E1004" s="751" t="s">
        <v>494</v>
      </c>
      <c r="F1004" s="859">
        <f t="shared" si="66"/>
        <v>0.56085447088024398</v>
      </c>
      <c r="G1004" s="859">
        <f t="shared" si="66"/>
        <v>0.77786081992742617</v>
      </c>
      <c r="H1004" s="859">
        <f t="shared" si="66"/>
        <v>1.0308303408326362</v>
      </c>
      <c r="I1004" s="859">
        <f t="shared" si="66"/>
        <v>1.334866189680602</v>
      </c>
      <c r="J1004" s="859">
        <f t="shared" si="66"/>
        <v>1.6413115965477816</v>
      </c>
      <c r="K1004" s="859">
        <f t="shared" si="66"/>
        <v>2.0121092876741429</v>
      </c>
      <c r="L1004" s="859">
        <f t="shared" si="66"/>
        <v>2.4732678873777991</v>
      </c>
      <c r="M1004" s="859">
        <f t="shared" si="66"/>
        <v>2.9451482439178842</v>
      </c>
    </row>
    <row r="1005" spans="3:13" hidden="1" outlineLevel="2" x14ac:dyDescent="0.25">
      <c r="C1005" s="751">
        <v>13</v>
      </c>
      <c r="D1005" s="751" t="s">
        <v>508</v>
      </c>
      <c r="E1005" s="751" t="s">
        <v>498</v>
      </c>
      <c r="F1005" s="859">
        <f t="shared" si="66"/>
        <v>0.28272318898143478</v>
      </c>
      <c r="G1005" s="859">
        <f t="shared" si="66"/>
        <v>0.42103219899174182</v>
      </c>
      <c r="H1005" s="859">
        <f t="shared" si="66"/>
        <v>0.58953959200394357</v>
      </c>
      <c r="I1005" s="859">
        <f t="shared" si="66"/>
        <v>0.79043090630342006</v>
      </c>
      <c r="J1005" s="859">
        <f t="shared" si="66"/>
        <v>0.99343867838252076</v>
      </c>
      <c r="K1005" s="859">
        <f t="shared" si="66"/>
        <v>1.237364143937975</v>
      </c>
      <c r="L1005" s="859">
        <f t="shared" si="66"/>
        <v>1.5423437563718103</v>
      </c>
      <c r="M1005" s="859">
        <f t="shared" si="66"/>
        <v>1.8394021593797247</v>
      </c>
    </row>
    <row r="1006" spans="3:13" hidden="1" outlineLevel="2" x14ac:dyDescent="0.25">
      <c r="C1006" s="751">
        <v>14</v>
      </c>
      <c r="D1006" s="751" t="s">
        <v>508</v>
      </c>
      <c r="E1006" s="751" t="s">
        <v>509</v>
      </c>
      <c r="F1006" s="859">
        <f t="shared" si="66"/>
        <v>0</v>
      </c>
      <c r="G1006" s="859">
        <f t="shared" si="66"/>
        <v>0</v>
      </c>
      <c r="H1006" s="859">
        <f t="shared" si="66"/>
        <v>0</v>
      </c>
      <c r="I1006" s="859">
        <f t="shared" si="66"/>
        <v>0</v>
      </c>
      <c r="J1006" s="859">
        <f t="shared" si="66"/>
        <v>0</v>
      </c>
      <c r="K1006" s="859">
        <f t="shared" si="66"/>
        <v>0</v>
      </c>
      <c r="L1006" s="859">
        <f t="shared" si="66"/>
        <v>0</v>
      </c>
      <c r="M1006" s="859">
        <f t="shared" si="66"/>
        <v>0</v>
      </c>
    </row>
    <row r="1007" spans="3:13" hidden="1" outlineLevel="2" x14ac:dyDescent="0.25">
      <c r="C1007" s="751">
        <v>14</v>
      </c>
      <c r="D1007" s="751" t="s">
        <v>508</v>
      </c>
      <c r="E1007" s="751" t="s">
        <v>510</v>
      </c>
      <c r="F1007" s="859">
        <f t="shared" si="66"/>
        <v>4.8758183221756242E-2</v>
      </c>
      <c r="G1007" s="859">
        <f t="shared" si="66"/>
        <v>0.10667106492300504</v>
      </c>
      <c r="H1007" s="859">
        <f t="shared" si="66"/>
        <v>0.17638010078298927</v>
      </c>
      <c r="I1007" s="859">
        <f t="shared" si="66"/>
        <v>0.25223330204283123</v>
      </c>
      <c r="J1007" s="859">
        <f t="shared" si="66"/>
        <v>0.32738790188605749</v>
      </c>
      <c r="K1007" s="859">
        <f t="shared" si="66"/>
        <v>0.41472811280563998</v>
      </c>
      <c r="L1007" s="859">
        <f t="shared" si="66"/>
        <v>0.52281079603433378</v>
      </c>
      <c r="M1007" s="859">
        <f t="shared" si="66"/>
        <v>0.62040714141644848</v>
      </c>
    </row>
    <row r="1008" spans="3:13" hidden="1" outlineLevel="2" x14ac:dyDescent="0.25">
      <c r="C1008" s="751">
        <v>14</v>
      </c>
      <c r="D1008" s="751" t="s">
        <v>508</v>
      </c>
      <c r="E1008" s="751" t="s">
        <v>511</v>
      </c>
      <c r="F1008" s="859">
        <f t="shared" si="66"/>
        <v>9.7542980755851424E-2</v>
      </c>
      <c r="G1008" s="859">
        <f t="shared" si="66"/>
        <v>0.14913576556215838</v>
      </c>
      <c r="H1008" s="859">
        <f t="shared" si="66"/>
        <v>0.20934378153780706</v>
      </c>
      <c r="I1008" s="859">
        <f t="shared" si="66"/>
        <v>0.27713687880461207</v>
      </c>
      <c r="J1008" s="859">
        <f t="shared" si="66"/>
        <v>0.34511289338087864</v>
      </c>
      <c r="K1008" s="859">
        <f t="shared" si="66"/>
        <v>0.42546889624731299</v>
      </c>
      <c r="L1008" s="859">
        <f t="shared" si="66"/>
        <v>0.5245952172532381</v>
      </c>
      <c r="M1008" s="859">
        <f t="shared" si="66"/>
        <v>0.62108168754559057</v>
      </c>
    </row>
    <row r="1009" spans="3:13" hidden="1" outlineLevel="2" x14ac:dyDescent="0.25">
      <c r="C1009" s="751">
        <v>14</v>
      </c>
      <c r="D1009" s="751" t="s">
        <v>508</v>
      </c>
      <c r="E1009" s="751" t="s">
        <v>494</v>
      </c>
      <c r="F1009" s="859">
        <f t="shared" si="66"/>
        <v>0.39066062806375929</v>
      </c>
      <c r="G1009" s="859">
        <f t="shared" si="66"/>
        <v>0.40427986319388598</v>
      </c>
      <c r="H1009" s="859">
        <f t="shared" si="66"/>
        <v>0.40740213245559753</v>
      </c>
      <c r="I1009" s="859">
        <f t="shared" si="66"/>
        <v>0.4267670545753206</v>
      </c>
      <c r="J1009" s="859">
        <f t="shared" si="66"/>
        <v>0.45161139431005831</v>
      </c>
      <c r="K1009" s="859">
        <f t="shared" si="66"/>
        <v>0.49000361468017145</v>
      </c>
      <c r="L1009" s="859">
        <f t="shared" si="66"/>
        <v>0.53531669968074969</v>
      </c>
      <c r="M1009" s="859">
        <f t="shared" si="66"/>
        <v>0.6251346176461311</v>
      </c>
    </row>
    <row r="1010" spans="3:13" hidden="1" outlineLevel="2" x14ac:dyDescent="0.25">
      <c r="C1010" s="751">
        <v>14</v>
      </c>
      <c r="D1010" s="751" t="s">
        <v>508</v>
      </c>
      <c r="E1010" s="751" t="s">
        <v>498</v>
      </c>
      <c r="F1010" s="859">
        <f t="shared" si="66"/>
        <v>5.7457380794612614E-2</v>
      </c>
      <c r="G1010" s="859">
        <f t="shared" si="66"/>
        <v>9.0157202735658526E-2</v>
      </c>
      <c r="H1010" s="859">
        <f t="shared" si="66"/>
        <v>0.12847021047977064</v>
      </c>
      <c r="I1010" s="859">
        <f t="shared" si="66"/>
        <v>0.17142031122215451</v>
      </c>
      <c r="J1010" s="859">
        <f t="shared" si="66"/>
        <v>0.21442136573715051</v>
      </c>
      <c r="K1010" s="859">
        <f t="shared" si="66"/>
        <v>0.26514593978081735</v>
      </c>
      <c r="L1010" s="859">
        <f t="shared" si="66"/>
        <v>0.32774373448146071</v>
      </c>
      <c r="M1010" s="859">
        <f t="shared" si="66"/>
        <v>0.38812756376445634</v>
      </c>
    </row>
    <row r="1011" spans="3:13" hidden="1" outlineLevel="2" x14ac:dyDescent="0.25">
      <c r="C1011" s="751">
        <v>15</v>
      </c>
      <c r="D1011" s="751" t="s">
        <v>508</v>
      </c>
      <c r="E1011" s="751" t="s">
        <v>509</v>
      </c>
      <c r="F1011" s="859">
        <f t="shared" ref="F1011:M1015" si="67">INDEX($C$907:$M$922,MATCH($C1011,$C$907:$C$922,0),MATCH(F$940,$C$907:$M$907,0))*F327</f>
        <v>0</v>
      </c>
      <c r="G1011" s="859">
        <f t="shared" si="67"/>
        <v>0</v>
      </c>
      <c r="H1011" s="859">
        <f t="shared" si="67"/>
        <v>0</v>
      </c>
      <c r="I1011" s="859">
        <f t="shared" si="67"/>
        <v>0</v>
      </c>
      <c r="J1011" s="859">
        <f t="shared" si="67"/>
        <v>0</v>
      </c>
      <c r="K1011" s="859">
        <f t="shared" si="67"/>
        <v>0</v>
      </c>
      <c r="L1011" s="859">
        <f t="shared" si="67"/>
        <v>0</v>
      </c>
      <c r="M1011" s="859">
        <f t="shared" si="67"/>
        <v>0</v>
      </c>
    </row>
    <row r="1012" spans="3:13" hidden="1" outlineLevel="2" x14ac:dyDescent="0.25">
      <c r="C1012" s="751">
        <v>15</v>
      </c>
      <c r="D1012" s="751" t="s">
        <v>508</v>
      </c>
      <c r="E1012" s="751" t="s">
        <v>510</v>
      </c>
      <c r="F1012" s="859">
        <f t="shared" si="67"/>
        <v>1.4141387133090196E-3</v>
      </c>
      <c r="G1012" s="859">
        <f t="shared" si="67"/>
        <v>2.2733146881552145E-3</v>
      </c>
      <c r="H1012" s="859">
        <f t="shared" si="67"/>
        <v>3.6615884329492501E-3</v>
      </c>
      <c r="I1012" s="859">
        <f t="shared" si="67"/>
        <v>5.8070885867821933E-3</v>
      </c>
      <c r="J1012" s="859">
        <f t="shared" si="67"/>
        <v>8.6021739425565322E-3</v>
      </c>
      <c r="K1012" s="859">
        <f t="shared" si="67"/>
        <v>1.2704954857250548E-2</v>
      </c>
      <c r="L1012" s="859">
        <f t="shared" si="67"/>
        <v>1.9530914902271098E-2</v>
      </c>
      <c r="M1012" s="859">
        <f t="shared" si="67"/>
        <v>2.4016625520723679E-2</v>
      </c>
    </row>
    <row r="1013" spans="3:13" hidden="1" outlineLevel="2" x14ac:dyDescent="0.25">
      <c r="C1013" s="751">
        <v>15</v>
      </c>
      <c r="D1013" s="751" t="s">
        <v>508</v>
      </c>
      <c r="E1013" s="751" t="s">
        <v>511</v>
      </c>
      <c r="F1013" s="859">
        <f t="shared" si="67"/>
        <v>7.1122821977484506E-3</v>
      </c>
      <c r="G1013" s="859">
        <f t="shared" si="67"/>
        <v>9.1825235007683709E-3</v>
      </c>
      <c r="H1013" s="859">
        <f t="shared" si="67"/>
        <v>1.1277689286113939E-2</v>
      </c>
      <c r="I1013" s="859">
        <f t="shared" si="67"/>
        <v>1.3695496118909708E-2</v>
      </c>
      <c r="J1013" s="859">
        <f t="shared" si="67"/>
        <v>1.5879387795782945E-2</v>
      </c>
      <c r="K1013" s="859">
        <f t="shared" si="67"/>
        <v>1.8329739916845503E-2</v>
      </c>
      <c r="L1013" s="859">
        <f t="shared" si="67"/>
        <v>2.076267798796505E-2</v>
      </c>
      <c r="M1013" s="859">
        <f t="shared" si="67"/>
        <v>2.4503199490191196E-2</v>
      </c>
    </row>
    <row r="1014" spans="3:13" hidden="1" outlineLevel="2" x14ac:dyDescent="0.25">
      <c r="C1014" s="751">
        <v>15</v>
      </c>
      <c r="D1014" s="751" t="s">
        <v>508</v>
      </c>
      <c r="E1014" s="751" t="s">
        <v>494</v>
      </c>
      <c r="F1014" s="859">
        <f t="shared" si="67"/>
        <v>1.7493281027263923E-2</v>
      </c>
      <c r="G1014" s="859">
        <f t="shared" si="67"/>
        <v>2.2530877496070623E-2</v>
      </c>
      <c r="H1014" s="859">
        <f t="shared" si="67"/>
        <v>2.756613428323184E-2</v>
      </c>
      <c r="I1014" s="859">
        <f t="shared" si="67"/>
        <v>3.3310798708926982E-2</v>
      </c>
      <c r="J1014" s="859">
        <f t="shared" si="67"/>
        <v>3.8395605444208045E-2</v>
      </c>
      <c r="K1014" s="859">
        <f t="shared" si="67"/>
        <v>4.3983441957542932E-2</v>
      </c>
      <c r="L1014" s="859">
        <f t="shared" si="67"/>
        <v>4.9197366280471458E-2</v>
      </c>
      <c r="M1014" s="859">
        <f t="shared" si="67"/>
        <v>5.79431387819902E-2</v>
      </c>
    </row>
    <row r="1015" spans="3:13" hidden="1" outlineLevel="2" x14ac:dyDescent="0.25">
      <c r="C1015" s="863">
        <v>15</v>
      </c>
      <c r="D1015" s="863" t="s">
        <v>508</v>
      </c>
      <c r="E1015" s="863" t="s">
        <v>498</v>
      </c>
      <c r="F1015" s="864">
        <f t="shared" si="67"/>
        <v>2.2349464695023496E-3</v>
      </c>
      <c r="G1015" s="864">
        <f t="shared" si="67"/>
        <v>3.0590920361593197E-3</v>
      </c>
      <c r="H1015" s="864">
        <f t="shared" si="67"/>
        <v>4.0943771482289202E-3</v>
      </c>
      <c r="I1015" s="864">
        <f t="shared" si="67"/>
        <v>5.4998824788288769E-3</v>
      </c>
      <c r="J1015" s="864">
        <f t="shared" si="67"/>
        <v>7.1018882289537837E-3</v>
      </c>
      <c r="K1015" s="864">
        <f t="shared" si="67"/>
        <v>9.2743122476061455E-3</v>
      </c>
      <c r="L1015" s="864">
        <f t="shared" si="67"/>
        <v>1.2498890125026252E-2</v>
      </c>
      <c r="M1015" s="864">
        <f t="shared" si="67"/>
        <v>1.5125764465977696E-2</v>
      </c>
    </row>
    <row r="1016" spans="3:13" hidden="1" outlineLevel="2" x14ac:dyDescent="0.25">
      <c r="C1016" s="751">
        <v>1</v>
      </c>
      <c r="D1016" s="751" t="s">
        <v>512</v>
      </c>
      <c r="E1016" s="751" t="s">
        <v>509</v>
      </c>
      <c r="F1016" s="859">
        <f t="shared" ref="F1016:M1025" si="68">INDEX($C$923:$M$937,MATCH($C1016,$C$923:$C$937,0),MATCH(F$940,$C$907:$M$907,0))*F332</f>
        <v>6.8079193721652387E-2</v>
      </c>
      <c r="G1016" s="859">
        <f t="shared" si="68"/>
        <v>6.2550908430891908E-2</v>
      </c>
      <c r="H1016" s="859">
        <f t="shared" si="68"/>
        <v>5.9722016095160181E-2</v>
      </c>
      <c r="I1016" s="859">
        <f t="shared" si="68"/>
        <v>6.0675033661099512E-2</v>
      </c>
      <c r="J1016" s="859">
        <f t="shared" si="68"/>
        <v>6.4460710199499227E-2</v>
      </c>
      <c r="K1016" s="859">
        <f t="shared" si="68"/>
        <v>6.9402127841095132E-2</v>
      </c>
      <c r="L1016" s="859">
        <f t="shared" si="68"/>
        <v>7.4852774208579817E-2</v>
      </c>
      <c r="M1016" s="859">
        <f t="shared" si="68"/>
        <v>8.4032555291137789E-2</v>
      </c>
    </row>
    <row r="1017" spans="3:13" hidden="1" outlineLevel="2" x14ac:dyDescent="0.25">
      <c r="C1017" s="751">
        <v>1</v>
      </c>
      <c r="D1017" s="751" t="s">
        <v>512</v>
      </c>
      <c r="E1017" s="751" t="s">
        <v>510</v>
      </c>
      <c r="F1017" s="859">
        <f t="shared" si="68"/>
        <v>6.577524128001235E-3</v>
      </c>
      <c r="G1017" s="859">
        <f t="shared" si="68"/>
        <v>1.2130651487763098E-2</v>
      </c>
      <c r="H1017" s="859">
        <f t="shared" si="68"/>
        <v>1.9912933839576635E-2</v>
      </c>
      <c r="I1017" s="859">
        <f t="shared" si="68"/>
        <v>2.7922141019852059E-2</v>
      </c>
      <c r="J1017" s="859">
        <f t="shared" si="68"/>
        <v>3.677453983161387E-2</v>
      </c>
      <c r="K1017" s="859">
        <f t="shared" si="68"/>
        <v>4.6898831310292946E-2</v>
      </c>
      <c r="L1017" s="859">
        <f t="shared" si="68"/>
        <v>5.9839280992987492E-2</v>
      </c>
      <c r="M1017" s="859">
        <f t="shared" si="68"/>
        <v>6.8439312489545018E-2</v>
      </c>
    </row>
    <row r="1018" spans="3:13" hidden="1" outlineLevel="2" x14ac:dyDescent="0.25">
      <c r="C1018" s="751">
        <v>1</v>
      </c>
      <c r="D1018" s="751" t="s">
        <v>512</v>
      </c>
      <c r="E1018" s="751" t="s">
        <v>511</v>
      </c>
      <c r="F1018" s="859">
        <f t="shared" si="68"/>
        <v>2.8999138947162172E-2</v>
      </c>
      <c r="G1018" s="859">
        <f t="shared" si="68"/>
        <v>3.221518162628096E-2</v>
      </c>
      <c r="H1018" s="859">
        <f t="shared" si="68"/>
        <v>3.6845858214471401E-2</v>
      </c>
      <c r="I1018" s="859">
        <f t="shared" si="68"/>
        <v>4.0960804558150668E-2</v>
      </c>
      <c r="J1018" s="859">
        <f t="shared" si="68"/>
        <v>4.6274387971064007E-2</v>
      </c>
      <c r="K1018" s="859">
        <f t="shared" si="68"/>
        <v>5.2534574511482704E-2</v>
      </c>
      <c r="L1018" s="859">
        <f t="shared" si="68"/>
        <v>5.9910456907086955E-2</v>
      </c>
      <c r="M1018" s="859">
        <f t="shared" si="68"/>
        <v>6.7737004032339773E-2</v>
      </c>
    </row>
    <row r="1019" spans="3:13" hidden="1" outlineLevel="2" x14ac:dyDescent="0.25">
      <c r="C1019" s="751">
        <v>1</v>
      </c>
      <c r="D1019" s="751" t="s">
        <v>512</v>
      </c>
      <c r="E1019" s="751" t="s">
        <v>494</v>
      </c>
      <c r="F1019" s="859">
        <f t="shared" si="68"/>
        <v>3.6555870754057813E-2</v>
      </c>
      <c r="G1019" s="859">
        <f t="shared" si="68"/>
        <v>3.8984248392809742E-2</v>
      </c>
      <c r="H1019" s="859">
        <f t="shared" si="68"/>
        <v>4.2552742809517465E-2</v>
      </c>
      <c r="I1019" s="859">
        <f t="shared" si="68"/>
        <v>4.5355210771706303E-2</v>
      </c>
      <c r="J1019" s="859">
        <f t="shared" si="68"/>
        <v>4.9476111182128767E-2</v>
      </c>
      <c r="K1019" s="859">
        <f t="shared" si="68"/>
        <v>5.4433982749801539E-2</v>
      </c>
      <c r="L1019" s="859">
        <f t="shared" si="68"/>
        <v>5.9934445245942047E-2</v>
      </c>
      <c r="M1019" s="859">
        <f t="shared" si="68"/>
        <v>6.7500305797194002E-2</v>
      </c>
    </row>
    <row r="1020" spans="3:13" hidden="1" outlineLevel="2" x14ac:dyDescent="0.25">
      <c r="C1020" s="751">
        <v>1</v>
      </c>
      <c r="D1020" s="751" t="s">
        <v>512</v>
      </c>
      <c r="E1020" s="751" t="s">
        <v>498</v>
      </c>
      <c r="F1020" s="859">
        <f t="shared" si="68"/>
        <v>1.2568698627169915E-2</v>
      </c>
      <c r="G1020" s="859">
        <f t="shared" si="68"/>
        <v>1.5157822266905898E-2</v>
      </c>
      <c r="H1020" s="859">
        <f t="shared" si="68"/>
        <v>1.8832919055943205E-2</v>
      </c>
      <c r="I1020" s="859">
        <f t="shared" si="68"/>
        <v>2.23697040040432E-2</v>
      </c>
      <c r="J1020" s="859">
        <f t="shared" si="68"/>
        <v>2.656756270187521E-2</v>
      </c>
      <c r="K1020" s="859">
        <f t="shared" si="68"/>
        <v>3.1437650562214141E-2</v>
      </c>
      <c r="L1020" s="859">
        <f t="shared" si="68"/>
        <v>3.7426399168814253E-2</v>
      </c>
      <c r="M1020" s="859">
        <f t="shared" si="68"/>
        <v>4.2509649753823014E-2</v>
      </c>
    </row>
    <row r="1021" spans="3:13" hidden="1" outlineLevel="2" x14ac:dyDescent="0.25">
      <c r="C1021" s="751">
        <v>2</v>
      </c>
      <c r="D1021" s="751" t="s">
        <v>512</v>
      </c>
      <c r="E1021" s="751" t="s">
        <v>509</v>
      </c>
      <c r="F1021" s="859">
        <f t="shared" si="68"/>
        <v>0.11610860734291337</v>
      </c>
      <c r="G1021" s="859">
        <f t="shared" si="68"/>
        <v>0.10713584285239623</v>
      </c>
      <c r="H1021" s="859">
        <f t="shared" si="68"/>
        <v>0.10229721268994768</v>
      </c>
      <c r="I1021" s="859">
        <f t="shared" si="68"/>
        <v>0.10376758836770879</v>
      </c>
      <c r="J1021" s="859">
        <f t="shared" si="68"/>
        <v>0.10999597039345153</v>
      </c>
      <c r="K1021" s="859">
        <f t="shared" si="68"/>
        <v>0.11817683514022626</v>
      </c>
      <c r="L1021" s="859">
        <f t="shared" si="68"/>
        <v>0.12755403339283886</v>
      </c>
      <c r="M1021" s="859">
        <f t="shared" si="68"/>
        <v>0.14311126432691887</v>
      </c>
    </row>
    <row r="1022" spans="3:13" hidden="1" outlineLevel="2" x14ac:dyDescent="0.25">
      <c r="C1022" s="751">
        <v>2</v>
      </c>
      <c r="D1022" s="751" t="s">
        <v>512</v>
      </c>
      <c r="E1022" s="751" t="s">
        <v>510</v>
      </c>
      <c r="F1022" s="859">
        <f t="shared" si="68"/>
        <v>1.6371401202706384E-2</v>
      </c>
      <c r="G1022" s="859">
        <f t="shared" si="68"/>
        <v>2.4995603260061498E-2</v>
      </c>
      <c r="H1022" s="859">
        <f t="shared" si="68"/>
        <v>3.7236126408728996E-2</v>
      </c>
      <c r="I1022" s="859">
        <f t="shared" si="68"/>
        <v>4.9678096099476987E-2</v>
      </c>
      <c r="J1022" s="859">
        <f t="shared" si="68"/>
        <v>6.3655967824195719E-2</v>
      </c>
      <c r="K1022" s="859">
        <f t="shared" si="68"/>
        <v>7.9696273765775011E-2</v>
      </c>
      <c r="L1022" s="859">
        <f t="shared" si="68"/>
        <v>9.9640678853777323E-2</v>
      </c>
      <c r="M1022" s="859">
        <f t="shared" si="68"/>
        <v>0.11381805787443409</v>
      </c>
    </row>
    <row r="1023" spans="3:13" hidden="1" outlineLevel="2" x14ac:dyDescent="0.25">
      <c r="C1023" s="751">
        <v>2</v>
      </c>
      <c r="D1023" s="751" t="s">
        <v>512</v>
      </c>
      <c r="E1023" s="751" t="s">
        <v>511</v>
      </c>
      <c r="F1023" s="859">
        <f t="shared" si="68"/>
        <v>5.2223243694382644E-2</v>
      </c>
      <c r="G1023" s="859">
        <f t="shared" si="68"/>
        <v>5.7188425831344064E-2</v>
      </c>
      <c r="H1023" s="859">
        <f t="shared" si="68"/>
        <v>6.4574536330070736E-2</v>
      </c>
      <c r="I1023" s="859">
        <f t="shared" si="68"/>
        <v>7.0998782729175855E-2</v>
      </c>
      <c r="J1023" s="859">
        <f t="shared" si="68"/>
        <v>7.9508225615697758E-2</v>
      </c>
      <c r="K1023" s="859">
        <f t="shared" si="68"/>
        <v>8.9560713290180421E-2</v>
      </c>
      <c r="L1023" s="859">
        <f t="shared" si="68"/>
        <v>0.10131990483355327</v>
      </c>
      <c r="M1023" s="859">
        <f t="shared" si="68"/>
        <v>0.11443137995576168</v>
      </c>
    </row>
    <row r="1024" spans="3:13" hidden="1" outlineLevel="2" x14ac:dyDescent="0.25">
      <c r="C1024" s="751">
        <v>2</v>
      </c>
      <c r="D1024" s="751" t="s">
        <v>512</v>
      </c>
      <c r="E1024" s="751" t="s">
        <v>494</v>
      </c>
      <c r="F1024" s="859">
        <f t="shared" si="68"/>
        <v>5.4450164742607984E-2</v>
      </c>
      <c r="G1024" s="859">
        <f t="shared" si="68"/>
        <v>5.9188068505285268E-2</v>
      </c>
      <c r="H1024" s="859">
        <f t="shared" si="68"/>
        <v>6.6272649348752627E-2</v>
      </c>
      <c r="I1024" s="859">
        <f t="shared" si="68"/>
        <v>7.2323107576059698E-2</v>
      </c>
      <c r="J1024" s="859">
        <f t="shared" si="68"/>
        <v>8.0492881468349833E-2</v>
      </c>
      <c r="K1024" s="859">
        <f t="shared" si="68"/>
        <v>9.0173438508164547E-2</v>
      </c>
      <c r="L1024" s="859">
        <f t="shared" si="68"/>
        <v>0.10142420919894135</v>
      </c>
      <c r="M1024" s="859">
        <f t="shared" si="68"/>
        <v>0.11446947618059498</v>
      </c>
    </row>
    <row r="1025" spans="3:13" hidden="1" outlineLevel="2" x14ac:dyDescent="0.25">
      <c r="C1025" s="751">
        <v>2</v>
      </c>
      <c r="D1025" s="751" t="s">
        <v>512</v>
      </c>
      <c r="E1025" s="751" t="s">
        <v>498</v>
      </c>
      <c r="F1025" s="859">
        <f t="shared" si="68"/>
        <v>1.8890085092842786E-2</v>
      </c>
      <c r="G1025" s="859">
        <f t="shared" si="68"/>
        <v>2.3396584666712909E-2</v>
      </c>
      <c r="H1025" s="859">
        <f t="shared" si="68"/>
        <v>2.9874606268229006E-2</v>
      </c>
      <c r="I1025" s="859">
        <f t="shared" si="68"/>
        <v>3.6197600895118941E-2</v>
      </c>
      <c r="J1025" s="859">
        <f t="shared" si="68"/>
        <v>4.3613184910718895E-2</v>
      </c>
      <c r="K1025" s="859">
        <f t="shared" si="68"/>
        <v>5.2192361540415427E-2</v>
      </c>
      <c r="L1025" s="859">
        <f t="shared" si="68"/>
        <v>6.2680945150798625E-2</v>
      </c>
      <c r="M1025" s="859">
        <f t="shared" si="68"/>
        <v>7.1284398995692014E-2</v>
      </c>
    </row>
    <row r="1026" spans="3:13" hidden="1" outlineLevel="2" x14ac:dyDescent="0.25">
      <c r="C1026" s="751">
        <v>3</v>
      </c>
      <c r="D1026" s="751" t="s">
        <v>512</v>
      </c>
      <c r="E1026" s="751" t="s">
        <v>509</v>
      </c>
      <c r="F1026" s="859">
        <f t="shared" ref="F1026:M1035" si="69">INDEX($C$923:$M$937,MATCH($C1026,$C$923:$C$937,0),MATCH(F$940,$C$907:$M$907,0))*F342</f>
        <v>6.2218083882011471E-2</v>
      </c>
      <c r="G1026" s="859">
        <f t="shared" si="69"/>
        <v>5.8597863676635054E-2</v>
      </c>
      <c r="H1026" s="859">
        <f t="shared" si="69"/>
        <v>5.7399497392894648E-2</v>
      </c>
      <c r="I1026" s="859">
        <f t="shared" si="69"/>
        <v>5.9745186930249702E-2</v>
      </c>
      <c r="J1026" s="859">
        <f t="shared" si="69"/>
        <v>6.465147726557588E-2</v>
      </c>
      <c r="K1026" s="859">
        <f t="shared" si="69"/>
        <v>7.0744649341561147E-2</v>
      </c>
      <c r="L1026" s="859">
        <f t="shared" si="69"/>
        <v>7.7823026831007225E-2</v>
      </c>
      <c r="M1026" s="859">
        <f t="shared" si="69"/>
        <v>8.7604558396498458E-2</v>
      </c>
    </row>
    <row r="1027" spans="3:13" hidden="1" outlineLevel="2" x14ac:dyDescent="0.25">
      <c r="C1027" s="751">
        <v>3</v>
      </c>
      <c r="D1027" s="751" t="s">
        <v>512</v>
      </c>
      <c r="E1027" s="751" t="s">
        <v>510</v>
      </c>
      <c r="F1027" s="859">
        <f t="shared" si="69"/>
        <v>6.9076151954904378E-3</v>
      </c>
      <c r="G1027" s="859">
        <f t="shared" si="69"/>
        <v>1.196879330318701E-2</v>
      </c>
      <c r="H1027" s="859">
        <f t="shared" si="69"/>
        <v>1.9412867436285761E-2</v>
      </c>
      <c r="I1027" s="859">
        <f t="shared" si="69"/>
        <v>2.7419018391040877E-2</v>
      </c>
      <c r="J1027" s="859">
        <f t="shared" si="69"/>
        <v>3.6515677097486862E-2</v>
      </c>
      <c r="K1027" s="859">
        <f t="shared" si="69"/>
        <v>4.7137259283670983E-2</v>
      </c>
      <c r="L1027" s="859">
        <f t="shared" si="69"/>
        <v>6.0691541080392167E-2</v>
      </c>
      <c r="M1027" s="859">
        <f t="shared" si="69"/>
        <v>6.9632222369572061E-2</v>
      </c>
    </row>
    <row r="1028" spans="3:13" hidden="1" outlineLevel="2" x14ac:dyDescent="0.25">
      <c r="C1028" s="751">
        <v>3</v>
      </c>
      <c r="D1028" s="751" t="s">
        <v>512</v>
      </c>
      <c r="E1028" s="751" t="s">
        <v>511</v>
      </c>
      <c r="F1028" s="859">
        <f t="shared" si="69"/>
        <v>2.5994537982938163E-2</v>
      </c>
      <c r="G1028" s="859">
        <f t="shared" si="69"/>
        <v>2.9472196647112262E-2</v>
      </c>
      <c r="H1028" s="859">
        <f t="shared" si="69"/>
        <v>3.4660198042404694E-2</v>
      </c>
      <c r="I1028" s="859">
        <f t="shared" si="69"/>
        <v>3.9619110856269429E-2</v>
      </c>
      <c r="J1028" s="859">
        <f t="shared" si="69"/>
        <v>4.5774502044437788E-2</v>
      </c>
      <c r="K1028" s="859">
        <f t="shared" si="69"/>
        <v>5.3004616273468211E-2</v>
      </c>
      <c r="L1028" s="859">
        <f t="shared" si="69"/>
        <v>6.170941501426698E-2</v>
      </c>
      <c r="M1028" s="859">
        <f t="shared" si="69"/>
        <v>7.0005208316110762E-2</v>
      </c>
    </row>
    <row r="1029" spans="3:13" hidden="1" outlineLevel="2" x14ac:dyDescent="0.25">
      <c r="C1029" s="751">
        <v>3</v>
      </c>
      <c r="D1029" s="751" t="s">
        <v>512</v>
      </c>
      <c r="E1029" s="751" t="s">
        <v>494</v>
      </c>
      <c r="F1029" s="859">
        <f t="shared" si="69"/>
        <v>4.9596609112058994E-2</v>
      </c>
      <c r="G1029" s="859">
        <f t="shared" si="69"/>
        <v>5.1116155462552985E-2</v>
      </c>
      <c r="H1029" s="859">
        <f t="shared" si="69"/>
        <v>5.3514393949327076E-2</v>
      </c>
      <c r="I1029" s="859">
        <f t="shared" si="69"/>
        <v>5.4705222606851962E-2</v>
      </c>
      <c r="J1029" s="859">
        <f t="shared" si="69"/>
        <v>5.7223568371343438E-2</v>
      </c>
      <c r="K1029" s="859">
        <f t="shared" si="69"/>
        <v>6.0259938598353914E-2</v>
      </c>
      <c r="L1029" s="859">
        <f t="shared" si="69"/>
        <v>6.296807432018664E-2</v>
      </c>
      <c r="M1029" s="859">
        <f t="shared" si="69"/>
        <v>7.0466426760718195E-2</v>
      </c>
    </row>
    <row r="1030" spans="3:13" hidden="1" outlineLevel="2" x14ac:dyDescent="0.25">
      <c r="C1030" s="751">
        <v>3</v>
      </c>
      <c r="D1030" s="751" t="s">
        <v>512</v>
      </c>
      <c r="E1030" s="751" t="s">
        <v>498</v>
      </c>
      <c r="F1030" s="859">
        <f t="shared" si="69"/>
        <v>1.1240244551515574E-2</v>
      </c>
      <c r="G1030" s="859">
        <f t="shared" si="69"/>
        <v>1.3829125245196397E-2</v>
      </c>
      <c r="H1030" s="859">
        <f t="shared" si="69"/>
        <v>1.7663375301961069E-2</v>
      </c>
      <c r="I1030" s="859">
        <f t="shared" si="69"/>
        <v>2.1561961124755089E-2</v>
      </c>
      <c r="J1030" s="859">
        <f t="shared" si="69"/>
        <v>2.6180550715278361E-2</v>
      </c>
      <c r="K1030" s="859">
        <f t="shared" si="69"/>
        <v>3.158892605097683E-2</v>
      </c>
      <c r="L1030" s="859">
        <f t="shared" si="69"/>
        <v>3.8301404485436064E-2</v>
      </c>
      <c r="M1030" s="859">
        <f t="shared" si="69"/>
        <v>4.3655424074452998E-2</v>
      </c>
    </row>
    <row r="1031" spans="3:13" hidden="1" outlineLevel="2" x14ac:dyDescent="0.25">
      <c r="C1031" s="751">
        <v>4</v>
      </c>
      <c r="D1031" s="751" t="s">
        <v>512</v>
      </c>
      <c r="E1031" s="751" t="s">
        <v>509</v>
      </c>
      <c r="F1031" s="859">
        <f t="shared" si="69"/>
        <v>0.15728270799006755</v>
      </c>
      <c r="G1031" s="859">
        <f t="shared" si="69"/>
        <v>0.14329494346809113</v>
      </c>
      <c r="H1031" s="859">
        <f t="shared" si="69"/>
        <v>0.13495186932913783</v>
      </c>
      <c r="I1031" s="859">
        <f t="shared" si="69"/>
        <v>0.13508105770839815</v>
      </c>
      <c r="J1031" s="859">
        <f t="shared" si="69"/>
        <v>0.14171696312508505</v>
      </c>
      <c r="K1031" s="859">
        <f t="shared" si="69"/>
        <v>0.15085998827661701</v>
      </c>
      <c r="L1031" s="859">
        <f t="shared" si="69"/>
        <v>0.16121932728143001</v>
      </c>
      <c r="M1031" s="859">
        <f t="shared" si="69"/>
        <v>0.18055223634841139</v>
      </c>
    </row>
    <row r="1032" spans="3:13" hidden="1" outlineLevel="2" x14ac:dyDescent="0.25">
      <c r="C1032" s="751">
        <v>4</v>
      </c>
      <c r="D1032" s="751" t="s">
        <v>512</v>
      </c>
      <c r="E1032" s="751" t="s">
        <v>510</v>
      </c>
      <c r="F1032" s="859">
        <f t="shared" si="69"/>
        <v>2.4103309633668239E-2</v>
      </c>
      <c r="G1032" s="859">
        <f t="shared" si="69"/>
        <v>3.5213506572363031E-2</v>
      </c>
      <c r="H1032" s="859">
        <f t="shared" si="69"/>
        <v>5.0640836156943321E-2</v>
      </c>
      <c r="I1032" s="859">
        <f t="shared" si="69"/>
        <v>6.5841845767879881E-2</v>
      </c>
      <c r="J1032" s="859">
        <f t="shared" si="69"/>
        <v>8.2860985168279833E-2</v>
      </c>
      <c r="K1032" s="859">
        <f t="shared" si="69"/>
        <v>0.10223724767151908</v>
      </c>
      <c r="L1032" s="859">
        <f t="shared" si="69"/>
        <v>0.12600746623004888</v>
      </c>
      <c r="M1032" s="859">
        <f t="shared" si="69"/>
        <v>0.14359135740348525</v>
      </c>
    </row>
    <row r="1033" spans="3:13" hidden="1" outlineLevel="2" x14ac:dyDescent="0.25">
      <c r="C1033" s="751">
        <v>4</v>
      </c>
      <c r="D1033" s="751" t="s">
        <v>512</v>
      </c>
      <c r="E1033" s="751" t="s">
        <v>511</v>
      </c>
      <c r="F1033" s="859">
        <f t="shared" si="69"/>
        <v>5.2323976148165988E-2</v>
      </c>
      <c r="G1033" s="859">
        <f t="shared" si="69"/>
        <v>6.0312375815475876E-2</v>
      </c>
      <c r="H1033" s="859">
        <f t="shared" si="69"/>
        <v>7.175166807096181E-2</v>
      </c>
      <c r="I1033" s="859">
        <f t="shared" si="69"/>
        <v>8.2238174099874592E-2</v>
      </c>
      <c r="J1033" s="859">
        <f t="shared" si="69"/>
        <v>9.5161910933389382E-2</v>
      </c>
      <c r="K1033" s="859">
        <f t="shared" si="69"/>
        <v>0.1102241949380057</v>
      </c>
      <c r="L1033" s="859">
        <f t="shared" si="69"/>
        <v>0.12830760080788312</v>
      </c>
      <c r="M1033" s="859">
        <f t="shared" si="69"/>
        <v>0.14532056559190279</v>
      </c>
    </row>
    <row r="1034" spans="3:13" hidden="1" outlineLevel="2" x14ac:dyDescent="0.25">
      <c r="C1034" s="751">
        <v>4</v>
      </c>
      <c r="D1034" s="751" t="s">
        <v>512</v>
      </c>
      <c r="E1034" s="751" t="s">
        <v>494</v>
      </c>
      <c r="F1034" s="859">
        <f t="shared" si="69"/>
        <v>7.2029396579707347E-2</v>
      </c>
      <c r="G1034" s="859">
        <f t="shared" si="69"/>
        <v>7.781869542585923E-2</v>
      </c>
      <c r="H1034" s="859">
        <f t="shared" si="69"/>
        <v>8.6411091877002494E-2</v>
      </c>
      <c r="I1034" s="859">
        <f t="shared" si="69"/>
        <v>9.3513065232335948E-2</v>
      </c>
      <c r="J1034" s="859">
        <f t="shared" si="69"/>
        <v>0.10345359242847141</v>
      </c>
      <c r="K1034" s="859">
        <f t="shared" si="69"/>
        <v>0.11533401911944496</v>
      </c>
      <c r="L1034" s="859">
        <f t="shared" si="69"/>
        <v>0.12916861568235921</v>
      </c>
      <c r="M1034" s="859">
        <f t="shared" si="69"/>
        <v>0.14563441759106724</v>
      </c>
    </row>
    <row r="1035" spans="3:13" hidden="1" outlineLevel="2" x14ac:dyDescent="0.25">
      <c r="C1035" s="751">
        <v>4</v>
      </c>
      <c r="D1035" s="751" t="s">
        <v>512</v>
      </c>
      <c r="E1035" s="751" t="s">
        <v>498</v>
      </c>
      <c r="F1035" s="859">
        <f t="shared" si="69"/>
        <v>2.3857305852673632E-2</v>
      </c>
      <c r="G1035" s="859">
        <f t="shared" si="69"/>
        <v>2.9837166830590716E-2</v>
      </c>
      <c r="H1035" s="859">
        <f t="shared" si="69"/>
        <v>3.8264611645953225E-2</v>
      </c>
      <c r="I1035" s="859">
        <f t="shared" si="69"/>
        <v>4.6337894326848456E-2</v>
      </c>
      <c r="J1035" s="859">
        <f t="shared" si="69"/>
        <v>5.5754304243318974E-2</v>
      </c>
      <c r="K1035" s="859">
        <f t="shared" si="69"/>
        <v>6.6596473196460365E-2</v>
      </c>
      <c r="L1035" s="859">
        <f t="shared" si="69"/>
        <v>7.9805766444896634E-2</v>
      </c>
      <c r="M1035" s="859">
        <f t="shared" si="69"/>
        <v>9.0684474633863227E-2</v>
      </c>
    </row>
    <row r="1036" spans="3:13" hidden="1" outlineLevel="2" x14ac:dyDescent="0.25">
      <c r="C1036" s="751">
        <v>5</v>
      </c>
      <c r="D1036" s="751" t="s">
        <v>512</v>
      </c>
      <c r="E1036" s="751" t="s">
        <v>509</v>
      </c>
      <c r="F1036" s="859">
        <f t="shared" ref="F1036:M1045" si="70">INDEX($C$923:$M$937,MATCH($C1036,$C$923:$C$937,0),MATCH(F$940,$C$907:$M$907,0))*F352</f>
        <v>0.8460331210231905</v>
      </c>
      <c r="G1036" s="859">
        <f t="shared" si="70"/>
        <v>0.71407982632652212</v>
      </c>
      <c r="H1036" s="859">
        <f t="shared" si="70"/>
        <v>0.61927594800807673</v>
      </c>
      <c r="I1036" s="859">
        <f t="shared" si="70"/>
        <v>0.5751036959243121</v>
      </c>
      <c r="J1036" s="859">
        <f t="shared" si="70"/>
        <v>0.57263128659449691</v>
      </c>
      <c r="K1036" s="859">
        <f t="shared" si="70"/>
        <v>0.58400069204981975</v>
      </c>
      <c r="L1036" s="859">
        <f t="shared" si="70"/>
        <v>0.59928054323879454</v>
      </c>
      <c r="M1036" s="859">
        <f t="shared" si="70"/>
        <v>0.66465565457107201</v>
      </c>
    </row>
    <row r="1037" spans="3:13" hidden="1" outlineLevel="2" x14ac:dyDescent="0.25">
      <c r="C1037" s="751">
        <v>5</v>
      </c>
      <c r="D1037" s="751" t="s">
        <v>512</v>
      </c>
      <c r="E1037" s="751" t="s">
        <v>510</v>
      </c>
      <c r="F1037" s="859">
        <f t="shared" si="70"/>
        <v>6.7936380377998776E-2</v>
      </c>
      <c r="G1037" s="859">
        <f t="shared" si="70"/>
        <v>0.12457640019749344</v>
      </c>
      <c r="H1037" s="859">
        <f t="shared" si="70"/>
        <v>0.19358952149220862</v>
      </c>
      <c r="I1037" s="859">
        <f t="shared" si="70"/>
        <v>0.25323871465329756</v>
      </c>
      <c r="J1037" s="859">
        <f t="shared" si="70"/>
        <v>0.31634448475875598</v>
      </c>
      <c r="K1037" s="859">
        <f t="shared" si="70"/>
        <v>0.38514152877803481</v>
      </c>
      <c r="L1037" s="859">
        <f t="shared" si="70"/>
        <v>0.46673334826575813</v>
      </c>
      <c r="M1037" s="859">
        <f t="shared" si="70"/>
        <v>0.52802101757203457</v>
      </c>
    </row>
    <row r="1038" spans="3:13" hidden="1" outlineLevel="2" x14ac:dyDescent="0.25">
      <c r="C1038" s="751">
        <v>5</v>
      </c>
      <c r="D1038" s="751" t="s">
        <v>512</v>
      </c>
      <c r="E1038" s="751" t="s">
        <v>511</v>
      </c>
      <c r="F1038" s="859">
        <f t="shared" si="70"/>
        <v>0.19545487391401731</v>
      </c>
      <c r="G1038" s="859">
        <f t="shared" si="70"/>
        <v>0.2294312257756716</v>
      </c>
      <c r="H1038" s="859">
        <f t="shared" si="70"/>
        <v>0.27437985931252845</v>
      </c>
      <c r="I1038" s="859">
        <f t="shared" si="70"/>
        <v>0.31075399161765865</v>
      </c>
      <c r="J1038" s="859">
        <f t="shared" si="70"/>
        <v>0.3563881769528332</v>
      </c>
      <c r="K1038" s="859">
        <f t="shared" si="70"/>
        <v>0.40871978226330319</v>
      </c>
      <c r="L1038" s="859">
        <f t="shared" si="70"/>
        <v>0.4705350531185164</v>
      </c>
      <c r="M1038" s="859">
        <f t="shared" si="70"/>
        <v>0.52939272466267262</v>
      </c>
    </row>
    <row r="1039" spans="3:13" hidden="1" outlineLevel="2" x14ac:dyDescent="0.25">
      <c r="C1039" s="751">
        <v>5</v>
      </c>
      <c r="D1039" s="751" t="s">
        <v>512</v>
      </c>
      <c r="E1039" s="751" t="s">
        <v>494</v>
      </c>
      <c r="F1039" s="859">
        <f t="shared" si="70"/>
        <v>0.14108726592124057</v>
      </c>
      <c r="G1039" s="859">
        <f t="shared" si="70"/>
        <v>0.18472629008275449</v>
      </c>
      <c r="H1039" s="859">
        <f t="shared" si="70"/>
        <v>0.23993483652076769</v>
      </c>
      <c r="I1039" s="859">
        <f t="shared" si="70"/>
        <v>0.28623230895904772</v>
      </c>
      <c r="J1039" s="859">
        <f t="shared" si="70"/>
        <v>0.33931551792572445</v>
      </c>
      <c r="K1039" s="859">
        <f t="shared" si="70"/>
        <v>0.3986671757189878</v>
      </c>
      <c r="L1039" s="859">
        <f t="shared" si="70"/>
        <v>0.46891419332471246</v>
      </c>
      <c r="M1039" s="859">
        <f t="shared" si="70"/>
        <v>0.52880789628745639</v>
      </c>
    </row>
    <row r="1040" spans="3:13" hidden="1" outlineLevel="2" x14ac:dyDescent="0.25">
      <c r="C1040" s="751">
        <v>5</v>
      </c>
      <c r="D1040" s="751" t="s">
        <v>512</v>
      </c>
      <c r="E1040" s="751" t="s">
        <v>498</v>
      </c>
      <c r="F1040" s="859">
        <f t="shared" si="70"/>
        <v>4.5960082859748251E-2</v>
      </c>
      <c r="G1040" s="859">
        <f t="shared" si="70"/>
        <v>8.0738073094824378E-2</v>
      </c>
      <c r="H1040" s="859">
        <f t="shared" si="70"/>
        <v>0.12321080515322756</v>
      </c>
      <c r="I1040" s="859">
        <f t="shared" si="70"/>
        <v>0.15985274856892895</v>
      </c>
      <c r="J1040" s="859">
        <f t="shared" si="70"/>
        <v>0.19881433353023142</v>
      </c>
      <c r="K1040" s="859">
        <f t="shared" si="70"/>
        <v>0.24136057915588857</v>
      </c>
      <c r="L1040" s="859">
        <f t="shared" si="70"/>
        <v>0.29181268343911893</v>
      </c>
      <c r="M1040" s="859">
        <f t="shared" si="70"/>
        <v>0.33005078356005252</v>
      </c>
    </row>
    <row r="1041" spans="3:13" hidden="1" outlineLevel="2" x14ac:dyDescent="0.25">
      <c r="C1041" s="751">
        <v>6</v>
      </c>
      <c r="D1041" s="751" t="s">
        <v>512</v>
      </c>
      <c r="E1041" s="751" t="s">
        <v>509</v>
      </c>
      <c r="F1041" s="859">
        <f t="shared" si="70"/>
        <v>0.47767319682095344</v>
      </c>
      <c r="G1041" s="859">
        <f t="shared" si="70"/>
        <v>0.40205273407494146</v>
      </c>
      <c r="H1041" s="859">
        <f t="shared" si="70"/>
        <v>0.35642218753295751</v>
      </c>
      <c r="I1041" s="859">
        <f t="shared" si="70"/>
        <v>0.3447867205110256</v>
      </c>
      <c r="J1041" s="859">
        <f t="shared" si="70"/>
        <v>0.35566010148219818</v>
      </c>
      <c r="K1041" s="859">
        <f t="shared" si="70"/>
        <v>0.37573206838065676</v>
      </c>
      <c r="L1041" s="859">
        <f t="shared" si="70"/>
        <v>0.4020469964752445</v>
      </c>
      <c r="M1041" s="859">
        <f t="shared" si="70"/>
        <v>0.44939175476956111</v>
      </c>
    </row>
    <row r="1042" spans="3:13" hidden="1" outlineLevel="2" x14ac:dyDescent="0.25">
      <c r="C1042" s="751">
        <v>6</v>
      </c>
      <c r="D1042" s="751" t="s">
        <v>512</v>
      </c>
      <c r="E1042" s="751" t="s">
        <v>510</v>
      </c>
      <c r="F1042" s="859">
        <f t="shared" si="70"/>
        <v>0.10861586426597417</v>
      </c>
      <c r="G1042" s="859">
        <f t="shared" si="70"/>
        <v>0.13740898943369759</v>
      </c>
      <c r="H1042" s="859">
        <f t="shared" si="70"/>
        <v>0.17177512783258062</v>
      </c>
      <c r="I1042" s="859">
        <f t="shared" si="70"/>
        <v>0.20051023514162339</v>
      </c>
      <c r="J1042" s="859">
        <f t="shared" si="70"/>
        <v>0.2343431805187787</v>
      </c>
      <c r="K1042" s="859">
        <f t="shared" si="70"/>
        <v>0.27263155204386424</v>
      </c>
      <c r="L1042" s="859">
        <f t="shared" si="70"/>
        <v>0.31768308517251742</v>
      </c>
      <c r="M1042" s="859">
        <f t="shared" si="70"/>
        <v>0.35890534823199105</v>
      </c>
    </row>
    <row r="1043" spans="3:13" hidden="1" outlineLevel="2" x14ac:dyDescent="0.25">
      <c r="C1043" s="751">
        <v>6</v>
      </c>
      <c r="D1043" s="751" t="s">
        <v>512</v>
      </c>
      <c r="E1043" s="751" t="s">
        <v>511</v>
      </c>
      <c r="F1043" s="859">
        <f t="shared" si="70"/>
        <v>0.12718115580296394</v>
      </c>
      <c r="G1043" s="859">
        <f t="shared" si="70"/>
        <v>0.15186301853968304</v>
      </c>
      <c r="H1043" s="859">
        <f t="shared" si="70"/>
        <v>0.18250153175757644</v>
      </c>
      <c r="I1043" s="859">
        <f t="shared" si="70"/>
        <v>0.20805077063808405</v>
      </c>
      <c r="J1043" s="859">
        <f t="shared" si="70"/>
        <v>0.23956212852279221</v>
      </c>
      <c r="K1043" s="859">
        <f t="shared" si="70"/>
        <v>0.27569637563237498</v>
      </c>
      <c r="L1043" s="859">
        <f t="shared" si="70"/>
        <v>0.31817636662711657</v>
      </c>
      <c r="M1043" s="859">
        <f t="shared" si="70"/>
        <v>0.35908385530504094</v>
      </c>
    </row>
    <row r="1044" spans="3:13" hidden="1" outlineLevel="2" x14ac:dyDescent="0.25">
      <c r="C1044" s="751">
        <v>6</v>
      </c>
      <c r="D1044" s="751" t="s">
        <v>512</v>
      </c>
      <c r="E1044" s="751" t="s">
        <v>494</v>
      </c>
      <c r="F1044" s="859">
        <f t="shared" si="70"/>
        <v>9.2269765201543591E-2</v>
      </c>
      <c r="G1044" s="859">
        <f t="shared" si="70"/>
        <v>0.12468271518285375</v>
      </c>
      <c r="H1044" s="859">
        <f t="shared" si="70"/>
        <v>0.16233089902455256</v>
      </c>
      <c r="I1044" s="859">
        <f t="shared" si="70"/>
        <v>0.19387105363572454</v>
      </c>
      <c r="J1044" s="859">
        <f t="shared" si="70"/>
        <v>0.22974807675131345</v>
      </c>
      <c r="K1044" s="859">
        <f t="shared" si="70"/>
        <v>0.26993308054973331</v>
      </c>
      <c r="L1044" s="859">
        <f t="shared" si="70"/>
        <v>0.31724876786015738</v>
      </c>
      <c r="M1044" s="859">
        <f t="shared" si="70"/>
        <v>0.35874817890911986</v>
      </c>
    </row>
    <row r="1045" spans="3:13" hidden="1" outlineLevel="2" x14ac:dyDescent="0.25">
      <c r="C1045" s="751">
        <v>6</v>
      </c>
      <c r="D1045" s="751" t="s">
        <v>512</v>
      </c>
      <c r="E1045" s="751" t="s">
        <v>498</v>
      </c>
      <c r="F1045" s="859">
        <f t="shared" si="70"/>
        <v>3.9644687017638382E-2</v>
      </c>
      <c r="G1045" s="859">
        <f t="shared" si="70"/>
        <v>6.3894156249415107E-2</v>
      </c>
      <c r="H1045" s="859">
        <f t="shared" si="70"/>
        <v>9.1043196491753284E-2</v>
      </c>
      <c r="I1045" s="859">
        <f t="shared" si="70"/>
        <v>0.11384875967219572</v>
      </c>
      <c r="J1045" s="859">
        <f t="shared" si="70"/>
        <v>0.13852578769473198</v>
      </c>
      <c r="K1045" s="859">
        <f t="shared" si="70"/>
        <v>0.16573272389326932</v>
      </c>
      <c r="L1045" s="859">
        <f t="shared" si="70"/>
        <v>0.19780158284817914</v>
      </c>
      <c r="M1045" s="859">
        <f t="shared" si="70"/>
        <v>0.22404431012103554</v>
      </c>
    </row>
    <row r="1046" spans="3:13" hidden="1" outlineLevel="2" x14ac:dyDescent="0.25">
      <c r="C1046" s="751">
        <v>7</v>
      </c>
      <c r="D1046" s="751" t="s">
        <v>512</v>
      </c>
      <c r="E1046" s="751" t="s">
        <v>509</v>
      </c>
      <c r="F1046" s="859">
        <f t="shared" ref="F1046:M1055" si="71">INDEX($C$923:$M$937,MATCH($C1046,$C$923:$C$937,0),MATCH(F$940,$C$907:$M$907,0))*F362</f>
        <v>0.5930523579574698</v>
      </c>
      <c r="G1046" s="859">
        <f t="shared" si="71"/>
        <v>0.48050470438451343</v>
      </c>
      <c r="H1046" s="859">
        <f t="shared" si="71"/>
        <v>0.41486512118957464</v>
      </c>
      <c r="I1046" s="859">
        <f t="shared" si="71"/>
        <v>0.3946248715639758</v>
      </c>
      <c r="J1046" s="859">
        <f t="shared" si="71"/>
        <v>0.40412621999721088</v>
      </c>
      <c r="K1046" s="859">
        <f t="shared" si="71"/>
        <v>0.4254381850784415</v>
      </c>
      <c r="L1046" s="859">
        <f t="shared" si="71"/>
        <v>0.45386502748841667</v>
      </c>
      <c r="M1046" s="859">
        <f t="shared" si="71"/>
        <v>0.50644621075615048</v>
      </c>
    </row>
    <row r="1047" spans="3:13" hidden="1" outlineLevel="2" x14ac:dyDescent="0.25">
      <c r="C1047" s="751">
        <v>7</v>
      </c>
      <c r="D1047" s="751" t="s">
        <v>512</v>
      </c>
      <c r="E1047" s="751" t="s">
        <v>510</v>
      </c>
      <c r="F1047" s="859">
        <f t="shared" si="71"/>
        <v>8.6737519313990111E-2</v>
      </c>
      <c r="G1047" s="859">
        <f t="shared" si="71"/>
        <v>0.13165425259099112</v>
      </c>
      <c r="H1047" s="859">
        <f t="shared" si="71"/>
        <v>0.17893941043492217</v>
      </c>
      <c r="I1047" s="859">
        <f t="shared" si="71"/>
        <v>0.21673160433006011</v>
      </c>
      <c r="J1047" s="859">
        <f t="shared" si="71"/>
        <v>0.25832072589817073</v>
      </c>
      <c r="K1047" s="859">
        <f t="shared" si="71"/>
        <v>0.30411907123221793</v>
      </c>
      <c r="L1047" s="859">
        <f t="shared" si="71"/>
        <v>0.35783945216165292</v>
      </c>
      <c r="M1047" s="859">
        <f t="shared" si="71"/>
        <v>0.40404090116045421</v>
      </c>
    </row>
    <row r="1048" spans="3:13" hidden="1" outlineLevel="2" x14ac:dyDescent="0.25">
      <c r="C1048" s="751">
        <v>7</v>
      </c>
      <c r="D1048" s="751" t="s">
        <v>512</v>
      </c>
      <c r="E1048" s="751" t="s">
        <v>511</v>
      </c>
      <c r="F1048" s="859">
        <f t="shared" si="71"/>
        <v>0.14219730362201699</v>
      </c>
      <c r="G1048" s="859">
        <f t="shared" si="71"/>
        <v>0.17268842684882718</v>
      </c>
      <c r="H1048" s="859">
        <f t="shared" si="71"/>
        <v>0.20818446223889328</v>
      </c>
      <c r="I1048" s="859">
        <f t="shared" si="71"/>
        <v>0.23674337473669221</v>
      </c>
      <c r="J1048" s="859">
        <f t="shared" si="71"/>
        <v>0.27191649071170965</v>
      </c>
      <c r="K1048" s="859">
        <f t="shared" si="71"/>
        <v>0.31198545028228086</v>
      </c>
      <c r="L1048" s="859">
        <f t="shared" si="71"/>
        <v>0.35908901130593163</v>
      </c>
      <c r="M1048" s="859">
        <f t="shared" si="71"/>
        <v>0.4044917285467482</v>
      </c>
    </row>
    <row r="1049" spans="3:13" hidden="1" outlineLevel="2" x14ac:dyDescent="0.25">
      <c r="C1049" s="751">
        <v>7</v>
      </c>
      <c r="D1049" s="751" t="s">
        <v>512</v>
      </c>
      <c r="E1049" s="751" t="s">
        <v>494</v>
      </c>
      <c r="F1049" s="859">
        <f t="shared" si="71"/>
        <v>9.6771284480638875E-2</v>
      </c>
      <c r="G1049" s="859">
        <f t="shared" si="71"/>
        <v>0.13907814133213209</v>
      </c>
      <c r="H1049" s="859">
        <f t="shared" si="71"/>
        <v>0.18423041518275446</v>
      </c>
      <c r="I1049" s="859">
        <f t="shared" si="71"/>
        <v>0.22035212697244591</v>
      </c>
      <c r="J1049" s="859">
        <f t="shared" si="71"/>
        <v>0.26078046700791574</v>
      </c>
      <c r="K1049" s="859">
        <f t="shared" si="71"/>
        <v>0.30554225383353861</v>
      </c>
      <c r="L1049" s="859">
        <f t="shared" si="71"/>
        <v>0.35806552197371527</v>
      </c>
      <c r="M1049" s="859">
        <f t="shared" si="71"/>
        <v>0.40412246469664909</v>
      </c>
    </row>
    <row r="1050" spans="3:13" hidden="1" outlineLevel="2" x14ac:dyDescent="0.25">
      <c r="C1050" s="751">
        <v>7</v>
      </c>
      <c r="D1050" s="751" t="s">
        <v>512</v>
      </c>
      <c r="E1050" s="751" t="s">
        <v>498</v>
      </c>
      <c r="F1050" s="859">
        <f t="shared" si="71"/>
        <v>5.4469429450470203E-2</v>
      </c>
      <c r="G1050" s="859">
        <f t="shared" si="71"/>
        <v>8.2475154707752574E-2</v>
      </c>
      <c r="H1050" s="859">
        <f t="shared" si="71"/>
        <v>0.11197343312401573</v>
      </c>
      <c r="I1050" s="859">
        <f t="shared" si="71"/>
        <v>0.1355505210098403</v>
      </c>
      <c r="J1050" s="859">
        <f t="shared" si="71"/>
        <v>0.16151381909051113</v>
      </c>
      <c r="K1050" s="859">
        <f t="shared" si="71"/>
        <v>0.19011108213489708</v>
      </c>
      <c r="L1050" s="859">
        <f t="shared" si="71"/>
        <v>0.22365548138669564</v>
      </c>
      <c r="M1050" s="859">
        <f t="shared" si="71"/>
        <v>0.25252766438398511</v>
      </c>
    </row>
    <row r="1051" spans="3:13" hidden="1" outlineLevel="2" x14ac:dyDescent="0.25">
      <c r="C1051" s="751">
        <v>8</v>
      </c>
      <c r="D1051" s="751" t="s">
        <v>512</v>
      </c>
      <c r="E1051" s="751" t="s">
        <v>509</v>
      </c>
      <c r="F1051" s="859">
        <f t="shared" si="71"/>
        <v>1.5329377673095546</v>
      </c>
      <c r="G1051" s="859">
        <f t="shared" si="71"/>
        <v>1.2645035411674117</v>
      </c>
      <c r="H1051" s="859">
        <f t="shared" si="71"/>
        <v>1.0865525899467352</v>
      </c>
      <c r="I1051" s="859">
        <f t="shared" si="71"/>
        <v>1.0096479040266997</v>
      </c>
      <c r="J1051" s="859">
        <f t="shared" si="71"/>
        <v>1.0078564172219611</v>
      </c>
      <c r="K1051" s="859">
        <f t="shared" si="71"/>
        <v>1.0288396632883379</v>
      </c>
      <c r="L1051" s="859">
        <f t="shared" si="71"/>
        <v>1.0515410066214974</v>
      </c>
      <c r="M1051" s="859">
        <f t="shared" si="71"/>
        <v>1.1657142132295708</v>
      </c>
    </row>
    <row r="1052" spans="3:13" hidden="1" outlineLevel="2" x14ac:dyDescent="0.25">
      <c r="C1052" s="751">
        <v>8</v>
      </c>
      <c r="D1052" s="751" t="s">
        <v>512</v>
      </c>
      <c r="E1052" s="751" t="s">
        <v>510</v>
      </c>
      <c r="F1052" s="859">
        <f t="shared" si="71"/>
        <v>0.16166649808112646</v>
      </c>
      <c r="G1052" s="859">
        <f t="shared" si="71"/>
        <v>0.26525196658822747</v>
      </c>
      <c r="H1052" s="859">
        <f t="shared" si="71"/>
        <v>0.38261264972763226</v>
      </c>
      <c r="I1052" s="859">
        <f t="shared" si="71"/>
        <v>0.47975758372191618</v>
      </c>
      <c r="J1052" s="859">
        <f t="shared" si="71"/>
        <v>0.58522589335240538</v>
      </c>
      <c r="K1052" s="859">
        <f t="shared" si="71"/>
        <v>0.7017372371491537</v>
      </c>
      <c r="L1052" s="859">
        <f t="shared" si="71"/>
        <v>0.8419113944687252</v>
      </c>
      <c r="M1052" s="859">
        <f t="shared" si="71"/>
        <v>0.95089959225526643</v>
      </c>
    </row>
    <row r="1053" spans="3:13" hidden="1" outlineLevel="2" x14ac:dyDescent="0.25">
      <c r="C1053" s="751">
        <v>8</v>
      </c>
      <c r="D1053" s="751" t="s">
        <v>512</v>
      </c>
      <c r="E1053" s="751" t="s">
        <v>511</v>
      </c>
      <c r="F1053" s="859">
        <f t="shared" si="71"/>
        <v>0.32827537936838136</v>
      </c>
      <c r="G1053" s="859">
        <f t="shared" si="71"/>
        <v>0.39641682137640977</v>
      </c>
      <c r="H1053" s="859">
        <f t="shared" si="71"/>
        <v>0.48124214617381039</v>
      </c>
      <c r="I1053" s="859">
        <f t="shared" si="71"/>
        <v>0.54913969650788386</v>
      </c>
      <c r="J1053" s="859">
        <f t="shared" si="71"/>
        <v>0.63281169923180791</v>
      </c>
      <c r="K1053" s="859">
        <f t="shared" si="71"/>
        <v>0.72866346022470452</v>
      </c>
      <c r="L1053" s="859">
        <f t="shared" si="71"/>
        <v>0.84222390441463579</v>
      </c>
      <c r="M1053" s="859">
        <f t="shared" si="71"/>
        <v>0.9477137002177124</v>
      </c>
    </row>
    <row r="1054" spans="3:13" hidden="1" outlineLevel="2" x14ac:dyDescent="0.25">
      <c r="C1054" s="751">
        <v>8</v>
      </c>
      <c r="D1054" s="751" t="s">
        <v>512</v>
      </c>
      <c r="E1054" s="751" t="s">
        <v>494</v>
      </c>
      <c r="F1054" s="859">
        <f t="shared" si="71"/>
        <v>0.2043407177336688</v>
      </c>
      <c r="G1054" s="859">
        <f t="shared" si="71"/>
        <v>0.29884776160634619</v>
      </c>
      <c r="H1054" s="859">
        <f t="shared" si="71"/>
        <v>0.40787502927813829</v>
      </c>
      <c r="I1054" s="859">
        <f t="shared" si="71"/>
        <v>0.49752871031558799</v>
      </c>
      <c r="J1054" s="859">
        <f t="shared" si="71"/>
        <v>0.59741424199715587</v>
      </c>
      <c r="K1054" s="859">
        <f t="shared" si="71"/>
        <v>0.70863396167585113</v>
      </c>
      <c r="L1054" s="859">
        <f t="shared" si="71"/>
        <v>0.84199143892957451</v>
      </c>
      <c r="M1054" s="859">
        <f t="shared" si="71"/>
        <v>0.95008357659301912</v>
      </c>
    </row>
    <row r="1055" spans="3:13" hidden="1" outlineLevel="2" x14ac:dyDescent="0.25">
      <c r="C1055" s="751">
        <v>8</v>
      </c>
      <c r="D1055" s="751" t="s">
        <v>512</v>
      </c>
      <c r="E1055" s="751" t="s">
        <v>498</v>
      </c>
      <c r="F1055" s="859">
        <f t="shared" si="71"/>
        <v>9.9634978971684524E-2</v>
      </c>
      <c r="G1055" s="859">
        <f t="shared" si="71"/>
        <v>0.16467513018457192</v>
      </c>
      <c r="H1055" s="859">
        <f t="shared" si="71"/>
        <v>0.23830023434132841</v>
      </c>
      <c r="I1055" s="859">
        <f t="shared" si="71"/>
        <v>0.29926273681566906</v>
      </c>
      <c r="J1055" s="859">
        <f t="shared" si="71"/>
        <v>0.36536444393529527</v>
      </c>
      <c r="K1055" s="859">
        <f t="shared" si="71"/>
        <v>0.4383584507053232</v>
      </c>
      <c r="L1055" s="859">
        <f t="shared" si="71"/>
        <v>0.52619198320240279</v>
      </c>
      <c r="M1055" s="859">
        <f t="shared" si="71"/>
        <v>0.59433914180159031</v>
      </c>
    </row>
    <row r="1056" spans="3:13" hidden="1" outlineLevel="2" x14ac:dyDescent="0.25">
      <c r="C1056" s="751">
        <v>9</v>
      </c>
      <c r="D1056" s="751" t="s">
        <v>512</v>
      </c>
      <c r="E1056" s="751" t="s">
        <v>509</v>
      </c>
      <c r="F1056" s="859">
        <f t="shared" ref="F1056:M1065" si="72">INDEX($C$923:$M$937,MATCH($C1056,$C$923:$C$937,0),MATCH(F$940,$C$907:$M$907,0))*F372</f>
        <v>0.98459748835764638</v>
      </c>
      <c r="G1056" s="859">
        <f t="shared" si="72"/>
        <v>0.8094272771063582</v>
      </c>
      <c r="H1056" s="859">
        <f t="shared" si="72"/>
        <v>0.68445456913503044</v>
      </c>
      <c r="I1056" s="859">
        <f t="shared" si="72"/>
        <v>0.61345847894206307</v>
      </c>
      <c r="J1056" s="859">
        <f t="shared" si="72"/>
        <v>0.58902365178376959</v>
      </c>
      <c r="K1056" s="859">
        <f t="shared" si="72"/>
        <v>0.57518433643007949</v>
      </c>
      <c r="L1056" s="859">
        <f t="shared" si="72"/>
        <v>0.55530096923269279</v>
      </c>
      <c r="M1056" s="859">
        <f t="shared" si="72"/>
        <v>0.60840197102849281</v>
      </c>
    </row>
    <row r="1057" spans="3:13" hidden="1" outlineLevel="2" x14ac:dyDescent="0.25">
      <c r="C1057" s="751">
        <v>9</v>
      </c>
      <c r="D1057" s="751" t="s">
        <v>512</v>
      </c>
      <c r="E1057" s="751" t="s">
        <v>510</v>
      </c>
      <c r="F1057" s="859">
        <f t="shared" si="72"/>
        <v>5.558305921008929E-2</v>
      </c>
      <c r="G1057" s="859">
        <f t="shared" si="72"/>
        <v>0.11169764170384655</v>
      </c>
      <c r="H1057" s="859">
        <f t="shared" si="72"/>
        <v>0.176054796800765</v>
      </c>
      <c r="I1057" s="859">
        <f t="shared" si="72"/>
        <v>0.22979084808376024</v>
      </c>
      <c r="J1057" s="859">
        <f t="shared" si="72"/>
        <v>0.28754705222950189</v>
      </c>
      <c r="K1057" s="859">
        <f t="shared" si="72"/>
        <v>0.3511840716395927</v>
      </c>
      <c r="L1057" s="859">
        <f t="shared" si="72"/>
        <v>0.42800583395790315</v>
      </c>
      <c r="M1057" s="859">
        <f t="shared" si="72"/>
        <v>0.4832754092054079</v>
      </c>
    </row>
    <row r="1058" spans="3:13" hidden="1" outlineLevel="2" x14ac:dyDescent="0.25">
      <c r="C1058" s="751">
        <v>9</v>
      </c>
      <c r="D1058" s="751" t="s">
        <v>512</v>
      </c>
      <c r="E1058" s="751" t="s">
        <v>511</v>
      </c>
      <c r="F1058" s="859">
        <f t="shared" si="72"/>
        <v>0.11074285819522257</v>
      </c>
      <c r="G1058" s="859">
        <f t="shared" si="72"/>
        <v>0.15639816141917082</v>
      </c>
      <c r="H1058" s="859">
        <f t="shared" si="72"/>
        <v>0.21088454383688415</v>
      </c>
      <c r="I1058" s="859">
        <f t="shared" si="72"/>
        <v>0.25499726004457618</v>
      </c>
      <c r="J1058" s="859">
        <f t="shared" si="72"/>
        <v>0.30541481549012589</v>
      </c>
      <c r="K1058" s="859">
        <f t="shared" si="72"/>
        <v>0.36191670920205393</v>
      </c>
      <c r="L1058" s="859">
        <f t="shared" si="72"/>
        <v>0.42978032882084782</v>
      </c>
      <c r="M1058" s="859">
        <f t="shared" si="72"/>
        <v>0.48391639121332125</v>
      </c>
    </row>
    <row r="1059" spans="3:13" hidden="1" outlineLevel="2" x14ac:dyDescent="0.25">
      <c r="C1059" s="751">
        <v>9</v>
      </c>
      <c r="D1059" s="751" t="s">
        <v>512</v>
      </c>
      <c r="E1059" s="751" t="s">
        <v>494</v>
      </c>
      <c r="F1059" s="859">
        <f t="shared" si="72"/>
        <v>5.5826262718183785E-2</v>
      </c>
      <c r="G1059" s="859">
        <f t="shared" si="72"/>
        <v>0.11189472949982179</v>
      </c>
      <c r="H1059" s="859">
        <f t="shared" si="72"/>
        <v>0.17620836365236844</v>
      </c>
      <c r="I1059" s="859">
        <f t="shared" si="72"/>
        <v>0.22990198496112629</v>
      </c>
      <c r="J1059" s="859">
        <f t="shared" si="72"/>
        <v>0.28762583247864604</v>
      </c>
      <c r="K1059" s="859">
        <f t="shared" si="72"/>
        <v>0.35123139260802116</v>
      </c>
      <c r="L1059" s="859">
        <f t="shared" si="72"/>
        <v>0.42801365783296624</v>
      </c>
      <c r="M1059" s="859">
        <f t="shared" si="72"/>
        <v>0.48327823534103231</v>
      </c>
    </row>
    <row r="1060" spans="3:13" hidden="1" outlineLevel="2" x14ac:dyDescent="0.25">
      <c r="C1060" s="751">
        <v>9</v>
      </c>
      <c r="D1060" s="751" t="s">
        <v>512</v>
      </c>
      <c r="E1060" s="751" t="s">
        <v>498</v>
      </c>
      <c r="F1060" s="859">
        <f t="shared" si="72"/>
        <v>3.244553250329478E-2</v>
      </c>
      <c r="G1060" s="859">
        <f t="shared" si="72"/>
        <v>6.7952106927498285E-2</v>
      </c>
      <c r="H1060" s="859">
        <f t="shared" si="72"/>
        <v>0.10858581554983149</v>
      </c>
      <c r="I1060" s="859">
        <f t="shared" si="72"/>
        <v>0.14257104432986412</v>
      </c>
      <c r="J1060" s="859">
        <f t="shared" si="72"/>
        <v>0.17897385751159819</v>
      </c>
      <c r="K1060" s="859">
        <f t="shared" si="72"/>
        <v>0.21904371651085142</v>
      </c>
      <c r="L1060" s="859">
        <f t="shared" si="72"/>
        <v>0.26742985194834407</v>
      </c>
      <c r="M1060" s="859">
        <f t="shared" si="72"/>
        <v>0.30202047482792693</v>
      </c>
    </row>
    <row r="1061" spans="3:13" hidden="1" outlineLevel="2" x14ac:dyDescent="0.25">
      <c r="C1061" s="751">
        <v>10</v>
      </c>
      <c r="D1061" s="751" t="s">
        <v>512</v>
      </c>
      <c r="E1061" s="751" t="s">
        <v>509</v>
      </c>
      <c r="F1061" s="859">
        <f t="shared" si="72"/>
        <v>1.7321753572227585</v>
      </c>
      <c r="G1061" s="859">
        <f t="shared" si="72"/>
        <v>1.510072803592085</v>
      </c>
      <c r="H1061" s="859">
        <f t="shared" si="72"/>
        <v>1.3358690964549624</v>
      </c>
      <c r="I1061" s="859">
        <f t="shared" si="72"/>
        <v>1.2113433734162005</v>
      </c>
      <c r="J1061" s="859">
        <f t="shared" si="72"/>
        <v>1.1452175460502565</v>
      </c>
      <c r="K1061" s="859">
        <f t="shared" si="72"/>
        <v>1.0792916358181066</v>
      </c>
      <c r="L1061" s="859">
        <f t="shared" si="72"/>
        <v>0.97636118019318052</v>
      </c>
      <c r="M1061" s="859">
        <f t="shared" si="72"/>
        <v>1.0587970605171457</v>
      </c>
    </row>
    <row r="1062" spans="3:13" hidden="1" outlineLevel="2" x14ac:dyDescent="0.25">
      <c r="C1062" s="751">
        <v>10</v>
      </c>
      <c r="D1062" s="751" t="s">
        <v>512</v>
      </c>
      <c r="E1062" s="751" t="s">
        <v>510</v>
      </c>
      <c r="F1062" s="859">
        <f t="shared" si="72"/>
        <v>5.9588464635134009E-2</v>
      </c>
      <c r="G1062" s="859">
        <f t="shared" si="72"/>
        <v>0.13523723426115644</v>
      </c>
      <c r="H1062" s="859">
        <f t="shared" si="72"/>
        <v>0.23692619258672226</v>
      </c>
      <c r="I1062" s="859">
        <f t="shared" si="72"/>
        <v>0.33468347638768425</v>
      </c>
      <c r="J1062" s="859">
        <f t="shared" si="72"/>
        <v>0.4455044912718647</v>
      </c>
      <c r="K1062" s="859">
        <f t="shared" si="72"/>
        <v>0.57260067731063236</v>
      </c>
      <c r="L1062" s="859">
        <f t="shared" si="72"/>
        <v>0.73257989106084365</v>
      </c>
      <c r="M1062" s="859">
        <f t="shared" si="72"/>
        <v>0.83172749233418042</v>
      </c>
    </row>
    <row r="1063" spans="3:13" hidden="1" outlineLevel="2" x14ac:dyDescent="0.25">
      <c r="C1063" s="751">
        <v>10</v>
      </c>
      <c r="D1063" s="751" t="s">
        <v>512</v>
      </c>
      <c r="E1063" s="751" t="s">
        <v>511</v>
      </c>
      <c r="F1063" s="859">
        <f t="shared" si="72"/>
        <v>0.11776448137061152</v>
      </c>
      <c r="G1063" s="859">
        <f t="shared" si="72"/>
        <v>0.18712657405354305</v>
      </c>
      <c r="H1063" s="859">
        <f t="shared" si="72"/>
        <v>0.28161205473880119</v>
      </c>
      <c r="I1063" s="859">
        <f t="shared" si="72"/>
        <v>0.36965295384640745</v>
      </c>
      <c r="J1063" s="859">
        <f t="shared" si="72"/>
        <v>0.47185546811958901</v>
      </c>
      <c r="K1063" s="859">
        <f t="shared" si="72"/>
        <v>0.5891978674511027</v>
      </c>
      <c r="L1063" s="859">
        <f t="shared" si="72"/>
        <v>0.73544429708733783</v>
      </c>
      <c r="M1063" s="859">
        <f t="shared" si="72"/>
        <v>0.83276697465738336</v>
      </c>
    </row>
    <row r="1064" spans="3:13" hidden="1" outlineLevel="2" x14ac:dyDescent="0.25">
      <c r="C1064" s="751">
        <v>10</v>
      </c>
      <c r="D1064" s="751" t="s">
        <v>512</v>
      </c>
      <c r="E1064" s="751" t="s">
        <v>494</v>
      </c>
      <c r="F1064" s="859">
        <f t="shared" si="72"/>
        <v>0.19587506730535614</v>
      </c>
      <c r="G1064" s="859">
        <f t="shared" si="72"/>
        <v>0.2567962929925276</v>
      </c>
      <c r="H1064" s="859">
        <f t="shared" si="72"/>
        <v>0.34160995544707584</v>
      </c>
      <c r="I1064" s="859">
        <f t="shared" si="72"/>
        <v>0.41660505760683858</v>
      </c>
      <c r="J1064" s="859">
        <f t="shared" si="72"/>
        <v>0.50723585950814964</v>
      </c>
      <c r="K1064" s="859">
        <f t="shared" si="72"/>
        <v>0.61148224371971593</v>
      </c>
      <c r="L1064" s="859">
        <f t="shared" si="72"/>
        <v>0.73929021926695015</v>
      </c>
      <c r="M1064" s="859">
        <f t="shared" si="72"/>
        <v>0.83416264555220077</v>
      </c>
    </row>
    <row r="1065" spans="3:13" hidden="1" outlineLevel="2" x14ac:dyDescent="0.25">
      <c r="C1065" s="751">
        <v>10</v>
      </c>
      <c r="D1065" s="751" t="s">
        <v>512</v>
      </c>
      <c r="E1065" s="751" t="s">
        <v>498</v>
      </c>
      <c r="F1065" s="859">
        <f t="shared" si="72"/>
        <v>3.4674485437570929E-2</v>
      </c>
      <c r="G1065" s="859">
        <f t="shared" si="72"/>
        <v>8.2232505283013055E-2</v>
      </c>
      <c r="H1065" s="859">
        <f t="shared" si="72"/>
        <v>0.14610611719761557</v>
      </c>
      <c r="I1065" s="859">
        <f t="shared" si="72"/>
        <v>0.20763337020262701</v>
      </c>
      <c r="J1065" s="859">
        <f t="shared" si="72"/>
        <v>0.27727698668851419</v>
      </c>
      <c r="K1065" s="859">
        <f t="shared" si="72"/>
        <v>0.35714270478422899</v>
      </c>
      <c r="L1065" s="859">
        <f t="shared" si="72"/>
        <v>0.45773597656911785</v>
      </c>
      <c r="M1065" s="859">
        <f t="shared" si="72"/>
        <v>0.5197837925335691</v>
      </c>
    </row>
    <row r="1066" spans="3:13" hidden="1" outlineLevel="2" x14ac:dyDescent="0.25">
      <c r="C1066" s="751">
        <v>11</v>
      </c>
      <c r="D1066" s="751" t="s">
        <v>512</v>
      </c>
      <c r="E1066" s="751" t="s">
        <v>509</v>
      </c>
      <c r="F1066" s="859">
        <f t="shared" ref="F1066:M1075" si="73">INDEX($C$923:$M$937,MATCH($C1066,$C$923:$C$937,0),MATCH(F$940,$C$907:$M$907,0))*F382</f>
        <v>0.26565778742250562</v>
      </c>
      <c r="G1066" s="859">
        <f t="shared" si="73"/>
        <v>0.243159638449787</v>
      </c>
      <c r="H1066" s="859">
        <f t="shared" si="73"/>
        <v>0.22866059434749711</v>
      </c>
      <c r="I1066" s="859">
        <f t="shared" si="73"/>
        <v>0.22424489857408997</v>
      </c>
      <c r="J1066" s="859">
        <f t="shared" si="73"/>
        <v>0.22774119687871897</v>
      </c>
      <c r="K1066" s="859">
        <f t="shared" si="73"/>
        <v>0.23249117504682934</v>
      </c>
      <c r="L1066" s="859">
        <f t="shared" si="73"/>
        <v>0.23363736523355691</v>
      </c>
      <c r="M1066" s="859">
        <f t="shared" si="73"/>
        <v>0.25881063710666918</v>
      </c>
    </row>
    <row r="1067" spans="3:13" hidden="1" outlineLevel="2" x14ac:dyDescent="0.25">
      <c r="C1067" s="751">
        <v>11</v>
      </c>
      <c r="D1067" s="751" t="s">
        <v>512</v>
      </c>
      <c r="E1067" s="751" t="s">
        <v>510</v>
      </c>
      <c r="F1067" s="859">
        <f t="shared" si="73"/>
        <v>2.7881448849586057E-2</v>
      </c>
      <c r="G1067" s="859">
        <f t="shared" si="73"/>
        <v>4.2356606164040952E-2</v>
      </c>
      <c r="H1067" s="859">
        <f t="shared" si="73"/>
        <v>6.2983196219751084E-2</v>
      </c>
      <c r="I1067" s="859">
        <f t="shared" si="73"/>
        <v>8.4355943179570209E-2</v>
      </c>
      <c r="J1067" s="859">
        <f t="shared" si="73"/>
        <v>0.10973612976371999</v>
      </c>
      <c r="K1067" s="859">
        <f t="shared" si="73"/>
        <v>0.13987360248606073</v>
      </c>
      <c r="L1067" s="859">
        <f t="shared" si="73"/>
        <v>0.17899851490188287</v>
      </c>
      <c r="M1067" s="859">
        <f t="shared" si="73"/>
        <v>0.20461378159647797</v>
      </c>
    </row>
    <row r="1068" spans="3:13" hidden="1" outlineLevel="2" x14ac:dyDescent="0.25">
      <c r="C1068" s="751">
        <v>11</v>
      </c>
      <c r="D1068" s="751" t="s">
        <v>512</v>
      </c>
      <c r="E1068" s="751" t="s">
        <v>511</v>
      </c>
      <c r="F1068" s="859">
        <f t="shared" si="73"/>
        <v>6.027398930872651E-2</v>
      </c>
      <c r="G1068" s="859">
        <f t="shared" si="73"/>
        <v>7.2161562610271221E-2</v>
      </c>
      <c r="H1068" s="859">
        <f t="shared" si="73"/>
        <v>8.9528031299455801E-2</v>
      </c>
      <c r="I1068" s="859">
        <f t="shared" si="73"/>
        <v>0.10611685028247986</v>
      </c>
      <c r="J1068" s="859">
        <f t="shared" si="73"/>
        <v>0.12669924422569648</v>
      </c>
      <c r="K1068" s="859">
        <f t="shared" si="73"/>
        <v>0.15089284487778976</v>
      </c>
      <c r="L1068" s="859">
        <f t="shared" si="73"/>
        <v>0.18096567077160253</v>
      </c>
      <c r="M1068" s="859">
        <f t="shared" si="73"/>
        <v>0.20533511660594322</v>
      </c>
    </row>
    <row r="1069" spans="3:13" hidden="1" outlineLevel="2" x14ac:dyDescent="0.25">
      <c r="C1069" s="751">
        <v>11</v>
      </c>
      <c r="D1069" s="751" t="s">
        <v>512</v>
      </c>
      <c r="E1069" s="751" t="s">
        <v>494</v>
      </c>
      <c r="F1069" s="859">
        <f t="shared" si="73"/>
        <v>0.11669415348586719</v>
      </c>
      <c r="G1069" s="859">
        <f t="shared" si="73"/>
        <v>0.1240747658401935</v>
      </c>
      <c r="H1069" s="859">
        <f t="shared" si="73"/>
        <v>0.13576287216169675</v>
      </c>
      <c r="I1069" s="859">
        <f t="shared" si="73"/>
        <v>0.14401921712333751</v>
      </c>
      <c r="J1069" s="859">
        <f t="shared" si="73"/>
        <v>0.15624498807087475</v>
      </c>
      <c r="K1069" s="859">
        <f t="shared" si="73"/>
        <v>0.17008576571810716</v>
      </c>
      <c r="L1069" s="859">
        <f t="shared" si="73"/>
        <v>0.18439199225051234</v>
      </c>
      <c r="M1069" s="859">
        <f t="shared" si="73"/>
        <v>0.20659151203167658</v>
      </c>
    </row>
    <row r="1070" spans="3:13" hidden="1" outlineLevel="2" x14ac:dyDescent="0.25">
      <c r="C1070" s="751">
        <v>11</v>
      </c>
      <c r="D1070" s="751" t="s">
        <v>512</v>
      </c>
      <c r="E1070" s="751" t="s">
        <v>498</v>
      </c>
      <c r="F1070" s="859">
        <f t="shared" si="73"/>
        <v>9.8169700120178342E-3</v>
      </c>
      <c r="G1070" s="859">
        <f t="shared" si="73"/>
        <v>1.9471761047911262E-2</v>
      </c>
      <c r="H1070" s="859">
        <f t="shared" si="73"/>
        <v>3.3129175071705277E-2</v>
      </c>
      <c r="I1070" s="859">
        <f t="shared" si="73"/>
        <v>4.7610875935253878E-2</v>
      </c>
      <c r="J1070" s="859">
        <f t="shared" si="73"/>
        <v>6.4600483342697176E-2</v>
      </c>
      <c r="K1070" s="859">
        <f t="shared" si="73"/>
        <v>8.483260608871579E-2</v>
      </c>
      <c r="L1070" s="859">
        <f t="shared" si="73"/>
        <v>0.1114119912866077</v>
      </c>
      <c r="M1070" s="859">
        <f t="shared" si="73"/>
        <v>0.12771417351264161</v>
      </c>
    </row>
    <row r="1071" spans="3:13" hidden="1" outlineLevel="2" x14ac:dyDescent="0.25">
      <c r="C1071" s="751">
        <v>12</v>
      </c>
      <c r="D1071" s="751" t="s">
        <v>512</v>
      </c>
      <c r="E1071" s="751" t="s">
        <v>509</v>
      </c>
      <c r="F1071" s="859">
        <f t="shared" si="73"/>
        <v>0.5485956691360534</v>
      </c>
      <c r="G1071" s="859">
        <f t="shared" si="73"/>
        <v>0.53889084490137262</v>
      </c>
      <c r="H1071" s="859">
        <f t="shared" si="73"/>
        <v>0.54888313162562974</v>
      </c>
      <c r="I1071" s="859">
        <f t="shared" si="73"/>
        <v>0.58298954852306573</v>
      </c>
      <c r="J1071" s="859">
        <f t="shared" si="73"/>
        <v>0.63592531696699706</v>
      </c>
      <c r="K1071" s="859">
        <f t="shared" si="73"/>
        <v>0.69318250634295342</v>
      </c>
      <c r="L1071" s="859">
        <f t="shared" si="73"/>
        <v>0.744723190984659</v>
      </c>
      <c r="M1071" s="859">
        <f t="shared" si="73"/>
        <v>0.83417324670169513</v>
      </c>
    </row>
    <row r="1072" spans="3:13" hidden="1" outlineLevel="2" x14ac:dyDescent="0.25">
      <c r="C1072" s="751">
        <v>12</v>
      </c>
      <c r="D1072" s="751" t="s">
        <v>512</v>
      </c>
      <c r="E1072" s="751" t="s">
        <v>510</v>
      </c>
      <c r="F1072" s="859">
        <f t="shared" si="73"/>
        <v>0.19168440663791111</v>
      </c>
      <c r="G1072" s="859">
        <f t="shared" si="73"/>
        <v>0.21838787620108163</v>
      </c>
      <c r="H1072" s="859">
        <f t="shared" si="73"/>
        <v>0.26316332293133576</v>
      </c>
      <c r="I1072" s="859">
        <f t="shared" si="73"/>
        <v>0.31216184790414475</v>
      </c>
      <c r="J1072" s="859">
        <f t="shared" si="73"/>
        <v>0.37665172011401371</v>
      </c>
      <c r="K1072" s="859">
        <f t="shared" si="73"/>
        <v>0.45957640714399933</v>
      </c>
      <c r="L1072" s="859">
        <f t="shared" si="73"/>
        <v>0.57677933298799655</v>
      </c>
      <c r="M1072" s="859">
        <f t="shared" si="73"/>
        <v>0.66133508144072428</v>
      </c>
    </row>
    <row r="1073" spans="3:13" hidden="1" outlineLevel="2" x14ac:dyDescent="0.25">
      <c r="C1073" s="751">
        <v>12</v>
      </c>
      <c r="D1073" s="751" t="s">
        <v>512</v>
      </c>
      <c r="E1073" s="751" t="s">
        <v>511</v>
      </c>
      <c r="F1073" s="859">
        <f t="shared" si="73"/>
        <v>0.55696468116800124</v>
      </c>
      <c r="G1073" s="859">
        <f t="shared" si="73"/>
        <v>0.60131308009316609</v>
      </c>
      <c r="H1073" s="859">
        <f t="shared" si="73"/>
        <v>0.66991250137743996</v>
      </c>
      <c r="I1073" s="859">
        <f t="shared" si="73"/>
        <v>0.72480076656708503</v>
      </c>
      <c r="J1073" s="859">
        <f t="shared" si="73"/>
        <v>0.791480615732161</v>
      </c>
      <c r="K1073" s="859">
        <f t="shared" si="73"/>
        <v>0.85952643897888314</v>
      </c>
      <c r="L1073" s="859">
        <f t="shared" si="73"/>
        <v>0.91183692802198957</v>
      </c>
      <c r="M1073" s="859">
        <f t="shared" si="73"/>
        <v>1.0200961939114304</v>
      </c>
    </row>
    <row r="1074" spans="3:13" hidden="1" outlineLevel="2" x14ac:dyDescent="0.25">
      <c r="C1074" s="751">
        <v>12</v>
      </c>
      <c r="D1074" s="751" t="s">
        <v>512</v>
      </c>
      <c r="E1074" s="751" t="s">
        <v>494</v>
      </c>
      <c r="F1074" s="859">
        <f t="shared" si="73"/>
        <v>1.8544584267874479E-5</v>
      </c>
      <c r="G1074" s="859">
        <f t="shared" si="73"/>
        <v>2.0021199659874453E-5</v>
      </c>
      <c r="H1074" s="859">
        <f t="shared" si="73"/>
        <v>2.2305272226317701E-5</v>
      </c>
      <c r="I1074" s="859">
        <f t="shared" si="73"/>
        <v>2.4132820890610446E-5</v>
      </c>
      <c r="J1074" s="859">
        <f t="shared" si="73"/>
        <v>2.6352979768939612E-5</v>
      </c>
      <c r="K1074" s="859">
        <f t="shared" si="73"/>
        <v>2.8618619846205294E-5</v>
      </c>
      <c r="L1074" s="859">
        <f t="shared" si="73"/>
        <v>3.0360339393159834E-5</v>
      </c>
      <c r="M1074" s="859">
        <f t="shared" si="73"/>
        <v>3.3964918187734051E-5</v>
      </c>
    </row>
    <row r="1075" spans="3:13" hidden="1" outlineLevel="2" x14ac:dyDescent="0.25">
      <c r="C1075" s="751">
        <v>12</v>
      </c>
      <c r="D1075" s="751" t="s">
        <v>512</v>
      </c>
      <c r="E1075" s="751" t="s">
        <v>498</v>
      </c>
      <c r="F1075" s="859">
        <f t="shared" si="73"/>
        <v>4.1639906264383894E-2</v>
      </c>
      <c r="G1075" s="859">
        <f t="shared" si="73"/>
        <v>5.7048354778250848E-2</v>
      </c>
      <c r="H1075" s="859">
        <f t="shared" si="73"/>
        <v>8.4735372817012711E-2</v>
      </c>
      <c r="I1075" s="859">
        <f t="shared" si="73"/>
        <v>0.12115194343498925</v>
      </c>
      <c r="J1075" s="859">
        <f t="shared" si="73"/>
        <v>0.17077727223072056</v>
      </c>
      <c r="K1075" s="859">
        <f t="shared" si="73"/>
        <v>0.23987799416977215</v>
      </c>
      <c r="L1075" s="859">
        <f t="shared" si="73"/>
        <v>0.35065120546682904</v>
      </c>
      <c r="M1075" s="859">
        <f t="shared" si="73"/>
        <v>0.40964381217921431</v>
      </c>
    </row>
    <row r="1076" spans="3:13" hidden="1" outlineLevel="2" x14ac:dyDescent="0.25">
      <c r="C1076" s="751">
        <v>13</v>
      </c>
      <c r="D1076" s="751" t="s">
        <v>512</v>
      </c>
      <c r="E1076" s="751" t="s">
        <v>509</v>
      </c>
      <c r="F1076" s="859">
        <f t="shared" ref="F1076:M1085" si="74">INDEX($C$923:$M$937,MATCH($C1076,$C$923:$C$937,0),MATCH(F$940,$C$907:$M$907,0))*F392</f>
        <v>3.4266980339389925</v>
      </c>
      <c r="G1076" s="859">
        <f t="shared" si="74"/>
        <v>2.8894984640621355</v>
      </c>
      <c r="H1076" s="859">
        <f t="shared" si="74"/>
        <v>2.5570051415023181</v>
      </c>
      <c r="I1076" s="859">
        <f t="shared" si="74"/>
        <v>2.4754286779047612</v>
      </c>
      <c r="J1076" s="859">
        <f t="shared" si="74"/>
        <v>2.5671461660776651</v>
      </c>
      <c r="K1076" s="859">
        <f t="shared" si="74"/>
        <v>2.7292546409435414</v>
      </c>
      <c r="L1076" s="859">
        <f t="shared" si="74"/>
        <v>2.9377294499280375</v>
      </c>
      <c r="M1076" s="859">
        <f t="shared" si="74"/>
        <v>3.2875396727926267</v>
      </c>
    </row>
    <row r="1077" spans="3:13" hidden="1" outlineLevel="2" x14ac:dyDescent="0.25">
      <c r="C1077" s="751">
        <v>13</v>
      </c>
      <c r="D1077" s="751" t="s">
        <v>512</v>
      </c>
      <c r="E1077" s="751" t="s">
        <v>510</v>
      </c>
      <c r="F1077" s="859">
        <f t="shared" si="74"/>
        <v>0.57359479144717973</v>
      </c>
      <c r="G1077" s="859">
        <f t="shared" si="74"/>
        <v>0.83280771244279417</v>
      </c>
      <c r="H1077" s="859">
        <f t="shared" si="74"/>
        <v>1.1330751676719495</v>
      </c>
      <c r="I1077" s="859">
        <f t="shared" si="74"/>
        <v>1.3843420398809407</v>
      </c>
      <c r="J1077" s="859">
        <f t="shared" si="74"/>
        <v>1.6581188413058359</v>
      </c>
      <c r="K1077" s="859">
        <f t="shared" si="74"/>
        <v>1.9609302544949314</v>
      </c>
      <c r="L1077" s="859">
        <f t="shared" si="74"/>
        <v>2.3175614895546168</v>
      </c>
      <c r="M1077" s="859">
        <f t="shared" si="74"/>
        <v>2.6227751391559537</v>
      </c>
    </row>
    <row r="1078" spans="3:13" hidden="1" outlineLevel="2" x14ac:dyDescent="0.25">
      <c r="C1078" s="751">
        <v>13</v>
      </c>
      <c r="D1078" s="751" t="s">
        <v>512</v>
      </c>
      <c r="E1078" s="751" t="s">
        <v>511</v>
      </c>
      <c r="F1078" s="859">
        <f t="shared" si="74"/>
        <v>1.250799900131387</v>
      </c>
      <c r="G1078" s="859">
        <f t="shared" si="74"/>
        <v>1.3611478747029948</v>
      </c>
      <c r="H1078" s="859">
        <f t="shared" si="74"/>
        <v>1.5195552377519108</v>
      </c>
      <c r="I1078" s="859">
        <f t="shared" si="74"/>
        <v>1.6507215692681669</v>
      </c>
      <c r="J1078" s="859">
        <f t="shared" si="74"/>
        <v>1.8393828270194692</v>
      </c>
      <c r="K1078" s="859">
        <f t="shared" si="74"/>
        <v>2.0659004469150331</v>
      </c>
      <c r="L1078" s="859">
        <f t="shared" si="74"/>
        <v>2.3342320061162765</v>
      </c>
      <c r="M1078" s="859">
        <f t="shared" si="74"/>
        <v>2.62879786745712</v>
      </c>
    </row>
    <row r="1079" spans="3:13" hidden="1" outlineLevel="2" x14ac:dyDescent="0.25">
      <c r="C1079" s="751">
        <v>13</v>
      </c>
      <c r="D1079" s="751" t="s">
        <v>512</v>
      </c>
      <c r="E1079" s="751" t="s">
        <v>494</v>
      </c>
      <c r="F1079" s="859">
        <f t="shared" si="74"/>
        <v>0.60138019008160337</v>
      </c>
      <c r="G1079" s="859">
        <f t="shared" si="74"/>
        <v>0.85448525420189114</v>
      </c>
      <c r="H1079" s="859">
        <f t="shared" si="74"/>
        <v>1.1489322583431885</v>
      </c>
      <c r="I1079" s="859">
        <f t="shared" si="74"/>
        <v>1.3952714633556917</v>
      </c>
      <c r="J1079" s="859">
        <f t="shared" si="74"/>
        <v>1.6655560151199906</v>
      </c>
      <c r="K1079" s="859">
        <f t="shared" si="74"/>
        <v>1.9652371308071792</v>
      </c>
      <c r="L1079" s="859">
        <f t="shared" si="74"/>
        <v>2.3182454728001178</v>
      </c>
      <c r="M1079" s="859">
        <f t="shared" si="74"/>
        <v>2.6230222487901971</v>
      </c>
    </row>
    <row r="1080" spans="3:13" hidden="1" outlineLevel="2" x14ac:dyDescent="0.25">
      <c r="C1080" s="751">
        <v>13</v>
      </c>
      <c r="D1080" s="751" t="s">
        <v>512</v>
      </c>
      <c r="E1080" s="751" t="s">
        <v>498</v>
      </c>
      <c r="F1080" s="859">
        <f t="shared" si="74"/>
        <v>0.3076223647988407</v>
      </c>
      <c r="G1080" s="859">
        <f t="shared" si="74"/>
        <v>0.48081377577171491</v>
      </c>
      <c r="H1080" s="859">
        <f t="shared" si="74"/>
        <v>0.67913803772963544</v>
      </c>
      <c r="I1080" s="859">
        <f t="shared" si="74"/>
        <v>0.84520227000628012</v>
      </c>
      <c r="J1080" s="859">
        <f t="shared" si="74"/>
        <v>1.0227069939246078</v>
      </c>
      <c r="K1080" s="859">
        <f t="shared" si="74"/>
        <v>1.2176956247168653</v>
      </c>
      <c r="L1080" s="859">
        <f t="shared" si="74"/>
        <v>1.4472235745126076</v>
      </c>
      <c r="M1080" s="859">
        <f t="shared" si="74"/>
        <v>1.6387820103246158</v>
      </c>
    </row>
    <row r="1081" spans="3:13" hidden="1" outlineLevel="2" x14ac:dyDescent="0.25">
      <c r="C1081" s="751">
        <v>14</v>
      </c>
      <c r="D1081" s="751" t="s">
        <v>512</v>
      </c>
      <c r="E1081" s="751" t="s">
        <v>509</v>
      </c>
      <c r="F1081" s="859">
        <f t="shared" si="74"/>
        <v>0.69734757601726294</v>
      </c>
      <c r="G1081" s="859">
        <f t="shared" si="74"/>
        <v>0.60854638006409956</v>
      </c>
      <c r="H1081" s="859">
        <f t="shared" si="74"/>
        <v>0.53786652896683151</v>
      </c>
      <c r="I1081" s="859">
        <f t="shared" si="74"/>
        <v>0.48497654550990932</v>
      </c>
      <c r="J1081" s="859">
        <f t="shared" si="74"/>
        <v>0.45631503094681214</v>
      </c>
      <c r="K1081" s="859">
        <f t="shared" si="74"/>
        <v>0.42839085966626822</v>
      </c>
      <c r="L1081" s="859">
        <f t="shared" si="74"/>
        <v>0.38490791020332604</v>
      </c>
      <c r="M1081" s="859">
        <f t="shared" si="74"/>
        <v>0.41706942912184269</v>
      </c>
    </row>
    <row r="1082" spans="3:13" hidden="1" outlineLevel="2" x14ac:dyDescent="0.25">
      <c r="C1082" s="751">
        <v>14</v>
      </c>
      <c r="D1082" s="751" t="s">
        <v>512</v>
      </c>
      <c r="E1082" s="751" t="s">
        <v>510</v>
      </c>
      <c r="F1082" s="859">
        <f t="shared" si="74"/>
        <v>1.4195088850818258E-2</v>
      </c>
      <c r="G1082" s="859">
        <f t="shared" si="74"/>
        <v>4.4811260181842831E-2</v>
      </c>
      <c r="H1082" s="859">
        <f t="shared" si="74"/>
        <v>8.598706780194823E-2</v>
      </c>
      <c r="I1082" s="859">
        <f t="shared" si="74"/>
        <v>0.12633204217878319</v>
      </c>
      <c r="J1082" s="859">
        <f t="shared" si="74"/>
        <v>0.17145188702163752</v>
      </c>
      <c r="K1082" s="859">
        <f t="shared" si="74"/>
        <v>0.22288109714550103</v>
      </c>
      <c r="L1082" s="859">
        <f t="shared" si="74"/>
        <v>0.28782325325372377</v>
      </c>
      <c r="M1082" s="859">
        <f t="shared" si="74"/>
        <v>0.32706499400703548</v>
      </c>
    </row>
    <row r="1083" spans="3:13" hidden="1" outlineLevel="2" x14ac:dyDescent="0.25">
      <c r="C1083" s="751">
        <v>14</v>
      </c>
      <c r="D1083" s="751" t="s">
        <v>512</v>
      </c>
      <c r="E1083" s="751" t="s">
        <v>511</v>
      </c>
      <c r="F1083" s="859">
        <f t="shared" si="74"/>
        <v>2.5091440989510567E-2</v>
      </c>
      <c r="G1083" s="859">
        <f t="shared" si="74"/>
        <v>5.4559236166633419E-2</v>
      </c>
      <c r="H1083" s="859">
        <f t="shared" si="74"/>
        <v>9.439991890623417E-2</v>
      </c>
      <c r="I1083" s="859">
        <f t="shared" si="74"/>
        <v>0.13293086802168355</v>
      </c>
      <c r="J1083" s="859">
        <f t="shared" si="74"/>
        <v>0.17641203376082021</v>
      </c>
      <c r="K1083" s="859">
        <f t="shared" si="74"/>
        <v>0.22599362152876473</v>
      </c>
      <c r="L1083" s="859">
        <f t="shared" si="74"/>
        <v>0.2883585140691155</v>
      </c>
      <c r="M1083" s="859">
        <f t="shared" si="74"/>
        <v>0.32725912281755881</v>
      </c>
    </row>
    <row r="1084" spans="3:13" hidden="1" outlineLevel="2" x14ac:dyDescent="0.25">
      <c r="C1084" s="751">
        <v>14</v>
      </c>
      <c r="D1084" s="751" t="s">
        <v>512</v>
      </c>
      <c r="E1084" s="751" t="s">
        <v>494</v>
      </c>
      <c r="F1084" s="859">
        <f t="shared" si="74"/>
        <v>9.0560875415261435E-2</v>
      </c>
      <c r="G1084" s="859">
        <f t="shared" si="74"/>
        <v>0.11312878920575101</v>
      </c>
      <c r="H1084" s="859">
        <f t="shared" si="74"/>
        <v>0.14494753307059763</v>
      </c>
      <c r="I1084" s="859">
        <f t="shared" si="74"/>
        <v>0.17257912739416068</v>
      </c>
      <c r="J1084" s="859">
        <f t="shared" si="74"/>
        <v>0.20621448485175972</v>
      </c>
      <c r="K1084" s="859">
        <f t="shared" si="74"/>
        <v>0.24469485368562979</v>
      </c>
      <c r="L1084" s="859">
        <f t="shared" si="74"/>
        <v>0.29157456494631989</v>
      </c>
      <c r="M1084" s="859">
        <f t="shared" si="74"/>
        <v>0.32842552266118946</v>
      </c>
    </row>
    <row r="1085" spans="3:13" hidden="1" outlineLevel="2" x14ac:dyDescent="0.25">
      <c r="C1085" s="852">
        <v>14</v>
      </c>
      <c r="D1085" s="852" t="s">
        <v>512</v>
      </c>
      <c r="E1085" s="852" t="s">
        <v>498</v>
      </c>
      <c r="F1085" s="862">
        <f t="shared" si="74"/>
        <v>1.4898846911450946E-2</v>
      </c>
      <c r="G1085" s="862">
        <f t="shared" si="74"/>
        <v>3.3398771965089988E-2</v>
      </c>
      <c r="H1085" s="862">
        <f t="shared" si="74"/>
        <v>5.8395176510553537E-2</v>
      </c>
      <c r="I1085" s="862">
        <f t="shared" si="74"/>
        <v>8.2607424148914713E-2</v>
      </c>
      <c r="J1085" s="862">
        <f t="shared" si="74"/>
        <v>0.10990095210580886</v>
      </c>
      <c r="K1085" s="862">
        <f t="shared" si="74"/>
        <v>0.14102226408903998</v>
      </c>
      <c r="L1085" s="862">
        <f t="shared" si="74"/>
        <v>0.18018559311485202</v>
      </c>
      <c r="M1085" s="862">
        <f t="shared" si="74"/>
        <v>0.20452299646520361</v>
      </c>
    </row>
    <row r="1086" spans="3:13" hidden="1" outlineLevel="2" x14ac:dyDescent="0.25">
      <c r="C1086" s="852">
        <v>15</v>
      </c>
      <c r="D1086" s="852" t="s">
        <v>512</v>
      </c>
      <c r="E1086" s="852" t="s">
        <v>509</v>
      </c>
      <c r="F1086" s="862">
        <f t="shared" ref="F1086:M1090" si="75">INDEX($C$923:$M$937,MATCH($C1086,$C$923:$C$937,0),MATCH(F$940,$C$907:$M$907,0))*F402</f>
        <v>2.651048326871254E-2</v>
      </c>
      <c r="G1086" s="862">
        <f t="shared" si="75"/>
        <v>2.5670648915551961E-2</v>
      </c>
      <c r="H1086" s="862">
        <f t="shared" si="75"/>
        <v>2.6274825151278755E-2</v>
      </c>
      <c r="I1086" s="862">
        <f t="shared" si="75"/>
        <v>2.8694076015469014E-2</v>
      </c>
      <c r="J1086" s="862">
        <f t="shared" si="75"/>
        <v>3.2437806252163123E-2</v>
      </c>
      <c r="K1086" s="862">
        <f t="shared" si="75"/>
        <v>3.6974925386903897E-2</v>
      </c>
      <c r="L1086" s="862">
        <f t="shared" si="75"/>
        <v>4.2559680161093204E-2</v>
      </c>
      <c r="M1086" s="862">
        <f t="shared" si="75"/>
        <v>4.8134295005900593E-2</v>
      </c>
    </row>
    <row r="1087" spans="3:13" hidden="1" outlineLevel="2" x14ac:dyDescent="0.25">
      <c r="C1087" s="852">
        <v>15</v>
      </c>
      <c r="D1087" s="852" t="s">
        <v>512</v>
      </c>
      <c r="E1087" s="852" t="s">
        <v>510</v>
      </c>
      <c r="F1087" s="862">
        <f t="shared" si="75"/>
        <v>3.2450911277252443E-3</v>
      </c>
      <c r="G1087" s="862">
        <f t="shared" si="75"/>
        <v>5.5325653817305098E-3</v>
      </c>
      <c r="H1087" s="862">
        <f t="shared" si="75"/>
        <v>9.1509546121029978E-3</v>
      </c>
      <c r="I1087" s="862">
        <f t="shared" si="75"/>
        <v>1.3390062599085852E-2</v>
      </c>
      <c r="J1087" s="862">
        <f t="shared" si="75"/>
        <v>1.8494244368037746E-2</v>
      </c>
      <c r="K1087" s="862">
        <f t="shared" si="75"/>
        <v>2.4748229705100985E-2</v>
      </c>
      <c r="L1087" s="862">
        <f t="shared" si="75"/>
        <v>3.3209762847005719E-2</v>
      </c>
      <c r="M1087" s="862">
        <f t="shared" si="75"/>
        <v>3.8263623955757199E-2</v>
      </c>
    </row>
    <row r="1088" spans="3:13" hidden="1" outlineLevel="2" x14ac:dyDescent="0.25">
      <c r="C1088" s="852">
        <v>15</v>
      </c>
      <c r="D1088" s="852" t="s">
        <v>512</v>
      </c>
      <c r="E1088" s="852" t="s">
        <v>511</v>
      </c>
      <c r="F1088" s="862">
        <f t="shared" si="75"/>
        <v>1.5301884520180675E-2</v>
      </c>
      <c r="G1088" s="862">
        <f t="shared" si="75"/>
        <v>1.6909339393458921E-2</v>
      </c>
      <c r="H1088" s="862">
        <f t="shared" si="75"/>
        <v>1.9504307265486499E-2</v>
      </c>
      <c r="I1088" s="862">
        <f t="shared" si="75"/>
        <v>2.2079082836651501E-2</v>
      </c>
      <c r="J1088" s="862">
        <f t="shared" si="75"/>
        <v>2.5381178842502652E-2</v>
      </c>
      <c r="K1088" s="862">
        <f t="shared" si="75"/>
        <v>2.9293747089871692E-2</v>
      </c>
      <c r="L1088" s="862">
        <f t="shared" si="75"/>
        <v>3.403483656275616E-2</v>
      </c>
      <c r="M1088" s="862">
        <f t="shared" si="75"/>
        <v>3.8567366278142237E-2</v>
      </c>
    </row>
    <row r="1089" spans="1:13" hidden="1" outlineLevel="2" x14ac:dyDescent="0.25">
      <c r="C1089" s="852">
        <v>15</v>
      </c>
      <c r="D1089" s="852" t="s">
        <v>512</v>
      </c>
      <c r="E1089" s="852" t="s">
        <v>494</v>
      </c>
      <c r="F1089" s="862">
        <f t="shared" si="75"/>
        <v>3.7067750090029071E-2</v>
      </c>
      <c r="G1089" s="862">
        <f t="shared" si="75"/>
        <v>3.744758083937913E-2</v>
      </c>
      <c r="H1089" s="862">
        <f t="shared" si="75"/>
        <v>3.8194988503483934E-2</v>
      </c>
      <c r="I1089" s="862">
        <f t="shared" si="75"/>
        <v>3.7765181143925353E-2</v>
      </c>
      <c r="J1089" s="862">
        <f t="shared" si="75"/>
        <v>3.7814011112263367E-2</v>
      </c>
      <c r="K1089" s="862">
        <f t="shared" si="75"/>
        <v>3.7499670267110381E-2</v>
      </c>
      <c r="L1089" s="862">
        <f t="shared" si="75"/>
        <v>3.552432410705441E-2</v>
      </c>
      <c r="M1089" s="862">
        <f t="shared" si="75"/>
        <v>3.9115705653439407E-2</v>
      </c>
    </row>
    <row r="1090" spans="1:13" hidden="1" outlineLevel="2" x14ac:dyDescent="0.25">
      <c r="C1090" s="863">
        <v>15</v>
      </c>
      <c r="D1090" s="863" t="s">
        <v>512</v>
      </c>
      <c r="E1090" s="863" t="s">
        <v>498</v>
      </c>
      <c r="F1090" s="864">
        <f t="shared" si="75"/>
        <v>4.8870168431252902E-3</v>
      </c>
      <c r="G1090" s="864">
        <f t="shared" si="75"/>
        <v>6.1554461150134824E-3</v>
      </c>
      <c r="H1090" s="864">
        <f t="shared" si="75"/>
        <v>8.1742718197917279E-3</v>
      </c>
      <c r="I1090" s="864">
        <f t="shared" si="75"/>
        <v>1.0429077742778495E-2</v>
      </c>
      <c r="J1090" s="864">
        <f t="shared" si="75"/>
        <v>1.319189152796848E-2</v>
      </c>
      <c r="K1090" s="864">
        <f t="shared" si="75"/>
        <v>1.6545449518063037E-2</v>
      </c>
      <c r="L1090" s="864">
        <f t="shared" si="75"/>
        <v>2.0951738334408221E-2</v>
      </c>
      <c r="M1090" s="864">
        <f t="shared" si="75"/>
        <v>2.3986786538947379E-2</v>
      </c>
    </row>
    <row r="1091" spans="1:13" hidden="1" outlineLevel="2" x14ac:dyDescent="0.25">
      <c r="C1091" s="852"/>
      <c r="D1091" s="852"/>
      <c r="E1091" s="852"/>
      <c r="F1091" s="862"/>
      <c r="G1091" s="862"/>
      <c r="H1091" s="862"/>
      <c r="I1091" s="862"/>
      <c r="J1091" s="862"/>
      <c r="K1091" s="862"/>
      <c r="L1091" s="862"/>
      <c r="M1091" s="862"/>
    </row>
    <row r="1092" spans="1:13" hidden="1" outlineLevel="2" x14ac:dyDescent="0.25">
      <c r="C1092" s="852"/>
      <c r="D1092" s="852"/>
      <c r="E1092" s="852"/>
      <c r="F1092" s="862"/>
      <c r="G1092" s="862"/>
      <c r="H1092" s="862"/>
      <c r="I1092" s="862"/>
      <c r="J1092" s="862"/>
      <c r="K1092" s="862"/>
      <c r="L1092" s="862"/>
      <c r="M1092" s="862"/>
    </row>
    <row r="1093" spans="1:13" hidden="1" outlineLevel="2" x14ac:dyDescent="0.25">
      <c r="B1093" s="2961" t="s">
        <v>2058</v>
      </c>
      <c r="M1093" s="751" t="s">
        <v>171</v>
      </c>
    </row>
    <row r="1094" spans="1:13" hidden="1" outlineLevel="2" x14ac:dyDescent="0.25">
      <c r="C1094" s="863" t="s">
        <v>531</v>
      </c>
      <c r="D1094" s="863"/>
      <c r="E1094" s="1909" t="s">
        <v>998</v>
      </c>
      <c r="F1094" s="866">
        <v>2015</v>
      </c>
      <c r="G1094" s="866">
        <v>2020</v>
      </c>
      <c r="H1094" s="866">
        <v>2025</v>
      </c>
      <c r="I1094" s="866">
        <v>2030</v>
      </c>
      <c r="J1094" s="866">
        <v>2035</v>
      </c>
      <c r="K1094" s="866">
        <v>2040</v>
      </c>
      <c r="L1094" s="866">
        <v>2045</v>
      </c>
      <c r="M1094" s="866">
        <v>2050</v>
      </c>
    </row>
    <row r="1095" spans="1:13" hidden="1" outlineLevel="2" x14ac:dyDescent="0.25">
      <c r="C1095" s="751" t="s">
        <v>330</v>
      </c>
      <c r="D1095" s="1913" t="s">
        <v>999</v>
      </c>
      <c r="E1095" s="852" t="s">
        <v>509</v>
      </c>
      <c r="F1095" s="870">
        <f t="shared" ref="F1095:M1099" si="76">SUMIF($E$941:$E$1090,$E1095,F$941:F$1090)</f>
        <v>11.534967431411745</v>
      </c>
      <c r="G1095" s="2885">
        <f t="shared" si="76"/>
        <v>9.8579864214727912</v>
      </c>
      <c r="H1095" s="870">
        <f t="shared" si="76"/>
        <v>8.7505003293680321</v>
      </c>
      <c r="I1095" s="870">
        <f t="shared" si="76"/>
        <v>8.3045676575790282</v>
      </c>
      <c r="J1095" s="870">
        <f t="shared" si="76"/>
        <v>8.3749058612358613</v>
      </c>
      <c r="K1095" s="870">
        <f t="shared" si="76"/>
        <v>8.5979642890314381</v>
      </c>
      <c r="L1095" s="870">
        <f t="shared" si="76"/>
        <v>8.8234024814743535</v>
      </c>
      <c r="M1095" s="870">
        <f t="shared" si="76"/>
        <v>9.7944347599636945</v>
      </c>
    </row>
    <row r="1096" spans="1:13" hidden="1" outlineLevel="2" x14ac:dyDescent="0.25">
      <c r="C1096" s="865" t="s">
        <v>335</v>
      </c>
      <c r="D1096" s="865" t="s">
        <v>332</v>
      </c>
      <c r="E1096" s="853" t="s">
        <v>510</v>
      </c>
      <c r="F1096" s="1915">
        <f t="shared" si="76"/>
        <v>3.105811104360348</v>
      </c>
      <c r="G1096" s="1915">
        <f t="shared" si="76"/>
        <v>4.6119912174937676</v>
      </c>
      <c r="H1096" s="1915">
        <f t="shared" si="76"/>
        <v>6.4212137214646621</v>
      </c>
      <c r="I1096" s="1915">
        <f t="shared" si="76"/>
        <v>8.2937318038252243</v>
      </c>
      <c r="J1096" s="1915">
        <f t="shared" si="76"/>
        <v>10.276090933699463</v>
      </c>
      <c r="K1096" s="1915">
        <f t="shared" si="76"/>
        <v>12.601130111894914</v>
      </c>
      <c r="L1096" s="1915">
        <f t="shared" si="76"/>
        <v>15.49457512412463</v>
      </c>
      <c r="M1096" s="1915">
        <f t="shared" si="76"/>
        <v>18.05382611156497</v>
      </c>
    </row>
    <row r="1097" spans="1:13" hidden="1" outlineLevel="2" x14ac:dyDescent="0.25">
      <c r="C1097" s="865" t="s">
        <v>335</v>
      </c>
      <c r="D1097" s="865" t="s">
        <v>332</v>
      </c>
      <c r="E1097" s="853" t="s">
        <v>511</v>
      </c>
      <c r="F1097" s="1915">
        <f t="shared" si="76"/>
        <v>6.848547682578503</v>
      </c>
      <c r="G1097" s="1915">
        <f t="shared" si="76"/>
        <v>8.0503756493228948</v>
      </c>
      <c r="H1097" s="1915">
        <f t="shared" si="76"/>
        <v>9.3909901871301056</v>
      </c>
      <c r="I1097" s="1915">
        <f t="shared" si="76"/>
        <v>10.806841966862432</v>
      </c>
      <c r="J1097" s="1915">
        <f t="shared" si="76"/>
        <v>12.363222778478967</v>
      </c>
      <c r="K1097" s="1915">
        <f t="shared" si="76"/>
        <v>14.232159040978319</v>
      </c>
      <c r="L1097" s="1915">
        <f t="shared" si="76"/>
        <v>16.428919286016686</v>
      </c>
      <c r="M1097" s="1915">
        <f t="shared" si="76"/>
        <v>18.98755175715268</v>
      </c>
    </row>
    <row r="1098" spans="1:13" hidden="1" outlineLevel="2" x14ac:dyDescent="0.25">
      <c r="C1098" s="865" t="s">
        <v>333</v>
      </c>
      <c r="D1098" s="865" t="s">
        <v>532</v>
      </c>
      <c r="E1098" s="853" t="s">
        <v>494</v>
      </c>
      <c r="F1098" s="1915">
        <f t="shared" si="76"/>
        <v>4.7526719834691171</v>
      </c>
      <c r="G1098" s="1915">
        <f t="shared" si="76"/>
        <v>6.0440831201964089</v>
      </c>
      <c r="H1098" s="1915">
        <f t="shared" si="76"/>
        <v>7.4953903387401244</v>
      </c>
      <c r="I1098" s="1915">
        <f t="shared" si="76"/>
        <v>8.9838254459887565</v>
      </c>
      <c r="J1098" s="1915">
        <f t="shared" si="76"/>
        <v>10.567443967668584</v>
      </c>
      <c r="K1098" s="1915">
        <f t="shared" si="76"/>
        <v>12.433412149129659</v>
      </c>
      <c r="L1098" s="1915">
        <f t="shared" si="76"/>
        <v>14.670750415346136</v>
      </c>
      <c r="M1098" s="1915">
        <f t="shared" si="76"/>
        <v>17.009771427664695</v>
      </c>
    </row>
    <row r="1099" spans="1:13" hidden="1" outlineLevel="2" x14ac:dyDescent="0.25">
      <c r="C1099" s="1916" t="s">
        <v>149</v>
      </c>
      <c r="D1099" s="1916" t="s">
        <v>533</v>
      </c>
      <c r="E1099" s="1916" t="s">
        <v>498</v>
      </c>
      <c r="F1099" s="1917">
        <f t="shared" si="76"/>
        <v>1.7211519582429609</v>
      </c>
      <c r="G1099" s="1917">
        <f t="shared" si="76"/>
        <v>2.6724133880839731</v>
      </c>
      <c r="H1099" s="1917">
        <f t="shared" si="76"/>
        <v>3.8214743732215291</v>
      </c>
      <c r="I1099" s="1917">
        <f t="shared" si="76"/>
        <v>5.0148773397546131</v>
      </c>
      <c r="J1099" s="1917">
        <f t="shared" si="76"/>
        <v>6.2818608175712418</v>
      </c>
      <c r="K1099" s="1917">
        <f t="shared" si="76"/>
        <v>7.7755480632394276</v>
      </c>
      <c r="L1099" s="1917">
        <f t="shared" si="76"/>
        <v>9.6633197213550499</v>
      </c>
      <c r="M1099" s="1917">
        <f t="shared" si="76"/>
        <v>11.275489733932622</v>
      </c>
    </row>
    <row r="1100" spans="1:13" hidden="1" outlineLevel="2" x14ac:dyDescent="0.25">
      <c r="D1100" s="872" t="s">
        <v>118</v>
      </c>
      <c r="F1100" s="858">
        <f>SUM(F1095:F1099)</f>
        <v>27.963150160062671</v>
      </c>
      <c r="G1100" s="858">
        <f t="shared" ref="G1100:M1100" si="77">SUM(G1095:G1099)</f>
        <v>31.236849796569835</v>
      </c>
      <c r="H1100" s="858">
        <f t="shared" si="77"/>
        <v>35.879568949924447</v>
      </c>
      <c r="I1100" s="858">
        <f t="shared" si="77"/>
        <v>41.403844214010057</v>
      </c>
      <c r="J1100" s="858">
        <f t="shared" si="77"/>
        <v>47.863524358654118</v>
      </c>
      <c r="K1100" s="858">
        <f t="shared" si="77"/>
        <v>55.640213654273758</v>
      </c>
      <c r="L1100" s="858">
        <f t="shared" si="77"/>
        <v>65.080967028316849</v>
      </c>
      <c r="M1100" s="858">
        <f t="shared" si="77"/>
        <v>75.121073790278658</v>
      </c>
    </row>
    <row r="1101" spans="1:13" hidden="1" outlineLevel="2" x14ac:dyDescent="0.25">
      <c r="C1101" s="852"/>
      <c r="D1101" s="852"/>
      <c r="E1101" s="852"/>
      <c r="F1101" s="862"/>
      <c r="G1101" s="862"/>
      <c r="H1101" s="862"/>
      <c r="I1101" s="862"/>
      <c r="J1101" s="862"/>
      <c r="K1101" s="862"/>
      <c r="L1101" s="862"/>
      <c r="M1101" s="862"/>
    </row>
    <row r="1102" spans="1:13" hidden="1" outlineLevel="1" collapsed="1" x14ac:dyDescent="0.25">
      <c r="C1102" s="852"/>
      <c r="D1102" s="852"/>
      <c r="E1102" s="852"/>
      <c r="F1102" s="862"/>
      <c r="G1102" s="862"/>
      <c r="H1102" s="862"/>
      <c r="I1102" s="862"/>
      <c r="J1102" s="862"/>
      <c r="K1102" s="862"/>
      <c r="L1102" s="862"/>
      <c r="M1102" s="862"/>
    </row>
    <row r="1103" spans="1:13" hidden="1" outlineLevel="1" x14ac:dyDescent="0.25">
      <c r="A1103" s="2948" t="s">
        <v>1969</v>
      </c>
      <c r="B1103" s="2948" t="s">
        <v>2037</v>
      </c>
      <c r="C1103" s="852"/>
      <c r="D1103" s="852"/>
      <c r="E1103" s="852"/>
      <c r="F1103" s="862"/>
      <c r="G1103" s="862"/>
      <c r="H1103" s="862"/>
      <c r="I1103" s="862"/>
      <c r="J1103" s="862"/>
      <c r="K1103" s="862"/>
      <c r="L1103" s="862"/>
      <c r="M1103" s="862"/>
    </row>
    <row r="1104" spans="1:13" hidden="1" outlineLevel="2" x14ac:dyDescent="0.25">
      <c r="C1104" s="865"/>
      <c r="E1104" s="1906"/>
      <c r="F1104" s="1913"/>
    </row>
    <row r="1105" spans="2:13" hidden="1" outlineLevel="2" x14ac:dyDescent="0.25">
      <c r="C1105" s="863" t="s">
        <v>531</v>
      </c>
      <c r="D1105" s="863"/>
      <c r="E1105" s="1909" t="s">
        <v>998</v>
      </c>
      <c r="F1105" s="866">
        <v>2015</v>
      </c>
      <c r="G1105" s="866">
        <v>2020</v>
      </c>
      <c r="H1105" s="866">
        <v>2025</v>
      </c>
      <c r="I1105" s="866">
        <v>2030</v>
      </c>
      <c r="J1105" s="866">
        <v>2035</v>
      </c>
      <c r="K1105" s="866">
        <v>2040</v>
      </c>
      <c r="L1105" s="866">
        <v>2045</v>
      </c>
      <c r="M1105" s="866">
        <v>2050</v>
      </c>
    </row>
    <row r="1106" spans="2:13" hidden="1" outlineLevel="2" x14ac:dyDescent="0.25">
      <c r="D1106" s="1913" t="s">
        <v>1001</v>
      </c>
      <c r="E1106" s="852" t="s">
        <v>509</v>
      </c>
      <c r="F1106" s="862">
        <f>F1095</f>
        <v>11.534967431411745</v>
      </c>
      <c r="G1106" s="862">
        <f t="shared" ref="G1106:M1106" si="78">G1095*(1-G98)</f>
        <v>9.8579864214727912</v>
      </c>
      <c r="H1106" s="862">
        <f t="shared" si="78"/>
        <v>8.7505003293680321</v>
      </c>
      <c r="I1106" s="862">
        <f t="shared" si="78"/>
        <v>8.3045676575790282</v>
      </c>
      <c r="J1106" s="862">
        <f t="shared" si="78"/>
        <v>8.3749058612358613</v>
      </c>
      <c r="K1106" s="862">
        <f t="shared" si="78"/>
        <v>8.5979642890314381</v>
      </c>
      <c r="L1106" s="862">
        <f t="shared" si="78"/>
        <v>8.8234024814743535</v>
      </c>
      <c r="M1106" s="862">
        <f t="shared" si="78"/>
        <v>9.7944347599636945</v>
      </c>
    </row>
    <row r="1107" spans="2:13" hidden="1" outlineLevel="2" x14ac:dyDescent="0.25">
      <c r="D1107" s="1913" t="s">
        <v>1003</v>
      </c>
      <c r="E1107" s="1913" t="s">
        <v>1000</v>
      </c>
      <c r="F1107" s="859">
        <f t="shared" ref="F1107:M1107" si="79">-(F1106-F1095)*$D$461/$D$462</f>
        <v>0</v>
      </c>
      <c r="G1107" s="859">
        <f t="shared" si="79"/>
        <v>0</v>
      </c>
      <c r="H1107" s="859">
        <f t="shared" si="79"/>
        <v>0</v>
      </c>
      <c r="I1107" s="859">
        <f t="shared" si="79"/>
        <v>0</v>
      </c>
      <c r="J1107" s="859">
        <f t="shared" si="79"/>
        <v>0</v>
      </c>
      <c r="K1107" s="859">
        <f t="shared" si="79"/>
        <v>0</v>
      </c>
      <c r="L1107" s="859">
        <f t="shared" si="79"/>
        <v>0</v>
      </c>
      <c r="M1107" s="859">
        <f t="shared" si="79"/>
        <v>0</v>
      </c>
    </row>
    <row r="1108" spans="2:13" hidden="1" outlineLevel="2" x14ac:dyDescent="0.25">
      <c r="C1108" s="865" t="s">
        <v>330</v>
      </c>
      <c r="D1108" s="865" t="s">
        <v>1004</v>
      </c>
      <c r="E1108" s="865" t="s">
        <v>1005</v>
      </c>
      <c r="F1108" s="2953">
        <f>F1106+F1107</f>
        <v>11.534967431411745</v>
      </c>
      <c r="G1108" s="2953">
        <f>G1106+G1107</f>
        <v>9.8579864214727912</v>
      </c>
      <c r="H1108" s="2953">
        <f t="shared" ref="H1108:M1108" si="80">H1106+H1107</f>
        <v>8.7505003293680321</v>
      </c>
      <c r="I1108" s="2953">
        <f t="shared" si="80"/>
        <v>8.3045676575790282</v>
      </c>
      <c r="J1108" s="2953">
        <f>J1106+J1107</f>
        <v>8.3749058612358613</v>
      </c>
      <c r="K1108" s="2953">
        <f t="shared" si="80"/>
        <v>8.5979642890314381</v>
      </c>
      <c r="L1108" s="2953">
        <f t="shared" si="80"/>
        <v>8.8234024814743535</v>
      </c>
      <c r="M1108" s="2953">
        <f t="shared" si="80"/>
        <v>9.7944347599636945</v>
      </c>
    </row>
    <row r="1109" spans="2:13" hidden="1" outlineLevel="2" x14ac:dyDescent="0.25">
      <c r="D1109" s="1913"/>
      <c r="E1109" s="1913" t="s">
        <v>1006</v>
      </c>
      <c r="F1109" s="1936">
        <f t="shared" ref="F1109:M1109" si="81">F1108-F1095</f>
        <v>0</v>
      </c>
      <c r="G1109" s="1936">
        <f t="shared" si="81"/>
        <v>0</v>
      </c>
      <c r="H1109" s="1936">
        <f t="shared" si="81"/>
        <v>0</v>
      </c>
      <c r="I1109" s="1936">
        <f t="shared" si="81"/>
        <v>0</v>
      </c>
      <c r="J1109" s="1936">
        <f t="shared" si="81"/>
        <v>0</v>
      </c>
      <c r="K1109" s="1936">
        <f t="shared" si="81"/>
        <v>0</v>
      </c>
      <c r="L1109" s="1936">
        <f t="shared" si="81"/>
        <v>0</v>
      </c>
      <c r="M1109" s="1936">
        <f t="shared" si="81"/>
        <v>0</v>
      </c>
    </row>
    <row r="1110" spans="2:13" hidden="1" outlineLevel="2" x14ac:dyDescent="0.25">
      <c r="C1110" s="852"/>
      <c r="D1110" s="852"/>
      <c r="E1110" s="852"/>
      <c r="F1110" s="862"/>
      <c r="G1110" s="862"/>
      <c r="H1110" s="862"/>
      <c r="I1110" s="862"/>
      <c r="J1110" s="862"/>
      <c r="K1110" s="862"/>
      <c r="L1110" s="862"/>
      <c r="M1110" s="862"/>
    </row>
    <row r="1111" spans="2:13" hidden="1" outlineLevel="2" x14ac:dyDescent="0.25">
      <c r="B1111" s="2948" t="s">
        <v>2038</v>
      </c>
      <c r="C1111" s="852"/>
      <c r="D1111" s="852"/>
      <c r="E1111" s="852"/>
      <c r="F1111" s="862"/>
      <c r="G1111" s="862"/>
      <c r="H1111" s="862"/>
      <c r="I1111" s="862"/>
      <c r="J1111" s="862"/>
      <c r="K1111" s="862"/>
      <c r="L1111" s="862"/>
      <c r="M1111" s="862"/>
    </row>
    <row r="1112" spans="2:13" hidden="1" outlineLevel="2" x14ac:dyDescent="0.25">
      <c r="C1112" s="852"/>
      <c r="D1112" s="852"/>
      <c r="E1112" s="852"/>
      <c r="F1112" s="862"/>
      <c r="G1112" s="862"/>
      <c r="H1112" s="862"/>
      <c r="I1112" s="862"/>
      <c r="J1112" s="862"/>
      <c r="K1112" s="862"/>
      <c r="L1112" s="862"/>
      <c r="M1112" s="862"/>
    </row>
    <row r="1113" spans="2:13" hidden="1" outlineLevel="2" x14ac:dyDescent="0.25">
      <c r="C1113" s="863" t="s">
        <v>531</v>
      </c>
      <c r="D1113" s="863"/>
      <c r="E1113" s="1909"/>
      <c r="F1113" s="866">
        <v>2015</v>
      </c>
      <c r="G1113" s="866">
        <v>2020</v>
      </c>
      <c r="H1113" s="866">
        <v>2025</v>
      </c>
      <c r="I1113" s="866">
        <v>2030</v>
      </c>
      <c r="J1113" s="866">
        <v>2035</v>
      </c>
      <c r="K1113" s="866">
        <v>2040</v>
      </c>
      <c r="L1113" s="866">
        <v>2045</v>
      </c>
      <c r="M1113" s="866">
        <v>2050</v>
      </c>
    </row>
    <row r="1114" spans="2:13" hidden="1" outlineLevel="2" x14ac:dyDescent="0.25">
      <c r="C1114" s="751" t="s">
        <v>330</v>
      </c>
      <c r="D1114" s="865" t="s">
        <v>999</v>
      </c>
      <c r="E1114" s="2949" t="s">
        <v>171</v>
      </c>
      <c r="F1114" s="862">
        <f>F1106</f>
        <v>11.534967431411745</v>
      </c>
      <c r="G1114" s="862">
        <f t="shared" ref="G1114:M1114" si="82">G1106</f>
        <v>9.8579864214727912</v>
      </c>
      <c r="H1114" s="862">
        <f t="shared" si="82"/>
        <v>8.7505003293680321</v>
      </c>
      <c r="I1114" s="862">
        <f t="shared" si="82"/>
        <v>8.3045676575790282</v>
      </c>
      <c r="J1114" s="862">
        <f t="shared" si="82"/>
        <v>8.3749058612358613</v>
      </c>
      <c r="K1114" s="862">
        <f t="shared" si="82"/>
        <v>8.5979642890314381</v>
      </c>
      <c r="L1114" s="862">
        <f t="shared" si="82"/>
        <v>8.8234024814743535</v>
      </c>
      <c r="M1114" s="862">
        <f t="shared" si="82"/>
        <v>9.7944347599636945</v>
      </c>
    </row>
    <row r="1115" spans="2:13" hidden="1" outlineLevel="2" x14ac:dyDescent="0.25">
      <c r="C1115" s="2948" t="s">
        <v>330</v>
      </c>
      <c r="D1115" s="865" t="s">
        <v>2040</v>
      </c>
      <c r="E1115" s="2949" t="s">
        <v>171</v>
      </c>
      <c r="F1115" s="862">
        <f>F1107</f>
        <v>0</v>
      </c>
      <c r="G1115" s="862">
        <f t="shared" ref="G1115:M1115" si="83">G1107</f>
        <v>0</v>
      </c>
      <c r="H1115" s="862">
        <f t="shared" si="83"/>
        <v>0</v>
      </c>
      <c r="I1115" s="862">
        <f t="shared" si="83"/>
        <v>0</v>
      </c>
      <c r="J1115" s="862">
        <f t="shared" si="83"/>
        <v>0</v>
      </c>
      <c r="K1115" s="862">
        <f t="shared" si="83"/>
        <v>0</v>
      </c>
      <c r="L1115" s="862">
        <f t="shared" si="83"/>
        <v>0</v>
      </c>
      <c r="M1115" s="862">
        <f t="shared" si="83"/>
        <v>0</v>
      </c>
    </row>
    <row r="1116" spans="2:13" hidden="1" outlineLevel="2" x14ac:dyDescent="0.25">
      <c r="C1116" s="865" t="s">
        <v>335</v>
      </c>
      <c r="D1116" s="865" t="s">
        <v>510</v>
      </c>
      <c r="E1116" s="2949" t="s">
        <v>171</v>
      </c>
      <c r="F1116" s="862">
        <f>F1096</f>
        <v>3.105811104360348</v>
      </c>
      <c r="G1116" s="862">
        <f t="shared" ref="G1116:M1116" si="84">G1096</f>
        <v>4.6119912174937676</v>
      </c>
      <c r="H1116" s="862">
        <f t="shared" si="84"/>
        <v>6.4212137214646621</v>
      </c>
      <c r="I1116" s="862">
        <f t="shared" si="84"/>
        <v>8.2937318038252243</v>
      </c>
      <c r="J1116" s="862">
        <f t="shared" si="84"/>
        <v>10.276090933699463</v>
      </c>
      <c r="K1116" s="862">
        <f t="shared" si="84"/>
        <v>12.601130111894914</v>
      </c>
      <c r="L1116" s="862">
        <f t="shared" si="84"/>
        <v>15.49457512412463</v>
      </c>
      <c r="M1116" s="862">
        <f t="shared" si="84"/>
        <v>18.05382611156497</v>
      </c>
    </row>
    <row r="1117" spans="2:13" hidden="1" outlineLevel="2" x14ac:dyDescent="0.25">
      <c r="C1117" s="865" t="s">
        <v>335</v>
      </c>
      <c r="D1117" s="865" t="s">
        <v>511</v>
      </c>
      <c r="E1117" s="2949" t="s">
        <v>171</v>
      </c>
      <c r="F1117" s="862">
        <f t="shared" ref="F1117:M1119" si="85">F1097</f>
        <v>6.848547682578503</v>
      </c>
      <c r="G1117" s="862">
        <f t="shared" si="85"/>
        <v>8.0503756493228948</v>
      </c>
      <c r="H1117" s="862">
        <f t="shared" si="85"/>
        <v>9.3909901871301056</v>
      </c>
      <c r="I1117" s="862">
        <f t="shared" si="85"/>
        <v>10.806841966862432</v>
      </c>
      <c r="J1117" s="862">
        <f t="shared" si="85"/>
        <v>12.363222778478967</v>
      </c>
      <c r="K1117" s="862">
        <f t="shared" si="85"/>
        <v>14.232159040978319</v>
      </c>
      <c r="L1117" s="862">
        <f t="shared" si="85"/>
        <v>16.428919286016686</v>
      </c>
      <c r="M1117" s="862">
        <f t="shared" si="85"/>
        <v>18.98755175715268</v>
      </c>
    </row>
    <row r="1118" spans="2:13" hidden="1" outlineLevel="2" x14ac:dyDescent="0.25">
      <c r="C1118" s="853" t="s">
        <v>333</v>
      </c>
      <c r="D1118" s="853" t="s">
        <v>494</v>
      </c>
      <c r="E1118" s="2949" t="s">
        <v>171</v>
      </c>
      <c r="F1118" s="862">
        <f t="shared" si="85"/>
        <v>4.7526719834691171</v>
      </c>
      <c r="G1118" s="862">
        <f t="shared" si="85"/>
        <v>6.0440831201964089</v>
      </c>
      <c r="H1118" s="862">
        <f t="shared" si="85"/>
        <v>7.4953903387401244</v>
      </c>
      <c r="I1118" s="862">
        <f t="shared" si="85"/>
        <v>8.9838254459887565</v>
      </c>
      <c r="J1118" s="862">
        <f t="shared" si="85"/>
        <v>10.567443967668584</v>
      </c>
      <c r="K1118" s="862">
        <f t="shared" si="85"/>
        <v>12.433412149129659</v>
      </c>
      <c r="L1118" s="862">
        <f t="shared" si="85"/>
        <v>14.670750415346136</v>
      </c>
      <c r="M1118" s="862">
        <f t="shared" si="85"/>
        <v>17.009771427664695</v>
      </c>
    </row>
    <row r="1119" spans="2:13" hidden="1" outlineLevel="2" x14ac:dyDescent="0.25">
      <c r="C1119" s="1916" t="s">
        <v>149</v>
      </c>
      <c r="D1119" s="1916" t="s">
        <v>533</v>
      </c>
      <c r="E1119" s="2954" t="s">
        <v>171</v>
      </c>
      <c r="F1119" s="864">
        <f t="shared" si="85"/>
        <v>1.7211519582429609</v>
      </c>
      <c r="G1119" s="864">
        <f t="shared" si="85"/>
        <v>2.6724133880839731</v>
      </c>
      <c r="H1119" s="864">
        <f t="shared" si="85"/>
        <v>3.8214743732215291</v>
      </c>
      <c r="I1119" s="864">
        <f t="shared" si="85"/>
        <v>5.0148773397546131</v>
      </c>
      <c r="J1119" s="864">
        <f t="shared" si="85"/>
        <v>6.2818608175712418</v>
      </c>
      <c r="K1119" s="864">
        <f t="shared" si="85"/>
        <v>7.7755480632394276</v>
      </c>
      <c r="L1119" s="864">
        <f t="shared" si="85"/>
        <v>9.6633197213550499</v>
      </c>
      <c r="M1119" s="864">
        <f t="shared" si="85"/>
        <v>11.275489733932622</v>
      </c>
    </row>
    <row r="1120" spans="2:13" hidden="1" outlineLevel="2" x14ac:dyDescent="0.25">
      <c r="D1120" s="2949" t="s">
        <v>118</v>
      </c>
      <c r="E1120" s="2949" t="s">
        <v>171</v>
      </c>
      <c r="F1120" s="870">
        <f>SUM(F1114:F1119)</f>
        <v>27.963150160062671</v>
      </c>
      <c r="G1120" s="870">
        <f t="shared" ref="G1120:M1120" si="86">SUM(G1114:G1119)</f>
        <v>31.236849796569835</v>
      </c>
      <c r="H1120" s="870">
        <f t="shared" si="86"/>
        <v>35.879568949924447</v>
      </c>
      <c r="I1120" s="870">
        <f t="shared" si="86"/>
        <v>41.403844214010057</v>
      </c>
      <c r="J1120" s="870">
        <f t="shared" si="86"/>
        <v>47.863524358654118</v>
      </c>
      <c r="K1120" s="870">
        <f t="shared" si="86"/>
        <v>55.640213654273758</v>
      </c>
      <c r="L1120" s="870">
        <f t="shared" si="86"/>
        <v>65.080967028316849</v>
      </c>
      <c r="M1120" s="870">
        <f t="shared" si="86"/>
        <v>75.121073790278658</v>
      </c>
    </row>
    <row r="1121" spans="1:13" hidden="1" outlineLevel="1" collapsed="1" x14ac:dyDescent="0.25">
      <c r="D1121" s="852"/>
      <c r="E1121" s="852"/>
      <c r="F1121" s="862"/>
      <c r="G1121" s="862"/>
      <c r="H1121" s="862"/>
      <c r="I1121" s="862"/>
      <c r="J1121" s="862"/>
      <c r="K1121" s="862"/>
      <c r="L1121" s="862"/>
      <c r="M1121" s="862"/>
    </row>
    <row r="1122" spans="1:13" hidden="1" outlineLevel="1" x14ac:dyDescent="0.25">
      <c r="A1122" s="2948" t="s">
        <v>1970</v>
      </c>
      <c r="B1122" s="2948" t="s">
        <v>2039</v>
      </c>
      <c r="D1122" s="852"/>
      <c r="E1122" s="852"/>
      <c r="F1122" s="862"/>
      <c r="G1122" s="862"/>
      <c r="H1122" s="862"/>
      <c r="I1122" s="862"/>
      <c r="J1122" s="862"/>
      <c r="K1122" s="862"/>
      <c r="L1122" s="862"/>
      <c r="M1122" s="862"/>
    </row>
    <row r="1123" spans="1:13" hidden="1" outlineLevel="2" x14ac:dyDescent="0.25">
      <c r="B1123" s="2948"/>
      <c r="C1123" s="863" t="s">
        <v>531</v>
      </c>
      <c r="D1123" s="2954" t="s">
        <v>2041</v>
      </c>
      <c r="E1123" s="863"/>
      <c r="F1123" s="864"/>
      <c r="G1123" s="864"/>
      <c r="H1123" s="864"/>
      <c r="I1123" s="864"/>
      <c r="J1123" s="864"/>
      <c r="K1123" s="864"/>
      <c r="L1123" s="864"/>
      <c r="M1123" s="864"/>
    </row>
    <row r="1124" spans="1:13" hidden="1" outlineLevel="2" x14ac:dyDescent="0.25">
      <c r="D1124" s="853" t="s">
        <v>999</v>
      </c>
      <c r="E1124" s="2949" t="s">
        <v>171</v>
      </c>
      <c r="F1124" s="862">
        <f>F1114*(1-F$111)</f>
        <v>11.534967431411745</v>
      </c>
      <c r="G1124" s="862">
        <f t="shared" ref="G1124:M1124" si="87">G1114*(1-G$111)</f>
        <v>9.8579864214727912</v>
      </c>
      <c r="H1124" s="862">
        <f t="shared" si="87"/>
        <v>8.7505003293680321</v>
      </c>
      <c r="I1124" s="862">
        <f t="shared" si="87"/>
        <v>8.3045676575790282</v>
      </c>
      <c r="J1124" s="862">
        <f t="shared" si="87"/>
        <v>8.3749058612358613</v>
      </c>
      <c r="K1124" s="862">
        <f t="shared" si="87"/>
        <v>8.5979642890314381</v>
      </c>
      <c r="L1124" s="862">
        <f t="shared" si="87"/>
        <v>8.8234024814743535</v>
      </c>
      <c r="M1124" s="862">
        <f t="shared" si="87"/>
        <v>9.7944347599636945</v>
      </c>
    </row>
    <row r="1125" spans="1:13" hidden="1" outlineLevel="2" x14ac:dyDescent="0.25">
      <c r="D1125" s="865" t="s">
        <v>2040</v>
      </c>
      <c r="E1125" s="2949" t="s">
        <v>171</v>
      </c>
      <c r="F1125" s="862">
        <f t="shared" ref="F1125:M1128" si="88">F1115*(1-F$111)</f>
        <v>0</v>
      </c>
      <c r="G1125" s="862">
        <f t="shared" si="88"/>
        <v>0</v>
      </c>
      <c r="H1125" s="862">
        <f t="shared" si="88"/>
        <v>0</v>
      </c>
      <c r="I1125" s="862">
        <f t="shared" si="88"/>
        <v>0</v>
      </c>
      <c r="J1125" s="862">
        <f t="shared" si="88"/>
        <v>0</v>
      </c>
      <c r="K1125" s="862">
        <f t="shared" si="88"/>
        <v>0</v>
      </c>
      <c r="L1125" s="862">
        <f t="shared" si="88"/>
        <v>0</v>
      </c>
      <c r="M1125" s="862">
        <f t="shared" si="88"/>
        <v>0</v>
      </c>
    </row>
    <row r="1126" spans="1:13" hidden="1" outlineLevel="2" x14ac:dyDescent="0.25">
      <c r="C1126" s="852"/>
      <c r="D1126" s="853" t="s">
        <v>510</v>
      </c>
      <c r="E1126" s="2949" t="s">
        <v>171</v>
      </c>
      <c r="F1126" s="862">
        <f t="shared" si="88"/>
        <v>3.105811104360348</v>
      </c>
      <c r="G1126" s="862">
        <f t="shared" si="88"/>
        <v>4.6119912174937676</v>
      </c>
      <c r="H1126" s="862">
        <f t="shared" si="88"/>
        <v>6.4212137214646621</v>
      </c>
      <c r="I1126" s="862">
        <f t="shared" si="88"/>
        <v>8.2937318038252243</v>
      </c>
      <c r="J1126" s="862">
        <f t="shared" si="88"/>
        <v>10.276090933699463</v>
      </c>
      <c r="K1126" s="862">
        <f t="shared" si="88"/>
        <v>12.601130111894914</v>
      </c>
      <c r="L1126" s="862">
        <f t="shared" si="88"/>
        <v>15.49457512412463</v>
      </c>
      <c r="M1126" s="862">
        <f t="shared" si="88"/>
        <v>18.05382611156497</v>
      </c>
    </row>
    <row r="1127" spans="1:13" hidden="1" outlineLevel="2" x14ac:dyDescent="0.25">
      <c r="C1127" s="852"/>
      <c r="D1127" s="853" t="s">
        <v>511</v>
      </c>
      <c r="E1127" s="2949" t="s">
        <v>171</v>
      </c>
      <c r="F1127" s="862">
        <f t="shared" si="88"/>
        <v>6.848547682578503</v>
      </c>
      <c r="G1127" s="862">
        <f t="shared" si="88"/>
        <v>8.0503756493228948</v>
      </c>
      <c r="H1127" s="862">
        <f t="shared" si="88"/>
        <v>9.3909901871301056</v>
      </c>
      <c r="I1127" s="862">
        <f t="shared" si="88"/>
        <v>10.806841966862432</v>
      </c>
      <c r="J1127" s="862">
        <f t="shared" si="88"/>
        <v>12.363222778478967</v>
      </c>
      <c r="K1127" s="862">
        <f t="shared" si="88"/>
        <v>14.232159040978319</v>
      </c>
      <c r="L1127" s="862">
        <f t="shared" si="88"/>
        <v>16.428919286016686</v>
      </c>
      <c r="M1127" s="862">
        <f t="shared" si="88"/>
        <v>18.98755175715268</v>
      </c>
    </row>
    <row r="1128" spans="1:13" hidden="1" outlineLevel="2" x14ac:dyDescent="0.25">
      <c r="C1128" s="863"/>
      <c r="D1128" s="1916" t="s">
        <v>494</v>
      </c>
      <c r="E1128" s="2954" t="s">
        <v>171</v>
      </c>
      <c r="F1128" s="864">
        <f t="shared" si="88"/>
        <v>4.7526719834691171</v>
      </c>
      <c r="G1128" s="864">
        <f t="shared" si="88"/>
        <v>6.0440831201964089</v>
      </c>
      <c r="H1128" s="864">
        <f t="shared" si="88"/>
        <v>7.4953903387401244</v>
      </c>
      <c r="I1128" s="864">
        <f t="shared" si="88"/>
        <v>8.9838254459887565</v>
      </c>
      <c r="J1128" s="864">
        <f t="shared" si="88"/>
        <v>10.567443967668584</v>
      </c>
      <c r="K1128" s="864">
        <f t="shared" si="88"/>
        <v>12.433412149129659</v>
      </c>
      <c r="L1128" s="864">
        <f t="shared" si="88"/>
        <v>14.670750415346136</v>
      </c>
      <c r="M1128" s="864">
        <f t="shared" si="88"/>
        <v>17.009771427664695</v>
      </c>
    </row>
    <row r="1129" spans="1:13" hidden="1" outlineLevel="2" x14ac:dyDescent="0.25">
      <c r="C1129" s="852"/>
      <c r="D1129" s="853"/>
      <c r="E1129" s="852"/>
      <c r="F1129" s="862"/>
      <c r="G1129" s="862"/>
      <c r="H1129" s="862"/>
      <c r="I1129" s="862"/>
      <c r="J1129" s="862"/>
      <c r="K1129" s="862"/>
      <c r="L1129" s="862"/>
      <c r="M1129" s="862"/>
    </row>
    <row r="1130" spans="1:13" hidden="1" outlineLevel="2" x14ac:dyDescent="0.25">
      <c r="C1130" s="852"/>
      <c r="D1130" s="853" t="s">
        <v>498</v>
      </c>
      <c r="E1130" s="852"/>
      <c r="F1130" s="862"/>
      <c r="G1130" s="862"/>
      <c r="H1130" s="862"/>
      <c r="I1130" s="862"/>
      <c r="J1130" s="862"/>
      <c r="K1130" s="862"/>
      <c r="L1130" s="862"/>
      <c r="M1130" s="862"/>
    </row>
    <row r="1131" spans="1:13" hidden="1" outlineLevel="2" x14ac:dyDescent="0.25">
      <c r="C1131" s="2949" t="s">
        <v>2043</v>
      </c>
      <c r="D1131" s="2955" t="s">
        <v>999</v>
      </c>
      <c r="E1131" s="2956" t="s">
        <v>171</v>
      </c>
      <c r="F1131" s="861">
        <f>(F1114-F1124)*$D$461/$D$466</f>
        <v>0</v>
      </c>
      <c r="G1131" s="861">
        <f t="shared" ref="G1131:M1131" si="89">(G1114-G1124)*$D$461/$D$466</f>
        <v>0</v>
      </c>
      <c r="H1131" s="861">
        <f t="shared" si="89"/>
        <v>0</v>
      </c>
      <c r="I1131" s="861">
        <f t="shared" si="89"/>
        <v>0</v>
      </c>
      <c r="J1131" s="861">
        <f t="shared" si="89"/>
        <v>0</v>
      </c>
      <c r="K1131" s="861">
        <f t="shared" si="89"/>
        <v>0</v>
      </c>
      <c r="L1131" s="861">
        <f t="shared" si="89"/>
        <v>0</v>
      </c>
      <c r="M1131" s="861">
        <f t="shared" si="89"/>
        <v>0</v>
      </c>
    </row>
    <row r="1132" spans="1:13" hidden="1" outlineLevel="2" x14ac:dyDescent="0.25">
      <c r="C1132" s="2949" t="s">
        <v>2043</v>
      </c>
      <c r="D1132" s="853" t="s">
        <v>2040</v>
      </c>
      <c r="E1132" s="2949" t="s">
        <v>171</v>
      </c>
      <c r="F1132" s="862">
        <f>(F1115-F1125)*$D$462/$D$466</f>
        <v>0</v>
      </c>
      <c r="G1132" s="862">
        <f t="shared" ref="G1132:M1132" si="90">(G1115-G1125)*$D$462/$D$466</f>
        <v>0</v>
      </c>
      <c r="H1132" s="862">
        <f t="shared" si="90"/>
        <v>0</v>
      </c>
      <c r="I1132" s="862">
        <f t="shared" si="90"/>
        <v>0</v>
      </c>
      <c r="J1132" s="862">
        <f t="shared" si="90"/>
        <v>0</v>
      </c>
      <c r="K1132" s="862">
        <f t="shared" si="90"/>
        <v>0</v>
      </c>
      <c r="L1132" s="862">
        <f t="shared" si="90"/>
        <v>0</v>
      </c>
      <c r="M1132" s="862">
        <f t="shared" si="90"/>
        <v>0</v>
      </c>
    </row>
    <row r="1133" spans="1:13" hidden="1" outlineLevel="2" x14ac:dyDescent="0.25">
      <c r="C1133" s="2949" t="s">
        <v>2043</v>
      </c>
      <c r="D1133" s="853" t="s">
        <v>510</v>
      </c>
      <c r="E1133" s="2949" t="s">
        <v>171</v>
      </c>
      <c r="F1133" s="862">
        <f>(F1116-F1126)*$D$463/$D$466</f>
        <v>0</v>
      </c>
      <c r="G1133" s="862">
        <f t="shared" ref="G1133:M1133" si="91">(G1116-G1126)*$D$463/$D$466</f>
        <v>0</v>
      </c>
      <c r="H1133" s="862">
        <f t="shared" si="91"/>
        <v>0</v>
      </c>
      <c r="I1133" s="862">
        <f t="shared" si="91"/>
        <v>0</v>
      </c>
      <c r="J1133" s="862">
        <f t="shared" si="91"/>
        <v>0</v>
      </c>
      <c r="K1133" s="862">
        <f t="shared" si="91"/>
        <v>0</v>
      </c>
      <c r="L1133" s="862">
        <f t="shared" si="91"/>
        <v>0</v>
      </c>
      <c r="M1133" s="862">
        <f t="shared" si="91"/>
        <v>0</v>
      </c>
    </row>
    <row r="1134" spans="1:13" hidden="1" outlineLevel="2" x14ac:dyDescent="0.25">
      <c r="C1134" s="2949" t="s">
        <v>2043</v>
      </c>
      <c r="D1134" s="853" t="s">
        <v>511</v>
      </c>
      <c r="E1134" s="2949" t="s">
        <v>171</v>
      </c>
      <c r="F1134" s="862">
        <f>(F1117-F1127)*$D$464/$D$466</f>
        <v>0</v>
      </c>
      <c r="G1134" s="862">
        <f t="shared" ref="G1134:M1134" si="92">(G1117-G1127)*$D$464/$D$466</f>
        <v>0</v>
      </c>
      <c r="H1134" s="862">
        <f t="shared" si="92"/>
        <v>0</v>
      </c>
      <c r="I1134" s="862">
        <f t="shared" si="92"/>
        <v>0</v>
      </c>
      <c r="J1134" s="862">
        <f t="shared" si="92"/>
        <v>0</v>
      </c>
      <c r="K1134" s="862">
        <f t="shared" si="92"/>
        <v>0</v>
      </c>
      <c r="L1134" s="862">
        <f t="shared" si="92"/>
        <v>0</v>
      </c>
      <c r="M1134" s="862">
        <f t="shared" si="92"/>
        <v>0</v>
      </c>
    </row>
    <row r="1135" spans="1:13" hidden="1" outlineLevel="2" x14ac:dyDescent="0.25">
      <c r="C1135" s="2949" t="s">
        <v>2043</v>
      </c>
      <c r="D1135" s="1916" t="s">
        <v>494</v>
      </c>
      <c r="E1135" s="2954" t="s">
        <v>171</v>
      </c>
      <c r="F1135" s="864">
        <f>(F1118-F1128)*$D$465/$D$466</f>
        <v>0</v>
      </c>
      <c r="G1135" s="864">
        <f t="shared" ref="G1135:M1135" si="93">(G1118-G1128)*$D$465/$D$466</f>
        <v>0</v>
      </c>
      <c r="H1135" s="864">
        <f t="shared" si="93"/>
        <v>0</v>
      </c>
      <c r="I1135" s="864">
        <f t="shared" si="93"/>
        <v>0</v>
      </c>
      <c r="J1135" s="864">
        <f t="shared" si="93"/>
        <v>0</v>
      </c>
      <c r="K1135" s="864">
        <f t="shared" si="93"/>
        <v>0</v>
      </c>
      <c r="L1135" s="864">
        <f t="shared" si="93"/>
        <v>0</v>
      </c>
      <c r="M1135" s="864">
        <f t="shared" si="93"/>
        <v>0</v>
      </c>
    </row>
    <row r="1136" spans="1:13" hidden="1" outlineLevel="2" x14ac:dyDescent="0.25">
      <c r="C1136" s="852"/>
      <c r="D1136" s="853" t="s">
        <v>2042</v>
      </c>
      <c r="E1136" s="852"/>
      <c r="F1136" s="862">
        <f>SUM(F1131:F1135)</f>
        <v>0</v>
      </c>
      <c r="G1136" s="862">
        <f t="shared" ref="G1136:M1136" si="94">SUM(G1131:G1135)</f>
        <v>0</v>
      </c>
      <c r="H1136" s="862">
        <f t="shared" si="94"/>
        <v>0</v>
      </c>
      <c r="I1136" s="862">
        <f t="shared" si="94"/>
        <v>0</v>
      </c>
      <c r="J1136" s="862">
        <f t="shared" si="94"/>
        <v>0</v>
      </c>
      <c r="K1136" s="862">
        <f t="shared" si="94"/>
        <v>0</v>
      </c>
      <c r="L1136" s="862">
        <f t="shared" si="94"/>
        <v>0</v>
      </c>
      <c r="M1136" s="862">
        <f t="shared" si="94"/>
        <v>0</v>
      </c>
    </row>
    <row r="1137" spans="1:13" hidden="1" outlineLevel="2" x14ac:dyDescent="0.25">
      <c r="C1137" s="852"/>
      <c r="D1137" s="853"/>
      <c r="E1137" s="852"/>
      <c r="F1137" s="862"/>
      <c r="G1137" s="862"/>
      <c r="H1137" s="862"/>
      <c r="I1137" s="862"/>
      <c r="J1137" s="862"/>
      <c r="K1137" s="862"/>
      <c r="L1137" s="862"/>
      <c r="M1137" s="862"/>
    </row>
    <row r="1138" spans="1:13" hidden="1" outlineLevel="2" x14ac:dyDescent="0.25">
      <c r="C1138" s="852"/>
      <c r="D1138" s="853"/>
      <c r="E1138" s="852"/>
      <c r="F1138" s="862"/>
      <c r="G1138" s="862"/>
      <c r="H1138" s="862"/>
      <c r="I1138" s="862"/>
      <c r="J1138" s="862"/>
      <c r="K1138" s="862"/>
      <c r="L1138" s="862"/>
      <c r="M1138" s="862"/>
    </row>
    <row r="1139" spans="1:13" hidden="1" outlineLevel="2" x14ac:dyDescent="0.25">
      <c r="B1139" s="2948" t="s">
        <v>2044</v>
      </c>
      <c r="C1139" s="852"/>
      <c r="D1139" s="853"/>
      <c r="E1139" s="852"/>
      <c r="F1139" s="862"/>
      <c r="G1139" s="862"/>
      <c r="H1139" s="862"/>
      <c r="I1139" s="862"/>
      <c r="J1139" s="862"/>
      <c r="K1139" s="862"/>
      <c r="L1139" s="862"/>
      <c r="M1139" s="862"/>
    </row>
    <row r="1140" spans="1:13" hidden="1" outlineLevel="2" x14ac:dyDescent="0.25">
      <c r="C1140" s="852"/>
      <c r="D1140" s="853"/>
      <c r="E1140" s="852"/>
      <c r="F1140" s="862"/>
      <c r="G1140" s="862"/>
      <c r="H1140" s="862"/>
      <c r="I1140" s="862"/>
      <c r="J1140" s="862"/>
      <c r="K1140" s="862"/>
      <c r="L1140" s="862"/>
      <c r="M1140" s="862"/>
    </row>
    <row r="1141" spans="1:13" hidden="1" outlineLevel="2" x14ac:dyDescent="0.25">
      <c r="C1141" s="863" t="s">
        <v>531</v>
      </c>
      <c r="D1141" s="863"/>
      <c r="E1141" s="863"/>
      <c r="F1141" s="864"/>
      <c r="G1141" s="864"/>
      <c r="H1141" s="864"/>
      <c r="I1141" s="864"/>
      <c r="J1141" s="864"/>
      <c r="K1141" s="864"/>
      <c r="L1141" s="864"/>
      <c r="M1141" s="864"/>
    </row>
    <row r="1142" spans="1:13" hidden="1" outlineLevel="2" x14ac:dyDescent="0.25">
      <c r="C1142" s="751" t="s">
        <v>330</v>
      </c>
      <c r="D1142" s="865" t="s">
        <v>999</v>
      </c>
      <c r="E1142" s="2949" t="s">
        <v>171</v>
      </c>
      <c r="F1142" s="870">
        <f>F1124</f>
        <v>11.534967431411745</v>
      </c>
      <c r="G1142" s="870">
        <f t="shared" ref="G1142:M1142" si="95">G1124</f>
        <v>9.8579864214727912</v>
      </c>
      <c r="H1142" s="870">
        <f t="shared" si="95"/>
        <v>8.7505003293680321</v>
      </c>
      <c r="I1142" s="870">
        <f t="shared" si="95"/>
        <v>8.3045676575790282</v>
      </c>
      <c r="J1142" s="870">
        <f t="shared" si="95"/>
        <v>8.3749058612358613</v>
      </c>
      <c r="K1142" s="870">
        <f t="shared" si="95"/>
        <v>8.5979642890314381</v>
      </c>
      <c r="L1142" s="870">
        <f t="shared" si="95"/>
        <v>8.8234024814743535</v>
      </c>
      <c r="M1142" s="870">
        <f t="shared" si="95"/>
        <v>9.7944347599636945</v>
      </c>
    </row>
    <row r="1143" spans="1:13" hidden="1" outlineLevel="2" x14ac:dyDescent="0.25">
      <c r="C1143" s="2948" t="s">
        <v>330</v>
      </c>
      <c r="D1143" s="865" t="s">
        <v>2040</v>
      </c>
      <c r="E1143" s="2949" t="s">
        <v>171</v>
      </c>
      <c r="F1143" s="870">
        <f t="shared" ref="F1143:M1146" si="96">F1125</f>
        <v>0</v>
      </c>
      <c r="G1143" s="870">
        <f t="shared" si="96"/>
        <v>0</v>
      </c>
      <c r="H1143" s="870">
        <f t="shared" si="96"/>
        <v>0</v>
      </c>
      <c r="I1143" s="870">
        <f t="shared" si="96"/>
        <v>0</v>
      </c>
      <c r="J1143" s="870">
        <f t="shared" si="96"/>
        <v>0</v>
      </c>
      <c r="K1143" s="870">
        <f t="shared" si="96"/>
        <v>0</v>
      </c>
      <c r="L1143" s="870">
        <f t="shared" si="96"/>
        <v>0</v>
      </c>
      <c r="M1143" s="870">
        <f t="shared" si="96"/>
        <v>0</v>
      </c>
    </row>
    <row r="1144" spans="1:13" hidden="1" outlineLevel="2" x14ac:dyDescent="0.25">
      <c r="C1144" s="865" t="s">
        <v>335</v>
      </c>
      <c r="D1144" s="865" t="s">
        <v>510</v>
      </c>
      <c r="E1144" s="2949" t="s">
        <v>171</v>
      </c>
      <c r="F1144" s="870">
        <f t="shared" si="96"/>
        <v>3.105811104360348</v>
      </c>
      <c r="G1144" s="870">
        <f t="shared" si="96"/>
        <v>4.6119912174937676</v>
      </c>
      <c r="H1144" s="870">
        <f t="shared" si="96"/>
        <v>6.4212137214646621</v>
      </c>
      <c r="I1144" s="870">
        <f t="shared" si="96"/>
        <v>8.2937318038252243</v>
      </c>
      <c r="J1144" s="870">
        <f t="shared" si="96"/>
        <v>10.276090933699463</v>
      </c>
      <c r="K1144" s="870">
        <f t="shared" si="96"/>
        <v>12.601130111894914</v>
      </c>
      <c r="L1144" s="870">
        <f t="shared" si="96"/>
        <v>15.49457512412463</v>
      </c>
      <c r="M1144" s="870">
        <f t="shared" si="96"/>
        <v>18.05382611156497</v>
      </c>
    </row>
    <row r="1145" spans="1:13" hidden="1" outlineLevel="2" x14ac:dyDescent="0.25">
      <c r="C1145" s="865" t="s">
        <v>335</v>
      </c>
      <c r="D1145" s="865" t="s">
        <v>511</v>
      </c>
      <c r="E1145" s="2949" t="s">
        <v>171</v>
      </c>
      <c r="F1145" s="870">
        <f t="shared" si="96"/>
        <v>6.848547682578503</v>
      </c>
      <c r="G1145" s="870">
        <f t="shared" si="96"/>
        <v>8.0503756493228948</v>
      </c>
      <c r="H1145" s="870">
        <f t="shared" si="96"/>
        <v>9.3909901871301056</v>
      </c>
      <c r="I1145" s="870">
        <f t="shared" si="96"/>
        <v>10.806841966862432</v>
      </c>
      <c r="J1145" s="870">
        <f t="shared" si="96"/>
        <v>12.363222778478967</v>
      </c>
      <c r="K1145" s="870">
        <f t="shared" si="96"/>
        <v>14.232159040978319</v>
      </c>
      <c r="L1145" s="870">
        <f t="shared" si="96"/>
        <v>16.428919286016686</v>
      </c>
      <c r="M1145" s="870">
        <f t="shared" si="96"/>
        <v>18.98755175715268</v>
      </c>
    </row>
    <row r="1146" spans="1:13" hidden="1" outlineLevel="2" x14ac:dyDescent="0.25">
      <c r="C1146" s="853" t="s">
        <v>333</v>
      </c>
      <c r="D1146" s="853" t="s">
        <v>494</v>
      </c>
      <c r="E1146" s="2949" t="s">
        <v>171</v>
      </c>
      <c r="F1146" s="870">
        <f t="shared" si="96"/>
        <v>4.7526719834691171</v>
      </c>
      <c r="G1146" s="870">
        <f t="shared" si="96"/>
        <v>6.0440831201964089</v>
      </c>
      <c r="H1146" s="870">
        <f t="shared" si="96"/>
        <v>7.4953903387401244</v>
      </c>
      <c r="I1146" s="870">
        <f t="shared" si="96"/>
        <v>8.9838254459887565</v>
      </c>
      <c r="J1146" s="870">
        <f t="shared" si="96"/>
        <v>10.567443967668584</v>
      </c>
      <c r="K1146" s="870">
        <f t="shared" si="96"/>
        <v>12.433412149129659</v>
      </c>
      <c r="L1146" s="870">
        <f t="shared" si="96"/>
        <v>14.670750415346136</v>
      </c>
      <c r="M1146" s="870">
        <f t="shared" si="96"/>
        <v>17.009771427664695</v>
      </c>
    </row>
    <row r="1147" spans="1:13" hidden="1" outlineLevel="2" x14ac:dyDescent="0.25">
      <c r="C1147" s="1916" t="s">
        <v>149</v>
      </c>
      <c r="D1147" s="1916" t="s">
        <v>533</v>
      </c>
      <c r="E1147" s="2954" t="s">
        <v>171</v>
      </c>
      <c r="F1147" s="871">
        <f>F1119+F1136</f>
        <v>1.7211519582429609</v>
      </c>
      <c r="G1147" s="871">
        <f t="shared" ref="G1147:M1147" si="97">G1119+G1136</f>
        <v>2.6724133880839731</v>
      </c>
      <c r="H1147" s="871">
        <f t="shared" si="97"/>
        <v>3.8214743732215291</v>
      </c>
      <c r="I1147" s="871">
        <f t="shared" si="97"/>
        <v>5.0148773397546131</v>
      </c>
      <c r="J1147" s="871">
        <f t="shared" si="97"/>
        <v>6.2818608175712418</v>
      </c>
      <c r="K1147" s="871">
        <f t="shared" si="97"/>
        <v>7.7755480632394276</v>
      </c>
      <c r="L1147" s="871">
        <f t="shared" si="97"/>
        <v>9.6633197213550499</v>
      </c>
      <c r="M1147" s="871">
        <f t="shared" si="97"/>
        <v>11.275489733932622</v>
      </c>
    </row>
    <row r="1148" spans="1:13" hidden="1" outlineLevel="2" x14ac:dyDescent="0.25">
      <c r="C1148" s="852"/>
      <c r="D1148" s="2949" t="s">
        <v>118</v>
      </c>
      <c r="E1148" s="2949" t="s">
        <v>171</v>
      </c>
      <c r="F1148" s="870">
        <f>SUM(F1142:F1147)</f>
        <v>27.963150160062671</v>
      </c>
      <c r="G1148" s="870">
        <f t="shared" ref="G1148:M1148" si="98">SUM(G1142:G1147)</f>
        <v>31.236849796569835</v>
      </c>
      <c r="H1148" s="870">
        <f t="shared" si="98"/>
        <v>35.879568949924447</v>
      </c>
      <c r="I1148" s="870">
        <f t="shared" si="98"/>
        <v>41.403844214010057</v>
      </c>
      <c r="J1148" s="870">
        <f t="shared" si="98"/>
        <v>47.863524358654118</v>
      </c>
      <c r="K1148" s="870">
        <f t="shared" si="98"/>
        <v>55.640213654273758</v>
      </c>
      <c r="L1148" s="870">
        <f t="shared" si="98"/>
        <v>65.080967028316849</v>
      </c>
      <c r="M1148" s="870">
        <f t="shared" si="98"/>
        <v>75.121073790278658</v>
      </c>
    </row>
    <row r="1149" spans="1:13" hidden="1" outlineLevel="1" collapsed="1" x14ac:dyDescent="0.25">
      <c r="C1149" s="852"/>
      <c r="D1149" s="853"/>
      <c r="E1149" s="852"/>
      <c r="F1149" s="862"/>
      <c r="G1149" s="862"/>
      <c r="H1149" s="862"/>
      <c r="I1149" s="862"/>
      <c r="J1149" s="862"/>
      <c r="K1149" s="862"/>
      <c r="L1149" s="862"/>
      <c r="M1149" s="862"/>
    </row>
    <row r="1150" spans="1:13" hidden="1" outlineLevel="1" x14ac:dyDescent="0.25">
      <c r="A1150" s="2948" t="s">
        <v>1971</v>
      </c>
      <c r="B1150" s="2948" t="s">
        <v>2045</v>
      </c>
      <c r="C1150" s="852"/>
      <c r="D1150" s="853"/>
      <c r="E1150" s="852"/>
      <c r="F1150" s="862"/>
      <c r="G1150" s="862"/>
      <c r="H1150" s="862"/>
      <c r="I1150" s="862"/>
      <c r="J1150" s="862"/>
      <c r="K1150" s="862"/>
      <c r="L1150" s="862"/>
      <c r="M1150" s="862"/>
    </row>
    <row r="1151" spans="1:13" hidden="1" outlineLevel="2" x14ac:dyDescent="0.25">
      <c r="A1151" s="2948"/>
      <c r="C1151" s="852"/>
      <c r="D1151" s="853"/>
      <c r="E1151" s="852"/>
      <c r="F1151" s="862"/>
      <c r="G1151" s="862"/>
      <c r="H1151" s="862"/>
      <c r="I1151" s="862"/>
      <c r="J1151" s="862"/>
      <c r="K1151" s="862"/>
      <c r="L1151" s="862"/>
      <c r="M1151" s="862"/>
    </row>
    <row r="1152" spans="1:13" hidden="1" outlineLevel="2" x14ac:dyDescent="0.25">
      <c r="A1152" s="2948"/>
      <c r="C1152" s="852"/>
      <c r="D1152" s="852"/>
      <c r="E1152" s="852"/>
      <c r="F1152" s="862"/>
      <c r="G1152" s="862"/>
      <c r="H1152" s="862"/>
      <c r="I1152" s="862"/>
      <c r="J1152" s="862"/>
      <c r="K1152" s="862"/>
      <c r="L1152" s="862"/>
      <c r="M1152" s="862"/>
    </row>
    <row r="1153" spans="1:13" hidden="1" outlineLevel="2" x14ac:dyDescent="0.25">
      <c r="A1153" s="2948"/>
      <c r="B1153" s="2943" t="s">
        <v>2024</v>
      </c>
      <c r="C1153" s="751" t="s">
        <v>507</v>
      </c>
      <c r="E1153" s="863"/>
      <c r="F1153" s="863"/>
      <c r="G1153" s="863"/>
      <c r="H1153" s="863"/>
      <c r="I1153" s="863"/>
      <c r="J1153" s="863"/>
      <c r="K1153" s="863"/>
      <c r="L1153" s="863"/>
      <c r="M1153" s="864"/>
    </row>
    <row r="1154" spans="1:13" hidden="1" outlineLevel="2" x14ac:dyDescent="0.25">
      <c r="A1154" s="2948"/>
      <c r="C1154" s="860">
        <v>1</v>
      </c>
      <c r="D1154" s="860" t="s">
        <v>514</v>
      </c>
      <c r="E1154" s="852" t="s">
        <v>171</v>
      </c>
      <c r="F1154" s="859">
        <f t="shared" ref="F1154:M1168" si="99">F$620*F476</f>
        <v>0.11348288604431604</v>
      </c>
      <c r="G1154" s="859">
        <f t="shared" si="99"/>
        <v>0.12738960047176084</v>
      </c>
      <c r="H1154" s="859">
        <f t="shared" si="99"/>
        <v>0.14791070290355279</v>
      </c>
      <c r="I1154" s="859">
        <f t="shared" si="99"/>
        <v>0.17396868379113811</v>
      </c>
      <c r="J1154" s="859">
        <f t="shared" si="99"/>
        <v>0.20824660622330601</v>
      </c>
      <c r="K1154" s="859">
        <f t="shared" si="99"/>
        <v>0.25110905800258992</v>
      </c>
      <c r="L1154" s="859">
        <f t="shared" si="99"/>
        <v>0.30431778820758254</v>
      </c>
      <c r="M1154" s="859">
        <f t="shared" si="99"/>
        <v>0.36325411130057406</v>
      </c>
    </row>
    <row r="1155" spans="1:13" hidden="1" outlineLevel="2" x14ac:dyDescent="0.25">
      <c r="A1155" s="2948"/>
      <c r="C1155" s="852">
        <v>2</v>
      </c>
      <c r="D1155" s="852" t="s">
        <v>514</v>
      </c>
      <c r="E1155" s="852" t="s">
        <v>171</v>
      </c>
      <c r="F1155" s="859">
        <f t="shared" si="99"/>
        <v>0.25366769068877726</v>
      </c>
      <c r="G1155" s="859">
        <f t="shared" si="99"/>
        <v>0.27780485994100984</v>
      </c>
      <c r="H1155" s="859">
        <f t="shared" si="99"/>
        <v>0.31659776845493287</v>
      </c>
      <c r="I1155" s="859">
        <f t="shared" si="99"/>
        <v>0.36638642888240797</v>
      </c>
      <c r="J1155" s="859">
        <f t="shared" si="99"/>
        <v>0.43316466214496396</v>
      </c>
      <c r="K1155" s="859">
        <f t="shared" si="99"/>
        <v>0.50638444858147191</v>
      </c>
      <c r="L1155" s="859">
        <f t="shared" si="99"/>
        <v>0.59200817147221141</v>
      </c>
      <c r="M1155" s="859">
        <f t="shared" si="99"/>
        <v>0.6830023056081006</v>
      </c>
    </row>
    <row r="1156" spans="1:13" hidden="1" outlineLevel="2" x14ac:dyDescent="0.25">
      <c r="A1156" s="2948"/>
      <c r="C1156" s="751">
        <v>3</v>
      </c>
      <c r="D1156" s="751" t="s">
        <v>514</v>
      </c>
      <c r="E1156" s="751" t="s">
        <v>171</v>
      </c>
      <c r="F1156" s="859">
        <f t="shared" si="99"/>
        <v>0.12905074828194352</v>
      </c>
      <c r="G1156" s="859">
        <f t="shared" si="99"/>
        <v>0.1426208091513598</v>
      </c>
      <c r="H1156" s="859">
        <f t="shared" si="99"/>
        <v>0.16351497442493929</v>
      </c>
      <c r="I1156" s="859">
        <f t="shared" si="99"/>
        <v>0.18932362467521668</v>
      </c>
      <c r="J1156" s="859">
        <f t="shared" si="99"/>
        <v>0.22369556167566124</v>
      </c>
      <c r="K1156" s="859">
        <f t="shared" si="99"/>
        <v>0.26229580191806734</v>
      </c>
      <c r="L1156" s="859">
        <f t="shared" si="99"/>
        <v>0.30664697249953032</v>
      </c>
      <c r="M1156" s="859">
        <f t="shared" si="99"/>
        <v>0.35377989581475577</v>
      </c>
    </row>
    <row r="1157" spans="1:13" hidden="1" outlineLevel="2" x14ac:dyDescent="0.25">
      <c r="A1157" s="2948"/>
      <c r="C1157" s="751">
        <v>4</v>
      </c>
      <c r="D1157" s="751" t="s">
        <v>514</v>
      </c>
      <c r="E1157" s="751" t="s">
        <v>171</v>
      </c>
      <c r="F1157" s="859">
        <f t="shared" si="99"/>
        <v>0.36046704922522504</v>
      </c>
      <c r="G1157" s="859">
        <f t="shared" si="99"/>
        <v>0.40229700871107088</v>
      </c>
      <c r="H1157" s="859">
        <f t="shared" si="99"/>
        <v>0.46388262168458128</v>
      </c>
      <c r="I1157" s="859">
        <f t="shared" si="99"/>
        <v>0.52333100209343342</v>
      </c>
      <c r="J1157" s="859">
        <f t="shared" si="99"/>
        <v>0.60310821706081663</v>
      </c>
      <c r="K1157" s="859">
        <f t="shared" si="99"/>
        <v>0.70009991616420408</v>
      </c>
      <c r="L1157" s="859">
        <f t="shared" si="99"/>
        <v>0.81847867243406469</v>
      </c>
      <c r="M1157" s="859">
        <f t="shared" si="99"/>
        <v>0.94428227058646919</v>
      </c>
    </row>
    <row r="1158" spans="1:13" hidden="1" outlineLevel="2" x14ac:dyDescent="0.25">
      <c r="A1158" s="2948"/>
      <c r="C1158" s="751">
        <v>5</v>
      </c>
      <c r="D1158" s="751" t="s">
        <v>514</v>
      </c>
      <c r="E1158" s="751" t="s">
        <v>171</v>
      </c>
      <c r="F1158" s="859">
        <f t="shared" si="99"/>
        <v>0.99040627805481685</v>
      </c>
      <c r="G1158" s="859">
        <f t="shared" si="99"/>
        <v>1.1057952822444364</v>
      </c>
      <c r="H1158" s="859">
        <f t="shared" si="99"/>
        <v>1.2465145601372973</v>
      </c>
      <c r="I1158" s="859">
        <f t="shared" si="99"/>
        <v>1.4011013134430084</v>
      </c>
      <c r="J1158" s="859">
        <f t="shared" si="99"/>
        <v>1.6109085357576423</v>
      </c>
      <c r="K1158" s="859">
        <f t="shared" si="99"/>
        <v>1.8699744074592846</v>
      </c>
      <c r="L1158" s="859">
        <f t="shared" si="99"/>
        <v>2.1861653389256719</v>
      </c>
      <c r="M1158" s="859">
        <f t="shared" si="99"/>
        <v>2.522188102933705</v>
      </c>
    </row>
    <row r="1159" spans="1:13" hidden="1" outlineLevel="2" x14ac:dyDescent="0.25">
      <c r="A1159" s="2948"/>
      <c r="C1159" s="751">
        <v>6</v>
      </c>
      <c r="D1159" s="751" t="s">
        <v>514</v>
      </c>
      <c r="E1159" s="751" t="s">
        <v>171</v>
      </c>
      <c r="F1159" s="859">
        <f t="shared" si="99"/>
        <v>0.48563403053045778</v>
      </c>
      <c r="G1159" s="859">
        <f t="shared" si="99"/>
        <v>0.53757451117256871</v>
      </c>
      <c r="H1159" s="859">
        <f t="shared" si="99"/>
        <v>0.60120625636723435</v>
      </c>
      <c r="I1159" s="859">
        <f t="shared" si="99"/>
        <v>0.6750658283410147</v>
      </c>
      <c r="J1159" s="859">
        <f t="shared" si="99"/>
        <v>0.7757513088409359</v>
      </c>
      <c r="K1159" s="859">
        <f t="shared" si="99"/>
        <v>0.90004086897446878</v>
      </c>
      <c r="L1159" s="859">
        <f t="shared" si="99"/>
        <v>1.0516818730095785</v>
      </c>
      <c r="M1159" s="859">
        <f t="shared" si="99"/>
        <v>1.2127004996663762</v>
      </c>
    </row>
    <row r="1160" spans="1:13" hidden="1" outlineLevel="2" x14ac:dyDescent="0.25">
      <c r="A1160" s="2948"/>
      <c r="C1160" s="751">
        <v>7</v>
      </c>
      <c r="D1160" s="751" t="s">
        <v>514</v>
      </c>
      <c r="E1160" s="751" t="s">
        <v>171</v>
      </c>
      <c r="F1160" s="859">
        <f t="shared" si="99"/>
        <v>0.60262879122855106</v>
      </c>
      <c r="G1160" s="859">
        <f t="shared" si="99"/>
        <v>0.64228533368104079</v>
      </c>
      <c r="H1160" s="859">
        <f t="shared" si="99"/>
        <v>0.71608921814825299</v>
      </c>
      <c r="I1160" s="859">
        <f t="shared" si="99"/>
        <v>0.80866353831862003</v>
      </c>
      <c r="J1160" s="859">
        <f t="shared" si="99"/>
        <v>0.92975645938999418</v>
      </c>
      <c r="K1160" s="859">
        <f t="shared" si="99"/>
        <v>1.0792796398037205</v>
      </c>
      <c r="L1160" s="859">
        <f t="shared" si="99"/>
        <v>1.2617732788936318</v>
      </c>
      <c r="M1160" s="859">
        <f t="shared" si="99"/>
        <v>1.4557131137158563</v>
      </c>
    </row>
    <row r="1161" spans="1:13" hidden="1" outlineLevel="2" x14ac:dyDescent="0.25">
      <c r="A1161" s="2948"/>
      <c r="C1161" s="751">
        <v>8</v>
      </c>
      <c r="D1161" s="751" t="s">
        <v>514</v>
      </c>
      <c r="E1161" s="751" t="s">
        <v>171</v>
      </c>
      <c r="F1161" s="859">
        <f t="shared" si="99"/>
        <v>1.0344249385463145</v>
      </c>
      <c r="G1161" s="859">
        <f t="shared" si="99"/>
        <v>1.1591577865109113</v>
      </c>
      <c r="H1161" s="859">
        <f t="shared" si="99"/>
        <v>1.3382909055229968</v>
      </c>
      <c r="I1161" s="859">
        <f t="shared" si="99"/>
        <v>1.5111501654724553</v>
      </c>
      <c r="J1161" s="859">
        <f t="shared" si="99"/>
        <v>1.7374365986347855</v>
      </c>
      <c r="K1161" s="859">
        <f t="shared" si="99"/>
        <v>2.0168506789257945</v>
      </c>
      <c r="L1161" s="859">
        <f t="shared" si="99"/>
        <v>2.3578766802733813</v>
      </c>
      <c r="M1161" s="859">
        <f t="shared" si="99"/>
        <v>2.7202921962402118</v>
      </c>
    </row>
    <row r="1162" spans="1:13" hidden="1" outlineLevel="2" x14ac:dyDescent="0.25">
      <c r="A1162" s="2948"/>
      <c r="C1162" s="751">
        <v>9</v>
      </c>
      <c r="D1162" s="751" t="s">
        <v>514</v>
      </c>
      <c r="E1162" s="751" t="s">
        <v>171</v>
      </c>
      <c r="F1162" s="859">
        <f t="shared" si="99"/>
        <v>0.4698977314674358</v>
      </c>
      <c r="G1162" s="859">
        <f t="shared" si="99"/>
        <v>0.52826870181382102</v>
      </c>
      <c r="H1162" s="859">
        <f t="shared" si="99"/>
        <v>0.61710209659987358</v>
      </c>
      <c r="I1162" s="859">
        <f t="shared" si="99"/>
        <v>0.73032554778937908</v>
      </c>
      <c r="J1162" s="859">
        <f t="shared" si="99"/>
        <v>0.85070268361164991</v>
      </c>
      <c r="K1162" s="859">
        <f t="shared" si="99"/>
        <v>0.98751245734912996</v>
      </c>
      <c r="L1162" s="859">
        <f t="shared" si="99"/>
        <v>1.1544893327963848</v>
      </c>
      <c r="M1162" s="859">
        <f t="shared" si="99"/>
        <v>1.3319391760066293</v>
      </c>
    </row>
    <row r="1163" spans="1:13" hidden="1" outlineLevel="2" x14ac:dyDescent="0.25">
      <c r="A1163" s="2948"/>
      <c r="C1163" s="751">
        <v>10</v>
      </c>
      <c r="D1163" s="751" t="s">
        <v>514</v>
      </c>
      <c r="E1163" s="751" t="s">
        <v>171</v>
      </c>
      <c r="F1163" s="859">
        <f t="shared" si="99"/>
        <v>0.41789666781309903</v>
      </c>
      <c r="G1163" s="859">
        <f t="shared" si="99"/>
        <v>0.47022730284348846</v>
      </c>
      <c r="H1163" s="859">
        <f t="shared" si="99"/>
        <v>0.54952023470003764</v>
      </c>
      <c r="I1163" s="859">
        <f t="shared" si="99"/>
        <v>0.64521694507568161</v>
      </c>
      <c r="J1163" s="859">
        <f t="shared" si="99"/>
        <v>0.75168471347080967</v>
      </c>
      <c r="K1163" s="859">
        <f t="shared" si="99"/>
        <v>0.87257044423548435</v>
      </c>
      <c r="L1163" s="859">
        <f t="shared" si="99"/>
        <v>1.0201119616125689</v>
      </c>
      <c r="M1163" s="859">
        <f t="shared" si="99"/>
        <v>1.1769074403603759</v>
      </c>
    </row>
    <row r="1164" spans="1:13" hidden="1" outlineLevel="2" x14ac:dyDescent="0.25">
      <c r="A1164" s="2948"/>
      <c r="C1164" s="751">
        <v>11</v>
      </c>
      <c r="D1164" s="751" t="s">
        <v>514</v>
      </c>
      <c r="E1164" s="751" t="s">
        <v>171</v>
      </c>
      <c r="F1164" s="859">
        <f t="shared" si="99"/>
        <v>5.7259087829827422E-2</v>
      </c>
      <c r="G1164" s="859">
        <f t="shared" si="99"/>
        <v>6.4000496130231718E-2</v>
      </c>
      <c r="H1164" s="859">
        <f t="shared" si="99"/>
        <v>7.2897596577076507E-2</v>
      </c>
      <c r="I1164" s="859">
        <f t="shared" si="99"/>
        <v>8.1746271708939555E-2</v>
      </c>
      <c r="J1164" s="859">
        <f t="shared" si="99"/>
        <v>9.4207772871337456E-2</v>
      </c>
      <c r="K1164" s="859">
        <f t="shared" si="99"/>
        <v>0.10935824123017868</v>
      </c>
      <c r="L1164" s="859">
        <f t="shared" si="99"/>
        <v>0.12784944839331677</v>
      </c>
      <c r="M1164" s="859">
        <f t="shared" si="99"/>
        <v>0.14750044379659055</v>
      </c>
    </row>
    <row r="1165" spans="1:13" hidden="1" outlineLevel="2" x14ac:dyDescent="0.25">
      <c r="A1165" s="2948"/>
      <c r="C1165" s="751">
        <v>12</v>
      </c>
      <c r="D1165" s="751" t="s">
        <v>514</v>
      </c>
      <c r="E1165" s="751" t="s">
        <v>171</v>
      </c>
      <c r="F1165" s="859">
        <f t="shared" si="99"/>
        <v>8.8180172012192318E-2</v>
      </c>
      <c r="G1165" s="859">
        <f t="shared" si="99"/>
        <v>9.3478084618665191E-2</v>
      </c>
      <c r="H1165" s="859">
        <f t="shared" si="99"/>
        <v>0.10332591468786546</v>
      </c>
      <c r="I1165" s="859">
        <f t="shared" si="99"/>
        <v>0.1161398987316465</v>
      </c>
      <c r="J1165" s="859">
        <f t="shared" si="99"/>
        <v>0.13353121035129742</v>
      </c>
      <c r="K1165" s="859">
        <f t="shared" si="99"/>
        <v>0.15500566320889819</v>
      </c>
      <c r="L1165" s="859">
        <f t="shared" si="99"/>
        <v>0.18121531871919899</v>
      </c>
      <c r="M1165" s="859">
        <f t="shared" si="99"/>
        <v>0.20906887178419539</v>
      </c>
    </row>
    <row r="1166" spans="1:13" hidden="1" outlineLevel="2" x14ac:dyDescent="0.25">
      <c r="A1166" s="2948"/>
      <c r="C1166" s="751">
        <v>13</v>
      </c>
      <c r="D1166" s="751" t="s">
        <v>514</v>
      </c>
      <c r="E1166" s="852" t="s">
        <v>171</v>
      </c>
      <c r="F1166" s="859">
        <f t="shared" si="99"/>
        <v>3.4963891138467362</v>
      </c>
      <c r="G1166" s="859">
        <f t="shared" si="99"/>
        <v>3.9342708434037705</v>
      </c>
      <c r="H1166" s="859">
        <f t="shared" si="99"/>
        <v>4.5485243273861382</v>
      </c>
      <c r="I1166" s="859">
        <f t="shared" si="99"/>
        <v>5.3264901587687721</v>
      </c>
      <c r="J1166" s="859">
        <f t="shared" si="99"/>
        <v>6.1384668020746878</v>
      </c>
      <c r="K1166" s="859">
        <f t="shared" si="99"/>
        <v>7.1256533602756083</v>
      </c>
      <c r="L1166" s="859">
        <f t="shared" si="99"/>
        <v>8.3305184986992735</v>
      </c>
      <c r="M1166" s="859">
        <f t="shared" si="99"/>
        <v>9.6109540639839146</v>
      </c>
    </row>
    <row r="1167" spans="1:13" hidden="1" outlineLevel="2" x14ac:dyDescent="0.25">
      <c r="A1167" s="2948"/>
      <c r="C1167" s="852">
        <v>14</v>
      </c>
      <c r="D1167" s="852" t="s">
        <v>514</v>
      </c>
      <c r="E1167" s="852" t="s">
        <v>171</v>
      </c>
      <c r="F1167" s="862">
        <f t="shared" si="99"/>
        <v>0.18587139309458078</v>
      </c>
      <c r="G1167" s="862">
        <f t="shared" si="99"/>
        <v>0.20958620941250033</v>
      </c>
      <c r="H1167" s="862">
        <f t="shared" si="99"/>
        <v>0.2431583047664847</v>
      </c>
      <c r="I1167" s="862">
        <f t="shared" si="99"/>
        <v>0.28512428454946737</v>
      </c>
      <c r="J1167" s="862">
        <f t="shared" si="99"/>
        <v>0.33492586652145151</v>
      </c>
      <c r="K1167" s="862">
        <f t="shared" si="99"/>
        <v>0.38878855309850113</v>
      </c>
      <c r="L1167" s="862">
        <f t="shared" si="99"/>
        <v>0.45452817726518152</v>
      </c>
      <c r="M1167" s="862">
        <f t="shared" si="99"/>
        <v>0.52439106079220477</v>
      </c>
    </row>
    <row r="1168" spans="1:13" hidden="1" outlineLevel="2" x14ac:dyDescent="0.25">
      <c r="A1168" s="2948"/>
      <c r="C1168" s="863">
        <v>15</v>
      </c>
      <c r="D1168" s="863" t="s">
        <v>514</v>
      </c>
      <c r="E1168" s="863" t="s">
        <v>171</v>
      </c>
      <c r="F1168" s="864">
        <f t="shared" si="99"/>
        <v>5.6332103699903428E-2</v>
      </c>
      <c r="G1168" s="864">
        <f t="shared" si="99"/>
        <v>7.0226410028874198E-2</v>
      </c>
      <c r="H1168" s="864">
        <f t="shared" si="99"/>
        <v>8.7812892748336771E-2</v>
      </c>
      <c r="I1168" s="864">
        <f t="shared" si="99"/>
        <v>0.10926396673496513</v>
      </c>
      <c r="J1168" s="864">
        <f t="shared" si="99"/>
        <v>0.13707780975987605</v>
      </c>
      <c r="K1168" s="864">
        <f t="shared" si="99"/>
        <v>0.16881998324539615</v>
      </c>
      <c r="L1168" s="864">
        <f t="shared" si="99"/>
        <v>0.19736547966479781</v>
      </c>
      <c r="M1168" s="864">
        <f t="shared" si="99"/>
        <v>0.22770138007264501</v>
      </c>
    </row>
    <row r="1169" spans="1:13" hidden="1" outlineLevel="2" x14ac:dyDescent="0.25">
      <c r="A1169" s="2948"/>
      <c r="C1169" s="2944"/>
      <c r="D1169" s="2944"/>
      <c r="E1169" s="2944"/>
      <c r="F1169" s="2945"/>
      <c r="G1169" s="2945"/>
      <c r="H1169" s="2945"/>
      <c r="I1169" s="2945"/>
      <c r="J1169" s="2945"/>
      <c r="K1169" s="2945"/>
      <c r="L1169" s="2945"/>
      <c r="M1169" s="2945"/>
    </row>
    <row r="1170" spans="1:13" hidden="1" outlineLevel="2" x14ac:dyDescent="0.25">
      <c r="A1170" s="2948"/>
      <c r="B1170" s="2943" t="s">
        <v>2025</v>
      </c>
      <c r="C1170" s="852" t="s">
        <v>509</v>
      </c>
      <c r="E1170" s="852" t="s">
        <v>171</v>
      </c>
      <c r="F1170" s="862">
        <f t="shared" ref="F1170:M1176" si="100">F$620*F150</f>
        <v>0</v>
      </c>
      <c r="G1170" s="862">
        <f t="shared" si="100"/>
        <v>0</v>
      </c>
      <c r="H1170" s="862">
        <f t="shared" si="100"/>
        <v>0</v>
      </c>
      <c r="I1170" s="862">
        <f t="shared" si="100"/>
        <v>0</v>
      </c>
      <c r="J1170" s="862">
        <f t="shared" si="100"/>
        <v>0</v>
      </c>
      <c r="K1170" s="862">
        <f t="shared" si="100"/>
        <v>0</v>
      </c>
      <c r="L1170" s="862">
        <f t="shared" si="100"/>
        <v>0</v>
      </c>
      <c r="M1170" s="862">
        <f t="shared" si="100"/>
        <v>0</v>
      </c>
    </row>
    <row r="1171" spans="1:13" hidden="1" outlineLevel="2" x14ac:dyDescent="0.25">
      <c r="A1171" s="2948"/>
      <c r="C1171" s="852" t="s">
        <v>510</v>
      </c>
      <c r="E1171" s="852" t="s">
        <v>171</v>
      </c>
      <c r="F1171" s="862">
        <f t="shared" si="100"/>
        <v>7.4684928452936008</v>
      </c>
      <c r="G1171" s="862">
        <f t="shared" si="100"/>
        <v>7.9013296787668228</v>
      </c>
      <c r="H1171" s="862">
        <f t="shared" si="100"/>
        <v>8.3985025606587325</v>
      </c>
      <c r="I1171" s="862">
        <f t="shared" si="100"/>
        <v>8.9635787830297033</v>
      </c>
      <c r="J1171" s="862">
        <f t="shared" si="100"/>
        <v>9.6147091525747452</v>
      </c>
      <c r="K1171" s="862">
        <f t="shared" si="100"/>
        <v>10.815012272429048</v>
      </c>
      <c r="L1171" s="862">
        <f t="shared" si="100"/>
        <v>12.639687103101449</v>
      </c>
      <c r="M1171" s="862">
        <f t="shared" si="100"/>
        <v>14.574845387074562</v>
      </c>
    </row>
    <row r="1172" spans="1:13" hidden="1" outlineLevel="2" x14ac:dyDescent="0.25">
      <c r="A1172" s="2948"/>
      <c r="C1172" s="852" t="s">
        <v>511</v>
      </c>
      <c r="E1172" s="852" t="s">
        <v>171</v>
      </c>
      <c r="F1172" s="862">
        <f t="shared" si="100"/>
        <v>1.2730958370705776</v>
      </c>
      <c r="G1172" s="862">
        <f t="shared" si="100"/>
        <v>1.5707040641646235</v>
      </c>
      <c r="H1172" s="862">
        <f t="shared" si="100"/>
        <v>1.9624123117091756</v>
      </c>
      <c r="I1172" s="862">
        <f t="shared" si="100"/>
        <v>2.4042606843688974</v>
      </c>
      <c r="J1172" s="862">
        <f t="shared" si="100"/>
        <v>2.8524824190713209</v>
      </c>
      <c r="K1172" s="862">
        <f t="shared" si="100"/>
        <v>3.3666866128937762</v>
      </c>
      <c r="L1172" s="862">
        <f t="shared" si="100"/>
        <v>3.9516824095810801</v>
      </c>
      <c r="M1172" s="862">
        <f t="shared" si="100"/>
        <v>4.5800054663338994</v>
      </c>
    </row>
    <row r="1173" spans="1:13" hidden="1" outlineLevel="2" x14ac:dyDescent="0.25">
      <c r="A1173" s="2948"/>
      <c r="C1173" s="852" t="s">
        <v>498</v>
      </c>
      <c r="E1173" s="852" t="s">
        <v>171</v>
      </c>
      <c r="F1173" s="862">
        <f t="shared" si="100"/>
        <v>0</v>
      </c>
      <c r="G1173" s="862">
        <f t="shared" si="100"/>
        <v>0.29294949720406543</v>
      </c>
      <c r="H1173" s="862">
        <f t="shared" si="100"/>
        <v>0.85543350274169194</v>
      </c>
      <c r="I1173" s="862">
        <f t="shared" si="100"/>
        <v>1.5754581909775442</v>
      </c>
      <c r="J1173" s="862">
        <f t="shared" si="100"/>
        <v>2.4954732367431536</v>
      </c>
      <c r="K1173" s="862">
        <f t="shared" si="100"/>
        <v>3.2120446371499778</v>
      </c>
      <c r="L1173" s="862">
        <f t="shared" si="100"/>
        <v>3.7536574801838465</v>
      </c>
      <c r="M1173" s="862">
        <f t="shared" si="100"/>
        <v>4.3288240792541401</v>
      </c>
    </row>
    <row r="1174" spans="1:13" hidden="1" outlineLevel="2" x14ac:dyDescent="0.25">
      <c r="A1174" s="2948"/>
      <c r="C1174" s="852" t="s">
        <v>612</v>
      </c>
      <c r="E1174" s="852" t="s">
        <v>171</v>
      </c>
      <c r="F1174" s="862">
        <f t="shared" si="100"/>
        <v>0</v>
      </c>
      <c r="G1174" s="862">
        <f t="shared" si="100"/>
        <v>0</v>
      </c>
      <c r="H1174" s="862">
        <f t="shared" si="100"/>
        <v>0</v>
      </c>
      <c r="I1174" s="862">
        <f t="shared" si="100"/>
        <v>0</v>
      </c>
      <c r="J1174" s="862">
        <f t="shared" si="100"/>
        <v>0</v>
      </c>
      <c r="K1174" s="862">
        <f t="shared" si="100"/>
        <v>0</v>
      </c>
      <c r="L1174" s="862">
        <f t="shared" si="100"/>
        <v>0</v>
      </c>
      <c r="M1174" s="862">
        <f t="shared" si="100"/>
        <v>0</v>
      </c>
    </row>
    <row r="1175" spans="1:13" hidden="1" outlineLevel="2" x14ac:dyDescent="0.25">
      <c r="A1175" s="2948"/>
      <c r="B1175" s="2948" t="s">
        <v>2046</v>
      </c>
      <c r="C1175" s="852" t="s">
        <v>1957</v>
      </c>
      <c r="D1175" s="852"/>
      <c r="E1175" s="852" t="s">
        <v>171</v>
      </c>
      <c r="F1175" s="862">
        <f t="shared" si="100"/>
        <v>0</v>
      </c>
      <c r="G1175" s="862">
        <f t="shared" si="100"/>
        <v>0</v>
      </c>
      <c r="H1175" s="862">
        <f t="shared" si="100"/>
        <v>0</v>
      </c>
      <c r="I1175" s="862">
        <f t="shared" si="100"/>
        <v>0</v>
      </c>
      <c r="J1175" s="862">
        <f t="shared" si="100"/>
        <v>0</v>
      </c>
      <c r="K1175" s="862">
        <f t="shared" si="100"/>
        <v>0</v>
      </c>
      <c r="L1175" s="862">
        <f t="shared" si="100"/>
        <v>0</v>
      </c>
      <c r="M1175" s="862">
        <f t="shared" si="100"/>
        <v>0</v>
      </c>
    </row>
    <row r="1176" spans="1:13" hidden="1" outlineLevel="2" x14ac:dyDescent="0.25">
      <c r="A1176" s="2948"/>
      <c r="C1176" s="863" t="s">
        <v>1685</v>
      </c>
      <c r="D1176" s="863"/>
      <c r="E1176" s="863" t="s">
        <v>171</v>
      </c>
      <c r="F1176" s="864">
        <f t="shared" si="100"/>
        <v>0</v>
      </c>
      <c r="G1176" s="864">
        <f t="shared" si="100"/>
        <v>0</v>
      </c>
      <c r="H1176" s="864">
        <f t="shared" si="100"/>
        <v>0</v>
      </c>
      <c r="I1176" s="864">
        <f t="shared" si="100"/>
        <v>0</v>
      </c>
      <c r="J1176" s="864">
        <f t="shared" si="100"/>
        <v>0</v>
      </c>
      <c r="K1176" s="864">
        <f t="shared" si="100"/>
        <v>0</v>
      </c>
      <c r="L1176" s="864">
        <f t="shared" si="100"/>
        <v>0</v>
      </c>
      <c r="M1176" s="864">
        <f t="shared" si="100"/>
        <v>0</v>
      </c>
    </row>
    <row r="1177" spans="1:13" hidden="1" outlineLevel="2" x14ac:dyDescent="0.25">
      <c r="A1177" s="2948"/>
      <c r="C1177" s="852"/>
      <c r="D1177" s="852"/>
      <c r="E1177" s="852"/>
      <c r="F1177" s="862">
        <f>SUM(F1170:F1176)</f>
        <v>8.7415886823641777</v>
      </c>
      <c r="G1177" s="862">
        <f t="shared" ref="G1177:L1177" si="101">SUM(G1170:G1176)</f>
        <v>9.7649832401355106</v>
      </c>
      <c r="H1177" s="862">
        <f t="shared" si="101"/>
        <v>11.2163483751096</v>
      </c>
      <c r="I1177" s="862">
        <f t="shared" si="101"/>
        <v>12.943297658376144</v>
      </c>
      <c r="J1177" s="862">
        <f t="shared" si="101"/>
        <v>14.962664808389219</v>
      </c>
      <c r="K1177" s="862">
        <f t="shared" si="101"/>
        <v>17.393743522472803</v>
      </c>
      <c r="L1177" s="862">
        <f t="shared" si="101"/>
        <v>20.345026992866377</v>
      </c>
      <c r="M1177" s="862">
        <f>SUM(M1170:M1176)</f>
        <v>23.483674932662602</v>
      </c>
    </row>
    <row r="1178" spans="1:13" hidden="1" outlineLevel="1" collapsed="1" x14ac:dyDescent="0.25">
      <c r="A1178" s="2948"/>
      <c r="C1178" s="852"/>
      <c r="D1178" s="852"/>
      <c r="E1178" s="852"/>
      <c r="F1178" s="862"/>
      <c r="G1178" s="862"/>
      <c r="H1178" s="862"/>
      <c r="I1178" s="862"/>
      <c r="J1178" s="862"/>
      <c r="K1178" s="862"/>
      <c r="L1178" s="862"/>
      <c r="M1178" s="862"/>
    </row>
    <row r="1179" spans="1:13" hidden="1" outlineLevel="1" x14ac:dyDescent="0.25">
      <c r="A1179" s="2948" t="s">
        <v>1972</v>
      </c>
      <c r="B1179" s="2948" t="s">
        <v>2047</v>
      </c>
      <c r="C1179" s="852"/>
      <c r="D1179" s="853"/>
      <c r="E1179" s="852"/>
      <c r="F1179" s="862"/>
      <c r="G1179" s="862"/>
      <c r="H1179" s="862"/>
      <c r="I1179" s="862"/>
      <c r="J1179" s="862"/>
      <c r="K1179" s="862"/>
      <c r="L1179" s="862"/>
      <c r="M1179" s="862"/>
    </row>
    <row r="1180" spans="1:13" hidden="1" outlineLevel="2" x14ac:dyDescent="0.25">
      <c r="A1180" s="2948"/>
      <c r="C1180" s="852"/>
      <c r="D1180" s="853"/>
      <c r="E1180" s="852"/>
      <c r="F1180" s="862"/>
      <c r="G1180" s="862"/>
      <c r="H1180" s="862"/>
      <c r="I1180" s="862"/>
      <c r="J1180" s="862"/>
      <c r="K1180" s="862"/>
      <c r="L1180" s="862"/>
      <c r="M1180" s="862"/>
    </row>
    <row r="1181" spans="1:13" hidden="1" outlineLevel="2" x14ac:dyDescent="0.25">
      <c r="A1181" s="2948"/>
      <c r="B1181" s="2948" t="s">
        <v>2048</v>
      </c>
      <c r="C1181" s="852"/>
      <c r="D1181" s="853"/>
      <c r="E1181" s="852"/>
      <c r="F1181" s="862"/>
      <c r="G1181" s="862"/>
      <c r="H1181" s="862"/>
      <c r="I1181" s="862"/>
      <c r="J1181" s="862"/>
      <c r="K1181" s="862"/>
      <c r="L1181" s="862"/>
      <c r="M1181" s="862"/>
    </row>
    <row r="1182" spans="1:13" hidden="1" outlineLevel="2" x14ac:dyDescent="0.25">
      <c r="A1182" s="2948"/>
      <c r="C1182" s="852"/>
      <c r="D1182" s="853"/>
      <c r="E1182" s="852"/>
      <c r="F1182" s="862"/>
      <c r="G1182" s="862"/>
      <c r="H1182" s="862"/>
      <c r="I1182" s="862"/>
      <c r="J1182" s="862"/>
      <c r="K1182" s="862"/>
      <c r="L1182" s="862"/>
      <c r="M1182" s="862"/>
    </row>
    <row r="1183" spans="1:13" hidden="1" outlineLevel="2" x14ac:dyDescent="0.25">
      <c r="A1183" s="2948"/>
      <c r="C1183" s="2949" t="s">
        <v>504</v>
      </c>
      <c r="D1183" s="2949" t="s">
        <v>498</v>
      </c>
      <c r="E1183" s="2949" t="s">
        <v>171</v>
      </c>
      <c r="F1183" s="862">
        <f>(F769)*(1-F177)</f>
        <v>2.4834058756716413</v>
      </c>
      <c r="G1183" s="862">
        <f t="shared" ref="G1183:M1183" si="102">(G769)*(1-G177)</f>
        <v>2.774142965947588</v>
      </c>
      <c r="H1183" s="862">
        <f t="shared" si="102"/>
        <v>3.1864626065652271</v>
      </c>
      <c r="I1183" s="862">
        <f t="shared" si="102"/>
        <v>3.6770731984023146</v>
      </c>
      <c r="J1183" s="862">
        <f t="shared" si="102"/>
        <v>4.2507570478378458</v>
      </c>
      <c r="K1183" s="862">
        <f t="shared" si="102"/>
        <v>4.9414044097934084</v>
      </c>
      <c r="L1183" s="862">
        <f t="shared" si="102"/>
        <v>5.7798372138824927</v>
      </c>
      <c r="M1183" s="862">
        <f t="shared" si="102"/>
        <v>6.6714985604155119</v>
      </c>
    </row>
    <row r="1184" spans="1:13" hidden="1" outlineLevel="2" x14ac:dyDescent="0.25">
      <c r="A1184" s="2948"/>
      <c r="C1184" s="2949" t="s">
        <v>2051</v>
      </c>
      <c r="D1184" s="2949" t="s">
        <v>498</v>
      </c>
      <c r="E1184" s="2949" t="s">
        <v>171</v>
      </c>
      <c r="F1184" s="862">
        <f>(F773)*(1-F177)</f>
        <v>5.3144885739373136</v>
      </c>
      <c r="G1184" s="862">
        <f t="shared" ref="G1184:M1184" si="103">(G773)*(1-G177)</f>
        <v>5.9366659471278398</v>
      </c>
      <c r="H1184" s="862">
        <f t="shared" si="103"/>
        <v>6.8190299780495875</v>
      </c>
      <c r="I1184" s="862">
        <f t="shared" si="103"/>
        <v>7.8689366445809545</v>
      </c>
      <c r="J1184" s="862">
        <f t="shared" si="103"/>
        <v>9.0966200823729917</v>
      </c>
      <c r="K1184" s="862">
        <f t="shared" si="103"/>
        <v>10.574605436957896</v>
      </c>
      <c r="L1184" s="862">
        <f t="shared" si="103"/>
        <v>12.368851637708536</v>
      </c>
      <c r="M1184" s="862">
        <f t="shared" si="103"/>
        <v>14.277006919289198</v>
      </c>
    </row>
    <row r="1185" spans="1:13" hidden="1" outlineLevel="2" x14ac:dyDescent="0.25">
      <c r="A1185" s="2948"/>
      <c r="C1185" s="852"/>
      <c r="D1185" s="853"/>
      <c r="E1185" s="852"/>
      <c r="F1185" s="862"/>
      <c r="G1185" s="862"/>
      <c r="H1185" s="862"/>
      <c r="I1185" s="862"/>
      <c r="J1185" s="862"/>
      <c r="K1185" s="862"/>
      <c r="L1185" s="862"/>
      <c r="M1185" s="862"/>
    </row>
    <row r="1186" spans="1:13" hidden="1" outlineLevel="2" x14ac:dyDescent="0.25">
      <c r="A1186" s="2948"/>
      <c r="C1186" s="2949"/>
      <c r="D1186" s="853"/>
      <c r="E1186" s="2949"/>
      <c r="F1186" s="862"/>
      <c r="G1186" s="862"/>
      <c r="H1186" s="862"/>
      <c r="I1186" s="862"/>
      <c r="J1186" s="862"/>
      <c r="K1186" s="862"/>
      <c r="L1186" s="862"/>
      <c r="M1186" s="862"/>
    </row>
    <row r="1187" spans="1:13" hidden="1" outlineLevel="1" collapsed="1" x14ac:dyDescent="0.25">
      <c r="C1187" s="852"/>
      <c r="D1187" s="853"/>
      <c r="E1187" s="852"/>
      <c r="F1187" s="862"/>
      <c r="G1187" s="862"/>
      <c r="H1187" s="862"/>
      <c r="I1187" s="862"/>
      <c r="J1187" s="862"/>
      <c r="K1187" s="862"/>
      <c r="L1187" s="862"/>
      <c r="M1187" s="862"/>
    </row>
    <row r="1188" spans="1:13" hidden="1" outlineLevel="1" x14ac:dyDescent="0.25">
      <c r="A1188" s="2948" t="s">
        <v>1972</v>
      </c>
      <c r="B1188" s="2948" t="s">
        <v>2050</v>
      </c>
      <c r="C1188" s="852"/>
      <c r="D1188" s="853"/>
      <c r="E1188" s="852"/>
      <c r="F1188" s="862"/>
      <c r="G1188" s="862"/>
      <c r="H1188" s="862"/>
      <c r="I1188" s="862"/>
      <c r="J1188" s="862"/>
      <c r="K1188" s="862"/>
      <c r="L1188" s="862"/>
      <c r="M1188" s="862"/>
    </row>
    <row r="1189" spans="1:13" hidden="1" outlineLevel="2" x14ac:dyDescent="0.25">
      <c r="C1189" s="852"/>
      <c r="D1189" s="853"/>
      <c r="E1189" s="852"/>
      <c r="F1189" s="862"/>
      <c r="G1189" s="862"/>
      <c r="H1189" s="862"/>
      <c r="I1189" s="862"/>
      <c r="J1189" s="862"/>
      <c r="K1189" s="862"/>
      <c r="L1189" s="862"/>
      <c r="M1189" s="862"/>
    </row>
    <row r="1190" spans="1:13" hidden="1" outlineLevel="2" x14ac:dyDescent="0.25">
      <c r="C1190" s="2949" t="s">
        <v>498</v>
      </c>
      <c r="D1190" s="853"/>
      <c r="E1190" s="2949" t="s">
        <v>171</v>
      </c>
      <c r="F1190" s="862">
        <f>F771*(1-F198)</f>
        <v>1.3907072903761191</v>
      </c>
      <c r="G1190" s="862">
        <f t="shared" ref="G1190:M1190" si="104">G771*(1-G198)</f>
        <v>1.5535200609306492</v>
      </c>
      <c r="H1190" s="862">
        <f t="shared" si="104"/>
        <v>1.784419059676527</v>
      </c>
      <c r="I1190" s="862">
        <f t="shared" si="104"/>
        <v>2.0591609911052959</v>
      </c>
      <c r="J1190" s="862">
        <f t="shared" si="104"/>
        <v>2.3804239467891932</v>
      </c>
      <c r="K1190" s="862">
        <f t="shared" si="104"/>
        <v>2.7671864694843085</v>
      </c>
      <c r="L1190" s="862">
        <f t="shared" si="104"/>
        <v>3.2367088397741952</v>
      </c>
      <c r="M1190" s="862">
        <f t="shared" si="104"/>
        <v>3.7360391938326862</v>
      </c>
    </row>
    <row r="1191" spans="1:13" hidden="1" outlineLevel="2" x14ac:dyDescent="0.25">
      <c r="C1191" s="852"/>
      <c r="D1191" s="852"/>
      <c r="E1191" s="852"/>
      <c r="F1191" s="862"/>
      <c r="G1191" s="862"/>
      <c r="H1191" s="862"/>
      <c r="I1191" s="862"/>
      <c r="J1191" s="862"/>
      <c r="K1191" s="862"/>
      <c r="L1191" s="862"/>
      <c r="M1191" s="862"/>
    </row>
    <row r="1192" spans="1:13" hidden="1" outlineLevel="1" collapsed="1" x14ac:dyDescent="0.25">
      <c r="C1192" s="852"/>
      <c r="D1192" s="852"/>
      <c r="E1192" s="852"/>
      <c r="F1192" s="862"/>
      <c r="G1192" s="862"/>
      <c r="H1192" s="862"/>
      <c r="I1192" s="862"/>
      <c r="J1192" s="862"/>
      <c r="K1192" s="862"/>
      <c r="L1192" s="862"/>
      <c r="M1192" s="862"/>
    </row>
    <row r="1193" spans="1:13" hidden="1" outlineLevel="1" x14ac:dyDescent="0.25">
      <c r="C1193" s="852"/>
      <c r="D1193" s="852"/>
      <c r="E1193" s="852"/>
      <c r="F1193" s="862"/>
      <c r="G1193" s="862"/>
      <c r="H1193" s="862"/>
      <c r="I1193" s="862"/>
      <c r="J1193" s="862"/>
      <c r="K1193" s="862"/>
      <c r="L1193" s="862"/>
      <c r="M1193" s="862"/>
    </row>
    <row r="1194" spans="1:13" collapsed="1" x14ac:dyDescent="0.25">
      <c r="C1194" s="852"/>
      <c r="D1194" s="852"/>
      <c r="E1194" s="852"/>
      <c r="F1194" s="862"/>
      <c r="G1194" s="862"/>
      <c r="H1194" s="862"/>
      <c r="I1194" s="862"/>
      <c r="J1194" s="862"/>
      <c r="K1194" s="862"/>
      <c r="L1194" s="862"/>
      <c r="M1194" s="862"/>
    </row>
    <row r="1195" spans="1:13" x14ac:dyDescent="0.25">
      <c r="A1195" s="853" t="s">
        <v>703</v>
      </c>
      <c r="B1195" s="853" t="s">
        <v>2063</v>
      </c>
    </row>
    <row r="1196" spans="1:13" hidden="1" outlineLevel="1" x14ac:dyDescent="0.25">
      <c r="A1196" s="853"/>
      <c r="B1196" s="853"/>
    </row>
    <row r="1197" spans="1:13" hidden="1" outlineLevel="1" x14ac:dyDescent="0.25">
      <c r="A1197" s="865" t="s">
        <v>2053</v>
      </c>
    </row>
    <row r="1198" spans="1:13" hidden="1" outlineLevel="1" x14ac:dyDescent="0.25">
      <c r="B1198" s="2948" t="s">
        <v>501</v>
      </c>
      <c r="D1198" s="751" t="str">
        <f t="shared" ref="D1198:D1203" si="105">D1142</f>
        <v>Biomasa (Leña)</v>
      </c>
      <c r="E1198" s="751" t="s">
        <v>171</v>
      </c>
      <c r="F1198" s="858">
        <f t="shared" ref="F1198:M1203" si="106">F1142</f>
        <v>11.534967431411745</v>
      </c>
      <c r="G1198" s="858">
        <f t="shared" si="106"/>
        <v>9.8579864214727912</v>
      </c>
      <c r="H1198" s="858">
        <f t="shared" si="106"/>
        <v>8.7505003293680321</v>
      </c>
      <c r="I1198" s="858">
        <f t="shared" si="106"/>
        <v>8.3045676575790282</v>
      </c>
      <c r="J1198" s="858">
        <f t="shared" si="106"/>
        <v>8.3749058612358613</v>
      </c>
      <c r="K1198" s="858">
        <f t="shared" si="106"/>
        <v>8.5979642890314381</v>
      </c>
      <c r="L1198" s="858">
        <f t="shared" si="106"/>
        <v>8.8234024814743535</v>
      </c>
      <c r="M1198" s="858">
        <f t="shared" si="106"/>
        <v>9.7944347599636945</v>
      </c>
    </row>
    <row r="1199" spans="1:13" hidden="1" outlineLevel="1" x14ac:dyDescent="0.25">
      <c r="D1199" s="751" t="str">
        <f t="shared" si="105"/>
        <v>Biomasa (Pellet)</v>
      </c>
      <c r="E1199" s="751" t="s">
        <v>171</v>
      </c>
      <c r="F1199" s="858">
        <f t="shared" si="106"/>
        <v>0</v>
      </c>
      <c r="G1199" s="858">
        <f t="shared" si="106"/>
        <v>0</v>
      </c>
      <c r="H1199" s="858">
        <f t="shared" si="106"/>
        <v>0</v>
      </c>
      <c r="I1199" s="858">
        <f t="shared" si="106"/>
        <v>0</v>
      </c>
      <c r="J1199" s="858">
        <f t="shared" si="106"/>
        <v>0</v>
      </c>
      <c r="K1199" s="858">
        <f t="shared" si="106"/>
        <v>0</v>
      </c>
      <c r="L1199" s="858">
        <f t="shared" si="106"/>
        <v>0</v>
      </c>
      <c r="M1199" s="858">
        <f t="shared" si="106"/>
        <v>0</v>
      </c>
    </row>
    <row r="1200" spans="1:13" hidden="1" outlineLevel="1" x14ac:dyDescent="0.25">
      <c r="D1200" s="751" t="str">
        <f t="shared" si="105"/>
        <v>GLP</v>
      </c>
      <c r="E1200" s="751" t="s">
        <v>171</v>
      </c>
      <c r="F1200" s="858">
        <f t="shared" si="106"/>
        <v>3.105811104360348</v>
      </c>
      <c r="G1200" s="858">
        <f t="shared" si="106"/>
        <v>4.6119912174937676</v>
      </c>
      <c r="H1200" s="858">
        <f t="shared" si="106"/>
        <v>6.4212137214646621</v>
      </c>
      <c r="I1200" s="858">
        <f t="shared" si="106"/>
        <v>8.2937318038252243</v>
      </c>
      <c r="J1200" s="858">
        <f t="shared" si="106"/>
        <v>10.276090933699463</v>
      </c>
      <c r="K1200" s="858">
        <f t="shared" si="106"/>
        <v>12.601130111894914</v>
      </c>
      <c r="L1200" s="858">
        <f t="shared" si="106"/>
        <v>15.49457512412463</v>
      </c>
      <c r="M1200" s="858">
        <f t="shared" si="106"/>
        <v>18.05382611156497</v>
      </c>
    </row>
    <row r="1201" spans="2:13" hidden="1" outlineLevel="1" x14ac:dyDescent="0.25">
      <c r="D1201" s="751" t="str">
        <f t="shared" si="105"/>
        <v>GN</v>
      </c>
      <c r="E1201" s="751" t="s">
        <v>171</v>
      </c>
      <c r="F1201" s="858">
        <f t="shared" si="106"/>
        <v>6.848547682578503</v>
      </c>
      <c r="G1201" s="858">
        <f t="shared" si="106"/>
        <v>8.0503756493228948</v>
      </c>
      <c r="H1201" s="858">
        <f t="shared" si="106"/>
        <v>9.3909901871301056</v>
      </c>
      <c r="I1201" s="858">
        <f t="shared" si="106"/>
        <v>10.806841966862432</v>
      </c>
      <c r="J1201" s="858">
        <f t="shared" si="106"/>
        <v>12.363222778478967</v>
      </c>
      <c r="K1201" s="858">
        <f t="shared" si="106"/>
        <v>14.232159040978319</v>
      </c>
      <c r="L1201" s="858">
        <f t="shared" si="106"/>
        <v>16.428919286016686</v>
      </c>
      <c r="M1201" s="858">
        <f t="shared" si="106"/>
        <v>18.98755175715268</v>
      </c>
    </row>
    <row r="1202" spans="2:13" hidden="1" outlineLevel="1" x14ac:dyDescent="0.25">
      <c r="D1202" s="751" t="str">
        <f t="shared" si="105"/>
        <v>Kerosene</v>
      </c>
      <c r="E1202" s="751" t="s">
        <v>171</v>
      </c>
      <c r="F1202" s="858">
        <f t="shared" si="106"/>
        <v>4.7526719834691171</v>
      </c>
      <c r="G1202" s="858">
        <f t="shared" si="106"/>
        <v>6.0440831201964089</v>
      </c>
      <c r="H1202" s="858">
        <f t="shared" si="106"/>
        <v>7.4953903387401244</v>
      </c>
      <c r="I1202" s="858">
        <f t="shared" si="106"/>
        <v>8.9838254459887565</v>
      </c>
      <c r="J1202" s="858">
        <f t="shared" si="106"/>
        <v>10.567443967668584</v>
      </c>
      <c r="K1202" s="858">
        <f t="shared" si="106"/>
        <v>12.433412149129659</v>
      </c>
      <c r="L1202" s="858">
        <f t="shared" si="106"/>
        <v>14.670750415346136</v>
      </c>
      <c r="M1202" s="858">
        <f t="shared" si="106"/>
        <v>17.009771427664695</v>
      </c>
    </row>
    <row r="1203" spans="2:13" hidden="1" outlineLevel="1" x14ac:dyDescent="0.25">
      <c r="D1203" s="751" t="str">
        <f t="shared" si="105"/>
        <v xml:space="preserve">Electricicidad  </v>
      </c>
      <c r="E1203" s="751" t="s">
        <v>171</v>
      </c>
      <c r="F1203" s="858">
        <f t="shared" si="106"/>
        <v>1.7211519582429609</v>
      </c>
      <c r="G1203" s="858">
        <f t="shared" si="106"/>
        <v>2.6724133880839731</v>
      </c>
      <c r="H1203" s="858">
        <f t="shared" si="106"/>
        <v>3.8214743732215291</v>
      </c>
      <c r="I1203" s="858">
        <f t="shared" si="106"/>
        <v>5.0148773397546131</v>
      </c>
      <c r="J1203" s="858">
        <f t="shared" si="106"/>
        <v>6.2818608175712418</v>
      </c>
      <c r="K1203" s="858">
        <f t="shared" si="106"/>
        <v>7.7755480632394276</v>
      </c>
      <c r="L1203" s="858">
        <f t="shared" si="106"/>
        <v>9.6633197213550499</v>
      </c>
      <c r="M1203" s="858">
        <f t="shared" si="106"/>
        <v>11.275489733932622</v>
      </c>
    </row>
    <row r="1204" spans="2:13" hidden="1" outlineLevel="1" x14ac:dyDescent="0.25">
      <c r="M1204" s="2886"/>
    </row>
    <row r="1205" spans="2:13" hidden="1" outlineLevel="1" x14ac:dyDescent="0.25">
      <c r="B1205" s="2948" t="s">
        <v>502</v>
      </c>
      <c r="D1205" s="751" t="str">
        <f t="shared" ref="D1205:D1211" si="107">C1170</f>
        <v>Leña</v>
      </c>
      <c r="E1205" s="751" t="s">
        <v>171</v>
      </c>
      <c r="F1205" s="859">
        <f t="shared" ref="F1205:M1211" si="108">F1170</f>
        <v>0</v>
      </c>
      <c r="G1205" s="859">
        <f t="shared" si="108"/>
        <v>0</v>
      </c>
      <c r="H1205" s="859">
        <f t="shared" si="108"/>
        <v>0</v>
      </c>
      <c r="I1205" s="859">
        <f t="shared" si="108"/>
        <v>0</v>
      </c>
      <c r="J1205" s="859">
        <f t="shared" si="108"/>
        <v>0</v>
      </c>
      <c r="K1205" s="859">
        <f t="shared" si="108"/>
        <v>0</v>
      </c>
      <c r="L1205" s="859">
        <f t="shared" si="108"/>
        <v>0</v>
      </c>
      <c r="M1205" s="859">
        <f t="shared" si="108"/>
        <v>0</v>
      </c>
    </row>
    <row r="1206" spans="2:13" hidden="1" outlineLevel="1" x14ac:dyDescent="0.25">
      <c r="D1206" s="751" t="str">
        <f t="shared" si="107"/>
        <v>GLP</v>
      </c>
      <c r="E1206" s="751" t="s">
        <v>171</v>
      </c>
      <c r="F1206" s="859">
        <f t="shared" si="108"/>
        <v>7.4684928452936008</v>
      </c>
      <c r="G1206" s="859">
        <f t="shared" si="108"/>
        <v>7.9013296787668228</v>
      </c>
      <c r="H1206" s="859">
        <f t="shared" si="108"/>
        <v>8.3985025606587325</v>
      </c>
      <c r="I1206" s="859">
        <f t="shared" si="108"/>
        <v>8.9635787830297033</v>
      </c>
      <c r="J1206" s="859">
        <f t="shared" si="108"/>
        <v>9.6147091525747452</v>
      </c>
      <c r="K1206" s="859">
        <f t="shared" si="108"/>
        <v>10.815012272429048</v>
      </c>
      <c r="L1206" s="859">
        <f t="shared" si="108"/>
        <v>12.639687103101449</v>
      </c>
      <c r="M1206" s="859">
        <f t="shared" si="108"/>
        <v>14.574845387074562</v>
      </c>
    </row>
    <row r="1207" spans="2:13" hidden="1" outlineLevel="1" x14ac:dyDescent="0.25">
      <c r="D1207" s="751" t="str">
        <f t="shared" si="107"/>
        <v>GN</v>
      </c>
      <c r="E1207" s="751" t="s">
        <v>171</v>
      </c>
      <c r="F1207" s="859">
        <f t="shared" si="108"/>
        <v>1.2730958370705776</v>
      </c>
      <c r="G1207" s="859">
        <f t="shared" si="108"/>
        <v>1.5707040641646235</v>
      </c>
      <c r="H1207" s="859">
        <f t="shared" si="108"/>
        <v>1.9624123117091756</v>
      </c>
      <c r="I1207" s="859">
        <f t="shared" si="108"/>
        <v>2.4042606843688974</v>
      </c>
      <c r="J1207" s="859">
        <f t="shared" si="108"/>
        <v>2.8524824190713209</v>
      </c>
      <c r="K1207" s="859">
        <f t="shared" si="108"/>
        <v>3.3666866128937762</v>
      </c>
      <c r="L1207" s="859">
        <f t="shared" si="108"/>
        <v>3.9516824095810801</v>
      </c>
      <c r="M1207" s="859">
        <f t="shared" si="108"/>
        <v>4.5800054663338994</v>
      </c>
    </row>
    <row r="1208" spans="2:13" hidden="1" outlineLevel="1" x14ac:dyDescent="0.25">
      <c r="D1208" s="751" t="str">
        <f t="shared" si="107"/>
        <v>Electricidad</v>
      </c>
      <c r="E1208" s="751" t="s">
        <v>171</v>
      </c>
      <c r="F1208" s="859">
        <f t="shared" si="108"/>
        <v>0</v>
      </c>
      <c r="G1208" s="859">
        <f t="shared" si="108"/>
        <v>0.29294949720406543</v>
      </c>
      <c r="H1208" s="859">
        <f t="shared" si="108"/>
        <v>0.85543350274169194</v>
      </c>
      <c r="I1208" s="859">
        <f t="shared" si="108"/>
        <v>1.5754581909775442</v>
      </c>
      <c r="J1208" s="859">
        <f t="shared" si="108"/>
        <v>2.4954732367431536</v>
      </c>
      <c r="K1208" s="859">
        <f t="shared" si="108"/>
        <v>3.2120446371499778</v>
      </c>
      <c r="L1208" s="859">
        <f t="shared" si="108"/>
        <v>3.7536574801838465</v>
      </c>
      <c r="M1208" s="859">
        <f t="shared" si="108"/>
        <v>4.3288240792541401</v>
      </c>
    </row>
    <row r="1209" spans="2:13" hidden="1" outlineLevel="1" x14ac:dyDescent="0.25">
      <c r="D1209" s="751" t="str">
        <f t="shared" si="107"/>
        <v>Hidrógeno</v>
      </c>
      <c r="E1209" s="751" t="s">
        <v>171</v>
      </c>
      <c r="F1209" s="859">
        <f t="shared" si="108"/>
        <v>0</v>
      </c>
      <c r="G1209" s="859">
        <f t="shared" si="108"/>
        <v>0</v>
      </c>
      <c r="H1209" s="859">
        <f t="shared" si="108"/>
        <v>0</v>
      </c>
      <c r="I1209" s="859">
        <f t="shared" si="108"/>
        <v>0</v>
      </c>
      <c r="J1209" s="859">
        <f t="shared" si="108"/>
        <v>0</v>
      </c>
      <c r="K1209" s="859">
        <f t="shared" si="108"/>
        <v>0</v>
      </c>
      <c r="L1209" s="859">
        <f t="shared" si="108"/>
        <v>0</v>
      </c>
      <c r="M1209" s="859">
        <f t="shared" si="108"/>
        <v>0</v>
      </c>
    </row>
    <row r="1210" spans="2:13" hidden="1" outlineLevel="1" x14ac:dyDescent="0.25">
      <c r="D1210" s="751" t="str">
        <f t="shared" si="107"/>
        <v>Energía Solar</v>
      </c>
      <c r="E1210" s="751" t="s">
        <v>171</v>
      </c>
      <c r="F1210" s="859">
        <f t="shared" si="108"/>
        <v>0</v>
      </c>
      <c r="G1210" s="859">
        <f t="shared" si="108"/>
        <v>0</v>
      </c>
      <c r="H1210" s="859">
        <f t="shared" si="108"/>
        <v>0</v>
      </c>
      <c r="I1210" s="859">
        <f t="shared" si="108"/>
        <v>0</v>
      </c>
      <c r="J1210" s="859">
        <f t="shared" si="108"/>
        <v>0</v>
      </c>
      <c r="K1210" s="859">
        <f t="shared" si="108"/>
        <v>0</v>
      </c>
      <c r="L1210" s="859">
        <f t="shared" si="108"/>
        <v>0</v>
      </c>
      <c r="M1210" s="859">
        <f t="shared" si="108"/>
        <v>0</v>
      </c>
    </row>
    <row r="1211" spans="2:13" hidden="1" outlineLevel="1" x14ac:dyDescent="0.25">
      <c r="D1211" s="751" t="str">
        <f t="shared" si="107"/>
        <v>Biogas</v>
      </c>
      <c r="E1211" s="751" t="s">
        <v>171</v>
      </c>
      <c r="F1211" s="859">
        <f t="shared" si="108"/>
        <v>0</v>
      </c>
      <c r="G1211" s="859">
        <f t="shared" si="108"/>
        <v>0</v>
      </c>
      <c r="H1211" s="859">
        <f t="shared" si="108"/>
        <v>0</v>
      </c>
      <c r="I1211" s="859">
        <f t="shared" si="108"/>
        <v>0</v>
      </c>
      <c r="J1211" s="859">
        <f t="shared" si="108"/>
        <v>0</v>
      </c>
      <c r="K1211" s="859">
        <f t="shared" si="108"/>
        <v>0</v>
      </c>
      <c r="L1211" s="859">
        <f t="shared" si="108"/>
        <v>0</v>
      </c>
      <c r="M1211" s="859">
        <f t="shared" si="108"/>
        <v>0</v>
      </c>
    </row>
    <row r="1212" spans="2:13" hidden="1" outlineLevel="1" x14ac:dyDescent="0.25"/>
    <row r="1213" spans="2:13" hidden="1" outlineLevel="1" x14ac:dyDescent="0.25">
      <c r="B1213" s="2948" t="s">
        <v>503</v>
      </c>
      <c r="D1213" s="751" t="str">
        <f t="shared" ref="D1213:M1213" si="109">D764</f>
        <v>GLP</v>
      </c>
      <c r="E1213" s="751" t="str">
        <f t="shared" si="109"/>
        <v>TWh</v>
      </c>
      <c r="F1213" s="859">
        <f t="shared" si="109"/>
        <v>2.0810972094048497</v>
      </c>
      <c r="G1213" s="859">
        <f t="shared" si="109"/>
        <v>2.3247352522922702</v>
      </c>
      <c r="H1213" s="859">
        <f t="shared" si="109"/>
        <v>2.6702596234303995</v>
      </c>
      <c r="I1213" s="859">
        <f t="shared" si="109"/>
        <v>3.0813919089656787</v>
      </c>
      <c r="J1213" s="859">
        <f t="shared" si="109"/>
        <v>3.5621396875856455</v>
      </c>
      <c r="K1213" s="859">
        <f t="shared" si="109"/>
        <v>4.1409030350226903</v>
      </c>
      <c r="L1213" s="859">
        <f t="shared" si="109"/>
        <v>4.8435107665886692</v>
      </c>
      <c r="M1213" s="859">
        <f t="shared" si="109"/>
        <v>5.5907240828582792</v>
      </c>
    </row>
    <row r="1214" spans="2:13" hidden="1" outlineLevel="1" x14ac:dyDescent="0.25">
      <c r="D1214" s="751" t="str">
        <f t="shared" ref="D1214:M1214" si="110">D765</f>
        <v>GN</v>
      </c>
      <c r="E1214" s="751" t="str">
        <f t="shared" si="110"/>
        <v>TWh</v>
      </c>
      <c r="F1214" s="859">
        <f t="shared" si="110"/>
        <v>1.6166099225425707</v>
      </c>
      <c r="G1214" s="859">
        <f t="shared" si="110"/>
        <v>1.805869547638745</v>
      </c>
      <c r="H1214" s="859">
        <f t="shared" si="110"/>
        <v>2.0742751388518164</v>
      </c>
      <c r="I1214" s="859">
        <f t="shared" si="110"/>
        <v>2.3936453870412375</v>
      </c>
      <c r="J1214" s="859">
        <f t="shared" si="110"/>
        <v>2.7670934055408614</v>
      </c>
      <c r="K1214" s="859">
        <f t="shared" si="110"/>
        <v>3.2166805589147542</v>
      </c>
      <c r="L1214" s="859">
        <f t="shared" si="110"/>
        <v>3.7624708398163929</v>
      </c>
      <c r="M1214" s="859">
        <f t="shared" si="110"/>
        <v>4.3429110306342151</v>
      </c>
    </row>
    <row r="1215" spans="2:13" hidden="1" outlineLevel="1" x14ac:dyDescent="0.25">
      <c r="D1215" s="751" t="str">
        <f t="shared" ref="D1215:M1215" si="111">D766</f>
        <v>Electricidad</v>
      </c>
      <c r="E1215" s="751" t="str">
        <f t="shared" si="111"/>
        <v>TWh</v>
      </c>
      <c r="F1215" s="859">
        <f t="shared" si="111"/>
        <v>7.7069799073473569E-2</v>
      </c>
      <c r="G1215" s="859">
        <f t="shared" si="111"/>
        <v>8.6092508309318291E-2</v>
      </c>
      <c r="H1215" s="859">
        <f t="shared" si="111"/>
        <v>9.8888399696928864E-2</v>
      </c>
      <c r="I1215" s="859">
        <f t="shared" si="111"/>
        <v>0.11411396556460088</v>
      </c>
      <c r="J1215" s="859">
        <f t="shared" si="111"/>
        <v>0.13191761958701698</v>
      </c>
      <c r="K1215" s="859">
        <f t="shared" si="111"/>
        <v>0.15335110894853515</v>
      </c>
      <c r="L1215" s="859">
        <f t="shared" si="111"/>
        <v>0.17937095869632505</v>
      </c>
      <c r="M1215" s="859">
        <f t="shared" si="111"/>
        <v>0.20704269833908373</v>
      </c>
    </row>
    <row r="1216" spans="2:13" hidden="1" outlineLevel="1" x14ac:dyDescent="0.25"/>
    <row r="1217" spans="1:13" hidden="1" outlineLevel="1" x14ac:dyDescent="0.25">
      <c r="B1217" s="2948" t="s">
        <v>504</v>
      </c>
      <c r="D1217" s="2948" t="s">
        <v>498</v>
      </c>
      <c r="E1217" s="2948" t="s">
        <v>171</v>
      </c>
      <c r="F1217" s="859">
        <f t="shared" ref="F1217:M1217" si="112">F1183</f>
        <v>2.4834058756716413</v>
      </c>
      <c r="G1217" s="859">
        <f t="shared" si="112"/>
        <v>2.774142965947588</v>
      </c>
      <c r="H1217" s="859">
        <f t="shared" si="112"/>
        <v>3.1864626065652271</v>
      </c>
      <c r="I1217" s="859">
        <f t="shared" si="112"/>
        <v>3.6770731984023146</v>
      </c>
      <c r="J1217" s="859">
        <f t="shared" si="112"/>
        <v>4.2507570478378458</v>
      </c>
      <c r="K1217" s="859">
        <f t="shared" si="112"/>
        <v>4.9414044097934084</v>
      </c>
      <c r="L1217" s="859">
        <f t="shared" si="112"/>
        <v>5.7798372138824927</v>
      </c>
      <c r="M1217" s="859">
        <f t="shared" si="112"/>
        <v>6.6714985604155119</v>
      </c>
    </row>
    <row r="1218" spans="1:13" hidden="1" outlineLevel="1" x14ac:dyDescent="0.25"/>
    <row r="1219" spans="1:13" hidden="1" outlineLevel="1" x14ac:dyDescent="0.25">
      <c r="B1219" s="2948" t="s">
        <v>2052</v>
      </c>
      <c r="D1219" s="2948" t="s">
        <v>498</v>
      </c>
      <c r="E1219" s="2948" t="s">
        <v>171</v>
      </c>
      <c r="F1219" s="859">
        <f t="shared" ref="F1219:M1219" si="113">F1184</f>
        <v>5.3144885739373136</v>
      </c>
      <c r="G1219" s="859">
        <f t="shared" si="113"/>
        <v>5.9366659471278398</v>
      </c>
      <c r="H1219" s="859">
        <f t="shared" si="113"/>
        <v>6.8190299780495875</v>
      </c>
      <c r="I1219" s="859">
        <f t="shared" si="113"/>
        <v>7.8689366445809545</v>
      </c>
      <c r="J1219" s="859">
        <f t="shared" si="113"/>
        <v>9.0966200823729917</v>
      </c>
      <c r="K1219" s="859">
        <f t="shared" si="113"/>
        <v>10.574605436957896</v>
      </c>
      <c r="L1219" s="859">
        <f t="shared" si="113"/>
        <v>12.368851637708536</v>
      </c>
      <c r="M1219" s="859">
        <f t="shared" si="113"/>
        <v>14.277006919289198</v>
      </c>
    </row>
    <row r="1220" spans="1:13" hidden="1" outlineLevel="1" x14ac:dyDescent="0.25"/>
    <row r="1221" spans="1:13" hidden="1" outlineLevel="1" x14ac:dyDescent="0.25">
      <c r="B1221" s="2948" t="s">
        <v>505</v>
      </c>
      <c r="D1221" s="2948" t="s">
        <v>498</v>
      </c>
      <c r="E1221" s="2948" t="s">
        <v>171</v>
      </c>
      <c r="F1221" s="859">
        <f t="shared" ref="F1221:M1221" si="114">F1190</f>
        <v>1.3907072903761191</v>
      </c>
      <c r="G1221" s="859">
        <f t="shared" si="114"/>
        <v>1.5535200609306492</v>
      </c>
      <c r="H1221" s="859">
        <f t="shared" si="114"/>
        <v>1.784419059676527</v>
      </c>
      <c r="I1221" s="859">
        <f t="shared" si="114"/>
        <v>2.0591609911052959</v>
      </c>
      <c r="J1221" s="859">
        <f t="shared" si="114"/>
        <v>2.3804239467891932</v>
      </c>
      <c r="K1221" s="859">
        <f t="shared" si="114"/>
        <v>2.7671864694843085</v>
      </c>
      <c r="L1221" s="859">
        <f t="shared" si="114"/>
        <v>3.2367088397741952</v>
      </c>
      <c r="M1221" s="859">
        <f t="shared" si="114"/>
        <v>3.7360391938326862</v>
      </c>
    </row>
    <row r="1222" spans="1:13" hidden="1" outlineLevel="1" x14ac:dyDescent="0.25"/>
    <row r="1223" spans="1:13" hidden="1" outlineLevel="1" x14ac:dyDescent="0.25">
      <c r="E1223" s="2948" t="s">
        <v>118</v>
      </c>
      <c r="F1223" s="858">
        <f>SUM(F1198:F1221)</f>
        <v>49.668117513432819</v>
      </c>
      <c r="G1223" s="858">
        <f t="shared" ref="G1223:M1223" si="115">SUM(G1198:G1221)</f>
        <v>55.48285931895176</v>
      </c>
      <c r="H1223" s="858">
        <f t="shared" si="115"/>
        <v>63.729252131304534</v>
      </c>
      <c r="I1223" s="858">
        <f t="shared" si="115"/>
        <v>73.541463968046287</v>
      </c>
      <c r="J1223" s="858">
        <f t="shared" si="115"/>
        <v>85.015140956756895</v>
      </c>
      <c r="K1223" s="858">
        <f t="shared" si="115"/>
        <v>98.828088195868162</v>
      </c>
      <c r="L1223" s="858">
        <f t="shared" si="115"/>
        <v>115.59674427764982</v>
      </c>
      <c r="M1223" s="858">
        <f t="shared" si="115"/>
        <v>133.42997120831021</v>
      </c>
    </row>
    <row r="1224" spans="1:13" hidden="1" outlineLevel="1" x14ac:dyDescent="0.25"/>
    <row r="1225" spans="1:13" hidden="1" outlineLevel="1" x14ac:dyDescent="0.25">
      <c r="A1225" s="865" t="s">
        <v>2054</v>
      </c>
    </row>
    <row r="1226" spans="1:13" hidden="1" outlineLevel="1" x14ac:dyDescent="0.25">
      <c r="C1226" s="2957" t="s">
        <v>1741</v>
      </c>
      <c r="D1226" s="751" t="str">
        <f t="shared" ref="D1226:D1231" si="116">D1142</f>
        <v>Biomasa (Leña)</v>
      </c>
      <c r="E1226" s="2948" t="s">
        <v>171</v>
      </c>
      <c r="F1226" s="859">
        <f>F1198+F1205</f>
        <v>11.534967431411745</v>
      </c>
      <c r="G1226" s="859">
        <f t="shared" ref="G1226:M1226" si="117">G1198+G1205</f>
        <v>9.8579864214727912</v>
      </c>
      <c r="H1226" s="859">
        <f t="shared" si="117"/>
        <v>8.7505003293680321</v>
      </c>
      <c r="I1226" s="859">
        <f t="shared" si="117"/>
        <v>8.3045676575790282</v>
      </c>
      <c r="J1226" s="859">
        <f t="shared" si="117"/>
        <v>8.3749058612358613</v>
      </c>
      <c r="K1226" s="859">
        <f t="shared" si="117"/>
        <v>8.5979642890314381</v>
      </c>
      <c r="L1226" s="859">
        <f t="shared" si="117"/>
        <v>8.8234024814743535</v>
      </c>
      <c r="M1226" s="859">
        <f t="shared" si="117"/>
        <v>9.7944347599636945</v>
      </c>
    </row>
    <row r="1227" spans="1:13" hidden="1" outlineLevel="1" x14ac:dyDescent="0.25">
      <c r="C1227" s="2957" t="s">
        <v>1741</v>
      </c>
      <c r="D1227" s="751" t="str">
        <f t="shared" si="116"/>
        <v>Biomasa (Pellet)</v>
      </c>
      <c r="E1227" s="2948" t="s">
        <v>171</v>
      </c>
      <c r="F1227" s="858">
        <f>F1199</f>
        <v>0</v>
      </c>
      <c r="G1227" s="858">
        <f t="shared" ref="G1227:M1227" si="118">G1199</f>
        <v>0</v>
      </c>
      <c r="H1227" s="858">
        <f t="shared" si="118"/>
        <v>0</v>
      </c>
      <c r="I1227" s="858">
        <f t="shared" si="118"/>
        <v>0</v>
      </c>
      <c r="J1227" s="858">
        <f t="shared" si="118"/>
        <v>0</v>
      </c>
      <c r="K1227" s="858">
        <f t="shared" si="118"/>
        <v>0</v>
      </c>
      <c r="L1227" s="858">
        <f t="shared" si="118"/>
        <v>0</v>
      </c>
      <c r="M1227" s="858">
        <f t="shared" si="118"/>
        <v>0</v>
      </c>
    </row>
    <row r="1228" spans="1:13" hidden="1" outlineLevel="1" x14ac:dyDescent="0.25">
      <c r="C1228" s="2957" t="s">
        <v>1735</v>
      </c>
      <c r="D1228" s="751" t="str">
        <f t="shared" si="116"/>
        <v>GLP</v>
      </c>
      <c r="E1228" s="2948" t="s">
        <v>171</v>
      </c>
      <c r="F1228" s="859">
        <f>F1200+F1206+F1213</f>
        <v>12.655401159058798</v>
      </c>
      <c r="G1228" s="859">
        <f t="shared" ref="G1228:M1228" si="119">G1200+G1206+G1213</f>
        <v>14.838056148552862</v>
      </c>
      <c r="H1228" s="859">
        <f t="shared" si="119"/>
        <v>17.489975905553795</v>
      </c>
      <c r="I1228" s="859">
        <f t="shared" si="119"/>
        <v>20.338702495820606</v>
      </c>
      <c r="J1228" s="859">
        <f t="shared" si="119"/>
        <v>23.452939773859853</v>
      </c>
      <c r="K1228" s="859">
        <f t="shared" si="119"/>
        <v>27.55704541934665</v>
      </c>
      <c r="L1228" s="859">
        <f t="shared" si="119"/>
        <v>32.977772993814753</v>
      </c>
      <c r="M1228" s="859">
        <f t="shared" si="119"/>
        <v>38.219395581497814</v>
      </c>
    </row>
    <row r="1229" spans="1:13" hidden="1" outlineLevel="1" x14ac:dyDescent="0.25">
      <c r="C1229" s="2957" t="s">
        <v>1732</v>
      </c>
      <c r="D1229" s="751" t="str">
        <f t="shared" si="116"/>
        <v>GN</v>
      </c>
      <c r="E1229" s="2948" t="s">
        <v>171</v>
      </c>
      <c r="F1229" s="859">
        <f>F1201+F1207+F1214</f>
        <v>9.7382534421916507</v>
      </c>
      <c r="G1229" s="859">
        <f t="shared" ref="G1229:M1229" si="120">G1201+G1207+G1214</f>
        <v>11.426949261126262</v>
      </c>
      <c r="H1229" s="859">
        <f t="shared" si="120"/>
        <v>13.427677637691097</v>
      </c>
      <c r="I1229" s="859">
        <f t="shared" si="120"/>
        <v>15.604748038272566</v>
      </c>
      <c r="J1229" s="859">
        <f t="shared" si="120"/>
        <v>17.982798603091151</v>
      </c>
      <c r="K1229" s="859">
        <f t="shared" si="120"/>
        <v>20.81552621278685</v>
      </c>
      <c r="L1229" s="859">
        <f t="shared" si="120"/>
        <v>24.143072535414163</v>
      </c>
      <c r="M1229" s="859">
        <f t="shared" si="120"/>
        <v>27.910468254120797</v>
      </c>
    </row>
    <row r="1230" spans="1:13" hidden="1" outlineLevel="1" x14ac:dyDescent="0.25">
      <c r="C1230" s="2957" t="s">
        <v>1727</v>
      </c>
      <c r="D1230" s="751" t="str">
        <f t="shared" si="116"/>
        <v>Kerosene</v>
      </c>
      <c r="E1230" s="2948" t="s">
        <v>171</v>
      </c>
      <c r="F1230" s="858">
        <f>F1202</f>
        <v>4.7526719834691171</v>
      </c>
      <c r="G1230" s="858">
        <f t="shared" ref="G1230:M1230" si="121">G1202</f>
        <v>6.0440831201964089</v>
      </c>
      <c r="H1230" s="858">
        <f t="shared" si="121"/>
        <v>7.4953903387401244</v>
      </c>
      <c r="I1230" s="858">
        <f t="shared" si="121"/>
        <v>8.9838254459887565</v>
      </c>
      <c r="J1230" s="858">
        <f t="shared" si="121"/>
        <v>10.567443967668584</v>
      </c>
      <c r="K1230" s="858">
        <f t="shared" si="121"/>
        <v>12.433412149129659</v>
      </c>
      <c r="L1230" s="858">
        <f t="shared" si="121"/>
        <v>14.670750415346136</v>
      </c>
      <c r="M1230" s="858">
        <f t="shared" si="121"/>
        <v>17.009771427664695</v>
      </c>
    </row>
    <row r="1231" spans="1:13" hidden="1" outlineLevel="1" x14ac:dyDescent="0.25">
      <c r="C1231" s="2961" t="s">
        <v>149</v>
      </c>
      <c r="D1231" s="751" t="str">
        <f t="shared" si="116"/>
        <v xml:space="preserve">Electricicidad  </v>
      </c>
      <c r="E1231" s="2948" t="s">
        <v>171</v>
      </c>
      <c r="F1231" s="859">
        <f>F1203+F1208+F1215+F1217+F1219+F1221</f>
        <v>10.986823497301508</v>
      </c>
      <c r="G1231" s="859">
        <f t="shared" ref="G1231:M1231" si="122">G1203+G1208+G1215+G1217+G1219+G1221</f>
        <v>13.315784367603435</v>
      </c>
      <c r="H1231" s="859">
        <f t="shared" si="122"/>
        <v>16.565707919951492</v>
      </c>
      <c r="I1231" s="859">
        <f t="shared" si="122"/>
        <v>20.309620330385322</v>
      </c>
      <c r="J1231" s="859">
        <f t="shared" si="122"/>
        <v>24.637052750901443</v>
      </c>
      <c r="K1231" s="859">
        <f t="shared" si="122"/>
        <v>29.424140125573551</v>
      </c>
      <c r="L1231" s="859">
        <f t="shared" si="122"/>
        <v>34.981745851600444</v>
      </c>
      <c r="M1231" s="859">
        <f t="shared" si="122"/>
        <v>40.495901185063246</v>
      </c>
    </row>
    <row r="1232" spans="1:13" hidden="1" outlineLevel="1" x14ac:dyDescent="0.25">
      <c r="D1232" s="865"/>
      <c r="E1232" s="865" t="s">
        <v>118</v>
      </c>
      <c r="F1232" s="875">
        <f t="shared" ref="F1232:M1232" si="123">SUM(F1226:F1231)</f>
        <v>49.668117513432811</v>
      </c>
      <c r="G1232" s="875">
        <f t="shared" si="123"/>
        <v>55.48285931895176</v>
      </c>
      <c r="H1232" s="875">
        <f t="shared" si="123"/>
        <v>63.729252131304541</v>
      </c>
      <c r="I1232" s="875">
        <f t="shared" si="123"/>
        <v>73.541463968046287</v>
      </c>
      <c r="J1232" s="875">
        <f t="shared" si="123"/>
        <v>85.015140956756895</v>
      </c>
      <c r="K1232" s="875">
        <f t="shared" si="123"/>
        <v>98.828088195868162</v>
      </c>
      <c r="L1232" s="875">
        <f t="shared" si="123"/>
        <v>115.59674427764983</v>
      </c>
      <c r="M1232" s="875">
        <f t="shared" si="123"/>
        <v>133.42997120831023</v>
      </c>
    </row>
    <row r="1233" spans="1:13" collapsed="1" x14ac:dyDescent="0.25"/>
    <row r="1234" spans="1:13" s="3307" customFormat="1" x14ac:dyDescent="0.25">
      <c r="A1234" s="3306" t="s">
        <v>704</v>
      </c>
      <c r="B1234" s="3306" t="s">
        <v>525</v>
      </c>
    </row>
    <row r="1235" spans="1:13" hidden="1" outlineLevel="1" x14ac:dyDescent="0.25">
      <c r="B1235" s="751" t="s">
        <v>434</v>
      </c>
      <c r="E1235" s="2948"/>
      <c r="F1235" s="858"/>
      <c r="G1235" s="858"/>
      <c r="H1235" s="858"/>
      <c r="I1235" s="858"/>
      <c r="J1235" s="858"/>
      <c r="K1235" s="858"/>
      <c r="L1235" s="858"/>
      <c r="M1235" s="858"/>
    </row>
    <row r="1236" spans="1:13" hidden="1" outlineLevel="1" x14ac:dyDescent="0.25">
      <c r="B1236" s="751" t="s">
        <v>1894</v>
      </c>
      <c r="C1236" s="2957" t="s">
        <v>956</v>
      </c>
      <c r="E1236" s="2948"/>
      <c r="F1236" s="858"/>
      <c r="G1236" s="858"/>
      <c r="H1236" s="858"/>
      <c r="I1236" s="858"/>
      <c r="J1236" s="858"/>
      <c r="K1236" s="858"/>
      <c r="L1236" s="858"/>
      <c r="M1236" s="858"/>
    </row>
    <row r="1237" spans="1:13" hidden="1" outlineLevel="1" x14ac:dyDescent="0.25">
      <c r="E1237" s="2948"/>
      <c r="F1237" s="858"/>
      <c r="G1237" s="858"/>
      <c r="H1237" s="858"/>
      <c r="I1237" s="858"/>
      <c r="J1237" s="858"/>
      <c r="K1237" s="858"/>
      <c r="L1237" s="858"/>
      <c r="M1237" s="858"/>
    </row>
    <row r="1238" spans="1:13" hidden="1" outlineLevel="1" x14ac:dyDescent="0.25">
      <c r="B1238" s="751" t="s">
        <v>398</v>
      </c>
      <c r="E1238" s="2948"/>
      <c r="F1238" s="858"/>
      <c r="G1238" s="858"/>
      <c r="H1238" s="858"/>
      <c r="I1238" s="858"/>
      <c r="J1238" s="858"/>
      <c r="K1238" s="858"/>
      <c r="L1238" s="858"/>
      <c r="M1238" s="858"/>
    </row>
    <row r="1239" spans="1:13" hidden="1" outlineLevel="1" x14ac:dyDescent="0.25">
      <c r="B1239" s="2957" t="s">
        <v>1741</v>
      </c>
      <c r="C1239" s="2689" t="str">
        <f>CONCATENATE(B1239,"_",$C$1236)</f>
        <v>V.058_CPR</v>
      </c>
      <c r="D1239" s="2957" t="s">
        <v>331</v>
      </c>
      <c r="E1239" s="2948" t="s">
        <v>1895</v>
      </c>
      <c r="F1239" s="1012">
        <f>VLOOKUP($C1239,Constantes!$G$11:$P$120,8,0)*(F1226+F1227)</f>
        <v>0</v>
      </c>
      <c r="G1239" s="1012">
        <f>VLOOKUP($C1239,Constantes!$G$11:$P$120,8,0)*(G1226+G1227)</f>
        <v>0</v>
      </c>
      <c r="H1239" s="1012">
        <f>VLOOKUP($C1239,Constantes!$G$11:$P$120,8,0)*(H1226+H1227)</f>
        <v>0</v>
      </c>
      <c r="I1239" s="1012">
        <f>VLOOKUP($C1239,Constantes!$G$11:$P$120,8,0)*(I1226+I1227)</f>
        <v>0</v>
      </c>
      <c r="J1239" s="1012">
        <f>VLOOKUP($C1239,Constantes!$G$11:$P$120,8,0)*(J1226+J1227)</f>
        <v>0</v>
      </c>
      <c r="K1239" s="1012">
        <f>VLOOKUP($C1239,Constantes!$G$11:$P$120,8,0)*(K1226+K1227)</f>
        <v>0</v>
      </c>
      <c r="L1239" s="1012">
        <f>VLOOKUP($C1239,Constantes!$G$11:$P$120,8,0)*(L1226+L1227)</f>
        <v>0</v>
      </c>
      <c r="M1239" s="1012">
        <f>VLOOKUP($C1239,Constantes!$G$11:$P$120,8,0)*(M1226+M1227)</f>
        <v>0</v>
      </c>
    </row>
    <row r="1240" spans="1:13" hidden="1" outlineLevel="1" x14ac:dyDescent="0.25">
      <c r="B1240" s="2957" t="s">
        <v>1732</v>
      </c>
      <c r="C1240" s="2689" t="str">
        <f>CONCATENATE(B1240,"_",$C$1236)</f>
        <v>V.051_CPR</v>
      </c>
      <c r="D1240" s="2957" t="s">
        <v>491</v>
      </c>
      <c r="E1240" s="2948" t="s">
        <v>1895</v>
      </c>
      <c r="F1240" s="1012">
        <f>VLOOKUP($C1240,Constantes!$G$11:$P$120,8,0)*(F1229)</f>
        <v>1.966580338757925</v>
      </c>
      <c r="G1240" s="1012">
        <f>VLOOKUP($C1240,Constantes!$G$11:$P$120,8,0)*(G1229)</f>
        <v>2.3076020646118911</v>
      </c>
      <c r="H1240" s="1012">
        <f>VLOOKUP($C1240,Constantes!$G$11:$P$120,8,0)*(H1229)</f>
        <v>2.711636844760513</v>
      </c>
      <c r="I1240" s="1012">
        <f>VLOOKUP($C1240,Constantes!$G$11:$P$120,8,0)*(I1229)</f>
        <v>3.1512828111846325</v>
      </c>
      <c r="J1240" s="1012">
        <f>VLOOKUP($C1240,Constantes!$G$11:$P$120,8,0)*(J1229)</f>
        <v>3.6315154846415174</v>
      </c>
      <c r="K1240" s="1012">
        <f>VLOOKUP($C1240,Constantes!$G$11:$P$120,8,0)*(K1229)</f>
        <v>4.2035673885433482</v>
      </c>
      <c r="L1240" s="1012">
        <f>VLOOKUP($C1240,Constantes!$G$11:$P$120,8,0)*(L1229)</f>
        <v>4.875544885661391</v>
      </c>
      <c r="M1240" s="1012">
        <f>VLOOKUP($C1240,Constantes!$G$11:$P$120,8,0)*(M1229)</f>
        <v>5.6363472608213705</v>
      </c>
    </row>
    <row r="1241" spans="1:13" hidden="1" outlineLevel="1" x14ac:dyDescent="0.25">
      <c r="B1241" s="2957" t="s">
        <v>1735</v>
      </c>
      <c r="C1241" s="2689" t="str">
        <f>CONCATENATE(B1241,"_",$C$1236)</f>
        <v>V.052_CPR</v>
      </c>
      <c r="D1241" s="2957" t="s">
        <v>495</v>
      </c>
      <c r="E1241" s="2948" t="s">
        <v>1895</v>
      </c>
      <c r="F1241" s="1012">
        <f>VLOOKUP($C1241,Constantes!$G$11:$P$120,8,0)*(F1228)</f>
        <v>2.8745709616148676</v>
      </c>
      <c r="G1241" s="1012">
        <f>VLOOKUP($C1241,Constantes!$G$11:$P$120,8,0)*(G1228)</f>
        <v>3.3703432072486885</v>
      </c>
      <c r="H1241" s="1012">
        <f>VLOOKUP($C1241,Constantes!$G$11:$P$120,8,0)*(H1228)</f>
        <v>3.9727051102967765</v>
      </c>
      <c r="I1241" s="1012">
        <f>VLOOKUP($C1241,Constantes!$G$11:$P$120,8,0)*(I1228)</f>
        <v>4.6197700773444215</v>
      </c>
      <c r="J1241" s="1012">
        <f>VLOOKUP($C1241,Constantes!$G$11:$P$120,8,0)*(J1228)</f>
        <v>5.327143627539801</v>
      </c>
      <c r="K1241" s="1012">
        <f>VLOOKUP($C1241,Constantes!$G$11:$P$120,8,0)*(K1228)</f>
        <v>6.2593576888436777</v>
      </c>
      <c r="L1241" s="1012">
        <f>VLOOKUP($C1241,Constantes!$G$11:$P$120,8,0)*(L1228)</f>
        <v>7.49063166274194</v>
      </c>
      <c r="M1241" s="1012">
        <f>VLOOKUP($C1241,Constantes!$G$11:$P$120,8,0)*(M1228)</f>
        <v>8.6812234024208497</v>
      </c>
    </row>
    <row r="1242" spans="1:13" hidden="1" outlineLevel="1" x14ac:dyDescent="0.25">
      <c r="B1242" s="2957" t="s">
        <v>1727</v>
      </c>
      <c r="C1242" s="2689" t="str">
        <f>CONCATENATE(B1242,"_",$C$1236)</f>
        <v>V.045_CPR</v>
      </c>
      <c r="D1242" s="2957" t="s">
        <v>494</v>
      </c>
      <c r="E1242" s="2948" t="s">
        <v>1895</v>
      </c>
      <c r="F1242" s="1012">
        <f>VLOOKUP($C1242,Constantes!$G$11:$P$120,8,0)*(F1230)</f>
        <v>1.2232399093522028</v>
      </c>
      <c r="G1242" s="1012">
        <f>VLOOKUP($C1242,Constantes!$G$11:$P$120,8,0)*(G1230)</f>
        <v>1.5556225453349293</v>
      </c>
      <c r="H1242" s="1012">
        <f>VLOOKUP($C1242,Constantes!$G$11:$P$120,8,0)*(H1230)</f>
        <v>1.9291591404604715</v>
      </c>
      <c r="I1242" s="1012">
        <f>VLOOKUP($C1242,Constantes!$G$11:$P$120,8,0)*(I1230)</f>
        <v>2.3122516896623333</v>
      </c>
      <c r="J1242" s="1012">
        <f>VLOOKUP($C1242,Constantes!$G$11:$P$120,8,0)*(J1230)</f>
        <v>2.7198424898787037</v>
      </c>
      <c r="K1242" s="1012">
        <f>VLOOKUP($C1242,Constantes!$G$11:$P$120,8,0)*(K1230)</f>
        <v>3.2001042788436673</v>
      </c>
      <c r="L1242" s="1012">
        <f>VLOOKUP($C1242,Constantes!$G$11:$P$120,8,0)*(L1230)</f>
        <v>3.7759490809836174</v>
      </c>
      <c r="M1242" s="1012">
        <f>VLOOKUP($C1242,Constantes!$G$11:$P$120,8,0)*(M1230)</f>
        <v>4.3779649282866302</v>
      </c>
    </row>
    <row r="1243" spans="1:13" hidden="1" outlineLevel="1" x14ac:dyDescent="0.25">
      <c r="E1243" s="2948"/>
      <c r="F1243"/>
      <c r="G1243"/>
      <c r="H1243" s="858"/>
      <c r="I1243" s="858"/>
      <c r="J1243" s="858"/>
      <c r="K1243" s="858"/>
      <c r="L1243" s="858"/>
      <c r="M1243" s="858"/>
    </row>
    <row r="1244" spans="1:13" hidden="1" outlineLevel="1" x14ac:dyDescent="0.25">
      <c r="B1244" s="751" t="s">
        <v>400</v>
      </c>
      <c r="E1244" s="2948"/>
      <c r="F1244"/>
      <c r="G1244"/>
      <c r="H1244" s="858"/>
      <c r="I1244" s="858"/>
      <c r="J1244" s="858"/>
      <c r="K1244" s="858"/>
      <c r="L1244" s="858"/>
      <c r="M1244" s="858"/>
    </row>
    <row r="1245" spans="1:13" hidden="1" outlineLevel="1" x14ac:dyDescent="0.25">
      <c r="B1245" s="2957" t="s">
        <v>1741</v>
      </c>
      <c r="C1245" s="2689" t="str">
        <f>CONCATENATE(B1245,"_",$C$1236)</f>
        <v>V.058_CPR</v>
      </c>
      <c r="D1245" s="2957" t="s">
        <v>331</v>
      </c>
      <c r="E1245" s="2948" t="s">
        <v>1895</v>
      </c>
      <c r="F1245">
        <f>VLOOKUP($C1245,Constantes!$G$11:$P$120,9,0)*(F1226+F1227)</f>
        <v>0</v>
      </c>
      <c r="G1245">
        <f>VLOOKUP($C1245,Constantes!$G$11:$P$120,9,0)*(G1226+G1227)</f>
        <v>0</v>
      </c>
      <c r="H1245">
        <f>VLOOKUP($C1245,Constantes!$G$11:$P$120,9,0)*(H1226+H1227)</f>
        <v>0</v>
      </c>
      <c r="I1245">
        <f>VLOOKUP($C1245,Constantes!$G$11:$P$120,9,0)*(I1226+I1227)</f>
        <v>0</v>
      </c>
      <c r="J1245">
        <f>VLOOKUP($C1245,Constantes!$G$11:$P$120,9,0)*(J1226+J1227)</f>
        <v>0</v>
      </c>
      <c r="K1245">
        <f>VLOOKUP($C1245,Constantes!$G$11:$P$120,9,0)*(K1226+K1227)</f>
        <v>0</v>
      </c>
      <c r="L1245">
        <f>VLOOKUP($C1245,Constantes!$G$11:$P$120,9,0)*(L1226+L1227)</f>
        <v>0</v>
      </c>
      <c r="M1245">
        <f>VLOOKUP($C1245,Constantes!$G$11:$P$120,9,0)*(M1226+M1227)</f>
        <v>0</v>
      </c>
    </row>
    <row r="1246" spans="1:13" hidden="1" outlineLevel="1" x14ac:dyDescent="0.25">
      <c r="B1246" s="2957" t="s">
        <v>1732</v>
      </c>
      <c r="C1246" s="2689" t="str">
        <f>CONCATENATE(B1246,"_",$C$1236)</f>
        <v>V.051_CPR</v>
      </c>
      <c r="D1246" s="2957" t="s">
        <v>491</v>
      </c>
      <c r="E1246" s="2948" t="s">
        <v>1895</v>
      </c>
      <c r="F1246" s="1012">
        <f>VLOOKUP($C1246,Constantes!$G$11:$P$120,9,0)*(F1229)</f>
        <v>3.6807653399212503E-3</v>
      </c>
      <c r="G1246" s="1012">
        <f>VLOOKUP($C1246,Constantes!$G$11:$P$120,9,0)*(G1229)</f>
        <v>4.3190412974019347E-3</v>
      </c>
      <c r="H1246" s="1012">
        <f>VLOOKUP($C1246,Constantes!$G$11:$P$120,9,0)*(H1229)</f>
        <v>5.0752561265571105E-3</v>
      </c>
      <c r="I1246" s="1012">
        <f>VLOOKUP($C1246,Constantes!$G$11:$P$120,9,0)*(I1229)</f>
        <v>5.8981229086343392E-3</v>
      </c>
      <c r="J1246" s="1012">
        <f>VLOOKUP($C1246,Constantes!$G$11:$P$120,9,0)*(J1229)</f>
        <v>6.796954115639204E-3</v>
      </c>
      <c r="K1246" s="1012">
        <f>VLOOKUP($C1246,Constantes!$G$11:$P$120,9,0)*(K1229)</f>
        <v>7.8676394972736468E-3</v>
      </c>
      <c r="L1246" s="1012">
        <f>VLOOKUP($C1246,Constantes!$G$11:$P$120,9,0)*(L1229)</f>
        <v>9.1253513902753314E-3</v>
      </c>
      <c r="M1246" s="1012">
        <f>VLOOKUP($C1246,Constantes!$G$11:$P$120,9,0)*(M1229)</f>
        <v>1.0549313055013261E-2</v>
      </c>
    </row>
    <row r="1247" spans="1:13" hidden="1" outlineLevel="1" x14ac:dyDescent="0.25">
      <c r="B1247" s="2957" t="s">
        <v>1735</v>
      </c>
      <c r="C1247" s="2689" t="str">
        <f>CONCATENATE(B1247,"_",$C$1236)</f>
        <v>V.052_CPR</v>
      </c>
      <c r="D1247" s="2957" t="s">
        <v>495</v>
      </c>
      <c r="E1247" s="751" t="s">
        <v>1895</v>
      </c>
      <c r="F1247" s="1012">
        <f>VLOOKUP($C1247,Constantes!$G$11:$P$120,9,0)*(F1228)</f>
        <v>4.7833589694066727E-3</v>
      </c>
      <c r="G1247" s="1012">
        <f>VLOOKUP($C1247,Constantes!$G$11:$P$120,9,0)*(G1228)</f>
        <v>5.6083365572284034E-3</v>
      </c>
      <c r="H1247" s="1012">
        <f>VLOOKUP($C1247,Constantes!$G$11:$P$120,9,0)*(H1228)</f>
        <v>6.6106820377363155E-3</v>
      </c>
      <c r="I1247" s="1012">
        <f>VLOOKUP($C1247,Constantes!$G$11:$P$120,9,0)*(I1228)</f>
        <v>7.6874145502561688E-3</v>
      </c>
      <c r="J1247" s="1012">
        <f>VLOOKUP($C1247,Constantes!$G$11:$P$120,9,0)*(J1228)</f>
        <v>8.8645020743530756E-3</v>
      </c>
      <c r="K1247" s="1012">
        <f>VLOOKUP($C1247,Constantes!$G$11:$P$120,9,0)*(K1228)</f>
        <v>1.0415729910120224E-2</v>
      </c>
      <c r="L1247" s="1012">
        <f>VLOOKUP($C1247,Constantes!$G$11:$P$120,9,0)*(L1228)</f>
        <v>1.246460102358009E-2</v>
      </c>
      <c r="M1247" s="1012">
        <f>VLOOKUP($C1247,Constantes!$G$11:$P$120,9,0)*(M1228)</f>
        <v>1.4445775867736755E-2</v>
      </c>
    </row>
    <row r="1248" spans="1:13" hidden="1" outlineLevel="1" x14ac:dyDescent="0.25">
      <c r="B1248" s="2957" t="s">
        <v>1727</v>
      </c>
      <c r="C1248" s="2689" t="str">
        <f>CONCATENATE(B1248,"_",$C$1236)</f>
        <v>V.045_CPR</v>
      </c>
      <c r="D1248" s="2957" t="s">
        <v>494</v>
      </c>
      <c r="E1248" s="2948" t="s">
        <v>1895</v>
      </c>
      <c r="F1248" s="1012">
        <f>VLOOKUP($C1248,Constantes!$G$11:$P$120,9,0)*(F1230)</f>
        <v>3.592732600894581E-3</v>
      </c>
      <c r="G1248" s="1012">
        <f>VLOOKUP($C1248,Constantes!$G$11:$P$120,9,0)*(G1230)</f>
        <v>4.568961321962728E-3</v>
      </c>
      <c r="H1248" s="1012">
        <f>VLOOKUP($C1248,Constantes!$G$11:$P$120,9,0)*(H1230)</f>
        <v>5.6660618111426427E-3</v>
      </c>
      <c r="I1248" s="1012">
        <f>VLOOKUP($C1248,Constantes!$G$11:$P$120,9,0)*(I1230)</f>
        <v>6.7912287388683908E-3</v>
      </c>
      <c r="J1248" s="1012">
        <f>VLOOKUP($C1248,Constantes!$G$11:$P$120,9,0)*(J1230)</f>
        <v>7.9883485716717162E-3</v>
      </c>
      <c r="K1248" s="1012">
        <f>VLOOKUP($C1248,Constantes!$G$11:$P$120,9,0)*(K1230)</f>
        <v>9.3989076721282521E-3</v>
      </c>
      <c r="L1248" s="1012">
        <f>VLOOKUP($C1248,Constantes!$G$11:$P$120,9,0)*(L1230)</f>
        <v>1.109020009799384E-2</v>
      </c>
      <c r="M1248" s="1012">
        <f>VLOOKUP($C1248,Constantes!$G$11:$P$120,9,0)*(M1230)</f>
        <v>1.2858358530632059E-2</v>
      </c>
    </row>
    <row r="1249" spans="2:16" hidden="1" outlineLevel="1" x14ac:dyDescent="0.25">
      <c r="F1249"/>
      <c r="G1249"/>
    </row>
    <row r="1250" spans="2:16" hidden="1" outlineLevel="1" x14ac:dyDescent="0.25">
      <c r="B1250" s="751" t="s">
        <v>401</v>
      </c>
    </row>
    <row r="1251" spans="2:16" hidden="1" outlineLevel="1" x14ac:dyDescent="0.25">
      <c r="B1251" s="2957" t="s">
        <v>1741</v>
      </c>
      <c r="C1251" s="2689" t="str">
        <f>CONCATENATE(B1251,"_",$C$1236)</f>
        <v>V.058_CPR</v>
      </c>
      <c r="D1251" s="2957" t="s">
        <v>331</v>
      </c>
      <c r="E1251" s="751" t="s">
        <v>1895</v>
      </c>
      <c r="F1251">
        <f>VLOOKUP($C1251,Constantes!$G$11:$P$120,10,0)*(F1226+F1227)</f>
        <v>0</v>
      </c>
      <c r="G1251">
        <f>VLOOKUP($C1251,Constantes!$G$11:$P$120,10,0)*(G1226+G1227)</f>
        <v>0</v>
      </c>
      <c r="H1251">
        <f>VLOOKUP($C1251,Constantes!$G$11:$P$120,10,0)*(H1226+H1227)</f>
        <v>0</v>
      </c>
      <c r="I1251">
        <f>VLOOKUP($C1251,Constantes!$G$11:$P$120,10,0)*(I1226+I1227)</f>
        <v>0</v>
      </c>
      <c r="J1251">
        <f>VLOOKUP($C1251,Constantes!$G$11:$P$120,10,0)*(J1226+J1227)</f>
        <v>0</v>
      </c>
      <c r="K1251">
        <f>VLOOKUP($C1251,Constantes!$G$11:$P$120,10,0)*(K1226+K1227)</f>
        <v>0</v>
      </c>
      <c r="L1251">
        <f>VLOOKUP($C1251,Constantes!$G$11:$P$120,10,0)*(L1226+L1227)</f>
        <v>0</v>
      </c>
      <c r="M1251">
        <f>VLOOKUP($C1251,Constantes!$G$11:$P$120,10,0)*(M1226+M1227)</f>
        <v>0</v>
      </c>
    </row>
    <row r="1252" spans="2:16" hidden="1" outlineLevel="1" x14ac:dyDescent="0.25">
      <c r="B1252" s="2957" t="s">
        <v>1732</v>
      </c>
      <c r="C1252" s="2689" t="str">
        <f>CONCATENATE(B1252,"_",$C$1236)</f>
        <v>V.051_CPR</v>
      </c>
      <c r="D1252" s="2957" t="s">
        <v>491</v>
      </c>
      <c r="E1252" s="751" t="s">
        <v>1895</v>
      </c>
      <c r="F1252" s="1012">
        <f>VLOOKUP($C1252,Constantes!$G$11:$P$120,10,0)*(F1229)</f>
        <v>1.0867021479767501E-3</v>
      </c>
      <c r="G1252" s="1012">
        <f>VLOOKUP($C1252,Constantes!$G$11:$P$120,10,0)*(G1229)</f>
        <v>1.2751455258996189E-3</v>
      </c>
      <c r="H1252" s="1012">
        <f>VLOOKUP($C1252,Constantes!$G$11:$P$120,10,0)*(H1229)</f>
        <v>1.4984089516501945E-3</v>
      </c>
      <c r="I1252" s="1012">
        <f>VLOOKUP($C1252,Constantes!$G$11:$P$120,10,0)*(I1229)</f>
        <v>1.7413505730253765E-3</v>
      </c>
      <c r="J1252" s="1012">
        <f>VLOOKUP($C1252,Constantes!$G$11:$P$120,10,0)*(J1229)</f>
        <v>2.0067197865220507E-3</v>
      </c>
      <c r="K1252" s="1012">
        <f>VLOOKUP($C1252,Constantes!$G$11:$P$120,10,0)*(K1229)</f>
        <v>2.322826899195077E-3</v>
      </c>
      <c r="L1252" s="1012">
        <f>VLOOKUP($C1252,Constantes!$G$11:$P$120,10,0)*(L1229)</f>
        <v>2.6941513628431931E-3</v>
      </c>
      <c r="M1252" s="1012">
        <f>VLOOKUP($C1252,Constantes!$G$11:$P$120,10,0)*(M1229)</f>
        <v>3.1145590924324864E-3</v>
      </c>
    </row>
    <row r="1253" spans="2:16" hidden="1" outlineLevel="1" x14ac:dyDescent="0.25">
      <c r="B1253" s="2957" t="s">
        <v>1735</v>
      </c>
      <c r="C1253" s="2689" t="str">
        <f>CONCATENATE(B1253,"_",$C$1236)</f>
        <v>V.052_CPR</v>
      </c>
      <c r="D1253" s="2957" t="s">
        <v>495</v>
      </c>
      <c r="E1253" s="751" t="s">
        <v>1895</v>
      </c>
      <c r="F1253" s="1012">
        <f>VLOOKUP($C1253,Constantes!$G$11:$P$120,10,0)*(F1228)</f>
        <v>1.4122297909676845E-3</v>
      </c>
      <c r="G1253" s="1012">
        <f>VLOOKUP($C1253,Constantes!$G$11:$P$120,10,0)*(G1228)</f>
        <v>1.6557946026102906E-3</v>
      </c>
      <c r="H1253" s="1012">
        <f>VLOOKUP($C1253,Constantes!$G$11:$P$120,10,0)*(H1228)</f>
        <v>1.95172517304596E-3</v>
      </c>
      <c r="I1253" s="1012">
        <f>VLOOKUP($C1253,Constantes!$G$11:$P$120,10,0)*(I1228)</f>
        <v>2.2696176291232498E-3</v>
      </c>
      <c r="J1253" s="1012">
        <f>VLOOKUP($C1253,Constantes!$G$11:$P$120,10,0)*(J1228)</f>
        <v>2.6171387076661464E-3</v>
      </c>
      <c r="K1253" s="1012">
        <f>VLOOKUP($C1253,Constantes!$G$11:$P$120,10,0)*(K1228)</f>
        <v>3.0751202591783522E-3</v>
      </c>
      <c r="L1253" s="1012">
        <f>VLOOKUP($C1253,Constantes!$G$11:$P$120,10,0)*(L1228)</f>
        <v>3.6800250641045983E-3</v>
      </c>
      <c r="M1253" s="1012">
        <f>VLOOKUP($C1253,Constantes!$G$11:$P$120,10,0)*(M1228)</f>
        <v>4.2649433514270422E-3</v>
      </c>
    </row>
    <row r="1254" spans="2:16" hidden="1" outlineLevel="1" x14ac:dyDescent="0.25">
      <c r="B1254" s="2957" t="s">
        <v>1727</v>
      </c>
      <c r="C1254" s="2689" t="str">
        <f>CONCATENATE(B1254,"_",$C$1236)</f>
        <v>V.045_CPR</v>
      </c>
      <c r="D1254" s="2957" t="s">
        <v>494</v>
      </c>
      <c r="E1254" s="2948" t="s">
        <v>1895</v>
      </c>
      <c r="F1254" s="1012">
        <f>VLOOKUP($C1254,Constantes!$G$11:$P$120,10,0)*(F1230)</f>
        <v>3.1821345893637723E-3</v>
      </c>
      <c r="G1254" s="1012">
        <f>VLOOKUP($C1254,Constantes!$G$11:$P$120,10,0)*(G1230)</f>
        <v>4.0467943137384166E-3</v>
      </c>
      <c r="H1254" s="1012">
        <f>VLOOKUP($C1254,Constantes!$G$11:$P$120,10,0)*(H1230)</f>
        <v>5.0185118898691981E-3</v>
      </c>
      <c r="I1254" s="1012">
        <f>VLOOKUP($C1254,Constantes!$G$11:$P$120,10,0)*(I1230)</f>
        <v>6.0150883115691464E-3</v>
      </c>
      <c r="J1254" s="1012">
        <f>VLOOKUP($C1254,Constantes!$G$11:$P$120,10,0)*(J1230)</f>
        <v>7.0753944491949491E-3</v>
      </c>
      <c r="K1254" s="1012">
        <f>VLOOKUP($C1254,Constantes!$G$11:$P$120,10,0)*(K1230)</f>
        <v>8.3247467953135954E-3</v>
      </c>
      <c r="L1254" s="1012">
        <f>VLOOKUP($C1254,Constantes!$G$11:$P$120,10,0)*(L1230)</f>
        <v>9.8227486582231158E-3</v>
      </c>
      <c r="M1254" s="1012">
        <f>VLOOKUP($C1254,Constantes!$G$11:$P$120,10,0)*(M1230)</f>
        <v>1.1388831841416968E-2</v>
      </c>
    </row>
    <row r="1255" spans="2:16" hidden="1" outlineLevel="1" x14ac:dyDescent="0.25"/>
    <row r="1256" spans="2:16" hidden="1" outlineLevel="1" x14ac:dyDescent="0.25">
      <c r="C1256" s="751" t="s">
        <v>118</v>
      </c>
      <c r="D1256" s="751" t="s">
        <v>398</v>
      </c>
      <c r="E1256" s="751" t="s">
        <v>1895</v>
      </c>
      <c r="F1256" s="859">
        <f t="shared" ref="F1256:M1256" si="124">SUM(F1239:F1242)</f>
        <v>6.0643912097249952</v>
      </c>
      <c r="G1256" s="859">
        <f t="shared" si="124"/>
        <v>7.2335678171955085</v>
      </c>
      <c r="H1256" s="859">
        <f t="shared" si="124"/>
        <v>8.613501095517762</v>
      </c>
      <c r="I1256" s="859">
        <f t="shared" si="124"/>
        <v>10.083304578191388</v>
      </c>
      <c r="J1256" s="859">
        <f t="shared" si="124"/>
        <v>11.678501602060024</v>
      </c>
      <c r="K1256" s="859">
        <f t="shared" si="124"/>
        <v>13.663029356230695</v>
      </c>
      <c r="L1256" s="859">
        <f t="shared" si="124"/>
        <v>16.14212562938695</v>
      </c>
      <c r="M1256" s="859">
        <f t="shared" si="124"/>
        <v>18.695535591528852</v>
      </c>
    </row>
    <row r="1257" spans="2:16" hidden="1" outlineLevel="1" x14ac:dyDescent="0.25">
      <c r="D1257" s="751" t="s">
        <v>400</v>
      </c>
      <c r="E1257" s="751" t="s">
        <v>1895</v>
      </c>
      <c r="F1257" s="859">
        <f t="shared" ref="F1257:M1257" si="125">SUM(F1245:F1248)</f>
        <v>1.2056856910222503E-2</v>
      </c>
      <c r="G1257" s="859">
        <f t="shared" si="125"/>
        <v>1.4496339176593067E-2</v>
      </c>
      <c r="H1257" s="859">
        <f t="shared" si="125"/>
        <v>1.7351999975436069E-2</v>
      </c>
      <c r="I1257" s="859">
        <f t="shared" si="125"/>
        <v>2.0376766197758897E-2</v>
      </c>
      <c r="J1257" s="859">
        <f t="shared" si="125"/>
        <v>2.3649804761663996E-2</v>
      </c>
      <c r="K1257" s="859">
        <f t="shared" si="125"/>
        <v>2.7682277079522123E-2</v>
      </c>
      <c r="L1257" s="859">
        <f t="shared" si="125"/>
        <v>3.2680152511849261E-2</v>
      </c>
      <c r="M1257" s="859">
        <f t="shared" si="125"/>
        <v>3.7853447453382073E-2</v>
      </c>
    </row>
    <row r="1258" spans="2:16" hidden="1" outlineLevel="1" x14ac:dyDescent="0.25">
      <c r="D1258" s="751" t="s">
        <v>401</v>
      </c>
      <c r="E1258" s="751" t="s">
        <v>1895</v>
      </c>
      <c r="F1258" s="859">
        <f t="shared" ref="F1258:M1258" si="126">SUM(F1251:F1254)</f>
        <v>5.6810665283082065E-3</v>
      </c>
      <c r="G1258" s="859">
        <f t="shared" si="126"/>
        <v>6.9777344422483258E-3</v>
      </c>
      <c r="H1258" s="859">
        <f t="shared" si="126"/>
        <v>8.4686460145653522E-3</v>
      </c>
      <c r="I1258" s="859">
        <f t="shared" si="126"/>
        <v>1.0026056513717772E-2</v>
      </c>
      <c r="J1258" s="859">
        <f t="shared" si="126"/>
        <v>1.1699252943383146E-2</v>
      </c>
      <c r="K1258" s="859">
        <f t="shared" si="126"/>
        <v>1.3722693953687025E-2</v>
      </c>
      <c r="L1258" s="859">
        <f t="shared" si="126"/>
        <v>1.6196925085170906E-2</v>
      </c>
      <c r="M1258" s="859">
        <f t="shared" si="126"/>
        <v>1.8768334285276494E-2</v>
      </c>
    </row>
    <row r="1259" spans="2:16" hidden="1" outlineLevel="1" x14ac:dyDescent="0.25"/>
    <row r="1260" spans="2:16" hidden="1" outlineLevel="1" x14ac:dyDescent="0.25">
      <c r="D1260" s="751" t="s">
        <v>118</v>
      </c>
      <c r="E1260" s="751" t="s">
        <v>1895</v>
      </c>
      <c r="F1260" s="859">
        <f t="shared" ref="F1260:M1260" si="127">SUM(F1256:F1258)</f>
        <v>6.0821291331635257</v>
      </c>
      <c r="G1260" s="859">
        <f t="shared" si="127"/>
        <v>7.2550418908143497</v>
      </c>
      <c r="H1260" s="859">
        <f t="shared" si="127"/>
        <v>8.6393217415077626</v>
      </c>
      <c r="I1260" s="859">
        <f t="shared" si="127"/>
        <v>10.113707400902864</v>
      </c>
      <c r="J1260" s="859">
        <f t="shared" si="127"/>
        <v>11.713850659765072</v>
      </c>
      <c r="K1260" s="859">
        <f t="shared" si="127"/>
        <v>13.704434327263904</v>
      </c>
      <c r="L1260" s="859">
        <f t="shared" si="127"/>
        <v>16.191002706983969</v>
      </c>
      <c r="M1260" s="859">
        <f t="shared" si="127"/>
        <v>18.752157373267512</v>
      </c>
    </row>
    <row r="1261" spans="2:16" hidden="1" outlineLevel="1" x14ac:dyDescent="0.25">
      <c r="J1261" s="1936"/>
      <c r="K1261" s="1936"/>
    </row>
    <row r="1262" spans="2:16" collapsed="1" x14ac:dyDescent="0.25"/>
    <row r="1263" spans="2:16" x14ac:dyDescent="0.25">
      <c r="C1263" s="855"/>
      <c r="D1263" s="854"/>
      <c r="E1263" s="873"/>
      <c r="G1263" s="856"/>
      <c r="H1263" s="874"/>
      <c r="I1263" s="874"/>
      <c r="J1263" s="874"/>
      <c r="K1263" s="874"/>
      <c r="L1263" s="874"/>
      <c r="M1263" s="874"/>
      <c r="N1263" s="874"/>
    </row>
    <row r="1264" spans="2:16" ht="15.75" x14ac:dyDescent="0.25">
      <c r="B1264" s="752" t="s">
        <v>181</v>
      </c>
      <c r="C1264" s="753"/>
      <c r="D1264" s="753"/>
      <c r="E1264" s="753"/>
      <c r="F1264" s="753"/>
      <c r="G1264" s="753"/>
      <c r="H1264" s="753"/>
      <c r="I1264" s="753"/>
      <c r="J1264" s="753"/>
      <c r="K1264" s="753"/>
      <c r="L1264" s="753"/>
      <c r="M1264" s="753"/>
      <c r="N1264" s="753"/>
      <c r="O1264" s="753"/>
      <c r="P1264" s="876"/>
    </row>
    <row r="1265" spans="2:16" x14ac:dyDescent="0.25">
      <c r="B1265" s="754"/>
      <c r="C1265" s="755"/>
      <c r="D1265" s="755"/>
      <c r="E1265" s="755"/>
      <c r="F1265" s="755"/>
      <c r="G1265" s="755"/>
      <c r="H1265" s="755"/>
      <c r="I1265" s="755"/>
      <c r="J1265" s="755"/>
      <c r="K1265" s="755"/>
      <c r="L1265" s="755"/>
      <c r="M1265" s="755"/>
      <c r="N1265" s="755"/>
      <c r="O1265" s="755"/>
      <c r="P1265" s="877"/>
    </row>
    <row r="1266" spans="2:16" x14ac:dyDescent="0.25">
      <c r="B1266" s="754"/>
      <c r="C1266" s="878" t="s">
        <v>241</v>
      </c>
      <c r="D1266" s="755"/>
      <c r="E1266" s="879"/>
      <c r="F1266" s="755"/>
      <c r="G1266" s="879"/>
      <c r="H1266" s="755"/>
      <c r="I1266" s="755"/>
      <c r="J1266" s="755"/>
      <c r="K1266" s="755"/>
      <c r="L1266" s="755"/>
      <c r="M1266" s="755"/>
      <c r="N1266" s="755"/>
      <c r="O1266" s="879"/>
      <c r="P1266" s="877"/>
    </row>
    <row r="1267" spans="2:16" x14ac:dyDescent="0.25">
      <c r="B1267" s="754"/>
      <c r="C1267" s="755"/>
      <c r="D1267" s="755"/>
      <c r="E1267" s="755"/>
      <c r="F1267" s="755"/>
      <c r="G1267" s="755"/>
      <c r="H1267" s="755"/>
      <c r="I1267" s="755"/>
      <c r="J1267" s="755"/>
      <c r="K1267" s="755"/>
      <c r="L1267" s="755"/>
      <c r="M1267" s="755"/>
      <c r="N1267" s="755"/>
      <c r="O1267" s="755"/>
      <c r="P1267" s="877"/>
    </row>
    <row r="1268" spans="2:16" ht="15.75" x14ac:dyDescent="0.25">
      <c r="B1268" s="880"/>
      <c r="C1268" s="1240" t="s">
        <v>146</v>
      </c>
      <c r="D1268" s="1240" t="s">
        <v>242</v>
      </c>
      <c r="E1268" s="1240" t="s">
        <v>8</v>
      </c>
      <c r="F1268" s="1240" t="s">
        <v>16</v>
      </c>
      <c r="G1268" s="1240" t="s">
        <v>17</v>
      </c>
      <c r="H1268" s="1240" t="s">
        <v>18</v>
      </c>
      <c r="I1268" s="1240" t="s">
        <v>19</v>
      </c>
      <c r="J1268" s="1240" t="s">
        <v>20</v>
      </c>
      <c r="K1268" s="1240" t="s">
        <v>21</v>
      </c>
      <c r="L1268" s="1240" t="s">
        <v>22</v>
      </c>
      <c r="M1268" s="1240" t="s">
        <v>23</v>
      </c>
      <c r="N1268" s="881"/>
      <c r="O1268" s="881"/>
      <c r="P1268" s="877"/>
    </row>
    <row r="1269" spans="2:16" ht="15.75" x14ac:dyDescent="0.25">
      <c r="B1269" s="880"/>
      <c r="C1269" s="882" t="s">
        <v>454</v>
      </c>
      <c r="D1269" s="73" t="str">
        <f>INDEX(Vectors[Descripción], MATCH(C1269,Vectors[Código],FALSE))</f>
        <v>Climatización</v>
      </c>
      <c r="E1269" s="1921"/>
      <c r="F1269" s="883">
        <f t="shared" ref="F1269:M1269" si="128">SUM(F1198:F1203)</f>
        <v>27.963150160062671</v>
      </c>
      <c r="G1269" s="883">
        <f t="shared" si="128"/>
        <v>31.236849796569835</v>
      </c>
      <c r="H1269" s="883">
        <f t="shared" si="128"/>
        <v>35.879568949924447</v>
      </c>
      <c r="I1269" s="883">
        <f t="shared" si="128"/>
        <v>41.403844214010057</v>
      </c>
      <c r="J1269" s="883">
        <f t="shared" si="128"/>
        <v>47.863524358654118</v>
      </c>
      <c r="K1269" s="883">
        <f t="shared" si="128"/>
        <v>55.640213654273758</v>
      </c>
      <c r="L1269" s="883">
        <f t="shared" si="128"/>
        <v>65.080967028316849</v>
      </c>
      <c r="M1269" s="883">
        <f t="shared" si="128"/>
        <v>75.121073790278658</v>
      </c>
      <c r="N1269" s="883"/>
      <c r="O1269" s="883"/>
      <c r="P1269" s="877"/>
    </row>
    <row r="1270" spans="2:16" ht="15.75" x14ac:dyDescent="0.25">
      <c r="B1270" s="880"/>
      <c r="C1270" s="1919" t="s">
        <v>1007</v>
      </c>
      <c r="D1270" s="73" t="str">
        <f>INDEX(Vectors[Descripción], MATCH(C1270,Vectors[Código],FALSE))</f>
        <v>Iluminación</v>
      </c>
      <c r="E1270" s="1922"/>
      <c r="F1270" s="1920">
        <f t="shared" ref="F1270:M1270" si="129">F1221</f>
        <v>1.3907072903761191</v>
      </c>
      <c r="G1270" s="1920">
        <f t="shared" si="129"/>
        <v>1.5535200609306492</v>
      </c>
      <c r="H1270" s="1920">
        <f t="shared" si="129"/>
        <v>1.784419059676527</v>
      </c>
      <c r="I1270" s="1920">
        <f t="shared" si="129"/>
        <v>2.0591609911052959</v>
      </c>
      <c r="J1270" s="1920">
        <f t="shared" si="129"/>
        <v>2.3804239467891932</v>
      </c>
      <c r="K1270" s="1920">
        <f t="shared" si="129"/>
        <v>2.7671864694843085</v>
      </c>
      <c r="L1270" s="1920">
        <f t="shared" si="129"/>
        <v>3.2367088397741952</v>
      </c>
      <c r="M1270" s="1920">
        <f t="shared" si="129"/>
        <v>3.7360391938326862</v>
      </c>
      <c r="N1270" s="883"/>
      <c r="O1270" s="883"/>
      <c r="P1270" s="877"/>
    </row>
    <row r="1271" spans="2:16" ht="15.75" x14ac:dyDescent="0.25">
      <c r="B1271" s="880"/>
      <c r="C1271" s="1919" t="s">
        <v>1008</v>
      </c>
      <c r="D1271" s="73" t="str">
        <f>INDEX(Vectors[Descripción], MATCH(C1271,Vectors[Código],FALSE))</f>
        <v>Refrigeración</v>
      </c>
      <c r="E1271" s="1922"/>
      <c r="F1271" s="1920">
        <f t="shared" ref="F1271:M1271" si="130">F1217</f>
        <v>2.4834058756716413</v>
      </c>
      <c r="G1271" s="1920">
        <f t="shared" si="130"/>
        <v>2.774142965947588</v>
      </c>
      <c r="H1271" s="1920">
        <f t="shared" si="130"/>
        <v>3.1864626065652271</v>
      </c>
      <c r="I1271" s="1920">
        <f t="shared" si="130"/>
        <v>3.6770731984023146</v>
      </c>
      <c r="J1271" s="1920">
        <f t="shared" si="130"/>
        <v>4.2507570478378458</v>
      </c>
      <c r="K1271" s="1920">
        <f t="shared" si="130"/>
        <v>4.9414044097934084</v>
      </c>
      <c r="L1271" s="1920">
        <f t="shared" si="130"/>
        <v>5.7798372138824927</v>
      </c>
      <c r="M1271" s="1920">
        <f t="shared" si="130"/>
        <v>6.6714985604155119</v>
      </c>
      <c r="N1271" s="883"/>
      <c r="O1271" s="883"/>
      <c r="P1271" s="877"/>
    </row>
    <row r="1272" spans="2:16" ht="15.75" x14ac:dyDescent="0.25">
      <c r="B1272" s="880"/>
      <c r="C1272" s="1919" t="s">
        <v>1009</v>
      </c>
      <c r="D1272" s="73" t="str">
        <f>INDEX(Vectors[Descripción], MATCH(C1272,Vectors[Código],FALSE))</f>
        <v>ACS</v>
      </c>
      <c r="E1272" s="1922"/>
      <c r="F1272" s="1920">
        <f t="shared" ref="F1272:M1272" si="131">SUM(F1205:F1211)</f>
        <v>8.7415886823641777</v>
      </c>
      <c r="G1272" s="1920">
        <f t="shared" si="131"/>
        <v>9.7649832401355106</v>
      </c>
      <c r="H1272" s="1920">
        <f t="shared" si="131"/>
        <v>11.2163483751096</v>
      </c>
      <c r="I1272" s="1920">
        <f t="shared" si="131"/>
        <v>12.943297658376144</v>
      </c>
      <c r="J1272" s="1920">
        <f t="shared" si="131"/>
        <v>14.962664808389219</v>
      </c>
      <c r="K1272" s="1920">
        <f t="shared" si="131"/>
        <v>17.393743522472803</v>
      </c>
      <c r="L1272" s="1920">
        <f t="shared" si="131"/>
        <v>20.345026992866377</v>
      </c>
      <c r="M1272" s="1920">
        <f t="shared" si="131"/>
        <v>23.483674932662602</v>
      </c>
      <c r="N1272" s="883"/>
      <c r="O1272" s="883"/>
      <c r="P1272" s="877"/>
    </row>
    <row r="1273" spans="2:16" ht="15.75" x14ac:dyDescent="0.25">
      <c r="B1273" s="880"/>
      <c r="C1273" s="1919" t="s">
        <v>1010</v>
      </c>
      <c r="D1273" s="73" t="str">
        <f>INDEX(Vectors[Descripción], MATCH(C1273,Vectors[Código],FALSE))</f>
        <v>Cocción</v>
      </c>
      <c r="E1273" s="1922"/>
      <c r="F1273" s="1920">
        <f t="shared" ref="F1273:M1273" si="132">SUM(F1213:F1215)</f>
        <v>3.7747769310208938</v>
      </c>
      <c r="G1273" s="1920">
        <f t="shared" si="132"/>
        <v>4.2166973082403336</v>
      </c>
      <c r="H1273" s="1920">
        <f t="shared" si="132"/>
        <v>4.8434231619791444</v>
      </c>
      <c r="I1273" s="1920">
        <f t="shared" si="132"/>
        <v>5.5891512615715175</v>
      </c>
      <c r="J1273" s="1920">
        <f t="shared" si="132"/>
        <v>6.4611507127135237</v>
      </c>
      <c r="K1273" s="1920">
        <f t="shared" si="132"/>
        <v>7.5109347028859803</v>
      </c>
      <c r="L1273" s="1920">
        <f t="shared" si="132"/>
        <v>8.7853525651013875</v>
      </c>
      <c r="M1273" s="1920">
        <f t="shared" si="132"/>
        <v>10.140677811831578</v>
      </c>
      <c r="N1273" s="883"/>
      <c r="O1273" s="883"/>
      <c r="P1273" s="877"/>
    </row>
    <row r="1274" spans="2:16" ht="15.75" x14ac:dyDescent="0.25">
      <c r="B1274" s="880"/>
      <c r="C1274" s="1919" t="s">
        <v>1011</v>
      </c>
      <c r="D1274" s="73" t="str">
        <f>INDEX(Vectors[Descripción], MATCH(C1274,Vectors[Código],FALSE))</f>
        <v>Otros Electrodomésticos</v>
      </c>
      <c r="E1274" s="1922"/>
      <c r="F1274" s="1920">
        <f t="shared" ref="F1274:M1274" si="133">SUM(F1219)</f>
        <v>5.3144885739373136</v>
      </c>
      <c r="G1274" s="1920">
        <f t="shared" si="133"/>
        <v>5.9366659471278398</v>
      </c>
      <c r="H1274" s="1920">
        <f t="shared" si="133"/>
        <v>6.8190299780495875</v>
      </c>
      <c r="I1274" s="1920">
        <f t="shared" si="133"/>
        <v>7.8689366445809545</v>
      </c>
      <c r="J1274" s="1920">
        <f t="shared" si="133"/>
        <v>9.0966200823729917</v>
      </c>
      <c r="K1274" s="1920">
        <f t="shared" si="133"/>
        <v>10.574605436957896</v>
      </c>
      <c r="L1274" s="1920">
        <f t="shared" si="133"/>
        <v>12.368851637708536</v>
      </c>
      <c r="M1274" s="1920">
        <f t="shared" si="133"/>
        <v>14.277006919289198</v>
      </c>
      <c r="N1274" s="883"/>
      <c r="O1274" s="883"/>
      <c r="P1274" s="877"/>
    </row>
    <row r="1275" spans="2:16" ht="15.75" x14ac:dyDescent="0.25">
      <c r="B1275" s="880"/>
      <c r="C1275" s="884" t="s">
        <v>149</v>
      </c>
      <c r="D1275" s="73" t="str">
        <f>INDEX(Vectors[Descripción], MATCH(C1275,Vectors[Código],FALSE))</f>
        <v>Electricidad (consumo final)</v>
      </c>
      <c r="E1275" s="1923"/>
      <c r="F1275" s="459">
        <f t="shared" ref="F1275:M1275" si="134">-(F1231)</f>
        <v>-10.986823497301508</v>
      </c>
      <c r="G1275" s="459">
        <f t="shared" si="134"/>
        <v>-13.315784367603435</v>
      </c>
      <c r="H1275" s="459">
        <f t="shared" si="134"/>
        <v>-16.565707919951492</v>
      </c>
      <c r="I1275" s="459">
        <f t="shared" si="134"/>
        <v>-20.309620330385322</v>
      </c>
      <c r="J1275" s="459">
        <f t="shared" si="134"/>
        <v>-24.637052750901443</v>
      </c>
      <c r="K1275" s="459">
        <f t="shared" si="134"/>
        <v>-29.424140125573551</v>
      </c>
      <c r="L1275" s="459">
        <f t="shared" si="134"/>
        <v>-34.981745851600444</v>
      </c>
      <c r="M1275" s="459">
        <f t="shared" si="134"/>
        <v>-40.495901185063246</v>
      </c>
      <c r="N1275" s="459"/>
      <c r="O1275" s="459"/>
      <c r="P1275" s="877"/>
    </row>
    <row r="1276" spans="2:16" ht="15.75" x14ac:dyDescent="0.25">
      <c r="B1276" s="2619"/>
      <c r="C1276" s="1924" t="s">
        <v>473</v>
      </c>
      <c r="D1276" s="73" t="str">
        <f>INDEX(Vectors[Descripción], MATCH(C1276,Vectors[Código],FALSE))</f>
        <v>Biomasa</v>
      </c>
      <c r="E1276" s="1923"/>
      <c r="F1276" s="459">
        <f t="shared" ref="F1276:M1276" si="135">-(F1226+F1227)</f>
        <v>-11.534967431411745</v>
      </c>
      <c r="G1276" s="459">
        <f t="shared" si="135"/>
        <v>-9.8579864214727912</v>
      </c>
      <c r="H1276" s="459">
        <f t="shared" si="135"/>
        <v>-8.7505003293680321</v>
      </c>
      <c r="I1276" s="459">
        <f t="shared" si="135"/>
        <v>-8.3045676575790282</v>
      </c>
      <c r="J1276" s="459">
        <f t="shared" si="135"/>
        <v>-8.3749058612358613</v>
      </c>
      <c r="K1276" s="459">
        <f t="shared" si="135"/>
        <v>-8.5979642890314381</v>
      </c>
      <c r="L1276" s="459">
        <f t="shared" si="135"/>
        <v>-8.8234024814743535</v>
      </c>
      <c r="M1276" s="459">
        <f t="shared" si="135"/>
        <v>-9.7944347599636945</v>
      </c>
      <c r="N1276" s="459"/>
      <c r="O1276" s="459"/>
      <c r="P1276" s="877"/>
    </row>
    <row r="1277" spans="2:16" ht="15.75" x14ac:dyDescent="0.25">
      <c r="B1277" s="2619"/>
      <c r="C1277" s="2963" t="s">
        <v>315</v>
      </c>
      <c r="D1277" s="73" t="str">
        <f>INDEX(Vectors[Descripción], MATCH(C1277,Vectors[Código],FALSE))</f>
        <v>Solar</v>
      </c>
      <c r="E1277" s="1922"/>
      <c r="F1277" s="2962">
        <f t="shared" ref="F1277:M1277" si="136">-(F1210)</f>
        <v>0</v>
      </c>
      <c r="G1277" s="2962">
        <f t="shared" si="136"/>
        <v>0</v>
      </c>
      <c r="H1277" s="2962">
        <f t="shared" si="136"/>
        <v>0</v>
      </c>
      <c r="I1277" s="2962">
        <f t="shared" si="136"/>
        <v>0</v>
      </c>
      <c r="J1277" s="2962">
        <f t="shared" si="136"/>
        <v>0</v>
      </c>
      <c r="K1277" s="2962">
        <f t="shared" si="136"/>
        <v>0</v>
      </c>
      <c r="L1277" s="2962">
        <f t="shared" si="136"/>
        <v>0</v>
      </c>
      <c r="M1277" s="2962">
        <f t="shared" si="136"/>
        <v>0</v>
      </c>
      <c r="N1277" s="459"/>
      <c r="O1277" s="459"/>
      <c r="P1277" s="877"/>
    </row>
    <row r="1278" spans="2:16" ht="15.75" x14ac:dyDescent="0.25">
      <c r="B1278" s="880"/>
      <c r="C1278" s="884" t="s">
        <v>333</v>
      </c>
      <c r="D1278" s="73" t="str">
        <f>INDEX(Vectors[Descripción], MATCH(C1278,Vectors[Código],FALSE))</f>
        <v>Hidrocarburo Líquido</v>
      </c>
      <c r="E1278" s="1923"/>
      <c r="F1278" s="459">
        <f t="shared" ref="F1278:M1278" si="137">-(F1230)</f>
        <v>-4.7526719834691171</v>
      </c>
      <c r="G1278" s="459">
        <f t="shared" si="137"/>
        <v>-6.0440831201964089</v>
      </c>
      <c r="H1278" s="459">
        <f t="shared" si="137"/>
        <v>-7.4953903387401244</v>
      </c>
      <c r="I1278" s="459">
        <f t="shared" si="137"/>
        <v>-8.9838254459887565</v>
      </c>
      <c r="J1278" s="459">
        <f t="shared" si="137"/>
        <v>-10.567443967668584</v>
      </c>
      <c r="K1278" s="459">
        <f t="shared" si="137"/>
        <v>-12.433412149129659</v>
      </c>
      <c r="L1278" s="459">
        <f t="shared" si="137"/>
        <v>-14.670750415346136</v>
      </c>
      <c r="M1278" s="459">
        <f t="shared" si="137"/>
        <v>-17.009771427664695</v>
      </c>
      <c r="N1278" s="459"/>
      <c r="O1278" s="459"/>
      <c r="P1278" s="877"/>
    </row>
    <row r="1279" spans="2:16" ht="15.75" x14ac:dyDescent="0.25">
      <c r="B1279" s="880"/>
      <c r="C1279" s="884" t="s">
        <v>335</v>
      </c>
      <c r="D1279" s="73" t="str">
        <f>INDEX(Vectors[Descripción], MATCH(C1279,Vectors[Código],FALSE))</f>
        <v>Hidrocarburo Gaseoso</v>
      </c>
      <c r="E1279" s="1923"/>
      <c r="F1279" s="459">
        <f t="shared" ref="F1279:M1279" si="138">-(F1228+F1229)</f>
        <v>-22.393654601250446</v>
      </c>
      <c r="G1279" s="459">
        <f t="shared" si="138"/>
        <v>-26.265005409679127</v>
      </c>
      <c r="H1279" s="459">
        <f t="shared" si="138"/>
        <v>-30.917653543244892</v>
      </c>
      <c r="I1279" s="459">
        <f t="shared" si="138"/>
        <v>-35.943450534093174</v>
      </c>
      <c r="J1279" s="459">
        <f t="shared" si="138"/>
        <v>-41.435738376951008</v>
      </c>
      <c r="K1279" s="459">
        <f t="shared" si="138"/>
        <v>-48.3725716321335</v>
      </c>
      <c r="L1279" s="459">
        <f t="shared" si="138"/>
        <v>-57.120845529228916</v>
      </c>
      <c r="M1279" s="459">
        <f t="shared" si="138"/>
        <v>-66.129863835618607</v>
      </c>
      <c r="N1279" s="459"/>
      <c r="O1279" s="459"/>
      <c r="P1279" s="877"/>
    </row>
    <row r="1280" spans="2:16" ht="15.75" x14ac:dyDescent="0.25">
      <c r="B1280" s="880"/>
      <c r="C1280" s="3039" t="s">
        <v>118</v>
      </c>
      <c r="D1280" s="3039"/>
      <c r="E1280" s="3039"/>
      <c r="F1280" s="3154">
        <f>SUBTOTAL(109,X.a.Outputs[2015])</f>
        <v>0</v>
      </c>
      <c r="G1280" s="3154">
        <f>SUBTOTAL(109,X.a.Outputs[2020])</f>
        <v>0</v>
      </c>
      <c r="H1280" s="3154">
        <f>SUBTOTAL(109,X.a.Outputs[2025])</f>
        <v>0</v>
      </c>
      <c r="I1280" s="3154">
        <f>SUBTOTAL(109,X.a.Outputs[2030])</f>
        <v>0</v>
      </c>
      <c r="J1280" s="3154">
        <f>SUBTOTAL(109,X.a.Outputs[2035])</f>
        <v>0</v>
      </c>
      <c r="K1280" s="3154">
        <f>SUBTOTAL(109,X.a.Outputs[2040])</f>
        <v>0</v>
      </c>
      <c r="L1280" s="3154">
        <f>SUBTOTAL(109,X.a.Outputs[2045])</f>
        <v>0</v>
      </c>
      <c r="M1280" s="3154">
        <f>SUBTOTAL(109,X.a.Outputs[2050])</f>
        <v>0</v>
      </c>
      <c r="N1280" s="459"/>
      <c r="O1280" s="459"/>
      <c r="P1280" s="877"/>
    </row>
    <row r="1281" spans="2:16" ht="15.75" x14ac:dyDescent="0.25">
      <c r="B1281" s="880"/>
      <c r="C1281" s="884"/>
      <c r="D1281" s="884"/>
      <c r="E1281" s="884"/>
      <c r="F1281" s="459"/>
      <c r="G1281" s="459"/>
      <c r="H1281" s="459"/>
      <c r="I1281" s="459"/>
      <c r="J1281" s="459"/>
      <c r="K1281" s="459"/>
      <c r="L1281" s="459"/>
      <c r="M1281" s="459"/>
      <c r="N1281" s="885"/>
      <c r="O1281" s="885"/>
      <c r="P1281" s="877"/>
    </row>
    <row r="1282" spans="2:16" customFormat="1" ht="12.75" x14ac:dyDescent="0.2"/>
    <row r="1283" spans="2:16" customFormat="1" ht="15.75" x14ac:dyDescent="0.25">
      <c r="B1283" s="701" t="s">
        <v>434</v>
      </c>
      <c r="C1283" s="704"/>
      <c r="D1283" s="705"/>
      <c r="E1283" s="705"/>
      <c r="F1283" s="705"/>
      <c r="G1283" s="705"/>
      <c r="H1283" s="705"/>
      <c r="I1283" s="705"/>
      <c r="J1283" s="705"/>
      <c r="K1283" s="705"/>
      <c r="L1283" s="705"/>
      <c r="M1283" s="705"/>
      <c r="N1283" s="702"/>
    </row>
    <row r="1284" spans="2:16" x14ac:dyDescent="0.25">
      <c r="B1284" s="703"/>
      <c r="C1284" s="708"/>
      <c r="D1284" s="708"/>
      <c r="E1284" s="708"/>
      <c r="F1284" s="708"/>
      <c r="G1284" s="708"/>
      <c r="H1284" s="708"/>
      <c r="I1284" s="708"/>
      <c r="J1284" s="708"/>
      <c r="K1284" s="708"/>
      <c r="L1284" s="708"/>
      <c r="M1284" s="708"/>
      <c r="N1284" s="706"/>
    </row>
    <row r="1285" spans="2:16" x14ac:dyDescent="0.25">
      <c r="B1285" s="707"/>
      <c r="C1285" s="710" t="s">
        <v>394</v>
      </c>
      <c r="D1285" s="711"/>
      <c r="E1285" s="712"/>
      <c r="F1285" s="711"/>
      <c r="G1285" s="712"/>
      <c r="H1285" s="711"/>
      <c r="I1285" s="711"/>
      <c r="J1285" s="711"/>
      <c r="K1285" s="711"/>
      <c r="L1285" s="711"/>
      <c r="M1285" s="713" t="s">
        <v>395</v>
      </c>
      <c r="N1285" s="709"/>
    </row>
    <row r="1286" spans="2:16" customFormat="1" x14ac:dyDescent="0.25">
      <c r="B1286" s="707"/>
      <c r="C1286" s="711"/>
      <c r="D1286" s="711"/>
      <c r="E1286" s="711"/>
      <c r="F1286" s="711"/>
      <c r="G1286" s="711"/>
      <c r="H1286" s="711"/>
      <c r="I1286" s="711"/>
      <c r="J1286" s="711"/>
      <c r="K1286" s="711"/>
      <c r="L1286" s="711"/>
      <c r="M1286" s="711"/>
      <c r="N1286" s="709"/>
    </row>
    <row r="1287" spans="2:16" customFormat="1" ht="15.75" x14ac:dyDescent="0.25">
      <c r="B1287" s="714"/>
      <c r="C1287" s="715" t="s">
        <v>396</v>
      </c>
      <c r="D1287" s="715" t="s">
        <v>397</v>
      </c>
      <c r="E1287" s="715" t="s">
        <v>148</v>
      </c>
      <c r="F1287" s="716">
        <v>2015</v>
      </c>
      <c r="G1287" s="716">
        <v>2020</v>
      </c>
      <c r="H1287" s="716" t="s">
        <v>18</v>
      </c>
      <c r="I1287" s="716" t="s">
        <v>19</v>
      </c>
      <c r="J1287" s="716" t="s">
        <v>20</v>
      </c>
      <c r="K1287" s="716" t="s">
        <v>21</v>
      </c>
      <c r="L1287" s="716" t="s">
        <v>22</v>
      </c>
      <c r="M1287" s="716" t="s">
        <v>23</v>
      </c>
      <c r="N1287" s="709"/>
    </row>
    <row r="1288" spans="2:16" customFormat="1" ht="15.75" x14ac:dyDescent="0.25">
      <c r="B1288" s="714"/>
      <c r="C1288" s="717" t="s">
        <v>118</v>
      </c>
      <c r="D1288" s="717"/>
      <c r="E1288" s="717"/>
      <c r="F1288" s="3354">
        <f>F1260</f>
        <v>6.0821291331635257</v>
      </c>
      <c r="G1288" s="3354">
        <f t="shared" ref="G1288:M1288" si="139">G1260</f>
        <v>7.2550418908143497</v>
      </c>
      <c r="H1288" s="3354">
        <f t="shared" si="139"/>
        <v>8.6393217415077626</v>
      </c>
      <c r="I1288" s="3354">
        <f t="shared" si="139"/>
        <v>10.113707400902864</v>
      </c>
      <c r="J1288" s="3354">
        <f t="shared" si="139"/>
        <v>11.713850659765072</v>
      </c>
      <c r="K1288" s="3354">
        <f t="shared" si="139"/>
        <v>13.704434327263904</v>
      </c>
      <c r="L1288" s="3354">
        <f t="shared" si="139"/>
        <v>16.191002706983969</v>
      </c>
      <c r="M1288" s="3354">
        <f t="shared" si="139"/>
        <v>18.752157373267512</v>
      </c>
      <c r="N1288" s="709"/>
    </row>
    <row r="1289" spans="2:16" customFormat="1" x14ac:dyDescent="0.25">
      <c r="B1289" s="720"/>
      <c r="C1289" s="720"/>
      <c r="D1289" s="720"/>
      <c r="E1289" s="720"/>
      <c r="F1289" s="720"/>
      <c r="G1289" s="720"/>
      <c r="H1289" s="720"/>
      <c r="I1289" s="720"/>
      <c r="J1289" s="720"/>
      <c r="K1289" s="720"/>
      <c r="L1289" s="720"/>
      <c r="M1289" s="720"/>
      <c r="N1289" s="720"/>
    </row>
    <row r="1290" spans="2:16" customFormat="1" ht="12.75" x14ac:dyDescent="0.2"/>
    <row r="1291" spans="2:16" customFormat="1" ht="12.75" x14ac:dyDescent="0.2"/>
    <row r="1292" spans="2:16" customFormat="1" ht="12.75" x14ac:dyDescent="0.2"/>
    <row r="1293" spans="2:16" customFormat="1" ht="12.75" x14ac:dyDescent="0.2"/>
    <row r="1294" spans="2:16" customFormat="1" ht="12.75" x14ac:dyDescent="0.2"/>
    <row r="1295" spans="2:16" customFormat="1" ht="12.75" x14ac:dyDescent="0.2"/>
    <row r="1296" spans="2:16" customFormat="1" ht="12.75" x14ac:dyDescent="0.2">
      <c r="F1296" s="1325"/>
      <c r="G1296" s="1325"/>
      <c r="H1296" s="1325"/>
      <c r="I1296" s="1325"/>
      <c r="J1296" s="1325"/>
      <c r="K1296" s="1325"/>
      <c r="L1296" s="1325"/>
      <c r="M1296" s="1325"/>
    </row>
    <row r="1297" spans="4:16" customFormat="1" ht="12.75" x14ac:dyDescent="0.2">
      <c r="F1297" s="1325"/>
      <c r="G1297" s="1325"/>
      <c r="H1297" s="1325"/>
      <c r="I1297" s="1325"/>
      <c r="J1297" s="1325"/>
      <c r="K1297" s="1325"/>
      <c r="L1297" s="1325"/>
      <c r="M1297" s="1325"/>
      <c r="N1297" s="3155"/>
      <c r="O1297" s="3155"/>
      <c r="P1297" s="3155"/>
    </row>
    <row r="1298" spans="4:16" customFormat="1" ht="12.75" x14ac:dyDescent="0.2">
      <c r="F1298" s="1325"/>
      <c r="G1298" s="1325"/>
      <c r="H1298" s="1325"/>
      <c r="I1298" s="1325"/>
      <c r="J1298" s="1325"/>
      <c r="K1298" s="1325"/>
      <c r="L1298" s="1325"/>
      <c r="M1298" s="1325"/>
    </row>
    <row r="1299" spans="4:16" customFormat="1" ht="12.75" x14ac:dyDescent="0.2"/>
    <row r="1300" spans="4:16" customFormat="1" ht="12.75" x14ac:dyDescent="0.2">
      <c r="F1300" s="3308"/>
      <c r="G1300" s="3308"/>
      <c r="H1300" s="3308"/>
      <c r="I1300" s="3308"/>
      <c r="J1300" s="3308"/>
      <c r="K1300" s="3308"/>
      <c r="L1300" s="3308"/>
      <c r="M1300" s="3308"/>
    </row>
    <row r="1301" spans="4:16" customFormat="1" ht="12.75" x14ac:dyDescent="0.2"/>
    <row r="1302" spans="4:16" customFormat="1" ht="12.75" x14ac:dyDescent="0.2">
      <c r="F1302" s="3135"/>
      <c r="G1302" s="3135"/>
      <c r="H1302" s="3135"/>
      <c r="I1302" s="3135"/>
      <c r="J1302" s="3135"/>
      <c r="K1302" s="3135"/>
      <c r="L1302" s="3135"/>
      <c r="M1302" s="3135"/>
    </row>
    <row r="1303" spans="4:16" customFormat="1" ht="12.75" x14ac:dyDescent="0.2"/>
    <row r="1304" spans="4:16" customFormat="1" x14ac:dyDescent="0.25">
      <c r="E1304" s="751"/>
      <c r="F1304" s="1325"/>
      <c r="G1304" s="1325"/>
      <c r="H1304" s="1325"/>
      <c r="I1304" s="1325"/>
      <c r="J1304" s="1325"/>
      <c r="K1304" s="1325"/>
      <c r="L1304" s="1325"/>
      <c r="M1304" s="1325"/>
    </row>
    <row r="1305" spans="4:16" customFormat="1" ht="12.75" x14ac:dyDescent="0.2">
      <c r="D1305" s="745"/>
      <c r="N1305" s="2870"/>
    </row>
    <row r="1306" spans="4:16" customFormat="1" ht="12.75" x14ac:dyDescent="0.2">
      <c r="D1306" s="745"/>
      <c r="N1306" s="2870"/>
    </row>
    <row r="1307" spans="4:16" customFormat="1" ht="12.75" x14ac:dyDescent="0.2">
      <c r="D1307" s="745"/>
      <c r="N1307" s="2870"/>
    </row>
    <row r="1308" spans="4:16" customFormat="1" ht="12.75" x14ac:dyDescent="0.2">
      <c r="D1308" s="745"/>
      <c r="N1308" s="2870"/>
    </row>
    <row r="1309" spans="4:16" customFormat="1" ht="12.75" x14ac:dyDescent="0.2"/>
    <row r="1310" spans="4:16" customFormat="1" ht="12.75" x14ac:dyDescent="0.2"/>
    <row r="1311" spans="4:16" customFormat="1" ht="12.75" x14ac:dyDescent="0.2"/>
    <row r="1312" spans="4:16" customFormat="1" ht="12.75" x14ac:dyDescent="0.2"/>
    <row r="1313" spans="6:13" customFormat="1" ht="12.75" x14ac:dyDescent="0.2">
      <c r="F1313" s="1325"/>
      <c r="G1313" s="1325"/>
      <c r="H1313" s="1325"/>
      <c r="I1313" s="1325"/>
      <c r="J1313" s="1325"/>
      <c r="K1313" s="1325"/>
      <c r="L1313" s="1325"/>
      <c r="M1313" s="1325"/>
    </row>
    <row r="1314" spans="6:13" customFormat="1" ht="12.75" x14ac:dyDescent="0.2"/>
    <row r="1315" spans="6:13" customFormat="1" ht="12.75" x14ac:dyDescent="0.2"/>
    <row r="1316" spans="6:13" customFormat="1" ht="12.75" x14ac:dyDescent="0.2"/>
    <row r="1317" spans="6:13" customFormat="1" ht="12.75" x14ac:dyDescent="0.2"/>
    <row r="1318" spans="6:13" customFormat="1" ht="12.75" x14ac:dyDescent="0.2"/>
    <row r="1319" spans="6:13" customFormat="1" ht="12.75" x14ac:dyDescent="0.2"/>
    <row r="1320" spans="6:13" customFormat="1" ht="12.75" x14ac:dyDescent="0.2"/>
    <row r="1321" spans="6:13" customFormat="1" ht="12.75" x14ac:dyDescent="0.2"/>
    <row r="1322" spans="6:13" customFormat="1" ht="12.75" x14ac:dyDescent="0.2"/>
    <row r="1417" spans="6:13" x14ac:dyDescent="0.25">
      <c r="F1417" s="886"/>
      <c r="G1417" s="886"/>
      <c r="H1417" s="886"/>
      <c r="I1417" s="886"/>
      <c r="J1417" s="886"/>
      <c r="K1417" s="886"/>
      <c r="L1417" s="886"/>
      <c r="M1417" s="886"/>
    </row>
    <row r="1418" spans="6:13" x14ac:dyDescent="0.25">
      <c r="F1418" s="886"/>
      <c r="G1418" s="886"/>
      <c r="H1418" s="886"/>
      <c r="I1418" s="886"/>
      <c r="J1418" s="886"/>
      <c r="K1418" s="886"/>
      <c r="L1418" s="886"/>
      <c r="M1418" s="886"/>
    </row>
    <row r="1419" spans="6:13" x14ac:dyDescent="0.25">
      <c r="F1419" s="886"/>
      <c r="G1419" s="886"/>
      <c r="H1419" s="886"/>
      <c r="I1419" s="886"/>
      <c r="J1419" s="886"/>
      <c r="K1419" s="886"/>
      <c r="L1419" s="886"/>
      <c r="M1419" s="886"/>
    </row>
    <row r="1420" spans="6:13" x14ac:dyDescent="0.25">
      <c r="F1420" s="886"/>
      <c r="G1420" s="886"/>
      <c r="H1420" s="886"/>
      <c r="I1420" s="886"/>
      <c r="J1420" s="886"/>
      <c r="K1420" s="886"/>
      <c r="L1420" s="886"/>
      <c r="M1420" s="886"/>
    </row>
    <row r="1421" spans="6:13" x14ac:dyDescent="0.25">
      <c r="F1421" s="886"/>
      <c r="G1421" s="886"/>
      <c r="H1421" s="886"/>
      <c r="I1421" s="886"/>
      <c r="J1421" s="886"/>
      <c r="K1421" s="886"/>
      <c r="L1421" s="886"/>
      <c r="M1421" s="886"/>
    </row>
    <row r="1422" spans="6:13" x14ac:dyDescent="0.25">
      <c r="F1422" s="886"/>
      <c r="G1422" s="886"/>
      <c r="H1422" s="886"/>
      <c r="I1422" s="886"/>
      <c r="J1422" s="886"/>
      <c r="K1422" s="886"/>
      <c r="L1422" s="886"/>
      <c r="M1422" s="886"/>
    </row>
    <row r="1423" spans="6:13" x14ac:dyDescent="0.25">
      <c r="F1423" s="886"/>
      <c r="G1423" s="886"/>
      <c r="H1423" s="886"/>
      <c r="I1423" s="886"/>
      <c r="J1423" s="886"/>
      <c r="K1423" s="886"/>
      <c r="L1423" s="886"/>
      <c r="M1423" s="886"/>
    </row>
    <row r="1424" spans="6:13" x14ac:dyDescent="0.25">
      <c r="F1424" s="886"/>
      <c r="G1424" s="886"/>
      <c r="H1424" s="886"/>
      <c r="I1424" s="886"/>
      <c r="J1424" s="886"/>
      <c r="K1424" s="886"/>
      <c r="L1424" s="886"/>
      <c r="M1424" s="886"/>
    </row>
    <row r="1425" spans="6:13" x14ac:dyDescent="0.25">
      <c r="F1425" s="886"/>
      <c r="G1425" s="886"/>
      <c r="H1425" s="886"/>
      <c r="I1425" s="886"/>
      <c r="J1425" s="886"/>
      <c r="K1425" s="886"/>
      <c r="L1425" s="886"/>
      <c r="M1425" s="886"/>
    </row>
    <row r="1426" spans="6:13" x14ac:dyDescent="0.25">
      <c r="F1426" s="886"/>
      <c r="G1426" s="886"/>
      <c r="H1426" s="886"/>
      <c r="I1426" s="886"/>
      <c r="J1426" s="886"/>
      <c r="K1426" s="886"/>
      <c r="L1426" s="886"/>
      <c r="M1426" s="886"/>
    </row>
    <row r="1427" spans="6:13" x14ac:dyDescent="0.25">
      <c r="F1427" s="886"/>
      <c r="G1427" s="886"/>
      <c r="H1427" s="886"/>
      <c r="I1427" s="886"/>
      <c r="J1427" s="886"/>
      <c r="K1427" s="886"/>
      <c r="L1427" s="886"/>
      <c r="M1427" s="886"/>
    </row>
    <row r="1428" spans="6:13" customFormat="1" ht="12.75" x14ac:dyDescent="0.2"/>
    <row r="1429" spans="6:13" customFormat="1" ht="12.75" x14ac:dyDescent="0.2"/>
    <row r="1430" spans="6:13" customFormat="1" ht="12.75" x14ac:dyDescent="0.2"/>
    <row r="1431" spans="6:13" customFormat="1" ht="12.75" x14ac:dyDescent="0.2"/>
    <row r="1432" spans="6:13" customFormat="1" ht="12.75" x14ac:dyDescent="0.2"/>
    <row r="1433" spans="6:13" customFormat="1" ht="12.75" x14ac:dyDescent="0.2"/>
    <row r="1434" spans="6:13" customFormat="1" ht="12.75" x14ac:dyDescent="0.2"/>
    <row r="1435" spans="6:13" customFormat="1" ht="12.75" x14ac:dyDescent="0.2"/>
    <row r="1436" spans="6:13" customFormat="1" ht="12.75" x14ac:dyDescent="0.2"/>
    <row r="1437" spans="6:13" customFormat="1" ht="12.75" x14ac:dyDescent="0.2"/>
    <row r="1438" spans="6:13" customFormat="1" ht="12.75" x14ac:dyDescent="0.2"/>
    <row r="1439" spans="6:13" customFormat="1" ht="12.75" x14ac:dyDescent="0.2"/>
    <row r="1440" spans="6:13" customFormat="1" ht="12.75" x14ac:dyDescent="0.2"/>
    <row r="1441" customFormat="1" ht="12.75" x14ac:dyDescent="0.2"/>
    <row r="1442" customFormat="1" ht="12.75" x14ac:dyDescent="0.2"/>
    <row r="1443" customFormat="1" ht="12.75" x14ac:dyDescent="0.2"/>
    <row r="1444" customFormat="1" ht="12.75" x14ac:dyDescent="0.2"/>
    <row r="1445" customFormat="1" ht="12.75" x14ac:dyDescent="0.2"/>
    <row r="1446" customFormat="1" ht="12.75" x14ac:dyDescent="0.2"/>
    <row r="1447" customFormat="1" ht="12.75" x14ac:dyDescent="0.2"/>
    <row r="1448" customFormat="1" ht="12.75" x14ac:dyDescent="0.2"/>
    <row r="1449" customFormat="1" ht="12.75" x14ac:dyDescent="0.2"/>
    <row r="1450" customFormat="1" ht="12.75" x14ac:dyDescent="0.2"/>
    <row r="1451" customFormat="1" ht="12.75" x14ac:dyDescent="0.2"/>
    <row r="1452" customFormat="1" ht="12.75" x14ac:dyDescent="0.2"/>
    <row r="1453" customFormat="1" ht="12.75" x14ac:dyDescent="0.2"/>
    <row r="1454" customFormat="1" ht="12.75" x14ac:dyDescent="0.2"/>
    <row r="1455" customFormat="1" ht="12.75" x14ac:dyDescent="0.2"/>
    <row r="1456" customFormat="1" ht="12.75" x14ac:dyDescent="0.2"/>
    <row r="1457" customFormat="1" ht="12.75" x14ac:dyDescent="0.2"/>
    <row r="1458" customFormat="1" ht="12.75" x14ac:dyDescent="0.2"/>
    <row r="1459" customFormat="1" ht="12.75" x14ac:dyDescent="0.2"/>
    <row r="1460" customFormat="1" ht="12.75" x14ac:dyDescent="0.2"/>
    <row r="1461" customFormat="1" ht="12.75" x14ac:dyDescent="0.2"/>
    <row r="1462" customFormat="1" ht="12.75" x14ac:dyDescent="0.2"/>
    <row r="1463" customFormat="1" ht="12.75" x14ac:dyDescent="0.2"/>
    <row r="1464" customFormat="1" ht="12.75" x14ac:dyDescent="0.2"/>
    <row r="1465" customFormat="1" ht="12.75" x14ac:dyDescent="0.2"/>
    <row r="1466" customFormat="1" ht="12.75" x14ac:dyDescent="0.2"/>
    <row r="1467" customFormat="1" ht="12.75" x14ac:dyDescent="0.2"/>
    <row r="1468" customFormat="1" ht="12.75" x14ac:dyDescent="0.2"/>
    <row r="1469" customFormat="1" ht="12.75" x14ac:dyDescent="0.2"/>
    <row r="1470" customFormat="1" ht="12.75" x14ac:dyDescent="0.2"/>
    <row r="1471" customFormat="1" ht="12.75" x14ac:dyDescent="0.2"/>
    <row r="1472" customFormat="1" ht="12.75" x14ac:dyDescent="0.2"/>
    <row r="1473" customFormat="1" ht="12.75" x14ac:dyDescent="0.2"/>
    <row r="1474" customFormat="1" ht="12.75" x14ac:dyDescent="0.2"/>
    <row r="1483" customFormat="1" ht="12.75" x14ac:dyDescent="0.2"/>
    <row r="1484" customFormat="1" ht="12.75" x14ac:dyDescent="0.2"/>
    <row r="1487" customFormat="1" ht="12.75" x14ac:dyDescent="0.2"/>
    <row r="1488" customFormat="1" ht="12.75" x14ac:dyDescent="0.2"/>
    <row r="1497" customFormat="1" ht="12.75" x14ac:dyDescent="0.2"/>
    <row r="1498" customFormat="1" ht="12.75" x14ac:dyDescent="0.2"/>
    <row r="1499" customFormat="1" ht="12.75" x14ac:dyDescent="0.2"/>
    <row r="1500" customFormat="1" ht="12.75" x14ac:dyDescent="0.2"/>
    <row r="1501" customFormat="1" ht="12.75" x14ac:dyDescent="0.2"/>
    <row r="1502" customFormat="1" ht="12.75" x14ac:dyDescent="0.2"/>
    <row r="1503" customFormat="1" ht="12.75" x14ac:dyDescent="0.2"/>
    <row r="1504" customFormat="1" ht="12.75" x14ac:dyDescent="0.2"/>
    <row r="1505" customFormat="1" ht="12.75" x14ac:dyDescent="0.2"/>
    <row r="1506" customFormat="1" ht="12.75" x14ac:dyDescent="0.2"/>
    <row r="1507" customFormat="1" ht="12.75" x14ac:dyDescent="0.2"/>
    <row r="1508" customFormat="1" ht="12.75" x14ac:dyDescent="0.2"/>
    <row r="1509" customFormat="1" ht="12.75" x14ac:dyDescent="0.2"/>
    <row r="1510" customFormat="1" ht="12.75" x14ac:dyDescent="0.2"/>
    <row r="1511" customFormat="1" ht="12.75" x14ac:dyDescent="0.2"/>
    <row r="1512" customFormat="1" ht="12.75" x14ac:dyDescent="0.2"/>
    <row r="1513" customFormat="1" ht="12.75" x14ac:dyDescent="0.2"/>
    <row r="1514" customFormat="1" ht="12.75" x14ac:dyDescent="0.2"/>
    <row r="1515" customFormat="1" ht="12.75" x14ac:dyDescent="0.2"/>
    <row r="1516" customFormat="1" ht="12.75" x14ac:dyDescent="0.2"/>
    <row r="1517" customFormat="1" ht="12.75" x14ac:dyDescent="0.2"/>
    <row r="1518" customFormat="1" ht="12.75" x14ac:dyDescent="0.2"/>
    <row r="1519" customFormat="1" ht="12.75" x14ac:dyDescent="0.2"/>
    <row r="1520" customFormat="1" ht="12.75" x14ac:dyDescent="0.2"/>
    <row r="1521" customFormat="1" ht="12.75" x14ac:dyDescent="0.2"/>
    <row r="1522" customFormat="1" ht="12.75" x14ac:dyDescent="0.2"/>
    <row r="1523" customFormat="1" ht="12.75" x14ac:dyDescent="0.2"/>
    <row r="1524" customFormat="1" ht="12.75" x14ac:dyDescent="0.2"/>
    <row r="1525" customFormat="1" ht="12.75" x14ac:dyDescent="0.2"/>
    <row r="1526" customFormat="1" ht="12.75" x14ac:dyDescent="0.2"/>
    <row r="1527" customFormat="1" ht="12.75" x14ac:dyDescent="0.2"/>
    <row r="1528" customFormat="1" ht="12.75" x14ac:dyDescent="0.2"/>
    <row r="1529" customFormat="1" ht="12.75" x14ac:dyDescent="0.2"/>
    <row r="1530" customFormat="1" ht="12.75" x14ac:dyDescent="0.2"/>
    <row r="1531" customFormat="1" ht="12.75" x14ac:dyDescent="0.2"/>
    <row r="1532" customFormat="1" ht="12.75" x14ac:dyDescent="0.2"/>
    <row r="1533" customFormat="1" ht="12.75" x14ac:dyDescent="0.2"/>
    <row r="1534" customFormat="1" ht="12.75" x14ac:dyDescent="0.2"/>
    <row r="1535" customFormat="1" ht="12.75" x14ac:dyDescent="0.2"/>
    <row r="1536" customFormat="1" ht="12.75" x14ac:dyDescent="0.2"/>
    <row r="1537" customFormat="1" ht="12.75" x14ac:dyDescent="0.2"/>
    <row r="1538" customFormat="1" ht="12.75" x14ac:dyDescent="0.2"/>
    <row r="1539" customFormat="1" ht="12.75" x14ac:dyDescent="0.2"/>
    <row r="1540" customFormat="1" ht="12.75" x14ac:dyDescent="0.2"/>
    <row r="1541" customFormat="1" ht="12.75" x14ac:dyDescent="0.2"/>
    <row r="1542" customFormat="1" ht="12.75" x14ac:dyDescent="0.2"/>
    <row r="1543" customFormat="1" ht="12.75" x14ac:dyDescent="0.2"/>
    <row r="1544" customFormat="1" ht="12.75" x14ac:dyDescent="0.2"/>
    <row r="1545" customFormat="1" ht="12.75" x14ac:dyDescent="0.2"/>
    <row r="1546" customFormat="1" ht="12.75" x14ac:dyDescent="0.2"/>
    <row r="1547" customFormat="1" ht="12.75" x14ac:dyDescent="0.2"/>
    <row r="1548" customFormat="1" ht="12.75" x14ac:dyDescent="0.2"/>
    <row r="1549" customFormat="1" ht="12.75" x14ac:dyDescent="0.2"/>
    <row r="1550" customFormat="1" ht="12.75" x14ac:dyDescent="0.2"/>
    <row r="1551" customFormat="1" ht="12.75" x14ac:dyDescent="0.2"/>
    <row r="1552" customFormat="1" ht="12.75" x14ac:dyDescent="0.2"/>
    <row r="1553" customFormat="1" ht="12.75" x14ac:dyDescent="0.2"/>
    <row r="1554" customFormat="1" ht="12.75" x14ac:dyDescent="0.2"/>
    <row r="1555" customFormat="1" ht="12.75" x14ac:dyDescent="0.2"/>
    <row r="1556" customFormat="1" ht="12.75" x14ac:dyDescent="0.2"/>
    <row r="1557" customFormat="1" ht="12.75" x14ac:dyDescent="0.2"/>
    <row r="1558" customFormat="1" ht="12.75" x14ac:dyDescent="0.2"/>
    <row r="1559" customFormat="1" ht="12.75" x14ac:dyDescent="0.2"/>
    <row r="1560" customFormat="1" ht="12.75" x14ac:dyDescent="0.2"/>
    <row r="1561" customFormat="1" ht="12.75" x14ac:dyDescent="0.2"/>
    <row r="1562" customFormat="1" ht="12.75" x14ac:dyDescent="0.2"/>
    <row r="1563" customFormat="1" ht="12.75" x14ac:dyDescent="0.2"/>
    <row r="1564" customFormat="1" ht="12.75" x14ac:dyDescent="0.2"/>
    <row r="1565" customFormat="1" ht="12.75" x14ac:dyDescent="0.2"/>
    <row r="1566" customFormat="1" ht="12.75" x14ac:dyDescent="0.2"/>
    <row r="1567" customFormat="1" ht="12.75" x14ac:dyDescent="0.2"/>
    <row r="1568" customFormat="1" ht="12.75" x14ac:dyDescent="0.2"/>
    <row r="1569" customFormat="1" ht="12.75" x14ac:dyDescent="0.2"/>
    <row r="1570" customFormat="1" ht="12.75" x14ac:dyDescent="0.2"/>
    <row r="1571" customFormat="1" ht="12.75" x14ac:dyDescent="0.2"/>
    <row r="1572" customFormat="1" ht="12.75" x14ac:dyDescent="0.2"/>
    <row r="1573" customFormat="1" ht="12.75" x14ac:dyDescent="0.2"/>
    <row r="1574" customFormat="1" ht="12.75" x14ac:dyDescent="0.2"/>
    <row r="1575" customFormat="1" ht="12.75" x14ac:dyDescent="0.2"/>
    <row r="1576" customFormat="1" ht="12.75" x14ac:dyDescent="0.2"/>
    <row r="1577" customFormat="1" ht="12.75" x14ac:dyDescent="0.2"/>
    <row r="1578" customFormat="1" ht="12.75" x14ac:dyDescent="0.2"/>
    <row r="1579" customFormat="1" ht="12.75" x14ac:dyDescent="0.2"/>
    <row r="1580" customFormat="1" ht="12.75" x14ac:dyDescent="0.2"/>
    <row r="1581" customFormat="1" ht="12.75" x14ac:dyDescent="0.2"/>
    <row r="1582" customFormat="1" ht="12.75" x14ac:dyDescent="0.2"/>
    <row r="1583" customFormat="1" ht="12.75" x14ac:dyDescent="0.2"/>
    <row r="1584" customFormat="1" ht="12.75" x14ac:dyDescent="0.2"/>
    <row r="1585" customFormat="1" ht="12.75" x14ac:dyDescent="0.2"/>
    <row r="1586" customFormat="1" ht="12.75" x14ac:dyDescent="0.2"/>
    <row r="1587" customFormat="1" ht="12.75" x14ac:dyDescent="0.2"/>
    <row r="1588" customFormat="1" ht="12.75" x14ac:dyDescent="0.2"/>
    <row r="1589" customFormat="1" ht="12.75" x14ac:dyDescent="0.2"/>
    <row r="1590" customFormat="1" ht="12.75" x14ac:dyDescent="0.2"/>
    <row r="1591" customFormat="1" ht="12.75" x14ac:dyDescent="0.2"/>
    <row r="1592" customFormat="1" ht="12.75" x14ac:dyDescent="0.2"/>
    <row r="1593" customFormat="1" ht="12.75" x14ac:dyDescent="0.2"/>
    <row r="1594" customFormat="1" ht="12.75" x14ac:dyDescent="0.2"/>
    <row r="1595" customFormat="1" ht="12.75" x14ac:dyDescent="0.2"/>
    <row r="1596" customFormat="1" ht="12.75" x14ac:dyDescent="0.2"/>
    <row r="1597" customFormat="1" ht="12.75" x14ac:dyDescent="0.2"/>
    <row r="1598" customFormat="1" ht="12.75" x14ac:dyDescent="0.2"/>
    <row r="1599" customFormat="1" ht="12.75" x14ac:dyDescent="0.2"/>
    <row r="1600" customFormat="1" ht="12.75" x14ac:dyDescent="0.2"/>
    <row r="1601" customFormat="1" ht="12.75" x14ac:dyDescent="0.2"/>
    <row r="1602" customFormat="1" ht="12.75" x14ac:dyDescent="0.2"/>
    <row r="1603" customFormat="1" ht="12.75" x14ac:dyDescent="0.2"/>
    <row r="1604" customFormat="1" ht="12.75" x14ac:dyDescent="0.2"/>
    <row r="1605" customFormat="1" ht="12.75" x14ac:dyDescent="0.2"/>
    <row r="1606" customFormat="1" ht="12.75" x14ac:dyDescent="0.2"/>
    <row r="1607" customFormat="1" ht="12.75" x14ac:dyDescent="0.2"/>
    <row r="1608" customFormat="1" ht="12.75" x14ac:dyDescent="0.2"/>
    <row r="1609" customFormat="1" ht="12.75" x14ac:dyDescent="0.2"/>
    <row r="1610" customFormat="1" ht="12.75" x14ac:dyDescent="0.2"/>
    <row r="1611" customFormat="1" ht="12.75" x14ac:dyDescent="0.2"/>
    <row r="1612" customFormat="1" ht="12.75" x14ac:dyDescent="0.2"/>
    <row r="1613" customFormat="1" ht="12.75" x14ac:dyDescent="0.2"/>
    <row r="1614" customFormat="1" ht="12.75" x14ac:dyDescent="0.2"/>
    <row r="1615" customFormat="1" ht="12.75" x14ac:dyDescent="0.2"/>
    <row r="1616" customFormat="1" ht="12.75" x14ac:dyDescent="0.2"/>
    <row r="1617" customFormat="1" ht="12.75" x14ac:dyDescent="0.2"/>
    <row r="1618" customFormat="1" ht="12.75" x14ac:dyDescent="0.2"/>
    <row r="1619" customFormat="1" ht="12.75" x14ac:dyDescent="0.2"/>
    <row r="1620" customFormat="1" ht="12.75" x14ac:dyDescent="0.2"/>
    <row r="1621" customFormat="1" ht="12.75" x14ac:dyDescent="0.2"/>
    <row r="1622" customFormat="1" ht="12.75" x14ac:dyDescent="0.2"/>
    <row r="1623" customFormat="1" ht="12.75" x14ac:dyDescent="0.2"/>
    <row r="1624" customFormat="1" ht="12.75" x14ac:dyDescent="0.2"/>
    <row r="1625" customFormat="1" ht="12.75" x14ac:dyDescent="0.2"/>
    <row r="1626" customFormat="1" ht="12.75" x14ac:dyDescent="0.2"/>
    <row r="1627" customFormat="1" ht="12.75" x14ac:dyDescent="0.2"/>
    <row r="1628" customFormat="1" ht="12.75" x14ac:dyDescent="0.2"/>
    <row r="1629" customFormat="1" ht="12.75" x14ac:dyDescent="0.2"/>
    <row r="1630" customFormat="1" ht="12.75" x14ac:dyDescent="0.2"/>
    <row r="1631" customFormat="1" ht="12.75" x14ac:dyDescent="0.2"/>
    <row r="1632" customFormat="1" ht="12.75" x14ac:dyDescent="0.2"/>
    <row r="1633" customFormat="1" ht="12.75" x14ac:dyDescent="0.2"/>
    <row r="1634" customFormat="1" ht="12.75" x14ac:dyDescent="0.2"/>
    <row r="1635" customFormat="1" ht="12.75" x14ac:dyDescent="0.2"/>
    <row r="1636" customFormat="1" ht="12.75" x14ac:dyDescent="0.2"/>
    <row r="1637" customFormat="1" ht="12.75" x14ac:dyDescent="0.2"/>
    <row r="1638" customFormat="1" ht="12.75" x14ac:dyDescent="0.2"/>
    <row r="1639" customFormat="1" ht="12.75" x14ac:dyDescent="0.2"/>
    <row r="1640" customFormat="1" ht="12.75" x14ac:dyDescent="0.2"/>
    <row r="1641" customFormat="1" ht="12.75" x14ac:dyDescent="0.2"/>
    <row r="1642" customFormat="1" ht="12.75" x14ac:dyDescent="0.2"/>
    <row r="1643" customFormat="1" ht="12.75" x14ac:dyDescent="0.2"/>
    <row r="1644" customFormat="1" ht="12.75" x14ac:dyDescent="0.2"/>
    <row r="1645" customFormat="1" ht="12.75" x14ac:dyDescent="0.2"/>
    <row r="1646" customFormat="1" ht="12.75" x14ac:dyDescent="0.2"/>
    <row r="1647" customFormat="1" ht="12.75" x14ac:dyDescent="0.2"/>
    <row r="1648" customFormat="1" ht="12.75" x14ac:dyDescent="0.2"/>
    <row r="1649" customFormat="1" ht="12.75" x14ac:dyDescent="0.2"/>
    <row r="1650" customFormat="1" ht="12.75" x14ac:dyDescent="0.2"/>
    <row r="1651" customFormat="1" ht="12.75" x14ac:dyDescent="0.2"/>
    <row r="1652" customFormat="1" ht="12.75" x14ac:dyDescent="0.2"/>
    <row r="1653" customFormat="1" ht="12.75" x14ac:dyDescent="0.2"/>
    <row r="1654" customFormat="1" ht="12.75" x14ac:dyDescent="0.2"/>
    <row r="1655" customFormat="1" ht="12.75" x14ac:dyDescent="0.2"/>
    <row r="1656" customFormat="1" ht="12.75" x14ac:dyDescent="0.2"/>
    <row r="1657" customFormat="1" ht="12.75" x14ac:dyDescent="0.2"/>
    <row r="1658" customFormat="1" ht="12.75" x14ac:dyDescent="0.2"/>
    <row r="1659" customFormat="1" ht="12.75" x14ac:dyDescent="0.2"/>
    <row r="1660" customFormat="1" ht="12.75" x14ac:dyDescent="0.2"/>
    <row r="1661" customFormat="1" ht="12.75" x14ac:dyDescent="0.2"/>
    <row r="1662" customFormat="1" ht="12.75" x14ac:dyDescent="0.2"/>
    <row r="1663" customFormat="1" ht="12.75" x14ac:dyDescent="0.2"/>
    <row r="1664" customFormat="1" ht="12.75" x14ac:dyDescent="0.2"/>
    <row r="1665" customFormat="1" ht="12.75" x14ac:dyDescent="0.2"/>
    <row r="1666" customFormat="1" ht="12.75" x14ac:dyDescent="0.2"/>
    <row r="1667" customFormat="1" ht="12.75" x14ac:dyDescent="0.2"/>
    <row r="1668" customFormat="1" ht="12.75" x14ac:dyDescent="0.2"/>
    <row r="1669" customFormat="1" ht="12.75" x14ac:dyDescent="0.2"/>
    <row r="1670" customFormat="1" ht="12.75" x14ac:dyDescent="0.2"/>
    <row r="1671" customFormat="1" ht="12.75" x14ac:dyDescent="0.2"/>
    <row r="1672" customFormat="1" ht="12.75" x14ac:dyDescent="0.2"/>
    <row r="1673" customFormat="1" ht="12.75" x14ac:dyDescent="0.2"/>
    <row r="1674" customFormat="1" ht="12.75" x14ac:dyDescent="0.2"/>
    <row r="1675" customFormat="1" ht="12.75" x14ac:dyDescent="0.2"/>
    <row r="1676" customFormat="1" ht="12.75" x14ac:dyDescent="0.2"/>
    <row r="1677" customFormat="1" ht="12.75" x14ac:dyDescent="0.2"/>
    <row r="1678" customFormat="1" ht="12.75" x14ac:dyDescent="0.2"/>
    <row r="1679" customFormat="1" ht="12.75" x14ac:dyDescent="0.2"/>
    <row r="1680" customFormat="1" ht="12.75" x14ac:dyDescent="0.2"/>
    <row r="1681" customFormat="1" ht="12.75" x14ac:dyDescent="0.2"/>
    <row r="1682" customFormat="1" ht="12.75" x14ac:dyDescent="0.2"/>
    <row r="1683" customFormat="1" ht="12.75" x14ac:dyDescent="0.2"/>
    <row r="1684" customFormat="1" ht="12.75" x14ac:dyDescent="0.2"/>
    <row r="1685" customFormat="1" ht="12.75" x14ac:dyDescent="0.2"/>
    <row r="1686" customFormat="1" ht="12.75" x14ac:dyDescent="0.2"/>
    <row r="1687" customFormat="1" ht="12.75" x14ac:dyDescent="0.2"/>
    <row r="1688" customFormat="1" ht="12.75" x14ac:dyDescent="0.2"/>
    <row r="1689" customFormat="1" ht="12.75" x14ac:dyDescent="0.2"/>
    <row r="1690" customFormat="1" ht="12.75" x14ac:dyDescent="0.2"/>
    <row r="1691" customFormat="1" ht="12.75" x14ac:dyDescent="0.2"/>
    <row r="1692" customFormat="1" ht="12.75" x14ac:dyDescent="0.2"/>
    <row r="1693" customFormat="1" ht="12.75" x14ac:dyDescent="0.2"/>
    <row r="1694" customFormat="1" ht="12.75" x14ac:dyDescent="0.2"/>
    <row r="1695" customFormat="1" ht="12.75" x14ac:dyDescent="0.2"/>
    <row r="1696" customFormat="1" ht="12.75" x14ac:dyDescent="0.2"/>
    <row r="1697" customFormat="1" ht="12.75" x14ac:dyDescent="0.2"/>
    <row r="1698" customFormat="1" ht="12.75" x14ac:dyDescent="0.2"/>
    <row r="1699" customFormat="1" ht="12.75" x14ac:dyDescent="0.2"/>
    <row r="1700" customFormat="1" ht="12.75" x14ac:dyDescent="0.2"/>
    <row r="1701" customFormat="1" ht="12.75" x14ac:dyDescent="0.2"/>
    <row r="1702" customFormat="1" ht="12.75" x14ac:dyDescent="0.2"/>
    <row r="1703" customFormat="1" ht="12.75" x14ac:dyDescent="0.2"/>
    <row r="1704" customFormat="1" ht="12.75" x14ac:dyDescent="0.2"/>
    <row r="1705" customFormat="1" ht="12.75" x14ac:dyDescent="0.2"/>
    <row r="1706" customFormat="1" ht="12.75" x14ac:dyDescent="0.2"/>
    <row r="1707" customFormat="1" ht="12.75" x14ac:dyDescent="0.2"/>
    <row r="1708" customFormat="1" ht="12.75" x14ac:dyDescent="0.2"/>
    <row r="1709" customFormat="1" ht="12.75" x14ac:dyDescent="0.2"/>
    <row r="1710" customFormat="1" ht="12.75" x14ac:dyDescent="0.2"/>
    <row r="1711" customFormat="1" ht="12.75" x14ac:dyDescent="0.2"/>
    <row r="1712" customFormat="1" ht="12.75" x14ac:dyDescent="0.2"/>
    <row r="1713" customFormat="1" ht="12.75" x14ac:dyDescent="0.2"/>
    <row r="1714" customFormat="1" ht="12.75" x14ac:dyDescent="0.2"/>
    <row r="1715" customFormat="1" ht="12.75" x14ac:dyDescent="0.2"/>
    <row r="1716" customFormat="1" ht="12.75" x14ac:dyDescent="0.2"/>
    <row r="1717" customFormat="1" ht="12.75" x14ac:dyDescent="0.2"/>
    <row r="1718" customFormat="1" ht="12.75" x14ac:dyDescent="0.2"/>
    <row r="1719" customFormat="1" ht="12.75" x14ac:dyDescent="0.2"/>
    <row r="1720" customFormat="1" ht="12.75" x14ac:dyDescent="0.2"/>
    <row r="1721" customFormat="1" ht="12.75" x14ac:dyDescent="0.2"/>
    <row r="1722" customFormat="1" ht="12.75" x14ac:dyDescent="0.2"/>
    <row r="1723" customFormat="1" ht="12.75" x14ac:dyDescent="0.2"/>
    <row r="1724" customFormat="1" ht="12.75" x14ac:dyDescent="0.2"/>
    <row r="1725" customFormat="1" ht="12.75" x14ac:dyDescent="0.2"/>
    <row r="1726" customFormat="1" ht="12.75" x14ac:dyDescent="0.2"/>
    <row r="1727" customFormat="1" ht="12.75" x14ac:dyDescent="0.2"/>
    <row r="1728" customFormat="1" ht="12.75" x14ac:dyDescent="0.2"/>
    <row r="1729" customFormat="1" ht="12.75" x14ac:dyDescent="0.2"/>
    <row r="1730" customFormat="1" ht="12.75" x14ac:dyDescent="0.2"/>
    <row r="1731" customFormat="1" ht="12.75" x14ac:dyDescent="0.2"/>
    <row r="1732" customFormat="1" ht="12.75" x14ac:dyDescent="0.2"/>
    <row r="1733" customFormat="1" ht="12.75" x14ac:dyDescent="0.2"/>
    <row r="1734" customFormat="1" ht="12.75" x14ac:dyDescent="0.2"/>
    <row r="1735" customFormat="1" ht="12.75" x14ac:dyDescent="0.2"/>
    <row r="1736" customFormat="1" ht="12.75" x14ac:dyDescent="0.2"/>
    <row r="1737" customFormat="1" ht="12.75" x14ac:dyDescent="0.2"/>
    <row r="1738" customFormat="1" ht="12.75" x14ac:dyDescent="0.2"/>
    <row r="1739" customFormat="1" ht="12.75" x14ac:dyDescent="0.2"/>
    <row r="1740" customFormat="1" ht="12.75" x14ac:dyDescent="0.2"/>
    <row r="1741" customFormat="1" ht="12.75" x14ac:dyDescent="0.2"/>
    <row r="1742" customFormat="1" ht="12.75" x14ac:dyDescent="0.2"/>
    <row r="1743" customFormat="1" ht="12.75" x14ac:dyDescent="0.2"/>
    <row r="1744" customFormat="1" ht="12.75" x14ac:dyDescent="0.2"/>
    <row r="1745" customFormat="1" ht="12.75" x14ac:dyDescent="0.2"/>
    <row r="1746" customFormat="1" ht="12.75" x14ac:dyDescent="0.2"/>
    <row r="1747" customFormat="1" ht="12.75" x14ac:dyDescent="0.2"/>
    <row r="1748" customFormat="1" ht="12.75" x14ac:dyDescent="0.2"/>
    <row r="1749" customFormat="1" ht="12.75" x14ac:dyDescent="0.2"/>
    <row r="1750" customFormat="1" ht="12.75" x14ac:dyDescent="0.2"/>
    <row r="1751" customFormat="1" ht="12.75" x14ac:dyDescent="0.2"/>
    <row r="1752" customFormat="1" ht="12.75" x14ac:dyDescent="0.2"/>
    <row r="1753" customFormat="1" ht="12.75" x14ac:dyDescent="0.2"/>
    <row r="1754" customFormat="1" ht="12.75" x14ac:dyDescent="0.2"/>
    <row r="1755" customFormat="1" ht="12.75" x14ac:dyDescent="0.2"/>
    <row r="1756" customFormat="1" ht="12.75" x14ac:dyDescent="0.2"/>
    <row r="1757" customFormat="1" ht="12.75" x14ac:dyDescent="0.2"/>
    <row r="1758" customFormat="1" ht="12.75" x14ac:dyDescent="0.2"/>
    <row r="1759" customFormat="1" ht="12.75" x14ac:dyDescent="0.2"/>
    <row r="1760" customFormat="1" ht="12.75" x14ac:dyDescent="0.2"/>
    <row r="1761" customFormat="1" ht="12.75" x14ac:dyDescent="0.2"/>
    <row r="1762" customFormat="1" ht="12.75" x14ac:dyDescent="0.2"/>
    <row r="1763" customFormat="1" ht="12.75" x14ac:dyDescent="0.2"/>
    <row r="1764" customFormat="1" ht="12.75" x14ac:dyDescent="0.2"/>
    <row r="1765" customFormat="1" ht="12.75" x14ac:dyDescent="0.2"/>
    <row r="1766" customFormat="1" ht="12.75" x14ac:dyDescent="0.2"/>
    <row r="1767" customFormat="1" ht="12.75" x14ac:dyDescent="0.2"/>
    <row r="1768" customFormat="1" ht="12.75" x14ac:dyDescent="0.2"/>
    <row r="1769" customFormat="1" ht="12.75" x14ac:dyDescent="0.2"/>
    <row r="1770" customFormat="1" ht="12.75" x14ac:dyDescent="0.2"/>
    <row r="1771" customFormat="1" ht="12.75" x14ac:dyDescent="0.2"/>
    <row r="1772" customFormat="1" ht="12.75" x14ac:dyDescent="0.2"/>
  </sheetData>
  <mergeCells count="5">
    <mergeCell ref="C150:C156"/>
    <mergeCell ref="C122:C128"/>
    <mergeCell ref="C129:C135"/>
    <mergeCell ref="C136:C142"/>
    <mergeCell ref="C143:C149"/>
  </mergeCells>
  <pageMargins left="0.7" right="0.7" top="0.75" bottom="0.75" header="0.3" footer="0.3"/>
  <pageSetup orientation="portrait" r:id="rId1"/>
  <ignoredErrors>
    <ignoredError sqref="F20:M20 H1287:M1287 F26:M26" numberStoredAsText="1"/>
    <ignoredError sqref="F249:M249 F225:M225" formulaRange="1"/>
    <ignoredError sqref="F1278:M1278" formula="1"/>
  </ignoredErrors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AH311"/>
  <sheetViews>
    <sheetView topLeftCell="C1" zoomScale="85" zoomScaleNormal="85" workbookViewId="0">
      <selection activeCell="E9" sqref="E9"/>
    </sheetView>
  </sheetViews>
  <sheetFormatPr baseColWidth="10" defaultColWidth="11.42578125" defaultRowHeight="15" outlineLevelRow="1" x14ac:dyDescent="0.25"/>
  <cols>
    <col min="1" max="2" width="11.42578125" style="888"/>
    <col min="3" max="3" width="22.28515625" style="888" customWidth="1"/>
    <col min="4" max="4" width="60.5703125" style="888" customWidth="1"/>
    <col min="5" max="6" width="28" style="888" customWidth="1"/>
    <col min="7" max="13" width="13.85546875" style="888" bestFit="1" customWidth="1"/>
    <col min="14" max="16384" width="11.42578125" style="888"/>
  </cols>
  <sheetData>
    <row r="1" spans="1:34" ht="21" x14ac:dyDescent="0.35">
      <c r="A1" s="887" t="s">
        <v>478</v>
      </c>
      <c r="B1" s="750" t="s">
        <v>424</v>
      </c>
      <c r="C1" s="887"/>
    </row>
    <row r="2" spans="1:34" ht="21" x14ac:dyDescent="0.35">
      <c r="A2" s="887" t="s">
        <v>554</v>
      </c>
      <c r="B2" s="887" t="str">
        <f>INDEX(Modulos[Modulos], MATCH($A2, Modulos[Código], 0))</f>
        <v>Comercial y Púbico</v>
      </c>
      <c r="C2" s="887"/>
    </row>
    <row r="4" spans="1:34" ht="15.75" x14ac:dyDescent="0.25">
      <c r="B4" s="889" t="s">
        <v>144</v>
      </c>
      <c r="C4" s="890"/>
      <c r="D4" s="890"/>
      <c r="E4" s="890"/>
      <c r="F4" s="890"/>
      <c r="G4" s="890"/>
      <c r="H4" s="890"/>
      <c r="I4" s="890"/>
      <c r="J4" s="890"/>
      <c r="K4" s="890"/>
      <c r="L4" s="890"/>
      <c r="M4" s="890"/>
      <c r="N4" s="890"/>
    </row>
    <row r="5" spans="1:34" x14ac:dyDescent="0.25">
      <c r="B5" s="891"/>
      <c r="C5" s="892"/>
      <c r="D5" s="892"/>
      <c r="E5" s="892"/>
      <c r="F5" s="892"/>
      <c r="G5" s="892"/>
      <c r="H5" s="892"/>
      <c r="I5" s="892"/>
      <c r="J5" s="892"/>
      <c r="K5" s="892"/>
      <c r="L5" s="892"/>
      <c r="M5" s="892"/>
      <c r="N5" s="892"/>
    </row>
    <row r="6" spans="1:34" x14ac:dyDescent="0.25">
      <c r="B6" s="891"/>
      <c r="C6" s="892"/>
      <c r="D6" s="893" t="s">
        <v>2</v>
      </c>
      <c r="E6" s="893" t="s">
        <v>3</v>
      </c>
      <c r="F6" s="892"/>
      <c r="G6" s="892"/>
      <c r="H6" s="892"/>
      <c r="I6" s="892"/>
      <c r="J6" s="892"/>
      <c r="K6" s="892"/>
      <c r="L6" s="892"/>
      <c r="M6" s="892"/>
      <c r="N6" s="892"/>
    </row>
    <row r="7" spans="1:34" ht="18.75" x14ac:dyDescent="0.3">
      <c r="B7" s="891"/>
      <c r="C7" s="2966" t="s">
        <v>1967</v>
      </c>
      <c r="D7" s="894" t="s">
        <v>2132</v>
      </c>
      <c r="E7" s="894">
        <f>Control!F89</f>
        <v>1</v>
      </c>
      <c r="F7" s="892"/>
      <c r="G7" s="892"/>
      <c r="H7" s="892"/>
      <c r="I7" s="892"/>
      <c r="J7" s="892"/>
      <c r="K7" s="892"/>
      <c r="L7" s="892"/>
      <c r="M7" s="892"/>
      <c r="N7" s="892"/>
    </row>
    <row r="8" spans="1:34" ht="19.5" customHeight="1" x14ac:dyDescent="0.3">
      <c r="B8" s="891"/>
      <c r="C8" s="2966" t="s">
        <v>1968</v>
      </c>
      <c r="D8" s="894" t="s">
        <v>1965</v>
      </c>
      <c r="E8" s="894">
        <f>Control!F89</f>
        <v>1</v>
      </c>
      <c r="F8" s="892"/>
      <c r="G8" s="892"/>
      <c r="H8" s="892"/>
      <c r="I8" s="892"/>
      <c r="J8" s="892"/>
      <c r="K8" s="892"/>
      <c r="L8" s="892"/>
      <c r="M8" s="892"/>
      <c r="N8" s="892"/>
    </row>
    <row r="9" spans="1:34" ht="18.75" x14ac:dyDescent="0.3">
      <c r="B9" s="891"/>
      <c r="C9" s="892"/>
      <c r="D9" s="894"/>
      <c r="E9" s="894"/>
      <c r="F9" s="3161"/>
      <c r="G9" s="892"/>
      <c r="H9" s="892"/>
      <c r="I9" s="892"/>
      <c r="J9" s="892"/>
      <c r="K9" s="892"/>
      <c r="L9" s="892"/>
      <c r="M9" s="892"/>
      <c r="N9" s="892"/>
    </row>
    <row r="11" spans="1:34" ht="15.75" x14ac:dyDescent="0.25">
      <c r="B11" s="895" t="s">
        <v>323</v>
      </c>
      <c r="C11" s="896"/>
      <c r="D11" s="897"/>
      <c r="E11" s="898"/>
      <c r="F11" s="897"/>
      <c r="G11" s="897"/>
      <c r="H11" s="897"/>
      <c r="I11" s="897"/>
      <c r="J11" s="897"/>
      <c r="K11" s="897"/>
      <c r="L11" s="897"/>
      <c r="M11" s="897"/>
      <c r="N11" s="897"/>
    </row>
    <row r="12" spans="1:34" ht="15.75" x14ac:dyDescent="0.25">
      <c r="B12" s="899"/>
      <c r="C12" s="900"/>
      <c r="D12" s="900"/>
      <c r="E12" s="900"/>
      <c r="F12" s="901"/>
      <c r="G12" s="901"/>
      <c r="H12" s="901"/>
      <c r="I12" s="901"/>
      <c r="J12" s="901"/>
      <c r="K12" s="901"/>
      <c r="L12" s="901"/>
      <c r="M12" s="901"/>
      <c r="N12" s="901"/>
    </row>
    <row r="13" spans="1:34" s="1009" customFormat="1" ht="15.75" x14ac:dyDescent="0.25">
      <c r="A13" s="1023"/>
      <c r="B13" s="1040"/>
      <c r="C13" s="1034" t="s">
        <v>1904</v>
      </c>
      <c r="D13" s="1035"/>
      <c r="E13" s="1035"/>
      <c r="F13" s="1035"/>
      <c r="G13" s="1035"/>
      <c r="H13" s="1035"/>
      <c r="I13" s="1035"/>
      <c r="J13" s="1035"/>
      <c r="K13" s="1035"/>
      <c r="L13" s="1035"/>
      <c r="M13" s="2732" t="s">
        <v>171</v>
      </c>
      <c r="N13" s="1035"/>
      <c r="AE13" s="1028"/>
      <c r="AF13" s="1029"/>
      <c r="AG13" s="1029"/>
      <c r="AH13" s="1030"/>
    </row>
    <row r="14" spans="1:34" s="1009" customFormat="1" ht="15.75" x14ac:dyDescent="0.25">
      <c r="A14" s="1023"/>
      <c r="B14" s="1040"/>
      <c r="C14" s="1036"/>
      <c r="D14" s="1036" t="s">
        <v>15</v>
      </c>
      <c r="E14" s="1036" t="s">
        <v>8</v>
      </c>
      <c r="F14" s="1037" t="s">
        <v>16</v>
      </c>
      <c r="G14" s="1037" t="s">
        <v>17</v>
      </c>
      <c r="H14" s="1037" t="s">
        <v>18</v>
      </c>
      <c r="I14" s="1037" t="s">
        <v>19</v>
      </c>
      <c r="J14" s="1037" t="s">
        <v>20</v>
      </c>
      <c r="K14" s="1037" t="s">
        <v>21</v>
      </c>
      <c r="L14" s="1037" t="s">
        <v>22</v>
      </c>
      <c r="M14" s="1037" t="s">
        <v>23</v>
      </c>
      <c r="N14" s="1035"/>
      <c r="AE14" s="1028"/>
      <c r="AF14" s="1029"/>
      <c r="AG14" s="1029"/>
      <c r="AH14" s="1030"/>
    </row>
    <row r="15" spans="1:34" s="1009" customFormat="1" ht="15.75" x14ac:dyDescent="0.25">
      <c r="A15" s="1023"/>
      <c r="B15" s="1040"/>
      <c r="C15" s="1038"/>
      <c r="D15" s="1038" t="s">
        <v>1900</v>
      </c>
      <c r="E15" s="1039"/>
      <c r="F15" s="3160">
        <f>D.a!F117</f>
        <v>16.023783652446291</v>
      </c>
      <c r="G15" s="2730">
        <f>D.a!G117</f>
        <v>18.107838024382058</v>
      </c>
      <c r="H15" s="2730">
        <f>D.a!H117</f>
        <v>21.272658265807451</v>
      </c>
      <c r="I15" s="2730">
        <f>D.a!I117</f>
        <v>25.011988224201577</v>
      </c>
      <c r="J15" s="2730">
        <f>D.a!J117</f>
        <v>28.884538522176022</v>
      </c>
      <c r="K15" s="2730">
        <f>D.a!K117</f>
        <v>32.884890962577082</v>
      </c>
      <c r="L15" s="2730">
        <f>D.a!L117</f>
        <v>37.127098330969609</v>
      </c>
      <c r="M15" s="2730">
        <f>D.a!M117</f>
        <v>39.787494366520839</v>
      </c>
      <c r="N15" s="1035"/>
      <c r="AE15" s="1028"/>
      <c r="AF15" s="1029"/>
      <c r="AG15" s="1029"/>
      <c r="AH15" s="1030"/>
    </row>
    <row r="16" spans="1:34" ht="15.75" x14ac:dyDescent="0.25">
      <c r="B16" s="902"/>
      <c r="C16" s="904"/>
      <c r="D16" s="903"/>
      <c r="E16" s="2733"/>
      <c r="F16" s="2734"/>
      <c r="G16" s="2734"/>
      <c r="H16" s="2734"/>
      <c r="I16" s="2734"/>
      <c r="J16" s="2734"/>
      <c r="K16" s="2734"/>
      <c r="L16" s="2734"/>
      <c r="M16" s="2734"/>
      <c r="N16" s="901"/>
    </row>
    <row r="17" spans="2:14" ht="15.75" x14ac:dyDescent="0.25">
      <c r="B17" s="902"/>
      <c r="C17" s="1034" t="s">
        <v>1905</v>
      </c>
      <c r="D17" s="1035"/>
      <c r="E17" s="1035"/>
      <c r="F17" s="1035"/>
      <c r="G17" s="1035"/>
      <c r="H17" s="1035"/>
      <c r="I17" s="1035"/>
      <c r="J17" s="1035"/>
      <c r="K17" s="1035"/>
      <c r="L17" s="1035"/>
      <c r="M17" s="2732" t="s">
        <v>171</v>
      </c>
      <c r="N17" s="901"/>
    </row>
    <row r="18" spans="2:14" ht="15.75" x14ac:dyDescent="0.25">
      <c r="B18" s="902"/>
      <c r="C18" s="1036"/>
      <c r="D18" s="1036" t="s">
        <v>15</v>
      </c>
      <c r="E18" s="1036" t="s">
        <v>8</v>
      </c>
      <c r="F18" s="1037" t="s">
        <v>16</v>
      </c>
      <c r="G18" s="1037" t="s">
        <v>17</v>
      </c>
      <c r="H18" s="1037" t="s">
        <v>18</v>
      </c>
      <c r="I18" s="1037" t="s">
        <v>19</v>
      </c>
      <c r="J18" s="1037" t="s">
        <v>20</v>
      </c>
      <c r="K18" s="1037" t="s">
        <v>21</v>
      </c>
      <c r="L18" s="1037" t="s">
        <v>22</v>
      </c>
      <c r="M18" s="1037" t="s">
        <v>23</v>
      </c>
      <c r="N18" s="901"/>
    </row>
    <row r="19" spans="2:14" ht="15.75" x14ac:dyDescent="0.25">
      <c r="B19" s="902"/>
      <c r="C19" s="1038"/>
      <c r="D19" s="1038" t="s">
        <v>1900</v>
      </c>
      <c r="E19" s="1039"/>
      <c r="F19" s="3160">
        <f>D.a!F118</f>
        <v>4.040587443843477</v>
      </c>
      <c r="G19" s="2730">
        <f>D.a!G118</f>
        <v>4.1887407961605039</v>
      </c>
      <c r="H19" s="2730">
        <f>D.a!H118</f>
        <v>4.4584369114539859</v>
      </c>
      <c r="I19" s="2730">
        <f>D.a!I118</f>
        <v>4.7711012091469076</v>
      </c>
      <c r="J19" s="2730">
        <f>D.a!J118</f>
        <v>5.0695194801762451</v>
      </c>
      <c r="K19" s="2730">
        <f>D.a!K118</f>
        <v>5.35485316825726</v>
      </c>
      <c r="L19" s="2730">
        <f>D.a!L118</f>
        <v>5.6387976468965464</v>
      </c>
      <c r="M19" s="2730">
        <f>D.a!M118</f>
        <v>5.9318833142248728</v>
      </c>
      <c r="N19" s="901"/>
    </row>
    <row r="20" spans="2:14" ht="15.75" x14ac:dyDescent="0.25">
      <c r="B20" s="902"/>
      <c r="C20" s="904"/>
      <c r="D20" s="903"/>
      <c r="E20" s="2733"/>
      <c r="F20" s="2734"/>
      <c r="G20" s="2734"/>
      <c r="H20" s="2734"/>
      <c r="I20" s="2734"/>
      <c r="J20" s="2734"/>
      <c r="K20" s="2734"/>
      <c r="L20" s="2734"/>
      <c r="M20" s="2734"/>
      <c r="N20" s="901"/>
    </row>
    <row r="22" spans="2:14" ht="15.75" x14ac:dyDescent="0.25">
      <c r="B22" s="905" t="s">
        <v>151</v>
      </c>
      <c r="C22" s="906"/>
      <c r="D22" s="907"/>
      <c r="E22" s="907"/>
      <c r="F22" s="907"/>
      <c r="G22" s="907"/>
      <c r="H22" s="907"/>
      <c r="I22" s="907"/>
      <c r="J22" s="907"/>
      <c r="K22" s="907"/>
      <c r="L22" s="907"/>
      <c r="M22" s="907"/>
      <c r="N22" s="907"/>
    </row>
    <row r="23" spans="2:14" x14ac:dyDescent="0.25">
      <c r="B23" s="908"/>
      <c r="C23" s="909"/>
      <c r="D23" s="909"/>
      <c r="E23" s="909"/>
      <c r="F23" s="909"/>
      <c r="G23" s="909"/>
      <c r="H23" s="909"/>
      <c r="I23" s="909"/>
      <c r="J23" s="909"/>
      <c r="K23" s="909"/>
      <c r="L23" s="909"/>
      <c r="M23" s="909"/>
      <c r="N23" s="909"/>
    </row>
    <row r="24" spans="2:14" x14ac:dyDescent="0.25">
      <c r="B24" s="909"/>
      <c r="C24" s="910" t="s">
        <v>555</v>
      </c>
      <c r="D24" s="909"/>
      <c r="E24" s="911"/>
      <c r="F24" s="909"/>
      <c r="G24" s="909"/>
      <c r="H24" s="909"/>
      <c r="I24" s="909"/>
      <c r="J24" s="909"/>
      <c r="K24" s="909"/>
      <c r="L24" s="909"/>
      <c r="M24" s="911" t="s">
        <v>171</v>
      </c>
      <c r="N24" s="909"/>
    </row>
    <row r="25" spans="2:14" ht="4.5" customHeight="1" x14ac:dyDescent="0.25">
      <c r="B25" s="909"/>
      <c r="C25" s="909"/>
      <c r="D25" s="909"/>
      <c r="E25" s="909"/>
      <c r="F25" s="909"/>
      <c r="G25" s="909"/>
      <c r="H25" s="909"/>
      <c r="I25" s="909"/>
      <c r="J25" s="909"/>
      <c r="K25" s="909"/>
      <c r="L25" s="909"/>
      <c r="M25" s="909"/>
      <c r="N25" s="909"/>
    </row>
    <row r="26" spans="2:14" x14ac:dyDescent="0.25">
      <c r="B26" s="909"/>
      <c r="C26" s="912" t="s">
        <v>3</v>
      </c>
      <c r="D26" s="912" t="s">
        <v>483</v>
      </c>
      <c r="E26" s="912" t="s">
        <v>8</v>
      </c>
      <c r="F26" s="913">
        <v>2015</v>
      </c>
      <c r="G26" s="914">
        <v>2020</v>
      </c>
      <c r="H26" s="913">
        <v>2025</v>
      </c>
      <c r="I26" s="913">
        <v>2030</v>
      </c>
      <c r="J26" s="913">
        <v>2035</v>
      </c>
      <c r="K26" s="913">
        <v>2040</v>
      </c>
      <c r="L26" s="913">
        <v>2045</v>
      </c>
      <c r="M26" s="913">
        <v>2050</v>
      </c>
      <c r="N26" s="909"/>
    </row>
    <row r="27" spans="2:14" x14ac:dyDescent="0.25">
      <c r="B27" s="909"/>
      <c r="C27" s="922" t="s">
        <v>153</v>
      </c>
      <c r="D27" s="923"/>
      <c r="E27" s="923"/>
      <c r="F27" s="401">
        <f t="shared" ref="F27:M27" si="0">F15</f>
        <v>16.023783652446291</v>
      </c>
      <c r="G27" s="401">
        <f t="shared" si="0"/>
        <v>18.107838024382058</v>
      </c>
      <c r="H27" s="401">
        <f t="shared" si="0"/>
        <v>21.272658265807451</v>
      </c>
      <c r="I27" s="401">
        <f t="shared" si="0"/>
        <v>25.011988224201577</v>
      </c>
      <c r="J27" s="401">
        <f t="shared" si="0"/>
        <v>28.884538522176022</v>
      </c>
      <c r="K27" s="401">
        <f t="shared" si="0"/>
        <v>32.884890962577082</v>
      </c>
      <c r="L27" s="401">
        <f t="shared" si="0"/>
        <v>37.127098330969609</v>
      </c>
      <c r="M27" s="401">
        <f t="shared" si="0"/>
        <v>39.787494366520839</v>
      </c>
      <c r="N27" s="909"/>
    </row>
    <row r="28" spans="2:14" x14ac:dyDescent="0.25">
      <c r="B28" s="909"/>
      <c r="C28" s="924"/>
      <c r="D28" s="916"/>
      <c r="E28" s="916"/>
      <c r="F28" s="178"/>
      <c r="G28" s="178"/>
      <c r="H28" s="178"/>
      <c r="I28" s="178"/>
      <c r="J28" s="178"/>
      <c r="K28" s="178"/>
      <c r="L28" s="178"/>
      <c r="M28" s="178"/>
      <c r="N28" s="909"/>
    </row>
    <row r="29" spans="2:14" x14ac:dyDescent="0.25">
      <c r="B29" s="909"/>
      <c r="C29" s="910" t="s">
        <v>1906</v>
      </c>
      <c r="D29" s="909"/>
      <c r="E29" s="911"/>
      <c r="F29" s="909"/>
      <c r="G29" s="909"/>
      <c r="H29" s="909"/>
      <c r="I29" s="909"/>
      <c r="J29" s="909"/>
      <c r="K29" s="909"/>
      <c r="L29" s="909"/>
      <c r="M29" s="911" t="s">
        <v>171</v>
      </c>
      <c r="N29" s="909"/>
    </row>
    <row r="30" spans="2:14" ht="4.5" customHeight="1" x14ac:dyDescent="0.25">
      <c r="B30" s="909"/>
      <c r="C30" s="909"/>
      <c r="D30" s="909"/>
      <c r="E30" s="909"/>
      <c r="F30" s="909"/>
      <c r="G30" s="909"/>
      <c r="H30" s="909"/>
      <c r="I30" s="909"/>
      <c r="J30" s="909"/>
      <c r="K30" s="909"/>
      <c r="L30" s="909"/>
      <c r="M30" s="909"/>
      <c r="N30" s="909"/>
    </row>
    <row r="31" spans="2:14" x14ac:dyDescent="0.25">
      <c r="B31" s="909"/>
      <c r="C31" s="912" t="s">
        <v>3</v>
      </c>
      <c r="D31" s="912" t="s">
        <v>483</v>
      </c>
      <c r="E31" s="912" t="s">
        <v>8</v>
      </c>
      <c r="F31" s="913">
        <v>2015</v>
      </c>
      <c r="G31" s="914">
        <v>2020</v>
      </c>
      <c r="H31" s="913">
        <v>2025</v>
      </c>
      <c r="I31" s="913">
        <v>2030</v>
      </c>
      <c r="J31" s="913">
        <v>2035</v>
      </c>
      <c r="K31" s="913">
        <v>2040</v>
      </c>
      <c r="L31" s="913">
        <v>2045</v>
      </c>
      <c r="M31" s="913">
        <v>2050</v>
      </c>
      <c r="N31" s="909"/>
    </row>
    <row r="32" spans="2:14" x14ac:dyDescent="0.25">
      <c r="B32" s="909"/>
      <c r="C32" s="922" t="s">
        <v>153</v>
      </c>
      <c r="D32" s="923"/>
      <c r="E32" s="923"/>
      <c r="F32" s="401">
        <f t="shared" ref="F32:M32" si="1">F19</f>
        <v>4.040587443843477</v>
      </c>
      <c r="G32" s="401">
        <f t="shared" si="1"/>
        <v>4.1887407961605039</v>
      </c>
      <c r="H32" s="401">
        <f t="shared" si="1"/>
        <v>4.4584369114539859</v>
      </c>
      <c r="I32" s="401">
        <f t="shared" si="1"/>
        <v>4.7711012091469076</v>
      </c>
      <c r="J32" s="401">
        <f t="shared" si="1"/>
        <v>5.0695194801762451</v>
      </c>
      <c r="K32" s="401">
        <f t="shared" si="1"/>
        <v>5.35485316825726</v>
      </c>
      <c r="L32" s="401">
        <f t="shared" si="1"/>
        <v>5.6387976468965464</v>
      </c>
      <c r="M32" s="401">
        <f t="shared" si="1"/>
        <v>5.9318833142248728</v>
      </c>
      <c r="N32" s="909"/>
    </row>
    <row r="33" spans="2:14" x14ac:dyDescent="0.25">
      <c r="B33" s="909"/>
      <c r="C33" s="924"/>
      <c r="D33" s="916"/>
      <c r="E33" s="916"/>
      <c r="F33" s="410"/>
      <c r="G33" s="410"/>
      <c r="H33" s="410"/>
      <c r="I33" s="410"/>
      <c r="J33" s="410"/>
      <c r="K33" s="410"/>
      <c r="L33" s="410"/>
      <c r="M33" s="410"/>
      <c r="N33" s="909"/>
    </row>
    <row r="34" spans="2:14" s="751" customFormat="1" x14ac:dyDescent="0.25">
      <c r="B34" s="2892" t="s">
        <v>1967</v>
      </c>
      <c r="C34" s="785" t="s">
        <v>2077</v>
      </c>
      <c r="D34" s="791"/>
      <c r="E34" s="791"/>
      <c r="F34" s="410"/>
      <c r="G34" s="410"/>
      <c r="H34" s="410"/>
      <c r="I34" s="410"/>
      <c r="J34" s="410"/>
      <c r="K34" s="410"/>
      <c r="L34" s="410"/>
      <c r="M34" s="2904"/>
      <c r="N34" s="784"/>
    </row>
    <row r="35" spans="2:14" s="751" customFormat="1" ht="14.25" customHeight="1" x14ac:dyDescent="0.25">
      <c r="B35" s="784"/>
      <c r="C35" s="800"/>
      <c r="D35" s="791"/>
      <c r="E35" s="791"/>
      <c r="F35" s="410"/>
      <c r="G35" s="410"/>
      <c r="H35" s="410"/>
      <c r="I35" s="410"/>
      <c r="J35" s="410"/>
      <c r="K35" s="410"/>
      <c r="L35" s="410"/>
      <c r="M35" s="2904" t="s">
        <v>997</v>
      </c>
      <c r="N35" s="784"/>
    </row>
    <row r="36" spans="2:14" s="751" customFormat="1" x14ac:dyDescent="0.25">
      <c r="B36" s="784"/>
      <c r="C36" s="787" t="s">
        <v>3</v>
      </c>
      <c r="D36" s="787" t="s">
        <v>483</v>
      </c>
      <c r="E36" s="787" t="s">
        <v>8</v>
      </c>
      <c r="F36" s="788">
        <v>2015</v>
      </c>
      <c r="G36" s="789">
        <v>2020</v>
      </c>
      <c r="H36" s="788">
        <v>2025</v>
      </c>
      <c r="I36" s="788">
        <v>2030</v>
      </c>
      <c r="J36" s="788">
        <v>2035</v>
      </c>
      <c r="K36" s="788">
        <v>2040</v>
      </c>
      <c r="L36" s="788">
        <v>2045</v>
      </c>
      <c r="M36" s="788">
        <v>2050</v>
      </c>
      <c r="N36" s="784"/>
    </row>
    <row r="37" spans="2:14" s="751" customFormat="1" x14ac:dyDescent="0.25">
      <c r="B37" s="784"/>
      <c r="C37" s="800">
        <v>1</v>
      </c>
      <c r="D37" s="2971" t="s">
        <v>2066</v>
      </c>
      <c r="E37" s="2971" t="s">
        <v>12</v>
      </c>
      <c r="F37" s="178">
        <v>0</v>
      </c>
      <c r="G37" s="178">
        <v>0</v>
      </c>
      <c r="H37" s="178">
        <v>0</v>
      </c>
      <c r="I37" s="178">
        <v>0</v>
      </c>
      <c r="J37" s="178">
        <v>0</v>
      </c>
      <c r="K37" s="178">
        <v>0</v>
      </c>
      <c r="L37" s="178">
        <v>0</v>
      </c>
      <c r="M37" s="178">
        <v>0</v>
      </c>
      <c r="N37" s="3309"/>
    </row>
    <row r="38" spans="2:14" s="751" customFormat="1" x14ac:dyDescent="0.25">
      <c r="B38" s="784"/>
      <c r="C38" s="800">
        <v>2</v>
      </c>
      <c r="D38" s="2971" t="s">
        <v>2066</v>
      </c>
      <c r="E38" s="2971" t="s">
        <v>133</v>
      </c>
      <c r="F38" s="178">
        <v>0</v>
      </c>
      <c r="G38" s="178">
        <v>0.10914478902750957</v>
      </c>
      <c r="H38" s="178">
        <v>0.1256087150074453</v>
      </c>
      <c r="I38" s="178">
        <v>0.12916208405413987</v>
      </c>
      <c r="J38" s="178">
        <v>0.12991643357313853</v>
      </c>
      <c r="K38" s="178">
        <v>0.1300192729875852</v>
      </c>
      <c r="L38" s="178">
        <v>0.1301245409549121</v>
      </c>
      <c r="M38" s="178">
        <v>0.13020737152737027</v>
      </c>
      <c r="N38" s="3309"/>
    </row>
    <row r="39" spans="2:14" s="751" customFormat="1" x14ac:dyDescent="0.25">
      <c r="B39" s="784"/>
      <c r="C39" s="800">
        <v>3</v>
      </c>
      <c r="D39" s="2971" t="s">
        <v>2066</v>
      </c>
      <c r="E39" s="2971" t="s">
        <v>136</v>
      </c>
      <c r="F39" s="178">
        <v>0</v>
      </c>
      <c r="G39" s="178">
        <v>0.15368754957613417</v>
      </c>
      <c r="H39" s="178">
        <v>0.16932827925707306</v>
      </c>
      <c r="I39" s="178">
        <v>0.17270397985143293</v>
      </c>
      <c r="J39" s="178">
        <v>0.17342061189448166</v>
      </c>
      <c r="K39" s="178">
        <v>0.173518309338206</v>
      </c>
      <c r="L39" s="178">
        <v>0.17361831390716653</v>
      </c>
      <c r="M39" s="178">
        <v>0.17369700295100177</v>
      </c>
      <c r="N39" s="3309"/>
    </row>
    <row r="40" spans="2:14" s="751" customFormat="1" x14ac:dyDescent="0.25">
      <c r="B40" s="784"/>
      <c r="C40" s="800">
        <v>4</v>
      </c>
      <c r="D40" s="2971" t="s">
        <v>2066</v>
      </c>
      <c r="E40" s="2971" t="s">
        <v>317</v>
      </c>
      <c r="F40" s="178">
        <v>0</v>
      </c>
      <c r="G40" s="178">
        <v>0.19823031012475856</v>
      </c>
      <c r="H40" s="178">
        <v>0.21304784350670081</v>
      </c>
      <c r="I40" s="178">
        <v>0.21624587564872588</v>
      </c>
      <c r="J40" s="178">
        <v>0.21692479021582467</v>
      </c>
      <c r="K40" s="178">
        <v>0.21701734568882669</v>
      </c>
      <c r="L40" s="178">
        <v>0.21711208685942085</v>
      </c>
      <c r="M40" s="178">
        <v>0.21718663437463326</v>
      </c>
      <c r="N40" s="3309"/>
    </row>
    <row r="41" spans="2:14" s="751" customFormat="1" x14ac:dyDescent="0.25">
      <c r="B41" s="784"/>
      <c r="C41" s="798" t="s">
        <v>153</v>
      </c>
      <c r="D41" s="799"/>
      <c r="E41" s="799"/>
      <c r="F41" s="176">
        <f t="shared" ref="F41:M41" si="2">(INDEX(F$37:F$40,ROUNDDOWN($E$7,0))*(1-MOD($E$7,1)))+(INDEX(F$37:F$40,ROUNDUP($E$7,0))*MOD($E$7,1))</f>
        <v>0</v>
      </c>
      <c r="G41" s="176">
        <f t="shared" si="2"/>
        <v>0</v>
      </c>
      <c r="H41" s="176">
        <f t="shared" si="2"/>
        <v>0</v>
      </c>
      <c r="I41" s="176">
        <f t="shared" si="2"/>
        <v>0</v>
      </c>
      <c r="J41" s="176">
        <f t="shared" si="2"/>
        <v>0</v>
      </c>
      <c r="K41" s="176">
        <f t="shared" si="2"/>
        <v>0</v>
      </c>
      <c r="L41" s="176">
        <f t="shared" si="2"/>
        <v>0</v>
      </c>
      <c r="M41" s="176">
        <f t="shared" si="2"/>
        <v>0</v>
      </c>
      <c r="N41" s="784"/>
    </row>
    <row r="42" spans="2:14" s="751" customFormat="1" x14ac:dyDescent="0.25">
      <c r="B42" s="784"/>
      <c r="C42" s="800"/>
      <c r="D42" s="791"/>
      <c r="E42" s="791"/>
      <c r="F42" s="178"/>
      <c r="G42" s="178"/>
      <c r="H42" s="178"/>
      <c r="I42" s="178"/>
      <c r="J42" s="178"/>
      <c r="K42" s="178"/>
      <c r="L42" s="178"/>
      <c r="M42" s="178"/>
      <c r="N42" s="784"/>
    </row>
    <row r="43" spans="2:14" s="751" customFormat="1" x14ac:dyDescent="0.25">
      <c r="B43" s="784"/>
      <c r="C43" s="2897" t="s">
        <v>8</v>
      </c>
      <c r="D43" s="791"/>
      <c r="E43" s="791"/>
      <c r="F43" s="2902"/>
      <c r="G43" s="2902"/>
      <c r="H43" s="2902"/>
      <c r="I43" s="2902"/>
      <c r="J43" s="2902"/>
      <c r="K43" s="2902"/>
      <c r="L43" s="2902"/>
      <c r="M43" s="2902"/>
      <c r="N43" s="784"/>
    </row>
    <row r="44" spans="2:14" s="751" customFormat="1" x14ac:dyDescent="0.25">
      <c r="B44" s="784"/>
      <c r="C44" s="2972" t="s">
        <v>12</v>
      </c>
      <c r="D44" s="2971" t="s">
        <v>2065</v>
      </c>
      <c r="E44" s="791"/>
      <c r="F44" s="2902"/>
      <c r="G44" s="2902"/>
      <c r="H44" s="2902"/>
      <c r="I44" s="2902"/>
      <c r="J44" s="2902"/>
      <c r="K44" s="2902"/>
      <c r="L44" s="2902"/>
      <c r="M44" s="2902"/>
      <c r="N44" s="784"/>
    </row>
    <row r="45" spans="2:14" s="751" customFormat="1" x14ac:dyDescent="0.25">
      <c r="B45" s="784"/>
      <c r="C45" s="800"/>
      <c r="D45" s="2896" t="s">
        <v>1989</v>
      </c>
      <c r="E45" s="791"/>
      <c r="F45" s="2902"/>
      <c r="G45" s="2902"/>
      <c r="H45" s="2902"/>
      <c r="I45" s="2902"/>
      <c r="J45" s="2902"/>
      <c r="K45" s="2902"/>
      <c r="L45" s="2902"/>
      <c r="M45" s="2902"/>
      <c r="N45" s="784"/>
    </row>
    <row r="46" spans="2:14" s="751" customFormat="1" ht="3.75" customHeight="1" x14ac:dyDescent="0.25">
      <c r="B46" s="784"/>
      <c r="C46" s="800"/>
      <c r="D46" s="2896"/>
      <c r="E46" s="791"/>
      <c r="F46" s="2902"/>
      <c r="G46" s="2902"/>
      <c r="H46" s="2902"/>
      <c r="I46" s="2902"/>
      <c r="J46" s="2902"/>
      <c r="K46" s="2902"/>
      <c r="L46" s="2902"/>
      <c r="M46" s="2902"/>
      <c r="N46" s="784"/>
    </row>
    <row r="47" spans="2:14" s="751" customFormat="1" x14ac:dyDescent="0.25">
      <c r="B47" s="784"/>
      <c r="C47" s="2972" t="s">
        <v>133</v>
      </c>
      <c r="D47" s="2971" t="s">
        <v>2065</v>
      </c>
      <c r="E47" s="791"/>
      <c r="F47" s="2902"/>
      <c r="G47" s="2902"/>
      <c r="H47" s="2902"/>
      <c r="I47" s="2902"/>
      <c r="J47" s="2902"/>
      <c r="K47" s="2902"/>
      <c r="L47" s="2902"/>
      <c r="M47" s="2902"/>
      <c r="N47" s="784"/>
    </row>
    <row r="48" spans="2:14" s="751" customFormat="1" x14ac:dyDescent="0.25">
      <c r="B48" s="784"/>
      <c r="C48" s="800"/>
      <c r="D48" s="2896" t="s">
        <v>1990</v>
      </c>
      <c r="E48" s="791"/>
      <c r="F48" s="2902"/>
      <c r="G48" s="2902"/>
      <c r="H48" s="2902"/>
      <c r="I48" s="2902"/>
      <c r="J48" s="2902"/>
      <c r="K48" s="2902"/>
      <c r="L48" s="2902"/>
      <c r="M48" s="2902"/>
      <c r="N48" s="784"/>
    </row>
    <row r="49" spans="2:14" s="751" customFormat="1" ht="3.75" customHeight="1" x14ac:dyDescent="0.25">
      <c r="B49" s="784"/>
      <c r="C49" s="800"/>
      <c r="D49" s="2896"/>
      <c r="E49" s="791"/>
      <c r="F49" s="2902"/>
      <c r="G49" s="2902"/>
      <c r="H49" s="2902"/>
      <c r="I49" s="2902"/>
      <c r="J49" s="2902"/>
      <c r="K49" s="2902"/>
      <c r="L49" s="2902"/>
      <c r="M49" s="2902"/>
      <c r="N49" s="784"/>
    </row>
    <row r="50" spans="2:14" s="751" customFormat="1" x14ac:dyDescent="0.25">
      <c r="B50" s="784"/>
      <c r="C50" s="2972" t="s">
        <v>136</v>
      </c>
      <c r="D50" s="2896" t="s">
        <v>1993</v>
      </c>
      <c r="E50" s="791"/>
      <c r="F50" s="2902"/>
      <c r="G50" s="2902"/>
      <c r="H50" s="2902"/>
      <c r="I50" s="2902"/>
      <c r="J50" s="2902"/>
      <c r="K50" s="2902"/>
      <c r="L50" s="2902"/>
      <c r="M50" s="2902"/>
      <c r="N50" s="784"/>
    </row>
    <row r="51" spans="2:14" s="751" customFormat="1" ht="3.75" customHeight="1" x14ac:dyDescent="0.25">
      <c r="B51" s="784"/>
      <c r="C51" s="800"/>
      <c r="D51" s="2896"/>
      <c r="E51" s="791"/>
      <c r="F51" s="2902"/>
      <c r="G51" s="2902"/>
      <c r="H51" s="2902"/>
      <c r="I51" s="2902"/>
      <c r="J51" s="2902"/>
      <c r="K51" s="2902"/>
      <c r="L51" s="2902"/>
      <c r="M51" s="2902"/>
      <c r="N51" s="784"/>
    </row>
    <row r="52" spans="2:14" s="751" customFormat="1" x14ac:dyDescent="0.25">
      <c r="B52" s="784"/>
      <c r="C52" s="2972" t="s">
        <v>317</v>
      </c>
      <c r="D52" s="2896" t="s">
        <v>1994</v>
      </c>
      <c r="E52" s="791"/>
      <c r="F52" s="2902"/>
      <c r="G52" s="2902"/>
      <c r="H52" s="2902"/>
      <c r="I52" s="2902"/>
      <c r="J52" s="2902"/>
      <c r="K52" s="2902"/>
      <c r="L52" s="2902"/>
      <c r="M52" s="2902"/>
      <c r="N52" s="784"/>
    </row>
    <row r="53" spans="2:14" s="751" customFormat="1" x14ac:dyDescent="0.25">
      <c r="B53" s="784"/>
      <c r="C53" s="800"/>
      <c r="D53" s="2896"/>
      <c r="E53" s="791"/>
      <c r="F53" s="2902"/>
      <c r="G53" s="2902"/>
      <c r="H53" s="2902"/>
      <c r="I53" s="2902"/>
      <c r="J53" s="2902"/>
      <c r="K53" s="2902"/>
      <c r="L53" s="2902"/>
      <c r="M53" s="2902"/>
      <c r="N53" s="784"/>
    </row>
    <row r="54" spans="2:14" s="751" customFormat="1" x14ac:dyDescent="0.25">
      <c r="B54" s="2892" t="s">
        <v>1968</v>
      </c>
      <c r="C54" s="785" t="s">
        <v>1965</v>
      </c>
      <c r="D54" s="791"/>
      <c r="E54" s="791"/>
      <c r="F54" s="410"/>
      <c r="G54" s="410"/>
      <c r="H54" s="410"/>
      <c r="I54" s="410"/>
      <c r="J54" s="410"/>
      <c r="K54" s="410"/>
      <c r="L54" s="410"/>
      <c r="M54" s="2904"/>
      <c r="N54" s="784"/>
    </row>
    <row r="55" spans="2:14" s="751" customFormat="1" ht="3.75" customHeight="1" x14ac:dyDescent="0.25">
      <c r="B55" s="784"/>
      <c r="C55" s="800"/>
      <c r="D55" s="791"/>
      <c r="E55" s="791"/>
      <c r="F55" s="410"/>
      <c r="G55" s="410"/>
      <c r="H55" s="410"/>
      <c r="I55" s="410"/>
      <c r="J55" s="410"/>
      <c r="K55" s="410"/>
      <c r="L55" s="410"/>
      <c r="M55" s="2904" t="s">
        <v>997</v>
      </c>
      <c r="N55" s="784"/>
    </row>
    <row r="56" spans="2:14" s="751" customFormat="1" x14ac:dyDescent="0.25">
      <c r="B56" s="784"/>
      <c r="C56" s="787" t="s">
        <v>3</v>
      </c>
      <c r="D56" s="787" t="s">
        <v>483</v>
      </c>
      <c r="E56" s="787" t="s">
        <v>8</v>
      </c>
      <c r="F56" s="788">
        <v>2015</v>
      </c>
      <c r="G56" s="789">
        <v>2020</v>
      </c>
      <c r="H56" s="788">
        <v>2025</v>
      </c>
      <c r="I56" s="788">
        <v>2030</v>
      </c>
      <c r="J56" s="788">
        <v>2035</v>
      </c>
      <c r="K56" s="788">
        <v>2040</v>
      </c>
      <c r="L56" s="788">
        <v>2045</v>
      </c>
      <c r="M56" s="788">
        <v>2050</v>
      </c>
      <c r="N56" s="784"/>
    </row>
    <row r="57" spans="2:14" s="751" customFormat="1" x14ac:dyDescent="0.25">
      <c r="B57" s="784"/>
      <c r="C57" s="800">
        <v>1</v>
      </c>
      <c r="D57" s="2971" t="s">
        <v>2066</v>
      </c>
      <c r="E57" s="2971" t="s">
        <v>12</v>
      </c>
      <c r="F57" s="178">
        <v>0</v>
      </c>
      <c r="G57" s="178">
        <v>0</v>
      </c>
      <c r="H57" s="178">
        <v>0</v>
      </c>
      <c r="I57" s="178">
        <v>0</v>
      </c>
      <c r="J57" s="178">
        <v>0</v>
      </c>
      <c r="K57" s="178">
        <v>0</v>
      </c>
      <c r="L57" s="178">
        <v>0</v>
      </c>
      <c r="M57" s="178">
        <v>0</v>
      </c>
      <c r="N57" s="784"/>
    </row>
    <row r="58" spans="2:14" s="751" customFormat="1" x14ac:dyDescent="0.25">
      <c r="B58" s="784"/>
      <c r="C58" s="800">
        <v>2</v>
      </c>
      <c r="D58" s="2971" t="s">
        <v>2066</v>
      </c>
      <c r="E58" s="2971" t="s">
        <v>133</v>
      </c>
      <c r="F58" s="178">
        <v>0</v>
      </c>
      <c r="G58" s="178">
        <v>0.10914478902750957</v>
      </c>
      <c r="H58" s="178">
        <v>0.1256087150074453</v>
      </c>
      <c r="I58" s="178">
        <v>0.12916208405413987</v>
      </c>
      <c r="J58" s="178">
        <v>0.12991643357313853</v>
      </c>
      <c r="K58" s="178">
        <v>0.1300192729875852</v>
      </c>
      <c r="L58" s="178">
        <v>0.1301245409549121</v>
      </c>
      <c r="M58" s="178">
        <v>0.13020737152737027</v>
      </c>
      <c r="N58" s="784"/>
    </row>
    <row r="59" spans="2:14" s="751" customFormat="1" x14ac:dyDescent="0.25">
      <c r="B59" s="784"/>
      <c r="C59" s="800">
        <v>3</v>
      </c>
      <c r="D59" s="2971" t="s">
        <v>2066</v>
      </c>
      <c r="E59" s="2971" t="s">
        <v>136</v>
      </c>
      <c r="F59" s="178">
        <v>0</v>
      </c>
      <c r="G59" s="178">
        <v>0.15368754957613417</v>
      </c>
      <c r="H59" s="178">
        <v>0.16932827925707306</v>
      </c>
      <c r="I59" s="178">
        <v>0.17270397985143293</v>
      </c>
      <c r="J59" s="178">
        <v>0.17342061189448166</v>
      </c>
      <c r="K59" s="178">
        <v>0.173518309338206</v>
      </c>
      <c r="L59" s="178">
        <v>0.17361831390716653</v>
      </c>
      <c r="M59" s="178">
        <v>0.17369700295100177</v>
      </c>
      <c r="N59" s="784"/>
    </row>
    <row r="60" spans="2:14" s="751" customFormat="1" x14ac:dyDescent="0.25">
      <c r="B60" s="784"/>
      <c r="C60" s="800">
        <v>4</v>
      </c>
      <c r="D60" s="2971" t="s">
        <v>2066</v>
      </c>
      <c r="E60" s="2971" t="s">
        <v>317</v>
      </c>
      <c r="F60" s="178">
        <v>0</v>
      </c>
      <c r="G60" s="178">
        <v>0.19823031012475856</v>
      </c>
      <c r="H60" s="178">
        <v>0.21304784350670081</v>
      </c>
      <c r="I60" s="178">
        <v>0.21624587564872588</v>
      </c>
      <c r="J60" s="178">
        <v>0.21692479021582467</v>
      </c>
      <c r="K60" s="178">
        <v>0.21701734568882669</v>
      </c>
      <c r="L60" s="178">
        <v>0.21711208685942085</v>
      </c>
      <c r="M60" s="178">
        <v>0.21718663437463326</v>
      </c>
      <c r="N60" s="784"/>
    </row>
    <row r="61" spans="2:14" s="751" customFormat="1" x14ac:dyDescent="0.25">
      <c r="B61" s="784"/>
      <c r="C61" s="798" t="s">
        <v>153</v>
      </c>
      <c r="D61" s="799"/>
      <c r="E61" s="799"/>
      <c r="F61" s="176">
        <f t="shared" ref="F61:M61" si="3">(INDEX(F$57:F$60,ROUNDDOWN($E$8,0))*(1-MOD($E$8,1)))+(INDEX(F$57:F$60,ROUNDUP($E$8,0))*MOD($E$8,1))</f>
        <v>0</v>
      </c>
      <c r="G61" s="176">
        <f t="shared" si="3"/>
        <v>0</v>
      </c>
      <c r="H61" s="176">
        <f t="shared" si="3"/>
        <v>0</v>
      </c>
      <c r="I61" s="176">
        <f t="shared" si="3"/>
        <v>0</v>
      </c>
      <c r="J61" s="176">
        <f t="shared" si="3"/>
        <v>0</v>
      </c>
      <c r="K61" s="176">
        <f t="shared" si="3"/>
        <v>0</v>
      </c>
      <c r="L61" s="176">
        <f t="shared" si="3"/>
        <v>0</v>
      </c>
      <c r="M61" s="176">
        <f t="shared" si="3"/>
        <v>0</v>
      </c>
      <c r="N61" s="784"/>
    </row>
    <row r="62" spans="2:14" s="751" customFormat="1" ht="17.25" customHeight="1" x14ac:dyDescent="0.25">
      <c r="B62" s="784"/>
      <c r="C62" s="800"/>
      <c r="D62" s="791"/>
      <c r="E62" s="791"/>
      <c r="F62" s="410"/>
      <c r="G62" s="410"/>
      <c r="H62" s="410"/>
      <c r="I62" s="410"/>
      <c r="J62" s="410"/>
      <c r="K62" s="410"/>
      <c r="L62" s="410"/>
      <c r="M62" s="410"/>
      <c r="N62" s="784"/>
    </row>
    <row r="63" spans="2:14" s="751" customFormat="1" x14ac:dyDescent="0.25">
      <c r="B63" s="784"/>
      <c r="C63" s="2897" t="s">
        <v>8</v>
      </c>
      <c r="D63" s="791"/>
      <c r="E63" s="791"/>
      <c r="F63" s="410"/>
      <c r="G63" s="410"/>
      <c r="H63" s="410"/>
      <c r="I63" s="410"/>
      <c r="J63" s="410"/>
      <c r="K63" s="410"/>
      <c r="L63" s="410"/>
      <c r="M63" s="410"/>
      <c r="N63" s="784"/>
    </row>
    <row r="64" spans="2:14" s="751" customFormat="1" x14ac:dyDescent="0.25">
      <c r="B64" s="784"/>
      <c r="C64" s="2972" t="s">
        <v>12</v>
      </c>
      <c r="D64" s="2971" t="s">
        <v>2065</v>
      </c>
      <c r="E64" s="791"/>
      <c r="F64" s="410"/>
      <c r="G64" s="410"/>
      <c r="H64" s="410"/>
      <c r="I64" s="410"/>
      <c r="J64" s="410"/>
      <c r="K64" s="410"/>
      <c r="L64" s="410"/>
      <c r="M64" s="410"/>
      <c r="N64" s="784"/>
    </row>
    <row r="65" spans="2:14" s="751" customFormat="1" x14ac:dyDescent="0.25">
      <c r="B65" s="784"/>
      <c r="C65" s="800"/>
      <c r="D65" s="2896" t="s">
        <v>1989</v>
      </c>
      <c r="E65" s="791"/>
      <c r="F65" s="410"/>
      <c r="G65" s="410"/>
      <c r="H65" s="410"/>
      <c r="I65" s="410"/>
      <c r="J65" s="410"/>
      <c r="K65" s="410"/>
      <c r="L65" s="410"/>
      <c r="M65" s="410"/>
      <c r="N65" s="784"/>
    </row>
    <row r="66" spans="2:14" s="751" customFormat="1" ht="4.5" customHeight="1" x14ac:dyDescent="0.25">
      <c r="B66" s="784"/>
      <c r="C66" s="800"/>
      <c r="D66" s="2896"/>
      <c r="E66" s="791"/>
      <c r="F66" s="410"/>
      <c r="G66" s="410"/>
      <c r="H66" s="410"/>
      <c r="I66" s="410"/>
      <c r="J66" s="410"/>
      <c r="K66" s="410"/>
      <c r="L66" s="410"/>
      <c r="M66" s="410"/>
      <c r="N66" s="784"/>
    </row>
    <row r="67" spans="2:14" s="751" customFormat="1" x14ac:dyDescent="0.25">
      <c r="B67" s="784"/>
      <c r="C67" s="2972" t="s">
        <v>133</v>
      </c>
      <c r="D67" s="2971" t="s">
        <v>2065</v>
      </c>
      <c r="E67" s="791"/>
      <c r="F67" s="410"/>
      <c r="G67" s="410"/>
      <c r="H67" s="410"/>
      <c r="I67" s="410"/>
      <c r="J67" s="410"/>
      <c r="K67" s="410"/>
      <c r="L67" s="410"/>
      <c r="M67" s="410"/>
      <c r="N67" s="784"/>
    </row>
    <row r="68" spans="2:14" s="751" customFormat="1" x14ac:dyDescent="0.25">
      <c r="B68" s="784"/>
      <c r="C68" s="800"/>
      <c r="D68" s="2896" t="s">
        <v>1990</v>
      </c>
      <c r="E68" s="791"/>
      <c r="F68" s="410"/>
      <c r="G68" s="410"/>
      <c r="H68" s="410"/>
      <c r="I68" s="410"/>
      <c r="J68" s="410"/>
      <c r="K68" s="410"/>
      <c r="L68" s="410"/>
      <c r="M68" s="410"/>
      <c r="N68" s="784"/>
    </row>
    <row r="69" spans="2:14" s="751" customFormat="1" ht="3.75" customHeight="1" x14ac:dyDescent="0.25">
      <c r="B69" s="784"/>
      <c r="C69" s="800"/>
      <c r="D69" s="2896"/>
      <c r="E69" s="791"/>
      <c r="F69" s="410"/>
      <c r="G69" s="410"/>
      <c r="H69" s="410"/>
      <c r="I69" s="410"/>
      <c r="J69" s="410"/>
      <c r="K69" s="410"/>
      <c r="L69" s="410"/>
      <c r="M69" s="410"/>
      <c r="N69" s="784"/>
    </row>
    <row r="70" spans="2:14" s="751" customFormat="1" x14ac:dyDescent="0.25">
      <c r="B70" s="784"/>
      <c r="C70" s="2972" t="s">
        <v>136</v>
      </c>
      <c r="D70" s="2896" t="s">
        <v>1993</v>
      </c>
      <c r="E70" s="791"/>
      <c r="F70" s="410"/>
      <c r="G70" s="410"/>
      <c r="H70" s="410"/>
      <c r="I70" s="410"/>
      <c r="J70" s="410"/>
      <c r="K70" s="410"/>
      <c r="L70" s="410"/>
      <c r="M70" s="410"/>
      <c r="N70" s="784"/>
    </row>
    <row r="71" spans="2:14" s="751" customFormat="1" ht="3.75" customHeight="1" x14ac:dyDescent="0.25">
      <c r="B71" s="784"/>
      <c r="C71" s="800"/>
      <c r="D71" s="2896"/>
      <c r="E71" s="791"/>
      <c r="F71" s="410"/>
      <c r="G71" s="410"/>
      <c r="H71" s="410"/>
      <c r="I71" s="410"/>
      <c r="J71" s="410"/>
      <c r="K71" s="410"/>
      <c r="L71" s="410"/>
      <c r="M71" s="410"/>
      <c r="N71" s="784"/>
    </row>
    <row r="72" spans="2:14" s="751" customFormat="1" x14ac:dyDescent="0.25">
      <c r="B72" s="784"/>
      <c r="C72" s="2972" t="s">
        <v>317</v>
      </c>
      <c r="D72" s="2896" t="s">
        <v>1994</v>
      </c>
      <c r="E72" s="791"/>
      <c r="F72" s="410"/>
      <c r="G72" s="410"/>
      <c r="H72" s="410"/>
      <c r="I72" s="410"/>
      <c r="J72" s="410"/>
      <c r="K72" s="410"/>
      <c r="L72" s="410"/>
      <c r="M72" s="410"/>
      <c r="N72" s="784"/>
    </row>
    <row r="73" spans="2:14" s="751" customFormat="1" x14ac:dyDescent="0.25">
      <c r="B73" s="784"/>
      <c r="C73" s="800"/>
      <c r="D73" s="791"/>
      <c r="E73" s="791"/>
      <c r="F73" s="410"/>
      <c r="G73" s="410"/>
      <c r="H73" s="410"/>
      <c r="I73" s="410"/>
      <c r="J73" s="410"/>
      <c r="K73" s="410"/>
      <c r="L73" s="410"/>
      <c r="M73" s="410"/>
      <c r="N73" s="784"/>
    </row>
    <row r="75" spans="2:14" ht="15.75" x14ac:dyDescent="0.25">
      <c r="B75" s="905" t="s">
        <v>13</v>
      </c>
      <c r="C75" s="906"/>
      <c r="D75" s="907"/>
      <c r="E75" s="907"/>
      <c r="F75" s="907"/>
      <c r="G75" s="907"/>
      <c r="H75" s="907"/>
      <c r="I75" s="907"/>
      <c r="J75" s="907"/>
      <c r="K75" s="907"/>
      <c r="L75" s="907"/>
      <c r="M75" s="907"/>
      <c r="N75" s="907"/>
    </row>
    <row r="76" spans="2:14" x14ac:dyDescent="0.25">
      <c r="B76" s="908"/>
      <c r="C76" s="909"/>
      <c r="D76" s="909"/>
      <c r="E76" s="909"/>
      <c r="F76" s="909"/>
      <c r="G76" s="909"/>
      <c r="H76" s="909"/>
      <c r="I76" s="909"/>
      <c r="J76" s="909"/>
      <c r="K76" s="909"/>
      <c r="L76" s="909"/>
      <c r="M76" s="909"/>
      <c r="N76" s="909"/>
    </row>
    <row r="77" spans="2:14" s="751" customFormat="1" x14ac:dyDescent="0.25">
      <c r="B77" s="784"/>
      <c r="C77" s="785" t="s">
        <v>2071</v>
      </c>
      <c r="D77" s="805"/>
      <c r="E77" s="791"/>
      <c r="F77" s="178"/>
      <c r="G77" s="178"/>
      <c r="H77" s="178"/>
      <c r="I77" s="178"/>
      <c r="J77" s="178"/>
      <c r="K77" s="178"/>
      <c r="L77" s="178"/>
      <c r="M77" s="178"/>
      <c r="N77" s="784"/>
    </row>
    <row r="78" spans="2:14" s="751" customFormat="1" ht="3.75" customHeight="1" x14ac:dyDescent="0.25">
      <c r="B78" s="784"/>
      <c r="C78" s="800"/>
      <c r="D78" s="805"/>
      <c r="E78" s="791"/>
      <c r="F78" s="178"/>
      <c r="G78" s="178"/>
      <c r="H78" s="178"/>
      <c r="I78" s="178"/>
      <c r="J78" s="178"/>
      <c r="K78" s="178"/>
      <c r="L78" s="178"/>
      <c r="M78" s="178"/>
      <c r="N78" s="784"/>
    </row>
    <row r="79" spans="2:14" s="751" customFormat="1" x14ac:dyDescent="0.25">
      <c r="B79" s="784"/>
      <c r="C79" s="2923" t="s">
        <v>500</v>
      </c>
      <c r="D79" s="2924" t="s">
        <v>483</v>
      </c>
      <c r="E79" s="2924" t="s">
        <v>2084</v>
      </c>
      <c r="F79" s="828">
        <v>2015</v>
      </c>
      <c r="G79" s="829">
        <v>2020</v>
      </c>
      <c r="H79" s="828">
        <v>2025</v>
      </c>
      <c r="I79" s="828">
        <v>2030</v>
      </c>
      <c r="J79" s="828">
        <v>2035</v>
      </c>
      <c r="K79" s="828">
        <v>2040</v>
      </c>
      <c r="L79" s="828">
        <v>2045</v>
      </c>
      <c r="M79" s="830">
        <v>2050</v>
      </c>
      <c r="N79" s="784"/>
    </row>
    <row r="80" spans="2:14" s="751" customFormat="1" x14ac:dyDescent="0.25">
      <c r="B80" s="784"/>
      <c r="C80" s="2973" t="s">
        <v>334</v>
      </c>
      <c r="D80" s="791"/>
      <c r="E80" s="791"/>
      <c r="F80" s="2854">
        <v>0.19443822046265918</v>
      </c>
      <c r="G80" s="2854">
        <v>0.19371417960467049</v>
      </c>
      <c r="H80" s="2854">
        <v>0.19550344609708803</v>
      </c>
      <c r="I80" s="2854">
        <v>0.19696987144700862</v>
      </c>
      <c r="J80" s="2854">
        <v>0.19803455266335904</v>
      </c>
      <c r="K80" s="2854">
        <v>0.19897634664827757</v>
      </c>
      <c r="L80" s="2854">
        <v>0.19964868084394449</v>
      </c>
      <c r="M80" s="2975">
        <v>0.19964868095384014</v>
      </c>
      <c r="N80" s="784"/>
    </row>
    <row r="81" spans="2:14" s="751" customFormat="1" x14ac:dyDescent="0.25">
      <c r="B81" s="784"/>
      <c r="C81" s="2973" t="s">
        <v>498</v>
      </c>
      <c r="D81" s="791"/>
      <c r="E81" s="791"/>
      <c r="F81" s="2854">
        <v>0.55942375275477851</v>
      </c>
      <c r="G81" s="2854">
        <v>0.55797110553134144</v>
      </c>
      <c r="H81" s="2854">
        <v>0.55626582541434322</v>
      </c>
      <c r="I81" s="2854">
        <v>0.55480766638265555</v>
      </c>
      <c r="J81" s="2854">
        <v>0.55374257150782003</v>
      </c>
      <c r="K81" s="2854">
        <v>0.55280074690972747</v>
      </c>
      <c r="L81" s="2854">
        <v>0.5521284146683193</v>
      </c>
      <c r="M81" s="2975">
        <v>0.5521284146683193</v>
      </c>
      <c r="N81" s="784"/>
    </row>
    <row r="82" spans="2:14" s="751" customFormat="1" x14ac:dyDescent="0.25">
      <c r="B82" s="784"/>
      <c r="C82" s="2973" t="s">
        <v>499</v>
      </c>
      <c r="D82" s="791"/>
      <c r="E82" s="791"/>
      <c r="F82" s="2854">
        <v>6.8341721153360796E-3</v>
      </c>
      <c r="G82" s="2854">
        <v>6.8341721153360744E-3</v>
      </c>
      <c r="H82" s="2854">
        <v>6.8341721153360752E-3</v>
      </c>
      <c r="I82" s="2854">
        <v>6.8341721153360752E-3</v>
      </c>
      <c r="J82" s="2854">
        <v>6.8341721153360735E-3</v>
      </c>
      <c r="K82" s="2854">
        <v>6.8341721153360752E-3</v>
      </c>
      <c r="L82" s="2854">
        <v>6.8341721153360744E-3</v>
      </c>
      <c r="M82" s="2975">
        <v>6.8341721153360744E-3</v>
      </c>
      <c r="N82" s="784"/>
    </row>
    <row r="83" spans="2:14" s="751" customFormat="1" x14ac:dyDescent="0.25">
      <c r="B83" s="784"/>
      <c r="C83" s="2973" t="s">
        <v>491</v>
      </c>
      <c r="D83" s="791"/>
      <c r="E83" s="791"/>
      <c r="F83" s="2854">
        <v>0.10103081953258315</v>
      </c>
      <c r="G83" s="2854">
        <v>0.10320750761400836</v>
      </c>
      <c r="H83" s="2854">
        <v>0.10312352123858894</v>
      </c>
      <c r="I83" s="2854">
        <v>0.10311525492035606</v>
      </c>
      <c r="J83" s="2854">
        <v>0.10311566857884119</v>
      </c>
      <c r="K83" s="2854">
        <v>0.10311569919201509</v>
      </c>
      <c r="L83" s="2854">
        <v>0.10311569723775653</v>
      </c>
      <c r="M83" s="2975">
        <v>0.10311569712786081</v>
      </c>
      <c r="N83" s="784"/>
    </row>
    <row r="84" spans="2:14" s="751" customFormat="1" x14ac:dyDescent="0.25">
      <c r="B84" s="784"/>
      <c r="C84" s="2973" t="s">
        <v>510</v>
      </c>
      <c r="D84" s="791"/>
      <c r="E84" s="791"/>
      <c r="F84" s="2854">
        <v>0.10000000000000009</v>
      </c>
      <c r="G84" s="2854">
        <v>9.9999999999999992E-2</v>
      </c>
      <c r="H84" s="2854">
        <v>0.1</v>
      </c>
      <c r="I84" s="2854">
        <v>0.10000000000000002</v>
      </c>
      <c r="J84" s="2854">
        <v>0.10000000000000002</v>
      </c>
      <c r="K84" s="2854">
        <v>0.1</v>
      </c>
      <c r="L84" s="2854">
        <v>0.1</v>
      </c>
      <c r="M84" s="2975">
        <v>0.1</v>
      </c>
      <c r="N84" s="784"/>
    </row>
    <row r="85" spans="2:14" s="751" customFormat="1" x14ac:dyDescent="0.25">
      <c r="B85" s="784"/>
      <c r="C85" s="2973" t="s">
        <v>494</v>
      </c>
      <c r="D85" s="791"/>
      <c r="E85" s="791"/>
      <c r="F85" s="2854">
        <v>1.2487600203235705E-3</v>
      </c>
      <c r="G85" s="2854">
        <v>1.2487600203235695E-3</v>
      </c>
      <c r="H85" s="2854">
        <v>1.2487600203235695E-3</v>
      </c>
      <c r="I85" s="2854">
        <v>1.2487600203235695E-3</v>
      </c>
      <c r="J85" s="2854">
        <v>1.2487600203235692E-3</v>
      </c>
      <c r="K85" s="2854">
        <v>1.2487600203235695E-3</v>
      </c>
      <c r="L85" s="2854">
        <v>1.2487600203235695E-3</v>
      </c>
      <c r="M85" s="2975">
        <v>1.2487600203235695E-3</v>
      </c>
      <c r="N85" s="784"/>
    </row>
    <row r="86" spans="2:14" s="751" customFormat="1" x14ac:dyDescent="0.25">
      <c r="B86" s="784"/>
      <c r="C86" s="2973" t="s">
        <v>2067</v>
      </c>
      <c r="D86" s="791"/>
      <c r="E86" s="791"/>
      <c r="F86" s="2854">
        <v>0</v>
      </c>
      <c r="G86" s="2854">
        <v>0</v>
      </c>
      <c r="H86" s="2854">
        <v>0</v>
      </c>
      <c r="I86" s="2854">
        <v>0</v>
      </c>
      <c r="J86" s="2854">
        <v>0</v>
      </c>
      <c r="K86" s="2854">
        <v>0</v>
      </c>
      <c r="L86" s="2854">
        <v>0</v>
      </c>
      <c r="M86" s="2975">
        <v>0</v>
      </c>
      <c r="N86" s="784"/>
    </row>
    <row r="87" spans="2:14" s="751" customFormat="1" x14ac:dyDescent="0.25">
      <c r="B87" s="784"/>
      <c r="C87" s="2973" t="s">
        <v>509</v>
      </c>
      <c r="D87" s="791"/>
      <c r="E87" s="791"/>
      <c r="F87" s="2854">
        <v>7.0242751143200829E-3</v>
      </c>
      <c r="G87" s="2854">
        <v>7.0242751143200777E-3</v>
      </c>
      <c r="H87" s="2854">
        <v>7.0242751143200785E-3</v>
      </c>
      <c r="I87" s="2854">
        <v>7.0242751143200777E-3</v>
      </c>
      <c r="J87" s="2854">
        <v>7.0242751143200777E-3</v>
      </c>
      <c r="K87" s="2854">
        <v>7.0242751143200777E-3</v>
      </c>
      <c r="L87" s="2854">
        <v>7.0242751143200768E-3</v>
      </c>
      <c r="M87" s="2975">
        <v>7.0242751143200768E-3</v>
      </c>
      <c r="N87" s="784"/>
    </row>
    <row r="88" spans="2:14" s="751" customFormat="1" x14ac:dyDescent="0.25">
      <c r="B88" s="784"/>
      <c r="C88" s="2973" t="s">
        <v>2068</v>
      </c>
      <c r="D88" s="791"/>
      <c r="E88" s="791"/>
      <c r="F88" s="2854">
        <v>3.0000000000000023E-2</v>
      </c>
      <c r="G88" s="2854">
        <v>0.03</v>
      </c>
      <c r="H88" s="2854">
        <v>0.03</v>
      </c>
      <c r="I88" s="2854">
        <v>2.9999999999999995E-2</v>
      </c>
      <c r="J88" s="2854">
        <v>2.9999999999999995E-2</v>
      </c>
      <c r="K88" s="2854">
        <v>0.03</v>
      </c>
      <c r="L88" s="2854">
        <v>0.03</v>
      </c>
      <c r="M88" s="2975">
        <v>0.03</v>
      </c>
      <c r="N88" s="784"/>
    </row>
    <row r="89" spans="2:14" s="751" customFormat="1" x14ac:dyDescent="0.25">
      <c r="B89" s="784"/>
      <c r="C89" s="2974" t="s">
        <v>316</v>
      </c>
      <c r="D89" s="807"/>
      <c r="E89" s="807"/>
      <c r="F89" s="2855">
        <v>0</v>
      </c>
      <c r="G89" s="2855">
        <v>0</v>
      </c>
      <c r="H89" s="2855">
        <v>0</v>
      </c>
      <c r="I89" s="2855">
        <v>0</v>
      </c>
      <c r="J89" s="2855">
        <v>0</v>
      </c>
      <c r="K89" s="2855">
        <v>0</v>
      </c>
      <c r="L89" s="2855">
        <v>0</v>
      </c>
      <c r="M89" s="2976">
        <v>0</v>
      </c>
      <c r="N89" s="784"/>
    </row>
    <row r="90" spans="2:14" s="751" customFormat="1" ht="4.5" customHeight="1" x14ac:dyDescent="0.25">
      <c r="B90" s="784"/>
      <c r="C90" s="800"/>
      <c r="D90" s="805"/>
      <c r="E90" s="791"/>
      <c r="F90" s="178"/>
      <c r="G90" s="178"/>
      <c r="H90" s="178"/>
      <c r="I90" s="178"/>
      <c r="J90" s="178"/>
      <c r="K90" s="178"/>
      <c r="L90" s="178"/>
      <c r="M90" s="178"/>
      <c r="N90" s="784"/>
    </row>
    <row r="91" spans="2:14" s="751" customFormat="1" x14ac:dyDescent="0.25">
      <c r="B91" s="784"/>
      <c r="C91" s="800"/>
      <c r="D91" s="805"/>
      <c r="E91" s="791"/>
      <c r="F91" s="178"/>
      <c r="G91" s="178"/>
      <c r="H91" s="178"/>
      <c r="I91" s="178"/>
      <c r="J91" s="178"/>
      <c r="K91" s="178"/>
      <c r="L91" s="178"/>
      <c r="M91" s="178"/>
      <c r="N91" s="784"/>
    </row>
    <row r="92" spans="2:14" s="751" customFormat="1" x14ac:dyDescent="0.25">
      <c r="B92" s="784"/>
      <c r="C92" s="785" t="s">
        <v>2072</v>
      </c>
      <c r="D92" s="805"/>
      <c r="E92" s="791"/>
      <c r="F92" s="178"/>
      <c r="G92" s="178"/>
      <c r="H92" s="178"/>
      <c r="I92" s="178"/>
      <c r="J92" s="178"/>
      <c r="K92" s="178"/>
      <c r="L92" s="178"/>
      <c r="M92" s="178"/>
      <c r="N92" s="784"/>
    </row>
    <row r="93" spans="2:14" s="751" customFormat="1" ht="4.5" customHeight="1" x14ac:dyDescent="0.25">
      <c r="B93" s="784"/>
      <c r="C93" s="800"/>
      <c r="D93" s="805"/>
      <c r="E93" s="791"/>
      <c r="F93" s="178"/>
      <c r="G93" s="178"/>
      <c r="H93" s="178"/>
      <c r="I93" s="178"/>
      <c r="J93" s="178"/>
      <c r="K93" s="178"/>
      <c r="L93" s="178"/>
      <c r="M93" s="178"/>
      <c r="N93" s="784"/>
    </row>
    <row r="94" spans="2:14" s="751" customFormat="1" x14ac:dyDescent="0.25">
      <c r="B94" s="784"/>
      <c r="C94" s="2923" t="s">
        <v>500</v>
      </c>
      <c r="D94" s="2924" t="s">
        <v>483</v>
      </c>
      <c r="E94" s="2924" t="s">
        <v>2084</v>
      </c>
      <c r="F94" s="828">
        <v>2015</v>
      </c>
      <c r="G94" s="829">
        <v>2020</v>
      </c>
      <c r="H94" s="828">
        <v>2025</v>
      </c>
      <c r="I94" s="828">
        <v>2030</v>
      </c>
      <c r="J94" s="828">
        <v>2035</v>
      </c>
      <c r="K94" s="828">
        <v>2040</v>
      </c>
      <c r="L94" s="828">
        <v>2045</v>
      </c>
      <c r="M94" s="830">
        <v>2050</v>
      </c>
      <c r="N94" s="784"/>
    </row>
    <row r="95" spans="2:14" s="751" customFormat="1" x14ac:dyDescent="0.25">
      <c r="B95" s="784"/>
      <c r="C95" s="2973" t="s">
        <v>334</v>
      </c>
      <c r="D95" s="791"/>
      <c r="E95" s="791"/>
      <c r="F95" s="2854">
        <v>1.4902624894157494E-2</v>
      </c>
      <c r="G95" s="2854">
        <v>1.4902624894157494E-2</v>
      </c>
      <c r="H95" s="2854">
        <v>1.4902624894157494E-2</v>
      </c>
      <c r="I95" s="2854">
        <v>1.4902624894157494E-2</v>
      </c>
      <c r="J95" s="2854">
        <v>1.4902624894157493E-2</v>
      </c>
      <c r="K95" s="2854">
        <v>1.4902624894157494E-2</v>
      </c>
      <c r="L95" s="2854">
        <v>1.4902624894157496E-2</v>
      </c>
      <c r="M95" s="2975">
        <v>1.4902624894157494E-2</v>
      </c>
      <c r="N95" s="784"/>
    </row>
    <row r="96" spans="2:14" s="751" customFormat="1" x14ac:dyDescent="0.25">
      <c r="B96" s="784"/>
      <c r="C96" s="2973" t="s">
        <v>498</v>
      </c>
      <c r="D96" s="791"/>
      <c r="E96" s="791"/>
      <c r="F96" s="2854">
        <v>0.55033303999122651</v>
      </c>
      <c r="G96" s="2854">
        <v>0.56975523050538157</v>
      </c>
      <c r="H96" s="2854">
        <v>0.58878730650063649</v>
      </c>
      <c r="I96" s="2854">
        <v>0.60911852456329918</v>
      </c>
      <c r="J96" s="2854">
        <v>0.62695641470592411</v>
      </c>
      <c r="K96" s="2854">
        <v>0.64659077339774773</v>
      </c>
      <c r="L96" s="2854">
        <v>0.6676467400636622</v>
      </c>
      <c r="M96" s="2975">
        <v>0.69022148583935883</v>
      </c>
      <c r="N96" s="784"/>
    </row>
    <row r="97" spans="2:14" s="751" customFormat="1" x14ac:dyDescent="0.25">
      <c r="B97" s="784"/>
      <c r="C97" s="2973" t="s">
        <v>499</v>
      </c>
      <c r="D97" s="791"/>
      <c r="E97" s="791"/>
      <c r="F97" s="2854">
        <v>6.8341721153360752E-3</v>
      </c>
      <c r="G97" s="2854">
        <v>6.8341721153360744E-3</v>
      </c>
      <c r="H97" s="2854">
        <v>6.8341721153360744E-3</v>
      </c>
      <c r="I97" s="2854">
        <v>6.8341721153360744E-3</v>
      </c>
      <c r="J97" s="2854">
        <v>6.8341721153360752E-3</v>
      </c>
      <c r="K97" s="2854">
        <v>6.8341721153360744E-3</v>
      </c>
      <c r="L97" s="2854">
        <v>6.8341721153360752E-3</v>
      </c>
      <c r="M97" s="2975">
        <v>6.8341721153360744E-3</v>
      </c>
      <c r="N97" s="784"/>
    </row>
    <row r="98" spans="2:14" s="751" customFormat="1" x14ac:dyDescent="0.25">
      <c r="B98" s="784"/>
      <c r="C98" s="2973" t="s">
        <v>491</v>
      </c>
      <c r="D98" s="791"/>
      <c r="E98" s="791"/>
      <c r="F98" s="2854">
        <v>0.09</v>
      </c>
      <c r="G98" s="2854">
        <v>0.09</v>
      </c>
      <c r="H98" s="2854">
        <v>0.09</v>
      </c>
      <c r="I98" s="2854">
        <v>0.09</v>
      </c>
      <c r="J98" s="2854">
        <v>0.09</v>
      </c>
      <c r="K98" s="2854">
        <v>0.09</v>
      </c>
      <c r="L98" s="2854">
        <v>0.09</v>
      </c>
      <c r="M98" s="2975">
        <v>0.09</v>
      </c>
      <c r="N98" s="784"/>
    </row>
    <row r="99" spans="2:14" s="751" customFormat="1" x14ac:dyDescent="0.25">
      <c r="B99" s="784"/>
      <c r="C99" s="2973" t="s">
        <v>510</v>
      </c>
      <c r="D99" s="791"/>
      <c r="E99" s="791"/>
      <c r="F99" s="2854">
        <v>0.105</v>
      </c>
      <c r="G99" s="2854">
        <v>0.105</v>
      </c>
      <c r="H99" s="2854">
        <v>0.105</v>
      </c>
      <c r="I99" s="2854">
        <v>0.105</v>
      </c>
      <c r="J99" s="2854">
        <v>0.105</v>
      </c>
      <c r="K99" s="2854">
        <v>0.105</v>
      </c>
      <c r="L99" s="2854">
        <v>0.10499999999999998</v>
      </c>
      <c r="M99" s="2975">
        <v>0.10500000000000001</v>
      </c>
      <c r="N99" s="784"/>
    </row>
    <row r="100" spans="2:14" s="751" customFormat="1" x14ac:dyDescent="0.25">
      <c r="B100" s="784"/>
      <c r="C100" s="2973" t="s">
        <v>494</v>
      </c>
      <c r="D100" s="791"/>
      <c r="E100" s="791"/>
      <c r="F100" s="2854">
        <v>0</v>
      </c>
      <c r="G100" s="2854">
        <v>0</v>
      </c>
      <c r="H100" s="2854">
        <v>0</v>
      </c>
      <c r="I100" s="2854">
        <v>0</v>
      </c>
      <c r="J100" s="2854">
        <v>0</v>
      </c>
      <c r="K100" s="2854">
        <v>0</v>
      </c>
      <c r="L100" s="2854">
        <v>0</v>
      </c>
      <c r="M100" s="2975">
        <v>0</v>
      </c>
      <c r="N100" s="784"/>
    </row>
    <row r="101" spans="2:14" s="751" customFormat="1" x14ac:dyDescent="0.25">
      <c r="B101" s="784"/>
      <c r="C101" s="2973" t="s">
        <v>2067</v>
      </c>
      <c r="D101" s="791"/>
      <c r="E101" s="791"/>
      <c r="F101" s="2854">
        <v>0.12</v>
      </c>
      <c r="G101" s="2854">
        <v>0.08</v>
      </c>
      <c r="H101" s="2854">
        <v>0.08</v>
      </c>
      <c r="I101" s="2854">
        <v>0.08</v>
      </c>
      <c r="J101" s="2854">
        <v>0.08</v>
      </c>
      <c r="K101" s="2854">
        <v>0.08</v>
      </c>
      <c r="L101" s="2854">
        <v>0.08</v>
      </c>
      <c r="M101" s="2975">
        <v>0.08</v>
      </c>
      <c r="N101" s="784"/>
    </row>
    <row r="102" spans="2:14" s="751" customFormat="1" x14ac:dyDescent="0.25">
      <c r="B102" s="784"/>
      <c r="C102" s="2973" t="s">
        <v>509</v>
      </c>
      <c r="D102" s="791"/>
      <c r="E102" s="791"/>
      <c r="F102" s="2854">
        <v>0.10893016299927993</v>
      </c>
      <c r="G102" s="2854">
        <v>0.12950797248512491</v>
      </c>
      <c r="H102" s="2854">
        <v>0.11047589648987</v>
      </c>
      <c r="I102" s="2854">
        <v>9.0144678427207303E-2</v>
      </c>
      <c r="J102" s="2854">
        <v>7.2306788284582257E-2</v>
      </c>
      <c r="K102" s="2854">
        <v>5.2672429592758752E-2</v>
      </c>
      <c r="L102" s="2854">
        <v>3.161646292684428E-2</v>
      </c>
      <c r="M102" s="2975">
        <v>9.0417171511476546E-3</v>
      </c>
      <c r="N102" s="784"/>
    </row>
    <row r="103" spans="2:14" s="751" customFormat="1" x14ac:dyDescent="0.25">
      <c r="B103" s="784"/>
      <c r="C103" s="2973" t="s">
        <v>2068</v>
      </c>
      <c r="D103" s="791"/>
      <c r="E103" s="791"/>
      <c r="F103" s="2854">
        <v>0</v>
      </c>
      <c r="G103" s="2854">
        <v>0</v>
      </c>
      <c r="H103" s="2854">
        <v>0</v>
      </c>
      <c r="I103" s="2854">
        <v>0</v>
      </c>
      <c r="J103" s="2854">
        <v>0</v>
      </c>
      <c r="K103" s="2854">
        <v>0</v>
      </c>
      <c r="L103" s="2854">
        <v>0</v>
      </c>
      <c r="M103" s="2975">
        <v>0</v>
      </c>
      <c r="N103" s="784"/>
    </row>
    <row r="104" spans="2:14" s="751" customFormat="1" x14ac:dyDescent="0.25">
      <c r="B104" s="784"/>
      <c r="C104" s="2974" t="s">
        <v>316</v>
      </c>
      <c r="D104" s="807"/>
      <c r="E104" s="807"/>
      <c r="F104" s="2855">
        <v>3.9999999999999992E-3</v>
      </c>
      <c r="G104" s="2855">
        <v>4.0000000000000001E-3</v>
      </c>
      <c r="H104" s="2855">
        <v>4.0000000000000001E-3</v>
      </c>
      <c r="I104" s="2855">
        <v>4.0000000000000001E-3</v>
      </c>
      <c r="J104" s="2855">
        <v>4.0000000000000001E-3</v>
      </c>
      <c r="K104" s="2855">
        <v>4.0000000000000001E-3</v>
      </c>
      <c r="L104" s="2855">
        <v>4.0000000000000001E-3</v>
      </c>
      <c r="M104" s="2976">
        <v>4.0000000000000001E-3</v>
      </c>
      <c r="N104" s="784"/>
    </row>
    <row r="105" spans="2:14" s="751" customFormat="1" ht="4.5" customHeight="1" x14ac:dyDescent="0.25">
      <c r="B105" s="784"/>
      <c r="C105" s="791"/>
      <c r="D105" s="791"/>
      <c r="E105" s="791"/>
      <c r="F105" s="2854"/>
      <c r="G105" s="2854"/>
      <c r="H105" s="2854"/>
      <c r="I105" s="2854"/>
      <c r="J105" s="2854"/>
      <c r="K105" s="2854"/>
      <c r="L105" s="2854"/>
      <c r="M105" s="2854"/>
      <c r="N105" s="784"/>
    </row>
    <row r="106" spans="2:14" s="751" customFormat="1" x14ac:dyDescent="0.25">
      <c r="B106" s="784"/>
      <c r="C106" s="2897" t="s">
        <v>8</v>
      </c>
      <c r="D106" s="791"/>
      <c r="E106" s="791"/>
      <c r="F106" s="2854"/>
      <c r="G106" s="2854"/>
      <c r="H106" s="2854"/>
      <c r="I106" s="2854"/>
      <c r="J106" s="2854"/>
      <c r="K106" s="2854"/>
      <c r="L106" s="2854"/>
      <c r="M106" s="2854"/>
      <c r="N106" s="784"/>
    </row>
    <row r="107" spans="2:14" s="751" customFormat="1" x14ac:dyDescent="0.25">
      <c r="B107" s="784"/>
      <c r="C107" s="2987" t="s">
        <v>319</v>
      </c>
      <c r="D107" s="2971" t="s">
        <v>2065</v>
      </c>
      <c r="E107" s="791"/>
      <c r="F107" s="178"/>
      <c r="G107" s="178"/>
      <c r="H107" s="178"/>
      <c r="I107" s="178"/>
      <c r="J107" s="178"/>
      <c r="K107" s="178"/>
      <c r="L107" s="178"/>
      <c r="M107" s="178"/>
      <c r="N107" s="784"/>
    </row>
    <row r="108" spans="2:14" s="751" customFormat="1" x14ac:dyDescent="0.25">
      <c r="B108" s="784"/>
      <c r="C108" s="800"/>
      <c r="D108" s="2988" t="s">
        <v>2085</v>
      </c>
      <c r="E108" s="791"/>
      <c r="F108" s="178"/>
      <c r="G108" s="178"/>
      <c r="H108" s="178"/>
      <c r="I108" s="178"/>
      <c r="J108" s="178"/>
      <c r="K108" s="178"/>
      <c r="L108" s="178"/>
      <c r="M108" s="178"/>
      <c r="N108" s="784"/>
    </row>
    <row r="109" spans="2:14" s="751" customFormat="1" x14ac:dyDescent="0.25">
      <c r="B109" s="784"/>
      <c r="C109" s="800"/>
      <c r="D109" s="2988"/>
      <c r="E109" s="791"/>
      <c r="F109" s="178"/>
      <c r="G109" s="178"/>
      <c r="H109" s="178"/>
      <c r="I109" s="178"/>
      <c r="J109" s="178"/>
      <c r="K109" s="178"/>
      <c r="L109" s="178"/>
      <c r="M109" s="178"/>
      <c r="N109" s="784"/>
    </row>
    <row r="110" spans="2:14" s="751" customFormat="1" x14ac:dyDescent="0.25">
      <c r="B110" s="784"/>
      <c r="C110" s="785" t="s">
        <v>2069</v>
      </c>
      <c r="D110" s="805"/>
      <c r="E110" s="791"/>
      <c r="F110" s="178"/>
      <c r="G110" s="178"/>
      <c r="H110" s="178"/>
      <c r="I110" s="178"/>
      <c r="J110" s="178"/>
      <c r="K110" s="178"/>
      <c r="L110" s="178"/>
      <c r="M110" s="178"/>
      <c r="N110" s="784"/>
    </row>
    <row r="111" spans="2:14" s="751" customFormat="1" ht="4.5" customHeight="1" x14ac:dyDescent="0.25">
      <c r="B111" s="784"/>
      <c r="C111" s="800"/>
      <c r="D111" s="805"/>
      <c r="E111" s="791"/>
      <c r="F111" s="178"/>
      <c r="G111" s="178"/>
      <c r="H111" s="178"/>
      <c r="I111" s="178"/>
      <c r="J111" s="178"/>
      <c r="K111" s="178"/>
      <c r="L111" s="178"/>
      <c r="M111" s="178"/>
      <c r="N111" s="784"/>
    </row>
    <row r="112" spans="2:14" s="751" customFormat="1" x14ac:dyDescent="0.25">
      <c r="B112" s="784"/>
      <c r="C112" s="2923" t="s">
        <v>500</v>
      </c>
      <c r="D112" s="2924" t="s">
        <v>483</v>
      </c>
      <c r="E112" s="2924" t="s">
        <v>2135</v>
      </c>
      <c r="F112" s="828">
        <v>2015</v>
      </c>
      <c r="G112" s="829">
        <v>2020</v>
      </c>
      <c r="H112" s="828">
        <v>2025</v>
      </c>
      <c r="I112" s="828">
        <v>2030</v>
      </c>
      <c r="J112" s="828">
        <v>2035</v>
      </c>
      <c r="K112" s="828">
        <v>2040</v>
      </c>
      <c r="L112" s="828">
        <v>2045</v>
      </c>
      <c r="M112" s="830">
        <v>2050</v>
      </c>
      <c r="N112" s="784"/>
    </row>
    <row r="113" spans="2:14" s="751" customFormat="1" x14ac:dyDescent="0.25">
      <c r="B113" s="784"/>
      <c r="C113" s="2973" t="s">
        <v>502</v>
      </c>
      <c r="D113" s="791"/>
      <c r="E113" s="791"/>
      <c r="F113" s="2854">
        <v>4.5283035504062742E-2</v>
      </c>
      <c r="G113" s="2854">
        <v>4.5283035504062742E-2</v>
      </c>
      <c r="H113" s="2854">
        <v>4.5283035504062742E-2</v>
      </c>
      <c r="I113" s="2854">
        <v>4.5283035504062742E-2</v>
      </c>
      <c r="J113" s="2854">
        <v>4.5283035504062742E-2</v>
      </c>
      <c r="K113" s="2854">
        <v>4.5283035504062742E-2</v>
      </c>
      <c r="L113" s="2854">
        <v>4.5283035504062742E-2</v>
      </c>
      <c r="M113" s="2975">
        <v>4.5283035504062742E-2</v>
      </c>
      <c r="N113" s="784"/>
    </row>
    <row r="114" spans="2:14" s="751" customFormat="1" x14ac:dyDescent="0.25">
      <c r="B114" s="784"/>
      <c r="C114" s="2973" t="s">
        <v>2073</v>
      </c>
      <c r="D114" s="791"/>
      <c r="E114" s="791"/>
      <c r="F114" s="2854">
        <v>5.5101101728943598E-3</v>
      </c>
      <c r="G114" s="2854">
        <v>5.5101101728943598E-3</v>
      </c>
      <c r="H114" s="2854">
        <v>5.5101101728943598E-3</v>
      </c>
      <c r="I114" s="2854">
        <v>5.5101101728943598E-3</v>
      </c>
      <c r="J114" s="2854">
        <v>5.5101101728943598E-3</v>
      </c>
      <c r="K114" s="2854">
        <v>5.5101101728943598E-3</v>
      </c>
      <c r="L114" s="2854">
        <v>5.5101101728943598E-3</v>
      </c>
      <c r="M114" s="2975">
        <v>5.5101101728943598E-3</v>
      </c>
      <c r="N114" s="784"/>
    </row>
    <row r="115" spans="2:14" s="751" customFormat="1" x14ac:dyDescent="0.25">
      <c r="B115" s="784"/>
      <c r="C115" s="2973" t="s">
        <v>429</v>
      </c>
      <c r="D115" s="791"/>
      <c r="E115" s="791"/>
      <c r="F115" s="2854">
        <v>0.39563671325836064</v>
      </c>
      <c r="G115" s="2854">
        <v>0.39563671325836064</v>
      </c>
      <c r="H115" s="2854">
        <v>0.39563671325836064</v>
      </c>
      <c r="I115" s="2854">
        <v>0.39563671325836064</v>
      </c>
      <c r="J115" s="2854">
        <v>0.39563671325836064</v>
      </c>
      <c r="K115" s="2854">
        <v>0.39563671325836064</v>
      </c>
      <c r="L115" s="2854">
        <v>0.39563671325836064</v>
      </c>
      <c r="M115" s="2975">
        <v>0.39563671325836064</v>
      </c>
      <c r="N115" s="784"/>
    </row>
    <row r="116" spans="2:14" s="751" customFormat="1" x14ac:dyDescent="0.25">
      <c r="B116" s="784"/>
      <c r="C116" s="2973" t="s">
        <v>503</v>
      </c>
      <c r="D116" s="791"/>
      <c r="E116" s="791"/>
      <c r="F116" s="2854">
        <v>2.8290329561252599E-2</v>
      </c>
      <c r="G116" s="2854">
        <v>2.8290329561252599E-2</v>
      </c>
      <c r="H116" s="2854">
        <v>2.8290329561252599E-2</v>
      </c>
      <c r="I116" s="2854">
        <v>2.8290329561252599E-2</v>
      </c>
      <c r="J116" s="2854">
        <v>2.8290329561252599E-2</v>
      </c>
      <c r="K116" s="2854">
        <v>2.8290329561252599E-2</v>
      </c>
      <c r="L116" s="2854">
        <v>2.8290329561252599E-2</v>
      </c>
      <c r="M116" s="2975">
        <v>2.8290329561252599E-2</v>
      </c>
      <c r="N116" s="784"/>
    </row>
    <row r="117" spans="2:14" s="751" customFormat="1" x14ac:dyDescent="0.25">
      <c r="B117" s="784"/>
      <c r="C117" s="2973" t="s">
        <v>2074</v>
      </c>
      <c r="D117" s="791"/>
      <c r="E117" s="791"/>
      <c r="F117" s="2854">
        <v>1.6256778949815986E-2</v>
      </c>
      <c r="G117" s="2854">
        <v>1.6256778949815986E-2</v>
      </c>
      <c r="H117" s="2854">
        <v>1.6256778949815986E-2</v>
      </c>
      <c r="I117" s="2854">
        <v>1.6256778949815986E-2</v>
      </c>
      <c r="J117" s="2854">
        <v>1.6256778949815986E-2</v>
      </c>
      <c r="K117" s="2854">
        <v>1.6256778949815986E-2</v>
      </c>
      <c r="L117" s="2854">
        <v>1.6256778949815986E-2</v>
      </c>
      <c r="M117" s="2975">
        <v>1.6256778949815986E-2</v>
      </c>
      <c r="N117" s="784"/>
    </row>
    <row r="118" spans="2:14" s="751" customFormat="1" x14ac:dyDescent="0.25">
      <c r="B118" s="784"/>
      <c r="C118" s="2973" t="s">
        <v>505</v>
      </c>
      <c r="D118" s="791"/>
      <c r="E118" s="791"/>
      <c r="F118" s="2854">
        <v>0.33707360520451396</v>
      </c>
      <c r="G118" s="2854">
        <v>0.33707360520451396</v>
      </c>
      <c r="H118" s="2854">
        <v>0.33707360520451396</v>
      </c>
      <c r="I118" s="2854">
        <v>0.33707360520451396</v>
      </c>
      <c r="J118" s="2854">
        <v>0.33707360520451396</v>
      </c>
      <c r="K118" s="2854">
        <v>0.33707360520451396</v>
      </c>
      <c r="L118" s="2854">
        <v>0.33707360520451396</v>
      </c>
      <c r="M118" s="2975">
        <v>0.33707360520451396</v>
      </c>
      <c r="N118" s="784"/>
    </row>
    <row r="119" spans="2:14" s="751" customFormat="1" x14ac:dyDescent="0.25">
      <c r="B119" s="784"/>
      <c r="C119" s="2973" t="s">
        <v>2075</v>
      </c>
      <c r="D119" s="791"/>
      <c r="E119" s="791"/>
      <c r="F119" s="2854">
        <v>2.149333755384325E-2</v>
      </c>
      <c r="G119" s="2854">
        <v>2.149333755384325E-2</v>
      </c>
      <c r="H119" s="2854">
        <v>2.149333755384325E-2</v>
      </c>
      <c r="I119" s="2854">
        <v>2.149333755384325E-2</v>
      </c>
      <c r="J119" s="2854">
        <v>2.149333755384325E-2</v>
      </c>
      <c r="K119" s="2854">
        <v>2.149333755384325E-2</v>
      </c>
      <c r="L119" s="2854">
        <v>2.149333755384325E-2</v>
      </c>
      <c r="M119" s="2975">
        <v>2.149333755384325E-2</v>
      </c>
      <c r="N119" s="784"/>
    </row>
    <row r="120" spans="2:14" s="751" customFormat="1" x14ac:dyDescent="0.25">
      <c r="B120" s="784"/>
      <c r="C120" s="2973" t="s">
        <v>1013</v>
      </c>
      <c r="D120" s="791"/>
      <c r="E120" s="791"/>
      <c r="F120" s="2854">
        <v>0.1232417827551137</v>
      </c>
      <c r="G120" s="2854">
        <v>0.1232417827551137</v>
      </c>
      <c r="H120" s="2854">
        <v>0.1232417827551137</v>
      </c>
      <c r="I120" s="2854">
        <v>0.1232417827551137</v>
      </c>
      <c r="J120" s="2854">
        <v>0.1232417827551137</v>
      </c>
      <c r="K120" s="2854">
        <v>0.1232417827551137</v>
      </c>
      <c r="L120" s="2854">
        <v>0.1232417827551137</v>
      </c>
      <c r="M120" s="2975">
        <v>0.1232417827551137</v>
      </c>
      <c r="N120" s="784"/>
    </row>
    <row r="121" spans="2:14" s="751" customFormat="1" x14ac:dyDescent="0.25">
      <c r="B121" s="784"/>
      <c r="C121" s="2974" t="s">
        <v>504</v>
      </c>
      <c r="D121" s="807"/>
      <c r="E121" s="807"/>
      <c r="F121" s="2855">
        <v>2.7214307040142719E-2</v>
      </c>
      <c r="G121" s="2855">
        <v>2.7214307040142719E-2</v>
      </c>
      <c r="H121" s="2855">
        <v>2.7214307040142719E-2</v>
      </c>
      <c r="I121" s="2855">
        <v>2.7214307040142719E-2</v>
      </c>
      <c r="J121" s="2855">
        <v>2.7214307040142719E-2</v>
      </c>
      <c r="K121" s="2855">
        <v>2.7214307040142719E-2</v>
      </c>
      <c r="L121" s="2855">
        <v>2.7214307040142719E-2</v>
      </c>
      <c r="M121" s="2976">
        <v>2.7214307040142719E-2</v>
      </c>
      <c r="N121" s="784"/>
    </row>
    <row r="122" spans="2:14" s="751" customFormat="1" ht="4.5" customHeight="1" x14ac:dyDescent="0.25">
      <c r="B122" s="784"/>
      <c r="C122" s="791"/>
      <c r="D122" s="791"/>
      <c r="E122" s="791"/>
      <c r="F122" s="2854"/>
      <c r="G122" s="2854"/>
      <c r="H122" s="2854"/>
      <c r="I122" s="2854"/>
      <c r="J122" s="2854"/>
      <c r="K122" s="2854"/>
      <c r="L122" s="2854"/>
      <c r="M122" s="2854"/>
      <c r="N122" s="784"/>
    </row>
    <row r="123" spans="2:14" s="751" customFormat="1" x14ac:dyDescent="0.25">
      <c r="B123" s="784"/>
      <c r="C123" s="2897" t="s">
        <v>8</v>
      </c>
      <c r="D123" s="791"/>
      <c r="E123" s="791"/>
      <c r="F123" s="2854"/>
      <c r="G123" s="2854"/>
      <c r="H123" s="2854"/>
      <c r="I123" s="2854"/>
      <c r="J123" s="2854"/>
      <c r="K123" s="2854"/>
      <c r="L123" s="2854"/>
      <c r="M123" s="2854"/>
      <c r="N123" s="784"/>
    </row>
    <row r="124" spans="2:14" s="751" customFormat="1" x14ac:dyDescent="0.25">
      <c r="B124" s="784"/>
      <c r="C124" s="2987" t="s">
        <v>319</v>
      </c>
      <c r="D124" s="2971" t="s">
        <v>2065</v>
      </c>
      <c r="E124" s="791"/>
      <c r="F124" s="2854"/>
      <c r="G124" s="2854"/>
      <c r="H124" s="2854"/>
      <c r="I124" s="2854"/>
      <c r="J124" s="2854"/>
      <c r="K124" s="2854"/>
      <c r="L124" s="2854"/>
      <c r="M124" s="2854"/>
      <c r="N124" s="784"/>
    </row>
    <row r="125" spans="2:14" s="751" customFormat="1" x14ac:dyDescent="0.25">
      <c r="B125" s="784"/>
      <c r="C125" s="2987"/>
      <c r="D125" s="2988" t="s">
        <v>2085</v>
      </c>
      <c r="E125" s="791"/>
      <c r="F125" s="2854"/>
      <c r="G125" s="2854"/>
      <c r="H125" s="2854"/>
      <c r="I125" s="2854"/>
      <c r="J125" s="2854"/>
      <c r="K125" s="2854"/>
      <c r="L125" s="2854"/>
      <c r="M125" s="2854"/>
      <c r="N125" s="784"/>
    </row>
    <row r="126" spans="2:14" s="751" customFormat="1" x14ac:dyDescent="0.25">
      <c r="B126" s="784"/>
      <c r="C126" s="3036" t="s">
        <v>1067</v>
      </c>
      <c r="D126" s="3035" t="s">
        <v>2133</v>
      </c>
      <c r="E126" s="791"/>
      <c r="F126" s="2854"/>
      <c r="G126" s="2854"/>
      <c r="H126" s="2854"/>
      <c r="I126" s="2854"/>
      <c r="J126" s="2854"/>
      <c r="K126" s="2854"/>
      <c r="L126" s="2854"/>
      <c r="M126" s="2854"/>
      <c r="N126" s="784"/>
    </row>
    <row r="127" spans="2:14" s="751" customFormat="1" x14ac:dyDescent="0.25">
      <c r="B127" s="784"/>
      <c r="C127" s="800"/>
      <c r="D127" s="3035" t="s">
        <v>2134</v>
      </c>
      <c r="E127" s="791"/>
      <c r="F127" s="2854"/>
      <c r="G127" s="2854"/>
      <c r="H127" s="2854"/>
      <c r="I127" s="2854"/>
      <c r="J127" s="2854"/>
      <c r="K127" s="2854"/>
      <c r="L127" s="2854"/>
      <c r="M127" s="2854"/>
      <c r="N127" s="784"/>
    </row>
    <row r="128" spans="2:14" s="751" customFormat="1" x14ac:dyDescent="0.25">
      <c r="B128" s="784"/>
      <c r="C128" s="791"/>
      <c r="D128" s="791"/>
      <c r="E128" s="791"/>
      <c r="F128" s="2854"/>
      <c r="G128" s="2854"/>
      <c r="H128" s="2854"/>
      <c r="I128" s="2854"/>
      <c r="J128" s="2854"/>
      <c r="K128" s="2854"/>
      <c r="L128" s="2854"/>
      <c r="M128" s="2854"/>
      <c r="N128" s="784"/>
    </row>
    <row r="129" spans="2:14" s="751" customFormat="1" x14ac:dyDescent="0.25">
      <c r="B129" s="784"/>
      <c r="C129" s="800"/>
      <c r="D129" s="805"/>
      <c r="E129" s="791"/>
      <c r="F129" s="178"/>
      <c r="G129" s="178"/>
      <c r="H129" s="178"/>
      <c r="I129" s="178"/>
      <c r="J129" s="178"/>
      <c r="K129" s="178"/>
      <c r="L129" s="178"/>
      <c r="M129" s="178"/>
      <c r="N129" s="784"/>
    </row>
    <row r="130" spans="2:14" s="751" customFormat="1" x14ac:dyDescent="0.25">
      <c r="B130" s="784"/>
      <c r="C130" s="785" t="s">
        <v>2070</v>
      </c>
      <c r="D130" s="805"/>
      <c r="E130" s="791"/>
      <c r="F130" s="178"/>
      <c r="G130" s="178"/>
      <c r="H130" s="178"/>
      <c r="I130" s="178"/>
      <c r="J130" s="178"/>
      <c r="K130" s="178"/>
      <c r="L130" s="178"/>
      <c r="M130" s="178"/>
      <c r="N130" s="784"/>
    </row>
    <row r="131" spans="2:14" s="751" customFormat="1" x14ac:dyDescent="0.25">
      <c r="B131" s="784"/>
      <c r="C131" s="800"/>
      <c r="D131" s="805"/>
      <c r="E131" s="791"/>
      <c r="F131" s="178"/>
      <c r="G131" s="178"/>
      <c r="H131" s="178"/>
      <c r="I131" s="178"/>
      <c r="J131" s="178"/>
      <c r="K131" s="178"/>
      <c r="L131" s="178"/>
      <c r="M131" s="178"/>
      <c r="N131" s="784"/>
    </row>
    <row r="132" spans="2:14" s="751" customFormat="1" x14ac:dyDescent="0.25">
      <c r="B132" s="784"/>
      <c r="C132" s="2923" t="s">
        <v>500</v>
      </c>
      <c r="D132" s="2924" t="s">
        <v>483</v>
      </c>
      <c r="E132" s="2924" t="s">
        <v>2084</v>
      </c>
      <c r="F132" s="828">
        <v>2015</v>
      </c>
      <c r="G132" s="829">
        <v>2020</v>
      </c>
      <c r="H132" s="828">
        <v>2025</v>
      </c>
      <c r="I132" s="828">
        <v>2030</v>
      </c>
      <c r="J132" s="828">
        <v>2035</v>
      </c>
      <c r="K132" s="828">
        <v>2040</v>
      </c>
      <c r="L132" s="828">
        <v>2045</v>
      </c>
      <c r="M132" s="830">
        <v>2050</v>
      </c>
      <c r="N132" s="784"/>
    </row>
    <row r="133" spans="2:14" s="751" customFormat="1" x14ac:dyDescent="0.25">
      <c r="B133" s="784"/>
      <c r="C133" s="2973" t="s">
        <v>502</v>
      </c>
      <c r="D133" s="791"/>
      <c r="E133" s="791"/>
      <c r="F133" s="2854">
        <v>0.15568134838607092</v>
      </c>
      <c r="G133" s="2854">
        <v>0.15568134838607092</v>
      </c>
      <c r="H133" s="2854">
        <v>0.15568134838607092</v>
      </c>
      <c r="I133" s="2854">
        <v>0.15568134838607092</v>
      </c>
      <c r="J133" s="2854">
        <v>0.15568134838607092</v>
      </c>
      <c r="K133" s="2854">
        <v>0.15568134838607092</v>
      </c>
      <c r="L133" s="2854">
        <v>0.15568134838607092</v>
      </c>
      <c r="M133" s="2975">
        <v>0.15568134838607092</v>
      </c>
      <c r="N133" s="784"/>
    </row>
    <row r="134" spans="2:14" s="751" customFormat="1" x14ac:dyDescent="0.25">
      <c r="B134" s="784"/>
      <c r="C134" s="2973" t="s">
        <v>2073</v>
      </c>
      <c r="D134" s="791"/>
      <c r="E134" s="791"/>
      <c r="F134" s="2854">
        <v>1.784067419303546E-2</v>
      </c>
      <c r="G134" s="2854">
        <v>1.784067419303546E-2</v>
      </c>
      <c r="H134" s="2854">
        <v>1.784067419303546E-2</v>
      </c>
      <c r="I134" s="2854">
        <v>1.784067419303546E-2</v>
      </c>
      <c r="J134" s="2854">
        <v>1.784067419303546E-2</v>
      </c>
      <c r="K134" s="2854">
        <v>1.784067419303546E-2</v>
      </c>
      <c r="L134" s="2854">
        <v>1.784067419303546E-2</v>
      </c>
      <c r="M134" s="2975">
        <v>1.784067419303546E-2</v>
      </c>
      <c r="N134" s="784"/>
    </row>
    <row r="135" spans="2:14" s="751" customFormat="1" x14ac:dyDescent="0.25">
      <c r="B135" s="784"/>
      <c r="C135" s="2973" t="s">
        <v>429</v>
      </c>
      <c r="D135" s="791"/>
      <c r="E135" s="791"/>
      <c r="F135" s="2854">
        <v>0.29437112418508504</v>
      </c>
      <c r="G135" s="2854">
        <v>0.29437112418508504</v>
      </c>
      <c r="H135" s="2854">
        <v>0.29437112418508504</v>
      </c>
      <c r="I135" s="2854">
        <v>0.29437112418508504</v>
      </c>
      <c r="J135" s="2854">
        <v>0.29437112418508504</v>
      </c>
      <c r="K135" s="2854">
        <v>0.29437112418508504</v>
      </c>
      <c r="L135" s="2854">
        <v>0.29437112418508504</v>
      </c>
      <c r="M135" s="2975">
        <v>0.29437112418508504</v>
      </c>
      <c r="N135" s="784"/>
    </row>
    <row r="136" spans="2:14" s="751" customFormat="1" x14ac:dyDescent="0.25">
      <c r="B136" s="784"/>
      <c r="C136" s="2973" t="s">
        <v>503</v>
      </c>
      <c r="D136" s="791"/>
      <c r="E136" s="791"/>
      <c r="F136" s="2854">
        <v>5.7557640324375894E-2</v>
      </c>
      <c r="G136" s="2854">
        <v>5.7557640324375894E-2</v>
      </c>
      <c r="H136" s="2854">
        <v>5.7557640324375894E-2</v>
      </c>
      <c r="I136" s="2854">
        <v>5.7557640324375894E-2</v>
      </c>
      <c r="J136" s="2854">
        <v>5.7557640324375894E-2</v>
      </c>
      <c r="K136" s="2854">
        <v>5.7557640324375894E-2</v>
      </c>
      <c r="L136" s="2854">
        <v>5.7557640324375894E-2</v>
      </c>
      <c r="M136" s="2975">
        <v>5.7557640324375894E-2</v>
      </c>
      <c r="N136" s="784"/>
    </row>
    <row r="137" spans="2:14" s="751" customFormat="1" x14ac:dyDescent="0.25">
      <c r="B137" s="784"/>
      <c r="C137" s="2973" t="s">
        <v>2074</v>
      </c>
      <c r="D137" s="791"/>
      <c r="E137" s="791"/>
      <c r="F137" s="2854">
        <v>6.3238988710446808E-2</v>
      </c>
      <c r="G137" s="2854">
        <v>6.3238988710446808E-2</v>
      </c>
      <c r="H137" s="2854">
        <v>6.3238988710446808E-2</v>
      </c>
      <c r="I137" s="2854">
        <v>6.3238988710446808E-2</v>
      </c>
      <c r="J137" s="2854">
        <v>6.3238988710446808E-2</v>
      </c>
      <c r="K137" s="2854">
        <v>6.3238988710446808E-2</v>
      </c>
      <c r="L137" s="2854">
        <v>6.3238988710446808E-2</v>
      </c>
      <c r="M137" s="2975">
        <v>6.3238988710446808E-2</v>
      </c>
      <c r="N137" s="784"/>
    </row>
    <row r="138" spans="2:14" s="751" customFormat="1" x14ac:dyDescent="0.25">
      <c r="B138" s="784"/>
      <c r="C138" s="2973" t="s">
        <v>505</v>
      </c>
      <c r="D138" s="791"/>
      <c r="E138" s="791"/>
      <c r="F138" s="2854">
        <v>0.16886786452536173</v>
      </c>
      <c r="G138" s="2854">
        <v>0.16886786452536173</v>
      </c>
      <c r="H138" s="2854">
        <v>0.16886786452536173</v>
      </c>
      <c r="I138" s="2854">
        <v>0.16886786452536173</v>
      </c>
      <c r="J138" s="2854">
        <v>0.16886786452536173</v>
      </c>
      <c r="K138" s="2854">
        <v>0.16886786452536173</v>
      </c>
      <c r="L138" s="2854">
        <v>0.16886786452536173</v>
      </c>
      <c r="M138" s="2975">
        <v>0.16886786452536173</v>
      </c>
      <c r="N138" s="784"/>
    </row>
    <row r="139" spans="2:14" s="751" customFormat="1" x14ac:dyDescent="0.25">
      <c r="B139" s="784"/>
      <c r="C139" s="2973" t="s">
        <v>2075</v>
      </c>
      <c r="D139" s="791"/>
      <c r="E139" s="791"/>
      <c r="F139" s="2854">
        <v>7.136269677214184E-2</v>
      </c>
      <c r="G139" s="2854">
        <v>7.136269677214184E-2</v>
      </c>
      <c r="H139" s="2854">
        <v>7.136269677214184E-2</v>
      </c>
      <c r="I139" s="2854">
        <v>7.136269677214184E-2</v>
      </c>
      <c r="J139" s="2854">
        <v>7.136269677214184E-2</v>
      </c>
      <c r="K139" s="2854">
        <v>7.136269677214184E-2</v>
      </c>
      <c r="L139" s="2854">
        <v>7.136269677214184E-2</v>
      </c>
      <c r="M139" s="2975">
        <v>7.136269677214184E-2</v>
      </c>
      <c r="N139" s="784"/>
    </row>
    <row r="140" spans="2:14" s="751" customFormat="1" x14ac:dyDescent="0.25">
      <c r="B140" s="784"/>
      <c r="C140" s="2973" t="s">
        <v>1013</v>
      </c>
      <c r="D140" s="791"/>
      <c r="E140" s="791"/>
      <c r="F140" s="2854">
        <v>0.15323898871044681</v>
      </c>
      <c r="G140" s="2854">
        <v>0.15323898871044681</v>
      </c>
      <c r="H140" s="2854">
        <v>0.15323898871044681</v>
      </c>
      <c r="I140" s="2854">
        <v>0.15323898871044681</v>
      </c>
      <c r="J140" s="2854">
        <v>0.15323898871044681</v>
      </c>
      <c r="K140" s="2854">
        <v>0.15323898871044681</v>
      </c>
      <c r="L140" s="2854">
        <v>0.15323898871044681</v>
      </c>
      <c r="M140" s="2975">
        <v>0.15323898871044681</v>
      </c>
      <c r="N140" s="784"/>
    </row>
    <row r="141" spans="2:14" s="751" customFormat="1" x14ac:dyDescent="0.25">
      <c r="B141" s="784"/>
      <c r="C141" s="2974" t="s">
        <v>504</v>
      </c>
      <c r="D141" s="807"/>
      <c r="E141" s="807"/>
      <c r="F141" s="2855">
        <v>1.7840674193035477E-2</v>
      </c>
      <c r="G141" s="2855">
        <v>1.7840674193035477E-2</v>
      </c>
      <c r="H141" s="2855">
        <v>1.7840674193035477E-2</v>
      </c>
      <c r="I141" s="2855">
        <v>1.7840674193035477E-2</v>
      </c>
      <c r="J141" s="2855">
        <v>1.7840674193035477E-2</v>
      </c>
      <c r="K141" s="2855">
        <v>1.7840674193035477E-2</v>
      </c>
      <c r="L141" s="2855">
        <v>1.7840674193035477E-2</v>
      </c>
      <c r="M141" s="2976">
        <v>1.7840674193035477E-2</v>
      </c>
      <c r="N141" s="784"/>
    </row>
    <row r="142" spans="2:14" s="751" customFormat="1" ht="5.25" customHeight="1" x14ac:dyDescent="0.25">
      <c r="B142" s="784"/>
      <c r="C142" s="800"/>
      <c r="D142" s="805"/>
      <c r="E142" s="791"/>
      <c r="F142" s="178"/>
      <c r="G142" s="178"/>
      <c r="H142" s="178"/>
      <c r="I142" s="178"/>
      <c r="J142" s="178"/>
      <c r="K142" s="178"/>
      <c r="L142" s="178"/>
      <c r="M142" s="178"/>
      <c r="N142" s="784"/>
    </row>
    <row r="143" spans="2:14" s="751" customFormat="1" x14ac:dyDescent="0.25">
      <c r="B143" s="784"/>
      <c r="C143" s="2897" t="s">
        <v>8</v>
      </c>
      <c r="D143" s="791"/>
      <c r="E143" s="791"/>
      <c r="F143" s="178"/>
      <c r="G143" s="178"/>
      <c r="H143" s="178"/>
      <c r="I143" s="178"/>
      <c r="J143" s="178"/>
      <c r="K143" s="178"/>
      <c r="L143" s="178"/>
      <c r="M143" s="178"/>
      <c r="N143" s="784"/>
    </row>
    <row r="144" spans="2:14" s="751" customFormat="1" x14ac:dyDescent="0.25">
      <c r="B144" s="784"/>
      <c r="C144" s="2987" t="s">
        <v>319</v>
      </c>
      <c r="D144" s="2971" t="s">
        <v>2065</v>
      </c>
      <c r="E144" s="791"/>
      <c r="F144" s="178"/>
      <c r="G144" s="178"/>
      <c r="H144" s="178"/>
      <c r="I144" s="178"/>
      <c r="J144" s="178"/>
      <c r="K144" s="178"/>
      <c r="L144" s="178"/>
      <c r="M144" s="178"/>
      <c r="N144" s="784"/>
    </row>
    <row r="145" spans="2:14" s="751" customFormat="1" x14ac:dyDescent="0.25">
      <c r="B145" s="784"/>
      <c r="C145" s="2987"/>
      <c r="D145" s="2988" t="s">
        <v>2085</v>
      </c>
      <c r="E145" s="791"/>
      <c r="F145" s="178"/>
      <c r="G145" s="178"/>
      <c r="H145" s="178"/>
      <c r="I145" s="178"/>
      <c r="J145" s="178"/>
      <c r="K145" s="178"/>
      <c r="L145" s="178"/>
      <c r="M145" s="178"/>
      <c r="N145" s="784"/>
    </row>
    <row r="146" spans="2:14" s="751" customFormat="1" x14ac:dyDescent="0.25">
      <c r="B146" s="784"/>
      <c r="C146" s="3036"/>
      <c r="D146" s="3035"/>
      <c r="E146" s="791"/>
      <c r="F146" s="178"/>
      <c r="G146" s="178"/>
      <c r="H146" s="178"/>
      <c r="I146" s="178"/>
      <c r="J146" s="178"/>
      <c r="K146" s="178"/>
      <c r="L146" s="178"/>
      <c r="M146" s="178"/>
      <c r="N146" s="784"/>
    </row>
    <row r="148" spans="2:14" ht="15.75" x14ac:dyDescent="0.25">
      <c r="B148" s="905" t="s">
        <v>168</v>
      </c>
      <c r="C148" s="906"/>
      <c r="D148" s="907"/>
      <c r="E148" s="907"/>
      <c r="F148" s="907"/>
      <c r="G148" s="907"/>
      <c r="H148" s="907"/>
      <c r="I148" s="907"/>
      <c r="J148" s="907"/>
      <c r="K148" s="907"/>
      <c r="L148" s="907"/>
      <c r="M148" s="907"/>
      <c r="N148" s="907"/>
    </row>
    <row r="149" spans="2:14" x14ac:dyDescent="0.25">
      <c r="B149" s="908"/>
      <c r="C149" s="909"/>
      <c r="D149" s="909"/>
      <c r="E149" s="909"/>
      <c r="F149" s="909"/>
      <c r="G149" s="909"/>
      <c r="H149" s="909"/>
      <c r="I149" s="909"/>
      <c r="J149" s="909"/>
      <c r="K149" s="909"/>
      <c r="L149" s="909"/>
      <c r="M149" s="909"/>
      <c r="N149" s="909"/>
    </row>
    <row r="150" spans="2:14" x14ac:dyDescent="0.25">
      <c r="B150" s="909"/>
      <c r="C150" s="910" t="s">
        <v>2078</v>
      </c>
      <c r="D150" s="909"/>
      <c r="E150" s="911"/>
      <c r="F150" s="909"/>
      <c r="G150" s="909"/>
      <c r="H150" s="909"/>
      <c r="I150" s="909"/>
      <c r="J150" s="909"/>
      <c r="K150" s="909"/>
      <c r="L150" s="909"/>
      <c r="M150" s="911" t="s">
        <v>171</v>
      </c>
      <c r="N150" s="909"/>
    </row>
    <row r="151" spans="2:14" ht="5.25" customHeight="1" x14ac:dyDescent="0.25">
      <c r="B151" s="909"/>
      <c r="C151" s="909"/>
      <c r="D151" s="909"/>
      <c r="E151" s="909"/>
      <c r="F151" s="909"/>
      <c r="G151" s="909"/>
      <c r="H151" s="909"/>
      <c r="I151" s="909"/>
      <c r="J151" s="909"/>
      <c r="K151" s="909"/>
      <c r="L151" s="909"/>
      <c r="M151" s="909"/>
      <c r="N151" s="909"/>
    </row>
    <row r="152" spans="2:14" x14ac:dyDescent="0.25">
      <c r="B152" s="909"/>
      <c r="C152" s="912" t="s">
        <v>488</v>
      </c>
      <c r="D152" s="912" t="s">
        <v>483</v>
      </c>
      <c r="E152" s="912" t="s">
        <v>8</v>
      </c>
      <c r="F152" s="913">
        <v>2015</v>
      </c>
      <c r="G152" s="914">
        <v>2020</v>
      </c>
      <c r="H152" s="913">
        <v>2025</v>
      </c>
      <c r="I152" s="913">
        <v>2030</v>
      </c>
      <c r="J152" s="913">
        <v>2035</v>
      </c>
      <c r="K152" s="913">
        <v>2040</v>
      </c>
      <c r="L152" s="913">
        <v>2045</v>
      </c>
      <c r="M152" s="913">
        <v>2050</v>
      </c>
      <c r="N152" s="909"/>
    </row>
    <row r="153" spans="2:14" x14ac:dyDescent="0.25">
      <c r="B153" s="909"/>
      <c r="C153" s="2978" t="s">
        <v>2076</v>
      </c>
      <c r="D153" s="916"/>
      <c r="E153" s="917"/>
      <c r="F153" s="3158">
        <f t="shared" ref="F153:M153" si="4">(F114+F117+F119+F121+F120)*F27</f>
        <v>3.1040683450931019</v>
      </c>
      <c r="G153" s="919">
        <f t="shared" si="4"/>
        <v>3.5077836813514702</v>
      </c>
      <c r="H153" s="919">
        <f t="shared" si="4"/>
        <v>4.1208610008158217</v>
      </c>
      <c r="I153" s="919">
        <f t="shared" si="4"/>
        <v>4.8452302264286189</v>
      </c>
      <c r="J153" s="919">
        <f t="shared" si="4"/>
        <v>5.5954064055040389</v>
      </c>
      <c r="K153" s="919">
        <f t="shared" si="4"/>
        <v>6.3703399448475473</v>
      </c>
      <c r="L153" s="919">
        <f t="shared" si="4"/>
        <v>7.1921247299621189</v>
      </c>
      <c r="M153" s="919">
        <f t="shared" si="4"/>
        <v>7.70748685032531</v>
      </c>
      <c r="N153" s="909"/>
    </row>
    <row r="154" spans="2:14" x14ac:dyDescent="0.25">
      <c r="B154" s="909"/>
      <c r="C154" s="2978" t="s">
        <v>505</v>
      </c>
      <c r="D154" s="916"/>
      <c r="E154" s="917"/>
      <c r="F154" s="3158">
        <f t="shared" ref="F154:M154" si="5">(F118)*F27</f>
        <v>5.4011945247472255</v>
      </c>
      <c r="G154" s="919">
        <f t="shared" si="5"/>
        <v>6.1036742453378441</v>
      </c>
      <c r="H154" s="919">
        <f t="shared" si="5"/>
        <v>7.1704516139393215</v>
      </c>
      <c r="I154" s="919">
        <f t="shared" si="5"/>
        <v>8.4308810440644741</v>
      </c>
      <c r="J154" s="919">
        <f t="shared" si="5"/>
        <v>9.7362155343385357</v>
      </c>
      <c r="K154" s="919">
        <f t="shared" si="5"/>
        <v>11.084628753513197</v>
      </c>
      <c r="L154" s="919">
        <f t="shared" si="5"/>
        <v>12.51456488520242</v>
      </c>
      <c r="M154" s="919">
        <f t="shared" si="5"/>
        <v>13.411314168177469</v>
      </c>
      <c r="N154" s="909"/>
    </row>
    <row r="155" spans="2:14" x14ac:dyDescent="0.25">
      <c r="B155" s="909"/>
      <c r="C155" s="2977" t="s">
        <v>1013</v>
      </c>
      <c r="D155" s="925"/>
      <c r="E155" s="926"/>
      <c r="F155" s="3159">
        <f t="shared" ref="F155:M155" si="6">F27-F154-F153</f>
        <v>7.5185207826059628</v>
      </c>
      <c r="G155" s="927">
        <f t="shared" si="6"/>
        <v>8.496380097692743</v>
      </c>
      <c r="H155" s="927">
        <f t="shared" si="6"/>
        <v>9.9813456510523082</v>
      </c>
      <c r="I155" s="927">
        <f t="shared" si="6"/>
        <v>11.735876953708484</v>
      </c>
      <c r="J155" s="927">
        <f t="shared" si="6"/>
        <v>13.552916582333449</v>
      </c>
      <c r="K155" s="927">
        <f t="shared" si="6"/>
        <v>15.429922264216337</v>
      </c>
      <c r="L155" s="927">
        <f t="shared" si="6"/>
        <v>17.420408715805074</v>
      </c>
      <c r="M155" s="927">
        <f t="shared" si="6"/>
        <v>18.66869334801806</v>
      </c>
      <c r="N155" s="909"/>
    </row>
    <row r="156" spans="2:14" x14ac:dyDescent="0.25">
      <c r="B156" s="909"/>
      <c r="C156" s="2978"/>
      <c r="D156" s="916"/>
      <c r="E156" s="917"/>
      <c r="F156" s="919"/>
      <c r="G156" s="919"/>
      <c r="H156" s="919"/>
      <c r="I156" s="919"/>
      <c r="J156" s="919"/>
      <c r="K156" s="919"/>
      <c r="L156" s="919"/>
      <c r="M156" s="919"/>
      <c r="N156" s="909"/>
    </row>
    <row r="157" spans="2:14" x14ac:dyDescent="0.25">
      <c r="B157" s="909"/>
      <c r="C157" s="910" t="s">
        <v>2079</v>
      </c>
      <c r="D157" s="909"/>
      <c r="E157" s="911"/>
      <c r="F157" s="909"/>
      <c r="G157" s="909"/>
      <c r="H157" s="909"/>
      <c r="I157" s="909"/>
      <c r="J157" s="909"/>
      <c r="K157" s="909"/>
      <c r="L157" s="909"/>
      <c r="M157" s="911" t="s">
        <v>171</v>
      </c>
      <c r="N157" s="909"/>
    </row>
    <row r="158" spans="2:14" ht="3.75" customHeight="1" x14ac:dyDescent="0.25">
      <c r="B158" s="909"/>
      <c r="C158" s="909"/>
      <c r="D158" s="909"/>
      <c r="E158" s="909"/>
      <c r="F158" s="909"/>
      <c r="G158" s="909"/>
      <c r="H158" s="909"/>
      <c r="I158" s="909"/>
      <c r="J158" s="909"/>
      <c r="K158" s="909"/>
      <c r="L158" s="909"/>
      <c r="M158" s="909"/>
      <c r="N158" s="909"/>
    </row>
    <row r="159" spans="2:14" x14ac:dyDescent="0.25">
      <c r="B159" s="909"/>
      <c r="C159" s="912" t="s">
        <v>488</v>
      </c>
      <c r="D159" s="912" t="s">
        <v>483</v>
      </c>
      <c r="E159" s="912" t="s">
        <v>8</v>
      </c>
      <c r="F159" s="913">
        <v>2015</v>
      </c>
      <c r="G159" s="914">
        <v>2020</v>
      </c>
      <c r="H159" s="913">
        <v>2025</v>
      </c>
      <c r="I159" s="913">
        <v>2030</v>
      </c>
      <c r="J159" s="913">
        <v>2035</v>
      </c>
      <c r="K159" s="913">
        <v>2040</v>
      </c>
      <c r="L159" s="913">
        <v>2045</v>
      </c>
      <c r="M159" s="913">
        <v>2050</v>
      </c>
      <c r="N159" s="909"/>
    </row>
    <row r="160" spans="2:14" x14ac:dyDescent="0.25">
      <c r="B160" s="909"/>
      <c r="C160" s="2978" t="s">
        <v>2076</v>
      </c>
      <c r="D160" s="916"/>
      <c r="E160" s="917"/>
      <c r="F160" s="3158">
        <f t="shared" ref="F160:M160" si="7">(F134+F137+F139+F141+F140)*F32</f>
        <v>1.3072190222399831</v>
      </c>
      <c r="G160" s="919">
        <f t="shared" si="7"/>
        <v>1.3551498944334626</v>
      </c>
      <c r="H160" s="919">
        <f t="shared" si="7"/>
        <v>1.4424025271349379</v>
      </c>
      <c r="I160" s="919">
        <f t="shared" si="7"/>
        <v>1.5435563131128276</v>
      </c>
      <c r="J160" s="919">
        <f t="shared" si="7"/>
        <v>1.6401011957307989</v>
      </c>
      <c r="K160" s="919">
        <f t="shared" si="7"/>
        <v>1.7324129276087248</v>
      </c>
      <c r="L160" s="919">
        <f t="shared" si="7"/>
        <v>1.8242752196382765</v>
      </c>
      <c r="M160" s="919">
        <f t="shared" si="7"/>
        <v>1.9190948875212839</v>
      </c>
      <c r="N160" s="909"/>
    </row>
    <row r="161" spans="1:14" x14ac:dyDescent="0.25">
      <c r="B161" s="909"/>
      <c r="C161" s="2978" t="s">
        <v>505</v>
      </c>
      <c r="D161" s="916"/>
      <c r="E161" s="917"/>
      <c r="F161" s="3158">
        <f t="shared" ref="F161:M161" si="8">(F138)*F32</f>
        <v>0.68232537306983798</v>
      </c>
      <c r="G161" s="919">
        <f t="shared" si="8"/>
        <v>0.70734371329788781</v>
      </c>
      <c r="H161" s="919">
        <f t="shared" si="8"/>
        <v>0.75288672035828386</v>
      </c>
      <c r="I161" s="919">
        <f t="shared" si="8"/>
        <v>0.8056856726230095</v>
      </c>
      <c r="J161" s="919">
        <f t="shared" si="8"/>
        <v>0.85607892878708436</v>
      </c>
      <c r="K161" s="919">
        <f t="shared" si="8"/>
        <v>0.90426261937047103</v>
      </c>
      <c r="L161" s="919">
        <f t="shared" si="8"/>
        <v>0.95221171712205455</v>
      </c>
      <c r="M161" s="919">
        <f t="shared" si="8"/>
        <v>1.0017044678867797</v>
      </c>
      <c r="N161" s="909"/>
    </row>
    <row r="162" spans="1:14" x14ac:dyDescent="0.25">
      <c r="B162" s="909"/>
      <c r="C162" s="2977" t="s">
        <v>1013</v>
      </c>
      <c r="D162" s="925"/>
      <c r="E162" s="926"/>
      <c r="F162" s="3159">
        <f t="shared" ref="F162:M162" si="9">F32-F161-F160</f>
        <v>2.0510430485336562</v>
      </c>
      <c r="G162" s="927">
        <f t="shared" si="9"/>
        <v>2.1262471884291534</v>
      </c>
      <c r="H162" s="927">
        <f t="shared" si="9"/>
        <v>2.2631476639607642</v>
      </c>
      <c r="I162" s="927">
        <f t="shared" si="9"/>
        <v>2.4218592234110705</v>
      </c>
      <c r="J162" s="927">
        <f t="shared" si="9"/>
        <v>2.5733393556583612</v>
      </c>
      <c r="K162" s="927">
        <f t="shared" si="9"/>
        <v>2.7181776212780635</v>
      </c>
      <c r="L162" s="927">
        <f t="shared" si="9"/>
        <v>2.8623107101362155</v>
      </c>
      <c r="M162" s="927">
        <f t="shared" si="9"/>
        <v>3.0110839588168088</v>
      </c>
      <c r="N162" s="909"/>
    </row>
    <row r="163" spans="1:14" x14ac:dyDescent="0.25">
      <c r="B163" s="909"/>
      <c r="C163" s="2978"/>
      <c r="D163" s="916"/>
      <c r="E163" s="917"/>
      <c r="F163" s="919"/>
      <c r="G163" s="919"/>
      <c r="H163" s="919"/>
      <c r="I163" s="919"/>
      <c r="J163" s="919"/>
      <c r="K163" s="919"/>
      <c r="L163" s="919"/>
      <c r="M163" s="919"/>
      <c r="N163" s="909"/>
    </row>
    <row r="164" spans="1:14" x14ac:dyDescent="0.25">
      <c r="B164"/>
      <c r="C164"/>
      <c r="D164"/>
      <c r="E164"/>
      <c r="F164"/>
      <c r="G164"/>
      <c r="H164"/>
      <c r="I164"/>
      <c r="J164"/>
      <c r="K164"/>
      <c r="L164"/>
      <c r="M164"/>
      <c r="N164"/>
    </row>
    <row r="165" spans="1:14" ht="21" x14ac:dyDescent="0.35">
      <c r="A165" s="851"/>
      <c r="B165" s="853" t="s">
        <v>229</v>
      </c>
      <c r="C165"/>
      <c r="D165"/>
      <c r="E165"/>
      <c r="F165"/>
      <c r="G165"/>
      <c r="H165"/>
      <c r="I165"/>
      <c r="J165"/>
      <c r="K165"/>
      <c r="L165"/>
      <c r="M165"/>
      <c r="N165"/>
    </row>
    <row r="166" spans="1:14" x14ac:dyDescent="0.25">
      <c r="A166" s="853" t="s">
        <v>701</v>
      </c>
      <c r="B166" s="853" t="s">
        <v>2064</v>
      </c>
      <c r="C166"/>
      <c r="D166"/>
      <c r="E166"/>
      <c r="F166"/>
      <c r="G166"/>
      <c r="H166"/>
      <c r="I166"/>
      <c r="J166"/>
      <c r="K166"/>
      <c r="L166"/>
      <c r="M166"/>
      <c r="N166"/>
    </row>
    <row r="167" spans="1:14" x14ac:dyDescent="0.25">
      <c r="A167" s="853" t="s">
        <v>702</v>
      </c>
      <c r="B167" s="853" t="s">
        <v>524</v>
      </c>
      <c r="C167"/>
      <c r="D167"/>
      <c r="E167"/>
      <c r="F167"/>
      <c r="G167"/>
      <c r="H167"/>
      <c r="I167"/>
      <c r="J167"/>
      <c r="K167"/>
      <c r="L167"/>
      <c r="M167"/>
      <c r="N167"/>
    </row>
    <row r="168" spans="1:14" customFormat="1" x14ac:dyDescent="0.25">
      <c r="A168" s="853" t="s">
        <v>703</v>
      </c>
      <c r="B168" s="853" t="s">
        <v>2063</v>
      </c>
    </row>
    <row r="169" spans="1:14" customFormat="1" x14ac:dyDescent="0.25">
      <c r="A169" s="853" t="s">
        <v>704</v>
      </c>
      <c r="B169" s="853" t="s">
        <v>525</v>
      </c>
      <c r="F169" s="888"/>
      <c r="G169" s="888"/>
      <c r="H169" s="888"/>
      <c r="I169" s="888"/>
      <c r="J169" s="888"/>
      <c r="K169" s="888"/>
      <c r="L169" s="888"/>
      <c r="M169" s="888"/>
    </row>
    <row r="170" spans="1:14" customFormat="1" x14ac:dyDescent="0.25">
      <c r="A170" s="853"/>
      <c r="B170" s="853"/>
      <c r="F170" s="80"/>
      <c r="G170" s="80"/>
      <c r="H170" s="80"/>
      <c r="I170" s="80"/>
      <c r="J170" s="80"/>
      <c r="K170" s="80"/>
      <c r="L170" s="80"/>
      <c r="M170" s="80"/>
    </row>
    <row r="171" spans="1:14" customFormat="1" x14ac:dyDescent="0.25">
      <c r="A171" s="853" t="s">
        <v>701</v>
      </c>
      <c r="B171" s="853" t="s">
        <v>2064</v>
      </c>
      <c r="F171" s="80"/>
      <c r="G171" s="80"/>
      <c r="H171" s="80"/>
      <c r="I171" s="80"/>
      <c r="J171" s="80"/>
      <c r="K171" s="80"/>
      <c r="L171" s="80"/>
      <c r="M171" s="80"/>
    </row>
    <row r="172" spans="1:14" customFormat="1" outlineLevel="1" x14ac:dyDescent="0.25">
      <c r="A172" s="853"/>
      <c r="B172" s="853"/>
      <c r="F172" s="80"/>
      <c r="G172" s="80"/>
      <c r="H172" s="80"/>
      <c r="I172" s="80"/>
      <c r="J172" s="80"/>
      <c r="K172" s="80"/>
      <c r="L172" s="80"/>
      <c r="M172" s="80"/>
    </row>
    <row r="173" spans="1:14" customFormat="1" outlineLevel="1" x14ac:dyDescent="0.25">
      <c r="A173" s="853"/>
      <c r="B173" s="853"/>
      <c r="C173" s="80" t="s">
        <v>2081</v>
      </c>
      <c r="F173" s="80">
        <v>2015</v>
      </c>
      <c r="G173" s="80">
        <v>2015</v>
      </c>
      <c r="H173" s="80">
        <v>2015</v>
      </c>
      <c r="I173" s="80">
        <v>2015</v>
      </c>
      <c r="J173" s="80">
        <v>2015</v>
      </c>
      <c r="K173" s="80">
        <v>2015</v>
      </c>
      <c r="L173" s="80">
        <v>2015</v>
      </c>
      <c r="M173" s="80">
        <v>2015</v>
      </c>
    </row>
    <row r="174" spans="1:14" customFormat="1" outlineLevel="1" x14ac:dyDescent="0.25">
      <c r="A174" s="853"/>
      <c r="B174" s="853"/>
      <c r="C174" t="s">
        <v>334</v>
      </c>
      <c r="E174" t="s">
        <v>171</v>
      </c>
      <c r="F174" s="2980">
        <f t="shared" ref="F174:M183" si="10">F80*F$27+F95*F$32</f>
        <v>3.1758513374879485</v>
      </c>
      <c r="G174" s="2980">
        <f t="shared" si="10"/>
        <v>3.5701682201714622</v>
      </c>
      <c r="H174" s="2980">
        <f t="shared" si="10"/>
        <v>4.2253204115167255</v>
      </c>
      <c r="I174" s="2980">
        <f t="shared" si="10"/>
        <v>4.9977100368070557</v>
      </c>
      <c r="J174" s="2980">
        <f t="shared" si="10"/>
        <v>5.7956858123333816</v>
      </c>
      <c r="K174" s="2980">
        <f t="shared" si="10"/>
        <v>6.6231168317903766</v>
      </c>
      <c r="L174" s="2980">
        <f t="shared" si="10"/>
        <v>7.4964090915272532</v>
      </c>
      <c r="M174" s="2980">
        <f t="shared" si="10"/>
        <v>8.0319214006820356</v>
      </c>
    </row>
    <row r="175" spans="1:14" customFormat="1" outlineLevel="1" x14ac:dyDescent="0.25">
      <c r="A175" s="853"/>
      <c r="B175" s="853"/>
      <c r="C175" t="s">
        <v>498</v>
      </c>
      <c r="E175" t="s">
        <v>171</v>
      </c>
      <c r="F175" s="2980">
        <f t="shared" si="10"/>
        <v>11.187753955502936</v>
      </c>
      <c r="G175" s="2980">
        <f t="shared" si="10"/>
        <v>12.490207379090641</v>
      </c>
      <c r="H175" s="2980">
        <f t="shared" si="10"/>
        <v>14.458323869284641</v>
      </c>
      <c r="I175" s="2980">
        <f t="shared" si="10"/>
        <v>16.783008947317473</v>
      </c>
      <c r="J175" s="2980">
        <f t="shared" si="10"/>
        <v>19.172966395659579</v>
      </c>
      <c r="K175" s="2980">
        <f t="shared" si="10"/>
        <v>21.641190937652397</v>
      </c>
      <c r="L175" s="2980">
        <f t="shared" si="10"/>
        <v>24.263650809542185</v>
      </c>
      <c r="M175" s="2980">
        <f t="shared" si="10"/>
        <v>26.062119503181826</v>
      </c>
    </row>
    <row r="176" spans="1:14" customFormat="1" outlineLevel="1" x14ac:dyDescent="0.25">
      <c r="A176" s="853"/>
      <c r="B176" s="853"/>
      <c r="C176" t="s">
        <v>499</v>
      </c>
      <c r="E176" t="s">
        <v>171</v>
      </c>
      <c r="F176" s="2980">
        <f t="shared" si="10"/>
        <v>0.1371233654580187</v>
      </c>
      <c r="G176" s="2980">
        <f t="shared" si="10"/>
        <v>0.15237865724274488</v>
      </c>
      <c r="H176" s="2980">
        <f t="shared" si="10"/>
        <v>0.17585073315749869</v>
      </c>
      <c r="I176" s="2980">
        <f t="shared" si="10"/>
        <v>0.20354275931395072</v>
      </c>
      <c r="J176" s="2980">
        <f t="shared" si="10"/>
        <v>0.23204787640217955</v>
      </c>
      <c r="K176" s="2980">
        <f t="shared" si="10"/>
        <v>0.2613369930365344</v>
      </c>
      <c r="L176" s="2980">
        <f t="shared" si="10"/>
        <v>0.29226949377929606</v>
      </c>
      <c r="M176" s="2980">
        <f t="shared" si="10"/>
        <v>0.31245409607627084</v>
      </c>
    </row>
    <row r="177" spans="1:13" customFormat="1" outlineLevel="1" x14ac:dyDescent="0.25">
      <c r="A177" s="853"/>
      <c r="B177" s="853"/>
      <c r="C177" t="s">
        <v>491</v>
      </c>
      <c r="E177" t="s">
        <v>171</v>
      </c>
      <c r="F177" s="2980">
        <f t="shared" si="10"/>
        <v>1.9825488643653701</v>
      </c>
      <c r="G177" s="2980">
        <f t="shared" si="10"/>
        <v>2.2458515024290868</v>
      </c>
      <c r="H177" s="2980">
        <f t="shared" si="10"/>
        <v>2.594970748506098</v>
      </c>
      <c r="I177" s="2980">
        <f t="shared" si="10"/>
        <v>3.0085166506267109</v>
      </c>
      <c r="J177" s="2980">
        <f t="shared" si="10"/>
        <v>3.4347052545213361</v>
      </c>
      <c r="K177" s="2980">
        <f t="shared" si="10"/>
        <v>3.8728853096024674</v>
      </c>
      <c r="L177" s="2980">
        <f t="shared" si="10"/>
        <v>4.3358784190333672</v>
      </c>
      <c r="M177" s="2980">
        <f t="shared" si="10"/>
        <v>4.6365847168548697</v>
      </c>
    </row>
    <row r="178" spans="1:13" customFormat="1" outlineLevel="1" x14ac:dyDescent="0.25">
      <c r="A178" s="853"/>
      <c r="B178" s="853"/>
      <c r="C178" t="s">
        <v>510</v>
      </c>
      <c r="E178" t="s">
        <v>171</v>
      </c>
      <c r="F178" s="2980">
        <f t="shared" si="10"/>
        <v>2.0266400468481955</v>
      </c>
      <c r="G178" s="2980">
        <f t="shared" si="10"/>
        <v>2.2506015860350588</v>
      </c>
      <c r="H178" s="2980">
        <f t="shared" si="10"/>
        <v>2.5954017022834135</v>
      </c>
      <c r="I178" s="2980">
        <f t="shared" si="10"/>
        <v>3.0021644493805835</v>
      </c>
      <c r="J178" s="2980">
        <f t="shared" si="10"/>
        <v>3.4207533976361084</v>
      </c>
      <c r="K178" s="2980">
        <f t="shared" si="10"/>
        <v>3.8507486789247203</v>
      </c>
      <c r="L178" s="2980">
        <f t="shared" si="10"/>
        <v>4.3047835860210979</v>
      </c>
      <c r="M178" s="2980">
        <f t="shared" si="10"/>
        <v>4.601597184645696</v>
      </c>
    </row>
    <row r="179" spans="1:13" customFormat="1" outlineLevel="1" x14ac:dyDescent="0.25">
      <c r="A179" s="853"/>
      <c r="B179" s="853"/>
      <c r="C179" t="s">
        <v>494</v>
      </c>
      <c r="E179" t="s">
        <v>171</v>
      </c>
      <c r="F179" s="2980">
        <f t="shared" si="10"/>
        <v>2.0009860399489328E-2</v>
      </c>
      <c r="G179" s="2980">
        <f t="shared" si="10"/>
        <v>2.2612344179343241E-2</v>
      </c>
      <c r="H179" s="2980">
        <f t="shared" si="10"/>
        <v>2.6564445168346058E-2</v>
      </c>
      <c r="I179" s="2980">
        <f t="shared" si="10"/>
        <v>3.1233970923186843E-2</v>
      </c>
      <c r="J179" s="2980">
        <f t="shared" si="10"/>
        <v>3.6069856911989447E-2</v>
      </c>
      <c r="K179" s="2980">
        <f t="shared" si="10"/>
        <v>4.1065337106766124E-2</v>
      </c>
      <c r="L179" s="2980">
        <f t="shared" si="10"/>
        <v>4.6362836066336774E-2</v>
      </c>
      <c r="M179" s="2980">
        <f t="shared" si="10"/>
        <v>4.968503227376047E-2</v>
      </c>
    </row>
    <row r="180" spans="1:13" customFormat="1" outlineLevel="1" x14ac:dyDescent="0.25">
      <c r="A180" s="853"/>
      <c r="B180" s="853"/>
      <c r="C180" t="s">
        <v>2067</v>
      </c>
      <c r="E180" t="s">
        <v>171</v>
      </c>
      <c r="F180" s="2980">
        <f t="shared" si="10"/>
        <v>0.48487049326121723</v>
      </c>
      <c r="G180" s="2980">
        <f t="shared" si="10"/>
        <v>0.33509926369284032</v>
      </c>
      <c r="H180" s="2980">
        <f t="shared" si="10"/>
        <v>0.3566749529163189</v>
      </c>
      <c r="I180" s="2980">
        <f t="shared" si="10"/>
        <v>0.38168809673175264</v>
      </c>
      <c r="J180" s="2980">
        <f t="shared" si="10"/>
        <v>0.40556155841409963</v>
      </c>
      <c r="K180" s="2980">
        <f t="shared" si="10"/>
        <v>0.42838825346058079</v>
      </c>
      <c r="L180" s="2980">
        <f t="shared" si="10"/>
        <v>0.4511038117517237</v>
      </c>
      <c r="M180" s="2980">
        <f t="shared" si="10"/>
        <v>0.47455066513798982</v>
      </c>
    </row>
    <row r="181" spans="1:13" customFormat="1" outlineLevel="1" x14ac:dyDescent="0.25">
      <c r="A181" s="853"/>
      <c r="B181" s="853"/>
      <c r="C181" t="s">
        <v>509</v>
      </c>
      <c r="E181" t="s">
        <v>171</v>
      </c>
      <c r="F181" s="2980">
        <f t="shared" si="10"/>
        <v>0.55269731361784125</v>
      </c>
      <c r="G181" s="2980">
        <f t="shared" si="10"/>
        <v>0.66966976378528054</v>
      </c>
      <c r="H181" s="2980">
        <f t="shared" si="10"/>
        <v>0.64197481880835283</v>
      </c>
      <c r="I181" s="2980">
        <f t="shared" si="10"/>
        <v>0.60578047068513396</v>
      </c>
      <c r="J181" s="2980">
        <f t="shared" si="10"/>
        <v>0.56945361688760987</v>
      </c>
      <c r="K181" s="2980">
        <f t="shared" si="10"/>
        <v>0.51304564771015104</v>
      </c>
      <c r="L181" s="2980">
        <f t="shared" si="10"/>
        <v>0.43906978962822574</v>
      </c>
      <c r="M181" s="2980">
        <f t="shared" si="10"/>
        <v>0.33311271764073619</v>
      </c>
    </row>
    <row r="182" spans="1:13" customFormat="1" outlineLevel="1" x14ac:dyDescent="0.25">
      <c r="A182" s="853"/>
      <c r="B182" s="853"/>
      <c r="C182" t="s">
        <v>2068</v>
      </c>
      <c r="E182" t="s">
        <v>171</v>
      </c>
      <c r="F182" s="2980">
        <f t="shared" si="10"/>
        <v>0.4807135095733891</v>
      </c>
      <c r="G182" s="2980">
        <f t="shared" si="10"/>
        <v>0.54323514073146173</v>
      </c>
      <c r="H182" s="2980">
        <f t="shared" si="10"/>
        <v>0.6381797479742235</v>
      </c>
      <c r="I182" s="2980">
        <f t="shared" si="10"/>
        <v>0.75035964672604716</v>
      </c>
      <c r="J182" s="2980">
        <f t="shared" si="10"/>
        <v>0.86653615566528053</v>
      </c>
      <c r="K182" s="2980">
        <f t="shared" si="10"/>
        <v>0.98654672887731243</v>
      </c>
      <c r="L182" s="2980">
        <f t="shared" si="10"/>
        <v>1.1138129499290883</v>
      </c>
      <c r="M182" s="2980">
        <f t="shared" si="10"/>
        <v>1.1936248309956252</v>
      </c>
    </row>
    <row r="183" spans="1:13" customFormat="1" outlineLevel="1" x14ac:dyDescent="0.25">
      <c r="A183" s="853"/>
      <c r="B183" s="853"/>
      <c r="C183" t="s">
        <v>316</v>
      </c>
      <c r="E183" t="s">
        <v>171</v>
      </c>
      <c r="F183" s="2983">
        <f t="shared" si="10"/>
        <v>1.6162349775373903E-2</v>
      </c>
      <c r="G183" s="2983">
        <f t="shared" si="10"/>
        <v>1.6754963184642015E-2</v>
      </c>
      <c r="H183" s="2983">
        <f t="shared" si="10"/>
        <v>1.7833747645815943E-2</v>
      </c>
      <c r="I183" s="2983">
        <f t="shared" si="10"/>
        <v>1.9084404836587632E-2</v>
      </c>
      <c r="J183" s="2983">
        <f t="shared" si="10"/>
        <v>2.027807792070498E-2</v>
      </c>
      <c r="K183" s="2983">
        <f t="shared" si="10"/>
        <v>2.1419412673029041E-2</v>
      </c>
      <c r="L183" s="2983">
        <f t="shared" si="10"/>
        <v>2.2555190587586187E-2</v>
      </c>
      <c r="M183" s="2983">
        <f t="shared" si="10"/>
        <v>2.3727533256899493E-2</v>
      </c>
    </row>
    <row r="184" spans="1:13" customFormat="1" outlineLevel="1" x14ac:dyDescent="0.25">
      <c r="A184" s="853"/>
      <c r="B184" s="853"/>
      <c r="D184" t="s">
        <v>118</v>
      </c>
      <c r="E184" t="s">
        <v>171</v>
      </c>
      <c r="F184" s="2980">
        <f>SUM(F174:F183)</f>
        <v>20.064371096289779</v>
      </c>
      <c r="G184" s="2980">
        <f t="shared" ref="G184:M184" si="11">SUM(G174:G183)</f>
        <v>22.29657882054256</v>
      </c>
      <c r="H184" s="2980">
        <f t="shared" si="11"/>
        <v>25.731095177261437</v>
      </c>
      <c r="I184" s="2980">
        <f t="shared" si="11"/>
        <v>29.783089433348479</v>
      </c>
      <c r="J184" s="2980">
        <f t="shared" si="11"/>
        <v>33.954058002352269</v>
      </c>
      <c r="K184" s="2980">
        <f t="shared" si="11"/>
        <v>38.239744130834339</v>
      </c>
      <c r="L184" s="2980">
        <f t="shared" si="11"/>
        <v>42.765895977866165</v>
      </c>
      <c r="M184" s="2980">
        <f t="shared" si="11"/>
        <v>45.719377680745716</v>
      </c>
    </row>
    <row r="185" spans="1:13" customFormat="1" outlineLevel="1" x14ac:dyDescent="0.25">
      <c r="A185" s="853"/>
      <c r="B185" s="853"/>
      <c r="F185" s="2979"/>
      <c r="G185" s="2979"/>
      <c r="H185" s="2979"/>
      <c r="I185" s="2979"/>
      <c r="J185" s="2979"/>
      <c r="K185" s="2979"/>
      <c r="L185" s="2979"/>
      <c r="M185" s="2979"/>
    </row>
    <row r="186" spans="1:13" customFormat="1" outlineLevel="1" x14ac:dyDescent="0.25">
      <c r="A186" s="853"/>
      <c r="B186" s="853"/>
      <c r="F186" s="2979"/>
      <c r="G186" s="2979"/>
      <c r="H186" s="2979"/>
      <c r="I186" s="2979"/>
      <c r="J186" s="2979"/>
      <c r="K186" s="2979"/>
      <c r="L186" s="2979"/>
      <c r="M186" s="2979"/>
    </row>
    <row r="187" spans="1:13" customFormat="1" outlineLevel="1" x14ac:dyDescent="0.25">
      <c r="A187" s="853"/>
      <c r="B187" s="853"/>
      <c r="C187" s="80" t="s">
        <v>2082</v>
      </c>
      <c r="F187" s="2979"/>
      <c r="G187" s="2979"/>
      <c r="H187" s="2979"/>
      <c r="I187" s="2979"/>
      <c r="J187" s="2979"/>
      <c r="K187" s="2979"/>
      <c r="L187" s="2979"/>
      <c r="M187" s="2979"/>
    </row>
    <row r="188" spans="1:13" customFormat="1" outlineLevel="1" x14ac:dyDescent="0.25">
      <c r="A188" s="853"/>
      <c r="B188" s="853"/>
      <c r="F188" s="2979"/>
      <c r="G188" s="2979"/>
      <c r="H188" s="2979"/>
      <c r="I188" s="2979"/>
      <c r="J188" s="2979"/>
      <c r="K188" s="2979"/>
      <c r="L188" s="2979"/>
      <c r="M188" s="2979"/>
    </row>
    <row r="189" spans="1:13" customFormat="1" outlineLevel="1" x14ac:dyDescent="0.25">
      <c r="A189" s="853"/>
      <c r="B189" s="853"/>
      <c r="C189" t="str">
        <f t="shared" ref="C189:C197" si="12">C133</f>
        <v>ACS</v>
      </c>
      <c r="E189" t="s">
        <v>171</v>
      </c>
      <c r="F189" s="2980">
        <f t="shared" ref="F189:M197" si="13">F113*F$27+F133*F$32</f>
        <v>1.3546496655725258</v>
      </c>
      <c r="G189" s="2980">
        <f t="shared" si="13"/>
        <v>1.4720866873459215</v>
      </c>
      <c r="H189" s="2980">
        <f t="shared" si="13"/>
        <v>1.6573860095857387</v>
      </c>
      <c r="I189" s="2980">
        <f t="shared" si="13"/>
        <v>1.8753902203101234</v>
      </c>
      <c r="J189" s="2980">
        <f t="shared" si="13"/>
        <v>2.0972092117614558</v>
      </c>
      <c r="K189" s="2980">
        <f t="shared" si="13"/>
        <v>2.3227784466493242</v>
      </c>
      <c r="L189" s="2980">
        <f t="shared" si="13"/>
        <v>2.5590833328291835</v>
      </c>
      <c r="M189" s="2980">
        <f t="shared" si="13"/>
        <v>2.7251821128442231</v>
      </c>
    </row>
    <row r="190" spans="1:13" customFormat="1" outlineLevel="1" x14ac:dyDescent="0.25">
      <c r="A190" s="853"/>
      <c r="B190" s="853"/>
      <c r="C190" t="str">
        <f t="shared" si="12"/>
        <v>Bombas y ventiladores</v>
      </c>
      <c r="E190" t="s">
        <v>171</v>
      </c>
      <c r="F190" s="2980">
        <f t="shared" si="13"/>
        <v>0.16037961744568408</v>
      </c>
      <c r="G190" s="2980">
        <f t="shared" si="13"/>
        <v>0.17450614233064637</v>
      </c>
      <c r="H190" s="2980">
        <f t="shared" si="13"/>
        <v>0.19675621106238478</v>
      </c>
      <c r="I190" s="2980">
        <f t="shared" si="13"/>
        <v>0.22293847297287456</v>
      </c>
      <c r="J190" s="2980">
        <f t="shared" si="13"/>
        <v>0.249600634911472</v>
      </c>
      <c r="K190" s="2980">
        <f t="shared" si="13"/>
        <v>0.27673356295383922</v>
      </c>
      <c r="L190" s="2980">
        <f t="shared" si="13"/>
        <v>0.30517435386226116</v>
      </c>
      <c r="M190" s="2980">
        <f t="shared" si="13"/>
        <v>0.32506227502313284</v>
      </c>
    </row>
    <row r="191" spans="1:13" customFormat="1" outlineLevel="1" x14ac:dyDescent="0.25">
      <c r="A191" s="853"/>
      <c r="B191" s="853"/>
      <c r="C191" t="str">
        <f t="shared" si="12"/>
        <v>Climatización</v>
      </c>
      <c r="E191" t="s">
        <v>171</v>
      </c>
      <c r="F191" s="2980">
        <f t="shared" si="13"/>
        <v>7.5290293664292438</v>
      </c>
      <c r="G191" s="2980">
        <f t="shared" si="13"/>
        <v>8.3971698572669791</v>
      </c>
      <c r="H191" s="2980">
        <f t="shared" si="13"/>
        <v>9.7286796842853445</v>
      </c>
      <c r="I191" s="2980">
        <f t="shared" si="13"/>
        <v>11.300135239617326</v>
      </c>
      <c r="J191" s="2980">
        <f t="shared" si="13"/>
        <v>12.920104033355896</v>
      </c>
      <c r="K191" s="2980">
        <f t="shared" si="13"/>
        <v>14.586784323279518</v>
      </c>
      <c r="L191" s="2980">
        <f t="shared" si="13"/>
        <v>16.348742358853933</v>
      </c>
      <c r="M191" s="2980">
        <f t="shared" si="13"/>
        <v>17.487568659698969</v>
      </c>
    </row>
    <row r="192" spans="1:13" customFormat="1" outlineLevel="1" x14ac:dyDescent="0.25">
      <c r="A192" s="853"/>
      <c r="B192" s="853"/>
      <c r="C192" t="str">
        <f t="shared" si="12"/>
        <v>Cocción</v>
      </c>
      <c r="E192" t="s">
        <v>171</v>
      </c>
      <c r="F192" s="2980">
        <f t="shared" si="13"/>
        <v>0.68588479913784972</v>
      </c>
      <c r="G192" s="2980">
        <f t="shared" si="13"/>
        <v>0.75337074150899574</v>
      </c>
      <c r="H192" s="2980">
        <f t="shared" si="13"/>
        <v>0.85842762114198679</v>
      </c>
      <c r="I192" s="2980">
        <f t="shared" si="13"/>
        <v>0.9822107171921044</v>
      </c>
      <c r="J192" s="2980">
        <f t="shared" si="13"/>
        <v>1.1089426928744572</v>
      </c>
      <c r="K192" s="2980">
        <f t="shared" si="13"/>
        <v>1.2385371155655589</v>
      </c>
      <c r="L192" s="2980">
        <f t="shared" si="13"/>
        <v>1.3748937342581702</v>
      </c>
      <c r="M192" s="2980">
        <f t="shared" si="13"/>
        <v>1.467026534291678</v>
      </c>
    </row>
    <row r="193" spans="1:13" customFormat="1" outlineLevel="1" x14ac:dyDescent="0.25">
      <c r="A193" s="853"/>
      <c r="B193" s="853"/>
      <c r="C193" t="str">
        <f t="shared" si="12"/>
        <v>Equipos de oficina</v>
      </c>
      <c r="E193" t="s">
        <v>171</v>
      </c>
      <c r="F193" s="2980">
        <f t="shared" si="13"/>
        <v>0.5160177725222852</v>
      </c>
      <c r="G193" s="2980">
        <f t="shared" si="13"/>
        <v>0.55926685194083381</v>
      </c>
      <c r="H193" s="2980">
        <f t="shared" si="13"/>
        <v>0.62777194461188557</v>
      </c>
      <c r="I193" s="2980">
        <f t="shared" si="13"/>
        <v>0.70833397915788598</v>
      </c>
      <c r="J193" s="2980">
        <f t="shared" si="13"/>
        <v>0.79016084299671585</v>
      </c>
      <c r="K193" s="2980">
        <f t="shared" si="13"/>
        <v>0.87323790222093822</v>
      </c>
      <c r="L193" s="2980">
        <f t="shared" si="13"/>
        <v>0.96015889134723975</v>
      </c>
      <c r="M193" s="2980">
        <f t="shared" si="13"/>
        <v>1.0219428028235327</v>
      </c>
    </row>
    <row r="194" spans="1:13" customFormat="1" outlineLevel="1" x14ac:dyDescent="0.25">
      <c r="A194" s="853"/>
      <c r="B194" s="853"/>
      <c r="C194" t="str">
        <f t="shared" si="12"/>
        <v>Iluminación</v>
      </c>
      <c r="E194" t="s">
        <v>171</v>
      </c>
      <c r="F194" s="2980">
        <f t="shared" si="13"/>
        <v>6.0835198978170633</v>
      </c>
      <c r="G194" s="2980">
        <f t="shared" si="13"/>
        <v>6.8110179586357322</v>
      </c>
      <c r="H194" s="2980">
        <f t="shared" si="13"/>
        <v>7.9233383342976058</v>
      </c>
      <c r="I194" s="2980">
        <f t="shared" si="13"/>
        <v>9.2365667166874843</v>
      </c>
      <c r="J194" s="2980">
        <f t="shared" si="13"/>
        <v>10.59229446312562</v>
      </c>
      <c r="K194" s="2980">
        <f t="shared" si="13"/>
        <v>11.988891372883668</v>
      </c>
      <c r="L194" s="2980">
        <f t="shared" si="13"/>
        <v>13.466776602324474</v>
      </c>
      <c r="M194" s="2980">
        <f t="shared" si="13"/>
        <v>14.413018636064249</v>
      </c>
    </row>
    <row r="195" spans="1:13" customFormat="1" outlineLevel="1" x14ac:dyDescent="0.25">
      <c r="A195" s="853"/>
      <c r="B195" s="853"/>
      <c r="C195" t="str">
        <f t="shared" si="12"/>
        <v>Lavandería</v>
      </c>
      <c r="E195" t="s">
        <v>171</v>
      </c>
      <c r="F195" s="2980">
        <f t="shared" si="13"/>
        <v>0.63275180746810911</v>
      </c>
      <c r="G195" s="2980">
        <f t="shared" si="13"/>
        <v>0.68811771432186375</v>
      </c>
      <c r="H195" s="2980">
        <f t="shared" si="13"/>
        <v>0.77538650616436877</v>
      </c>
      <c r="I195" s="2980">
        <f t="shared" si="13"/>
        <v>0.87806975465306691</v>
      </c>
      <c r="J195" s="2980">
        <f t="shared" si="13"/>
        <v>0.9825997179884014</v>
      </c>
      <c r="K195" s="2980">
        <f t="shared" si="13"/>
        <v>1.0889428247856845</v>
      </c>
      <c r="L195" s="2980">
        <f t="shared" si="13"/>
        <v>1.2003850634572053</v>
      </c>
      <c r="M195" s="2980">
        <f t="shared" si="13"/>
        <v>1.2784812370820264</v>
      </c>
    </row>
    <row r="196" spans="1:13" customFormat="1" outlineLevel="1" x14ac:dyDescent="0.25">
      <c r="A196" s="853"/>
      <c r="B196" s="853"/>
      <c r="C196" t="str">
        <f t="shared" si="12"/>
        <v>Otros</v>
      </c>
      <c r="E196" t="s">
        <v>171</v>
      </c>
      <c r="F196" s="2980">
        <f t="shared" si="13"/>
        <v>2.5939751975004315</v>
      </c>
      <c r="G196" s="2980">
        <f t="shared" si="13"/>
        <v>2.8735206435395084</v>
      </c>
      <c r="H196" s="2980">
        <f t="shared" si="13"/>
        <v>3.3048866921589521</v>
      </c>
      <c r="I196" s="2980">
        <f t="shared" si="13"/>
        <v>3.8136407433253749</v>
      </c>
      <c r="J196" s="2980">
        <f t="shared" si="13"/>
        <v>4.3366300599218484</v>
      </c>
      <c r="K196" s="2980">
        <f t="shared" si="13"/>
        <v>4.8733648721322007</v>
      </c>
      <c r="L196" s="2980">
        <f t="shared" si="13"/>
        <v>5.4396934357863751</v>
      </c>
      <c r="M196" s="2980">
        <f t="shared" si="13"/>
        <v>5.812477537309265</v>
      </c>
    </row>
    <row r="197" spans="1:13" customFormat="1" outlineLevel="1" x14ac:dyDescent="0.25">
      <c r="A197" s="853"/>
      <c r="B197" s="853"/>
      <c r="C197" t="str">
        <f t="shared" si="12"/>
        <v>Refrigeración</v>
      </c>
      <c r="E197" t="s">
        <v>171</v>
      </c>
      <c r="F197" s="2980">
        <f t="shared" si="13"/>
        <v>0.50816297239657438</v>
      </c>
      <c r="G197" s="2980">
        <f t="shared" si="13"/>
        <v>0.56752222365208027</v>
      </c>
      <c r="H197" s="2980">
        <f t="shared" si="13"/>
        <v>0.65846217395316775</v>
      </c>
      <c r="I197" s="2980">
        <f t="shared" si="13"/>
        <v>0.76580358943224336</v>
      </c>
      <c r="J197" s="2980">
        <f t="shared" si="13"/>
        <v>0.87651634541639944</v>
      </c>
      <c r="K197" s="2980">
        <f t="shared" si="13"/>
        <v>0.99047371036360865</v>
      </c>
      <c r="L197" s="2980">
        <f t="shared" si="13"/>
        <v>1.1109882051473137</v>
      </c>
      <c r="M197" s="2980">
        <f t="shared" si="13"/>
        <v>1.1886178856086362</v>
      </c>
    </row>
    <row r="198" spans="1:13" customFormat="1" outlineLevel="1" x14ac:dyDescent="0.25">
      <c r="A198" s="853"/>
      <c r="B198" s="853"/>
      <c r="F198" s="2979"/>
      <c r="G198" s="2979"/>
      <c r="H198" s="2979"/>
      <c r="I198" s="2979"/>
      <c r="J198" s="2979"/>
      <c r="K198" s="2979"/>
      <c r="L198" s="2979"/>
      <c r="M198" s="2979"/>
    </row>
    <row r="199" spans="1:13" customFormat="1" outlineLevel="1" x14ac:dyDescent="0.25">
      <c r="A199" s="853"/>
      <c r="B199" s="853"/>
      <c r="F199" s="2979"/>
      <c r="G199" s="2979"/>
      <c r="H199" s="2979"/>
      <c r="I199" s="2979"/>
      <c r="J199" s="2979"/>
      <c r="K199" s="2979"/>
      <c r="L199" s="2979"/>
      <c r="M199" s="2979"/>
    </row>
    <row r="200" spans="1:13" customFormat="1" outlineLevel="1" x14ac:dyDescent="0.25">
      <c r="A200" s="853"/>
      <c r="B200" s="853"/>
      <c r="F200" s="80"/>
      <c r="G200" s="80"/>
      <c r="H200" s="80"/>
      <c r="I200" s="80"/>
      <c r="J200" s="80"/>
      <c r="K200" s="80"/>
      <c r="L200" s="80"/>
      <c r="M200" s="80"/>
    </row>
    <row r="201" spans="1:13" customFormat="1" outlineLevel="1" x14ac:dyDescent="0.25">
      <c r="A201" s="853"/>
      <c r="B201" s="853"/>
      <c r="C201" s="80" t="s">
        <v>2083</v>
      </c>
      <c r="F201" s="80">
        <v>2015</v>
      </c>
      <c r="G201" s="80">
        <v>2015</v>
      </c>
      <c r="H201" s="80">
        <v>2015</v>
      </c>
      <c r="I201" s="80">
        <v>2015</v>
      </c>
      <c r="J201" s="80">
        <v>2015</v>
      </c>
      <c r="K201" s="80">
        <v>2015</v>
      </c>
      <c r="L201" s="80">
        <v>2015</v>
      </c>
      <c r="M201" s="80">
        <v>2015</v>
      </c>
    </row>
    <row r="202" spans="1:13" customFormat="1" outlineLevel="1" x14ac:dyDescent="0.25">
      <c r="A202" s="853"/>
      <c r="B202" s="853"/>
      <c r="C202" t="s">
        <v>2076</v>
      </c>
      <c r="E202" t="s">
        <v>171</v>
      </c>
      <c r="F202" s="2980">
        <f t="shared" ref="F202:M204" si="14">F153+F160</f>
        <v>4.4112873673330846</v>
      </c>
      <c r="G202" s="2980">
        <f t="shared" si="14"/>
        <v>4.8629335757849326</v>
      </c>
      <c r="H202" s="2980">
        <f t="shared" si="14"/>
        <v>5.5632635279507596</v>
      </c>
      <c r="I202" s="2980">
        <f t="shared" si="14"/>
        <v>6.3887865395414467</v>
      </c>
      <c r="J202" s="2980">
        <f t="shared" si="14"/>
        <v>7.235507601234838</v>
      </c>
      <c r="K202" s="2980">
        <f t="shared" si="14"/>
        <v>8.1027528724562714</v>
      </c>
      <c r="L202" s="2980">
        <f t="shared" si="14"/>
        <v>9.0163999496003946</v>
      </c>
      <c r="M202" s="2980">
        <f t="shared" si="14"/>
        <v>9.6265817378465943</v>
      </c>
    </row>
    <row r="203" spans="1:13" customFormat="1" outlineLevel="1" x14ac:dyDescent="0.25">
      <c r="A203" s="853"/>
      <c r="B203" s="853"/>
      <c r="C203" t="s">
        <v>505</v>
      </c>
      <c r="E203" t="s">
        <v>171</v>
      </c>
      <c r="F203" s="2980">
        <f t="shared" si="14"/>
        <v>6.0835198978170633</v>
      </c>
      <c r="G203" s="2980">
        <f t="shared" si="14"/>
        <v>6.8110179586357322</v>
      </c>
      <c r="H203" s="2980">
        <f t="shared" si="14"/>
        <v>7.9233383342976058</v>
      </c>
      <c r="I203" s="2980">
        <f t="shared" si="14"/>
        <v>9.2365667166874843</v>
      </c>
      <c r="J203" s="2980">
        <f t="shared" si="14"/>
        <v>10.59229446312562</v>
      </c>
      <c r="K203" s="2980">
        <f t="shared" si="14"/>
        <v>11.988891372883668</v>
      </c>
      <c r="L203" s="2980">
        <f t="shared" si="14"/>
        <v>13.466776602324474</v>
      </c>
      <c r="M203" s="2980">
        <f t="shared" si="14"/>
        <v>14.413018636064249</v>
      </c>
    </row>
    <row r="204" spans="1:13" customFormat="1" outlineLevel="1" x14ac:dyDescent="0.25">
      <c r="A204" s="853"/>
      <c r="B204" s="853"/>
      <c r="C204" t="s">
        <v>1013</v>
      </c>
      <c r="E204" t="s">
        <v>171</v>
      </c>
      <c r="F204" s="2983">
        <f t="shared" si="14"/>
        <v>9.5695638311396181</v>
      </c>
      <c r="G204" s="2983">
        <f t="shared" si="14"/>
        <v>10.622627286121897</v>
      </c>
      <c r="H204" s="2983">
        <f t="shared" si="14"/>
        <v>12.244493315013072</v>
      </c>
      <c r="I204" s="2983">
        <f t="shared" si="14"/>
        <v>14.157736177119554</v>
      </c>
      <c r="J204" s="2983">
        <f t="shared" si="14"/>
        <v>16.126255937991811</v>
      </c>
      <c r="K204" s="2983">
        <f t="shared" si="14"/>
        <v>18.1480998854944</v>
      </c>
      <c r="L204" s="2983">
        <f t="shared" si="14"/>
        <v>20.282719425941288</v>
      </c>
      <c r="M204" s="2983">
        <f t="shared" si="14"/>
        <v>21.679777306834868</v>
      </c>
    </row>
    <row r="205" spans="1:13" customFormat="1" outlineLevel="1" x14ac:dyDescent="0.25">
      <c r="A205" s="853"/>
      <c r="B205" s="853"/>
      <c r="D205" t="s">
        <v>118</v>
      </c>
      <c r="E205" t="s">
        <v>171</v>
      </c>
      <c r="F205" s="2980">
        <f>SUM(F202:F204)</f>
        <v>20.064371096289765</v>
      </c>
      <c r="G205" s="2980">
        <f t="shared" ref="G205:M205" si="15">SUM(G202:G204)</f>
        <v>22.296578820542564</v>
      </c>
      <c r="H205" s="2980">
        <f t="shared" si="15"/>
        <v>25.731095177261437</v>
      </c>
      <c r="I205" s="2980">
        <f t="shared" si="15"/>
        <v>29.783089433348486</v>
      </c>
      <c r="J205" s="2980">
        <f t="shared" si="15"/>
        <v>33.954058002352269</v>
      </c>
      <c r="K205" s="2980">
        <f t="shared" si="15"/>
        <v>38.239744130834339</v>
      </c>
      <c r="L205" s="2980">
        <f t="shared" si="15"/>
        <v>42.765895977866158</v>
      </c>
      <c r="M205" s="2980">
        <f t="shared" si="15"/>
        <v>45.719377680745708</v>
      </c>
    </row>
    <row r="206" spans="1:13" customFormat="1" x14ac:dyDescent="0.25">
      <c r="A206" s="853"/>
      <c r="B206" s="853"/>
      <c r="F206" s="2980"/>
      <c r="G206" s="2980"/>
      <c r="H206" s="2980"/>
      <c r="I206" s="2980"/>
      <c r="J206" s="2980"/>
      <c r="K206" s="2980"/>
      <c r="L206" s="2980"/>
      <c r="M206" s="2980"/>
    </row>
    <row r="207" spans="1:13" customFormat="1" x14ac:dyDescent="0.25">
      <c r="A207" s="853" t="s">
        <v>702</v>
      </c>
      <c r="B207" s="853" t="s">
        <v>524</v>
      </c>
      <c r="F207" s="80"/>
      <c r="G207" s="80"/>
      <c r="H207" s="80"/>
      <c r="I207" s="80"/>
      <c r="J207" s="80"/>
      <c r="K207" s="80"/>
      <c r="L207" s="80"/>
      <c r="M207" s="80"/>
    </row>
    <row r="208" spans="1:13" customFormat="1" outlineLevel="1" x14ac:dyDescent="0.25">
      <c r="A208" s="853"/>
      <c r="B208" s="853"/>
      <c r="F208" s="80"/>
      <c r="G208" s="80"/>
      <c r="H208" s="80"/>
      <c r="I208" s="80"/>
      <c r="J208" s="80"/>
      <c r="K208" s="80"/>
      <c r="L208" s="80"/>
      <c r="M208" s="80"/>
    </row>
    <row r="209" spans="1:13" customFormat="1" outlineLevel="1" x14ac:dyDescent="0.25">
      <c r="A209" s="2981" t="s">
        <v>1967</v>
      </c>
      <c r="B209" s="2982" t="s">
        <v>1964</v>
      </c>
      <c r="F209" s="80"/>
      <c r="G209" s="80"/>
      <c r="H209" s="80"/>
      <c r="I209" s="80"/>
      <c r="J209" s="80"/>
      <c r="K209" s="80"/>
      <c r="L209" s="80"/>
      <c r="M209" s="80"/>
    </row>
    <row r="210" spans="1:13" customFormat="1" outlineLevel="1" x14ac:dyDescent="0.25">
      <c r="A210" s="853"/>
      <c r="B210" s="853"/>
      <c r="C210" t="s">
        <v>2076</v>
      </c>
      <c r="D210" t="s">
        <v>2129</v>
      </c>
      <c r="E210" t="s">
        <v>171</v>
      </c>
      <c r="F210" s="2980">
        <f>F202*(1-F41)</f>
        <v>4.4112873673330846</v>
      </c>
      <c r="G210" s="2980">
        <f t="shared" ref="G210:M210" si="16">G202*(1-G41)</f>
        <v>4.8629335757849326</v>
      </c>
      <c r="H210" s="2980">
        <f t="shared" si="16"/>
        <v>5.5632635279507596</v>
      </c>
      <c r="I210" s="2980">
        <f t="shared" si="16"/>
        <v>6.3887865395414467</v>
      </c>
      <c r="J210" s="2980">
        <f t="shared" si="16"/>
        <v>7.235507601234838</v>
      </c>
      <c r="K210" s="2980">
        <f t="shared" si="16"/>
        <v>8.1027528724562714</v>
      </c>
      <c r="L210" s="2980">
        <f t="shared" si="16"/>
        <v>9.0163999496003946</v>
      </c>
      <c r="M210" s="2980">
        <f t="shared" si="16"/>
        <v>9.6265817378465943</v>
      </c>
    </row>
    <row r="211" spans="1:13" customFormat="1" outlineLevel="1" x14ac:dyDescent="0.25">
      <c r="A211" s="853"/>
      <c r="B211" s="853"/>
      <c r="C211" t="s">
        <v>2080</v>
      </c>
      <c r="D211" t="s">
        <v>2129</v>
      </c>
      <c r="E211" t="s">
        <v>171</v>
      </c>
      <c r="F211" s="2980">
        <f>F210-F202</f>
        <v>0</v>
      </c>
      <c r="G211" s="2980">
        <f t="shared" ref="G211:M211" si="17">G210-G202</f>
        <v>0</v>
      </c>
      <c r="H211" s="2980">
        <f t="shared" si="17"/>
        <v>0</v>
      </c>
      <c r="I211" s="2980">
        <f t="shared" si="17"/>
        <v>0</v>
      </c>
      <c r="J211" s="2980">
        <f t="shared" si="17"/>
        <v>0</v>
      </c>
      <c r="K211" s="2980">
        <f t="shared" si="17"/>
        <v>0</v>
      </c>
      <c r="L211" s="2980">
        <f t="shared" si="17"/>
        <v>0</v>
      </c>
      <c r="M211" s="2980">
        <f t="shared" si="17"/>
        <v>0</v>
      </c>
    </row>
    <row r="212" spans="1:13" customFormat="1" outlineLevel="1" x14ac:dyDescent="0.25">
      <c r="A212" s="853"/>
      <c r="B212" s="853"/>
      <c r="F212" s="80"/>
      <c r="G212" s="80"/>
      <c r="H212" s="80"/>
      <c r="I212" s="80"/>
      <c r="J212" s="80"/>
      <c r="K212" s="80"/>
      <c r="L212" s="80"/>
      <c r="M212" s="80"/>
    </row>
    <row r="213" spans="1:13" customFormat="1" outlineLevel="1" x14ac:dyDescent="0.25">
      <c r="A213" s="2981" t="s">
        <v>1968</v>
      </c>
      <c r="B213" s="2982" t="s">
        <v>1965</v>
      </c>
      <c r="F213" s="80"/>
      <c r="G213" s="80"/>
      <c r="H213" s="80"/>
      <c r="I213" s="80"/>
      <c r="J213" s="80"/>
      <c r="K213" s="80"/>
      <c r="L213" s="80"/>
      <c r="M213" s="80"/>
    </row>
    <row r="214" spans="1:13" customFormat="1" outlineLevel="1" x14ac:dyDescent="0.25">
      <c r="A214" s="853"/>
      <c r="B214" s="853"/>
      <c r="C214" t="s">
        <v>505</v>
      </c>
      <c r="D214" t="s">
        <v>2129</v>
      </c>
      <c r="E214" t="s">
        <v>171</v>
      </c>
      <c r="F214" s="2980">
        <f>F203*(1-F61)</f>
        <v>6.0835198978170633</v>
      </c>
      <c r="G214" s="2980">
        <f t="shared" ref="G214:M214" si="18">G203*(1-G61)</f>
        <v>6.8110179586357322</v>
      </c>
      <c r="H214" s="2980">
        <f t="shared" si="18"/>
        <v>7.9233383342976058</v>
      </c>
      <c r="I214" s="2980">
        <f t="shared" si="18"/>
        <v>9.2365667166874843</v>
      </c>
      <c r="J214" s="2980">
        <f t="shared" si="18"/>
        <v>10.59229446312562</v>
      </c>
      <c r="K214" s="2980">
        <f t="shared" si="18"/>
        <v>11.988891372883668</v>
      </c>
      <c r="L214" s="2980">
        <f t="shared" si="18"/>
        <v>13.466776602324474</v>
      </c>
      <c r="M214" s="2980">
        <f t="shared" si="18"/>
        <v>14.413018636064249</v>
      </c>
    </row>
    <row r="215" spans="1:13" customFormat="1" outlineLevel="1" x14ac:dyDescent="0.25">
      <c r="A215" s="853"/>
      <c r="B215" s="853"/>
      <c r="C215" t="s">
        <v>2080</v>
      </c>
      <c r="D215" t="s">
        <v>2129</v>
      </c>
      <c r="E215" t="s">
        <v>171</v>
      </c>
      <c r="F215" s="2980">
        <f>F214-F203</f>
        <v>0</v>
      </c>
      <c r="G215" s="2980">
        <f t="shared" ref="G215:M215" si="19">G214-G203</f>
        <v>0</v>
      </c>
      <c r="H215" s="2980">
        <f t="shared" si="19"/>
        <v>0</v>
      </c>
      <c r="I215" s="2980">
        <f t="shared" si="19"/>
        <v>0</v>
      </c>
      <c r="J215" s="2980">
        <f t="shared" si="19"/>
        <v>0</v>
      </c>
      <c r="K215" s="2980">
        <f t="shared" si="19"/>
        <v>0</v>
      </c>
      <c r="L215" s="2980">
        <f t="shared" si="19"/>
        <v>0</v>
      </c>
      <c r="M215" s="2980">
        <f t="shared" si="19"/>
        <v>0</v>
      </c>
    </row>
    <row r="216" spans="1:13" customFormat="1" x14ac:dyDescent="0.25">
      <c r="A216" s="853"/>
      <c r="B216" s="853"/>
      <c r="F216" s="80"/>
      <c r="G216" s="80"/>
      <c r="H216" s="80"/>
      <c r="I216" s="80"/>
      <c r="J216" s="80"/>
      <c r="K216" s="80"/>
      <c r="L216" s="80"/>
      <c r="M216" s="80"/>
    </row>
    <row r="217" spans="1:13" customFormat="1" x14ac:dyDescent="0.25">
      <c r="A217" s="853" t="s">
        <v>703</v>
      </c>
      <c r="B217" s="853" t="s">
        <v>2063</v>
      </c>
    </row>
    <row r="218" spans="1:13" customFormat="1" outlineLevel="1" x14ac:dyDescent="0.25">
      <c r="A218" s="853"/>
      <c r="B218" s="853"/>
      <c r="F218" s="80"/>
      <c r="G218" s="80"/>
      <c r="H218" s="80"/>
      <c r="I218" s="80"/>
      <c r="J218" s="80"/>
      <c r="K218" s="80"/>
      <c r="L218" s="80"/>
      <c r="M218" s="80"/>
    </row>
    <row r="219" spans="1:13" customFormat="1" outlineLevel="1" x14ac:dyDescent="0.25">
      <c r="A219" s="853"/>
      <c r="B219" s="853"/>
      <c r="C219" s="80" t="s">
        <v>2081</v>
      </c>
      <c r="F219" s="866">
        <v>2015</v>
      </c>
      <c r="G219" s="866">
        <v>2020</v>
      </c>
      <c r="H219" s="866">
        <v>2025</v>
      </c>
      <c r="I219" s="866">
        <v>2030</v>
      </c>
      <c r="J219" s="866">
        <v>2035</v>
      </c>
      <c r="K219" s="866">
        <v>2040</v>
      </c>
      <c r="L219" s="866">
        <v>2045</v>
      </c>
      <c r="M219" s="866">
        <v>2050</v>
      </c>
    </row>
    <row r="220" spans="1:13" customFormat="1" outlineLevel="1" x14ac:dyDescent="0.25">
      <c r="A220" s="853"/>
      <c r="B220" s="853"/>
      <c r="C220" t="s">
        <v>334</v>
      </c>
      <c r="E220" t="s">
        <v>171</v>
      </c>
      <c r="F220" s="2980">
        <f t="shared" ref="F220:M220" si="20">F174</f>
        <v>3.1758513374879485</v>
      </c>
      <c r="G220" s="2980">
        <f t="shared" si="20"/>
        <v>3.5701682201714622</v>
      </c>
      <c r="H220" s="2980">
        <f t="shared" si="20"/>
        <v>4.2253204115167255</v>
      </c>
      <c r="I220" s="2980">
        <f t="shared" si="20"/>
        <v>4.9977100368070557</v>
      </c>
      <c r="J220" s="2980">
        <f t="shared" si="20"/>
        <v>5.7956858123333816</v>
      </c>
      <c r="K220" s="2980">
        <f t="shared" si="20"/>
        <v>6.6231168317903766</v>
      </c>
      <c r="L220" s="2980">
        <f t="shared" si="20"/>
        <v>7.4964090915272532</v>
      </c>
      <c r="M220" s="2980">
        <f t="shared" si="20"/>
        <v>8.0319214006820356</v>
      </c>
    </row>
    <row r="221" spans="1:13" customFormat="1" outlineLevel="1" x14ac:dyDescent="0.25">
      <c r="A221" s="853"/>
      <c r="B221" s="853"/>
      <c r="C221" t="s">
        <v>498</v>
      </c>
      <c r="E221" t="s">
        <v>171</v>
      </c>
      <c r="F221" s="2980">
        <f t="shared" ref="F221:M221" si="21">F175+F211+F215</f>
        <v>11.187753955502936</v>
      </c>
      <c r="G221" s="2980">
        <f t="shared" si="21"/>
        <v>12.490207379090641</v>
      </c>
      <c r="H221" s="2980">
        <f t="shared" si="21"/>
        <v>14.458323869284641</v>
      </c>
      <c r="I221" s="2980">
        <f t="shared" si="21"/>
        <v>16.783008947317473</v>
      </c>
      <c r="J221" s="2980">
        <f t="shared" si="21"/>
        <v>19.172966395659579</v>
      </c>
      <c r="K221" s="2980">
        <f t="shared" si="21"/>
        <v>21.641190937652397</v>
      </c>
      <c r="L221" s="2980">
        <f t="shared" si="21"/>
        <v>24.263650809542185</v>
      </c>
      <c r="M221" s="2980">
        <f t="shared" si="21"/>
        <v>26.062119503181826</v>
      </c>
    </row>
    <row r="222" spans="1:13" customFormat="1" outlineLevel="1" x14ac:dyDescent="0.25">
      <c r="A222" s="853"/>
      <c r="B222" s="853"/>
      <c r="C222" t="s">
        <v>499</v>
      </c>
      <c r="E222" t="s">
        <v>171</v>
      </c>
      <c r="F222" s="2980">
        <f t="shared" ref="F222:M229" si="22">F176</f>
        <v>0.1371233654580187</v>
      </c>
      <c r="G222" s="2980">
        <f t="shared" si="22"/>
        <v>0.15237865724274488</v>
      </c>
      <c r="H222" s="2980">
        <f t="shared" si="22"/>
        <v>0.17585073315749869</v>
      </c>
      <c r="I222" s="2980">
        <f t="shared" si="22"/>
        <v>0.20354275931395072</v>
      </c>
      <c r="J222" s="2980">
        <f t="shared" si="22"/>
        <v>0.23204787640217955</v>
      </c>
      <c r="K222" s="2980">
        <f t="shared" si="22"/>
        <v>0.2613369930365344</v>
      </c>
      <c r="L222" s="2980">
        <f t="shared" si="22"/>
        <v>0.29226949377929606</v>
      </c>
      <c r="M222" s="2980">
        <f t="shared" si="22"/>
        <v>0.31245409607627084</v>
      </c>
    </row>
    <row r="223" spans="1:13" customFormat="1" outlineLevel="1" x14ac:dyDescent="0.25">
      <c r="A223" s="853"/>
      <c r="B223" s="853"/>
      <c r="C223" t="s">
        <v>491</v>
      </c>
      <c r="E223" t="s">
        <v>171</v>
      </c>
      <c r="F223" s="2980">
        <f t="shared" si="22"/>
        <v>1.9825488643653701</v>
      </c>
      <c r="G223" s="2980">
        <f t="shared" si="22"/>
        <v>2.2458515024290868</v>
      </c>
      <c r="H223" s="2980">
        <f t="shared" si="22"/>
        <v>2.594970748506098</v>
      </c>
      <c r="I223" s="2980">
        <f t="shared" si="22"/>
        <v>3.0085166506267109</v>
      </c>
      <c r="J223" s="2980">
        <f t="shared" si="22"/>
        <v>3.4347052545213361</v>
      </c>
      <c r="K223" s="2980">
        <f t="shared" si="22"/>
        <v>3.8728853096024674</v>
      </c>
      <c r="L223" s="2980">
        <f t="shared" si="22"/>
        <v>4.3358784190333672</v>
      </c>
      <c r="M223" s="2980">
        <f t="shared" si="22"/>
        <v>4.6365847168548697</v>
      </c>
    </row>
    <row r="224" spans="1:13" customFormat="1" outlineLevel="1" x14ac:dyDescent="0.25">
      <c r="A224" s="853"/>
      <c r="B224" s="853"/>
      <c r="C224" t="s">
        <v>510</v>
      </c>
      <c r="E224" t="s">
        <v>171</v>
      </c>
      <c r="F224" s="2980">
        <f t="shared" si="22"/>
        <v>2.0266400468481955</v>
      </c>
      <c r="G224" s="2980">
        <f t="shared" si="22"/>
        <v>2.2506015860350588</v>
      </c>
      <c r="H224" s="2980">
        <f t="shared" si="22"/>
        <v>2.5954017022834135</v>
      </c>
      <c r="I224" s="2980">
        <f t="shared" si="22"/>
        <v>3.0021644493805835</v>
      </c>
      <c r="J224" s="2980">
        <f t="shared" si="22"/>
        <v>3.4207533976361084</v>
      </c>
      <c r="K224" s="2980">
        <f t="shared" si="22"/>
        <v>3.8507486789247203</v>
      </c>
      <c r="L224" s="2980">
        <f t="shared" si="22"/>
        <v>4.3047835860210979</v>
      </c>
      <c r="M224" s="2980">
        <f t="shared" si="22"/>
        <v>4.601597184645696</v>
      </c>
    </row>
    <row r="225" spans="1:13" customFormat="1" outlineLevel="1" x14ac:dyDescent="0.25">
      <c r="A225" s="853"/>
      <c r="B225" s="853"/>
      <c r="C225" t="s">
        <v>494</v>
      </c>
      <c r="E225" t="s">
        <v>171</v>
      </c>
      <c r="F225" s="2980">
        <f t="shared" si="22"/>
        <v>2.0009860399489328E-2</v>
      </c>
      <c r="G225" s="2980">
        <f t="shared" si="22"/>
        <v>2.2612344179343241E-2</v>
      </c>
      <c r="H225" s="2980">
        <f t="shared" si="22"/>
        <v>2.6564445168346058E-2</v>
      </c>
      <c r="I225" s="2980">
        <f t="shared" si="22"/>
        <v>3.1233970923186843E-2</v>
      </c>
      <c r="J225" s="2980">
        <f t="shared" si="22"/>
        <v>3.6069856911989447E-2</v>
      </c>
      <c r="K225" s="2980">
        <f t="shared" si="22"/>
        <v>4.1065337106766124E-2</v>
      </c>
      <c r="L225" s="2980">
        <f t="shared" si="22"/>
        <v>4.6362836066336774E-2</v>
      </c>
      <c r="M225" s="2980">
        <f t="shared" si="22"/>
        <v>4.968503227376047E-2</v>
      </c>
    </row>
    <row r="226" spans="1:13" customFormat="1" outlineLevel="1" x14ac:dyDescent="0.25">
      <c r="A226" s="853"/>
      <c r="B226" s="853"/>
      <c r="C226" t="s">
        <v>2067</v>
      </c>
      <c r="E226" t="s">
        <v>171</v>
      </c>
      <c r="F226" s="2980">
        <f t="shared" si="22"/>
        <v>0.48487049326121723</v>
      </c>
      <c r="G226" s="2980">
        <f t="shared" si="22"/>
        <v>0.33509926369284032</v>
      </c>
      <c r="H226" s="2980">
        <f t="shared" si="22"/>
        <v>0.3566749529163189</v>
      </c>
      <c r="I226" s="2980">
        <f t="shared" si="22"/>
        <v>0.38168809673175264</v>
      </c>
      <c r="J226" s="2980">
        <f t="shared" si="22"/>
        <v>0.40556155841409963</v>
      </c>
      <c r="K226" s="2980">
        <f t="shared" si="22"/>
        <v>0.42838825346058079</v>
      </c>
      <c r="L226" s="2980">
        <f t="shared" si="22"/>
        <v>0.4511038117517237</v>
      </c>
      <c r="M226" s="2980">
        <f t="shared" si="22"/>
        <v>0.47455066513798982</v>
      </c>
    </row>
    <row r="227" spans="1:13" customFormat="1" outlineLevel="1" x14ac:dyDescent="0.25">
      <c r="A227" s="853"/>
      <c r="B227" s="853"/>
      <c r="C227" t="s">
        <v>509</v>
      </c>
      <c r="E227" t="s">
        <v>171</v>
      </c>
      <c r="F227" s="2980">
        <f t="shared" si="22"/>
        <v>0.55269731361784125</v>
      </c>
      <c r="G227" s="2980">
        <f t="shared" si="22"/>
        <v>0.66966976378528054</v>
      </c>
      <c r="H227" s="2980">
        <f t="shared" si="22"/>
        <v>0.64197481880835283</v>
      </c>
      <c r="I227" s="2980">
        <f t="shared" si="22"/>
        <v>0.60578047068513396</v>
      </c>
      <c r="J227" s="2980">
        <f t="shared" si="22"/>
        <v>0.56945361688760987</v>
      </c>
      <c r="K227" s="2980">
        <f t="shared" si="22"/>
        <v>0.51304564771015104</v>
      </c>
      <c r="L227" s="2980">
        <f t="shared" si="22"/>
        <v>0.43906978962822574</v>
      </c>
      <c r="M227" s="2980">
        <f t="shared" si="22"/>
        <v>0.33311271764073619</v>
      </c>
    </row>
    <row r="228" spans="1:13" customFormat="1" outlineLevel="1" x14ac:dyDescent="0.25">
      <c r="A228" s="853"/>
      <c r="B228" s="853"/>
      <c r="C228" t="s">
        <v>2068</v>
      </c>
      <c r="E228" t="s">
        <v>171</v>
      </c>
      <c r="F228" s="2980">
        <f t="shared" si="22"/>
        <v>0.4807135095733891</v>
      </c>
      <c r="G228" s="2980">
        <f t="shared" si="22"/>
        <v>0.54323514073146173</v>
      </c>
      <c r="H228" s="2980">
        <f t="shared" si="22"/>
        <v>0.6381797479742235</v>
      </c>
      <c r="I228" s="2980">
        <f t="shared" si="22"/>
        <v>0.75035964672604716</v>
      </c>
      <c r="J228" s="2980">
        <f t="shared" si="22"/>
        <v>0.86653615566528053</v>
      </c>
      <c r="K228" s="2980">
        <f t="shared" si="22"/>
        <v>0.98654672887731243</v>
      </c>
      <c r="L228" s="2980">
        <f t="shared" si="22"/>
        <v>1.1138129499290883</v>
      </c>
      <c r="M228" s="2980">
        <f t="shared" si="22"/>
        <v>1.1936248309956252</v>
      </c>
    </row>
    <row r="229" spans="1:13" customFormat="1" outlineLevel="1" x14ac:dyDescent="0.25">
      <c r="A229" s="853"/>
      <c r="B229" s="853"/>
      <c r="C229" t="s">
        <v>316</v>
      </c>
      <c r="E229" t="s">
        <v>171</v>
      </c>
      <c r="F229" s="3165">
        <f t="shared" si="22"/>
        <v>1.6162349775373903E-2</v>
      </c>
      <c r="G229" s="3165">
        <f t="shared" si="22"/>
        <v>1.6754963184642015E-2</v>
      </c>
      <c r="H229" s="2983">
        <f t="shared" si="22"/>
        <v>1.7833747645815943E-2</v>
      </c>
      <c r="I229" s="2983">
        <f t="shared" si="22"/>
        <v>1.9084404836587632E-2</v>
      </c>
      <c r="J229" s="2983">
        <f t="shared" si="22"/>
        <v>2.027807792070498E-2</v>
      </c>
      <c r="K229" s="2983">
        <f t="shared" si="22"/>
        <v>2.1419412673029041E-2</v>
      </c>
      <c r="L229" s="2983">
        <f t="shared" si="22"/>
        <v>2.2555190587586187E-2</v>
      </c>
      <c r="M229" s="2983">
        <f t="shared" si="22"/>
        <v>2.3727533256899493E-2</v>
      </c>
    </row>
    <row r="230" spans="1:13" customFormat="1" outlineLevel="1" x14ac:dyDescent="0.25">
      <c r="A230" s="853"/>
      <c r="B230" s="853"/>
      <c r="F230" s="3156">
        <f>SUM(F220:F229)</f>
        <v>20.064371096289779</v>
      </c>
      <c r="G230" s="2980">
        <f t="shared" ref="G230:M230" si="23">SUM(G220:G229)</f>
        <v>22.29657882054256</v>
      </c>
      <c r="H230" s="2980">
        <f t="shared" si="23"/>
        <v>25.731095177261437</v>
      </c>
      <c r="I230" s="2980">
        <f t="shared" si="23"/>
        <v>29.783089433348479</v>
      </c>
      <c r="J230" s="2980">
        <f t="shared" si="23"/>
        <v>33.954058002352269</v>
      </c>
      <c r="K230" s="2980">
        <f t="shared" si="23"/>
        <v>38.239744130834339</v>
      </c>
      <c r="L230" s="2980">
        <f t="shared" si="23"/>
        <v>42.765895977866165</v>
      </c>
      <c r="M230" s="2980">
        <f t="shared" si="23"/>
        <v>45.719377680745716</v>
      </c>
    </row>
    <row r="231" spans="1:13" customFormat="1" outlineLevel="1" x14ac:dyDescent="0.25">
      <c r="A231" s="853"/>
      <c r="B231" s="853"/>
      <c r="F231" s="80"/>
      <c r="G231" s="80"/>
      <c r="H231" s="80"/>
      <c r="I231" s="80"/>
      <c r="J231" s="80"/>
      <c r="K231" s="80"/>
      <c r="L231" s="80"/>
      <c r="M231" s="80"/>
    </row>
    <row r="232" spans="1:13" customFormat="1" outlineLevel="1" x14ac:dyDescent="0.25">
      <c r="A232" s="853"/>
      <c r="B232" s="853"/>
      <c r="C232" s="80" t="s">
        <v>912</v>
      </c>
      <c r="F232" s="866">
        <v>2015</v>
      </c>
      <c r="G232" s="866">
        <v>2020</v>
      </c>
      <c r="H232" s="866">
        <v>2025</v>
      </c>
      <c r="I232" s="866">
        <v>2030</v>
      </c>
      <c r="J232" s="866">
        <v>2035</v>
      </c>
      <c r="K232" s="866">
        <v>2040</v>
      </c>
      <c r="L232" s="866">
        <v>2045</v>
      </c>
      <c r="M232" s="866">
        <v>2050</v>
      </c>
    </row>
    <row r="233" spans="1:13" customFormat="1" outlineLevel="1" x14ac:dyDescent="0.25">
      <c r="A233" s="853"/>
      <c r="B233" s="853"/>
      <c r="C233" t="s">
        <v>2076</v>
      </c>
      <c r="E233" t="s">
        <v>171</v>
      </c>
      <c r="F233" s="2986">
        <f>F210</f>
        <v>4.4112873673330846</v>
      </c>
      <c r="G233" s="2986">
        <f t="shared" ref="G233:M233" si="24">G210</f>
        <v>4.8629335757849326</v>
      </c>
      <c r="H233" s="2986">
        <f t="shared" si="24"/>
        <v>5.5632635279507596</v>
      </c>
      <c r="I233" s="2986">
        <f t="shared" si="24"/>
        <v>6.3887865395414467</v>
      </c>
      <c r="J233" s="2986">
        <f t="shared" si="24"/>
        <v>7.235507601234838</v>
      </c>
      <c r="K233" s="2986">
        <f t="shared" si="24"/>
        <v>8.1027528724562714</v>
      </c>
      <c r="L233" s="2986">
        <f t="shared" si="24"/>
        <v>9.0163999496003946</v>
      </c>
      <c r="M233" s="2986">
        <f t="shared" si="24"/>
        <v>9.6265817378465943</v>
      </c>
    </row>
    <row r="234" spans="1:13" customFormat="1" outlineLevel="1" x14ac:dyDescent="0.25">
      <c r="A234" s="853"/>
      <c r="B234" s="853"/>
      <c r="C234" t="s">
        <v>505</v>
      </c>
      <c r="E234" t="s">
        <v>171</v>
      </c>
      <c r="F234" s="2986">
        <f>F214</f>
        <v>6.0835198978170633</v>
      </c>
      <c r="G234" s="2986">
        <f t="shared" ref="G234:M234" si="25">G214</f>
        <v>6.8110179586357322</v>
      </c>
      <c r="H234" s="2986">
        <f t="shared" si="25"/>
        <v>7.9233383342976058</v>
      </c>
      <c r="I234" s="2986">
        <f t="shared" si="25"/>
        <v>9.2365667166874843</v>
      </c>
      <c r="J234" s="2986">
        <f t="shared" si="25"/>
        <v>10.59229446312562</v>
      </c>
      <c r="K234" s="2986">
        <f t="shared" si="25"/>
        <v>11.988891372883668</v>
      </c>
      <c r="L234" s="2986">
        <f t="shared" si="25"/>
        <v>13.466776602324474</v>
      </c>
      <c r="M234" s="2986">
        <f t="shared" si="25"/>
        <v>14.413018636064249</v>
      </c>
    </row>
    <row r="235" spans="1:13" customFormat="1" outlineLevel="1" x14ac:dyDescent="0.25">
      <c r="A235" s="853"/>
      <c r="B235" s="853"/>
      <c r="C235" t="s">
        <v>1013</v>
      </c>
      <c r="E235" t="s">
        <v>171</v>
      </c>
      <c r="F235" s="2983">
        <f>F204</f>
        <v>9.5695638311396181</v>
      </c>
      <c r="G235" s="2983">
        <f t="shared" ref="G235:M235" si="26">G204</f>
        <v>10.622627286121897</v>
      </c>
      <c r="H235" s="2983">
        <f t="shared" si="26"/>
        <v>12.244493315013072</v>
      </c>
      <c r="I235" s="2983">
        <f t="shared" si="26"/>
        <v>14.157736177119554</v>
      </c>
      <c r="J235" s="2983">
        <f t="shared" si="26"/>
        <v>16.126255937991811</v>
      </c>
      <c r="K235" s="2983">
        <f t="shared" si="26"/>
        <v>18.1480998854944</v>
      </c>
      <c r="L235" s="2983">
        <f t="shared" si="26"/>
        <v>20.282719425941288</v>
      </c>
      <c r="M235" s="2983">
        <f t="shared" si="26"/>
        <v>21.679777306834868</v>
      </c>
    </row>
    <row r="236" spans="1:13" customFormat="1" outlineLevel="1" x14ac:dyDescent="0.25">
      <c r="A236" s="853"/>
      <c r="B236" s="853"/>
      <c r="F236" s="3156">
        <f>SUM(F233:F235)</f>
        <v>20.064371096289765</v>
      </c>
      <c r="G236" s="3156">
        <f t="shared" ref="G236:M236" si="27">SUM(G233:G235)</f>
        <v>22.296578820542564</v>
      </c>
      <c r="H236" s="3156">
        <f t="shared" si="27"/>
        <v>25.731095177261437</v>
      </c>
      <c r="I236" s="3156">
        <f t="shared" si="27"/>
        <v>29.783089433348486</v>
      </c>
      <c r="J236" s="3156">
        <f t="shared" si="27"/>
        <v>33.954058002352269</v>
      </c>
      <c r="K236" s="3156">
        <f t="shared" si="27"/>
        <v>38.239744130834339</v>
      </c>
      <c r="L236" s="3156">
        <f t="shared" si="27"/>
        <v>42.765895977866158</v>
      </c>
      <c r="M236" s="3156">
        <f t="shared" si="27"/>
        <v>45.719377680745708</v>
      </c>
    </row>
    <row r="237" spans="1:13" customFormat="1" x14ac:dyDescent="0.25">
      <c r="A237" s="853"/>
      <c r="B237" s="853"/>
      <c r="F237" s="3157"/>
      <c r="G237" s="2980"/>
      <c r="H237" s="2980"/>
      <c r="I237" s="2980"/>
      <c r="J237" s="2980"/>
      <c r="K237" s="2980"/>
      <c r="L237" s="2980"/>
      <c r="M237" s="2980"/>
    </row>
    <row r="238" spans="1:13" customFormat="1" x14ac:dyDescent="0.25">
      <c r="A238" s="853" t="s">
        <v>704</v>
      </c>
      <c r="B238" s="853" t="s">
        <v>525</v>
      </c>
      <c r="F238" s="3157"/>
      <c r="G238" s="2980"/>
      <c r="H238" s="2980"/>
      <c r="I238" s="2980"/>
      <c r="J238" s="2980"/>
      <c r="K238" s="2980"/>
      <c r="L238" s="2980"/>
      <c r="M238" s="2980"/>
    </row>
    <row r="239" spans="1:13" customFormat="1" outlineLevel="1" x14ac:dyDescent="0.25">
      <c r="A239" s="853"/>
      <c r="B239" s="853"/>
      <c r="F239" s="888"/>
      <c r="G239" s="888"/>
      <c r="H239" s="888"/>
      <c r="I239" s="888"/>
      <c r="J239" s="888"/>
      <c r="K239" s="888"/>
      <c r="L239" s="888"/>
      <c r="M239" s="888"/>
    </row>
    <row r="240" spans="1:13" customFormat="1" outlineLevel="1" x14ac:dyDescent="0.25">
      <c r="A240" s="853"/>
      <c r="B240" s="853"/>
      <c r="C240" t="s">
        <v>956</v>
      </c>
      <c r="D240" s="888"/>
      <c r="F240" s="2986"/>
      <c r="G240" s="2986"/>
      <c r="H240" s="2986"/>
      <c r="I240" s="2986"/>
      <c r="J240" s="2986"/>
      <c r="K240" s="2986"/>
      <c r="L240" s="2986"/>
      <c r="M240" s="2986"/>
    </row>
    <row r="241" spans="1:13" customFormat="1" outlineLevel="1" x14ac:dyDescent="0.25">
      <c r="A241" s="853"/>
      <c r="B241" s="853"/>
      <c r="D241" s="888"/>
      <c r="F241" s="80"/>
      <c r="G241" s="80"/>
      <c r="H241" s="80"/>
      <c r="I241" s="80"/>
      <c r="J241" s="80"/>
      <c r="K241" s="80"/>
      <c r="L241" s="80"/>
      <c r="M241" s="80"/>
    </row>
    <row r="242" spans="1:13" customFormat="1" outlineLevel="1" x14ac:dyDescent="0.25">
      <c r="A242" s="853"/>
      <c r="B242" s="853" t="s">
        <v>398</v>
      </c>
      <c r="F242" s="80">
        <v>2015</v>
      </c>
      <c r="G242" s="80">
        <v>2015</v>
      </c>
      <c r="H242" s="80">
        <v>2015</v>
      </c>
      <c r="I242" s="80">
        <v>2015</v>
      </c>
      <c r="J242" s="80">
        <v>2015</v>
      </c>
      <c r="K242" s="80">
        <v>2015</v>
      </c>
      <c r="L242" s="80">
        <v>2015</v>
      </c>
      <c r="M242" s="80">
        <v>2015</v>
      </c>
    </row>
    <row r="243" spans="1:13" customFormat="1" outlineLevel="1" x14ac:dyDescent="0.25">
      <c r="A243" s="853"/>
      <c r="B243" t="s">
        <v>1724</v>
      </c>
      <c r="C243" s="2689" t="str">
        <f>CONCATENATE(B243,"_",$C$240)</f>
        <v>V.042_CPR</v>
      </c>
      <c r="D243" t="s">
        <v>334</v>
      </c>
      <c r="E243" s="2948" t="s">
        <v>1895</v>
      </c>
      <c r="F243" s="77">
        <f>VLOOKUP($C243,Constantes!$G$11:$P$120,8,0)*F220</f>
        <v>0.84712233300164508</v>
      </c>
      <c r="G243" s="77">
        <f>VLOOKUP($C243,Constantes!$G$11:$P$120,8,0)*G220</f>
        <v>0.95230189026171841</v>
      </c>
      <c r="H243" s="77">
        <f>VLOOKUP($C243,Constantes!$G$11:$P$120,8,0)*H220</f>
        <v>1.1270563084715242</v>
      </c>
      <c r="I243" s="77">
        <f>VLOOKUP($C243,Constantes!$G$11:$P$120,8,0)*I220</f>
        <v>1.3330824828200247</v>
      </c>
      <c r="J243" s="77">
        <f>VLOOKUP($C243,Constantes!$G$11:$P$120,8,0)*J220</f>
        <v>1.5459334726202434</v>
      </c>
      <c r="K243" s="77">
        <f>VLOOKUP($C243,Constantes!$G$11:$P$120,8,0)*K220</f>
        <v>1.7666413147432214</v>
      </c>
      <c r="L243" s="77">
        <f>VLOOKUP($C243,Constantes!$G$11:$P$120,8,0)*L220</f>
        <v>1.9995821226859953</v>
      </c>
      <c r="M243" s="77">
        <f>VLOOKUP($C243,Constantes!$G$11:$P$120,8,0)*M220</f>
        <v>2.1424239589292258</v>
      </c>
    </row>
    <row r="244" spans="1:13" customFormat="1" outlineLevel="1" x14ac:dyDescent="0.25">
      <c r="A244" s="853"/>
      <c r="B244" t="s">
        <v>1739</v>
      </c>
      <c r="C244" s="2689" t="str">
        <f t="shared" ref="C244:C250" si="28">CONCATENATE(B244,"_",$C$240)</f>
        <v>V.056_CPR</v>
      </c>
      <c r="D244" t="s">
        <v>499</v>
      </c>
      <c r="E244" s="2948" t="s">
        <v>1895</v>
      </c>
      <c r="F244" s="77">
        <f>VLOOKUP($C244,Constantes!$G$11:$P$120,8,0)*F222</f>
        <v>2.1916045451173614E-2</v>
      </c>
      <c r="G244" s="77">
        <f>VLOOKUP($C244,Constantes!$G$11:$P$120,8,0)*G222</f>
        <v>2.4354256233181687E-2</v>
      </c>
      <c r="H244" s="77">
        <f>VLOOKUP($C244,Constantes!$G$11:$P$120,8,0)*H222</f>
        <v>2.8105732729276248E-2</v>
      </c>
      <c r="I244" s="77">
        <f>VLOOKUP($C244,Constantes!$G$11:$P$120,8,0)*I222</f>
        <v>3.2531672114972682E-2</v>
      </c>
      <c r="J244" s="77">
        <f>VLOOKUP($C244,Constantes!$G$11:$P$120,8,0)*J222</f>
        <v>3.7087565558879668E-2</v>
      </c>
      <c r="K244" s="77">
        <f>VLOOKUP($C244,Constantes!$G$11:$P$120,8,0)*K222</f>
        <v>4.1768763465882389E-2</v>
      </c>
      <c r="L244" s="77">
        <f>VLOOKUP($C244,Constantes!$G$11:$P$120,8,0)*L222</f>
        <v>4.671261887617259E-2</v>
      </c>
      <c r="M244" s="77">
        <f>VLOOKUP($C244,Constantes!$G$11:$P$120,8,0)*M222</f>
        <v>4.9938667623421258E-2</v>
      </c>
    </row>
    <row r="245" spans="1:13" customFormat="1" outlineLevel="1" x14ac:dyDescent="0.25">
      <c r="A245" s="853"/>
      <c r="B245" t="s">
        <v>1732</v>
      </c>
      <c r="C245" s="2689" t="str">
        <f t="shared" si="28"/>
        <v>V.051_CPR</v>
      </c>
      <c r="D245" t="s">
        <v>491</v>
      </c>
      <c r="E245" s="2948" t="s">
        <v>1895</v>
      </c>
      <c r="F245" s="77">
        <f>VLOOKUP($C245,Constantes!$G$11:$P$120,8,0)*F223</f>
        <v>0.40036353956406501</v>
      </c>
      <c r="G245" s="77">
        <f>VLOOKUP($C245,Constantes!$G$11:$P$120,8,0)*G223</f>
        <v>0.4535358865596536</v>
      </c>
      <c r="H245" s="77">
        <f>VLOOKUP($C245,Constantes!$G$11:$P$120,8,0)*H223</f>
        <v>0.52403836929874759</v>
      </c>
      <c r="I245" s="77">
        <f>VLOOKUP($C245,Constantes!$G$11:$P$120,8,0)*I223</f>
        <v>0.60755141864707873</v>
      </c>
      <c r="J245" s="77">
        <f>VLOOKUP($C245,Constantes!$G$11:$P$120,8,0)*J223</f>
        <v>0.69361758379642535</v>
      </c>
      <c r="K245" s="77">
        <f>VLOOKUP($C245,Constantes!$G$11:$P$120,8,0)*K223</f>
        <v>0.78210534869941828</v>
      </c>
      <c r="L245" s="77">
        <f>VLOOKUP($C245,Constantes!$G$11:$P$120,8,0)*L223</f>
        <v>0.87560395719140349</v>
      </c>
      <c r="M245" s="77">
        <f>VLOOKUP($C245,Constantes!$G$11:$P$120,8,0)*M223</f>
        <v>0.93632974303656658</v>
      </c>
    </row>
    <row r="246" spans="1:13" customFormat="1" outlineLevel="1" x14ac:dyDescent="0.25">
      <c r="A246" s="853"/>
      <c r="B246" t="s">
        <v>1735</v>
      </c>
      <c r="C246" s="2689" t="str">
        <f t="shared" si="28"/>
        <v>V.052_CPR</v>
      </c>
      <c r="D246" t="s">
        <v>510</v>
      </c>
      <c r="E246" s="2948" t="s">
        <v>1895</v>
      </c>
      <c r="F246" s="77">
        <f>VLOOKUP($C246,Constantes!$G$11:$P$120,8,0)*F224</f>
        <v>0.46033472626393501</v>
      </c>
      <c r="G246" s="77">
        <f>VLOOKUP($C246,Constantes!$G$11:$P$120,8,0)*G224</f>
        <v>0.51120575982293814</v>
      </c>
      <c r="H246" s="77">
        <f>VLOOKUP($C246,Constantes!$G$11:$P$120,8,0)*H224</f>
        <v>0.58952428874760043</v>
      </c>
      <c r="I246" s="77">
        <f>VLOOKUP($C246,Constantes!$G$11:$P$120,8,0)*I224</f>
        <v>0.68191712295145723</v>
      </c>
      <c r="J246" s="77">
        <f>VLOOKUP($C246,Constantes!$G$11:$P$120,8,0)*J224</f>
        <v>0.77699618211244947</v>
      </c>
      <c r="K246" s="77">
        <f>VLOOKUP($C246,Constantes!$G$11:$P$120,8,0)*K224</f>
        <v>0.87466609661681016</v>
      </c>
      <c r="L246" s="77">
        <f>VLOOKUP($C246,Constantes!$G$11:$P$120,8,0)*L224</f>
        <v>0.97779641568729769</v>
      </c>
      <c r="M246" s="77">
        <f>VLOOKUP($C246,Constantes!$G$11:$P$120,8,0)*M224</f>
        <v>1.0452151992481764</v>
      </c>
    </row>
    <row r="247" spans="1:13" customFormat="1" outlineLevel="1" x14ac:dyDescent="0.25">
      <c r="A247" s="853"/>
      <c r="B247" t="s">
        <v>1727</v>
      </c>
      <c r="C247" s="2689" t="str">
        <f t="shared" si="28"/>
        <v>V.045_CPR</v>
      </c>
      <c r="D247" t="s">
        <v>494</v>
      </c>
      <c r="E247" s="2948" t="s">
        <v>1895</v>
      </c>
      <c r="F247" s="77">
        <f>VLOOKUP($C247,Constantes!$G$11:$P$120,8,0)*F225</f>
        <v>5.1501260567440145E-3</v>
      </c>
      <c r="G247" s="77">
        <f>VLOOKUP($C247,Constantes!$G$11:$P$120,8,0)*G225</f>
        <v>5.8199517956193016E-3</v>
      </c>
      <c r="H247" s="77">
        <f>VLOOKUP($C247,Constantes!$G$11:$P$120,8,0)*H225</f>
        <v>6.8371412150350737E-3</v>
      </c>
      <c r="I247" s="77">
        <f>VLOOKUP($C247,Constantes!$G$11:$P$120,8,0)*I225</f>
        <v>8.0389809971485229E-3</v>
      </c>
      <c r="J247" s="77">
        <f>VLOOKUP($C247,Constantes!$G$11:$P$120,8,0)*J225</f>
        <v>9.2836384780678408E-3</v>
      </c>
      <c r="K247" s="77">
        <f>VLOOKUP($C247,Constantes!$G$11:$P$120,8,0)*K225</f>
        <v>1.0569372221503882E-2</v>
      </c>
      <c r="L247" s="77">
        <f>VLOOKUP($C247,Constantes!$G$11:$P$120,8,0)*L225</f>
        <v>1.1932839376324982E-2</v>
      </c>
      <c r="M247" s="77">
        <f>VLOOKUP($C247,Constantes!$G$11:$P$120,8,0)*M225</f>
        <v>1.2787904274923954E-2</v>
      </c>
    </row>
    <row r="248" spans="1:13" customFormat="1" outlineLevel="1" x14ac:dyDescent="0.25">
      <c r="A248" s="853"/>
      <c r="B248" t="s">
        <v>1729</v>
      </c>
      <c r="C248" s="2689" t="str">
        <f t="shared" si="28"/>
        <v>V.047_CPR</v>
      </c>
      <c r="D248" t="s">
        <v>2067</v>
      </c>
      <c r="E248" s="2948" t="s">
        <v>1895</v>
      </c>
      <c r="F248" s="77">
        <f>VLOOKUP($C248,Constantes!$G$11:$P$120,8,0)*F226</f>
        <v>0.12479568131093247</v>
      </c>
      <c r="G248" s="77">
        <f>VLOOKUP($C248,Constantes!$G$11:$P$120,8,0)*G226</f>
        <v>8.6247650662484118E-2</v>
      </c>
      <c r="H248" s="77">
        <f>VLOOKUP($C248,Constantes!$G$11:$P$120,8,0)*H226</f>
        <v>9.1800788817555101E-2</v>
      </c>
      <c r="I248" s="77">
        <f>VLOOKUP($C248,Constantes!$G$11:$P$120,8,0)*I226</f>
        <v>9.8238657006192651E-2</v>
      </c>
      <c r="J248" s="77">
        <f>VLOOKUP($C248,Constantes!$G$11:$P$120,8,0)*J226</f>
        <v>0.10438319448023085</v>
      </c>
      <c r="K248" s="77">
        <f>VLOOKUP($C248,Constantes!$G$11:$P$120,8,0)*K226</f>
        <v>0.11025831577549149</v>
      </c>
      <c r="L248" s="77">
        <f>VLOOKUP($C248,Constantes!$G$11:$P$120,8,0)*L226</f>
        <v>0.11610483275827305</v>
      </c>
      <c r="M248" s="77">
        <f>VLOOKUP($C248,Constantes!$G$11:$P$120,8,0)*M226</f>
        <v>0.12213957004091533</v>
      </c>
    </row>
    <row r="249" spans="1:13" customFormat="1" outlineLevel="1" x14ac:dyDescent="0.25">
      <c r="A249" s="853"/>
      <c r="B249" t="s">
        <v>1741</v>
      </c>
      <c r="C249" s="2689" t="str">
        <f t="shared" si="28"/>
        <v>V.058_CPR</v>
      </c>
      <c r="D249" t="s">
        <v>509</v>
      </c>
      <c r="E249" s="2948" t="s">
        <v>1895</v>
      </c>
      <c r="F249" s="77">
        <f>VLOOKUP($C249,Constantes!$G$11:$P$120,8,0)*F227</f>
        <v>0</v>
      </c>
      <c r="G249" s="77">
        <f>VLOOKUP($C249,Constantes!$G$11:$P$120,8,0)*G227</f>
        <v>0</v>
      </c>
      <c r="H249" s="77">
        <f>VLOOKUP($C249,Constantes!$G$11:$P$120,8,0)*H227</f>
        <v>0</v>
      </c>
      <c r="I249" s="77">
        <f>VLOOKUP($C249,Constantes!$G$11:$P$120,8,0)*I227</f>
        <v>0</v>
      </c>
      <c r="J249" s="77">
        <f>VLOOKUP($C249,Constantes!$G$11:$P$120,8,0)*J227</f>
        <v>0</v>
      </c>
      <c r="K249" s="77">
        <f>VLOOKUP($C249,Constantes!$G$11:$P$120,8,0)*K227</f>
        <v>0</v>
      </c>
      <c r="L249" s="77">
        <f>VLOOKUP($C249,Constantes!$G$11:$P$120,8,0)*L227</f>
        <v>0</v>
      </c>
      <c r="M249" s="77">
        <f>VLOOKUP($C249,Constantes!$G$11:$P$120,8,0)*M227</f>
        <v>0</v>
      </c>
    </row>
    <row r="250" spans="1:13" customFormat="1" outlineLevel="1" x14ac:dyDescent="0.25">
      <c r="A250" s="853"/>
      <c r="B250" t="s">
        <v>1725</v>
      </c>
      <c r="C250" s="2689" t="str">
        <f t="shared" si="28"/>
        <v>V.043_CPR</v>
      </c>
      <c r="D250" t="s">
        <v>2068</v>
      </c>
      <c r="E250" s="2948" t="s">
        <v>1895</v>
      </c>
      <c r="F250" s="77">
        <f>VLOOKUP($C250,Constantes!$G$11:$P$120,8,0)*F228</f>
        <v>0.13393529748373045</v>
      </c>
      <c r="G250" s="77">
        <f>VLOOKUP($C250,Constantes!$G$11:$P$120,8,0)*G228</f>
        <v>0.15135493121891699</v>
      </c>
      <c r="H250" s="77">
        <f>VLOOKUP($C250,Constantes!$G$11:$P$120,8,0)*H228</f>
        <v>0.17780818032111195</v>
      </c>
      <c r="I250" s="77">
        <f>VLOOKUP($C250,Constantes!$G$11:$P$120,8,0)*I228</f>
        <v>0.20906348688479501</v>
      </c>
      <c r="J250" s="77">
        <f>VLOOKUP($C250,Constantes!$G$11:$P$120,8,0)*J228</f>
        <v>0.24143231982898747</v>
      </c>
      <c r="K250" s="77">
        <f>VLOOKUP($C250,Constantes!$G$11:$P$120,8,0)*K228</f>
        <v>0.27486939098309571</v>
      </c>
      <c r="L250" s="77">
        <f>VLOOKUP($C250,Constantes!$G$11:$P$120,8,0)*L228</f>
        <v>0.31032801412711103</v>
      </c>
      <c r="M250" s="77">
        <f>VLOOKUP($C250,Constantes!$G$11:$P$120,8,0)*M228</f>
        <v>0.33256501770720448</v>
      </c>
    </row>
    <row r="251" spans="1:13" customFormat="1" outlineLevel="1" x14ac:dyDescent="0.25">
      <c r="A251" s="853"/>
      <c r="B251" s="888"/>
      <c r="C251" s="2689"/>
      <c r="D251" s="888"/>
      <c r="E251" s="2948"/>
      <c r="H251" s="80"/>
      <c r="I251" s="80"/>
      <c r="J251" s="80"/>
      <c r="K251" s="80"/>
      <c r="L251" s="80"/>
      <c r="M251" s="80"/>
    </row>
    <row r="252" spans="1:13" customFormat="1" outlineLevel="1" x14ac:dyDescent="0.25">
      <c r="A252" s="853"/>
      <c r="B252" s="853" t="s">
        <v>400</v>
      </c>
      <c r="C252" s="2689"/>
      <c r="E252" s="2948"/>
      <c r="F252" s="80"/>
      <c r="G252" s="80"/>
      <c r="H252" s="80"/>
      <c r="I252" s="80"/>
      <c r="J252" s="80"/>
      <c r="K252" s="80"/>
      <c r="L252" s="80"/>
      <c r="M252" s="80"/>
    </row>
    <row r="253" spans="1:13" customFormat="1" outlineLevel="1" x14ac:dyDescent="0.25">
      <c r="A253" s="853"/>
      <c r="B253" t="s">
        <v>1724</v>
      </c>
      <c r="C253" s="2689" t="str">
        <f t="shared" ref="C253:C260" si="29">CONCATENATE(B253,"_",$C$240)</f>
        <v>V.042_CPR</v>
      </c>
      <c r="D253" t="s">
        <v>334</v>
      </c>
      <c r="E253" s="2948" t="s">
        <v>1895</v>
      </c>
      <c r="F253" s="2828">
        <f>VLOOKUP($C253,Constantes!$G$11:$P$120,9,0)*F220</f>
        <v>1.6805260857117655E-3</v>
      </c>
      <c r="G253" s="2828">
        <f>VLOOKUP($C253,Constantes!$G$11:$P$120,9,0)*G220</f>
        <v>1.889181887563733E-3</v>
      </c>
      <c r="H253" s="2828">
        <f>VLOOKUP($C253,Constantes!$G$11:$P$120,9,0)*H220</f>
        <v>2.2358606929192178E-3</v>
      </c>
      <c r="I253" s="2828">
        <f>VLOOKUP($C253,Constantes!$G$11:$P$120,9,0)*I220</f>
        <v>2.6445765853514661E-3</v>
      </c>
      <c r="J253" s="2828">
        <f>VLOOKUP($C253,Constantes!$G$11:$P$120,9,0)*J220</f>
        <v>3.0668315853599969E-3</v>
      </c>
      <c r="K253" s="2828">
        <f>VLOOKUP($C253,Constantes!$G$11:$P$120,9,0)*K220</f>
        <v>3.5046730535391846E-3</v>
      </c>
      <c r="L253" s="2828">
        <f>VLOOKUP($C253,Constantes!$G$11:$P$120,9,0)*L220</f>
        <v>3.966782348648331E-3</v>
      </c>
      <c r="M253" s="2828">
        <f>VLOOKUP($C253,Constantes!$G$11:$P$120,9,0)*M220</f>
        <v>4.250152793017492E-3</v>
      </c>
    </row>
    <row r="254" spans="1:13" customFormat="1" outlineLevel="1" x14ac:dyDescent="0.25">
      <c r="A254" s="853"/>
      <c r="B254" t="s">
        <v>1739</v>
      </c>
      <c r="C254" s="2689" t="str">
        <f t="shared" si="29"/>
        <v>V.056_CPR</v>
      </c>
      <c r="D254" t="s">
        <v>499</v>
      </c>
      <c r="E254" s="2948" t="s">
        <v>1895</v>
      </c>
      <c r="F254" s="2828">
        <f>VLOOKUP($C254,Constantes!$G$11:$P$120,9,0)*F222</f>
        <v>5.1828485864261929E-5</v>
      </c>
      <c r="G254" s="2828">
        <f>VLOOKUP($C254,Constantes!$G$11:$P$120,9,0)*G222</f>
        <v>5.7594524875767501E-5</v>
      </c>
      <c r="H254" s="2828">
        <f>VLOOKUP($C254,Constantes!$G$11:$P$120,9,0)*H222</f>
        <v>6.6466259832747884E-5</v>
      </c>
      <c r="I254" s="2828">
        <f>VLOOKUP($C254,Constantes!$G$11:$P$120,9,0)*I222</f>
        <v>7.6933008380002967E-5</v>
      </c>
      <c r="J254" s="2828">
        <f>VLOOKUP($C254,Constantes!$G$11:$P$120,9,0)*J222</f>
        <v>8.770708071356679E-5</v>
      </c>
      <c r="K254" s="2828">
        <f>VLOOKUP($C254,Constantes!$G$11:$P$120,9,0)*K222</f>
        <v>9.8777481169316461E-5</v>
      </c>
      <c r="L254" s="2828">
        <f>VLOOKUP($C254,Constantes!$G$11:$P$120,9,0)*L222</f>
        <v>1.1046903112608382E-4</v>
      </c>
      <c r="M254" s="2828">
        <f>VLOOKUP($C254,Constantes!$G$11:$P$120,9,0)*M222</f>
        <v>1.1809820046079352E-4</v>
      </c>
    </row>
    <row r="255" spans="1:13" customFormat="1" outlineLevel="1" x14ac:dyDescent="0.25">
      <c r="A255" s="853"/>
      <c r="B255" t="s">
        <v>1732</v>
      </c>
      <c r="C255" s="2689" t="str">
        <f t="shared" si="29"/>
        <v>V.051_CPR</v>
      </c>
      <c r="D255" t="s">
        <v>491</v>
      </c>
      <c r="E255" s="2948" t="s">
        <v>1895</v>
      </c>
      <c r="F255" s="2828">
        <f>VLOOKUP($C255,Constantes!$G$11:$P$120,9,0)*F223</f>
        <v>7.4934352324825004E-4</v>
      </c>
      <c r="G255" s="2828">
        <f>VLOOKUP($C255,Constantes!$G$11:$P$120,9,0)*G223</f>
        <v>8.4886395880149072E-4</v>
      </c>
      <c r="H255" s="2828">
        <f>VLOOKUP($C255,Constantes!$G$11:$P$120,9,0)*H223</f>
        <v>9.8082047729712118E-4</v>
      </c>
      <c r="I255" s="2828">
        <f>VLOOKUP($C255,Constantes!$G$11:$P$120,9,0)*I223</f>
        <v>1.137128323671003E-3</v>
      </c>
      <c r="J255" s="2828">
        <f>VLOOKUP($C255,Constantes!$G$11:$P$120,9,0)*J223</f>
        <v>1.2982147290307427E-3</v>
      </c>
      <c r="K255" s="2828">
        <f>VLOOKUP($C255,Constantes!$G$11:$P$120,9,0)*K223</f>
        <v>1.4638335403465048E-3</v>
      </c>
      <c r="L255" s="2828">
        <f>VLOOKUP($C255,Constantes!$G$11:$P$120,9,0)*L223</f>
        <v>1.6388309359197393E-3</v>
      </c>
      <c r="M255" s="2828">
        <f>VLOOKUP($C255,Constantes!$G$11:$P$120,9,0)*M223</f>
        <v>1.7524888238652316E-3</v>
      </c>
    </row>
    <row r="256" spans="1:13" customFormat="1" outlineLevel="1" x14ac:dyDescent="0.25">
      <c r="A256" s="853"/>
      <c r="B256" t="s">
        <v>1735</v>
      </c>
      <c r="C256" s="2689" t="str">
        <f t="shared" si="29"/>
        <v>V.052_CPR</v>
      </c>
      <c r="D256" t="s">
        <v>510</v>
      </c>
      <c r="E256" s="2948" t="s">
        <v>1895</v>
      </c>
      <c r="F256" s="2828">
        <f>VLOOKUP($C256,Constantes!$G$11:$P$120,9,0)*F224</f>
        <v>7.6600865701605667E-4</v>
      </c>
      <c r="G256" s="2828">
        <f>VLOOKUP($C256,Constantes!$G$11:$P$120,9,0)*G224</f>
        <v>8.5065934677351033E-4</v>
      </c>
      <c r="H256" s="2828">
        <f>VLOOKUP($C256,Constantes!$G$11:$P$120,9,0)*H224</f>
        <v>9.8098336479394673E-4</v>
      </c>
      <c r="I256" s="2828">
        <f>VLOOKUP($C256,Constantes!$G$11:$P$120,9,0)*I224</f>
        <v>1.1347273836751666E-3</v>
      </c>
      <c r="J256" s="2828">
        <f>VLOOKUP($C256,Constantes!$G$11:$P$120,9,0)*J224</f>
        <v>1.292941348998529E-3</v>
      </c>
      <c r="K256" s="2828">
        <f>VLOOKUP($C256,Constantes!$G$11:$P$120,9,0)*K224</f>
        <v>1.4554665633084796E-3</v>
      </c>
      <c r="L256" s="2828">
        <f>VLOOKUP($C256,Constantes!$G$11:$P$120,9,0)*L224</f>
        <v>1.6270780292736331E-3</v>
      </c>
      <c r="M256" s="2828">
        <f>VLOOKUP($C256,Constantes!$G$11:$P$120,9,0)*M224</f>
        <v>1.7392645946285028E-3</v>
      </c>
    </row>
    <row r="257" spans="1:13" customFormat="1" outlineLevel="1" x14ac:dyDescent="0.25">
      <c r="A257" s="853"/>
      <c r="B257" t="s">
        <v>1727</v>
      </c>
      <c r="C257" s="2689" t="str">
        <f t="shared" si="29"/>
        <v>V.045_CPR</v>
      </c>
      <c r="D257" t="s">
        <v>494</v>
      </c>
      <c r="E257" s="2948" t="s">
        <v>1895</v>
      </c>
      <c r="F257" s="2828">
        <f>VLOOKUP($C257,Constantes!$G$11:$P$120,9,0)*F225</f>
        <v>1.5126244362464935E-5</v>
      </c>
      <c r="G257" s="2828">
        <f>VLOOKUP($C257,Constantes!$G$11:$P$120,9,0)*G225</f>
        <v>1.7093564714406338E-5</v>
      </c>
      <c r="H257" s="2828">
        <f>VLOOKUP($C257,Constantes!$G$11:$P$120,9,0)*H225</f>
        <v>2.0081114058144968E-5</v>
      </c>
      <c r="I257" s="2828">
        <f>VLOOKUP($C257,Constantes!$G$11:$P$120,9,0)*I225</f>
        <v>2.3610993138478176E-5</v>
      </c>
      <c r="J257" s="2828">
        <f>VLOOKUP($C257,Constantes!$G$11:$P$120,9,0)*J225</f>
        <v>2.7266630495024421E-5</v>
      </c>
      <c r="K257" s="2828">
        <f>VLOOKUP($C257,Constantes!$G$11:$P$120,9,0)*K225</f>
        <v>3.1042911419801608E-5</v>
      </c>
      <c r="L257" s="2828">
        <f>VLOOKUP($C257,Constantes!$G$11:$P$120,9,0)*L225</f>
        <v>3.5047500266129308E-5</v>
      </c>
      <c r="M257" s="2828">
        <f>VLOOKUP($C257,Constantes!$G$11:$P$120,9,0)*M225</f>
        <v>3.7558879688587831E-5</v>
      </c>
    </row>
    <row r="258" spans="1:13" customFormat="1" outlineLevel="1" x14ac:dyDescent="0.25">
      <c r="A258" s="853"/>
      <c r="B258" t="s">
        <v>1729</v>
      </c>
      <c r="C258" s="2689" t="str">
        <f t="shared" si="29"/>
        <v>V.047_CPR</v>
      </c>
      <c r="D258" t="s">
        <v>2067</v>
      </c>
      <c r="E258" s="2948" t="s">
        <v>1895</v>
      </c>
      <c r="F258" s="2828">
        <f>VLOOKUP($C258,Constantes!$G$11:$P$120,9,0)*F226</f>
        <v>1.8326638514192874E-5</v>
      </c>
      <c r="G258" s="2828">
        <f>VLOOKUP($C258,Constantes!$G$11:$P$120,9,0)*G226</f>
        <v>1.2665738908476685E-5</v>
      </c>
      <c r="H258" s="2828">
        <f>VLOOKUP($C258,Constantes!$G$11:$P$120,9,0)*H226</f>
        <v>1.3481234721459137E-5</v>
      </c>
      <c r="I258" s="2828">
        <f>VLOOKUP($C258,Constantes!$G$11:$P$120,9,0)*I226</f>
        <v>1.4426655923986332E-5</v>
      </c>
      <c r="J258" s="2828">
        <f>VLOOKUP($C258,Constantes!$G$11:$P$120,9,0)*J226</f>
        <v>1.5329000588005927E-5</v>
      </c>
      <c r="K258" s="2828">
        <f>VLOOKUP($C258,Constantes!$G$11:$P$120,9,0)*K226</f>
        <v>1.6191780638358884E-5</v>
      </c>
      <c r="L258" s="2828">
        <f>VLOOKUP($C258,Constantes!$G$11:$P$120,9,0)*L226</f>
        <v>1.7050360055410723E-5</v>
      </c>
      <c r="M258" s="2828">
        <f>VLOOKUP($C258,Constantes!$G$11:$P$120,9,0)*M226</f>
        <v>1.7936580215798752E-5</v>
      </c>
    </row>
    <row r="259" spans="1:13" customFormat="1" outlineLevel="1" x14ac:dyDescent="0.25">
      <c r="A259" s="853"/>
      <c r="B259" t="s">
        <v>1741</v>
      </c>
      <c r="C259" s="2689" t="str">
        <f t="shared" si="29"/>
        <v>V.058_CPR</v>
      </c>
      <c r="D259" t="s">
        <v>509</v>
      </c>
      <c r="E259" s="2948" t="s">
        <v>1895</v>
      </c>
      <c r="F259" s="2828">
        <f>VLOOKUP($C259,Constantes!$G$11:$P$120,9,0)*F227</f>
        <v>0</v>
      </c>
      <c r="G259" s="2828">
        <f>VLOOKUP($C259,Constantes!$G$11:$P$120,9,0)*G227</f>
        <v>0</v>
      </c>
      <c r="H259" s="2828">
        <f>VLOOKUP($C259,Constantes!$G$11:$P$120,9,0)*H227</f>
        <v>0</v>
      </c>
      <c r="I259" s="2828">
        <f>VLOOKUP($C259,Constantes!$G$11:$P$120,9,0)*I227</f>
        <v>0</v>
      </c>
      <c r="J259" s="2828">
        <f>VLOOKUP($C259,Constantes!$G$11:$P$120,9,0)*J227</f>
        <v>0</v>
      </c>
      <c r="K259" s="2828">
        <f>VLOOKUP($C259,Constantes!$G$11:$P$120,9,0)*K227</f>
        <v>0</v>
      </c>
      <c r="L259" s="2828">
        <f>VLOOKUP($C259,Constantes!$G$11:$P$120,9,0)*L227</f>
        <v>0</v>
      </c>
      <c r="M259" s="2828">
        <f>VLOOKUP($C259,Constantes!$G$11:$P$120,9,0)*M227</f>
        <v>0</v>
      </c>
    </row>
    <row r="260" spans="1:13" customFormat="1" outlineLevel="1" x14ac:dyDescent="0.25">
      <c r="A260" s="853"/>
      <c r="B260" t="s">
        <v>1725</v>
      </c>
      <c r="C260" s="2689" t="str">
        <f t="shared" si="29"/>
        <v>V.043_CPR</v>
      </c>
      <c r="D260" t="s">
        <v>2068</v>
      </c>
      <c r="E260" s="2948" t="s">
        <v>1895</v>
      </c>
      <c r="F260" s="2828">
        <f>VLOOKUP($C260,Constantes!$G$11:$P$120,9,0)*F228</f>
        <v>2.5437323940708499E-4</v>
      </c>
      <c r="G260" s="2828">
        <f>VLOOKUP($C260,Constantes!$G$11:$P$120,9,0)*G228</f>
        <v>2.8745703991189662E-4</v>
      </c>
      <c r="H260" s="2828">
        <f>VLOOKUP($C260,Constantes!$G$11:$P$120,9,0)*H228</f>
        <v>3.3769770681141422E-4</v>
      </c>
      <c r="I260" s="2828">
        <f>VLOOKUP($C260,Constantes!$G$11:$P$120,9,0)*I228</f>
        <v>3.9705856036259518E-4</v>
      </c>
      <c r="J260" s="2828">
        <f>VLOOKUP($C260,Constantes!$G$11:$P$120,9,0)*J228</f>
        <v>4.5853425083799948E-4</v>
      </c>
      <c r="K260" s="2828">
        <f>VLOOKUP($C260,Constantes!$G$11:$P$120,9,0)*K228</f>
        <v>5.2203876582060816E-4</v>
      </c>
      <c r="L260" s="2828">
        <f>VLOOKUP($C260,Constantes!$G$11:$P$120,9,0)*L228</f>
        <v>5.8938266248947447E-4</v>
      </c>
      <c r="M260" s="2828">
        <f>VLOOKUP($C260,Constantes!$G$11:$P$120,9,0)*M228</f>
        <v>6.3161573130438063E-4</v>
      </c>
    </row>
    <row r="261" spans="1:13" customFormat="1" outlineLevel="1" x14ac:dyDescent="0.25">
      <c r="A261" s="853"/>
      <c r="B261" s="888"/>
      <c r="C261" s="2689"/>
      <c r="E261" s="2948"/>
      <c r="F261" s="80"/>
      <c r="G261" s="80"/>
      <c r="H261" s="80"/>
      <c r="I261" s="80"/>
      <c r="J261" s="80"/>
      <c r="K261" s="80"/>
      <c r="L261" s="80"/>
      <c r="M261" s="80"/>
    </row>
    <row r="262" spans="1:13" customFormat="1" outlineLevel="1" x14ac:dyDescent="0.25">
      <c r="A262" s="853"/>
      <c r="B262" s="853" t="s">
        <v>401</v>
      </c>
      <c r="C262" s="2689"/>
      <c r="E262" s="2948"/>
      <c r="F262" s="80"/>
      <c r="G262" s="80"/>
      <c r="H262" s="80"/>
      <c r="I262" s="80"/>
      <c r="J262" s="80"/>
      <c r="K262" s="80"/>
      <c r="L262" s="80"/>
      <c r="M262" s="80"/>
    </row>
    <row r="263" spans="1:13" customFormat="1" outlineLevel="1" x14ac:dyDescent="0.25">
      <c r="A263" s="853"/>
      <c r="B263" t="s">
        <v>1724</v>
      </c>
      <c r="C263" s="2689" t="str">
        <f t="shared" ref="C263:C270" si="30">CONCATENATE(B263,"_",$C$240)</f>
        <v>V.042_CPR</v>
      </c>
      <c r="D263" t="s">
        <v>334</v>
      </c>
      <c r="E263" s="2948" t="s">
        <v>1895</v>
      </c>
      <c r="F263" s="2984">
        <f>VLOOKUP($C263,Constantes!$G$13:$P$120,10,0)*F220</f>
        <v>7.0879331506210523E-3</v>
      </c>
      <c r="G263" s="2984">
        <f>VLOOKUP($C263,Constantes!$G$13:$P$120,10,0)*G220</f>
        <v>7.9679780291803705E-3</v>
      </c>
      <c r="H263" s="2984">
        <f>VLOOKUP($C263,Constantes!$G$13:$P$120,10,0)*H220</f>
        <v>9.4301607456456823E-3</v>
      </c>
      <c r="I263" s="2984">
        <f>VLOOKUP($C263,Constantes!$G$13:$P$120,10,0)*I220</f>
        <v>1.1153996482434756E-2</v>
      </c>
      <c r="J263" s="2984">
        <f>VLOOKUP($C263,Constantes!$G$13:$P$120,10,0)*J220</f>
        <v>1.293493593825305E-2</v>
      </c>
      <c r="K263" s="2984">
        <f>VLOOKUP($C263,Constantes!$G$13:$P$120,10,0)*K220</f>
        <v>1.4781614239416969E-2</v>
      </c>
      <c r="L263" s="2984">
        <f>VLOOKUP($C263,Constantes!$G$13:$P$120,10,0)*L220</f>
        <v>1.6730646640557588E-2</v>
      </c>
      <c r="M263" s="2984">
        <f>VLOOKUP($C263,Constantes!$G$13:$P$120,10,0)*M220</f>
        <v>1.7925814501162214E-2</v>
      </c>
    </row>
    <row r="264" spans="1:13" customFormat="1" outlineLevel="1" x14ac:dyDescent="0.25">
      <c r="A264" s="853"/>
      <c r="B264" t="s">
        <v>1739</v>
      </c>
      <c r="C264" s="2689" t="str">
        <f t="shared" si="30"/>
        <v>V.056_CPR</v>
      </c>
      <c r="D264" t="s">
        <v>499</v>
      </c>
      <c r="E264" s="2948" t="s">
        <v>1895</v>
      </c>
      <c r="F264" s="2984">
        <f>VLOOKUP($C264,Constantes!$G$13:$P$120,10,0)*F222</f>
        <v>1.5301743445639237E-5</v>
      </c>
      <c r="G264" s="2984">
        <f>VLOOKUP($C264,Constantes!$G$13:$P$120,10,0)*G222</f>
        <v>1.7004097820464692E-5</v>
      </c>
      <c r="H264" s="2984">
        <f>VLOOKUP($C264,Constantes!$G$13:$P$120,10,0)*H222</f>
        <v>1.9623371950620804E-5</v>
      </c>
      <c r="I264" s="2984">
        <f>VLOOKUP($C264,Constantes!$G$13:$P$120,10,0)*I222</f>
        <v>2.2713554855048498E-5</v>
      </c>
      <c r="J264" s="2984">
        <f>VLOOKUP($C264,Constantes!$G$13:$P$120,10,0)*J222</f>
        <v>2.5894471448767337E-5</v>
      </c>
      <c r="K264" s="2984">
        <f>VLOOKUP($C264,Constantes!$G$13:$P$120,10,0)*K222</f>
        <v>2.9162875392845814E-5</v>
      </c>
      <c r="L264" s="2984">
        <f>VLOOKUP($C264,Constantes!$G$13:$P$120,10,0)*L222</f>
        <v>3.2614666332462842E-5</v>
      </c>
      <c r="M264" s="2984">
        <f>VLOOKUP($C264,Constantes!$G$13:$P$120,10,0)*M222</f>
        <v>3.4867087755091419E-5</v>
      </c>
    </row>
    <row r="265" spans="1:13" customFormat="1" outlineLevel="1" x14ac:dyDescent="0.25">
      <c r="A265" s="853"/>
      <c r="B265" t="s">
        <v>1732</v>
      </c>
      <c r="C265" s="2689" t="str">
        <f t="shared" si="30"/>
        <v>V.051_CPR</v>
      </c>
      <c r="D265" t="s">
        <v>491</v>
      </c>
      <c r="E265" s="2948" t="s">
        <v>1895</v>
      </c>
      <c r="F265" s="2984">
        <f>VLOOKUP($C265,Constantes!$G$13:$P$120,10,0)*F223</f>
        <v>2.2123475448281669E-4</v>
      </c>
      <c r="G265" s="2984">
        <f>VLOOKUP($C265,Constantes!$G$13:$P$120,10,0)*G223</f>
        <v>2.5061697831282105E-4</v>
      </c>
      <c r="H265" s="2984">
        <f>VLOOKUP($C265,Constantes!$G$13:$P$120,10,0)*H223</f>
        <v>2.8957556948772155E-4</v>
      </c>
      <c r="I265" s="2984">
        <f>VLOOKUP($C265,Constantes!$G$13:$P$120,10,0)*I223</f>
        <v>3.3572360032191518E-4</v>
      </c>
      <c r="J265" s="2984">
        <f>VLOOKUP($C265,Constantes!$G$13:$P$120,10,0)*J223</f>
        <v>3.8328244380907638E-4</v>
      </c>
      <c r="K265" s="2984">
        <f>VLOOKUP($C265,Constantes!$G$13:$P$120,10,0)*K223</f>
        <v>4.3217942619753959E-4</v>
      </c>
      <c r="L265" s="2984">
        <f>VLOOKUP($C265,Constantes!$G$13:$P$120,10,0)*L223</f>
        <v>4.8384532393820872E-4</v>
      </c>
      <c r="M265" s="2984">
        <f>VLOOKUP($C265,Constantes!$G$13:$P$120,10,0)*M223</f>
        <v>5.1740146228402076E-4</v>
      </c>
    </row>
    <row r="266" spans="1:13" customFormat="1" outlineLevel="1" x14ac:dyDescent="0.25">
      <c r="A266" s="853"/>
      <c r="B266" t="s">
        <v>1735</v>
      </c>
      <c r="C266" s="2689" t="str">
        <f t="shared" si="30"/>
        <v>V.052_CPR</v>
      </c>
      <c r="D266" t="s">
        <v>510</v>
      </c>
      <c r="E266" s="2948" t="s">
        <v>1895</v>
      </c>
      <c r="F266" s="2984">
        <f>VLOOKUP($C266,Constantes!$G$13:$P$120,10,0)*F224</f>
        <v>2.2615493683331197E-4</v>
      </c>
      <c r="G266" s="2984">
        <f>VLOOKUP($C266,Constantes!$G$13:$P$120,10,0)*G224</f>
        <v>2.5114704523789352E-4</v>
      </c>
      <c r="H266" s="2984">
        <f>VLOOKUP($C266,Constantes!$G$13:$P$120,10,0)*H224</f>
        <v>2.8962366008202238E-4</v>
      </c>
      <c r="I266" s="2984">
        <f>VLOOKUP($C266,Constantes!$G$13:$P$120,10,0)*I224</f>
        <v>3.3501475137076347E-4</v>
      </c>
      <c r="J266" s="2984">
        <f>VLOOKUP($C266,Constantes!$G$13:$P$120,10,0)*J224</f>
        <v>3.8172554113289909E-4</v>
      </c>
      <c r="K266" s="2984">
        <f>VLOOKUP($C266,Constantes!$G$13:$P$120,10,0)*K224</f>
        <v>4.2970917583393207E-4</v>
      </c>
      <c r="L266" s="2984">
        <f>VLOOKUP($C266,Constantes!$G$13:$P$120,10,0)*L224</f>
        <v>4.8037541816650122E-4</v>
      </c>
      <c r="M266" s="2984">
        <f>VLOOKUP($C266,Constantes!$G$13:$P$120,10,0)*M224</f>
        <v>5.1349716603317703E-4</v>
      </c>
    </row>
    <row r="267" spans="1:13" customFormat="1" outlineLevel="1" x14ac:dyDescent="0.25">
      <c r="A267" s="853"/>
      <c r="B267" t="s">
        <v>1727</v>
      </c>
      <c r="C267" s="2689" t="str">
        <f t="shared" si="30"/>
        <v>V.045_CPR</v>
      </c>
      <c r="D267" t="s">
        <v>494</v>
      </c>
      <c r="E267" s="2948" t="s">
        <v>1895</v>
      </c>
      <c r="F267" s="2984">
        <f>VLOOKUP($C267,Constantes!$G$13:$P$120,10,0)*F225</f>
        <v>1.3397530721040373E-5</v>
      </c>
      <c r="G267" s="2984">
        <f>VLOOKUP($C267,Constantes!$G$13:$P$120,10,0)*G225</f>
        <v>1.514001446133133E-5</v>
      </c>
      <c r="H267" s="2984">
        <f>VLOOKUP($C267,Constantes!$G$13:$P$120,10,0)*H225</f>
        <v>1.7786129594356973E-5</v>
      </c>
      <c r="I267" s="2984">
        <f>VLOOKUP($C267,Constantes!$G$13:$P$120,10,0)*I225</f>
        <v>2.0912593922652099E-5</v>
      </c>
      <c r="J267" s="2984">
        <f>VLOOKUP($C267,Constantes!$G$13:$P$120,10,0)*J225</f>
        <v>2.4150444152735916E-5</v>
      </c>
      <c r="K267" s="2984">
        <f>VLOOKUP($C267,Constantes!$G$13:$P$120,10,0)*K225</f>
        <v>2.7495150114681424E-5</v>
      </c>
      <c r="L267" s="2984">
        <f>VLOOKUP($C267,Constantes!$G$13:$P$120,10,0)*L225</f>
        <v>3.1042071664285968E-5</v>
      </c>
      <c r="M267" s="2984">
        <f>VLOOKUP($C267,Constantes!$G$13:$P$120,10,0)*M225</f>
        <v>3.3266436295606363E-5</v>
      </c>
    </row>
    <row r="268" spans="1:13" customFormat="1" outlineLevel="1" x14ac:dyDescent="0.25">
      <c r="A268" s="853"/>
      <c r="B268" t="s">
        <v>1729</v>
      </c>
      <c r="C268" s="2689" t="str">
        <f t="shared" si="30"/>
        <v>V.047_CPR</v>
      </c>
      <c r="D268" t="s">
        <v>2067</v>
      </c>
      <c r="E268" s="2948" t="s">
        <v>1895</v>
      </c>
      <c r="F268" s="2984">
        <f>VLOOKUP($C268,Constantes!$G$13:$P$120,10,0)*F226</f>
        <v>1.0821443694094843E-3</v>
      </c>
      <c r="G268" s="2984">
        <f>VLOOKUP($C268,Constantes!$G$13:$P$120,10,0)*G226</f>
        <v>7.4788172602433781E-4</v>
      </c>
      <c r="H268" s="2984">
        <f>VLOOKUP($C268,Constantes!$G$13:$P$120,10,0)*H226</f>
        <v>7.9603481212425396E-4</v>
      </c>
      <c r="I268" s="2984">
        <f>VLOOKUP($C268,Constantes!$G$13:$P$120,10,0)*I226</f>
        <v>8.5185968313062157E-4</v>
      </c>
      <c r="J268" s="2984">
        <f>VLOOKUP($C268,Constantes!$G$13:$P$120,10,0)*J226</f>
        <v>9.0514098710130241E-4</v>
      </c>
      <c r="K268" s="2984">
        <f>VLOOKUP($C268,Constantes!$G$13:$P$120,10,0)*K226</f>
        <v>9.560860948364296E-4</v>
      </c>
      <c r="L268" s="2984">
        <f>VLOOKUP($C268,Constantes!$G$13:$P$120,10,0)*L226</f>
        <v>1.0067831651766335E-3</v>
      </c>
      <c r="M268" s="2984">
        <f>VLOOKUP($C268,Constantes!$G$13:$P$120,10,0)*M226</f>
        <v>1.0591123555995455E-3</v>
      </c>
    </row>
    <row r="269" spans="1:13" customFormat="1" outlineLevel="1" x14ac:dyDescent="0.25">
      <c r="A269" s="853"/>
      <c r="B269" t="s">
        <v>1741</v>
      </c>
      <c r="C269" s="2689" t="str">
        <f t="shared" si="30"/>
        <v>V.058_CPR</v>
      </c>
      <c r="D269" t="s">
        <v>509</v>
      </c>
      <c r="E269" s="2948" t="s">
        <v>1895</v>
      </c>
      <c r="F269" s="2984">
        <f>VLOOKUP($C269,Constantes!$G$13:$P$120,10,0)*F227</f>
        <v>0</v>
      </c>
      <c r="G269" s="2984">
        <f>VLOOKUP($C269,Constantes!$G$13:$P$120,10,0)*G227</f>
        <v>0</v>
      </c>
      <c r="H269" s="2984">
        <f>VLOOKUP($C269,Constantes!$G$13:$P$120,10,0)*H227</f>
        <v>0</v>
      </c>
      <c r="I269" s="2984">
        <f>VLOOKUP($C269,Constantes!$G$13:$P$120,10,0)*I227</f>
        <v>0</v>
      </c>
      <c r="J269" s="2984">
        <f>VLOOKUP($C269,Constantes!$G$13:$P$120,10,0)*J227</f>
        <v>0</v>
      </c>
      <c r="K269" s="2984">
        <f>VLOOKUP($C269,Constantes!$G$13:$P$120,10,0)*K227</f>
        <v>0</v>
      </c>
      <c r="L269" s="2984">
        <f>VLOOKUP($C269,Constantes!$G$13:$P$120,10,0)*L227</f>
        <v>0</v>
      </c>
      <c r="M269" s="2984">
        <f>VLOOKUP($C269,Constantes!$G$13:$P$120,10,0)*M227</f>
        <v>0</v>
      </c>
    </row>
    <row r="270" spans="1:13" customFormat="1" outlineLevel="1" x14ac:dyDescent="0.25">
      <c r="A270" s="853"/>
      <c r="B270" t="s">
        <v>1725</v>
      </c>
      <c r="C270" s="2689" t="str">
        <f t="shared" si="30"/>
        <v>V.043_CPR</v>
      </c>
      <c r="D270" t="s">
        <v>2068</v>
      </c>
      <c r="E270" s="2948" t="s">
        <v>1895</v>
      </c>
      <c r="F270" s="2984">
        <f>VLOOKUP($C270,Constantes!$G$13:$P$120,10,0)*F228</f>
        <v>1.0728667240298823E-3</v>
      </c>
      <c r="G270" s="2984">
        <f>VLOOKUP($C270,Constantes!$G$13:$P$120,10,0)*G228</f>
        <v>1.2124038418052784E-3</v>
      </c>
      <c r="H270" s="2984">
        <f>VLOOKUP($C270,Constantes!$G$13:$P$120,10,0)*H228</f>
        <v>1.4243032532182097E-3</v>
      </c>
      <c r="I270" s="2984">
        <f>VLOOKUP($C270,Constantes!$G$13:$P$120,10,0)*I228</f>
        <v>1.6746687579918982E-3</v>
      </c>
      <c r="J270" s="2984">
        <f>VLOOKUP($C270,Constantes!$G$13:$P$120,10,0)*J228</f>
        <v>1.9339539831262564E-3</v>
      </c>
      <c r="K270" s="2984">
        <f>VLOOKUP($C270,Constantes!$G$13:$P$120,10,0)*K228</f>
        <v>2.2017961551617487E-3</v>
      </c>
      <c r="L270" s="2984">
        <f>VLOOKUP($C270,Constantes!$G$13:$P$120,10,0)*L228</f>
        <v>2.4858316377107089E-3</v>
      </c>
      <c r="M270" s="2984">
        <f>VLOOKUP($C270,Constantes!$G$13:$P$120,10,0)*M228</f>
        <v>2.6639575061817413E-3</v>
      </c>
    </row>
    <row r="271" spans="1:13" customFormat="1" outlineLevel="1" x14ac:dyDescent="0.25">
      <c r="A271" s="853"/>
      <c r="B271" s="853"/>
      <c r="C271" s="888"/>
      <c r="E271" s="2948"/>
      <c r="F271" s="80"/>
      <c r="G271" s="80"/>
      <c r="H271" s="80"/>
      <c r="I271" s="80"/>
      <c r="J271" s="80"/>
      <c r="K271" s="80"/>
      <c r="L271" s="80"/>
      <c r="M271" s="80"/>
    </row>
    <row r="272" spans="1:13" customFormat="1" outlineLevel="1" x14ac:dyDescent="0.25">
      <c r="A272" s="853"/>
      <c r="B272" s="853"/>
      <c r="C272" s="751" t="s">
        <v>118</v>
      </c>
      <c r="D272" s="751" t="s">
        <v>398</v>
      </c>
      <c r="E272" s="2948" t="s">
        <v>1895</v>
      </c>
      <c r="F272" s="2984">
        <f>SUM(F243:F250)</f>
        <v>1.9936177491322256</v>
      </c>
      <c r="G272" s="2984">
        <f t="shared" ref="G272:M272" si="31">SUM(G243:G250)</f>
        <v>2.1848203265545125</v>
      </c>
      <c r="H272" s="2984">
        <f t="shared" si="31"/>
        <v>2.5451708096008505</v>
      </c>
      <c r="I272" s="2984">
        <f t="shared" si="31"/>
        <v>2.9704238214216696</v>
      </c>
      <c r="J272" s="2984">
        <f t="shared" si="31"/>
        <v>3.4087339568752841</v>
      </c>
      <c r="K272" s="2984">
        <f t="shared" si="31"/>
        <v>3.8608786025054229</v>
      </c>
      <c r="L272" s="2984">
        <f t="shared" si="31"/>
        <v>4.3380608007025785</v>
      </c>
      <c r="M272" s="2984">
        <f t="shared" si="31"/>
        <v>4.641400060860434</v>
      </c>
    </row>
    <row r="273" spans="1:14" customFormat="1" outlineLevel="1" x14ac:dyDescent="0.25">
      <c r="A273" s="853"/>
      <c r="B273" s="853"/>
      <c r="C273" s="751"/>
      <c r="D273" s="751" t="s">
        <v>400</v>
      </c>
      <c r="E273" s="2948" t="s">
        <v>1895</v>
      </c>
      <c r="F273" s="2984">
        <f>SUM(F253:F260)</f>
        <v>3.535532874124077E-3</v>
      </c>
      <c r="G273" s="2984">
        <f t="shared" ref="G273:M273" si="32">SUM(G253:G260)</f>
        <v>3.9635160615492816E-3</v>
      </c>
      <c r="H273" s="2984">
        <f t="shared" si="32"/>
        <v>4.6353908504340518E-3</v>
      </c>
      <c r="I273" s="2984">
        <f t="shared" si="32"/>
        <v>5.4284615105026982E-3</v>
      </c>
      <c r="J273" s="2984">
        <f t="shared" si="32"/>
        <v>6.2468246260238653E-3</v>
      </c>
      <c r="K273" s="2984">
        <f t="shared" si="32"/>
        <v>7.0920240962422543E-3</v>
      </c>
      <c r="L273" s="2984">
        <f t="shared" si="32"/>
        <v>7.9846408677788014E-3</v>
      </c>
      <c r="M273" s="2984">
        <f t="shared" si="32"/>
        <v>8.5471156031807875E-3</v>
      </c>
    </row>
    <row r="274" spans="1:14" customFormat="1" outlineLevel="1" x14ac:dyDescent="0.25">
      <c r="A274" s="853"/>
      <c r="B274" s="853"/>
      <c r="C274" s="751"/>
      <c r="D274" s="751" t="s">
        <v>401</v>
      </c>
      <c r="E274" s="2948" t="s">
        <v>1895</v>
      </c>
      <c r="F274" s="2984">
        <f>SUM(F263:F270)</f>
        <v>9.719033209543225E-3</v>
      </c>
      <c r="G274" s="2984">
        <f t="shared" ref="G274:M274" si="33">SUM(G263:G270)</f>
        <v>1.04621717328425E-2</v>
      </c>
      <c r="H274" s="2984">
        <f t="shared" si="33"/>
        <v>1.2267107542102869E-2</v>
      </c>
      <c r="I274" s="2984">
        <f t="shared" si="33"/>
        <v>1.4394889424027654E-2</v>
      </c>
      <c r="J274" s="2984">
        <f t="shared" si="33"/>
        <v>1.6589083809024088E-2</v>
      </c>
      <c r="K274" s="2984">
        <f t="shared" si="33"/>
        <v>1.8858043116954146E-2</v>
      </c>
      <c r="L274" s="2984">
        <f t="shared" si="33"/>
        <v>2.1251138923546388E-2</v>
      </c>
      <c r="M274" s="2984">
        <f t="shared" si="33"/>
        <v>2.2747916515311401E-2</v>
      </c>
    </row>
    <row r="275" spans="1:14" customFormat="1" outlineLevel="1" x14ac:dyDescent="0.25">
      <c r="A275" s="853"/>
      <c r="B275" s="853"/>
      <c r="C275" s="751"/>
      <c r="D275" s="751"/>
      <c r="E275" s="2948"/>
      <c r="F275" s="888"/>
      <c r="G275" s="888"/>
      <c r="H275" s="80"/>
      <c r="I275" s="80"/>
      <c r="J275" s="80"/>
      <c r="K275" s="80"/>
      <c r="L275" s="80"/>
      <c r="M275" s="80"/>
    </row>
    <row r="276" spans="1:14" customFormat="1" outlineLevel="1" x14ac:dyDescent="0.25">
      <c r="A276" s="853"/>
      <c r="B276" s="853"/>
      <c r="C276" s="751"/>
      <c r="D276" s="751" t="s">
        <v>118</v>
      </c>
      <c r="E276" s="2948" t="s">
        <v>1895</v>
      </c>
      <c r="F276" s="2985">
        <f>SUM(F272:F274)</f>
        <v>2.0068723152158929</v>
      </c>
      <c r="G276" s="2985">
        <f t="shared" ref="G276:M276" si="34">SUM(G272:G274)</f>
        <v>2.1992460143489043</v>
      </c>
      <c r="H276" s="2985">
        <f t="shared" si="34"/>
        <v>2.5620733079933875</v>
      </c>
      <c r="I276" s="2985">
        <f t="shared" si="34"/>
        <v>2.9902471723562001</v>
      </c>
      <c r="J276" s="2985">
        <f t="shared" si="34"/>
        <v>3.4315698653103319</v>
      </c>
      <c r="K276" s="2985">
        <f t="shared" si="34"/>
        <v>3.8868286697186196</v>
      </c>
      <c r="L276" s="2985">
        <f t="shared" si="34"/>
        <v>4.3672965804939041</v>
      </c>
      <c r="M276" s="2985">
        <f t="shared" si="34"/>
        <v>4.6726950929789259</v>
      </c>
    </row>
    <row r="277" spans="1:14" customFormat="1" outlineLevel="1" x14ac:dyDescent="0.25">
      <c r="A277" s="853"/>
      <c r="B277" s="853"/>
      <c r="F277" s="80"/>
      <c r="G277" s="80"/>
      <c r="H277" s="80"/>
      <c r="I277" s="80"/>
      <c r="J277" s="80"/>
      <c r="K277" s="80"/>
      <c r="L277" s="80"/>
      <c r="M277" s="80"/>
    </row>
    <row r="278" spans="1:14" customFormat="1" x14ac:dyDescent="0.25">
      <c r="A278" s="853"/>
      <c r="B278" s="853"/>
      <c r="F278" s="80"/>
      <c r="G278" s="80"/>
      <c r="H278" s="80"/>
      <c r="I278" s="80"/>
      <c r="J278" s="80"/>
      <c r="K278" s="80"/>
      <c r="L278" s="80"/>
      <c r="M278" s="80"/>
    </row>
    <row r="279" spans="1:14" customFormat="1" ht="12.75" x14ac:dyDescent="0.2"/>
    <row r="281" spans="1:14" ht="15.75" x14ac:dyDescent="0.25">
      <c r="B281" s="752" t="s">
        <v>181</v>
      </c>
      <c r="C281" s="753"/>
      <c r="D281" s="753"/>
      <c r="E281" s="753"/>
      <c r="F281" s="753"/>
      <c r="G281" s="753"/>
      <c r="H281" s="753"/>
      <c r="I281" s="753"/>
      <c r="J281" s="753"/>
      <c r="K281" s="753"/>
      <c r="L281" s="753"/>
      <c r="M281" s="753"/>
      <c r="N281" s="753"/>
    </row>
    <row r="282" spans="1:14" x14ac:dyDescent="0.25">
      <c r="B282" s="754"/>
      <c r="C282" s="754"/>
      <c r="D282" s="754"/>
      <c r="E282" s="754"/>
      <c r="F282" s="754"/>
      <c r="G282" s="754"/>
      <c r="H282" s="754"/>
      <c r="I282" s="754"/>
      <c r="J282" s="754"/>
      <c r="K282" s="754"/>
      <c r="L282" s="754"/>
      <c r="M282" s="754"/>
      <c r="N282" s="754"/>
    </row>
    <row r="283" spans="1:14" x14ac:dyDescent="0.25">
      <c r="B283" s="754"/>
      <c r="C283" s="951" t="s">
        <v>241</v>
      </c>
      <c r="D283" s="754"/>
      <c r="E283" s="754"/>
      <c r="F283" s="754"/>
      <c r="G283" s="754"/>
      <c r="H283" s="754"/>
      <c r="I283" s="754"/>
      <c r="J283" s="754"/>
      <c r="K283" s="754"/>
      <c r="L283" s="754"/>
      <c r="M283" s="754"/>
      <c r="N283" s="754"/>
    </row>
    <row r="284" spans="1:14" x14ac:dyDescent="0.25">
      <c r="B284" s="754"/>
      <c r="C284" s="754"/>
      <c r="D284" s="754"/>
      <c r="E284" s="754"/>
      <c r="F284" s="754"/>
      <c r="G284" s="754"/>
      <c r="H284" s="754"/>
      <c r="I284" s="754"/>
      <c r="J284" s="754"/>
      <c r="K284" s="754"/>
      <c r="L284" s="754"/>
      <c r="M284" s="754"/>
      <c r="N284" s="754"/>
    </row>
    <row r="285" spans="1:14" x14ac:dyDescent="0.25">
      <c r="B285" s="754"/>
      <c r="C285" s="1926" t="s">
        <v>146</v>
      </c>
      <c r="D285" s="1927" t="s">
        <v>242</v>
      </c>
      <c r="E285" s="1927" t="s">
        <v>8</v>
      </c>
      <c r="F285" s="1927" t="s">
        <v>16</v>
      </c>
      <c r="G285" s="1927" t="s">
        <v>17</v>
      </c>
      <c r="H285" s="1927" t="s">
        <v>18</v>
      </c>
      <c r="I285" s="1927" t="s">
        <v>19</v>
      </c>
      <c r="J285" s="1927" t="s">
        <v>20</v>
      </c>
      <c r="K285" s="1927" t="s">
        <v>21</v>
      </c>
      <c r="L285" s="1927" t="s">
        <v>22</v>
      </c>
      <c r="M285" s="1928" t="s">
        <v>23</v>
      </c>
      <c r="N285" s="754"/>
    </row>
    <row r="286" spans="1:14" x14ac:dyDescent="0.25">
      <c r="B286" s="754"/>
      <c r="C286" s="755" t="s">
        <v>454</v>
      </c>
      <c r="D286" s="754" t="str">
        <f>INDEX(Vectors[Descripción], MATCH(C286,Vectors[Código],FALSE))</f>
        <v>Climatización</v>
      </c>
      <c r="E286" s="754"/>
      <c r="F286" s="1925">
        <f>F191</f>
        <v>7.5290293664292438</v>
      </c>
      <c r="G286" s="1925">
        <f t="shared" ref="G286:M286" si="35">G191</f>
        <v>8.3971698572669791</v>
      </c>
      <c r="H286" s="1925">
        <f t="shared" si="35"/>
        <v>9.7286796842853445</v>
      </c>
      <c r="I286" s="1925">
        <f t="shared" si="35"/>
        <v>11.300135239617326</v>
      </c>
      <c r="J286" s="1925">
        <f t="shared" si="35"/>
        <v>12.920104033355896</v>
      </c>
      <c r="K286" s="1925">
        <f t="shared" si="35"/>
        <v>14.586784323279518</v>
      </c>
      <c r="L286" s="1925">
        <f t="shared" si="35"/>
        <v>16.348742358853933</v>
      </c>
      <c r="M286" s="1925">
        <f t="shared" si="35"/>
        <v>17.487568659698969</v>
      </c>
      <c r="N286" s="754"/>
    </row>
    <row r="287" spans="1:14" x14ac:dyDescent="0.25">
      <c r="B287" s="754"/>
      <c r="C287" s="755" t="s">
        <v>1007</v>
      </c>
      <c r="D287" s="754" t="str">
        <f>INDEX(Vectors[Descripción], MATCH(C287,Vectors[Código],FALSE))</f>
        <v>Iluminación</v>
      </c>
      <c r="E287" s="754"/>
      <c r="F287" s="1925">
        <f>F234</f>
        <v>6.0835198978170633</v>
      </c>
      <c r="G287" s="1925">
        <f t="shared" ref="G287:M287" si="36">G234</f>
        <v>6.8110179586357322</v>
      </c>
      <c r="H287" s="1925">
        <f t="shared" si="36"/>
        <v>7.9233383342976058</v>
      </c>
      <c r="I287" s="1925">
        <f t="shared" si="36"/>
        <v>9.2365667166874843</v>
      </c>
      <c r="J287" s="1925">
        <f t="shared" si="36"/>
        <v>10.59229446312562</v>
      </c>
      <c r="K287" s="1925">
        <f t="shared" si="36"/>
        <v>11.988891372883668</v>
      </c>
      <c r="L287" s="1925">
        <f t="shared" si="36"/>
        <v>13.466776602324474</v>
      </c>
      <c r="M287" s="1925">
        <f t="shared" si="36"/>
        <v>14.413018636064249</v>
      </c>
      <c r="N287" s="754"/>
    </row>
    <row r="288" spans="1:14" x14ac:dyDescent="0.25">
      <c r="B288" s="754"/>
      <c r="C288" s="755" t="s">
        <v>1008</v>
      </c>
      <c r="D288" s="754" t="str">
        <f>INDEX(Vectors[Descripción], MATCH(C288,Vectors[Código],FALSE))</f>
        <v>Refrigeración</v>
      </c>
      <c r="E288" s="754"/>
      <c r="F288" s="1925">
        <f>F197*(1-F41)</f>
        <v>0.50816297239657438</v>
      </c>
      <c r="G288" s="1925">
        <f t="shared" ref="G288:M288" si="37">G197*(1-G41)</f>
        <v>0.56752222365208027</v>
      </c>
      <c r="H288" s="1925">
        <f t="shared" si="37"/>
        <v>0.65846217395316775</v>
      </c>
      <c r="I288" s="1925">
        <f t="shared" si="37"/>
        <v>0.76580358943224336</v>
      </c>
      <c r="J288" s="1925">
        <f t="shared" si="37"/>
        <v>0.87651634541639944</v>
      </c>
      <c r="K288" s="1925">
        <f t="shared" si="37"/>
        <v>0.99047371036360865</v>
      </c>
      <c r="L288" s="1925">
        <f t="shared" si="37"/>
        <v>1.1109882051473137</v>
      </c>
      <c r="M288" s="1925">
        <f t="shared" si="37"/>
        <v>1.1886178856086362</v>
      </c>
      <c r="N288" s="754"/>
    </row>
    <row r="289" spans="2:14" x14ac:dyDescent="0.25">
      <c r="B289" s="754"/>
      <c r="C289" s="755" t="s">
        <v>1009</v>
      </c>
      <c r="D289" s="754" t="str">
        <f>INDEX(Vectors[Descripción], MATCH(C289,Vectors[Código],FALSE))</f>
        <v>ACS</v>
      </c>
      <c r="E289" s="754"/>
      <c r="F289" s="1925">
        <f>F189</f>
        <v>1.3546496655725258</v>
      </c>
      <c r="G289" s="1925">
        <f t="shared" ref="G289:M289" si="38">G189</f>
        <v>1.4720866873459215</v>
      </c>
      <c r="H289" s="1925">
        <f t="shared" si="38"/>
        <v>1.6573860095857387</v>
      </c>
      <c r="I289" s="1925">
        <f t="shared" si="38"/>
        <v>1.8753902203101234</v>
      </c>
      <c r="J289" s="1925">
        <f t="shared" si="38"/>
        <v>2.0972092117614558</v>
      </c>
      <c r="K289" s="1925">
        <f t="shared" si="38"/>
        <v>2.3227784466493242</v>
      </c>
      <c r="L289" s="1925">
        <f t="shared" si="38"/>
        <v>2.5590833328291835</v>
      </c>
      <c r="M289" s="1925">
        <f t="shared" si="38"/>
        <v>2.7251821128442231</v>
      </c>
      <c r="N289" s="754"/>
    </row>
    <row r="290" spans="2:14" x14ac:dyDescent="0.25">
      <c r="B290" s="754"/>
      <c r="C290" s="755" t="s">
        <v>1010</v>
      </c>
      <c r="D290" s="754" t="str">
        <f>INDEX(Vectors[Descripción], MATCH(C290,Vectors[Código],FALSE))</f>
        <v>Cocción</v>
      </c>
      <c r="E290" s="754"/>
      <c r="F290" s="1925">
        <f>F192</f>
        <v>0.68588479913784972</v>
      </c>
      <c r="G290" s="1925">
        <f t="shared" ref="G290:M290" si="39">G192</f>
        <v>0.75337074150899574</v>
      </c>
      <c r="H290" s="1925">
        <f t="shared" si="39"/>
        <v>0.85842762114198679</v>
      </c>
      <c r="I290" s="1925">
        <f t="shared" si="39"/>
        <v>0.9822107171921044</v>
      </c>
      <c r="J290" s="1925">
        <f t="shared" si="39"/>
        <v>1.1089426928744572</v>
      </c>
      <c r="K290" s="1925">
        <f t="shared" si="39"/>
        <v>1.2385371155655589</v>
      </c>
      <c r="L290" s="1925">
        <f t="shared" si="39"/>
        <v>1.3748937342581702</v>
      </c>
      <c r="M290" s="1925">
        <f t="shared" si="39"/>
        <v>1.467026534291678</v>
      </c>
      <c r="N290" s="754"/>
    </row>
    <row r="291" spans="2:14" x14ac:dyDescent="0.25">
      <c r="B291" s="754"/>
      <c r="C291" s="755" t="s">
        <v>1011</v>
      </c>
      <c r="D291" s="754" t="str">
        <f>INDEX(Vectors[Descripción], MATCH(C291,Vectors[Código],FALSE))</f>
        <v>Otros Electrodomésticos</v>
      </c>
      <c r="E291" s="754"/>
      <c r="F291" s="1925">
        <f>F230-SUM(F286:F290)</f>
        <v>3.9031243949365226</v>
      </c>
      <c r="G291" s="1925">
        <f t="shared" ref="G291:M291" si="40">G230-SUM(G286:G290)</f>
        <v>4.2954113521328523</v>
      </c>
      <c r="H291" s="1925">
        <f t="shared" si="40"/>
        <v>4.9048013539975912</v>
      </c>
      <c r="I291" s="1925">
        <f t="shared" si="40"/>
        <v>5.6229829501092006</v>
      </c>
      <c r="J291" s="1925">
        <f t="shared" si="40"/>
        <v>6.3589912558184416</v>
      </c>
      <c r="K291" s="1925">
        <f t="shared" si="40"/>
        <v>7.1122791620926584</v>
      </c>
      <c r="L291" s="1925">
        <f t="shared" si="40"/>
        <v>7.9054117444530903</v>
      </c>
      <c r="M291" s="1925">
        <f t="shared" si="40"/>
        <v>8.4379638522379636</v>
      </c>
      <c r="N291" s="754"/>
    </row>
    <row r="292" spans="2:14" x14ac:dyDescent="0.25">
      <c r="B292" s="754"/>
      <c r="C292" s="755" t="s">
        <v>149</v>
      </c>
      <c r="D292" s="754" t="str">
        <f>INDEX(Vectors[Descripción], MATCH(C292,Vectors[Código],FALSE))</f>
        <v>Electricidad (consumo final)</v>
      </c>
      <c r="E292" s="754"/>
      <c r="F292" s="1925">
        <f>-F221</f>
        <v>-11.187753955502936</v>
      </c>
      <c r="G292" s="1925">
        <f t="shared" ref="G292:M292" si="41">-G221</f>
        <v>-12.490207379090641</v>
      </c>
      <c r="H292" s="1925">
        <f t="shared" si="41"/>
        <v>-14.458323869284641</v>
      </c>
      <c r="I292" s="1925">
        <f t="shared" si="41"/>
        <v>-16.783008947317473</v>
      </c>
      <c r="J292" s="1925">
        <f t="shared" si="41"/>
        <v>-19.172966395659579</v>
      </c>
      <c r="K292" s="1925">
        <f t="shared" si="41"/>
        <v>-21.641190937652397</v>
      </c>
      <c r="L292" s="1925">
        <f t="shared" si="41"/>
        <v>-24.263650809542185</v>
      </c>
      <c r="M292" s="1925">
        <f t="shared" si="41"/>
        <v>-26.062119503181826</v>
      </c>
      <c r="N292" s="754"/>
    </row>
    <row r="293" spans="2:14" x14ac:dyDescent="0.25">
      <c r="B293" s="754"/>
      <c r="C293" s="755" t="s">
        <v>473</v>
      </c>
      <c r="D293" s="754" t="str">
        <f>INDEX(Vectors[Descripción], MATCH(C293,Vectors[Código],FALSE))</f>
        <v>Biomasa</v>
      </c>
      <c r="E293" s="754"/>
      <c r="F293" s="1925">
        <f>-(F227)</f>
        <v>-0.55269731361784125</v>
      </c>
      <c r="G293" s="1925">
        <f t="shared" ref="G293:M293" si="42">-(G227)</f>
        <v>-0.66966976378528054</v>
      </c>
      <c r="H293" s="1925">
        <f t="shared" si="42"/>
        <v>-0.64197481880835283</v>
      </c>
      <c r="I293" s="1925">
        <f t="shared" si="42"/>
        <v>-0.60578047068513396</v>
      </c>
      <c r="J293" s="1925">
        <f t="shared" si="42"/>
        <v>-0.56945361688760987</v>
      </c>
      <c r="K293" s="1925">
        <f t="shared" si="42"/>
        <v>-0.51304564771015104</v>
      </c>
      <c r="L293" s="1925">
        <f t="shared" si="42"/>
        <v>-0.43906978962822574</v>
      </c>
      <c r="M293" s="1925">
        <f t="shared" si="42"/>
        <v>-0.33311271764073619</v>
      </c>
      <c r="N293" s="754"/>
    </row>
    <row r="294" spans="2:14" x14ac:dyDescent="0.25">
      <c r="B294" s="754"/>
      <c r="C294" s="755" t="s">
        <v>333</v>
      </c>
      <c r="D294" s="754" t="str">
        <f>INDEX(Vectors[Descripción], MATCH(C294,Vectors[Código],FALSE))</f>
        <v>Hidrocarburo Líquido</v>
      </c>
      <c r="E294" s="754"/>
      <c r="F294" s="1925">
        <f>-(F220+F225+F226+F228)</f>
        <v>-4.1614452007220439</v>
      </c>
      <c r="G294" s="1925">
        <f t="shared" ref="G294:M294" si="43">-(G220+G225+G226+G228)</f>
        <v>-4.4711149687751082</v>
      </c>
      <c r="H294" s="1925">
        <f t="shared" si="43"/>
        <v>-5.2467395575756139</v>
      </c>
      <c r="I294" s="1925">
        <f t="shared" si="43"/>
        <v>-6.1609917511880425</v>
      </c>
      <c r="J294" s="1925">
        <f t="shared" si="43"/>
        <v>-7.1038533833247515</v>
      </c>
      <c r="K294" s="1925">
        <f t="shared" si="43"/>
        <v>-8.0791171512350353</v>
      </c>
      <c r="L294" s="1925">
        <f t="shared" si="43"/>
        <v>-9.1076886892744007</v>
      </c>
      <c r="M294" s="1925">
        <f t="shared" si="43"/>
        <v>-9.7497819290894121</v>
      </c>
      <c r="N294" s="754"/>
    </row>
    <row r="295" spans="2:14" x14ac:dyDescent="0.25">
      <c r="B295" s="754"/>
      <c r="C295" s="755" t="s">
        <v>335</v>
      </c>
      <c r="D295" s="754" t="str">
        <f>INDEX(Vectors[Descripción], MATCH(C295,Vectors[Código],FALSE))</f>
        <v>Hidrocarburo Gaseoso</v>
      </c>
      <c r="E295" s="754"/>
      <c r="F295" s="1925">
        <f>-(F222+F223+F224)</f>
        <v>-4.1463122766715843</v>
      </c>
      <c r="G295" s="1925">
        <f t="shared" ref="G295:M295" si="44">-(G222+G223+G224)</f>
        <v>-4.6488317457068904</v>
      </c>
      <c r="H295" s="1925">
        <f t="shared" si="44"/>
        <v>-5.3662231839470103</v>
      </c>
      <c r="I295" s="1925">
        <f t="shared" si="44"/>
        <v>-6.2142238593212458</v>
      </c>
      <c r="J295" s="1925">
        <f t="shared" si="44"/>
        <v>-7.0875065285596239</v>
      </c>
      <c r="K295" s="1925">
        <f t="shared" si="44"/>
        <v>-7.9849709815637224</v>
      </c>
      <c r="L295" s="1925">
        <f t="shared" si="44"/>
        <v>-8.93293149883376</v>
      </c>
      <c r="M295" s="1925">
        <f t="shared" si="44"/>
        <v>-9.5506359975768369</v>
      </c>
      <c r="N295" s="754"/>
    </row>
    <row r="296" spans="2:14" x14ac:dyDescent="0.25">
      <c r="B296" s="754"/>
      <c r="C296" s="3164" t="s">
        <v>315</v>
      </c>
      <c r="D296" s="754" t="str">
        <f>INDEX(Vectors[Descripción], MATCH(C296,Vectors[Código],FALSE))</f>
        <v>Solar</v>
      </c>
      <c r="E296" s="3162"/>
      <c r="F296" s="3163">
        <f>-F229</f>
        <v>-1.6162349775373903E-2</v>
      </c>
      <c r="G296" s="3163">
        <f t="shared" ref="G296:M296" si="45">-G229</f>
        <v>-1.6754963184642015E-2</v>
      </c>
      <c r="H296" s="3163">
        <f t="shared" si="45"/>
        <v>-1.7833747645815943E-2</v>
      </c>
      <c r="I296" s="3163">
        <f t="shared" si="45"/>
        <v>-1.9084404836587632E-2</v>
      </c>
      <c r="J296" s="3163">
        <f t="shared" si="45"/>
        <v>-2.027807792070498E-2</v>
      </c>
      <c r="K296" s="3163">
        <f t="shared" si="45"/>
        <v>-2.1419412673029041E-2</v>
      </c>
      <c r="L296" s="3163">
        <f t="shared" si="45"/>
        <v>-2.2555190587586187E-2</v>
      </c>
      <c r="M296" s="3163">
        <f t="shared" si="45"/>
        <v>-2.3727533256899493E-2</v>
      </c>
      <c r="N296" s="754"/>
    </row>
    <row r="297" spans="2:14" x14ac:dyDescent="0.25">
      <c r="B297" s="754"/>
      <c r="C297" s="3481" t="s">
        <v>118</v>
      </c>
      <c r="D297" s="3482"/>
      <c r="E297" s="3482"/>
      <c r="F297" s="3483">
        <f>SUBTOTAL(109,X.b.Outputs[2015])</f>
        <v>-3.4000580129145419E-16</v>
      </c>
      <c r="G297" s="3483">
        <f>SUBTOTAL(109,X.b.Outputs[2020])</f>
        <v>-2.6992297286199118E-15</v>
      </c>
      <c r="H297" s="3483">
        <f>SUBTOTAL(109,X.b.Outputs[2025])</f>
        <v>4.4096670759330436E-15</v>
      </c>
      <c r="I297" s="3483">
        <f>SUBTOTAL(109,X.b.Outputs[2030])</f>
        <v>-4.3853809472693683E-15</v>
      </c>
      <c r="J297" s="3483">
        <f>SUBTOTAL(109,X.b.Outputs[2035])</f>
        <v>-1.8388068845354155E-16</v>
      </c>
      <c r="K297" s="3483">
        <f>SUBTOTAL(109,X.b.Outputs[2040])</f>
        <v>5.224987109642143E-15</v>
      </c>
      <c r="L297" s="3483">
        <f>SUBTOTAL(109,X.b.Outputs[2045])</f>
        <v>9.8428210026924035E-15</v>
      </c>
      <c r="M297" s="3483">
        <f>SUBTOTAL(109,X.b.Outputs[2050])</f>
        <v>3.1953606427492787E-15</v>
      </c>
      <c r="N297" s="754"/>
    </row>
    <row r="298" spans="2:14" x14ac:dyDescent="0.25">
      <c r="B298" s="754"/>
      <c r="C298" s="754"/>
      <c r="D298" s="754"/>
      <c r="E298" s="754"/>
      <c r="F298" s="754"/>
      <c r="G298" s="754"/>
      <c r="H298" s="754"/>
      <c r="I298" s="754"/>
      <c r="J298" s="754"/>
      <c r="K298" s="754"/>
      <c r="L298" s="754"/>
      <c r="M298" s="754"/>
      <c r="N298" s="754"/>
    </row>
    <row r="299" spans="2:14" x14ac:dyDescent="0.25">
      <c r="B299" s="754"/>
      <c r="C299" s="754"/>
      <c r="D299" s="754"/>
      <c r="E299" s="754"/>
      <c r="F299" s="3153"/>
      <c r="G299" s="754"/>
      <c r="H299" s="754"/>
      <c r="I299" s="754"/>
      <c r="J299" s="754"/>
      <c r="K299" s="754"/>
      <c r="L299" s="754"/>
      <c r="M299" s="754"/>
      <c r="N299" s="754"/>
    </row>
    <row r="302" spans="2:14" ht="15.75" x14ac:dyDescent="0.25">
      <c r="B302" s="701" t="s">
        <v>434</v>
      </c>
      <c r="C302" s="704"/>
      <c r="D302" s="705"/>
      <c r="E302" s="705"/>
      <c r="F302" s="705"/>
      <c r="G302" s="705"/>
      <c r="H302" s="705"/>
      <c r="I302" s="705"/>
      <c r="J302" s="705"/>
      <c r="K302" s="705"/>
      <c r="L302" s="705"/>
      <c r="M302" s="705"/>
      <c r="N302" s="702"/>
    </row>
    <row r="303" spans="2:14" x14ac:dyDescent="0.25">
      <c r="B303" s="703"/>
      <c r="C303" s="708"/>
      <c r="D303" s="708"/>
      <c r="E303" s="708"/>
      <c r="F303" s="708"/>
      <c r="G303" s="708"/>
      <c r="H303" s="708"/>
      <c r="I303" s="708"/>
      <c r="J303" s="708"/>
      <c r="K303" s="708"/>
      <c r="L303" s="708"/>
      <c r="M303" s="708"/>
      <c r="N303" s="706"/>
    </row>
    <row r="304" spans="2:14" x14ac:dyDescent="0.25">
      <c r="B304" s="707"/>
      <c r="C304" s="710" t="s">
        <v>394</v>
      </c>
      <c r="D304" s="711"/>
      <c r="E304" s="712"/>
      <c r="F304" s="711"/>
      <c r="G304" s="712"/>
      <c r="H304" s="711"/>
      <c r="I304" s="711"/>
      <c r="J304" s="711"/>
      <c r="K304" s="711"/>
      <c r="L304" s="711"/>
      <c r="M304" s="713" t="s">
        <v>395</v>
      </c>
      <c r="N304" s="709"/>
    </row>
    <row r="305" spans="2:14" x14ac:dyDescent="0.25">
      <c r="B305" s="707"/>
      <c r="C305" s="711"/>
      <c r="D305" s="711"/>
      <c r="E305" s="711"/>
      <c r="F305" s="711"/>
      <c r="G305" s="711"/>
      <c r="H305" s="711"/>
      <c r="I305" s="711"/>
      <c r="J305" s="711"/>
      <c r="K305" s="711"/>
      <c r="L305" s="711"/>
      <c r="M305" s="711"/>
      <c r="N305" s="709"/>
    </row>
    <row r="306" spans="2:14" ht="15.75" x14ac:dyDescent="0.25">
      <c r="B306" s="714"/>
      <c r="C306" s="715" t="s">
        <v>396</v>
      </c>
      <c r="D306" s="715" t="s">
        <v>397</v>
      </c>
      <c r="E306" s="715" t="s">
        <v>148</v>
      </c>
      <c r="F306" s="716">
        <v>2015</v>
      </c>
      <c r="G306" s="716">
        <v>2020</v>
      </c>
      <c r="H306" s="716" t="s">
        <v>18</v>
      </c>
      <c r="I306" s="716" t="s">
        <v>19</v>
      </c>
      <c r="J306" s="716" t="s">
        <v>20</v>
      </c>
      <c r="K306" s="716" t="s">
        <v>21</v>
      </c>
      <c r="L306" s="716" t="s">
        <v>22</v>
      </c>
      <c r="M306" s="716" t="s">
        <v>23</v>
      </c>
      <c r="N306" s="709"/>
    </row>
    <row r="307" spans="2:14" ht="15.75" x14ac:dyDescent="0.25">
      <c r="B307" s="714"/>
      <c r="C307" s="717" t="s">
        <v>118</v>
      </c>
      <c r="D307" s="717"/>
      <c r="E307" s="717"/>
      <c r="F307" s="3354">
        <f>F276</f>
        <v>2.0068723152158929</v>
      </c>
      <c r="G307" s="3354">
        <f t="shared" ref="G307:M307" si="46">G276</f>
        <v>2.1992460143489043</v>
      </c>
      <c r="H307" s="3354">
        <f t="shared" si="46"/>
        <v>2.5620733079933875</v>
      </c>
      <c r="I307" s="3354">
        <f t="shared" si="46"/>
        <v>2.9902471723562001</v>
      </c>
      <c r="J307" s="3354">
        <f t="shared" si="46"/>
        <v>3.4315698653103319</v>
      </c>
      <c r="K307" s="3354">
        <f t="shared" si="46"/>
        <v>3.8868286697186196</v>
      </c>
      <c r="L307" s="3354">
        <f t="shared" si="46"/>
        <v>4.3672965804939041</v>
      </c>
      <c r="M307" s="3354">
        <f t="shared" si="46"/>
        <v>4.6726950929789259</v>
      </c>
      <c r="N307" s="709"/>
    </row>
    <row r="308" spans="2:14" x14ac:dyDescent="0.25">
      <c r="B308" s="720"/>
      <c r="C308" s="720"/>
      <c r="D308" s="720"/>
      <c r="E308" s="720"/>
      <c r="F308" s="720"/>
      <c r="G308" s="720"/>
      <c r="H308" s="720"/>
      <c r="I308" s="720"/>
      <c r="J308" s="720"/>
      <c r="K308" s="720"/>
      <c r="L308" s="720"/>
      <c r="M308" s="720"/>
      <c r="N308" s="720"/>
    </row>
    <row r="309" spans="2:14" x14ac:dyDescent="0.25">
      <c r="C309" s="2624"/>
    </row>
    <row r="311" spans="2:14" x14ac:dyDescent="0.25">
      <c r="E311" s="3311"/>
      <c r="F311" s="3310"/>
      <c r="G311" s="3310"/>
      <c r="H311" s="3310"/>
      <c r="I311" s="3310"/>
      <c r="J311" s="3310"/>
      <c r="K311" s="3310"/>
      <c r="L311" s="3310"/>
      <c r="M311" s="3310"/>
    </row>
  </sheetData>
  <pageMargins left="0.7" right="0.7" top="0.75" bottom="0.75" header="0.3" footer="0.3"/>
  <pageSetup orientation="portrait" verticalDpi="0" r:id="rId1"/>
  <ignoredErrors>
    <ignoredError sqref="M285 H306:M306 F14:M14 F18:M18 A166:A238" numberStoredAsText="1"/>
    <ignoredError sqref="F221:M221" formula="1"/>
  </ignoredErrors>
  <tableParts count="1">
    <tablePart r:id="rId2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AH1318"/>
  <sheetViews>
    <sheetView topLeftCell="D1" zoomScale="70" zoomScaleNormal="70" workbookViewId="0">
      <selection activeCell="F293" sqref="F293"/>
    </sheetView>
  </sheetViews>
  <sheetFormatPr baseColWidth="10" defaultColWidth="9.140625" defaultRowHeight="15" outlineLevelRow="1" x14ac:dyDescent="0.25"/>
  <cols>
    <col min="1" max="2" width="9.140625" style="928"/>
    <col min="3" max="3" width="30.28515625" style="928" customWidth="1"/>
    <col min="4" max="4" width="69.42578125" style="928" bestFit="1" customWidth="1"/>
    <col min="5" max="5" width="36.85546875" style="928" customWidth="1"/>
    <col min="6" max="6" width="46.7109375" style="928" bestFit="1" customWidth="1"/>
    <col min="7" max="8" width="19.28515625" style="928" customWidth="1"/>
    <col min="9" max="14" width="16.28515625" style="928" customWidth="1"/>
    <col min="15" max="16384" width="9.140625" style="928"/>
  </cols>
  <sheetData>
    <row r="1" spans="1:34" ht="21" x14ac:dyDescent="0.35">
      <c r="A1" s="1007" t="s">
        <v>578</v>
      </c>
      <c r="B1" s="1007" t="s">
        <v>557</v>
      </c>
      <c r="C1" s="1007"/>
    </row>
    <row r="2" spans="1:34" ht="21" x14ac:dyDescent="0.35">
      <c r="A2" s="1007" t="s">
        <v>425</v>
      </c>
      <c r="B2" s="1007" t="str">
        <f>INDEX(Modulos[Modulos], MATCH($A2, Modulos[Código], 0))</f>
        <v>Procesos Industriales</v>
      </c>
      <c r="C2" s="1007"/>
    </row>
    <row r="4" spans="1:34" ht="15.75" x14ac:dyDescent="0.25">
      <c r="B4" s="954" t="s">
        <v>144</v>
      </c>
      <c r="C4" s="953"/>
      <c r="D4" s="953"/>
      <c r="E4" s="953"/>
      <c r="F4" s="953"/>
      <c r="G4" s="953"/>
      <c r="H4" s="953"/>
      <c r="I4" s="953"/>
      <c r="J4" s="953"/>
      <c r="K4" s="953"/>
      <c r="L4" s="953"/>
      <c r="M4" s="953"/>
      <c r="N4" s="953"/>
    </row>
    <row r="5" spans="1:34" ht="5.25" customHeight="1" x14ac:dyDescent="0.25">
      <c r="B5" s="949"/>
      <c r="C5" s="948"/>
      <c r="D5" s="948"/>
      <c r="E5" s="948"/>
      <c r="F5" s="948"/>
      <c r="G5" s="948"/>
      <c r="H5" s="948"/>
      <c r="I5" s="948"/>
      <c r="J5" s="948"/>
      <c r="K5" s="948"/>
      <c r="L5" s="948"/>
      <c r="M5" s="948"/>
      <c r="N5" s="948"/>
    </row>
    <row r="6" spans="1:34" x14ac:dyDescent="0.25">
      <c r="B6" s="949"/>
      <c r="C6" s="948"/>
      <c r="D6" s="948"/>
      <c r="E6" s="948"/>
      <c r="F6" s="948"/>
      <c r="G6" s="948"/>
      <c r="H6" s="948"/>
      <c r="I6" s="948"/>
      <c r="J6" s="948"/>
      <c r="K6" s="948"/>
      <c r="L6" s="948"/>
      <c r="M6" s="948"/>
      <c r="N6" s="948"/>
    </row>
    <row r="7" spans="1:34" x14ac:dyDescent="0.25">
      <c r="B7" s="949"/>
      <c r="C7" s="948"/>
      <c r="D7" s="1006" t="s">
        <v>2</v>
      </c>
      <c r="E7" s="1006" t="s">
        <v>3</v>
      </c>
      <c r="F7" s="948"/>
      <c r="G7" s="948"/>
      <c r="H7" s="948"/>
      <c r="I7" s="948"/>
      <c r="J7" s="3544"/>
      <c r="K7" s="3544"/>
      <c r="L7" s="3544"/>
      <c r="M7" s="3544"/>
      <c r="N7" s="948"/>
    </row>
    <row r="8" spans="1:34" ht="18.75" x14ac:dyDescent="0.3">
      <c r="B8" s="949"/>
      <c r="C8" s="3562" t="s">
        <v>1967</v>
      </c>
      <c r="D8" s="1005" t="s">
        <v>2089</v>
      </c>
      <c r="E8" s="1005">
        <f>Control!F81</f>
        <v>1</v>
      </c>
      <c r="F8" s="948"/>
      <c r="G8" s="948"/>
      <c r="H8" s="948"/>
      <c r="I8" s="948"/>
      <c r="J8" s="948"/>
      <c r="K8" s="948"/>
      <c r="L8" s="948"/>
      <c r="M8" s="948"/>
      <c r="N8" s="948"/>
    </row>
    <row r="9" spans="1:34" ht="18.75" x14ac:dyDescent="0.3">
      <c r="B9" s="949"/>
      <c r="C9" s="3562" t="s">
        <v>1968</v>
      </c>
      <c r="D9" s="1005" t="s">
        <v>2088</v>
      </c>
      <c r="E9" s="1005">
        <f>Control!F81</f>
        <v>1</v>
      </c>
      <c r="F9" s="3543"/>
      <c r="G9" s="948"/>
      <c r="H9" s="948"/>
      <c r="I9" s="948"/>
      <c r="J9" s="948"/>
      <c r="K9" s="948"/>
      <c r="L9" s="948"/>
      <c r="M9" s="948"/>
      <c r="N9" s="948"/>
    </row>
    <row r="10" spans="1:34" ht="18.75" x14ac:dyDescent="0.3">
      <c r="B10" s="949"/>
      <c r="C10" s="3562" t="s">
        <v>1969</v>
      </c>
      <c r="D10" s="1005" t="s">
        <v>2087</v>
      </c>
      <c r="E10" s="1005">
        <f>Control!F82</f>
        <v>1</v>
      </c>
      <c r="F10" s="948"/>
      <c r="G10" s="948"/>
      <c r="H10" s="948"/>
      <c r="I10" s="948"/>
      <c r="J10" s="948"/>
      <c r="K10" s="948"/>
      <c r="L10" s="948"/>
      <c r="M10" s="948"/>
      <c r="N10" s="948"/>
    </row>
    <row r="11" spans="1:34" ht="18.75" x14ac:dyDescent="0.3">
      <c r="B11" s="949"/>
      <c r="C11" s="3562" t="s">
        <v>1970</v>
      </c>
      <c r="D11" s="1005" t="s">
        <v>2086</v>
      </c>
      <c r="E11" s="1005">
        <f>Control!F83</f>
        <v>1</v>
      </c>
      <c r="F11" s="948"/>
      <c r="G11" s="948"/>
      <c r="H11" s="948"/>
      <c r="I11" s="948"/>
      <c r="J11" s="948"/>
      <c r="K11" s="948"/>
      <c r="L11" s="948"/>
      <c r="M11" s="948"/>
      <c r="N11" s="948"/>
    </row>
    <row r="12" spans="1:34" ht="18.75" x14ac:dyDescent="0.3">
      <c r="B12" s="949"/>
      <c r="C12" s="948"/>
      <c r="D12" s="1005"/>
      <c r="E12" s="1005"/>
      <c r="F12" s="948"/>
      <c r="G12" s="948"/>
      <c r="H12" s="948"/>
      <c r="I12" s="948"/>
      <c r="J12" s="948"/>
      <c r="K12" s="948"/>
      <c r="L12" s="948"/>
      <c r="M12" s="948"/>
      <c r="N12" s="948"/>
    </row>
    <row r="14" spans="1:34" s="1009" customFormat="1" ht="15.75" x14ac:dyDescent="0.25">
      <c r="A14" s="1023"/>
      <c r="B14" s="1024" t="s">
        <v>323</v>
      </c>
      <c r="C14" s="1025"/>
      <c r="D14" s="1026"/>
      <c r="E14" s="1027"/>
      <c r="F14" s="1026"/>
      <c r="G14" s="1026"/>
      <c r="H14" s="1026"/>
      <c r="I14" s="1026"/>
      <c r="J14" s="1026"/>
      <c r="K14" s="1026"/>
      <c r="L14" s="1026"/>
      <c r="M14" s="1026"/>
      <c r="N14" s="1026"/>
      <c r="AE14" s="1028"/>
      <c r="AF14" s="1029"/>
      <c r="AG14" s="1029"/>
      <c r="AH14" s="1030"/>
    </row>
    <row r="15" spans="1:34" s="1009" customFormat="1" ht="15.75" x14ac:dyDescent="0.25">
      <c r="A15" s="1023"/>
      <c r="B15" s="1031"/>
      <c r="C15" s="1032"/>
      <c r="D15" s="1032"/>
      <c r="E15" s="1032"/>
      <c r="F15" s="1033"/>
      <c r="G15" s="1033"/>
      <c r="H15" s="1033"/>
      <c r="I15" s="1033"/>
      <c r="J15" s="1033"/>
      <c r="K15" s="1033"/>
      <c r="L15" s="1033"/>
      <c r="M15" s="1033"/>
      <c r="N15" s="1033"/>
      <c r="AE15" s="1028"/>
      <c r="AF15" s="1029"/>
      <c r="AG15" s="1029"/>
      <c r="AH15" s="1030"/>
    </row>
    <row r="16" spans="1:34" x14ac:dyDescent="0.25">
      <c r="B16" s="949"/>
      <c r="C16" s="1034" t="s">
        <v>1907</v>
      </c>
      <c r="D16" s="1035"/>
      <c r="E16" s="1035"/>
      <c r="F16" s="1035"/>
      <c r="G16" s="1035"/>
      <c r="H16" s="1035"/>
      <c r="I16" s="1035"/>
      <c r="J16" s="1035"/>
      <c r="K16" s="1035"/>
      <c r="L16" s="1035"/>
      <c r="M16" s="2732" t="s">
        <v>171</v>
      </c>
      <c r="N16" s="948"/>
    </row>
    <row r="17" spans="2:14" x14ac:dyDescent="0.25">
      <c r="B17" s="949"/>
      <c r="C17" s="1036"/>
      <c r="D17" s="1036" t="s">
        <v>15</v>
      </c>
      <c r="E17" s="1036" t="s">
        <v>8</v>
      </c>
      <c r="F17" s="1037" t="s">
        <v>16</v>
      </c>
      <c r="G17" s="1037" t="s">
        <v>17</v>
      </c>
      <c r="H17" s="1037" t="s">
        <v>18</v>
      </c>
      <c r="I17" s="1037" t="s">
        <v>19</v>
      </c>
      <c r="J17" s="1037" t="s">
        <v>20</v>
      </c>
      <c r="K17" s="1037" t="s">
        <v>21</v>
      </c>
      <c r="L17" s="1037" t="s">
        <v>22</v>
      </c>
      <c r="M17" s="1037" t="s">
        <v>23</v>
      </c>
      <c r="N17" s="948"/>
    </row>
    <row r="18" spans="2:14" x14ac:dyDescent="0.25">
      <c r="B18" s="949"/>
      <c r="C18" s="1038"/>
      <c r="D18" s="1038" t="s">
        <v>1900</v>
      </c>
      <c r="E18" s="1039"/>
      <c r="F18" s="3027">
        <f>D.a!F113+D.a!F114</f>
        <v>135.84274834045024</v>
      </c>
      <c r="G18" s="3027">
        <f>D.a!G113+D.a!G114</f>
        <v>158.67044327209999</v>
      </c>
      <c r="H18" s="3027">
        <f>D.a!H113+D.a!H114</f>
        <v>180.06416398976444</v>
      </c>
      <c r="I18" s="3027">
        <f>D.a!I113+D.a!I114</f>
        <v>197.03307251300703</v>
      </c>
      <c r="J18" s="3027">
        <f>D.a!J113+D.a!J114</f>
        <v>218.59381484642967</v>
      </c>
      <c r="K18" s="3027">
        <f>D.a!K113+D.a!K114</f>
        <v>241.06883940080823</v>
      </c>
      <c r="L18" s="3027">
        <f>D.a!L113+D.a!L114</f>
        <v>262.50546954554397</v>
      </c>
      <c r="M18" s="3027">
        <f>D.a!M113+D.a!M114</f>
        <v>282.57731267178247</v>
      </c>
      <c r="N18" s="948"/>
    </row>
    <row r="19" spans="2:14" x14ac:dyDescent="0.25">
      <c r="B19" s="948"/>
      <c r="C19" s="1041"/>
      <c r="D19" s="1041"/>
      <c r="E19" s="1042"/>
      <c r="F19" s="2735"/>
      <c r="G19" s="2735"/>
      <c r="H19" s="2735"/>
      <c r="I19" s="2735"/>
      <c r="J19" s="2735"/>
      <c r="K19" s="2735"/>
      <c r="L19" s="2735"/>
      <c r="M19" s="2735"/>
      <c r="N19" s="948"/>
    </row>
    <row r="20" spans="2:14" x14ac:dyDescent="0.25">
      <c r="B20" s="948"/>
      <c r="C20" s="1041"/>
      <c r="D20" s="1041"/>
      <c r="E20" s="1042"/>
      <c r="F20" s="2735"/>
      <c r="G20" s="2735"/>
      <c r="H20" s="2735"/>
      <c r="I20" s="2735"/>
      <c r="J20" s="2735"/>
      <c r="K20" s="2735"/>
      <c r="L20" s="2735"/>
      <c r="M20" s="2735"/>
      <c r="N20" s="948"/>
    </row>
    <row r="22" spans="2:14" ht="15.75" x14ac:dyDescent="0.25">
      <c r="B22" s="905" t="s">
        <v>151</v>
      </c>
      <c r="C22" s="906"/>
      <c r="D22" s="907"/>
      <c r="E22" s="907"/>
      <c r="F22" s="907"/>
      <c r="G22" s="907"/>
      <c r="H22" s="907"/>
      <c r="I22" s="907"/>
      <c r="J22" s="907"/>
      <c r="K22" s="907"/>
      <c r="L22" s="907"/>
      <c r="M22" s="907"/>
      <c r="N22" s="907"/>
    </row>
    <row r="23" spans="2:14" x14ac:dyDescent="0.25">
      <c r="B23" s="992"/>
      <c r="C23" s="977"/>
      <c r="D23" s="977"/>
      <c r="E23" s="977"/>
      <c r="F23" s="977"/>
      <c r="G23" s="977"/>
      <c r="H23" s="977"/>
      <c r="I23" s="977"/>
      <c r="J23" s="977"/>
      <c r="K23" s="977"/>
      <c r="L23" s="977"/>
      <c r="M23" s="977"/>
      <c r="N23" s="977"/>
    </row>
    <row r="24" spans="2:14" x14ac:dyDescent="0.25">
      <c r="B24" s="977"/>
      <c r="C24" s="986" t="s">
        <v>2091</v>
      </c>
      <c r="D24" s="977"/>
      <c r="E24" s="1001"/>
      <c r="F24" s="977"/>
      <c r="G24" s="977"/>
      <c r="H24" s="977"/>
      <c r="I24" s="977"/>
      <c r="J24" s="977"/>
      <c r="K24" s="977"/>
      <c r="L24" s="977"/>
      <c r="M24" s="1001" t="s">
        <v>171</v>
      </c>
      <c r="N24" s="977"/>
    </row>
    <row r="25" spans="2:14" ht="5.25" customHeight="1" x14ac:dyDescent="0.25">
      <c r="B25" s="977"/>
      <c r="C25" s="977"/>
      <c r="D25" s="977"/>
      <c r="E25" s="977"/>
      <c r="F25" s="977"/>
      <c r="G25" s="977"/>
      <c r="H25" s="977"/>
      <c r="I25" s="977"/>
      <c r="J25" s="977"/>
      <c r="K25" s="977"/>
      <c r="L25" s="977"/>
      <c r="M25" s="977"/>
      <c r="N25" s="977"/>
    </row>
    <row r="26" spans="2:14" x14ac:dyDescent="0.25">
      <c r="B26" s="977"/>
      <c r="C26" s="985" t="s">
        <v>3</v>
      </c>
      <c r="D26" s="985" t="s">
        <v>483</v>
      </c>
      <c r="E26" s="998" t="s">
        <v>8</v>
      </c>
      <c r="F26" s="983">
        <v>2015</v>
      </c>
      <c r="G26" s="984">
        <v>2020</v>
      </c>
      <c r="H26" s="983">
        <v>2025</v>
      </c>
      <c r="I26" s="983">
        <v>2030</v>
      </c>
      <c r="J26" s="983">
        <v>2035</v>
      </c>
      <c r="K26" s="983">
        <v>2040</v>
      </c>
      <c r="L26" s="983">
        <v>2045</v>
      </c>
      <c r="M26" s="983">
        <v>2050</v>
      </c>
      <c r="N26" s="977"/>
    </row>
    <row r="27" spans="2:14" x14ac:dyDescent="0.25">
      <c r="B27" s="977"/>
      <c r="C27" s="1004" t="s">
        <v>153</v>
      </c>
      <c r="D27" s="1003"/>
      <c r="E27" s="2994" t="s">
        <v>12</v>
      </c>
      <c r="F27" s="401">
        <f>F18</f>
        <v>135.84274834045024</v>
      </c>
      <c r="G27" s="401">
        <f t="shared" ref="G27:M27" si="0">G18</f>
        <v>158.67044327209999</v>
      </c>
      <c r="H27" s="401">
        <f t="shared" si="0"/>
        <v>180.06416398976444</v>
      </c>
      <c r="I27" s="401">
        <f t="shared" si="0"/>
        <v>197.03307251300703</v>
      </c>
      <c r="J27" s="401">
        <f t="shared" si="0"/>
        <v>218.59381484642967</v>
      </c>
      <c r="K27" s="401">
        <f t="shared" si="0"/>
        <v>241.06883940080823</v>
      </c>
      <c r="L27" s="401">
        <f t="shared" si="0"/>
        <v>262.50546954554397</v>
      </c>
      <c r="M27" s="401">
        <f t="shared" si="0"/>
        <v>282.57731267178247</v>
      </c>
      <c r="N27" s="977"/>
    </row>
    <row r="28" spans="2:14" ht="5.25" customHeight="1" x14ac:dyDescent="0.25">
      <c r="B28" s="977"/>
      <c r="C28" s="2669"/>
      <c r="D28" s="2670"/>
      <c r="E28" s="2670"/>
      <c r="F28" s="178"/>
      <c r="G28" s="178"/>
      <c r="H28" s="178"/>
      <c r="I28" s="178"/>
      <c r="J28" s="178"/>
      <c r="K28" s="178"/>
      <c r="L28" s="178"/>
      <c r="M28" s="178"/>
      <c r="N28" s="977"/>
    </row>
    <row r="29" spans="2:14" x14ac:dyDescent="0.25">
      <c r="B29" s="977"/>
      <c r="C29" s="2897" t="s">
        <v>8</v>
      </c>
      <c r="D29" s="2896"/>
      <c r="E29" s="2670"/>
      <c r="F29" s="178"/>
      <c r="G29" s="178"/>
      <c r="H29" s="178"/>
      <c r="I29" s="178"/>
      <c r="J29" s="178"/>
      <c r="K29" s="178"/>
      <c r="L29" s="178"/>
      <c r="M29" s="178"/>
      <c r="N29" s="977"/>
    </row>
    <row r="30" spans="2:14" x14ac:dyDescent="0.25">
      <c r="B30" s="977"/>
      <c r="C30" s="2897" t="s">
        <v>12</v>
      </c>
      <c r="D30" s="2992" t="s">
        <v>2095</v>
      </c>
      <c r="E30" s="2670"/>
      <c r="F30" s="178"/>
      <c r="G30" s="178"/>
      <c r="H30" s="178"/>
      <c r="I30" s="178"/>
      <c r="J30" s="178"/>
      <c r="K30" s="178"/>
      <c r="L30" s="178"/>
      <c r="M30" s="178"/>
      <c r="N30" s="977"/>
    </row>
    <row r="31" spans="2:14" x14ac:dyDescent="0.25">
      <c r="B31" s="977"/>
      <c r="C31" s="2897"/>
      <c r="D31" s="2896" t="s">
        <v>1979</v>
      </c>
      <c r="E31" s="2670"/>
      <c r="F31" s="178"/>
      <c r="G31" s="178"/>
      <c r="H31" s="178"/>
      <c r="I31" s="178"/>
      <c r="J31" s="178"/>
      <c r="K31" s="178"/>
      <c r="L31" s="178"/>
      <c r="M31" s="178"/>
      <c r="N31" s="977"/>
    </row>
    <row r="32" spans="2:14" x14ac:dyDescent="0.25">
      <c r="B32" s="977"/>
      <c r="C32" s="2669"/>
      <c r="D32" s="2670"/>
      <c r="E32" s="2670"/>
      <c r="F32" s="178"/>
      <c r="G32" s="178"/>
      <c r="H32" s="178"/>
      <c r="I32" s="178"/>
      <c r="J32" s="178"/>
      <c r="K32" s="178"/>
      <c r="L32" s="178"/>
      <c r="M32" s="178"/>
      <c r="N32" s="977"/>
    </row>
    <row r="33" spans="2:14" x14ac:dyDescent="0.25">
      <c r="B33" s="977"/>
      <c r="C33" s="2669"/>
      <c r="D33" s="2670"/>
      <c r="E33" s="2670"/>
      <c r="F33" s="178"/>
      <c r="G33" s="178"/>
      <c r="H33" s="178"/>
      <c r="I33" s="178"/>
      <c r="J33" s="178"/>
      <c r="K33" s="178"/>
      <c r="L33" s="178"/>
      <c r="M33" s="178"/>
      <c r="N33" s="977"/>
    </row>
    <row r="34" spans="2:14" x14ac:dyDescent="0.25">
      <c r="B34" s="2990" t="s">
        <v>1967</v>
      </c>
      <c r="C34" s="986" t="s">
        <v>2097</v>
      </c>
      <c r="D34" s="977"/>
      <c r="E34" s="977"/>
      <c r="F34" s="977"/>
      <c r="G34" s="977"/>
      <c r="H34" s="977"/>
      <c r="I34" s="977"/>
      <c r="J34" s="977"/>
      <c r="K34" s="977"/>
      <c r="L34" s="2993" t="s">
        <v>577</v>
      </c>
      <c r="M34" s="2993" t="s">
        <v>190</v>
      </c>
      <c r="N34" s="977"/>
    </row>
    <row r="35" spans="2:14" ht="6" customHeight="1" x14ac:dyDescent="0.25">
      <c r="B35" s="977"/>
      <c r="C35" s="977"/>
      <c r="D35" s="977"/>
      <c r="E35" s="977"/>
      <c r="F35" s="977"/>
      <c r="G35" s="977"/>
      <c r="H35" s="977"/>
      <c r="I35" s="977"/>
      <c r="J35" s="977"/>
      <c r="K35" s="977"/>
      <c r="L35" s="977"/>
      <c r="M35" s="977"/>
      <c r="N35" s="977"/>
    </row>
    <row r="36" spans="2:14" x14ac:dyDescent="0.25">
      <c r="B36" s="977"/>
      <c r="C36" s="985" t="s">
        <v>3</v>
      </c>
      <c r="D36" s="999" t="s">
        <v>488</v>
      </c>
      <c r="E36" s="999" t="s">
        <v>2094</v>
      </c>
      <c r="F36" s="983">
        <v>2015</v>
      </c>
      <c r="G36" s="984">
        <v>2020</v>
      </c>
      <c r="H36" s="983">
        <v>2025</v>
      </c>
      <c r="I36" s="983">
        <v>2030</v>
      </c>
      <c r="J36" s="983">
        <v>2035</v>
      </c>
      <c r="K36" s="983">
        <v>2040</v>
      </c>
      <c r="L36" s="983">
        <v>2045</v>
      </c>
      <c r="M36" s="983">
        <v>2050</v>
      </c>
      <c r="N36" s="977"/>
    </row>
    <row r="37" spans="2:14" x14ac:dyDescent="0.25">
      <c r="B37" s="977"/>
      <c r="C37" s="991">
        <v>1</v>
      </c>
      <c r="D37" s="982" t="s">
        <v>575</v>
      </c>
      <c r="E37" s="977"/>
      <c r="F37" s="2997">
        <v>0.92405000000000004</v>
      </c>
      <c r="G37" s="2998">
        <v>0.92405000000000004</v>
      </c>
      <c r="H37" s="2997">
        <v>0.92405000000000004</v>
      </c>
      <c r="I37" s="2997">
        <v>0.92405000000000004</v>
      </c>
      <c r="J37" s="2997">
        <v>0.92405000000000004</v>
      </c>
      <c r="K37" s="2997">
        <v>0.92405000000000004</v>
      </c>
      <c r="L37" s="2997">
        <v>0.92405000000000004</v>
      </c>
      <c r="M37" s="2997">
        <v>0.92405000000000004</v>
      </c>
      <c r="N37" s="977"/>
    </row>
    <row r="38" spans="2:14" x14ac:dyDescent="0.25">
      <c r="B38" s="977"/>
      <c r="C38" s="991">
        <v>2</v>
      </c>
      <c r="D38" s="982" t="s">
        <v>575</v>
      </c>
      <c r="E38" s="977"/>
      <c r="F38" s="2672">
        <v>0.92405000000000004</v>
      </c>
      <c r="G38" s="2671">
        <v>0.92405000000000004</v>
      </c>
      <c r="H38" s="2672">
        <v>0.92499889398492519</v>
      </c>
      <c r="I38" s="2672">
        <v>0.92974336390955092</v>
      </c>
      <c r="J38" s="2672">
        <v>0.93448783383417644</v>
      </c>
      <c r="K38" s="2672">
        <v>0.93923230375880218</v>
      </c>
      <c r="L38" s="2672">
        <v>0.93990299999999993</v>
      </c>
      <c r="M38" s="2672">
        <v>0.93990299999999993</v>
      </c>
      <c r="N38" s="977"/>
    </row>
    <row r="39" spans="2:14" x14ac:dyDescent="0.25">
      <c r="B39" s="977"/>
      <c r="C39" s="991">
        <v>3</v>
      </c>
      <c r="D39" s="982" t="s">
        <v>575</v>
      </c>
      <c r="E39" s="977"/>
      <c r="F39" s="2672">
        <v>0.92405000000000004</v>
      </c>
      <c r="G39" s="2999">
        <v>0.92689668195477548</v>
      </c>
      <c r="H39" s="2672">
        <v>0.931641151879401</v>
      </c>
      <c r="I39" s="2672">
        <v>0.93638562180402674</v>
      </c>
      <c r="J39" s="2672">
        <v>0.93990299999999993</v>
      </c>
      <c r="K39" s="2672">
        <v>0.93990299999999993</v>
      </c>
      <c r="L39" s="2672">
        <v>0.93990299999999993</v>
      </c>
      <c r="M39" s="2672">
        <v>0.93990299999999993</v>
      </c>
      <c r="N39" s="977"/>
    </row>
    <row r="40" spans="2:14" x14ac:dyDescent="0.25">
      <c r="B40" s="977"/>
      <c r="C40" s="988">
        <v>4</v>
      </c>
      <c r="D40" s="979" t="s">
        <v>575</v>
      </c>
      <c r="E40" s="980"/>
      <c r="F40" s="3000">
        <v>0.92405000000000004</v>
      </c>
      <c r="G40" s="3001">
        <v>0.92847468195477556</v>
      </c>
      <c r="H40" s="3002">
        <v>0.93584915187940099</v>
      </c>
      <c r="I40" s="3002">
        <v>0.94174872781910168</v>
      </c>
      <c r="J40" s="3002">
        <v>0.94174872781910168</v>
      </c>
      <c r="K40" s="3002">
        <v>0.94174872781910168</v>
      </c>
      <c r="L40" s="3002">
        <v>0.94174872781910168</v>
      </c>
      <c r="M40" s="3002">
        <v>0.94174872781910168</v>
      </c>
      <c r="N40" s="977"/>
    </row>
    <row r="41" spans="2:14" x14ac:dyDescent="0.25">
      <c r="B41" s="977"/>
      <c r="C41" s="977">
        <v>1</v>
      </c>
      <c r="D41" s="982" t="s">
        <v>567</v>
      </c>
      <c r="E41" s="977"/>
      <c r="F41" s="2672">
        <v>0.92405000000000004</v>
      </c>
      <c r="G41" s="2998">
        <v>0.92405000000000004</v>
      </c>
      <c r="H41" s="3003">
        <v>0.92405000000000004</v>
      </c>
      <c r="I41" s="3003">
        <v>0.92405000000000004</v>
      </c>
      <c r="J41" s="3003">
        <v>0.92405000000000004</v>
      </c>
      <c r="K41" s="3003">
        <v>0.92405000000000004</v>
      </c>
      <c r="L41" s="3003">
        <v>0.92405000000000004</v>
      </c>
      <c r="M41" s="3003">
        <v>0.92405000000000004</v>
      </c>
      <c r="N41" s="977"/>
    </row>
    <row r="42" spans="2:14" x14ac:dyDescent="0.25">
      <c r="B42" s="977"/>
      <c r="C42" s="977">
        <v>2</v>
      </c>
      <c r="D42" s="982" t="s">
        <v>567</v>
      </c>
      <c r="E42" s="977"/>
      <c r="F42" s="2672">
        <v>0.92405000000000004</v>
      </c>
      <c r="G42" s="2671">
        <v>0.92405000000000004</v>
      </c>
      <c r="H42" s="3004">
        <v>0.92784557593970063</v>
      </c>
      <c r="I42" s="3004">
        <v>0.93259004586432614</v>
      </c>
      <c r="J42" s="3004">
        <v>0.93733451578895188</v>
      </c>
      <c r="K42" s="3004">
        <v>0.93990299999999993</v>
      </c>
      <c r="L42" s="3004">
        <v>0.93990299999999993</v>
      </c>
      <c r="M42" s="3004">
        <v>0.93990299999999993</v>
      </c>
      <c r="N42" s="977"/>
    </row>
    <row r="43" spans="2:14" x14ac:dyDescent="0.25">
      <c r="B43" s="977"/>
      <c r="C43" s="977">
        <v>3</v>
      </c>
      <c r="D43" s="982" t="s">
        <v>567</v>
      </c>
      <c r="E43" s="977"/>
      <c r="F43" s="2672">
        <v>0.92405000000000004</v>
      </c>
      <c r="G43" s="2999">
        <v>0.92974336390955092</v>
      </c>
      <c r="H43" s="3004">
        <v>0.93448783383417644</v>
      </c>
      <c r="I43" s="3004">
        <v>0.93923230375880218</v>
      </c>
      <c r="J43" s="3004">
        <v>0.93990299999999993</v>
      </c>
      <c r="K43" s="3004">
        <v>0.93990299999999993</v>
      </c>
      <c r="L43" s="3004">
        <v>0.93990299999999993</v>
      </c>
      <c r="M43" s="3004">
        <v>0.93990299999999993</v>
      </c>
      <c r="N43" s="977"/>
    </row>
    <row r="44" spans="2:14" x14ac:dyDescent="0.25">
      <c r="B44" s="977"/>
      <c r="C44" s="980">
        <v>4</v>
      </c>
      <c r="D44" s="979" t="s">
        <v>567</v>
      </c>
      <c r="E44" s="980"/>
      <c r="F44" s="3002">
        <v>0.92405000000000004</v>
      </c>
      <c r="G44" s="3001">
        <v>0.93289936390955086</v>
      </c>
      <c r="H44" s="3005">
        <v>0.94027383383417651</v>
      </c>
      <c r="I44" s="3005">
        <v>0.94174872781910168</v>
      </c>
      <c r="J44" s="3005">
        <v>0.94174872781910168</v>
      </c>
      <c r="K44" s="3005">
        <v>0.94174872781910168</v>
      </c>
      <c r="L44" s="3005">
        <v>0.94174872781910168</v>
      </c>
      <c r="M44" s="3005">
        <v>0.94174872781910168</v>
      </c>
      <c r="N44" s="977"/>
    </row>
    <row r="45" spans="2:14" x14ac:dyDescent="0.25">
      <c r="B45" s="977"/>
      <c r="C45" s="977">
        <v>1</v>
      </c>
      <c r="D45" s="982" t="s">
        <v>566</v>
      </c>
      <c r="E45" s="977"/>
      <c r="F45" s="2997">
        <v>0.91084445502451161</v>
      </c>
      <c r="G45" s="2998">
        <v>0.91084445502451161</v>
      </c>
      <c r="H45" s="3003">
        <v>0.91084445502451161</v>
      </c>
      <c r="I45" s="3003">
        <v>0.91084445502451161</v>
      </c>
      <c r="J45" s="3003">
        <v>0.91084445502451161</v>
      </c>
      <c r="K45" s="3003">
        <v>0.91084445502451161</v>
      </c>
      <c r="L45" s="3003">
        <v>0.91084445502451161</v>
      </c>
      <c r="M45" s="3003">
        <v>0.91084445502451161</v>
      </c>
      <c r="N45" s="977"/>
    </row>
    <row r="46" spans="2:14" x14ac:dyDescent="0.25">
      <c r="B46" s="977"/>
      <c r="C46" s="977">
        <v>2</v>
      </c>
      <c r="D46" s="982" t="s">
        <v>566</v>
      </c>
      <c r="E46" s="977"/>
      <c r="F46" s="2672">
        <v>0.91084445502451161</v>
      </c>
      <c r="G46" s="2671">
        <v>0.91084445502451161</v>
      </c>
      <c r="H46" s="3004">
        <v>0.91199581912768479</v>
      </c>
      <c r="I46" s="3004">
        <v>0.91775263964355092</v>
      </c>
      <c r="J46" s="3004">
        <v>0.92350946015941693</v>
      </c>
      <c r="K46" s="3004">
        <v>0.92926628067528294</v>
      </c>
      <c r="L46" s="3004">
        <v>0.93008008663097064</v>
      </c>
      <c r="M46" s="3004">
        <v>0.93008008663097064</v>
      </c>
      <c r="N46" s="977"/>
    </row>
    <row r="47" spans="2:14" x14ac:dyDescent="0.25">
      <c r="B47" s="977"/>
      <c r="C47" s="977">
        <v>3</v>
      </c>
      <c r="D47" s="982" t="s">
        <v>566</v>
      </c>
      <c r="E47" s="977"/>
      <c r="F47" s="2672">
        <v>0.91084445502451161</v>
      </c>
      <c r="G47" s="2999">
        <v>0.91429854733403126</v>
      </c>
      <c r="H47" s="3004">
        <v>0.92005536784989728</v>
      </c>
      <c r="I47" s="3004">
        <v>0.92581218836576329</v>
      </c>
      <c r="J47" s="3004">
        <v>0.93008008663097064</v>
      </c>
      <c r="K47" s="3004">
        <v>0.93008008663097064</v>
      </c>
      <c r="L47" s="3004">
        <v>0.93008008663097064</v>
      </c>
      <c r="M47" s="3004">
        <v>0.93008008663097064</v>
      </c>
      <c r="N47" s="977"/>
    </row>
    <row r="48" spans="2:14" x14ac:dyDescent="0.25">
      <c r="B48" s="977"/>
      <c r="C48" s="980">
        <v>4</v>
      </c>
      <c r="D48" s="979" t="s">
        <v>566</v>
      </c>
      <c r="E48" s="980"/>
      <c r="F48" s="3002">
        <v>0.91084445502451161</v>
      </c>
      <c r="G48" s="3001">
        <v>0.91615904004216753</v>
      </c>
      <c r="H48" s="3005">
        <v>0.92501668173826024</v>
      </c>
      <c r="I48" s="3005">
        <v>0.93210279509513472</v>
      </c>
      <c r="J48" s="3005">
        <v>0.93210279509513472</v>
      </c>
      <c r="K48" s="3005">
        <v>0.93210279509513472</v>
      </c>
      <c r="L48" s="3005">
        <v>0.93210279509513472</v>
      </c>
      <c r="M48" s="3005">
        <v>0.93210279509513472</v>
      </c>
      <c r="N48" s="977"/>
    </row>
    <row r="49" spans="2:14" x14ac:dyDescent="0.25">
      <c r="B49" s="977"/>
      <c r="C49" s="977">
        <v>1</v>
      </c>
      <c r="D49" s="982" t="s">
        <v>565</v>
      </c>
      <c r="E49" s="977"/>
      <c r="F49" s="2672">
        <v>0.92405000000000004</v>
      </c>
      <c r="G49" s="2998">
        <v>0.92686650000000004</v>
      </c>
      <c r="H49" s="3003">
        <v>0.92686650000000004</v>
      </c>
      <c r="I49" s="3003">
        <v>0.92686650000000004</v>
      </c>
      <c r="J49" s="3003">
        <v>0.92686650000000004</v>
      </c>
      <c r="K49" s="3003">
        <v>0.92686650000000004</v>
      </c>
      <c r="L49" s="3003">
        <v>0.92686650000000004</v>
      </c>
      <c r="M49" s="3003">
        <v>0.92686650000000004</v>
      </c>
      <c r="N49" s="977"/>
    </row>
    <row r="50" spans="2:14" x14ac:dyDescent="0.25">
      <c r="B50" s="977"/>
      <c r="C50" s="977">
        <v>2</v>
      </c>
      <c r="D50" s="982" t="s">
        <v>565</v>
      </c>
      <c r="E50" s="977"/>
      <c r="F50" s="2672">
        <v>0.92405000000000004</v>
      </c>
      <c r="G50" s="2671">
        <v>0.92686650000000004</v>
      </c>
      <c r="H50" s="3004">
        <v>0.93049254037400941</v>
      </c>
      <c r="I50" s="3004">
        <v>0.93502509084152119</v>
      </c>
      <c r="J50" s="3004">
        <v>0.93955764130903285</v>
      </c>
      <c r="K50" s="3004">
        <v>0.94201139999999994</v>
      </c>
      <c r="L50" s="3004">
        <v>0.94201139999999994</v>
      </c>
      <c r="M50" s="3004">
        <v>0.94201139999999994</v>
      </c>
      <c r="N50" s="977"/>
    </row>
    <row r="51" spans="2:14" x14ac:dyDescent="0.25">
      <c r="B51" s="977"/>
      <c r="C51" s="977">
        <v>3</v>
      </c>
      <c r="D51" s="982" t="s">
        <v>565</v>
      </c>
      <c r="E51" s="977"/>
      <c r="F51" s="2672">
        <v>0.92405000000000004</v>
      </c>
      <c r="G51" s="2999">
        <v>0.9323055605610141</v>
      </c>
      <c r="H51" s="3004">
        <v>0.93683811102852577</v>
      </c>
      <c r="I51" s="3004">
        <v>0.94137066149603754</v>
      </c>
      <c r="J51" s="3004">
        <v>0.94201139999999994</v>
      </c>
      <c r="K51" s="3004">
        <v>0.94201139999999994</v>
      </c>
      <c r="L51" s="3004">
        <v>0.94201139999999994</v>
      </c>
      <c r="M51" s="3004">
        <v>0.94201139999999994</v>
      </c>
      <c r="N51" s="977"/>
    </row>
    <row r="52" spans="2:14" x14ac:dyDescent="0.25">
      <c r="B52" s="977"/>
      <c r="C52" s="980">
        <v>4</v>
      </c>
      <c r="D52" s="979" t="s">
        <v>565</v>
      </c>
      <c r="E52" s="980"/>
      <c r="F52" s="3002">
        <v>0.92405000000000004</v>
      </c>
      <c r="G52" s="3001">
        <v>0.93534494456101414</v>
      </c>
      <c r="H52" s="3005">
        <v>0.94241031502852568</v>
      </c>
      <c r="I52" s="3005">
        <v>0.94382338912202812</v>
      </c>
      <c r="J52" s="3005">
        <v>0.94382338912202812</v>
      </c>
      <c r="K52" s="3005">
        <v>0.94382338912202812</v>
      </c>
      <c r="L52" s="3005">
        <v>0.94382338912202812</v>
      </c>
      <c r="M52" s="3005">
        <v>0.94382338912202812</v>
      </c>
      <c r="N52" s="977"/>
    </row>
    <row r="53" spans="2:14" x14ac:dyDescent="0.25">
      <c r="B53" s="977"/>
      <c r="C53" s="977">
        <v>1</v>
      </c>
      <c r="D53" s="982" t="s">
        <v>564</v>
      </c>
      <c r="E53" s="977"/>
      <c r="F53" s="2672">
        <v>0.92609999999999992</v>
      </c>
      <c r="G53" s="2998">
        <v>0.92609999999999992</v>
      </c>
      <c r="H53" s="3004">
        <v>0.92609999999999992</v>
      </c>
      <c r="I53" s="3003">
        <v>0.92609999999999992</v>
      </c>
      <c r="J53" s="3003">
        <v>0.92609999999999992</v>
      </c>
      <c r="K53" s="3003">
        <v>0.92609999999999992</v>
      </c>
      <c r="L53" s="3003">
        <v>0.92609999999999992</v>
      </c>
      <c r="M53" s="3003">
        <v>0.92609999999999992</v>
      </c>
      <c r="N53" s="977"/>
    </row>
    <row r="54" spans="2:14" x14ac:dyDescent="0.25">
      <c r="B54" s="977"/>
      <c r="C54" s="977">
        <v>2</v>
      </c>
      <c r="D54" s="982" t="s">
        <v>564</v>
      </c>
      <c r="E54" s="977"/>
      <c r="F54" s="2672">
        <v>0.92609999999999992</v>
      </c>
      <c r="G54" s="2671">
        <v>0.92609999999999992</v>
      </c>
      <c r="H54" s="3004">
        <v>0.92701818795992874</v>
      </c>
      <c r="I54" s="3004">
        <v>0.93160912775957283</v>
      </c>
      <c r="J54" s="3004">
        <v>0.93620006755921703</v>
      </c>
      <c r="K54" s="3004">
        <v>0.94079100735886123</v>
      </c>
      <c r="L54" s="3004">
        <v>0.94144000000000005</v>
      </c>
      <c r="M54" s="3004">
        <v>0.94144000000000005</v>
      </c>
      <c r="N54" s="977"/>
    </row>
    <row r="55" spans="2:14" x14ac:dyDescent="0.25">
      <c r="B55" s="977"/>
      <c r="C55" s="977">
        <v>3</v>
      </c>
      <c r="D55" s="982" t="s">
        <v>564</v>
      </c>
      <c r="E55" s="977"/>
      <c r="F55" s="2672">
        <v>0.92609999999999992</v>
      </c>
      <c r="G55" s="2999">
        <v>0.92885456387978638</v>
      </c>
      <c r="H55" s="3004">
        <v>0.93344550367943047</v>
      </c>
      <c r="I55" s="3004">
        <v>0.93803644347907478</v>
      </c>
      <c r="J55" s="3004">
        <v>0.94144000000000005</v>
      </c>
      <c r="K55" s="3004">
        <v>0.94144000000000005</v>
      </c>
      <c r="L55" s="3004">
        <v>0.94144000000000005</v>
      </c>
      <c r="M55" s="3004">
        <v>0.94144000000000005</v>
      </c>
      <c r="N55" s="977"/>
    </row>
    <row r="56" spans="2:14" x14ac:dyDescent="0.25">
      <c r="B56" s="977"/>
      <c r="C56" s="980">
        <v>4</v>
      </c>
      <c r="D56" s="979" t="s">
        <v>564</v>
      </c>
      <c r="E56" s="980"/>
      <c r="F56" s="3002">
        <v>0.92609999999999992</v>
      </c>
      <c r="G56" s="3001">
        <v>0.93039056387978647</v>
      </c>
      <c r="H56" s="3005">
        <v>0.93754150367943057</v>
      </c>
      <c r="I56" s="3005">
        <v>0.94326225551914589</v>
      </c>
      <c r="J56" s="3005">
        <v>0.94326225551914589</v>
      </c>
      <c r="K56" s="3005">
        <v>0.94326225551914589</v>
      </c>
      <c r="L56" s="3005">
        <v>0.94326225551914589</v>
      </c>
      <c r="M56" s="3005">
        <v>0.94326225551914589</v>
      </c>
      <c r="N56" s="977"/>
    </row>
    <row r="57" spans="2:14" x14ac:dyDescent="0.25">
      <c r="B57" s="977"/>
      <c r="C57" s="977">
        <v>1</v>
      </c>
      <c r="D57" s="982" t="s">
        <v>563</v>
      </c>
      <c r="E57" s="977"/>
      <c r="F57" s="2672">
        <v>0.83350000000000002</v>
      </c>
      <c r="G57" s="2998">
        <v>0.83350000000000002</v>
      </c>
      <c r="H57" s="3004">
        <v>0.83350000000000002</v>
      </c>
      <c r="I57" s="3003">
        <v>0.83350000000000002</v>
      </c>
      <c r="J57" s="3003">
        <v>0.83350000000000002</v>
      </c>
      <c r="K57" s="3003">
        <v>0.83350000000000002</v>
      </c>
      <c r="L57" s="3003">
        <v>0.83350000000000002</v>
      </c>
      <c r="M57" s="3003">
        <v>0.83350000000000002</v>
      </c>
      <c r="N57" s="977"/>
    </row>
    <row r="58" spans="2:14" x14ac:dyDescent="0.25">
      <c r="B58" s="977"/>
      <c r="C58" s="977">
        <v>2</v>
      </c>
      <c r="D58" s="982" t="s">
        <v>563</v>
      </c>
      <c r="E58" s="977"/>
      <c r="F58" s="2672">
        <v>0.83350000000000002</v>
      </c>
      <c r="G58" s="2671">
        <v>0.83350000000000002</v>
      </c>
      <c r="H58" s="3004">
        <v>0.83584335453919256</v>
      </c>
      <c r="I58" s="3004">
        <v>0.84756012723515517</v>
      </c>
      <c r="J58" s="3004">
        <v>0.85927689993111778</v>
      </c>
      <c r="K58" s="3004">
        <v>0.8709936726270805</v>
      </c>
      <c r="L58" s="3004">
        <v>0.87265000000000004</v>
      </c>
      <c r="M58" s="3004">
        <v>0.87265000000000004</v>
      </c>
      <c r="N58" s="977"/>
    </row>
    <row r="59" spans="2:14" x14ac:dyDescent="0.25">
      <c r="B59" s="977"/>
      <c r="C59" s="977">
        <v>3</v>
      </c>
      <c r="D59" s="982" t="s">
        <v>563</v>
      </c>
      <c r="E59" s="977"/>
      <c r="F59" s="2672">
        <v>0.83350000000000002</v>
      </c>
      <c r="G59" s="2999">
        <v>0.84053006361757765</v>
      </c>
      <c r="H59" s="3004">
        <v>0.85224683631354026</v>
      </c>
      <c r="I59" s="3004">
        <v>0.86396360900950286</v>
      </c>
      <c r="J59" s="3004">
        <v>0.87265000000000004</v>
      </c>
      <c r="K59" s="3004">
        <v>0.87265000000000004</v>
      </c>
      <c r="L59" s="3004">
        <v>0.87265000000000004</v>
      </c>
      <c r="M59" s="3004">
        <v>0.87265000000000004</v>
      </c>
      <c r="N59" s="977"/>
    </row>
    <row r="60" spans="2:14" x14ac:dyDescent="0.25">
      <c r="B60" s="977"/>
      <c r="C60" s="980">
        <v>4</v>
      </c>
      <c r="D60" s="979" t="s">
        <v>563</v>
      </c>
      <c r="E60" s="980"/>
      <c r="F60" s="3002">
        <v>0.83350000000000002</v>
      </c>
      <c r="G60" s="3001">
        <v>0.84405806361757763</v>
      </c>
      <c r="H60" s="3005">
        <v>0.86165483631354023</v>
      </c>
      <c r="I60" s="3005">
        <v>0.87573225447031033</v>
      </c>
      <c r="J60" s="3005">
        <v>0.87573225447031033</v>
      </c>
      <c r="K60" s="3005">
        <v>0.87573225447031033</v>
      </c>
      <c r="L60" s="3005">
        <v>0.87573225447031033</v>
      </c>
      <c r="M60" s="3005">
        <v>0.87573225447031033</v>
      </c>
      <c r="N60" s="977"/>
    </row>
    <row r="61" spans="2:14" x14ac:dyDescent="0.25">
      <c r="B61" s="977"/>
      <c r="C61" s="977">
        <v>1</v>
      </c>
      <c r="D61" s="982" t="s">
        <v>562</v>
      </c>
      <c r="E61" s="977"/>
      <c r="F61" s="2672">
        <v>0.92405000000000004</v>
      </c>
      <c r="G61" s="2998">
        <v>0.92405000000000004</v>
      </c>
      <c r="H61" s="3003">
        <v>0.92405000000000004</v>
      </c>
      <c r="I61" s="3003">
        <v>0.92405000000000004</v>
      </c>
      <c r="J61" s="3003">
        <v>0.92405000000000004</v>
      </c>
      <c r="K61" s="3003">
        <v>0.92405000000000004</v>
      </c>
      <c r="L61" s="3003">
        <v>0.92405000000000004</v>
      </c>
      <c r="M61" s="3003">
        <v>0.92405000000000004</v>
      </c>
      <c r="N61" s="977"/>
    </row>
    <row r="62" spans="2:14" x14ac:dyDescent="0.25">
      <c r="B62" s="977"/>
      <c r="C62" s="977">
        <v>2</v>
      </c>
      <c r="D62" s="982" t="s">
        <v>562</v>
      </c>
      <c r="E62" s="977"/>
      <c r="F62" s="2672">
        <v>0.92405000000000004</v>
      </c>
      <c r="G62" s="2671">
        <v>0.92405000000000004</v>
      </c>
      <c r="H62" s="3004">
        <v>0.92784557593970063</v>
      </c>
      <c r="I62" s="3004">
        <v>0.93259004586432614</v>
      </c>
      <c r="J62" s="3004">
        <v>0.93733451578895188</v>
      </c>
      <c r="K62" s="3004">
        <v>0.93990299999999993</v>
      </c>
      <c r="L62" s="3004">
        <v>0.93990299999999993</v>
      </c>
      <c r="M62" s="3004">
        <v>0.93990299999999993</v>
      </c>
      <c r="N62" s="977"/>
    </row>
    <row r="63" spans="2:14" x14ac:dyDescent="0.25">
      <c r="B63" s="977"/>
      <c r="C63" s="977">
        <v>3</v>
      </c>
      <c r="D63" s="982" t="s">
        <v>562</v>
      </c>
      <c r="E63" s="977"/>
      <c r="F63" s="2672">
        <v>0.92405000000000004</v>
      </c>
      <c r="G63" s="2999">
        <v>0.92974336390955092</v>
      </c>
      <c r="H63" s="3004">
        <v>0.93448783383417644</v>
      </c>
      <c r="I63" s="3004">
        <v>0.93923230375880218</v>
      </c>
      <c r="J63" s="3004">
        <v>0.93990299999999993</v>
      </c>
      <c r="K63" s="3004">
        <v>0.93990299999999993</v>
      </c>
      <c r="L63" s="3004">
        <v>0.93990299999999993</v>
      </c>
      <c r="M63" s="3004">
        <v>0.93990299999999993</v>
      </c>
      <c r="N63" s="977"/>
    </row>
    <row r="64" spans="2:14" x14ac:dyDescent="0.25">
      <c r="B64" s="977"/>
      <c r="C64" s="980">
        <v>4</v>
      </c>
      <c r="D64" s="979" t="s">
        <v>562</v>
      </c>
      <c r="E64" s="980"/>
      <c r="F64" s="3002">
        <v>0.92405000000000004</v>
      </c>
      <c r="G64" s="3001">
        <v>0.93289936390955086</v>
      </c>
      <c r="H64" s="3005">
        <v>0.94027383383417651</v>
      </c>
      <c r="I64" s="3005">
        <v>0.94174872781910168</v>
      </c>
      <c r="J64" s="3005">
        <v>0.94174872781910168</v>
      </c>
      <c r="K64" s="3005">
        <v>0.94174872781910168</v>
      </c>
      <c r="L64" s="3005">
        <v>0.94174872781910168</v>
      </c>
      <c r="M64" s="3005">
        <v>0.94174872781910168</v>
      </c>
      <c r="N64" s="977"/>
    </row>
    <row r="65" spans="2:14" x14ac:dyDescent="0.25">
      <c r="B65" s="977"/>
      <c r="C65" s="977">
        <v>1</v>
      </c>
      <c r="D65" s="982" t="s">
        <v>561</v>
      </c>
      <c r="E65" s="977"/>
      <c r="F65" s="2672">
        <v>0.92405000000000004</v>
      </c>
      <c r="G65" s="2998">
        <v>0.92405000000000004</v>
      </c>
      <c r="H65" s="3003">
        <v>0.92405000000000004</v>
      </c>
      <c r="I65" s="3003">
        <v>0.92405000000000004</v>
      </c>
      <c r="J65" s="3003">
        <v>0.92405000000000004</v>
      </c>
      <c r="K65" s="3003">
        <v>0.92405000000000004</v>
      </c>
      <c r="L65" s="3003">
        <v>0.92405000000000004</v>
      </c>
      <c r="M65" s="3003">
        <v>0.92405000000000004</v>
      </c>
      <c r="N65" s="977"/>
    </row>
    <row r="66" spans="2:14" x14ac:dyDescent="0.25">
      <c r="B66" s="977"/>
      <c r="C66" s="977">
        <v>2</v>
      </c>
      <c r="D66" s="982" t="s">
        <v>561</v>
      </c>
      <c r="E66" s="977"/>
      <c r="F66" s="2672">
        <v>0.92405000000000004</v>
      </c>
      <c r="G66" s="2671">
        <v>0.92405000000000004</v>
      </c>
      <c r="H66" s="3004">
        <v>0.92784557593970063</v>
      </c>
      <c r="I66" s="3004">
        <v>0.93259004586432614</v>
      </c>
      <c r="J66" s="3004">
        <v>0.93733451578895188</v>
      </c>
      <c r="K66" s="3004">
        <v>0.93990299999999993</v>
      </c>
      <c r="L66" s="3004">
        <v>0.93990299999999993</v>
      </c>
      <c r="M66" s="3004">
        <v>0.93990299999999993</v>
      </c>
      <c r="N66" s="977"/>
    </row>
    <row r="67" spans="2:14" x14ac:dyDescent="0.25">
      <c r="B67" s="977"/>
      <c r="C67" s="977">
        <v>3</v>
      </c>
      <c r="D67" s="982" t="s">
        <v>561</v>
      </c>
      <c r="E67" s="977"/>
      <c r="F67" s="2672">
        <v>0.92405000000000004</v>
      </c>
      <c r="G67" s="2999">
        <v>0.92974336390955092</v>
      </c>
      <c r="H67" s="3004">
        <v>0.93448783383417644</v>
      </c>
      <c r="I67" s="3004">
        <v>0.93923230375880218</v>
      </c>
      <c r="J67" s="3004">
        <v>0.93990299999999993</v>
      </c>
      <c r="K67" s="3004">
        <v>0.93990299999999993</v>
      </c>
      <c r="L67" s="3004">
        <v>0.93990299999999993</v>
      </c>
      <c r="M67" s="3004">
        <v>0.93990299999999993</v>
      </c>
      <c r="N67" s="977"/>
    </row>
    <row r="68" spans="2:14" x14ac:dyDescent="0.25">
      <c r="B68" s="977"/>
      <c r="C68" s="980">
        <v>4</v>
      </c>
      <c r="D68" s="979" t="s">
        <v>561</v>
      </c>
      <c r="E68" s="980"/>
      <c r="F68" s="3002">
        <v>0.92405000000000004</v>
      </c>
      <c r="G68" s="3001">
        <v>0.93289936390955086</v>
      </c>
      <c r="H68" s="3005">
        <v>0.94027383383417651</v>
      </c>
      <c r="I68" s="3005">
        <v>0.94174872781910168</v>
      </c>
      <c r="J68" s="3005">
        <v>0.94174872781910168</v>
      </c>
      <c r="K68" s="3005">
        <v>0.94174872781910168</v>
      </c>
      <c r="L68" s="3005">
        <v>0.94174872781910168</v>
      </c>
      <c r="M68" s="3005">
        <v>0.94174872781910168</v>
      </c>
      <c r="N68" s="977"/>
    </row>
    <row r="69" spans="2:14" x14ac:dyDescent="0.25">
      <c r="B69" s="977"/>
      <c r="C69" s="977">
        <v>1</v>
      </c>
      <c r="D69" s="982" t="s">
        <v>560</v>
      </c>
      <c r="E69" s="977"/>
      <c r="F69" s="2997">
        <v>0.92405000000000004</v>
      </c>
      <c r="G69" s="2998">
        <v>0.92405000000000004</v>
      </c>
      <c r="H69" s="2997">
        <v>0.92405000000000004</v>
      </c>
      <c r="I69" s="2997">
        <v>0.92405000000000004</v>
      </c>
      <c r="J69" s="2997">
        <v>0.92405000000000004</v>
      </c>
      <c r="K69" s="2997">
        <v>0.92405000000000004</v>
      </c>
      <c r="L69" s="2997">
        <v>0.92405000000000004</v>
      </c>
      <c r="M69" s="2997">
        <v>0.92405000000000004</v>
      </c>
      <c r="N69" s="977"/>
    </row>
    <row r="70" spans="2:14" x14ac:dyDescent="0.25">
      <c r="B70" s="977"/>
      <c r="C70" s="977">
        <v>2</v>
      </c>
      <c r="D70" s="982" t="s">
        <v>560</v>
      </c>
      <c r="E70" s="977"/>
      <c r="F70" s="2672">
        <v>0.92405000000000004</v>
      </c>
      <c r="G70" s="2671">
        <v>0.92405000000000004</v>
      </c>
      <c r="H70" s="2672">
        <v>0.92499889398492519</v>
      </c>
      <c r="I70" s="2672">
        <v>0.92974336390955092</v>
      </c>
      <c r="J70" s="2672">
        <v>0.93448783383417644</v>
      </c>
      <c r="K70" s="2672">
        <v>0.93923230375880218</v>
      </c>
      <c r="L70" s="2672">
        <v>0.93990299999999993</v>
      </c>
      <c r="M70" s="2672">
        <v>0.93990299999999993</v>
      </c>
      <c r="N70" s="977"/>
    </row>
    <row r="71" spans="2:14" x14ac:dyDescent="0.25">
      <c r="B71" s="977"/>
      <c r="C71" s="977">
        <v>3</v>
      </c>
      <c r="D71" s="982" t="s">
        <v>560</v>
      </c>
      <c r="E71" s="977"/>
      <c r="F71" s="2672">
        <v>0.92405000000000004</v>
      </c>
      <c r="G71" s="2999">
        <v>0.92689668195477548</v>
      </c>
      <c r="H71" s="2672">
        <v>0.931641151879401</v>
      </c>
      <c r="I71" s="2672">
        <v>0.93638562180402674</v>
      </c>
      <c r="J71" s="2672">
        <v>0.93990299999999993</v>
      </c>
      <c r="K71" s="2672">
        <v>0.93990299999999993</v>
      </c>
      <c r="L71" s="2672">
        <v>0.93990299999999993</v>
      </c>
      <c r="M71" s="2672">
        <v>0.93990299999999993</v>
      </c>
      <c r="N71" s="977"/>
    </row>
    <row r="72" spans="2:14" x14ac:dyDescent="0.25">
      <c r="B72" s="977"/>
      <c r="C72" s="980">
        <v>4</v>
      </c>
      <c r="D72" s="979" t="s">
        <v>560</v>
      </c>
      <c r="E72" s="980"/>
      <c r="F72" s="3000">
        <v>0.92405000000000004</v>
      </c>
      <c r="G72" s="3001">
        <v>0.92847468195477556</v>
      </c>
      <c r="H72" s="3002">
        <v>0.93584915187940099</v>
      </c>
      <c r="I72" s="3002">
        <v>0.94174872781910168</v>
      </c>
      <c r="J72" s="3002">
        <v>0.94174872781910168</v>
      </c>
      <c r="K72" s="3002">
        <v>0.94174872781910168</v>
      </c>
      <c r="L72" s="3002">
        <v>0.94174872781910168</v>
      </c>
      <c r="M72" s="3002">
        <v>0.94174872781910168</v>
      </c>
      <c r="N72" s="977"/>
    </row>
    <row r="73" spans="2:14" x14ac:dyDescent="0.25">
      <c r="B73" s="977"/>
      <c r="C73" s="977">
        <v>1</v>
      </c>
      <c r="D73" s="982" t="s">
        <v>559</v>
      </c>
      <c r="E73" s="977"/>
      <c r="F73" s="2997">
        <v>0.92405000000000004</v>
      </c>
      <c r="G73" s="2998">
        <v>0.92405000000000004</v>
      </c>
      <c r="H73" s="2997">
        <v>0.92405000000000004</v>
      </c>
      <c r="I73" s="2997">
        <v>0.92405000000000004</v>
      </c>
      <c r="J73" s="2997">
        <v>0.92405000000000004</v>
      </c>
      <c r="K73" s="2997">
        <v>0.92405000000000004</v>
      </c>
      <c r="L73" s="2997">
        <v>0.92405000000000004</v>
      </c>
      <c r="M73" s="2997">
        <v>0.92405000000000004</v>
      </c>
      <c r="N73" s="977"/>
    </row>
    <row r="74" spans="2:14" x14ac:dyDescent="0.25">
      <c r="B74" s="977"/>
      <c r="C74" s="977">
        <v>2</v>
      </c>
      <c r="D74" s="982" t="s">
        <v>559</v>
      </c>
      <c r="E74" s="977"/>
      <c r="F74" s="2672">
        <v>0.92405000000000004</v>
      </c>
      <c r="G74" s="2671">
        <v>0.92405000000000004</v>
      </c>
      <c r="H74" s="2672">
        <v>0.92499889398492519</v>
      </c>
      <c r="I74" s="2672">
        <v>0.92974336390955092</v>
      </c>
      <c r="J74" s="2672">
        <v>0.93448783383417644</v>
      </c>
      <c r="K74" s="2672">
        <v>0.93923230375880218</v>
      </c>
      <c r="L74" s="2672">
        <v>0.93990299999999993</v>
      </c>
      <c r="M74" s="2672">
        <v>0.93990299999999993</v>
      </c>
      <c r="N74" s="977"/>
    </row>
    <row r="75" spans="2:14" x14ac:dyDescent="0.25">
      <c r="B75" s="977"/>
      <c r="C75" s="977">
        <v>3</v>
      </c>
      <c r="D75" s="982" t="s">
        <v>559</v>
      </c>
      <c r="E75" s="977"/>
      <c r="F75" s="2672">
        <v>0.92405000000000004</v>
      </c>
      <c r="G75" s="2999">
        <v>0.92689668195477548</v>
      </c>
      <c r="H75" s="2672">
        <v>0.931641151879401</v>
      </c>
      <c r="I75" s="2672">
        <v>0.93638562180402674</v>
      </c>
      <c r="J75" s="2672">
        <v>0.93990299999999993</v>
      </c>
      <c r="K75" s="2672">
        <v>0.93990299999999993</v>
      </c>
      <c r="L75" s="2672">
        <v>0.93990299999999993</v>
      </c>
      <c r="M75" s="2672">
        <v>0.93990299999999993</v>
      </c>
      <c r="N75" s="977"/>
    </row>
    <row r="76" spans="2:14" x14ac:dyDescent="0.25">
      <c r="B76" s="977"/>
      <c r="C76" s="980">
        <v>4</v>
      </c>
      <c r="D76" s="979" t="s">
        <v>559</v>
      </c>
      <c r="E76" s="980"/>
      <c r="F76" s="3000">
        <v>0.92405000000000004</v>
      </c>
      <c r="G76" s="3001">
        <v>0.92847468195477556</v>
      </c>
      <c r="H76" s="3002">
        <v>0.93584915187940099</v>
      </c>
      <c r="I76" s="3002">
        <v>0.94174872781910168</v>
      </c>
      <c r="J76" s="3002">
        <v>0.94174872781910168</v>
      </c>
      <c r="K76" s="3002">
        <v>0.94174872781910168</v>
      </c>
      <c r="L76" s="3002">
        <v>0.94174872781910168</v>
      </c>
      <c r="M76" s="3002">
        <v>0.94174872781910168</v>
      </c>
      <c r="N76" s="977"/>
    </row>
    <row r="77" spans="2:14" x14ac:dyDescent="0.25">
      <c r="B77" s="977"/>
      <c r="C77" s="977">
        <v>1</v>
      </c>
      <c r="D77" s="982" t="s">
        <v>558</v>
      </c>
      <c r="E77" s="977"/>
      <c r="F77" s="2672">
        <v>0.92405000000000004</v>
      </c>
      <c r="G77" s="2998">
        <v>0.92405000000000004</v>
      </c>
      <c r="H77" s="2997">
        <v>0.92405000000000004</v>
      </c>
      <c r="I77" s="2997">
        <v>0.92405000000000004</v>
      </c>
      <c r="J77" s="2997">
        <v>0.92405000000000004</v>
      </c>
      <c r="K77" s="2997">
        <v>0.92405000000000004</v>
      </c>
      <c r="L77" s="2997">
        <v>0.92405000000000004</v>
      </c>
      <c r="M77" s="2997">
        <v>0.92405000000000004</v>
      </c>
      <c r="N77" s="977"/>
    </row>
    <row r="78" spans="2:14" x14ac:dyDescent="0.25">
      <c r="B78" s="977"/>
      <c r="C78" s="977">
        <v>2</v>
      </c>
      <c r="D78" s="982" t="s">
        <v>558</v>
      </c>
      <c r="E78" s="977"/>
      <c r="F78" s="2672">
        <v>0.92405000000000004</v>
      </c>
      <c r="G78" s="2671">
        <v>0.92405000000000004</v>
      </c>
      <c r="H78" s="2672">
        <v>0.92499889398492519</v>
      </c>
      <c r="I78" s="2672">
        <v>0.92974336390955092</v>
      </c>
      <c r="J78" s="2672">
        <v>0.93448783383417644</v>
      </c>
      <c r="K78" s="2672">
        <v>0.93923230375880218</v>
      </c>
      <c r="L78" s="2672">
        <v>0.93990299999999993</v>
      </c>
      <c r="M78" s="2672">
        <v>0.93990299999999993</v>
      </c>
      <c r="N78" s="977"/>
    </row>
    <row r="79" spans="2:14" x14ac:dyDescent="0.25">
      <c r="B79" s="977"/>
      <c r="C79" s="977">
        <v>3</v>
      </c>
      <c r="D79" s="982" t="s">
        <v>558</v>
      </c>
      <c r="E79" s="977"/>
      <c r="F79" s="2672">
        <v>0.92405000000000004</v>
      </c>
      <c r="G79" s="2999">
        <v>0.92689668195477548</v>
      </c>
      <c r="H79" s="2672">
        <v>0.931641151879401</v>
      </c>
      <c r="I79" s="2672">
        <v>0.93638562180402674</v>
      </c>
      <c r="J79" s="2672">
        <v>0.93990299999999993</v>
      </c>
      <c r="K79" s="2672">
        <v>0.93990299999999993</v>
      </c>
      <c r="L79" s="2672">
        <v>0.93990299999999993</v>
      </c>
      <c r="M79" s="2672">
        <v>0.93990299999999993</v>
      </c>
      <c r="N79" s="977"/>
    </row>
    <row r="80" spans="2:14" x14ac:dyDescent="0.25">
      <c r="B80" s="977"/>
      <c r="C80" s="980">
        <v>4</v>
      </c>
      <c r="D80" s="979" t="s">
        <v>558</v>
      </c>
      <c r="E80" s="980"/>
      <c r="F80" s="3002">
        <v>0.92405000000000004</v>
      </c>
      <c r="G80" s="3001">
        <v>0.92847468195477556</v>
      </c>
      <c r="H80" s="3002">
        <v>0.93584915187940099</v>
      </c>
      <c r="I80" s="3002">
        <v>0.94174872781910168</v>
      </c>
      <c r="J80" s="3002">
        <v>0.94174872781910168</v>
      </c>
      <c r="K80" s="3002">
        <v>0.94174872781910168</v>
      </c>
      <c r="L80" s="3002">
        <v>0.94174872781910168</v>
      </c>
      <c r="M80" s="3002">
        <v>0.94174872781910168</v>
      </c>
      <c r="N80" s="977"/>
    </row>
    <row r="81" spans="2:14" ht="5.25" customHeight="1" x14ac:dyDescent="0.25">
      <c r="B81" s="977"/>
      <c r="C81" s="977"/>
      <c r="D81" s="982"/>
      <c r="E81" s="977"/>
      <c r="F81" s="990"/>
      <c r="G81" s="2738"/>
      <c r="H81" s="989"/>
      <c r="I81" s="989"/>
      <c r="J81" s="989"/>
      <c r="K81" s="989"/>
      <c r="L81" s="989"/>
      <c r="M81" s="989"/>
      <c r="N81" s="977"/>
    </row>
    <row r="82" spans="2:14" x14ac:dyDescent="0.25">
      <c r="B82" s="977"/>
      <c r="C82" s="2897" t="s">
        <v>8</v>
      </c>
      <c r="D82" s="791"/>
      <c r="E82" s="977"/>
      <c r="F82" s="990"/>
      <c r="G82" s="2738"/>
      <c r="H82" s="989"/>
      <c r="I82" s="989"/>
      <c r="J82" s="989"/>
      <c r="K82" s="989"/>
      <c r="L82" s="989"/>
      <c r="M82" s="989"/>
      <c r="N82" s="977"/>
    </row>
    <row r="83" spans="2:14" x14ac:dyDescent="0.25">
      <c r="B83" s="977"/>
      <c r="C83" s="2991" t="s">
        <v>133</v>
      </c>
      <c r="D83" s="2992" t="s">
        <v>2093</v>
      </c>
      <c r="E83" s="977"/>
      <c r="F83" s="990"/>
      <c r="G83" s="2738"/>
      <c r="H83" s="989"/>
      <c r="I83" s="989"/>
      <c r="J83" s="989"/>
      <c r="K83" s="989"/>
      <c r="L83" s="989"/>
      <c r="M83" s="989"/>
      <c r="N83" s="977"/>
    </row>
    <row r="84" spans="2:14" x14ac:dyDescent="0.25">
      <c r="B84" s="977"/>
      <c r="C84" s="800"/>
      <c r="D84" s="2896" t="s">
        <v>1981</v>
      </c>
      <c r="E84" s="977"/>
      <c r="F84" s="990"/>
      <c r="G84" s="2738"/>
      <c r="H84" s="989"/>
      <c r="I84" s="989"/>
      <c r="J84" s="989"/>
      <c r="K84" s="989"/>
      <c r="L84" s="989"/>
      <c r="M84" s="989"/>
      <c r="N84" s="977"/>
    </row>
    <row r="85" spans="2:14" x14ac:dyDescent="0.25">
      <c r="B85" s="977"/>
      <c r="C85" s="977"/>
      <c r="D85" s="982"/>
      <c r="E85" s="977"/>
      <c r="F85" s="990"/>
      <c r="G85" s="2738"/>
      <c r="H85" s="989"/>
      <c r="I85" s="989"/>
      <c r="J85" s="989"/>
      <c r="K85" s="989"/>
      <c r="L85" s="989"/>
      <c r="M85" s="989"/>
      <c r="N85" s="977"/>
    </row>
    <row r="86" spans="2:14" x14ac:dyDescent="0.25">
      <c r="B86" s="977"/>
      <c r="C86" s="977"/>
      <c r="D86" s="982"/>
      <c r="E86" s="977"/>
      <c r="F86" s="990"/>
      <c r="G86" s="2738"/>
      <c r="H86" s="989"/>
      <c r="I86" s="989"/>
      <c r="J86" s="989"/>
      <c r="K86" s="989"/>
      <c r="L86" s="989"/>
      <c r="M86" s="989"/>
      <c r="N86" s="977"/>
    </row>
    <row r="87" spans="2:14" x14ac:dyDescent="0.25">
      <c r="B87" s="2990" t="s">
        <v>1968</v>
      </c>
      <c r="C87" s="986" t="s">
        <v>2098</v>
      </c>
      <c r="D87" s="977"/>
      <c r="E87" s="977"/>
      <c r="F87" s="1000"/>
      <c r="G87" s="977"/>
      <c r="H87" s="977"/>
      <c r="I87" s="977"/>
      <c r="J87" s="977"/>
      <c r="K87" s="1002"/>
      <c r="L87" s="2745"/>
      <c r="M87" s="977"/>
      <c r="N87" s="977"/>
    </row>
    <row r="88" spans="2:14" x14ac:dyDescent="0.25">
      <c r="B88" s="977"/>
      <c r="C88" s="986"/>
      <c r="D88" s="977"/>
      <c r="E88" s="977"/>
      <c r="F88" s="1000"/>
      <c r="G88" s="977"/>
      <c r="H88" s="977"/>
      <c r="I88" s="977"/>
      <c r="J88" s="977"/>
      <c r="K88" s="1002"/>
      <c r="L88" s="1001"/>
      <c r="M88" s="1001"/>
      <c r="N88" s="977"/>
    </row>
    <row r="89" spans="2:14" x14ac:dyDescent="0.25">
      <c r="B89" s="977"/>
      <c r="C89" s="2989" t="s">
        <v>2099</v>
      </c>
      <c r="D89" s="982"/>
      <c r="E89" s="977"/>
      <c r="F89" s="990"/>
      <c r="G89" s="2738"/>
      <c r="H89" s="989"/>
      <c r="I89" s="989"/>
      <c r="J89" s="989"/>
      <c r="K89" s="989"/>
      <c r="L89" s="3011" t="s">
        <v>2122</v>
      </c>
      <c r="M89" s="2993" t="s">
        <v>190</v>
      </c>
      <c r="N89" s="977"/>
    </row>
    <row r="90" spans="2:14" ht="6.75" customHeight="1" x14ac:dyDescent="0.25">
      <c r="B90" s="977"/>
      <c r="C90" s="986"/>
      <c r="D90" s="977"/>
      <c r="E90" s="977"/>
      <c r="F90" s="1000"/>
      <c r="G90" s="977"/>
      <c r="H90" s="977"/>
      <c r="I90" s="977"/>
      <c r="J90" s="977"/>
      <c r="K90" s="1002"/>
      <c r="L90" s="2739"/>
      <c r="M90" s="982"/>
      <c r="N90" s="977"/>
    </row>
    <row r="91" spans="2:14" x14ac:dyDescent="0.25">
      <c r="B91" s="977"/>
      <c r="C91" s="985" t="s">
        <v>3</v>
      </c>
      <c r="D91" s="999" t="s">
        <v>531</v>
      </c>
      <c r="E91" s="999" t="s">
        <v>2096</v>
      </c>
      <c r="F91" s="983">
        <v>2015</v>
      </c>
      <c r="G91" s="984">
        <v>2020</v>
      </c>
      <c r="H91" s="983">
        <v>2025</v>
      </c>
      <c r="I91" s="983">
        <v>2030</v>
      </c>
      <c r="J91" s="983">
        <v>2035</v>
      </c>
      <c r="K91" s="983">
        <v>2040</v>
      </c>
      <c r="L91" s="983">
        <v>2045</v>
      </c>
      <c r="M91" s="983">
        <v>2050</v>
      </c>
      <c r="N91" s="977"/>
    </row>
    <row r="92" spans="2:14" x14ac:dyDescent="0.25">
      <c r="B92" s="977"/>
      <c r="C92" s="3007">
        <v>1</v>
      </c>
      <c r="D92" s="2739" t="s">
        <v>492</v>
      </c>
      <c r="E92" s="977"/>
      <c r="F92" s="2997">
        <v>0.82</v>
      </c>
      <c r="G92" s="2998">
        <v>0.82</v>
      </c>
      <c r="H92" s="2997">
        <v>0.82</v>
      </c>
      <c r="I92" s="2997">
        <v>0.82</v>
      </c>
      <c r="J92" s="2997">
        <v>0.82</v>
      </c>
      <c r="K92" s="2997">
        <v>0.82</v>
      </c>
      <c r="L92" s="2997">
        <v>0.82</v>
      </c>
      <c r="M92" s="2997">
        <v>0.82</v>
      </c>
      <c r="N92" s="977"/>
    </row>
    <row r="93" spans="2:14" x14ac:dyDescent="0.25">
      <c r="B93" s="977"/>
      <c r="C93" s="3007">
        <v>2</v>
      </c>
      <c r="D93" s="2739" t="s">
        <v>492</v>
      </c>
      <c r="E93" s="977"/>
      <c r="F93" s="2672">
        <v>0.82</v>
      </c>
      <c r="G93" s="2671">
        <v>0.82182076010140981</v>
      </c>
      <c r="H93" s="2672">
        <v>0.82481095859130482</v>
      </c>
      <c r="I93" s="2672">
        <v>0.83002001086551069</v>
      </c>
      <c r="J93" s="2672">
        <v>0.8352452263861686</v>
      </c>
      <c r="K93" s="2672">
        <v>0.83825937911969239</v>
      </c>
      <c r="L93" s="2672">
        <v>0.83947845014421418</v>
      </c>
      <c r="M93" s="2672">
        <v>0.83989899999999995</v>
      </c>
      <c r="N93" s="977"/>
    </row>
    <row r="94" spans="2:14" x14ac:dyDescent="0.25">
      <c r="B94" s="977"/>
      <c r="C94" s="3007">
        <v>3</v>
      </c>
      <c r="D94" s="2739" t="s">
        <v>492</v>
      </c>
      <c r="E94" s="977"/>
      <c r="F94" s="3006">
        <v>0.82</v>
      </c>
      <c r="G94" s="2999">
        <v>0.82364152020281967</v>
      </c>
      <c r="H94" s="2672">
        <v>0.82962191718260958</v>
      </c>
      <c r="I94" s="2672">
        <v>0.84004002173102144</v>
      </c>
      <c r="J94" s="2672">
        <v>0.85049045277233726</v>
      </c>
      <c r="K94" s="2672">
        <v>0.85651875823938484</v>
      </c>
      <c r="L94" s="2672">
        <v>0.8589569002884283</v>
      </c>
      <c r="M94" s="2672">
        <v>0.85979799999999995</v>
      </c>
      <c r="N94" s="977"/>
    </row>
    <row r="95" spans="2:14" x14ac:dyDescent="0.25">
      <c r="B95" s="977"/>
      <c r="C95" s="3008">
        <v>4</v>
      </c>
      <c r="D95" s="3009" t="s">
        <v>492</v>
      </c>
      <c r="E95" s="980"/>
      <c r="F95" s="3000">
        <v>0.82</v>
      </c>
      <c r="G95" s="3001">
        <v>0.82606920033803277</v>
      </c>
      <c r="H95" s="3002">
        <v>0.83603652863768274</v>
      </c>
      <c r="I95" s="3002">
        <v>0.85340003621836913</v>
      </c>
      <c r="J95" s="3002">
        <v>0.87081742128722872</v>
      </c>
      <c r="K95" s="3002">
        <v>0.88086459706564146</v>
      </c>
      <c r="L95" s="3002">
        <v>0.88492816714738065</v>
      </c>
      <c r="M95" s="3002">
        <v>0.88633000000000006</v>
      </c>
      <c r="N95" s="977"/>
    </row>
    <row r="96" spans="2:14" x14ac:dyDescent="0.25">
      <c r="B96" s="977"/>
      <c r="C96" s="3007">
        <v>1</v>
      </c>
      <c r="D96" s="2739" t="s">
        <v>495</v>
      </c>
      <c r="E96" s="977"/>
      <c r="F96" s="2672">
        <v>0.73799999999999999</v>
      </c>
      <c r="G96" s="2998">
        <v>0.73799999999999999</v>
      </c>
      <c r="H96" s="3003">
        <v>0.73799999999999999</v>
      </c>
      <c r="I96" s="3003">
        <v>0.73799999999999999</v>
      </c>
      <c r="J96" s="3003">
        <v>0.73799999999999999</v>
      </c>
      <c r="K96" s="3003">
        <v>0.73799999999999999</v>
      </c>
      <c r="L96" s="3003">
        <v>0.73799999999999999</v>
      </c>
      <c r="M96" s="3003">
        <v>0.73799999999999999</v>
      </c>
      <c r="N96" s="977"/>
    </row>
    <row r="97" spans="2:14" x14ac:dyDescent="0.25">
      <c r="B97" s="977"/>
      <c r="C97" s="3007">
        <v>2</v>
      </c>
      <c r="D97" s="2739" t="s">
        <v>495</v>
      </c>
      <c r="E97" s="977"/>
      <c r="F97" s="2672">
        <f>F96</f>
        <v>0.73799999999999999</v>
      </c>
      <c r="G97" s="2671">
        <v>0.74123388734429507</v>
      </c>
      <c r="H97" s="3004">
        <v>0.74654483690097417</v>
      </c>
      <c r="I97" s="3004">
        <v>0.75579673571635486</v>
      </c>
      <c r="J97" s="3004">
        <v>0.76507734238737413</v>
      </c>
      <c r="K97" s="3004">
        <v>0.77043083754094621</v>
      </c>
      <c r="L97" s="3004">
        <v>0.77259605324121616</v>
      </c>
      <c r="M97" s="3004">
        <v>0.773343</v>
      </c>
      <c r="N97" s="977"/>
    </row>
    <row r="98" spans="2:14" x14ac:dyDescent="0.25">
      <c r="B98" s="977"/>
      <c r="C98" s="3007">
        <v>3</v>
      </c>
      <c r="D98" s="2739" t="s">
        <v>495</v>
      </c>
      <c r="E98" s="977"/>
      <c r="F98" s="3006">
        <f>F97</f>
        <v>0.73799999999999999</v>
      </c>
      <c r="G98" s="2999">
        <v>0.74446777468859016</v>
      </c>
      <c r="H98" s="3004">
        <v>0.75508967380194847</v>
      </c>
      <c r="I98" s="3004">
        <v>0.77359347143270973</v>
      </c>
      <c r="J98" s="3004">
        <v>0.79215468477474826</v>
      </c>
      <c r="K98" s="3004">
        <v>0.80286167508189243</v>
      </c>
      <c r="L98" s="3004">
        <v>0.80719210648243245</v>
      </c>
      <c r="M98" s="3004">
        <v>0.80868600000000002</v>
      </c>
      <c r="N98" s="977"/>
    </row>
    <row r="99" spans="2:14" x14ac:dyDescent="0.25">
      <c r="B99" s="977"/>
      <c r="C99" s="3008">
        <v>4</v>
      </c>
      <c r="D99" s="3009" t="s">
        <v>495</v>
      </c>
      <c r="E99" s="980"/>
      <c r="F99" s="3000">
        <f>F98</f>
        <v>0.73799999999999999</v>
      </c>
      <c r="G99" s="3001">
        <v>0.74877962448098367</v>
      </c>
      <c r="H99" s="3005">
        <v>0.76648278966991412</v>
      </c>
      <c r="I99" s="3005">
        <v>0.7973224523878496</v>
      </c>
      <c r="J99" s="3005">
        <v>0.82825780795791371</v>
      </c>
      <c r="K99" s="3005">
        <v>0.84610279180315418</v>
      </c>
      <c r="L99" s="3005">
        <v>0.85332017747072075</v>
      </c>
      <c r="M99" s="3005">
        <v>0.85580999999999996</v>
      </c>
      <c r="N99" s="977"/>
    </row>
    <row r="100" spans="2:14" x14ac:dyDescent="0.25">
      <c r="B100" s="977"/>
      <c r="C100" s="3007">
        <v>1</v>
      </c>
      <c r="D100" s="982" t="s">
        <v>491</v>
      </c>
      <c r="E100" s="977"/>
      <c r="F100" s="2672">
        <v>0.76700000000000002</v>
      </c>
      <c r="G100" s="2998">
        <v>0.76700000000000002</v>
      </c>
      <c r="H100" s="3003">
        <v>0.76700000000000002</v>
      </c>
      <c r="I100" s="3003">
        <v>0.76700000000000002</v>
      </c>
      <c r="J100" s="3003">
        <v>0.76700000000000002</v>
      </c>
      <c r="K100" s="3003">
        <v>0.76700000000000002</v>
      </c>
      <c r="L100" s="3003">
        <v>0.76700000000000002</v>
      </c>
      <c r="M100" s="3003">
        <v>0.76700000000000002</v>
      </c>
      <c r="N100" s="977"/>
    </row>
    <row r="101" spans="2:14" x14ac:dyDescent="0.25">
      <c r="B101" s="977"/>
      <c r="C101" s="3007">
        <v>2</v>
      </c>
      <c r="D101" s="982" t="s">
        <v>491</v>
      </c>
      <c r="E101" s="977"/>
      <c r="F101" s="3006">
        <f>F100</f>
        <v>0.76700000000000002</v>
      </c>
      <c r="G101" s="2671">
        <v>0.76944579715114758</v>
      </c>
      <c r="H101" s="3004">
        <v>0.77346248168981246</v>
      </c>
      <c r="I101" s="3004">
        <v>0.78045971608799947</v>
      </c>
      <c r="J101" s="3004">
        <v>0.7874786623097787</v>
      </c>
      <c r="K101" s="3004">
        <v>0.79152752419063166</v>
      </c>
      <c r="L101" s="3004">
        <v>0.79316508228327276</v>
      </c>
      <c r="M101" s="3004">
        <v>0.79373000000000005</v>
      </c>
      <c r="N101" s="977"/>
    </row>
    <row r="102" spans="2:14" x14ac:dyDescent="0.25">
      <c r="B102" s="977"/>
      <c r="C102" s="3007">
        <v>3</v>
      </c>
      <c r="D102" s="982" t="s">
        <v>491</v>
      </c>
      <c r="E102" s="977"/>
      <c r="F102" s="3006">
        <f>F101</f>
        <v>0.76700000000000002</v>
      </c>
      <c r="G102" s="2999">
        <v>0.77189159430229515</v>
      </c>
      <c r="H102" s="3004">
        <v>0.77992496337962491</v>
      </c>
      <c r="I102" s="3004">
        <v>0.79391943217599903</v>
      </c>
      <c r="J102" s="3004">
        <v>0.80795732461955749</v>
      </c>
      <c r="K102" s="3004">
        <v>0.81605504838126319</v>
      </c>
      <c r="L102" s="3004">
        <v>0.8193301645665455</v>
      </c>
      <c r="M102" s="3004">
        <v>0.82045999999999997</v>
      </c>
      <c r="N102" s="977"/>
    </row>
    <row r="103" spans="2:14" x14ac:dyDescent="0.25">
      <c r="B103" s="977"/>
      <c r="C103" s="3008">
        <v>4</v>
      </c>
      <c r="D103" s="979" t="s">
        <v>491</v>
      </c>
      <c r="E103" s="980"/>
      <c r="F103" s="3000">
        <f>F101</f>
        <v>0.76700000000000002</v>
      </c>
      <c r="G103" s="3001">
        <v>0.77515265717049187</v>
      </c>
      <c r="H103" s="3005">
        <v>0.78854160563270814</v>
      </c>
      <c r="I103" s="3005">
        <v>0.81186572029333159</v>
      </c>
      <c r="J103" s="3005">
        <v>0.83526220769926252</v>
      </c>
      <c r="K103" s="3005">
        <v>0.84875841396877205</v>
      </c>
      <c r="L103" s="3005">
        <v>0.85421694094424261</v>
      </c>
      <c r="M103" s="3005">
        <v>0.85609999999999997</v>
      </c>
      <c r="N103" s="977"/>
    </row>
    <row r="104" spans="2:14" x14ac:dyDescent="0.25">
      <c r="B104" s="977"/>
      <c r="C104" s="3007">
        <v>1</v>
      </c>
      <c r="D104" s="982" t="s">
        <v>331</v>
      </c>
      <c r="E104" s="977"/>
      <c r="F104" s="2672">
        <v>0.7340000000000001</v>
      </c>
      <c r="G104" s="2998">
        <v>0.7340000000000001</v>
      </c>
      <c r="H104" s="3003">
        <v>0.7340000000000001</v>
      </c>
      <c r="I104" s="3003">
        <v>0.7340000000000001</v>
      </c>
      <c r="J104" s="3003">
        <v>0.7340000000000001</v>
      </c>
      <c r="K104" s="3003">
        <v>0.7340000000000001</v>
      </c>
      <c r="L104" s="3003">
        <v>0.7340000000000001</v>
      </c>
      <c r="M104" s="3003">
        <v>0.7340000000000001</v>
      </c>
      <c r="N104" s="977"/>
    </row>
    <row r="105" spans="2:14" x14ac:dyDescent="0.25">
      <c r="B105" s="977"/>
      <c r="C105" s="3007">
        <v>2</v>
      </c>
      <c r="D105" s="982" t="s">
        <v>331</v>
      </c>
      <c r="E105" s="977"/>
      <c r="F105" s="3006">
        <f>F104</f>
        <v>0.7340000000000001</v>
      </c>
      <c r="G105" s="2671">
        <v>0.7340650803406602</v>
      </c>
      <c r="H105" s="3004">
        <v>0.73430792533460021</v>
      </c>
      <c r="I105" s="3004">
        <v>0.73532000000000008</v>
      </c>
      <c r="J105" s="3004">
        <v>0.73806586868846036</v>
      </c>
      <c r="K105" s="3004">
        <v>0.74110108722104695</v>
      </c>
      <c r="L105" s="3004">
        <v>0.74238766826055025</v>
      </c>
      <c r="M105" s="3004">
        <v>0.74271200000000015</v>
      </c>
      <c r="N105" s="977"/>
    </row>
    <row r="106" spans="2:14" x14ac:dyDescent="0.25">
      <c r="B106" s="977"/>
      <c r="C106" s="3007">
        <v>3</v>
      </c>
      <c r="D106" s="982" t="s">
        <v>331</v>
      </c>
      <c r="E106" s="977"/>
      <c r="F106" s="3006">
        <f>F104</f>
        <v>0.7340000000000001</v>
      </c>
      <c r="G106" s="2999">
        <v>0.73412879377318396</v>
      </c>
      <c r="H106" s="3004">
        <v>0.7346766024882796</v>
      </c>
      <c r="I106" s="3004">
        <v>0.73733967833657099</v>
      </c>
      <c r="J106" s="3004">
        <v>0.74665301882761992</v>
      </c>
      <c r="K106" s="3004">
        <v>0.76041308962804344</v>
      </c>
      <c r="L106" s="3004">
        <v>0.76693577463069273</v>
      </c>
      <c r="M106" s="3004">
        <v>0.76845200000000013</v>
      </c>
      <c r="N106" s="977"/>
    </row>
    <row r="107" spans="2:14" x14ac:dyDescent="0.25">
      <c r="B107" s="977"/>
      <c r="C107" s="3008">
        <v>4</v>
      </c>
      <c r="D107" s="979" t="s">
        <v>331</v>
      </c>
      <c r="E107" s="980"/>
      <c r="F107" s="3000">
        <f>F104</f>
        <v>0.7340000000000001</v>
      </c>
      <c r="G107" s="3001">
        <v>0.7346923907232723</v>
      </c>
      <c r="H107" s="3005">
        <v>0.73700131262577007</v>
      </c>
      <c r="I107" s="3005">
        <v>0.74569967833657103</v>
      </c>
      <c r="J107" s="3005">
        <v>0.76754229169298283</v>
      </c>
      <c r="K107" s="3005">
        <v>0.79236620630424193</v>
      </c>
      <c r="L107" s="3005">
        <v>0.80334396658057006</v>
      </c>
      <c r="M107" s="3005">
        <v>0.80607200000000012</v>
      </c>
      <c r="N107" s="977"/>
    </row>
    <row r="108" spans="2:14" x14ac:dyDescent="0.25">
      <c r="B108" s="977"/>
      <c r="C108" s="3007">
        <v>1</v>
      </c>
      <c r="D108" s="982" t="s">
        <v>493</v>
      </c>
      <c r="E108" s="977"/>
      <c r="F108" s="2672">
        <v>0.74099999999999999</v>
      </c>
      <c r="G108" s="2998">
        <v>0.74099999999999999</v>
      </c>
      <c r="H108" s="2995">
        <v>0.74099999999999999</v>
      </c>
      <c r="I108" s="2995">
        <v>0.74099999999999999</v>
      </c>
      <c r="J108" s="2672">
        <v>0.74099999999999999</v>
      </c>
      <c r="K108" s="2998">
        <v>0.74099999999999999</v>
      </c>
      <c r="L108" s="3003">
        <v>0.74099999999999999</v>
      </c>
      <c r="M108" s="3003">
        <v>0.74099999999999999</v>
      </c>
      <c r="N108" s="977"/>
    </row>
    <row r="109" spans="2:14" x14ac:dyDescent="0.25">
      <c r="B109" s="977"/>
      <c r="C109" s="3007">
        <v>2</v>
      </c>
      <c r="D109" s="982" t="s">
        <v>493</v>
      </c>
      <c r="E109" s="977"/>
      <c r="F109" s="2672">
        <f>F108</f>
        <v>0.74099999999999999</v>
      </c>
      <c r="G109" s="2671">
        <v>0.74521220620475415</v>
      </c>
      <c r="H109" s="2995">
        <v>0.75212982957689922</v>
      </c>
      <c r="I109" s="2995">
        <v>0.76418062215155469</v>
      </c>
      <c r="J109" s="2672">
        <v>0.77626880731128556</v>
      </c>
      <c r="K109" s="2671">
        <v>0.78324184721719892</v>
      </c>
      <c r="L109" s="3004">
        <v>0.78606208615452533</v>
      </c>
      <c r="M109" s="3004">
        <v>0.78703500000000004</v>
      </c>
      <c r="N109" s="977"/>
    </row>
    <row r="110" spans="2:14" x14ac:dyDescent="0.25">
      <c r="B110" s="977"/>
      <c r="C110" s="3007">
        <v>3</v>
      </c>
      <c r="D110" s="982" t="s">
        <v>493</v>
      </c>
      <c r="E110" s="977"/>
      <c r="F110" s="2672">
        <f>F109</f>
        <v>0.74099999999999999</v>
      </c>
      <c r="G110" s="2999">
        <v>0.74942441240950819</v>
      </c>
      <c r="H110" s="2995">
        <v>0.76325965915379845</v>
      </c>
      <c r="I110" s="2995">
        <v>0.78736124430310939</v>
      </c>
      <c r="J110" s="2672">
        <v>0.81153761462257124</v>
      </c>
      <c r="K110" s="2999">
        <v>0.82548369443439784</v>
      </c>
      <c r="L110" s="3004">
        <v>0.83112417230905067</v>
      </c>
      <c r="M110" s="3004">
        <v>0.83306999999999998</v>
      </c>
      <c r="N110" s="977"/>
    </row>
    <row r="111" spans="2:14" x14ac:dyDescent="0.25">
      <c r="B111" s="977"/>
      <c r="C111" s="3008">
        <v>4</v>
      </c>
      <c r="D111" s="979" t="s">
        <v>493</v>
      </c>
      <c r="E111" s="980"/>
      <c r="F111" s="3002">
        <f>F109</f>
        <v>0.74099999999999999</v>
      </c>
      <c r="G111" s="3001">
        <v>0.75504068734918039</v>
      </c>
      <c r="H111" s="2996">
        <v>0.77809943192299746</v>
      </c>
      <c r="I111" s="2996">
        <v>0.81826874050518228</v>
      </c>
      <c r="J111" s="3002">
        <v>0.85856269103761873</v>
      </c>
      <c r="K111" s="3001">
        <v>0.88180615739066304</v>
      </c>
      <c r="L111" s="3005">
        <v>0.89120695384841786</v>
      </c>
      <c r="M111" s="3005">
        <v>0.89444999999999997</v>
      </c>
      <c r="N111" s="977"/>
    </row>
    <row r="112" spans="2:14" ht="6.75" customHeight="1" x14ac:dyDescent="0.25">
      <c r="B112" s="977"/>
      <c r="C112" s="986"/>
      <c r="D112" s="977"/>
      <c r="E112" s="977"/>
      <c r="F112" s="1000"/>
      <c r="G112" s="977"/>
      <c r="H112" s="977"/>
      <c r="I112" s="977"/>
      <c r="J112" s="977"/>
      <c r="K112" s="1002"/>
      <c r="L112" s="1001"/>
      <c r="M112" s="1001"/>
      <c r="N112" s="977"/>
    </row>
    <row r="113" spans="2:14" x14ac:dyDescent="0.25">
      <c r="B113" s="977"/>
      <c r="C113" s="2897" t="s">
        <v>8</v>
      </c>
      <c r="D113" s="791"/>
      <c r="E113" s="977"/>
      <c r="F113" s="1000"/>
      <c r="G113" s="977"/>
      <c r="H113" s="977"/>
      <c r="I113" s="977"/>
      <c r="J113" s="977"/>
      <c r="K113" s="1002"/>
      <c r="L113" s="1001"/>
      <c r="M113" s="1001"/>
      <c r="N113" s="977"/>
    </row>
    <row r="114" spans="2:14" x14ac:dyDescent="0.25">
      <c r="B114" s="977"/>
      <c r="C114" s="2991" t="s">
        <v>136</v>
      </c>
      <c r="D114" s="2992" t="s">
        <v>2101</v>
      </c>
      <c r="E114" s="977"/>
      <c r="F114" s="1000"/>
      <c r="G114" s="977"/>
      <c r="H114" s="977"/>
      <c r="I114" s="977"/>
      <c r="J114" s="977"/>
      <c r="K114" s="1002"/>
      <c r="L114" s="1001"/>
      <c r="M114" s="1001"/>
      <c r="N114" s="977"/>
    </row>
    <row r="115" spans="2:14" x14ac:dyDescent="0.25">
      <c r="B115" s="977"/>
      <c r="C115" s="800"/>
      <c r="D115" s="2896" t="s">
        <v>1981</v>
      </c>
      <c r="E115" s="977"/>
      <c r="F115" s="1000"/>
      <c r="G115" s="977"/>
      <c r="H115" s="977"/>
      <c r="I115" s="977"/>
      <c r="J115" s="977"/>
      <c r="K115" s="1002"/>
      <c r="L115" s="1001"/>
      <c r="M115" s="1001"/>
      <c r="N115" s="977"/>
    </row>
    <row r="116" spans="2:14" x14ac:dyDescent="0.25">
      <c r="B116" s="977"/>
      <c r="C116" s="977"/>
      <c r="D116" s="977"/>
      <c r="E116" s="977"/>
      <c r="F116" s="1000"/>
      <c r="G116" s="977"/>
      <c r="H116" s="977"/>
      <c r="I116" s="977"/>
      <c r="J116" s="977"/>
      <c r="K116" s="977"/>
      <c r="L116" s="977"/>
      <c r="M116" s="977"/>
      <c r="N116" s="977"/>
    </row>
    <row r="117" spans="2:14" x14ac:dyDescent="0.25">
      <c r="B117" s="977"/>
      <c r="C117" s="986" t="s">
        <v>1909</v>
      </c>
      <c r="D117" s="977"/>
      <c r="E117" s="977"/>
      <c r="F117" s="1000"/>
      <c r="G117" s="977"/>
      <c r="H117" s="977"/>
      <c r="I117" s="977"/>
      <c r="J117" s="977"/>
      <c r="K117" s="1002"/>
      <c r="L117" s="3011" t="s">
        <v>2105</v>
      </c>
      <c r="M117" s="982" t="s">
        <v>190</v>
      </c>
      <c r="N117" s="977"/>
    </row>
    <row r="118" spans="2:14" ht="6" customHeight="1" x14ac:dyDescent="0.25">
      <c r="B118" s="977"/>
      <c r="C118" s="977"/>
      <c r="D118" s="977"/>
      <c r="E118" s="977"/>
      <c r="F118" s="1000"/>
      <c r="G118" s="977"/>
      <c r="H118" s="977"/>
      <c r="I118" s="977"/>
      <c r="J118" s="977"/>
      <c r="K118" s="977"/>
      <c r="L118" s="977"/>
      <c r="M118" s="977"/>
      <c r="N118" s="977"/>
    </row>
    <row r="119" spans="2:14" x14ac:dyDescent="0.25">
      <c r="B119" s="977"/>
      <c r="C119" s="985" t="s">
        <v>3</v>
      </c>
      <c r="D119" s="999" t="s">
        <v>488</v>
      </c>
      <c r="E119" s="999" t="s">
        <v>2102</v>
      </c>
      <c r="F119" s="983">
        <v>2015</v>
      </c>
      <c r="G119" s="984">
        <v>2020</v>
      </c>
      <c r="H119" s="983">
        <v>2025</v>
      </c>
      <c r="I119" s="983">
        <v>2030</v>
      </c>
      <c r="J119" s="983">
        <v>2035</v>
      </c>
      <c r="K119" s="983">
        <v>2040</v>
      </c>
      <c r="L119" s="983">
        <v>2045</v>
      </c>
      <c r="M119" s="983">
        <v>2050</v>
      </c>
      <c r="N119" s="977"/>
    </row>
    <row r="120" spans="2:14" x14ac:dyDescent="0.25">
      <c r="B120" s="977"/>
      <c r="C120" s="991">
        <v>1</v>
      </c>
      <c r="D120" s="982" t="s">
        <v>575</v>
      </c>
      <c r="E120" s="977"/>
      <c r="F120" s="2997">
        <v>0</v>
      </c>
      <c r="G120" s="2998">
        <v>0</v>
      </c>
      <c r="H120" s="2997">
        <v>0</v>
      </c>
      <c r="I120" s="2997">
        <v>0</v>
      </c>
      <c r="J120" s="2997">
        <v>0</v>
      </c>
      <c r="K120" s="2997">
        <v>0</v>
      </c>
      <c r="L120" s="2997">
        <v>0</v>
      </c>
      <c r="M120" s="2997">
        <v>0</v>
      </c>
      <c r="N120" s="977"/>
    </row>
    <row r="121" spans="2:14" x14ac:dyDescent="0.25">
      <c r="B121" s="977"/>
      <c r="C121" s="991">
        <v>2</v>
      </c>
      <c r="D121" s="982" t="s">
        <v>575</v>
      </c>
      <c r="E121" s="977"/>
      <c r="F121" s="2672">
        <v>0</v>
      </c>
      <c r="G121" s="2671">
        <v>1.5721762006787321E-4</v>
      </c>
      <c r="H121" s="2672">
        <v>7.4629433280663023E-4</v>
      </c>
      <c r="I121" s="2672">
        <v>3.2077265234670741E-3</v>
      </c>
      <c r="J121" s="2672">
        <v>9.8975871048891453E-3</v>
      </c>
      <c r="K121" s="2672">
        <v>1.7331503772494372E-2</v>
      </c>
      <c r="L121" s="2672">
        <v>2.0710900028059795E-2</v>
      </c>
      <c r="M121" s="2672">
        <v>2.2026662346294211E-2</v>
      </c>
      <c r="N121" s="977"/>
    </row>
    <row r="122" spans="2:14" x14ac:dyDescent="0.25">
      <c r="B122" s="977"/>
      <c r="C122" s="991">
        <v>3</v>
      </c>
      <c r="D122" s="982" t="s">
        <v>575</v>
      </c>
      <c r="E122" s="977"/>
      <c r="F122" s="3006">
        <v>0</v>
      </c>
      <c r="G122" s="2999">
        <v>1.5391551620878987E-4</v>
      </c>
      <c r="H122" s="2672">
        <v>8.9353372233391844E-4</v>
      </c>
      <c r="I122" s="2672">
        <v>4.9080119462805152E-3</v>
      </c>
      <c r="J122" s="2672">
        <v>2.0903790308407513E-2</v>
      </c>
      <c r="K122" s="2672">
        <v>4.7134478447081324E-2</v>
      </c>
      <c r="L122" s="2672">
        <v>6.0614387827118671E-2</v>
      </c>
      <c r="M122" s="2672">
        <v>6.507877511405108E-2</v>
      </c>
      <c r="N122" s="977"/>
    </row>
    <row r="123" spans="2:14" x14ac:dyDescent="0.25">
      <c r="B123" s="977"/>
      <c r="C123" s="988">
        <v>4</v>
      </c>
      <c r="D123" s="979" t="s">
        <v>575</v>
      </c>
      <c r="E123" s="980"/>
      <c r="F123" s="3000">
        <v>0</v>
      </c>
      <c r="G123" s="3001">
        <v>1.3615074886158334E-3</v>
      </c>
      <c r="H123" s="3002">
        <v>5.6342165001791291E-3</v>
      </c>
      <c r="I123" s="3002">
        <v>2.0315601315291455E-2</v>
      </c>
      <c r="J123" s="3002">
        <v>5.0850977634751E-2</v>
      </c>
      <c r="K123" s="3002">
        <v>7.7987432765942194E-2</v>
      </c>
      <c r="L123" s="3002">
        <v>8.9899409496539143E-2</v>
      </c>
      <c r="M123" s="3002">
        <v>9.5115132858997725E-2</v>
      </c>
      <c r="N123" s="977"/>
    </row>
    <row r="124" spans="2:14" x14ac:dyDescent="0.25">
      <c r="B124" s="977"/>
      <c r="C124" s="977">
        <v>1</v>
      </c>
      <c r="D124" s="982" t="s">
        <v>567</v>
      </c>
      <c r="E124" s="977"/>
      <c r="F124" s="2672">
        <v>0</v>
      </c>
      <c r="G124" s="2998">
        <v>0</v>
      </c>
      <c r="H124" s="3003">
        <v>0</v>
      </c>
      <c r="I124" s="3003">
        <v>0</v>
      </c>
      <c r="J124" s="3003">
        <v>0</v>
      </c>
      <c r="K124" s="3003">
        <v>0</v>
      </c>
      <c r="L124" s="3003">
        <v>0</v>
      </c>
      <c r="M124" s="3003">
        <v>0</v>
      </c>
      <c r="N124" s="977"/>
    </row>
    <row r="125" spans="2:14" x14ac:dyDescent="0.25">
      <c r="B125" s="977"/>
      <c r="C125" s="977">
        <v>2</v>
      </c>
      <c r="D125" s="982" t="s">
        <v>567</v>
      </c>
      <c r="E125" s="977"/>
      <c r="F125" s="2672">
        <v>0</v>
      </c>
      <c r="G125" s="2671">
        <v>1.5721762006787321E-4</v>
      </c>
      <c r="H125" s="3004">
        <v>7.4629433280663023E-4</v>
      </c>
      <c r="I125" s="3004">
        <v>3.2077265234670741E-3</v>
      </c>
      <c r="J125" s="3004">
        <v>9.8975871048891453E-3</v>
      </c>
      <c r="K125" s="3004">
        <v>1.7331503772494372E-2</v>
      </c>
      <c r="L125" s="3004">
        <v>2.0710900028059795E-2</v>
      </c>
      <c r="M125" s="3004">
        <v>2.2026662346294211E-2</v>
      </c>
      <c r="N125" s="977"/>
    </row>
    <row r="126" spans="2:14" x14ac:dyDescent="0.25">
      <c r="B126" s="977"/>
      <c r="C126" s="977">
        <v>3</v>
      </c>
      <c r="D126" s="982" t="s">
        <v>567</v>
      </c>
      <c r="E126" s="977"/>
      <c r="F126" s="3006">
        <v>0</v>
      </c>
      <c r="G126" s="2999">
        <v>1.5391551620878987E-4</v>
      </c>
      <c r="H126" s="3004">
        <v>8.9353372233391844E-4</v>
      </c>
      <c r="I126" s="3004">
        <v>4.9080119462805152E-3</v>
      </c>
      <c r="J126" s="3004">
        <v>2.0903790308407513E-2</v>
      </c>
      <c r="K126" s="3004">
        <v>4.7134478447081324E-2</v>
      </c>
      <c r="L126" s="3004">
        <v>6.0614387827118671E-2</v>
      </c>
      <c r="M126" s="3004">
        <v>6.507877511405108E-2</v>
      </c>
      <c r="N126" s="977"/>
    </row>
    <row r="127" spans="2:14" x14ac:dyDescent="0.25">
      <c r="B127" s="977"/>
      <c r="C127" s="980">
        <v>4</v>
      </c>
      <c r="D127" s="979" t="s">
        <v>567</v>
      </c>
      <c r="E127" s="980"/>
      <c r="F127" s="3000">
        <v>0</v>
      </c>
      <c r="G127" s="3001">
        <v>1.3615074886158334E-3</v>
      </c>
      <c r="H127" s="3005">
        <v>5.6342165001791291E-3</v>
      </c>
      <c r="I127" s="3005">
        <v>2.0315601315291455E-2</v>
      </c>
      <c r="J127" s="3005">
        <v>5.0850977634751E-2</v>
      </c>
      <c r="K127" s="3005">
        <v>7.7987432765942194E-2</v>
      </c>
      <c r="L127" s="3005">
        <v>8.9899409496539143E-2</v>
      </c>
      <c r="M127" s="3005">
        <v>9.5115132858997725E-2</v>
      </c>
      <c r="N127" s="977"/>
    </row>
    <row r="128" spans="2:14" x14ac:dyDescent="0.25">
      <c r="B128" s="977"/>
      <c r="C128" s="977">
        <v>1</v>
      </c>
      <c r="D128" s="982" t="s">
        <v>566</v>
      </c>
      <c r="E128" s="977"/>
      <c r="F128" s="2672">
        <v>0</v>
      </c>
      <c r="G128" s="2998">
        <v>0</v>
      </c>
      <c r="H128" s="3003">
        <v>0</v>
      </c>
      <c r="I128" s="3003">
        <v>0</v>
      </c>
      <c r="J128" s="3003">
        <v>0</v>
      </c>
      <c r="K128" s="3003">
        <v>0</v>
      </c>
      <c r="L128" s="3003">
        <v>0</v>
      </c>
      <c r="M128" s="3003">
        <v>0</v>
      </c>
      <c r="N128" s="977"/>
    </row>
    <row r="129" spans="2:14" x14ac:dyDescent="0.25">
      <c r="B129" s="977"/>
      <c r="C129" s="977">
        <v>2</v>
      </c>
      <c r="D129" s="982" t="s">
        <v>566</v>
      </c>
      <c r="E129" s="977"/>
      <c r="F129" s="3006">
        <v>0</v>
      </c>
      <c r="G129" s="2671">
        <v>1.5721762006787321E-4</v>
      </c>
      <c r="H129" s="3004">
        <v>7.4629433280663023E-4</v>
      </c>
      <c r="I129" s="3004">
        <v>3.2077265234670741E-3</v>
      </c>
      <c r="J129" s="3004">
        <v>9.8975871048891453E-3</v>
      </c>
      <c r="K129" s="3004">
        <v>1.7331503772494372E-2</v>
      </c>
      <c r="L129" s="3004">
        <v>2.0710900028059795E-2</v>
      </c>
      <c r="M129" s="3004">
        <v>2.2026662346294211E-2</v>
      </c>
      <c r="N129" s="977"/>
    </row>
    <row r="130" spans="2:14" x14ac:dyDescent="0.25">
      <c r="B130" s="977"/>
      <c r="C130" s="977">
        <v>3</v>
      </c>
      <c r="D130" s="982" t="s">
        <v>566</v>
      </c>
      <c r="E130" s="977"/>
      <c r="F130" s="3006">
        <v>0</v>
      </c>
      <c r="G130" s="2999">
        <v>1.5391551620878987E-4</v>
      </c>
      <c r="H130" s="3004">
        <v>8.9353372233391844E-4</v>
      </c>
      <c r="I130" s="3004">
        <v>4.9080119462805152E-3</v>
      </c>
      <c r="J130" s="3004">
        <v>2.0903790308407513E-2</v>
      </c>
      <c r="K130" s="3004">
        <v>4.7134478447081324E-2</v>
      </c>
      <c r="L130" s="3004">
        <v>6.0614387827118671E-2</v>
      </c>
      <c r="M130" s="3004">
        <v>6.507877511405108E-2</v>
      </c>
      <c r="N130" s="977"/>
    </row>
    <row r="131" spans="2:14" x14ac:dyDescent="0.25">
      <c r="B131" s="977"/>
      <c r="C131" s="980">
        <v>4</v>
      </c>
      <c r="D131" s="979" t="s">
        <v>566</v>
      </c>
      <c r="E131" s="980"/>
      <c r="F131" s="3000">
        <v>0</v>
      </c>
      <c r="G131" s="3001">
        <v>1.3615074886158334E-3</v>
      </c>
      <c r="H131" s="3005">
        <v>5.6342165001791291E-3</v>
      </c>
      <c r="I131" s="3005">
        <v>2.0315601315291455E-2</v>
      </c>
      <c r="J131" s="3005">
        <v>5.0850977634751E-2</v>
      </c>
      <c r="K131" s="3005">
        <v>7.7987432765942194E-2</v>
      </c>
      <c r="L131" s="3005">
        <v>8.9899409496539143E-2</v>
      </c>
      <c r="M131" s="3005">
        <v>9.5115132858997725E-2</v>
      </c>
      <c r="N131" s="977"/>
    </row>
    <row r="132" spans="2:14" x14ac:dyDescent="0.25">
      <c r="B132" s="977"/>
      <c r="C132" s="977">
        <v>1</v>
      </c>
      <c r="D132" s="982" t="s">
        <v>565</v>
      </c>
      <c r="E132" s="977"/>
      <c r="F132" s="2672">
        <v>0</v>
      </c>
      <c r="G132" s="2998">
        <v>0</v>
      </c>
      <c r="H132" s="3003">
        <v>0</v>
      </c>
      <c r="I132" s="3003">
        <v>0</v>
      </c>
      <c r="J132" s="3003">
        <v>0</v>
      </c>
      <c r="K132" s="3003">
        <v>0</v>
      </c>
      <c r="L132" s="3003">
        <v>0</v>
      </c>
      <c r="M132" s="3003">
        <v>0</v>
      </c>
      <c r="N132" s="977"/>
    </row>
    <row r="133" spans="2:14" x14ac:dyDescent="0.25">
      <c r="B133" s="977"/>
      <c r="C133" s="977">
        <v>2</v>
      </c>
      <c r="D133" s="982" t="s">
        <v>565</v>
      </c>
      <c r="E133" s="977"/>
      <c r="F133" s="3006">
        <v>0</v>
      </c>
      <c r="G133" s="2671">
        <v>1.5721762006787321E-4</v>
      </c>
      <c r="H133" s="3004">
        <v>7.4629433280663023E-4</v>
      </c>
      <c r="I133" s="3004">
        <v>3.2077265234670741E-3</v>
      </c>
      <c r="J133" s="3004">
        <v>9.8975871048891453E-3</v>
      </c>
      <c r="K133" s="3004">
        <v>1.7331503772494372E-2</v>
      </c>
      <c r="L133" s="3004">
        <v>2.0710900028059795E-2</v>
      </c>
      <c r="M133" s="3004">
        <v>2.2026662346294211E-2</v>
      </c>
      <c r="N133" s="977"/>
    </row>
    <row r="134" spans="2:14" x14ac:dyDescent="0.25">
      <c r="B134" s="977"/>
      <c r="C134" s="977">
        <v>3</v>
      </c>
      <c r="D134" s="982" t="s">
        <v>565</v>
      </c>
      <c r="E134" s="977"/>
      <c r="F134" s="3006">
        <v>0</v>
      </c>
      <c r="G134" s="2999">
        <v>1.5391551620878987E-4</v>
      </c>
      <c r="H134" s="3004">
        <v>8.9353372233391844E-4</v>
      </c>
      <c r="I134" s="3004">
        <v>4.9080119462805152E-3</v>
      </c>
      <c r="J134" s="3004">
        <v>2.0903790308407513E-2</v>
      </c>
      <c r="K134" s="3004">
        <v>4.7134478447081324E-2</v>
      </c>
      <c r="L134" s="3004">
        <v>6.0614387827118671E-2</v>
      </c>
      <c r="M134" s="3004">
        <v>6.507877511405108E-2</v>
      </c>
      <c r="N134" s="977"/>
    </row>
    <row r="135" spans="2:14" x14ac:dyDescent="0.25">
      <c r="B135" s="977"/>
      <c r="C135" s="980">
        <v>4</v>
      </c>
      <c r="D135" s="979" t="s">
        <v>565</v>
      </c>
      <c r="E135" s="980"/>
      <c r="F135" s="3000">
        <v>0</v>
      </c>
      <c r="G135" s="3001">
        <v>1.3615074886158334E-3</v>
      </c>
      <c r="H135" s="3005">
        <v>5.6342165001791291E-3</v>
      </c>
      <c r="I135" s="3005">
        <v>2.0315601315291455E-2</v>
      </c>
      <c r="J135" s="3005">
        <v>5.0850977634751E-2</v>
      </c>
      <c r="K135" s="3005">
        <v>7.7987432765942194E-2</v>
      </c>
      <c r="L135" s="3005">
        <v>8.9899409496539143E-2</v>
      </c>
      <c r="M135" s="3005">
        <v>9.5115132858997725E-2</v>
      </c>
      <c r="N135" s="977"/>
    </row>
    <row r="136" spans="2:14" x14ac:dyDescent="0.25">
      <c r="B136" s="977"/>
      <c r="C136" s="977">
        <v>1</v>
      </c>
      <c r="D136" s="982" t="s">
        <v>564</v>
      </c>
      <c r="E136" s="977"/>
      <c r="F136" s="2672">
        <v>0</v>
      </c>
      <c r="G136" s="2998">
        <v>0</v>
      </c>
      <c r="H136" s="3004">
        <v>0</v>
      </c>
      <c r="I136" s="3003">
        <v>0</v>
      </c>
      <c r="J136" s="3003">
        <v>0</v>
      </c>
      <c r="K136" s="3003">
        <v>0</v>
      </c>
      <c r="L136" s="3003">
        <v>0</v>
      </c>
      <c r="M136" s="3003">
        <v>0</v>
      </c>
      <c r="N136" s="977"/>
    </row>
    <row r="137" spans="2:14" x14ac:dyDescent="0.25">
      <c r="B137" s="977"/>
      <c r="C137" s="977">
        <v>2</v>
      </c>
      <c r="D137" s="982" t="s">
        <v>564</v>
      </c>
      <c r="E137" s="977"/>
      <c r="F137" s="2672">
        <v>0</v>
      </c>
      <c r="G137" s="2671">
        <v>1.5721762006787321E-4</v>
      </c>
      <c r="H137" s="3004">
        <v>7.4629433280663023E-4</v>
      </c>
      <c r="I137" s="3004">
        <v>3.2077265234670741E-3</v>
      </c>
      <c r="J137" s="3004">
        <v>9.8975871048891453E-3</v>
      </c>
      <c r="K137" s="3004">
        <v>1.7331503772494372E-2</v>
      </c>
      <c r="L137" s="3004">
        <v>2.0710900028059795E-2</v>
      </c>
      <c r="M137" s="3004">
        <v>2.2026662346294211E-2</v>
      </c>
      <c r="N137" s="977"/>
    </row>
    <row r="138" spans="2:14" x14ac:dyDescent="0.25">
      <c r="B138" s="977"/>
      <c r="C138" s="977">
        <v>3</v>
      </c>
      <c r="D138" s="982" t="s">
        <v>564</v>
      </c>
      <c r="E138" s="977"/>
      <c r="F138" s="2672">
        <v>0</v>
      </c>
      <c r="G138" s="2999">
        <v>1.5391551620878987E-4</v>
      </c>
      <c r="H138" s="3004">
        <v>8.9353372233391844E-4</v>
      </c>
      <c r="I138" s="3004">
        <v>4.9080119462805152E-3</v>
      </c>
      <c r="J138" s="3004">
        <v>2.0903790308407513E-2</v>
      </c>
      <c r="K138" s="3004">
        <v>4.7134478447081324E-2</v>
      </c>
      <c r="L138" s="3004">
        <v>6.0614387827118671E-2</v>
      </c>
      <c r="M138" s="3004">
        <v>6.507877511405108E-2</v>
      </c>
      <c r="N138" s="977"/>
    </row>
    <row r="139" spans="2:14" x14ac:dyDescent="0.25">
      <c r="B139" s="977"/>
      <c r="C139" s="980">
        <v>4</v>
      </c>
      <c r="D139" s="979" t="s">
        <v>564</v>
      </c>
      <c r="E139" s="980"/>
      <c r="F139" s="3002">
        <v>0</v>
      </c>
      <c r="G139" s="3001">
        <v>1.3615074886158334E-3</v>
      </c>
      <c r="H139" s="3005">
        <v>5.6342165001791291E-3</v>
      </c>
      <c r="I139" s="3005">
        <v>2.0315601315291455E-2</v>
      </c>
      <c r="J139" s="3005">
        <v>5.0850977634751E-2</v>
      </c>
      <c r="K139" s="3005">
        <v>7.7987432765942194E-2</v>
      </c>
      <c r="L139" s="3005">
        <v>8.9899409496539143E-2</v>
      </c>
      <c r="M139" s="3005">
        <v>9.5115132858997725E-2</v>
      </c>
      <c r="N139" s="977"/>
    </row>
    <row r="140" spans="2:14" x14ac:dyDescent="0.25">
      <c r="B140" s="977"/>
      <c r="C140" s="977">
        <v>1</v>
      </c>
      <c r="D140" s="982" t="s">
        <v>563</v>
      </c>
      <c r="E140" s="977"/>
      <c r="F140" s="2672">
        <v>0</v>
      </c>
      <c r="G140" s="2998">
        <v>0</v>
      </c>
      <c r="H140" s="3004">
        <v>0</v>
      </c>
      <c r="I140" s="3003">
        <v>0</v>
      </c>
      <c r="J140" s="3003">
        <v>0</v>
      </c>
      <c r="K140" s="3003">
        <v>0</v>
      </c>
      <c r="L140" s="3003">
        <v>0</v>
      </c>
      <c r="M140" s="3003">
        <v>0</v>
      </c>
      <c r="N140" s="977"/>
    </row>
    <row r="141" spans="2:14" x14ac:dyDescent="0.25">
      <c r="B141" s="977"/>
      <c r="C141" s="977">
        <v>2</v>
      </c>
      <c r="D141" s="982" t="s">
        <v>563</v>
      </c>
      <c r="E141" s="977"/>
      <c r="F141" s="2672">
        <v>0</v>
      </c>
      <c r="G141" s="2671">
        <v>1.5721762006787321E-4</v>
      </c>
      <c r="H141" s="3004">
        <v>7.4629433280663023E-4</v>
      </c>
      <c r="I141" s="3004">
        <v>3.2077265234670741E-3</v>
      </c>
      <c r="J141" s="3004">
        <v>9.8975871048891453E-3</v>
      </c>
      <c r="K141" s="3004">
        <v>1.7331503772494372E-2</v>
      </c>
      <c r="L141" s="3004">
        <v>2.0710900028059795E-2</v>
      </c>
      <c r="M141" s="3004">
        <v>2.2026662346294211E-2</v>
      </c>
      <c r="N141" s="977"/>
    </row>
    <row r="142" spans="2:14" ht="15" customHeight="1" x14ac:dyDescent="0.25">
      <c r="B142" s="977"/>
      <c r="C142" s="977">
        <v>3</v>
      </c>
      <c r="D142" s="982" t="s">
        <v>563</v>
      </c>
      <c r="E142" s="977"/>
      <c r="F142" s="3006">
        <v>0</v>
      </c>
      <c r="G142" s="2999">
        <v>1.5391551620878987E-4</v>
      </c>
      <c r="H142" s="3004">
        <v>8.9353372233391844E-4</v>
      </c>
      <c r="I142" s="3004">
        <v>4.9080119462805152E-3</v>
      </c>
      <c r="J142" s="3004">
        <v>2.0903790308407513E-2</v>
      </c>
      <c r="K142" s="3004">
        <v>4.7134478447081324E-2</v>
      </c>
      <c r="L142" s="3004">
        <v>6.0614387827118671E-2</v>
      </c>
      <c r="M142" s="3004">
        <v>6.507877511405108E-2</v>
      </c>
      <c r="N142" s="977"/>
    </row>
    <row r="143" spans="2:14" ht="15" customHeight="1" x14ac:dyDescent="0.25">
      <c r="B143" s="977"/>
      <c r="C143" s="980">
        <v>4</v>
      </c>
      <c r="D143" s="979" t="s">
        <v>563</v>
      </c>
      <c r="E143" s="980"/>
      <c r="F143" s="3000">
        <v>0</v>
      </c>
      <c r="G143" s="3001">
        <v>1.3615074886158334E-3</v>
      </c>
      <c r="H143" s="3005">
        <v>5.6342165001791291E-3</v>
      </c>
      <c r="I143" s="3005">
        <v>2.0315601315291455E-2</v>
      </c>
      <c r="J143" s="3005">
        <v>5.0850977634751E-2</v>
      </c>
      <c r="K143" s="3005">
        <v>7.7987432765942194E-2</v>
      </c>
      <c r="L143" s="3005">
        <v>8.9899409496539143E-2</v>
      </c>
      <c r="M143" s="3005">
        <v>9.5115132858997725E-2</v>
      </c>
      <c r="N143" s="977"/>
    </row>
    <row r="144" spans="2:14" x14ac:dyDescent="0.25">
      <c r="B144" s="977"/>
      <c r="C144" s="977">
        <v>1</v>
      </c>
      <c r="D144" s="982" t="s">
        <v>562</v>
      </c>
      <c r="E144" s="2737"/>
      <c r="F144" s="2672">
        <v>0</v>
      </c>
      <c r="G144" s="2998">
        <f t="shared" ref="G144:M147" si="1">(G392-$F392)/$F392</f>
        <v>0</v>
      </c>
      <c r="H144" s="3004">
        <f t="shared" si="1"/>
        <v>0</v>
      </c>
      <c r="I144" s="3004">
        <f t="shared" si="1"/>
        <v>0</v>
      </c>
      <c r="J144" s="3004">
        <f t="shared" si="1"/>
        <v>0</v>
      </c>
      <c r="K144" s="3004">
        <f t="shared" si="1"/>
        <v>0</v>
      </c>
      <c r="L144" s="3004">
        <f t="shared" si="1"/>
        <v>0</v>
      </c>
      <c r="M144" s="3004">
        <f t="shared" si="1"/>
        <v>0</v>
      </c>
      <c r="N144" s="977"/>
    </row>
    <row r="145" spans="2:14" x14ac:dyDescent="0.25">
      <c r="B145" s="977"/>
      <c r="C145" s="977">
        <v>2</v>
      </c>
      <c r="D145" s="982" t="s">
        <v>562</v>
      </c>
      <c r="E145" s="2737"/>
      <c r="F145" s="3006">
        <v>0</v>
      </c>
      <c r="G145" s="2671">
        <f t="shared" si="1"/>
        <v>2.4603502387175466E-3</v>
      </c>
      <c r="H145" s="3004">
        <f t="shared" si="1"/>
        <v>6.5009350267570022E-3</v>
      </c>
      <c r="I145" s="3004">
        <f t="shared" si="1"/>
        <v>1.3539804670490428E-2</v>
      </c>
      <c r="J145" s="3004">
        <f t="shared" si="1"/>
        <v>2.0600515328443762E-2</v>
      </c>
      <c r="K145" s="3004">
        <f t="shared" si="1"/>
        <v>2.4673468921679015E-2</v>
      </c>
      <c r="L145" s="3004">
        <f t="shared" si="1"/>
        <v>2.632077088302635E-2</v>
      </c>
      <c r="M145" s="3004">
        <f t="shared" si="1"/>
        <v>2.688904999748749E-2</v>
      </c>
      <c r="N145" s="977"/>
    </row>
    <row r="146" spans="2:14" x14ac:dyDescent="0.25">
      <c r="B146" s="977"/>
      <c r="C146" s="977">
        <v>3</v>
      </c>
      <c r="D146" s="982" t="s">
        <v>562</v>
      </c>
      <c r="E146" s="2737"/>
      <c r="F146" s="3006">
        <v>0</v>
      </c>
      <c r="G146" s="2999">
        <f t="shared" si="1"/>
        <v>4.9207004774350933E-3</v>
      </c>
      <c r="H146" s="3004">
        <f t="shared" si="1"/>
        <v>1.3001870053514004E-2</v>
      </c>
      <c r="I146" s="3004">
        <f t="shared" si="1"/>
        <v>2.7079609340980582E-2</v>
      </c>
      <c r="J146" s="3004">
        <f t="shared" si="1"/>
        <v>4.1201030656887801E-2</v>
      </c>
      <c r="K146" s="3004">
        <f t="shared" si="1"/>
        <v>4.9346937843357891E-2</v>
      </c>
      <c r="L146" s="3004">
        <f t="shared" si="1"/>
        <v>5.2641541766052978E-2</v>
      </c>
      <c r="M146" s="3004">
        <f t="shared" si="1"/>
        <v>5.3778099994975119E-2</v>
      </c>
      <c r="N146" s="977"/>
    </row>
    <row r="147" spans="2:14" x14ac:dyDescent="0.25">
      <c r="B147" s="977"/>
      <c r="C147" s="980">
        <v>4</v>
      </c>
      <c r="D147" s="979" t="s">
        <v>562</v>
      </c>
      <c r="E147" s="2741"/>
      <c r="F147" s="3000">
        <v>0</v>
      </c>
      <c r="G147" s="3001">
        <f t="shared" si="1"/>
        <v>8.2011674623917313E-3</v>
      </c>
      <c r="H147" s="3005">
        <f t="shared" si="1"/>
        <v>2.1669783422523296E-2</v>
      </c>
      <c r="I147" s="3005">
        <f t="shared" si="1"/>
        <v>4.5132682234967636E-2</v>
      </c>
      <c r="J147" s="3005">
        <f t="shared" si="1"/>
        <v>6.8668384428146101E-2</v>
      </c>
      <c r="K147" s="3005">
        <f t="shared" si="1"/>
        <v>8.2244896405596665E-2</v>
      </c>
      <c r="L147" s="3005">
        <f t="shared" si="1"/>
        <v>8.773590294342172E-2</v>
      </c>
      <c r="M147" s="3005">
        <f t="shared" si="1"/>
        <v>8.9630166658291821E-2</v>
      </c>
      <c r="N147" s="977"/>
    </row>
    <row r="148" spans="2:14" x14ac:dyDescent="0.25">
      <c r="B148" s="977"/>
      <c r="C148" s="977">
        <v>1</v>
      </c>
      <c r="D148" s="982" t="s">
        <v>561</v>
      </c>
      <c r="E148" s="977"/>
      <c r="F148" s="2672">
        <v>0</v>
      </c>
      <c r="G148" s="2998">
        <v>0</v>
      </c>
      <c r="H148" s="3003">
        <v>0</v>
      </c>
      <c r="I148" s="3003">
        <v>0</v>
      </c>
      <c r="J148" s="3003">
        <v>0</v>
      </c>
      <c r="K148" s="3003">
        <v>0</v>
      </c>
      <c r="L148" s="3003">
        <v>0</v>
      </c>
      <c r="M148" s="3003">
        <v>0</v>
      </c>
      <c r="N148" s="977"/>
    </row>
    <row r="149" spans="2:14" x14ac:dyDescent="0.25">
      <c r="B149" s="977"/>
      <c r="C149" s="977">
        <v>2</v>
      </c>
      <c r="D149" s="982" t="s">
        <v>561</v>
      </c>
      <c r="E149" s="977"/>
      <c r="F149" s="3006">
        <v>0</v>
      </c>
      <c r="G149" s="2671">
        <v>1.5721762006787321E-4</v>
      </c>
      <c r="H149" s="3004">
        <v>7.4629433280663023E-4</v>
      </c>
      <c r="I149" s="3004">
        <v>3.2077265234670741E-3</v>
      </c>
      <c r="J149" s="3004">
        <v>9.8975871048891453E-3</v>
      </c>
      <c r="K149" s="3004">
        <v>1.7331503772494372E-2</v>
      </c>
      <c r="L149" s="3004">
        <v>2.0710900028059795E-2</v>
      </c>
      <c r="M149" s="3004">
        <v>2.2026662346294211E-2</v>
      </c>
      <c r="N149" s="977"/>
    </row>
    <row r="150" spans="2:14" x14ac:dyDescent="0.25">
      <c r="B150" s="977"/>
      <c r="C150" s="977">
        <v>3</v>
      </c>
      <c r="D150" s="982" t="s">
        <v>561</v>
      </c>
      <c r="E150" s="977"/>
      <c r="F150" s="3006">
        <v>0</v>
      </c>
      <c r="G150" s="2999">
        <v>1.5391551620878987E-4</v>
      </c>
      <c r="H150" s="3004">
        <v>8.9353372233391844E-4</v>
      </c>
      <c r="I150" s="3004">
        <v>4.9080119462805152E-3</v>
      </c>
      <c r="J150" s="3004">
        <v>2.0903790308407513E-2</v>
      </c>
      <c r="K150" s="3004">
        <v>4.7134478447081324E-2</v>
      </c>
      <c r="L150" s="3004">
        <v>6.0614387827118671E-2</v>
      </c>
      <c r="M150" s="3004">
        <v>6.507877511405108E-2</v>
      </c>
      <c r="N150" s="977"/>
    </row>
    <row r="151" spans="2:14" x14ac:dyDescent="0.25">
      <c r="B151" s="977"/>
      <c r="C151" s="980">
        <v>4</v>
      </c>
      <c r="D151" s="979" t="s">
        <v>561</v>
      </c>
      <c r="E151" s="980"/>
      <c r="F151" s="3000">
        <v>0</v>
      </c>
      <c r="G151" s="3001">
        <v>1.3615074886158334E-3</v>
      </c>
      <c r="H151" s="3005">
        <v>5.6342165001791291E-3</v>
      </c>
      <c r="I151" s="3005">
        <v>2.0315601315291455E-2</v>
      </c>
      <c r="J151" s="3005">
        <v>5.0850977634751E-2</v>
      </c>
      <c r="K151" s="3005">
        <v>7.7987432765942194E-2</v>
      </c>
      <c r="L151" s="3005">
        <v>8.9899409496539143E-2</v>
      </c>
      <c r="M151" s="3005">
        <v>9.5115132858997725E-2</v>
      </c>
      <c r="N151" s="977"/>
    </row>
    <row r="152" spans="2:14" x14ac:dyDescent="0.25">
      <c r="B152" s="977"/>
      <c r="C152" s="977">
        <v>1</v>
      </c>
      <c r="D152" s="982" t="s">
        <v>560</v>
      </c>
      <c r="E152" s="977"/>
      <c r="F152" s="2672">
        <v>0</v>
      </c>
      <c r="G152" s="2998">
        <v>0</v>
      </c>
      <c r="H152" s="2997">
        <v>0</v>
      </c>
      <c r="I152" s="2997">
        <v>0</v>
      </c>
      <c r="J152" s="2997">
        <v>0</v>
      </c>
      <c r="K152" s="2997">
        <v>0</v>
      </c>
      <c r="L152" s="2997">
        <v>0</v>
      </c>
      <c r="M152" s="2997">
        <v>0</v>
      </c>
      <c r="N152" s="977"/>
    </row>
    <row r="153" spans="2:14" x14ac:dyDescent="0.25">
      <c r="B153" s="977"/>
      <c r="C153" s="977">
        <v>2</v>
      </c>
      <c r="D153" s="982" t="s">
        <v>560</v>
      </c>
      <c r="E153" s="977"/>
      <c r="F153" s="2672">
        <v>0</v>
      </c>
      <c r="G153" s="2671">
        <v>1.5721762006787321E-4</v>
      </c>
      <c r="H153" s="2672">
        <v>7.4629433280663023E-4</v>
      </c>
      <c r="I153" s="2672">
        <v>3.2077265234670741E-3</v>
      </c>
      <c r="J153" s="2672">
        <v>9.8975871048891453E-3</v>
      </c>
      <c r="K153" s="2672">
        <v>1.7331503772494372E-2</v>
      </c>
      <c r="L153" s="2672">
        <v>2.0710900028059795E-2</v>
      </c>
      <c r="M153" s="2672">
        <v>2.2026662346294211E-2</v>
      </c>
      <c r="N153" s="977"/>
    </row>
    <row r="154" spans="2:14" x14ac:dyDescent="0.25">
      <c r="B154" s="977"/>
      <c r="C154" s="977">
        <v>3</v>
      </c>
      <c r="D154" s="982" t="s">
        <v>560</v>
      </c>
      <c r="E154" s="977"/>
      <c r="F154" s="3006">
        <v>0</v>
      </c>
      <c r="G154" s="2999">
        <v>1.5391551620878987E-4</v>
      </c>
      <c r="H154" s="2672">
        <v>8.9353372233391844E-4</v>
      </c>
      <c r="I154" s="2672">
        <v>4.9080119462805152E-3</v>
      </c>
      <c r="J154" s="2672">
        <v>2.0903790308407513E-2</v>
      </c>
      <c r="K154" s="2672">
        <v>4.7134478447081324E-2</v>
      </c>
      <c r="L154" s="2672">
        <v>6.0614387827118671E-2</v>
      </c>
      <c r="M154" s="2672">
        <v>6.507877511405108E-2</v>
      </c>
      <c r="N154" s="977"/>
    </row>
    <row r="155" spans="2:14" x14ac:dyDescent="0.25">
      <c r="B155" s="977"/>
      <c r="C155" s="980">
        <v>4</v>
      </c>
      <c r="D155" s="979" t="s">
        <v>560</v>
      </c>
      <c r="E155" s="980"/>
      <c r="F155" s="3000">
        <v>0</v>
      </c>
      <c r="G155" s="3001">
        <v>1.3615074886158334E-3</v>
      </c>
      <c r="H155" s="3002">
        <v>5.6342165001791291E-3</v>
      </c>
      <c r="I155" s="3002">
        <v>2.0315601315291455E-2</v>
      </c>
      <c r="J155" s="3002">
        <v>5.0850977634751E-2</v>
      </c>
      <c r="K155" s="3002">
        <v>7.7987432765942194E-2</v>
      </c>
      <c r="L155" s="3002">
        <v>8.9899409496539143E-2</v>
      </c>
      <c r="M155" s="3002">
        <v>9.5115132858997725E-2</v>
      </c>
      <c r="N155" s="977"/>
    </row>
    <row r="156" spans="2:14" x14ac:dyDescent="0.25">
      <c r="B156" s="977"/>
      <c r="C156" s="977">
        <v>1</v>
      </c>
      <c r="D156" s="982" t="s">
        <v>559</v>
      </c>
      <c r="E156" s="977"/>
      <c r="F156" s="2672">
        <v>0</v>
      </c>
      <c r="G156" s="2998">
        <v>0</v>
      </c>
      <c r="H156" s="2997">
        <v>0</v>
      </c>
      <c r="I156" s="2997">
        <v>0</v>
      </c>
      <c r="J156" s="2997">
        <v>0</v>
      </c>
      <c r="K156" s="2997">
        <v>0</v>
      </c>
      <c r="L156" s="2997">
        <v>0</v>
      </c>
      <c r="M156" s="2997">
        <v>0</v>
      </c>
      <c r="N156" s="977"/>
    </row>
    <row r="157" spans="2:14" x14ac:dyDescent="0.25">
      <c r="B157" s="977"/>
      <c r="C157" s="977">
        <v>2</v>
      </c>
      <c r="D157" s="982" t="s">
        <v>559</v>
      </c>
      <c r="E157" s="977"/>
      <c r="F157" s="3006">
        <v>0</v>
      </c>
      <c r="G157" s="2671">
        <v>1.5721762006787321E-4</v>
      </c>
      <c r="H157" s="2672">
        <v>7.4629433280663023E-4</v>
      </c>
      <c r="I157" s="2672">
        <v>3.2077265234670741E-3</v>
      </c>
      <c r="J157" s="2672">
        <v>9.8975871048891453E-3</v>
      </c>
      <c r="K157" s="2672">
        <v>1.7331503772494372E-2</v>
      </c>
      <c r="L157" s="2672">
        <v>2.0710900028059795E-2</v>
      </c>
      <c r="M157" s="2672">
        <v>2.2026662346294211E-2</v>
      </c>
      <c r="N157" s="977"/>
    </row>
    <row r="158" spans="2:14" x14ac:dyDescent="0.25">
      <c r="B158" s="977"/>
      <c r="C158" s="977">
        <v>3</v>
      </c>
      <c r="D158" s="982" t="s">
        <v>559</v>
      </c>
      <c r="E158" s="977"/>
      <c r="F158" s="3006">
        <v>0</v>
      </c>
      <c r="G158" s="2999">
        <v>1.5391551620878987E-4</v>
      </c>
      <c r="H158" s="2672">
        <v>8.9353372233391844E-4</v>
      </c>
      <c r="I158" s="2672">
        <v>4.9080119462805152E-3</v>
      </c>
      <c r="J158" s="2672">
        <v>2.0903790308407513E-2</v>
      </c>
      <c r="K158" s="2672">
        <v>4.7134478447081324E-2</v>
      </c>
      <c r="L158" s="2672">
        <v>6.0614387827118671E-2</v>
      </c>
      <c r="M158" s="2672">
        <v>6.507877511405108E-2</v>
      </c>
      <c r="N158" s="977"/>
    </row>
    <row r="159" spans="2:14" x14ac:dyDescent="0.25">
      <c r="B159" s="977"/>
      <c r="C159" s="980">
        <v>4</v>
      </c>
      <c r="D159" s="979" t="s">
        <v>559</v>
      </c>
      <c r="E159" s="980"/>
      <c r="F159" s="3000">
        <v>0</v>
      </c>
      <c r="G159" s="3001">
        <v>1.3615074886158334E-3</v>
      </c>
      <c r="H159" s="3002">
        <v>5.6342165001791291E-3</v>
      </c>
      <c r="I159" s="3002">
        <v>2.0315601315291455E-2</v>
      </c>
      <c r="J159" s="3002">
        <v>5.0850977634751E-2</v>
      </c>
      <c r="K159" s="3002">
        <v>7.7987432765942194E-2</v>
      </c>
      <c r="L159" s="3002">
        <v>8.9899409496539143E-2</v>
      </c>
      <c r="M159" s="3002">
        <v>9.5115132858997725E-2</v>
      </c>
      <c r="N159" s="977"/>
    </row>
    <row r="160" spans="2:14" x14ac:dyDescent="0.25">
      <c r="B160" s="977"/>
      <c r="C160" s="977">
        <v>1</v>
      </c>
      <c r="D160" s="982" t="s">
        <v>558</v>
      </c>
      <c r="E160" s="977"/>
      <c r="F160" s="2672">
        <v>0</v>
      </c>
      <c r="G160" s="2998">
        <v>0</v>
      </c>
      <c r="H160" s="2997">
        <v>0</v>
      </c>
      <c r="I160" s="2997">
        <v>0</v>
      </c>
      <c r="J160" s="2997">
        <v>0</v>
      </c>
      <c r="K160" s="2997">
        <v>0</v>
      </c>
      <c r="L160" s="2997">
        <v>0</v>
      </c>
      <c r="M160" s="2997">
        <v>0</v>
      </c>
      <c r="N160" s="977"/>
    </row>
    <row r="161" spans="2:14" x14ac:dyDescent="0.25">
      <c r="B161" s="977"/>
      <c r="C161" s="977">
        <v>2</v>
      </c>
      <c r="D161" s="982" t="s">
        <v>558</v>
      </c>
      <c r="E161" s="977"/>
      <c r="F161" s="3006">
        <v>0</v>
      </c>
      <c r="G161" s="2671">
        <v>1.5721762006787321E-4</v>
      </c>
      <c r="H161" s="2672">
        <v>7.4629433280663023E-4</v>
      </c>
      <c r="I161" s="2672">
        <v>3.2077265234670741E-3</v>
      </c>
      <c r="J161" s="2672">
        <v>9.8975871048891453E-3</v>
      </c>
      <c r="K161" s="2672">
        <v>1.7331503772494372E-2</v>
      </c>
      <c r="L161" s="2672">
        <v>2.0710900028059795E-2</v>
      </c>
      <c r="M161" s="2672">
        <v>2.2026662346294211E-2</v>
      </c>
      <c r="N161" s="977"/>
    </row>
    <row r="162" spans="2:14" x14ac:dyDescent="0.25">
      <c r="B162" s="977"/>
      <c r="C162" s="977">
        <v>3</v>
      </c>
      <c r="D162" s="982" t="s">
        <v>558</v>
      </c>
      <c r="E162" s="977"/>
      <c r="F162" s="3006">
        <v>0</v>
      </c>
      <c r="G162" s="2999">
        <v>1.5391551620878987E-4</v>
      </c>
      <c r="H162" s="2672">
        <v>8.9353372233391844E-4</v>
      </c>
      <c r="I162" s="2672">
        <v>4.9080119462805152E-3</v>
      </c>
      <c r="J162" s="2672">
        <v>2.0903790308407513E-2</v>
      </c>
      <c r="K162" s="2672">
        <v>4.7134478447081324E-2</v>
      </c>
      <c r="L162" s="2672">
        <v>6.0614387827118671E-2</v>
      </c>
      <c r="M162" s="2672">
        <v>6.507877511405108E-2</v>
      </c>
      <c r="N162" s="977"/>
    </row>
    <row r="163" spans="2:14" x14ac:dyDescent="0.25">
      <c r="B163" s="977"/>
      <c r="C163" s="980">
        <v>4</v>
      </c>
      <c r="D163" s="979" t="s">
        <v>558</v>
      </c>
      <c r="E163" s="980"/>
      <c r="F163" s="3000">
        <v>0</v>
      </c>
      <c r="G163" s="3001">
        <v>1.3615074886158334E-3</v>
      </c>
      <c r="H163" s="3002">
        <v>5.6342165001791291E-3</v>
      </c>
      <c r="I163" s="3002">
        <v>2.0315601315291455E-2</v>
      </c>
      <c r="J163" s="3002">
        <v>5.0850977634751E-2</v>
      </c>
      <c r="K163" s="3002">
        <v>7.7987432765942194E-2</v>
      </c>
      <c r="L163" s="3002">
        <v>8.9899409496539143E-2</v>
      </c>
      <c r="M163" s="3002">
        <v>9.5115132858997725E-2</v>
      </c>
      <c r="N163" s="977"/>
    </row>
    <row r="164" spans="2:14" x14ac:dyDescent="0.25">
      <c r="B164" s="977"/>
      <c r="C164" s="977"/>
      <c r="D164" s="977"/>
      <c r="E164" s="977"/>
      <c r="F164" s="1000"/>
      <c r="G164" s="977"/>
      <c r="H164" s="977"/>
      <c r="I164" s="977"/>
      <c r="J164" s="977"/>
      <c r="K164" s="977"/>
      <c r="L164" s="977"/>
      <c r="M164" s="977"/>
      <c r="N164" s="977"/>
    </row>
    <row r="165" spans="2:14" x14ac:dyDescent="0.25">
      <c r="B165" s="977"/>
      <c r="C165" s="2897" t="s">
        <v>8</v>
      </c>
      <c r="D165" s="791"/>
      <c r="E165" s="977"/>
      <c r="F165" s="1000"/>
      <c r="G165" s="977"/>
      <c r="H165" s="977"/>
      <c r="I165" s="977"/>
      <c r="J165" s="977"/>
      <c r="K165" s="977"/>
      <c r="L165" s="977"/>
      <c r="M165" s="977"/>
      <c r="N165" s="977"/>
    </row>
    <row r="166" spans="2:14" x14ac:dyDescent="0.25">
      <c r="B166" s="977"/>
      <c r="C166" s="2991" t="s">
        <v>317</v>
      </c>
      <c r="D166" s="2992" t="s">
        <v>2101</v>
      </c>
      <c r="E166" s="977"/>
      <c r="F166" s="1000"/>
      <c r="G166" s="977"/>
      <c r="H166" s="977"/>
      <c r="I166" s="977"/>
      <c r="J166" s="977"/>
      <c r="K166" s="977"/>
      <c r="L166" s="977"/>
      <c r="M166" s="977"/>
      <c r="N166" s="977"/>
    </row>
    <row r="167" spans="2:14" x14ac:dyDescent="0.25">
      <c r="B167" s="977"/>
      <c r="C167" s="800"/>
      <c r="D167" s="2896" t="s">
        <v>1981</v>
      </c>
      <c r="E167" s="977"/>
      <c r="F167" s="1000"/>
      <c r="G167" s="977"/>
      <c r="H167" s="977"/>
      <c r="I167" s="977"/>
      <c r="J167" s="977"/>
      <c r="K167" s="977"/>
      <c r="L167" s="977"/>
      <c r="M167" s="977"/>
      <c r="N167" s="977"/>
    </row>
    <row r="168" spans="2:14" x14ac:dyDescent="0.25">
      <c r="B168" s="977"/>
      <c r="C168" s="977"/>
      <c r="D168" s="977"/>
      <c r="E168" s="977"/>
      <c r="F168" s="1000"/>
      <c r="G168" s="977"/>
      <c r="H168" s="977"/>
      <c r="I168" s="977"/>
      <c r="J168" s="977"/>
      <c r="K168" s="977"/>
      <c r="L168" s="977"/>
      <c r="M168" s="977"/>
      <c r="N168" s="977"/>
    </row>
    <row r="169" spans="2:14" x14ac:dyDescent="0.25">
      <c r="B169" s="977"/>
      <c r="C169" s="977"/>
      <c r="D169" s="977"/>
      <c r="E169" s="977"/>
      <c r="F169" s="1000"/>
      <c r="G169" s="977"/>
      <c r="H169" s="977"/>
      <c r="I169" s="977"/>
      <c r="J169" s="977"/>
      <c r="K169" s="977"/>
      <c r="L169" s="977"/>
      <c r="M169" s="977"/>
      <c r="N169" s="977"/>
    </row>
    <row r="170" spans="2:14" x14ac:dyDescent="0.25">
      <c r="B170" s="2990" t="s">
        <v>1969</v>
      </c>
      <c r="C170" s="986" t="s">
        <v>2107</v>
      </c>
      <c r="D170" s="977"/>
      <c r="E170" s="977"/>
      <c r="F170" s="1000"/>
      <c r="G170" s="977"/>
      <c r="H170" s="977"/>
      <c r="I170" s="977"/>
      <c r="J170" s="977"/>
      <c r="K170" s="1002"/>
      <c r="L170" s="1001" t="s">
        <v>576</v>
      </c>
      <c r="M170" s="1001" t="s">
        <v>190</v>
      </c>
      <c r="N170" s="977"/>
    </row>
    <row r="171" spans="2:14" ht="6" customHeight="1" x14ac:dyDescent="0.25">
      <c r="B171" s="977"/>
      <c r="C171" s="977"/>
      <c r="D171" s="977"/>
      <c r="E171" s="977"/>
      <c r="F171" s="1000"/>
      <c r="G171" s="977"/>
      <c r="H171" s="977"/>
      <c r="I171" s="977"/>
      <c r="J171" s="977"/>
      <c r="K171" s="977"/>
      <c r="L171" s="977"/>
      <c r="M171" s="977"/>
      <c r="N171" s="977"/>
    </row>
    <row r="172" spans="2:14" ht="14.25" customHeight="1" x14ac:dyDescent="0.25">
      <c r="B172" s="977"/>
      <c r="C172" s="985" t="s">
        <v>3</v>
      </c>
      <c r="D172" s="999" t="s">
        <v>488</v>
      </c>
      <c r="E172" s="999" t="s">
        <v>2084</v>
      </c>
      <c r="F172" s="983">
        <v>2015</v>
      </c>
      <c r="G172" s="984">
        <v>2020</v>
      </c>
      <c r="H172" s="983">
        <v>2025</v>
      </c>
      <c r="I172" s="983">
        <v>2030</v>
      </c>
      <c r="J172" s="983">
        <v>2035</v>
      </c>
      <c r="K172" s="983">
        <v>2040</v>
      </c>
      <c r="L172" s="983">
        <v>2045</v>
      </c>
      <c r="M172" s="983">
        <v>2050</v>
      </c>
      <c r="N172" s="977"/>
    </row>
    <row r="173" spans="2:14" x14ac:dyDescent="0.25">
      <c r="B173" s="977"/>
      <c r="C173" s="991">
        <v>1</v>
      </c>
      <c r="D173" s="982" t="s">
        <v>575</v>
      </c>
      <c r="E173" s="977"/>
      <c r="F173" s="2997">
        <v>0</v>
      </c>
      <c r="G173" s="2998">
        <v>0</v>
      </c>
      <c r="H173" s="2997">
        <v>0</v>
      </c>
      <c r="I173" s="2997">
        <v>0</v>
      </c>
      <c r="J173" s="2997">
        <v>0</v>
      </c>
      <c r="K173" s="2997">
        <v>0</v>
      </c>
      <c r="L173" s="2997">
        <v>0</v>
      </c>
      <c r="M173" s="2997">
        <v>0</v>
      </c>
      <c r="N173" s="977"/>
    </row>
    <row r="174" spans="2:14" x14ac:dyDescent="0.25">
      <c r="B174" s="977"/>
      <c r="C174" s="991">
        <v>2</v>
      </c>
      <c r="D174" s="982" t="s">
        <v>575</v>
      </c>
      <c r="E174" s="977"/>
      <c r="F174" s="2672">
        <v>0</v>
      </c>
      <c r="G174" s="2671">
        <v>1.5721762006787321E-4</v>
      </c>
      <c r="H174" s="2672">
        <v>7.4629433280663023E-4</v>
      </c>
      <c r="I174" s="2672">
        <v>3.2077265234670741E-3</v>
      </c>
      <c r="J174" s="2672">
        <v>9.8975871048891453E-3</v>
      </c>
      <c r="K174" s="2672">
        <v>1.7331503772494372E-2</v>
      </c>
      <c r="L174" s="2672">
        <v>2.0710900028059795E-2</v>
      </c>
      <c r="M174" s="2672">
        <v>2.2026662346294211E-2</v>
      </c>
      <c r="N174" s="977"/>
    </row>
    <row r="175" spans="2:14" x14ac:dyDescent="0.25">
      <c r="B175" s="977"/>
      <c r="C175" s="991">
        <v>3</v>
      </c>
      <c r="D175" s="982" t="s">
        <v>575</v>
      </c>
      <c r="E175" s="977"/>
      <c r="F175" s="3006">
        <v>0</v>
      </c>
      <c r="G175" s="2999">
        <v>1.5391551620878987E-4</v>
      </c>
      <c r="H175" s="2672">
        <v>8.9353372233391844E-4</v>
      </c>
      <c r="I175" s="2672">
        <v>4.9080119462805152E-3</v>
      </c>
      <c r="J175" s="2672">
        <v>2.0903790308407513E-2</v>
      </c>
      <c r="K175" s="2672">
        <v>4.7134478447081324E-2</v>
      </c>
      <c r="L175" s="2672">
        <v>6.0614387827118671E-2</v>
      </c>
      <c r="M175" s="2672">
        <v>6.507877511405108E-2</v>
      </c>
      <c r="N175" s="977"/>
    </row>
    <row r="176" spans="2:14" x14ac:dyDescent="0.25">
      <c r="B176" s="977"/>
      <c r="C176" s="988">
        <v>4</v>
      </c>
      <c r="D176" s="979" t="s">
        <v>575</v>
      </c>
      <c r="E176" s="980"/>
      <c r="F176" s="3000">
        <v>0</v>
      </c>
      <c r="G176" s="3001">
        <v>1.3615074886158334E-3</v>
      </c>
      <c r="H176" s="3002">
        <v>5.6342165001791291E-3</v>
      </c>
      <c r="I176" s="3002">
        <v>2.0315601315291455E-2</v>
      </c>
      <c r="J176" s="3002">
        <v>5.0850977634751E-2</v>
      </c>
      <c r="K176" s="3002">
        <v>7.7987432765942194E-2</v>
      </c>
      <c r="L176" s="3002">
        <v>8.9899409496539143E-2</v>
      </c>
      <c r="M176" s="3002">
        <v>9.5115132858997725E-2</v>
      </c>
      <c r="N176" s="977"/>
    </row>
    <row r="177" spans="2:14" x14ac:dyDescent="0.25">
      <c r="B177" s="977"/>
      <c r="C177" s="977">
        <v>1</v>
      </c>
      <c r="D177" s="982" t="s">
        <v>567</v>
      </c>
      <c r="E177" s="977"/>
      <c r="F177" s="2997">
        <v>0</v>
      </c>
      <c r="G177" s="2998">
        <v>0</v>
      </c>
      <c r="H177" s="3003">
        <v>0</v>
      </c>
      <c r="I177" s="3003">
        <v>0</v>
      </c>
      <c r="J177" s="3003">
        <v>0</v>
      </c>
      <c r="K177" s="3003">
        <v>0</v>
      </c>
      <c r="L177" s="3003">
        <v>0</v>
      </c>
      <c r="M177" s="3003">
        <v>0</v>
      </c>
      <c r="N177" s="977"/>
    </row>
    <row r="178" spans="2:14" x14ac:dyDescent="0.25">
      <c r="B178" s="977"/>
      <c r="C178" s="977">
        <v>2</v>
      </c>
      <c r="D178" s="982" t="s">
        <v>567</v>
      </c>
      <c r="E178" s="977"/>
      <c r="F178" s="2672">
        <v>0</v>
      </c>
      <c r="G178" s="2671">
        <v>1.5721762006787321E-4</v>
      </c>
      <c r="H178" s="3004">
        <v>7.4629433280663023E-4</v>
      </c>
      <c r="I178" s="3004">
        <v>3.2077265234670741E-3</v>
      </c>
      <c r="J178" s="3004">
        <v>9.8975871048891453E-3</v>
      </c>
      <c r="K178" s="3004">
        <v>1.7331503772494372E-2</v>
      </c>
      <c r="L178" s="3004">
        <v>2.0710900028059795E-2</v>
      </c>
      <c r="M178" s="3004">
        <v>2.2026662346294211E-2</v>
      </c>
      <c r="N178" s="977"/>
    </row>
    <row r="179" spans="2:14" x14ac:dyDescent="0.25">
      <c r="B179" s="977"/>
      <c r="C179" s="977">
        <v>3</v>
      </c>
      <c r="D179" s="982" t="s">
        <v>567</v>
      </c>
      <c r="E179" s="977"/>
      <c r="F179" s="3006">
        <v>0</v>
      </c>
      <c r="G179" s="2999">
        <v>1.5391551620878987E-4</v>
      </c>
      <c r="H179" s="3004">
        <v>8.9353372233391844E-4</v>
      </c>
      <c r="I179" s="3004">
        <v>4.9080119462805152E-3</v>
      </c>
      <c r="J179" s="3004">
        <v>2.0903790308407513E-2</v>
      </c>
      <c r="K179" s="3004">
        <v>4.7134478447081324E-2</v>
      </c>
      <c r="L179" s="3004">
        <v>6.0614387827118671E-2</v>
      </c>
      <c r="M179" s="3004">
        <v>6.507877511405108E-2</v>
      </c>
      <c r="N179" s="977"/>
    </row>
    <row r="180" spans="2:14" x14ac:dyDescent="0.25">
      <c r="B180" s="977"/>
      <c r="C180" s="980">
        <v>4</v>
      </c>
      <c r="D180" s="979" t="s">
        <v>567</v>
      </c>
      <c r="E180" s="980"/>
      <c r="F180" s="3000">
        <v>0</v>
      </c>
      <c r="G180" s="3001">
        <v>1.3615074886158334E-3</v>
      </c>
      <c r="H180" s="3005">
        <v>5.6342165001791291E-3</v>
      </c>
      <c r="I180" s="3005">
        <v>2.0315601315291455E-2</v>
      </c>
      <c r="J180" s="3005">
        <v>5.0850977634751E-2</v>
      </c>
      <c r="K180" s="3005">
        <v>7.7987432765942194E-2</v>
      </c>
      <c r="L180" s="3005">
        <v>8.9899409496539143E-2</v>
      </c>
      <c r="M180" s="3005">
        <v>9.5115132858997725E-2</v>
      </c>
      <c r="N180" s="977"/>
    </row>
    <row r="181" spans="2:14" x14ac:dyDescent="0.25">
      <c r="B181" s="977"/>
      <c r="C181" s="977">
        <v>1</v>
      </c>
      <c r="D181" s="982" t="s">
        <v>566</v>
      </c>
      <c r="E181" s="977"/>
      <c r="F181" s="2997">
        <v>0</v>
      </c>
      <c r="G181" s="2998">
        <v>0</v>
      </c>
      <c r="H181" s="3003">
        <v>0</v>
      </c>
      <c r="I181" s="3003">
        <v>0</v>
      </c>
      <c r="J181" s="3003">
        <v>0</v>
      </c>
      <c r="K181" s="3003">
        <v>0</v>
      </c>
      <c r="L181" s="3003">
        <v>0</v>
      </c>
      <c r="M181" s="3003">
        <v>0</v>
      </c>
      <c r="N181" s="977"/>
    </row>
    <row r="182" spans="2:14" x14ac:dyDescent="0.25">
      <c r="B182" s="977"/>
      <c r="C182" s="977">
        <v>2</v>
      </c>
      <c r="D182" s="982" t="s">
        <v>566</v>
      </c>
      <c r="E182" s="977"/>
      <c r="F182" s="2672">
        <v>0</v>
      </c>
      <c r="G182" s="2671">
        <v>1.5721762006787321E-4</v>
      </c>
      <c r="H182" s="3004">
        <v>7.4629433280663023E-4</v>
      </c>
      <c r="I182" s="3004">
        <v>3.2077265234670741E-3</v>
      </c>
      <c r="J182" s="3004">
        <v>9.8975871048891453E-3</v>
      </c>
      <c r="K182" s="3004">
        <v>1.7331503772494372E-2</v>
      </c>
      <c r="L182" s="3004">
        <v>2.0710900028059795E-2</v>
      </c>
      <c r="M182" s="3004">
        <v>2.2026662346294211E-2</v>
      </c>
      <c r="N182" s="977"/>
    </row>
    <row r="183" spans="2:14" x14ac:dyDescent="0.25">
      <c r="B183" s="977"/>
      <c r="C183" s="977">
        <v>3</v>
      </c>
      <c r="D183" s="982" t="s">
        <v>566</v>
      </c>
      <c r="E183" s="977"/>
      <c r="F183" s="3006">
        <v>0</v>
      </c>
      <c r="G183" s="2999">
        <v>1.5391551620878987E-4</v>
      </c>
      <c r="H183" s="3004">
        <v>8.9353372233391844E-4</v>
      </c>
      <c r="I183" s="3004">
        <v>4.9080119462805152E-3</v>
      </c>
      <c r="J183" s="3004">
        <v>2.0903790308407513E-2</v>
      </c>
      <c r="K183" s="3004">
        <v>4.7134478447081324E-2</v>
      </c>
      <c r="L183" s="3004">
        <v>6.0614387827118671E-2</v>
      </c>
      <c r="M183" s="3004">
        <v>6.507877511405108E-2</v>
      </c>
      <c r="N183" s="977"/>
    </row>
    <row r="184" spans="2:14" x14ac:dyDescent="0.25">
      <c r="B184" s="977"/>
      <c r="C184" s="980">
        <v>4</v>
      </c>
      <c r="D184" s="979" t="s">
        <v>566</v>
      </c>
      <c r="E184" s="980"/>
      <c r="F184" s="3000">
        <v>0</v>
      </c>
      <c r="G184" s="3001">
        <v>1.3615074886158334E-3</v>
      </c>
      <c r="H184" s="3005">
        <v>5.6342165001791291E-3</v>
      </c>
      <c r="I184" s="3005">
        <v>2.0315601315291455E-2</v>
      </c>
      <c r="J184" s="3005">
        <v>5.0850977634751E-2</v>
      </c>
      <c r="K184" s="3005">
        <v>7.7987432765942194E-2</v>
      </c>
      <c r="L184" s="3005">
        <v>8.9899409496539143E-2</v>
      </c>
      <c r="M184" s="3005">
        <v>9.5115132858997725E-2</v>
      </c>
      <c r="N184" s="977"/>
    </row>
    <row r="185" spans="2:14" x14ac:dyDescent="0.25">
      <c r="B185" s="977"/>
      <c r="C185" s="977">
        <v>1</v>
      </c>
      <c r="D185" s="982" t="s">
        <v>565</v>
      </c>
      <c r="E185" s="977"/>
      <c r="F185" s="2997">
        <v>0</v>
      </c>
      <c r="G185" s="2998">
        <v>0</v>
      </c>
      <c r="H185" s="3003">
        <v>0</v>
      </c>
      <c r="I185" s="3003">
        <v>0</v>
      </c>
      <c r="J185" s="3003">
        <v>0</v>
      </c>
      <c r="K185" s="3003">
        <v>0</v>
      </c>
      <c r="L185" s="3003">
        <v>0</v>
      </c>
      <c r="M185" s="3003">
        <v>0</v>
      </c>
      <c r="N185" s="977"/>
    </row>
    <row r="186" spans="2:14" x14ac:dyDescent="0.25">
      <c r="B186" s="977"/>
      <c r="C186" s="977">
        <v>2</v>
      </c>
      <c r="D186" s="982" t="s">
        <v>565</v>
      </c>
      <c r="E186" s="977"/>
      <c r="F186" s="2672">
        <v>0</v>
      </c>
      <c r="G186" s="2671">
        <v>1.5721762006787321E-4</v>
      </c>
      <c r="H186" s="3004">
        <v>7.4629433280663023E-4</v>
      </c>
      <c r="I186" s="3004">
        <v>3.2077265234670741E-3</v>
      </c>
      <c r="J186" s="3004">
        <v>9.8975871048891453E-3</v>
      </c>
      <c r="K186" s="3004">
        <v>1.7331503772494372E-2</v>
      </c>
      <c r="L186" s="3004">
        <v>2.0710900028059795E-2</v>
      </c>
      <c r="M186" s="3004">
        <v>2.2026662346294211E-2</v>
      </c>
      <c r="N186" s="977"/>
    </row>
    <row r="187" spans="2:14" x14ac:dyDescent="0.25">
      <c r="B187" s="977"/>
      <c r="C187" s="977">
        <v>3</v>
      </c>
      <c r="D187" s="982" t="s">
        <v>565</v>
      </c>
      <c r="E187" s="977"/>
      <c r="F187" s="3006">
        <v>0</v>
      </c>
      <c r="G187" s="2999">
        <v>1.5391551620878987E-4</v>
      </c>
      <c r="H187" s="3004">
        <v>8.9353372233391844E-4</v>
      </c>
      <c r="I187" s="3004">
        <v>4.9080119462805152E-3</v>
      </c>
      <c r="J187" s="3004">
        <v>2.0903790308407513E-2</v>
      </c>
      <c r="K187" s="3004">
        <v>4.7134478447081324E-2</v>
      </c>
      <c r="L187" s="3004">
        <v>6.0614387827118671E-2</v>
      </c>
      <c r="M187" s="3004">
        <v>6.507877511405108E-2</v>
      </c>
      <c r="N187" s="977"/>
    </row>
    <row r="188" spans="2:14" x14ac:dyDescent="0.25">
      <c r="B188" s="977"/>
      <c r="C188" s="980">
        <v>4</v>
      </c>
      <c r="D188" s="979" t="s">
        <v>565</v>
      </c>
      <c r="E188" s="980"/>
      <c r="F188" s="3000">
        <v>0</v>
      </c>
      <c r="G188" s="3001">
        <v>1.3615074886158334E-3</v>
      </c>
      <c r="H188" s="3005">
        <v>5.6342165001791291E-3</v>
      </c>
      <c r="I188" s="3005">
        <v>2.0315601315291455E-2</v>
      </c>
      <c r="J188" s="3005">
        <v>5.0850977634751E-2</v>
      </c>
      <c r="K188" s="3005">
        <v>7.7987432765942194E-2</v>
      </c>
      <c r="L188" s="3005">
        <v>8.9899409496539143E-2</v>
      </c>
      <c r="M188" s="3005">
        <v>9.5115132858997725E-2</v>
      </c>
      <c r="N188" s="977"/>
    </row>
    <row r="189" spans="2:14" x14ac:dyDescent="0.25">
      <c r="B189" s="977"/>
      <c r="C189" s="977">
        <v>1</v>
      </c>
      <c r="D189" s="982" t="s">
        <v>564</v>
      </c>
      <c r="E189" s="977"/>
      <c r="F189" s="2997">
        <v>0</v>
      </c>
      <c r="G189" s="2998">
        <v>0</v>
      </c>
      <c r="H189" s="3004">
        <v>0</v>
      </c>
      <c r="I189" s="3003">
        <v>0</v>
      </c>
      <c r="J189" s="3003">
        <v>0</v>
      </c>
      <c r="K189" s="3003">
        <v>0</v>
      </c>
      <c r="L189" s="3003">
        <v>0</v>
      </c>
      <c r="M189" s="3003">
        <v>0</v>
      </c>
      <c r="N189" s="977"/>
    </row>
    <row r="190" spans="2:14" x14ac:dyDescent="0.25">
      <c r="B190" s="977"/>
      <c r="C190" s="977">
        <v>2</v>
      </c>
      <c r="D190" s="982" t="s">
        <v>564</v>
      </c>
      <c r="E190" s="977"/>
      <c r="F190" s="2672">
        <v>0</v>
      </c>
      <c r="G190" s="2671">
        <v>1.5721762006787321E-4</v>
      </c>
      <c r="H190" s="3004">
        <v>7.4629433280663023E-4</v>
      </c>
      <c r="I190" s="3004">
        <v>3.2077265234670741E-3</v>
      </c>
      <c r="J190" s="3004">
        <v>9.8975871048891453E-3</v>
      </c>
      <c r="K190" s="3004">
        <v>1.7331503772494372E-2</v>
      </c>
      <c r="L190" s="3004">
        <v>2.0710900028059795E-2</v>
      </c>
      <c r="M190" s="3004">
        <v>2.2026662346294211E-2</v>
      </c>
      <c r="N190" s="977"/>
    </row>
    <row r="191" spans="2:14" x14ac:dyDescent="0.25">
      <c r="B191" s="977"/>
      <c r="C191" s="977">
        <v>3</v>
      </c>
      <c r="D191" s="982" t="s">
        <v>564</v>
      </c>
      <c r="E191" s="977"/>
      <c r="F191" s="3006">
        <v>0</v>
      </c>
      <c r="G191" s="2999">
        <v>1.5391551620878987E-4</v>
      </c>
      <c r="H191" s="3004">
        <v>8.9353372233391844E-4</v>
      </c>
      <c r="I191" s="3004">
        <v>4.9080119462805152E-3</v>
      </c>
      <c r="J191" s="3004">
        <v>2.0903790308407513E-2</v>
      </c>
      <c r="K191" s="3004">
        <v>4.7134478447081324E-2</v>
      </c>
      <c r="L191" s="3004">
        <v>6.0614387827118671E-2</v>
      </c>
      <c r="M191" s="3004">
        <v>6.507877511405108E-2</v>
      </c>
      <c r="N191" s="977"/>
    </row>
    <row r="192" spans="2:14" x14ac:dyDescent="0.25">
      <c r="B192" s="977"/>
      <c r="C192" s="980">
        <v>4</v>
      </c>
      <c r="D192" s="979" t="s">
        <v>564</v>
      </c>
      <c r="E192" s="980"/>
      <c r="F192" s="3000">
        <v>0</v>
      </c>
      <c r="G192" s="3001">
        <v>1.3615074886158334E-3</v>
      </c>
      <c r="H192" s="3005">
        <v>5.6342165001791291E-3</v>
      </c>
      <c r="I192" s="3005">
        <v>2.0315601315291455E-2</v>
      </c>
      <c r="J192" s="3005">
        <v>5.0850977634751E-2</v>
      </c>
      <c r="K192" s="3005">
        <v>7.7987432765942194E-2</v>
      </c>
      <c r="L192" s="3005">
        <v>8.9899409496539143E-2</v>
      </c>
      <c r="M192" s="3005">
        <v>9.5115132858997725E-2</v>
      </c>
      <c r="N192" s="977"/>
    </row>
    <row r="193" spans="2:14" x14ac:dyDescent="0.25">
      <c r="B193" s="977"/>
      <c r="C193" s="977">
        <v>1</v>
      </c>
      <c r="D193" s="982" t="s">
        <v>563</v>
      </c>
      <c r="E193" s="977"/>
      <c r="F193" s="2997">
        <v>0</v>
      </c>
      <c r="G193" s="2998">
        <v>0</v>
      </c>
      <c r="H193" s="3004">
        <v>0</v>
      </c>
      <c r="I193" s="3003">
        <v>0</v>
      </c>
      <c r="J193" s="3003">
        <v>0</v>
      </c>
      <c r="K193" s="3003">
        <v>0</v>
      </c>
      <c r="L193" s="3003">
        <v>0</v>
      </c>
      <c r="M193" s="3003">
        <v>0</v>
      </c>
      <c r="N193" s="977"/>
    </row>
    <row r="194" spans="2:14" x14ac:dyDescent="0.25">
      <c r="B194" s="977"/>
      <c r="C194" s="977">
        <v>2</v>
      </c>
      <c r="D194" s="982" t="s">
        <v>563</v>
      </c>
      <c r="E194" s="977"/>
      <c r="F194" s="2672">
        <v>0</v>
      </c>
      <c r="G194" s="2671">
        <v>1.5721762006787321E-4</v>
      </c>
      <c r="H194" s="3004">
        <v>7.4629433280663023E-4</v>
      </c>
      <c r="I194" s="3004">
        <v>3.2077265234670741E-3</v>
      </c>
      <c r="J194" s="3004">
        <v>9.8975871048891453E-3</v>
      </c>
      <c r="K194" s="3004">
        <v>1.7331503772494372E-2</v>
      </c>
      <c r="L194" s="3004">
        <v>2.0710900028059795E-2</v>
      </c>
      <c r="M194" s="3004">
        <v>2.2026662346294211E-2</v>
      </c>
      <c r="N194" s="977"/>
    </row>
    <row r="195" spans="2:14" x14ac:dyDescent="0.25">
      <c r="B195" s="977"/>
      <c r="C195" s="977">
        <v>3</v>
      </c>
      <c r="D195" s="982" t="s">
        <v>563</v>
      </c>
      <c r="E195" s="977"/>
      <c r="F195" s="3006">
        <v>0</v>
      </c>
      <c r="G195" s="2999">
        <v>1.5391551620878987E-4</v>
      </c>
      <c r="H195" s="3004">
        <v>8.9353372233391844E-4</v>
      </c>
      <c r="I195" s="3004">
        <v>4.9080119462805152E-3</v>
      </c>
      <c r="J195" s="3004">
        <v>2.0903790308407513E-2</v>
      </c>
      <c r="K195" s="3004">
        <v>4.7134478447081324E-2</v>
      </c>
      <c r="L195" s="3004">
        <v>6.0614387827118671E-2</v>
      </c>
      <c r="M195" s="3004">
        <v>6.507877511405108E-2</v>
      </c>
      <c r="N195" s="977"/>
    </row>
    <row r="196" spans="2:14" x14ac:dyDescent="0.25">
      <c r="B196" s="977"/>
      <c r="C196" s="980">
        <v>4</v>
      </c>
      <c r="D196" s="979" t="s">
        <v>563</v>
      </c>
      <c r="E196" s="980"/>
      <c r="F196" s="3000">
        <v>0</v>
      </c>
      <c r="G196" s="3001">
        <v>1.3615074886158334E-3</v>
      </c>
      <c r="H196" s="3005">
        <v>5.6342165001791291E-3</v>
      </c>
      <c r="I196" s="3005">
        <v>2.0315601315291455E-2</v>
      </c>
      <c r="J196" s="3005">
        <v>5.0850977634751E-2</v>
      </c>
      <c r="K196" s="3005">
        <v>7.7987432765942194E-2</v>
      </c>
      <c r="L196" s="3005">
        <v>8.9899409496539143E-2</v>
      </c>
      <c r="M196" s="3005">
        <v>9.5115132858997725E-2</v>
      </c>
      <c r="N196" s="977"/>
    </row>
    <row r="197" spans="2:14" x14ac:dyDescent="0.25">
      <c r="B197" s="977"/>
      <c r="C197" s="977">
        <v>1</v>
      </c>
      <c r="D197" s="982" t="s">
        <v>562</v>
      </c>
      <c r="E197" s="977"/>
      <c r="F197" s="2997">
        <v>0</v>
      </c>
      <c r="G197" s="2998">
        <v>0</v>
      </c>
      <c r="H197" s="3003">
        <v>0</v>
      </c>
      <c r="I197" s="3003">
        <v>0</v>
      </c>
      <c r="J197" s="3003">
        <v>0</v>
      </c>
      <c r="K197" s="3003">
        <v>0</v>
      </c>
      <c r="L197" s="3003">
        <v>0</v>
      </c>
      <c r="M197" s="3003">
        <v>0</v>
      </c>
      <c r="N197" s="977"/>
    </row>
    <row r="198" spans="2:14" x14ac:dyDescent="0.25">
      <c r="B198" s="977"/>
      <c r="C198" s="977">
        <v>2</v>
      </c>
      <c r="D198" s="982" t="s">
        <v>562</v>
      </c>
      <c r="E198" s="977"/>
      <c r="F198" s="2672">
        <v>0</v>
      </c>
      <c r="G198" s="2671">
        <v>1.5721762006787321E-4</v>
      </c>
      <c r="H198" s="3004">
        <v>7.4629433280663023E-4</v>
      </c>
      <c r="I198" s="3004">
        <v>3.2077265234670741E-3</v>
      </c>
      <c r="J198" s="3004">
        <v>9.8975871048891453E-3</v>
      </c>
      <c r="K198" s="3004">
        <v>1.7331503772494372E-2</v>
      </c>
      <c r="L198" s="3004">
        <v>2.0710900028059795E-2</v>
      </c>
      <c r="M198" s="3004">
        <v>2.2026662346294211E-2</v>
      </c>
      <c r="N198" s="977"/>
    </row>
    <row r="199" spans="2:14" x14ac:dyDescent="0.25">
      <c r="B199" s="977"/>
      <c r="C199" s="977">
        <v>3</v>
      </c>
      <c r="D199" s="982" t="s">
        <v>562</v>
      </c>
      <c r="E199" s="977"/>
      <c r="F199" s="3006">
        <v>0</v>
      </c>
      <c r="G199" s="2999">
        <v>1.5391551620878987E-4</v>
      </c>
      <c r="H199" s="3004">
        <v>8.9353372233391844E-4</v>
      </c>
      <c r="I199" s="3004">
        <v>4.9080119462805152E-3</v>
      </c>
      <c r="J199" s="3004">
        <v>2.0903790308407513E-2</v>
      </c>
      <c r="K199" s="3004">
        <v>4.7134478447081324E-2</v>
      </c>
      <c r="L199" s="3004">
        <v>6.0614387827118671E-2</v>
      </c>
      <c r="M199" s="3004">
        <v>6.507877511405108E-2</v>
      </c>
      <c r="N199" s="977"/>
    </row>
    <row r="200" spans="2:14" x14ac:dyDescent="0.25">
      <c r="B200" s="977"/>
      <c r="C200" s="980">
        <v>4</v>
      </c>
      <c r="D200" s="979" t="s">
        <v>562</v>
      </c>
      <c r="E200" s="980"/>
      <c r="F200" s="3000">
        <v>0</v>
      </c>
      <c r="G200" s="3001">
        <v>1.3615074886158334E-3</v>
      </c>
      <c r="H200" s="3005">
        <v>5.6342165001791291E-3</v>
      </c>
      <c r="I200" s="3005">
        <v>2.0315601315291455E-2</v>
      </c>
      <c r="J200" s="3005">
        <v>5.0850977634751E-2</v>
      </c>
      <c r="K200" s="3005">
        <v>7.7987432765942194E-2</v>
      </c>
      <c r="L200" s="3005">
        <v>8.9899409496539143E-2</v>
      </c>
      <c r="M200" s="3005">
        <v>9.5115132858997725E-2</v>
      </c>
      <c r="N200" s="977"/>
    </row>
    <row r="201" spans="2:14" x14ac:dyDescent="0.25">
      <c r="B201" s="977"/>
      <c r="C201" s="977">
        <v>1</v>
      </c>
      <c r="D201" s="982" t="s">
        <v>561</v>
      </c>
      <c r="E201" s="977"/>
      <c r="F201" s="2997">
        <v>0</v>
      </c>
      <c r="G201" s="2998">
        <v>0</v>
      </c>
      <c r="H201" s="3003">
        <v>0</v>
      </c>
      <c r="I201" s="3003">
        <v>0</v>
      </c>
      <c r="J201" s="3003">
        <v>0</v>
      </c>
      <c r="K201" s="3003">
        <v>0</v>
      </c>
      <c r="L201" s="3003">
        <v>0</v>
      </c>
      <c r="M201" s="3003">
        <v>0</v>
      </c>
      <c r="N201" s="977"/>
    </row>
    <row r="202" spans="2:14" x14ac:dyDescent="0.25">
      <c r="B202" s="977"/>
      <c r="C202" s="977">
        <v>2</v>
      </c>
      <c r="D202" s="982" t="s">
        <v>561</v>
      </c>
      <c r="E202" s="977"/>
      <c r="F202" s="2672">
        <v>0</v>
      </c>
      <c r="G202" s="2671">
        <v>1.5721762006787321E-4</v>
      </c>
      <c r="H202" s="3004">
        <v>7.4629433280663023E-4</v>
      </c>
      <c r="I202" s="3004">
        <v>3.2077265234670741E-3</v>
      </c>
      <c r="J202" s="3004">
        <v>9.8975871048891453E-3</v>
      </c>
      <c r="K202" s="3004">
        <v>1.7331503772494372E-2</v>
      </c>
      <c r="L202" s="3004">
        <v>2.0710900028059795E-2</v>
      </c>
      <c r="M202" s="3004">
        <v>2.2026662346294211E-2</v>
      </c>
      <c r="N202" s="977"/>
    </row>
    <row r="203" spans="2:14" x14ac:dyDescent="0.25">
      <c r="B203" s="977"/>
      <c r="C203" s="977">
        <v>3</v>
      </c>
      <c r="D203" s="982" t="s">
        <v>561</v>
      </c>
      <c r="E203" s="977"/>
      <c r="F203" s="3006">
        <v>0</v>
      </c>
      <c r="G203" s="2999">
        <v>1.5391551620878987E-4</v>
      </c>
      <c r="H203" s="3004">
        <v>8.9353372233391844E-4</v>
      </c>
      <c r="I203" s="3004">
        <v>4.9080119462805152E-3</v>
      </c>
      <c r="J203" s="3004">
        <v>2.0903790308407513E-2</v>
      </c>
      <c r="K203" s="3004">
        <v>4.7134478447081324E-2</v>
      </c>
      <c r="L203" s="3004">
        <v>6.0614387827118671E-2</v>
      </c>
      <c r="M203" s="3004">
        <v>6.507877511405108E-2</v>
      </c>
      <c r="N203" s="977"/>
    </row>
    <row r="204" spans="2:14" x14ac:dyDescent="0.25">
      <c r="B204" s="977"/>
      <c r="C204" s="980">
        <v>4</v>
      </c>
      <c r="D204" s="979" t="s">
        <v>561</v>
      </c>
      <c r="E204" s="980"/>
      <c r="F204" s="3000">
        <v>0</v>
      </c>
      <c r="G204" s="3001">
        <v>1.3615074886158334E-3</v>
      </c>
      <c r="H204" s="3005">
        <v>5.6342165001791291E-3</v>
      </c>
      <c r="I204" s="3005">
        <v>2.0315601315291455E-2</v>
      </c>
      <c r="J204" s="3005">
        <v>5.0850977634751E-2</v>
      </c>
      <c r="K204" s="3005">
        <v>7.7987432765942194E-2</v>
      </c>
      <c r="L204" s="3005">
        <v>8.9899409496539143E-2</v>
      </c>
      <c r="M204" s="3005">
        <v>9.5115132858997725E-2</v>
      </c>
      <c r="N204" s="977"/>
    </row>
    <row r="205" spans="2:14" x14ac:dyDescent="0.25">
      <c r="B205" s="977"/>
      <c r="C205" s="977">
        <v>1</v>
      </c>
      <c r="D205" s="982" t="s">
        <v>560</v>
      </c>
      <c r="E205" s="977"/>
      <c r="F205" s="2997">
        <v>0</v>
      </c>
      <c r="G205" s="2998">
        <v>0</v>
      </c>
      <c r="H205" s="2997">
        <v>0</v>
      </c>
      <c r="I205" s="2997">
        <v>0</v>
      </c>
      <c r="J205" s="2997">
        <v>0</v>
      </c>
      <c r="K205" s="2997">
        <v>0</v>
      </c>
      <c r="L205" s="2997">
        <v>0</v>
      </c>
      <c r="M205" s="2997">
        <v>0</v>
      </c>
      <c r="N205" s="977"/>
    </row>
    <row r="206" spans="2:14" x14ac:dyDescent="0.25">
      <c r="B206" s="977"/>
      <c r="C206" s="977">
        <v>2</v>
      </c>
      <c r="D206" s="982" t="s">
        <v>560</v>
      </c>
      <c r="E206" s="977"/>
      <c r="F206" s="2672">
        <v>0</v>
      </c>
      <c r="G206" s="2671">
        <v>1.5721762006787321E-4</v>
      </c>
      <c r="H206" s="2672">
        <v>7.4629433280663023E-4</v>
      </c>
      <c r="I206" s="2672">
        <v>3.2077265234670741E-3</v>
      </c>
      <c r="J206" s="2672">
        <v>9.8975871048891453E-3</v>
      </c>
      <c r="K206" s="2672">
        <v>1.7331503772494372E-2</v>
      </c>
      <c r="L206" s="2672">
        <v>2.0710900028059795E-2</v>
      </c>
      <c r="M206" s="2672">
        <v>2.2026662346294211E-2</v>
      </c>
      <c r="N206" s="977"/>
    </row>
    <row r="207" spans="2:14" x14ac:dyDescent="0.25">
      <c r="B207" s="977"/>
      <c r="C207" s="977">
        <v>3</v>
      </c>
      <c r="D207" s="982" t="s">
        <v>560</v>
      </c>
      <c r="E207" s="977"/>
      <c r="F207" s="3006">
        <v>0</v>
      </c>
      <c r="G207" s="2999">
        <v>1.5391551620878987E-4</v>
      </c>
      <c r="H207" s="2672">
        <v>8.9353372233391844E-4</v>
      </c>
      <c r="I207" s="2672">
        <v>4.9080119462805152E-3</v>
      </c>
      <c r="J207" s="2672">
        <v>2.0903790308407513E-2</v>
      </c>
      <c r="K207" s="2672">
        <v>4.7134478447081324E-2</v>
      </c>
      <c r="L207" s="2672">
        <v>6.0614387827118671E-2</v>
      </c>
      <c r="M207" s="2672">
        <v>6.507877511405108E-2</v>
      </c>
      <c r="N207" s="977"/>
    </row>
    <row r="208" spans="2:14" x14ac:dyDescent="0.25">
      <c r="B208" s="977"/>
      <c r="C208" s="980">
        <v>4</v>
      </c>
      <c r="D208" s="979" t="s">
        <v>560</v>
      </c>
      <c r="E208" s="980"/>
      <c r="F208" s="3000">
        <v>0</v>
      </c>
      <c r="G208" s="3001">
        <v>1.3615074886158334E-3</v>
      </c>
      <c r="H208" s="3002">
        <v>5.6342165001791291E-3</v>
      </c>
      <c r="I208" s="3002">
        <v>2.0315601315291455E-2</v>
      </c>
      <c r="J208" s="3002">
        <v>5.0850977634751E-2</v>
      </c>
      <c r="K208" s="3002">
        <v>7.7987432765942194E-2</v>
      </c>
      <c r="L208" s="3002">
        <v>8.9899409496539143E-2</v>
      </c>
      <c r="M208" s="3002">
        <v>9.5115132858997725E-2</v>
      </c>
      <c r="N208" s="977"/>
    </row>
    <row r="209" spans="2:14" x14ac:dyDescent="0.25">
      <c r="B209" s="977"/>
      <c r="C209" s="977">
        <v>1</v>
      </c>
      <c r="D209" s="982" t="s">
        <v>559</v>
      </c>
      <c r="E209" s="977"/>
      <c r="F209" s="2997">
        <v>0</v>
      </c>
      <c r="G209" s="2998">
        <v>0</v>
      </c>
      <c r="H209" s="2997">
        <v>0</v>
      </c>
      <c r="I209" s="2997">
        <v>0</v>
      </c>
      <c r="J209" s="2997">
        <v>0</v>
      </c>
      <c r="K209" s="2997">
        <v>0</v>
      </c>
      <c r="L209" s="2997">
        <v>0</v>
      </c>
      <c r="M209" s="2997">
        <v>0</v>
      </c>
      <c r="N209" s="977"/>
    </row>
    <row r="210" spans="2:14" x14ac:dyDescent="0.25">
      <c r="B210" s="977"/>
      <c r="C210" s="977">
        <v>2</v>
      </c>
      <c r="D210" s="982" t="s">
        <v>559</v>
      </c>
      <c r="E210" s="977"/>
      <c r="F210" s="2672">
        <v>0</v>
      </c>
      <c r="G210" s="2671">
        <v>1.5721762006787321E-4</v>
      </c>
      <c r="H210" s="2672">
        <v>7.4629433280663023E-4</v>
      </c>
      <c r="I210" s="2672">
        <v>3.2077265234670741E-3</v>
      </c>
      <c r="J210" s="2672">
        <v>9.8975871048891453E-3</v>
      </c>
      <c r="K210" s="2672">
        <v>1.7331503772494372E-2</v>
      </c>
      <c r="L210" s="2672">
        <v>2.0710900028059795E-2</v>
      </c>
      <c r="M210" s="2672">
        <v>2.2026662346294211E-2</v>
      </c>
      <c r="N210" s="977"/>
    </row>
    <row r="211" spans="2:14" x14ac:dyDescent="0.25">
      <c r="B211" s="977"/>
      <c r="C211" s="977">
        <v>3</v>
      </c>
      <c r="D211" s="982" t="s">
        <v>559</v>
      </c>
      <c r="E211" s="977"/>
      <c r="F211" s="3006">
        <v>0</v>
      </c>
      <c r="G211" s="2999">
        <v>1.5391551620878987E-4</v>
      </c>
      <c r="H211" s="2672">
        <v>8.9353372233391844E-4</v>
      </c>
      <c r="I211" s="2672">
        <v>4.9080119462805152E-3</v>
      </c>
      <c r="J211" s="2672">
        <v>2.0903790308407513E-2</v>
      </c>
      <c r="K211" s="2672">
        <v>4.7134478447081324E-2</v>
      </c>
      <c r="L211" s="2672">
        <v>6.0614387827118671E-2</v>
      </c>
      <c r="M211" s="2672">
        <v>6.507877511405108E-2</v>
      </c>
      <c r="N211" s="977"/>
    </row>
    <row r="212" spans="2:14" x14ac:dyDescent="0.25">
      <c r="B212" s="977"/>
      <c r="C212" s="980">
        <v>4</v>
      </c>
      <c r="D212" s="979" t="s">
        <v>559</v>
      </c>
      <c r="E212" s="980"/>
      <c r="F212" s="3000">
        <v>0</v>
      </c>
      <c r="G212" s="3001">
        <v>1.3615074886158334E-3</v>
      </c>
      <c r="H212" s="3002">
        <v>5.6342165001791291E-3</v>
      </c>
      <c r="I212" s="3002">
        <v>2.0315601315291455E-2</v>
      </c>
      <c r="J212" s="3002">
        <v>5.0850977634751E-2</v>
      </c>
      <c r="K212" s="3002">
        <v>7.7987432765942194E-2</v>
      </c>
      <c r="L212" s="3002">
        <v>8.9899409496539143E-2</v>
      </c>
      <c r="M212" s="3002">
        <v>9.5115132858997725E-2</v>
      </c>
      <c r="N212" s="977"/>
    </row>
    <row r="213" spans="2:14" x14ac:dyDescent="0.25">
      <c r="B213" s="977"/>
      <c r="C213" s="977">
        <v>1</v>
      </c>
      <c r="D213" s="982" t="s">
        <v>558</v>
      </c>
      <c r="E213" s="977"/>
      <c r="F213" s="2997">
        <v>0</v>
      </c>
      <c r="G213" s="2998">
        <v>0</v>
      </c>
      <c r="H213" s="2997">
        <v>0</v>
      </c>
      <c r="I213" s="2997">
        <v>0</v>
      </c>
      <c r="J213" s="2997">
        <v>0</v>
      </c>
      <c r="K213" s="2997">
        <v>0</v>
      </c>
      <c r="L213" s="2997">
        <v>0</v>
      </c>
      <c r="M213" s="2997">
        <v>0</v>
      </c>
      <c r="N213" s="977"/>
    </row>
    <row r="214" spans="2:14" x14ac:dyDescent="0.25">
      <c r="B214" s="977"/>
      <c r="C214" s="977">
        <v>2</v>
      </c>
      <c r="D214" s="982" t="s">
        <v>558</v>
      </c>
      <c r="E214" s="977"/>
      <c r="F214" s="2672">
        <v>0</v>
      </c>
      <c r="G214" s="2671">
        <v>1.5721762006787321E-4</v>
      </c>
      <c r="H214" s="2672">
        <v>7.4629433280663023E-4</v>
      </c>
      <c r="I214" s="2672">
        <v>3.2077265234670741E-3</v>
      </c>
      <c r="J214" s="2672">
        <v>9.8975871048891453E-3</v>
      </c>
      <c r="K214" s="2672">
        <v>1.7331503772494372E-2</v>
      </c>
      <c r="L214" s="2672">
        <v>2.0710900028059795E-2</v>
      </c>
      <c r="M214" s="2672">
        <v>2.2026662346294211E-2</v>
      </c>
      <c r="N214" s="977"/>
    </row>
    <row r="215" spans="2:14" x14ac:dyDescent="0.25">
      <c r="B215" s="977"/>
      <c r="C215" s="977">
        <v>3</v>
      </c>
      <c r="D215" s="982" t="s">
        <v>558</v>
      </c>
      <c r="E215" s="977"/>
      <c r="F215" s="3006">
        <v>0</v>
      </c>
      <c r="G215" s="2999">
        <v>1.5391551620878987E-4</v>
      </c>
      <c r="H215" s="2672">
        <v>8.9353372233391844E-4</v>
      </c>
      <c r="I215" s="2672">
        <v>4.9080119462805152E-3</v>
      </c>
      <c r="J215" s="2672">
        <v>2.0903790308407513E-2</v>
      </c>
      <c r="K215" s="2672">
        <v>4.7134478447081324E-2</v>
      </c>
      <c r="L215" s="2672">
        <v>6.0614387827118671E-2</v>
      </c>
      <c r="M215" s="2672">
        <v>6.507877511405108E-2</v>
      </c>
      <c r="N215" s="977"/>
    </row>
    <row r="216" spans="2:14" x14ac:dyDescent="0.25">
      <c r="B216" s="977"/>
      <c r="C216" s="980">
        <v>4</v>
      </c>
      <c r="D216" s="979" t="s">
        <v>558</v>
      </c>
      <c r="E216" s="980"/>
      <c r="F216" s="3000">
        <v>0</v>
      </c>
      <c r="G216" s="3001">
        <v>1.3615074886158334E-3</v>
      </c>
      <c r="H216" s="3002">
        <v>5.6342165001791291E-3</v>
      </c>
      <c r="I216" s="3002">
        <v>2.0315601315291455E-2</v>
      </c>
      <c r="J216" s="3002">
        <v>5.0850977634751E-2</v>
      </c>
      <c r="K216" s="3002">
        <v>7.7987432765942194E-2</v>
      </c>
      <c r="L216" s="3002">
        <v>8.9899409496539143E-2</v>
      </c>
      <c r="M216" s="3002">
        <v>9.5115132858997725E-2</v>
      </c>
      <c r="N216" s="977"/>
    </row>
    <row r="217" spans="2:14" ht="4.5" customHeight="1" x14ac:dyDescent="0.25">
      <c r="B217" s="977"/>
      <c r="C217" s="977"/>
      <c r="D217" s="977"/>
      <c r="E217" s="977"/>
      <c r="F217" s="1000"/>
      <c r="G217" s="977"/>
      <c r="H217" s="977"/>
      <c r="I217" s="977"/>
      <c r="J217" s="977"/>
      <c r="K217" s="977"/>
      <c r="L217" s="977"/>
      <c r="M217" s="977"/>
      <c r="N217" s="977"/>
    </row>
    <row r="218" spans="2:14" x14ac:dyDescent="0.25">
      <c r="B218" s="977"/>
      <c r="C218" s="2897" t="s">
        <v>8</v>
      </c>
      <c r="D218" s="791"/>
      <c r="E218" s="977"/>
      <c r="F218" s="1000"/>
      <c r="G218" s="977"/>
      <c r="H218" s="977"/>
      <c r="I218" s="977"/>
      <c r="J218" s="977"/>
      <c r="K218" s="977"/>
      <c r="L218" s="977"/>
      <c r="M218" s="977"/>
      <c r="N218" s="977"/>
    </row>
    <row r="219" spans="2:14" x14ac:dyDescent="0.25">
      <c r="B219" s="977"/>
      <c r="C219" s="2991" t="s">
        <v>319</v>
      </c>
      <c r="D219" s="2992" t="s">
        <v>2106</v>
      </c>
      <c r="E219" s="977"/>
      <c r="F219" s="1000"/>
      <c r="G219" s="977"/>
      <c r="H219" s="977"/>
      <c r="I219" s="977"/>
      <c r="J219" s="977"/>
      <c r="K219" s="977"/>
      <c r="L219" s="977"/>
      <c r="M219" s="977"/>
      <c r="N219" s="977"/>
    </row>
    <row r="220" spans="2:14" x14ac:dyDescent="0.25">
      <c r="B220" s="977"/>
      <c r="C220" s="800"/>
      <c r="D220" s="2896" t="s">
        <v>1981</v>
      </c>
      <c r="E220" s="977"/>
      <c r="F220" s="1000"/>
      <c r="G220" s="977"/>
      <c r="H220" s="977"/>
      <c r="I220" s="977"/>
      <c r="J220" s="977"/>
      <c r="K220" s="977"/>
      <c r="L220" s="977"/>
      <c r="M220" s="977"/>
      <c r="N220" s="977"/>
    </row>
    <row r="221" spans="2:14" x14ac:dyDescent="0.25">
      <c r="B221" s="977"/>
      <c r="C221" s="977"/>
      <c r="D221" s="977"/>
      <c r="E221" s="977"/>
      <c r="F221" s="1000"/>
      <c r="G221" s="977"/>
      <c r="H221" s="977"/>
      <c r="I221" s="977"/>
      <c r="J221" s="977"/>
      <c r="K221" s="977"/>
      <c r="L221" s="977"/>
      <c r="M221" s="977"/>
      <c r="N221" s="977"/>
    </row>
    <row r="222" spans="2:14" x14ac:dyDescent="0.25">
      <c r="B222" s="977"/>
      <c r="C222" s="977"/>
      <c r="D222" s="977"/>
      <c r="E222" s="977"/>
      <c r="F222" s="1000"/>
      <c r="G222" s="977"/>
      <c r="H222" s="977"/>
      <c r="I222" s="977"/>
      <c r="J222" s="977"/>
      <c r="K222" s="977"/>
      <c r="L222" s="977"/>
      <c r="M222" s="977"/>
      <c r="N222" s="977"/>
    </row>
    <row r="223" spans="2:14" x14ac:dyDescent="0.25">
      <c r="B223" s="2990" t="s">
        <v>1970</v>
      </c>
      <c r="C223" s="986" t="s">
        <v>2087</v>
      </c>
      <c r="D223" s="977"/>
      <c r="E223" s="977"/>
      <c r="F223" s="1000"/>
      <c r="G223" s="977"/>
      <c r="H223" s="977"/>
      <c r="I223" s="977"/>
      <c r="J223" s="977"/>
      <c r="K223" s="977"/>
      <c r="L223" s="2746" t="s">
        <v>1910</v>
      </c>
      <c r="M223" s="1001" t="s">
        <v>190</v>
      </c>
      <c r="N223" s="1001"/>
    </row>
    <row r="224" spans="2:14" ht="6" customHeight="1" x14ac:dyDescent="0.25">
      <c r="B224" s="977"/>
      <c r="C224" s="977"/>
      <c r="D224" s="977"/>
      <c r="E224" s="977"/>
      <c r="F224" s="1000"/>
      <c r="G224" s="977"/>
      <c r="H224" s="977"/>
      <c r="I224" s="977"/>
      <c r="J224" s="977"/>
      <c r="K224" s="977"/>
      <c r="L224" s="977"/>
      <c r="M224" s="977"/>
      <c r="N224" s="977"/>
    </row>
    <row r="225" spans="2:14" x14ac:dyDescent="0.25">
      <c r="B225" s="977"/>
      <c r="C225" s="985" t="s">
        <v>3</v>
      </c>
      <c r="D225" s="999" t="s">
        <v>488</v>
      </c>
      <c r="E225" s="999" t="s">
        <v>2109</v>
      </c>
      <c r="F225" s="983">
        <v>2015</v>
      </c>
      <c r="G225" s="984">
        <v>2020</v>
      </c>
      <c r="H225" s="983">
        <v>2025</v>
      </c>
      <c r="I225" s="983">
        <v>2030</v>
      </c>
      <c r="J225" s="983">
        <v>2035</v>
      </c>
      <c r="K225" s="983">
        <v>2040</v>
      </c>
      <c r="L225" s="983">
        <v>2045</v>
      </c>
      <c r="M225" s="983">
        <v>2050</v>
      </c>
      <c r="N225" s="977"/>
    </row>
    <row r="226" spans="2:14" x14ac:dyDescent="0.25">
      <c r="B226" s="977"/>
      <c r="C226" s="991">
        <v>1</v>
      </c>
      <c r="D226" s="982" t="s">
        <v>575</v>
      </c>
      <c r="E226" s="977"/>
      <c r="F226" s="2997">
        <v>0</v>
      </c>
      <c r="G226" s="2998">
        <v>0</v>
      </c>
      <c r="H226" s="2997">
        <v>0</v>
      </c>
      <c r="I226" s="2997">
        <v>0</v>
      </c>
      <c r="J226" s="2997">
        <v>0</v>
      </c>
      <c r="K226" s="2997">
        <v>0</v>
      </c>
      <c r="L226" s="2997">
        <v>0</v>
      </c>
      <c r="M226" s="2997">
        <v>0</v>
      </c>
      <c r="N226" s="977"/>
    </row>
    <row r="227" spans="2:14" x14ac:dyDescent="0.25">
      <c r="B227" s="977"/>
      <c r="C227" s="991">
        <v>2</v>
      </c>
      <c r="D227" s="982" t="s">
        <v>575</v>
      </c>
      <c r="E227" s="977"/>
      <c r="F227" s="2672">
        <v>0</v>
      </c>
      <c r="G227" s="2671">
        <v>2.0769230769230828E-2</v>
      </c>
      <c r="H227" s="2672">
        <v>5.936300501884436E-2</v>
      </c>
      <c r="I227" s="2672">
        <v>0.13499999999999998</v>
      </c>
      <c r="J227" s="2672">
        <v>0.21921590094343446</v>
      </c>
      <c r="K227" s="2672">
        <v>0.26999999999999991</v>
      </c>
      <c r="L227" s="2672">
        <v>0.29027540793937123</v>
      </c>
      <c r="M227" s="2672">
        <v>0.29699999999999999</v>
      </c>
      <c r="N227" s="977"/>
    </row>
    <row r="228" spans="2:14" x14ac:dyDescent="0.25">
      <c r="B228" s="977"/>
      <c r="C228" s="991">
        <v>3</v>
      </c>
      <c r="D228" s="982" t="s">
        <v>575</v>
      </c>
      <c r="E228" s="977"/>
      <c r="F228" s="3006">
        <v>0</v>
      </c>
      <c r="G228" s="2999">
        <v>4.1538461538461656E-2</v>
      </c>
      <c r="H228" s="2672">
        <v>0.11872601003768872</v>
      </c>
      <c r="I228" s="2672">
        <v>0.26999999999999996</v>
      </c>
      <c r="J228" s="2672">
        <v>0.43843180188686892</v>
      </c>
      <c r="K228" s="2672">
        <v>0.53999999999999981</v>
      </c>
      <c r="L228" s="2672">
        <v>0.58055081587874247</v>
      </c>
      <c r="M228" s="2672">
        <v>0.59399999999999997</v>
      </c>
      <c r="N228" s="977"/>
    </row>
    <row r="229" spans="2:14" x14ac:dyDescent="0.25">
      <c r="B229" s="977"/>
      <c r="C229" s="988">
        <v>4</v>
      </c>
      <c r="D229" s="979" t="s">
        <v>575</v>
      </c>
      <c r="E229" s="980"/>
      <c r="F229" s="3000">
        <v>0</v>
      </c>
      <c r="G229" s="3001">
        <v>6.2307692307692487E-2</v>
      </c>
      <c r="H229" s="3002">
        <v>0.17808901505653307</v>
      </c>
      <c r="I229" s="3002">
        <v>0.40499999999999997</v>
      </c>
      <c r="J229" s="3002">
        <v>0.65764770283030349</v>
      </c>
      <c r="K229" s="3002">
        <v>0.80999999999999983</v>
      </c>
      <c r="L229" s="3002">
        <v>0.87082622381811381</v>
      </c>
      <c r="M229" s="3002">
        <v>0.89100000000000001</v>
      </c>
      <c r="N229" s="977"/>
    </row>
    <row r="230" spans="2:14" x14ac:dyDescent="0.25">
      <c r="B230" s="977"/>
      <c r="C230" s="977">
        <v>1</v>
      </c>
      <c r="D230" s="982" t="s">
        <v>567</v>
      </c>
      <c r="E230" s="977"/>
      <c r="F230" s="2997">
        <v>0</v>
      </c>
      <c r="G230" s="2998">
        <v>0</v>
      </c>
      <c r="H230" s="3003">
        <v>0</v>
      </c>
      <c r="I230" s="3003">
        <v>0</v>
      </c>
      <c r="J230" s="3003">
        <v>0</v>
      </c>
      <c r="K230" s="3003">
        <v>0</v>
      </c>
      <c r="L230" s="3003">
        <v>0</v>
      </c>
      <c r="M230" s="3003">
        <v>0</v>
      </c>
      <c r="N230" s="977"/>
    </row>
    <row r="231" spans="2:14" x14ac:dyDescent="0.25">
      <c r="B231" s="977"/>
      <c r="C231" s="977">
        <v>2</v>
      </c>
      <c r="D231" s="982" t="s">
        <v>567</v>
      </c>
      <c r="E231" s="977"/>
      <c r="F231" s="2672">
        <v>0</v>
      </c>
      <c r="G231" s="2671">
        <v>2.0769230769230828E-2</v>
      </c>
      <c r="H231" s="3004">
        <v>5.936300501884436E-2</v>
      </c>
      <c r="I231" s="3004">
        <v>0.13499999999999998</v>
      </c>
      <c r="J231" s="3004">
        <v>0.21921590094343446</v>
      </c>
      <c r="K231" s="3004">
        <v>0.26999999999999991</v>
      </c>
      <c r="L231" s="3004">
        <v>0.29027540793937123</v>
      </c>
      <c r="M231" s="3004">
        <v>0.29699999999999999</v>
      </c>
      <c r="N231" s="977"/>
    </row>
    <row r="232" spans="2:14" x14ac:dyDescent="0.25">
      <c r="B232" s="977"/>
      <c r="C232" s="977">
        <v>3</v>
      </c>
      <c r="D232" s="982" t="s">
        <v>567</v>
      </c>
      <c r="E232" s="977"/>
      <c r="F232" s="3006">
        <v>0</v>
      </c>
      <c r="G232" s="2999">
        <v>4.1538461538461656E-2</v>
      </c>
      <c r="H232" s="3004">
        <v>0.11872601003768872</v>
      </c>
      <c r="I232" s="3004">
        <v>0.26999999999999996</v>
      </c>
      <c r="J232" s="3004">
        <v>0.43843180188686892</v>
      </c>
      <c r="K232" s="3004">
        <v>0.53999999999999981</v>
      </c>
      <c r="L232" s="3004">
        <v>0.58055081587874247</v>
      </c>
      <c r="M232" s="3004">
        <v>0.59399999999999997</v>
      </c>
      <c r="N232" s="977"/>
    </row>
    <row r="233" spans="2:14" x14ac:dyDescent="0.25">
      <c r="B233" s="977"/>
      <c r="C233" s="980">
        <v>4</v>
      </c>
      <c r="D233" s="979" t="s">
        <v>567</v>
      </c>
      <c r="E233" s="980"/>
      <c r="F233" s="3000">
        <v>0</v>
      </c>
      <c r="G233" s="3001">
        <v>6.2307692307692487E-2</v>
      </c>
      <c r="H233" s="3005">
        <v>0.17808901505653307</v>
      </c>
      <c r="I233" s="3005">
        <v>0.40499999999999997</v>
      </c>
      <c r="J233" s="3005">
        <v>0.65764770283030349</v>
      </c>
      <c r="K233" s="3005">
        <v>0.80999999999999983</v>
      </c>
      <c r="L233" s="3005">
        <v>0.87082622381811381</v>
      </c>
      <c r="M233" s="3005">
        <v>0.89100000000000001</v>
      </c>
      <c r="N233" s="977"/>
    </row>
    <row r="234" spans="2:14" x14ac:dyDescent="0.25">
      <c r="B234" s="977"/>
      <c r="C234" s="977">
        <v>1</v>
      </c>
      <c r="D234" s="982" t="s">
        <v>566</v>
      </c>
      <c r="E234" s="977"/>
      <c r="F234" s="2997">
        <v>0</v>
      </c>
      <c r="G234" s="2998">
        <v>0</v>
      </c>
      <c r="H234" s="3003">
        <v>0</v>
      </c>
      <c r="I234" s="3003">
        <v>0</v>
      </c>
      <c r="J234" s="3003">
        <v>0</v>
      </c>
      <c r="K234" s="3003">
        <v>0</v>
      </c>
      <c r="L234" s="3003">
        <v>0</v>
      </c>
      <c r="M234" s="3003">
        <v>0</v>
      </c>
      <c r="N234" s="977"/>
    </row>
    <row r="235" spans="2:14" x14ac:dyDescent="0.25">
      <c r="B235" s="977"/>
      <c r="C235" s="977">
        <v>2</v>
      </c>
      <c r="D235" s="982" t="s">
        <v>566</v>
      </c>
      <c r="E235" s="977"/>
      <c r="F235" s="2672">
        <v>0</v>
      </c>
      <c r="G235" s="2671">
        <v>2.0769230769230828E-2</v>
      </c>
      <c r="H235" s="3004">
        <v>5.936300501884436E-2</v>
      </c>
      <c r="I235" s="3004">
        <v>0.13499999999999998</v>
      </c>
      <c r="J235" s="3004">
        <v>0.21921590094343446</v>
      </c>
      <c r="K235" s="3004">
        <v>0.26999999999999991</v>
      </c>
      <c r="L235" s="3004">
        <v>0.29027540793937123</v>
      </c>
      <c r="M235" s="3004">
        <v>0.29699999999999999</v>
      </c>
      <c r="N235" s="977"/>
    </row>
    <row r="236" spans="2:14" x14ac:dyDescent="0.25">
      <c r="B236" s="977"/>
      <c r="C236" s="977">
        <v>3</v>
      </c>
      <c r="D236" s="982" t="s">
        <v>566</v>
      </c>
      <c r="E236" s="977"/>
      <c r="F236" s="3006">
        <v>0</v>
      </c>
      <c r="G236" s="2999">
        <v>4.1538461538461656E-2</v>
      </c>
      <c r="H236" s="3004">
        <v>0.11872601003768872</v>
      </c>
      <c r="I236" s="3004">
        <v>0.26999999999999996</v>
      </c>
      <c r="J236" s="3004">
        <v>0.43843180188686892</v>
      </c>
      <c r="K236" s="3004">
        <v>0.53999999999999981</v>
      </c>
      <c r="L236" s="3004">
        <v>0.58055081587874247</v>
      </c>
      <c r="M236" s="3004">
        <v>0.59399999999999997</v>
      </c>
      <c r="N236" s="977"/>
    </row>
    <row r="237" spans="2:14" x14ac:dyDescent="0.25">
      <c r="B237" s="977"/>
      <c r="C237" s="980">
        <v>4</v>
      </c>
      <c r="D237" s="979" t="s">
        <v>566</v>
      </c>
      <c r="E237" s="980"/>
      <c r="F237" s="3000">
        <v>0</v>
      </c>
      <c r="G237" s="3001">
        <v>6.2307692307692487E-2</v>
      </c>
      <c r="H237" s="3005">
        <v>0.17808901505653307</v>
      </c>
      <c r="I237" s="3005">
        <v>0.40499999999999997</v>
      </c>
      <c r="J237" s="3005">
        <v>0.65764770283030349</v>
      </c>
      <c r="K237" s="3005">
        <v>0.80999999999999983</v>
      </c>
      <c r="L237" s="3005">
        <v>0.87082622381811381</v>
      </c>
      <c r="M237" s="3005">
        <v>0.89100000000000001</v>
      </c>
      <c r="N237" s="977"/>
    </row>
    <row r="238" spans="2:14" x14ac:dyDescent="0.25">
      <c r="B238" s="977"/>
      <c r="C238" s="977">
        <v>1</v>
      </c>
      <c r="D238" s="982" t="s">
        <v>565</v>
      </c>
      <c r="E238" s="977"/>
      <c r="F238" s="2997">
        <v>0</v>
      </c>
      <c r="G238" s="2998">
        <v>0</v>
      </c>
      <c r="H238" s="3003">
        <v>0</v>
      </c>
      <c r="I238" s="3003">
        <v>0</v>
      </c>
      <c r="J238" s="3003">
        <v>0</v>
      </c>
      <c r="K238" s="3003">
        <v>0</v>
      </c>
      <c r="L238" s="3003">
        <v>0</v>
      </c>
      <c r="M238" s="3003">
        <v>0</v>
      </c>
      <c r="N238" s="977"/>
    </row>
    <row r="239" spans="2:14" x14ac:dyDescent="0.25">
      <c r="B239" s="977"/>
      <c r="C239" s="977">
        <v>2</v>
      </c>
      <c r="D239" s="982" t="s">
        <v>565</v>
      </c>
      <c r="E239" s="977"/>
      <c r="F239" s="2672">
        <v>0</v>
      </c>
      <c r="G239" s="2671">
        <v>2.0769230769230828E-2</v>
      </c>
      <c r="H239" s="3004">
        <v>5.936300501884436E-2</v>
      </c>
      <c r="I239" s="3004">
        <v>0.13499999999999998</v>
      </c>
      <c r="J239" s="3004">
        <v>0.21921590094343446</v>
      </c>
      <c r="K239" s="3004">
        <v>0.26999999999999991</v>
      </c>
      <c r="L239" s="3004">
        <v>0.29027540793937123</v>
      </c>
      <c r="M239" s="3004">
        <v>0.29699999999999999</v>
      </c>
      <c r="N239" s="977"/>
    </row>
    <row r="240" spans="2:14" x14ac:dyDescent="0.25">
      <c r="B240" s="977"/>
      <c r="C240" s="977">
        <v>3</v>
      </c>
      <c r="D240" s="982" t="s">
        <v>565</v>
      </c>
      <c r="E240" s="977"/>
      <c r="F240" s="3006">
        <v>0</v>
      </c>
      <c r="G240" s="2999">
        <v>4.1538461538461656E-2</v>
      </c>
      <c r="H240" s="3004">
        <v>0.11872601003768872</v>
      </c>
      <c r="I240" s="3004">
        <v>0.26999999999999996</v>
      </c>
      <c r="J240" s="3004">
        <v>0.43843180188686892</v>
      </c>
      <c r="K240" s="3004">
        <v>0.53999999999999981</v>
      </c>
      <c r="L240" s="3004">
        <v>0.58055081587874247</v>
      </c>
      <c r="M240" s="3004">
        <v>0.59399999999999997</v>
      </c>
      <c r="N240" s="977"/>
    </row>
    <row r="241" spans="2:14" x14ac:dyDescent="0.25">
      <c r="B241" s="977"/>
      <c r="C241" s="980">
        <v>4</v>
      </c>
      <c r="D241" s="979" t="s">
        <v>565</v>
      </c>
      <c r="E241" s="980"/>
      <c r="F241" s="3000">
        <v>0</v>
      </c>
      <c r="G241" s="3001">
        <v>6.2307692307692487E-2</v>
      </c>
      <c r="H241" s="3005">
        <v>0.17808901505653307</v>
      </c>
      <c r="I241" s="3005">
        <v>0.40499999999999997</v>
      </c>
      <c r="J241" s="3005">
        <v>0.65764770283030349</v>
      </c>
      <c r="K241" s="3005">
        <v>0.80999999999999983</v>
      </c>
      <c r="L241" s="3005">
        <v>0.87082622381811381</v>
      </c>
      <c r="M241" s="3005">
        <v>0.89100000000000001</v>
      </c>
      <c r="N241" s="977"/>
    </row>
    <row r="242" spans="2:14" x14ac:dyDescent="0.25">
      <c r="B242" s="977"/>
      <c r="C242" s="977">
        <v>1</v>
      </c>
      <c r="D242" s="982" t="s">
        <v>564</v>
      </c>
      <c r="E242" s="977"/>
      <c r="F242" s="2997">
        <v>0</v>
      </c>
      <c r="G242" s="2998">
        <v>0</v>
      </c>
      <c r="H242" s="3004">
        <v>0</v>
      </c>
      <c r="I242" s="3003">
        <v>0</v>
      </c>
      <c r="J242" s="3003">
        <v>0</v>
      </c>
      <c r="K242" s="3003">
        <v>0</v>
      </c>
      <c r="L242" s="3003">
        <v>0</v>
      </c>
      <c r="M242" s="3003">
        <v>0</v>
      </c>
      <c r="N242" s="977"/>
    </row>
    <row r="243" spans="2:14" x14ac:dyDescent="0.25">
      <c r="B243" s="977"/>
      <c r="C243" s="977">
        <v>2</v>
      </c>
      <c r="D243" s="982" t="s">
        <v>564</v>
      </c>
      <c r="E243" s="977"/>
      <c r="F243" s="2672">
        <v>0</v>
      </c>
      <c r="G243" s="2671">
        <v>2.0769230769230828E-2</v>
      </c>
      <c r="H243" s="3004">
        <v>5.936300501884436E-2</v>
      </c>
      <c r="I243" s="3004">
        <v>0.13499999999999998</v>
      </c>
      <c r="J243" s="3004">
        <v>0.21921590094343446</v>
      </c>
      <c r="K243" s="3004">
        <v>0.26999999999999991</v>
      </c>
      <c r="L243" s="3004">
        <v>0.29027540793937123</v>
      </c>
      <c r="M243" s="3004">
        <v>0.29699999999999999</v>
      </c>
      <c r="N243" s="977"/>
    </row>
    <row r="244" spans="2:14" x14ac:dyDescent="0.25">
      <c r="B244" s="977"/>
      <c r="C244" s="977">
        <v>3</v>
      </c>
      <c r="D244" s="982" t="s">
        <v>564</v>
      </c>
      <c r="E244" s="977"/>
      <c r="F244" s="3006">
        <v>0</v>
      </c>
      <c r="G244" s="2999">
        <v>4.1538461538461656E-2</v>
      </c>
      <c r="H244" s="3004">
        <v>0.11872601003768872</v>
      </c>
      <c r="I244" s="3004">
        <v>0.26999999999999996</v>
      </c>
      <c r="J244" s="3004">
        <v>0.43843180188686892</v>
      </c>
      <c r="K244" s="3004">
        <v>0.53999999999999981</v>
      </c>
      <c r="L244" s="3004">
        <v>0.58055081587874247</v>
      </c>
      <c r="M244" s="3004">
        <v>0.59399999999999997</v>
      </c>
      <c r="N244" s="977"/>
    </row>
    <row r="245" spans="2:14" x14ac:dyDescent="0.25">
      <c r="B245" s="977"/>
      <c r="C245" s="980">
        <v>4</v>
      </c>
      <c r="D245" s="979" t="s">
        <v>564</v>
      </c>
      <c r="E245" s="980"/>
      <c r="F245" s="3000">
        <v>0</v>
      </c>
      <c r="G245" s="3001">
        <v>6.2307692307692487E-2</v>
      </c>
      <c r="H245" s="3005">
        <v>0.17808901505653307</v>
      </c>
      <c r="I245" s="3005">
        <v>0.40499999999999997</v>
      </c>
      <c r="J245" s="3005">
        <v>0.65764770283030349</v>
      </c>
      <c r="K245" s="3005">
        <v>0.80999999999999983</v>
      </c>
      <c r="L245" s="3005">
        <v>0.87082622381811381</v>
      </c>
      <c r="M245" s="3005">
        <v>0.89100000000000001</v>
      </c>
      <c r="N245" s="977"/>
    </row>
    <row r="246" spans="2:14" x14ac:dyDescent="0.25">
      <c r="B246" s="977"/>
      <c r="C246" s="977">
        <v>1</v>
      </c>
      <c r="D246" s="982" t="s">
        <v>563</v>
      </c>
      <c r="E246" s="977"/>
      <c r="F246" s="2997">
        <v>0</v>
      </c>
      <c r="G246" s="2998">
        <v>0</v>
      </c>
      <c r="H246" s="3004">
        <v>0</v>
      </c>
      <c r="I246" s="3003">
        <v>0</v>
      </c>
      <c r="J246" s="3003">
        <v>0</v>
      </c>
      <c r="K246" s="3003">
        <v>0</v>
      </c>
      <c r="L246" s="3003">
        <v>0</v>
      </c>
      <c r="M246" s="3003">
        <v>0</v>
      </c>
      <c r="N246" s="977"/>
    </row>
    <row r="247" spans="2:14" x14ac:dyDescent="0.25">
      <c r="B247" s="977"/>
      <c r="C247" s="977">
        <v>2</v>
      </c>
      <c r="D247" s="982" t="s">
        <v>563</v>
      </c>
      <c r="E247" s="977"/>
      <c r="F247" s="2672">
        <v>0</v>
      </c>
      <c r="G247" s="2671">
        <v>2.0769230769230828E-2</v>
      </c>
      <c r="H247" s="3004">
        <v>5.936300501884436E-2</v>
      </c>
      <c r="I247" s="3004">
        <v>0.13499999999999998</v>
      </c>
      <c r="J247" s="3004">
        <v>0.21921590094343446</v>
      </c>
      <c r="K247" s="3004">
        <v>0.26999999999999991</v>
      </c>
      <c r="L247" s="3004">
        <v>0.29027540793937123</v>
      </c>
      <c r="M247" s="3004">
        <v>0.29699999999999999</v>
      </c>
      <c r="N247" s="977"/>
    </row>
    <row r="248" spans="2:14" x14ac:dyDescent="0.25">
      <c r="B248" s="977"/>
      <c r="C248" s="977">
        <v>3</v>
      </c>
      <c r="D248" s="982" t="s">
        <v>563</v>
      </c>
      <c r="E248" s="977"/>
      <c r="F248" s="3006">
        <v>0</v>
      </c>
      <c r="G248" s="2999">
        <v>4.1538461538461656E-2</v>
      </c>
      <c r="H248" s="3004">
        <v>0.11872601003768872</v>
      </c>
      <c r="I248" s="3004">
        <v>0.26999999999999996</v>
      </c>
      <c r="J248" s="3004">
        <v>0.43843180188686892</v>
      </c>
      <c r="K248" s="3004">
        <v>0.53999999999999981</v>
      </c>
      <c r="L248" s="3004">
        <v>0.58055081587874247</v>
      </c>
      <c r="M248" s="3004">
        <v>0.59399999999999997</v>
      </c>
      <c r="N248" s="977"/>
    </row>
    <row r="249" spans="2:14" x14ac:dyDescent="0.25">
      <c r="B249" s="977"/>
      <c r="C249" s="980">
        <v>4</v>
      </c>
      <c r="D249" s="979" t="s">
        <v>563</v>
      </c>
      <c r="E249" s="980"/>
      <c r="F249" s="3000">
        <v>0</v>
      </c>
      <c r="G249" s="3001">
        <v>6.2307692307692487E-2</v>
      </c>
      <c r="H249" s="3005">
        <v>0.17808901505653307</v>
      </c>
      <c r="I249" s="3005">
        <v>0.40499999999999997</v>
      </c>
      <c r="J249" s="3005">
        <v>0.65764770283030349</v>
      </c>
      <c r="K249" s="3005">
        <v>0.80999999999999983</v>
      </c>
      <c r="L249" s="3005">
        <v>0.87082622381811381</v>
      </c>
      <c r="M249" s="3005">
        <v>0.89100000000000001</v>
      </c>
      <c r="N249" s="977"/>
    </row>
    <row r="250" spans="2:14" x14ac:dyDescent="0.25">
      <c r="B250" s="977"/>
      <c r="C250" s="977">
        <v>1</v>
      </c>
      <c r="D250" s="982" t="s">
        <v>562</v>
      </c>
      <c r="E250" s="977"/>
      <c r="F250" s="2997">
        <v>0</v>
      </c>
      <c r="G250" s="2998">
        <v>0</v>
      </c>
      <c r="H250" s="3003">
        <v>0</v>
      </c>
      <c r="I250" s="3003">
        <v>0</v>
      </c>
      <c r="J250" s="3003">
        <v>0</v>
      </c>
      <c r="K250" s="3003">
        <v>0</v>
      </c>
      <c r="L250" s="3003">
        <v>0</v>
      </c>
      <c r="M250" s="3003">
        <v>0</v>
      </c>
      <c r="N250" s="977"/>
    </row>
    <row r="251" spans="2:14" x14ac:dyDescent="0.25">
      <c r="B251" s="977"/>
      <c r="C251" s="977">
        <v>2</v>
      </c>
      <c r="D251" s="982" t="s">
        <v>562</v>
      </c>
      <c r="E251" s="977"/>
      <c r="F251" s="2672">
        <v>0</v>
      </c>
      <c r="G251" s="2671">
        <v>2.0769230769230828E-2</v>
      </c>
      <c r="H251" s="3004">
        <v>5.936300501884436E-2</v>
      </c>
      <c r="I251" s="3004">
        <v>0.13499999999999998</v>
      </c>
      <c r="J251" s="3004">
        <v>0.21921590094343446</v>
      </c>
      <c r="K251" s="3004">
        <v>0.26999999999999991</v>
      </c>
      <c r="L251" s="3004">
        <v>0.29027540793937123</v>
      </c>
      <c r="M251" s="3004">
        <v>0.29699999999999999</v>
      </c>
      <c r="N251" s="977"/>
    </row>
    <row r="252" spans="2:14" x14ac:dyDescent="0.25">
      <c r="B252" s="977"/>
      <c r="C252" s="977">
        <v>3</v>
      </c>
      <c r="D252" s="982" t="s">
        <v>562</v>
      </c>
      <c r="E252" s="977"/>
      <c r="F252" s="3006">
        <v>0</v>
      </c>
      <c r="G252" s="2999">
        <v>4.1538461538461656E-2</v>
      </c>
      <c r="H252" s="3004">
        <v>0.11872601003768872</v>
      </c>
      <c r="I252" s="3004">
        <v>0.26999999999999996</v>
      </c>
      <c r="J252" s="3004">
        <v>0.43843180188686892</v>
      </c>
      <c r="K252" s="3004">
        <v>0.53999999999999981</v>
      </c>
      <c r="L252" s="3004">
        <v>0.58055081587874247</v>
      </c>
      <c r="M252" s="3004">
        <v>0.59399999999999997</v>
      </c>
      <c r="N252" s="977"/>
    </row>
    <row r="253" spans="2:14" x14ac:dyDescent="0.25">
      <c r="B253" s="977"/>
      <c r="C253" s="980">
        <v>4</v>
      </c>
      <c r="D253" s="979" t="s">
        <v>562</v>
      </c>
      <c r="E253" s="980"/>
      <c r="F253" s="3000">
        <v>0</v>
      </c>
      <c r="G253" s="3001">
        <v>6.2307692307692487E-2</v>
      </c>
      <c r="H253" s="3005">
        <v>0.17808901505653307</v>
      </c>
      <c r="I253" s="3005">
        <v>0.40499999999999997</v>
      </c>
      <c r="J253" s="3005">
        <v>0.65764770283030349</v>
      </c>
      <c r="K253" s="3005">
        <v>0.80999999999999983</v>
      </c>
      <c r="L253" s="3005">
        <v>0.87082622381811381</v>
      </c>
      <c r="M253" s="3005">
        <v>0.89100000000000001</v>
      </c>
      <c r="N253" s="977"/>
    </row>
    <row r="254" spans="2:14" x14ac:dyDescent="0.25">
      <c r="B254" s="977"/>
      <c r="C254" s="977">
        <v>1</v>
      </c>
      <c r="D254" s="982" t="s">
        <v>561</v>
      </c>
      <c r="E254" s="977"/>
      <c r="F254" s="2997">
        <v>0</v>
      </c>
      <c r="G254" s="2998">
        <v>0</v>
      </c>
      <c r="H254" s="3003">
        <v>0</v>
      </c>
      <c r="I254" s="3003">
        <v>0</v>
      </c>
      <c r="J254" s="3003">
        <v>0</v>
      </c>
      <c r="K254" s="3003">
        <v>0</v>
      </c>
      <c r="L254" s="3003">
        <v>0</v>
      </c>
      <c r="M254" s="3003">
        <v>0</v>
      </c>
      <c r="N254" s="977"/>
    </row>
    <row r="255" spans="2:14" x14ac:dyDescent="0.25">
      <c r="B255" s="977"/>
      <c r="C255" s="977">
        <v>2</v>
      </c>
      <c r="D255" s="982" t="s">
        <v>561</v>
      </c>
      <c r="E255" s="977"/>
      <c r="F255" s="2672">
        <v>0</v>
      </c>
      <c r="G255" s="2671">
        <v>2.0769230769230828E-2</v>
      </c>
      <c r="H255" s="3004">
        <v>5.936300501884436E-2</v>
      </c>
      <c r="I255" s="3004">
        <v>0.13499999999999998</v>
      </c>
      <c r="J255" s="3004">
        <v>0.21921590094343446</v>
      </c>
      <c r="K255" s="3004">
        <v>0.26999999999999991</v>
      </c>
      <c r="L255" s="3004">
        <v>0.29027540793937123</v>
      </c>
      <c r="M255" s="3004">
        <v>0.29699999999999999</v>
      </c>
      <c r="N255" s="977"/>
    </row>
    <row r="256" spans="2:14" x14ac:dyDescent="0.25">
      <c r="B256" s="977"/>
      <c r="C256" s="977">
        <v>3</v>
      </c>
      <c r="D256" s="982" t="s">
        <v>561</v>
      </c>
      <c r="E256" s="977"/>
      <c r="F256" s="3006">
        <v>0</v>
      </c>
      <c r="G256" s="2999">
        <v>4.1538461538461656E-2</v>
      </c>
      <c r="H256" s="3004">
        <v>0.11872601003768872</v>
      </c>
      <c r="I256" s="3004">
        <v>0.26999999999999996</v>
      </c>
      <c r="J256" s="3004">
        <v>0.43843180188686892</v>
      </c>
      <c r="K256" s="3004">
        <v>0.53999999999999981</v>
      </c>
      <c r="L256" s="3004">
        <v>0.58055081587874247</v>
      </c>
      <c r="M256" s="3004">
        <v>0.59399999999999997</v>
      </c>
      <c r="N256" s="977"/>
    </row>
    <row r="257" spans="2:14" x14ac:dyDescent="0.25">
      <c r="B257" s="977"/>
      <c r="C257" s="980">
        <v>4</v>
      </c>
      <c r="D257" s="979" t="s">
        <v>561</v>
      </c>
      <c r="E257" s="980"/>
      <c r="F257" s="3000">
        <v>0</v>
      </c>
      <c r="G257" s="3001">
        <v>6.2307692307692487E-2</v>
      </c>
      <c r="H257" s="3005">
        <v>0.17808901505653307</v>
      </c>
      <c r="I257" s="3005">
        <v>0.40499999999999997</v>
      </c>
      <c r="J257" s="3005">
        <v>0.65764770283030349</v>
      </c>
      <c r="K257" s="3005">
        <v>0.80999999999999983</v>
      </c>
      <c r="L257" s="3005">
        <v>0.87082622381811381</v>
      </c>
      <c r="M257" s="3005">
        <v>0.89100000000000001</v>
      </c>
      <c r="N257" s="977"/>
    </row>
    <row r="258" spans="2:14" x14ac:dyDescent="0.25">
      <c r="B258" s="977"/>
      <c r="C258" s="977">
        <v>1</v>
      </c>
      <c r="D258" s="982" t="s">
        <v>560</v>
      </c>
      <c r="E258" s="977"/>
      <c r="F258" s="2997">
        <v>0</v>
      </c>
      <c r="G258" s="2998">
        <v>0</v>
      </c>
      <c r="H258" s="2997">
        <v>0</v>
      </c>
      <c r="I258" s="2997">
        <v>0</v>
      </c>
      <c r="J258" s="2997">
        <v>0</v>
      </c>
      <c r="K258" s="2997">
        <v>0</v>
      </c>
      <c r="L258" s="2997">
        <v>0</v>
      </c>
      <c r="M258" s="2997">
        <v>0</v>
      </c>
      <c r="N258" s="977"/>
    </row>
    <row r="259" spans="2:14" x14ac:dyDescent="0.25">
      <c r="B259" s="977"/>
      <c r="C259" s="977">
        <v>2</v>
      </c>
      <c r="D259" s="982" t="s">
        <v>560</v>
      </c>
      <c r="E259" s="977"/>
      <c r="F259" s="2672">
        <v>0</v>
      </c>
      <c r="G259" s="2671">
        <v>2.0769230769230828E-2</v>
      </c>
      <c r="H259" s="2672">
        <v>5.936300501884436E-2</v>
      </c>
      <c r="I259" s="2672">
        <v>0.13499999999999998</v>
      </c>
      <c r="J259" s="2672">
        <v>0.21921590094343446</v>
      </c>
      <c r="K259" s="2672">
        <v>0.26999999999999991</v>
      </c>
      <c r="L259" s="2672">
        <v>0.29027540793937123</v>
      </c>
      <c r="M259" s="2672">
        <v>0.29699999999999999</v>
      </c>
      <c r="N259" s="977"/>
    </row>
    <row r="260" spans="2:14" x14ac:dyDescent="0.25">
      <c r="B260" s="977"/>
      <c r="C260" s="977">
        <v>3</v>
      </c>
      <c r="D260" s="982" t="s">
        <v>560</v>
      </c>
      <c r="E260" s="977"/>
      <c r="F260" s="3006">
        <v>0</v>
      </c>
      <c r="G260" s="2999">
        <v>4.1538461538461656E-2</v>
      </c>
      <c r="H260" s="2672">
        <v>0.11872601003768872</v>
      </c>
      <c r="I260" s="2672">
        <v>0.26999999999999996</v>
      </c>
      <c r="J260" s="2672">
        <v>0.43843180188686892</v>
      </c>
      <c r="K260" s="2672">
        <v>0.53999999999999981</v>
      </c>
      <c r="L260" s="2672">
        <v>0.58055081587874247</v>
      </c>
      <c r="M260" s="2672">
        <v>0.59399999999999997</v>
      </c>
      <c r="N260" s="977"/>
    </row>
    <row r="261" spans="2:14" x14ac:dyDescent="0.25">
      <c r="B261" s="977"/>
      <c r="C261" s="980">
        <v>4</v>
      </c>
      <c r="D261" s="979" t="s">
        <v>560</v>
      </c>
      <c r="E261" s="980"/>
      <c r="F261" s="3000">
        <v>0</v>
      </c>
      <c r="G261" s="3001">
        <v>6.2307692307692487E-2</v>
      </c>
      <c r="H261" s="3002">
        <v>0.17808901505653307</v>
      </c>
      <c r="I261" s="3002">
        <v>0.40499999999999997</v>
      </c>
      <c r="J261" s="3002">
        <v>0.65764770283030349</v>
      </c>
      <c r="K261" s="3002">
        <v>0.80999999999999983</v>
      </c>
      <c r="L261" s="3002">
        <v>0.87082622381811381</v>
      </c>
      <c r="M261" s="3002">
        <v>0.89100000000000001</v>
      </c>
      <c r="N261" s="977"/>
    </row>
    <row r="262" spans="2:14" x14ac:dyDescent="0.25">
      <c r="B262" s="977"/>
      <c r="C262" s="977">
        <v>1</v>
      </c>
      <c r="D262" s="982" t="s">
        <v>559</v>
      </c>
      <c r="E262" s="977"/>
      <c r="F262" s="2997">
        <v>0</v>
      </c>
      <c r="G262" s="2998">
        <v>0</v>
      </c>
      <c r="H262" s="2997">
        <v>0</v>
      </c>
      <c r="I262" s="2997">
        <v>0</v>
      </c>
      <c r="J262" s="2997">
        <v>0</v>
      </c>
      <c r="K262" s="2997">
        <v>0</v>
      </c>
      <c r="L262" s="2997">
        <v>0</v>
      </c>
      <c r="M262" s="2997">
        <v>0</v>
      </c>
      <c r="N262" s="977"/>
    </row>
    <row r="263" spans="2:14" x14ac:dyDescent="0.25">
      <c r="B263" s="977"/>
      <c r="C263" s="977">
        <v>2</v>
      </c>
      <c r="D263" s="982" t="s">
        <v>559</v>
      </c>
      <c r="E263" s="977"/>
      <c r="F263" s="2672">
        <v>0</v>
      </c>
      <c r="G263" s="2671">
        <v>2.0769230769230828E-2</v>
      </c>
      <c r="H263" s="2672">
        <v>5.936300501884436E-2</v>
      </c>
      <c r="I263" s="2672">
        <v>0.13499999999999998</v>
      </c>
      <c r="J263" s="2672">
        <v>0.21921590094343446</v>
      </c>
      <c r="K263" s="2672">
        <v>0.26999999999999991</v>
      </c>
      <c r="L263" s="2672">
        <v>0.29027540793937123</v>
      </c>
      <c r="M263" s="2672">
        <v>0.29699999999999999</v>
      </c>
      <c r="N263" s="977"/>
    </row>
    <row r="264" spans="2:14" x14ac:dyDescent="0.25">
      <c r="B264" s="977"/>
      <c r="C264" s="977">
        <v>3</v>
      </c>
      <c r="D264" s="982" t="s">
        <v>559</v>
      </c>
      <c r="E264" s="977"/>
      <c r="F264" s="3006">
        <v>0</v>
      </c>
      <c r="G264" s="2999">
        <v>4.1538461538461656E-2</v>
      </c>
      <c r="H264" s="2672">
        <v>0.11872601003768872</v>
      </c>
      <c r="I264" s="2672">
        <v>0.26999999999999996</v>
      </c>
      <c r="J264" s="2672">
        <v>0.43843180188686892</v>
      </c>
      <c r="K264" s="2672">
        <v>0.53999999999999981</v>
      </c>
      <c r="L264" s="2672">
        <v>0.58055081587874247</v>
      </c>
      <c r="M264" s="2672">
        <v>0.59399999999999997</v>
      </c>
      <c r="N264" s="977"/>
    </row>
    <row r="265" spans="2:14" x14ac:dyDescent="0.25">
      <c r="B265" s="977"/>
      <c r="C265" s="980">
        <v>4</v>
      </c>
      <c r="D265" s="979" t="s">
        <v>559</v>
      </c>
      <c r="E265" s="980"/>
      <c r="F265" s="3000">
        <v>0</v>
      </c>
      <c r="G265" s="3001">
        <v>6.2307692307692487E-2</v>
      </c>
      <c r="H265" s="3002">
        <v>0.17808901505653307</v>
      </c>
      <c r="I265" s="3002">
        <v>0.40499999999999997</v>
      </c>
      <c r="J265" s="3002">
        <v>0.65764770283030349</v>
      </c>
      <c r="K265" s="3002">
        <v>0.80999999999999983</v>
      </c>
      <c r="L265" s="3002">
        <v>0.87082622381811381</v>
      </c>
      <c r="M265" s="3002">
        <v>0.89100000000000001</v>
      </c>
      <c r="N265" s="977"/>
    </row>
    <row r="266" spans="2:14" x14ac:dyDescent="0.25">
      <c r="B266" s="977"/>
      <c r="C266" s="977">
        <v>1</v>
      </c>
      <c r="D266" s="982" t="s">
        <v>558</v>
      </c>
      <c r="E266" s="977"/>
      <c r="F266" s="2997">
        <v>0</v>
      </c>
      <c r="G266" s="2998">
        <v>0</v>
      </c>
      <c r="H266" s="2997">
        <v>0</v>
      </c>
      <c r="I266" s="2997">
        <v>0</v>
      </c>
      <c r="J266" s="2997">
        <v>0</v>
      </c>
      <c r="K266" s="2997">
        <v>0</v>
      </c>
      <c r="L266" s="2997">
        <v>0</v>
      </c>
      <c r="M266" s="2997">
        <v>0</v>
      </c>
      <c r="N266" s="977"/>
    </row>
    <row r="267" spans="2:14" x14ac:dyDescent="0.25">
      <c r="B267" s="977"/>
      <c r="C267" s="977">
        <v>2</v>
      </c>
      <c r="D267" s="982" t="s">
        <v>558</v>
      </c>
      <c r="E267" s="977"/>
      <c r="F267" s="2672">
        <v>0</v>
      </c>
      <c r="G267" s="2671">
        <v>2.0769230769230828E-2</v>
      </c>
      <c r="H267" s="2672">
        <v>5.936300501884436E-2</v>
      </c>
      <c r="I267" s="2672">
        <v>0.13499999999999998</v>
      </c>
      <c r="J267" s="2672">
        <v>0.21921590094343446</v>
      </c>
      <c r="K267" s="2672">
        <v>0.26999999999999991</v>
      </c>
      <c r="L267" s="2672">
        <v>0.29027540793937123</v>
      </c>
      <c r="M267" s="2672">
        <v>0.29699999999999999</v>
      </c>
      <c r="N267" s="977"/>
    </row>
    <row r="268" spans="2:14" x14ac:dyDescent="0.25">
      <c r="B268" s="977"/>
      <c r="C268" s="977">
        <v>3</v>
      </c>
      <c r="D268" s="982" t="s">
        <v>558</v>
      </c>
      <c r="E268" s="977"/>
      <c r="F268" s="3006">
        <v>0</v>
      </c>
      <c r="G268" s="2999">
        <v>4.1538461538461656E-2</v>
      </c>
      <c r="H268" s="2672">
        <v>0.11872601003768872</v>
      </c>
      <c r="I268" s="2672">
        <v>0.26999999999999996</v>
      </c>
      <c r="J268" s="2672">
        <v>0.43843180188686892</v>
      </c>
      <c r="K268" s="2672">
        <v>0.53999999999999981</v>
      </c>
      <c r="L268" s="2672">
        <v>0.58055081587874247</v>
      </c>
      <c r="M268" s="2672">
        <v>0.59399999999999997</v>
      </c>
      <c r="N268" s="977"/>
    </row>
    <row r="269" spans="2:14" x14ac:dyDescent="0.25">
      <c r="B269" s="977"/>
      <c r="C269" s="980">
        <v>4</v>
      </c>
      <c r="D269" s="979" t="s">
        <v>558</v>
      </c>
      <c r="E269" s="980"/>
      <c r="F269" s="3000">
        <v>0</v>
      </c>
      <c r="G269" s="3001">
        <v>6.2307692307692487E-2</v>
      </c>
      <c r="H269" s="3002">
        <v>0.17808901505653307</v>
      </c>
      <c r="I269" s="3002">
        <v>0.40499999999999997</v>
      </c>
      <c r="J269" s="3002">
        <v>0.65764770283030349</v>
      </c>
      <c r="K269" s="3002">
        <v>0.80999999999999983</v>
      </c>
      <c r="L269" s="3002">
        <v>0.87082622381811381</v>
      </c>
      <c r="M269" s="3002">
        <v>0.89100000000000001</v>
      </c>
      <c r="N269" s="977"/>
    </row>
    <row r="270" spans="2:14" ht="5.25" customHeight="1" x14ac:dyDescent="0.25">
      <c r="B270" s="977"/>
      <c r="C270" s="977"/>
      <c r="D270" s="977"/>
      <c r="E270" s="977"/>
      <c r="F270" s="977"/>
      <c r="G270" s="977"/>
      <c r="H270" s="977"/>
      <c r="I270" s="977"/>
      <c r="J270" s="977"/>
      <c r="K270" s="977"/>
      <c r="L270" s="977"/>
      <c r="M270" s="977"/>
      <c r="N270" s="977"/>
    </row>
    <row r="271" spans="2:14" x14ac:dyDescent="0.25">
      <c r="B271" s="977"/>
      <c r="C271" s="2897" t="s">
        <v>8</v>
      </c>
      <c r="D271" s="791"/>
      <c r="E271" s="977"/>
      <c r="F271" s="977"/>
      <c r="G271" s="977"/>
      <c r="H271" s="977"/>
      <c r="I271" s="977"/>
      <c r="J271" s="977"/>
      <c r="K271" s="977"/>
      <c r="L271" s="977"/>
      <c r="M271" s="977"/>
      <c r="N271" s="977"/>
    </row>
    <row r="272" spans="2:14" x14ac:dyDescent="0.25">
      <c r="B272" s="977"/>
      <c r="C272" s="2991" t="s">
        <v>1067</v>
      </c>
      <c r="D272" s="2992" t="s">
        <v>2110</v>
      </c>
      <c r="E272" s="977"/>
      <c r="F272" s="977"/>
      <c r="G272" s="977"/>
      <c r="H272" s="977"/>
      <c r="I272" s="977"/>
      <c r="J272" s="977"/>
      <c r="K272" s="977"/>
      <c r="L272" s="977"/>
      <c r="M272" s="977"/>
      <c r="N272" s="977"/>
    </row>
    <row r="273" spans="2:14" x14ac:dyDescent="0.25">
      <c r="B273" s="977"/>
      <c r="C273" s="800"/>
      <c r="D273" s="2896" t="s">
        <v>1981</v>
      </c>
      <c r="E273" s="977"/>
      <c r="F273" s="977"/>
      <c r="G273" s="977"/>
      <c r="H273" s="977"/>
      <c r="I273" s="977"/>
      <c r="J273" s="977"/>
      <c r="K273" s="977"/>
      <c r="L273" s="977"/>
      <c r="M273" s="977"/>
      <c r="N273" s="977"/>
    </row>
    <row r="274" spans="2:14" x14ac:dyDescent="0.25">
      <c r="B274" s="977"/>
      <c r="C274" s="977"/>
      <c r="D274" s="977"/>
      <c r="E274" s="977"/>
      <c r="F274" s="977"/>
      <c r="G274" s="977"/>
      <c r="H274" s="977"/>
      <c r="I274" s="977"/>
      <c r="J274" s="977"/>
      <c r="K274" s="977"/>
      <c r="L274" s="977"/>
      <c r="M274" s="977"/>
      <c r="N274" s="977"/>
    </row>
    <row r="275" spans="2:14" x14ac:dyDescent="0.25">
      <c r="B275" s="2990" t="s">
        <v>1971</v>
      </c>
      <c r="C275" s="986" t="s">
        <v>2108</v>
      </c>
      <c r="D275" s="2670"/>
      <c r="E275" s="2670"/>
      <c r="F275" s="178"/>
      <c r="G275" s="178"/>
      <c r="H275" s="178"/>
      <c r="I275" s="178"/>
      <c r="J275" s="178"/>
      <c r="K275" s="178"/>
      <c r="L275" s="178"/>
      <c r="M275" s="178" t="s">
        <v>1911</v>
      </c>
      <c r="N275" s="977"/>
    </row>
    <row r="276" spans="2:14" ht="5.25" customHeight="1" x14ac:dyDescent="0.25">
      <c r="B276" s="2990"/>
      <c r="C276" s="986"/>
      <c r="D276" s="2670"/>
      <c r="E276" s="2670"/>
      <c r="F276" s="178"/>
      <c r="G276" s="178"/>
      <c r="H276" s="178"/>
      <c r="I276" s="178"/>
      <c r="J276" s="178"/>
      <c r="K276" s="178"/>
      <c r="L276" s="178"/>
      <c r="M276" s="178"/>
      <c r="N276" s="977"/>
    </row>
    <row r="277" spans="2:14" x14ac:dyDescent="0.25">
      <c r="B277" s="977"/>
      <c r="C277" s="912" t="s">
        <v>3</v>
      </c>
      <c r="D277" s="912" t="s">
        <v>483</v>
      </c>
      <c r="E277" s="912" t="s">
        <v>2114</v>
      </c>
      <c r="F277" s="913">
        <v>2015</v>
      </c>
      <c r="G277" s="914">
        <v>2020</v>
      </c>
      <c r="H277" s="913">
        <v>2025</v>
      </c>
      <c r="I277" s="913">
        <v>2030</v>
      </c>
      <c r="J277" s="913">
        <v>2035</v>
      </c>
      <c r="K277" s="913">
        <v>2040</v>
      </c>
      <c r="L277" s="913">
        <v>2045</v>
      </c>
      <c r="M277" s="913">
        <v>2050</v>
      </c>
      <c r="N277" s="977"/>
    </row>
    <row r="278" spans="2:14" x14ac:dyDescent="0.25">
      <c r="B278" s="977"/>
      <c r="C278" s="915">
        <v>1</v>
      </c>
      <c r="D278" s="916"/>
      <c r="E278" s="917"/>
      <c r="F278" s="918">
        <v>0</v>
      </c>
      <c r="G278" s="2998">
        <v>0</v>
      </c>
      <c r="H278" s="2997">
        <v>0</v>
      </c>
      <c r="I278" s="2997">
        <v>0</v>
      </c>
      <c r="J278" s="2997">
        <v>0</v>
      </c>
      <c r="K278" s="2997">
        <v>0</v>
      </c>
      <c r="L278" s="2997">
        <v>0</v>
      </c>
      <c r="M278" s="2997">
        <v>0</v>
      </c>
      <c r="N278" s="977"/>
    </row>
    <row r="279" spans="2:14" x14ac:dyDescent="0.25">
      <c r="B279" s="977"/>
      <c r="C279" s="915">
        <v>2</v>
      </c>
      <c r="D279" s="916"/>
      <c r="E279" s="917"/>
      <c r="F279" s="918">
        <v>0</v>
      </c>
      <c r="G279" s="2671">
        <f>$M$279/7</f>
        <v>4.2857142857142859E-3</v>
      </c>
      <c r="H279" s="2672">
        <f>G279+$M$279/7</f>
        <v>8.5714285714285719E-3</v>
      </c>
      <c r="I279" s="2672">
        <f>H279+$M$279/7</f>
        <v>1.2857142857142859E-2</v>
      </c>
      <c r="J279" s="2672">
        <f>I279+$M$279/7</f>
        <v>1.7142857142857144E-2</v>
      </c>
      <c r="K279" s="2672">
        <f>J279+$M$279/7</f>
        <v>2.1428571428571429E-2</v>
      </c>
      <c r="L279" s="2672">
        <f>K279+$M$279/7</f>
        <v>2.5714285714285714E-2</v>
      </c>
      <c r="M279" s="2672">
        <v>0.03</v>
      </c>
      <c r="N279" s="977"/>
    </row>
    <row r="280" spans="2:14" x14ac:dyDescent="0.25">
      <c r="B280" s="977"/>
      <c r="C280" s="915">
        <v>3</v>
      </c>
      <c r="D280" s="916"/>
      <c r="E280" s="917"/>
      <c r="F280" s="918">
        <v>0</v>
      </c>
      <c r="G280" s="2671">
        <f>$M$280/7</f>
        <v>0.01</v>
      </c>
      <c r="H280" s="2672">
        <f>G280+$M$280/7</f>
        <v>0.02</v>
      </c>
      <c r="I280" s="2672">
        <f>H280+$M$280/7</f>
        <v>0.03</v>
      </c>
      <c r="J280" s="2672">
        <f>I280+$M$280/7</f>
        <v>0.04</v>
      </c>
      <c r="K280" s="2672">
        <f>J280+$M$280/7</f>
        <v>0.05</v>
      </c>
      <c r="L280" s="2672">
        <f>K280+$M$280/7</f>
        <v>6.0000000000000005E-2</v>
      </c>
      <c r="M280" s="2672">
        <v>7.0000000000000007E-2</v>
      </c>
      <c r="N280" s="977"/>
    </row>
    <row r="281" spans="2:14" x14ac:dyDescent="0.25">
      <c r="B281" s="977"/>
      <c r="C281" s="920">
        <v>4</v>
      </c>
      <c r="D281" s="921"/>
      <c r="E281" s="921"/>
      <c r="F281" s="918">
        <v>0</v>
      </c>
      <c r="G281" s="2671">
        <f>$M$281/7</f>
        <v>1.4285714285714287E-2</v>
      </c>
      <c r="H281" s="2672">
        <f>G281+$M$281/7</f>
        <v>2.8571428571428574E-2</v>
      </c>
      <c r="I281" s="2672">
        <f>H281+$M$281/7</f>
        <v>4.2857142857142858E-2</v>
      </c>
      <c r="J281" s="2672">
        <f>I281+$M$281/7</f>
        <v>5.7142857142857148E-2</v>
      </c>
      <c r="K281" s="2672">
        <f>J281+$M$281/7</f>
        <v>7.1428571428571438E-2</v>
      </c>
      <c r="L281" s="2672">
        <f>K281+$M$281/7</f>
        <v>8.5714285714285729E-2</v>
      </c>
      <c r="M281" s="2672">
        <v>0.1</v>
      </c>
      <c r="N281" s="977"/>
    </row>
    <row r="282" spans="2:14" x14ac:dyDescent="0.25">
      <c r="B282" s="977"/>
      <c r="C282" s="922" t="s">
        <v>153</v>
      </c>
      <c r="D282" s="923"/>
      <c r="E282" s="923"/>
      <c r="F282" s="401">
        <f t="shared" ref="F282:M282" si="2">(INDEX(F$278:F$281,ROUNDDOWN($E$11,0))*(1-MOD($E$11,1)))+(INDEX(F$278:F$281,ROUNDUP($E$11,0))*MOD($E$11,1))</f>
        <v>0</v>
      </c>
      <c r="G282" s="2673">
        <f t="shared" si="2"/>
        <v>0</v>
      </c>
      <c r="H282" s="2673">
        <f t="shared" si="2"/>
        <v>0</v>
      </c>
      <c r="I282" s="2673">
        <f t="shared" si="2"/>
        <v>0</v>
      </c>
      <c r="J282" s="2673">
        <f t="shared" si="2"/>
        <v>0</v>
      </c>
      <c r="K282" s="2673">
        <f t="shared" si="2"/>
        <v>0</v>
      </c>
      <c r="L282" s="2673">
        <f t="shared" si="2"/>
        <v>0</v>
      </c>
      <c r="M282" s="2673">
        <f t="shared" si="2"/>
        <v>0</v>
      </c>
      <c r="N282" s="977"/>
    </row>
    <row r="283" spans="2:14" ht="5.25" customHeight="1" x14ac:dyDescent="0.25">
      <c r="B283" s="977"/>
      <c r="C283" s="977"/>
      <c r="D283" s="977"/>
      <c r="E283" s="977"/>
      <c r="F283" s="977"/>
      <c r="G283" s="977"/>
      <c r="H283" s="977"/>
      <c r="I283" s="977"/>
      <c r="J283" s="977"/>
      <c r="K283" s="977"/>
      <c r="L283" s="977"/>
      <c r="M283" s="977"/>
      <c r="N283" s="977"/>
    </row>
    <row r="284" spans="2:14" x14ac:dyDescent="0.25">
      <c r="B284" s="977"/>
      <c r="C284" s="2897" t="s">
        <v>8</v>
      </c>
      <c r="D284" s="791"/>
      <c r="E284" s="977"/>
      <c r="F284" s="977"/>
      <c r="G284" s="977"/>
      <c r="H284" s="977"/>
      <c r="I284" s="977"/>
      <c r="J284" s="977"/>
      <c r="K284" s="977"/>
      <c r="L284" s="977"/>
      <c r="M284" s="977"/>
      <c r="N284" s="977"/>
    </row>
    <row r="285" spans="2:14" x14ac:dyDescent="0.25">
      <c r="B285" s="977"/>
      <c r="C285" s="2991" t="s">
        <v>1073</v>
      </c>
      <c r="D285" s="3570" t="s">
        <v>2111</v>
      </c>
      <c r="E285" s="977"/>
      <c r="F285" s="277" t="s">
        <v>2131</v>
      </c>
      <c r="G285" s="977"/>
      <c r="H285" s="977"/>
      <c r="I285" s="977"/>
      <c r="J285" s="977"/>
      <c r="K285" s="977"/>
      <c r="L285" s="977"/>
      <c r="M285" s="977"/>
      <c r="N285" s="977"/>
    </row>
    <row r="286" spans="2:14" x14ac:dyDescent="0.25">
      <c r="B286" s="977"/>
      <c r="C286" s="800"/>
      <c r="D286" s="3570" t="s">
        <v>2112</v>
      </c>
      <c r="E286" s="977"/>
      <c r="F286" s="277" t="s">
        <v>2113</v>
      </c>
      <c r="G286" s="977"/>
      <c r="H286" s="977"/>
      <c r="I286" s="977"/>
      <c r="J286" s="977"/>
      <c r="K286" s="977"/>
      <c r="L286" s="977"/>
      <c r="M286" s="977"/>
      <c r="N286" s="977"/>
    </row>
    <row r="287" spans="2:14" x14ac:dyDescent="0.25">
      <c r="B287" s="977"/>
      <c r="C287" s="977"/>
      <c r="D287" s="2989"/>
      <c r="E287" s="977"/>
      <c r="F287" s="977"/>
      <c r="G287" s="977"/>
      <c r="H287" s="977"/>
      <c r="I287" s="977"/>
      <c r="J287" s="977"/>
      <c r="K287" s="977"/>
      <c r="L287" s="977"/>
      <c r="M287" s="977"/>
      <c r="N287" s="977"/>
    </row>
    <row r="289" spans="2:14" ht="15.75" x14ac:dyDescent="0.25">
      <c r="B289" s="905" t="s">
        <v>13</v>
      </c>
      <c r="C289" s="906"/>
      <c r="D289" s="907"/>
      <c r="E289" s="907"/>
      <c r="F289" s="907"/>
      <c r="G289" s="907"/>
      <c r="H289" s="907"/>
      <c r="I289" s="907"/>
      <c r="J289" s="907"/>
      <c r="K289" s="907"/>
      <c r="L289" s="907"/>
      <c r="M289" s="907"/>
      <c r="N289" s="907"/>
    </row>
    <row r="290" spans="2:14" x14ac:dyDescent="0.25">
      <c r="B290" s="992"/>
      <c r="C290" s="977"/>
      <c r="D290" s="977"/>
      <c r="E290" s="977"/>
      <c r="F290" s="977"/>
      <c r="G290" s="977"/>
      <c r="H290" s="977"/>
      <c r="I290" s="977"/>
      <c r="J290" s="977"/>
      <c r="K290" s="977"/>
      <c r="L290" s="977"/>
      <c r="M290" s="977"/>
      <c r="N290" s="977"/>
    </row>
    <row r="291" spans="2:14" x14ac:dyDescent="0.25">
      <c r="B291" s="977"/>
      <c r="C291" s="986" t="s">
        <v>2130</v>
      </c>
      <c r="D291" s="977"/>
      <c r="E291" s="987"/>
      <c r="F291" s="977"/>
      <c r="G291" s="977"/>
      <c r="H291" s="977"/>
      <c r="I291" s="977"/>
      <c r="J291" s="977"/>
      <c r="K291" s="977"/>
      <c r="L291" s="977"/>
      <c r="M291" s="977"/>
      <c r="N291" s="977"/>
    </row>
    <row r="292" spans="2:14" x14ac:dyDescent="0.25">
      <c r="B292" s="977"/>
      <c r="C292" s="977"/>
      <c r="D292" s="3010" t="s">
        <v>2115</v>
      </c>
      <c r="E292" s="977"/>
      <c r="F292" s="977"/>
      <c r="G292" s="977"/>
      <c r="H292" s="977"/>
      <c r="I292" s="977"/>
      <c r="J292" s="977"/>
      <c r="K292" s="977"/>
      <c r="L292" s="977"/>
      <c r="M292" s="977"/>
      <c r="N292" s="977"/>
    </row>
    <row r="293" spans="2:14" ht="5.25" customHeight="1" x14ac:dyDescent="0.25">
      <c r="B293" s="977"/>
      <c r="C293" s="977"/>
      <c r="D293" s="2990"/>
      <c r="E293" s="977"/>
      <c r="F293" s="977"/>
      <c r="G293" s="977"/>
      <c r="H293" s="977"/>
      <c r="I293" s="977"/>
      <c r="J293" s="977"/>
      <c r="K293" s="977"/>
      <c r="L293" s="977"/>
      <c r="M293" s="977"/>
      <c r="N293" s="977"/>
    </row>
    <row r="294" spans="2:14" x14ac:dyDescent="0.25">
      <c r="B294" s="977"/>
      <c r="C294" s="3012" t="s">
        <v>488</v>
      </c>
      <c r="D294" s="3013"/>
      <c r="E294" s="977"/>
      <c r="F294" s="977"/>
      <c r="G294" s="977"/>
      <c r="H294" s="977"/>
      <c r="I294" s="977"/>
      <c r="J294" s="977"/>
      <c r="K294" s="977"/>
      <c r="L294" s="977"/>
      <c r="M294" s="977"/>
      <c r="N294" s="977"/>
    </row>
    <row r="295" spans="2:14" x14ac:dyDescent="0.25">
      <c r="B295" s="977"/>
      <c r="C295" s="3014" t="s">
        <v>568</v>
      </c>
      <c r="D295" s="3015">
        <v>6.7188946082347226E-3</v>
      </c>
      <c r="E295" s="977"/>
      <c r="F295" s="977"/>
      <c r="G295" s="977"/>
      <c r="H295" s="977"/>
      <c r="I295" s="977"/>
      <c r="J295" s="977"/>
      <c r="K295" s="977"/>
      <c r="L295" s="977"/>
      <c r="M295" s="977"/>
      <c r="N295" s="977"/>
    </row>
    <row r="296" spans="2:14" x14ac:dyDescent="0.25">
      <c r="B296" s="977"/>
      <c r="C296" s="3014" t="s">
        <v>567</v>
      </c>
      <c r="D296" s="3015">
        <v>5.9292499053924912E-2</v>
      </c>
      <c r="E296" s="977"/>
      <c r="F296" s="977"/>
      <c r="G296" s="977"/>
      <c r="H296" s="977"/>
      <c r="I296" s="977"/>
      <c r="J296" s="977"/>
      <c r="K296" s="977"/>
      <c r="L296" s="977"/>
      <c r="M296" s="977"/>
      <c r="N296" s="977"/>
    </row>
    <row r="297" spans="2:14" x14ac:dyDescent="0.25">
      <c r="B297" s="977"/>
      <c r="C297" s="3014" t="s">
        <v>566</v>
      </c>
      <c r="D297" s="3015">
        <v>0.31731313779306286</v>
      </c>
      <c r="E297" s="977"/>
      <c r="F297" s="977"/>
      <c r="G297" s="977"/>
      <c r="H297" s="977"/>
      <c r="I297" s="977"/>
      <c r="J297" s="977"/>
      <c r="K297" s="977"/>
      <c r="L297" s="977"/>
      <c r="M297" s="977"/>
      <c r="N297" s="977"/>
    </row>
    <row r="298" spans="2:14" x14ac:dyDescent="0.25">
      <c r="B298" s="977"/>
      <c r="C298" s="3014" t="s">
        <v>565</v>
      </c>
      <c r="D298" s="3015">
        <v>0.21280260601203133</v>
      </c>
      <c r="E298" s="977"/>
      <c r="F298" s="977"/>
      <c r="G298" s="977"/>
      <c r="H298" s="977"/>
      <c r="I298" s="977"/>
      <c r="J298" s="977"/>
      <c r="K298" s="977"/>
      <c r="L298" s="977"/>
      <c r="M298" s="977"/>
      <c r="N298" s="977"/>
    </row>
    <row r="299" spans="2:14" x14ac:dyDescent="0.25">
      <c r="B299" s="977"/>
      <c r="C299" s="3014" t="s">
        <v>564</v>
      </c>
      <c r="D299" s="3015">
        <v>7.1767156543212883E-3</v>
      </c>
      <c r="E299" s="977"/>
      <c r="F299" s="977"/>
      <c r="G299" s="977"/>
      <c r="H299" s="977"/>
      <c r="I299" s="977"/>
      <c r="J299" s="977"/>
      <c r="K299" s="977"/>
      <c r="L299" s="977"/>
      <c r="M299" s="977"/>
      <c r="N299" s="977"/>
    </row>
    <row r="300" spans="2:14" x14ac:dyDescent="0.25">
      <c r="B300" s="977"/>
      <c r="C300" s="3014" t="s">
        <v>563</v>
      </c>
      <c r="D300" s="3015">
        <v>1.9386603951287325E-2</v>
      </c>
      <c r="E300" s="977"/>
      <c r="F300" s="977"/>
      <c r="G300" s="977"/>
      <c r="H300" s="977"/>
      <c r="I300" s="977"/>
      <c r="J300" s="977"/>
      <c r="K300" s="977"/>
      <c r="L300" s="977"/>
      <c r="M300" s="977"/>
      <c r="N300" s="977"/>
    </row>
    <row r="301" spans="2:14" x14ac:dyDescent="0.25">
      <c r="B301" s="977"/>
      <c r="C301" s="3014" t="s">
        <v>562</v>
      </c>
      <c r="D301" s="3015">
        <v>0.30810377543380996</v>
      </c>
      <c r="E301" s="977"/>
      <c r="F301" s="977"/>
      <c r="G301" s="977"/>
      <c r="H301" s="977"/>
      <c r="I301" s="977"/>
      <c r="J301" s="977"/>
      <c r="K301" s="977"/>
      <c r="L301" s="977"/>
      <c r="M301" s="977"/>
      <c r="N301" s="977"/>
    </row>
    <row r="302" spans="2:14" x14ac:dyDescent="0.25">
      <c r="B302" s="977"/>
      <c r="C302" s="3014" t="s">
        <v>561</v>
      </c>
      <c r="D302" s="3015">
        <v>2.0229540420172814E-2</v>
      </c>
      <c r="E302" s="977"/>
      <c r="F302" s="977"/>
      <c r="G302" s="977"/>
      <c r="H302" s="977"/>
      <c r="I302" s="977"/>
      <c r="J302" s="977"/>
      <c r="K302" s="977"/>
      <c r="L302" s="977"/>
      <c r="M302" s="977"/>
      <c r="N302" s="977"/>
    </row>
    <row r="303" spans="2:14" x14ac:dyDescent="0.25">
      <c r="B303" s="977"/>
      <c r="C303" s="3014" t="s">
        <v>560</v>
      </c>
      <c r="D303" s="3015">
        <v>1.2210810235921819E-2</v>
      </c>
      <c r="E303" s="977"/>
      <c r="F303" s="977"/>
      <c r="G303" s="977"/>
      <c r="H303" s="977"/>
      <c r="I303" s="977"/>
      <c r="J303" s="977"/>
      <c r="K303" s="977"/>
      <c r="L303" s="977"/>
      <c r="M303" s="977"/>
      <c r="N303" s="977"/>
    </row>
    <row r="304" spans="2:14" x14ac:dyDescent="0.25">
      <c r="B304" s="977"/>
      <c r="C304" s="3014" t="s">
        <v>559</v>
      </c>
      <c r="D304" s="3015">
        <v>1.3600109130077474E-2</v>
      </c>
      <c r="E304" s="977"/>
      <c r="F304" s="977"/>
      <c r="G304" s="977"/>
      <c r="H304" s="977"/>
      <c r="I304" s="977"/>
      <c r="J304" s="977"/>
      <c r="K304" s="977"/>
      <c r="L304" s="977"/>
      <c r="M304" s="977"/>
      <c r="N304" s="977"/>
    </row>
    <row r="305" spans="2:14" x14ac:dyDescent="0.25">
      <c r="B305" s="977"/>
      <c r="C305" s="3016" t="s">
        <v>558</v>
      </c>
      <c r="D305" s="3017">
        <v>2.316530770715533E-2</v>
      </c>
      <c r="E305" s="977"/>
      <c r="F305" s="977"/>
      <c r="G305" s="977"/>
      <c r="H305" s="977"/>
      <c r="I305" s="977"/>
      <c r="J305" s="977"/>
      <c r="K305" s="977"/>
      <c r="L305" s="977"/>
      <c r="M305" s="977"/>
      <c r="N305" s="977"/>
    </row>
    <row r="306" spans="2:14" ht="4.5" customHeight="1" x14ac:dyDescent="0.25">
      <c r="B306" s="977"/>
      <c r="C306" s="977"/>
      <c r="D306" s="977"/>
      <c r="E306" s="977"/>
      <c r="F306" s="977"/>
      <c r="G306" s="977"/>
      <c r="H306" s="977"/>
      <c r="I306" s="977"/>
      <c r="J306" s="977"/>
      <c r="K306" s="977"/>
      <c r="L306" s="977"/>
      <c r="M306" s="977"/>
      <c r="N306" s="977"/>
    </row>
    <row r="307" spans="2:14" x14ac:dyDescent="0.25">
      <c r="B307" s="977"/>
      <c r="C307" s="2897" t="s">
        <v>8</v>
      </c>
      <c r="D307" s="791"/>
      <c r="E307" s="977"/>
      <c r="F307" s="977"/>
      <c r="G307" s="977"/>
      <c r="H307" s="977"/>
      <c r="I307" s="977"/>
      <c r="J307" s="977"/>
      <c r="K307" s="977"/>
      <c r="L307" s="977"/>
      <c r="M307" s="977"/>
      <c r="N307" s="977"/>
    </row>
    <row r="308" spans="2:14" x14ac:dyDescent="0.25">
      <c r="B308" s="977"/>
      <c r="C308" s="2991" t="s">
        <v>1087</v>
      </c>
      <c r="D308" s="2992" t="s">
        <v>2103</v>
      </c>
      <c r="E308" s="977"/>
      <c r="F308" s="977"/>
      <c r="G308" s="977"/>
      <c r="H308" s="977"/>
      <c r="I308" s="977"/>
      <c r="J308" s="977"/>
      <c r="K308" s="977"/>
      <c r="L308" s="977"/>
      <c r="M308" s="977"/>
      <c r="N308" s="977"/>
    </row>
    <row r="309" spans="2:14" x14ac:dyDescent="0.25">
      <c r="B309" s="977"/>
      <c r="C309" s="800"/>
      <c r="D309" s="2992"/>
      <c r="E309" s="977"/>
      <c r="F309" s="977"/>
      <c r="G309" s="977"/>
      <c r="H309" s="977"/>
      <c r="I309" s="977"/>
      <c r="J309" s="977"/>
      <c r="K309" s="977"/>
      <c r="L309" s="977"/>
      <c r="M309" s="977"/>
      <c r="N309" s="977"/>
    </row>
    <row r="310" spans="2:14" x14ac:dyDescent="0.25">
      <c r="B310" s="977"/>
      <c r="C310" s="977"/>
      <c r="D310" s="977"/>
      <c r="E310" s="977"/>
      <c r="F310" s="977"/>
      <c r="G310" s="977"/>
      <c r="H310" s="977"/>
      <c r="I310" s="977"/>
      <c r="J310" s="977"/>
      <c r="K310" s="977"/>
      <c r="L310" s="977"/>
      <c r="M310" s="977"/>
      <c r="N310" s="977"/>
    </row>
    <row r="311" spans="2:14" x14ac:dyDescent="0.25">
      <c r="B311" s="977"/>
      <c r="C311" s="986" t="s">
        <v>2120</v>
      </c>
      <c r="D311" s="977"/>
      <c r="E311" s="987" t="s">
        <v>2115</v>
      </c>
      <c r="F311" s="977"/>
      <c r="G311" s="977"/>
      <c r="H311" s="977"/>
      <c r="I311" s="977"/>
      <c r="J311" s="977"/>
      <c r="K311" s="977"/>
      <c r="L311" s="977"/>
      <c r="M311" s="977"/>
      <c r="N311" s="977"/>
    </row>
    <row r="312" spans="2:14" ht="6" customHeight="1" x14ac:dyDescent="0.25">
      <c r="B312" s="977"/>
      <c r="C312" s="977"/>
      <c r="D312" s="977"/>
      <c r="E312" s="977"/>
      <c r="F312" s="977"/>
      <c r="G312" s="977"/>
      <c r="H312" s="977"/>
      <c r="I312" s="977"/>
      <c r="J312" s="977"/>
      <c r="K312" s="977"/>
      <c r="L312" s="977"/>
      <c r="M312" s="977"/>
      <c r="N312" s="977"/>
    </row>
    <row r="313" spans="2:14" x14ac:dyDescent="0.25">
      <c r="B313" s="977"/>
      <c r="C313" s="3012" t="s">
        <v>488</v>
      </c>
      <c r="D313" s="3018" t="s">
        <v>532</v>
      </c>
      <c r="E313" s="3018" t="s">
        <v>332</v>
      </c>
      <c r="F313" s="3018" t="s">
        <v>387</v>
      </c>
      <c r="G313" s="3018" t="s">
        <v>331</v>
      </c>
      <c r="H313" s="3013" t="s">
        <v>533</v>
      </c>
      <c r="I313" s="977"/>
      <c r="J313" s="977"/>
      <c r="K313" s="977"/>
      <c r="L313" s="977"/>
      <c r="M313" s="977"/>
      <c r="N313" s="977"/>
    </row>
    <row r="314" spans="2:14" x14ac:dyDescent="0.25">
      <c r="B314" s="977"/>
      <c r="C314" s="3014" t="s">
        <v>568</v>
      </c>
      <c r="D314" s="997">
        <v>9.2824501401143097E-4</v>
      </c>
      <c r="E314" s="993">
        <v>0.53689676349597315</v>
      </c>
      <c r="F314" s="993">
        <v>0</v>
      </c>
      <c r="G314" s="993">
        <v>0</v>
      </c>
      <c r="H314" s="3015">
        <v>0.46217499149001545</v>
      </c>
      <c r="I314" s="977"/>
      <c r="J314" s="977"/>
      <c r="K314" s="977"/>
      <c r="L314" s="977"/>
      <c r="M314" s="977"/>
      <c r="N314" s="977"/>
    </row>
    <row r="315" spans="2:14" x14ac:dyDescent="0.25">
      <c r="B315" s="977"/>
      <c r="C315" s="3014" t="s">
        <v>567</v>
      </c>
      <c r="D315" s="996">
        <v>0.7767686802942404</v>
      </c>
      <c r="E315" s="993">
        <v>2.0803251072612654E-2</v>
      </c>
      <c r="F315" s="993">
        <v>0</v>
      </c>
      <c r="G315" s="993">
        <v>0</v>
      </c>
      <c r="H315" s="3015">
        <v>0.20242806863314691</v>
      </c>
      <c r="I315" s="977"/>
      <c r="J315" s="977"/>
      <c r="K315" s="977"/>
      <c r="L315" s="977"/>
      <c r="M315" s="977"/>
      <c r="N315" s="977"/>
    </row>
    <row r="316" spans="2:14" x14ac:dyDescent="0.25">
      <c r="B316" s="977"/>
      <c r="C316" s="3014" t="s">
        <v>566</v>
      </c>
      <c r="D316" s="996">
        <v>0.30750347086842422</v>
      </c>
      <c r="E316" s="993">
        <v>0.19660291158637574</v>
      </c>
      <c r="F316" s="993">
        <v>4.9772888584008808E-2</v>
      </c>
      <c r="G316" s="993">
        <v>0.17180943919998612</v>
      </c>
      <c r="H316" s="3015">
        <v>0.27431128976120511</v>
      </c>
      <c r="I316" s="977"/>
      <c r="J316" s="977"/>
      <c r="K316" s="977"/>
      <c r="L316" s="977"/>
      <c r="M316" s="977"/>
      <c r="N316" s="977"/>
    </row>
    <row r="317" spans="2:14" x14ac:dyDescent="0.25">
      <c r="B317" s="977"/>
      <c r="C317" s="3014" t="s">
        <v>565</v>
      </c>
      <c r="D317" s="996">
        <v>0.10581874124194955</v>
      </c>
      <c r="E317" s="993">
        <v>3.6390303452956102E-2</v>
      </c>
      <c r="F317" s="993">
        <v>2.8335014195068056E-3</v>
      </c>
      <c r="G317" s="993">
        <v>0.67664502884449507</v>
      </c>
      <c r="H317" s="3015">
        <v>0.17831242504109243</v>
      </c>
      <c r="I317" s="977"/>
      <c r="J317" s="977"/>
      <c r="K317" s="977"/>
      <c r="L317" s="977"/>
      <c r="M317" s="977"/>
      <c r="N317" s="977"/>
    </row>
    <row r="318" spans="2:14" x14ac:dyDescent="0.25">
      <c r="B318" s="977"/>
      <c r="C318" s="3014" t="s">
        <v>564</v>
      </c>
      <c r="D318" s="996">
        <v>1.4901042140883159E-2</v>
      </c>
      <c r="E318" s="993">
        <v>4.426766503756242E-3</v>
      </c>
      <c r="F318" s="993">
        <v>0.9524100993310668</v>
      </c>
      <c r="G318" s="993">
        <v>7.5683950049150201E-3</v>
      </c>
      <c r="H318" s="3015">
        <v>2.0693697019378742E-2</v>
      </c>
      <c r="I318" s="977"/>
      <c r="J318" s="977"/>
      <c r="K318" s="977"/>
      <c r="L318" s="977"/>
      <c r="M318" s="977"/>
      <c r="N318" s="977"/>
    </row>
    <row r="319" spans="2:14" x14ac:dyDescent="0.25">
      <c r="B319" s="977"/>
      <c r="C319" s="3014" t="s">
        <v>563</v>
      </c>
      <c r="D319" s="996">
        <v>0.91466280923645216</v>
      </c>
      <c r="E319" s="993">
        <v>3.721716652071632E-2</v>
      </c>
      <c r="F319" s="993">
        <v>1.4939706548052951E-3</v>
      </c>
      <c r="G319" s="993">
        <v>6.9225001589551301E-3</v>
      </c>
      <c r="H319" s="3015">
        <v>3.9703553429071073E-2</v>
      </c>
      <c r="I319" s="977"/>
      <c r="J319" s="977"/>
      <c r="K319" s="977"/>
      <c r="L319" s="977"/>
      <c r="M319" s="977"/>
      <c r="N319" s="977"/>
    </row>
    <row r="320" spans="2:14" x14ac:dyDescent="0.25">
      <c r="B320" s="977"/>
      <c r="C320" s="3014" t="s">
        <v>562</v>
      </c>
      <c r="D320" s="996">
        <v>0.41050915233186125</v>
      </c>
      <c r="E320" s="993">
        <v>2.1048039977996733E-2</v>
      </c>
      <c r="F320" s="993">
        <v>2.03639571516618E-4</v>
      </c>
      <c r="G320" s="993">
        <v>0</v>
      </c>
      <c r="H320" s="3015">
        <v>0.56823916811862552</v>
      </c>
      <c r="I320" s="977"/>
      <c r="J320" s="977"/>
      <c r="K320" s="977"/>
      <c r="L320" s="977"/>
      <c r="M320" s="977"/>
      <c r="N320" s="977"/>
    </row>
    <row r="321" spans="2:14" x14ac:dyDescent="0.25">
      <c r="B321" s="977"/>
      <c r="C321" s="3014" t="s">
        <v>561</v>
      </c>
      <c r="D321" s="996">
        <v>0.46047146135035699</v>
      </c>
      <c r="E321" s="993">
        <v>0.19799963172083934</v>
      </c>
      <c r="F321" s="993">
        <v>0</v>
      </c>
      <c r="G321" s="993">
        <v>0</v>
      </c>
      <c r="H321" s="3015">
        <v>0.34152890692880361</v>
      </c>
      <c r="I321" s="977"/>
      <c r="J321" s="977"/>
      <c r="K321" s="977"/>
      <c r="L321" s="977"/>
      <c r="M321" s="977"/>
      <c r="N321" s="977"/>
    </row>
    <row r="322" spans="2:14" x14ac:dyDescent="0.25">
      <c r="B322" s="977"/>
      <c r="C322" s="3014" t="s">
        <v>560</v>
      </c>
      <c r="D322" s="996">
        <v>0.41897306185520211</v>
      </c>
      <c r="E322" s="993">
        <v>0</v>
      </c>
      <c r="F322" s="993">
        <v>0.18069181361773448</v>
      </c>
      <c r="G322" s="993">
        <v>0</v>
      </c>
      <c r="H322" s="3015">
        <v>0.40033512452706344</v>
      </c>
      <c r="I322" s="977"/>
      <c r="J322" s="977"/>
      <c r="K322" s="977"/>
      <c r="L322" s="977"/>
      <c r="M322" s="977"/>
      <c r="N322" s="977"/>
    </row>
    <row r="323" spans="2:14" x14ac:dyDescent="0.25">
      <c r="B323" s="977"/>
      <c r="C323" s="3014" t="s">
        <v>559</v>
      </c>
      <c r="D323" s="996">
        <v>1.0205639081322141E-3</v>
      </c>
      <c r="E323" s="993">
        <v>0.96388491285699029</v>
      </c>
      <c r="F323" s="993">
        <v>6.9186638081095205E-3</v>
      </c>
      <c r="G323" s="993">
        <v>0</v>
      </c>
      <c r="H323" s="3015">
        <v>2.817585942676807E-2</v>
      </c>
      <c r="I323" s="977"/>
      <c r="J323" s="977"/>
      <c r="K323" s="977"/>
      <c r="L323" s="977"/>
      <c r="M323" s="977"/>
      <c r="N323" s="977"/>
    </row>
    <row r="324" spans="2:14" x14ac:dyDescent="0.25">
      <c r="B324" s="977"/>
      <c r="C324" s="3016" t="s">
        <v>558</v>
      </c>
      <c r="D324" s="995">
        <v>4.1694832739357292E-2</v>
      </c>
      <c r="E324" s="994">
        <v>1.8517630311682961E-2</v>
      </c>
      <c r="F324" s="994">
        <v>0.77816728004924818</v>
      </c>
      <c r="G324" s="994">
        <v>1.1062031261316382E-2</v>
      </c>
      <c r="H324" s="3017">
        <v>0.15055822563839533</v>
      </c>
      <c r="I324" s="977"/>
      <c r="J324" s="977"/>
      <c r="K324" s="977"/>
      <c r="L324" s="977"/>
      <c r="M324" s="977"/>
      <c r="N324" s="977"/>
    </row>
    <row r="325" spans="2:14" ht="3.75" customHeight="1" x14ac:dyDescent="0.25">
      <c r="B325" s="977"/>
      <c r="C325" s="977"/>
      <c r="D325" s="977"/>
      <c r="E325" s="977"/>
      <c r="F325" s="977"/>
      <c r="G325" s="977"/>
      <c r="H325" s="977"/>
      <c r="I325" s="977"/>
      <c r="J325" s="977"/>
      <c r="K325" s="977"/>
      <c r="L325" s="977"/>
      <c r="M325" s="977"/>
      <c r="N325" s="977"/>
    </row>
    <row r="326" spans="2:14" x14ac:dyDescent="0.25">
      <c r="B326" s="977"/>
      <c r="C326" s="2897" t="s">
        <v>8</v>
      </c>
      <c r="D326" s="791"/>
      <c r="E326" s="977"/>
      <c r="F326" s="977"/>
      <c r="G326" s="977"/>
      <c r="H326" s="977"/>
      <c r="I326" s="977"/>
      <c r="J326" s="977"/>
      <c r="K326" s="977"/>
      <c r="L326" s="977"/>
      <c r="M326" s="977"/>
      <c r="N326" s="977"/>
    </row>
    <row r="327" spans="2:14" x14ac:dyDescent="0.25">
      <c r="B327" s="977"/>
      <c r="C327" s="2991" t="s">
        <v>1087</v>
      </c>
      <c r="D327" s="2992" t="s">
        <v>2103</v>
      </c>
      <c r="E327" s="977"/>
      <c r="F327" s="977"/>
      <c r="G327" s="977"/>
      <c r="H327" s="977"/>
      <c r="I327" s="977"/>
      <c r="J327" s="977"/>
      <c r="K327" s="977"/>
      <c r="L327" s="977"/>
      <c r="M327" s="977"/>
      <c r="N327" s="977"/>
    </row>
    <row r="328" spans="2:14" x14ac:dyDescent="0.25">
      <c r="B328" s="977"/>
      <c r="C328" s="977"/>
      <c r="D328" s="977"/>
      <c r="E328" s="977"/>
      <c r="F328" s="977"/>
      <c r="G328" s="977"/>
      <c r="H328" s="977"/>
      <c r="I328" s="977"/>
      <c r="J328" s="977"/>
      <c r="K328" s="977"/>
      <c r="L328" s="977"/>
      <c r="M328" s="977"/>
      <c r="N328" s="977"/>
    </row>
    <row r="329" spans="2:14" x14ac:dyDescent="0.25">
      <c r="B329" s="977"/>
      <c r="C329" s="977"/>
      <c r="D329" s="977"/>
      <c r="E329" s="977"/>
      <c r="F329" s="977"/>
      <c r="G329" s="977"/>
      <c r="H329" s="977"/>
      <c r="I329" s="977"/>
      <c r="J329" s="977"/>
      <c r="K329" s="977"/>
      <c r="L329" s="977"/>
      <c r="M329" s="977"/>
      <c r="N329" s="977"/>
    </row>
    <row r="330" spans="2:14" x14ac:dyDescent="0.25">
      <c r="B330" s="977"/>
      <c r="C330" s="986" t="s">
        <v>2119</v>
      </c>
      <c r="D330" s="977"/>
      <c r="E330" s="987" t="s">
        <v>2116</v>
      </c>
      <c r="F330" s="977"/>
      <c r="G330" s="977"/>
      <c r="H330" s="977"/>
      <c r="I330" s="977"/>
      <c r="J330" s="977"/>
      <c r="K330" s="977"/>
      <c r="L330" s="977"/>
      <c r="M330" s="977"/>
      <c r="N330" s="977"/>
    </row>
    <row r="331" spans="2:14" ht="5.25" customHeight="1" x14ac:dyDescent="0.25">
      <c r="B331" s="977"/>
      <c r="C331" s="977"/>
      <c r="D331" s="977"/>
      <c r="E331" s="977"/>
      <c r="F331" s="977"/>
      <c r="G331" s="977"/>
      <c r="H331" s="977"/>
      <c r="I331" s="977"/>
      <c r="J331" s="977"/>
      <c r="K331" s="977"/>
      <c r="L331" s="977"/>
      <c r="M331" s="977"/>
      <c r="N331" s="977"/>
    </row>
    <row r="332" spans="2:14" x14ac:dyDescent="0.25">
      <c r="B332" s="977"/>
      <c r="C332" s="3012" t="s">
        <v>488</v>
      </c>
      <c r="D332" s="3018" t="s">
        <v>536</v>
      </c>
      <c r="E332" s="3018" t="s">
        <v>537</v>
      </c>
      <c r="F332" s="3013" t="s">
        <v>573</v>
      </c>
      <c r="G332" s="977"/>
      <c r="H332" s="977"/>
      <c r="I332" s="977"/>
      <c r="J332" s="977"/>
      <c r="K332" s="977"/>
      <c r="L332" s="977"/>
      <c r="M332" s="977"/>
      <c r="N332" s="977"/>
    </row>
    <row r="333" spans="2:14" x14ac:dyDescent="0.25">
      <c r="B333" s="977"/>
      <c r="C333" s="3014" t="s">
        <v>568</v>
      </c>
      <c r="D333" s="997">
        <v>4.3922072196451702E-2</v>
      </c>
      <c r="E333" s="993">
        <v>0.95524264283393889</v>
      </c>
      <c r="F333" s="3015">
        <v>8.3528496960934729E-4</v>
      </c>
      <c r="G333" s="977"/>
      <c r="H333" s="977"/>
      <c r="I333" s="977"/>
      <c r="J333" s="977"/>
      <c r="K333" s="977"/>
      <c r="L333" s="977"/>
      <c r="M333" s="977"/>
      <c r="N333" s="977"/>
    </row>
    <row r="334" spans="2:14" x14ac:dyDescent="0.25">
      <c r="B334" s="977"/>
      <c r="C334" s="3014" t="s">
        <v>567</v>
      </c>
      <c r="D334" s="996">
        <v>0.84253946285178083</v>
      </c>
      <c r="E334" s="993">
        <v>0.14403305263799124</v>
      </c>
      <c r="F334" s="3015">
        <v>1.3427484510227836E-2</v>
      </c>
      <c r="G334" s="977"/>
      <c r="H334" s="977"/>
      <c r="I334" s="977"/>
      <c r="J334" s="977"/>
      <c r="K334" s="977"/>
      <c r="L334" s="977"/>
      <c r="M334" s="977"/>
      <c r="N334" s="977"/>
    </row>
    <row r="335" spans="2:14" x14ac:dyDescent="0.25">
      <c r="B335" s="977"/>
      <c r="C335" s="3014" t="s">
        <v>566</v>
      </c>
      <c r="D335" s="996">
        <v>0.46737625548488376</v>
      </c>
      <c r="E335" s="993">
        <v>0.51741206130532924</v>
      </c>
      <c r="F335" s="3015">
        <v>1.521168320978703E-2</v>
      </c>
      <c r="G335" s="977"/>
      <c r="H335" s="977"/>
      <c r="I335" s="977"/>
      <c r="J335" s="977"/>
      <c r="K335" s="977"/>
      <c r="L335" s="977"/>
      <c r="M335" s="977"/>
      <c r="N335" s="977"/>
    </row>
    <row r="336" spans="2:14" x14ac:dyDescent="0.25">
      <c r="B336" s="977"/>
      <c r="C336" s="3014" t="s">
        <v>565</v>
      </c>
      <c r="D336" s="996">
        <v>0.12121986514546908</v>
      </c>
      <c r="E336" s="993">
        <v>0.86179670163561728</v>
      </c>
      <c r="F336" s="3015">
        <v>1.6983433218913609E-2</v>
      </c>
      <c r="G336" s="977"/>
      <c r="H336" s="977"/>
      <c r="I336" s="977"/>
      <c r="J336" s="977"/>
      <c r="K336" s="977"/>
      <c r="L336" s="977"/>
      <c r="M336" s="977"/>
      <c r="N336" s="977"/>
    </row>
    <row r="337" spans="2:14" x14ac:dyDescent="0.25">
      <c r="B337" s="977"/>
      <c r="C337" s="3014" t="s">
        <v>564</v>
      </c>
      <c r="D337" s="996">
        <v>2.3416421430477629E-2</v>
      </c>
      <c r="E337" s="993">
        <v>0.97637363455944692</v>
      </c>
      <c r="F337" s="3015">
        <v>2.0994401007552751E-4</v>
      </c>
      <c r="G337" s="977"/>
      <c r="H337" s="977"/>
      <c r="I337" s="977"/>
      <c r="J337" s="977"/>
      <c r="K337" s="977"/>
      <c r="L337" s="977"/>
      <c r="M337" s="977"/>
      <c r="N337" s="977"/>
    </row>
    <row r="338" spans="2:14" x14ac:dyDescent="0.25">
      <c r="B338" s="977"/>
      <c r="C338" s="3014" t="s">
        <v>563</v>
      </c>
      <c r="D338" s="996">
        <v>0.94707399698317096</v>
      </c>
      <c r="E338" s="993">
        <v>4.9298352705436289E-2</v>
      </c>
      <c r="F338" s="3015">
        <v>3.6276503113927714E-3</v>
      </c>
      <c r="G338" s="977"/>
      <c r="H338" s="977"/>
      <c r="I338" s="977"/>
      <c r="J338" s="977"/>
      <c r="K338" s="977"/>
      <c r="L338" s="977"/>
      <c r="M338" s="977"/>
      <c r="N338" s="977"/>
    </row>
    <row r="339" spans="2:14" x14ac:dyDescent="0.25">
      <c r="B339" s="977"/>
      <c r="C339" s="3014" t="s">
        <v>562</v>
      </c>
      <c r="D339" s="996">
        <v>0.65495785916833227</v>
      </c>
      <c r="E339" s="993">
        <v>0.33072255697166025</v>
      </c>
      <c r="F339" s="3015">
        <v>1.4319583860007434E-2</v>
      </c>
      <c r="G339" s="977"/>
      <c r="H339" s="977"/>
      <c r="I339" s="977"/>
      <c r="J339" s="977"/>
      <c r="K339" s="977"/>
      <c r="L339" s="977"/>
      <c r="M339" s="977"/>
      <c r="N339" s="977"/>
    </row>
    <row r="340" spans="2:14" x14ac:dyDescent="0.25">
      <c r="B340" s="977"/>
      <c r="C340" s="3014" t="s">
        <v>561</v>
      </c>
      <c r="D340" s="996">
        <v>0.6902850298095754</v>
      </c>
      <c r="E340" s="993">
        <v>0.30332837963075099</v>
      </c>
      <c r="F340" s="3015">
        <v>6.3865905596736565E-3</v>
      </c>
      <c r="G340" s="977"/>
      <c r="H340" s="977"/>
      <c r="I340" s="977"/>
      <c r="J340" s="977"/>
      <c r="K340" s="977"/>
      <c r="L340" s="977"/>
      <c r="M340" s="977"/>
      <c r="N340" s="977"/>
    </row>
    <row r="341" spans="2:14" x14ac:dyDescent="0.25">
      <c r="B341" s="977"/>
      <c r="C341" s="3014" t="s">
        <v>560</v>
      </c>
      <c r="D341" s="996">
        <v>0.8007607655314426</v>
      </c>
      <c r="E341" s="993">
        <v>0.19831846368213779</v>
      </c>
      <c r="F341" s="3015">
        <v>9.207707864195135E-4</v>
      </c>
      <c r="G341" s="977"/>
      <c r="H341" s="977"/>
      <c r="I341" s="977"/>
      <c r="J341" s="977"/>
      <c r="K341" s="977"/>
      <c r="L341" s="977"/>
      <c r="M341" s="977"/>
      <c r="N341" s="977"/>
    </row>
    <row r="342" spans="2:14" x14ac:dyDescent="0.25">
      <c r="B342" s="977"/>
      <c r="C342" s="3014" t="s">
        <v>559</v>
      </c>
      <c r="D342" s="996">
        <v>0.97808299120227082</v>
      </c>
      <c r="E342" s="993">
        <v>2.01109838621665E-2</v>
      </c>
      <c r="F342" s="3015">
        <v>1.8060249355626016E-3</v>
      </c>
      <c r="G342" s="977"/>
      <c r="H342" s="977"/>
      <c r="I342" s="977"/>
      <c r="J342" s="977"/>
      <c r="K342" s="977"/>
      <c r="L342" s="977"/>
      <c r="M342" s="977"/>
      <c r="N342" s="977"/>
    </row>
    <row r="343" spans="2:14" x14ac:dyDescent="0.25">
      <c r="B343" s="977"/>
      <c r="C343" s="3016" t="s">
        <v>558</v>
      </c>
      <c r="D343" s="995">
        <v>0.16651514379104906</v>
      </c>
      <c r="E343" s="994">
        <v>0.83187161993531389</v>
      </c>
      <c r="F343" s="3017">
        <v>1.6132362736371152E-3</v>
      </c>
      <c r="G343" s="977"/>
      <c r="H343" s="977"/>
      <c r="I343" s="977"/>
      <c r="J343" s="977"/>
      <c r="K343" s="977"/>
      <c r="L343" s="977"/>
      <c r="M343" s="977"/>
      <c r="N343" s="977"/>
    </row>
    <row r="344" spans="2:14" ht="6.75" customHeight="1" x14ac:dyDescent="0.25">
      <c r="B344" s="977"/>
      <c r="C344" s="977"/>
      <c r="D344" s="993"/>
      <c r="E344" s="993"/>
      <c r="F344" s="993"/>
      <c r="G344" s="977"/>
      <c r="H344" s="977"/>
      <c r="I344" s="977"/>
      <c r="J344" s="977"/>
      <c r="K344" s="977"/>
      <c r="L344" s="977"/>
      <c r="M344" s="977"/>
      <c r="N344" s="977"/>
    </row>
    <row r="345" spans="2:14" x14ac:dyDescent="0.25">
      <c r="B345" s="977"/>
      <c r="C345" s="2897" t="s">
        <v>8</v>
      </c>
      <c r="D345" s="791"/>
      <c r="E345" s="993"/>
      <c r="F345" s="993"/>
      <c r="G345" s="977"/>
      <c r="H345" s="977"/>
      <c r="I345" s="977"/>
      <c r="J345" s="977"/>
      <c r="K345" s="977"/>
      <c r="L345" s="977"/>
      <c r="M345" s="977"/>
      <c r="N345" s="977"/>
    </row>
    <row r="346" spans="2:14" x14ac:dyDescent="0.25">
      <c r="B346" s="977"/>
      <c r="C346" s="2991" t="s">
        <v>1077</v>
      </c>
      <c r="D346" s="2992" t="s">
        <v>2117</v>
      </c>
      <c r="E346" s="993"/>
      <c r="F346" s="993"/>
      <c r="G346" s="2992"/>
      <c r="H346" s="977"/>
      <c r="I346" s="977"/>
      <c r="J346" s="977"/>
      <c r="K346" s="977"/>
      <c r="L346" s="977"/>
      <c r="M346" s="977"/>
      <c r="N346" s="977"/>
    </row>
    <row r="347" spans="2:14" x14ac:dyDescent="0.25">
      <c r="B347" s="977"/>
      <c r="C347" s="977"/>
      <c r="D347" s="2896" t="s">
        <v>1979</v>
      </c>
      <c r="E347" s="993"/>
      <c r="F347" s="993"/>
      <c r="G347" s="2992"/>
      <c r="H347" s="977"/>
      <c r="I347" s="977"/>
      <c r="J347" s="977"/>
      <c r="K347" s="977"/>
      <c r="L347" s="977"/>
      <c r="M347" s="977"/>
      <c r="N347" s="977"/>
    </row>
    <row r="348" spans="2:14" x14ac:dyDescent="0.25">
      <c r="B348" s="977"/>
      <c r="C348" s="977"/>
      <c r="D348" s="993"/>
      <c r="E348" s="993"/>
      <c r="F348" s="993"/>
      <c r="G348" s="2992"/>
      <c r="H348" s="977"/>
      <c r="I348" s="977"/>
      <c r="J348" s="977"/>
      <c r="K348" s="977"/>
      <c r="L348" s="977"/>
      <c r="M348" s="977"/>
      <c r="N348" s="977"/>
    </row>
    <row r="349" spans="2:14" x14ac:dyDescent="0.25">
      <c r="B349" s="977"/>
      <c r="C349" s="977"/>
      <c r="D349" s="993"/>
      <c r="E349" s="993"/>
      <c r="F349" s="993"/>
      <c r="G349" s="977"/>
      <c r="H349" s="977"/>
      <c r="I349" s="977"/>
      <c r="J349" s="977"/>
      <c r="K349" s="977"/>
      <c r="L349" s="977"/>
      <c r="M349" s="977"/>
      <c r="N349" s="977"/>
    </row>
    <row r="350" spans="2:14" x14ac:dyDescent="0.25">
      <c r="B350" s="977"/>
      <c r="C350" s="987" t="s">
        <v>2100</v>
      </c>
      <c r="D350" s="982"/>
      <c r="E350" s="3010" t="s">
        <v>2121</v>
      </c>
      <c r="F350" s="1000"/>
      <c r="G350" s="977"/>
      <c r="H350" s="977"/>
      <c r="I350" s="977"/>
      <c r="J350" s="977"/>
      <c r="K350" s="1002"/>
      <c r="L350" s="1001"/>
      <c r="M350" s="1001"/>
      <c r="N350" s="977"/>
    </row>
    <row r="351" spans="2:14" ht="5.25" customHeight="1" x14ac:dyDescent="0.25">
      <c r="B351" s="977"/>
      <c r="C351" s="987"/>
      <c r="D351" s="982"/>
      <c r="E351" s="977"/>
      <c r="F351" s="1000"/>
      <c r="G351" s="977"/>
      <c r="H351" s="977"/>
      <c r="I351" s="977"/>
      <c r="J351" s="977"/>
      <c r="K351" s="1002"/>
      <c r="L351" s="1001"/>
      <c r="M351" s="1001"/>
      <c r="N351" s="977"/>
    </row>
    <row r="352" spans="2:14" x14ac:dyDescent="0.25">
      <c r="B352" s="977"/>
      <c r="C352" s="3019" t="s">
        <v>531</v>
      </c>
      <c r="D352" s="3020" t="s">
        <v>2104</v>
      </c>
      <c r="E352" s="3021" t="s">
        <v>601</v>
      </c>
      <c r="F352" s="1000"/>
      <c r="G352" s="977"/>
      <c r="H352" s="977"/>
      <c r="I352" s="977"/>
      <c r="J352" s="977"/>
      <c r="K352" s="1002"/>
      <c r="L352" s="1001"/>
      <c r="M352" s="1001"/>
      <c r="N352" s="977"/>
    </row>
    <row r="353" spans="2:14" x14ac:dyDescent="0.25">
      <c r="B353" s="977"/>
      <c r="C353" s="3022" t="s">
        <v>492</v>
      </c>
      <c r="D353" s="2744">
        <v>16232.546779963943</v>
      </c>
      <c r="E353" s="3023">
        <f>D353/SUM($D$353:$D$357)</f>
        <v>0.88660409348940405</v>
      </c>
      <c r="F353" s="1000"/>
      <c r="G353" s="977"/>
      <c r="H353" s="977"/>
      <c r="I353" s="977"/>
      <c r="J353" s="977"/>
      <c r="K353" s="1002"/>
      <c r="L353" s="1001"/>
      <c r="M353" s="1001"/>
      <c r="N353" s="977"/>
    </row>
    <row r="354" spans="2:14" x14ac:dyDescent="0.25">
      <c r="B354" s="977"/>
      <c r="C354" s="3024" t="s">
        <v>495</v>
      </c>
      <c r="D354" s="2736">
        <v>33.964693466</v>
      </c>
      <c r="E354" s="3025">
        <f>D354/SUM($D$353:$D$357)</f>
        <v>1.855114706845484E-3</v>
      </c>
      <c r="F354" s="1000"/>
      <c r="G354" s="977"/>
      <c r="H354" s="977"/>
      <c r="I354" s="977"/>
      <c r="J354" s="977"/>
      <c r="K354" s="1002"/>
      <c r="L354" s="1001"/>
      <c r="M354" s="1001"/>
      <c r="N354" s="977"/>
    </row>
    <row r="355" spans="2:14" x14ac:dyDescent="0.25">
      <c r="B355" s="977"/>
      <c r="C355" s="3024" t="s">
        <v>491</v>
      </c>
      <c r="D355" s="2736">
        <v>947.17720216892417</v>
      </c>
      <c r="E355" s="3025">
        <f>D355/SUM($D$353:$D$357)</f>
        <v>5.1733791134940713E-2</v>
      </c>
      <c r="F355" s="1000"/>
      <c r="G355" s="977"/>
      <c r="H355" s="977"/>
      <c r="I355" s="977"/>
      <c r="J355" s="977"/>
      <c r="K355" s="1002"/>
      <c r="L355" s="1001"/>
      <c r="M355" s="1001"/>
      <c r="N355" s="977"/>
    </row>
    <row r="356" spans="2:14" x14ac:dyDescent="0.25">
      <c r="B356" s="977"/>
      <c r="C356" s="3024" t="s">
        <v>331</v>
      </c>
      <c r="D356" s="2736">
        <v>0</v>
      </c>
      <c r="E356" s="3025">
        <f>D356/SUM($D$353:$D$357)</f>
        <v>0</v>
      </c>
      <c r="F356" s="1000"/>
      <c r="G356" s="977"/>
      <c r="H356" s="977"/>
      <c r="I356" s="977"/>
      <c r="J356" s="977"/>
      <c r="K356" s="1002"/>
      <c r="L356" s="1001"/>
      <c r="M356" s="1001"/>
      <c r="N356" s="977"/>
    </row>
    <row r="357" spans="2:14" x14ac:dyDescent="0.25">
      <c r="B357" s="977"/>
      <c r="C357" s="3016" t="s">
        <v>493</v>
      </c>
      <c r="D357" s="2742">
        <v>1094.986977</v>
      </c>
      <c r="E357" s="3026">
        <f>D357/SUM($D$353:$D$357)</f>
        <v>5.980700066880968E-2</v>
      </c>
      <c r="F357" s="1000"/>
      <c r="G357" s="977"/>
      <c r="H357" s="977"/>
      <c r="I357" s="977"/>
      <c r="J357" s="977"/>
      <c r="K357" s="1002"/>
      <c r="L357" s="1001"/>
      <c r="M357" s="1001"/>
      <c r="N357" s="977"/>
    </row>
    <row r="358" spans="2:14" x14ac:dyDescent="0.25">
      <c r="B358" s="977"/>
      <c r="C358" s="977"/>
      <c r="D358" s="2736"/>
      <c r="E358" s="2740"/>
      <c r="F358" s="1000"/>
      <c r="G358" s="977"/>
      <c r="H358" s="977"/>
      <c r="I358" s="977"/>
      <c r="J358" s="977"/>
      <c r="K358" s="1002"/>
      <c r="L358" s="1001"/>
      <c r="M358" s="1001"/>
      <c r="N358" s="977"/>
    </row>
    <row r="359" spans="2:14" x14ac:dyDescent="0.25">
      <c r="B359" s="977"/>
      <c r="C359" s="2897" t="s">
        <v>8</v>
      </c>
      <c r="D359" s="791"/>
      <c r="E359" s="2740"/>
      <c r="F359" s="1000"/>
      <c r="G359" s="977"/>
      <c r="H359" s="977"/>
      <c r="I359" s="977"/>
      <c r="J359" s="977"/>
      <c r="K359" s="1002"/>
      <c r="L359" s="1001"/>
      <c r="M359" s="1001"/>
      <c r="N359" s="977"/>
    </row>
    <row r="360" spans="2:14" x14ac:dyDescent="0.25">
      <c r="B360" s="977"/>
      <c r="C360" s="2991" t="s">
        <v>1113</v>
      </c>
      <c r="D360" s="2992" t="s">
        <v>2118</v>
      </c>
      <c r="E360" s="2740"/>
      <c r="F360" s="1000"/>
      <c r="G360" s="977"/>
      <c r="H360" s="977"/>
      <c r="I360" s="977"/>
      <c r="J360" s="977"/>
      <c r="K360" s="1002"/>
      <c r="L360" s="1001"/>
      <c r="M360" s="1001"/>
      <c r="N360" s="977"/>
    </row>
    <row r="361" spans="2:14" x14ac:dyDescent="0.25">
      <c r="B361" s="977"/>
      <c r="C361" s="800"/>
      <c r="D361" s="2896"/>
      <c r="E361" s="2740"/>
      <c r="F361" s="1000"/>
      <c r="G361" s="977"/>
      <c r="H361" s="977"/>
      <c r="I361" s="977"/>
      <c r="J361" s="977"/>
      <c r="K361" s="1002"/>
      <c r="L361" s="1001"/>
      <c r="M361" s="1001"/>
      <c r="N361" s="977"/>
    </row>
    <row r="362" spans="2:14" x14ac:dyDescent="0.25">
      <c r="B362" s="977"/>
      <c r="C362" s="977"/>
      <c r="D362" s="993"/>
      <c r="E362" s="993"/>
      <c r="F362" s="993"/>
      <c r="G362" s="977"/>
      <c r="H362" s="977"/>
      <c r="I362" s="977"/>
      <c r="J362" s="977"/>
      <c r="K362" s="977"/>
      <c r="L362" s="977"/>
      <c r="M362" s="977"/>
      <c r="N362" s="977"/>
    </row>
    <row r="363" spans="2:14" x14ac:dyDescent="0.25">
      <c r="B363" s="977"/>
      <c r="C363" s="977"/>
      <c r="D363" s="977"/>
      <c r="E363" s="977"/>
      <c r="F363" s="977"/>
      <c r="G363" s="977"/>
      <c r="H363" s="977"/>
      <c r="I363" s="977"/>
      <c r="J363" s="977"/>
      <c r="K363" s="977"/>
      <c r="L363" s="977"/>
      <c r="M363" s="977"/>
      <c r="N363" s="977"/>
    </row>
    <row r="365" spans="2:14" ht="15.75" x14ac:dyDescent="0.25">
      <c r="B365" s="905" t="s">
        <v>369</v>
      </c>
      <c r="C365" s="906"/>
      <c r="D365" s="907"/>
      <c r="E365" s="907"/>
      <c r="F365" s="907"/>
      <c r="G365" s="907"/>
      <c r="H365" s="907"/>
      <c r="I365" s="907"/>
      <c r="J365" s="907"/>
      <c r="K365" s="907"/>
      <c r="L365" s="907"/>
      <c r="M365" s="907"/>
      <c r="N365" s="907"/>
    </row>
    <row r="366" spans="2:14" x14ac:dyDescent="0.25">
      <c r="B366" s="992"/>
      <c r="C366" s="977"/>
      <c r="D366" s="977"/>
      <c r="E366" s="977"/>
      <c r="F366" s="977"/>
      <c r="G366" s="977"/>
      <c r="H366" s="977"/>
      <c r="I366" s="977"/>
      <c r="J366" s="977"/>
      <c r="K366" s="977"/>
      <c r="L366" s="977"/>
      <c r="M366" s="977"/>
      <c r="N366" s="977"/>
    </row>
    <row r="367" spans="2:14" x14ac:dyDescent="0.25">
      <c r="B367" s="977"/>
      <c r="C367" s="987" t="s">
        <v>153</v>
      </c>
      <c r="D367" s="977"/>
      <c r="E367" s="977"/>
      <c r="F367" s="977"/>
      <c r="G367" s="977"/>
      <c r="H367" s="977"/>
      <c r="I367" s="977"/>
      <c r="J367" s="977"/>
      <c r="K367" s="977"/>
      <c r="L367" s="977"/>
      <c r="M367" s="977"/>
      <c r="N367" s="977"/>
    </row>
    <row r="368" spans="2:14" x14ac:dyDescent="0.25">
      <c r="B368" s="2990" t="s">
        <v>1967</v>
      </c>
      <c r="C368" s="986" t="s">
        <v>2092</v>
      </c>
      <c r="D368" s="977"/>
      <c r="E368" s="977"/>
      <c r="F368" s="977"/>
      <c r="G368" s="977"/>
      <c r="H368" s="977"/>
      <c r="I368" s="977"/>
      <c r="J368" s="977"/>
      <c r="K368" s="977"/>
      <c r="L368" s="977"/>
      <c r="M368" s="977"/>
      <c r="N368" s="977"/>
    </row>
    <row r="369" spans="2:14" ht="6.75" customHeight="1" x14ac:dyDescent="0.25">
      <c r="B369" s="977"/>
      <c r="C369" s="977"/>
      <c r="D369" s="977"/>
      <c r="E369" s="977"/>
      <c r="F369" s="977"/>
      <c r="G369" s="977"/>
      <c r="H369" s="977"/>
      <c r="I369" s="977"/>
      <c r="J369" s="977"/>
      <c r="K369" s="977"/>
      <c r="L369" s="977"/>
      <c r="M369" s="977"/>
      <c r="N369" s="977"/>
    </row>
    <row r="370" spans="2:14" ht="15" customHeight="1" x14ac:dyDescent="0.25">
      <c r="B370" s="977"/>
      <c r="C370" s="977"/>
      <c r="D370" s="977"/>
      <c r="E370" s="977"/>
      <c r="F370" s="977"/>
      <c r="G370" s="977"/>
      <c r="H370" s="977"/>
      <c r="I370" s="977"/>
      <c r="J370" s="977"/>
      <c r="K370" s="977"/>
      <c r="L370" s="2993" t="s">
        <v>577</v>
      </c>
      <c r="M370" s="2993" t="s">
        <v>190</v>
      </c>
      <c r="N370" s="977"/>
    </row>
    <row r="371" spans="2:14" x14ac:dyDescent="0.25">
      <c r="B371" s="977"/>
      <c r="C371" s="985" t="s">
        <v>153</v>
      </c>
      <c r="D371" s="985" t="s">
        <v>488</v>
      </c>
      <c r="E371" s="985" t="s">
        <v>2094</v>
      </c>
      <c r="F371" s="983">
        <v>2015</v>
      </c>
      <c r="G371" s="984">
        <v>2020</v>
      </c>
      <c r="H371" s="983">
        <v>2025</v>
      </c>
      <c r="I371" s="983">
        <v>2030</v>
      </c>
      <c r="J371" s="983">
        <v>2035</v>
      </c>
      <c r="K371" s="983">
        <v>2040</v>
      </c>
      <c r="L371" s="983">
        <v>2045</v>
      </c>
      <c r="M371" s="983">
        <v>2050</v>
      </c>
      <c r="N371" s="977"/>
    </row>
    <row r="372" spans="2:14" x14ac:dyDescent="0.25">
      <c r="B372" s="977"/>
      <c r="C372" s="991"/>
      <c r="D372" s="982" t="s">
        <v>568</v>
      </c>
      <c r="E372" s="977"/>
      <c r="F372" s="2672">
        <v>0.92405000000000004</v>
      </c>
      <c r="G372" s="2671">
        <v>0.92405000000000004</v>
      </c>
      <c r="H372" s="2672">
        <v>0.92405000000000004</v>
      </c>
      <c r="I372" s="2672">
        <v>0.92405000000000004</v>
      </c>
      <c r="J372" s="2672">
        <v>0.92405000000000004</v>
      </c>
      <c r="K372" s="2672">
        <v>0.92405000000000004</v>
      </c>
      <c r="L372" s="2672">
        <v>0.92405000000000004</v>
      </c>
      <c r="M372" s="2672">
        <v>0.92405000000000004</v>
      </c>
      <c r="N372" s="977"/>
    </row>
    <row r="373" spans="2:14" x14ac:dyDescent="0.25">
      <c r="B373" s="977"/>
      <c r="C373" s="991"/>
      <c r="D373" s="982" t="s">
        <v>567</v>
      </c>
      <c r="E373" s="977"/>
      <c r="F373" s="2672">
        <v>0.92405000000000004</v>
      </c>
      <c r="G373" s="2671">
        <v>0.92405000000000004</v>
      </c>
      <c r="H373" s="2672">
        <v>0.92405000000000004</v>
      </c>
      <c r="I373" s="2672">
        <v>0.92405000000000004</v>
      </c>
      <c r="J373" s="2672">
        <v>0.92405000000000004</v>
      </c>
      <c r="K373" s="2672">
        <v>0.92405000000000004</v>
      </c>
      <c r="L373" s="2672">
        <v>0.92405000000000004</v>
      </c>
      <c r="M373" s="2672">
        <v>0.92405000000000004</v>
      </c>
      <c r="N373" s="977"/>
    </row>
    <row r="374" spans="2:14" x14ac:dyDescent="0.25">
      <c r="B374" s="977"/>
      <c r="C374" s="991"/>
      <c r="D374" s="982" t="s">
        <v>566</v>
      </c>
      <c r="E374" s="977"/>
      <c r="F374" s="2672">
        <v>0.91084445502451161</v>
      </c>
      <c r="G374" s="2671">
        <v>0.91084445502451161</v>
      </c>
      <c r="H374" s="2672">
        <v>0.91084445502451161</v>
      </c>
      <c r="I374" s="2672">
        <v>0.91084445502451161</v>
      </c>
      <c r="J374" s="2672">
        <v>0.91084445502451161</v>
      </c>
      <c r="K374" s="2672">
        <v>0.91084445502451161</v>
      </c>
      <c r="L374" s="2672">
        <v>0.91084445502451161</v>
      </c>
      <c r="M374" s="2672">
        <v>0.91084445502451161</v>
      </c>
      <c r="N374" s="977"/>
    </row>
    <row r="375" spans="2:14" x14ac:dyDescent="0.25">
      <c r="B375" s="977"/>
      <c r="C375" s="991"/>
      <c r="D375" s="982" t="s">
        <v>565</v>
      </c>
      <c r="E375" s="977"/>
      <c r="F375" s="2672">
        <v>0.92405000000000004</v>
      </c>
      <c r="G375" s="2671">
        <v>0.92686650000000004</v>
      </c>
      <c r="H375" s="2672">
        <v>0.92686650000000004</v>
      </c>
      <c r="I375" s="2672">
        <v>0.92686650000000004</v>
      </c>
      <c r="J375" s="2672">
        <v>0.92686650000000004</v>
      </c>
      <c r="K375" s="2672">
        <v>0.92686650000000004</v>
      </c>
      <c r="L375" s="2672">
        <v>0.92686650000000004</v>
      </c>
      <c r="M375" s="2672">
        <v>0.92686650000000004</v>
      </c>
      <c r="N375" s="977"/>
    </row>
    <row r="376" spans="2:14" x14ac:dyDescent="0.25">
      <c r="B376" s="977"/>
      <c r="C376" s="991"/>
      <c r="D376" s="982" t="s">
        <v>564</v>
      </c>
      <c r="E376" s="977"/>
      <c r="F376" s="2672">
        <v>0.92609999999999992</v>
      </c>
      <c r="G376" s="2671">
        <v>0.92609999999999992</v>
      </c>
      <c r="H376" s="2672">
        <v>0.92609999999999992</v>
      </c>
      <c r="I376" s="2672">
        <v>0.92609999999999992</v>
      </c>
      <c r="J376" s="2672">
        <v>0.92609999999999992</v>
      </c>
      <c r="K376" s="2672">
        <v>0.92609999999999992</v>
      </c>
      <c r="L376" s="2672">
        <v>0.92609999999999992</v>
      </c>
      <c r="M376" s="2672">
        <v>0.92609999999999992</v>
      </c>
      <c r="N376" s="977"/>
    </row>
    <row r="377" spans="2:14" x14ac:dyDescent="0.25">
      <c r="B377" s="977"/>
      <c r="C377" s="991"/>
      <c r="D377" s="982" t="s">
        <v>563</v>
      </c>
      <c r="E377" s="977"/>
      <c r="F377" s="2672">
        <v>0.83350000000000002</v>
      </c>
      <c r="G377" s="2671">
        <v>0.83350000000000002</v>
      </c>
      <c r="H377" s="2672">
        <v>0.83350000000000002</v>
      </c>
      <c r="I377" s="2672">
        <v>0.83350000000000002</v>
      </c>
      <c r="J377" s="2672">
        <v>0.83350000000000002</v>
      </c>
      <c r="K377" s="2672">
        <v>0.83350000000000002</v>
      </c>
      <c r="L377" s="2672">
        <v>0.83350000000000002</v>
      </c>
      <c r="M377" s="2672">
        <v>0.83350000000000002</v>
      </c>
      <c r="N377" s="977"/>
    </row>
    <row r="378" spans="2:14" x14ac:dyDescent="0.25">
      <c r="B378" s="977"/>
      <c r="C378" s="991"/>
      <c r="D378" s="982" t="s">
        <v>562</v>
      </c>
      <c r="E378" s="977"/>
      <c r="F378" s="2672">
        <v>0.92405000000000004</v>
      </c>
      <c r="G378" s="2671">
        <v>0.92405000000000004</v>
      </c>
      <c r="H378" s="2672">
        <v>0.92405000000000004</v>
      </c>
      <c r="I378" s="2672">
        <v>0.92405000000000004</v>
      </c>
      <c r="J378" s="2672">
        <v>0.92405000000000004</v>
      </c>
      <c r="K378" s="2672">
        <v>0.92405000000000004</v>
      </c>
      <c r="L378" s="2672">
        <v>0.92405000000000004</v>
      </c>
      <c r="M378" s="2672">
        <v>0.92405000000000004</v>
      </c>
      <c r="N378" s="977"/>
    </row>
    <row r="379" spans="2:14" x14ac:dyDescent="0.25">
      <c r="B379" s="977"/>
      <c r="C379" s="991"/>
      <c r="D379" s="982" t="s">
        <v>561</v>
      </c>
      <c r="E379" s="977"/>
      <c r="F379" s="2672">
        <v>0.92405000000000004</v>
      </c>
      <c r="G379" s="2671">
        <v>0.92405000000000004</v>
      </c>
      <c r="H379" s="2672">
        <v>0.92405000000000004</v>
      </c>
      <c r="I379" s="2672">
        <v>0.92405000000000004</v>
      </c>
      <c r="J379" s="2672">
        <v>0.92405000000000004</v>
      </c>
      <c r="K379" s="2672">
        <v>0.92405000000000004</v>
      </c>
      <c r="L379" s="2672">
        <v>0.92405000000000004</v>
      </c>
      <c r="M379" s="2672">
        <v>0.92405000000000004</v>
      </c>
      <c r="N379" s="977"/>
    </row>
    <row r="380" spans="2:14" x14ac:dyDescent="0.25">
      <c r="B380" s="977"/>
      <c r="C380" s="991"/>
      <c r="D380" s="982" t="s">
        <v>560</v>
      </c>
      <c r="E380" s="977"/>
      <c r="F380" s="2672">
        <v>0.92405000000000004</v>
      </c>
      <c r="G380" s="2671">
        <v>0.92405000000000004</v>
      </c>
      <c r="H380" s="2672">
        <v>0.92405000000000004</v>
      </c>
      <c r="I380" s="2672">
        <v>0.92405000000000004</v>
      </c>
      <c r="J380" s="2672">
        <v>0.92405000000000004</v>
      </c>
      <c r="K380" s="2672">
        <v>0.92405000000000004</v>
      </c>
      <c r="L380" s="2672">
        <v>0.92405000000000004</v>
      </c>
      <c r="M380" s="2672">
        <v>0.92405000000000004</v>
      </c>
      <c r="N380" s="977"/>
    </row>
    <row r="381" spans="2:14" x14ac:dyDescent="0.25">
      <c r="B381" s="977"/>
      <c r="C381" s="991"/>
      <c r="D381" s="982" t="s">
        <v>559</v>
      </c>
      <c r="E381" s="977"/>
      <c r="F381" s="2672">
        <v>0.92405000000000004</v>
      </c>
      <c r="G381" s="2671">
        <v>0.92405000000000004</v>
      </c>
      <c r="H381" s="2672">
        <v>0.92405000000000004</v>
      </c>
      <c r="I381" s="2672">
        <v>0.92405000000000004</v>
      </c>
      <c r="J381" s="2672">
        <v>0.92405000000000004</v>
      </c>
      <c r="K381" s="2672">
        <v>0.92405000000000004</v>
      </c>
      <c r="L381" s="2672">
        <v>0.92405000000000004</v>
      </c>
      <c r="M381" s="2672">
        <v>0.92405000000000004</v>
      </c>
      <c r="N381" s="977"/>
    </row>
    <row r="382" spans="2:14" x14ac:dyDescent="0.25">
      <c r="B382" s="977"/>
      <c r="C382" s="988"/>
      <c r="D382" s="979" t="s">
        <v>558</v>
      </c>
      <c r="E382" s="980"/>
      <c r="F382" s="3002">
        <v>0.92405000000000004</v>
      </c>
      <c r="G382" s="3028">
        <v>0.92405000000000004</v>
      </c>
      <c r="H382" s="3002">
        <v>0.92405000000000004</v>
      </c>
      <c r="I382" s="3002">
        <v>0.92405000000000004</v>
      </c>
      <c r="J382" s="3002">
        <v>0.92405000000000004</v>
      </c>
      <c r="K382" s="3002">
        <v>0.92405000000000004</v>
      </c>
      <c r="L382" s="3002">
        <v>0.92405000000000004</v>
      </c>
      <c r="M382" s="3002">
        <v>0.92405000000000004</v>
      </c>
      <c r="N382" s="977"/>
    </row>
    <row r="383" spans="2:14" ht="4.5" customHeight="1" x14ac:dyDescent="0.25">
      <c r="B383" s="977"/>
      <c r="C383" s="977"/>
      <c r="D383" s="977"/>
      <c r="E383" s="977"/>
      <c r="F383" s="977"/>
      <c r="G383" s="977"/>
      <c r="H383" s="977"/>
      <c r="I383" s="977"/>
      <c r="J383" s="977"/>
      <c r="K383" s="977"/>
      <c r="L383" s="977"/>
      <c r="M383" s="977"/>
      <c r="N383" s="977"/>
    </row>
    <row r="384" spans="2:14" x14ac:dyDescent="0.25">
      <c r="B384" s="977"/>
      <c r="C384" s="2897" t="s">
        <v>8</v>
      </c>
      <c r="D384" s="791"/>
      <c r="E384" s="977"/>
      <c r="F384" s="977"/>
      <c r="G384" s="977"/>
      <c r="H384" s="977"/>
      <c r="I384" s="977"/>
      <c r="J384" s="977"/>
      <c r="K384" s="977"/>
      <c r="L384" s="977"/>
      <c r="M384" s="977"/>
      <c r="N384" s="977"/>
    </row>
    <row r="385" spans="2:14" x14ac:dyDescent="0.25">
      <c r="B385" s="977"/>
      <c r="C385" s="2991" t="s">
        <v>133</v>
      </c>
      <c r="D385" s="2992" t="s">
        <v>2093</v>
      </c>
      <c r="E385" s="977"/>
      <c r="F385" s="977"/>
      <c r="G385" s="977"/>
      <c r="H385" s="977"/>
      <c r="I385" s="977"/>
      <c r="J385" s="977"/>
      <c r="K385" s="977"/>
      <c r="L385" s="977"/>
      <c r="M385" s="977"/>
      <c r="N385" s="977"/>
    </row>
    <row r="386" spans="2:14" x14ac:dyDescent="0.25">
      <c r="B386" s="977"/>
      <c r="C386" s="800"/>
      <c r="D386" s="2896" t="s">
        <v>1981</v>
      </c>
      <c r="E386" s="977"/>
      <c r="F386" s="977"/>
      <c r="G386" s="977"/>
      <c r="H386" s="977"/>
      <c r="I386" s="977"/>
      <c r="J386" s="977"/>
      <c r="K386" s="977"/>
      <c r="L386" s="977"/>
      <c r="M386" s="977"/>
      <c r="N386" s="977"/>
    </row>
    <row r="387" spans="2:14" x14ac:dyDescent="0.25">
      <c r="B387" s="977"/>
      <c r="C387" s="987"/>
      <c r="D387" s="977"/>
      <c r="E387" s="977"/>
      <c r="F387" s="977"/>
      <c r="G387" s="977"/>
      <c r="H387" s="977"/>
      <c r="I387" s="977"/>
      <c r="J387" s="977"/>
      <c r="K387" s="977"/>
      <c r="L387" s="977"/>
      <c r="M387" s="977"/>
      <c r="N387" s="977"/>
    </row>
    <row r="388" spans="2:14" x14ac:dyDescent="0.25">
      <c r="B388" s="2990" t="s">
        <v>1968</v>
      </c>
      <c r="C388" s="986" t="s">
        <v>1909</v>
      </c>
      <c r="D388" s="977"/>
      <c r="E388" s="977"/>
      <c r="F388" s="977"/>
      <c r="G388" s="977"/>
      <c r="H388" s="977"/>
      <c r="I388" s="977"/>
      <c r="J388" s="977"/>
      <c r="K388" s="977"/>
      <c r="L388" s="977"/>
      <c r="M388" s="977"/>
      <c r="N388" s="977"/>
    </row>
    <row r="389" spans="2:14" x14ac:dyDescent="0.25">
      <c r="B389" s="977"/>
      <c r="C389" s="2737" t="s">
        <v>1908</v>
      </c>
      <c r="D389" s="2736"/>
      <c r="E389" s="2740"/>
      <c r="F389" s="1000"/>
      <c r="G389" s="977"/>
      <c r="H389" s="977"/>
      <c r="I389" s="977"/>
      <c r="J389" s="977"/>
      <c r="K389" s="1002"/>
      <c r="L389" s="3030" t="s">
        <v>2123</v>
      </c>
      <c r="M389" s="982" t="s">
        <v>190</v>
      </c>
      <c r="N389" s="977"/>
    </row>
    <row r="390" spans="2:14" ht="3" customHeight="1" x14ac:dyDescent="0.25">
      <c r="B390" s="977"/>
      <c r="C390" s="977"/>
      <c r="D390" s="2736"/>
      <c r="E390" s="2740"/>
      <c r="F390" s="1000"/>
      <c r="G390" s="977"/>
      <c r="H390" s="977"/>
      <c r="I390" s="977"/>
      <c r="J390" s="977"/>
      <c r="K390" s="1002"/>
      <c r="L390" s="2739"/>
      <c r="M390" s="982"/>
      <c r="N390" s="977"/>
    </row>
    <row r="391" spans="2:14" x14ac:dyDescent="0.25">
      <c r="B391" s="977"/>
      <c r="C391" s="985" t="s">
        <v>3</v>
      </c>
      <c r="D391" s="999" t="s">
        <v>488</v>
      </c>
      <c r="E391" s="983" t="s">
        <v>2096</v>
      </c>
      <c r="F391" s="983">
        <v>2015</v>
      </c>
      <c r="G391" s="984">
        <v>2020</v>
      </c>
      <c r="H391" s="983">
        <v>2025</v>
      </c>
      <c r="I391" s="983">
        <v>2030</v>
      </c>
      <c r="J391" s="983">
        <v>2035</v>
      </c>
      <c r="K391" s="983">
        <v>2040</v>
      </c>
      <c r="L391" s="983">
        <v>2045</v>
      </c>
      <c r="M391" s="983">
        <v>2050</v>
      </c>
      <c r="N391" s="977"/>
    </row>
    <row r="392" spans="2:14" x14ac:dyDescent="0.25">
      <c r="B392" s="977"/>
      <c r="C392" s="977">
        <v>1</v>
      </c>
      <c r="D392" s="982" t="s">
        <v>562</v>
      </c>
      <c r="E392" s="2740"/>
      <c r="F392" s="2672">
        <f t="shared" ref="F392:M395" si="3">$E$353*F92+$E$354*F96+$E$355*F100+$E$356*F104+$E$357*F108</f>
        <v>0.81238123661105077</v>
      </c>
      <c r="G392" s="2671">
        <f t="shared" si="3"/>
        <v>0.81238123661105077</v>
      </c>
      <c r="H392" s="2672">
        <f t="shared" si="3"/>
        <v>0.81238123661105077</v>
      </c>
      <c r="I392" s="2672">
        <f t="shared" si="3"/>
        <v>0.81238123661105077</v>
      </c>
      <c r="J392" s="2672">
        <f t="shared" si="3"/>
        <v>0.81238123661105077</v>
      </c>
      <c r="K392" s="2672">
        <f t="shared" si="3"/>
        <v>0.81238123661105077</v>
      </c>
      <c r="L392" s="2672">
        <f t="shared" si="3"/>
        <v>0.81238123661105077</v>
      </c>
      <c r="M392" s="2672">
        <f t="shared" si="3"/>
        <v>0.81238123661105077</v>
      </c>
      <c r="N392" s="977"/>
    </row>
    <row r="393" spans="2:14" x14ac:dyDescent="0.25">
      <c r="B393" s="977"/>
      <c r="C393" s="977">
        <v>2</v>
      </c>
      <c r="D393" s="982" t="s">
        <v>562</v>
      </c>
      <c r="E393" s="2740"/>
      <c r="F393" s="2672">
        <f t="shared" si="3"/>
        <v>0.81238123661105077</v>
      </c>
      <c r="G393" s="2671">
        <f t="shared" si="3"/>
        <v>0.81437997898047643</v>
      </c>
      <c r="H393" s="2672">
        <f t="shared" si="3"/>
        <v>0.81766247424721572</v>
      </c>
      <c r="I393" s="2672">
        <f t="shared" si="3"/>
        <v>0.82338071987273587</v>
      </c>
      <c r="J393" s="2672">
        <f t="shared" si="3"/>
        <v>0.82911670872839682</v>
      </c>
      <c r="K393" s="2672">
        <f t="shared" si="3"/>
        <v>0.8324254998051287</v>
      </c>
      <c r="L393" s="2672">
        <f t="shared" si="3"/>
        <v>0.83376373700955986</v>
      </c>
      <c r="M393" s="2672">
        <f t="shared" si="3"/>
        <v>0.83422539629930603</v>
      </c>
      <c r="N393" s="977"/>
    </row>
    <row r="394" spans="2:14" x14ac:dyDescent="0.25">
      <c r="B394" s="977"/>
      <c r="C394" s="977">
        <v>3</v>
      </c>
      <c r="D394" s="982" t="s">
        <v>562</v>
      </c>
      <c r="E394" s="2740"/>
      <c r="F394" s="2672">
        <f t="shared" si="3"/>
        <v>0.81238123661105077</v>
      </c>
      <c r="G394" s="2671">
        <f t="shared" si="3"/>
        <v>0.81637872134990208</v>
      </c>
      <c r="H394" s="2672">
        <f t="shared" si="3"/>
        <v>0.82294371188338067</v>
      </c>
      <c r="I394" s="2672">
        <f t="shared" si="3"/>
        <v>0.83438020313442074</v>
      </c>
      <c r="J394" s="2672">
        <f t="shared" si="3"/>
        <v>0.8458521808457431</v>
      </c>
      <c r="K394" s="2672">
        <f t="shared" si="3"/>
        <v>0.85246976299920652</v>
      </c>
      <c r="L394" s="2672">
        <f t="shared" si="3"/>
        <v>0.85514623740806917</v>
      </c>
      <c r="M394" s="2672">
        <f t="shared" si="3"/>
        <v>0.8560695559875614</v>
      </c>
      <c r="N394" s="977"/>
    </row>
    <row r="395" spans="2:14" x14ac:dyDescent="0.25">
      <c r="B395" s="977"/>
      <c r="C395" s="980">
        <v>4</v>
      </c>
      <c r="D395" s="979" t="s">
        <v>562</v>
      </c>
      <c r="E395" s="2743"/>
      <c r="F395" s="3002">
        <f t="shared" si="3"/>
        <v>0.81238123661105077</v>
      </c>
      <c r="G395" s="3028">
        <f t="shared" si="3"/>
        <v>0.81904371117580288</v>
      </c>
      <c r="H395" s="3002">
        <f t="shared" si="3"/>
        <v>0.8299853620649339</v>
      </c>
      <c r="I395" s="3002">
        <f t="shared" si="3"/>
        <v>0.84904618081666738</v>
      </c>
      <c r="J395" s="3002">
        <f t="shared" si="3"/>
        <v>0.86816614366887113</v>
      </c>
      <c r="K395" s="3002">
        <f t="shared" si="3"/>
        <v>0.87919544725797716</v>
      </c>
      <c r="L395" s="3002">
        <f t="shared" si="3"/>
        <v>0.88365623793941483</v>
      </c>
      <c r="M395" s="3002">
        <f t="shared" si="3"/>
        <v>0.88519510223856845</v>
      </c>
      <c r="N395" s="977"/>
    </row>
    <row r="396" spans="2:14" ht="4.5" customHeight="1" x14ac:dyDescent="0.25">
      <c r="B396" s="977"/>
      <c r="C396" s="987"/>
      <c r="D396" s="977"/>
      <c r="E396" s="977"/>
      <c r="F396" s="977"/>
      <c r="G396" s="977"/>
      <c r="H396" s="977"/>
      <c r="I396" s="977"/>
      <c r="J396" s="977"/>
      <c r="K396" s="977"/>
      <c r="L396" s="977"/>
      <c r="M396" s="977"/>
      <c r="N396" s="977"/>
    </row>
    <row r="397" spans="2:14" x14ac:dyDescent="0.25">
      <c r="B397" s="977"/>
      <c r="C397" s="2897" t="s">
        <v>8</v>
      </c>
      <c r="D397" s="791"/>
      <c r="E397" s="977"/>
      <c r="F397" s="977"/>
      <c r="G397" s="977"/>
      <c r="H397" s="977"/>
      <c r="I397" s="977"/>
      <c r="J397" s="977"/>
      <c r="K397" s="977"/>
      <c r="L397" s="977"/>
      <c r="M397" s="977"/>
      <c r="N397" s="977"/>
    </row>
    <row r="398" spans="2:14" x14ac:dyDescent="0.25">
      <c r="B398" s="977"/>
      <c r="C398" s="2991" t="s">
        <v>136</v>
      </c>
      <c r="D398" s="2992" t="s">
        <v>2101</v>
      </c>
      <c r="E398" s="977"/>
      <c r="F398" s="977"/>
      <c r="G398" s="977"/>
      <c r="H398" s="977"/>
      <c r="I398" s="977"/>
      <c r="J398" s="977"/>
      <c r="K398" s="977"/>
      <c r="L398" s="977"/>
      <c r="M398" s="977"/>
      <c r="N398" s="977"/>
    </row>
    <row r="399" spans="2:14" x14ac:dyDescent="0.25">
      <c r="B399" s="977"/>
      <c r="C399" s="800"/>
      <c r="D399" s="2896" t="s">
        <v>1981</v>
      </c>
      <c r="E399" s="977"/>
      <c r="F399" s="977"/>
      <c r="G399" s="977"/>
      <c r="H399" s="977"/>
      <c r="I399" s="977"/>
      <c r="J399" s="977"/>
      <c r="K399" s="977"/>
      <c r="L399" s="977"/>
      <c r="M399" s="977"/>
      <c r="N399" s="977"/>
    </row>
    <row r="400" spans="2:14" x14ac:dyDescent="0.25">
      <c r="B400" s="977"/>
      <c r="C400" s="800"/>
      <c r="D400" s="2896"/>
      <c r="E400" s="977"/>
      <c r="F400" s="977"/>
      <c r="G400" s="977"/>
      <c r="H400" s="977"/>
      <c r="I400" s="977"/>
      <c r="J400" s="977"/>
      <c r="K400" s="977"/>
      <c r="L400" s="977"/>
      <c r="M400" s="977"/>
      <c r="N400" s="977"/>
    </row>
    <row r="401" spans="2:14" x14ac:dyDescent="0.25">
      <c r="B401" s="2990"/>
      <c r="C401" s="987" t="s">
        <v>153</v>
      </c>
      <c r="D401" s="977"/>
      <c r="E401" s="977"/>
      <c r="F401" s="977"/>
      <c r="G401" s="977"/>
      <c r="H401" s="977"/>
      <c r="I401" s="977"/>
      <c r="J401" s="977"/>
      <c r="K401" s="977"/>
      <c r="L401" s="3011" t="s">
        <v>2105</v>
      </c>
      <c r="M401" s="3011" t="s">
        <v>190</v>
      </c>
      <c r="N401" s="982"/>
    </row>
    <row r="402" spans="2:14" ht="4.5" customHeight="1" x14ac:dyDescent="0.25">
      <c r="B402" s="977"/>
      <c r="C402" s="977"/>
      <c r="D402" s="977"/>
      <c r="E402" s="977"/>
      <c r="F402" s="977"/>
      <c r="G402" s="977"/>
      <c r="H402" s="977"/>
      <c r="I402" s="977"/>
      <c r="J402" s="977"/>
      <c r="K402" s="977"/>
      <c r="L402" s="977"/>
      <c r="M402" s="977"/>
      <c r="N402" s="977"/>
    </row>
    <row r="403" spans="2:14" x14ac:dyDescent="0.25">
      <c r="B403" s="977"/>
      <c r="C403" s="985" t="s">
        <v>153</v>
      </c>
      <c r="D403" s="985" t="s">
        <v>488</v>
      </c>
      <c r="E403" s="985" t="s">
        <v>2102</v>
      </c>
      <c r="F403" s="983">
        <v>2015</v>
      </c>
      <c r="G403" s="984">
        <v>2020</v>
      </c>
      <c r="H403" s="983">
        <v>2025</v>
      </c>
      <c r="I403" s="983">
        <v>2030</v>
      </c>
      <c r="J403" s="983">
        <v>2035</v>
      </c>
      <c r="K403" s="983">
        <v>2040</v>
      </c>
      <c r="L403" s="983">
        <v>2045</v>
      </c>
      <c r="M403" s="983">
        <v>2050</v>
      </c>
      <c r="N403" s="977"/>
    </row>
    <row r="404" spans="2:14" x14ac:dyDescent="0.25">
      <c r="B404" s="977"/>
      <c r="C404" s="991"/>
      <c r="D404" s="982" t="s">
        <v>568</v>
      </c>
      <c r="E404" s="977"/>
      <c r="F404" s="3029">
        <f t="shared" ref="F404:M404" si="4">(INDEX(F$120:F$123,ROUNDDOWN($E$8,0))*(1-MOD($E$8,1)))+(INDEX(F$120:F$123,ROUNDUP($E$8,0))*MOD($E$8,1))</f>
        <v>0</v>
      </c>
      <c r="G404" s="2671">
        <f t="shared" si="4"/>
        <v>0</v>
      </c>
      <c r="H404" s="2672">
        <f t="shared" si="4"/>
        <v>0</v>
      </c>
      <c r="I404" s="2672">
        <f t="shared" si="4"/>
        <v>0</v>
      </c>
      <c r="J404" s="2672">
        <f t="shared" si="4"/>
        <v>0</v>
      </c>
      <c r="K404" s="2672">
        <f t="shared" si="4"/>
        <v>0</v>
      </c>
      <c r="L404" s="2672">
        <f t="shared" si="4"/>
        <v>0</v>
      </c>
      <c r="M404" s="2672">
        <f t="shared" si="4"/>
        <v>0</v>
      </c>
      <c r="N404" s="977"/>
    </row>
    <row r="405" spans="2:14" x14ac:dyDescent="0.25">
      <c r="B405" s="977"/>
      <c r="C405" s="991"/>
      <c r="D405" s="982" t="s">
        <v>567</v>
      </c>
      <c r="E405" s="977"/>
      <c r="F405" s="2672">
        <f t="shared" ref="F405:M405" si="5">(INDEX(F$124:F$127,ROUNDDOWN($E$8,0))*(1-MOD($E$8,1)))+(INDEX(F$124:F$127,ROUNDUP($E$8,0))*MOD($E$8,1))</f>
        <v>0</v>
      </c>
      <c r="G405" s="2671">
        <f t="shared" si="5"/>
        <v>0</v>
      </c>
      <c r="H405" s="2672">
        <f t="shared" si="5"/>
        <v>0</v>
      </c>
      <c r="I405" s="2672">
        <f t="shared" si="5"/>
        <v>0</v>
      </c>
      <c r="J405" s="2672">
        <f t="shared" si="5"/>
        <v>0</v>
      </c>
      <c r="K405" s="2672">
        <f t="shared" si="5"/>
        <v>0</v>
      </c>
      <c r="L405" s="2672">
        <f t="shared" si="5"/>
        <v>0</v>
      </c>
      <c r="M405" s="2672">
        <f t="shared" si="5"/>
        <v>0</v>
      </c>
      <c r="N405" s="977"/>
    </row>
    <row r="406" spans="2:14" x14ac:dyDescent="0.25">
      <c r="B406" s="977"/>
      <c r="C406" s="991"/>
      <c r="D406" s="982" t="s">
        <v>566</v>
      </c>
      <c r="E406" s="977"/>
      <c r="F406" s="2672">
        <f t="shared" ref="F406:M406" si="6">(INDEX(F$128:F$131,ROUNDDOWN($E$8,0))*(1-MOD($E$8,1)))+(INDEX(F$128:F$131,ROUNDUP($E$8,0))*MOD($E$8,1))</f>
        <v>0</v>
      </c>
      <c r="G406" s="2671">
        <f t="shared" si="6"/>
        <v>0</v>
      </c>
      <c r="H406" s="2672">
        <f t="shared" si="6"/>
        <v>0</v>
      </c>
      <c r="I406" s="2672">
        <f t="shared" si="6"/>
        <v>0</v>
      </c>
      <c r="J406" s="2672">
        <f t="shared" si="6"/>
        <v>0</v>
      </c>
      <c r="K406" s="2672">
        <f t="shared" si="6"/>
        <v>0</v>
      </c>
      <c r="L406" s="2672">
        <f t="shared" si="6"/>
        <v>0</v>
      </c>
      <c r="M406" s="2672">
        <f t="shared" si="6"/>
        <v>0</v>
      </c>
      <c r="N406" s="977"/>
    </row>
    <row r="407" spans="2:14" x14ac:dyDescent="0.25">
      <c r="B407" s="977"/>
      <c r="C407" s="991"/>
      <c r="D407" s="982" t="s">
        <v>565</v>
      </c>
      <c r="E407" s="977"/>
      <c r="F407" s="2672">
        <f t="shared" ref="F407:M407" si="7">(INDEX(F$132:F$135,ROUNDDOWN($E$8,0))*(1-MOD($E$8,1)))+(INDEX(F$132:F$135,ROUNDUP($E$8,0))*MOD($E$8,1))</f>
        <v>0</v>
      </c>
      <c r="G407" s="2671">
        <f t="shared" si="7"/>
        <v>0</v>
      </c>
      <c r="H407" s="2672">
        <f t="shared" si="7"/>
        <v>0</v>
      </c>
      <c r="I407" s="2672">
        <f t="shared" si="7"/>
        <v>0</v>
      </c>
      <c r="J407" s="2672">
        <f t="shared" si="7"/>
        <v>0</v>
      </c>
      <c r="K407" s="2672">
        <f t="shared" si="7"/>
        <v>0</v>
      </c>
      <c r="L407" s="2672">
        <f t="shared" si="7"/>
        <v>0</v>
      </c>
      <c r="M407" s="2672">
        <f t="shared" si="7"/>
        <v>0</v>
      </c>
      <c r="N407" s="977"/>
    </row>
    <row r="408" spans="2:14" x14ac:dyDescent="0.25">
      <c r="B408" s="977"/>
      <c r="C408" s="991"/>
      <c r="D408" s="982" t="s">
        <v>564</v>
      </c>
      <c r="E408" s="977"/>
      <c r="F408" s="2672">
        <f t="shared" ref="F408:M408" si="8">(INDEX(F$136:F$139,ROUNDDOWN($E$8,0))*(1-MOD($E$8,1)))+(INDEX(F$136:F$139,ROUNDUP($E$8,0))*MOD($E$8,1))</f>
        <v>0</v>
      </c>
      <c r="G408" s="2671">
        <f>(INDEX(G$136:G$139,ROUNDDOWN($E$8,0))*(1-MOD($E$8,1)))+(INDEX(G$136:G$139,ROUNDUP($E$8,0))*MOD($E$8,1))</f>
        <v>0</v>
      </c>
      <c r="H408" s="2672">
        <f t="shared" si="8"/>
        <v>0</v>
      </c>
      <c r="I408" s="2672">
        <f t="shared" si="8"/>
        <v>0</v>
      </c>
      <c r="J408" s="2672">
        <f t="shared" si="8"/>
        <v>0</v>
      </c>
      <c r="K408" s="2672">
        <f t="shared" si="8"/>
        <v>0</v>
      </c>
      <c r="L408" s="2672">
        <f t="shared" si="8"/>
        <v>0</v>
      </c>
      <c r="M408" s="2672">
        <f t="shared" si="8"/>
        <v>0</v>
      </c>
      <c r="N408" s="977"/>
    </row>
    <row r="409" spans="2:14" x14ac:dyDescent="0.25">
      <c r="B409" s="977"/>
      <c r="C409" s="991"/>
      <c r="D409" s="982" t="s">
        <v>563</v>
      </c>
      <c r="E409" s="977"/>
      <c r="F409" s="2672">
        <f t="shared" ref="F409:M409" si="9">(INDEX(F$140:F$143,ROUNDDOWN($E$8,0))*(1-MOD($E$8,1)))+(INDEX(F$140:F$143,ROUNDUP($E$8,0))*MOD($E$8,1))</f>
        <v>0</v>
      </c>
      <c r="G409" s="2671">
        <f t="shared" si="9"/>
        <v>0</v>
      </c>
      <c r="H409" s="2672">
        <f t="shared" si="9"/>
        <v>0</v>
      </c>
      <c r="I409" s="2672">
        <f t="shared" si="9"/>
        <v>0</v>
      </c>
      <c r="J409" s="2672">
        <f t="shared" si="9"/>
        <v>0</v>
      </c>
      <c r="K409" s="2672">
        <f t="shared" si="9"/>
        <v>0</v>
      </c>
      <c r="L409" s="2672">
        <f t="shared" si="9"/>
        <v>0</v>
      </c>
      <c r="M409" s="2672">
        <f t="shared" si="9"/>
        <v>0</v>
      </c>
      <c r="N409" s="977"/>
    </row>
    <row r="410" spans="2:14" x14ac:dyDescent="0.25">
      <c r="B410" s="977"/>
      <c r="C410" s="991"/>
      <c r="D410" s="982" t="s">
        <v>562</v>
      </c>
      <c r="E410" s="977"/>
      <c r="F410" s="2672">
        <f t="shared" ref="F410:M410" si="10">(INDEX(F$144:F$147,ROUNDDOWN($E$8,0))*(1-MOD($E$8,1)))+(INDEX(F$144:F$147,ROUNDUP($E$8,0))*MOD($E$8,1))</f>
        <v>0</v>
      </c>
      <c r="G410" s="2671">
        <f t="shared" si="10"/>
        <v>0</v>
      </c>
      <c r="H410" s="2672">
        <f t="shared" si="10"/>
        <v>0</v>
      </c>
      <c r="I410" s="2672">
        <f t="shared" si="10"/>
        <v>0</v>
      </c>
      <c r="J410" s="2672">
        <f t="shared" si="10"/>
        <v>0</v>
      </c>
      <c r="K410" s="2672">
        <f t="shared" si="10"/>
        <v>0</v>
      </c>
      <c r="L410" s="2672">
        <f t="shared" si="10"/>
        <v>0</v>
      </c>
      <c r="M410" s="2672">
        <f t="shared" si="10"/>
        <v>0</v>
      </c>
      <c r="N410" s="977"/>
    </row>
    <row r="411" spans="2:14" x14ac:dyDescent="0.25">
      <c r="B411" s="977"/>
      <c r="C411" s="991"/>
      <c r="D411" s="982" t="s">
        <v>561</v>
      </c>
      <c r="E411" s="977"/>
      <c r="F411" s="2672">
        <f t="shared" ref="F411:M411" si="11">(INDEX(F$148:F$151,ROUNDDOWN($E$8,0))*(1-MOD($E$8,1)))+(INDEX(F$148:F$151,ROUNDUP($E$8,0))*MOD($E$8,1))</f>
        <v>0</v>
      </c>
      <c r="G411" s="2671">
        <f t="shared" si="11"/>
        <v>0</v>
      </c>
      <c r="H411" s="2672">
        <f t="shared" si="11"/>
        <v>0</v>
      </c>
      <c r="I411" s="2672">
        <f t="shared" si="11"/>
        <v>0</v>
      </c>
      <c r="J411" s="2672">
        <f t="shared" si="11"/>
        <v>0</v>
      </c>
      <c r="K411" s="2672">
        <f t="shared" si="11"/>
        <v>0</v>
      </c>
      <c r="L411" s="2672">
        <f t="shared" si="11"/>
        <v>0</v>
      </c>
      <c r="M411" s="2672">
        <f t="shared" si="11"/>
        <v>0</v>
      </c>
      <c r="N411" s="977"/>
    </row>
    <row r="412" spans="2:14" x14ac:dyDescent="0.25">
      <c r="B412" s="977"/>
      <c r="C412" s="991"/>
      <c r="D412" s="982" t="s">
        <v>560</v>
      </c>
      <c r="E412" s="977"/>
      <c r="F412" s="2672">
        <f t="shared" ref="F412:M412" si="12">(INDEX(F$152:F$155,ROUNDDOWN($E$8,0))*(1-MOD($E$8,1)))+(INDEX(F$152:F$155,ROUNDUP($E$8,0))*MOD($E$8,1))</f>
        <v>0</v>
      </c>
      <c r="G412" s="2671">
        <f t="shared" si="12"/>
        <v>0</v>
      </c>
      <c r="H412" s="2672">
        <f t="shared" si="12"/>
        <v>0</v>
      </c>
      <c r="I412" s="2672">
        <f t="shared" si="12"/>
        <v>0</v>
      </c>
      <c r="J412" s="2672">
        <f t="shared" si="12"/>
        <v>0</v>
      </c>
      <c r="K412" s="2672">
        <f t="shared" si="12"/>
        <v>0</v>
      </c>
      <c r="L412" s="2672">
        <f t="shared" si="12"/>
        <v>0</v>
      </c>
      <c r="M412" s="2672">
        <f t="shared" si="12"/>
        <v>0</v>
      </c>
      <c r="N412" s="977"/>
    </row>
    <row r="413" spans="2:14" x14ac:dyDescent="0.25">
      <c r="B413" s="977"/>
      <c r="C413" s="991"/>
      <c r="D413" s="982" t="s">
        <v>559</v>
      </c>
      <c r="E413" s="977"/>
      <c r="F413" s="2672">
        <f t="shared" ref="F413:M413" si="13">(INDEX(F$156:F$159,ROUNDDOWN($E$8,0))*(1-MOD($E$8,1)))+(INDEX(F$156:F$159,ROUNDUP($E$8,0))*MOD($E$8,1))</f>
        <v>0</v>
      </c>
      <c r="G413" s="2671">
        <f t="shared" si="13"/>
        <v>0</v>
      </c>
      <c r="H413" s="2672">
        <f t="shared" si="13"/>
        <v>0</v>
      </c>
      <c r="I413" s="2672">
        <f t="shared" si="13"/>
        <v>0</v>
      </c>
      <c r="J413" s="2672">
        <f t="shared" si="13"/>
        <v>0</v>
      </c>
      <c r="K413" s="2672">
        <f t="shared" si="13"/>
        <v>0</v>
      </c>
      <c r="L413" s="2672">
        <f t="shared" si="13"/>
        <v>0</v>
      </c>
      <c r="M413" s="2672">
        <f t="shared" si="13"/>
        <v>0</v>
      </c>
      <c r="N413" s="977"/>
    </row>
    <row r="414" spans="2:14" x14ac:dyDescent="0.25">
      <c r="B414" s="977"/>
      <c r="C414" s="988"/>
      <c r="D414" s="979" t="s">
        <v>558</v>
      </c>
      <c r="E414" s="980"/>
      <c r="F414" s="3002">
        <f t="shared" ref="F414:M414" si="14">(INDEX(F$160:F$163,ROUNDDOWN($E$8,0))*(1-MOD($E$8,1)))+(INDEX(F$160:F$163,ROUNDUP($E$8,0))*MOD($E$8,1))</f>
        <v>0</v>
      </c>
      <c r="G414" s="3028">
        <f t="shared" si="14"/>
        <v>0</v>
      </c>
      <c r="H414" s="3002">
        <f t="shared" si="14"/>
        <v>0</v>
      </c>
      <c r="I414" s="3002">
        <f t="shared" si="14"/>
        <v>0</v>
      </c>
      <c r="J414" s="3002">
        <f t="shared" si="14"/>
        <v>0</v>
      </c>
      <c r="K414" s="3002">
        <f t="shared" si="14"/>
        <v>0</v>
      </c>
      <c r="L414" s="3002">
        <f t="shared" si="14"/>
        <v>0</v>
      </c>
      <c r="M414" s="3002">
        <f t="shared" si="14"/>
        <v>0</v>
      </c>
      <c r="N414" s="977"/>
    </row>
    <row r="415" spans="2:14" ht="3.75" customHeight="1" x14ac:dyDescent="0.25">
      <c r="B415" s="977"/>
      <c r="C415" s="977"/>
      <c r="D415" s="977"/>
      <c r="E415" s="977"/>
      <c r="F415" s="977"/>
      <c r="G415" s="977"/>
      <c r="H415" s="977"/>
      <c r="I415" s="977"/>
      <c r="J415" s="977"/>
      <c r="K415" s="977"/>
      <c r="L415" s="977"/>
      <c r="M415" s="977"/>
      <c r="N415" s="977"/>
    </row>
    <row r="416" spans="2:14" ht="15" customHeight="1" x14ac:dyDescent="0.25">
      <c r="B416" s="977"/>
      <c r="C416" s="2897" t="s">
        <v>8</v>
      </c>
      <c r="D416" s="791"/>
      <c r="E416" s="977"/>
      <c r="F416" s="977"/>
      <c r="G416" s="977"/>
      <c r="H416" s="977"/>
      <c r="I416" s="977"/>
      <c r="J416" s="977"/>
      <c r="K416" s="977"/>
      <c r="L416" s="977"/>
      <c r="M416" s="977"/>
      <c r="N416" s="977"/>
    </row>
    <row r="417" spans="2:14" ht="15" customHeight="1" x14ac:dyDescent="0.25">
      <c r="B417" s="977"/>
      <c r="C417" s="2991" t="s">
        <v>317</v>
      </c>
      <c r="D417" s="2992" t="s">
        <v>2101</v>
      </c>
      <c r="E417" s="977"/>
      <c r="F417" s="977"/>
      <c r="G417" s="977"/>
      <c r="H417" s="977"/>
      <c r="I417" s="977"/>
      <c r="J417" s="977"/>
      <c r="K417" s="977"/>
      <c r="L417" s="977"/>
      <c r="M417" s="977"/>
      <c r="N417" s="977"/>
    </row>
    <row r="418" spans="2:14" ht="15" customHeight="1" x14ac:dyDescent="0.25">
      <c r="B418" s="977"/>
      <c r="C418" s="800"/>
      <c r="D418" s="2896" t="s">
        <v>1981</v>
      </c>
      <c r="E418" s="977"/>
      <c r="F418" s="977"/>
      <c r="G418" s="977"/>
      <c r="H418" s="977"/>
      <c r="I418" s="977"/>
      <c r="J418" s="977"/>
      <c r="K418" s="977"/>
      <c r="L418" s="977"/>
      <c r="M418" s="977"/>
      <c r="N418" s="977"/>
    </row>
    <row r="419" spans="2:14" x14ac:dyDescent="0.25">
      <c r="B419" s="977"/>
      <c r="C419" s="977"/>
      <c r="D419" s="977"/>
      <c r="E419" s="977"/>
      <c r="F419" s="977"/>
      <c r="G419" s="977"/>
      <c r="H419" s="977"/>
      <c r="I419" s="977"/>
      <c r="J419" s="977"/>
      <c r="K419" s="977"/>
      <c r="L419" s="977"/>
      <c r="M419" s="977"/>
      <c r="N419" s="977"/>
    </row>
    <row r="420" spans="2:14" x14ac:dyDescent="0.25">
      <c r="B420" s="2990" t="s">
        <v>1969</v>
      </c>
      <c r="C420" s="986" t="s">
        <v>2124</v>
      </c>
      <c r="D420" s="977"/>
      <c r="E420" s="977"/>
      <c r="F420" s="977"/>
      <c r="G420" s="977"/>
      <c r="H420" s="977"/>
      <c r="I420" s="977"/>
      <c r="J420" s="977"/>
      <c r="K420" s="1002"/>
      <c r="L420" s="1001" t="s">
        <v>576</v>
      </c>
      <c r="M420" s="1001" t="s">
        <v>190</v>
      </c>
      <c r="N420" s="977"/>
    </row>
    <row r="421" spans="2:14" ht="5.25" customHeight="1" x14ac:dyDescent="0.25">
      <c r="B421" s="977"/>
      <c r="C421" s="977"/>
      <c r="D421" s="977"/>
      <c r="E421" s="977"/>
      <c r="F421" s="977"/>
      <c r="G421" s="977"/>
      <c r="H421" s="977"/>
      <c r="I421" s="977"/>
      <c r="J421" s="977"/>
      <c r="K421" s="977"/>
      <c r="L421" s="977"/>
      <c r="M421" s="977"/>
      <c r="N421" s="977"/>
    </row>
    <row r="422" spans="2:14" x14ac:dyDescent="0.25">
      <c r="B422" s="977"/>
      <c r="C422" s="985" t="s">
        <v>153</v>
      </c>
      <c r="D422" s="985" t="s">
        <v>488</v>
      </c>
      <c r="E422" s="985" t="s">
        <v>2084</v>
      </c>
      <c r="F422" s="983">
        <v>2015</v>
      </c>
      <c r="G422" s="984">
        <v>2020</v>
      </c>
      <c r="H422" s="983">
        <v>2025</v>
      </c>
      <c r="I422" s="983">
        <v>2030</v>
      </c>
      <c r="J422" s="983">
        <v>2035</v>
      </c>
      <c r="K422" s="983">
        <v>2040</v>
      </c>
      <c r="L422" s="983">
        <v>2045</v>
      </c>
      <c r="M422" s="983">
        <v>2050</v>
      </c>
      <c r="N422" s="977"/>
    </row>
    <row r="423" spans="2:14" x14ac:dyDescent="0.25">
      <c r="B423" s="977"/>
      <c r="C423" s="991"/>
      <c r="D423" s="982" t="s">
        <v>568</v>
      </c>
      <c r="E423" s="977"/>
      <c r="F423" s="3029">
        <f t="shared" ref="F423:M423" si="15">(INDEX(F$173:F$176,ROUNDDOWN($E$9,0))*(1-MOD($E$9,1)))+(INDEX(F$173:F$176,ROUNDUP($E$9,0))*MOD($E$9,1))</f>
        <v>0</v>
      </c>
      <c r="G423" s="2671">
        <f t="shared" si="15"/>
        <v>0</v>
      </c>
      <c r="H423" s="2672">
        <f t="shared" si="15"/>
        <v>0</v>
      </c>
      <c r="I423" s="2672">
        <f t="shared" si="15"/>
        <v>0</v>
      </c>
      <c r="J423" s="2672">
        <f t="shared" si="15"/>
        <v>0</v>
      </c>
      <c r="K423" s="2672">
        <f t="shared" si="15"/>
        <v>0</v>
      </c>
      <c r="L423" s="2672">
        <f t="shared" si="15"/>
        <v>0</v>
      </c>
      <c r="M423" s="2672">
        <f t="shared" si="15"/>
        <v>0</v>
      </c>
      <c r="N423" s="977"/>
    </row>
    <row r="424" spans="2:14" x14ac:dyDescent="0.25">
      <c r="B424" s="977"/>
      <c r="C424" s="991"/>
      <c r="D424" s="982" t="s">
        <v>567</v>
      </c>
      <c r="E424" s="977"/>
      <c r="F424" s="2672">
        <f t="shared" ref="F424:M424" si="16">(INDEX(F$177:F$180,ROUNDDOWN($E$9,0))*(1-MOD($E$9,1)))+(INDEX(F$177:F$180,ROUNDUP($E$9,0))*MOD($E$9,1))</f>
        <v>0</v>
      </c>
      <c r="G424" s="2671">
        <f t="shared" si="16"/>
        <v>0</v>
      </c>
      <c r="H424" s="2672">
        <f t="shared" si="16"/>
        <v>0</v>
      </c>
      <c r="I424" s="2672">
        <f t="shared" si="16"/>
        <v>0</v>
      </c>
      <c r="J424" s="2672">
        <f t="shared" si="16"/>
        <v>0</v>
      </c>
      <c r="K424" s="2672">
        <f t="shared" si="16"/>
        <v>0</v>
      </c>
      <c r="L424" s="2672">
        <f t="shared" si="16"/>
        <v>0</v>
      </c>
      <c r="M424" s="2672">
        <f t="shared" si="16"/>
        <v>0</v>
      </c>
      <c r="N424" s="977"/>
    </row>
    <row r="425" spans="2:14" x14ac:dyDescent="0.25">
      <c r="B425" s="977"/>
      <c r="C425" s="991"/>
      <c r="D425" s="982" t="s">
        <v>566</v>
      </c>
      <c r="E425" s="977"/>
      <c r="F425" s="2672">
        <f t="shared" ref="F425:M425" si="17">(INDEX(F$181:F$184,ROUNDDOWN($E$9,0))*(1-MOD($E$9,1)))+(INDEX(F$181:F$184,ROUNDUP($E$9,0))*MOD($E$9,1))</f>
        <v>0</v>
      </c>
      <c r="G425" s="2671">
        <f t="shared" si="17"/>
        <v>0</v>
      </c>
      <c r="H425" s="2672">
        <f t="shared" si="17"/>
        <v>0</v>
      </c>
      <c r="I425" s="2672">
        <f t="shared" si="17"/>
        <v>0</v>
      </c>
      <c r="J425" s="2672">
        <f t="shared" si="17"/>
        <v>0</v>
      </c>
      <c r="K425" s="2672">
        <f t="shared" si="17"/>
        <v>0</v>
      </c>
      <c r="L425" s="2672">
        <f t="shared" si="17"/>
        <v>0</v>
      </c>
      <c r="M425" s="2672">
        <f t="shared" si="17"/>
        <v>0</v>
      </c>
      <c r="N425" s="977"/>
    </row>
    <row r="426" spans="2:14" x14ac:dyDescent="0.25">
      <c r="B426" s="977"/>
      <c r="C426" s="991"/>
      <c r="D426" s="982" t="s">
        <v>565</v>
      </c>
      <c r="E426" s="977"/>
      <c r="F426" s="2672">
        <f t="shared" ref="F426:M426" si="18">(INDEX(F$185:F$188,ROUNDDOWN($E$9,0))*(1-MOD($E$9,1)))+(INDEX(F$185:F$188,ROUNDUP($E$9,0))*MOD($E$9,1))</f>
        <v>0</v>
      </c>
      <c r="G426" s="2671">
        <f t="shared" si="18"/>
        <v>0</v>
      </c>
      <c r="H426" s="2672">
        <f t="shared" si="18"/>
        <v>0</v>
      </c>
      <c r="I426" s="2672">
        <f t="shared" si="18"/>
        <v>0</v>
      </c>
      <c r="J426" s="2672">
        <f t="shared" si="18"/>
        <v>0</v>
      </c>
      <c r="K426" s="2672">
        <f t="shared" si="18"/>
        <v>0</v>
      </c>
      <c r="L426" s="2672">
        <f t="shared" si="18"/>
        <v>0</v>
      </c>
      <c r="M426" s="2672">
        <f t="shared" si="18"/>
        <v>0</v>
      </c>
      <c r="N426" s="977"/>
    </row>
    <row r="427" spans="2:14" x14ac:dyDescent="0.25">
      <c r="B427" s="977"/>
      <c r="C427" s="991"/>
      <c r="D427" s="982" t="s">
        <v>564</v>
      </c>
      <c r="E427" s="977"/>
      <c r="F427" s="2672">
        <f t="shared" ref="F427:M427" si="19">(INDEX(F$189:F$192,ROUNDDOWN($E$9,0))*(1-MOD($E$9,1)))+(INDEX(F$189:F$192,ROUNDUP($E$9,0))*MOD($E$9,1))</f>
        <v>0</v>
      </c>
      <c r="G427" s="2671">
        <f t="shared" si="19"/>
        <v>0</v>
      </c>
      <c r="H427" s="2672">
        <f t="shared" si="19"/>
        <v>0</v>
      </c>
      <c r="I427" s="2672">
        <f t="shared" si="19"/>
        <v>0</v>
      </c>
      <c r="J427" s="2672">
        <f t="shared" si="19"/>
        <v>0</v>
      </c>
      <c r="K427" s="2672">
        <f t="shared" si="19"/>
        <v>0</v>
      </c>
      <c r="L427" s="2672">
        <f t="shared" si="19"/>
        <v>0</v>
      </c>
      <c r="M427" s="2672">
        <f t="shared" si="19"/>
        <v>0</v>
      </c>
      <c r="N427" s="977"/>
    </row>
    <row r="428" spans="2:14" x14ac:dyDescent="0.25">
      <c r="B428" s="977"/>
      <c r="C428" s="991"/>
      <c r="D428" s="982" t="s">
        <v>563</v>
      </c>
      <c r="E428" s="977"/>
      <c r="F428" s="2672">
        <f t="shared" ref="F428:M428" si="20">(INDEX(F$193:F$196,ROUNDDOWN($E$9,0))*(1-MOD($E$9,1)))+(INDEX(F$193:F$196,ROUNDUP($E$9,0))*MOD($E$9,1))</f>
        <v>0</v>
      </c>
      <c r="G428" s="2671">
        <f t="shared" si="20"/>
        <v>0</v>
      </c>
      <c r="H428" s="2672">
        <f t="shared" si="20"/>
        <v>0</v>
      </c>
      <c r="I428" s="2672">
        <f t="shared" si="20"/>
        <v>0</v>
      </c>
      <c r="J428" s="2672">
        <f t="shared" si="20"/>
        <v>0</v>
      </c>
      <c r="K428" s="2672">
        <f t="shared" si="20"/>
        <v>0</v>
      </c>
      <c r="L428" s="2672">
        <f t="shared" si="20"/>
        <v>0</v>
      </c>
      <c r="M428" s="2672">
        <f t="shared" si="20"/>
        <v>0</v>
      </c>
      <c r="N428" s="977"/>
    </row>
    <row r="429" spans="2:14" x14ac:dyDescent="0.25">
      <c r="B429" s="977"/>
      <c r="C429" s="991"/>
      <c r="D429" s="982" t="s">
        <v>562</v>
      </c>
      <c r="E429" s="977"/>
      <c r="F429" s="2672">
        <f t="shared" ref="F429:M429" si="21">(INDEX(F$197:F$200,ROUNDDOWN($E$9,0))*(1-MOD($E$9,1)))+(INDEX(F$197:F$200,ROUNDUP($E$9,0))*MOD($E$9,1))</f>
        <v>0</v>
      </c>
      <c r="G429" s="2671">
        <f t="shared" si="21"/>
        <v>0</v>
      </c>
      <c r="H429" s="2672">
        <f t="shared" si="21"/>
        <v>0</v>
      </c>
      <c r="I429" s="2672">
        <f t="shared" si="21"/>
        <v>0</v>
      </c>
      <c r="J429" s="2672">
        <f t="shared" si="21"/>
        <v>0</v>
      </c>
      <c r="K429" s="2672">
        <f t="shared" si="21"/>
        <v>0</v>
      </c>
      <c r="L429" s="2672">
        <f t="shared" si="21"/>
        <v>0</v>
      </c>
      <c r="M429" s="2672">
        <f t="shared" si="21"/>
        <v>0</v>
      </c>
      <c r="N429" s="977"/>
    </row>
    <row r="430" spans="2:14" x14ac:dyDescent="0.25">
      <c r="B430" s="977"/>
      <c r="C430" s="991"/>
      <c r="D430" s="982" t="s">
        <v>561</v>
      </c>
      <c r="E430" s="977"/>
      <c r="F430" s="2672">
        <f t="shared" ref="F430:M430" si="22">(INDEX(F$201:F$204,ROUNDDOWN($E$9,0))*(1-MOD($E$9,1)))+(INDEX(F$201:F$204,ROUNDUP($E$9,0))*MOD($E$9,1))</f>
        <v>0</v>
      </c>
      <c r="G430" s="2671">
        <f t="shared" si="22"/>
        <v>0</v>
      </c>
      <c r="H430" s="2672">
        <f t="shared" si="22"/>
        <v>0</v>
      </c>
      <c r="I430" s="2672">
        <f t="shared" si="22"/>
        <v>0</v>
      </c>
      <c r="J430" s="2672">
        <f t="shared" si="22"/>
        <v>0</v>
      </c>
      <c r="K430" s="2672">
        <f t="shared" si="22"/>
        <v>0</v>
      </c>
      <c r="L430" s="2672">
        <f t="shared" si="22"/>
        <v>0</v>
      </c>
      <c r="M430" s="2672">
        <f t="shared" si="22"/>
        <v>0</v>
      </c>
      <c r="N430" s="977"/>
    </row>
    <row r="431" spans="2:14" x14ac:dyDescent="0.25">
      <c r="B431" s="977"/>
      <c r="C431" s="991"/>
      <c r="D431" s="982" t="s">
        <v>560</v>
      </c>
      <c r="E431" s="977"/>
      <c r="F431" s="2672">
        <f t="shared" ref="F431:M431" si="23">(INDEX(F$205:F$208,ROUNDDOWN($E$9,0))*(1-MOD($E$9,1)))+(INDEX(F$205:F$208,ROUNDUP($E$9,0))*MOD($E$9,1))</f>
        <v>0</v>
      </c>
      <c r="G431" s="2671">
        <f t="shared" si="23"/>
        <v>0</v>
      </c>
      <c r="H431" s="2672">
        <f t="shared" si="23"/>
        <v>0</v>
      </c>
      <c r="I431" s="2672">
        <f t="shared" si="23"/>
        <v>0</v>
      </c>
      <c r="J431" s="2672">
        <f t="shared" si="23"/>
        <v>0</v>
      </c>
      <c r="K431" s="2672">
        <f t="shared" si="23"/>
        <v>0</v>
      </c>
      <c r="L431" s="2672">
        <f t="shared" si="23"/>
        <v>0</v>
      </c>
      <c r="M431" s="2672">
        <f t="shared" si="23"/>
        <v>0</v>
      </c>
      <c r="N431" s="977"/>
    </row>
    <row r="432" spans="2:14" x14ac:dyDescent="0.25">
      <c r="B432" s="977"/>
      <c r="C432" s="991"/>
      <c r="D432" s="982" t="s">
        <v>559</v>
      </c>
      <c r="E432" s="977"/>
      <c r="F432" s="2672">
        <f t="shared" ref="F432:M432" si="24">(INDEX(F$209:F$212,ROUNDDOWN($E$9,0))*(1-MOD($E$9,1)))+(INDEX(F$209:F$212,ROUNDUP($E$9,0))*MOD($E$9,1))</f>
        <v>0</v>
      </c>
      <c r="G432" s="2671">
        <f t="shared" si="24"/>
        <v>0</v>
      </c>
      <c r="H432" s="2672">
        <f t="shared" si="24"/>
        <v>0</v>
      </c>
      <c r="I432" s="2672">
        <f t="shared" si="24"/>
        <v>0</v>
      </c>
      <c r="J432" s="2672">
        <f t="shared" si="24"/>
        <v>0</v>
      </c>
      <c r="K432" s="2672">
        <f t="shared" si="24"/>
        <v>0</v>
      </c>
      <c r="L432" s="2672">
        <f t="shared" si="24"/>
        <v>0</v>
      </c>
      <c r="M432" s="2672">
        <f t="shared" si="24"/>
        <v>0</v>
      </c>
      <c r="N432" s="977"/>
    </row>
    <row r="433" spans="2:14" x14ac:dyDescent="0.25">
      <c r="B433" s="977"/>
      <c r="C433" s="988"/>
      <c r="D433" s="979" t="s">
        <v>558</v>
      </c>
      <c r="E433" s="980"/>
      <c r="F433" s="3002">
        <f t="shared" ref="F433:M433" si="25">(INDEX(F$213:F$216,ROUNDDOWN($E$9,0))*(1-MOD($E$9,1)))+(INDEX(F$213:F$216,ROUNDUP($E$9,0))*MOD($E$9,1))</f>
        <v>0</v>
      </c>
      <c r="G433" s="3028">
        <f t="shared" si="25"/>
        <v>0</v>
      </c>
      <c r="H433" s="3002">
        <f t="shared" si="25"/>
        <v>0</v>
      </c>
      <c r="I433" s="3002">
        <f t="shared" si="25"/>
        <v>0</v>
      </c>
      <c r="J433" s="3002">
        <f t="shared" si="25"/>
        <v>0</v>
      </c>
      <c r="K433" s="3002">
        <f t="shared" si="25"/>
        <v>0</v>
      </c>
      <c r="L433" s="3002">
        <f t="shared" si="25"/>
        <v>0</v>
      </c>
      <c r="M433" s="3002">
        <f t="shared" si="25"/>
        <v>0</v>
      </c>
      <c r="N433" s="977"/>
    </row>
    <row r="434" spans="2:14" ht="4.5" customHeight="1" x14ac:dyDescent="0.25">
      <c r="B434" s="977"/>
      <c r="C434" s="977"/>
      <c r="D434" s="977"/>
      <c r="E434" s="977"/>
      <c r="F434" s="977"/>
      <c r="G434" s="977"/>
      <c r="H434" s="977"/>
      <c r="I434" s="977"/>
      <c r="J434" s="977"/>
      <c r="K434" s="977"/>
      <c r="L434" s="977"/>
      <c r="M434" s="977"/>
      <c r="N434" s="977"/>
    </row>
    <row r="435" spans="2:14" x14ac:dyDescent="0.25">
      <c r="B435" s="977"/>
      <c r="C435" s="2897" t="s">
        <v>8</v>
      </c>
      <c r="D435" s="791"/>
      <c r="E435" s="977"/>
      <c r="F435" s="977"/>
      <c r="G435" s="977"/>
      <c r="H435" s="977"/>
      <c r="I435" s="977"/>
      <c r="J435" s="977"/>
      <c r="K435" s="977"/>
      <c r="L435" s="977"/>
      <c r="M435" s="977"/>
      <c r="N435" s="977"/>
    </row>
    <row r="436" spans="2:14" x14ac:dyDescent="0.25">
      <c r="B436" s="977"/>
      <c r="C436" s="2991" t="s">
        <v>319</v>
      </c>
      <c r="D436" s="2992" t="s">
        <v>2106</v>
      </c>
      <c r="E436" s="977"/>
      <c r="F436" s="977"/>
      <c r="G436" s="977"/>
      <c r="H436" s="977"/>
      <c r="I436" s="977"/>
      <c r="J436" s="977"/>
      <c r="K436" s="977"/>
      <c r="L436" s="977"/>
      <c r="M436" s="977"/>
      <c r="N436" s="977"/>
    </row>
    <row r="437" spans="2:14" x14ac:dyDescent="0.25">
      <c r="B437" s="977"/>
      <c r="C437" s="800"/>
      <c r="D437" s="2896" t="s">
        <v>1981</v>
      </c>
      <c r="E437" s="977"/>
      <c r="F437" s="977"/>
      <c r="G437" s="977"/>
      <c r="H437" s="977"/>
      <c r="I437" s="977"/>
      <c r="J437" s="977"/>
      <c r="K437" s="977"/>
      <c r="L437" s="977"/>
      <c r="M437" s="977"/>
      <c r="N437" s="977"/>
    </row>
    <row r="438" spans="2:14" x14ac:dyDescent="0.25">
      <c r="B438" s="977"/>
      <c r="C438" s="977"/>
      <c r="D438" s="977"/>
      <c r="E438" s="977"/>
      <c r="F438" s="977"/>
      <c r="G438" s="977"/>
      <c r="H438" s="977"/>
      <c r="I438" s="977"/>
      <c r="J438" s="977"/>
      <c r="K438" s="977"/>
      <c r="L438" s="977"/>
      <c r="M438" s="977"/>
      <c r="N438" s="977"/>
    </row>
    <row r="439" spans="2:14" x14ac:dyDescent="0.25">
      <c r="B439" s="2990" t="s">
        <v>1970</v>
      </c>
      <c r="C439" s="986" t="s">
        <v>926</v>
      </c>
      <c r="D439" s="977"/>
      <c r="E439" s="977"/>
      <c r="F439" s="977"/>
      <c r="G439" s="977"/>
      <c r="H439" s="977"/>
      <c r="I439" s="977"/>
      <c r="J439" s="977"/>
      <c r="K439" s="977"/>
      <c r="L439" s="2746" t="s">
        <v>1910</v>
      </c>
      <c r="M439" s="1001" t="s">
        <v>190</v>
      </c>
      <c r="N439" s="977"/>
    </row>
    <row r="440" spans="2:14" ht="6.75" customHeight="1" x14ac:dyDescent="0.25">
      <c r="B440" s="977"/>
      <c r="C440" s="977"/>
      <c r="D440" s="977"/>
      <c r="E440" s="977"/>
      <c r="F440" s="977"/>
      <c r="G440" s="977"/>
      <c r="H440" s="977"/>
      <c r="I440" s="977"/>
      <c r="J440" s="977"/>
      <c r="K440" s="977"/>
      <c r="L440" s="977"/>
      <c r="M440" s="977"/>
      <c r="N440" s="977"/>
    </row>
    <row r="441" spans="2:14" x14ac:dyDescent="0.25">
      <c r="B441" s="977"/>
      <c r="C441" s="985" t="s">
        <v>153</v>
      </c>
      <c r="D441" s="985" t="s">
        <v>488</v>
      </c>
      <c r="E441" s="985" t="s">
        <v>2109</v>
      </c>
      <c r="F441" s="983">
        <v>2015</v>
      </c>
      <c r="G441" s="984">
        <v>2020</v>
      </c>
      <c r="H441" s="983">
        <v>2025</v>
      </c>
      <c r="I441" s="983">
        <v>2030</v>
      </c>
      <c r="J441" s="983">
        <v>2035</v>
      </c>
      <c r="K441" s="983">
        <v>2040</v>
      </c>
      <c r="L441" s="983">
        <v>2045</v>
      </c>
      <c r="M441" s="983">
        <v>2050</v>
      </c>
      <c r="N441" s="977"/>
    </row>
    <row r="442" spans="2:14" x14ac:dyDescent="0.25">
      <c r="B442" s="977"/>
      <c r="C442" s="991"/>
      <c r="D442" s="982" t="s">
        <v>568</v>
      </c>
      <c r="E442" s="977"/>
      <c r="F442" s="3029">
        <f t="shared" ref="F442:M442" si="26">(INDEX(F$226:F$229,ROUNDDOWN($E$10,0))*(1-MOD($E$10,1)))+(INDEX(F$226:F$229,ROUNDUP($E$10,0))*MOD($E$10,1))</f>
        <v>0</v>
      </c>
      <c r="G442" s="2671">
        <f t="shared" si="26"/>
        <v>0</v>
      </c>
      <c r="H442" s="2672">
        <f t="shared" si="26"/>
        <v>0</v>
      </c>
      <c r="I442" s="2672">
        <f t="shared" si="26"/>
        <v>0</v>
      </c>
      <c r="J442" s="2672">
        <f t="shared" si="26"/>
        <v>0</v>
      </c>
      <c r="K442" s="2672">
        <f t="shared" si="26"/>
        <v>0</v>
      </c>
      <c r="L442" s="2672">
        <f t="shared" si="26"/>
        <v>0</v>
      </c>
      <c r="M442" s="2672">
        <f t="shared" si="26"/>
        <v>0</v>
      </c>
      <c r="N442" s="977"/>
    </row>
    <row r="443" spans="2:14" x14ac:dyDescent="0.25">
      <c r="B443" s="977"/>
      <c r="C443" s="991"/>
      <c r="D443" s="982" t="s">
        <v>567</v>
      </c>
      <c r="E443" s="977"/>
      <c r="F443" s="2672">
        <f t="shared" ref="F443:M443" si="27">(INDEX(F$230:F$233,ROUNDDOWN($E$10,0))*(1-MOD($E$10,1)))+(INDEX(F$230:F$233,ROUNDUP($E$10,0))*MOD($E$10,1))</f>
        <v>0</v>
      </c>
      <c r="G443" s="2671">
        <f t="shared" si="27"/>
        <v>0</v>
      </c>
      <c r="H443" s="2672">
        <f t="shared" si="27"/>
        <v>0</v>
      </c>
      <c r="I443" s="2672">
        <f t="shared" si="27"/>
        <v>0</v>
      </c>
      <c r="J443" s="2672">
        <f t="shared" si="27"/>
        <v>0</v>
      </c>
      <c r="K443" s="2672">
        <f t="shared" si="27"/>
        <v>0</v>
      </c>
      <c r="L443" s="2672">
        <f t="shared" si="27"/>
        <v>0</v>
      </c>
      <c r="M443" s="2672">
        <f t="shared" si="27"/>
        <v>0</v>
      </c>
      <c r="N443" s="977"/>
    </row>
    <row r="444" spans="2:14" x14ac:dyDescent="0.25">
      <c r="B444" s="977"/>
      <c r="C444" s="991"/>
      <c r="D444" s="982" t="s">
        <v>566</v>
      </c>
      <c r="E444" s="977"/>
      <c r="F444" s="2672">
        <f t="shared" ref="F444:M444" si="28">(INDEX(F$234:F$237,ROUNDDOWN($E$10,0))*(1-MOD($E$10,1)))+(INDEX(F$234:F$237,ROUNDUP($E$10,0))*MOD($E$10,1))</f>
        <v>0</v>
      </c>
      <c r="G444" s="2671">
        <f t="shared" si="28"/>
        <v>0</v>
      </c>
      <c r="H444" s="2672">
        <f t="shared" si="28"/>
        <v>0</v>
      </c>
      <c r="I444" s="2672">
        <f t="shared" si="28"/>
        <v>0</v>
      </c>
      <c r="J444" s="2672">
        <f t="shared" si="28"/>
        <v>0</v>
      </c>
      <c r="K444" s="2672">
        <f t="shared" si="28"/>
        <v>0</v>
      </c>
      <c r="L444" s="2672">
        <f t="shared" si="28"/>
        <v>0</v>
      </c>
      <c r="M444" s="2672">
        <f t="shared" si="28"/>
        <v>0</v>
      </c>
      <c r="N444" s="977"/>
    </row>
    <row r="445" spans="2:14" x14ac:dyDescent="0.25">
      <c r="B445" s="977"/>
      <c r="C445" s="991"/>
      <c r="D445" s="982" t="s">
        <v>565</v>
      </c>
      <c r="E445" s="977"/>
      <c r="F445" s="2672">
        <f t="shared" ref="F445:M445" si="29">(INDEX(F$238:F$241,ROUNDDOWN($E$10,0))*(1-MOD($E$10,1)))+(INDEX(F$238:F$241,ROUNDUP($E$10,0))*MOD($E$10,1))</f>
        <v>0</v>
      </c>
      <c r="G445" s="2671">
        <f t="shared" si="29"/>
        <v>0</v>
      </c>
      <c r="H445" s="2672">
        <f t="shared" si="29"/>
        <v>0</v>
      </c>
      <c r="I445" s="2672">
        <f t="shared" si="29"/>
        <v>0</v>
      </c>
      <c r="J445" s="2672">
        <f t="shared" si="29"/>
        <v>0</v>
      </c>
      <c r="K445" s="2672">
        <f t="shared" si="29"/>
        <v>0</v>
      </c>
      <c r="L445" s="2672">
        <f t="shared" si="29"/>
        <v>0</v>
      </c>
      <c r="M445" s="2672">
        <f t="shared" si="29"/>
        <v>0</v>
      </c>
      <c r="N445" s="977"/>
    </row>
    <row r="446" spans="2:14" x14ac:dyDescent="0.25">
      <c r="B446" s="977"/>
      <c r="C446" s="991"/>
      <c r="D446" s="982" t="s">
        <v>564</v>
      </c>
      <c r="E446" s="977"/>
      <c r="F446" s="2672">
        <f t="shared" ref="F446:M446" si="30">(INDEX(F$242:F$245,ROUNDDOWN($E$10,0))*(1-MOD($E$10,1)))+(INDEX(F$242:F$245,ROUNDUP($E$10,0))*MOD($E$10,1))</f>
        <v>0</v>
      </c>
      <c r="G446" s="2671">
        <f t="shared" si="30"/>
        <v>0</v>
      </c>
      <c r="H446" s="2672">
        <f t="shared" si="30"/>
        <v>0</v>
      </c>
      <c r="I446" s="2672">
        <f t="shared" si="30"/>
        <v>0</v>
      </c>
      <c r="J446" s="2672">
        <f t="shared" si="30"/>
        <v>0</v>
      </c>
      <c r="K446" s="2672">
        <f t="shared" si="30"/>
        <v>0</v>
      </c>
      <c r="L446" s="2672">
        <f t="shared" si="30"/>
        <v>0</v>
      </c>
      <c r="M446" s="2672">
        <f t="shared" si="30"/>
        <v>0</v>
      </c>
      <c r="N446" s="977"/>
    </row>
    <row r="447" spans="2:14" x14ac:dyDescent="0.25">
      <c r="B447" s="977"/>
      <c r="C447" s="991"/>
      <c r="D447" s="982" t="s">
        <v>563</v>
      </c>
      <c r="E447" s="977"/>
      <c r="F447" s="2672">
        <f t="shared" ref="F447:M447" si="31">(INDEX(F$246:F$249,ROUNDDOWN($E$10,0))*(1-MOD($E$10,1)))+(INDEX(F$246:F$249,ROUNDUP($E$10,0))*MOD($E$10,1))</f>
        <v>0</v>
      </c>
      <c r="G447" s="2671">
        <f t="shared" si="31"/>
        <v>0</v>
      </c>
      <c r="H447" s="2672">
        <f t="shared" si="31"/>
        <v>0</v>
      </c>
      <c r="I447" s="2672">
        <f t="shared" si="31"/>
        <v>0</v>
      </c>
      <c r="J447" s="2672">
        <f t="shared" si="31"/>
        <v>0</v>
      </c>
      <c r="K447" s="2672">
        <f t="shared" si="31"/>
        <v>0</v>
      </c>
      <c r="L447" s="2672">
        <f t="shared" si="31"/>
        <v>0</v>
      </c>
      <c r="M447" s="2672">
        <f t="shared" si="31"/>
        <v>0</v>
      </c>
      <c r="N447" s="977"/>
    </row>
    <row r="448" spans="2:14" x14ac:dyDescent="0.25">
      <c r="B448" s="977"/>
      <c r="C448" s="991"/>
      <c r="D448" s="982" t="s">
        <v>562</v>
      </c>
      <c r="E448" s="977"/>
      <c r="F448" s="2672">
        <f t="shared" ref="F448:M448" si="32">(INDEX(F$250:F$253,ROUNDDOWN($E$10,0))*(1-MOD($E$10,1)))+(INDEX(F$250:F$253,ROUNDUP($E$10,0))*MOD($E$10,1))</f>
        <v>0</v>
      </c>
      <c r="G448" s="2671">
        <f t="shared" si="32"/>
        <v>0</v>
      </c>
      <c r="H448" s="2672">
        <f t="shared" si="32"/>
        <v>0</v>
      </c>
      <c r="I448" s="2672">
        <f t="shared" si="32"/>
        <v>0</v>
      </c>
      <c r="J448" s="2672">
        <f t="shared" si="32"/>
        <v>0</v>
      </c>
      <c r="K448" s="2672">
        <f t="shared" si="32"/>
        <v>0</v>
      </c>
      <c r="L448" s="2672">
        <f t="shared" si="32"/>
        <v>0</v>
      </c>
      <c r="M448" s="2672">
        <f t="shared" si="32"/>
        <v>0</v>
      </c>
      <c r="N448" s="977"/>
    </row>
    <row r="449" spans="2:14" x14ac:dyDescent="0.25">
      <c r="B449" s="977"/>
      <c r="C449" s="991"/>
      <c r="D449" s="982" t="s">
        <v>561</v>
      </c>
      <c r="E449" s="977"/>
      <c r="F449" s="2672">
        <f t="shared" ref="F449:M449" si="33">(INDEX(F$254:F$257,ROUNDDOWN($E$10,0))*(1-MOD($E$10,1)))+(INDEX(F$254:F$257,ROUNDUP($E$10,0))*MOD($E$10,1))</f>
        <v>0</v>
      </c>
      <c r="G449" s="2671">
        <f t="shared" si="33"/>
        <v>0</v>
      </c>
      <c r="H449" s="2672">
        <f t="shared" si="33"/>
        <v>0</v>
      </c>
      <c r="I449" s="2672">
        <f t="shared" si="33"/>
        <v>0</v>
      </c>
      <c r="J449" s="2672">
        <f t="shared" si="33"/>
        <v>0</v>
      </c>
      <c r="K449" s="2672">
        <f t="shared" si="33"/>
        <v>0</v>
      </c>
      <c r="L449" s="2672">
        <f t="shared" si="33"/>
        <v>0</v>
      </c>
      <c r="M449" s="2672">
        <f t="shared" si="33"/>
        <v>0</v>
      </c>
      <c r="N449" s="977"/>
    </row>
    <row r="450" spans="2:14" x14ac:dyDescent="0.25">
      <c r="B450" s="977"/>
      <c r="C450" s="991"/>
      <c r="D450" s="982" t="s">
        <v>560</v>
      </c>
      <c r="E450" s="977"/>
      <c r="F450" s="2672">
        <f t="shared" ref="F450:M450" si="34">(INDEX(F$258:F$261,ROUNDDOWN($E$10,0))*(1-MOD($E$10,1)))+(INDEX(F$258:F$261,ROUNDUP($E$10,0))*MOD($E$10,1))</f>
        <v>0</v>
      </c>
      <c r="G450" s="2671">
        <f t="shared" si="34"/>
        <v>0</v>
      </c>
      <c r="H450" s="2672">
        <f t="shared" si="34"/>
        <v>0</v>
      </c>
      <c r="I450" s="2672">
        <f t="shared" si="34"/>
        <v>0</v>
      </c>
      <c r="J450" s="2672">
        <f t="shared" si="34"/>
        <v>0</v>
      </c>
      <c r="K450" s="2672">
        <f t="shared" si="34"/>
        <v>0</v>
      </c>
      <c r="L450" s="2672">
        <f t="shared" si="34"/>
        <v>0</v>
      </c>
      <c r="M450" s="2672">
        <f t="shared" si="34"/>
        <v>0</v>
      </c>
      <c r="N450" s="977"/>
    </row>
    <row r="451" spans="2:14" x14ac:dyDescent="0.25">
      <c r="B451" s="977"/>
      <c r="C451" s="991"/>
      <c r="D451" s="982" t="s">
        <v>559</v>
      </c>
      <c r="E451" s="977"/>
      <c r="F451" s="2672">
        <f t="shared" ref="F451:M451" si="35">(INDEX(F$262:F$265,ROUNDDOWN($E$10,0))*(1-MOD($E$10,1)))+(INDEX(F$262:F$265,ROUNDUP($E$10,0))*MOD($E$10,1))</f>
        <v>0</v>
      </c>
      <c r="G451" s="2671">
        <f t="shared" si="35"/>
        <v>0</v>
      </c>
      <c r="H451" s="2672">
        <f t="shared" si="35"/>
        <v>0</v>
      </c>
      <c r="I451" s="2672">
        <f t="shared" si="35"/>
        <v>0</v>
      </c>
      <c r="J451" s="2672">
        <f t="shared" si="35"/>
        <v>0</v>
      </c>
      <c r="K451" s="2672">
        <f t="shared" si="35"/>
        <v>0</v>
      </c>
      <c r="L451" s="2672">
        <f t="shared" si="35"/>
        <v>0</v>
      </c>
      <c r="M451" s="2672">
        <f t="shared" si="35"/>
        <v>0</v>
      </c>
      <c r="N451" s="977"/>
    </row>
    <row r="452" spans="2:14" x14ac:dyDescent="0.25">
      <c r="B452" s="977"/>
      <c r="C452" s="988"/>
      <c r="D452" s="979" t="s">
        <v>558</v>
      </c>
      <c r="E452" s="980"/>
      <c r="F452" s="3002">
        <f t="shared" ref="F452:M452" si="36">(INDEX(F$266:F$269,ROUNDDOWN($E$10,0))*(1-MOD($E$10,1)))+(INDEX(F$266:F$269,ROUNDUP($E$10,0))*MOD($E$10,1))</f>
        <v>0</v>
      </c>
      <c r="G452" s="3028">
        <f t="shared" si="36"/>
        <v>0</v>
      </c>
      <c r="H452" s="3002">
        <f t="shared" si="36"/>
        <v>0</v>
      </c>
      <c r="I452" s="3002">
        <f t="shared" si="36"/>
        <v>0</v>
      </c>
      <c r="J452" s="3002">
        <f t="shared" si="36"/>
        <v>0</v>
      </c>
      <c r="K452" s="3002">
        <f t="shared" si="36"/>
        <v>0</v>
      </c>
      <c r="L452" s="3002">
        <f t="shared" si="36"/>
        <v>0</v>
      </c>
      <c r="M452" s="3002">
        <f t="shared" si="36"/>
        <v>0</v>
      </c>
      <c r="N452" s="977"/>
    </row>
    <row r="453" spans="2:14" ht="4.5" customHeight="1" x14ac:dyDescent="0.25">
      <c r="B453" s="977"/>
      <c r="C453" s="977"/>
      <c r="D453" s="977"/>
      <c r="E453" s="977"/>
      <c r="F453" s="977"/>
      <c r="G453" s="977"/>
      <c r="H453" s="977"/>
      <c r="I453" s="977"/>
      <c r="J453" s="977"/>
      <c r="K453" s="977"/>
      <c r="L453" s="977"/>
      <c r="M453" s="977"/>
      <c r="N453" s="977"/>
    </row>
    <row r="454" spans="2:14" x14ac:dyDescent="0.25">
      <c r="B454" s="977"/>
      <c r="C454" s="2897" t="s">
        <v>8</v>
      </c>
      <c r="D454" s="791"/>
      <c r="E454" s="977"/>
      <c r="F454" s="977"/>
      <c r="G454" s="977"/>
      <c r="H454" s="977"/>
      <c r="I454" s="977"/>
      <c r="J454" s="977"/>
      <c r="K454" s="977"/>
      <c r="L454" s="977"/>
      <c r="M454" s="977"/>
      <c r="N454" s="977"/>
    </row>
    <row r="455" spans="2:14" x14ac:dyDescent="0.25">
      <c r="B455" s="977"/>
      <c r="C455" s="2991" t="s">
        <v>1067</v>
      </c>
      <c r="D455" s="2992" t="s">
        <v>2110</v>
      </c>
      <c r="E455" s="977"/>
      <c r="F455" s="977"/>
      <c r="G455" s="977"/>
      <c r="H455" s="977"/>
      <c r="I455" s="977"/>
      <c r="J455" s="977"/>
      <c r="K455" s="977"/>
      <c r="L455" s="977"/>
      <c r="M455" s="977"/>
      <c r="N455" s="977"/>
    </row>
    <row r="456" spans="2:14" x14ac:dyDescent="0.25">
      <c r="B456" s="977"/>
      <c r="C456" s="800"/>
      <c r="D456" s="2896" t="s">
        <v>1981</v>
      </c>
      <c r="E456" s="977"/>
      <c r="F456" s="977"/>
      <c r="G456" s="977"/>
      <c r="H456" s="977"/>
      <c r="I456" s="977"/>
      <c r="J456" s="977"/>
      <c r="K456" s="977"/>
      <c r="L456" s="977"/>
      <c r="M456" s="977"/>
      <c r="N456" s="977"/>
    </row>
    <row r="457" spans="2:14" x14ac:dyDescent="0.25">
      <c r="B457" s="977"/>
      <c r="C457" s="977"/>
      <c r="D457" s="977"/>
      <c r="E457" s="977"/>
      <c r="F457" s="977"/>
      <c r="G457" s="977"/>
      <c r="H457" s="977"/>
      <c r="I457" s="977"/>
      <c r="J457" s="977"/>
      <c r="K457" s="977"/>
      <c r="L457" s="977"/>
      <c r="M457" s="977"/>
      <c r="N457" s="977"/>
    </row>
    <row r="458" spans="2:14" x14ac:dyDescent="0.25">
      <c r="B458" s="977"/>
      <c r="C458" s="987" t="s">
        <v>2125</v>
      </c>
      <c r="D458" s="977"/>
      <c r="E458" s="977"/>
      <c r="F458" s="977"/>
      <c r="G458" s="977"/>
      <c r="H458" s="977"/>
      <c r="I458" s="977"/>
      <c r="J458" s="977"/>
      <c r="K458" s="977"/>
      <c r="L458" s="977"/>
      <c r="M458" s="977"/>
      <c r="N458" s="977"/>
    </row>
    <row r="459" spans="2:14" x14ac:dyDescent="0.25">
      <c r="B459" s="2990" t="s">
        <v>1967</v>
      </c>
      <c r="C459" s="986" t="s">
        <v>2092</v>
      </c>
      <c r="D459" s="977"/>
      <c r="E459" s="977"/>
      <c r="F459" s="977"/>
      <c r="G459" s="977"/>
      <c r="H459" s="977"/>
      <c r="I459" s="977"/>
      <c r="J459" s="977"/>
      <c r="K459" s="977"/>
      <c r="L459" s="977"/>
      <c r="M459" s="977"/>
      <c r="N459" s="977"/>
    </row>
    <row r="460" spans="2:14" ht="5.25" customHeight="1" x14ac:dyDescent="0.25">
      <c r="B460" s="2990"/>
      <c r="C460" s="977"/>
      <c r="D460" s="977"/>
      <c r="E460" s="977"/>
      <c r="F460" s="977"/>
      <c r="G460" s="977"/>
      <c r="H460" s="977"/>
      <c r="I460" s="977"/>
      <c r="J460" s="977"/>
      <c r="K460" s="977"/>
      <c r="L460" s="977"/>
      <c r="M460" s="977"/>
      <c r="N460" s="977"/>
    </row>
    <row r="461" spans="2:14" x14ac:dyDescent="0.25">
      <c r="B461" s="2990"/>
      <c r="C461" s="985" t="s">
        <v>153</v>
      </c>
      <c r="D461" s="985" t="s">
        <v>488</v>
      </c>
      <c r="E461" s="985"/>
      <c r="F461" s="983">
        <v>2015</v>
      </c>
      <c r="G461" s="984">
        <v>2020</v>
      </c>
      <c r="H461" s="983">
        <v>2025</v>
      </c>
      <c r="I461" s="983">
        <v>2030</v>
      </c>
      <c r="J461" s="983">
        <v>2035</v>
      </c>
      <c r="K461" s="983">
        <v>2040</v>
      </c>
      <c r="L461" s="983">
        <v>2045</v>
      </c>
      <c r="M461" s="983">
        <v>2050</v>
      </c>
      <c r="N461" s="977"/>
    </row>
    <row r="462" spans="2:14" x14ac:dyDescent="0.25">
      <c r="B462" s="2990"/>
      <c r="C462" s="977"/>
      <c r="D462" s="982" t="s">
        <v>568</v>
      </c>
      <c r="E462" s="981"/>
      <c r="F462" s="3004">
        <f t="shared" ref="F462:M462" si="37">F372/F$37</f>
        <v>1</v>
      </c>
      <c r="G462" s="3004">
        <f t="shared" si="37"/>
        <v>1</v>
      </c>
      <c r="H462" s="3004">
        <f t="shared" si="37"/>
        <v>1</v>
      </c>
      <c r="I462" s="3004">
        <f t="shared" si="37"/>
        <v>1</v>
      </c>
      <c r="J462" s="3004">
        <f t="shared" si="37"/>
        <v>1</v>
      </c>
      <c r="K462" s="3004">
        <f t="shared" si="37"/>
        <v>1</v>
      </c>
      <c r="L462" s="3004">
        <f t="shared" si="37"/>
        <v>1</v>
      </c>
      <c r="M462" s="3004">
        <f t="shared" si="37"/>
        <v>1</v>
      </c>
      <c r="N462" s="977"/>
    </row>
    <row r="463" spans="2:14" x14ac:dyDescent="0.25">
      <c r="B463" s="2990"/>
      <c r="C463" s="977"/>
      <c r="D463" s="982" t="s">
        <v>567</v>
      </c>
      <c r="E463" s="981"/>
      <c r="F463" s="3004">
        <f t="shared" ref="F463:M463" si="38">F373/F$41</f>
        <v>1</v>
      </c>
      <c r="G463" s="3004">
        <f t="shared" si="38"/>
        <v>1</v>
      </c>
      <c r="H463" s="3004">
        <f t="shared" si="38"/>
        <v>1</v>
      </c>
      <c r="I463" s="3004">
        <f t="shared" si="38"/>
        <v>1</v>
      </c>
      <c r="J463" s="3004">
        <f t="shared" si="38"/>
        <v>1</v>
      </c>
      <c r="K463" s="3004">
        <f t="shared" si="38"/>
        <v>1</v>
      </c>
      <c r="L463" s="3004">
        <f t="shared" si="38"/>
        <v>1</v>
      </c>
      <c r="M463" s="3004">
        <f t="shared" si="38"/>
        <v>1</v>
      </c>
      <c r="N463" s="977"/>
    </row>
    <row r="464" spans="2:14" x14ac:dyDescent="0.25">
      <c r="B464" s="2990"/>
      <c r="C464" s="977"/>
      <c r="D464" s="982" t="s">
        <v>566</v>
      </c>
      <c r="E464" s="981"/>
      <c r="F464" s="3004">
        <f t="shared" ref="F464:M464" si="39">F374/F$45</f>
        <v>1</v>
      </c>
      <c r="G464" s="3004">
        <f t="shared" si="39"/>
        <v>1</v>
      </c>
      <c r="H464" s="3004">
        <f t="shared" si="39"/>
        <v>1</v>
      </c>
      <c r="I464" s="3004">
        <f t="shared" si="39"/>
        <v>1</v>
      </c>
      <c r="J464" s="3004">
        <f t="shared" si="39"/>
        <v>1</v>
      </c>
      <c r="K464" s="3004">
        <f t="shared" si="39"/>
        <v>1</v>
      </c>
      <c r="L464" s="3004">
        <f t="shared" si="39"/>
        <v>1</v>
      </c>
      <c r="M464" s="3004">
        <f t="shared" si="39"/>
        <v>1</v>
      </c>
      <c r="N464" s="977"/>
    </row>
    <row r="465" spans="2:14" x14ac:dyDescent="0.25">
      <c r="B465" s="2990"/>
      <c r="C465" s="977"/>
      <c r="D465" s="982" t="s">
        <v>565</v>
      </c>
      <c r="E465" s="981"/>
      <c r="F465" s="3004">
        <f t="shared" ref="F465:M465" si="40">F375/F$49</f>
        <v>1</v>
      </c>
      <c r="G465" s="3004">
        <f t="shared" si="40"/>
        <v>1</v>
      </c>
      <c r="H465" s="3004">
        <f t="shared" si="40"/>
        <v>1</v>
      </c>
      <c r="I465" s="3004">
        <f t="shared" si="40"/>
        <v>1</v>
      </c>
      <c r="J465" s="3004">
        <f t="shared" si="40"/>
        <v>1</v>
      </c>
      <c r="K465" s="3004">
        <f t="shared" si="40"/>
        <v>1</v>
      </c>
      <c r="L465" s="3004">
        <f t="shared" si="40"/>
        <v>1</v>
      </c>
      <c r="M465" s="3004">
        <f t="shared" si="40"/>
        <v>1</v>
      </c>
      <c r="N465" s="977"/>
    </row>
    <row r="466" spans="2:14" x14ac:dyDescent="0.25">
      <c r="B466" s="2990"/>
      <c r="C466" s="977"/>
      <c r="D466" s="982" t="s">
        <v>564</v>
      </c>
      <c r="E466" s="981"/>
      <c r="F466" s="3004">
        <f t="shared" ref="F466:M466" si="41">F376/F$53</f>
        <v>1</v>
      </c>
      <c r="G466" s="3004">
        <f t="shared" si="41"/>
        <v>1</v>
      </c>
      <c r="H466" s="3004">
        <f t="shared" si="41"/>
        <v>1</v>
      </c>
      <c r="I466" s="3004">
        <f t="shared" si="41"/>
        <v>1</v>
      </c>
      <c r="J466" s="3004">
        <f t="shared" si="41"/>
        <v>1</v>
      </c>
      <c r="K466" s="3004">
        <f t="shared" si="41"/>
        <v>1</v>
      </c>
      <c r="L466" s="3004">
        <f t="shared" si="41"/>
        <v>1</v>
      </c>
      <c r="M466" s="3004">
        <f t="shared" si="41"/>
        <v>1</v>
      </c>
      <c r="N466" s="977"/>
    </row>
    <row r="467" spans="2:14" x14ac:dyDescent="0.25">
      <c r="B467" s="2990"/>
      <c r="C467" s="977"/>
      <c r="D467" s="982" t="s">
        <v>563</v>
      </c>
      <c r="E467" s="981"/>
      <c r="F467" s="3004">
        <f t="shared" ref="F467:M467" si="42">F377/F$57</f>
        <v>1</v>
      </c>
      <c r="G467" s="3004">
        <f t="shared" si="42"/>
        <v>1</v>
      </c>
      <c r="H467" s="3004">
        <f t="shared" si="42"/>
        <v>1</v>
      </c>
      <c r="I467" s="3004">
        <f t="shared" si="42"/>
        <v>1</v>
      </c>
      <c r="J467" s="3004">
        <f t="shared" si="42"/>
        <v>1</v>
      </c>
      <c r="K467" s="3004">
        <f t="shared" si="42"/>
        <v>1</v>
      </c>
      <c r="L467" s="3004">
        <f t="shared" si="42"/>
        <v>1</v>
      </c>
      <c r="M467" s="3004">
        <f t="shared" si="42"/>
        <v>1</v>
      </c>
      <c r="N467" s="977"/>
    </row>
    <row r="468" spans="2:14" x14ac:dyDescent="0.25">
      <c r="B468" s="2990"/>
      <c r="C468" s="977"/>
      <c r="D468" s="982" t="s">
        <v>562</v>
      </c>
      <c r="E468" s="981"/>
      <c r="F468" s="3004">
        <f t="shared" ref="F468:M468" si="43">F378/F$61</f>
        <v>1</v>
      </c>
      <c r="G468" s="3004">
        <f t="shared" si="43"/>
        <v>1</v>
      </c>
      <c r="H468" s="3004">
        <f t="shared" si="43"/>
        <v>1</v>
      </c>
      <c r="I468" s="3004">
        <f t="shared" si="43"/>
        <v>1</v>
      </c>
      <c r="J468" s="3004">
        <f t="shared" si="43"/>
        <v>1</v>
      </c>
      <c r="K468" s="3004">
        <f t="shared" si="43"/>
        <v>1</v>
      </c>
      <c r="L468" s="3004">
        <f t="shared" si="43"/>
        <v>1</v>
      </c>
      <c r="M468" s="3004">
        <f t="shared" si="43"/>
        <v>1</v>
      </c>
      <c r="N468" s="977"/>
    </row>
    <row r="469" spans="2:14" x14ac:dyDescent="0.25">
      <c r="B469" s="2990"/>
      <c r="C469" s="977"/>
      <c r="D469" s="982" t="s">
        <v>561</v>
      </c>
      <c r="E469" s="981"/>
      <c r="F469" s="3004">
        <f t="shared" ref="F469:M469" si="44">F379/F$65</f>
        <v>1</v>
      </c>
      <c r="G469" s="3004">
        <f t="shared" si="44"/>
        <v>1</v>
      </c>
      <c r="H469" s="3004">
        <f t="shared" si="44"/>
        <v>1</v>
      </c>
      <c r="I469" s="3004">
        <f t="shared" si="44"/>
        <v>1</v>
      </c>
      <c r="J469" s="3004">
        <f t="shared" si="44"/>
        <v>1</v>
      </c>
      <c r="K469" s="3004">
        <f t="shared" si="44"/>
        <v>1</v>
      </c>
      <c r="L469" s="3004">
        <f t="shared" si="44"/>
        <v>1</v>
      </c>
      <c r="M469" s="3004">
        <f t="shared" si="44"/>
        <v>1</v>
      </c>
      <c r="N469" s="977"/>
    </row>
    <row r="470" spans="2:14" x14ac:dyDescent="0.25">
      <c r="B470" s="2990"/>
      <c r="C470" s="977"/>
      <c r="D470" s="982" t="s">
        <v>560</v>
      </c>
      <c r="E470" s="981"/>
      <c r="F470" s="3004">
        <f t="shared" ref="F470:M470" si="45">F380/F$69</f>
        <v>1</v>
      </c>
      <c r="G470" s="3004">
        <f t="shared" si="45"/>
        <v>1</v>
      </c>
      <c r="H470" s="3004">
        <f t="shared" si="45"/>
        <v>1</v>
      </c>
      <c r="I470" s="3004">
        <f t="shared" si="45"/>
        <v>1</v>
      </c>
      <c r="J470" s="3004">
        <f t="shared" si="45"/>
        <v>1</v>
      </c>
      <c r="K470" s="3004">
        <f t="shared" si="45"/>
        <v>1</v>
      </c>
      <c r="L470" s="3004">
        <f t="shared" si="45"/>
        <v>1</v>
      </c>
      <c r="M470" s="3004">
        <f t="shared" si="45"/>
        <v>1</v>
      </c>
      <c r="N470" s="977"/>
    </row>
    <row r="471" spans="2:14" x14ac:dyDescent="0.25">
      <c r="B471" s="2990"/>
      <c r="C471" s="977"/>
      <c r="D471" s="982" t="s">
        <v>559</v>
      </c>
      <c r="E471" s="981"/>
      <c r="F471" s="3004">
        <f t="shared" ref="F471:M471" si="46">F381/F$73</f>
        <v>1</v>
      </c>
      <c r="G471" s="3004">
        <f t="shared" si="46"/>
        <v>1</v>
      </c>
      <c r="H471" s="3004">
        <f t="shared" si="46"/>
        <v>1</v>
      </c>
      <c r="I471" s="3004">
        <f t="shared" si="46"/>
        <v>1</v>
      </c>
      <c r="J471" s="3004">
        <f t="shared" si="46"/>
        <v>1</v>
      </c>
      <c r="K471" s="3004">
        <f t="shared" si="46"/>
        <v>1</v>
      </c>
      <c r="L471" s="3004">
        <f t="shared" si="46"/>
        <v>1</v>
      </c>
      <c r="M471" s="3004">
        <f t="shared" si="46"/>
        <v>1</v>
      </c>
      <c r="N471" s="977"/>
    </row>
    <row r="472" spans="2:14" x14ac:dyDescent="0.25">
      <c r="B472" s="2990"/>
      <c r="C472" s="980"/>
      <c r="D472" s="979" t="s">
        <v>558</v>
      </c>
      <c r="E472" s="978"/>
      <c r="F472" s="3005">
        <f t="shared" ref="F472:M472" si="47">F382/F$77</f>
        <v>1</v>
      </c>
      <c r="G472" s="3005">
        <f t="shared" si="47"/>
        <v>1</v>
      </c>
      <c r="H472" s="3005">
        <f t="shared" si="47"/>
        <v>1</v>
      </c>
      <c r="I472" s="3005">
        <f t="shared" si="47"/>
        <v>1</v>
      </c>
      <c r="J472" s="3005">
        <f t="shared" si="47"/>
        <v>1</v>
      </c>
      <c r="K472" s="3005">
        <f t="shared" si="47"/>
        <v>1</v>
      </c>
      <c r="L472" s="3005">
        <f t="shared" si="47"/>
        <v>1</v>
      </c>
      <c r="M472" s="3005">
        <f t="shared" si="47"/>
        <v>1</v>
      </c>
      <c r="N472" s="977"/>
    </row>
    <row r="473" spans="2:14" x14ac:dyDescent="0.25">
      <c r="B473" s="2990"/>
      <c r="C473" s="977"/>
      <c r="D473" s="977"/>
      <c r="E473" s="977"/>
      <c r="F473" s="977"/>
      <c r="G473" s="977"/>
      <c r="H473" s="977"/>
      <c r="I473" s="977"/>
      <c r="J473" s="977"/>
      <c r="K473" s="977"/>
      <c r="L473" s="977"/>
      <c r="M473" s="977"/>
      <c r="N473" s="977"/>
    </row>
    <row r="474" spans="2:14" x14ac:dyDescent="0.25">
      <c r="B474" s="2990" t="s">
        <v>1968</v>
      </c>
      <c r="C474" s="986" t="s">
        <v>1909</v>
      </c>
      <c r="D474" s="977"/>
      <c r="E474" s="977"/>
      <c r="F474" s="977"/>
      <c r="G474" s="977"/>
      <c r="H474" s="977"/>
      <c r="I474" s="977"/>
      <c r="J474" s="977"/>
      <c r="K474" s="977"/>
      <c r="L474" s="977"/>
      <c r="M474" s="977" t="s">
        <v>574</v>
      </c>
      <c r="N474" s="977"/>
    </row>
    <row r="475" spans="2:14" ht="5.25" customHeight="1" x14ac:dyDescent="0.25">
      <c r="B475" s="2990"/>
      <c r="C475" s="977"/>
      <c r="D475" s="977"/>
      <c r="E475" s="977"/>
      <c r="F475" s="977"/>
      <c r="G475" s="977"/>
      <c r="H475" s="977"/>
      <c r="I475" s="977"/>
      <c r="J475" s="977"/>
      <c r="K475" s="977"/>
      <c r="L475" s="977"/>
      <c r="M475" s="977"/>
      <c r="N475" s="977"/>
    </row>
    <row r="476" spans="2:14" x14ac:dyDescent="0.25">
      <c r="B476" s="2990"/>
      <c r="C476" s="985" t="s">
        <v>153</v>
      </c>
      <c r="D476" s="985" t="s">
        <v>488</v>
      </c>
      <c r="E476" s="985"/>
      <c r="F476" s="983">
        <v>2015</v>
      </c>
      <c r="G476" s="984">
        <v>2020</v>
      </c>
      <c r="H476" s="983">
        <v>2025</v>
      </c>
      <c r="I476" s="983">
        <v>2030</v>
      </c>
      <c r="J476" s="983">
        <v>2035</v>
      </c>
      <c r="K476" s="983">
        <v>2040</v>
      </c>
      <c r="L476" s="983">
        <v>2045</v>
      </c>
      <c r="M476" s="983">
        <v>2050</v>
      </c>
      <c r="N476" s="977"/>
    </row>
    <row r="477" spans="2:14" x14ac:dyDescent="0.25">
      <c r="B477" s="2990"/>
      <c r="C477" s="977"/>
      <c r="D477" s="982" t="s">
        <v>568</v>
      </c>
      <c r="E477" s="981"/>
      <c r="F477" s="3004">
        <f>1</f>
        <v>1</v>
      </c>
      <c r="G477" s="3004">
        <f t="shared" ref="G477:M487" si="48">1+G404-$F404</f>
        <v>1</v>
      </c>
      <c r="H477" s="3004">
        <f t="shared" si="48"/>
        <v>1</v>
      </c>
      <c r="I477" s="3004">
        <f t="shared" si="48"/>
        <v>1</v>
      </c>
      <c r="J477" s="3004">
        <f t="shared" si="48"/>
        <v>1</v>
      </c>
      <c r="K477" s="3004">
        <f t="shared" si="48"/>
        <v>1</v>
      </c>
      <c r="L477" s="3004">
        <f t="shared" si="48"/>
        <v>1</v>
      </c>
      <c r="M477" s="3004">
        <f t="shared" si="48"/>
        <v>1</v>
      </c>
      <c r="N477" s="977"/>
    </row>
    <row r="478" spans="2:14" x14ac:dyDescent="0.25">
      <c r="B478" s="2990"/>
      <c r="C478" s="977"/>
      <c r="D478" s="982" t="s">
        <v>567</v>
      </c>
      <c r="E478" s="981"/>
      <c r="F478" s="3004">
        <f>1</f>
        <v>1</v>
      </c>
      <c r="G478" s="3004">
        <f t="shared" si="48"/>
        <v>1</v>
      </c>
      <c r="H478" s="3004">
        <f t="shared" si="48"/>
        <v>1</v>
      </c>
      <c r="I478" s="3004">
        <f t="shared" si="48"/>
        <v>1</v>
      </c>
      <c r="J478" s="3004">
        <f t="shared" si="48"/>
        <v>1</v>
      </c>
      <c r="K478" s="3004">
        <f t="shared" si="48"/>
        <v>1</v>
      </c>
      <c r="L478" s="3004">
        <f t="shared" si="48"/>
        <v>1</v>
      </c>
      <c r="M478" s="3004">
        <f t="shared" si="48"/>
        <v>1</v>
      </c>
      <c r="N478" s="977"/>
    </row>
    <row r="479" spans="2:14" x14ac:dyDescent="0.25">
      <c r="B479" s="2990"/>
      <c r="C479" s="977"/>
      <c r="D479" s="982" t="s">
        <v>566</v>
      </c>
      <c r="E479" s="981"/>
      <c r="F479" s="3004">
        <f>1</f>
        <v>1</v>
      </c>
      <c r="G479" s="3004">
        <f t="shared" si="48"/>
        <v>1</v>
      </c>
      <c r="H479" s="3004">
        <f t="shared" si="48"/>
        <v>1</v>
      </c>
      <c r="I479" s="3004">
        <f t="shared" si="48"/>
        <v>1</v>
      </c>
      <c r="J479" s="3004">
        <f t="shared" si="48"/>
        <v>1</v>
      </c>
      <c r="K479" s="3004">
        <f t="shared" si="48"/>
        <v>1</v>
      </c>
      <c r="L479" s="3004">
        <f t="shared" si="48"/>
        <v>1</v>
      </c>
      <c r="M479" s="3004">
        <f t="shared" si="48"/>
        <v>1</v>
      </c>
      <c r="N479" s="977"/>
    </row>
    <row r="480" spans="2:14" x14ac:dyDescent="0.25">
      <c r="B480" s="2990"/>
      <c r="C480" s="977"/>
      <c r="D480" s="982" t="s">
        <v>565</v>
      </c>
      <c r="E480" s="981"/>
      <c r="F480" s="3004">
        <f>1</f>
        <v>1</v>
      </c>
      <c r="G480" s="3004">
        <f t="shared" si="48"/>
        <v>1</v>
      </c>
      <c r="H480" s="3004">
        <f t="shared" si="48"/>
        <v>1</v>
      </c>
      <c r="I480" s="3004">
        <f t="shared" si="48"/>
        <v>1</v>
      </c>
      <c r="J480" s="3004">
        <f t="shared" si="48"/>
        <v>1</v>
      </c>
      <c r="K480" s="3004">
        <f t="shared" si="48"/>
        <v>1</v>
      </c>
      <c r="L480" s="3004">
        <f t="shared" si="48"/>
        <v>1</v>
      </c>
      <c r="M480" s="3004">
        <f t="shared" si="48"/>
        <v>1</v>
      </c>
      <c r="N480" s="977"/>
    </row>
    <row r="481" spans="2:14" x14ac:dyDescent="0.25">
      <c r="B481" s="2990"/>
      <c r="C481" s="977"/>
      <c r="D481" s="982" t="s">
        <v>564</v>
      </c>
      <c r="E481" s="981"/>
      <c r="F481" s="3004">
        <f>1</f>
        <v>1</v>
      </c>
      <c r="G481" s="3004">
        <f t="shared" si="48"/>
        <v>1</v>
      </c>
      <c r="H481" s="3004">
        <f t="shared" si="48"/>
        <v>1</v>
      </c>
      <c r="I481" s="3004">
        <f t="shared" si="48"/>
        <v>1</v>
      </c>
      <c r="J481" s="3004">
        <f t="shared" si="48"/>
        <v>1</v>
      </c>
      <c r="K481" s="3004">
        <f t="shared" si="48"/>
        <v>1</v>
      </c>
      <c r="L481" s="3004">
        <f t="shared" si="48"/>
        <v>1</v>
      </c>
      <c r="M481" s="3004">
        <f t="shared" si="48"/>
        <v>1</v>
      </c>
      <c r="N481" s="977"/>
    </row>
    <row r="482" spans="2:14" x14ac:dyDescent="0.25">
      <c r="B482" s="2990"/>
      <c r="C482" s="977"/>
      <c r="D482" s="982" t="s">
        <v>563</v>
      </c>
      <c r="E482" s="981"/>
      <c r="F482" s="3004">
        <f>1</f>
        <v>1</v>
      </c>
      <c r="G482" s="3004">
        <f t="shared" si="48"/>
        <v>1</v>
      </c>
      <c r="H482" s="3004">
        <f t="shared" si="48"/>
        <v>1</v>
      </c>
      <c r="I482" s="3004">
        <f t="shared" si="48"/>
        <v>1</v>
      </c>
      <c r="J482" s="3004">
        <f t="shared" si="48"/>
        <v>1</v>
      </c>
      <c r="K482" s="3004">
        <f t="shared" si="48"/>
        <v>1</v>
      </c>
      <c r="L482" s="3004">
        <f t="shared" si="48"/>
        <v>1</v>
      </c>
      <c r="M482" s="3004">
        <f t="shared" si="48"/>
        <v>1</v>
      </c>
      <c r="N482" s="977"/>
    </row>
    <row r="483" spans="2:14" x14ac:dyDescent="0.25">
      <c r="B483" s="2990"/>
      <c r="C483" s="977"/>
      <c r="D483" s="982" t="s">
        <v>562</v>
      </c>
      <c r="E483" s="981"/>
      <c r="F483" s="3004">
        <f>1</f>
        <v>1</v>
      </c>
      <c r="G483" s="3004">
        <f t="shared" si="48"/>
        <v>1</v>
      </c>
      <c r="H483" s="3004">
        <f t="shared" si="48"/>
        <v>1</v>
      </c>
      <c r="I483" s="3004">
        <f t="shared" si="48"/>
        <v>1</v>
      </c>
      <c r="J483" s="3004">
        <f t="shared" si="48"/>
        <v>1</v>
      </c>
      <c r="K483" s="3004">
        <f t="shared" si="48"/>
        <v>1</v>
      </c>
      <c r="L483" s="3004">
        <f t="shared" si="48"/>
        <v>1</v>
      </c>
      <c r="M483" s="3004">
        <f t="shared" si="48"/>
        <v>1</v>
      </c>
      <c r="N483" s="977"/>
    </row>
    <row r="484" spans="2:14" x14ac:dyDescent="0.25">
      <c r="B484" s="2990"/>
      <c r="C484" s="977"/>
      <c r="D484" s="982" t="s">
        <v>561</v>
      </c>
      <c r="E484" s="981"/>
      <c r="F484" s="3004">
        <f>1</f>
        <v>1</v>
      </c>
      <c r="G484" s="3004">
        <f t="shared" si="48"/>
        <v>1</v>
      </c>
      <c r="H484" s="3004">
        <f t="shared" si="48"/>
        <v>1</v>
      </c>
      <c r="I484" s="3004">
        <f t="shared" si="48"/>
        <v>1</v>
      </c>
      <c r="J484" s="3004">
        <f t="shared" si="48"/>
        <v>1</v>
      </c>
      <c r="K484" s="3004">
        <f t="shared" si="48"/>
        <v>1</v>
      </c>
      <c r="L484" s="3004">
        <f t="shared" si="48"/>
        <v>1</v>
      </c>
      <c r="M484" s="3004">
        <f t="shared" si="48"/>
        <v>1</v>
      </c>
      <c r="N484" s="977"/>
    </row>
    <row r="485" spans="2:14" x14ac:dyDescent="0.25">
      <c r="B485" s="2990"/>
      <c r="C485" s="977"/>
      <c r="D485" s="982" t="s">
        <v>560</v>
      </c>
      <c r="E485" s="981"/>
      <c r="F485" s="3004">
        <f>1</f>
        <v>1</v>
      </c>
      <c r="G485" s="3004">
        <f t="shared" si="48"/>
        <v>1</v>
      </c>
      <c r="H485" s="3004">
        <f t="shared" si="48"/>
        <v>1</v>
      </c>
      <c r="I485" s="3004">
        <f t="shared" si="48"/>
        <v>1</v>
      </c>
      <c r="J485" s="3004">
        <f t="shared" si="48"/>
        <v>1</v>
      </c>
      <c r="K485" s="3004">
        <f t="shared" si="48"/>
        <v>1</v>
      </c>
      <c r="L485" s="3004">
        <f t="shared" si="48"/>
        <v>1</v>
      </c>
      <c r="M485" s="3004">
        <f t="shared" si="48"/>
        <v>1</v>
      </c>
      <c r="N485" s="977"/>
    </row>
    <row r="486" spans="2:14" x14ac:dyDescent="0.25">
      <c r="B486" s="2990"/>
      <c r="C486" s="977"/>
      <c r="D486" s="982" t="s">
        <v>559</v>
      </c>
      <c r="E486" s="981"/>
      <c r="F486" s="3004">
        <f>1</f>
        <v>1</v>
      </c>
      <c r="G486" s="3004">
        <f t="shared" si="48"/>
        <v>1</v>
      </c>
      <c r="H486" s="3004">
        <f t="shared" si="48"/>
        <v>1</v>
      </c>
      <c r="I486" s="3004">
        <f t="shared" si="48"/>
        <v>1</v>
      </c>
      <c r="J486" s="3004">
        <f t="shared" si="48"/>
        <v>1</v>
      </c>
      <c r="K486" s="3004">
        <f t="shared" si="48"/>
        <v>1</v>
      </c>
      <c r="L486" s="3004">
        <f t="shared" si="48"/>
        <v>1</v>
      </c>
      <c r="M486" s="3004">
        <f t="shared" si="48"/>
        <v>1</v>
      </c>
      <c r="N486" s="977"/>
    </row>
    <row r="487" spans="2:14" x14ac:dyDescent="0.25">
      <c r="B487" s="2990"/>
      <c r="C487" s="980"/>
      <c r="D487" s="979" t="s">
        <v>558</v>
      </c>
      <c r="E487" s="978"/>
      <c r="F487" s="3005">
        <f>1</f>
        <v>1</v>
      </c>
      <c r="G487" s="3005">
        <f t="shared" si="48"/>
        <v>1</v>
      </c>
      <c r="H487" s="3005">
        <f t="shared" si="48"/>
        <v>1</v>
      </c>
      <c r="I487" s="3005">
        <f t="shared" si="48"/>
        <v>1</v>
      </c>
      <c r="J487" s="3005">
        <f t="shared" si="48"/>
        <v>1</v>
      </c>
      <c r="K487" s="3005">
        <f t="shared" si="48"/>
        <v>1</v>
      </c>
      <c r="L487" s="3005">
        <f t="shared" si="48"/>
        <v>1</v>
      </c>
      <c r="M487" s="3005">
        <f t="shared" si="48"/>
        <v>1</v>
      </c>
      <c r="N487" s="977"/>
    </row>
    <row r="488" spans="2:14" x14ac:dyDescent="0.25">
      <c r="B488" s="2990"/>
      <c r="C488" s="977"/>
      <c r="D488" s="977"/>
      <c r="E488" s="977"/>
      <c r="F488" s="977"/>
      <c r="G488" s="977"/>
      <c r="H488" s="977"/>
      <c r="I488" s="977"/>
      <c r="J488" s="977"/>
      <c r="K488" s="977"/>
      <c r="L488" s="977"/>
      <c r="M488" s="977"/>
      <c r="N488" s="977"/>
    </row>
    <row r="489" spans="2:14" x14ac:dyDescent="0.25">
      <c r="B489" s="2990" t="s">
        <v>1969</v>
      </c>
      <c r="C489" s="986" t="s">
        <v>2124</v>
      </c>
      <c r="D489" s="977"/>
      <c r="E489" s="977"/>
      <c r="F489" s="977"/>
      <c r="G489" s="977"/>
      <c r="H489" s="977"/>
      <c r="I489" s="977"/>
      <c r="J489" s="977"/>
      <c r="K489" s="977"/>
      <c r="L489" s="977"/>
      <c r="M489" s="977" t="s">
        <v>574</v>
      </c>
      <c r="N489" s="977"/>
    </row>
    <row r="490" spans="2:14" ht="5.25" customHeight="1" x14ac:dyDescent="0.25">
      <c r="B490" s="2990"/>
      <c r="C490" s="977"/>
      <c r="D490" s="977"/>
      <c r="E490" s="977"/>
      <c r="F490" s="977"/>
      <c r="G490" s="977"/>
      <c r="H490" s="977"/>
      <c r="I490" s="977"/>
      <c r="J490" s="977"/>
      <c r="K490" s="977"/>
      <c r="L490" s="977"/>
      <c r="M490" s="977"/>
      <c r="N490" s="977"/>
    </row>
    <row r="491" spans="2:14" x14ac:dyDescent="0.25">
      <c r="B491" s="2990"/>
      <c r="C491" s="985" t="s">
        <v>153</v>
      </c>
      <c r="D491" s="985" t="s">
        <v>488</v>
      </c>
      <c r="E491" s="985"/>
      <c r="F491" s="983">
        <v>2015</v>
      </c>
      <c r="G491" s="984">
        <v>2020</v>
      </c>
      <c r="H491" s="983">
        <v>2025</v>
      </c>
      <c r="I491" s="983">
        <v>2030</v>
      </c>
      <c r="J491" s="983">
        <v>2035</v>
      </c>
      <c r="K491" s="983">
        <v>2040</v>
      </c>
      <c r="L491" s="983">
        <v>2045</v>
      </c>
      <c r="M491" s="983">
        <v>2050</v>
      </c>
      <c r="N491" s="977"/>
    </row>
    <row r="492" spans="2:14" x14ac:dyDescent="0.25">
      <c r="B492" s="2990"/>
      <c r="C492" s="977"/>
      <c r="D492" s="982" t="s">
        <v>568</v>
      </c>
      <c r="E492" s="981"/>
      <c r="F492" s="3004">
        <f t="shared" ref="F492:M502" si="49">1+F423-$F423</f>
        <v>1</v>
      </c>
      <c r="G492" s="3004">
        <f t="shared" si="49"/>
        <v>1</v>
      </c>
      <c r="H492" s="3004">
        <f t="shared" si="49"/>
        <v>1</v>
      </c>
      <c r="I492" s="3004">
        <f t="shared" si="49"/>
        <v>1</v>
      </c>
      <c r="J492" s="3004">
        <f t="shared" si="49"/>
        <v>1</v>
      </c>
      <c r="K492" s="3004">
        <f t="shared" si="49"/>
        <v>1</v>
      </c>
      <c r="L492" s="3004">
        <f t="shared" si="49"/>
        <v>1</v>
      </c>
      <c r="M492" s="3004">
        <f t="shared" si="49"/>
        <v>1</v>
      </c>
      <c r="N492" s="977"/>
    </row>
    <row r="493" spans="2:14" x14ac:dyDescent="0.25">
      <c r="B493" s="2990"/>
      <c r="C493" s="977"/>
      <c r="D493" s="982" t="s">
        <v>567</v>
      </c>
      <c r="E493" s="981"/>
      <c r="F493" s="3004">
        <f t="shared" si="49"/>
        <v>1</v>
      </c>
      <c r="G493" s="3004">
        <f t="shared" si="49"/>
        <v>1</v>
      </c>
      <c r="H493" s="3004">
        <f t="shared" si="49"/>
        <v>1</v>
      </c>
      <c r="I493" s="3004">
        <f t="shared" si="49"/>
        <v>1</v>
      </c>
      <c r="J493" s="3004">
        <f t="shared" si="49"/>
        <v>1</v>
      </c>
      <c r="K493" s="3004">
        <f t="shared" si="49"/>
        <v>1</v>
      </c>
      <c r="L493" s="3004">
        <f t="shared" si="49"/>
        <v>1</v>
      </c>
      <c r="M493" s="3004">
        <f t="shared" si="49"/>
        <v>1</v>
      </c>
      <c r="N493" s="977"/>
    </row>
    <row r="494" spans="2:14" x14ac:dyDescent="0.25">
      <c r="B494" s="2990"/>
      <c r="C494" s="977"/>
      <c r="D494" s="982" t="s">
        <v>566</v>
      </c>
      <c r="E494" s="981"/>
      <c r="F494" s="3004">
        <f t="shared" si="49"/>
        <v>1</v>
      </c>
      <c r="G494" s="3004">
        <f t="shared" si="49"/>
        <v>1</v>
      </c>
      <c r="H494" s="3004">
        <f t="shared" si="49"/>
        <v>1</v>
      </c>
      <c r="I494" s="3004">
        <f t="shared" si="49"/>
        <v>1</v>
      </c>
      <c r="J494" s="3004">
        <f t="shared" si="49"/>
        <v>1</v>
      </c>
      <c r="K494" s="3004">
        <f t="shared" si="49"/>
        <v>1</v>
      </c>
      <c r="L494" s="3004">
        <f t="shared" si="49"/>
        <v>1</v>
      </c>
      <c r="M494" s="3004">
        <f t="shared" si="49"/>
        <v>1</v>
      </c>
      <c r="N494" s="977"/>
    </row>
    <row r="495" spans="2:14" x14ac:dyDescent="0.25">
      <c r="B495" s="2990"/>
      <c r="C495" s="977"/>
      <c r="D495" s="982" t="s">
        <v>565</v>
      </c>
      <c r="E495" s="981"/>
      <c r="F495" s="3004">
        <f t="shared" si="49"/>
        <v>1</v>
      </c>
      <c r="G495" s="3004">
        <f t="shared" si="49"/>
        <v>1</v>
      </c>
      <c r="H495" s="3004">
        <f t="shared" si="49"/>
        <v>1</v>
      </c>
      <c r="I495" s="3004">
        <f t="shared" si="49"/>
        <v>1</v>
      </c>
      <c r="J495" s="3004">
        <f t="shared" si="49"/>
        <v>1</v>
      </c>
      <c r="K495" s="3004">
        <f t="shared" si="49"/>
        <v>1</v>
      </c>
      <c r="L495" s="3004">
        <f t="shared" si="49"/>
        <v>1</v>
      </c>
      <c r="M495" s="3004">
        <f t="shared" si="49"/>
        <v>1</v>
      </c>
      <c r="N495" s="977"/>
    </row>
    <row r="496" spans="2:14" x14ac:dyDescent="0.25">
      <c r="B496" s="2990"/>
      <c r="C496" s="977"/>
      <c r="D496" s="982" t="s">
        <v>564</v>
      </c>
      <c r="E496" s="981"/>
      <c r="F496" s="3004">
        <f t="shared" si="49"/>
        <v>1</v>
      </c>
      <c r="G496" s="3004">
        <f t="shared" si="49"/>
        <v>1</v>
      </c>
      <c r="H496" s="3004">
        <f t="shared" si="49"/>
        <v>1</v>
      </c>
      <c r="I496" s="3004">
        <f t="shared" si="49"/>
        <v>1</v>
      </c>
      <c r="J496" s="3004">
        <f t="shared" si="49"/>
        <v>1</v>
      </c>
      <c r="K496" s="3004">
        <f t="shared" si="49"/>
        <v>1</v>
      </c>
      <c r="L496" s="3004">
        <f t="shared" si="49"/>
        <v>1</v>
      </c>
      <c r="M496" s="3004">
        <f t="shared" si="49"/>
        <v>1</v>
      </c>
      <c r="N496" s="977"/>
    </row>
    <row r="497" spans="1:14" x14ac:dyDescent="0.25">
      <c r="B497" s="2990"/>
      <c r="C497" s="977"/>
      <c r="D497" s="982" t="s">
        <v>563</v>
      </c>
      <c r="E497" s="981"/>
      <c r="F497" s="3004">
        <f t="shared" si="49"/>
        <v>1</v>
      </c>
      <c r="G497" s="3004">
        <f t="shared" si="49"/>
        <v>1</v>
      </c>
      <c r="H497" s="3004">
        <f t="shared" si="49"/>
        <v>1</v>
      </c>
      <c r="I497" s="3004">
        <f t="shared" si="49"/>
        <v>1</v>
      </c>
      <c r="J497" s="3004">
        <f t="shared" si="49"/>
        <v>1</v>
      </c>
      <c r="K497" s="3004">
        <f t="shared" si="49"/>
        <v>1</v>
      </c>
      <c r="L497" s="3004">
        <f t="shared" si="49"/>
        <v>1</v>
      </c>
      <c r="M497" s="3004">
        <f t="shared" si="49"/>
        <v>1</v>
      </c>
      <c r="N497" s="977"/>
    </row>
    <row r="498" spans="1:14" x14ac:dyDescent="0.25">
      <c r="B498" s="2990"/>
      <c r="C498" s="977"/>
      <c r="D498" s="982" t="s">
        <v>562</v>
      </c>
      <c r="E498" s="981"/>
      <c r="F498" s="3004">
        <f t="shared" si="49"/>
        <v>1</v>
      </c>
      <c r="G498" s="3004">
        <f t="shared" si="49"/>
        <v>1</v>
      </c>
      <c r="H498" s="3004">
        <f t="shared" si="49"/>
        <v>1</v>
      </c>
      <c r="I498" s="3004">
        <f t="shared" si="49"/>
        <v>1</v>
      </c>
      <c r="J498" s="3004">
        <f t="shared" si="49"/>
        <v>1</v>
      </c>
      <c r="K498" s="3004">
        <f t="shared" si="49"/>
        <v>1</v>
      </c>
      <c r="L498" s="3004">
        <f t="shared" si="49"/>
        <v>1</v>
      </c>
      <c r="M498" s="3004">
        <f t="shared" si="49"/>
        <v>1</v>
      </c>
      <c r="N498" s="977"/>
    </row>
    <row r="499" spans="1:14" x14ac:dyDescent="0.25">
      <c r="B499" s="2990"/>
      <c r="C499" s="977"/>
      <c r="D499" s="982" t="s">
        <v>561</v>
      </c>
      <c r="E499" s="981"/>
      <c r="F499" s="3004">
        <f t="shared" si="49"/>
        <v>1</v>
      </c>
      <c r="G499" s="3004">
        <f t="shared" si="49"/>
        <v>1</v>
      </c>
      <c r="H499" s="3004">
        <f t="shared" si="49"/>
        <v>1</v>
      </c>
      <c r="I499" s="3004">
        <f t="shared" si="49"/>
        <v>1</v>
      </c>
      <c r="J499" s="3004">
        <f t="shared" si="49"/>
        <v>1</v>
      </c>
      <c r="K499" s="3004">
        <f t="shared" si="49"/>
        <v>1</v>
      </c>
      <c r="L499" s="3004">
        <f t="shared" si="49"/>
        <v>1</v>
      </c>
      <c r="M499" s="3004">
        <f t="shared" si="49"/>
        <v>1</v>
      </c>
      <c r="N499" s="977"/>
    </row>
    <row r="500" spans="1:14" x14ac:dyDescent="0.25">
      <c r="B500" s="2990"/>
      <c r="C500" s="977"/>
      <c r="D500" s="982" t="s">
        <v>560</v>
      </c>
      <c r="E500" s="981"/>
      <c r="F500" s="3004">
        <f t="shared" si="49"/>
        <v>1</v>
      </c>
      <c r="G500" s="3004">
        <f t="shared" si="49"/>
        <v>1</v>
      </c>
      <c r="H500" s="3004">
        <f t="shared" si="49"/>
        <v>1</v>
      </c>
      <c r="I500" s="3004">
        <f t="shared" si="49"/>
        <v>1</v>
      </c>
      <c r="J500" s="3004">
        <f t="shared" si="49"/>
        <v>1</v>
      </c>
      <c r="K500" s="3004">
        <f t="shared" si="49"/>
        <v>1</v>
      </c>
      <c r="L500" s="3004">
        <f t="shared" si="49"/>
        <v>1</v>
      </c>
      <c r="M500" s="3004">
        <f t="shared" si="49"/>
        <v>1</v>
      </c>
      <c r="N500" s="977"/>
    </row>
    <row r="501" spans="1:14" x14ac:dyDescent="0.25">
      <c r="B501" s="2990"/>
      <c r="C501" s="977"/>
      <c r="D501" s="982" t="s">
        <v>559</v>
      </c>
      <c r="E501" s="981"/>
      <c r="F501" s="3004">
        <f t="shared" si="49"/>
        <v>1</v>
      </c>
      <c r="G501" s="3004">
        <f t="shared" si="49"/>
        <v>1</v>
      </c>
      <c r="H501" s="3004">
        <f t="shared" si="49"/>
        <v>1</v>
      </c>
      <c r="I501" s="3004">
        <f t="shared" si="49"/>
        <v>1</v>
      </c>
      <c r="J501" s="3004">
        <f t="shared" si="49"/>
        <v>1</v>
      </c>
      <c r="K501" s="3004">
        <f t="shared" si="49"/>
        <v>1</v>
      </c>
      <c r="L501" s="3004">
        <f t="shared" si="49"/>
        <v>1</v>
      </c>
      <c r="M501" s="3004">
        <f t="shared" si="49"/>
        <v>1</v>
      </c>
      <c r="N501" s="977"/>
    </row>
    <row r="502" spans="1:14" x14ac:dyDescent="0.25">
      <c r="B502" s="2990"/>
      <c r="C502" s="980"/>
      <c r="D502" s="979" t="s">
        <v>558</v>
      </c>
      <c r="E502" s="978"/>
      <c r="F502" s="3005">
        <f t="shared" si="49"/>
        <v>1</v>
      </c>
      <c r="G502" s="3005">
        <f t="shared" si="49"/>
        <v>1</v>
      </c>
      <c r="H502" s="3005">
        <f t="shared" si="49"/>
        <v>1</v>
      </c>
      <c r="I502" s="3005">
        <f t="shared" si="49"/>
        <v>1</v>
      </c>
      <c r="J502" s="3005">
        <f t="shared" si="49"/>
        <v>1</v>
      </c>
      <c r="K502" s="3005">
        <f t="shared" si="49"/>
        <v>1</v>
      </c>
      <c r="L502" s="3005">
        <f t="shared" si="49"/>
        <v>1</v>
      </c>
      <c r="M502" s="3005">
        <f t="shared" si="49"/>
        <v>1</v>
      </c>
      <c r="N502" s="977"/>
    </row>
    <row r="503" spans="1:14" x14ac:dyDescent="0.25">
      <c r="B503" s="2990"/>
      <c r="C503" s="977"/>
      <c r="D503" s="977"/>
      <c r="E503" s="977"/>
      <c r="F503" s="977"/>
      <c r="G503" s="977"/>
      <c r="H503" s="977"/>
      <c r="I503" s="977"/>
      <c r="J503" s="977"/>
      <c r="K503" s="977"/>
      <c r="L503" s="977"/>
      <c r="M503" s="977"/>
      <c r="N503" s="977"/>
    </row>
    <row r="504" spans="1:14" x14ac:dyDescent="0.25">
      <c r="B504" s="2990"/>
      <c r="C504" s="977"/>
      <c r="D504" s="977"/>
      <c r="E504" s="977"/>
      <c r="F504" s="977"/>
      <c r="G504" s="977"/>
      <c r="H504" s="977"/>
      <c r="I504" s="977"/>
      <c r="J504" s="977"/>
      <c r="K504" s="977"/>
      <c r="L504" s="977"/>
      <c r="M504" s="977"/>
      <c r="N504" s="977"/>
    </row>
    <row r="506" spans="1:14" ht="21" x14ac:dyDescent="0.35">
      <c r="A506" s="851"/>
      <c r="B506" s="853" t="s">
        <v>229</v>
      </c>
      <c r="C506" s="963"/>
      <c r="D506" s="969"/>
    </row>
    <row r="507" spans="1:14" x14ac:dyDescent="0.25">
      <c r="A507" s="853" t="s">
        <v>701</v>
      </c>
      <c r="B507" s="853" t="s">
        <v>2064</v>
      </c>
      <c r="C507" s="963"/>
      <c r="D507" s="969"/>
    </row>
    <row r="508" spans="1:14" x14ac:dyDescent="0.25">
      <c r="A508" s="853" t="s">
        <v>702</v>
      </c>
      <c r="B508" s="853" t="s">
        <v>524</v>
      </c>
      <c r="C508" s="963"/>
      <c r="D508" s="969"/>
    </row>
    <row r="509" spans="1:14" x14ac:dyDescent="0.25">
      <c r="A509" s="853" t="s">
        <v>703</v>
      </c>
      <c r="B509" s="853" t="s">
        <v>2063</v>
      </c>
      <c r="C509" s="963"/>
      <c r="D509" s="969"/>
    </row>
    <row r="510" spans="1:14" x14ac:dyDescent="0.25">
      <c r="A510" s="853" t="s">
        <v>704</v>
      </c>
      <c r="B510" s="853" t="s">
        <v>525</v>
      </c>
      <c r="D510" s="969"/>
    </row>
    <row r="512" spans="1:14" x14ac:dyDescent="0.25">
      <c r="D512" s="957"/>
      <c r="F512" s="970"/>
      <c r="G512" s="970"/>
      <c r="H512" s="970"/>
      <c r="I512" s="970"/>
      <c r="J512" s="970"/>
      <c r="K512" s="970"/>
      <c r="L512" s="970"/>
      <c r="M512" s="970"/>
    </row>
    <row r="513" spans="1:13" x14ac:dyDescent="0.25">
      <c r="A513" s="853" t="s">
        <v>701</v>
      </c>
      <c r="B513" s="853" t="s">
        <v>2064</v>
      </c>
      <c r="C513" s="963"/>
    </row>
    <row r="514" spans="1:13" outlineLevel="1" x14ac:dyDescent="0.25">
      <c r="B514" s="961"/>
      <c r="C514" s="961"/>
    </row>
    <row r="515" spans="1:13" outlineLevel="1" x14ac:dyDescent="0.25">
      <c r="B515" s="941"/>
      <c r="C515" s="955"/>
      <c r="F515" s="974">
        <v>2015</v>
      </c>
      <c r="G515" s="974">
        <v>2020</v>
      </c>
      <c r="H515" s="974">
        <v>2025</v>
      </c>
      <c r="I515" s="974">
        <v>2030</v>
      </c>
      <c r="J515" s="974">
        <v>2035</v>
      </c>
      <c r="K515" s="974">
        <v>2040</v>
      </c>
      <c r="L515" s="974">
        <v>2045</v>
      </c>
      <c r="M515" s="974">
        <v>2050</v>
      </c>
    </row>
    <row r="516" spans="1:13" outlineLevel="1" x14ac:dyDescent="0.25">
      <c r="C516" s="957" t="s">
        <v>568</v>
      </c>
      <c r="G516" s="929"/>
      <c r="H516" s="929"/>
      <c r="I516" s="929"/>
      <c r="J516" s="929"/>
      <c r="K516" s="929"/>
      <c r="L516" s="929"/>
      <c r="M516" s="929"/>
    </row>
    <row r="517" spans="1:13" outlineLevel="1" x14ac:dyDescent="0.25">
      <c r="C517" s="956" t="s">
        <v>333</v>
      </c>
      <c r="D517" s="929" t="s">
        <v>532</v>
      </c>
      <c r="E517" s="928" t="s">
        <v>171</v>
      </c>
      <c r="F517" s="3031">
        <f t="shared" ref="F517:M517" si="50">F27*$D295*$D314</f>
        <v>8.472213930163998E-4</v>
      </c>
      <c r="G517" s="3031">
        <f t="shared" si="50"/>
        <v>9.895927137944171E-4</v>
      </c>
      <c r="H517" s="3031">
        <f t="shared" si="50"/>
        <v>1.1230206522722069E-3</v>
      </c>
      <c r="I517" s="3031">
        <f t="shared" si="50"/>
        <v>1.2288520086947018E-3</v>
      </c>
      <c r="J517" s="3031">
        <f t="shared" si="50"/>
        <v>1.3633216243153293E-3</v>
      </c>
      <c r="K517" s="3031">
        <f t="shared" si="50"/>
        <v>1.5034934173897513E-3</v>
      </c>
      <c r="L517" s="3031">
        <f t="shared" si="50"/>
        <v>1.6371889725421227E-3</v>
      </c>
      <c r="M517" s="3031">
        <f t="shared" si="50"/>
        <v>1.7623726507403849E-3</v>
      </c>
    </row>
    <row r="518" spans="1:13" outlineLevel="1" x14ac:dyDescent="0.25">
      <c r="C518" s="956" t="s">
        <v>335</v>
      </c>
      <c r="D518" s="929" t="s">
        <v>332</v>
      </c>
      <c r="E518" s="928" t="s">
        <v>171</v>
      </c>
      <c r="F518" s="3031">
        <f t="shared" ref="F518:M518" si="51">F27*$D295*$E314</f>
        <v>0.49003271443314578</v>
      </c>
      <c r="G518" s="3031">
        <f t="shared" si="51"/>
        <v>0.572380262964576</v>
      </c>
      <c r="H518" s="3031">
        <f t="shared" si="51"/>
        <v>0.64955496064389251</v>
      </c>
      <c r="I518" s="3031">
        <f t="shared" si="51"/>
        <v>0.71076779979944615</v>
      </c>
      <c r="J518" s="3031">
        <f t="shared" si="51"/>
        <v>0.7885450033669229</v>
      </c>
      <c r="K518" s="3031">
        <f t="shared" si="51"/>
        <v>0.86962034543620748</v>
      </c>
      <c r="L518" s="3031">
        <f t="shared" si="51"/>
        <v>0.94694983255610443</v>
      </c>
      <c r="M518" s="3031">
        <f t="shared" si="51"/>
        <v>1.0193560514451407</v>
      </c>
    </row>
    <row r="519" spans="1:13" outlineLevel="1" x14ac:dyDescent="0.25">
      <c r="C519" s="956" t="s">
        <v>330</v>
      </c>
      <c r="D519" s="929" t="s">
        <v>387</v>
      </c>
      <c r="E519" s="928" t="s">
        <v>171</v>
      </c>
      <c r="F519" s="3031">
        <f t="shared" ref="F519:M519" si="52">F27*$D295*$F314</f>
        <v>0</v>
      </c>
      <c r="G519" s="3031">
        <f t="shared" si="52"/>
        <v>0</v>
      </c>
      <c r="H519" s="3031">
        <f t="shared" si="52"/>
        <v>0</v>
      </c>
      <c r="I519" s="3031">
        <f t="shared" si="52"/>
        <v>0</v>
      </c>
      <c r="J519" s="3031">
        <f t="shared" si="52"/>
        <v>0</v>
      </c>
      <c r="K519" s="3031">
        <f t="shared" si="52"/>
        <v>0</v>
      </c>
      <c r="L519" s="3031">
        <f t="shared" si="52"/>
        <v>0</v>
      </c>
      <c r="M519" s="3031">
        <f t="shared" si="52"/>
        <v>0</v>
      </c>
    </row>
    <row r="520" spans="1:13" outlineLevel="1" x14ac:dyDescent="0.25">
      <c r="C520" s="956" t="s">
        <v>330</v>
      </c>
      <c r="D520" s="929" t="s">
        <v>331</v>
      </c>
      <c r="E520" s="928" t="s">
        <v>171</v>
      </c>
      <c r="F520" s="3031">
        <f t="shared" ref="F520:M520" si="53">F27*$D295*$G314</f>
        <v>0</v>
      </c>
      <c r="G520" s="3031">
        <f t="shared" si="53"/>
        <v>0</v>
      </c>
      <c r="H520" s="3031">
        <f t="shared" si="53"/>
        <v>0</v>
      </c>
      <c r="I520" s="3031">
        <f t="shared" si="53"/>
        <v>0</v>
      </c>
      <c r="J520" s="3031">
        <f t="shared" si="53"/>
        <v>0</v>
      </c>
      <c r="K520" s="3031">
        <f t="shared" si="53"/>
        <v>0</v>
      </c>
      <c r="L520" s="3031">
        <f t="shared" si="53"/>
        <v>0</v>
      </c>
      <c r="M520" s="3031">
        <f t="shared" si="53"/>
        <v>0</v>
      </c>
    </row>
    <row r="521" spans="1:13" outlineLevel="1" x14ac:dyDescent="0.25">
      <c r="C521" s="956" t="s">
        <v>149</v>
      </c>
      <c r="D521" s="929" t="s">
        <v>533</v>
      </c>
      <c r="E521" s="928" t="s">
        <v>171</v>
      </c>
      <c r="F521" s="3031">
        <f t="shared" ref="F521:M521" si="54">F27*$D295*$H314</f>
        <v>0.42183317356627531</v>
      </c>
      <c r="G521" s="3031">
        <f t="shared" si="54"/>
        <v>0.49272013010875565</v>
      </c>
      <c r="H521" s="3031">
        <f t="shared" si="54"/>
        <v>0.55915415927095635</v>
      </c>
      <c r="I521" s="3031">
        <f t="shared" si="54"/>
        <v>0.61184779674342338</v>
      </c>
      <c r="J521" s="3031">
        <f t="shared" si="54"/>
        <v>0.67880047897389728</v>
      </c>
      <c r="K521" s="3031">
        <f t="shared" si="54"/>
        <v>0.7485922864098955</v>
      </c>
      <c r="L521" s="3031">
        <f t="shared" si="54"/>
        <v>0.815159562433033</v>
      </c>
      <c r="M521" s="3031">
        <f t="shared" si="54"/>
        <v>0.87748875842401541</v>
      </c>
    </row>
    <row r="522" spans="1:13" outlineLevel="1" x14ac:dyDescent="0.25">
      <c r="C522" s="961" t="s">
        <v>118</v>
      </c>
      <c r="D522" s="976"/>
      <c r="E522" s="971" t="s">
        <v>171</v>
      </c>
      <c r="F522" s="959">
        <f>SUM(F517:F521)</f>
        <v>0.91271310939243744</v>
      </c>
      <c r="G522" s="959">
        <f t="shared" ref="G522:M522" si="55">SUM(G517:G521)</f>
        <v>1.066089985787126</v>
      </c>
      <c r="H522" s="959">
        <f t="shared" si="55"/>
        <v>1.2098321405671211</v>
      </c>
      <c r="I522" s="959">
        <f t="shared" si="55"/>
        <v>1.3238444485515641</v>
      </c>
      <c r="J522" s="959">
        <f t="shared" si="55"/>
        <v>1.4687088039651355</v>
      </c>
      <c r="K522" s="959">
        <f t="shared" si="55"/>
        <v>1.6197161252634928</v>
      </c>
      <c r="L522" s="959">
        <f t="shared" si="55"/>
        <v>1.7637465839616797</v>
      </c>
      <c r="M522" s="959">
        <f t="shared" si="55"/>
        <v>1.8986071825198965</v>
      </c>
    </row>
    <row r="523" spans="1:13" outlineLevel="1" x14ac:dyDescent="0.25">
      <c r="C523" s="956"/>
      <c r="D523" s="957" t="s">
        <v>536</v>
      </c>
      <c r="E523" s="928" t="s">
        <v>171</v>
      </c>
      <c r="F523" s="3031">
        <f t="shared" ref="F523:M523" si="56">INDEX($C$332:$F$343,MATCH($C$516,$C$332:$C$343,0),MATCH($D$523,$C$332:$F$332,0))*F522</f>
        <v>4.0088251085382554E-2</v>
      </c>
      <c r="G523" s="3031">
        <f t="shared" si="56"/>
        <v>4.6824881323656316E-2</v>
      </c>
      <c r="H523" s="3031">
        <f t="shared" si="56"/>
        <v>5.3138334623576797E-2</v>
      </c>
      <c r="I523" s="3031">
        <f t="shared" si="56"/>
        <v>5.8145991446153587E-2</v>
      </c>
      <c r="J523" s="3031">
        <f t="shared" si="56"/>
        <v>6.4508734123320907E-2</v>
      </c>
      <c r="K523" s="3031">
        <f t="shared" si="56"/>
        <v>7.1141288591580143E-2</v>
      </c>
      <c r="L523" s="3031">
        <f t="shared" si="56"/>
        <v>7.7467404797009962E-2</v>
      </c>
      <c r="M523" s="3031">
        <f t="shared" si="56"/>
        <v>8.3390761743340647E-2</v>
      </c>
    </row>
    <row r="524" spans="1:13" outlineLevel="1" x14ac:dyDescent="0.25">
      <c r="C524" s="956"/>
      <c r="D524" s="975" t="s">
        <v>537</v>
      </c>
      <c r="E524" s="928" t="s">
        <v>171</v>
      </c>
      <c r="F524" s="3031">
        <f t="shared" ref="F524:M524" si="57">INDEX($C$332:$F$343,MATCH($C$516,$C$332:$C$343,0),MATCH($D$524,$C$332:$F$332,0))*F522</f>
        <v>0.87186248276521394</v>
      </c>
      <c r="G524" s="3031">
        <f t="shared" si="57"/>
        <v>1.0183746155220905</v>
      </c>
      <c r="H524" s="3031">
        <f t="shared" si="57"/>
        <v>1.1556832513407782</v>
      </c>
      <c r="I524" s="3031">
        <f t="shared" si="57"/>
        <v>1.2645926697354346</v>
      </c>
      <c r="J524" s="3031">
        <f t="shared" si="57"/>
        <v>1.4029732794531296</v>
      </c>
      <c r="K524" s="3031">
        <f t="shared" si="57"/>
        <v>1.5472219121374462</v>
      </c>
      <c r="L524" s="3031">
        <f t="shared" si="57"/>
        <v>1.6848059481528865</v>
      </c>
      <c r="M524" s="3031">
        <f t="shared" si="57"/>
        <v>1.8136305427338044</v>
      </c>
    </row>
    <row r="525" spans="1:13" outlineLevel="1" x14ac:dyDescent="0.25">
      <c r="C525" s="956"/>
      <c r="D525" s="957" t="s">
        <v>573</v>
      </c>
      <c r="E525" s="928" t="s">
        <v>171</v>
      </c>
      <c r="F525" s="3031">
        <f t="shared" ref="F525:M525" si="58">INDEX($C$332:$F$343,MATCH($C$516,$C$332:$C$343,0),MATCH($D$525,$C$332:$F$332,0))*F522</f>
        <v>7.6237554184091494E-4</v>
      </c>
      <c r="G525" s="3031">
        <f t="shared" si="58"/>
        <v>8.9048894137902903E-4</v>
      </c>
      <c r="H525" s="3031">
        <f t="shared" si="58"/>
        <v>1.0105546027660193E-3</v>
      </c>
      <c r="I525" s="3031">
        <f t="shared" si="58"/>
        <v>1.1057873699758963E-3</v>
      </c>
      <c r="J525" s="3031">
        <f t="shared" si="58"/>
        <v>1.2267903886849991E-3</v>
      </c>
      <c r="K525" s="3031">
        <f t="shared" si="58"/>
        <v>1.3529245344664864E-3</v>
      </c>
      <c r="L525" s="3031">
        <f t="shared" si="58"/>
        <v>1.4732310117830218E-3</v>
      </c>
      <c r="M525" s="3031">
        <f t="shared" si="58"/>
        <v>1.5858780427512203E-3</v>
      </c>
    </row>
    <row r="526" spans="1:13" outlineLevel="1" x14ac:dyDescent="0.25">
      <c r="C526" s="955"/>
      <c r="E526" s="956"/>
      <c r="F526" s="3031"/>
      <c r="G526" s="962"/>
      <c r="H526" s="962"/>
      <c r="I526" s="962"/>
      <c r="J526" s="962"/>
      <c r="K526" s="962"/>
      <c r="L526" s="962"/>
      <c r="M526" s="962"/>
    </row>
    <row r="527" spans="1:13" outlineLevel="1" x14ac:dyDescent="0.25">
      <c r="C527" s="957" t="s">
        <v>567</v>
      </c>
      <c r="E527" s="956"/>
      <c r="F527" s="3031"/>
      <c r="G527" s="962"/>
      <c r="H527" s="962"/>
      <c r="I527" s="962"/>
      <c r="J527" s="962"/>
      <c r="K527" s="962"/>
      <c r="L527" s="962"/>
      <c r="M527" s="962"/>
    </row>
    <row r="528" spans="1:13" outlineLevel="1" x14ac:dyDescent="0.25">
      <c r="C528" s="956" t="s">
        <v>333</v>
      </c>
      <c r="D528" s="929" t="s">
        <v>532</v>
      </c>
      <c r="E528" s="928" t="s">
        <v>171</v>
      </c>
      <c r="F528" s="3031">
        <f t="shared" ref="F528:M528" si="59">F27*$D296*$D315</f>
        <v>6.2564491789370891</v>
      </c>
      <c r="G528" s="3031">
        <f t="shared" si="59"/>
        <v>7.307814194419616</v>
      </c>
      <c r="H528" s="3031">
        <f t="shared" si="59"/>
        <v>8.293135295866918</v>
      </c>
      <c r="I528" s="3031">
        <f t="shared" si="59"/>
        <v>9.0746647856239111</v>
      </c>
      <c r="J528" s="3031">
        <f t="shared" si="59"/>
        <v>10.067678327510921</v>
      </c>
      <c r="K528" s="3031">
        <f t="shared" si="59"/>
        <v>11.102800559927958</v>
      </c>
      <c r="L528" s="3031">
        <f t="shared" si="59"/>
        <v>12.090097921816458</v>
      </c>
      <c r="M528" s="3031">
        <f t="shared" si="59"/>
        <v>13.014537893629917</v>
      </c>
    </row>
    <row r="529" spans="3:13" outlineLevel="1" x14ac:dyDescent="0.25">
      <c r="C529" s="956" t="s">
        <v>335</v>
      </c>
      <c r="D529" s="929" t="s">
        <v>332</v>
      </c>
      <c r="E529" s="928" t="s">
        <v>171</v>
      </c>
      <c r="F529" s="3031">
        <f t="shared" ref="F529:M529" si="60">F27*$D296*$E315</f>
        <v>0.16755887099254177</v>
      </c>
      <c r="G529" s="3031">
        <f t="shared" si="60"/>
        <v>0.19571630182221844</v>
      </c>
      <c r="H529" s="3031">
        <f t="shared" si="60"/>
        <v>0.22210495880667211</v>
      </c>
      <c r="I529" s="3031">
        <f t="shared" si="60"/>
        <v>0.24303571285034301</v>
      </c>
      <c r="J529" s="3031">
        <f t="shared" si="60"/>
        <v>0.26963038711367016</v>
      </c>
      <c r="K529" s="3031">
        <f t="shared" si="60"/>
        <v>0.29735280723449414</v>
      </c>
      <c r="L529" s="3031">
        <f t="shared" si="60"/>
        <v>0.32379439199936183</v>
      </c>
      <c r="M529" s="3031">
        <f t="shared" si="60"/>
        <v>0.34855254371566113</v>
      </c>
    </row>
    <row r="530" spans="3:13" outlineLevel="1" x14ac:dyDescent="0.25">
      <c r="C530" s="956" t="s">
        <v>330</v>
      </c>
      <c r="D530" s="929" t="s">
        <v>387</v>
      </c>
      <c r="E530" s="928" t="s">
        <v>171</v>
      </c>
      <c r="F530" s="3031">
        <f t="shared" ref="F530:M530" si="61">F27*$D296*$F315</f>
        <v>0</v>
      </c>
      <c r="G530" s="3031">
        <f t="shared" si="61"/>
        <v>0</v>
      </c>
      <c r="H530" s="3031">
        <f t="shared" si="61"/>
        <v>0</v>
      </c>
      <c r="I530" s="3031">
        <f t="shared" si="61"/>
        <v>0</v>
      </c>
      <c r="J530" s="3031">
        <f t="shared" si="61"/>
        <v>0</v>
      </c>
      <c r="K530" s="3031">
        <f t="shared" si="61"/>
        <v>0</v>
      </c>
      <c r="L530" s="3031">
        <f t="shared" si="61"/>
        <v>0</v>
      </c>
      <c r="M530" s="3031">
        <f t="shared" si="61"/>
        <v>0</v>
      </c>
    </row>
    <row r="531" spans="3:13" outlineLevel="1" x14ac:dyDescent="0.25">
      <c r="C531" s="956" t="s">
        <v>330</v>
      </c>
      <c r="D531" s="929" t="s">
        <v>331</v>
      </c>
      <c r="E531" s="928" t="s">
        <v>171</v>
      </c>
      <c r="F531" s="3031">
        <f t="shared" ref="F531:M531" si="62">F27*$D296*$G315</f>
        <v>0</v>
      </c>
      <c r="G531" s="3031">
        <f t="shared" si="62"/>
        <v>0</v>
      </c>
      <c r="H531" s="3031">
        <f t="shared" si="62"/>
        <v>0</v>
      </c>
      <c r="I531" s="3031">
        <f t="shared" si="62"/>
        <v>0</v>
      </c>
      <c r="J531" s="3031">
        <f t="shared" si="62"/>
        <v>0</v>
      </c>
      <c r="K531" s="3031">
        <f t="shared" si="62"/>
        <v>0</v>
      </c>
      <c r="L531" s="3031">
        <f t="shared" si="62"/>
        <v>0</v>
      </c>
      <c r="M531" s="3031">
        <f t="shared" si="62"/>
        <v>0</v>
      </c>
    </row>
    <row r="532" spans="3:13" outlineLevel="1" x14ac:dyDescent="0.25">
      <c r="C532" s="956" t="s">
        <v>149</v>
      </c>
      <c r="D532" s="929" t="s">
        <v>533</v>
      </c>
      <c r="E532" s="928" t="s">
        <v>171</v>
      </c>
      <c r="F532" s="3031">
        <f t="shared" ref="F532:M532" si="63">F27*$D296*$H315</f>
        <v>1.6304479775290748</v>
      </c>
      <c r="G532" s="3031">
        <f t="shared" si="63"/>
        <v>1.9044366113550009</v>
      </c>
      <c r="H532" s="3031">
        <f t="shared" si="63"/>
        <v>2.1612140183352979</v>
      </c>
      <c r="I532" s="3031">
        <f t="shared" si="63"/>
        <v>2.3648827670951338</v>
      </c>
      <c r="J532" s="3031">
        <f t="shared" si="63"/>
        <v>2.6236648453511773</v>
      </c>
      <c r="K532" s="3031">
        <f t="shared" si="63"/>
        <v>2.8934205649407461</v>
      </c>
      <c r="L532" s="3031">
        <f t="shared" si="63"/>
        <v>3.1507129908634601</v>
      </c>
      <c r="M532" s="3031">
        <f t="shared" si="63"/>
        <v>3.3916246069067246</v>
      </c>
    </row>
    <row r="533" spans="3:13" outlineLevel="1" x14ac:dyDescent="0.25">
      <c r="C533" s="961" t="s">
        <v>118</v>
      </c>
      <c r="D533" s="976"/>
      <c r="E533" s="971" t="s">
        <v>171</v>
      </c>
      <c r="F533" s="959">
        <f t="shared" ref="F533:M533" si="64">SUM(F528:F532)</f>
        <v>8.0544560274587056</v>
      </c>
      <c r="G533" s="959">
        <f t="shared" si="64"/>
        <v>9.4079671075968356</v>
      </c>
      <c r="H533" s="959">
        <f t="shared" si="64"/>
        <v>10.676454273008886</v>
      </c>
      <c r="I533" s="959">
        <f t="shared" si="64"/>
        <v>11.682583265569388</v>
      </c>
      <c r="J533" s="959">
        <f t="shared" si="64"/>
        <v>12.960973559975768</v>
      </c>
      <c r="K533" s="959">
        <f t="shared" si="64"/>
        <v>14.293573932103198</v>
      </c>
      <c r="L533" s="959">
        <f t="shared" si="64"/>
        <v>15.564605304679279</v>
      </c>
      <c r="M533" s="959">
        <f t="shared" si="64"/>
        <v>16.754715044252304</v>
      </c>
    </row>
    <row r="534" spans="3:13" outlineLevel="1" x14ac:dyDescent="0.25">
      <c r="C534" s="956"/>
      <c r="D534" s="957" t="s">
        <v>536</v>
      </c>
      <c r="E534" s="928" t="s">
        <v>171</v>
      </c>
      <c r="F534" s="3031">
        <f t="shared" ref="F534:M534" si="65">INDEX($C$332:$F$343,MATCH($C$527,$C$332:$C$343,0),MATCH($D$534,$C$332:$F$332,0))*F533</f>
        <v>6.7861970549383459</v>
      </c>
      <c r="G534" s="3031">
        <f t="shared" si="65"/>
        <v>7.9265835533618603</v>
      </c>
      <c r="H534" s="3031">
        <f t="shared" si="65"/>
        <v>8.9953340483425066</v>
      </c>
      <c r="I534" s="3031">
        <f t="shared" si="65"/>
        <v>9.8430374292940357</v>
      </c>
      <c r="J534" s="3031">
        <f t="shared" si="65"/>
        <v>10.920131701258118</v>
      </c>
      <c r="K534" s="3031">
        <f t="shared" si="65"/>
        <v>12.042900102986446</v>
      </c>
      <c r="L534" s="3031">
        <f t="shared" si="65"/>
        <v>13.113794192904459</v>
      </c>
      <c r="M534" s="3031">
        <f t="shared" si="65"/>
        <v>14.116508613618988</v>
      </c>
    </row>
    <row r="535" spans="3:13" outlineLevel="1" x14ac:dyDescent="0.25">
      <c r="C535" s="956"/>
      <c r="D535" s="975" t="s">
        <v>537</v>
      </c>
      <c r="E535" s="928" t="s">
        <v>171</v>
      </c>
      <c r="F535" s="3031">
        <f t="shared" ref="F535:M535" si="66">INDEX($C$332:$F$343,MATCH($C$527,$C$332:$C$343,0),MATCH($D$535,$C$332:$F$332,0))*F533</f>
        <v>1.1601078889733456</v>
      </c>
      <c r="G535" s="3031">
        <f t="shared" si="66"/>
        <v>1.3550582216249851</v>
      </c>
      <c r="H535" s="3031">
        <f t="shared" si="66"/>
        <v>1.5377623002913954</v>
      </c>
      <c r="I535" s="3031">
        <f t="shared" si="66"/>
        <v>1.6826781304374712</v>
      </c>
      <c r="J535" s="3031">
        <f t="shared" si="66"/>
        <v>1.8668085870036024</v>
      </c>
      <c r="K535" s="3031">
        <f t="shared" si="66"/>
        <v>2.0587470865476396</v>
      </c>
      <c r="L535" s="3031">
        <f t="shared" si="66"/>
        <v>2.2418176151384284</v>
      </c>
      <c r="M535" s="3031">
        <f t="shared" si="66"/>
        <v>2.413232753903336</v>
      </c>
    </row>
    <row r="536" spans="3:13" outlineLevel="1" x14ac:dyDescent="0.25">
      <c r="C536" s="956"/>
      <c r="D536" s="957" t="s">
        <v>573</v>
      </c>
      <c r="E536" s="928" t="s">
        <v>171</v>
      </c>
      <c r="F536" s="3031">
        <f t="shared" ref="F536:M536" si="67">INDEX($C$332:$F$343,MATCH($C$527,$C$332:$C$343,0),MATCH($D$536,$C$332:$F$332,0))*F533</f>
        <v>0.108151083547013</v>
      </c>
      <c r="G536" s="3031">
        <f t="shared" si="67"/>
        <v>0.12632533260998949</v>
      </c>
      <c r="H536" s="3031">
        <f t="shared" si="67"/>
        <v>0.1433579243749826</v>
      </c>
      <c r="I536" s="3031">
        <f t="shared" si="67"/>
        <v>0.15686770583787987</v>
      </c>
      <c r="J536" s="3031">
        <f t="shared" si="67"/>
        <v>0.17403327171404714</v>
      </c>
      <c r="K536" s="3031">
        <f t="shared" si="67"/>
        <v>0.19192674256911207</v>
      </c>
      <c r="L536" s="3031">
        <f t="shared" si="67"/>
        <v>0.20899349663639102</v>
      </c>
      <c r="M536" s="3031">
        <f t="shared" si="67"/>
        <v>0.22497367672997909</v>
      </c>
    </row>
    <row r="537" spans="3:13" outlineLevel="1" x14ac:dyDescent="0.25">
      <c r="C537" s="955"/>
      <c r="E537" s="956"/>
      <c r="F537" s="962"/>
      <c r="G537" s="962"/>
      <c r="H537" s="962"/>
      <c r="I537" s="962"/>
      <c r="J537" s="962"/>
      <c r="K537" s="962"/>
      <c r="L537" s="962"/>
      <c r="M537" s="962"/>
    </row>
    <row r="538" spans="3:13" outlineLevel="1" x14ac:dyDescent="0.25">
      <c r="C538" s="957" t="s">
        <v>566</v>
      </c>
      <c r="E538" s="956"/>
      <c r="F538" s="3031"/>
      <c r="G538" s="962"/>
      <c r="H538" s="962"/>
      <c r="I538" s="962"/>
      <c r="J538" s="962"/>
      <c r="K538" s="962"/>
      <c r="L538" s="962"/>
      <c r="M538" s="962"/>
    </row>
    <row r="539" spans="3:13" outlineLevel="1" x14ac:dyDescent="0.25">
      <c r="C539" s="956" t="s">
        <v>333</v>
      </c>
      <c r="D539" s="929" t="s">
        <v>532</v>
      </c>
      <c r="E539" s="928" t="s">
        <v>171</v>
      </c>
      <c r="F539" s="3031">
        <f t="shared" ref="F539:M539" si="68">F27*$D297*$D316</f>
        <v>13.25484139282308</v>
      </c>
      <c r="G539" s="3031">
        <f t="shared" si="68"/>
        <v>15.482251242662443</v>
      </c>
      <c r="H539" s="3031">
        <f t="shared" si="68"/>
        <v>17.569741214554863</v>
      </c>
      <c r="I539" s="3031">
        <f t="shared" si="68"/>
        <v>19.225480617892075</v>
      </c>
      <c r="J539" s="3031">
        <f t="shared" si="68"/>
        <v>21.329267705774075</v>
      </c>
      <c r="K539" s="3031">
        <f t="shared" si="68"/>
        <v>23.522265781913447</v>
      </c>
      <c r="L539" s="3031">
        <f t="shared" si="68"/>
        <v>25.613942636484811</v>
      </c>
      <c r="M539" s="3031">
        <f t="shared" si="68"/>
        <v>27.572450546183035</v>
      </c>
    </row>
    <row r="540" spans="3:13" outlineLevel="1" x14ac:dyDescent="0.25">
      <c r="C540" s="956" t="s">
        <v>335</v>
      </c>
      <c r="D540" s="929" t="s">
        <v>332</v>
      </c>
      <c r="E540" s="928" t="s">
        <v>171</v>
      </c>
      <c r="F540" s="3031">
        <f t="shared" ref="F540:M540" si="69">F27*$D297*$E316</f>
        <v>8.4745073058367826</v>
      </c>
      <c r="G540" s="3031">
        <f t="shared" si="69"/>
        <v>9.8986059039367298</v>
      </c>
      <c r="H540" s="3031">
        <f t="shared" si="69"/>
        <v>11.233246469854171</v>
      </c>
      <c r="I540" s="3031">
        <f t="shared" si="69"/>
        <v>12.291846512985622</v>
      </c>
      <c r="J540" s="3031">
        <f t="shared" si="69"/>
        <v>13.636906670086747</v>
      </c>
      <c r="K540" s="3031">
        <f t="shared" si="69"/>
        <v>15.039004037165906</v>
      </c>
      <c r="L540" s="3031">
        <f t="shared" si="69"/>
        <v>16.376321494250874</v>
      </c>
      <c r="M540" s="3031">
        <f t="shared" si="69"/>
        <v>17.628497140672678</v>
      </c>
    </row>
    <row r="541" spans="3:13" outlineLevel="1" x14ac:dyDescent="0.25">
      <c r="C541" s="956" t="s">
        <v>330</v>
      </c>
      <c r="D541" s="929" t="s">
        <v>387</v>
      </c>
      <c r="E541" s="928" t="s">
        <v>171</v>
      </c>
      <c r="F541" s="3031">
        <f t="shared" ref="F541:M541" si="70">F27*$D297*$F316</f>
        <v>2.1454448692254919</v>
      </c>
      <c r="G541" s="3031">
        <f t="shared" si="70"/>
        <v>2.5059761568037566</v>
      </c>
      <c r="H541" s="3031">
        <f t="shared" si="70"/>
        <v>2.8438598414913168</v>
      </c>
      <c r="I541" s="3031">
        <f t="shared" si="70"/>
        <v>3.1118598501211991</v>
      </c>
      <c r="J541" s="3031">
        <f t="shared" si="70"/>
        <v>3.4523814059719671</v>
      </c>
      <c r="K541" s="3031">
        <f t="shared" si="70"/>
        <v>3.8073427616938176</v>
      </c>
      <c r="L541" s="3031">
        <f t="shared" si="70"/>
        <v>4.1459041403420507</v>
      </c>
      <c r="M541" s="3031">
        <f t="shared" si="70"/>
        <v>4.4629106303989392</v>
      </c>
    </row>
    <row r="542" spans="3:13" outlineLevel="1" x14ac:dyDescent="0.25">
      <c r="C542" s="956" t="s">
        <v>330</v>
      </c>
      <c r="D542" s="929" t="s">
        <v>331</v>
      </c>
      <c r="E542" s="928" t="s">
        <v>171</v>
      </c>
      <c r="F542" s="3031">
        <f t="shared" ref="F542:M542" si="71">F27*$D297*$G316</f>
        <v>7.4057923962754852</v>
      </c>
      <c r="G542" s="3031">
        <f t="shared" si="71"/>
        <v>8.6502987951420298</v>
      </c>
      <c r="H542" s="3031">
        <f t="shared" si="71"/>
        <v>9.8166286593011645</v>
      </c>
      <c r="I542" s="3031">
        <f t="shared" si="71"/>
        <v>10.741729301402232</v>
      </c>
      <c r="J542" s="3031">
        <f t="shared" si="71"/>
        <v>11.917164748502721</v>
      </c>
      <c r="K542" s="3031">
        <f t="shared" si="71"/>
        <v>13.142444478074848</v>
      </c>
      <c r="L542" s="3031">
        <f t="shared" si="71"/>
        <v>14.311113652301065</v>
      </c>
      <c r="M542" s="3031">
        <f t="shared" si="71"/>
        <v>15.405378197295317</v>
      </c>
    </row>
    <row r="543" spans="3:13" outlineLevel="1" x14ac:dyDescent="0.25">
      <c r="C543" s="956" t="s">
        <v>149</v>
      </c>
      <c r="D543" s="929" t="s">
        <v>533</v>
      </c>
      <c r="E543" s="928" t="s">
        <v>171</v>
      </c>
      <c r="F543" s="3031">
        <f t="shared" ref="F543:M543" si="72">F27*$D297*$H316</f>
        <v>11.82410275818081</v>
      </c>
      <c r="G543" s="3031">
        <f t="shared" si="72"/>
        <v>13.81108413114127</v>
      </c>
      <c r="H543" s="3031">
        <f t="shared" si="72"/>
        <v>15.673248694475278</v>
      </c>
      <c r="I543" s="3031">
        <f t="shared" si="72"/>
        <v>17.150266205709219</v>
      </c>
      <c r="J543" s="3031">
        <f t="shared" si="72"/>
        <v>19.0269687607409</v>
      </c>
      <c r="K543" s="3031">
        <f t="shared" si="72"/>
        <v>20.983252795554385</v>
      </c>
      <c r="L543" s="3031">
        <f t="shared" si="72"/>
        <v>22.849152305959063</v>
      </c>
      <c r="M543" s="3031">
        <f t="shared" si="72"/>
        <v>24.596257238464748</v>
      </c>
    </row>
    <row r="544" spans="3:13" outlineLevel="1" x14ac:dyDescent="0.25">
      <c r="C544" s="961" t="s">
        <v>118</v>
      </c>
      <c r="D544" s="976"/>
      <c r="E544" s="971" t="s">
        <v>171</v>
      </c>
      <c r="F544" s="959">
        <f t="shared" ref="F544:M544" si="73">SUM(F539:F543)</f>
        <v>43.104688722341649</v>
      </c>
      <c r="G544" s="959">
        <f t="shared" si="73"/>
        <v>50.34821622968623</v>
      </c>
      <c r="H544" s="959">
        <f t="shared" si="73"/>
        <v>57.136724879676791</v>
      </c>
      <c r="I544" s="959">
        <f t="shared" si="73"/>
        <v>62.521182488110341</v>
      </c>
      <c r="J544" s="959">
        <f t="shared" si="73"/>
        <v>69.362689291076407</v>
      </c>
      <c r="K544" s="959">
        <f t="shared" si="73"/>
        <v>76.494309854402417</v>
      </c>
      <c r="L544" s="959">
        <f t="shared" si="73"/>
        <v>83.296434229337862</v>
      </c>
      <c r="M544" s="959">
        <f t="shared" si="73"/>
        <v>89.665493753014715</v>
      </c>
    </row>
    <row r="545" spans="3:13" outlineLevel="1" x14ac:dyDescent="0.25">
      <c r="C545" s="956"/>
      <c r="D545" s="957" t="s">
        <v>536</v>
      </c>
      <c r="E545" s="928" t="s">
        <v>171</v>
      </c>
      <c r="F545" s="3031">
        <f t="shared" ref="F545:M545" si="74">INDEX($C$332:$F$343,MATCH($C$538,$C$332:$C$343,0),MATCH($D$545,$C$332:$F$332,0))*F544</f>
        <v>20.146108008889538</v>
      </c>
      <c r="G545" s="3031">
        <f t="shared" si="74"/>
        <v>23.531560771774004</v>
      </c>
      <c r="H545" s="3031">
        <f t="shared" si="74"/>
        <v>26.704348524933334</v>
      </c>
      <c r="I545" s="3031">
        <f t="shared" si="74"/>
        <v>29.220916159780099</v>
      </c>
      <c r="J545" s="3031">
        <f t="shared" si="74"/>
        <v>32.418473991224737</v>
      </c>
      <c r="K545" s="3031">
        <f t="shared" si="74"/>
        <v>35.751624105651047</v>
      </c>
      <c r="L545" s="3031">
        <f t="shared" si="74"/>
        <v>38.930775525350832</v>
      </c>
      <c r="M545" s="3031">
        <f t="shared" si="74"/>
        <v>41.907522716487257</v>
      </c>
    </row>
    <row r="546" spans="3:13" outlineLevel="1" x14ac:dyDescent="0.25">
      <c r="C546" s="956"/>
      <c r="D546" s="975" t="s">
        <v>537</v>
      </c>
      <c r="E546" s="928" t="s">
        <v>171</v>
      </c>
      <c r="F546" s="3031">
        <f t="shared" ref="F546:M546" si="75">INDEX($C$332:$F$343,MATCH($C$538,$C$332:$C$343,0),MATCH($D$546,$C$332:$F$332,0))*F544</f>
        <v>22.302885843751373</v>
      </c>
      <c r="G546" s="3031">
        <f t="shared" si="75"/>
        <v>26.050774342448385</v>
      </c>
      <c r="H546" s="3031">
        <f t="shared" si="75"/>
        <v>29.563230596229058</v>
      </c>
      <c r="I546" s="3031">
        <f t="shared" si="75"/>
        <v>32.349213906419827</v>
      </c>
      <c r="J546" s="3031">
        <f t="shared" si="75"/>
        <v>35.889092043776927</v>
      </c>
      <c r="K546" s="3031">
        <f t="shared" si="75"/>
        <v>39.579078539894915</v>
      </c>
      <c r="L546" s="3031">
        <f t="shared" si="75"/>
        <v>43.098579733985488</v>
      </c>
      <c r="M546" s="3031">
        <f t="shared" si="75"/>
        <v>46.394007950707469</v>
      </c>
    </row>
    <row r="547" spans="3:13" outlineLevel="1" x14ac:dyDescent="0.25">
      <c r="C547" s="956"/>
      <c r="D547" s="957" t="s">
        <v>573</v>
      </c>
      <c r="E547" s="928" t="s">
        <v>171</v>
      </c>
      <c r="F547" s="3031">
        <f t="shared" ref="F547:M547" si="76">INDEX($C$332:$F$343,MATCH($C$538,$C$332:$C$343,0),MATCH($D$547,$C$332:$F$332,0))*F544</f>
        <v>0.65569486970074076</v>
      </c>
      <c r="G547" s="3031">
        <f t="shared" si="76"/>
        <v>0.76588111546384485</v>
      </c>
      <c r="H547" s="3031">
        <f t="shared" si="76"/>
        <v>0.86914575851440035</v>
      </c>
      <c r="I547" s="3031">
        <f t="shared" si="76"/>
        <v>0.95105242191041894</v>
      </c>
      <c r="J547" s="3031">
        <f t="shared" si="76"/>
        <v>1.0551232560747417</v>
      </c>
      <c r="K547" s="3031">
        <f t="shared" si="76"/>
        <v>1.1636072088564597</v>
      </c>
      <c r="L547" s="3031">
        <f t="shared" si="76"/>
        <v>1.2670789700015483</v>
      </c>
      <c r="M547" s="3031">
        <f t="shared" si="76"/>
        <v>1.3639630858199978</v>
      </c>
    </row>
    <row r="548" spans="3:13" outlineLevel="1" x14ac:dyDescent="0.25">
      <c r="C548" s="955"/>
      <c r="E548" s="956"/>
      <c r="F548" s="959"/>
      <c r="G548" s="959"/>
      <c r="H548" s="959"/>
      <c r="I548" s="959"/>
      <c r="J548" s="959"/>
      <c r="K548" s="959"/>
      <c r="L548" s="959"/>
      <c r="M548" s="959"/>
    </row>
    <row r="549" spans="3:13" outlineLevel="1" x14ac:dyDescent="0.25">
      <c r="C549" s="957" t="s">
        <v>565</v>
      </c>
      <c r="E549" s="956"/>
      <c r="F549" s="3031"/>
      <c r="G549" s="962"/>
      <c r="H549" s="962"/>
      <c r="I549" s="962"/>
      <c r="J549" s="962"/>
      <c r="K549" s="962"/>
      <c r="L549" s="962"/>
      <c r="M549" s="962"/>
    </row>
    <row r="550" spans="3:13" outlineLevel="1" x14ac:dyDescent="0.25">
      <c r="C550" s="956" t="s">
        <v>333</v>
      </c>
      <c r="D550" s="929" t="s">
        <v>532</v>
      </c>
      <c r="E550" s="928" t="s">
        <v>171</v>
      </c>
      <c r="F550" s="3031">
        <f t="shared" ref="F550:M550" si="77">F27*$D298*$D317</f>
        <v>3.0589754584541153</v>
      </c>
      <c r="G550" s="3031">
        <f t="shared" si="77"/>
        <v>3.573020995827866</v>
      </c>
      <c r="H550" s="3031">
        <f t="shared" si="77"/>
        <v>4.0547755792697693</v>
      </c>
      <c r="I550" s="3031">
        <f t="shared" si="77"/>
        <v>4.4368900120495081</v>
      </c>
      <c r="J550" s="3031">
        <f t="shared" si="77"/>
        <v>4.9224056723974474</v>
      </c>
      <c r="K550" s="3031">
        <f t="shared" si="77"/>
        <v>5.4285096005047802</v>
      </c>
      <c r="L550" s="3031">
        <f t="shared" si="77"/>
        <v>5.9112304400475866</v>
      </c>
      <c r="M550" s="3031">
        <f t="shared" si="77"/>
        <v>6.3632183177900554</v>
      </c>
    </row>
    <row r="551" spans="3:13" outlineLevel="1" x14ac:dyDescent="0.25">
      <c r="C551" s="956" t="s">
        <v>335</v>
      </c>
      <c r="D551" s="929" t="s">
        <v>332</v>
      </c>
      <c r="E551" s="928" t="s">
        <v>171</v>
      </c>
      <c r="F551" s="3031">
        <f t="shared" ref="F551:M551" si="78">F27*$D298*$E317</f>
        <v>1.0519596423262076</v>
      </c>
      <c r="G551" s="3031">
        <f t="shared" si="78"/>
        <v>1.2287362026417161</v>
      </c>
      <c r="H551" s="3031">
        <f t="shared" si="78"/>
        <v>1.3944081363232845</v>
      </c>
      <c r="I551" s="3031">
        <f t="shared" si="78"/>
        <v>1.5258145393801417</v>
      </c>
      <c r="J551" s="3031">
        <f t="shared" si="78"/>
        <v>1.6927798803382872</v>
      </c>
      <c r="K551" s="3031">
        <f t="shared" si="78"/>
        <v>1.8668253783890405</v>
      </c>
      <c r="L551" s="3031">
        <f t="shared" si="78"/>
        <v>2.0328296005888098</v>
      </c>
      <c r="M551" s="3031">
        <f t="shared" si="78"/>
        <v>2.1882649784345785</v>
      </c>
    </row>
    <row r="552" spans="3:13" outlineLevel="1" x14ac:dyDescent="0.25">
      <c r="C552" s="956" t="s">
        <v>330</v>
      </c>
      <c r="D552" s="929" t="s">
        <v>387</v>
      </c>
      <c r="E552" s="928" t="s">
        <v>171</v>
      </c>
      <c r="F552" s="3031">
        <f t="shared" ref="F552:M552" si="79">F27*$D298*$F317</f>
        <v>8.1909983071412021E-2</v>
      </c>
      <c r="G552" s="3031">
        <f t="shared" si="79"/>
        <v>9.5674546349568318E-2</v>
      </c>
      <c r="H552" s="3031">
        <f t="shared" si="79"/>
        <v>0.10857445689486024</v>
      </c>
      <c r="I552" s="3031">
        <f t="shared" si="79"/>
        <v>0.11880630973102124</v>
      </c>
      <c r="J552" s="3031">
        <f t="shared" si="79"/>
        <v>0.13180693038330413</v>
      </c>
      <c r="K552" s="3031">
        <f t="shared" si="79"/>
        <v>0.14535884171658317</v>
      </c>
      <c r="L552" s="3031">
        <f t="shared" si="79"/>
        <v>0.15828462563743581</v>
      </c>
      <c r="M552" s="3031">
        <f t="shared" si="79"/>
        <v>0.1703874750774502</v>
      </c>
    </row>
    <row r="553" spans="3:13" outlineLevel="1" x14ac:dyDescent="0.25">
      <c r="C553" s="956" t="s">
        <v>330</v>
      </c>
      <c r="D553" s="929" t="s">
        <v>331</v>
      </c>
      <c r="E553" s="928" t="s">
        <v>171</v>
      </c>
      <c r="F553" s="3031">
        <f t="shared" ref="F553:M553" si="80">F27*$D298*$G317</f>
        <v>19.56024531219564</v>
      </c>
      <c r="G553" s="3031">
        <f t="shared" si="80"/>
        <v>22.847246776977357</v>
      </c>
      <c r="H553" s="3031">
        <f t="shared" si="80"/>
        <v>25.927767676991504</v>
      </c>
      <c r="I553" s="3031">
        <f t="shared" si="80"/>
        <v>28.371151791710545</v>
      </c>
      <c r="J553" s="3031">
        <f t="shared" si="80"/>
        <v>31.475722439072864</v>
      </c>
      <c r="K553" s="3031">
        <f t="shared" si="80"/>
        <v>34.71194225243746</v>
      </c>
      <c r="L553" s="3031">
        <f t="shared" si="80"/>
        <v>37.79864175918604</v>
      </c>
      <c r="M553" s="3031">
        <f t="shared" si="80"/>
        <v>40.688823091745427</v>
      </c>
    </row>
    <row r="554" spans="3:13" outlineLevel="1" x14ac:dyDescent="0.25">
      <c r="C554" s="956" t="s">
        <v>149</v>
      </c>
      <c r="D554" s="929" t="s">
        <v>533</v>
      </c>
      <c r="E554" s="928" t="s">
        <v>171</v>
      </c>
      <c r="F554" s="3031">
        <f t="shared" ref="F554:M554" si="81">F27*$D298*$H317</f>
        <v>5.1546004586369767</v>
      </c>
      <c r="G554" s="3031">
        <f t="shared" si="81"/>
        <v>6.0208053035905484</v>
      </c>
      <c r="H554" s="3031">
        <f t="shared" si="81"/>
        <v>6.8325974969202194</v>
      </c>
      <c r="I554" s="3031">
        <f t="shared" si="81"/>
        <v>7.4764886484542146</v>
      </c>
      <c r="J554" s="3031">
        <f t="shared" si="81"/>
        <v>8.2946185352397901</v>
      </c>
      <c r="K554" s="3031">
        <f t="shared" si="81"/>
        <v>9.1474411797399853</v>
      </c>
      <c r="L554" s="3031">
        <f t="shared" si="81"/>
        <v>9.9608615862438121</v>
      </c>
      <c r="M554" s="3031">
        <f t="shared" si="81"/>
        <v>10.722494673384393</v>
      </c>
    </row>
    <row r="555" spans="3:13" outlineLevel="1" x14ac:dyDescent="0.25">
      <c r="C555" s="961" t="s">
        <v>118</v>
      </c>
      <c r="D555" s="976"/>
      <c r="E555" s="971" t="s">
        <v>171</v>
      </c>
      <c r="F555" s="959">
        <f t="shared" ref="F555:M555" si="82">SUM(F550:F554)</f>
        <v>28.907690854684354</v>
      </c>
      <c r="G555" s="959">
        <f t="shared" si="82"/>
        <v>33.765483825387058</v>
      </c>
      <c r="H555" s="959">
        <f t="shared" si="82"/>
        <v>38.318123346399638</v>
      </c>
      <c r="I555" s="959">
        <f t="shared" si="82"/>
        <v>41.929151301325433</v>
      </c>
      <c r="J555" s="959">
        <f t="shared" si="82"/>
        <v>46.517333457431697</v>
      </c>
      <c r="K555" s="959">
        <f t="shared" si="82"/>
        <v>51.300077252787851</v>
      </c>
      <c r="L555" s="959">
        <f t="shared" si="82"/>
        <v>55.861848011703685</v>
      </c>
      <c r="M555" s="959">
        <f t="shared" si="82"/>
        <v>60.133188536431902</v>
      </c>
    </row>
    <row r="556" spans="3:13" outlineLevel="1" x14ac:dyDescent="0.25">
      <c r="C556" s="956"/>
      <c r="D556" s="957" t="s">
        <v>536</v>
      </c>
      <c r="E556" s="928" t="s">
        <v>171</v>
      </c>
      <c r="F556" s="3031">
        <f t="shared" ref="F556:M556" si="83">INDEX($C$332:$F$343,MATCH($C$549,$C$332:$C$343,0),MATCH($D$556,$C$332:$F$332,0))*F555</f>
        <v>3.5041863870717473</v>
      </c>
      <c r="G556" s="3031">
        <f t="shared" si="83"/>
        <v>4.0930473958849367</v>
      </c>
      <c r="H556" s="3031">
        <f t="shared" si="83"/>
        <v>4.6449177446780148</v>
      </c>
      <c r="I556" s="3031">
        <f t="shared" si="83"/>
        <v>5.0826460664106383</v>
      </c>
      <c r="J556" s="3031">
        <f t="shared" si="83"/>
        <v>5.6388248886366874</v>
      </c>
      <c r="K556" s="3031">
        <f t="shared" si="83"/>
        <v>6.2185884465350894</v>
      </c>
      <c r="L556" s="3031">
        <f t="shared" si="83"/>
        <v>6.7715656827554103</v>
      </c>
      <c r="M556" s="3031">
        <f t="shared" si="83"/>
        <v>7.2893370051533424</v>
      </c>
    </row>
    <row r="557" spans="3:13" outlineLevel="1" x14ac:dyDescent="0.25">
      <c r="C557" s="956"/>
      <c r="D557" s="975" t="s">
        <v>537</v>
      </c>
      <c r="E557" s="928" t="s">
        <v>171</v>
      </c>
      <c r="F557" s="3031">
        <f t="shared" ref="F557:M557" si="84">INDEX($C$332:$F$343,MATCH($C$549,$C$332:$C$343,0),MATCH($D$557,$C$332:$F$332,0))*F555</f>
        <v>24.912552630469076</v>
      </c>
      <c r="G557" s="3031">
        <f t="shared" si="84"/>
        <v>29.098982589849353</v>
      </c>
      <c r="H557" s="3031">
        <f t="shared" si="84"/>
        <v>33.022432312793953</v>
      </c>
      <c r="I557" s="3031">
        <f t="shared" si="84"/>
        <v>36.134404293863007</v>
      </c>
      <c r="J557" s="3031">
        <f t="shared" si="84"/>
        <v>40.088484542498783</v>
      </c>
      <c r="K557" s="3031">
        <f t="shared" si="84"/>
        <v>44.210237370104927</v>
      </c>
      <c r="L557" s="3031">
        <f t="shared" si="84"/>
        <v>48.141556363756401</v>
      </c>
      <c r="M557" s="3031">
        <f t="shared" si="84"/>
        <v>51.822583539529724</v>
      </c>
    </row>
    <row r="558" spans="3:13" outlineLevel="1" x14ac:dyDescent="0.25">
      <c r="C558" s="956"/>
      <c r="D558" s="957" t="s">
        <v>573</v>
      </c>
      <c r="E558" s="928" t="s">
        <v>171</v>
      </c>
      <c r="F558" s="3031">
        <f t="shared" ref="F558:M558" si="85">INDEX($C$332:$F$343,MATCH($C$549,$C$332:$C$343,0),MATCH($D$558,$C$332:$F$332,0))*F555</f>
        <v>0.49095183714353141</v>
      </c>
      <c r="G558" s="3031">
        <f t="shared" si="85"/>
        <v>0.57345383965276875</v>
      </c>
      <c r="H558" s="3031">
        <f t="shared" si="85"/>
        <v>0.65077328892767272</v>
      </c>
      <c r="I558" s="3031">
        <f t="shared" si="85"/>
        <v>0.71210094105178512</v>
      </c>
      <c r="J558" s="3031">
        <f t="shared" si="85"/>
        <v>0.79002402629622692</v>
      </c>
      <c r="K558" s="3031">
        <f t="shared" si="85"/>
        <v>0.87125143614783152</v>
      </c>
      <c r="L558" s="3031">
        <f t="shared" si="85"/>
        <v>0.94872596519187147</v>
      </c>
      <c r="M558" s="3031">
        <f t="shared" si="85"/>
        <v>1.0212679917488325</v>
      </c>
    </row>
    <row r="559" spans="3:13" outlineLevel="1" x14ac:dyDescent="0.25">
      <c r="C559" s="955"/>
      <c r="E559" s="956"/>
      <c r="F559" s="959"/>
      <c r="G559" s="959"/>
      <c r="H559" s="959"/>
      <c r="I559" s="959"/>
      <c r="J559" s="959"/>
      <c r="K559" s="959"/>
      <c r="L559" s="959"/>
      <c r="M559" s="959"/>
    </row>
    <row r="560" spans="3:13" outlineLevel="1" x14ac:dyDescent="0.25">
      <c r="C560" s="957" t="s">
        <v>564</v>
      </c>
      <c r="E560" s="956"/>
      <c r="F560" s="3031"/>
      <c r="G560" s="962"/>
      <c r="H560" s="962"/>
      <c r="I560" s="962"/>
      <c r="J560" s="962"/>
      <c r="K560" s="962"/>
      <c r="L560" s="962"/>
      <c r="M560" s="962"/>
    </row>
    <row r="561" spans="3:13" outlineLevel="1" x14ac:dyDescent="0.25">
      <c r="C561" s="956" t="s">
        <v>333</v>
      </c>
      <c r="D561" s="929" t="s">
        <v>532</v>
      </c>
      <c r="E561" s="928" t="s">
        <v>171</v>
      </c>
      <c r="F561" s="3031">
        <f t="shared" ref="F561:M561" si="86">F27*$D299*$D318</f>
        <v>1.4527097188386859E-2</v>
      </c>
      <c r="G561" s="3031">
        <f t="shared" si="86"/>
        <v>1.6968303266077605E-2</v>
      </c>
      <c r="H561" s="3031">
        <f t="shared" si="86"/>
        <v>1.925615936353977E-2</v>
      </c>
      <c r="I561" s="3031">
        <f t="shared" si="86"/>
        <v>2.1070823644920387E-2</v>
      </c>
      <c r="J561" s="3031">
        <f t="shared" si="86"/>
        <v>2.3376541124563947E-2</v>
      </c>
      <c r="K561" s="3031">
        <f t="shared" si="86"/>
        <v>2.5780032440821544E-2</v>
      </c>
      <c r="L561" s="3031">
        <f t="shared" si="86"/>
        <v>2.8072477295688705E-2</v>
      </c>
      <c r="M561" s="3031">
        <f t="shared" si="86"/>
        <v>3.0218971086539776E-2</v>
      </c>
    </row>
    <row r="562" spans="3:13" outlineLevel="1" x14ac:dyDescent="0.25">
      <c r="C562" s="956" t="s">
        <v>335</v>
      </c>
      <c r="D562" s="929" t="s">
        <v>332</v>
      </c>
      <c r="E562" s="928" t="s">
        <v>171</v>
      </c>
      <c r="F562" s="3031">
        <f t="shared" ref="F562:M562" si="87">F27*$D299*$E318</f>
        <v>4.3156758179969147E-3</v>
      </c>
      <c r="G562" s="3031">
        <f t="shared" si="87"/>
        <v>5.0409035699430661E-3</v>
      </c>
      <c r="H562" s="3031">
        <f t="shared" si="87"/>
        <v>5.7205744709381634E-3</v>
      </c>
      <c r="I562" s="3031">
        <f t="shared" si="87"/>
        <v>6.2596706616897257E-3</v>
      </c>
      <c r="J562" s="3031">
        <f t="shared" si="87"/>
        <v>6.9446477800355188E-3</v>
      </c>
      <c r="K562" s="3031">
        <f t="shared" si="87"/>
        <v>7.6586713194822399E-3</v>
      </c>
      <c r="L562" s="3031">
        <f t="shared" si="87"/>
        <v>8.3397054377196116E-3</v>
      </c>
      <c r="M562" s="3031">
        <f t="shared" si="87"/>
        <v>8.9773807576081516E-3</v>
      </c>
    </row>
    <row r="563" spans="3:13" outlineLevel="1" x14ac:dyDescent="0.25">
      <c r="C563" s="956" t="s">
        <v>330</v>
      </c>
      <c r="D563" s="929" t="s">
        <v>387</v>
      </c>
      <c r="E563" s="928" t="s">
        <v>171</v>
      </c>
      <c r="F563" s="3031">
        <f t="shared" ref="F563:M563" si="88">F27*$D299*$F318</f>
        <v>0.928509156968505</v>
      </c>
      <c r="G563" s="3031">
        <f t="shared" si="88"/>
        <v>1.0845404802114611</v>
      </c>
      <c r="H563" s="3031">
        <f t="shared" si="88"/>
        <v>1.2307703366495411</v>
      </c>
      <c r="I563" s="3031">
        <f t="shared" si="88"/>
        <v>1.3467558208956663</v>
      </c>
      <c r="J563" s="3031">
        <f t="shared" si="88"/>
        <v>1.4941272995516248</v>
      </c>
      <c r="K563" s="3031">
        <f t="shared" si="88"/>
        <v>1.6477480585304718</v>
      </c>
      <c r="L563" s="3031">
        <f t="shared" si="88"/>
        <v>1.7942712084747765</v>
      </c>
      <c r="M563" s="3031">
        <f t="shared" si="88"/>
        <v>1.9314657983047749</v>
      </c>
    </row>
    <row r="564" spans="3:13" outlineLevel="1" x14ac:dyDescent="0.25">
      <c r="C564" s="956" t="s">
        <v>330</v>
      </c>
      <c r="D564" s="929" t="s">
        <v>331</v>
      </c>
      <c r="E564" s="928" t="s">
        <v>171</v>
      </c>
      <c r="F564" s="3031">
        <f t="shared" ref="F564:M564" si="89">F27*$D299*$G318</f>
        <v>7.378464456177008E-3</v>
      </c>
      <c r="G564" s="3031">
        <f t="shared" si="89"/>
        <v>8.6183785312920116E-3</v>
      </c>
      <c r="H564" s="3031">
        <f t="shared" si="89"/>
        <v>9.7804045490890966E-3</v>
      </c>
      <c r="I564" s="3031">
        <f t="shared" si="89"/>
        <v>1.0702091499098941E-2</v>
      </c>
      <c r="J564" s="3031">
        <f t="shared" si="89"/>
        <v>1.1873189499540224E-2</v>
      </c>
      <c r="K564" s="3031">
        <f t="shared" si="89"/>
        <v>1.3093947853240345E-2</v>
      </c>
      <c r="L564" s="3031">
        <f t="shared" si="89"/>
        <v>1.4258304548871529E-2</v>
      </c>
      <c r="M564" s="3031">
        <f t="shared" si="89"/>
        <v>1.534853117404068E-2</v>
      </c>
    </row>
    <row r="565" spans="3:13" outlineLevel="1" x14ac:dyDescent="0.25">
      <c r="C565" s="956" t="s">
        <v>149</v>
      </c>
      <c r="D565" s="929" t="s">
        <v>533</v>
      </c>
      <c r="E565" s="928" t="s">
        <v>171</v>
      </c>
      <c r="F565" s="3031">
        <f t="shared" ref="F565:M565" si="90">F27*$D299*$H318</f>
        <v>2.0174384109870672E-2</v>
      </c>
      <c r="G565" s="3031">
        <f t="shared" si="90"/>
        <v>2.3564588530204201E-2</v>
      </c>
      <c r="H565" s="3031">
        <f t="shared" si="90"/>
        <v>2.6741829454510063E-2</v>
      </c>
      <c r="I565" s="3031">
        <f t="shared" si="90"/>
        <v>2.9261929221743758E-2</v>
      </c>
      <c r="J565" s="3031">
        <f t="shared" si="90"/>
        <v>3.2463974990416519E-2</v>
      </c>
      <c r="K565" s="3031">
        <f t="shared" si="90"/>
        <v>3.580180335282894E-2</v>
      </c>
      <c r="L565" s="3031">
        <f t="shared" si="90"/>
        <v>3.8985416875409254E-2</v>
      </c>
      <c r="M565" s="3031">
        <f t="shared" si="90"/>
        <v>4.1966342084658888E-2</v>
      </c>
    </row>
    <row r="566" spans="3:13" outlineLevel="1" x14ac:dyDescent="0.25">
      <c r="C566" s="961" t="s">
        <v>118</v>
      </c>
      <c r="D566" s="976"/>
      <c r="E566" s="971" t="s">
        <v>171</v>
      </c>
      <c r="F566" s="959">
        <f t="shared" ref="F566:M566" si="91">SUM(F561:F565)</f>
        <v>0.97490477854093649</v>
      </c>
      <c r="G566" s="959">
        <f t="shared" si="91"/>
        <v>1.1387326541089782</v>
      </c>
      <c r="H566" s="959">
        <f t="shared" si="91"/>
        <v>1.2922693044876181</v>
      </c>
      <c r="I566" s="959">
        <f t="shared" si="91"/>
        <v>1.4140503359231191</v>
      </c>
      <c r="J566" s="959">
        <f t="shared" si="91"/>
        <v>1.5687856529461812</v>
      </c>
      <c r="K566" s="959">
        <f t="shared" si="91"/>
        <v>1.7300825134968449</v>
      </c>
      <c r="L566" s="959">
        <f t="shared" si="91"/>
        <v>1.8839271126324657</v>
      </c>
      <c r="M566" s="959">
        <f t="shared" si="91"/>
        <v>2.0279770234076224</v>
      </c>
    </row>
    <row r="567" spans="3:13" outlineLevel="1" x14ac:dyDescent="0.25">
      <c r="C567" s="956"/>
      <c r="D567" s="957" t="s">
        <v>536</v>
      </c>
      <c r="E567" s="928" t="s">
        <v>171</v>
      </c>
      <c r="F567" s="3031">
        <f t="shared" ref="F567:M567" si="92">INDEX($C$332:$F$343,MATCH($C$560,$C$332:$C$343,0),MATCH($D$567,$C$332:$F$332,0))*F566</f>
        <v>2.2828781148901033E-2</v>
      </c>
      <c r="G567" s="3031">
        <f t="shared" si="92"/>
        <v>2.6665043725262145E-2</v>
      </c>
      <c r="H567" s="3031">
        <f t="shared" si="92"/>
        <v>3.026032263555228E-2</v>
      </c>
      <c r="I567" s="3031">
        <f t="shared" si="92"/>
        <v>3.3111998589884215E-2</v>
      </c>
      <c r="J567" s="3031">
        <f t="shared" si="92"/>
        <v>3.6735345983474797E-2</v>
      </c>
      <c r="K567" s="3031">
        <f t="shared" si="92"/>
        <v>4.0512341245542122E-2</v>
      </c>
      <c r="L567" s="3031">
        <f t="shared" si="92"/>
        <v>4.4114831213704714E-2</v>
      </c>
      <c r="M567" s="3031">
        <f t="shared" si="92"/>
        <v>4.7487964631438485E-2</v>
      </c>
    </row>
    <row r="568" spans="3:13" outlineLevel="1" x14ac:dyDescent="0.25">
      <c r="C568" s="956"/>
      <c r="D568" s="975" t="s">
        <v>537</v>
      </c>
      <c r="E568" s="928" t="s">
        <v>171</v>
      </c>
      <c r="F568" s="3031">
        <f t="shared" ref="F568:M568" si="93">INDEX($C$332:$F$343,MATCH($C$560,$C$332:$C$343,0),MATCH($D$568,$C$332:$F$332,0))*F566</f>
        <v>0.95187132197338686</v>
      </c>
      <c r="G568" s="3031">
        <f t="shared" si="93"/>
        <v>1.1118285402839085</v>
      </c>
      <c r="H568" s="3031">
        <f t="shared" si="93"/>
        <v>1.2617376776521843</v>
      </c>
      <c r="I568" s="3031">
        <f t="shared" si="93"/>
        <v>1.3806414659352626</v>
      </c>
      <c r="J568" s="3031">
        <f t="shared" si="93"/>
        <v>1.5317209498117781</v>
      </c>
      <c r="K568" s="3031">
        <f t="shared" si="93"/>
        <v>1.6892069517906578</v>
      </c>
      <c r="L568" s="3031">
        <f t="shared" si="93"/>
        <v>1.8394167622060451</v>
      </c>
      <c r="M568" s="3031">
        <f t="shared" si="93"/>
        <v>1.9800632971475489</v>
      </c>
    </row>
    <row r="569" spans="3:13" outlineLevel="1" x14ac:dyDescent="0.25">
      <c r="C569" s="956"/>
      <c r="D569" s="957" t="s">
        <v>573</v>
      </c>
      <c r="E569" s="928" t="s">
        <v>171</v>
      </c>
      <c r="F569" s="3031">
        <f t="shared" ref="F569:M569" si="94">INDEX($C$332:$F$343,MATCH($C$560,$C$332:$C$343,0),MATCH($D$569,$C$332:$F$332,0))*F566</f>
        <v>2.0467541864867828E-4</v>
      </c>
      <c r="G569" s="3031">
        <f t="shared" si="94"/>
        <v>2.3907009980758749E-4</v>
      </c>
      <c r="H569" s="3031">
        <f t="shared" si="94"/>
        <v>2.7130419988164345E-4</v>
      </c>
      <c r="I569" s="3031">
        <f t="shared" si="94"/>
        <v>2.9687139797234636E-4</v>
      </c>
      <c r="J569" s="3031">
        <f t="shared" si="94"/>
        <v>3.2935715092847605E-4</v>
      </c>
      <c r="K569" s="3031">
        <f t="shared" si="94"/>
        <v>3.6322046064507556E-4</v>
      </c>
      <c r="L569" s="3031">
        <f t="shared" si="94"/>
        <v>3.9551921271606985E-4</v>
      </c>
      <c r="M569" s="3031">
        <f t="shared" si="94"/>
        <v>4.2576162863522816E-4</v>
      </c>
    </row>
    <row r="570" spans="3:13" outlineLevel="1" x14ac:dyDescent="0.25">
      <c r="C570" s="955"/>
      <c r="E570" s="956"/>
      <c r="F570" s="959"/>
      <c r="G570" s="959"/>
      <c r="H570" s="959"/>
      <c r="I570" s="959"/>
      <c r="J570" s="959"/>
      <c r="K570" s="959"/>
      <c r="L570" s="959"/>
      <c r="M570" s="959"/>
    </row>
    <row r="571" spans="3:13" outlineLevel="1" x14ac:dyDescent="0.25">
      <c r="C571" s="957" t="s">
        <v>563</v>
      </c>
      <c r="E571" s="956"/>
      <c r="F571" s="3031"/>
      <c r="G571" s="962"/>
      <c r="H571" s="962"/>
      <c r="I571" s="962"/>
      <c r="J571" s="962"/>
      <c r="K571" s="962"/>
      <c r="L571" s="962"/>
      <c r="M571" s="962"/>
    </row>
    <row r="572" spans="3:13" outlineLevel="1" x14ac:dyDescent="0.25">
      <c r="C572" s="956" t="s">
        <v>333</v>
      </c>
      <c r="D572" s="929" t="s">
        <v>532</v>
      </c>
      <c r="E572" s="928" t="s">
        <v>171</v>
      </c>
      <c r="F572" s="3031">
        <f t="shared" ref="F572:M572" si="95">F27*$D300*$D319</f>
        <v>2.4087915471398471</v>
      </c>
      <c r="G572" s="3031">
        <f t="shared" si="95"/>
        <v>2.8135769277641827</v>
      </c>
      <c r="H572" s="3031">
        <f t="shared" si="95"/>
        <v>3.192934782755664</v>
      </c>
      <c r="I572" s="3031">
        <f t="shared" si="95"/>
        <v>3.4938309580342723</v>
      </c>
      <c r="J572" s="3031">
        <f t="shared" si="95"/>
        <v>3.8761504746613067</v>
      </c>
      <c r="K572" s="3031">
        <f t="shared" si="95"/>
        <v>4.2746822316356816</v>
      </c>
      <c r="L572" s="3031">
        <f t="shared" si="95"/>
        <v>4.6548009654115265</v>
      </c>
      <c r="M572" s="3031">
        <f t="shared" si="95"/>
        <v>5.0107190151319871</v>
      </c>
    </row>
    <row r="573" spans="3:13" outlineLevel="1" x14ac:dyDescent="0.25">
      <c r="C573" s="956" t="s">
        <v>335</v>
      </c>
      <c r="D573" s="929" t="s">
        <v>332</v>
      </c>
      <c r="E573" s="928" t="s">
        <v>171</v>
      </c>
      <c r="F573" s="3031">
        <f t="shared" ref="F573:M573" si="96">F27*$D300*$E319</f>
        <v>9.8012508236160631E-2</v>
      </c>
      <c r="G573" s="3031">
        <f t="shared" si="96"/>
        <v>0.11448302038962127</v>
      </c>
      <c r="H573" s="3031">
        <f t="shared" si="96"/>
        <v>0.12991889940163198</v>
      </c>
      <c r="I573" s="3031">
        <f t="shared" si="96"/>
        <v>0.14216221239928079</v>
      </c>
      <c r="J573" s="3031">
        <f t="shared" si="96"/>
        <v>0.15771859992345064</v>
      </c>
      <c r="K573" s="3031">
        <f t="shared" si="96"/>
        <v>0.17393465529744218</v>
      </c>
      <c r="L573" s="3031">
        <f t="shared" si="96"/>
        <v>0.18940149408187806</v>
      </c>
      <c r="M573" s="3031">
        <f t="shared" si="96"/>
        <v>0.20388361928737622</v>
      </c>
    </row>
    <row r="574" spans="3:13" outlineLevel="1" x14ac:dyDescent="0.25">
      <c r="C574" s="956" t="s">
        <v>330</v>
      </c>
      <c r="D574" s="929" t="s">
        <v>387</v>
      </c>
      <c r="E574" s="928" t="s">
        <v>171</v>
      </c>
      <c r="F574" s="3031">
        <f t="shared" ref="F574:M574" si="97">F27*$D300*$F319</f>
        <v>3.9344158837879197E-3</v>
      </c>
      <c r="G574" s="3031">
        <f t="shared" si="97"/>
        <v>4.595574809285039E-3</v>
      </c>
      <c r="H574" s="3031">
        <f t="shared" si="97"/>
        <v>5.2152015146719891E-3</v>
      </c>
      <c r="I574" s="3031">
        <f t="shared" si="97"/>
        <v>5.7066723074821321E-3</v>
      </c>
      <c r="J574" s="3031">
        <f t="shared" si="97"/>
        <v>6.331136462832389E-3</v>
      </c>
      <c r="K574" s="3031">
        <f t="shared" si="97"/>
        <v>6.9820809900562946E-3</v>
      </c>
      <c r="L574" s="3031">
        <f t="shared" si="97"/>
        <v>7.6029504819261143E-3</v>
      </c>
      <c r="M574" s="3031">
        <f t="shared" si="97"/>
        <v>8.1842916236325117E-3</v>
      </c>
    </row>
    <row r="575" spans="3:13" outlineLevel="1" x14ac:dyDescent="0.25">
      <c r="C575" s="956" t="s">
        <v>330</v>
      </c>
      <c r="D575" s="929" t="s">
        <v>331</v>
      </c>
      <c r="E575" s="928" t="s">
        <v>171</v>
      </c>
      <c r="F575" s="3031">
        <f t="shared" ref="F575:M575" si="98">F27*$D300*$G319</f>
        <v>1.8230608809693825E-2</v>
      </c>
      <c r="G575" s="3031">
        <f t="shared" si="98"/>
        <v>2.1294171505605614E-2</v>
      </c>
      <c r="H575" s="3031">
        <f t="shared" si="98"/>
        <v>2.4165289457445855E-2</v>
      </c>
      <c r="I575" s="3031">
        <f t="shared" si="98"/>
        <v>2.6442580935967845E-2</v>
      </c>
      <c r="J575" s="3031">
        <f t="shared" si="98"/>
        <v>2.9336113818136351E-2</v>
      </c>
      <c r="K575" s="3031">
        <f t="shared" si="98"/>
        <v>3.2352346820226835E-2</v>
      </c>
      <c r="L575" s="3031">
        <f t="shared" si="98"/>
        <v>3.5229223378902857E-2</v>
      </c>
      <c r="M575" s="3031">
        <f t="shared" si="98"/>
        <v>3.7922940375903831E-2</v>
      </c>
    </row>
    <row r="576" spans="3:13" outlineLevel="1" x14ac:dyDescent="0.25">
      <c r="C576" s="956" t="s">
        <v>149</v>
      </c>
      <c r="D576" s="929" t="s">
        <v>533</v>
      </c>
      <c r="E576" s="928" t="s">
        <v>171</v>
      </c>
      <c r="F576" s="3031">
        <f t="shared" ref="F576:M576" si="99">F27*$D300*$H319</f>
        <v>0.10456048166121308</v>
      </c>
      <c r="G576" s="3031">
        <f t="shared" si="99"/>
        <v>0.12213134802271014</v>
      </c>
      <c r="H576" s="3031">
        <f t="shared" si="99"/>
        <v>0.13859845995980255</v>
      </c>
      <c r="I576" s="3031">
        <f t="shared" si="99"/>
        <v>0.15165971843794082</v>
      </c>
      <c r="J576" s="3031">
        <f t="shared" si="99"/>
        <v>0.16825538976303783</v>
      </c>
      <c r="K576" s="3031">
        <f t="shared" si="99"/>
        <v>0.18555479971655131</v>
      </c>
      <c r="L576" s="3031">
        <f t="shared" si="99"/>
        <v>0.20205493977194366</v>
      </c>
      <c r="M576" s="3031">
        <f t="shared" si="99"/>
        <v>0.21750457996803257</v>
      </c>
    </row>
    <row r="577" spans="3:13" outlineLevel="1" x14ac:dyDescent="0.25">
      <c r="C577" s="961" t="s">
        <v>118</v>
      </c>
      <c r="D577" s="976"/>
      <c r="E577" s="971" t="s">
        <v>171</v>
      </c>
      <c r="F577" s="959">
        <f t="shared" ref="F577:M577" si="100">SUM(F572:F576)</f>
        <v>2.6335295617307022</v>
      </c>
      <c r="G577" s="959">
        <f t="shared" si="100"/>
        <v>3.0760810424914049</v>
      </c>
      <c r="H577" s="959">
        <f t="shared" si="100"/>
        <v>3.4908326330892163</v>
      </c>
      <c r="I577" s="959">
        <f t="shared" si="100"/>
        <v>3.8198021421149435</v>
      </c>
      <c r="J577" s="959">
        <f t="shared" si="100"/>
        <v>4.2377917146287638</v>
      </c>
      <c r="K577" s="959">
        <f t="shared" si="100"/>
        <v>4.6735061144599586</v>
      </c>
      <c r="L577" s="959">
        <f t="shared" si="100"/>
        <v>5.0890895731261772</v>
      </c>
      <c r="M577" s="959">
        <f t="shared" si="100"/>
        <v>5.4782144463869331</v>
      </c>
    </row>
    <row r="578" spans="3:13" outlineLevel="1" x14ac:dyDescent="0.25">
      <c r="C578" s="956"/>
      <c r="D578" s="957" t="s">
        <v>536</v>
      </c>
      <c r="E578" s="928" t="s">
        <v>171</v>
      </c>
      <c r="F578" s="3031">
        <f t="shared" ref="F578:M578" si="101">INDEX($C$332:$F$343,MATCH($C$571,$C$332:$C$343,0),MATCH($D$578,$C$332:$F$332,0))*F577</f>
        <v>2.4941473682016344</v>
      </c>
      <c r="G578" s="3031">
        <f t="shared" si="101"/>
        <v>2.9132763679564944</v>
      </c>
      <c r="H578" s="3031">
        <f t="shared" si="101"/>
        <v>3.3060768146190913</v>
      </c>
      <c r="I578" s="3031">
        <f t="shared" si="101"/>
        <v>3.6176352824176781</v>
      </c>
      <c r="J578" s="3031">
        <f t="shared" si="101"/>
        <v>4.0135023375556287</v>
      </c>
      <c r="K578" s="3031">
        <f t="shared" si="101"/>
        <v>4.4261561157468821</v>
      </c>
      <c r="L578" s="3031">
        <f t="shared" si="101"/>
        <v>4.8197444030259877</v>
      </c>
      <c r="M578" s="3031">
        <f t="shared" si="101"/>
        <v>5.1882744520706217</v>
      </c>
    </row>
    <row r="579" spans="3:13" outlineLevel="1" x14ac:dyDescent="0.25">
      <c r="C579" s="956"/>
      <c r="D579" s="975" t="s">
        <v>537</v>
      </c>
      <c r="E579" s="928" t="s">
        <v>171</v>
      </c>
      <c r="F579" s="3031">
        <f t="shared" ref="F579:M579" si="102">INDEX($C$332:$F$343,MATCH($C$571,$C$332:$C$343,0),MATCH($D$579,$C$332:$F$332,0))*F577</f>
        <v>0.1298286691943932</v>
      </c>
      <c r="G579" s="3031">
        <f t="shared" si="102"/>
        <v>0.15164572818324742</v>
      </c>
      <c r="H579" s="3031">
        <f t="shared" si="102"/>
        <v>0.17209229838167905</v>
      </c>
      <c r="I579" s="3031">
        <f t="shared" si="102"/>
        <v>0.18830995326696356</v>
      </c>
      <c r="J579" s="3031">
        <f t="shared" si="102"/>
        <v>0.2089161506399444</v>
      </c>
      <c r="K579" s="3031">
        <f t="shared" si="102"/>
        <v>0.23039615280166015</v>
      </c>
      <c r="L579" s="3031">
        <f t="shared" si="102"/>
        <v>0.25088373272553249</v>
      </c>
      <c r="M579" s="3031">
        <f t="shared" si="102"/>
        <v>0.27006694797399944</v>
      </c>
    </row>
    <row r="580" spans="3:13" outlineLevel="1" x14ac:dyDescent="0.25">
      <c r="C580" s="956"/>
      <c r="D580" s="957" t="s">
        <v>573</v>
      </c>
      <c r="E580" s="928" t="s">
        <v>171</v>
      </c>
      <c r="F580" s="3031">
        <f t="shared" ref="F580:M580" si="103">INDEX($C$332:$F$343,MATCH($C$571,$C$332:$C$343,0),MATCH($D$580,$C$332:$F$332,0))*F577</f>
        <v>9.5535243346744503E-3</v>
      </c>
      <c r="G580" s="3031">
        <f t="shared" si="103"/>
        <v>1.1158946351663345E-2</v>
      </c>
      <c r="H580" s="3031">
        <f t="shared" si="103"/>
        <v>1.2663520088446144E-2</v>
      </c>
      <c r="I580" s="3031">
        <f t="shared" si="103"/>
        <v>1.385690643030205E-2</v>
      </c>
      <c r="J580" s="3031">
        <f t="shared" si="103"/>
        <v>1.5373226433190742E-2</v>
      </c>
      <c r="K580" s="3031">
        <f t="shared" si="103"/>
        <v>1.6953845911416691E-2</v>
      </c>
      <c r="L580" s="3031">
        <f t="shared" si="103"/>
        <v>1.8461437374656883E-2</v>
      </c>
      <c r="M580" s="3031">
        <f t="shared" si="103"/>
        <v>1.9873046342311938E-2</v>
      </c>
    </row>
    <row r="581" spans="3:13" outlineLevel="1" x14ac:dyDescent="0.25">
      <c r="C581" s="955"/>
      <c r="E581" s="956"/>
      <c r="F581" s="959"/>
      <c r="G581" s="959"/>
      <c r="H581" s="959"/>
      <c r="I581" s="959"/>
      <c r="J581" s="959"/>
      <c r="K581" s="959"/>
      <c r="L581" s="959"/>
      <c r="M581" s="959"/>
    </row>
    <row r="582" spans="3:13" outlineLevel="1" x14ac:dyDescent="0.25">
      <c r="C582" s="957" t="s">
        <v>562</v>
      </c>
      <c r="E582" s="956"/>
      <c r="F582" s="3031"/>
      <c r="G582" s="3031"/>
      <c r="H582" s="3031"/>
      <c r="I582" s="3031"/>
      <c r="J582" s="3031"/>
      <c r="K582" s="3031"/>
      <c r="L582" s="3031"/>
      <c r="M582" s="3031"/>
    </row>
    <row r="583" spans="3:13" outlineLevel="1" x14ac:dyDescent="0.25">
      <c r="C583" s="956" t="s">
        <v>333</v>
      </c>
      <c r="D583" s="929" t="s">
        <v>532</v>
      </c>
      <c r="E583" s="928" t="s">
        <v>171</v>
      </c>
      <c r="F583" s="3031">
        <f t="shared" ref="F583:M583" si="104">F27*$D301*$D320</f>
        <v>17.181311978322675</v>
      </c>
      <c r="G583" s="3031">
        <f t="shared" si="104"/>
        <v>20.068545585991522</v>
      </c>
      <c r="H583" s="3031">
        <f t="shared" si="104"/>
        <v>22.774410967234292</v>
      </c>
      <c r="I583" s="3031">
        <f t="shared" si="104"/>
        <v>24.920628669917757</v>
      </c>
      <c r="J583" s="3031">
        <f t="shared" si="104"/>
        <v>27.647618848196242</v>
      </c>
      <c r="K583" s="3031">
        <f t="shared" si="104"/>
        <v>30.490246911208239</v>
      </c>
      <c r="L583" s="3031">
        <f t="shared" si="104"/>
        <v>33.201539451885942</v>
      </c>
      <c r="M583" s="3031">
        <f t="shared" si="104"/>
        <v>35.740214522472435</v>
      </c>
    </row>
    <row r="584" spans="3:13" outlineLevel="1" x14ac:dyDescent="0.25">
      <c r="C584" s="956" t="s">
        <v>335</v>
      </c>
      <c r="D584" s="929" t="s">
        <v>332</v>
      </c>
      <c r="E584" s="928" t="s">
        <v>171</v>
      </c>
      <c r="F584" s="3031">
        <f t="shared" ref="F584:M584" si="105">F27*$D301*$E320</f>
        <v>0.8809375852887702</v>
      </c>
      <c r="G584" s="3031">
        <f t="shared" si="105"/>
        <v>1.0289747436683765</v>
      </c>
      <c r="H584" s="3031">
        <f t="shared" si="105"/>
        <v>1.1677126071141919</v>
      </c>
      <c r="I584" s="3031">
        <f t="shared" si="105"/>
        <v>1.2777556493970759</v>
      </c>
      <c r="J584" s="3031">
        <f t="shared" si="105"/>
        <v>1.417576644777975</v>
      </c>
      <c r="K584" s="3031">
        <f t="shared" si="105"/>
        <v>1.563326742608883</v>
      </c>
      <c r="L584" s="3031">
        <f t="shared" si="105"/>
        <v>1.7023428728560708</v>
      </c>
      <c r="M584" s="3031">
        <f t="shared" si="105"/>
        <v>1.8325083857887794</v>
      </c>
    </row>
    <row r="585" spans="3:13" outlineLevel="1" x14ac:dyDescent="0.25">
      <c r="C585" s="956" t="s">
        <v>330</v>
      </c>
      <c r="D585" s="929" t="s">
        <v>387</v>
      </c>
      <c r="E585" s="928" t="s">
        <v>171</v>
      </c>
      <c r="F585" s="3031">
        <f t="shared" ref="F585:M585" si="106">F27*$D301*$F320</f>
        <v>8.5230621278097399E-3</v>
      </c>
      <c r="G585" s="3031">
        <f t="shared" si="106"/>
        <v>9.9553201210706363E-3</v>
      </c>
      <c r="H585" s="3031">
        <f t="shared" si="106"/>
        <v>1.1297607530956384E-2</v>
      </c>
      <c r="I585" s="3031">
        <f t="shared" si="106"/>
        <v>1.2362272839569333E-2</v>
      </c>
      <c r="J585" s="3031">
        <f t="shared" si="106"/>
        <v>1.3715039539849198E-2</v>
      </c>
      <c r="K585" s="3031">
        <f t="shared" si="106"/>
        <v>1.5125170245692533E-2</v>
      </c>
      <c r="L585" s="3031">
        <f t="shared" si="106"/>
        <v>1.647014988403556E-2</v>
      </c>
      <c r="M585" s="3031">
        <f t="shared" si="106"/>
        <v>1.7729499890381396E-2</v>
      </c>
    </row>
    <row r="586" spans="3:13" outlineLevel="1" x14ac:dyDescent="0.25">
      <c r="C586" s="956" t="s">
        <v>330</v>
      </c>
      <c r="D586" s="929" t="s">
        <v>331</v>
      </c>
      <c r="E586" s="928" t="s">
        <v>171</v>
      </c>
      <c r="F586" s="3031">
        <f t="shared" ref="F586:M586" si="107">F27*$D301*$G320</f>
        <v>0</v>
      </c>
      <c r="G586" s="3031">
        <f t="shared" si="107"/>
        <v>0</v>
      </c>
      <c r="H586" s="3031">
        <f t="shared" si="107"/>
        <v>0</v>
      </c>
      <c r="I586" s="3031">
        <f t="shared" si="107"/>
        <v>0</v>
      </c>
      <c r="J586" s="3031">
        <f t="shared" si="107"/>
        <v>0</v>
      </c>
      <c r="K586" s="3031">
        <f t="shared" si="107"/>
        <v>0</v>
      </c>
      <c r="L586" s="3031">
        <f t="shared" si="107"/>
        <v>0</v>
      </c>
      <c r="M586" s="3031">
        <f t="shared" si="107"/>
        <v>0</v>
      </c>
    </row>
    <row r="587" spans="3:13" outlineLevel="1" x14ac:dyDescent="0.25">
      <c r="C587" s="956" t="s">
        <v>149</v>
      </c>
      <c r="D587" s="929" t="s">
        <v>533</v>
      </c>
      <c r="E587" s="928" t="s">
        <v>171</v>
      </c>
      <c r="F587" s="3031">
        <f t="shared" ref="F587:M587" si="108">F27*$D301*$H320</f>
        <v>23.782891003258396</v>
      </c>
      <c r="G587" s="3031">
        <f t="shared" si="108"/>
        <v>27.779486972109215</v>
      </c>
      <c r="H587" s="3031">
        <f t="shared" si="108"/>
        <v>31.52502756369968</v>
      </c>
      <c r="I587" s="3031">
        <f t="shared" si="108"/>
        <v>34.495886934426707</v>
      </c>
      <c r="J587" s="3031">
        <f t="shared" si="108"/>
        <v>38.270669108150145</v>
      </c>
      <c r="K587" s="3031">
        <f t="shared" si="108"/>
        <v>42.205520734773003</v>
      </c>
      <c r="L587" s="3031">
        <f t="shared" si="108"/>
        <v>45.958573764381079</v>
      </c>
      <c r="M587" s="3031">
        <f t="shared" si="108"/>
        <v>49.472684477964783</v>
      </c>
    </row>
    <row r="588" spans="3:13" outlineLevel="1" x14ac:dyDescent="0.25">
      <c r="C588" s="961" t="s">
        <v>118</v>
      </c>
      <c r="D588" s="976"/>
      <c r="E588" s="971" t="s">
        <v>171</v>
      </c>
      <c r="F588" s="959">
        <f t="shared" ref="F588:M588" si="109">SUM(F583:F587)</f>
        <v>41.853663628997651</v>
      </c>
      <c r="G588" s="959">
        <f t="shared" si="109"/>
        <v>48.886962621890184</v>
      </c>
      <c r="H588" s="959">
        <f t="shared" si="109"/>
        <v>55.478448745579122</v>
      </c>
      <c r="I588" s="959">
        <f t="shared" si="109"/>
        <v>60.706633526581115</v>
      </c>
      <c r="J588" s="959">
        <f t="shared" si="109"/>
        <v>67.349579640664217</v>
      </c>
      <c r="K588" s="959">
        <f t="shared" si="109"/>
        <v>74.274219558835824</v>
      </c>
      <c r="L588" s="959">
        <f t="shared" si="109"/>
        <v>80.878926239007129</v>
      </c>
      <c r="M588" s="959">
        <f t="shared" si="109"/>
        <v>87.063136886116382</v>
      </c>
    </row>
    <row r="589" spans="3:13" outlineLevel="1" x14ac:dyDescent="0.25">
      <c r="C589" s="956"/>
      <c r="D589" s="957" t="s">
        <v>536</v>
      </c>
      <c r="E589" s="928" t="s">
        <v>171</v>
      </c>
      <c r="F589" s="3031">
        <f t="shared" ref="F589:M589" si="110">INDEX($C$332:$F$343,MATCH($C$582,$C$332:$C$343,0),MATCH($D$589,$C$332:$F$332,0))*F588</f>
        <v>27.412385928799793</v>
      </c>
      <c r="G589" s="3031">
        <f t="shared" si="110"/>
        <v>32.018900380075472</v>
      </c>
      <c r="H589" s="3031">
        <f t="shared" si="110"/>
        <v>36.336046020384551</v>
      </c>
      <c r="I589" s="3031">
        <f t="shared" si="110"/>
        <v>39.760286731886069</v>
      </c>
      <c r="J589" s="3031">
        <f t="shared" si="110"/>
        <v>44.111136497336531</v>
      </c>
      <c r="K589" s="3031">
        <f t="shared" si="110"/>
        <v>48.646483833653782</v>
      </c>
      <c r="L589" s="3031">
        <f t="shared" si="110"/>
        <v>52.972288381333563</v>
      </c>
      <c r="M589" s="3031">
        <f t="shared" si="110"/>
        <v>57.02268574741025</v>
      </c>
    </row>
    <row r="590" spans="3:13" outlineLevel="1" x14ac:dyDescent="0.25">
      <c r="C590" s="956"/>
      <c r="D590" s="975" t="s">
        <v>537</v>
      </c>
      <c r="E590" s="928" t="s">
        <v>171</v>
      </c>
      <c r="F590" s="3031">
        <f t="shared" ref="F590:M590" si="111">INDEX($C$332:$F$343,MATCH($C$582,$C$332:$C$343,0),MATCH($D$590,$C$332:$F$332,0))*F588</f>
        <v>13.84195065401388</v>
      </c>
      <c r="G590" s="3031">
        <f t="shared" si="111"/>
        <v>16.168021280889501</v>
      </c>
      <c r="H590" s="3031">
        <f t="shared" si="111"/>
        <v>18.347974425959123</v>
      </c>
      <c r="I590" s="3031">
        <f t="shared" si="111"/>
        <v>20.077053065052421</v>
      </c>
      <c r="J590" s="3031">
        <f t="shared" si="111"/>
        <v>22.274025189726942</v>
      </c>
      <c r="K590" s="3031">
        <f t="shared" si="111"/>
        <v>24.564159809572683</v>
      </c>
      <c r="L590" s="3031">
        <f t="shared" si="111"/>
        <v>26.748485290886741</v>
      </c>
      <c r="M590" s="3031">
        <f t="shared" si="111"/>
        <v>28.793743248950079</v>
      </c>
    </row>
    <row r="591" spans="3:13" outlineLevel="1" x14ac:dyDescent="0.25">
      <c r="C591" s="956"/>
      <c r="D591" s="957" t="s">
        <v>573</v>
      </c>
      <c r="E591" s="928" t="s">
        <v>171</v>
      </c>
      <c r="F591" s="3031">
        <f t="shared" ref="F591:M591" si="112">INDEX($C$332:$F$343,MATCH($C$582,$C$332:$C$343,0),MATCH($D$591,$C$332:$F$332,0))*F588</f>
        <v>0.59932704618397492</v>
      </c>
      <c r="G591" s="3031">
        <f t="shared" si="112"/>
        <v>0.7000409609252054</v>
      </c>
      <c r="H591" s="3031">
        <f t="shared" si="112"/>
        <v>0.79442829923544445</v>
      </c>
      <c r="I591" s="3031">
        <f t="shared" si="112"/>
        <v>0.86929372964261709</v>
      </c>
      <c r="J591" s="3031">
        <f t="shared" si="112"/>
        <v>0.96441795360074056</v>
      </c>
      <c r="K591" s="3031">
        <f t="shared" si="112"/>
        <v>1.0635759156093538</v>
      </c>
      <c r="L591" s="3031">
        <f t="shared" si="112"/>
        <v>1.1581525667868182</v>
      </c>
      <c r="M591" s="3031">
        <f t="shared" si="112"/>
        <v>1.24670788975605</v>
      </c>
    </row>
    <row r="592" spans="3:13" outlineLevel="1" x14ac:dyDescent="0.25">
      <c r="C592" s="955"/>
      <c r="E592" s="956"/>
      <c r="F592" s="959"/>
      <c r="G592" s="959"/>
      <c r="H592" s="959"/>
      <c r="I592" s="959"/>
      <c r="J592" s="959"/>
      <c r="K592" s="959"/>
      <c r="L592" s="959"/>
      <c r="M592" s="959"/>
    </row>
    <row r="593" spans="3:13" outlineLevel="1" x14ac:dyDescent="0.25">
      <c r="C593" s="957" t="s">
        <v>561</v>
      </c>
      <c r="E593" s="956"/>
      <c r="F593" s="3031"/>
      <c r="G593" s="3031"/>
      <c r="H593" s="3031"/>
      <c r="I593" s="3031"/>
      <c r="J593" s="3031"/>
      <c r="K593" s="3031"/>
      <c r="L593" s="3031"/>
      <c r="M593" s="3031"/>
    </row>
    <row r="594" spans="3:13" outlineLevel="1" x14ac:dyDescent="0.25">
      <c r="C594" s="956" t="s">
        <v>333</v>
      </c>
      <c r="D594" s="929" t="s">
        <v>532</v>
      </c>
      <c r="E594" s="928" t="s">
        <v>171</v>
      </c>
      <c r="F594" s="3031">
        <f t="shared" ref="F594:M594" si="113">F27*$D302*$D321</f>
        <v>1.2653923223736787</v>
      </c>
      <c r="G594" s="3031">
        <f t="shared" si="113"/>
        <v>1.478035177858344</v>
      </c>
      <c r="H594" s="3031">
        <f t="shared" si="113"/>
        <v>1.6773203828020236</v>
      </c>
      <c r="I594" s="3031">
        <f t="shared" si="113"/>
        <v>1.8353879044525596</v>
      </c>
      <c r="J594" s="3031">
        <f t="shared" si="113"/>
        <v>2.0362289367983846</v>
      </c>
      <c r="K594" s="3031">
        <f t="shared" si="113"/>
        <v>2.2455866232682924</v>
      </c>
      <c r="L594" s="3031">
        <f t="shared" si="113"/>
        <v>2.4452715349334331</v>
      </c>
      <c r="M594" s="3031">
        <f t="shared" si="113"/>
        <v>2.6322432835038945</v>
      </c>
    </row>
    <row r="595" spans="3:13" outlineLevel="1" x14ac:dyDescent="0.25">
      <c r="C595" s="956" t="s">
        <v>335</v>
      </c>
      <c r="D595" s="929" t="s">
        <v>332</v>
      </c>
      <c r="E595" s="928" t="s">
        <v>171</v>
      </c>
      <c r="F595" s="3031">
        <f t="shared" ref="F595:M595" si="114">F27*$D302*$E321</f>
        <v>0.54411018888689211</v>
      </c>
      <c r="G595" s="3031">
        <f t="shared" si="114"/>
        <v>0.6355451867270655</v>
      </c>
      <c r="H595" s="3031">
        <f t="shared" si="114"/>
        <v>0.72123648466450274</v>
      </c>
      <c r="I595" s="3031">
        <f t="shared" si="114"/>
        <v>0.78920445597384492</v>
      </c>
      <c r="J595" s="3031">
        <f t="shared" si="114"/>
        <v>0.87556474923130179</v>
      </c>
      <c r="K595" s="3031">
        <f t="shared" si="114"/>
        <v>0.9655871464878143</v>
      </c>
      <c r="L595" s="3031">
        <f t="shared" si="114"/>
        <v>1.0514503156274615</v>
      </c>
      <c r="M595" s="3031">
        <f t="shared" si="114"/>
        <v>1.1318469101321211</v>
      </c>
    </row>
    <row r="596" spans="3:13" outlineLevel="1" x14ac:dyDescent="0.25">
      <c r="C596" s="956" t="s">
        <v>330</v>
      </c>
      <c r="D596" s="929" t="s">
        <v>387</v>
      </c>
      <c r="E596" s="928" t="s">
        <v>171</v>
      </c>
      <c r="F596" s="3031">
        <f t="shared" ref="F596:M596" si="115">F27*$D302*$F321</f>
        <v>0</v>
      </c>
      <c r="G596" s="3031">
        <f t="shared" si="115"/>
        <v>0</v>
      </c>
      <c r="H596" s="3031">
        <f t="shared" si="115"/>
        <v>0</v>
      </c>
      <c r="I596" s="3031">
        <f t="shared" si="115"/>
        <v>0</v>
      </c>
      <c r="J596" s="3031">
        <f t="shared" si="115"/>
        <v>0</v>
      </c>
      <c r="K596" s="3031">
        <f t="shared" si="115"/>
        <v>0</v>
      </c>
      <c r="L596" s="3031">
        <f t="shared" si="115"/>
        <v>0</v>
      </c>
      <c r="M596" s="3031">
        <f t="shared" si="115"/>
        <v>0</v>
      </c>
    </row>
    <row r="597" spans="3:13" outlineLevel="1" x14ac:dyDescent="0.25">
      <c r="C597" s="956" t="s">
        <v>330</v>
      </c>
      <c r="D597" s="929" t="s">
        <v>331</v>
      </c>
      <c r="E597" s="928" t="s">
        <v>171</v>
      </c>
      <c r="F597" s="3031">
        <f t="shared" ref="F597:M597" si="116">F27*$D302*$G321</f>
        <v>0</v>
      </c>
      <c r="G597" s="3031">
        <f t="shared" si="116"/>
        <v>0</v>
      </c>
      <c r="H597" s="3031">
        <f t="shared" si="116"/>
        <v>0</v>
      </c>
      <c r="I597" s="3031">
        <f t="shared" si="116"/>
        <v>0</v>
      </c>
      <c r="J597" s="3031">
        <f t="shared" si="116"/>
        <v>0</v>
      </c>
      <c r="K597" s="3031">
        <f t="shared" si="116"/>
        <v>0</v>
      </c>
      <c r="L597" s="3031">
        <f t="shared" si="116"/>
        <v>0</v>
      </c>
      <c r="M597" s="3031">
        <f t="shared" si="116"/>
        <v>0</v>
      </c>
    </row>
    <row r="598" spans="3:13" outlineLevel="1" x14ac:dyDescent="0.25">
      <c r="C598" s="956" t="s">
        <v>149</v>
      </c>
      <c r="D598" s="929" t="s">
        <v>533</v>
      </c>
      <c r="E598" s="928" t="s">
        <v>171</v>
      </c>
      <c r="F598" s="3031">
        <f t="shared" ref="F598:M598" si="117">F27*$D302*$H321</f>
        <v>0.93853385707993064</v>
      </c>
      <c r="G598" s="3031">
        <f t="shared" si="117"/>
        <v>1.0962497810742744</v>
      </c>
      <c r="H598" s="3031">
        <f t="shared" si="117"/>
        <v>1.2440584161890393</v>
      </c>
      <c r="I598" s="3031">
        <f t="shared" si="117"/>
        <v>1.3612961440863118</v>
      </c>
      <c r="J598" s="3031">
        <f t="shared" si="117"/>
        <v>1.510258727005934</v>
      </c>
      <c r="K598" s="3031">
        <f t="shared" si="117"/>
        <v>1.6655380609466914</v>
      </c>
      <c r="L598" s="3031">
        <f t="shared" si="117"/>
        <v>1.8136431561271302</v>
      </c>
      <c r="M598" s="3031">
        <f t="shared" si="117"/>
        <v>1.952318974881619</v>
      </c>
    </row>
    <row r="599" spans="3:13" outlineLevel="1" x14ac:dyDescent="0.25">
      <c r="C599" s="961" t="s">
        <v>118</v>
      </c>
      <c r="D599" s="976"/>
      <c r="E599" s="971" t="s">
        <v>171</v>
      </c>
      <c r="F599" s="959">
        <f t="shared" ref="F599:M599" si="118">SUM(F594:F598)</f>
        <v>2.7480363683405016</v>
      </c>
      <c r="G599" s="959">
        <f t="shared" si="118"/>
        <v>3.2098301456596841</v>
      </c>
      <c r="H599" s="959">
        <f t="shared" si="118"/>
        <v>3.6426152836555659</v>
      </c>
      <c r="I599" s="959">
        <f t="shared" si="118"/>
        <v>3.9858885045127161</v>
      </c>
      <c r="J599" s="959">
        <f t="shared" si="118"/>
        <v>4.4220524130356207</v>
      </c>
      <c r="K599" s="959">
        <f t="shared" si="118"/>
        <v>4.8767118307027975</v>
      </c>
      <c r="L599" s="959">
        <f t="shared" si="118"/>
        <v>5.3103650066880252</v>
      </c>
      <c r="M599" s="959">
        <f t="shared" si="118"/>
        <v>5.7164091685176341</v>
      </c>
    </row>
    <row r="600" spans="3:13" outlineLevel="1" x14ac:dyDescent="0.25">
      <c r="C600" s="956"/>
      <c r="D600" s="957" t="s">
        <v>536</v>
      </c>
      <c r="E600" s="928" t="s">
        <v>171</v>
      </c>
      <c r="F600" s="3031">
        <f t="shared" ref="F600:M600" si="119">INDEX($C$332:$F$343,MATCH($C$593,$C$332:$C$343,0),MATCH($D$600,$C$332:$F$332,0))*F599</f>
        <v>1.8969283664377206</v>
      </c>
      <c r="G600" s="3031">
        <f t="shared" si="119"/>
        <v>2.2156976977803686</v>
      </c>
      <c r="H600" s="3031">
        <f t="shared" si="119"/>
        <v>2.5144427996629974</v>
      </c>
      <c r="I600" s="3031">
        <f t="shared" si="119"/>
        <v>2.7513991651552043</v>
      </c>
      <c r="J600" s="3031">
        <f t="shared" si="119"/>
        <v>3.0524765817517983</v>
      </c>
      <c r="K600" s="3031">
        <f t="shared" si="119"/>
        <v>3.3663211714293895</v>
      </c>
      <c r="L600" s="3031">
        <f t="shared" si="119"/>
        <v>3.6656654669413697</v>
      </c>
      <c r="M600" s="3031">
        <f t="shared" si="119"/>
        <v>3.945951673293925</v>
      </c>
    </row>
    <row r="601" spans="3:13" outlineLevel="1" x14ac:dyDescent="0.25">
      <c r="C601" s="956"/>
      <c r="D601" s="975" t="s">
        <v>537</v>
      </c>
      <c r="E601" s="928" t="s">
        <v>171</v>
      </c>
      <c r="F601" s="3031">
        <f t="shared" ref="F601:M601" si="120">INDEX($C$332:$F$343,MATCH($C$593,$C$332:$C$343,0),MATCH($D$601,$C$332:$F$332,0))*F599</f>
        <v>0.83355741877509792</v>
      </c>
      <c r="G601" s="3031">
        <f t="shared" si="120"/>
        <v>0.97363257697288941</v>
      </c>
      <c r="H601" s="3031">
        <f t="shared" si="120"/>
        <v>1.1049085916094512</v>
      </c>
      <c r="I601" s="3031">
        <f t="shared" si="120"/>
        <v>1.2090331014626794</v>
      </c>
      <c r="J601" s="3031">
        <f t="shared" si="120"/>
        <v>1.3413339930883472</v>
      </c>
      <c r="K601" s="3031">
        <f t="shared" si="120"/>
        <v>1.4792450975331928</v>
      </c>
      <c r="L601" s="3031">
        <f t="shared" si="120"/>
        <v>1.6107844127265207</v>
      </c>
      <c r="M601" s="3031">
        <f t="shared" si="120"/>
        <v>1.7339491303928225</v>
      </c>
    </row>
    <row r="602" spans="3:13" outlineLevel="1" x14ac:dyDescent="0.25">
      <c r="C602" s="956"/>
      <c r="D602" s="957" t="s">
        <v>573</v>
      </c>
      <c r="E602" s="928" t="s">
        <v>171</v>
      </c>
      <c r="F602" s="3031">
        <f t="shared" ref="F602:M602" si="121">INDEX($C$332:$F$343,MATCH($C$593,$C$332:$C$343,0),MATCH($D$602,$C$332:$F$332,0))*F599</f>
        <v>1.7550583127683327E-2</v>
      </c>
      <c r="G602" s="3031">
        <f t="shared" si="121"/>
        <v>2.0499870906426056E-2</v>
      </c>
      <c r="H602" s="3031">
        <f t="shared" si="121"/>
        <v>2.3263892383117615E-2</v>
      </c>
      <c r="I602" s="3031">
        <f t="shared" si="121"/>
        <v>2.5456237894832662E-2</v>
      </c>
      <c r="J602" s="3031">
        <f t="shared" si="121"/>
        <v>2.8241838195475408E-2</v>
      </c>
      <c r="K602" s="3031">
        <f t="shared" si="121"/>
        <v>3.1145561740215322E-2</v>
      </c>
      <c r="L602" s="3031">
        <f t="shared" si="121"/>
        <v>3.3915127020135077E-2</v>
      </c>
      <c r="M602" s="3031">
        <f t="shared" si="121"/>
        <v>3.650836483088666E-2</v>
      </c>
    </row>
    <row r="603" spans="3:13" outlineLevel="1" x14ac:dyDescent="0.25">
      <c r="C603" s="955"/>
      <c r="E603" s="956"/>
      <c r="F603" s="959"/>
      <c r="G603" s="959"/>
      <c r="H603" s="959"/>
      <c r="I603" s="959"/>
      <c r="J603" s="959"/>
      <c r="K603" s="959"/>
      <c r="L603" s="959"/>
      <c r="M603" s="959"/>
    </row>
    <row r="604" spans="3:13" outlineLevel="1" x14ac:dyDescent="0.25">
      <c r="C604" s="957" t="s">
        <v>560</v>
      </c>
      <c r="E604" s="956"/>
      <c r="F604" s="3031"/>
      <c r="G604" s="3031"/>
      <c r="H604" s="3031"/>
      <c r="I604" s="3031"/>
      <c r="J604" s="3031"/>
      <c r="K604" s="3031"/>
      <c r="L604" s="3031"/>
      <c r="M604" s="3031"/>
    </row>
    <row r="605" spans="3:13" outlineLevel="1" x14ac:dyDescent="0.25">
      <c r="C605" s="956" t="s">
        <v>333</v>
      </c>
      <c r="D605" s="929" t="s">
        <v>532</v>
      </c>
      <c r="E605" s="928" t="s">
        <v>171</v>
      </c>
      <c r="F605" s="3031">
        <f t="shared" ref="F605:M605" si="122">F27*$D303*$D322</f>
        <v>0.69497157553257005</v>
      </c>
      <c r="G605" s="3031">
        <f t="shared" si="122"/>
        <v>0.81175807541010114</v>
      </c>
      <c r="H605" s="3031">
        <f t="shared" si="122"/>
        <v>0.92120836241693238</v>
      </c>
      <c r="I605" s="3031">
        <f t="shared" si="122"/>
        <v>1.0080213077933795</v>
      </c>
      <c r="J605" s="3031">
        <f t="shared" si="122"/>
        <v>1.1183260774786721</v>
      </c>
      <c r="K605" s="3031">
        <f t="shared" si="122"/>
        <v>1.233308315511312</v>
      </c>
      <c r="L605" s="3031">
        <f t="shared" si="122"/>
        <v>1.3429781271707382</v>
      </c>
      <c r="M605" s="3031">
        <f t="shared" si="122"/>
        <v>1.4456656876897918</v>
      </c>
    </row>
    <row r="606" spans="3:13" outlineLevel="1" x14ac:dyDescent="0.25">
      <c r="C606" s="956" t="s">
        <v>335</v>
      </c>
      <c r="D606" s="929" t="s">
        <v>332</v>
      </c>
      <c r="E606" s="928" t="s">
        <v>171</v>
      </c>
      <c r="F606" s="3031">
        <f t="shared" ref="F606:M606" si="123">F27*$D303*$E322</f>
        <v>0</v>
      </c>
      <c r="G606" s="3031">
        <f t="shared" si="123"/>
        <v>0</v>
      </c>
      <c r="H606" s="3031">
        <f t="shared" si="123"/>
        <v>0</v>
      </c>
      <c r="I606" s="3031">
        <f t="shared" si="123"/>
        <v>0</v>
      </c>
      <c r="J606" s="3031">
        <f t="shared" si="123"/>
        <v>0</v>
      </c>
      <c r="K606" s="3031">
        <f t="shared" si="123"/>
        <v>0</v>
      </c>
      <c r="L606" s="3031">
        <f t="shared" si="123"/>
        <v>0</v>
      </c>
      <c r="M606" s="3031">
        <f t="shared" si="123"/>
        <v>0</v>
      </c>
    </row>
    <row r="607" spans="3:13" outlineLevel="1" x14ac:dyDescent="0.25">
      <c r="C607" s="956" t="s">
        <v>330</v>
      </c>
      <c r="D607" s="929" t="s">
        <v>387</v>
      </c>
      <c r="E607" s="928" t="s">
        <v>171</v>
      </c>
      <c r="F607" s="3031">
        <f t="shared" ref="F607:M607" si="124">F27*$D303*$F322</f>
        <v>0.29972254979761354</v>
      </c>
      <c r="G607" s="3031">
        <f t="shared" si="124"/>
        <v>0.35008942631110029</v>
      </c>
      <c r="H607" s="3031">
        <f t="shared" si="124"/>
        <v>0.39729239151529472</v>
      </c>
      <c r="I607" s="3031">
        <f t="shared" si="124"/>
        <v>0.43473248008831328</v>
      </c>
      <c r="J607" s="3031">
        <f t="shared" si="124"/>
        <v>0.48230396069106918</v>
      </c>
      <c r="K607" s="3031">
        <f t="shared" si="124"/>
        <v>0.53189270759509832</v>
      </c>
      <c r="L607" s="3031">
        <f t="shared" si="124"/>
        <v>0.57919034787800916</v>
      </c>
      <c r="M607" s="3031">
        <f t="shared" si="124"/>
        <v>0.62347673102638734</v>
      </c>
    </row>
    <row r="608" spans="3:13" outlineLevel="1" x14ac:dyDescent="0.25">
      <c r="C608" s="956" t="s">
        <v>330</v>
      </c>
      <c r="D608" s="929" t="s">
        <v>331</v>
      </c>
      <c r="E608" s="928" t="s">
        <v>171</v>
      </c>
      <c r="F608" s="3031">
        <f t="shared" ref="F608:M608" si="125">F27*$D303*$G322</f>
        <v>0</v>
      </c>
      <c r="G608" s="3031">
        <f t="shared" si="125"/>
        <v>0</v>
      </c>
      <c r="H608" s="3031">
        <f t="shared" si="125"/>
        <v>0</v>
      </c>
      <c r="I608" s="3031">
        <f t="shared" si="125"/>
        <v>0</v>
      </c>
      <c r="J608" s="3031">
        <f t="shared" si="125"/>
        <v>0</v>
      </c>
      <c r="K608" s="3031">
        <f t="shared" si="125"/>
        <v>0</v>
      </c>
      <c r="L608" s="3031">
        <f t="shared" si="125"/>
        <v>0</v>
      </c>
      <c r="M608" s="3031">
        <f t="shared" si="125"/>
        <v>0</v>
      </c>
    </row>
    <row r="609" spans="2:13" outlineLevel="1" x14ac:dyDescent="0.25">
      <c r="C609" s="956" t="s">
        <v>149</v>
      </c>
      <c r="D609" s="929" t="s">
        <v>533</v>
      </c>
      <c r="E609" s="928" t="s">
        <v>171</v>
      </c>
      <c r="F609" s="3031">
        <f t="shared" ref="F609:M609" si="126">F27*$D303*$H322</f>
        <v>0.66405589658113817</v>
      </c>
      <c r="G609" s="3031">
        <f t="shared" si="126"/>
        <v>0.77564717112400949</v>
      </c>
      <c r="H609" s="3031">
        <f t="shared" si="126"/>
        <v>0.88022858283669336</v>
      </c>
      <c r="I609" s="3031">
        <f t="shared" si="126"/>
        <v>0.96317967077525934</v>
      </c>
      <c r="J609" s="3031">
        <f t="shared" si="126"/>
        <v>1.068577553666241</v>
      </c>
      <c r="K609" s="3031">
        <f t="shared" si="126"/>
        <v>1.1784448286107718</v>
      </c>
      <c r="L609" s="3031">
        <f t="shared" si="126"/>
        <v>1.2832359994634446</v>
      </c>
      <c r="M609" s="3031">
        <f t="shared" si="126"/>
        <v>1.3813555232957029</v>
      </c>
    </row>
    <row r="610" spans="2:13" outlineLevel="1" x14ac:dyDescent="0.25">
      <c r="C610" s="961" t="s">
        <v>118</v>
      </c>
      <c r="D610" s="976"/>
      <c r="E610" s="971" t="s">
        <v>171</v>
      </c>
      <c r="F610" s="959">
        <f t="shared" ref="F610:M610" si="127">SUM(F605:F609)</f>
        <v>1.6587500219113216</v>
      </c>
      <c r="G610" s="959">
        <f t="shared" si="127"/>
        <v>1.9374946728452107</v>
      </c>
      <c r="H610" s="959">
        <f t="shared" si="127"/>
        <v>2.1987293367689205</v>
      </c>
      <c r="I610" s="959">
        <f t="shared" si="127"/>
        <v>2.4059334586569521</v>
      </c>
      <c r="J610" s="959">
        <f t="shared" si="127"/>
        <v>2.6692075918359821</v>
      </c>
      <c r="K610" s="959">
        <f t="shared" si="127"/>
        <v>2.9436458517171822</v>
      </c>
      <c r="L610" s="959">
        <f t="shared" si="127"/>
        <v>3.2054044745121919</v>
      </c>
      <c r="M610" s="959">
        <f t="shared" si="127"/>
        <v>3.4504979420118822</v>
      </c>
    </row>
    <row r="611" spans="2:13" outlineLevel="1" x14ac:dyDescent="0.25">
      <c r="C611" s="956"/>
      <c r="D611" s="957" t="s">
        <v>536</v>
      </c>
      <c r="E611" s="928" t="s">
        <v>171</v>
      </c>
      <c r="F611" s="3031">
        <f t="shared" ref="F611:M611" si="128">INDEX($C$332:$F$343,MATCH($C$604,$C$332:$C$343,0),MATCH($D$611,$C$332:$F$332,0))*F610</f>
        <v>1.328261937371007</v>
      </c>
      <c r="G611" s="3031">
        <f t="shared" si="128"/>
        <v>1.5514697174406229</v>
      </c>
      <c r="H611" s="3031">
        <f t="shared" si="128"/>
        <v>1.7606561869075219</v>
      </c>
      <c r="I611" s="3031">
        <f t="shared" si="128"/>
        <v>1.9265771181718523</v>
      </c>
      <c r="J611" s="3031">
        <f t="shared" si="128"/>
        <v>2.1373967146009196</v>
      </c>
      <c r="K611" s="3031">
        <f t="shared" si="128"/>
        <v>2.3571561056745063</v>
      </c>
      <c r="L611" s="3031">
        <f t="shared" si="128"/>
        <v>2.5667621408482941</v>
      </c>
      <c r="M611" s="3031">
        <f t="shared" si="128"/>
        <v>2.763023373510102</v>
      </c>
    </row>
    <row r="612" spans="2:13" outlineLevel="1" x14ac:dyDescent="0.25">
      <c r="C612" s="956"/>
      <c r="D612" s="975" t="s">
        <v>537</v>
      </c>
      <c r="E612" s="928" t="s">
        <v>171</v>
      </c>
      <c r="F612" s="3031">
        <f t="shared" ref="F612:M612" si="129">INDEX($C$332:$F$343,MATCH($C$604,$C$332:$C$343,0),MATCH($D$612,$C$332:$F$332,0))*F610</f>
        <v>0.32896075597816571</v>
      </c>
      <c r="G612" s="3031">
        <f t="shared" si="129"/>
        <v>0.38424096691098836</v>
      </c>
      <c r="H612" s="3031">
        <f t="shared" si="129"/>
        <v>0.43604862412085804</v>
      </c>
      <c r="I612" s="3031">
        <f t="shared" si="129"/>
        <v>0.4771410272422989</v>
      </c>
      <c r="J612" s="3031">
        <f t="shared" si="129"/>
        <v>0.52935314886161067</v>
      </c>
      <c r="K612" s="3031">
        <f t="shared" si="129"/>
        <v>0.58377932293684953</v>
      </c>
      <c r="L612" s="3031">
        <f t="shared" si="129"/>
        <v>0.6356908908651081</v>
      </c>
      <c r="M612" s="3031">
        <f t="shared" si="129"/>
        <v>0.68429745079817461</v>
      </c>
    </row>
    <row r="613" spans="2:13" outlineLevel="1" x14ac:dyDescent="0.25">
      <c r="C613" s="956"/>
      <c r="D613" s="957" t="s">
        <v>573</v>
      </c>
      <c r="E613" s="928" t="s">
        <v>171</v>
      </c>
      <c r="F613" s="3031">
        <f t="shared" ref="F613:M613" si="130">INDEX($C$332:$F$343,MATCH($C$604,$C$332:$C$343,0),MATCH($D$613,$C$332:$F$332,0))*F610</f>
        <v>1.5273285621486728E-3</v>
      </c>
      <c r="G613" s="3031">
        <f t="shared" si="130"/>
        <v>1.7839884935993027E-3</v>
      </c>
      <c r="H613" s="3031">
        <f t="shared" si="130"/>
        <v>2.0245257405403744E-3</v>
      </c>
      <c r="I613" s="3031">
        <f t="shared" si="130"/>
        <v>2.2153132428005817E-3</v>
      </c>
      <c r="J613" s="3031">
        <f t="shared" si="130"/>
        <v>2.4577283734517532E-3</v>
      </c>
      <c r="K613" s="3031">
        <f t="shared" si="130"/>
        <v>2.7104231058261686E-3</v>
      </c>
      <c r="L613" s="3031">
        <f t="shared" si="130"/>
        <v>2.9514427987892182E-3</v>
      </c>
      <c r="M613" s="3031">
        <f t="shared" si="130"/>
        <v>3.1771177036051938E-3</v>
      </c>
    </row>
    <row r="614" spans="2:13" outlineLevel="1" x14ac:dyDescent="0.25">
      <c r="C614" s="955"/>
      <c r="F614" s="959"/>
      <c r="G614" s="959"/>
      <c r="H614" s="959"/>
      <c r="I614" s="959"/>
      <c r="J614" s="959"/>
      <c r="K614" s="959"/>
      <c r="L614" s="959"/>
      <c r="M614" s="959"/>
    </row>
    <row r="615" spans="2:13" outlineLevel="1" x14ac:dyDescent="0.25">
      <c r="C615" s="957" t="s">
        <v>559</v>
      </c>
      <c r="F615" s="3031"/>
      <c r="G615" s="3031"/>
      <c r="H615" s="3031"/>
      <c r="I615" s="3031"/>
      <c r="J615" s="3031"/>
      <c r="K615" s="3031"/>
      <c r="L615" s="3031"/>
      <c r="M615" s="3031"/>
    </row>
    <row r="616" spans="2:13" outlineLevel="1" x14ac:dyDescent="0.25">
      <c r="C616" s="956" t="s">
        <v>333</v>
      </c>
      <c r="D616" s="929" t="s">
        <v>532</v>
      </c>
      <c r="E616" s="928" t="s">
        <v>171</v>
      </c>
      <c r="F616" s="3031">
        <f t="shared" ref="F616:M616" si="131">F27*$D304*$D323</f>
        <v>1.8854675328533266E-3</v>
      </c>
      <c r="G616" s="3031">
        <f t="shared" si="131"/>
        <v>2.2023109283920905E-3</v>
      </c>
      <c r="H616" s="3031">
        <f t="shared" si="131"/>
        <v>2.4992510765624921E-3</v>
      </c>
      <c r="I616" s="3031">
        <f t="shared" si="131"/>
        <v>2.7347758026107873E-3</v>
      </c>
      <c r="J616" s="3031">
        <f t="shared" si="131"/>
        <v>3.0340341741508124E-3</v>
      </c>
      <c r="K616" s="3031">
        <f t="shared" si="131"/>
        <v>3.3459825822554482E-3</v>
      </c>
      <c r="L616" s="3031">
        <f t="shared" si="131"/>
        <v>3.643518303856045E-3</v>
      </c>
      <c r="M616" s="3031">
        <f t="shared" si="131"/>
        <v>3.9221110811767813E-3</v>
      </c>
    </row>
    <row r="617" spans="2:13" outlineLevel="1" x14ac:dyDescent="0.25">
      <c r="C617" s="956" t="s">
        <v>335</v>
      </c>
      <c r="D617" s="929" t="s">
        <v>332</v>
      </c>
      <c r="E617" s="928" t="s">
        <v>171</v>
      </c>
      <c r="F617" s="3031">
        <f t="shared" ref="F617:M617" si="132">F27*$D304*$E323</f>
        <v>1.78075443793136</v>
      </c>
      <c r="G617" s="3031">
        <f t="shared" si="132"/>
        <v>2.0800013212129014</v>
      </c>
      <c r="H617" s="3031">
        <f t="shared" si="132"/>
        <v>2.3604503225564706</v>
      </c>
      <c r="I617" s="3031">
        <f t="shared" si="132"/>
        <v>2.5828947263157667</v>
      </c>
      <c r="J617" s="3031">
        <f t="shared" si="132"/>
        <v>2.8655332039996289</v>
      </c>
      <c r="K617" s="3031">
        <f t="shared" si="132"/>
        <v>3.1601569524644435</v>
      </c>
      <c r="L617" s="3031">
        <f t="shared" si="132"/>
        <v>3.4411684509130831</v>
      </c>
      <c r="M617" s="3031">
        <f t="shared" si="132"/>
        <v>3.7042890382184268</v>
      </c>
    </row>
    <row r="618" spans="2:13" outlineLevel="1" x14ac:dyDescent="0.25">
      <c r="C618" s="956" t="s">
        <v>330</v>
      </c>
      <c r="D618" s="929" t="s">
        <v>387</v>
      </c>
      <c r="E618" s="928" t="s">
        <v>171</v>
      </c>
      <c r="F618" s="3031">
        <f t="shared" ref="F618:M618" si="133">F27*$D304*$F323</f>
        <v>1.2782066734842723E-2</v>
      </c>
      <c r="G618" s="3031">
        <f t="shared" si="133"/>
        <v>1.4930029166283698E-2</v>
      </c>
      <c r="H618" s="3031">
        <f t="shared" si="133"/>
        <v>1.6943062392278486E-2</v>
      </c>
      <c r="I618" s="3031">
        <f t="shared" si="133"/>
        <v>1.8539744760761912E-2</v>
      </c>
      <c r="J618" s="3031">
        <f t="shared" si="133"/>
        <v>2.0568493816014156E-2</v>
      </c>
      <c r="K618" s="3031">
        <f t="shared" si="133"/>
        <v>2.2683271875431205E-2</v>
      </c>
      <c r="L618" s="3031">
        <f t="shared" si="133"/>
        <v>2.4700342646065503E-2</v>
      </c>
      <c r="M618" s="3031">
        <f t="shared" si="133"/>
        <v>2.658899435154987E-2</v>
      </c>
    </row>
    <row r="619" spans="2:13" outlineLevel="1" x14ac:dyDescent="0.25">
      <c r="B619" s="941"/>
      <c r="C619" s="956" t="s">
        <v>330</v>
      </c>
      <c r="D619" s="929" t="s">
        <v>331</v>
      </c>
      <c r="E619" s="928" t="s">
        <v>171</v>
      </c>
      <c r="F619" s="3031">
        <f t="shared" ref="F619:M619" si="134">F27*$D304*$G323</f>
        <v>0</v>
      </c>
      <c r="G619" s="3031">
        <f t="shared" si="134"/>
        <v>0</v>
      </c>
      <c r="H619" s="3031">
        <f t="shared" si="134"/>
        <v>0</v>
      </c>
      <c r="I619" s="3031">
        <f t="shared" si="134"/>
        <v>0</v>
      </c>
      <c r="J619" s="3031">
        <f t="shared" si="134"/>
        <v>0</v>
      </c>
      <c r="K619" s="3031">
        <f t="shared" si="134"/>
        <v>0</v>
      </c>
      <c r="L619" s="3031">
        <f t="shared" si="134"/>
        <v>0</v>
      </c>
      <c r="M619" s="3031">
        <f t="shared" si="134"/>
        <v>0</v>
      </c>
    </row>
    <row r="620" spans="2:13" outlineLevel="1" x14ac:dyDescent="0.25">
      <c r="B620" s="957"/>
      <c r="C620" s="956" t="s">
        <v>149</v>
      </c>
      <c r="D620" s="929" t="s">
        <v>533</v>
      </c>
      <c r="E620" s="928" t="s">
        <v>171</v>
      </c>
      <c r="F620" s="3031">
        <f t="shared" ref="F620:M620" si="135">F27*$D304*$H323</f>
        <v>5.2054229760717968E-2</v>
      </c>
      <c r="G620" s="3031">
        <f t="shared" si="135"/>
        <v>6.0801682910749943E-2</v>
      </c>
      <c r="H620" s="3031">
        <f t="shared" si="135"/>
        <v>6.8999644651651565E-2</v>
      </c>
      <c r="I620" s="3031">
        <f t="shared" si="135"/>
        <v>7.5502041532225075E-2</v>
      </c>
      <c r="J620" s="3031">
        <f t="shared" si="135"/>
        <v>8.3764005081599313E-2</v>
      </c>
      <c r="K620" s="3031">
        <f t="shared" si="135"/>
        <v>9.2376316789982427E-2</v>
      </c>
      <c r="L620" s="3031">
        <f t="shared" si="135"/>
        <v>0.10059072119862271</v>
      </c>
      <c r="M620" s="3031">
        <f t="shared" si="135"/>
        <v>0.10828214636911293</v>
      </c>
    </row>
    <row r="621" spans="2:13" outlineLevel="1" x14ac:dyDescent="0.25">
      <c r="B621" s="957"/>
      <c r="C621" s="961" t="s">
        <v>118</v>
      </c>
      <c r="D621" s="976"/>
      <c r="E621" s="971" t="s">
        <v>171</v>
      </c>
      <c r="F621" s="959">
        <f t="shared" ref="F621:M621" si="136">SUM(F616:F620)</f>
        <v>1.8474762019597741</v>
      </c>
      <c r="G621" s="959">
        <f t="shared" si="136"/>
        <v>2.1579353442183269</v>
      </c>
      <c r="H621" s="959">
        <f t="shared" si="136"/>
        <v>2.4488922806769629</v>
      </c>
      <c r="I621" s="959">
        <f t="shared" si="136"/>
        <v>2.6796712884113645</v>
      </c>
      <c r="J621" s="959">
        <f t="shared" si="136"/>
        <v>2.9728997370713932</v>
      </c>
      <c r="K621" s="959">
        <f t="shared" si="136"/>
        <v>3.2785625237121128</v>
      </c>
      <c r="L621" s="959">
        <f t="shared" si="136"/>
        <v>3.5701030330616272</v>
      </c>
      <c r="M621" s="959">
        <f t="shared" si="136"/>
        <v>3.8430822900202664</v>
      </c>
    </row>
    <row r="622" spans="2:13" outlineLevel="1" x14ac:dyDescent="0.25">
      <c r="B622" s="957"/>
      <c r="C622" s="956"/>
      <c r="D622" s="957" t="s">
        <v>536</v>
      </c>
      <c r="E622" s="928" t="s">
        <v>171</v>
      </c>
      <c r="F622" s="3031">
        <f t="shared" ref="F622:M622" si="137">INDEX($C$332:$F$343,MATCH($C$615,$C$332:$C$343,0),MATCH($D$622,$C$332:$F$332,0))*F621</f>
        <v>1.8069850497878264</v>
      </c>
      <c r="G622" s="3031">
        <f t="shared" si="137"/>
        <v>2.1106398562941631</v>
      </c>
      <c r="H622" s="3031">
        <f t="shared" si="137"/>
        <v>2.3952198870166748</v>
      </c>
      <c r="I622" s="3031">
        <f t="shared" si="137"/>
        <v>2.6209409092082305</v>
      </c>
      <c r="J622" s="3031">
        <f t="shared" si="137"/>
        <v>2.9077426673792326</v>
      </c>
      <c r="K622" s="3031">
        <f t="shared" si="137"/>
        <v>3.2067062400360093</v>
      </c>
      <c r="L622" s="3031">
        <f t="shared" si="137"/>
        <v>3.491857053477216</v>
      </c>
      <c r="M622" s="3031">
        <f t="shared" si="137"/>
        <v>3.7588534216594951</v>
      </c>
    </row>
    <row r="623" spans="2:13" outlineLevel="1" x14ac:dyDescent="0.25">
      <c r="B623" s="957"/>
      <c r="C623" s="956"/>
      <c r="D623" s="975" t="s">
        <v>537</v>
      </c>
      <c r="E623" s="928" t="s">
        <v>171</v>
      </c>
      <c r="F623" s="3031">
        <f t="shared" ref="F623:M623" si="138">INDEX($C$332:$F$343,MATCH($C$615,$C$332:$C$343,0),MATCH($D$623,$C$332:$F$332,0))*F621</f>
        <v>3.7154564083349675E-2</v>
      </c>
      <c r="G623" s="3031">
        <f t="shared" si="138"/>
        <v>4.3398202883173483E-2</v>
      </c>
      <c r="H623" s="3031">
        <f t="shared" si="138"/>
        <v>4.9249633136878516E-2</v>
      </c>
      <c r="I623" s="3031">
        <f t="shared" si="138"/>
        <v>5.3890826037151868E-2</v>
      </c>
      <c r="J623" s="3031">
        <f t="shared" si="138"/>
        <v>5.9787938636081818E-2</v>
      </c>
      <c r="K623" s="3031">
        <f t="shared" si="138"/>
        <v>6.5935118005478174E-2</v>
      </c>
      <c r="L623" s="3031">
        <f t="shared" si="138"/>
        <v>7.1798284484174066E-2</v>
      </c>
      <c r="M623" s="3031">
        <f t="shared" si="138"/>
        <v>7.7288165915575455E-2</v>
      </c>
    </row>
    <row r="624" spans="2:13" outlineLevel="1" x14ac:dyDescent="0.25">
      <c r="B624" s="957"/>
      <c r="C624" s="956"/>
      <c r="D624" s="957" t="s">
        <v>573</v>
      </c>
      <c r="E624" s="928" t="s">
        <v>171</v>
      </c>
      <c r="F624" s="3031">
        <f t="shared" ref="F624:M624" si="139">INDEX($C$332:$F$343,MATCH($C$615,$C$332:$C$343,0),MATCH($D$624,$C$332:$F$332,0))*F621</f>
        <v>3.336588088597841E-3</v>
      </c>
      <c r="G624" s="3031">
        <f t="shared" si="139"/>
        <v>3.8972850409901643E-3</v>
      </c>
      <c r="H624" s="3031">
        <f t="shared" si="139"/>
        <v>4.422760523409364E-3</v>
      </c>
      <c r="I624" s="3031">
        <f t="shared" si="139"/>
        <v>4.8395531659820882E-3</v>
      </c>
      <c r="J624" s="3031">
        <f t="shared" si="139"/>
        <v>5.369131056078438E-3</v>
      </c>
      <c r="K624" s="3031">
        <f t="shared" si="139"/>
        <v>5.9211656706251291E-3</v>
      </c>
      <c r="L624" s="3031">
        <f t="shared" si="139"/>
        <v>6.4476951002369739E-3</v>
      </c>
      <c r="M624" s="3031">
        <f t="shared" si="139"/>
        <v>6.9407024451956269E-3</v>
      </c>
    </row>
    <row r="625" spans="1:13" outlineLevel="1" x14ac:dyDescent="0.25">
      <c r="B625" s="957"/>
      <c r="C625" s="955"/>
      <c r="F625" s="959"/>
      <c r="G625" s="959"/>
      <c r="H625" s="959"/>
      <c r="I625" s="959"/>
      <c r="J625" s="959"/>
      <c r="K625" s="959"/>
      <c r="L625" s="959"/>
      <c r="M625" s="959"/>
    </row>
    <row r="626" spans="1:13" outlineLevel="1" x14ac:dyDescent="0.25">
      <c r="B626" s="957"/>
      <c r="C626" s="957" t="s">
        <v>558</v>
      </c>
      <c r="F626" s="3031"/>
      <c r="G626" s="3031"/>
      <c r="H626" s="3031"/>
      <c r="I626" s="3031"/>
      <c r="J626" s="3031"/>
      <c r="K626" s="3031"/>
      <c r="L626" s="3031"/>
      <c r="M626" s="3031"/>
    </row>
    <row r="627" spans="1:13" outlineLevel="1" x14ac:dyDescent="0.25">
      <c r="B627" s="957"/>
      <c r="C627" s="956" t="s">
        <v>333</v>
      </c>
      <c r="D627" s="929" t="s">
        <v>532</v>
      </c>
      <c r="E627" s="928" t="s">
        <v>171</v>
      </c>
      <c r="F627" s="3031">
        <f t="shared" ref="F627:M627" si="140">F27*$D305*$D324</f>
        <v>0.13120692847669449</v>
      </c>
      <c r="G627" s="3031">
        <f t="shared" si="140"/>
        <v>0.15325559704955269</v>
      </c>
      <c r="H627" s="3031">
        <f t="shared" si="140"/>
        <v>0.17391922774272769</v>
      </c>
      <c r="I627" s="3031">
        <f t="shared" si="140"/>
        <v>0.19030904901869855</v>
      </c>
      <c r="J627" s="3031">
        <f t="shared" si="140"/>
        <v>0.2111340014862087</v>
      </c>
      <c r="K627" s="3031">
        <f t="shared" si="140"/>
        <v>0.23284203504150602</v>
      </c>
      <c r="L627" s="3031">
        <f t="shared" si="140"/>
        <v>0.2535471108187764</v>
      </c>
      <c r="M627" s="3031">
        <f t="shared" si="140"/>
        <v>0.27293397480403342</v>
      </c>
    </row>
    <row r="628" spans="1:13" outlineLevel="1" x14ac:dyDescent="0.25">
      <c r="B628" s="957"/>
      <c r="C628" s="956" t="s">
        <v>335</v>
      </c>
      <c r="D628" s="929" t="s">
        <v>332</v>
      </c>
      <c r="E628" s="928" t="s">
        <v>171</v>
      </c>
      <c r="F628" s="3031">
        <f t="shared" ref="F628:M628" si="141">F27*$D305*$E324</f>
        <v>5.827200245773928E-2</v>
      </c>
      <c r="G628" s="3031">
        <f t="shared" si="141"/>
        <v>6.8064321233768599E-2</v>
      </c>
      <c r="H628" s="3031">
        <f t="shared" si="141"/>
        <v>7.7241512960746564E-2</v>
      </c>
      <c r="I628" s="3031">
        <f t="shared" si="141"/>
        <v>8.4520608026560293E-2</v>
      </c>
      <c r="J628" s="3031">
        <f t="shared" si="141"/>
        <v>9.3769446448874277E-2</v>
      </c>
      <c r="K628" s="3031">
        <f t="shared" si="141"/>
        <v>0.1034104814107716</v>
      </c>
      <c r="L628" s="3031">
        <f t="shared" si="141"/>
        <v>0.11260607984896753</v>
      </c>
      <c r="M628" s="3031">
        <f t="shared" si="141"/>
        <v>0.12121623023441321</v>
      </c>
    </row>
    <row r="629" spans="1:13" outlineLevel="1" x14ac:dyDescent="0.25">
      <c r="B629" s="957"/>
      <c r="C629" s="956" t="s">
        <v>330</v>
      </c>
      <c r="D629" s="929" t="s">
        <v>387</v>
      </c>
      <c r="E629" s="928" t="s">
        <v>171</v>
      </c>
      <c r="F629" s="3031">
        <f t="shared" ref="F629:M629" si="142">F27*$D305*$F324</f>
        <v>2.4487671960355115</v>
      </c>
      <c r="G629" s="3031">
        <f t="shared" si="142"/>
        <v>2.8602702846629122</v>
      </c>
      <c r="H629" s="3031">
        <f t="shared" si="142"/>
        <v>3.2459238593628745</v>
      </c>
      <c r="I629" s="3031">
        <f t="shared" si="142"/>
        <v>3.5518136256690132</v>
      </c>
      <c r="J629" s="3031">
        <f t="shared" si="142"/>
        <v>3.9404780129349315</v>
      </c>
      <c r="K629" s="3031">
        <f t="shared" si="142"/>
        <v>4.3456236944763784</v>
      </c>
      <c r="L629" s="3031">
        <f t="shared" si="142"/>
        <v>4.7320507752979148</v>
      </c>
      <c r="M629" s="3031">
        <f t="shared" si="142"/>
        <v>5.0938755440983838</v>
      </c>
    </row>
    <row r="630" spans="1:13" outlineLevel="1" x14ac:dyDescent="0.25">
      <c r="B630" s="957"/>
      <c r="C630" s="956" t="s">
        <v>330</v>
      </c>
      <c r="D630" s="929" t="s">
        <v>331</v>
      </c>
      <c r="E630" s="928" t="s">
        <v>171</v>
      </c>
      <c r="F630" s="3031">
        <f t="shared" ref="F630:M630" si="143">F27*$D305*$G324</f>
        <v>3.4810432112381461E-2</v>
      </c>
      <c r="G630" s="3031">
        <f t="shared" si="143"/>
        <v>4.066015125019521E-2</v>
      </c>
      <c r="H630" s="3031">
        <f t="shared" si="143"/>
        <v>4.614240681239181E-2</v>
      </c>
      <c r="I630" s="3031">
        <f t="shared" si="143"/>
        <v>5.0490780541471145E-2</v>
      </c>
      <c r="J630" s="3031">
        <f t="shared" si="143"/>
        <v>5.601583628761337E-2</v>
      </c>
      <c r="K630" s="3031">
        <f t="shared" si="143"/>
        <v>6.1775181751631304E-2</v>
      </c>
      <c r="L630" s="3031">
        <f t="shared" si="143"/>
        <v>6.7268433084425122E-2</v>
      </c>
      <c r="M630" s="3031">
        <f t="shared" si="143"/>
        <v>7.2411950431153005E-2</v>
      </c>
    </row>
    <row r="631" spans="1:13" outlineLevel="1" x14ac:dyDescent="0.25">
      <c r="B631" s="957"/>
      <c r="C631" s="956" t="s">
        <v>149</v>
      </c>
      <c r="D631" s="929" t="s">
        <v>533</v>
      </c>
      <c r="E631" s="928" t="s">
        <v>171</v>
      </c>
      <c r="F631" s="3031">
        <f t="shared" ref="F631:M631" si="144">F27*$D305*$H324</f>
        <v>0.47378250600986749</v>
      </c>
      <c r="G631" s="3031">
        <f t="shared" si="144"/>
        <v>0.55339928823250206</v>
      </c>
      <c r="H631" s="3031">
        <f t="shared" si="144"/>
        <v>0.62801475897583103</v>
      </c>
      <c r="I631" s="3031">
        <f t="shared" si="144"/>
        <v>0.68719768999431463</v>
      </c>
      <c r="J631" s="3031">
        <f t="shared" si="144"/>
        <v>0.762395686640855</v>
      </c>
      <c r="K631" s="3031">
        <f t="shared" si="144"/>
        <v>0.84078245064624746</v>
      </c>
      <c r="L631" s="3031">
        <f t="shared" si="144"/>
        <v>0.91554757778373563</v>
      </c>
      <c r="M631" s="3031">
        <f t="shared" si="144"/>
        <v>0.98555269953490143</v>
      </c>
    </row>
    <row r="632" spans="1:13" outlineLevel="1" x14ac:dyDescent="0.25">
      <c r="B632" s="957"/>
      <c r="C632" s="961" t="s">
        <v>118</v>
      </c>
      <c r="D632" s="976"/>
      <c r="E632" s="971" t="s">
        <v>171</v>
      </c>
      <c r="F632" s="959">
        <f t="shared" ref="F632:M632" si="145">SUM(F627:F631)</f>
        <v>3.1468390650921947</v>
      </c>
      <c r="G632" s="959">
        <f t="shared" si="145"/>
        <v>3.6756496424289309</v>
      </c>
      <c r="H632" s="959">
        <f t="shared" si="145"/>
        <v>4.171241765854572</v>
      </c>
      <c r="I632" s="959">
        <f t="shared" si="145"/>
        <v>4.564331753250058</v>
      </c>
      <c r="J632" s="959">
        <f t="shared" si="145"/>
        <v>5.063792983798483</v>
      </c>
      <c r="K632" s="959">
        <f t="shared" si="145"/>
        <v>5.5844338433265346</v>
      </c>
      <c r="L632" s="959">
        <f t="shared" si="145"/>
        <v>6.0810199768338196</v>
      </c>
      <c r="M632" s="959">
        <f t="shared" si="145"/>
        <v>6.5459903991028847</v>
      </c>
    </row>
    <row r="633" spans="1:13" outlineLevel="1" x14ac:dyDescent="0.25">
      <c r="B633" s="957"/>
      <c r="C633" s="956"/>
      <c r="D633" s="957" t="s">
        <v>536</v>
      </c>
      <c r="E633" s="928" t="s">
        <v>171</v>
      </c>
      <c r="F633" s="3031">
        <f t="shared" ref="F633:M633" si="146">INDEX($C$332:$F$343,MATCH($C$626,$C$332:$C$343,0),MATCH($D$633,$C$332:$F$332,0))*F632</f>
        <v>0.52399635941111722</v>
      </c>
      <c r="G633" s="3031">
        <f t="shared" si="146"/>
        <v>0.61205132873457146</v>
      </c>
      <c r="H633" s="3031">
        <f t="shared" si="146"/>
        <v>0.69457492242850349</v>
      </c>
      <c r="I633" s="3031">
        <f t="shared" si="146"/>
        <v>0.76003035820248444</v>
      </c>
      <c r="J633" s="3031">
        <f t="shared" si="146"/>
        <v>0.84319821682530982</v>
      </c>
      <c r="K633" s="3031">
        <f t="shared" si="146"/>
        <v>0.92989280441311861</v>
      </c>
      <c r="L633" s="3031">
        <f t="shared" si="146"/>
        <v>1.0125819158387253</v>
      </c>
      <c r="M633" s="3031">
        <f t="shared" si="146"/>
        <v>1.0900065325614434</v>
      </c>
    </row>
    <row r="634" spans="1:13" outlineLevel="1" x14ac:dyDescent="0.25">
      <c r="B634" s="957"/>
      <c r="C634" s="956"/>
      <c r="D634" s="975" t="s">
        <v>537</v>
      </c>
      <c r="E634" s="928" t="s">
        <v>171</v>
      </c>
      <c r="F634" s="3031">
        <f t="shared" ref="F634:M634" si="147">INDEX($C$332:$F$343,MATCH($C$626,$C$332:$C$343,0),MATCH($D$634,$C$332:$F$332,0))*F632</f>
        <v>2.6177661107539727</v>
      </c>
      <c r="G634" s="3031">
        <f t="shared" si="147"/>
        <v>3.0576686223620122</v>
      </c>
      <c r="H634" s="3031">
        <f t="shared" si="147"/>
        <v>3.4699376449032822</v>
      </c>
      <c r="I634" s="3031">
        <f t="shared" si="147"/>
        <v>3.7969380494983174</v>
      </c>
      <c r="J634" s="3031">
        <f t="shared" si="147"/>
        <v>4.2124256724495206</v>
      </c>
      <c r="K634" s="3031">
        <f t="shared" si="147"/>
        <v>4.6455320276696348</v>
      </c>
      <c r="L634" s="3031">
        <f t="shared" si="147"/>
        <v>5.0586279389877546</v>
      </c>
      <c r="M634" s="3031">
        <f t="shared" si="147"/>
        <v>5.4454236373827287</v>
      </c>
    </row>
    <row r="635" spans="1:13" outlineLevel="1" x14ac:dyDescent="0.25">
      <c r="B635" s="957"/>
      <c r="C635" s="956"/>
      <c r="D635" s="957" t="s">
        <v>573</v>
      </c>
      <c r="E635" s="928" t="s">
        <v>171</v>
      </c>
      <c r="F635" s="3031">
        <f t="shared" ref="F635:M635" si="148">INDEX($C$332:$F$343,MATCH($C$626,$C$332:$C$343,0),MATCH($D$635,$C$332:$F$332,0))*F632</f>
        <v>5.0765949271050353E-3</v>
      </c>
      <c r="G635" s="3031">
        <f t="shared" si="148"/>
        <v>5.9296913323476433E-3</v>
      </c>
      <c r="H635" s="3031">
        <f t="shared" si="148"/>
        <v>6.7291985227867302E-3</v>
      </c>
      <c r="I635" s="3031">
        <f t="shared" si="148"/>
        <v>7.3633455492566847E-3</v>
      </c>
      <c r="J635" s="3031">
        <f t="shared" si="148"/>
        <v>8.1690945236528329E-3</v>
      </c>
      <c r="K635" s="3031">
        <f t="shared" si="148"/>
        <v>9.0090112437810916E-3</v>
      </c>
      <c r="L635" s="3031">
        <f t="shared" si="148"/>
        <v>9.8101220073402474E-3</v>
      </c>
      <c r="M635" s="3031">
        <f t="shared" si="148"/>
        <v>1.0560229158713071E-2</v>
      </c>
    </row>
    <row r="636" spans="1:13" outlineLevel="1" x14ac:dyDescent="0.25">
      <c r="B636" s="957"/>
      <c r="C636" s="956"/>
      <c r="D636" s="957"/>
      <c r="F636" s="964"/>
      <c r="G636" s="964"/>
      <c r="H636" s="964"/>
      <c r="I636" s="964"/>
      <c r="J636" s="964"/>
      <c r="K636" s="964"/>
      <c r="L636" s="964"/>
      <c r="M636" s="964"/>
    </row>
    <row r="637" spans="1:13" outlineLevel="1" x14ac:dyDescent="0.25">
      <c r="B637" s="957"/>
      <c r="C637" s="956"/>
      <c r="D637" s="957"/>
      <c r="F637" s="964"/>
      <c r="G637" s="964"/>
      <c r="H637" s="964"/>
      <c r="I637" s="964"/>
      <c r="J637" s="964"/>
      <c r="K637" s="964"/>
      <c r="L637" s="964"/>
      <c r="M637" s="964"/>
    </row>
    <row r="638" spans="1:13" x14ac:dyDescent="0.25">
      <c r="D638" s="957"/>
      <c r="F638" s="964"/>
      <c r="G638" s="964"/>
      <c r="H638" s="964"/>
      <c r="I638" s="964"/>
      <c r="J638" s="964"/>
      <c r="K638" s="964"/>
      <c r="L638" s="964"/>
      <c r="M638" s="964"/>
    </row>
    <row r="639" spans="1:13" x14ac:dyDescent="0.25">
      <c r="A639" s="853" t="s">
        <v>702</v>
      </c>
      <c r="B639" s="853" t="s">
        <v>524</v>
      </c>
      <c r="C639" s="963"/>
      <c r="D639" s="957"/>
      <c r="F639" s="964"/>
      <c r="G639" s="964"/>
      <c r="H639" s="964"/>
      <c r="I639" s="964"/>
      <c r="J639" s="964"/>
      <c r="K639" s="964"/>
      <c r="L639" s="964"/>
      <c r="M639" s="964"/>
    </row>
    <row r="640" spans="1:13" outlineLevel="1" x14ac:dyDescent="0.25">
      <c r="B640" s="957"/>
      <c r="F640" s="974">
        <v>2015</v>
      </c>
      <c r="G640" s="974">
        <v>2020</v>
      </c>
      <c r="H640" s="974">
        <v>2025</v>
      </c>
      <c r="I640" s="974">
        <v>2030</v>
      </c>
      <c r="J640" s="974">
        <v>2035</v>
      </c>
      <c r="K640" s="974">
        <v>2040</v>
      </c>
      <c r="L640" s="974">
        <v>2045</v>
      </c>
      <c r="M640" s="974">
        <v>2050</v>
      </c>
    </row>
    <row r="641" spans="1:13" outlineLevel="1" x14ac:dyDescent="0.25">
      <c r="A641" s="3032" t="s">
        <v>1967</v>
      </c>
      <c r="B641" s="957" t="s">
        <v>2090</v>
      </c>
      <c r="C641" s="971"/>
    </row>
    <row r="642" spans="1:13" outlineLevel="1" x14ac:dyDescent="0.25">
      <c r="B642" s="957"/>
      <c r="C642" s="971" t="s">
        <v>572</v>
      </c>
      <c r="D642" s="957" t="s">
        <v>568</v>
      </c>
      <c r="E642" s="928" t="s">
        <v>171</v>
      </c>
      <c r="F642" s="970">
        <f t="shared" ref="F642:M652" si="149">$D333*$D295*F$27*(1-F462)</f>
        <v>0</v>
      </c>
      <c r="G642" s="970">
        <f t="shared" si="149"/>
        <v>0</v>
      </c>
      <c r="H642" s="970">
        <f t="shared" si="149"/>
        <v>0</v>
      </c>
      <c r="I642" s="970">
        <f t="shared" si="149"/>
        <v>0</v>
      </c>
      <c r="J642" s="970">
        <f t="shared" si="149"/>
        <v>0</v>
      </c>
      <c r="K642" s="970">
        <f t="shared" si="149"/>
        <v>0</v>
      </c>
      <c r="L642" s="970">
        <f t="shared" si="149"/>
        <v>0</v>
      </c>
      <c r="M642" s="970">
        <f t="shared" si="149"/>
        <v>0</v>
      </c>
    </row>
    <row r="643" spans="1:13" outlineLevel="1" x14ac:dyDescent="0.25">
      <c r="B643" s="957"/>
      <c r="D643" s="957" t="s">
        <v>567</v>
      </c>
      <c r="E643" s="928" t="s">
        <v>171</v>
      </c>
      <c r="F643" s="970">
        <f t="shared" si="149"/>
        <v>0</v>
      </c>
      <c r="G643" s="970">
        <f t="shared" si="149"/>
        <v>0</v>
      </c>
      <c r="H643" s="970">
        <f t="shared" si="149"/>
        <v>0</v>
      </c>
      <c r="I643" s="970">
        <f t="shared" si="149"/>
        <v>0</v>
      </c>
      <c r="J643" s="970">
        <f t="shared" si="149"/>
        <v>0</v>
      </c>
      <c r="K643" s="970">
        <f t="shared" si="149"/>
        <v>0</v>
      </c>
      <c r="L643" s="970">
        <f t="shared" si="149"/>
        <v>0</v>
      </c>
      <c r="M643" s="970">
        <f t="shared" si="149"/>
        <v>0</v>
      </c>
    </row>
    <row r="644" spans="1:13" outlineLevel="1" x14ac:dyDescent="0.25">
      <c r="B644" s="957"/>
      <c r="D644" s="957" t="s">
        <v>566</v>
      </c>
      <c r="E644" s="928" t="s">
        <v>171</v>
      </c>
      <c r="F644" s="970">
        <f t="shared" si="149"/>
        <v>0</v>
      </c>
      <c r="G644" s="970">
        <f t="shared" si="149"/>
        <v>0</v>
      </c>
      <c r="H644" s="970">
        <f t="shared" si="149"/>
        <v>0</v>
      </c>
      <c r="I644" s="970">
        <f t="shared" si="149"/>
        <v>0</v>
      </c>
      <c r="J644" s="970">
        <f t="shared" si="149"/>
        <v>0</v>
      </c>
      <c r="K644" s="970">
        <f t="shared" si="149"/>
        <v>0</v>
      </c>
      <c r="L644" s="970">
        <f t="shared" si="149"/>
        <v>0</v>
      </c>
      <c r="M644" s="970">
        <f t="shared" si="149"/>
        <v>0</v>
      </c>
    </row>
    <row r="645" spans="1:13" outlineLevel="1" x14ac:dyDescent="0.25">
      <c r="B645" s="957"/>
      <c r="D645" s="957" t="s">
        <v>565</v>
      </c>
      <c r="E645" s="928" t="s">
        <v>171</v>
      </c>
      <c r="F645" s="970">
        <f t="shared" si="149"/>
        <v>0</v>
      </c>
      <c r="G645" s="970">
        <f t="shared" si="149"/>
        <v>0</v>
      </c>
      <c r="H645" s="970">
        <f t="shared" si="149"/>
        <v>0</v>
      </c>
      <c r="I645" s="970">
        <f t="shared" si="149"/>
        <v>0</v>
      </c>
      <c r="J645" s="970">
        <f t="shared" si="149"/>
        <v>0</v>
      </c>
      <c r="K645" s="970">
        <f t="shared" si="149"/>
        <v>0</v>
      </c>
      <c r="L645" s="970">
        <f t="shared" si="149"/>
        <v>0</v>
      </c>
      <c r="M645" s="970">
        <f t="shared" si="149"/>
        <v>0</v>
      </c>
    </row>
    <row r="646" spans="1:13" outlineLevel="1" x14ac:dyDescent="0.25">
      <c r="B646" s="957"/>
      <c r="D646" s="957" t="s">
        <v>564</v>
      </c>
      <c r="E646" s="928" t="s">
        <v>171</v>
      </c>
      <c r="F646" s="970">
        <f t="shared" si="149"/>
        <v>0</v>
      </c>
      <c r="G646" s="970">
        <f t="shared" si="149"/>
        <v>0</v>
      </c>
      <c r="H646" s="970">
        <f t="shared" si="149"/>
        <v>0</v>
      </c>
      <c r="I646" s="970">
        <f t="shared" si="149"/>
        <v>0</v>
      </c>
      <c r="J646" s="970">
        <f t="shared" si="149"/>
        <v>0</v>
      </c>
      <c r="K646" s="970">
        <f t="shared" si="149"/>
        <v>0</v>
      </c>
      <c r="L646" s="970">
        <f t="shared" si="149"/>
        <v>0</v>
      </c>
      <c r="M646" s="970">
        <f t="shared" si="149"/>
        <v>0</v>
      </c>
    </row>
    <row r="647" spans="1:13" outlineLevel="1" x14ac:dyDescent="0.25">
      <c r="B647" s="957"/>
      <c r="D647" s="957" t="s">
        <v>563</v>
      </c>
      <c r="E647" s="928" t="s">
        <v>171</v>
      </c>
      <c r="F647" s="970">
        <f t="shared" si="149"/>
        <v>0</v>
      </c>
      <c r="G647" s="970">
        <f t="shared" si="149"/>
        <v>0</v>
      </c>
      <c r="H647" s="970">
        <f t="shared" si="149"/>
        <v>0</v>
      </c>
      <c r="I647" s="970">
        <f t="shared" si="149"/>
        <v>0</v>
      </c>
      <c r="J647" s="970">
        <f t="shared" si="149"/>
        <v>0</v>
      </c>
      <c r="K647" s="970">
        <f t="shared" si="149"/>
        <v>0</v>
      </c>
      <c r="L647" s="970">
        <f t="shared" si="149"/>
        <v>0</v>
      </c>
      <c r="M647" s="970">
        <f t="shared" si="149"/>
        <v>0</v>
      </c>
    </row>
    <row r="648" spans="1:13" outlineLevel="1" x14ac:dyDescent="0.25">
      <c r="B648" s="957"/>
      <c r="D648" s="957" t="s">
        <v>562</v>
      </c>
      <c r="E648" s="928" t="s">
        <v>171</v>
      </c>
      <c r="F648" s="970">
        <f t="shared" si="149"/>
        <v>0</v>
      </c>
      <c r="G648" s="970">
        <f t="shared" si="149"/>
        <v>0</v>
      </c>
      <c r="H648" s="970">
        <f t="shared" si="149"/>
        <v>0</v>
      </c>
      <c r="I648" s="970">
        <f t="shared" si="149"/>
        <v>0</v>
      </c>
      <c r="J648" s="970">
        <f t="shared" si="149"/>
        <v>0</v>
      </c>
      <c r="K648" s="970">
        <f t="shared" si="149"/>
        <v>0</v>
      </c>
      <c r="L648" s="970">
        <f t="shared" si="149"/>
        <v>0</v>
      </c>
      <c r="M648" s="970">
        <f t="shared" si="149"/>
        <v>0</v>
      </c>
    </row>
    <row r="649" spans="1:13" outlineLevel="1" x14ac:dyDescent="0.25">
      <c r="B649" s="957"/>
      <c r="D649" s="957" t="s">
        <v>561</v>
      </c>
      <c r="E649" s="928" t="s">
        <v>171</v>
      </c>
      <c r="F649" s="970">
        <f t="shared" si="149"/>
        <v>0</v>
      </c>
      <c r="G649" s="970">
        <f t="shared" si="149"/>
        <v>0</v>
      </c>
      <c r="H649" s="970">
        <f t="shared" si="149"/>
        <v>0</v>
      </c>
      <c r="I649" s="970">
        <f t="shared" si="149"/>
        <v>0</v>
      </c>
      <c r="J649" s="970">
        <f t="shared" si="149"/>
        <v>0</v>
      </c>
      <c r="K649" s="970">
        <f t="shared" si="149"/>
        <v>0</v>
      </c>
      <c r="L649" s="970">
        <f t="shared" si="149"/>
        <v>0</v>
      </c>
      <c r="M649" s="970">
        <f t="shared" si="149"/>
        <v>0</v>
      </c>
    </row>
    <row r="650" spans="1:13" outlineLevel="1" x14ac:dyDescent="0.25">
      <c r="B650" s="957"/>
      <c r="D650" s="957" t="s">
        <v>560</v>
      </c>
      <c r="E650" s="928" t="s">
        <v>171</v>
      </c>
      <c r="F650" s="970">
        <f t="shared" si="149"/>
        <v>0</v>
      </c>
      <c r="G650" s="970">
        <f t="shared" si="149"/>
        <v>0</v>
      </c>
      <c r="H650" s="970">
        <f t="shared" si="149"/>
        <v>0</v>
      </c>
      <c r="I650" s="970">
        <f t="shared" si="149"/>
        <v>0</v>
      </c>
      <c r="J650" s="970">
        <f t="shared" si="149"/>
        <v>0</v>
      </c>
      <c r="K650" s="970">
        <f t="shared" si="149"/>
        <v>0</v>
      </c>
      <c r="L650" s="970">
        <f t="shared" si="149"/>
        <v>0</v>
      </c>
      <c r="M650" s="970">
        <f t="shared" si="149"/>
        <v>0</v>
      </c>
    </row>
    <row r="651" spans="1:13" outlineLevel="1" x14ac:dyDescent="0.25">
      <c r="B651" s="957"/>
      <c r="D651" s="957" t="s">
        <v>559</v>
      </c>
      <c r="E651" s="928" t="s">
        <v>171</v>
      </c>
      <c r="F651" s="970">
        <f t="shared" si="149"/>
        <v>0</v>
      </c>
      <c r="G651" s="970">
        <f t="shared" si="149"/>
        <v>0</v>
      </c>
      <c r="H651" s="970">
        <f t="shared" si="149"/>
        <v>0</v>
      </c>
      <c r="I651" s="970">
        <f t="shared" si="149"/>
        <v>0</v>
      </c>
      <c r="J651" s="970">
        <f t="shared" si="149"/>
        <v>0</v>
      </c>
      <c r="K651" s="970">
        <f t="shared" si="149"/>
        <v>0</v>
      </c>
      <c r="L651" s="970">
        <f t="shared" si="149"/>
        <v>0</v>
      </c>
      <c r="M651" s="970">
        <f t="shared" si="149"/>
        <v>0</v>
      </c>
    </row>
    <row r="652" spans="1:13" outlineLevel="1" x14ac:dyDescent="0.25">
      <c r="B652" s="957"/>
      <c r="D652" s="957" t="s">
        <v>558</v>
      </c>
      <c r="E652" s="928" t="s">
        <v>171</v>
      </c>
      <c r="F652" s="970">
        <f t="shared" si="149"/>
        <v>0</v>
      </c>
      <c r="G652" s="970">
        <f t="shared" si="149"/>
        <v>0</v>
      </c>
      <c r="H652" s="970">
        <f t="shared" si="149"/>
        <v>0</v>
      </c>
      <c r="I652" s="970">
        <f t="shared" si="149"/>
        <v>0</v>
      </c>
      <c r="J652" s="970">
        <f t="shared" si="149"/>
        <v>0</v>
      </c>
      <c r="K652" s="970">
        <f t="shared" si="149"/>
        <v>0</v>
      </c>
      <c r="L652" s="970">
        <f t="shared" si="149"/>
        <v>0</v>
      </c>
      <c r="M652" s="970">
        <f t="shared" si="149"/>
        <v>0</v>
      </c>
    </row>
    <row r="653" spans="1:13" outlineLevel="1" x14ac:dyDescent="0.25">
      <c r="B653" s="957"/>
      <c r="D653" s="957"/>
      <c r="E653" s="961" t="s">
        <v>476</v>
      </c>
      <c r="F653" s="972">
        <f t="shared" ref="F653:M653" si="150">SUM(F642:F652)</f>
        <v>0</v>
      </c>
      <c r="G653" s="972">
        <f t="shared" si="150"/>
        <v>0</v>
      </c>
      <c r="H653" s="972">
        <f t="shared" si="150"/>
        <v>0</v>
      </c>
      <c r="I653" s="972">
        <f t="shared" si="150"/>
        <v>0</v>
      </c>
      <c r="J653" s="972">
        <f t="shared" si="150"/>
        <v>0</v>
      </c>
      <c r="K653" s="972">
        <f t="shared" si="150"/>
        <v>0</v>
      </c>
      <c r="L653" s="972">
        <f t="shared" si="150"/>
        <v>0</v>
      </c>
      <c r="M653" s="972">
        <f t="shared" si="150"/>
        <v>0</v>
      </c>
    </row>
    <row r="654" spans="1:13" outlineLevel="1" x14ac:dyDescent="0.25">
      <c r="B654" s="957"/>
      <c r="D654" s="957"/>
      <c r="F654" s="970"/>
      <c r="G654" s="970"/>
      <c r="H654" s="970"/>
      <c r="I654" s="970"/>
      <c r="J654" s="970"/>
      <c r="K654" s="970"/>
      <c r="L654" s="970"/>
      <c r="M654" s="970"/>
    </row>
    <row r="655" spans="1:13" outlineLevel="1" x14ac:dyDescent="0.25">
      <c r="A655" s="3032" t="s">
        <v>1968</v>
      </c>
      <c r="B655" s="957" t="s">
        <v>2089</v>
      </c>
    </row>
    <row r="656" spans="1:13" outlineLevel="1" x14ac:dyDescent="0.25">
      <c r="B656" s="957"/>
      <c r="F656" s="973"/>
    </row>
    <row r="657" spans="1:13" outlineLevel="1" x14ac:dyDescent="0.25">
      <c r="B657" s="957"/>
      <c r="C657" s="971" t="s">
        <v>571</v>
      </c>
      <c r="D657" s="957" t="s">
        <v>568</v>
      </c>
      <c r="E657" s="928" t="s">
        <v>171</v>
      </c>
      <c r="F657" s="970">
        <f t="shared" ref="F657:M667" si="151">$E333*$D295*F$27*(1-F477)</f>
        <v>0</v>
      </c>
      <c r="G657" s="970">
        <f t="shared" si="151"/>
        <v>0</v>
      </c>
      <c r="H657" s="970">
        <f t="shared" si="151"/>
        <v>0</v>
      </c>
      <c r="I657" s="970">
        <f t="shared" si="151"/>
        <v>0</v>
      </c>
      <c r="J657" s="970">
        <f t="shared" si="151"/>
        <v>0</v>
      </c>
      <c r="K657" s="970">
        <f t="shared" si="151"/>
        <v>0</v>
      </c>
      <c r="L657" s="970">
        <f t="shared" si="151"/>
        <v>0</v>
      </c>
      <c r="M657" s="970">
        <f t="shared" si="151"/>
        <v>0</v>
      </c>
    </row>
    <row r="658" spans="1:13" outlineLevel="1" x14ac:dyDescent="0.25">
      <c r="B658" s="957"/>
      <c r="D658" s="957" t="s">
        <v>567</v>
      </c>
      <c r="E658" s="928" t="s">
        <v>171</v>
      </c>
      <c r="F658" s="970">
        <f t="shared" si="151"/>
        <v>0</v>
      </c>
      <c r="G658" s="970">
        <f t="shared" si="151"/>
        <v>0</v>
      </c>
      <c r="H658" s="970">
        <f t="shared" si="151"/>
        <v>0</v>
      </c>
      <c r="I658" s="970">
        <f t="shared" si="151"/>
        <v>0</v>
      </c>
      <c r="J658" s="970">
        <f t="shared" si="151"/>
        <v>0</v>
      </c>
      <c r="K658" s="970">
        <f t="shared" si="151"/>
        <v>0</v>
      </c>
      <c r="L658" s="970">
        <f t="shared" si="151"/>
        <v>0</v>
      </c>
      <c r="M658" s="970">
        <f t="shared" si="151"/>
        <v>0</v>
      </c>
    </row>
    <row r="659" spans="1:13" outlineLevel="1" x14ac:dyDescent="0.25">
      <c r="B659" s="957"/>
      <c r="D659" s="957" t="s">
        <v>566</v>
      </c>
      <c r="E659" s="928" t="s">
        <v>171</v>
      </c>
      <c r="F659" s="970">
        <f t="shared" si="151"/>
        <v>0</v>
      </c>
      <c r="G659" s="970">
        <f t="shared" si="151"/>
        <v>0</v>
      </c>
      <c r="H659" s="970">
        <f t="shared" si="151"/>
        <v>0</v>
      </c>
      <c r="I659" s="970">
        <f t="shared" si="151"/>
        <v>0</v>
      </c>
      <c r="J659" s="970">
        <f t="shared" si="151"/>
        <v>0</v>
      </c>
      <c r="K659" s="970">
        <f t="shared" si="151"/>
        <v>0</v>
      </c>
      <c r="L659" s="970">
        <f t="shared" si="151"/>
        <v>0</v>
      </c>
      <c r="M659" s="970">
        <f t="shared" si="151"/>
        <v>0</v>
      </c>
    </row>
    <row r="660" spans="1:13" outlineLevel="1" x14ac:dyDescent="0.25">
      <c r="B660" s="957"/>
      <c r="D660" s="957" t="s">
        <v>565</v>
      </c>
      <c r="E660" s="928" t="s">
        <v>171</v>
      </c>
      <c r="F660" s="970">
        <f t="shared" si="151"/>
        <v>0</v>
      </c>
      <c r="G660" s="970">
        <f t="shared" si="151"/>
        <v>0</v>
      </c>
      <c r="H660" s="970">
        <f t="shared" si="151"/>
        <v>0</v>
      </c>
      <c r="I660" s="970">
        <f t="shared" si="151"/>
        <v>0</v>
      </c>
      <c r="J660" s="970">
        <f t="shared" si="151"/>
        <v>0</v>
      </c>
      <c r="K660" s="970">
        <f t="shared" si="151"/>
        <v>0</v>
      </c>
      <c r="L660" s="970">
        <f t="shared" si="151"/>
        <v>0</v>
      </c>
      <c r="M660" s="970">
        <f t="shared" si="151"/>
        <v>0</v>
      </c>
    </row>
    <row r="661" spans="1:13" outlineLevel="1" x14ac:dyDescent="0.25">
      <c r="B661" s="957"/>
      <c r="D661" s="957" t="s">
        <v>564</v>
      </c>
      <c r="E661" s="928" t="s">
        <v>171</v>
      </c>
      <c r="F661" s="970">
        <f t="shared" si="151"/>
        <v>0</v>
      </c>
      <c r="G661" s="970">
        <f t="shared" si="151"/>
        <v>0</v>
      </c>
      <c r="H661" s="970">
        <f t="shared" si="151"/>
        <v>0</v>
      </c>
      <c r="I661" s="970">
        <f t="shared" si="151"/>
        <v>0</v>
      </c>
      <c r="J661" s="970">
        <f t="shared" si="151"/>
        <v>0</v>
      </c>
      <c r="K661" s="970">
        <f t="shared" si="151"/>
        <v>0</v>
      </c>
      <c r="L661" s="970">
        <f t="shared" si="151"/>
        <v>0</v>
      </c>
      <c r="M661" s="970">
        <f t="shared" si="151"/>
        <v>0</v>
      </c>
    </row>
    <row r="662" spans="1:13" outlineLevel="1" x14ac:dyDescent="0.25">
      <c r="B662" s="957"/>
      <c r="D662" s="957" t="s">
        <v>563</v>
      </c>
      <c r="E662" s="928" t="s">
        <v>171</v>
      </c>
      <c r="F662" s="970">
        <f t="shared" si="151"/>
        <v>0</v>
      </c>
      <c r="G662" s="970">
        <f t="shared" si="151"/>
        <v>0</v>
      </c>
      <c r="H662" s="970">
        <f t="shared" si="151"/>
        <v>0</v>
      </c>
      <c r="I662" s="970">
        <f t="shared" si="151"/>
        <v>0</v>
      </c>
      <c r="J662" s="970">
        <f t="shared" si="151"/>
        <v>0</v>
      </c>
      <c r="K662" s="970">
        <f t="shared" si="151"/>
        <v>0</v>
      </c>
      <c r="L662" s="970">
        <f t="shared" si="151"/>
        <v>0</v>
      </c>
      <c r="M662" s="970">
        <f t="shared" si="151"/>
        <v>0</v>
      </c>
    </row>
    <row r="663" spans="1:13" outlineLevel="1" x14ac:dyDescent="0.25">
      <c r="B663" s="957"/>
      <c r="D663" s="957" t="s">
        <v>562</v>
      </c>
      <c r="E663" s="928" t="s">
        <v>171</v>
      </c>
      <c r="F663" s="970">
        <f t="shared" si="151"/>
        <v>0</v>
      </c>
      <c r="G663" s="970">
        <f t="shared" si="151"/>
        <v>0</v>
      </c>
      <c r="H663" s="970">
        <f t="shared" si="151"/>
        <v>0</v>
      </c>
      <c r="I663" s="970">
        <f t="shared" si="151"/>
        <v>0</v>
      </c>
      <c r="J663" s="970">
        <f t="shared" si="151"/>
        <v>0</v>
      </c>
      <c r="K663" s="970">
        <f t="shared" si="151"/>
        <v>0</v>
      </c>
      <c r="L663" s="970">
        <f t="shared" si="151"/>
        <v>0</v>
      </c>
      <c r="M663" s="970">
        <f t="shared" si="151"/>
        <v>0</v>
      </c>
    </row>
    <row r="664" spans="1:13" outlineLevel="1" x14ac:dyDescent="0.25">
      <c r="B664" s="957"/>
      <c r="D664" s="957" t="s">
        <v>561</v>
      </c>
      <c r="E664" s="928" t="s">
        <v>171</v>
      </c>
      <c r="F664" s="970">
        <f t="shared" si="151"/>
        <v>0</v>
      </c>
      <c r="G664" s="970">
        <f t="shared" si="151"/>
        <v>0</v>
      </c>
      <c r="H664" s="970">
        <f t="shared" si="151"/>
        <v>0</v>
      </c>
      <c r="I664" s="970">
        <f t="shared" si="151"/>
        <v>0</v>
      </c>
      <c r="J664" s="970">
        <f t="shared" si="151"/>
        <v>0</v>
      </c>
      <c r="K664" s="970">
        <f t="shared" si="151"/>
        <v>0</v>
      </c>
      <c r="L664" s="970">
        <f t="shared" si="151"/>
        <v>0</v>
      </c>
      <c r="M664" s="970">
        <f t="shared" si="151"/>
        <v>0</v>
      </c>
    </row>
    <row r="665" spans="1:13" outlineLevel="1" x14ac:dyDescent="0.25">
      <c r="B665" s="957"/>
      <c r="D665" s="957" t="s">
        <v>560</v>
      </c>
      <c r="E665" s="928" t="s">
        <v>171</v>
      </c>
      <c r="F665" s="970">
        <f t="shared" si="151"/>
        <v>0</v>
      </c>
      <c r="G665" s="970">
        <f t="shared" si="151"/>
        <v>0</v>
      </c>
      <c r="H665" s="970">
        <f t="shared" si="151"/>
        <v>0</v>
      </c>
      <c r="I665" s="970">
        <f t="shared" si="151"/>
        <v>0</v>
      </c>
      <c r="J665" s="970">
        <f t="shared" si="151"/>
        <v>0</v>
      </c>
      <c r="K665" s="970">
        <f t="shared" si="151"/>
        <v>0</v>
      </c>
      <c r="L665" s="970">
        <f t="shared" si="151"/>
        <v>0</v>
      </c>
      <c r="M665" s="970">
        <f t="shared" si="151"/>
        <v>0</v>
      </c>
    </row>
    <row r="666" spans="1:13" outlineLevel="1" x14ac:dyDescent="0.25">
      <c r="B666" s="957"/>
      <c r="D666" s="957" t="s">
        <v>559</v>
      </c>
      <c r="E666" s="928" t="s">
        <v>171</v>
      </c>
      <c r="F666" s="970">
        <f t="shared" si="151"/>
        <v>0</v>
      </c>
      <c r="G666" s="970">
        <f t="shared" si="151"/>
        <v>0</v>
      </c>
      <c r="H666" s="970">
        <f t="shared" si="151"/>
        <v>0</v>
      </c>
      <c r="I666" s="970">
        <f t="shared" si="151"/>
        <v>0</v>
      </c>
      <c r="J666" s="970">
        <f t="shared" si="151"/>
        <v>0</v>
      </c>
      <c r="K666" s="970">
        <f t="shared" si="151"/>
        <v>0</v>
      </c>
      <c r="L666" s="970">
        <f t="shared" si="151"/>
        <v>0</v>
      </c>
      <c r="M666" s="970">
        <f t="shared" si="151"/>
        <v>0</v>
      </c>
    </row>
    <row r="667" spans="1:13" outlineLevel="1" x14ac:dyDescent="0.25">
      <c r="B667" s="957"/>
      <c r="D667" s="957" t="s">
        <v>558</v>
      </c>
      <c r="E667" s="928" t="s">
        <v>171</v>
      </c>
      <c r="F667" s="970">
        <f t="shared" si="151"/>
        <v>0</v>
      </c>
      <c r="G667" s="970">
        <f t="shared" si="151"/>
        <v>0</v>
      </c>
      <c r="H667" s="970">
        <f t="shared" si="151"/>
        <v>0</v>
      </c>
      <c r="I667" s="970">
        <f t="shared" si="151"/>
        <v>0</v>
      </c>
      <c r="J667" s="970">
        <f t="shared" si="151"/>
        <v>0</v>
      </c>
      <c r="K667" s="970">
        <f t="shared" si="151"/>
        <v>0</v>
      </c>
      <c r="L667" s="970">
        <f t="shared" si="151"/>
        <v>0</v>
      </c>
      <c r="M667" s="970">
        <f t="shared" si="151"/>
        <v>0</v>
      </c>
    </row>
    <row r="668" spans="1:13" outlineLevel="1" x14ac:dyDescent="0.25">
      <c r="B668" s="957"/>
      <c r="D668" s="957"/>
      <c r="E668" s="961" t="s">
        <v>476</v>
      </c>
      <c r="F668" s="972">
        <f t="shared" ref="F668:M668" si="152">SUM(F657:F667)</f>
        <v>0</v>
      </c>
      <c r="G668" s="972">
        <f t="shared" si="152"/>
        <v>0</v>
      </c>
      <c r="H668" s="972">
        <f t="shared" si="152"/>
        <v>0</v>
      </c>
      <c r="I668" s="972">
        <f t="shared" si="152"/>
        <v>0</v>
      </c>
      <c r="J668" s="972">
        <f t="shared" si="152"/>
        <v>0</v>
      </c>
      <c r="K668" s="972">
        <f t="shared" si="152"/>
        <v>0</v>
      </c>
      <c r="L668" s="972">
        <f t="shared" si="152"/>
        <v>0</v>
      </c>
      <c r="M668" s="972">
        <f t="shared" si="152"/>
        <v>0</v>
      </c>
    </row>
    <row r="669" spans="1:13" outlineLevel="1" x14ac:dyDescent="0.25">
      <c r="B669" s="957"/>
      <c r="D669" s="957"/>
      <c r="F669" s="970"/>
      <c r="G669" s="970"/>
      <c r="H669" s="970"/>
      <c r="I669" s="970"/>
      <c r="J669" s="970"/>
      <c r="K669" s="970"/>
      <c r="L669" s="970"/>
      <c r="M669" s="970"/>
    </row>
    <row r="670" spans="1:13" outlineLevel="1" x14ac:dyDescent="0.25">
      <c r="A670" s="3032" t="s">
        <v>1969</v>
      </c>
      <c r="B670" s="957" t="s">
        <v>2088</v>
      </c>
      <c r="C670" s="971"/>
      <c r="D670" s="957"/>
      <c r="F670" s="970"/>
      <c r="G670" s="970"/>
      <c r="H670" s="970"/>
      <c r="I670" s="970"/>
      <c r="J670" s="970"/>
      <c r="K670" s="970"/>
      <c r="L670" s="970"/>
      <c r="M670" s="970"/>
    </row>
    <row r="671" spans="1:13" outlineLevel="1" x14ac:dyDescent="0.25">
      <c r="B671" s="957"/>
      <c r="C671" s="971" t="s">
        <v>571</v>
      </c>
      <c r="D671" s="957" t="s">
        <v>568</v>
      </c>
      <c r="E671" s="928" t="s">
        <v>171</v>
      </c>
      <c r="F671" s="970">
        <f t="shared" ref="F671:M681" si="153">$E333*$D295*F$27*(1-F492)</f>
        <v>0</v>
      </c>
      <c r="G671" s="970">
        <f t="shared" si="153"/>
        <v>0</v>
      </c>
      <c r="H671" s="970">
        <f t="shared" si="153"/>
        <v>0</v>
      </c>
      <c r="I671" s="970">
        <f t="shared" si="153"/>
        <v>0</v>
      </c>
      <c r="J671" s="970">
        <f t="shared" si="153"/>
        <v>0</v>
      </c>
      <c r="K671" s="970">
        <f t="shared" si="153"/>
        <v>0</v>
      </c>
      <c r="L671" s="970">
        <f t="shared" si="153"/>
        <v>0</v>
      </c>
      <c r="M671" s="970">
        <f t="shared" si="153"/>
        <v>0</v>
      </c>
    </row>
    <row r="672" spans="1:13" outlineLevel="1" x14ac:dyDescent="0.25">
      <c r="B672" s="957"/>
      <c r="D672" s="957" t="s">
        <v>567</v>
      </c>
      <c r="E672" s="928" t="s">
        <v>171</v>
      </c>
      <c r="F672" s="970">
        <f t="shared" si="153"/>
        <v>0</v>
      </c>
      <c r="G672" s="970">
        <f>$E334*$D296*G$27*(1-G493)</f>
        <v>0</v>
      </c>
      <c r="H672" s="970">
        <f t="shared" si="153"/>
        <v>0</v>
      </c>
      <c r="I672" s="970">
        <f t="shared" si="153"/>
        <v>0</v>
      </c>
      <c r="J672" s="970">
        <f t="shared" si="153"/>
        <v>0</v>
      </c>
      <c r="K672" s="970">
        <f t="shared" si="153"/>
        <v>0</v>
      </c>
      <c r="L672" s="970">
        <f t="shared" si="153"/>
        <v>0</v>
      </c>
      <c r="M672" s="970">
        <f t="shared" si="153"/>
        <v>0</v>
      </c>
    </row>
    <row r="673" spans="1:13" outlineLevel="1" x14ac:dyDescent="0.25">
      <c r="B673" s="957"/>
      <c r="D673" s="957" t="s">
        <v>566</v>
      </c>
      <c r="E673" s="928" t="s">
        <v>171</v>
      </c>
      <c r="F673" s="970">
        <f t="shared" si="153"/>
        <v>0</v>
      </c>
      <c r="G673" s="970">
        <f t="shared" si="153"/>
        <v>0</v>
      </c>
      <c r="H673" s="970">
        <f t="shared" si="153"/>
        <v>0</v>
      </c>
      <c r="I673" s="970">
        <f t="shared" si="153"/>
        <v>0</v>
      </c>
      <c r="J673" s="970">
        <f t="shared" si="153"/>
        <v>0</v>
      </c>
      <c r="K673" s="970">
        <f t="shared" si="153"/>
        <v>0</v>
      </c>
      <c r="L673" s="970">
        <f t="shared" si="153"/>
        <v>0</v>
      </c>
      <c r="M673" s="970">
        <f t="shared" si="153"/>
        <v>0</v>
      </c>
    </row>
    <row r="674" spans="1:13" outlineLevel="1" x14ac:dyDescent="0.25">
      <c r="B674" s="957"/>
      <c r="D674" s="957" t="s">
        <v>565</v>
      </c>
      <c r="E674" s="928" t="s">
        <v>171</v>
      </c>
      <c r="F674" s="970">
        <f t="shared" si="153"/>
        <v>0</v>
      </c>
      <c r="G674" s="970">
        <f t="shared" si="153"/>
        <v>0</v>
      </c>
      <c r="H674" s="970">
        <f t="shared" si="153"/>
        <v>0</v>
      </c>
      <c r="I674" s="970">
        <f t="shared" si="153"/>
        <v>0</v>
      </c>
      <c r="J674" s="970">
        <f t="shared" si="153"/>
        <v>0</v>
      </c>
      <c r="K674" s="970">
        <f t="shared" si="153"/>
        <v>0</v>
      </c>
      <c r="L674" s="970">
        <f t="shared" si="153"/>
        <v>0</v>
      </c>
      <c r="M674" s="970">
        <f t="shared" si="153"/>
        <v>0</v>
      </c>
    </row>
    <row r="675" spans="1:13" outlineLevel="1" x14ac:dyDescent="0.25">
      <c r="B675" s="957"/>
      <c r="D675" s="957" t="s">
        <v>564</v>
      </c>
      <c r="E675" s="928" t="s">
        <v>171</v>
      </c>
      <c r="F675" s="970">
        <f t="shared" si="153"/>
        <v>0</v>
      </c>
      <c r="G675" s="970">
        <f t="shared" si="153"/>
        <v>0</v>
      </c>
      <c r="H675" s="970">
        <f t="shared" si="153"/>
        <v>0</v>
      </c>
      <c r="I675" s="970">
        <f t="shared" si="153"/>
        <v>0</v>
      </c>
      <c r="J675" s="970">
        <f t="shared" si="153"/>
        <v>0</v>
      </c>
      <c r="K675" s="970">
        <f t="shared" si="153"/>
        <v>0</v>
      </c>
      <c r="L675" s="970">
        <f t="shared" si="153"/>
        <v>0</v>
      </c>
      <c r="M675" s="970">
        <f t="shared" si="153"/>
        <v>0</v>
      </c>
    </row>
    <row r="676" spans="1:13" outlineLevel="1" x14ac:dyDescent="0.25">
      <c r="B676" s="957"/>
      <c r="D676" s="957" t="s">
        <v>563</v>
      </c>
      <c r="E676" s="928" t="s">
        <v>171</v>
      </c>
      <c r="F676" s="970">
        <f t="shared" si="153"/>
        <v>0</v>
      </c>
      <c r="G676" s="970">
        <f t="shared" si="153"/>
        <v>0</v>
      </c>
      <c r="H676" s="970">
        <f t="shared" si="153"/>
        <v>0</v>
      </c>
      <c r="I676" s="970">
        <f t="shared" si="153"/>
        <v>0</v>
      </c>
      <c r="J676" s="970">
        <f t="shared" si="153"/>
        <v>0</v>
      </c>
      <c r="K676" s="970">
        <f t="shared" si="153"/>
        <v>0</v>
      </c>
      <c r="L676" s="970">
        <f t="shared" si="153"/>
        <v>0</v>
      </c>
      <c r="M676" s="970">
        <f t="shared" si="153"/>
        <v>0</v>
      </c>
    </row>
    <row r="677" spans="1:13" outlineLevel="1" x14ac:dyDescent="0.25">
      <c r="B677" s="957"/>
      <c r="D677" s="957" t="s">
        <v>562</v>
      </c>
      <c r="E677" s="928" t="s">
        <v>171</v>
      </c>
      <c r="F677" s="970">
        <f t="shared" si="153"/>
        <v>0</v>
      </c>
      <c r="G677" s="970">
        <f t="shared" si="153"/>
        <v>0</v>
      </c>
      <c r="H677" s="970">
        <f t="shared" si="153"/>
        <v>0</v>
      </c>
      <c r="I677" s="970">
        <f t="shared" si="153"/>
        <v>0</v>
      </c>
      <c r="J677" s="970">
        <f t="shared" si="153"/>
        <v>0</v>
      </c>
      <c r="K677" s="970">
        <f t="shared" si="153"/>
        <v>0</v>
      </c>
      <c r="L677" s="970">
        <f t="shared" si="153"/>
        <v>0</v>
      </c>
      <c r="M677" s="970">
        <f t="shared" si="153"/>
        <v>0</v>
      </c>
    </row>
    <row r="678" spans="1:13" outlineLevel="1" x14ac:dyDescent="0.25">
      <c r="B678" s="957"/>
      <c r="D678" s="957" t="s">
        <v>561</v>
      </c>
      <c r="E678" s="928" t="s">
        <v>171</v>
      </c>
      <c r="F678" s="970">
        <f t="shared" si="153"/>
        <v>0</v>
      </c>
      <c r="G678" s="970">
        <f t="shared" si="153"/>
        <v>0</v>
      </c>
      <c r="H678" s="970">
        <f t="shared" si="153"/>
        <v>0</v>
      </c>
      <c r="I678" s="970">
        <f t="shared" si="153"/>
        <v>0</v>
      </c>
      <c r="J678" s="970">
        <f t="shared" si="153"/>
        <v>0</v>
      </c>
      <c r="K678" s="970">
        <f t="shared" si="153"/>
        <v>0</v>
      </c>
      <c r="L678" s="970">
        <f t="shared" si="153"/>
        <v>0</v>
      </c>
      <c r="M678" s="970">
        <f t="shared" si="153"/>
        <v>0</v>
      </c>
    </row>
    <row r="679" spans="1:13" outlineLevel="1" x14ac:dyDescent="0.25">
      <c r="B679" s="957"/>
      <c r="D679" s="957" t="s">
        <v>560</v>
      </c>
      <c r="E679" s="928" t="s">
        <v>171</v>
      </c>
      <c r="F679" s="970">
        <f t="shared" si="153"/>
        <v>0</v>
      </c>
      <c r="G679" s="970">
        <f t="shared" si="153"/>
        <v>0</v>
      </c>
      <c r="H679" s="970">
        <f t="shared" si="153"/>
        <v>0</v>
      </c>
      <c r="I679" s="970">
        <f t="shared" si="153"/>
        <v>0</v>
      </c>
      <c r="J679" s="970">
        <f t="shared" si="153"/>
        <v>0</v>
      </c>
      <c r="K679" s="970">
        <f t="shared" si="153"/>
        <v>0</v>
      </c>
      <c r="L679" s="970">
        <f t="shared" si="153"/>
        <v>0</v>
      </c>
      <c r="M679" s="970">
        <f t="shared" si="153"/>
        <v>0</v>
      </c>
    </row>
    <row r="680" spans="1:13" outlineLevel="1" x14ac:dyDescent="0.25">
      <c r="B680" s="957"/>
      <c r="D680" s="957" t="s">
        <v>559</v>
      </c>
      <c r="E680" s="928" t="s">
        <v>171</v>
      </c>
      <c r="F680" s="970">
        <f t="shared" si="153"/>
        <v>0</v>
      </c>
      <c r="G680" s="970">
        <f t="shared" si="153"/>
        <v>0</v>
      </c>
      <c r="H680" s="970">
        <f t="shared" si="153"/>
        <v>0</v>
      </c>
      <c r="I680" s="970">
        <f t="shared" si="153"/>
        <v>0</v>
      </c>
      <c r="J680" s="970">
        <f t="shared" si="153"/>
        <v>0</v>
      </c>
      <c r="K680" s="970">
        <f t="shared" si="153"/>
        <v>0</v>
      </c>
      <c r="L680" s="970">
        <f t="shared" si="153"/>
        <v>0</v>
      </c>
      <c r="M680" s="970">
        <f t="shared" si="153"/>
        <v>0</v>
      </c>
    </row>
    <row r="681" spans="1:13" outlineLevel="1" x14ac:dyDescent="0.25">
      <c r="B681" s="957"/>
      <c r="D681" s="957" t="s">
        <v>558</v>
      </c>
      <c r="E681" s="928" t="s">
        <v>171</v>
      </c>
      <c r="F681" s="970">
        <f t="shared" si="153"/>
        <v>0</v>
      </c>
      <c r="G681" s="970">
        <f t="shared" si="153"/>
        <v>0</v>
      </c>
      <c r="H681" s="970">
        <f t="shared" si="153"/>
        <v>0</v>
      </c>
      <c r="I681" s="970">
        <f t="shared" si="153"/>
        <v>0</v>
      </c>
      <c r="J681" s="970">
        <f t="shared" si="153"/>
        <v>0</v>
      </c>
      <c r="K681" s="970">
        <f t="shared" si="153"/>
        <v>0</v>
      </c>
      <c r="L681" s="970">
        <f t="shared" si="153"/>
        <v>0</v>
      </c>
      <c r="M681" s="970">
        <f t="shared" si="153"/>
        <v>0</v>
      </c>
    </row>
    <row r="682" spans="1:13" outlineLevel="1" x14ac:dyDescent="0.25">
      <c r="B682" s="957"/>
      <c r="D682" s="957"/>
      <c r="E682" s="961" t="s">
        <v>476</v>
      </c>
      <c r="F682" s="972">
        <f t="shared" ref="F682:M682" si="154">SUM(F671:F681)</f>
        <v>0</v>
      </c>
      <c r="G682" s="972">
        <f t="shared" si="154"/>
        <v>0</v>
      </c>
      <c r="H682" s="972">
        <f t="shared" si="154"/>
        <v>0</v>
      </c>
      <c r="I682" s="972">
        <f t="shared" si="154"/>
        <v>0</v>
      </c>
      <c r="J682" s="972">
        <f t="shared" si="154"/>
        <v>0</v>
      </c>
      <c r="K682" s="972">
        <f t="shared" si="154"/>
        <v>0</v>
      </c>
      <c r="L682" s="972">
        <f t="shared" si="154"/>
        <v>0</v>
      </c>
      <c r="M682" s="972">
        <f t="shared" si="154"/>
        <v>0</v>
      </c>
    </row>
    <row r="683" spans="1:13" outlineLevel="1" x14ac:dyDescent="0.25">
      <c r="B683" s="957"/>
      <c r="D683" s="957"/>
      <c r="F683" s="970"/>
      <c r="G683" s="970"/>
      <c r="H683" s="970"/>
      <c r="I683" s="970"/>
      <c r="J683" s="970"/>
      <c r="K683" s="970"/>
      <c r="L683" s="970"/>
      <c r="M683" s="970"/>
    </row>
    <row r="684" spans="1:13" outlineLevel="1" x14ac:dyDescent="0.25">
      <c r="B684" s="957"/>
      <c r="D684" s="957"/>
      <c r="F684" s="970"/>
      <c r="G684" s="970"/>
      <c r="H684" s="970"/>
      <c r="I684" s="970"/>
      <c r="J684" s="970"/>
      <c r="K684" s="970"/>
      <c r="L684" s="970"/>
      <c r="M684" s="970"/>
    </row>
    <row r="685" spans="1:13" outlineLevel="1" x14ac:dyDescent="0.25">
      <c r="A685" s="3032" t="s">
        <v>1970</v>
      </c>
      <c r="B685" s="3033" t="s">
        <v>2087</v>
      </c>
      <c r="C685" s="971"/>
      <c r="D685" s="957"/>
      <c r="F685" s="970"/>
      <c r="G685" s="970"/>
      <c r="H685" s="970"/>
      <c r="I685" s="970"/>
      <c r="J685" s="970"/>
      <c r="K685" s="970"/>
      <c r="L685" s="970"/>
      <c r="M685" s="970"/>
    </row>
    <row r="686" spans="1:13" outlineLevel="1" x14ac:dyDescent="0.25">
      <c r="B686" s="957"/>
      <c r="C686" s="971" t="s">
        <v>570</v>
      </c>
      <c r="D686" s="957" t="s">
        <v>568</v>
      </c>
      <c r="E686" s="928" t="s">
        <v>171</v>
      </c>
      <c r="F686" s="970">
        <f t="shared" ref="F686:M696" si="155">$D314*$D295*F$27*F442</f>
        <v>0</v>
      </c>
      <c r="G686" s="970">
        <f t="shared" si="155"/>
        <v>0</v>
      </c>
      <c r="H686" s="970">
        <f t="shared" si="155"/>
        <v>0</v>
      </c>
      <c r="I686" s="970">
        <f t="shared" si="155"/>
        <v>0</v>
      </c>
      <c r="J686" s="970">
        <f t="shared" si="155"/>
        <v>0</v>
      </c>
      <c r="K686" s="970">
        <f t="shared" si="155"/>
        <v>0</v>
      </c>
      <c r="L686" s="970">
        <f t="shared" si="155"/>
        <v>0</v>
      </c>
      <c r="M686" s="970">
        <f t="shared" si="155"/>
        <v>0</v>
      </c>
    </row>
    <row r="687" spans="1:13" outlineLevel="1" x14ac:dyDescent="0.25">
      <c r="B687" s="957"/>
      <c r="D687" s="957" t="s">
        <v>567</v>
      </c>
      <c r="E687" s="928" t="s">
        <v>171</v>
      </c>
      <c r="F687" s="970">
        <f t="shared" si="155"/>
        <v>0</v>
      </c>
      <c r="G687" s="970">
        <f t="shared" si="155"/>
        <v>0</v>
      </c>
      <c r="H687" s="970">
        <f t="shared" si="155"/>
        <v>0</v>
      </c>
      <c r="I687" s="970">
        <f t="shared" si="155"/>
        <v>0</v>
      </c>
      <c r="J687" s="970">
        <f t="shared" si="155"/>
        <v>0</v>
      </c>
      <c r="K687" s="970">
        <f t="shared" si="155"/>
        <v>0</v>
      </c>
      <c r="L687" s="970">
        <f t="shared" si="155"/>
        <v>0</v>
      </c>
      <c r="M687" s="970">
        <f t="shared" si="155"/>
        <v>0</v>
      </c>
    </row>
    <row r="688" spans="1:13" outlineLevel="1" x14ac:dyDescent="0.25">
      <c r="B688" s="957"/>
      <c r="D688" s="957" t="s">
        <v>566</v>
      </c>
      <c r="E688" s="928" t="s">
        <v>171</v>
      </c>
      <c r="F688" s="970">
        <f t="shared" si="155"/>
        <v>0</v>
      </c>
      <c r="G688" s="970">
        <f t="shared" si="155"/>
        <v>0</v>
      </c>
      <c r="H688" s="970">
        <f t="shared" si="155"/>
        <v>0</v>
      </c>
      <c r="I688" s="970">
        <f t="shared" si="155"/>
        <v>0</v>
      </c>
      <c r="J688" s="970">
        <f t="shared" si="155"/>
        <v>0</v>
      </c>
      <c r="K688" s="970">
        <f t="shared" si="155"/>
        <v>0</v>
      </c>
      <c r="L688" s="970">
        <f t="shared" si="155"/>
        <v>0</v>
      </c>
      <c r="M688" s="970">
        <f t="shared" si="155"/>
        <v>0</v>
      </c>
    </row>
    <row r="689" spans="2:14" outlineLevel="1" x14ac:dyDescent="0.25">
      <c r="B689" s="957"/>
      <c r="D689" s="957" t="s">
        <v>565</v>
      </c>
      <c r="E689" s="928" t="s">
        <v>171</v>
      </c>
      <c r="F689" s="970">
        <f t="shared" si="155"/>
        <v>0</v>
      </c>
      <c r="G689" s="970">
        <f t="shared" si="155"/>
        <v>0</v>
      </c>
      <c r="H689" s="970">
        <f t="shared" si="155"/>
        <v>0</v>
      </c>
      <c r="I689" s="970">
        <f t="shared" si="155"/>
        <v>0</v>
      </c>
      <c r="J689" s="970">
        <f t="shared" si="155"/>
        <v>0</v>
      </c>
      <c r="K689" s="970">
        <f t="shared" si="155"/>
        <v>0</v>
      </c>
      <c r="L689" s="970">
        <f t="shared" si="155"/>
        <v>0</v>
      </c>
      <c r="M689" s="970">
        <f t="shared" si="155"/>
        <v>0</v>
      </c>
    </row>
    <row r="690" spans="2:14" outlineLevel="1" x14ac:dyDescent="0.25">
      <c r="B690" s="957"/>
      <c r="D690" s="957" t="s">
        <v>564</v>
      </c>
      <c r="E690" s="928" t="s">
        <v>171</v>
      </c>
      <c r="F690" s="970">
        <f t="shared" si="155"/>
        <v>0</v>
      </c>
      <c r="G690" s="970">
        <f t="shared" si="155"/>
        <v>0</v>
      </c>
      <c r="H690" s="970">
        <f t="shared" si="155"/>
        <v>0</v>
      </c>
      <c r="I690" s="970">
        <f t="shared" si="155"/>
        <v>0</v>
      </c>
      <c r="J690" s="970">
        <f t="shared" si="155"/>
        <v>0</v>
      </c>
      <c r="K690" s="970">
        <f t="shared" si="155"/>
        <v>0</v>
      </c>
      <c r="L690" s="970">
        <f t="shared" si="155"/>
        <v>0</v>
      </c>
      <c r="M690" s="970">
        <f t="shared" si="155"/>
        <v>0</v>
      </c>
    </row>
    <row r="691" spans="2:14" outlineLevel="1" x14ac:dyDescent="0.25">
      <c r="B691" s="957"/>
      <c r="D691" s="957" t="s">
        <v>563</v>
      </c>
      <c r="E691" s="928" t="s">
        <v>171</v>
      </c>
      <c r="F691" s="970">
        <f t="shared" si="155"/>
        <v>0</v>
      </c>
      <c r="G691" s="970">
        <f t="shared" si="155"/>
        <v>0</v>
      </c>
      <c r="H691" s="970">
        <f t="shared" si="155"/>
        <v>0</v>
      </c>
      <c r="I691" s="970">
        <f t="shared" si="155"/>
        <v>0</v>
      </c>
      <c r="J691" s="970">
        <f t="shared" si="155"/>
        <v>0</v>
      </c>
      <c r="K691" s="970">
        <f t="shared" si="155"/>
        <v>0</v>
      </c>
      <c r="L691" s="970">
        <f t="shared" si="155"/>
        <v>0</v>
      </c>
      <c r="M691" s="970">
        <f t="shared" si="155"/>
        <v>0</v>
      </c>
    </row>
    <row r="692" spans="2:14" outlineLevel="1" x14ac:dyDescent="0.25">
      <c r="B692" s="957"/>
      <c r="D692" s="957" t="s">
        <v>562</v>
      </c>
      <c r="E692" s="928" t="s">
        <v>171</v>
      </c>
      <c r="F692" s="970">
        <f t="shared" si="155"/>
        <v>0</v>
      </c>
      <c r="G692" s="970">
        <f t="shared" si="155"/>
        <v>0</v>
      </c>
      <c r="H692" s="970">
        <f t="shared" si="155"/>
        <v>0</v>
      </c>
      <c r="I692" s="970">
        <f t="shared" si="155"/>
        <v>0</v>
      </c>
      <c r="J692" s="970">
        <f t="shared" si="155"/>
        <v>0</v>
      </c>
      <c r="K692" s="970">
        <f t="shared" si="155"/>
        <v>0</v>
      </c>
      <c r="L692" s="970">
        <f t="shared" si="155"/>
        <v>0</v>
      </c>
      <c r="M692" s="970">
        <f t="shared" si="155"/>
        <v>0</v>
      </c>
    </row>
    <row r="693" spans="2:14" outlineLevel="1" x14ac:dyDescent="0.25">
      <c r="B693" s="957"/>
      <c r="D693" s="957" t="s">
        <v>561</v>
      </c>
      <c r="E693" s="928" t="s">
        <v>171</v>
      </c>
      <c r="F693" s="970">
        <f t="shared" si="155"/>
        <v>0</v>
      </c>
      <c r="G693" s="970">
        <f t="shared" si="155"/>
        <v>0</v>
      </c>
      <c r="H693" s="970">
        <f t="shared" si="155"/>
        <v>0</v>
      </c>
      <c r="I693" s="970">
        <f t="shared" si="155"/>
        <v>0</v>
      </c>
      <c r="J693" s="970">
        <f t="shared" si="155"/>
        <v>0</v>
      </c>
      <c r="K693" s="970">
        <f t="shared" si="155"/>
        <v>0</v>
      </c>
      <c r="L693" s="970">
        <f t="shared" si="155"/>
        <v>0</v>
      </c>
      <c r="M693" s="970">
        <f t="shared" si="155"/>
        <v>0</v>
      </c>
    </row>
    <row r="694" spans="2:14" outlineLevel="1" x14ac:dyDescent="0.25">
      <c r="B694" s="957"/>
      <c r="D694" s="957" t="s">
        <v>560</v>
      </c>
      <c r="E694" s="928" t="s">
        <v>171</v>
      </c>
      <c r="F694" s="970">
        <f t="shared" si="155"/>
        <v>0</v>
      </c>
      <c r="G694" s="970">
        <f t="shared" si="155"/>
        <v>0</v>
      </c>
      <c r="H694" s="970">
        <f t="shared" si="155"/>
        <v>0</v>
      </c>
      <c r="I694" s="970">
        <f t="shared" si="155"/>
        <v>0</v>
      </c>
      <c r="J694" s="970">
        <f t="shared" si="155"/>
        <v>0</v>
      </c>
      <c r="K694" s="970">
        <f t="shared" si="155"/>
        <v>0</v>
      </c>
      <c r="L694" s="970">
        <f t="shared" si="155"/>
        <v>0</v>
      </c>
      <c r="M694" s="970">
        <f t="shared" si="155"/>
        <v>0</v>
      </c>
    </row>
    <row r="695" spans="2:14" outlineLevel="1" x14ac:dyDescent="0.25">
      <c r="B695" s="957"/>
      <c r="D695" s="957" t="s">
        <v>559</v>
      </c>
      <c r="E695" s="928" t="s">
        <v>171</v>
      </c>
      <c r="F695" s="970">
        <f t="shared" si="155"/>
        <v>0</v>
      </c>
      <c r="G695" s="970">
        <f t="shared" si="155"/>
        <v>0</v>
      </c>
      <c r="H695" s="970">
        <f t="shared" si="155"/>
        <v>0</v>
      </c>
      <c r="I695" s="970">
        <f t="shared" si="155"/>
        <v>0</v>
      </c>
      <c r="J695" s="970">
        <f t="shared" si="155"/>
        <v>0</v>
      </c>
      <c r="K695" s="970">
        <f t="shared" si="155"/>
        <v>0</v>
      </c>
      <c r="L695" s="970">
        <f t="shared" si="155"/>
        <v>0</v>
      </c>
      <c r="M695" s="970">
        <f t="shared" si="155"/>
        <v>0</v>
      </c>
    </row>
    <row r="696" spans="2:14" outlineLevel="1" x14ac:dyDescent="0.25">
      <c r="B696" s="957"/>
      <c r="D696" s="957" t="s">
        <v>558</v>
      </c>
      <c r="E696" s="928" t="s">
        <v>171</v>
      </c>
      <c r="F696" s="970">
        <f t="shared" si="155"/>
        <v>0</v>
      </c>
      <c r="G696" s="970">
        <f t="shared" si="155"/>
        <v>0</v>
      </c>
      <c r="H696" s="970">
        <f t="shared" si="155"/>
        <v>0</v>
      </c>
      <c r="I696" s="970">
        <f t="shared" si="155"/>
        <v>0</v>
      </c>
      <c r="J696" s="970">
        <f t="shared" si="155"/>
        <v>0</v>
      </c>
      <c r="K696" s="970">
        <f t="shared" si="155"/>
        <v>0</v>
      </c>
      <c r="L696" s="970">
        <f t="shared" si="155"/>
        <v>0</v>
      </c>
      <c r="M696" s="970">
        <f t="shared" si="155"/>
        <v>0</v>
      </c>
    </row>
    <row r="697" spans="2:14" outlineLevel="1" x14ac:dyDescent="0.25">
      <c r="B697" s="957"/>
      <c r="D697" s="957"/>
      <c r="E697" s="961" t="s">
        <v>476</v>
      </c>
      <c r="F697" s="972">
        <f t="shared" ref="F697:M697" si="156">SUM(F686:F696)</f>
        <v>0</v>
      </c>
      <c r="G697" s="972">
        <f t="shared" si="156"/>
        <v>0</v>
      </c>
      <c r="H697" s="972">
        <f t="shared" si="156"/>
        <v>0</v>
      </c>
      <c r="I697" s="972">
        <f t="shared" si="156"/>
        <v>0</v>
      </c>
      <c r="J697" s="972">
        <f t="shared" si="156"/>
        <v>0</v>
      </c>
      <c r="K697" s="972">
        <f t="shared" si="156"/>
        <v>0</v>
      </c>
      <c r="L697" s="972">
        <f t="shared" si="156"/>
        <v>0</v>
      </c>
      <c r="M697" s="972">
        <f t="shared" si="156"/>
        <v>0</v>
      </c>
      <c r="N697" s="970"/>
    </row>
    <row r="698" spans="2:14" outlineLevel="1" x14ac:dyDescent="0.25">
      <c r="B698" s="957"/>
      <c r="D698" s="957"/>
      <c r="F698" s="970"/>
      <c r="G698" s="970"/>
      <c r="H698" s="970"/>
      <c r="I698" s="970"/>
      <c r="J698" s="970"/>
      <c r="K698" s="970"/>
      <c r="L698" s="970"/>
      <c r="M698" s="970"/>
    </row>
    <row r="699" spans="2:14" outlineLevel="1" x14ac:dyDescent="0.25">
      <c r="B699" s="957"/>
      <c r="C699" s="971" t="s">
        <v>569</v>
      </c>
      <c r="D699" s="957" t="s">
        <v>568</v>
      </c>
      <c r="E699" s="928" t="s">
        <v>171</v>
      </c>
      <c r="F699" s="970">
        <f t="shared" ref="F699:M709" si="157">$D314*$D295*F$27*(1-F442)</f>
        <v>8.472213930163998E-4</v>
      </c>
      <c r="G699" s="970">
        <f t="shared" si="157"/>
        <v>9.895927137944171E-4</v>
      </c>
      <c r="H699" s="970">
        <f t="shared" si="157"/>
        <v>1.1230206522722069E-3</v>
      </c>
      <c r="I699" s="970">
        <f t="shared" si="157"/>
        <v>1.2288520086947018E-3</v>
      </c>
      <c r="J699" s="970">
        <f t="shared" si="157"/>
        <v>1.3633216243153293E-3</v>
      </c>
      <c r="K699" s="970">
        <f t="shared" si="157"/>
        <v>1.5034934173897515E-3</v>
      </c>
      <c r="L699" s="970">
        <f t="shared" si="157"/>
        <v>1.6371889725421227E-3</v>
      </c>
      <c r="M699" s="970">
        <f t="shared" si="157"/>
        <v>1.7623726507403849E-3</v>
      </c>
    </row>
    <row r="700" spans="2:14" outlineLevel="1" x14ac:dyDescent="0.25">
      <c r="B700" s="957"/>
      <c r="D700" s="957" t="s">
        <v>567</v>
      </c>
      <c r="E700" s="928" t="s">
        <v>171</v>
      </c>
      <c r="F700" s="970">
        <f t="shared" si="157"/>
        <v>6.2564491789370891</v>
      </c>
      <c r="G700" s="970">
        <f t="shared" si="157"/>
        <v>7.3078141944196151</v>
      </c>
      <c r="H700" s="970">
        <f t="shared" si="157"/>
        <v>8.293135295866918</v>
      </c>
      <c r="I700" s="970">
        <f t="shared" si="157"/>
        <v>9.0746647856239111</v>
      </c>
      <c r="J700" s="970">
        <f t="shared" si="157"/>
        <v>10.067678327510921</v>
      </c>
      <c r="K700" s="970">
        <f t="shared" si="157"/>
        <v>11.102800559927958</v>
      </c>
      <c r="L700" s="970">
        <f t="shared" si="157"/>
        <v>12.090097921816458</v>
      </c>
      <c r="M700" s="970">
        <f t="shared" si="157"/>
        <v>13.014537893629919</v>
      </c>
    </row>
    <row r="701" spans="2:14" outlineLevel="1" x14ac:dyDescent="0.25">
      <c r="B701" s="957"/>
      <c r="D701" s="957" t="s">
        <v>566</v>
      </c>
      <c r="E701" s="928" t="s">
        <v>171</v>
      </c>
      <c r="F701" s="970">
        <f t="shared" si="157"/>
        <v>13.254841392823078</v>
      </c>
      <c r="G701" s="970">
        <f t="shared" si="157"/>
        <v>15.482251242662441</v>
      </c>
      <c r="H701" s="970">
        <f t="shared" si="157"/>
        <v>17.56974121455486</v>
      </c>
      <c r="I701" s="970">
        <f t="shared" si="157"/>
        <v>19.225480617892075</v>
      </c>
      <c r="J701" s="970">
        <f t="shared" si="157"/>
        <v>21.329267705774075</v>
      </c>
      <c r="K701" s="970">
        <f t="shared" si="157"/>
        <v>23.522265781913443</v>
      </c>
      <c r="L701" s="970">
        <f t="shared" si="157"/>
        <v>25.613942636484808</v>
      </c>
      <c r="M701" s="970">
        <f t="shared" si="157"/>
        <v>27.572450546183035</v>
      </c>
    </row>
    <row r="702" spans="2:14" outlineLevel="1" x14ac:dyDescent="0.25">
      <c r="B702" s="957"/>
      <c r="D702" s="957" t="s">
        <v>565</v>
      </c>
      <c r="E702" s="928" t="s">
        <v>171</v>
      </c>
      <c r="F702" s="970">
        <f t="shared" si="157"/>
        <v>3.0589754584541149</v>
      </c>
      <c r="G702" s="970">
        <f t="shared" si="157"/>
        <v>3.573020995827866</v>
      </c>
      <c r="H702" s="970">
        <f t="shared" si="157"/>
        <v>4.0547755792697693</v>
      </c>
      <c r="I702" s="970">
        <f t="shared" si="157"/>
        <v>4.4368900120495081</v>
      </c>
      <c r="J702" s="970">
        <f t="shared" si="157"/>
        <v>4.9224056723974465</v>
      </c>
      <c r="K702" s="970">
        <f t="shared" si="157"/>
        <v>5.4285096005047793</v>
      </c>
      <c r="L702" s="970">
        <f t="shared" si="157"/>
        <v>5.9112304400475857</v>
      </c>
      <c r="M702" s="970">
        <f t="shared" si="157"/>
        <v>6.3632183177900554</v>
      </c>
    </row>
    <row r="703" spans="2:14" outlineLevel="1" x14ac:dyDescent="0.25">
      <c r="B703" s="957"/>
      <c r="D703" s="957" t="s">
        <v>564</v>
      </c>
      <c r="E703" s="928" t="s">
        <v>171</v>
      </c>
      <c r="F703" s="970">
        <f t="shared" si="157"/>
        <v>1.4527097188386857E-2</v>
      </c>
      <c r="G703" s="970">
        <f t="shared" si="157"/>
        <v>1.6968303266077605E-2</v>
      </c>
      <c r="H703" s="970">
        <f t="shared" si="157"/>
        <v>1.9256159363539766E-2</v>
      </c>
      <c r="I703" s="970">
        <f t="shared" si="157"/>
        <v>2.1070823644920383E-2</v>
      </c>
      <c r="J703" s="970">
        <f t="shared" si="157"/>
        <v>2.3376541124563947E-2</v>
      </c>
      <c r="K703" s="970">
        <f t="shared" si="157"/>
        <v>2.5780032440821544E-2</v>
      </c>
      <c r="L703" s="970">
        <f t="shared" si="157"/>
        <v>2.8072477295688705E-2</v>
      </c>
      <c r="M703" s="970">
        <f t="shared" si="157"/>
        <v>3.0218971086539776E-2</v>
      </c>
    </row>
    <row r="704" spans="2:14" outlineLevel="1" x14ac:dyDescent="0.25">
      <c r="B704" s="957"/>
      <c r="D704" s="957" t="s">
        <v>563</v>
      </c>
      <c r="E704" s="928" t="s">
        <v>171</v>
      </c>
      <c r="F704" s="970">
        <f t="shared" si="157"/>
        <v>2.4087915471398467</v>
      </c>
      <c r="G704" s="970">
        <f t="shared" si="157"/>
        <v>2.8135769277641827</v>
      </c>
      <c r="H704" s="970">
        <f t="shared" si="157"/>
        <v>3.1929347827556636</v>
      </c>
      <c r="I704" s="970">
        <f t="shared" si="157"/>
        <v>3.4938309580342723</v>
      </c>
      <c r="J704" s="970">
        <f t="shared" si="157"/>
        <v>3.8761504746613058</v>
      </c>
      <c r="K704" s="970">
        <f t="shared" si="157"/>
        <v>4.2746822316356816</v>
      </c>
      <c r="L704" s="970">
        <f t="shared" si="157"/>
        <v>4.6548009654115265</v>
      </c>
      <c r="M704" s="970">
        <f t="shared" si="157"/>
        <v>5.0107190151319863</v>
      </c>
    </row>
    <row r="705" spans="1:14" outlineLevel="1" x14ac:dyDescent="0.25">
      <c r="B705" s="957"/>
      <c r="D705" s="957" t="s">
        <v>562</v>
      </c>
      <c r="E705" s="928" t="s">
        <v>171</v>
      </c>
      <c r="F705" s="970">
        <f t="shared" si="157"/>
        <v>17.181311978322672</v>
      </c>
      <c r="G705" s="970">
        <f t="shared" si="157"/>
        <v>20.068545585991519</v>
      </c>
      <c r="H705" s="970">
        <f t="shared" si="157"/>
        <v>22.774410967234292</v>
      </c>
      <c r="I705" s="970">
        <f t="shared" si="157"/>
        <v>24.920628669917757</v>
      </c>
      <c r="J705" s="970">
        <f t="shared" si="157"/>
        <v>27.647618848196238</v>
      </c>
      <c r="K705" s="970">
        <f t="shared" si="157"/>
        <v>30.490246911208239</v>
      </c>
      <c r="L705" s="970">
        <f t="shared" si="157"/>
        <v>33.201539451885942</v>
      </c>
      <c r="M705" s="970">
        <f t="shared" si="157"/>
        <v>35.740214522472428</v>
      </c>
    </row>
    <row r="706" spans="1:14" outlineLevel="1" x14ac:dyDescent="0.25">
      <c r="B706" s="957"/>
      <c r="D706" s="957" t="s">
        <v>561</v>
      </c>
      <c r="E706" s="928" t="s">
        <v>171</v>
      </c>
      <c r="F706" s="970">
        <f t="shared" si="157"/>
        <v>1.2653923223736787</v>
      </c>
      <c r="G706" s="970">
        <f t="shared" si="157"/>
        <v>1.478035177858344</v>
      </c>
      <c r="H706" s="970">
        <f t="shared" si="157"/>
        <v>1.6773203828020236</v>
      </c>
      <c r="I706" s="970">
        <f t="shared" si="157"/>
        <v>1.8353879044525598</v>
      </c>
      <c r="J706" s="970">
        <f t="shared" si="157"/>
        <v>2.036228936798385</v>
      </c>
      <c r="K706" s="970">
        <f t="shared" si="157"/>
        <v>2.2455866232682928</v>
      </c>
      <c r="L706" s="970">
        <f t="shared" si="157"/>
        <v>2.4452715349334335</v>
      </c>
      <c r="M706" s="970">
        <f t="shared" si="157"/>
        <v>2.6322432835038945</v>
      </c>
    </row>
    <row r="707" spans="1:14" outlineLevel="1" x14ac:dyDescent="0.25">
      <c r="B707" s="957"/>
      <c r="D707" s="957" t="s">
        <v>560</v>
      </c>
      <c r="E707" s="928" t="s">
        <v>171</v>
      </c>
      <c r="F707" s="970">
        <f t="shared" si="157"/>
        <v>0.69497157553257005</v>
      </c>
      <c r="G707" s="970">
        <f t="shared" si="157"/>
        <v>0.81175807541010114</v>
      </c>
      <c r="H707" s="970">
        <f t="shared" si="157"/>
        <v>0.9212083624169326</v>
      </c>
      <c r="I707" s="970">
        <f t="shared" si="157"/>
        <v>1.0080213077933797</v>
      </c>
      <c r="J707" s="970">
        <f t="shared" si="157"/>
        <v>1.1183260774786721</v>
      </c>
      <c r="K707" s="970">
        <f t="shared" si="157"/>
        <v>1.2333083155113123</v>
      </c>
      <c r="L707" s="970">
        <f t="shared" si="157"/>
        <v>1.3429781271707382</v>
      </c>
      <c r="M707" s="970">
        <f t="shared" si="157"/>
        <v>1.4456656876897918</v>
      </c>
    </row>
    <row r="708" spans="1:14" outlineLevel="1" x14ac:dyDescent="0.25">
      <c r="B708" s="957"/>
      <c r="D708" s="957" t="s">
        <v>559</v>
      </c>
      <c r="E708" s="928" t="s">
        <v>171</v>
      </c>
      <c r="F708" s="970">
        <f t="shared" si="157"/>
        <v>1.8854675328533266E-3</v>
      </c>
      <c r="G708" s="970">
        <f t="shared" si="157"/>
        <v>2.2023109283920905E-3</v>
      </c>
      <c r="H708" s="970">
        <f t="shared" si="157"/>
        <v>2.4992510765624921E-3</v>
      </c>
      <c r="I708" s="970">
        <f t="shared" si="157"/>
        <v>2.7347758026107869E-3</v>
      </c>
      <c r="J708" s="970">
        <f t="shared" si="157"/>
        <v>3.0340341741508124E-3</v>
      </c>
      <c r="K708" s="970">
        <f t="shared" si="157"/>
        <v>3.3459825822554482E-3</v>
      </c>
      <c r="L708" s="970">
        <f t="shared" si="157"/>
        <v>3.643518303856045E-3</v>
      </c>
      <c r="M708" s="970">
        <f t="shared" si="157"/>
        <v>3.9221110811767813E-3</v>
      </c>
    </row>
    <row r="709" spans="1:14" outlineLevel="1" x14ac:dyDescent="0.25">
      <c r="B709" s="957"/>
      <c r="D709" s="957" t="s">
        <v>558</v>
      </c>
      <c r="E709" s="928" t="s">
        <v>171</v>
      </c>
      <c r="F709" s="970">
        <f t="shared" si="157"/>
        <v>0.13120692847669449</v>
      </c>
      <c r="G709" s="970">
        <f t="shared" si="157"/>
        <v>0.15325559704955269</v>
      </c>
      <c r="H709" s="970">
        <f t="shared" si="157"/>
        <v>0.17391922774272769</v>
      </c>
      <c r="I709" s="970">
        <f t="shared" si="157"/>
        <v>0.19030904901869852</v>
      </c>
      <c r="J709" s="970">
        <f t="shared" si="157"/>
        <v>0.2111340014862087</v>
      </c>
      <c r="K709" s="970">
        <f t="shared" si="157"/>
        <v>0.23284203504150602</v>
      </c>
      <c r="L709" s="970">
        <f t="shared" si="157"/>
        <v>0.2535471108187764</v>
      </c>
      <c r="M709" s="970">
        <f t="shared" si="157"/>
        <v>0.27293397480403342</v>
      </c>
    </row>
    <row r="710" spans="1:14" outlineLevel="1" x14ac:dyDescent="0.25">
      <c r="B710" s="957"/>
      <c r="C710" s="969"/>
      <c r="D710" s="968"/>
      <c r="E710" s="967" t="s">
        <v>476</v>
      </c>
      <c r="F710" s="966">
        <f t="shared" ref="F710:M710" si="158">SUM(F699:F709)</f>
        <v>44.269200168173995</v>
      </c>
      <c r="G710" s="966">
        <f t="shared" si="158"/>
        <v>51.708418003891886</v>
      </c>
      <c r="H710" s="966">
        <f t="shared" si="158"/>
        <v>58.680324243735562</v>
      </c>
      <c r="I710" s="966">
        <f t="shared" si="158"/>
        <v>64.210247756238388</v>
      </c>
      <c r="J710" s="966">
        <f t="shared" si="158"/>
        <v>71.236583941226286</v>
      </c>
      <c r="K710" s="966">
        <f t="shared" si="158"/>
        <v>78.56087156745167</v>
      </c>
      <c r="L710" s="966">
        <f t="shared" si="158"/>
        <v>85.546761373141365</v>
      </c>
      <c r="M710" s="966">
        <f t="shared" si="158"/>
        <v>92.087886696023617</v>
      </c>
    </row>
    <row r="711" spans="1:14" outlineLevel="1" x14ac:dyDescent="0.25">
      <c r="B711" s="957"/>
      <c r="C711" s="969"/>
      <c r="D711" s="968"/>
      <c r="E711" s="967"/>
      <c r="F711" s="966"/>
      <c r="G711" s="966"/>
      <c r="H711" s="966"/>
      <c r="I711" s="966"/>
      <c r="J711" s="966"/>
      <c r="K711" s="966"/>
      <c r="L711" s="966"/>
      <c r="M711" s="966"/>
    </row>
    <row r="712" spans="1:14" outlineLevel="1" x14ac:dyDescent="0.25">
      <c r="B712" s="957"/>
      <c r="C712" s="969"/>
      <c r="D712" s="968"/>
      <c r="E712" s="967"/>
      <c r="F712" s="966"/>
      <c r="G712" s="966"/>
      <c r="H712" s="966"/>
      <c r="I712" s="966"/>
      <c r="J712" s="966"/>
      <c r="K712" s="966"/>
      <c r="L712" s="966"/>
      <c r="M712" s="966"/>
    </row>
    <row r="713" spans="1:14" outlineLevel="1" x14ac:dyDescent="0.25">
      <c r="A713" s="3032" t="s">
        <v>1971</v>
      </c>
      <c r="B713" s="957" t="s">
        <v>2086</v>
      </c>
      <c r="C713" s="971"/>
      <c r="D713" s="957"/>
      <c r="F713" s="955"/>
      <c r="G713" s="929"/>
      <c r="H713" s="929"/>
      <c r="I713" s="929"/>
      <c r="J713" s="929"/>
      <c r="K713" s="929"/>
      <c r="L713" s="929"/>
      <c r="M713" s="929"/>
    </row>
    <row r="714" spans="1:14" outlineLevel="1" x14ac:dyDescent="0.25">
      <c r="B714" s="957"/>
      <c r="C714" s="971"/>
      <c r="D714" s="957"/>
      <c r="F714" s="955"/>
      <c r="G714" s="929"/>
      <c r="H714" s="929"/>
      <c r="I714" s="929"/>
      <c r="J714" s="929"/>
      <c r="K714" s="929"/>
      <c r="L714" s="929"/>
      <c r="M714" s="929"/>
    </row>
    <row r="715" spans="1:14" outlineLevel="1" x14ac:dyDescent="0.25">
      <c r="B715" s="957"/>
      <c r="C715" s="971" t="s">
        <v>1681</v>
      </c>
      <c r="D715" s="957"/>
      <c r="E715" s="2674" t="s">
        <v>190</v>
      </c>
      <c r="F715" s="2675">
        <f t="shared" ref="F715:M715" si="159">F282</f>
        <v>0</v>
      </c>
      <c r="G715" s="2675">
        <f t="shared" si="159"/>
        <v>0</v>
      </c>
      <c r="H715" s="2675">
        <f t="shared" si="159"/>
        <v>0</v>
      </c>
      <c r="I715" s="2675">
        <f t="shared" si="159"/>
        <v>0</v>
      </c>
      <c r="J715" s="2675">
        <f t="shared" si="159"/>
        <v>0</v>
      </c>
      <c r="K715" s="2675">
        <f t="shared" si="159"/>
        <v>0</v>
      </c>
      <c r="L715" s="2675">
        <f t="shared" si="159"/>
        <v>0</v>
      </c>
      <c r="M715" s="2675">
        <f t="shared" si="159"/>
        <v>0</v>
      </c>
    </row>
    <row r="716" spans="1:14" outlineLevel="1" x14ac:dyDescent="0.25">
      <c r="B716" s="957"/>
      <c r="C716" s="971"/>
      <c r="D716" s="957"/>
      <c r="E716" s="2674"/>
      <c r="F716" s="2675"/>
      <c r="G716" s="2675"/>
      <c r="H716" s="2675"/>
      <c r="I716" s="2675"/>
      <c r="J716" s="2675"/>
      <c r="K716" s="2675"/>
      <c r="L716" s="2675"/>
      <c r="M716" s="2675"/>
    </row>
    <row r="717" spans="1:14" outlineLevel="1" x14ac:dyDescent="0.25">
      <c r="B717" s="957"/>
      <c r="C717" s="2676" t="s">
        <v>1680</v>
      </c>
      <c r="D717" s="941"/>
      <c r="F717" s="955"/>
      <c r="G717" s="929"/>
      <c r="H717" s="929"/>
      <c r="I717" s="929"/>
      <c r="J717" s="929"/>
      <c r="K717" s="929"/>
      <c r="L717" s="929"/>
      <c r="M717" s="929"/>
    </row>
    <row r="718" spans="1:14" outlineLevel="1" x14ac:dyDescent="0.25">
      <c r="B718" s="957"/>
      <c r="C718" s="956" t="s">
        <v>333</v>
      </c>
      <c r="D718" s="3571" t="s">
        <v>2399</v>
      </c>
      <c r="E718" s="928" t="s">
        <v>171</v>
      </c>
      <c r="F718" s="964">
        <f t="shared" ref="F718:M718" si="160">(F517+F528+F539+F550+F561+F572+F583+F594+F605+F616+F627)-F697+F668/2+F682/2</f>
        <v>44.269200168174002</v>
      </c>
      <c r="G718" s="964">
        <f t="shared" si="160"/>
        <v>51.708418003891893</v>
      </c>
      <c r="H718" s="964">
        <f t="shared" si="160"/>
        <v>58.680324243735562</v>
      </c>
      <c r="I718" s="964">
        <f t="shared" si="160"/>
        <v>64.210247756238388</v>
      </c>
      <c r="J718" s="964">
        <f t="shared" si="160"/>
        <v>71.236583941226286</v>
      </c>
      <c r="K718" s="964">
        <f t="shared" si="160"/>
        <v>78.56087156745167</v>
      </c>
      <c r="L718" s="964">
        <f t="shared" si="160"/>
        <v>85.546761373141365</v>
      </c>
      <c r="M718" s="964">
        <f t="shared" si="160"/>
        <v>92.087886696023617</v>
      </c>
      <c r="N718" s="965"/>
    </row>
    <row r="719" spans="1:14" outlineLevel="1" x14ac:dyDescent="0.25">
      <c r="B719" s="957"/>
      <c r="C719" s="956" t="s">
        <v>335</v>
      </c>
      <c r="D719" s="929" t="s">
        <v>332</v>
      </c>
      <c r="E719" s="928" t="s">
        <v>171</v>
      </c>
      <c r="F719" s="964">
        <f t="shared" ref="F719:M719" si="161">(F518+F529+F540+F551+F562+F573+F584+F595+F606+F617+F628)+F697+F668/2+F682/2</f>
        <v>13.550460932207598</v>
      </c>
      <c r="G719" s="964">
        <f>(G518+G529+G540+G551+G562+G573+G584+G595+G606+G617+G628)+G697+G668/2+G682/2</f>
        <v>15.827548168166917</v>
      </c>
      <c r="H719" s="964">
        <f t="shared" si="161"/>
        <v>17.961594926796501</v>
      </c>
      <c r="I719" s="964">
        <f t="shared" si="161"/>
        <v>19.654261887789776</v>
      </c>
      <c r="J719" s="964">
        <f t="shared" si="161"/>
        <v>21.804969233066892</v>
      </c>
      <c r="K719" s="964">
        <f t="shared" si="161"/>
        <v>24.04687721781449</v>
      </c>
      <c r="L719" s="964">
        <f t="shared" si="161"/>
        <v>26.185204238160328</v>
      </c>
      <c r="M719" s="964">
        <f t="shared" si="161"/>
        <v>28.187392278686779</v>
      </c>
      <c r="N719" s="965"/>
    </row>
    <row r="720" spans="1:14" outlineLevel="1" x14ac:dyDescent="0.25">
      <c r="B720" s="957"/>
      <c r="C720" s="956" t="s">
        <v>330</v>
      </c>
      <c r="D720" s="929" t="s">
        <v>387</v>
      </c>
      <c r="E720" s="928" t="s">
        <v>171</v>
      </c>
      <c r="F720" s="964">
        <f>(F519+F530+F541+F552+F563+F574+F585+F596+F607+F618+F629)</f>
        <v>5.9295932998449743</v>
      </c>
      <c r="G720" s="964">
        <f t="shared" ref="G720:M721" si="162">G519+G530+G541+G552+G563+G574+G585+G596+G607+G618+G629</f>
        <v>6.9260318184354386</v>
      </c>
      <c r="H720" s="964">
        <f t="shared" si="162"/>
        <v>7.8598767573517945</v>
      </c>
      <c r="I720" s="964">
        <f t="shared" si="162"/>
        <v>8.6005767764130265</v>
      </c>
      <c r="J720" s="964">
        <f t="shared" si="162"/>
        <v>9.5417122793515912</v>
      </c>
      <c r="K720" s="964">
        <f t="shared" si="162"/>
        <v>10.522756587123528</v>
      </c>
      <c r="L720" s="964">
        <f t="shared" si="162"/>
        <v>11.458474540642214</v>
      </c>
      <c r="M720" s="964">
        <f t="shared" si="162"/>
        <v>12.334618964771501</v>
      </c>
      <c r="N720" s="965"/>
    </row>
    <row r="721" spans="2:14" outlineLevel="1" x14ac:dyDescent="0.25">
      <c r="B721" s="957"/>
      <c r="C721" s="956" t="s">
        <v>330</v>
      </c>
      <c r="D721" s="929" t="s">
        <v>331</v>
      </c>
      <c r="E721" s="928" t="s">
        <v>171</v>
      </c>
      <c r="F721" s="964">
        <f>(F520+F531+F542+F553+F564+F575+F586+F597+F608+F619+F630)</f>
        <v>27.02645721384938</v>
      </c>
      <c r="G721" s="964">
        <f t="shared" si="162"/>
        <v>31.568118273406476</v>
      </c>
      <c r="H721" s="964">
        <f t="shared" si="162"/>
        <v>35.824484437111593</v>
      </c>
      <c r="I721" s="964">
        <f t="shared" si="162"/>
        <v>39.200516546089318</v>
      </c>
      <c r="J721" s="964">
        <f t="shared" si="162"/>
        <v>43.490112327180874</v>
      </c>
      <c r="K721" s="964">
        <f t="shared" si="162"/>
        <v>47.961608206937406</v>
      </c>
      <c r="L721" s="964">
        <f t="shared" si="162"/>
        <v>52.22651137249931</v>
      </c>
      <c r="M721" s="964">
        <f t="shared" si="162"/>
        <v>56.219884711021841</v>
      </c>
      <c r="N721" s="965"/>
    </row>
    <row r="722" spans="2:14" outlineLevel="1" x14ac:dyDescent="0.25">
      <c r="B722" s="957"/>
      <c r="C722" s="956" t="s">
        <v>149</v>
      </c>
      <c r="D722" s="929" t="s">
        <v>533</v>
      </c>
      <c r="E722" s="928" t="s">
        <v>171</v>
      </c>
      <c r="F722" s="964">
        <f t="shared" ref="F722:M722" si="163">(F521+F532+F543+F554+F565+F576+F587+F598+F609+F620+F631)+F653</f>
        <v>45.067036726374283</v>
      </c>
      <c r="G722" s="964">
        <f t="shared" si="163"/>
        <v>52.640327008199243</v>
      </c>
      <c r="H722" s="964">
        <f t="shared" si="163"/>
        <v>59.737883624768969</v>
      </c>
      <c r="I722" s="964">
        <f t="shared" si="163"/>
        <v>65.367469546476499</v>
      </c>
      <c r="J722" s="964">
        <f t="shared" si="163"/>
        <v>72.520437065604</v>
      </c>
      <c r="K722" s="964">
        <f t="shared" si="163"/>
        <v>79.976725821481068</v>
      </c>
      <c r="L722" s="964">
        <f t="shared" si="163"/>
        <v>87.088518021100739</v>
      </c>
      <c r="M722" s="964">
        <f t="shared" si="163"/>
        <v>93.747530021278692</v>
      </c>
      <c r="N722" s="965"/>
    </row>
    <row r="723" spans="2:14" outlineLevel="1" x14ac:dyDescent="0.25">
      <c r="B723" s="957"/>
      <c r="C723" s="956"/>
      <c r="D723" s="929"/>
      <c r="F723" s="964"/>
      <c r="G723" s="964"/>
      <c r="H723" s="964"/>
      <c r="I723" s="964"/>
      <c r="J723" s="964"/>
      <c r="K723" s="964"/>
      <c r="L723" s="964"/>
      <c r="M723" s="964"/>
      <c r="N723" s="965"/>
    </row>
    <row r="724" spans="2:14" outlineLevel="1" x14ac:dyDescent="0.25">
      <c r="B724" s="957"/>
      <c r="C724" s="1898" t="s">
        <v>315</v>
      </c>
      <c r="D724" s="1897" t="s">
        <v>316</v>
      </c>
      <c r="E724" s="928" t="s">
        <v>171</v>
      </c>
      <c r="F724" s="964">
        <f t="shared" ref="F724:M724" si="164">-F682</f>
        <v>0</v>
      </c>
      <c r="G724" s="964">
        <f t="shared" si="164"/>
        <v>0</v>
      </c>
      <c r="H724" s="964">
        <f t="shared" si="164"/>
        <v>0</v>
      </c>
      <c r="I724" s="964">
        <f t="shared" si="164"/>
        <v>0</v>
      </c>
      <c r="J724" s="964">
        <f t="shared" si="164"/>
        <v>0</v>
      </c>
      <c r="K724" s="964">
        <f t="shared" si="164"/>
        <v>0</v>
      </c>
      <c r="L724" s="964">
        <f t="shared" si="164"/>
        <v>0</v>
      </c>
      <c r="M724" s="964">
        <f t="shared" si="164"/>
        <v>0</v>
      </c>
      <c r="N724" s="965"/>
    </row>
    <row r="725" spans="2:14" outlineLevel="1" x14ac:dyDescent="0.25">
      <c r="B725" s="957"/>
      <c r="C725" s="956"/>
      <c r="D725" s="957"/>
      <c r="F725" s="964"/>
      <c r="G725" s="964"/>
      <c r="H725" s="964"/>
      <c r="I725" s="964"/>
      <c r="J725" s="964"/>
      <c r="K725" s="964"/>
      <c r="L725" s="964"/>
      <c r="M725" s="964"/>
    </row>
    <row r="726" spans="2:14" outlineLevel="1" x14ac:dyDescent="0.25">
      <c r="B726" s="957"/>
      <c r="C726" s="956" t="s">
        <v>453</v>
      </c>
      <c r="D726" s="957" t="s">
        <v>557</v>
      </c>
      <c r="E726" s="928" t="s">
        <v>171</v>
      </c>
      <c r="F726" s="964">
        <f>SUM(F718:F724)</f>
        <v>135.84274834045024</v>
      </c>
      <c r="G726" s="964">
        <f t="shared" ref="G726:L726" si="165">SUM(G718:G724)</f>
        <v>158.67044327209996</v>
      </c>
      <c r="H726" s="964">
        <f t="shared" si="165"/>
        <v>180.06416398976444</v>
      </c>
      <c r="I726" s="964">
        <f t="shared" si="165"/>
        <v>197.03307251300703</v>
      </c>
      <c r="J726" s="964">
        <f t="shared" si="165"/>
        <v>218.59381484642964</v>
      </c>
      <c r="K726" s="964">
        <f t="shared" si="165"/>
        <v>241.06883940080814</v>
      </c>
      <c r="L726" s="964">
        <f t="shared" si="165"/>
        <v>262.50546954554397</v>
      </c>
      <c r="M726" s="964">
        <f>SUM(M718:M724)</f>
        <v>282.57731267178247</v>
      </c>
      <c r="N726" s="1853"/>
    </row>
    <row r="727" spans="2:14" outlineLevel="1" x14ac:dyDescent="0.25">
      <c r="B727" s="957"/>
      <c r="C727" s="956"/>
      <c r="D727" s="941"/>
      <c r="F727" s="955"/>
      <c r="G727" s="929"/>
      <c r="H727" s="929"/>
      <c r="I727" s="929"/>
      <c r="J727" s="929"/>
      <c r="K727" s="929"/>
      <c r="L727" s="929"/>
      <c r="M727" s="929"/>
    </row>
    <row r="728" spans="2:14" outlineLevel="1" x14ac:dyDescent="0.25">
      <c r="B728" s="957"/>
      <c r="C728" s="2678" t="s">
        <v>1682</v>
      </c>
      <c r="D728" s="941"/>
      <c r="F728" s="955"/>
      <c r="G728" s="929"/>
      <c r="H728" s="929"/>
      <c r="I728" s="929"/>
      <c r="J728" s="929"/>
      <c r="K728" s="929"/>
      <c r="L728" s="929"/>
      <c r="M728" s="929"/>
    </row>
    <row r="729" spans="2:14" outlineLevel="1" x14ac:dyDescent="0.25">
      <c r="B729" s="957"/>
      <c r="C729" s="956" t="s">
        <v>333</v>
      </c>
      <c r="D729" s="3571" t="s">
        <v>2399</v>
      </c>
      <c r="E729" s="928" t="s">
        <v>171</v>
      </c>
      <c r="F729" s="2677">
        <f>F$715*F718</f>
        <v>0</v>
      </c>
      <c r="G729" s="2677">
        <f t="shared" ref="G729:M729" si="166">G$715*G718</f>
        <v>0</v>
      </c>
      <c r="H729" s="2677">
        <f t="shared" si="166"/>
        <v>0</v>
      </c>
      <c r="I729" s="2677">
        <f t="shared" si="166"/>
        <v>0</v>
      </c>
      <c r="J729" s="2677">
        <f t="shared" si="166"/>
        <v>0</v>
      </c>
      <c r="K729" s="2677">
        <f t="shared" si="166"/>
        <v>0</v>
      </c>
      <c r="L729" s="2677">
        <f t="shared" si="166"/>
        <v>0</v>
      </c>
      <c r="M729" s="2677">
        <f t="shared" si="166"/>
        <v>0</v>
      </c>
    </row>
    <row r="730" spans="2:14" outlineLevel="1" x14ac:dyDescent="0.25">
      <c r="B730" s="957"/>
      <c r="C730" s="956" t="s">
        <v>335</v>
      </c>
      <c r="D730" s="929" t="s">
        <v>332</v>
      </c>
      <c r="E730" s="928" t="s">
        <v>171</v>
      </c>
      <c r="F730" s="2677">
        <f>F$715*F719</f>
        <v>0</v>
      </c>
      <c r="G730" s="2677">
        <f t="shared" ref="G730:M733" si="167">G$715*G719</f>
        <v>0</v>
      </c>
      <c r="H730" s="2677">
        <f t="shared" si="167"/>
        <v>0</v>
      </c>
      <c r="I730" s="2677">
        <f t="shared" si="167"/>
        <v>0</v>
      </c>
      <c r="J730" s="2677">
        <f t="shared" si="167"/>
        <v>0</v>
      </c>
      <c r="K730" s="2677">
        <f t="shared" si="167"/>
        <v>0</v>
      </c>
      <c r="L730" s="2677">
        <f t="shared" si="167"/>
        <v>0</v>
      </c>
      <c r="M730" s="2677">
        <f t="shared" si="167"/>
        <v>0</v>
      </c>
    </row>
    <row r="731" spans="2:14" outlineLevel="1" x14ac:dyDescent="0.25">
      <c r="B731" s="957"/>
      <c r="C731" s="956" t="s">
        <v>330</v>
      </c>
      <c r="D731" s="929" t="s">
        <v>387</v>
      </c>
      <c r="E731" s="928" t="s">
        <v>171</v>
      </c>
      <c r="F731" s="2677">
        <f>F$715*F720</f>
        <v>0</v>
      </c>
      <c r="G731" s="2677">
        <f t="shared" si="167"/>
        <v>0</v>
      </c>
      <c r="H731" s="2677">
        <f t="shared" si="167"/>
        <v>0</v>
      </c>
      <c r="I731" s="2677">
        <f t="shared" si="167"/>
        <v>0</v>
      </c>
      <c r="J731" s="2677">
        <f t="shared" si="167"/>
        <v>0</v>
      </c>
      <c r="K731" s="2677">
        <f t="shared" si="167"/>
        <v>0</v>
      </c>
      <c r="L731" s="2677">
        <f t="shared" si="167"/>
        <v>0</v>
      </c>
      <c r="M731" s="2677">
        <f t="shared" si="167"/>
        <v>0</v>
      </c>
    </row>
    <row r="732" spans="2:14" outlineLevel="1" x14ac:dyDescent="0.25">
      <c r="B732" s="957"/>
      <c r="C732" s="956" t="s">
        <v>330</v>
      </c>
      <c r="D732" s="929" t="s">
        <v>331</v>
      </c>
      <c r="E732" s="928" t="s">
        <v>171</v>
      </c>
      <c r="F732" s="2677">
        <f>F$715*F721</f>
        <v>0</v>
      </c>
      <c r="G732" s="2677">
        <f t="shared" si="167"/>
        <v>0</v>
      </c>
      <c r="H732" s="2677">
        <f t="shared" si="167"/>
        <v>0</v>
      </c>
      <c r="I732" s="2677">
        <f t="shared" si="167"/>
        <v>0</v>
      </c>
      <c r="J732" s="2677">
        <f t="shared" si="167"/>
        <v>0</v>
      </c>
      <c r="K732" s="2677">
        <f t="shared" si="167"/>
        <v>0</v>
      </c>
      <c r="L732" s="2677">
        <f t="shared" si="167"/>
        <v>0</v>
      </c>
      <c r="M732" s="2677">
        <f t="shared" si="167"/>
        <v>0</v>
      </c>
    </row>
    <row r="733" spans="2:14" outlineLevel="1" x14ac:dyDescent="0.25">
      <c r="B733" s="957"/>
      <c r="C733" s="956" t="s">
        <v>149</v>
      </c>
      <c r="D733" s="929" t="s">
        <v>533</v>
      </c>
      <c r="E733" s="928" t="s">
        <v>171</v>
      </c>
      <c r="F733" s="2677">
        <f>F$715*F722</f>
        <v>0</v>
      </c>
      <c r="G733" s="2677">
        <f t="shared" si="167"/>
        <v>0</v>
      </c>
      <c r="H733" s="2677">
        <f t="shared" si="167"/>
        <v>0</v>
      </c>
      <c r="I733" s="2677">
        <f t="shared" si="167"/>
        <v>0</v>
      </c>
      <c r="J733" s="2677">
        <f t="shared" si="167"/>
        <v>0</v>
      </c>
      <c r="K733" s="2677">
        <f t="shared" si="167"/>
        <v>0</v>
      </c>
      <c r="L733" s="2677">
        <f t="shared" si="167"/>
        <v>0</v>
      </c>
      <c r="M733" s="2677">
        <f t="shared" si="167"/>
        <v>0</v>
      </c>
    </row>
    <row r="734" spans="2:14" outlineLevel="1" x14ac:dyDescent="0.25">
      <c r="B734" s="957"/>
      <c r="C734" s="956"/>
      <c r="D734" s="929"/>
      <c r="F734" s="2677"/>
      <c r="G734" s="2677"/>
      <c r="H734" s="2677"/>
      <c r="I734" s="2677"/>
      <c r="J734" s="2677"/>
      <c r="K734" s="2677"/>
      <c r="L734" s="2677"/>
      <c r="M734" s="2677"/>
    </row>
    <row r="735" spans="2:14" outlineLevel="1" x14ac:dyDescent="0.25">
      <c r="B735" s="957"/>
      <c r="C735" s="1898" t="s">
        <v>315</v>
      </c>
      <c r="D735" s="1897" t="s">
        <v>316</v>
      </c>
      <c r="E735" s="928" t="s">
        <v>171</v>
      </c>
      <c r="F735" s="2677">
        <f t="shared" ref="F735:M735" si="168">F$715*F724</f>
        <v>0</v>
      </c>
      <c r="G735" s="2677">
        <f t="shared" si="168"/>
        <v>0</v>
      </c>
      <c r="H735" s="2677">
        <f t="shared" si="168"/>
        <v>0</v>
      </c>
      <c r="I735" s="2677">
        <f t="shared" si="168"/>
        <v>0</v>
      </c>
      <c r="J735" s="2677">
        <f t="shared" si="168"/>
        <v>0</v>
      </c>
      <c r="K735" s="2677">
        <f t="shared" si="168"/>
        <v>0</v>
      </c>
      <c r="L735" s="2677">
        <f t="shared" si="168"/>
        <v>0</v>
      </c>
      <c r="M735" s="2677">
        <f t="shared" si="168"/>
        <v>0</v>
      </c>
    </row>
    <row r="736" spans="2:14" outlineLevel="1" x14ac:dyDescent="0.25">
      <c r="B736" s="957"/>
      <c r="C736" s="956"/>
      <c r="D736" s="957"/>
      <c r="F736" s="2677"/>
      <c r="G736" s="2677"/>
      <c r="H736" s="2677"/>
      <c r="I736" s="2677"/>
      <c r="J736" s="2677"/>
      <c r="K736" s="2677"/>
      <c r="L736" s="2677"/>
      <c r="M736" s="2677"/>
    </row>
    <row r="737" spans="1:13" outlineLevel="1" x14ac:dyDescent="0.25">
      <c r="B737" s="957"/>
      <c r="C737" s="956" t="s">
        <v>453</v>
      </c>
      <c r="D737" s="957" t="s">
        <v>557</v>
      </c>
      <c r="E737" s="928" t="s">
        <v>171</v>
      </c>
      <c r="F737" s="2677">
        <f>F$715*F726</f>
        <v>0</v>
      </c>
      <c r="G737" s="2677">
        <f t="shared" ref="G737:M737" si="169">G$715*G726</f>
        <v>0</v>
      </c>
      <c r="H737" s="2677">
        <f t="shared" si="169"/>
        <v>0</v>
      </c>
      <c r="I737" s="2677">
        <f t="shared" si="169"/>
        <v>0</v>
      </c>
      <c r="J737" s="2677">
        <f t="shared" si="169"/>
        <v>0</v>
      </c>
      <c r="K737" s="2677">
        <f t="shared" si="169"/>
        <v>0</v>
      </c>
      <c r="L737" s="2677">
        <f t="shared" si="169"/>
        <v>0</v>
      </c>
      <c r="M737" s="2677">
        <f t="shared" si="169"/>
        <v>0</v>
      </c>
    </row>
    <row r="738" spans="1:13" outlineLevel="1" x14ac:dyDescent="0.25">
      <c r="B738" s="957"/>
      <c r="C738" s="956"/>
      <c r="D738" s="941"/>
      <c r="F738" s="955"/>
      <c r="G738" s="929"/>
      <c r="H738" s="929"/>
      <c r="I738" s="929"/>
      <c r="J738" s="929"/>
      <c r="K738" s="929"/>
      <c r="L738" s="929"/>
      <c r="M738" s="929"/>
    </row>
    <row r="739" spans="1:13" outlineLevel="1" x14ac:dyDescent="0.25">
      <c r="B739" s="957"/>
      <c r="C739" s="956"/>
      <c r="D739" s="941"/>
      <c r="F739" s="955"/>
      <c r="G739" s="929"/>
      <c r="H739" s="929"/>
      <c r="I739" s="929"/>
      <c r="J739" s="929"/>
      <c r="K739" s="929"/>
      <c r="L739" s="929"/>
      <c r="M739" s="929"/>
    </row>
    <row r="740" spans="1:13" x14ac:dyDescent="0.25">
      <c r="B740" s="957"/>
      <c r="C740" s="956"/>
      <c r="D740" s="941"/>
      <c r="F740" s="955"/>
      <c r="G740" s="929"/>
      <c r="H740" s="929"/>
      <c r="I740" s="929"/>
      <c r="J740" s="929"/>
      <c r="K740" s="929"/>
      <c r="L740" s="929"/>
      <c r="M740" s="929"/>
    </row>
    <row r="741" spans="1:13" x14ac:dyDescent="0.25">
      <c r="A741" s="853" t="s">
        <v>703</v>
      </c>
      <c r="B741" s="853" t="s">
        <v>2063</v>
      </c>
      <c r="C741" s="963"/>
      <c r="D741" s="941"/>
      <c r="F741" s="955"/>
      <c r="G741" s="929"/>
      <c r="H741" s="929"/>
      <c r="I741" s="929"/>
      <c r="J741" s="929"/>
      <c r="K741" s="929"/>
      <c r="L741" s="929"/>
      <c r="M741" s="929"/>
    </row>
    <row r="742" spans="1:13" hidden="1" outlineLevel="1" x14ac:dyDescent="0.25">
      <c r="B742" s="957"/>
      <c r="C742" s="956"/>
      <c r="D742" s="941"/>
      <c r="F742" s="974">
        <v>2015</v>
      </c>
      <c r="G742" s="974">
        <v>2020</v>
      </c>
      <c r="H742" s="974">
        <v>2025</v>
      </c>
      <c r="I742" s="974">
        <v>2030</v>
      </c>
      <c r="J742" s="974">
        <v>2035</v>
      </c>
      <c r="K742" s="974">
        <v>2040</v>
      </c>
      <c r="L742" s="974">
        <v>2045</v>
      </c>
      <c r="M742" s="974">
        <v>2050</v>
      </c>
    </row>
    <row r="743" spans="1:13" hidden="1" outlineLevel="1" x14ac:dyDescent="0.25">
      <c r="B743" s="957"/>
      <c r="C743" s="956" t="s">
        <v>333</v>
      </c>
      <c r="D743" s="929" t="s">
        <v>532</v>
      </c>
      <c r="E743" s="928" t="s">
        <v>171</v>
      </c>
      <c r="F743" s="3031">
        <f>F718-F729</f>
        <v>44.269200168174002</v>
      </c>
      <c r="G743" s="3031">
        <f t="shared" ref="G743:M743" si="170">G718-G729</f>
        <v>51.708418003891893</v>
      </c>
      <c r="H743" s="3031">
        <f t="shared" si="170"/>
        <v>58.680324243735562</v>
      </c>
      <c r="I743" s="3031">
        <f t="shared" si="170"/>
        <v>64.210247756238388</v>
      </c>
      <c r="J743" s="3031">
        <f t="shared" si="170"/>
        <v>71.236583941226286</v>
      </c>
      <c r="K743" s="3031">
        <f t="shared" si="170"/>
        <v>78.56087156745167</v>
      </c>
      <c r="L743" s="3031">
        <f t="shared" si="170"/>
        <v>85.546761373141365</v>
      </c>
      <c r="M743" s="3031">
        <f t="shared" si="170"/>
        <v>92.087886696023617</v>
      </c>
    </row>
    <row r="744" spans="1:13" hidden="1" outlineLevel="1" x14ac:dyDescent="0.25">
      <c r="B744" s="957"/>
      <c r="C744" s="956" t="s">
        <v>335</v>
      </c>
      <c r="D744" s="929" t="s">
        <v>332</v>
      </c>
      <c r="E744" s="928" t="s">
        <v>171</v>
      </c>
      <c r="F744" s="3031">
        <f t="shared" ref="F744:M751" si="171">F719-F730</f>
        <v>13.550460932207598</v>
      </c>
      <c r="G744" s="3031">
        <f t="shared" si="171"/>
        <v>15.827548168166917</v>
      </c>
      <c r="H744" s="3031">
        <f t="shared" si="171"/>
        <v>17.961594926796501</v>
      </c>
      <c r="I744" s="3031">
        <f t="shared" si="171"/>
        <v>19.654261887789776</v>
      </c>
      <c r="J744" s="3031">
        <f t="shared" si="171"/>
        <v>21.804969233066892</v>
      </c>
      <c r="K744" s="3031">
        <f t="shared" si="171"/>
        <v>24.04687721781449</v>
      </c>
      <c r="L744" s="3031">
        <f t="shared" si="171"/>
        <v>26.185204238160328</v>
      </c>
      <c r="M744" s="3031">
        <f t="shared" si="171"/>
        <v>28.187392278686779</v>
      </c>
    </row>
    <row r="745" spans="1:13" hidden="1" outlineLevel="1" x14ac:dyDescent="0.25">
      <c r="B745" s="957"/>
      <c r="C745" s="956" t="s">
        <v>330</v>
      </c>
      <c r="D745" s="929" t="s">
        <v>387</v>
      </c>
      <c r="E745" s="928" t="s">
        <v>171</v>
      </c>
      <c r="F745" s="3031">
        <f t="shared" si="171"/>
        <v>5.9295932998449743</v>
      </c>
      <c r="G745" s="3031">
        <f t="shared" si="171"/>
        <v>6.9260318184354386</v>
      </c>
      <c r="H745" s="3031">
        <f t="shared" si="171"/>
        <v>7.8598767573517945</v>
      </c>
      <c r="I745" s="3031">
        <f t="shared" si="171"/>
        <v>8.6005767764130265</v>
      </c>
      <c r="J745" s="3031">
        <f t="shared" si="171"/>
        <v>9.5417122793515912</v>
      </c>
      <c r="K745" s="3031">
        <f t="shared" si="171"/>
        <v>10.522756587123528</v>
      </c>
      <c r="L745" s="3031">
        <f t="shared" si="171"/>
        <v>11.458474540642214</v>
      </c>
      <c r="M745" s="3031">
        <f t="shared" si="171"/>
        <v>12.334618964771501</v>
      </c>
    </row>
    <row r="746" spans="1:13" hidden="1" outlineLevel="1" x14ac:dyDescent="0.25">
      <c r="B746" s="957"/>
      <c r="C746" s="956" t="s">
        <v>330</v>
      </c>
      <c r="D746" s="929" t="s">
        <v>331</v>
      </c>
      <c r="E746" s="928" t="s">
        <v>171</v>
      </c>
      <c r="F746" s="3031">
        <f t="shared" si="171"/>
        <v>27.02645721384938</v>
      </c>
      <c r="G746" s="3031">
        <f t="shared" si="171"/>
        <v>31.568118273406476</v>
      </c>
      <c r="H746" s="3031">
        <f t="shared" si="171"/>
        <v>35.824484437111593</v>
      </c>
      <c r="I746" s="3031">
        <f t="shared" si="171"/>
        <v>39.200516546089318</v>
      </c>
      <c r="J746" s="3031">
        <f t="shared" si="171"/>
        <v>43.490112327180874</v>
      </c>
      <c r="K746" s="3031">
        <f t="shared" si="171"/>
        <v>47.961608206937406</v>
      </c>
      <c r="L746" s="3031">
        <f t="shared" si="171"/>
        <v>52.22651137249931</v>
      </c>
      <c r="M746" s="3031">
        <f t="shared" si="171"/>
        <v>56.219884711021841</v>
      </c>
    </row>
    <row r="747" spans="1:13" hidden="1" outlineLevel="1" x14ac:dyDescent="0.25">
      <c r="B747" s="957"/>
      <c r="C747" s="956" t="s">
        <v>149</v>
      </c>
      <c r="D747" s="929" t="s">
        <v>533</v>
      </c>
      <c r="E747" s="928" t="s">
        <v>171</v>
      </c>
      <c r="F747" s="3031">
        <f t="shared" si="171"/>
        <v>45.067036726374283</v>
      </c>
      <c r="G747" s="3031">
        <f t="shared" si="171"/>
        <v>52.640327008199243</v>
      </c>
      <c r="H747" s="3031">
        <f t="shared" si="171"/>
        <v>59.737883624768969</v>
      </c>
      <c r="I747" s="3031">
        <f t="shared" si="171"/>
        <v>65.367469546476499</v>
      </c>
      <c r="J747" s="3031">
        <f t="shared" si="171"/>
        <v>72.520437065604</v>
      </c>
      <c r="K747" s="3031">
        <f t="shared" si="171"/>
        <v>79.976725821481068</v>
      </c>
      <c r="L747" s="3031">
        <f t="shared" si="171"/>
        <v>87.088518021100739</v>
      </c>
      <c r="M747" s="3031">
        <f t="shared" si="171"/>
        <v>93.747530021278692</v>
      </c>
    </row>
    <row r="748" spans="1:13" hidden="1" outlineLevel="1" x14ac:dyDescent="0.25">
      <c r="B748" s="957"/>
      <c r="C748" s="956"/>
      <c r="D748" s="929"/>
      <c r="F748" s="3031"/>
      <c r="G748" s="3031"/>
      <c r="H748" s="3031"/>
      <c r="I748" s="3031"/>
      <c r="J748" s="3031"/>
      <c r="K748" s="3031"/>
      <c r="L748" s="3031"/>
      <c r="M748" s="3031"/>
    </row>
    <row r="749" spans="1:13" hidden="1" outlineLevel="1" x14ac:dyDescent="0.25">
      <c r="B749" s="957"/>
      <c r="C749" s="1898" t="s">
        <v>315</v>
      </c>
      <c r="D749" s="1897" t="s">
        <v>316</v>
      </c>
      <c r="E749" s="928" t="s">
        <v>171</v>
      </c>
      <c r="F749" s="3031">
        <f>F724-F735</f>
        <v>0</v>
      </c>
      <c r="G749" s="3031">
        <f t="shared" ref="G749:M749" si="172">G724-G735</f>
        <v>0</v>
      </c>
      <c r="H749" s="3031">
        <f t="shared" si="172"/>
        <v>0</v>
      </c>
      <c r="I749" s="3031">
        <f t="shared" si="172"/>
        <v>0</v>
      </c>
      <c r="J749" s="3031">
        <f t="shared" si="172"/>
        <v>0</v>
      </c>
      <c r="K749" s="3031">
        <f t="shared" si="172"/>
        <v>0</v>
      </c>
      <c r="L749" s="3031">
        <f t="shared" si="172"/>
        <v>0</v>
      </c>
      <c r="M749" s="3031">
        <f t="shared" si="172"/>
        <v>0</v>
      </c>
    </row>
    <row r="750" spans="1:13" hidden="1" outlineLevel="1" x14ac:dyDescent="0.25">
      <c r="B750" s="957"/>
      <c r="C750" s="956"/>
      <c r="D750" s="957"/>
      <c r="F750" s="3031"/>
      <c r="G750" s="3031"/>
      <c r="H750" s="3031"/>
      <c r="I750" s="3031"/>
      <c r="J750" s="3031"/>
      <c r="K750" s="3031"/>
      <c r="L750" s="3031"/>
      <c r="M750" s="3031"/>
    </row>
    <row r="751" spans="1:13" hidden="1" outlineLevel="1" x14ac:dyDescent="0.25">
      <c r="B751" s="957"/>
      <c r="C751" s="956" t="s">
        <v>453</v>
      </c>
      <c r="D751" s="957" t="s">
        <v>557</v>
      </c>
      <c r="E751" s="928" t="s">
        <v>171</v>
      </c>
      <c r="F751" s="3031">
        <f t="shared" si="171"/>
        <v>135.84274834045024</v>
      </c>
      <c r="G751" s="3031">
        <f t="shared" si="171"/>
        <v>158.67044327209996</v>
      </c>
      <c r="H751" s="3031">
        <f t="shared" si="171"/>
        <v>180.06416398976444</v>
      </c>
      <c r="I751" s="3031">
        <f t="shared" si="171"/>
        <v>197.03307251300703</v>
      </c>
      <c r="J751" s="3031">
        <f t="shared" si="171"/>
        <v>218.59381484642964</v>
      </c>
      <c r="K751" s="3031">
        <f t="shared" si="171"/>
        <v>241.06883940080814</v>
      </c>
      <c r="L751" s="3031">
        <f t="shared" si="171"/>
        <v>262.50546954554397</v>
      </c>
      <c r="M751" s="3031">
        <f t="shared" si="171"/>
        <v>282.57731267178247</v>
      </c>
    </row>
    <row r="752" spans="1:13" hidden="1" outlineLevel="1" x14ac:dyDescent="0.25">
      <c r="B752" s="957"/>
      <c r="C752" s="956"/>
      <c r="D752" s="941"/>
      <c r="F752" s="955"/>
      <c r="G752" s="929"/>
      <c r="H752" s="929"/>
      <c r="I752" s="929"/>
      <c r="J752" s="929"/>
      <c r="K752" s="929"/>
      <c r="L752" s="929"/>
      <c r="M752" s="929"/>
    </row>
    <row r="753" spans="1:13" collapsed="1" x14ac:dyDescent="0.25">
      <c r="B753" s="957"/>
      <c r="C753" s="956"/>
      <c r="D753" s="941"/>
      <c r="F753" s="955"/>
      <c r="G753" s="929"/>
      <c r="H753" s="929"/>
      <c r="I753" s="929"/>
      <c r="J753" s="929"/>
      <c r="K753" s="929"/>
      <c r="L753" s="929"/>
      <c r="M753" s="929"/>
    </row>
    <row r="754" spans="1:13" x14ac:dyDescent="0.25">
      <c r="A754" s="853" t="s">
        <v>704</v>
      </c>
      <c r="B754" s="853" t="s">
        <v>525</v>
      </c>
      <c r="C754" s="963"/>
      <c r="D754" s="941"/>
      <c r="F754" s="955"/>
      <c r="G754" s="929"/>
      <c r="H754" s="929"/>
      <c r="I754" s="929"/>
      <c r="J754" s="929"/>
      <c r="K754" s="929"/>
      <c r="L754" s="929"/>
      <c r="M754" s="929"/>
    </row>
    <row r="755" spans="1:13" x14ac:dyDescent="0.25">
      <c r="A755" s="853"/>
      <c r="B755" s="853"/>
      <c r="C755" s="963"/>
      <c r="D755" s="941"/>
      <c r="F755" s="955"/>
      <c r="G755" s="929"/>
      <c r="H755" s="929"/>
      <c r="I755" s="929"/>
      <c r="J755" s="929"/>
      <c r="K755" s="929"/>
      <c r="L755" s="929"/>
      <c r="M755" s="929"/>
    </row>
    <row r="756" spans="1:13" x14ac:dyDescent="0.25">
      <c r="A756" s="853"/>
      <c r="B756" s="853"/>
      <c r="C756" s="963" t="s">
        <v>423</v>
      </c>
      <c r="D756" s="941"/>
      <c r="F756" s="955"/>
      <c r="G756" s="929"/>
      <c r="H756" s="929"/>
      <c r="I756" s="929"/>
      <c r="J756" s="929"/>
      <c r="K756" s="929"/>
      <c r="L756" s="929"/>
      <c r="M756" s="929"/>
    </row>
    <row r="757" spans="1:13" x14ac:dyDescent="0.25">
      <c r="B757" s="957"/>
      <c r="C757" s="956"/>
      <c r="D757" s="941"/>
      <c r="F757" s="955"/>
      <c r="G757" s="929"/>
      <c r="H757" s="929"/>
      <c r="I757" s="929"/>
      <c r="J757" s="929"/>
      <c r="K757" s="929"/>
      <c r="L757" s="929"/>
      <c r="M757" s="929"/>
    </row>
    <row r="758" spans="1:13" x14ac:dyDescent="0.25">
      <c r="B758" s="956" t="s">
        <v>398</v>
      </c>
      <c r="C758" s="956"/>
      <c r="D758" s="941"/>
      <c r="E758" s="962"/>
      <c r="F758" s="974">
        <v>2015</v>
      </c>
      <c r="G758" s="974">
        <v>2020</v>
      </c>
      <c r="H758" s="974">
        <v>2025</v>
      </c>
      <c r="I758" s="974">
        <v>2030</v>
      </c>
      <c r="J758" s="974">
        <v>2035</v>
      </c>
      <c r="K758" s="974">
        <v>2040</v>
      </c>
      <c r="L758" s="974">
        <v>2045</v>
      </c>
      <c r="M758" s="974">
        <v>2050</v>
      </c>
    </row>
    <row r="759" spans="1:13" x14ac:dyDescent="0.25">
      <c r="B759" t="s">
        <v>1725</v>
      </c>
      <c r="C759" s="956" t="str">
        <f>CONCATENATE(B759,"_",$C$756)</f>
        <v>V.043_Industria y Mineria</v>
      </c>
      <c r="D759" s="929" t="s">
        <v>532</v>
      </c>
      <c r="E759" s="2948" t="s">
        <v>1895</v>
      </c>
      <c r="F759" s="2828">
        <f>VLOOKUP($C759,Constantes!$G$11:$P$120,8,0)*F743</f>
        <v>12.33418320020399</v>
      </c>
      <c r="G759" s="2828">
        <f>VLOOKUP($C759,Constantes!$G$11:$P$120,8,0)*G743</f>
        <v>14.40688104212107</v>
      </c>
      <c r="H759" s="2828">
        <f>VLOOKUP($C759,Constantes!$G$11:$P$120,8,0)*H743</f>
        <v>16.349377597066713</v>
      </c>
      <c r="I759" s="2828">
        <f>VLOOKUP($C759,Constantes!$G$11:$P$120,8,0)*I743</f>
        <v>17.8901122258202</v>
      </c>
      <c r="J759" s="2828">
        <f>VLOOKUP($C759,Constantes!$G$11:$P$120,8,0)*J743</f>
        <v>19.847773927469095</v>
      </c>
      <c r="K759" s="2828">
        <f>VLOOKUP($C759,Constantes!$G$11:$P$120,8,0)*K743</f>
        <v>21.888450177540534</v>
      </c>
      <c r="L759" s="2828">
        <f>VLOOKUP($C759,Constantes!$G$11:$P$120,8,0)*L743</f>
        <v>23.834842801587985</v>
      </c>
      <c r="M759" s="2828">
        <f>VLOOKUP($C759,Constantes!$G$11:$P$120,8,0)*M743</f>
        <v>25.657316163686929</v>
      </c>
    </row>
    <row r="760" spans="1:13" x14ac:dyDescent="0.25">
      <c r="B760" t="s">
        <v>1732</v>
      </c>
      <c r="C760" s="956" t="str">
        <f t="shared" ref="C760:C774" si="173">CONCATENATE(B760,"_",$C$756)</f>
        <v>V.051_Industria y Mineria</v>
      </c>
      <c r="D760" s="929" t="s">
        <v>332</v>
      </c>
      <c r="E760" s="2948" t="s">
        <v>1895</v>
      </c>
      <c r="F760" s="2828">
        <f>VLOOKUP($C760,Constantes!$G$11:$P$120,8,0)*F744</f>
        <v>2.7364321752946226</v>
      </c>
      <c r="G760" s="2828">
        <f>VLOOKUP($C760,Constantes!$G$11:$P$120,8,0)*G744</f>
        <v>3.1962759259689131</v>
      </c>
      <c r="H760" s="2828">
        <f>VLOOKUP($C760,Constantes!$G$11:$P$120,8,0)*H744</f>
        <v>3.6272335327332024</v>
      </c>
      <c r="I760" s="2828">
        <f>VLOOKUP($C760,Constantes!$G$11:$P$120,8,0)*I744</f>
        <v>3.9690572062815206</v>
      </c>
      <c r="J760" s="2828">
        <f>VLOOKUP($C760,Constantes!$G$11:$P$120,8,0)*J744</f>
        <v>4.4033793159649122</v>
      </c>
      <c r="K760" s="2828">
        <f>VLOOKUP($C760,Constantes!$G$11:$P$120,8,0)*K744</f>
        <v>4.8561188334031424</v>
      </c>
      <c r="L760" s="2828">
        <f>VLOOKUP($C760,Constantes!$G$11:$P$120,8,0)*L744</f>
        <v>5.2879408126738454</v>
      </c>
      <c r="M760" s="2828">
        <f>VLOOKUP($C760,Constantes!$G$11:$P$120,8,0)*M744</f>
        <v>5.6922703629745435</v>
      </c>
    </row>
    <row r="761" spans="1:13" x14ac:dyDescent="0.25">
      <c r="B761" t="s">
        <v>1720</v>
      </c>
      <c r="C761" s="956" t="str">
        <f t="shared" si="173"/>
        <v>V.031_Industria y Mineria</v>
      </c>
      <c r="D761" s="929" t="s">
        <v>387</v>
      </c>
      <c r="E761" s="2948" t="s">
        <v>1895</v>
      </c>
      <c r="F761" s="2828">
        <f>VLOOKUP($C761,Constantes!$G$11:$P$120,8,0)*F745</f>
        <v>2.0192207565346818</v>
      </c>
      <c r="G761" s="2828">
        <f>VLOOKUP($C761,Constantes!$G$11:$P$120,8,0)*G745</f>
        <v>2.3585407128293467</v>
      </c>
      <c r="H761" s="2828">
        <f>VLOOKUP($C761,Constantes!$G$11:$P$120,8,0)*H745</f>
        <v>2.67654550484334</v>
      </c>
      <c r="I761" s="2828">
        <f>VLOOKUP($C761,Constantes!$G$11:$P$120,8,0)*I745</f>
        <v>2.9287781247252425</v>
      </c>
      <c r="J761" s="2828">
        <f>VLOOKUP($C761,Constantes!$G$11:$P$120,8,0)*J745</f>
        <v>3.2492655926085696</v>
      </c>
      <c r="K761" s="2828">
        <f>VLOOKUP($C761,Constantes!$G$11:$P$120,8,0)*K745</f>
        <v>3.5833433158455215</v>
      </c>
      <c r="L761" s="2828">
        <f>VLOOKUP($C761,Constantes!$G$11:$P$120,8,0)*L745</f>
        <v>3.9019859306866582</v>
      </c>
      <c r="M761" s="2828">
        <f>VLOOKUP($C761,Constantes!$G$11:$P$120,8,0)*M745</f>
        <v>4.200341807297999</v>
      </c>
    </row>
    <row r="762" spans="1:13" x14ac:dyDescent="0.25">
      <c r="B762" t="s">
        <v>1741</v>
      </c>
      <c r="C762" s="956" t="str">
        <f t="shared" si="173"/>
        <v>V.058_Industria y Mineria</v>
      </c>
      <c r="D762" s="929" t="s">
        <v>331</v>
      </c>
      <c r="E762" s="2948" t="s">
        <v>1895</v>
      </c>
      <c r="F762" s="2828">
        <f>VLOOKUP($C762,Constantes!$G$11:$P$120,8,0)*F746</f>
        <v>0</v>
      </c>
      <c r="G762" s="2828">
        <f>VLOOKUP($C762,Constantes!$G$11:$P$120,8,0)*G746</f>
        <v>0</v>
      </c>
      <c r="H762" s="2828">
        <f>VLOOKUP($C762,Constantes!$G$11:$P$120,8,0)*H746</f>
        <v>0</v>
      </c>
      <c r="I762" s="2828">
        <f>VLOOKUP($C762,Constantes!$G$11:$P$120,8,0)*I746</f>
        <v>0</v>
      </c>
      <c r="J762" s="2828">
        <f>VLOOKUP($C762,Constantes!$G$11:$P$120,8,0)*J746</f>
        <v>0</v>
      </c>
      <c r="K762" s="2828">
        <f>VLOOKUP($C762,Constantes!$G$11:$P$120,8,0)*K746</f>
        <v>0</v>
      </c>
      <c r="L762" s="2828">
        <f>VLOOKUP($C762,Constantes!$G$11:$P$120,8,0)*L746</f>
        <v>0</v>
      </c>
      <c r="M762" s="2828">
        <f>VLOOKUP($C762,Constantes!$G$11:$P$120,8,0)*M746</f>
        <v>0</v>
      </c>
    </row>
    <row r="763" spans="1:13" x14ac:dyDescent="0.25">
      <c r="B763" s="957"/>
      <c r="C763" s="956"/>
      <c r="D763" s="929"/>
      <c r="E763" s="2948"/>
      <c r="F763" s="2828"/>
      <c r="G763" s="2828"/>
      <c r="H763" s="2828"/>
      <c r="I763" s="2828"/>
      <c r="J763" s="2828"/>
      <c r="K763" s="2828"/>
      <c r="L763" s="2828"/>
      <c r="M763" s="2828"/>
    </row>
    <row r="764" spans="1:13" x14ac:dyDescent="0.25">
      <c r="B764" s="956" t="s">
        <v>400</v>
      </c>
      <c r="C764" s="956"/>
      <c r="E764" s="2948"/>
      <c r="F764" s="2828"/>
      <c r="G764" s="2828"/>
      <c r="H764" s="2828"/>
      <c r="I764" s="2828"/>
      <c r="J764" s="2828"/>
      <c r="K764" s="2828"/>
      <c r="L764" s="2828"/>
      <c r="M764" s="2828"/>
    </row>
    <row r="765" spans="1:13" x14ac:dyDescent="0.25">
      <c r="B765" t="s">
        <v>1725</v>
      </c>
      <c r="C765" s="956" t="str">
        <f t="shared" si="173"/>
        <v>V.043_Industria y Mineria</v>
      </c>
      <c r="D765" s="929" t="s">
        <v>532</v>
      </c>
      <c r="E765" s="2948" t="s">
        <v>1895</v>
      </c>
      <c r="F765" s="2828">
        <f>VLOOKUP($C759,Constantes!$G$11:$P$120,9,0)*F743</f>
        <v>2.342538669806184E-2</v>
      </c>
      <c r="G765" s="2828">
        <f>VLOOKUP($C759,Constantes!$G$11:$P$120,9,0)*G743</f>
        <v>2.7361905855191177E-2</v>
      </c>
      <c r="H765" s="2828">
        <f>VLOOKUP($C759,Constantes!$G$11:$P$120,9,0)*H743</f>
        <v>3.1051143498304998E-2</v>
      </c>
      <c r="I765" s="2828">
        <f>VLOOKUP($C759,Constantes!$G$11:$P$120,9,0)*I743</f>
        <v>3.3977344925007355E-2</v>
      </c>
      <c r="J765" s="2828">
        <f>VLOOKUP($C759,Constantes!$G$11:$P$120,9,0)*J743</f>
        <v>3.7695384590929679E-2</v>
      </c>
      <c r="K765" s="2828">
        <f>VLOOKUP($C759,Constantes!$G$11:$P$120,9,0)*K743</f>
        <v>4.1571087546491706E-2</v>
      </c>
      <c r="L765" s="2828">
        <f>VLOOKUP($C759,Constantes!$G$11:$P$120,9,0)*L743</f>
        <v>4.5267724700690362E-2</v>
      </c>
      <c r="M765" s="2828">
        <f>VLOOKUP($C759,Constantes!$G$11:$P$120,9,0)*M743</f>
        <v>4.8729011318630215E-2</v>
      </c>
    </row>
    <row r="766" spans="1:13" x14ac:dyDescent="0.25">
      <c r="B766" t="s">
        <v>1732</v>
      </c>
      <c r="C766" s="956" t="str">
        <f t="shared" si="173"/>
        <v>V.051_Industria y Mineria</v>
      </c>
      <c r="D766" s="929" t="s">
        <v>332</v>
      </c>
      <c r="E766" s="2948" t="s">
        <v>1895</v>
      </c>
      <c r="F766" s="2828">
        <f>VLOOKUP($C760,Constantes!$G$11:$P$120,9,0)*F744</f>
        <v>1.024332899842907E-3</v>
      </c>
      <c r="G766" s="2828">
        <f>VLOOKUP($C760,Constantes!$G$11:$P$120,9,0)*G744</f>
        <v>1.1964669241594861E-3</v>
      </c>
      <c r="H766" s="2828">
        <f>VLOOKUP($C760,Constantes!$G$11:$P$120,9,0)*H744</f>
        <v>1.3577879534295411E-3</v>
      </c>
      <c r="I766" s="2828">
        <f>VLOOKUP($C760,Constantes!$G$11:$P$120,9,0)*I744</f>
        <v>1.485743339249767E-3</v>
      </c>
      <c r="J766" s="2828">
        <f>VLOOKUP($C760,Constantes!$G$11:$P$120,9,0)*J744</f>
        <v>1.6483238081152077E-3</v>
      </c>
      <c r="K766" s="2828">
        <f>VLOOKUP($C760,Constantes!$G$11:$P$120,9,0)*K744</f>
        <v>1.8177984937872724E-3</v>
      </c>
      <c r="L766" s="2828">
        <f>VLOOKUP($C760,Constantes!$G$11:$P$120,9,0)*L744</f>
        <v>1.9794430849581243E-3</v>
      </c>
      <c r="M766" s="2828">
        <f>VLOOKUP($C760,Constantes!$G$11:$P$120,9,0)*M744</f>
        <v>2.130796392557316E-3</v>
      </c>
    </row>
    <row r="767" spans="1:13" x14ac:dyDescent="0.25">
      <c r="B767" t="s">
        <v>1720</v>
      </c>
      <c r="C767" s="956" t="str">
        <f t="shared" si="173"/>
        <v>V.031_Industria y Mineria</v>
      </c>
      <c r="D767" s="929" t="s">
        <v>387</v>
      </c>
      <c r="E767" s="2948" t="s">
        <v>1895</v>
      </c>
      <c r="F767" s="2828">
        <f>VLOOKUP($C761,Constantes!$G$11:$P$120,9,0)*F745</f>
        <v>4.4824139415674752E-3</v>
      </c>
      <c r="G767" s="2828">
        <f>VLOOKUP($C761,Constantes!$G$11:$P$120,9,0)*G745</f>
        <v>5.2356612018410447E-3</v>
      </c>
      <c r="H767" s="2828">
        <f>VLOOKUP($C761,Constantes!$G$11:$P$120,9,0)*H745</f>
        <v>5.9415915012378572E-3</v>
      </c>
      <c r="I767" s="2828">
        <f>VLOOKUP($C761,Constantes!$G$11:$P$120,9,0)*I745</f>
        <v>6.5015159216945126E-3</v>
      </c>
      <c r="J767" s="2828">
        <f>VLOOKUP($C761,Constantes!$G$11:$P$120,9,0)*J745</f>
        <v>7.2129574465940758E-3</v>
      </c>
      <c r="K767" s="2828">
        <f>VLOOKUP($C761,Constantes!$G$11:$P$120,9,0)*K745</f>
        <v>7.9545676144562299E-3</v>
      </c>
      <c r="L767" s="2828">
        <f>VLOOKUP($C761,Constantes!$G$11:$P$120,9,0)*L745</f>
        <v>8.6619137996215446E-3</v>
      </c>
      <c r="M767" s="2828">
        <f>VLOOKUP($C761,Constantes!$G$11:$P$120,9,0)*M745</f>
        <v>9.3242259992873111E-3</v>
      </c>
    </row>
    <row r="768" spans="1:13" x14ac:dyDescent="0.25">
      <c r="B768" t="s">
        <v>1741</v>
      </c>
      <c r="C768" s="956" t="str">
        <f t="shared" si="173"/>
        <v>V.058_Industria y Mineria</v>
      </c>
      <c r="D768" s="929" t="s">
        <v>331</v>
      </c>
      <c r="E768" s="2948" t="s">
        <v>1895</v>
      </c>
      <c r="F768" s="2828">
        <f>VLOOKUP($C762,Constantes!$G$11:$P$120,9,0)*F746</f>
        <v>0</v>
      </c>
      <c r="G768" s="2828">
        <f>VLOOKUP($C762,Constantes!$G$11:$P$120,9,0)*G746</f>
        <v>0</v>
      </c>
      <c r="H768" s="2828">
        <f>VLOOKUP($C762,Constantes!$G$11:$P$120,9,0)*H746</f>
        <v>0</v>
      </c>
      <c r="I768" s="2828">
        <f>VLOOKUP($C762,Constantes!$G$11:$P$120,9,0)*I746</f>
        <v>0</v>
      </c>
      <c r="J768" s="2828">
        <f>VLOOKUP($C762,Constantes!$G$11:$P$120,9,0)*J746</f>
        <v>0</v>
      </c>
      <c r="K768" s="2828">
        <f>VLOOKUP($C762,Constantes!$G$11:$P$120,9,0)*K746</f>
        <v>0</v>
      </c>
      <c r="L768" s="2828">
        <f>VLOOKUP($C762,Constantes!$G$11:$P$120,9,0)*L746</f>
        <v>0</v>
      </c>
      <c r="M768" s="2828">
        <f>VLOOKUP($C762,Constantes!$G$11:$P$120,9,0)*M746</f>
        <v>0</v>
      </c>
    </row>
    <row r="769" spans="2:16" x14ac:dyDescent="0.25">
      <c r="B769" s="957"/>
      <c r="C769" s="956"/>
      <c r="D769" s="941"/>
      <c r="F769" s="2828"/>
      <c r="G769" s="2828"/>
      <c r="H769" s="2828"/>
      <c r="I769" s="2828"/>
      <c r="J769" s="2828"/>
      <c r="K769" s="2828"/>
      <c r="L769" s="2828"/>
      <c r="M769" s="2828"/>
    </row>
    <row r="770" spans="2:16" x14ac:dyDescent="0.25">
      <c r="B770" s="956" t="s">
        <v>401</v>
      </c>
      <c r="C770" s="956"/>
      <c r="F770" s="2828"/>
      <c r="G770" s="2828"/>
      <c r="H770" s="2828"/>
      <c r="I770" s="2828"/>
      <c r="J770" s="2828"/>
      <c r="K770" s="2828"/>
      <c r="L770" s="2828"/>
      <c r="M770" s="2828"/>
    </row>
    <row r="771" spans="2:16" x14ac:dyDescent="0.25">
      <c r="B771" t="s">
        <v>1725</v>
      </c>
      <c r="C771" s="956" t="str">
        <f t="shared" si="173"/>
        <v>V.043_Industria y Mineria</v>
      </c>
      <c r="D771" s="929" t="s">
        <v>532</v>
      </c>
      <c r="E771" s="2948" t="s">
        <v>1895</v>
      </c>
      <c r="F771" s="2828">
        <f>VLOOKUP($C759,Constantes!$G$11:$P$120,10,0)*F743</f>
        <v>9.8800950699308443E-2</v>
      </c>
      <c r="G771" s="2828">
        <f>VLOOKUP($C759,Constantes!$G$11:$P$120,10,0)*G743</f>
        <v>0.11540395666815327</v>
      </c>
      <c r="H771" s="2828">
        <f>VLOOKUP($C759,Constantes!$G$11:$P$120,10,0)*H743</f>
        <v>0.13096400659149049</v>
      </c>
      <c r="I771" s="2828">
        <f>VLOOKUP($C759,Constantes!$G$11:$P$120,10,0)*I743</f>
        <v>0.14330580852724192</v>
      </c>
      <c r="J771" s="2828">
        <f>VLOOKUP($C759,Constantes!$G$11:$P$120,10,0)*J743</f>
        <v>0.1589873363699075</v>
      </c>
      <c r="K771" s="2828">
        <f>VLOOKUP($C759,Constantes!$G$11:$P$120,10,0)*K743</f>
        <v>0.17533383863146165</v>
      </c>
      <c r="L771" s="2828">
        <f>VLOOKUP($C759,Constantes!$G$11:$P$120,10,0)*L743</f>
        <v>0.1909250973770614</v>
      </c>
      <c r="M771" s="2828">
        <f>VLOOKUP($C759,Constantes!$G$11:$P$120,10,0)*M743</f>
        <v>0.20552372120782814</v>
      </c>
    </row>
    <row r="772" spans="2:16" x14ac:dyDescent="0.25">
      <c r="B772" t="s">
        <v>1732</v>
      </c>
      <c r="C772" s="956" t="str">
        <f t="shared" si="173"/>
        <v>V.051_Industria y Mineria</v>
      </c>
      <c r="D772" s="929" t="s">
        <v>332</v>
      </c>
      <c r="E772" s="2948" t="s">
        <v>1895</v>
      </c>
      <c r="F772" s="2828">
        <f>VLOOKUP($C760,Constantes!$G$11:$P$120,10,0)*F744</f>
        <v>1.5121104711966723E-3</v>
      </c>
      <c r="G772" s="2828">
        <f>VLOOKUP($C760,Constantes!$G$11:$P$120,10,0)*G744</f>
        <v>1.7662130785211464E-3</v>
      </c>
      <c r="H772" s="2828">
        <f>VLOOKUP($C760,Constantes!$G$11:$P$120,10,0)*H744</f>
        <v>2.0043536455388463E-3</v>
      </c>
      <c r="I772" s="2828">
        <f>VLOOKUP($C760,Constantes!$G$11:$P$120,10,0)*I744</f>
        <v>2.193240167463942E-3</v>
      </c>
      <c r="J772" s="2828">
        <f>VLOOKUP($C760,Constantes!$G$11:$P$120,10,0)*J744</f>
        <v>2.4332399072176879E-3</v>
      </c>
      <c r="K772" s="2828">
        <f>VLOOKUP($C760,Constantes!$G$11:$P$120,10,0)*K744</f>
        <v>2.6834168241621644E-3</v>
      </c>
      <c r="L772" s="2828">
        <f>VLOOKUP($C760,Constantes!$G$11:$P$120,10,0)*L744</f>
        <v>2.9220350301762785E-3</v>
      </c>
      <c r="M772" s="2828">
        <f>VLOOKUP($C760,Constantes!$G$11:$P$120,10,0)*M744</f>
        <v>3.145461341394133E-3</v>
      </c>
    </row>
    <row r="773" spans="2:16" x14ac:dyDescent="0.25">
      <c r="B773" t="s">
        <v>1720</v>
      </c>
      <c r="C773" s="956" t="str">
        <f t="shared" si="173"/>
        <v>V.031_Industria y Mineria</v>
      </c>
      <c r="D773" s="929" t="s">
        <v>387</v>
      </c>
      <c r="E773" s="2948" t="s">
        <v>1895</v>
      </c>
      <c r="F773" s="2828">
        <f>VLOOKUP($C761,Constantes!$G$11:$P$120,10,0)*F745</f>
        <v>9.9253451563279804E-3</v>
      </c>
      <c r="G773" s="2828">
        <f>VLOOKUP($C761,Constantes!$G$11:$P$120,10,0)*G745</f>
        <v>1.1593249804076599E-2</v>
      </c>
      <c r="H773" s="2828">
        <f>VLOOKUP($C761,Constantes!$G$11:$P$120,10,0)*H745</f>
        <v>1.3156381181312399E-2</v>
      </c>
      <c r="I773" s="2828">
        <f>VLOOKUP($C761,Constantes!$G$11:$P$120,10,0)*I745</f>
        <v>1.4396213826609279E-2</v>
      </c>
      <c r="J773" s="2828">
        <f>VLOOKUP($C761,Constantes!$G$11:$P$120,10,0)*J745</f>
        <v>1.5971548631744024E-2</v>
      </c>
      <c r="K773" s="2828">
        <f>VLOOKUP($C761,Constantes!$G$11:$P$120,10,0)*K745</f>
        <v>1.7613685432010227E-2</v>
      </c>
      <c r="L773" s="2828">
        <f>VLOOKUP($C761,Constantes!$G$11:$P$120,10,0)*L745</f>
        <v>1.9179951984876278E-2</v>
      </c>
      <c r="M773" s="2828">
        <f>VLOOKUP($C761,Constantes!$G$11:$P$120,10,0)*M745</f>
        <v>2.0646500426993335E-2</v>
      </c>
    </row>
    <row r="774" spans="2:16" x14ac:dyDescent="0.25">
      <c r="B774" t="s">
        <v>1741</v>
      </c>
      <c r="C774" s="956" t="str">
        <f t="shared" si="173"/>
        <v>V.058_Industria y Mineria</v>
      </c>
      <c r="D774" s="929" t="s">
        <v>331</v>
      </c>
      <c r="E774" s="2948" t="s">
        <v>1895</v>
      </c>
      <c r="F774" s="2828">
        <f>VLOOKUP($C762,Constantes!$G$11:$P$120,10,0)*F746</f>
        <v>0</v>
      </c>
      <c r="G774" s="2828">
        <f>VLOOKUP($C762,Constantes!$G$11:$P$120,10,0)*G746</f>
        <v>0</v>
      </c>
      <c r="H774" s="2828">
        <f>VLOOKUP($C762,Constantes!$G$11:$P$120,10,0)*H746</f>
        <v>0</v>
      </c>
      <c r="I774" s="2828">
        <f>VLOOKUP($C762,Constantes!$G$11:$P$120,10,0)*I746</f>
        <v>0</v>
      </c>
      <c r="J774" s="2828">
        <f>VLOOKUP($C762,Constantes!$G$11:$P$120,10,0)*J746</f>
        <v>0</v>
      </c>
      <c r="K774" s="2828">
        <f>VLOOKUP($C762,Constantes!$G$11:$P$120,10,0)*K746</f>
        <v>0</v>
      </c>
      <c r="L774" s="2828">
        <f>VLOOKUP($C762,Constantes!$G$11:$P$120,10,0)*L746</f>
        <v>0</v>
      </c>
      <c r="M774" s="2828">
        <f>VLOOKUP($C762,Constantes!$G$11:$P$120,10,0)*M746</f>
        <v>0</v>
      </c>
    </row>
    <row r="775" spans="2:16" x14ac:dyDescent="0.25">
      <c r="B775" s="957"/>
      <c r="C775" s="956"/>
      <c r="D775" s="941"/>
      <c r="F775" s="955"/>
      <c r="G775" s="929"/>
      <c r="H775" s="929"/>
      <c r="I775" s="929"/>
      <c r="J775" s="929"/>
      <c r="K775" s="929"/>
      <c r="L775" s="929"/>
      <c r="M775" s="929"/>
    </row>
    <row r="776" spans="2:16" x14ac:dyDescent="0.25">
      <c r="B776" s="957"/>
      <c r="C776" s="961"/>
      <c r="D776" s="960" t="s">
        <v>118</v>
      </c>
      <c r="E776" s="959" t="s">
        <v>534</v>
      </c>
      <c r="F776" s="958">
        <f>SUM(F759:F774)</f>
        <v>17.229006671899601</v>
      </c>
      <c r="G776" s="958">
        <f t="shared" ref="G776:M776" si="174">SUM(G759:G774)</f>
        <v>20.124255134451271</v>
      </c>
      <c r="H776" s="958">
        <f t="shared" si="174"/>
        <v>22.837631899014571</v>
      </c>
      <c r="I776" s="958">
        <f t="shared" si="174"/>
        <v>24.989807423534224</v>
      </c>
      <c r="J776" s="958">
        <f t="shared" si="174"/>
        <v>27.724367626797086</v>
      </c>
      <c r="K776" s="958">
        <f t="shared" si="174"/>
        <v>30.574886721331566</v>
      </c>
      <c r="L776" s="958">
        <f t="shared" si="174"/>
        <v>33.29370571092587</v>
      </c>
      <c r="M776" s="958">
        <f t="shared" si="174"/>
        <v>35.839428050646156</v>
      </c>
    </row>
    <row r="777" spans="2:16" x14ac:dyDescent="0.25">
      <c r="B777" s="957"/>
      <c r="C777" s="956"/>
      <c r="D777" s="941"/>
      <c r="F777" s="955"/>
      <c r="G777" s="929"/>
      <c r="H777" s="929"/>
      <c r="I777" s="929"/>
      <c r="J777" s="929"/>
      <c r="K777" s="929"/>
      <c r="L777" s="929"/>
      <c r="M777" s="929"/>
    </row>
    <row r="778" spans="2:16" x14ac:dyDescent="0.25">
      <c r="B778" s="957"/>
      <c r="C778" s="956"/>
      <c r="D778" s="941"/>
      <c r="F778" s="955"/>
      <c r="G778" s="929"/>
      <c r="H778" s="929"/>
      <c r="I778" s="929"/>
      <c r="J778" s="929"/>
      <c r="K778" s="929"/>
      <c r="L778" s="929"/>
      <c r="M778" s="929"/>
    </row>
    <row r="779" spans="2:16" x14ac:dyDescent="0.25">
      <c r="B779" s="957"/>
      <c r="C779" s="956"/>
      <c r="D779" s="941"/>
      <c r="F779" s="955"/>
      <c r="G779" s="929"/>
      <c r="H779" s="929"/>
      <c r="I779" s="929"/>
      <c r="J779" s="929"/>
      <c r="K779" s="929"/>
      <c r="L779" s="929"/>
      <c r="M779" s="929"/>
    </row>
    <row r="780" spans="2:16" x14ac:dyDescent="0.25">
      <c r="B780" s="957"/>
      <c r="C780" s="955"/>
      <c r="D780" s="941"/>
      <c r="F780" s="955"/>
      <c r="G780" s="929"/>
      <c r="H780" s="929"/>
      <c r="I780" s="929"/>
      <c r="J780" s="929"/>
      <c r="K780" s="929"/>
      <c r="L780" s="929"/>
      <c r="M780" s="929"/>
    </row>
    <row r="781" spans="2:16" x14ac:dyDescent="0.25">
      <c r="C781" s="955"/>
      <c r="D781" s="956"/>
      <c r="E781" s="955"/>
      <c r="F781" s="940"/>
      <c r="G781" s="940"/>
      <c r="H781" s="940"/>
      <c r="I781" s="940"/>
      <c r="J781" s="940"/>
      <c r="K781" s="940"/>
      <c r="L781" s="940"/>
      <c r="M781" s="940"/>
    </row>
    <row r="782" spans="2:16" x14ac:dyDescent="0.25">
      <c r="C782" s="941"/>
      <c r="D782" s="941"/>
      <c r="E782" s="942"/>
      <c r="F782" s="941"/>
      <c r="G782" s="929"/>
      <c r="H782" s="929"/>
      <c r="I782" s="929"/>
      <c r="J782" s="929"/>
      <c r="K782" s="929"/>
      <c r="L782" s="929"/>
      <c r="M782" s="929"/>
    </row>
    <row r="783" spans="2:16" ht="15.75" x14ac:dyDescent="0.25">
      <c r="B783" s="954" t="s">
        <v>181</v>
      </c>
      <c r="C783" s="953"/>
      <c r="D783" s="953"/>
      <c r="E783" s="953"/>
      <c r="F783" s="953"/>
      <c r="G783" s="953"/>
      <c r="H783" s="953"/>
      <c r="I783" s="953"/>
      <c r="J783" s="953"/>
      <c r="K783" s="953"/>
      <c r="L783" s="953"/>
      <c r="M783" s="953"/>
      <c r="N783" s="953"/>
      <c r="O783" s="953"/>
      <c r="P783" s="952"/>
    </row>
    <row r="784" spans="2:16" x14ac:dyDescent="0.25">
      <c r="B784" s="949"/>
      <c r="C784" s="948"/>
      <c r="D784" s="948"/>
      <c r="E784" s="948"/>
      <c r="F784" s="948"/>
      <c r="G784" s="948"/>
      <c r="H784" s="948"/>
      <c r="I784" s="948"/>
      <c r="J784" s="948"/>
      <c r="K784" s="948"/>
      <c r="L784" s="948"/>
      <c r="M784" s="948"/>
      <c r="N784" s="948"/>
      <c r="O784" s="948"/>
      <c r="P784" s="943"/>
    </row>
    <row r="785" spans="2:16" x14ac:dyDescent="0.25">
      <c r="B785" s="949"/>
      <c r="C785" s="951" t="s">
        <v>241</v>
      </c>
      <c r="D785" s="948"/>
      <c r="E785" s="950"/>
      <c r="F785" s="948"/>
      <c r="G785" s="950"/>
      <c r="H785" s="948"/>
      <c r="I785" s="948"/>
      <c r="J785" s="948"/>
      <c r="K785" s="948"/>
      <c r="L785" s="948"/>
      <c r="M785" s="948"/>
      <c r="N785" s="948"/>
      <c r="O785" s="950"/>
      <c r="P785" s="943"/>
    </row>
    <row r="786" spans="2:16" ht="5.25" customHeight="1" x14ac:dyDescent="0.25">
      <c r="B786" s="949"/>
      <c r="C786" s="948"/>
      <c r="D786" s="948"/>
      <c r="E786" s="948"/>
      <c r="F786" s="948"/>
      <c r="G786" s="948"/>
      <c r="H786" s="948"/>
      <c r="I786" s="948"/>
      <c r="J786" s="948"/>
      <c r="K786" s="948"/>
      <c r="L786" s="948"/>
      <c r="M786" s="948"/>
      <c r="N786" s="948"/>
      <c r="O786" s="948"/>
      <c r="P786" s="943"/>
    </row>
    <row r="787" spans="2:16" ht="15.75" x14ac:dyDescent="0.25">
      <c r="B787" s="946"/>
      <c r="C787" s="1895" t="s">
        <v>146</v>
      </c>
      <c r="D787" s="1895" t="s">
        <v>242</v>
      </c>
      <c r="E787" s="1895" t="s">
        <v>8</v>
      </c>
      <c r="F787" s="1895" t="s">
        <v>16</v>
      </c>
      <c r="G787" s="1895" t="s">
        <v>17</v>
      </c>
      <c r="H787" s="1895" t="s">
        <v>18</v>
      </c>
      <c r="I787" s="1895" t="s">
        <v>19</v>
      </c>
      <c r="J787" s="1895" t="s">
        <v>20</v>
      </c>
      <c r="K787" s="1895" t="s">
        <v>21</v>
      </c>
      <c r="L787" s="1895" t="s">
        <v>22</v>
      </c>
      <c r="M787" s="1895" t="s">
        <v>23</v>
      </c>
      <c r="N787" s="947"/>
      <c r="O787" s="947"/>
      <c r="P787" s="943"/>
    </row>
    <row r="788" spans="2:16" ht="15.75" x14ac:dyDescent="0.25">
      <c r="B788" s="946"/>
      <c r="C788" s="947" t="s">
        <v>453</v>
      </c>
      <c r="D788" s="365" t="str">
        <f>INDEX(Vectors[Descripción], MATCH(C788,Vectors[Código],FALSE))</f>
        <v>Industria y minería</v>
      </c>
      <c r="E788" s="947"/>
      <c r="F788" s="1899">
        <f t="shared" ref="F788:M788" si="175">F751</f>
        <v>135.84274834045024</v>
      </c>
      <c r="G788" s="1899">
        <f t="shared" si="175"/>
        <v>158.67044327209996</v>
      </c>
      <c r="H788" s="1899">
        <f t="shared" si="175"/>
        <v>180.06416398976444</v>
      </c>
      <c r="I788" s="1899">
        <f t="shared" si="175"/>
        <v>197.03307251300703</v>
      </c>
      <c r="J788" s="1899">
        <f t="shared" si="175"/>
        <v>218.59381484642964</v>
      </c>
      <c r="K788" s="1899">
        <f t="shared" si="175"/>
        <v>241.06883940080814</v>
      </c>
      <c r="L788" s="1899">
        <f t="shared" si="175"/>
        <v>262.50546954554397</v>
      </c>
      <c r="M788" s="1899">
        <f t="shared" si="175"/>
        <v>282.57731267178247</v>
      </c>
      <c r="N788" s="883"/>
      <c r="O788" s="883"/>
      <c r="P788" s="943"/>
    </row>
    <row r="789" spans="2:16" ht="15.75" x14ac:dyDescent="0.25">
      <c r="B789" s="946"/>
      <c r="C789" s="945" t="s">
        <v>149</v>
      </c>
      <c r="D789" s="365" t="str">
        <f>INDEX(Vectors[Descripción], MATCH(C789,Vectors[Código],FALSE))</f>
        <v>Electricidad (consumo final)</v>
      </c>
      <c r="E789" s="945"/>
      <c r="F789" s="1900">
        <f t="shared" ref="F789:M789" si="176">-F747</f>
        <v>-45.067036726374283</v>
      </c>
      <c r="G789" s="1900">
        <f t="shared" si="176"/>
        <v>-52.640327008199243</v>
      </c>
      <c r="H789" s="1900">
        <f t="shared" si="176"/>
        <v>-59.737883624768969</v>
      </c>
      <c r="I789" s="1900">
        <f t="shared" si="176"/>
        <v>-65.367469546476499</v>
      </c>
      <c r="J789" s="1900">
        <f t="shared" si="176"/>
        <v>-72.520437065604</v>
      </c>
      <c r="K789" s="1900">
        <f t="shared" si="176"/>
        <v>-79.976725821481068</v>
      </c>
      <c r="L789" s="1900">
        <f t="shared" si="176"/>
        <v>-87.088518021100739</v>
      </c>
      <c r="M789" s="1900">
        <f t="shared" si="176"/>
        <v>-93.747530021278692</v>
      </c>
      <c r="N789" s="459"/>
      <c r="O789" s="459"/>
      <c r="P789" s="943"/>
    </row>
    <row r="790" spans="2:16" ht="15.75" x14ac:dyDescent="0.25">
      <c r="B790" s="946"/>
      <c r="C790" s="945" t="s">
        <v>330</v>
      </c>
      <c r="D790" s="365" t="str">
        <f>INDEX(Vectors[Descripción], MATCH(C790,Vectors[Código],FALSE))</f>
        <v>Hidrocarburo Sólido</v>
      </c>
      <c r="E790" s="945"/>
      <c r="F790" s="1900">
        <f t="shared" ref="F790:M790" si="177">-F745-F746</f>
        <v>-32.95605051369435</v>
      </c>
      <c r="G790" s="1900">
        <f t="shared" si="177"/>
        <v>-38.494150091841917</v>
      </c>
      <c r="H790" s="1900">
        <f t="shared" si="177"/>
        <v>-43.684361194463385</v>
      </c>
      <c r="I790" s="1900">
        <f t="shared" si="177"/>
        <v>-47.801093322502346</v>
      </c>
      <c r="J790" s="1900">
        <f t="shared" si="177"/>
        <v>-53.031824606532467</v>
      </c>
      <c r="K790" s="1900">
        <f t="shared" si="177"/>
        <v>-58.484364794060937</v>
      </c>
      <c r="L790" s="1900">
        <f t="shared" si="177"/>
        <v>-63.684985913141524</v>
      </c>
      <c r="M790" s="1900">
        <f t="shared" si="177"/>
        <v>-68.554503675793342</v>
      </c>
      <c r="N790" s="459"/>
      <c r="O790" s="459"/>
      <c r="P790" s="943"/>
    </row>
    <row r="791" spans="2:16" ht="15.75" x14ac:dyDescent="0.25">
      <c r="B791" s="946"/>
      <c r="C791" s="945" t="s">
        <v>333</v>
      </c>
      <c r="D791" s="365" t="str">
        <f>INDEX(Vectors[Descripción], MATCH(C791,Vectors[Código],FALSE))</f>
        <v>Hidrocarburo Líquido</v>
      </c>
      <c r="E791" s="945"/>
      <c r="F791" s="1900">
        <f t="shared" ref="F791:M792" si="178">-F743</f>
        <v>-44.269200168174002</v>
      </c>
      <c r="G791" s="1900">
        <f t="shared" si="178"/>
        <v>-51.708418003891893</v>
      </c>
      <c r="H791" s="1900">
        <f t="shared" si="178"/>
        <v>-58.680324243735562</v>
      </c>
      <c r="I791" s="1900">
        <f t="shared" si="178"/>
        <v>-64.210247756238388</v>
      </c>
      <c r="J791" s="1900">
        <f t="shared" si="178"/>
        <v>-71.236583941226286</v>
      </c>
      <c r="K791" s="1900">
        <f t="shared" si="178"/>
        <v>-78.56087156745167</v>
      </c>
      <c r="L791" s="1900">
        <f t="shared" si="178"/>
        <v>-85.546761373141365</v>
      </c>
      <c r="M791" s="1900">
        <f t="shared" si="178"/>
        <v>-92.087886696023617</v>
      </c>
      <c r="N791" s="459"/>
      <c r="O791" s="459"/>
      <c r="P791" s="943"/>
    </row>
    <row r="792" spans="2:16" ht="15.75" x14ac:dyDescent="0.25">
      <c r="B792" s="946"/>
      <c r="C792" s="945" t="s">
        <v>335</v>
      </c>
      <c r="D792" s="365" t="str">
        <f>INDEX(Vectors[Descripción], MATCH(C792,Vectors[Código],FALSE))</f>
        <v>Hidrocarburo Gaseoso</v>
      </c>
      <c r="E792" s="945"/>
      <c r="F792" s="1900">
        <f t="shared" si="178"/>
        <v>-13.550460932207598</v>
      </c>
      <c r="G792" s="1900">
        <f t="shared" si="178"/>
        <v>-15.827548168166917</v>
      </c>
      <c r="H792" s="1900">
        <f t="shared" si="178"/>
        <v>-17.961594926796501</v>
      </c>
      <c r="I792" s="1900">
        <f t="shared" si="178"/>
        <v>-19.654261887789776</v>
      </c>
      <c r="J792" s="1900">
        <f t="shared" si="178"/>
        <v>-21.804969233066892</v>
      </c>
      <c r="K792" s="1900">
        <f t="shared" si="178"/>
        <v>-24.04687721781449</v>
      </c>
      <c r="L792" s="1900">
        <f t="shared" si="178"/>
        <v>-26.185204238160328</v>
      </c>
      <c r="M792" s="1900">
        <f t="shared" si="178"/>
        <v>-28.187392278686779</v>
      </c>
      <c r="N792" s="459"/>
      <c r="O792" s="459"/>
      <c r="P792" s="943"/>
    </row>
    <row r="793" spans="2:16" ht="15.75" x14ac:dyDescent="0.25">
      <c r="B793" s="946"/>
      <c r="C793" s="1901" t="s">
        <v>315</v>
      </c>
      <c r="D793" s="1902" t="str">
        <f>INDEX(Vectors[Descripción], MATCH(C793,Vectors[Código],FALSE))</f>
        <v>Solar</v>
      </c>
      <c r="E793" s="1896"/>
      <c r="F793" s="1903">
        <f t="shared" ref="F793:M793" si="179">-F749</f>
        <v>0</v>
      </c>
      <c r="G793" s="1903">
        <f t="shared" si="179"/>
        <v>0</v>
      </c>
      <c r="H793" s="1903">
        <f t="shared" si="179"/>
        <v>0</v>
      </c>
      <c r="I793" s="1903">
        <f t="shared" si="179"/>
        <v>0</v>
      </c>
      <c r="J793" s="1903">
        <f t="shared" si="179"/>
        <v>0</v>
      </c>
      <c r="K793" s="1903">
        <f t="shared" si="179"/>
        <v>0</v>
      </c>
      <c r="L793" s="1903">
        <f t="shared" si="179"/>
        <v>0</v>
      </c>
      <c r="M793" s="1903">
        <f t="shared" si="179"/>
        <v>0</v>
      </c>
      <c r="N793" s="459"/>
      <c r="O793" s="459"/>
      <c r="P793" s="943"/>
    </row>
    <row r="794" spans="2:16" ht="15.75" x14ac:dyDescent="0.25">
      <c r="B794" s="946"/>
      <c r="C794" s="2679" t="s">
        <v>118</v>
      </c>
      <c r="D794" s="1894"/>
      <c r="E794" s="2680"/>
      <c r="F794" s="2680">
        <f>SUBTOTAL(109,XI.a.Outputs[2015])</f>
        <v>8.8817841970012523E-15</v>
      </c>
      <c r="G794" s="2680">
        <f>SUBTOTAL(109,XI.a.Outputs[2020])</f>
        <v>-1.7763568394002505E-14</v>
      </c>
      <c r="H794" s="2680">
        <f>SUBTOTAL(109,XI.a.Outputs[2025])</f>
        <v>1.4210854715202004E-14</v>
      </c>
      <c r="I794" s="2680">
        <f>SUBTOTAL(109,XI.a.Outputs[2030])</f>
        <v>1.0658141036401503E-14</v>
      </c>
      <c r="J794" s="2680">
        <f>SUBTOTAL(109,XI.a.Outputs[2035])</f>
        <v>-7.1054273576010019E-15</v>
      </c>
      <c r="K794" s="2680">
        <f>SUBTOTAL(109,XI.a.Outputs[2040])</f>
        <v>-2.1316282072803006E-14</v>
      </c>
      <c r="L794" s="2680">
        <f>SUBTOTAL(109,XI.a.Outputs[2045])</f>
        <v>-3.5527136788005009E-15</v>
      </c>
      <c r="M794" s="2680">
        <f>SUBTOTAL(109,XI.a.Outputs[2050])</f>
        <v>3.5527136788005009E-14</v>
      </c>
      <c r="N794" s="459"/>
      <c r="O794" s="459"/>
      <c r="P794" s="943"/>
    </row>
    <row r="795" spans="2:16" ht="15.75" x14ac:dyDescent="0.25">
      <c r="B795" s="946"/>
      <c r="C795" s="945"/>
      <c r="D795" s="945"/>
      <c r="E795" s="945"/>
      <c r="F795" s="459"/>
      <c r="G795" s="459"/>
      <c r="H795" s="459"/>
      <c r="I795" s="459"/>
      <c r="J795" s="459"/>
      <c r="K795" s="459"/>
      <c r="L795" s="459"/>
      <c r="M795" s="459"/>
      <c r="N795" s="944"/>
      <c r="O795" s="944"/>
      <c r="P795" s="943"/>
    </row>
    <row r="796" spans="2:16" x14ac:dyDescent="0.25">
      <c r="C796" s="941"/>
      <c r="D796" s="941"/>
      <c r="E796" s="942"/>
      <c r="F796" s="941"/>
    </row>
    <row r="797" spans="2:16" ht="15.75" x14ac:dyDescent="0.25">
      <c r="B797" s="701" t="s">
        <v>434</v>
      </c>
      <c r="C797" s="704"/>
      <c r="D797" s="705"/>
      <c r="E797" s="705"/>
      <c r="F797" s="705"/>
      <c r="G797" s="705"/>
      <c r="H797" s="705"/>
      <c r="I797" s="705"/>
      <c r="J797" s="705"/>
      <c r="K797" s="705"/>
      <c r="L797" s="705"/>
      <c r="M797" s="705"/>
      <c r="N797" s="702"/>
    </row>
    <row r="798" spans="2:16" x14ac:dyDescent="0.25">
      <c r="B798" s="703"/>
      <c r="C798" s="708"/>
      <c r="D798" s="708"/>
      <c r="E798" s="708"/>
      <c r="F798" s="708"/>
      <c r="G798" s="708"/>
      <c r="H798" s="708"/>
      <c r="I798" s="708"/>
      <c r="J798" s="708"/>
      <c r="K798" s="708"/>
      <c r="L798" s="708"/>
      <c r="M798" s="708"/>
      <c r="N798" s="706"/>
    </row>
    <row r="799" spans="2:16" x14ac:dyDescent="0.25">
      <c r="B799" s="707"/>
      <c r="C799" s="710" t="s">
        <v>394</v>
      </c>
      <c r="D799" s="711"/>
      <c r="E799" s="712"/>
      <c r="F799" s="711"/>
      <c r="G799" s="712"/>
      <c r="H799" s="711"/>
      <c r="I799" s="711"/>
      <c r="J799" s="711"/>
      <c r="K799" s="711"/>
      <c r="L799" s="711"/>
      <c r="M799" s="713" t="s">
        <v>395</v>
      </c>
      <c r="N799" s="709"/>
    </row>
    <row r="800" spans="2:16" x14ac:dyDescent="0.25">
      <c r="B800" s="707"/>
      <c r="C800" s="711"/>
      <c r="D800" s="711"/>
      <c r="E800" s="711"/>
      <c r="F800" s="711"/>
      <c r="G800" s="711"/>
      <c r="H800" s="711"/>
      <c r="I800" s="711"/>
      <c r="J800" s="711"/>
      <c r="K800" s="711"/>
      <c r="L800" s="711"/>
      <c r="M800" s="711"/>
      <c r="N800" s="709"/>
    </row>
    <row r="801" spans="2:14" ht="15.75" x14ac:dyDescent="0.25">
      <c r="B801" s="714"/>
      <c r="C801" s="715" t="s">
        <v>396</v>
      </c>
      <c r="D801" s="715" t="s">
        <v>397</v>
      </c>
      <c r="E801" s="715" t="s">
        <v>148</v>
      </c>
      <c r="F801" s="716">
        <v>2015</v>
      </c>
      <c r="G801" s="716">
        <v>2020</v>
      </c>
      <c r="H801" s="716" t="s">
        <v>18</v>
      </c>
      <c r="I801" s="716" t="s">
        <v>19</v>
      </c>
      <c r="J801" s="716" t="s">
        <v>20</v>
      </c>
      <c r="K801" s="716" t="s">
        <v>21</v>
      </c>
      <c r="L801" s="716" t="s">
        <v>22</v>
      </c>
      <c r="M801" s="716" t="s">
        <v>23</v>
      </c>
      <c r="N801" s="709"/>
    </row>
    <row r="802" spans="2:14" ht="15.75" hidden="1" outlineLevel="1" x14ac:dyDescent="0.25">
      <c r="B802" s="714"/>
      <c r="C802" s="717" t="s">
        <v>398</v>
      </c>
      <c r="D802" s="718" t="s">
        <v>399</v>
      </c>
      <c r="E802" s="717"/>
      <c r="F802" s="719"/>
      <c r="G802" s="719"/>
      <c r="H802" s="719"/>
      <c r="I802" s="719"/>
      <c r="J802" s="719"/>
      <c r="K802" s="719"/>
      <c r="L802" s="719"/>
      <c r="M802" s="719"/>
      <c r="N802" s="709"/>
    </row>
    <row r="803" spans="2:14" ht="15.75" hidden="1" outlineLevel="1" x14ac:dyDescent="0.25">
      <c r="B803" s="714"/>
      <c r="C803" s="717" t="s">
        <v>400</v>
      </c>
      <c r="D803" s="718" t="s">
        <v>399</v>
      </c>
      <c r="E803" s="717"/>
      <c r="F803" s="719"/>
      <c r="G803" s="719"/>
      <c r="H803" s="719"/>
      <c r="I803" s="719"/>
      <c r="J803" s="719"/>
      <c r="K803" s="719"/>
      <c r="L803" s="719"/>
      <c r="M803" s="719"/>
      <c r="N803" s="709"/>
    </row>
    <row r="804" spans="2:14" ht="15.75" hidden="1" outlineLevel="1" x14ac:dyDescent="0.25">
      <c r="B804" s="714"/>
      <c r="C804" s="717" t="s">
        <v>401</v>
      </c>
      <c r="D804" s="718" t="s">
        <v>399</v>
      </c>
      <c r="E804" s="717"/>
      <c r="F804" s="719"/>
      <c r="G804" s="719"/>
      <c r="H804" s="719"/>
      <c r="I804" s="719"/>
      <c r="J804" s="719"/>
      <c r="K804" s="719"/>
      <c r="L804" s="719"/>
      <c r="M804" s="719"/>
      <c r="N804" s="709"/>
    </row>
    <row r="805" spans="2:14" ht="15.75" collapsed="1" x14ac:dyDescent="0.25">
      <c r="B805" s="714"/>
      <c r="C805" s="717" t="s">
        <v>118</v>
      </c>
      <c r="D805" s="717"/>
      <c r="E805" s="717"/>
      <c r="F805" s="721">
        <f>F776</f>
        <v>17.229006671899601</v>
      </c>
      <c r="G805" s="721">
        <f t="shared" ref="G805:M805" si="180">G776</f>
        <v>20.124255134451271</v>
      </c>
      <c r="H805" s="721">
        <f t="shared" si="180"/>
        <v>22.837631899014571</v>
      </c>
      <c r="I805" s="721">
        <f t="shared" si="180"/>
        <v>24.989807423534224</v>
      </c>
      <c r="J805" s="721">
        <f t="shared" si="180"/>
        <v>27.724367626797086</v>
      </c>
      <c r="K805" s="721">
        <f t="shared" si="180"/>
        <v>30.574886721331566</v>
      </c>
      <c r="L805" s="721">
        <f t="shared" si="180"/>
        <v>33.29370571092587</v>
      </c>
      <c r="M805" s="721">
        <f t="shared" si="180"/>
        <v>35.839428050646156</v>
      </c>
      <c r="N805" s="709"/>
    </row>
    <row r="806" spans="2:14" x14ac:dyDescent="0.25">
      <c r="B806" s="720"/>
      <c r="C806" s="720"/>
      <c r="D806" s="720"/>
      <c r="E806" s="720"/>
      <c r="F806" s="720"/>
      <c r="G806" s="720"/>
      <c r="H806" s="720"/>
      <c r="I806" s="720"/>
      <c r="J806" s="720"/>
      <c r="K806" s="720"/>
      <c r="L806" s="720"/>
      <c r="M806" s="720"/>
      <c r="N806" s="720"/>
    </row>
    <row r="807" spans="2:14" x14ac:dyDescent="0.25">
      <c r="C807" s="941"/>
      <c r="D807" s="941"/>
      <c r="E807" s="942"/>
      <c r="F807" s="941"/>
    </row>
    <row r="808" spans="2:14" x14ac:dyDescent="0.25">
      <c r="C808" s="941"/>
      <c r="D808" s="941"/>
      <c r="E808" s="942"/>
      <c r="F808" s="941"/>
    </row>
    <row r="836" spans="5:14" x14ac:dyDescent="0.25">
      <c r="N836" s="929"/>
    </row>
    <row r="837" spans="5:14" x14ac:dyDescent="0.25">
      <c r="N837" s="929"/>
    </row>
    <row r="838" spans="5:14" x14ac:dyDescent="0.25">
      <c r="N838" s="929"/>
    </row>
    <row r="839" spans="5:14" x14ac:dyDescent="0.25">
      <c r="F839" s="939"/>
      <c r="G839" s="939"/>
      <c r="H839" s="939"/>
      <c r="J839" s="939"/>
      <c r="K839" s="939"/>
      <c r="L839" s="939"/>
      <c r="M839" s="936"/>
      <c r="N839" s="929"/>
    </row>
    <row r="840" spans="5:14" x14ac:dyDescent="0.25">
      <c r="F840" s="939"/>
      <c r="G840" s="939"/>
      <c r="H840" s="939"/>
      <c r="J840" s="939"/>
      <c r="K840" s="939"/>
      <c r="L840" s="939"/>
      <c r="M840" s="936"/>
    </row>
    <row r="841" spans="5:14" x14ac:dyDescent="0.25">
      <c r="F841" s="939"/>
      <c r="G841" s="939"/>
      <c r="H841" s="939"/>
      <c r="J841" s="939"/>
      <c r="K841" s="939"/>
      <c r="L841" s="939"/>
      <c r="M841" s="936"/>
    </row>
    <row r="842" spans="5:14" x14ac:dyDescent="0.25">
      <c r="F842" s="939"/>
      <c r="G842" s="939"/>
      <c r="H842" s="939"/>
      <c r="J842" s="939"/>
      <c r="K842" s="939"/>
      <c r="L842" s="939"/>
      <c r="M842" s="936"/>
    </row>
    <row r="847" spans="5:14" x14ac:dyDescent="0.25">
      <c r="E847" s="938"/>
      <c r="F847" s="939"/>
      <c r="G847" s="939"/>
      <c r="H847" s="939"/>
      <c r="I847" s="939"/>
      <c r="J847" s="931"/>
      <c r="K847" s="931"/>
      <c r="L847" s="931"/>
      <c r="M847" s="931"/>
    </row>
    <row r="848" spans="5:14" x14ac:dyDescent="0.25">
      <c r="E848" s="938"/>
      <c r="F848" s="939"/>
      <c r="G848" s="939"/>
      <c r="H848" s="939"/>
      <c r="I848" s="939"/>
      <c r="J848" s="931"/>
      <c r="K848" s="931"/>
      <c r="L848" s="931"/>
      <c r="M848" s="931"/>
    </row>
    <row r="849" spans="5:16" x14ac:dyDescent="0.25">
      <c r="E849" s="938"/>
      <c r="F849" s="939"/>
      <c r="G849" s="939"/>
      <c r="H849" s="939"/>
      <c r="I849" s="939"/>
      <c r="J849" s="931"/>
      <c r="K849" s="931"/>
      <c r="L849" s="931"/>
      <c r="M849" s="931"/>
    </row>
    <row r="850" spans="5:16" x14ac:dyDescent="0.25">
      <c r="F850" s="939"/>
      <c r="G850" s="939"/>
      <c r="H850" s="939"/>
      <c r="I850" s="939"/>
      <c r="J850" s="931"/>
      <c r="K850" s="931"/>
      <c r="L850" s="931"/>
      <c r="M850" s="931"/>
    </row>
    <row r="852" spans="5:16" x14ac:dyDescent="0.25">
      <c r="N852" s="932"/>
      <c r="O852" s="932"/>
      <c r="P852" s="932"/>
    </row>
    <row r="853" spans="5:16" x14ac:dyDescent="0.25">
      <c r="N853" s="932"/>
      <c r="O853" s="932"/>
      <c r="P853" s="932"/>
    </row>
    <row r="854" spans="5:16" x14ac:dyDescent="0.25">
      <c r="N854" s="932"/>
      <c r="O854" s="932"/>
      <c r="P854" s="932"/>
    </row>
    <row r="855" spans="5:16" x14ac:dyDescent="0.25">
      <c r="E855" s="932"/>
      <c r="F855" s="932"/>
      <c r="G855" s="932"/>
      <c r="H855" s="932"/>
      <c r="I855" s="932"/>
      <c r="J855" s="932"/>
      <c r="K855" s="932"/>
      <c r="L855" s="932"/>
      <c r="M855" s="932"/>
      <c r="N855" s="932"/>
      <c r="O855" s="932"/>
      <c r="P855" s="932"/>
    </row>
    <row r="856" spans="5:16" x14ac:dyDescent="0.25">
      <c r="E856" s="932"/>
      <c r="F856" s="932"/>
      <c r="G856" s="932"/>
      <c r="H856" s="932"/>
      <c r="I856" s="932"/>
      <c r="J856" s="932"/>
      <c r="K856" s="932"/>
      <c r="L856" s="932"/>
      <c r="M856" s="932"/>
      <c r="N856" s="932"/>
      <c r="O856" s="932"/>
      <c r="P856" s="932"/>
    </row>
    <row r="857" spans="5:16" x14ac:dyDescent="0.25">
      <c r="E857" s="932"/>
      <c r="F857" s="932"/>
      <c r="G857" s="932"/>
      <c r="H857" s="932"/>
      <c r="I857" s="932"/>
      <c r="J857" s="932"/>
      <c r="K857" s="932"/>
      <c r="L857" s="932"/>
      <c r="M857" s="932"/>
    </row>
    <row r="858" spans="5:16" x14ac:dyDescent="0.25">
      <c r="E858" s="932"/>
      <c r="F858" s="932"/>
      <c r="G858" s="932"/>
      <c r="H858" s="932"/>
      <c r="I858" s="932"/>
      <c r="J858" s="932"/>
      <c r="K858" s="932"/>
      <c r="L858" s="932"/>
      <c r="M858" s="932"/>
    </row>
    <row r="859" spans="5:16" x14ac:dyDescent="0.25">
      <c r="E859" s="932"/>
      <c r="F859" s="932"/>
      <c r="G859" s="932"/>
      <c r="H859" s="932"/>
      <c r="I859" s="932"/>
      <c r="J859" s="932"/>
      <c r="K859" s="932"/>
      <c r="L859" s="932"/>
      <c r="M859" s="932"/>
    </row>
    <row r="860" spans="5:16" x14ac:dyDescent="0.25">
      <c r="G860" s="929"/>
      <c r="H860" s="929"/>
      <c r="I860" s="929"/>
    </row>
    <row r="861" spans="5:16" x14ac:dyDescent="0.25">
      <c r="I861" s="929"/>
      <c r="N861" s="936"/>
    </row>
    <row r="862" spans="5:16" x14ac:dyDescent="0.25">
      <c r="N862" s="936"/>
    </row>
    <row r="863" spans="5:16" x14ac:dyDescent="0.25">
      <c r="N863" s="936"/>
    </row>
    <row r="864" spans="5:16" x14ac:dyDescent="0.25">
      <c r="E864" s="938"/>
      <c r="F864" s="939"/>
      <c r="G864" s="939"/>
      <c r="H864" s="939"/>
      <c r="I864" s="939"/>
      <c r="K864" s="936"/>
      <c r="L864" s="936"/>
      <c r="M864" s="936"/>
      <c r="N864" s="936"/>
    </row>
    <row r="865" spans="5:15" x14ac:dyDescent="0.25">
      <c r="E865" s="938"/>
      <c r="F865" s="939"/>
      <c r="G865" s="939"/>
      <c r="H865" s="939"/>
      <c r="I865" s="939"/>
      <c r="K865" s="936"/>
      <c r="L865" s="936"/>
      <c r="M865" s="936"/>
    </row>
    <row r="866" spans="5:15" x14ac:dyDescent="0.25">
      <c r="E866" s="938"/>
      <c r="F866" s="939"/>
      <c r="G866" s="939"/>
      <c r="H866" s="939"/>
      <c r="I866" s="939"/>
      <c r="K866" s="936"/>
      <c r="L866" s="936"/>
      <c r="M866" s="936"/>
    </row>
    <row r="867" spans="5:15" x14ac:dyDescent="0.25">
      <c r="E867" s="938"/>
      <c r="F867" s="939"/>
      <c r="G867" s="939"/>
      <c r="H867" s="939"/>
      <c r="I867" s="939"/>
      <c r="K867" s="936"/>
      <c r="L867" s="936"/>
      <c r="M867" s="936"/>
    </row>
    <row r="868" spans="5:15" x14ac:dyDescent="0.25">
      <c r="F868" s="931"/>
      <c r="G868" s="931"/>
      <c r="H868" s="931"/>
      <c r="I868" s="931"/>
    </row>
    <row r="869" spans="5:15" x14ac:dyDescent="0.25">
      <c r="N869" s="932"/>
      <c r="O869" s="932"/>
    </row>
    <row r="870" spans="5:15" x14ac:dyDescent="0.25">
      <c r="N870" s="932"/>
      <c r="O870" s="932"/>
    </row>
    <row r="871" spans="5:15" x14ac:dyDescent="0.25">
      <c r="N871" s="932"/>
      <c r="O871" s="932"/>
    </row>
    <row r="872" spans="5:15" x14ac:dyDescent="0.25">
      <c r="E872" s="938"/>
      <c r="F872" s="932"/>
      <c r="G872" s="932"/>
      <c r="H872" s="932"/>
      <c r="I872" s="932"/>
      <c r="J872" s="932"/>
      <c r="K872" s="932"/>
      <c r="L872" s="932"/>
      <c r="M872" s="932"/>
    </row>
    <row r="873" spans="5:15" x14ac:dyDescent="0.25">
      <c r="E873" s="938"/>
      <c r="F873" s="932"/>
      <c r="G873" s="932"/>
      <c r="H873" s="932"/>
      <c r="I873" s="932"/>
      <c r="J873" s="932"/>
      <c r="K873" s="932"/>
      <c r="L873" s="932"/>
      <c r="M873" s="932"/>
    </row>
    <row r="874" spans="5:15" x14ac:dyDescent="0.25">
      <c r="E874" s="938"/>
      <c r="F874" s="932"/>
      <c r="G874" s="932"/>
      <c r="H874" s="932"/>
      <c r="I874" s="932"/>
      <c r="J874" s="932"/>
      <c r="K874" s="932"/>
      <c r="L874" s="932"/>
      <c r="M874" s="932"/>
    </row>
    <row r="886" spans="5:10" x14ac:dyDescent="0.25">
      <c r="E886" s="938"/>
      <c r="F886" s="929"/>
      <c r="G886" s="929"/>
      <c r="H886" s="929"/>
      <c r="I886" s="929"/>
      <c r="J886" s="929"/>
    </row>
    <row r="887" spans="5:10" x14ac:dyDescent="0.25">
      <c r="E887" s="938"/>
      <c r="F887" s="929"/>
      <c r="G887" s="929"/>
      <c r="H887" s="929"/>
      <c r="I887" s="929"/>
      <c r="J887" s="929"/>
    </row>
    <row r="888" spans="5:10" x14ac:dyDescent="0.25">
      <c r="E888" s="938"/>
      <c r="F888" s="929"/>
      <c r="G888" s="929"/>
      <c r="H888" s="929"/>
      <c r="I888" s="929"/>
      <c r="J888" s="929"/>
    </row>
    <row r="889" spans="5:10" x14ac:dyDescent="0.25">
      <c r="E889" s="938"/>
      <c r="F889" s="929"/>
      <c r="G889" s="929"/>
      <c r="H889" s="929"/>
      <c r="I889" s="929"/>
      <c r="J889" s="929"/>
    </row>
    <row r="890" spans="5:10" x14ac:dyDescent="0.25">
      <c r="F890" s="929"/>
      <c r="G890" s="929"/>
      <c r="H890" s="929"/>
      <c r="I890" s="929"/>
      <c r="J890" s="929"/>
    </row>
    <row r="891" spans="5:10" x14ac:dyDescent="0.25">
      <c r="F891" s="929"/>
      <c r="G891" s="929"/>
      <c r="H891" s="929"/>
      <c r="I891" s="929"/>
      <c r="J891" s="929"/>
    </row>
    <row r="896" spans="5:10" x14ac:dyDescent="0.25">
      <c r="E896" s="938"/>
      <c r="F896" s="937"/>
      <c r="G896" s="937"/>
      <c r="H896" s="937"/>
      <c r="I896" s="937"/>
    </row>
    <row r="897" spans="5:9" x14ac:dyDescent="0.25">
      <c r="F897" s="937"/>
      <c r="G897" s="937"/>
      <c r="H897" s="937"/>
      <c r="I897" s="937"/>
    </row>
    <row r="898" spans="5:9" x14ac:dyDescent="0.25">
      <c r="F898" s="937"/>
      <c r="G898" s="937"/>
      <c r="H898" s="937"/>
      <c r="I898" s="937"/>
    </row>
    <row r="899" spans="5:9" x14ac:dyDescent="0.25">
      <c r="F899" s="937"/>
      <c r="G899" s="937"/>
      <c r="H899" s="937"/>
      <c r="I899" s="937"/>
    </row>
    <row r="904" spans="5:9" x14ac:dyDescent="0.25">
      <c r="E904" s="938"/>
      <c r="F904" s="937"/>
      <c r="G904" s="937"/>
      <c r="H904" s="937"/>
      <c r="I904" s="937"/>
    </row>
    <row r="905" spans="5:9" x14ac:dyDescent="0.25">
      <c r="F905" s="937"/>
      <c r="G905" s="937"/>
      <c r="H905" s="937"/>
      <c r="I905" s="937"/>
    </row>
    <row r="906" spans="5:9" x14ac:dyDescent="0.25">
      <c r="F906" s="937"/>
      <c r="G906" s="937"/>
      <c r="H906" s="937"/>
      <c r="I906" s="937"/>
    </row>
    <row r="907" spans="5:9" x14ac:dyDescent="0.25">
      <c r="F907" s="937"/>
      <c r="G907" s="937"/>
      <c r="H907" s="937"/>
      <c r="I907" s="937"/>
    </row>
    <row r="908" spans="5:9" x14ac:dyDescent="0.25">
      <c r="F908" s="937"/>
      <c r="G908" s="937"/>
      <c r="H908" s="937"/>
      <c r="I908" s="937"/>
    </row>
    <row r="909" spans="5:9" x14ac:dyDescent="0.25">
      <c r="F909" s="937"/>
      <c r="G909" s="937"/>
      <c r="H909" s="937"/>
      <c r="I909" s="937"/>
    </row>
    <row r="913" spans="5:15" x14ac:dyDescent="0.25">
      <c r="E913" s="938"/>
      <c r="F913" s="937"/>
      <c r="G913" s="937"/>
      <c r="H913" s="937"/>
      <c r="I913" s="937"/>
    </row>
    <row r="914" spans="5:15" x14ac:dyDescent="0.25">
      <c r="F914" s="937"/>
      <c r="G914" s="937"/>
      <c r="H914" s="937"/>
      <c r="I914" s="937"/>
    </row>
    <row r="915" spans="5:15" x14ac:dyDescent="0.25">
      <c r="F915" s="937"/>
      <c r="G915" s="937"/>
      <c r="H915" s="937"/>
      <c r="I915" s="937"/>
    </row>
    <row r="916" spans="5:15" x14ac:dyDescent="0.25">
      <c r="F916" s="937"/>
      <c r="G916" s="937"/>
      <c r="H916" s="937"/>
      <c r="I916" s="937"/>
    </row>
    <row r="917" spans="5:15" x14ac:dyDescent="0.25">
      <c r="F917" s="937"/>
      <c r="G917" s="937"/>
      <c r="H917" s="937"/>
      <c r="I917" s="937"/>
    </row>
    <row r="922" spans="5:15" x14ac:dyDescent="0.25">
      <c r="E922" s="938"/>
      <c r="F922" s="937"/>
      <c r="G922" s="937"/>
      <c r="H922" s="937"/>
      <c r="I922" s="937"/>
    </row>
    <row r="923" spans="5:15" x14ac:dyDescent="0.25">
      <c r="F923" s="937"/>
      <c r="G923" s="937"/>
      <c r="H923" s="937"/>
      <c r="I923" s="937"/>
    </row>
    <row r="924" spans="5:15" x14ac:dyDescent="0.25">
      <c r="F924" s="937"/>
      <c r="G924" s="937"/>
      <c r="H924" s="937"/>
      <c r="I924" s="937"/>
    </row>
    <row r="925" spans="5:15" x14ac:dyDescent="0.25">
      <c r="F925" s="937"/>
      <c r="G925" s="937"/>
      <c r="H925" s="937"/>
      <c r="I925" s="937"/>
    </row>
    <row r="926" spans="5:15" x14ac:dyDescent="0.25">
      <c r="F926" s="937"/>
      <c r="G926" s="937"/>
      <c r="H926" s="937"/>
      <c r="I926" s="937"/>
    </row>
    <row r="927" spans="5:15" x14ac:dyDescent="0.25">
      <c r="F927" s="937"/>
      <c r="G927" s="937"/>
      <c r="H927" s="937"/>
      <c r="I927" s="937"/>
    </row>
    <row r="928" spans="5:15" x14ac:dyDescent="0.25">
      <c r="N928" s="940"/>
      <c r="O928" s="940"/>
    </row>
    <row r="929" spans="5:15" x14ac:dyDescent="0.25">
      <c r="N929" s="940"/>
      <c r="O929" s="940"/>
    </row>
    <row r="930" spans="5:15" x14ac:dyDescent="0.25">
      <c r="N930" s="940"/>
      <c r="O930" s="940"/>
    </row>
    <row r="931" spans="5:15" x14ac:dyDescent="0.25">
      <c r="E931" s="938"/>
      <c r="F931" s="940"/>
      <c r="G931" s="940"/>
      <c r="H931" s="940"/>
      <c r="I931" s="940"/>
      <c r="J931" s="940"/>
      <c r="K931" s="940"/>
      <c r="L931" s="940"/>
      <c r="M931" s="940"/>
    </row>
    <row r="932" spans="5:15" x14ac:dyDescent="0.25">
      <c r="F932" s="940"/>
      <c r="G932" s="940"/>
      <c r="H932" s="940"/>
      <c r="I932" s="940"/>
      <c r="J932" s="940"/>
      <c r="K932" s="940"/>
      <c r="L932" s="940"/>
      <c r="M932" s="940"/>
    </row>
    <row r="933" spans="5:15" x14ac:dyDescent="0.25">
      <c r="F933" s="940"/>
      <c r="G933" s="940"/>
      <c r="H933" s="940"/>
      <c r="I933" s="940"/>
      <c r="J933" s="940"/>
      <c r="K933" s="940"/>
      <c r="L933" s="940"/>
      <c r="M933" s="940"/>
    </row>
    <row r="935" spans="5:15" x14ac:dyDescent="0.25">
      <c r="N935" s="940"/>
      <c r="O935" s="940"/>
    </row>
    <row r="936" spans="5:15" x14ac:dyDescent="0.25">
      <c r="N936" s="940"/>
      <c r="O936" s="940"/>
    </row>
    <row r="937" spans="5:15" x14ac:dyDescent="0.25">
      <c r="N937" s="940"/>
      <c r="O937" s="940"/>
    </row>
    <row r="938" spans="5:15" x14ac:dyDescent="0.25">
      <c r="E938" s="938"/>
      <c r="F938" s="940"/>
      <c r="G938" s="940"/>
      <c r="H938" s="940"/>
      <c r="I938" s="940"/>
      <c r="J938" s="940"/>
      <c r="K938" s="940"/>
      <c r="L938" s="940"/>
      <c r="M938" s="940"/>
    </row>
    <row r="939" spans="5:15" x14ac:dyDescent="0.25">
      <c r="F939" s="940"/>
      <c r="G939" s="940"/>
      <c r="H939" s="940"/>
      <c r="I939" s="940"/>
      <c r="J939" s="940"/>
      <c r="K939" s="940"/>
      <c r="L939" s="940"/>
      <c r="M939" s="940"/>
    </row>
    <row r="940" spans="5:15" x14ac:dyDescent="0.25">
      <c r="F940" s="940"/>
      <c r="G940" s="940"/>
      <c r="H940" s="940"/>
      <c r="I940" s="940"/>
      <c r="J940" s="940"/>
      <c r="K940" s="940"/>
      <c r="L940" s="940"/>
      <c r="M940" s="940"/>
    </row>
    <row r="942" spans="5:15" x14ac:dyDescent="0.25">
      <c r="N942" s="940"/>
      <c r="O942" s="940"/>
    </row>
    <row r="943" spans="5:15" x14ac:dyDescent="0.25">
      <c r="N943" s="940"/>
      <c r="O943" s="940"/>
    </row>
    <row r="944" spans="5:15" x14ac:dyDescent="0.25">
      <c r="N944" s="940"/>
      <c r="O944" s="940"/>
    </row>
    <row r="945" spans="5:15" x14ac:dyDescent="0.25">
      <c r="E945" s="938"/>
      <c r="F945" s="940"/>
      <c r="G945" s="940"/>
      <c r="H945" s="940"/>
      <c r="I945" s="940"/>
      <c r="J945" s="940"/>
      <c r="K945" s="940"/>
      <c r="L945" s="940"/>
      <c r="M945" s="940"/>
      <c r="N945" s="940"/>
      <c r="O945" s="940"/>
    </row>
    <row r="946" spans="5:15" x14ac:dyDescent="0.25">
      <c r="F946" s="940"/>
      <c r="G946" s="940"/>
      <c r="H946" s="940"/>
      <c r="I946" s="940"/>
      <c r="J946" s="940"/>
      <c r="K946" s="940"/>
      <c r="L946" s="940"/>
      <c r="M946" s="940"/>
    </row>
    <row r="947" spans="5:15" x14ac:dyDescent="0.25">
      <c r="F947" s="940"/>
      <c r="G947" s="940"/>
      <c r="H947" s="940"/>
      <c r="I947" s="940"/>
      <c r="J947" s="940"/>
      <c r="K947" s="940"/>
      <c r="L947" s="940"/>
      <c r="M947" s="940"/>
    </row>
    <row r="948" spans="5:15" x14ac:dyDescent="0.25">
      <c r="F948" s="937"/>
      <c r="G948" s="940"/>
      <c r="H948" s="940"/>
      <c r="I948" s="940"/>
      <c r="J948" s="940"/>
      <c r="K948" s="940"/>
      <c r="L948" s="940"/>
      <c r="M948" s="940"/>
    </row>
    <row r="949" spans="5:15" x14ac:dyDescent="0.25">
      <c r="N949" s="940"/>
      <c r="O949" s="940"/>
    </row>
    <row r="950" spans="5:15" x14ac:dyDescent="0.25">
      <c r="N950" s="940"/>
      <c r="O950" s="940"/>
    </row>
    <row r="951" spans="5:15" x14ac:dyDescent="0.25">
      <c r="N951" s="940"/>
      <c r="O951" s="940"/>
    </row>
    <row r="952" spans="5:15" x14ac:dyDescent="0.25">
      <c r="E952" s="938"/>
      <c r="F952" s="937"/>
      <c r="G952" s="940"/>
      <c r="H952" s="940"/>
      <c r="I952" s="940"/>
      <c r="J952" s="940"/>
      <c r="K952" s="940"/>
      <c r="L952" s="940"/>
      <c r="M952" s="940"/>
      <c r="N952" s="940"/>
      <c r="O952" s="940"/>
    </row>
    <row r="953" spans="5:15" x14ac:dyDescent="0.25">
      <c r="F953" s="937"/>
      <c r="G953" s="940"/>
      <c r="H953" s="940"/>
      <c r="I953" s="940"/>
      <c r="J953" s="940"/>
      <c r="K953" s="940"/>
      <c r="L953" s="940"/>
      <c r="M953" s="940"/>
    </row>
    <row r="954" spans="5:15" x14ac:dyDescent="0.25">
      <c r="F954" s="937"/>
      <c r="G954" s="940"/>
      <c r="H954" s="940"/>
      <c r="I954" s="940"/>
      <c r="J954" s="940"/>
      <c r="K954" s="940"/>
      <c r="L954" s="940"/>
      <c r="M954" s="940"/>
    </row>
    <row r="955" spans="5:15" x14ac:dyDescent="0.25">
      <c r="F955" s="937"/>
      <c r="G955" s="940"/>
      <c r="H955" s="940"/>
      <c r="I955" s="940"/>
      <c r="J955" s="940"/>
      <c r="K955" s="940"/>
      <c r="L955" s="940"/>
      <c r="M955" s="940"/>
    </row>
    <row r="969" spans="5:13" x14ac:dyDescent="0.25">
      <c r="E969" s="938"/>
      <c r="F969" s="934"/>
      <c r="G969" s="934"/>
      <c r="H969" s="938"/>
      <c r="I969" s="931"/>
      <c r="J969" s="939"/>
      <c r="K969" s="938"/>
      <c r="L969" s="931"/>
      <c r="M969" s="939"/>
    </row>
    <row r="970" spans="5:13" x14ac:dyDescent="0.25">
      <c r="E970" s="938"/>
      <c r="F970" s="934"/>
      <c r="G970" s="934"/>
      <c r="H970" s="938"/>
      <c r="I970" s="931"/>
      <c r="J970" s="939"/>
      <c r="K970" s="938"/>
      <c r="L970" s="931"/>
      <c r="M970" s="939"/>
    </row>
    <row r="971" spans="5:13" x14ac:dyDescent="0.25">
      <c r="E971" s="938"/>
      <c r="F971" s="934"/>
      <c r="G971" s="934"/>
      <c r="H971" s="938"/>
      <c r="I971" s="931"/>
      <c r="J971" s="939"/>
      <c r="K971" s="938"/>
      <c r="L971" s="931"/>
      <c r="M971" s="939"/>
    </row>
    <row r="972" spans="5:13" x14ac:dyDescent="0.25">
      <c r="F972" s="934"/>
      <c r="G972" s="934"/>
      <c r="H972" s="938"/>
      <c r="I972" s="931"/>
      <c r="J972" s="939"/>
      <c r="K972" s="938"/>
      <c r="L972" s="931"/>
      <c r="M972" s="939"/>
    </row>
    <row r="973" spans="5:13" x14ac:dyDescent="0.25">
      <c r="F973" s="929"/>
      <c r="G973" s="929"/>
      <c r="H973" s="939"/>
      <c r="I973" s="939"/>
      <c r="J973" s="939"/>
      <c r="K973" s="939"/>
      <c r="L973" s="939"/>
      <c r="M973" s="939"/>
    </row>
    <row r="980" spans="6:15" x14ac:dyDescent="0.25">
      <c r="F980" s="929"/>
      <c r="G980" s="929"/>
    </row>
    <row r="981" spans="6:15" x14ac:dyDescent="0.25">
      <c r="F981" s="929"/>
      <c r="G981" s="929"/>
    </row>
    <row r="986" spans="6:15" x14ac:dyDescent="0.25">
      <c r="F986" s="929"/>
      <c r="G986" s="929"/>
    </row>
    <row r="987" spans="6:15" x14ac:dyDescent="0.25">
      <c r="F987" s="929"/>
      <c r="G987" s="929"/>
    </row>
    <row r="992" spans="6:15" x14ac:dyDescent="0.25">
      <c r="N992" s="934"/>
      <c r="O992" s="934"/>
    </row>
    <row r="993" spans="5:16" x14ac:dyDescent="0.25">
      <c r="N993" s="934"/>
      <c r="O993" s="934"/>
    </row>
    <row r="994" spans="5:16" x14ac:dyDescent="0.25">
      <c r="N994" s="934"/>
      <c r="O994" s="934"/>
    </row>
    <row r="995" spans="5:16" x14ac:dyDescent="0.25">
      <c r="E995" s="936"/>
      <c r="F995" s="934"/>
      <c r="G995" s="934"/>
      <c r="H995" s="934"/>
      <c r="I995" s="934"/>
      <c r="J995" s="934"/>
      <c r="K995" s="934"/>
      <c r="L995" s="934"/>
      <c r="M995" s="934"/>
      <c r="N995" s="934"/>
      <c r="O995" s="934"/>
      <c r="P995" s="934"/>
    </row>
    <row r="996" spans="5:16" x14ac:dyDescent="0.25">
      <c r="E996" s="936"/>
      <c r="F996" s="934"/>
      <c r="G996" s="934"/>
      <c r="H996" s="934"/>
      <c r="I996" s="934"/>
      <c r="J996" s="934"/>
      <c r="K996" s="934"/>
      <c r="L996" s="934"/>
      <c r="M996" s="934"/>
    </row>
    <row r="997" spans="5:16" x14ac:dyDescent="0.25">
      <c r="E997" s="936"/>
      <c r="F997" s="934"/>
      <c r="G997" s="934"/>
      <c r="H997" s="934"/>
      <c r="I997" s="934"/>
      <c r="J997" s="934"/>
      <c r="K997" s="934"/>
      <c r="L997" s="934"/>
      <c r="M997" s="934"/>
    </row>
    <row r="998" spans="5:16" x14ac:dyDescent="0.25">
      <c r="E998" s="936"/>
      <c r="F998" s="934"/>
      <c r="G998" s="934"/>
      <c r="H998" s="934"/>
      <c r="I998" s="934"/>
      <c r="J998" s="934"/>
      <c r="K998" s="934"/>
      <c r="L998" s="934"/>
      <c r="M998" s="934"/>
    </row>
    <row r="1000" spans="5:16" x14ac:dyDescent="0.25">
      <c r="N1000" s="937"/>
      <c r="O1000" s="937"/>
    </row>
    <row r="1001" spans="5:16" x14ac:dyDescent="0.25">
      <c r="N1001" s="937"/>
      <c r="O1001" s="937"/>
    </row>
    <row r="1002" spans="5:16" x14ac:dyDescent="0.25">
      <c r="N1002" s="937"/>
      <c r="O1002" s="937"/>
    </row>
    <row r="1003" spans="5:16" x14ac:dyDescent="0.25">
      <c r="E1003" s="936"/>
      <c r="F1003" s="937"/>
      <c r="G1003" s="937"/>
      <c r="H1003" s="937"/>
      <c r="I1003" s="937"/>
      <c r="J1003" s="937"/>
      <c r="K1003" s="937"/>
      <c r="L1003" s="937"/>
      <c r="M1003" s="937"/>
      <c r="N1003" s="937"/>
      <c r="O1003" s="937"/>
    </row>
    <row r="1004" spans="5:16" x14ac:dyDescent="0.25">
      <c r="E1004" s="936"/>
      <c r="F1004" s="937"/>
      <c r="G1004" s="937"/>
      <c r="H1004" s="937"/>
      <c r="I1004" s="937"/>
      <c r="J1004" s="937"/>
      <c r="K1004" s="937"/>
      <c r="L1004" s="937"/>
      <c r="M1004" s="937"/>
      <c r="N1004" s="929"/>
      <c r="O1004" s="929"/>
    </row>
    <row r="1005" spans="5:16" x14ac:dyDescent="0.25">
      <c r="E1005" s="936"/>
      <c r="F1005" s="937"/>
      <c r="G1005" s="937"/>
      <c r="H1005" s="937"/>
      <c r="I1005" s="937"/>
      <c r="J1005" s="937"/>
      <c r="K1005" s="937"/>
      <c r="L1005" s="937"/>
      <c r="M1005" s="937"/>
    </row>
    <row r="1006" spans="5:16" x14ac:dyDescent="0.25">
      <c r="E1006" s="936"/>
      <c r="F1006" s="937"/>
      <c r="G1006" s="937"/>
      <c r="H1006" s="937"/>
      <c r="I1006" s="937"/>
      <c r="J1006" s="937"/>
      <c r="K1006" s="937"/>
      <c r="L1006" s="937"/>
      <c r="M1006" s="937"/>
    </row>
    <row r="1007" spans="5:16" x14ac:dyDescent="0.25">
      <c r="F1007" s="929"/>
      <c r="G1007" s="929"/>
      <c r="H1007" s="929"/>
      <c r="I1007" s="929"/>
      <c r="J1007" s="929"/>
      <c r="K1007" s="929"/>
      <c r="L1007" s="929"/>
      <c r="M1007" s="929"/>
    </row>
    <row r="1009" spans="5:15" x14ac:dyDescent="0.25">
      <c r="N1009" s="932"/>
      <c r="O1009" s="932"/>
    </row>
    <row r="1010" spans="5:15" x14ac:dyDescent="0.25">
      <c r="N1010" s="932"/>
      <c r="O1010" s="932"/>
    </row>
    <row r="1011" spans="5:15" x14ac:dyDescent="0.25">
      <c r="N1011" s="932"/>
      <c r="O1011" s="932"/>
    </row>
    <row r="1012" spans="5:15" x14ac:dyDescent="0.25">
      <c r="E1012" s="938"/>
      <c r="F1012" s="932"/>
      <c r="G1012" s="932"/>
      <c r="H1012" s="932"/>
      <c r="I1012" s="932"/>
      <c r="J1012" s="932"/>
      <c r="K1012" s="932"/>
      <c r="L1012" s="932"/>
      <c r="M1012" s="932"/>
      <c r="N1012" s="932"/>
      <c r="O1012" s="932"/>
    </row>
    <row r="1013" spans="5:15" x14ac:dyDescent="0.25">
      <c r="E1013" s="938"/>
      <c r="F1013" s="932"/>
      <c r="G1013" s="932"/>
      <c r="H1013" s="932"/>
      <c r="I1013" s="932"/>
      <c r="J1013" s="932"/>
      <c r="K1013" s="932"/>
      <c r="L1013" s="932"/>
      <c r="M1013" s="932"/>
      <c r="N1013" s="932"/>
      <c r="O1013" s="932"/>
    </row>
    <row r="1014" spans="5:15" x14ac:dyDescent="0.25">
      <c r="E1014" s="938"/>
      <c r="F1014" s="932"/>
      <c r="G1014" s="932"/>
      <c r="H1014" s="932"/>
      <c r="I1014" s="932"/>
      <c r="J1014" s="932"/>
      <c r="K1014" s="932"/>
      <c r="L1014" s="932"/>
      <c r="M1014" s="932"/>
    </row>
    <row r="1015" spans="5:15" x14ac:dyDescent="0.25">
      <c r="E1015" s="938"/>
      <c r="F1015" s="932"/>
      <c r="G1015" s="932"/>
      <c r="H1015" s="932"/>
      <c r="I1015" s="932"/>
      <c r="J1015" s="932"/>
      <c r="K1015" s="932"/>
      <c r="L1015" s="932"/>
      <c r="M1015" s="932"/>
    </row>
    <row r="1016" spans="5:15" x14ac:dyDescent="0.25">
      <c r="F1016" s="932"/>
      <c r="G1016" s="932"/>
      <c r="H1016" s="932"/>
      <c r="I1016" s="932"/>
      <c r="J1016" s="932"/>
      <c r="K1016" s="932"/>
      <c r="L1016" s="932"/>
      <c r="M1016" s="932"/>
    </row>
    <row r="1017" spans="5:15" x14ac:dyDescent="0.25">
      <c r="F1017" s="929"/>
      <c r="G1017" s="929"/>
      <c r="H1017" s="929"/>
      <c r="I1017" s="929"/>
    </row>
    <row r="1018" spans="5:15" x14ac:dyDescent="0.25">
      <c r="N1018" s="937"/>
      <c r="O1018" s="937"/>
    </row>
    <row r="1019" spans="5:15" x14ac:dyDescent="0.25">
      <c r="N1019" s="937"/>
      <c r="O1019" s="937"/>
    </row>
    <row r="1020" spans="5:15" x14ac:dyDescent="0.25">
      <c r="N1020" s="937"/>
      <c r="O1020" s="937"/>
    </row>
    <row r="1021" spans="5:15" x14ac:dyDescent="0.25">
      <c r="E1021" s="936"/>
      <c r="F1021" s="937"/>
      <c r="G1021" s="937"/>
      <c r="H1021" s="937"/>
      <c r="I1021" s="937"/>
      <c r="J1021" s="937"/>
      <c r="K1021" s="937"/>
      <c r="L1021" s="937"/>
      <c r="M1021" s="937"/>
      <c r="N1021" s="937"/>
      <c r="O1021" s="937"/>
    </row>
    <row r="1022" spans="5:15" x14ac:dyDescent="0.25">
      <c r="E1022" s="936"/>
      <c r="F1022" s="937"/>
      <c r="G1022" s="937"/>
      <c r="H1022" s="937"/>
      <c r="I1022" s="937"/>
      <c r="J1022" s="937"/>
      <c r="K1022" s="937"/>
      <c r="L1022" s="937"/>
      <c r="M1022" s="937"/>
      <c r="N1022" s="929"/>
      <c r="O1022" s="929"/>
    </row>
    <row r="1023" spans="5:15" x14ac:dyDescent="0.25">
      <c r="E1023" s="936"/>
      <c r="F1023" s="937"/>
      <c r="G1023" s="937"/>
      <c r="H1023" s="937"/>
      <c r="I1023" s="937"/>
      <c r="J1023" s="937"/>
      <c r="K1023" s="937"/>
      <c r="L1023" s="937"/>
      <c r="M1023" s="937"/>
    </row>
    <row r="1024" spans="5:15" x14ac:dyDescent="0.25">
      <c r="E1024" s="936"/>
      <c r="F1024" s="937"/>
      <c r="G1024" s="937"/>
      <c r="H1024" s="937"/>
      <c r="I1024" s="937"/>
      <c r="J1024" s="937"/>
      <c r="K1024" s="937"/>
      <c r="L1024" s="937"/>
      <c r="M1024" s="937"/>
    </row>
    <row r="1025" spans="5:16" x14ac:dyDescent="0.25">
      <c r="F1025" s="929"/>
      <c r="G1025" s="929"/>
      <c r="H1025" s="929"/>
      <c r="I1025" s="929"/>
      <c r="J1025" s="929"/>
      <c r="K1025" s="929"/>
      <c r="L1025" s="929"/>
      <c r="M1025" s="929"/>
    </row>
    <row r="1026" spans="5:16" x14ac:dyDescent="0.25">
      <c r="N1026" s="937"/>
      <c r="O1026" s="937"/>
    </row>
    <row r="1027" spans="5:16" x14ac:dyDescent="0.25">
      <c r="N1027" s="937"/>
      <c r="O1027" s="937"/>
    </row>
    <row r="1028" spans="5:16" x14ac:dyDescent="0.25">
      <c r="N1028" s="937"/>
      <c r="O1028" s="937"/>
    </row>
    <row r="1029" spans="5:16" x14ac:dyDescent="0.25">
      <c r="E1029" s="936"/>
      <c r="F1029" s="937"/>
      <c r="G1029" s="937"/>
      <c r="H1029" s="937"/>
      <c r="I1029" s="937"/>
      <c r="J1029" s="937"/>
      <c r="K1029" s="937"/>
      <c r="L1029" s="937"/>
      <c r="M1029" s="937"/>
      <c r="N1029" s="937"/>
      <c r="O1029" s="937"/>
    </row>
    <row r="1030" spans="5:16" x14ac:dyDescent="0.25">
      <c r="E1030" s="936"/>
      <c r="F1030" s="937"/>
      <c r="G1030" s="937"/>
      <c r="H1030" s="937"/>
      <c r="I1030" s="937"/>
      <c r="J1030" s="937"/>
      <c r="K1030" s="937"/>
      <c r="L1030" s="937"/>
      <c r="M1030" s="937"/>
      <c r="N1030" s="929"/>
      <c r="O1030" s="929"/>
    </row>
    <row r="1031" spans="5:16" x14ac:dyDescent="0.25">
      <c r="E1031" s="936"/>
      <c r="F1031" s="937"/>
      <c r="G1031" s="937"/>
      <c r="H1031" s="937"/>
      <c r="I1031" s="937"/>
      <c r="J1031" s="937"/>
      <c r="K1031" s="937"/>
      <c r="L1031" s="937"/>
      <c r="M1031" s="937"/>
    </row>
    <row r="1032" spans="5:16" x14ac:dyDescent="0.25">
      <c r="E1032" s="936"/>
      <c r="F1032" s="937"/>
      <c r="G1032" s="937"/>
      <c r="H1032" s="937"/>
      <c r="I1032" s="937"/>
      <c r="J1032" s="937"/>
      <c r="K1032" s="937"/>
      <c r="L1032" s="937"/>
      <c r="M1032" s="937"/>
    </row>
    <row r="1033" spans="5:16" x14ac:dyDescent="0.25">
      <c r="F1033" s="929"/>
      <c r="G1033" s="929"/>
      <c r="H1033" s="929"/>
      <c r="I1033" s="929"/>
      <c r="J1033" s="929"/>
      <c r="K1033" s="929"/>
      <c r="L1033" s="929"/>
      <c r="M1033" s="929"/>
    </row>
    <row r="1038" spans="5:16" x14ac:dyDescent="0.25">
      <c r="E1038" s="936"/>
      <c r="F1038" s="934"/>
      <c r="G1038" s="934"/>
      <c r="H1038" s="934"/>
      <c r="I1038" s="934"/>
      <c r="P1038" s="934"/>
    </row>
    <row r="1039" spans="5:16" x14ac:dyDescent="0.25">
      <c r="E1039" s="936"/>
      <c r="F1039" s="934"/>
      <c r="G1039" s="934"/>
      <c r="H1039" s="934"/>
      <c r="I1039" s="934"/>
    </row>
    <row r="1040" spans="5:16" x14ac:dyDescent="0.25">
      <c r="E1040" s="936"/>
      <c r="F1040" s="934"/>
      <c r="G1040" s="934"/>
      <c r="H1040" s="934"/>
      <c r="I1040" s="934"/>
    </row>
    <row r="1041" spans="5:15" x14ac:dyDescent="0.25">
      <c r="E1041" s="936"/>
      <c r="F1041" s="934"/>
      <c r="G1041" s="934"/>
      <c r="H1041" s="934"/>
      <c r="I1041" s="934"/>
    </row>
    <row r="1051" spans="5:15" x14ac:dyDescent="0.25">
      <c r="N1051" s="929"/>
      <c r="O1051" s="929"/>
    </row>
    <row r="1052" spans="5:15" x14ac:dyDescent="0.25">
      <c r="N1052" s="929"/>
      <c r="O1052" s="929"/>
    </row>
    <row r="1053" spans="5:15" x14ac:dyDescent="0.25">
      <c r="N1053" s="929"/>
      <c r="O1053" s="929"/>
    </row>
    <row r="1054" spans="5:15" x14ac:dyDescent="0.25">
      <c r="E1054" s="931"/>
      <c r="F1054" s="929"/>
      <c r="G1054" s="929"/>
      <c r="H1054" s="929"/>
      <c r="I1054" s="929"/>
      <c r="J1054" s="929"/>
      <c r="K1054" s="929"/>
      <c r="L1054" s="929"/>
      <c r="M1054" s="929"/>
      <c r="N1054" s="929"/>
      <c r="O1054" s="929"/>
    </row>
    <row r="1055" spans="5:15" x14ac:dyDescent="0.25">
      <c r="E1055" s="931"/>
      <c r="F1055" s="929"/>
      <c r="G1055" s="929"/>
      <c r="H1055" s="929"/>
      <c r="I1055" s="929"/>
      <c r="J1055" s="929"/>
      <c r="K1055" s="929"/>
      <c r="L1055" s="929"/>
      <c r="M1055" s="929"/>
      <c r="N1055" s="929"/>
      <c r="O1055" s="929"/>
    </row>
    <row r="1056" spans="5:15" x14ac:dyDescent="0.25">
      <c r="E1056" s="931"/>
      <c r="F1056" s="929"/>
      <c r="G1056" s="929"/>
      <c r="H1056" s="929"/>
      <c r="I1056" s="929"/>
      <c r="J1056" s="929"/>
      <c r="K1056" s="929"/>
      <c r="L1056" s="929"/>
      <c r="M1056" s="929"/>
      <c r="N1056" s="929"/>
      <c r="O1056" s="929"/>
    </row>
    <row r="1057" spans="5:15" x14ac:dyDescent="0.25">
      <c r="E1057" s="931"/>
      <c r="F1057" s="929"/>
      <c r="G1057" s="929"/>
      <c r="H1057" s="929"/>
      <c r="I1057" s="929"/>
      <c r="J1057" s="929"/>
      <c r="K1057" s="929"/>
      <c r="L1057" s="929"/>
      <c r="M1057" s="929"/>
      <c r="N1057" s="929"/>
      <c r="O1057" s="929"/>
    </row>
    <row r="1058" spans="5:15" x14ac:dyDescent="0.25">
      <c r="F1058" s="929"/>
      <c r="G1058" s="929"/>
      <c r="H1058" s="929"/>
      <c r="I1058" s="929"/>
      <c r="J1058" s="929"/>
      <c r="K1058" s="929"/>
      <c r="L1058" s="929"/>
      <c r="M1058" s="929"/>
      <c r="N1058" s="929"/>
      <c r="O1058" s="929"/>
    </row>
    <row r="1059" spans="5:15" x14ac:dyDescent="0.25">
      <c r="F1059" s="929"/>
      <c r="G1059" s="929"/>
      <c r="H1059" s="929"/>
      <c r="I1059" s="929"/>
      <c r="J1059" s="929"/>
      <c r="K1059" s="929"/>
      <c r="L1059" s="929"/>
      <c r="M1059" s="929"/>
      <c r="N1059" s="929"/>
      <c r="O1059" s="929"/>
    </row>
    <row r="1060" spans="5:15" x14ac:dyDescent="0.25">
      <c r="F1060" s="929"/>
      <c r="G1060" s="929"/>
      <c r="H1060" s="929"/>
      <c r="I1060" s="929"/>
      <c r="J1060" s="929"/>
      <c r="K1060" s="929"/>
      <c r="L1060" s="929"/>
      <c r="M1060" s="929"/>
      <c r="N1060" s="929"/>
      <c r="O1060" s="929"/>
    </row>
    <row r="1061" spans="5:15" x14ac:dyDescent="0.25">
      <c r="F1061" s="929"/>
      <c r="G1061" s="929"/>
      <c r="H1061" s="929"/>
      <c r="I1061" s="929"/>
      <c r="J1061" s="929"/>
      <c r="K1061" s="929"/>
      <c r="L1061" s="929"/>
      <c r="M1061" s="929"/>
      <c r="N1061" s="929"/>
      <c r="O1061" s="929"/>
    </row>
    <row r="1062" spans="5:15" x14ac:dyDescent="0.25">
      <c r="F1062" s="929"/>
      <c r="G1062" s="929"/>
      <c r="H1062" s="929"/>
      <c r="I1062" s="929"/>
      <c r="J1062" s="929"/>
      <c r="K1062" s="929"/>
      <c r="L1062" s="929"/>
      <c r="M1062" s="929"/>
      <c r="N1062" s="929"/>
      <c r="O1062" s="929"/>
    </row>
    <row r="1063" spans="5:15" x14ac:dyDescent="0.25">
      <c r="F1063" s="929"/>
      <c r="G1063" s="929"/>
      <c r="H1063" s="929"/>
      <c r="I1063" s="929"/>
      <c r="J1063" s="929"/>
      <c r="K1063" s="929"/>
      <c r="L1063" s="929"/>
      <c r="M1063" s="929"/>
      <c r="N1063" s="929"/>
      <c r="O1063" s="929"/>
    </row>
    <row r="1064" spans="5:15" x14ac:dyDescent="0.25">
      <c r="F1064" s="929"/>
      <c r="G1064" s="929"/>
      <c r="H1064" s="929"/>
      <c r="I1064" s="929"/>
      <c r="J1064" s="929"/>
      <c r="K1064" s="929"/>
      <c r="L1064" s="929"/>
      <c r="M1064" s="929"/>
      <c r="N1064" s="929"/>
      <c r="O1064" s="929"/>
    </row>
    <row r="1065" spans="5:15" x14ac:dyDescent="0.25">
      <c r="F1065" s="929"/>
      <c r="G1065" s="929"/>
      <c r="H1065" s="929"/>
      <c r="I1065" s="929"/>
      <c r="J1065" s="929"/>
      <c r="K1065" s="929"/>
      <c r="L1065" s="929"/>
      <c r="M1065" s="929"/>
      <c r="N1065" s="929"/>
      <c r="O1065" s="929"/>
    </row>
    <row r="1066" spans="5:15" x14ac:dyDescent="0.25">
      <c r="F1066" s="929"/>
      <c r="G1066" s="929"/>
      <c r="H1066" s="929"/>
      <c r="I1066" s="929"/>
      <c r="J1066" s="929"/>
      <c r="K1066" s="929"/>
      <c r="L1066" s="929"/>
      <c r="M1066" s="929"/>
      <c r="N1066" s="929"/>
      <c r="O1066" s="929"/>
    </row>
    <row r="1067" spans="5:15" x14ac:dyDescent="0.25">
      <c r="F1067" s="929"/>
      <c r="G1067" s="929"/>
      <c r="H1067" s="929"/>
      <c r="I1067" s="929"/>
      <c r="J1067" s="929"/>
      <c r="K1067" s="929"/>
      <c r="L1067" s="929"/>
      <c r="M1067" s="929"/>
      <c r="N1067" s="929"/>
      <c r="O1067" s="929"/>
    </row>
    <row r="1068" spans="5:15" x14ac:dyDescent="0.25">
      <c r="F1068" s="929"/>
      <c r="G1068" s="929"/>
      <c r="H1068" s="929"/>
      <c r="I1068" s="929"/>
      <c r="J1068" s="929"/>
      <c r="K1068" s="929"/>
      <c r="L1068" s="929"/>
      <c r="M1068" s="929"/>
      <c r="N1068" s="929"/>
      <c r="O1068" s="929"/>
    </row>
    <row r="1069" spans="5:15" x14ac:dyDescent="0.25">
      <c r="F1069" s="929"/>
      <c r="G1069" s="929"/>
      <c r="H1069" s="929"/>
      <c r="I1069" s="929"/>
      <c r="J1069" s="929"/>
      <c r="K1069" s="929"/>
      <c r="L1069" s="929"/>
      <c r="M1069" s="929"/>
      <c r="N1069" s="929"/>
      <c r="O1069" s="929"/>
    </row>
    <row r="1070" spans="5:15" x14ac:dyDescent="0.25">
      <c r="F1070" s="929"/>
      <c r="G1070" s="929"/>
      <c r="H1070" s="929"/>
      <c r="I1070" s="929"/>
      <c r="J1070" s="929"/>
      <c r="K1070" s="929"/>
      <c r="L1070" s="929"/>
      <c r="M1070" s="929"/>
      <c r="N1070" s="929"/>
      <c r="O1070" s="929"/>
    </row>
    <row r="1071" spans="5:15" x14ac:dyDescent="0.25">
      <c r="F1071" s="929"/>
      <c r="G1071" s="929"/>
      <c r="H1071" s="929"/>
      <c r="I1071" s="929"/>
      <c r="J1071" s="929"/>
      <c r="K1071" s="929"/>
      <c r="L1071" s="929"/>
      <c r="M1071" s="929"/>
      <c r="N1071" s="929"/>
      <c r="O1071" s="929"/>
    </row>
    <row r="1072" spans="5:15" x14ac:dyDescent="0.25">
      <c r="F1072" s="929"/>
      <c r="G1072" s="929"/>
      <c r="H1072" s="929"/>
      <c r="I1072" s="929"/>
      <c r="J1072" s="929"/>
      <c r="K1072" s="929"/>
      <c r="L1072" s="929"/>
      <c r="M1072" s="929"/>
      <c r="N1072" s="929"/>
      <c r="O1072" s="929"/>
    </row>
    <row r="1073" spans="6:15" x14ac:dyDescent="0.25">
      <c r="F1073" s="929"/>
      <c r="G1073" s="929"/>
      <c r="H1073" s="929"/>
      <c r="I1073" s="929"/>
      <c r="J1073" s="929"/>
      <c r="K1073" s="929"/>
      <c r="L1073" s="929"/>
      <c r="M1073" s="929"/>
      <c r="N1073" s="929"/>
      <c r="O1073" s="929"/>
    </row>
    <row r="1074" spans="6:15" x14ac:dyDescent="0.25">
      <c r="F1074" s="929"/>
      <c r="G1074" s="929"/>
      <c r="H1074" s="929"/>
      <c r="I1074" s="929"/>
      <c r="J1074" s="929"/>
      <c r="K1074" s="929"/>
      <c r="L1074" s="929"/>
      <c r="M1074" s="929"/>
      <c r="N1074" s="929"/>
      <c r="O1074" s="929"/>
    </row>
    <row r="1075" spans="6:15" x14ac:dyDescent="0.25">
      <c r="F1075" s="929"/>
      <c r="G1075" s="929"/>
      <c r="H1075" s="929"/>
      <c r="I1075" s="929"/>
      <c r="J1075" s="929"/>
      <c r="K1075" s="929"/>
      <c r="L1075" s="929"/>
      <c r="M1075" s="929"/>
      <c r="N1075" s="929"/>
      <c r="O1075" s="929"/>
    </row>
    <row r="1076" spans="6:15" x14ac:dyDescent="0.25">
      <c r="F1076" s="929"/>
      <c r="G1076" s="929"/>
      <c r="H1076" s="929"/>
      <c r="I1076" s="929"/>
      <c r="J1076" s="929"/>
      <c r="K1076" s="929"/>
      <c r="L1076" s="929"/>
      <c r="M1076" s="929"/>
      <c r="N1076" s="929"/>
      <c r="O1076" s="929"/>
    </row>
    <row r="1077" spans="6:15" x14ac:dyDescent="0.25">
      <c r="F1077" s="929"/>
      <c r="G1077" s="929"/>
      <c r="H1077" s="929"/>
      <c r="I1077" s="929"/>
      <c r="J1077" s="929"/>
      <c r="K1077" s="929"/>
      <c r="L1077" s="929"/>
      <c r="M1077" s="929"/>
      <c r="N1077" s="929"/>
      <c r="O1077" s="929"/>
    </row>
    <row r="1078" spans="6:15" x14ac:dyDescent="0.25">
      <c r="F1078" s="929"/>
      <c r="G1078" s="929"/>
      <c r="H1078" s="929"/>
      <c r="I1078" s="929"/>
      <c r="J1078" s="929"/>
      <c r="K1078" s="929"/>
      <c r="L1078" s="929"/>
      <c r="M1078" s="929"/>
      <c r="N1078" s="929"/>
      <c r="O1078" s="929"/>
    </row>
    <row r="1079" spans="6:15" x14ac:dyDescent="0.25">
      <c r="F1079" s="929"/>
      <c r="G1079" s="929"/>
      <c r="H1079" s="929"/>
      <c r="I1079" s="929"/>
      <c r="J1079" s="929"/>
      <c r="K1079" s="929"/>
      <c r="L1079" s="929"/>
      <c r="M1079" s="929"/>
      <c r="N1079" s="929"/>
      <c r="O1079" s="929"/>
    </row>
    <row r="1080" spans="6:15" x14ac:dyDescent="0.25">
      <c r="F1080" s="929"/>
      <c r="G1080" s="929"/>
      <c r="H1080" s="929"/>
      <c r="I1080" s="929"/>
      <c r="J1080" s="929"/>
      <c r="K1080" s="929"/>
      <c r="L1080" s="929"/>
      <c r="M1080" s="929"/>
      <c r="N1080" s="929"/>
      <c r="O1080" s="929"/>
    </row>
    <row r="1081" spans="6:15" x14ac:dyDescent="0.25">
      <c r="F1081" s="929"/>
      <c r="G1081" s="929"/>
      <c r="H1081" s="929"/>
      <c r="I1081" s="929"/>
      <c r="J1081" s="929"/>
      <c r="K1081" s="929"/>
      <c r="L1081" s="929"/>
      <c r="M1081" s="929"/>
      <c r="N1081" s="929"/>
      <c r="O1081" s="929"/>
    </row>
    <row r="1082" spans="6:15" x14ac:dyDescent="0.25">
      <c r="F1082" s="929"/>
      <c r="G1082" s="929"/>
      <c r="H1082" s="929"/>
      <c r="I1082" s="929"/>
      <c r="J1082" s="929"/>
      <c r="K1082" s="929"/>
      <c r="L1082" s="929"/>
      <c r="M1082" s="929"/>
      <c r="N1082" s="929"/>
      <c r="O1082" s="929"/>
    </row>
    <row r="1083" spans="6:15" x14ac:dyDescent="0.25">
      <c r="F1083" s="929"/>
      <c r="G1083" s="929"/>
      <c r="H1083" s="929"/>
      <c r="I1083" s="929"/>
      <c r="J1083" s="929"/>
      <c r="K1083" s="929"/>
      <c r="L1083" s="929"/>
      <c r="M1083" s="929"/>
      <c r="N1083" s="929"/>
      <c r="O1083" s="929"/>
    </row>
    <row r="1084" spans="6:15" x14ac:dyDescent="0.25">
      <c r="F1084" s="929"/>
      <c r="G1084" s="929"/>
      <c r="H1084" s="929"/>
      <c r="I1084" s="929"/>
      <c r="J1084" s="929"/>
      <c r="K1084" s="929"/>
      <c r="L1084" s="929"/>
      <c r="M1084" s="929"/>
      <c r="N1084" s="929"/>
      <c r="O1084" s="929"/>
    </row>
    <row r="1085" spans="6:15" x14ac:dyDescent="0.25">
      <c r="F1085" s="929"/>
      <c r="G1085" s="929"/>
      <c r="H1085" s="929"/>
      <c r="I1085" s="929"/>
      <c r="J1085" s="929"/>
      <c r="K1085" s="929"/>
      <c r="L1085" s="929"/>
      <c r="M1085" s="929"/>
      <c r="N1085" s="929"/>
      <c r="O1085" s="929"/>
    </row>
    <row r="1086" spans="6:15" x14ac:dyDescent="0.25">
      <c r="F1086" s="929"/>
      <c r="G1086" s="929"/>
      <c r="H1086" s="929"/>
      <c r="I1086" s="929"/>
      <c r="J1086" s="929"/>
      <c r="K1086" s="929"/>
      <c r="L1086" s="929"/>
      <c r="M1086" s="929"/>
      <c r="N1086" s="929"/>
      <c r="O1086" s="929"/>
    </row>
    <row r="1087" spans="6:15" x14ac:dyDescent="0.25">
      <c r="F1087" s="929"/>
      <c r="G1087" s="929"/>
      <c r="H1087" s="929"/>
      <c r="I1087" s="929"/>
      <c r="J1087" s="929"/>
      <c r="K1087" s="929"/>
      <c r="L1087" s="929"/>
      <c r="M1087" s="929"/>
      <c r="N1087" s="929"/>
      <c r="O1087" s="929"/>
    </row>
    <row r="1088" spans="6:15" x14ac:dyDescent="0.25">
      <c r="F1088" s="929"/>
      <c r="G1088" s="929"/>
      <c r="H1088" s="929"/>
      <c r="I1088" s="929"/>
      <c r="J1088" s="929"/>
      <c r="K1088" s="929"/>
      <c r="L1088" s="929"/>
      <c r="M1088" s="929"/>
      <c r="N1088" s="929"/>
      <c r="O1088" s="929"/>
    </row>
    <row r="1089" spans="5:15" x14ac:dyDescent="0.25">
      <c r="F1089" s="929"/>
      <c r="G1089" s="929"/>
      <c r="H1089" s="929"/>
      <c r="I1089" s="929"/>
      <c r="J1089" s="929"/>
      <c r="K1089" s="929"/>
      <c r="L1089" s="929"/>
      <c r="M1089" s="929"/>
      <c r="N1089" s="929"/>
      <c r="O1089" s="929"/>
    </row>
    <row r="1090" spans="5:15" x14ac:dyDescent="0.25">
      <c r="F1090" s="929"/>
      <c r="G1090" s="929"/>
      <c r="H1090" s="929"/>
      <c r="I1090" s="929"/>
      <c r="J1090" s="929"/>
      <c r="K1090" s="929"/>
      <c r="L1090" s="929"/>
      <c r="M1090" s="929"/>
      <c r="N1090" s="929"/>
      <c r="O1090" s="929"/>
    </row>
    <row r="1091" spans="5:15" x14ac:dyDescent="0.25">
      <c r="F1091" s="929"/>
      <c r="G1091" s="929"/>
      <c r="H1091" s="929"/>
      <c r="I1091" s="929"/>
      <c r="J1091" s="929"/>
      <c r="K1091" s="929"/>
      <c r="L1091" s="929"/>
      <c r="M1091" s="929"/>
      <c r="N1091" s="929"/>
      <c r="O1091" s="929"/>
    </row>
    <row r="1092" spans="5:15" x14ac:dyDescent="0.25">
      <c r="F1092" s="929"/>
      <c r="G1092" s="929"/>
      <c r="H1092" s="929"/>
      <c r="I1092" s="929"/>
      <c r="J1092" s="929"/>
      <c r="K1092" s="929"/>
      <c r="L1092" s="929"/>
      <c r="M1092" s="929"/>
      <c r="N1092" s="929"/>
      <c r="O1092" s="929"/>
    </row>
    <row r="1093" spans="5:15" x14ac:dyDescent="0.25">
      <c r="F1093" s="929"/>
      <c r="G1093" s="929"/>
      <c r="H1093" s="929"/>
      <c r="I1093" s="929"/>
      <c r="J1093" s="929"/>
      <c r="K1093" s="929"/>
      <c r="L1093" s="929"/>
      <c r="M1093" s="929"/>
      <c r="N1093" s="929"/>
      <c r="O1093" s="929"/>
    </row>
    <row r="1094" spans="5:15" x14ac:dyDescent="0.25">
      <c r="F1094" s="929"/>
      <c r="G1094" s="929"/>
      <c r="H1094" s="929"/>
      <c r="I1094" s="929"/>
      <c r="J1094" s="929"/>
      <c r="K1094" s="929"/>
      <c r="L1094" s="929"/>
      <c r="M1094" s="929"/>
      <c r="N1094" s="929"/>
      <c r="O1094" s="929"/>
    </row>
    <row r="1095" spans="5:15" x14ac:dyDescent="0.25">
      <c r="F1095" s="929"/>
      <c r="G1095" s="929"/>
      <c r="H1095" s="929"/>
      <c r="I1095" s="929"/>
      <c r="J1095" s="929"/>
      <c r="K1095" s="929"/>
      <c r="L1095" s="929"/>
      <c r="M1095" s="929"/>
      <c r="N1095" s="929"/>
      <c r="O1095" s="929"/>
    </row>
    <row r="1096" spans="5:15" x14ac:dyDescent="0.25">
      <c r="F1096" s="929"/>
      <c r="G1096" s="929"/>
      <c r="H1096" s="929"/>
      <c r="I1096" s="929"/>
      <c r="J1096" s="929"/>
      <c r="K1096" s="929"/>
      <c r="L1096" s="929"/>
      <c r="M1096" s="929"/>
      <c r="N1096" s="929"/>
      <c r="O1096" s="929"/>
    </row>
    <row r="1097" spans="5:15" x14ac:dyDescent="0.25">
      <c r="F1097" s="929"/>
      <c r="G1097" s="929"/>
      <c r="H1097" s="929"/>
      <c r="I1097" s="929"/>
      <c r="J1097" s="929"/>
      <c r="K1097" s="929"/>
      <c r="L1097" s="929"/>
      <c r="M1097" s="929"/>
      <c r="O1097" s="929"/>
    </row>
    <row r="1098" spans="5:15" x14ac:dyDescent="0.25">
      <c r="F1098" s="929"/>
      <c r="G1098" s="929"/>
      <c r="H1098" s="929"/>
      <c r="I1098" s="929"/>
      <c r="J1098" s="929"/>
      <c r="K1098" s="929"/>
      <c r="L1098" s="929"/>
      <c r="M1098" s="929"/>
    </row>
    <row r="1099" spans="5:15" x14ac:dyDescent="0.25">
      <c r="F1099" s="929"/>
      <c r="G1099" s="929"/>
      <c r="H1099" s="929"/>
      <c r="I1099" s="929"/>
      <c r="J1099" s="929"/>
      <c r="K1099" s="929"/>
      <c r="L1099" s="929"/>
      <c r="M1099" s="929"/>
    </row>
    <row r="1100" spans="5:15" x14ac:dyDescent="0.25">
      <c r="N1100" s="929"/>
      <c r="O1100" s="929"/>
    </row>
    <row r="1101" spans="5:15" x14ac:dyDescent="0.25">
      <c r="N1101" s="929"/>
      <c r="O1101" s="929"/>
    </row>
    <row r="1102" spans="5:15" x14ac:dyDescent="0.25">
      <c r="N1102" s="929"/>
      <c r="O1102" s="929"/>
    </row>
    <row r="1103" spans="5:15" x14ac:dyDescent="0.25">
      <c r="E1103" s="931"/>
      <c r="F1103" s="929"/>
      <c r="G1103" s="929"/>
      <c r="H1103" s="929"/>
      <c r="I1103" s="929"/>
      <c r="J1103" s="929"/>
      <c r="K1103" s="929"/>
      <c r="L1103" s="929"/>
      <c r="M1103" s="929"/>
      <c r="N1103" s="929"/>
      <c r="O1103" s="929"/>
    </row>
    <row r="1104" spans="5:15" x14ac:dyDescent="0.25">
      <c r="E1104" s="931"/>
      <c r="F1104" s="929"/>
      <c r="G1104" s="929"/>
      <c r="H1104" s="929"/>
      <c r="I1104" s="929"/>
      <c r="J1104" s="929"/>
      <c r="K1104" s="929"/>
      <c r="L1104" s="929"/>
      <c r="M1104" s="929"/>
      <c r="N1104" s="929"/>
      <c r="O1104" s="929"/>
    </row>
    <row r="1105" spans="5:15" x14ac:dyDescent="0.25">
      <c r="E1105" s="931"/>
      <c r="F1105" s="929"/>
      <c r="G1105" s="929"/>
      <c r="H1105" s="929"/>
      <c r="I1105" s="929"/>
      <c r="J1105" s="929"/>
      <c r="K1105" s="929"/>
      <c r="L1105" s="929"/>
      <c r="M1105" s="929"/>
    </row>
    <row r="1106" spans="5:15" x14ac:dyDescent="0.25">
      <c r="E1106" s="931"/>
      <c r="F1106" s="929"/>
      <c r="G1106" s="929"/>
      <c r="H1106" s="929"/>
      <c r="I1106" s="929"/>
      <c r="J1106" s="929"/>
      <c r="K1106" s="929"/>
      <c r="L1106" s="929"/>
      <c r="M1106" s="929"/>
    </row>
    <row r="1107" spans="5:15" x14ac:dyDescent="0.25">
      <c r="E1107" s="931"/>
      <c r="F1107" s="929"/>
      <c r="G1107" s="929"/>
      <c r="H1107" s="929"/>
      <c r="I1107" s="929"/>
      <c r="J1107" s="929"/>
      <c r="K1107" s="929"/>
      <c r="L1107" s="929"/>
      <c r="M1107" s="929"/>
      <c r="N1107" s="929"/>
      <c r="O1107" s="929"/>
    </row>
    <row r="1108" spans="5:15" x14ac:dyDescent="0.25">
      <c r="N1108" s="929"/>
      <c r="O1108" s="929"/>
    </row>
    <row r="1109" spans="5:15" x14ac:dyDescent="0.25">
      <c r="N1109" s="929"/>
      <c r="O1109" s="929"/>
    </row>
    <row r="1110" spans="5:15" x14ac:dyDescent="0.25">
      <c r="E1110" s="931"/>
      <c r="F1110" s="929"/>
      <c r="G1110" s="929"/>
      <c r="H1110" s="929"/>
      <c r="I1110" s="929"/>
      <c r="J1110" s="929"/>
      <c r="K1110" s="929"/>
      <c r="L1110" s="929"/>
      <c r="M1110" s="929"/>
      <c r="N1110" s="929"/>
      <c r="O1110" s="929"/>
    </row>
    <row r="1111" spans="5:15" x14ac:dyDescent="0.25">
      <c r="E1111" s="931"/>
      <c r="F1111" s="929"/>
      <c r="G1111" s="929"/>
      <c r="H1111" s="929"/>
      <c r="I1111" s="929"/>
      <c r="J1111" s="929"/>
      <c r="K1111" s="929"/>
      <c r="L1111" s="929"/>
      <c r="M1111" s="929"/>
      <c r="N1111" s="929"/>
      <c r="O1111" s="929"/>
    </row>
    <row r="1112" spans="5:15" x14ac:dyDescent="0.25">
      <c r="E1112" s="931"/>
      <c r="F1112" s="929"/>
      <c r="G1112" s="929"/>
      <c r="H1112" s="929"/>
      <c r="I1112" s="929"/>
      <c r="J1112" s="929"/>
      <c r="K1112" s="929"/>
      <c r="L1112" s="929"/>
      <c r="M1112" s="929"/>
    </row>
    <row r="1113" spans="5:15" x14ac:dyDescent="0.25">
      <c r="E1113" s="931"/>
      <c r="F1113" s="929"/>
      <c r="G1113" s="929"/>
      <c r="H1113" s="929"/>
      <c r="I1113" s="929"/>
      <c r="J1113" s="929"/>
      <c r="K1113" s="929"/>
      <c r="L1113" s="929"/>
      <c r="M1113" s="929"/>
    </row>
    <row r="1114" spans="5:15" x14ac:dyDescent="0.25">
      <c r="E1114" s="931"/>
      <c r="F1114" s="929"/>
      <c r="G1114" s="929"/>
      <c r="H1114" s="929"/>
      <c r="I1114" s="929"/>
      <c r="J1114" s="929"/>
      <c r="K1114" s="929"/>
      <c r="L1114" s="929"/>
      <c r="M1114" s="929"/>
      <c r="N1114" s="929"/>
      <c r="O1114" s="929"/>
    </row>
    <row r="1115" spans="5:15" x14ac:dyDescent="0.25">
      <c r="N1115" s="929"/>
      <c r="O1115" s="929"/>
    </row>
    <row r="1116" spans="5:15" x14ac:dyDescent="0.25">
      <c r="N1116" s="929"/>
      <c r="O1116" s="929"/>
    </row>
    <row r="1117" spans="5:15" x14ac:dyDescent="0.25">
      <c r="E1117" s="931"/>
      <c r="F1117" s="929"/>
      <c r="G1117" s="929"/>
      <c r="H1117" s="929"/>
      <c r="I1117" s="929"/>
      <c r="J1117" s="929"/>
      <c r="K1117" s="929"/>
      <c r="L1117" s="929"/>
      <c r="M1117" s="929"/>
      <c r="N1117" s="929"/>
      <c r="O1117" s="929"/>
    </row>
    <row r="1118" spans="5:15" x14ac:dyDescent="0.25">
      <c r="E1118" s="931"/>
      <c r="F1118" s="929"/>
      <c r="G1118" s="929"/>
      <c r="H1118" s="929"/>
      <c r="I1118" s="929"/>
      <c r="J1118" s="929"/>
      <c r="K1118" s="929"/>
      <c r="L1118" s="929"/>
      <c r="M1118" s="929"/>
      <c r="N1118" s="929"/>
      <c r="O1118" s="929"/>
    </row>
    <row r="1119" spans="5:15" x14ac:dyDescent="0.25">
      <c r="E1119" s="931"/>
      <c r="F1119" s="929"/>
      <c r="G1119" s="929"/>
      <c r="H1119" s="929"/>
      <c r="I1119" s="929"/>
      <c r="J1119" s="929"/>
      <c r="K1119" s="929"/>
      <c r="L1119" s="929"/>
      <c r="M1119" s="929"/>
    </row>
    <row r="1120" spans="5:15" x14ac:dyDescent="0.25">
      <c r="E1120" s="931"/>
      <c r="F1120" s="929"/>
      <c r="G1120" s="929"/>
      <c r="H1120" s="929"/>
      <c r="I1120" s="929"/>
      <c r="J1120" s="929"/>
      <c r="K1120" s="929"/>
      <c r="L1120" s="929"/>
      <c r="M1120" s="929"/>
    </row>
    <row r="1121" spans="5:15" x14ac:dyDescent="0.25">
      <c r="E1121" s="931"/>
      <c r="F1121" s="929"/>
      <c r="G1121" s="929"/>
      <c r="H1121" s="929"/>
      <c r="I1121" s="929"/>
      <c r="J1121" s="929"/>
      <c r="K1121" s="929"/>
      <c r="L1121" s="929"/>
      <c r="M1121" s="929"/>
      <c r="N1121" s="929"/>
      <c r="O1121" s="929"/>
    </row>
    <row r="1122" spans="5:15" x14ac:dyDescent="0.25">
      <c r="N1122" s="929"/>
      <c r="O1122" s="929"/>
    </row>
    <row r="1123" spans="5:15" x14ac:dyDescent="0.25">
      <c r="N1123" s="929"/>
      <c r="O1123" s="929"/>
    </row>
    <row r="1124" spans="5:15" x14ac:dyDescent="0.25">
      <c r="E1124" s="931"/>
      <c r="F1124" s="929"/>
      <c r="G1124" s="929"/>
      <c r="H1124" s="929"/>
      <c r="I1124" s="929"/>
      <c r="J1124" s="929"/>
      <c r="K1124" s="929"/>
      <c r="L1124" s="929"/>
      <c r="M1124" s="929"/>
      <c r="N1124" s="929"/>
      <c r="O1124" s="929"/>
    </row>
    <row r="1125" spans="5:15" x14ac:dyDescent="0.25">
      <c r="E1125" s="931"/>
      <c r="F1125" s="929"/>
      <c r="G1125" s="929"/>
      <c r="H1125" s="929"/>
      <c r="I1125" s="929"/>
      <c r="J1125" s="929"/>
      <c r="K1125" s="929"/>
      <c r="L1125" s="929"/>
      <c r="M1125" s="929"/>
      <c r="N1125" s="929"/>
      <c r="O1125" s="929"/>
    </row>
    <row r="1126" spans="5:15" x14ac:dyDescent="0.25">
      <c r="E1126" s="931"/>
      <c r="F1126" s="929"/>
      <c r="G1126" s="929"/>
      <c r="H1126" s="929"/>
      <c r="I1126" s="929"/>
      <c r="J1126" s="929"/>
      <c r="K1126" s="929"/>
      <c r="L1126" s="929"/>
      <c r="M1126" s="929"/>
    </row>
    <row r="1127" spans="5:15" x14ac:dyDescent="0.25">
      <c r="E1127" s="931"/>
      <c r="F1127" s="929"/>
      <c r="G1127" s="929"/>
      <c r="H1127" s="929"/>
      <c r="I1127" s="929"/>
      <c r="J1127" s="929"/>
      <c r="K1127" s="929"/>
      <c r="L1127" s="929"/>
      <c r="M1127" s="929"/>
    </row>
    <row r="1128" spans="5:15" x14ac:dyDescent="0.25">
      <c r="E1128" s="931"/>
      <c r="F1128" s="929"/>
      <c r="G1128" s="929"/>
      <c r="H1128" s="929"/>
      <c r="I1128" s="929"/>
      <c r="J1128" s="929"/>
      <c r="K1128" s="929"/>
      <c r="L1128" s="929"/>
      <c r="M1128" s="929"/>
      <c r="N1128" s="935"/>
      <c r="O1128" s="935"/>
    </row>
    <row r="1129" spans="5:15" x14ac:dyDescent="0.25">
      <c r="N1129" s="935"/>
      <c r="O1129" s="935"/>
    </row>
    <row r="1130" spans="5:15" x14ac:dyDescent="0.25">
      <c r="N1130" s="935"/>
      <c r="O1130" s="935"/>
    </row>
    <row r="1131" spans="5:15" x14ac:dyDescent="0.25">
      <c r="E1131" s="931"/>
      <c r="F1131" s="929"/>
      <c r="G1131" s="929"/>
      <c r="H1131" s="929"/>
      <c r="I1131" s="929"/>
      <c r="J1131" s="935"/>
      <c r="K1131" s="935"/>
      <c r="L1131" s="935"/>
      <c r="M1131" s="935"/>
      <c r="N1131" s="935"/>
      <c r="O1131" s="935"/>
    </row>
    <row r="1132" spans="5:15" x14ac:dyDescent="0.25">
      <c r="E1132" s="931"/>
      <c r="F1132" s="929"/>
      <c r="G1132" s="929"/>
      <c r="H1132" s="929"/>
      <c r="I1132" s="929"/>
      <c r="J1132" s="935"/>
      <c r="K1132" s="935"/>
      <c r="L1132" s="935"/>
      <c r="M1132" s="935"/>
      <c r="N1132" s="929"/>
      <c r="O1132" s="929"/>
    </row>
    <row r="1133" spans="5:15" x14ac:dyDescent="0.25">
      <c r="E1133" s="931"/>
      <c r="F1133" s="929"/>
      <c r="G1133" s="929"/>
      <c r="H1133" s="929"/>
      <c r="I1133" s="929"/>
      <c r="J1133" s="935"/>
      <c r="K1133" s="935"/>
      <c r="L1133" s="935"/>
      <c r="M1133" s="935"/>
    </row>
    <row r="1134" spans="5:15" x14ac:dyDescent="0.25">
      <c r="E1134" s="931"/>
      <c r="F1134" s="929"/>
      <c r="G1134" s="929"/>
      <c r="H1134" s="929"/>
      <c r="I1134" s="929"/>
      <c r="J1134" s="935"/>
      <c r="K1134" s="935"/>
      <c r="L1134" s="935"/>
      <c r="M1134" s="935"/>
    </row>
    <row r="1135" spans="5:15" x14ac:dyDescent="0.25">
      <c r="E1135" s="931"/>
      <c r="F1135" s="929"/>
      <c r="G1135" s="929"/>
      <c r="H1135" s="929"/>
      <c r="I1135" s="929"/>
      <c r="J1135" s="929"/>
      <c r="K1135" s="929"/>
      <c r="L1135" s="929"/>
      <c r="M1135" s="929"/>
      <c r="N1135" s="929"/>
      <c r="O1135" s="929"/>
    </row>
    <row r="1136" spans="5:15" x14ac:dyDescent="0.25">
      <c r="N1136" s="929"/>
      <c r="O1136" s="929"/>
    </row>
    <row r="1137" spans="5:15" x14ac:dyDescent="0.25">
      <c r="N1137" s="929"/>
      <c r="O1137" s="929"/>
    </row>
    <row r="1138" spans="5:15" x14ac:dyDescent="0.25">
      <c r="E1138" s="931"/>
      <c r="F1138" s="929"/>
      <c r="G1138" s="929"/>
      <c r="H1138" s="929"/>
      <c r="I1138" s="929"/>
      <c r="J1138" s="929"/>
      <c r="K1138" s="929"/>
      <c r="L1138" s="929"/>
      <c r="M1138" s="929"/>
      <c r="N1138" s="929"/>
      <c r="O1138" s="929"/>
    </row>
    <row r="1139" spans="5:15" x14ac:dyDescent="0.25">
      <c r="E1139" s="931"/>
      <c r="F1139" s="929"/>
      <c r="G1139" s="929"/>
      <c r="H1139" s="929"/>
      <c r="I1139" s="929"/>
      <c r="J1139" s="929"/>
      <c r="K1139" s="929"/>
      <c r="L1139" s="929"/>
      <c r="M1139" s="929"/>
      <c r="N1139" s="929"/>
      <c r="O1139" s="929"/>
    </row>
    <row r="1140" spans="5:15" x14ac:dyDescent="0.25">
      <c r="E1140" s="931"/>
      <c r="F1140" s="929"/>
      <c r="G1140" s="929"/>
      <c r="H1140" s="929"/>
      <c r="I1140" s="929"/>
      <c r="J1140" s="929"/>
      <c r="K1140" s="929"/>
      <c r="L1140" s="929"/>
      <c r="M1140" s="929"/>
    </row>
    <row r="1141" spans="5:15" x14ac:dyDescent="0.25">
      <c r="E1141" s="931"/>
      <c r="F1141" s="929"/>
      <c r="G1141" s="929"/>
      <c r="H1141" s="929"/>
      <c r="I1141" s="929"/>
      <c r="J1141" s="929"/>
      <c r="K1141" s="929"/>
      <c r="L1141" s="929"/>
      <c r="M1141" s="929"/>
    </row>
    <row r="1142" spans="5:15" x14ac:dyDescent="0.25">
      <c r="E1142" s="931"/>
      <c r="F1142" s="929"/>
      <c r="G1142" s="929"/>
      <c r="H1142" s="929"/>
      <c r="I1142" s="929"/>
      <c r="J1142" s="929"/>
      <c r="K1142" s="929"/>
      <c r="L1142" s="929"/>
      <c r="M1142" s="929"/>
      <c r="N1142" s="929"/>
      <c r="O1142" s="929"/>
    </row>
    <row r="1143" spans="5:15" x14ac:dyDescent="0.25">
      <c r="N1143" s="929"/>
      <c r="O1143" s="929"/>
    </row>
    <row r="1144" spans="5:15" x14ac:dyDescent="0.25">
      <c r="N1144" s="929"/>
      <c r="O1144" s="929"/>
    </row>
    <row r="1145" spans="5:15" x14ac:dyDescent="0.25">
      <c r="E1145" s="931"/>
      <c r="F1145" s="929"/>
      <c r="G1145" s="929"/>
      <c r="H1145" s="929"/>
      <c r="I1145" s="929"/>
      <c r="J1145" s="929"/>
      <c r="K1145" s="929"/>
      <c r="L1145" s="929"/>
      <c r="M1145" s="929"/>
      <c r="N1145" s="929"/>
      <c r="O1145" s="929"/>
    </row>
    <row r="1146" spans="5:15" x14ac:dyDescent="0.25">
      <c r="E1146" s="931"/>
      <c r="F1146" s="929"/>
      <c r="G1146" s="929"/>
      <c r="H1146" s="929"/>
      <c r="I1146" s="929"/>
      <c r="J1146" s="929"/>
      <c r="K1146" s="929"/>
      <c r="L1146" s="929"/>
      <c r="M1146" s="929"/>
      <c r="N1146" s="929"/>
      <c r="O1146" s="929"/>
    </row>
    <row r="1147" spans="5:15" x14ac:dyDescent="0.25">
      <c r="E1147" s="931"/>
      <c r="F1147" s="929"/>
      <c r="G1147" s="929"/>
      <c r="H1147" s="929"/>
      <c r="I1147" s="929"/>
      <c r="J1147" s="929"/>
      <c r="K1147" s="929"/>
      <c r="L1147" s="929"/>
      <c r="M1147" s="929"/>
    </row>
    <row r="1148" spans="5:15" x14ac:dyDescent="0.25">
      <c r="E1148" s="931"/>
      <c r="F1148" s="929"/>
      <c r="G1148" s="929"/>
      <c r="H1148" s="929"/>
      <c r="I1148" s="929"/>
      <c r="J1148" s="929"/>
      <c r="K1148" s="929"/>
      <c r="L1148" s="929"/>
      <c r="M1148" s="929"/>
    </row>
    <row r="1149" spans="5:15" x14ac:dyDescent="0.25">
      <c r="E1149" s="931"/>
      <c r="F1149" s="929"/>
      <c r="G1149" s="929"/>
      <c r="H1149" s="929"/>
      <c r="I1149" s="929"/>
      <c r="J1149" s="929"/>
      <c r="K1149" s="929"/>
      <c r="L1149" s="929"/>
      <c r="M1149" s="929"/>
      <c r="N1149" s="929"/>
      <c r="O1149" s="929"/>
    </row>
    <row r="1150" spans="5:15" x14ac:dyDescent="0.25">
      <c r="N1150" s="929"/>
      <c r="O1150" s="929"/>
    </row>
    <row r="1151" spans="5:15" x14ac:dyDescent="0.25">
      <c r="N1151" s="929"/>
      <c r="O1151" s="929"/>
    </row>
    <row r="1152" spans="5:15" x14ac:dyDescent="0.25">
      <c r="E1152" s="931"/>
      <c r="F1152" s="929"/>
      <c r="G1152" s="929"/>
      <c r="H1152" s="929"/>
      <c r="I1152" s="929"/>
      <c r="J1152" s="929"/>
      <c r="K1152" s="929"/>
      <c r="L1152" s="929"/>
      <c r="M1152" s="929"/>
      <c r="N1152" s="929"/>
      <c r="O1152" s="929"/>
    </row>
    <row r="1153" spans="5:15" x14ac:dyDescent="0.25">
      <c r="E1153" s="931"/>
      <c r="F1153" s="929"/>
      <c r="G1153" s="929"/>
      <c r="H1153" s="929"/>
      <c r="I1153" s="929"/>
      <c r="J1153" s="929"/>
      <c r="K1153" s="929"/>
      <c r="L1153" s="929"/>
      <c r="M1153" s="929"/>
      <c r="N1153" s="929"/>
      <c r="O1153" s="929"/>
    </row>
    <row r="1154" spans="5:15" x14ac:dyDescent="0.25">
      <c r="E1154" s="931"/>
      <c r="F1154" s="929"/>
      <c r="G1154" s="929"/>
      <c r="H1154" s="929"/>
      <c r="I1154" s="929"/>
      <c r="J1154" s="929"/>
      <c r="K1154" s="929"/>
      <c r="L1154" s="929"/>
      <c r="M1154" s="929"/>
    </row>
    <row r="1155" spans="5:15" x14ac:dyDescent="0.25">
      <c r="E1155" s="931"/>
      <c r="F1155" s="929"/>
      <c r="G1155" s="929"/>
      <c r="H1155" s="929"/>
      <c r="I1155" s="929"/>
      <c r="J1155" s="929"/>
      <c r="K1155" s="929"/>
      <c r="L1155" s="929"/>
      <c r="M1155" s="929"/>
      <c r="N1155" s="929"/>
      <c r="O1155" s="929"/>
    </row>
    <row r="1156" spans="5:15" x14ac:dyDescent="0.25">
      <c r="E1156" s="931"/>
      <c r="F1156" s="929"/>
      <c r="G1156" s="929"/>
      <c r="H1156" s="929"/>
      <c r="I1156" s="929"/>
      <c r="J1156" s="929"/>
      <c r="K1156" s="929"/>
      <c r="L1156" s="929"/>
      <c r="M1156" s="929"/>
      <c r="N1156" s="929"/>
    </row>
    <row r="1158" spans="5:15" x14ac:dyDescent="0.25">
      <c r="E1158" s="931"/>
      <c r="F1158" s="929"/>
      <c r="G1158" s="929"/>
      <c r="H1158" s="929"/>
      <c r="I1158" s="929"/>
      <c r="J1158" s="929"/>
      <c r="K1158" s="929"/>
      <c r="L1158" s="929"/>
      <c r="M1158" s="929"/>
      <c r="N1158" s="929"/>
    </row>
    <row r="1159" spans="5:15" x14ac:dyDescent="0.25">
      <c r="E1159" s="931"/>
      <c r="F1159" s="929"/>
      <c r="G1159" s="929"/>
      <c r="H1159" s="929"/>
      <c r="I1159" s="929"/>
      <c r="J1159" s="929"/>
      <c r="K1159" s="929"/>
      <c r="L1159" s="929"/>
      <c r="M1159" s="929"/>
      <c r="N1159" s="929"/>
      <c r="O1159" s="929"/>
    </row>
    <row r="1160" spans="5:15" x14ac:dyDescent="0.25">
      <c r="E1160" s="931"/>
      <c r="N1160" s="929"/>
      <c r="O1160" s="929"/>
    </row>
    <row r="1161" spans="5:15" x14ac:dyDescent="0.25">
      <c r="E1161" s="931"/>
      <c r="F1161" s="929"/>
      <c r="G1161" s="929"/>
      <c r="H1161" s="929"/>
      <c r="I1161" s="929"/>
      <c r="J1161" s="929"/>
      <c r="K1161" s="929"/>
      <c r="L1161" s="929"/>
      <c r="M1161" s="929"/>
      <c r="N1161" s="929"/>
      <c r="O1161" s="929"/>
    </row>
    <row r="1162" spans="5:15" x14ac:dyDescent="0.25">
      <c r="E1162" s="931"/>
      <c r="F1162" s="929"/>
      <c r="G1162" s="929"/>
      <c r="H1162" s="929"/>
      <c r="I1162" s="929"/>
      <c r="J1162" s="929"/>
      <c r="K1162" s="929"/>
      <c r="L1162" s="929"/>
      <c r="M1162" s="929"/>
      <c r="N1162" s="929"/>
      <c r="O1162" s="929"/>
    </row>
    <row r="1163" spans="5:15" x14ac:dyDescent="0.25">
      <c r="E1163" s="931"/>
      <c r="F1163" s="929"/>
      <c r="G1163" s="929"/>
      <c r="H1163" s="929"/>
      <c r="I1163" s="929"/>
      <c r="J1163" s="929"/>
      <c r="K1163" s="929"/>
      <c r="L1163" s="929"/>
      <c r="M1163" s="929"/>
      <c r="N1163" s="929"/>
      <c r="O1163" s="929"/>
    </row>
    <row r="1164" spans="5:15" x14ac:dyDescent="0.25">
      <c r="E1164" s="931"/>
      <c r="F1164" s="929"/>
      <c r="G1164" s="929"/>
      <c r="H1164" s="929"/>
      <c r="I1164" s="929"/>
      <c r="J1164" s="929"/>
      <c r="K1164" s="929"/>
      <c r="L1164" s="929"/>
      <c r="M1164" s="929"/>
      <c r="N1164" s="929"/>
      <c r="O1164" s="929"/>
    </row>
    <row r="1165" spans="5:15" x14ac:dyDescent="0.25">
      <c r="E1165" s="931"/>
      <c r="F1165" s="929"/>
      <c r="G1165" s="929"/>
      <c r="H1165" s="929"/>
      <c r="I1165" s="929"/>
      <c r="J1165" s="929"/>
      <c r="K1165" s="929"/>
      <c r="L1165" s="929"/>
      <c r="M1165" s="929"/>
      <c r="N1165" s="929"/>
      <c r="O1165" s="929"/>
    </row>
    <row r="1166" spans="5:15" x14ac:dyDescent="0.25">
      <c r="E1166" s="931"/>
      <c r="F1166" s="929"/>
      <c r="G1166" s="929"/>
      <c r="H1166" s="929"/>
      <c r="I1166" s="929"/>
      <c r="J1166" s="929"/>
      <c r="K1166" s="929"/>
      <c r="L1166" s="929"/>
      <c r="M1166" s="929"/>
      <c r="N1166" s="935"/>
      <c r="O1166" s="935"/>
    </row>
    <row r="1167" spans="5:15" x14ac:dyDescent="0.25">
      <c r="E1167" s="931"/>
      <c r="F1167" s="929"/>
      <c r="G1167" s="929"/>
      <c r="H1167" s="929"/>
      <c r="I1167" s="929"/>
      <c r="J1167" s="929"/>
      <c r="K1167" s="929"/>
      <c r="L1167" s="929"/>
      <c r="M1167" s="929"/>
      <c r="N1167" s="935"/>
      <c r="O1167" s="935"/>
    </row>
    <row r="1168" spans="5:15" x14ac:dyDescent="0.25">
      <c r="E1168" s="931"/>
      <c r="F1168" s="929"/>
      <c r="G1168" s="929"/>
      <c r="H1168" s="929"/>
      <c r="I1168" s="929"/>
      <c r="J1168" s="929"/>
      <c r="K1168" s="929"/>
      <c r="L1168" s="929"/>
      <c r="M1168" s="929"/>
      <c r="N1168" s="935"/>
      <c r="O1168" s="935"/>
    </row>
    <row r="1169" spans="5:15" x14ac:dyDescent="0.25">
      <c r="F1169" s="935"/>
      <c r="G1169" s="935"/>
      <c r="H1169" s="935"/>
      <c r="I1169" s="935"/>
      <c r="J1169" s="935"/>
      <c r="K1169" s="935"/>
      <c r="L1169" s="935"/>
      <c r="M1169" s="935"/>
      <c r="N1169" s="935"/>
      <c r="O1169" s="935"/>
    </row>
    <row r="1170" spans="5:15" x14ac:dyDescent="0.25">
      <c r="F1170" s="935"/>
      <c r="G1170" s="935"/>
      <c r="H1170" s="935"/>
      <c r="I1170" s="935"/>
      <c r="J1170" s="935"/>
      <c r="K1170" s="935"/>
      <c r="L1170" s="935"/>
      <c r="M1170" s="935"/>
      <c r="N1170" s="935"/>
      <c r="O1170" s="935"/>
    </row>
    <row r="1171" spans="5:15" x14ac:dyDescent="0.25">
      <c r="F1171" s="935"/>
      <c r="G1171" s="935"/>
      <c r="H1171" s="935"/>
      <c r="I1171" s="935"/>
      <c r="J1171" s="935"/>
      <c r="K1171" s="935"/>
      <c r="L1171" s="935"/>
      <c r="M1171" s="935"/>
      <c r="N1171" s="935"/>
      <c r="O1171" s="935"/>
    </row>
    <row r="1172" spans="5:15" x14ac:dyDescent="0.25">
      <c r="F1172" s="935"/>
      <c r="G1172" s="935"/>
      <c r="H1172" s="935"/>
      <c r="I1172" s="935"/>
      <c r="J1172" s="935"/>
      <c r="K1172" s="935"/>
      <c r="L1172" s="935"/>
      <c r="M1172" s="935"/>
      <c r="N1172" s="929"/>
      <c r="O1172" s="929"/>
    </row>
    <row r="1173" spans="5:15" x14ac:dyDescent="0.25">
      <c r="F1173" s="935"/>
      <c r="G1173" s="935"/>
      <c r="H1173" s="935"/>
      <c r="I1173" s="935"/>
      <c r="J1173" s="935"/>
      <c r="K1173" s="935"/>
      <c r="L1173" s="935"/>
      <c r="M1173" s="935"/>
      <c r="N1173" s="929"/>
      <c r="O1173" s="929"/>
    </row>
    <row r="1174" spans="5:15" x14ac:dyDescent="0.25">
      <c r="F1174" s="935"/>
      <c r="G1174" s="935"/>
      <c r="H1174" s="935"/>
      <c r="I1174" s="935"/>
      <c r="J1174" s="935"/>
      <c r="K1174" s="935"/>
      <c r="L1174" s="935"/>
      <c r="M1174" s="935"/>
      <c r="N1174" s="929"/>
      <c r="O1174" s="929"/>
    </row>
    <row r="1175" spans="5:15" x14ac:dyDescent="0.25">
      <c r="E1175" s="931"/>
      <c r="F1175" s="929"/>
      <c r="G1175" s="929"/>
      <c r="H1175" s="929"/>
      <c r="I1175" s="929"/>
      <c r="J1175" s="929"/>
      <c r="K1175" s="929"/>
      <c r="L1175" s="929"/>
      <c r="M1175" s="929"/>
      <c r="N1175" s="934"/>
      <c r="O1175" s="934"/>
    </row>
    <row r="1176" spans="5:15" x14ac:dyDescent="0.25">
      <c r="E1176" s="931"/>
      <c r="F1176" s="934"/>
      <c r="G1176" s="929"/>
      <c r="H1176" s="929"/>
      <c r="I1176" s="929"/>
      <c r="J1176" s="929"/>
      <c r="K1176" s="929"/>
      <c r="L1176" s="929"/>
      <c r="M1176" s="929"/>
      <c r="N1176" s="933"/>
      <c r="O1176" s="933"/>
    </row>
    <row r="1177" spans="5:15" x14ac:dyDescent="0.25">
      <c r="E1177" s="931"/>
      <c r="F1177" s="934"/>
      <c r="G1177" s="929"/>
      <c r="H1177" s="929"/>
      <c r="I1177" s="929"/>
      <c r="J1177" s="929"/>
      <c r="K1177" s="929"/>
      <c r="L1177" s="929"/>
      <c r="M1177" s="929"/>
      <c r="N1177" s="929"/>
      <c r="O1177" s="929"/>
    </row>
    <row r="1178" spans="5:15" x14ac:dyDescent="0.25">
      <c r="E1178" s="931"/>
      <c r="F1178" s="934"/>
      <c r="G1178" s="934"/>
      <c r="H1178" s="934"/>
      <c r="I1178" s="934"/>
      <c r="J1178" s="934"/>
      <c r="K1178" s="934"/>
      <c r="L1178" s="934"/>
      <c r="M1178" s="934"/>
      <c r="O1178" s="929"/>
    </row>
    <row r="1179" spans="5:15" x14ac:dyDescent="0.25">
      <c r="E1179" s="931"/>
      <c r="F1179" s="933"/>
      <c r="G1179" s="933"/>
      <c r="H1179" s="933"/>
      <c r="I1179" s="933"/>
      <c r="J1179" s="933"/>
      <c r="K1179" s="933"/>
      <c r="L1179" s="933"/>
      <c r="M1179" s="933"/>
    </row>
    <row r="1180" spans="5:15" x14ac:dyDescent="0.25">
      <c r="E1180" s="931"/>
      <c r="F1180" s="929"/>
      <c r="G1180" s="929"/>
      <c r="H1180" s="929"/>
      <c r="I1180" s="929"/>
      <c r="J1180" s="929"/>
      <c r="K1180" s="929"/>
      <c r="L1180" s="929"/>
      <c r="M1180" s="929"/>
      <c r="O1180" s="929"/>
    </row>
    <row r="1181" spans="5:15" x14ac:dyDescent="0.25">
      <c r="K1181" s="929"/>
      <c r="N1181" s="929"/>
      <c r="O1181" s="929"/>
    </row>
    <row r="1182" spans="5:15" x14ac:dyDescent="0.25">
      <c r="N1182" s="932"/>
      <c r="O1182" s="932"/>
    </row>
    <row r="1183" spans="5:15" x14ac:dyDescent="0.25">
      <c r="N1183" s="929"/>
      <c r="O1183" s="929"/>
    </row>
    <row r="1184" spans="5:15" x14ac:dyDescent="0.25">
      <c r="E1184" s="931"/>
      <c r="F1184" s="929"/>
      <c r="G1184" s="929"/>
      <c r="H1184" s="929"/>
      <c r="I1184" s="929"/>
      <c r="J1184" s="929"/>
      <c r="K1184" s="929"/>
      <c r="L1184" s="929"/>
      <c r="M1184" s="929"/>
      <c r="N1184" s="929"/>
      <c r="O1184" s="929"/>
    </row>
    <row r="1185" spans="5:15" x14ac:dyDescent="0.25">
      <c r="E1185" s="931"/>
      <c r="F1185" s="932"/>
      <c r="G1185" s="932"/>
      <c r="H1185" s="932"/>
      <c r="I1185" s="932"/>
      <c r="J1185" s="932"/>
      <c r="K1185" s="932"/>
      <c r="L1185" s="932"/>
      <c r="M1185" s="932"/>
      <c r="N1185" s="929"/>
      <c r="O1185" s="929"/>
    </row>
    <row r="1186" spans="5:15" x14ac:dyDescent="0.25">
      <c r="E1186" s="931"/>
      <c r="F1186" s="929"/>
      <c r="G1186" s="929"/>
      <c r="H1186" s="929"/>
      <c r="I1186" s="929"/>
      <c r="J1186" s="929"/>
      <c r="K1186" s="929"/>
      <c r="L1186" s="929"/>
      <c r="M1186" s="929"/>
      <c r="N1186" s="932"/>
      <c r="O1186" s="932"/>
    </row>
    <row r="1187" spans="5:15" x14ac:dyDescent="0.25">
      <c r="E1187" s="931"/>
      <c r="F1187" s="929"/>
      <c r="G1187" s="929"/>
      <c r="H1187" s="929"/>
      <c r="I1187" s="929"/>
      <c r="J1187" s="929"/>
      <c r="K1187" s="929"/>
      <c r="L1187" s="929"/>
      <c r="M1187" s="929"/>
      <c r="N1187" s="929"/>
      <c r="O1187" s="929"/>
    </row>
    <row r="1188" spans="5:15" x14ac:dyDescent="0.25">
      <c r="E1188" s="931"/>
      <c r="F1188" s="929"/>
      <c r="G1188" s="929"/>
      <c r="H1188" s="929"/>
      <c r="I1188" s="929"/>
      <c r="J1188" s="929"/>
      <c r="K1188" s="929"/>
      <c r="L1188" s="929"/>
      <c r="M1188" s="929"/>
      <c r="N1188" s="929"/>
      <c r="O1188" s="929"/>
    </row>
    <row r="1189" spans="5:15" x14ac:dyDescent="0.25">
      <c r="E1189" s="931"/>
      <c r="F1189" s="932"/>
      <c r="G1189" s="932"/>
      <c r="H1189" s="932"/>
      <c r="I1189" s="932"/>
      <c r="J1189" s="932"/>
      <c r="K1189" s="932"/>
      <c r="L1189" s="932"/>
      <c r="M1189" s="932"/>
      <c r="N1189" s="929"/>
      <c r="O1189" s="929"/>
    </row>
    <row r="1190" spans="5:15" x14ac:dyDescent="0.25">
      <c r="E1190" s="931"/>
      <c r="F1190" s="929"/>
      <c r="G1190" s="929"/>
      <c r="H1190" s="929"/>
      <c r="I1190" s="929"/>
      <c r="J1190" s="929"/>
      <c r="K1190" s="929"/>
      <c r="L1190" s="929"/>
      <c r="M1190" s="929"/>
      <c r="N1190" s="929"/>
      <c r="O1190" s="929"/>
    </row>
    <row r="1191" spans="5:15" x14ac:dyDescent="0.25">
      <c r="E1191" s="931"/>
      <c r="F1191" s="929"/>
      <c r="G1191" s="929"/>
      <c r="H1191" s="929"/>
      <c r="I1191" s="929"/>
      <c r="J1191" s="929"/>
      <c r="K1191" s="929"/>
      <c r="L1191" s="929"/>
      <c r="M1191" s="929"/>
      <c r="N1191" s="929"/>
      <c r="O1191" s="929"/>
    </row>
    <row r="1192" spans="5:15" x14ac:dyDescent="0.25">
      <c r="E1192" s="931"/>
      <c r="F1192" s="929"/>
      <c r="G1192" s="929"/>
      <c r="H1192" s="929"/>
      <c r="I1192" s="929"/>
      <c r="J1192" s="929"/>
      <c r="K1192" s="929"/>
      <c r="L1192" s="929"/>
      <c r="M1192" s="929"/>
      <c r="N1192" s="929"/>
      <c r="O1192" s="929"/>
    </row>
    <row r="1193" spans="5:15" x14ac:dyDescent="0.25">
      <c r="E1193" s="931"/>
      <c r="F1193" s="929"/>
      <c r="G1193" s="929"/>
      <c r="H1193" s="929"/>
      <c r="I1193" s="929"/>
      <c r="J1193" s="929"/>
      <c r="K1193" s="929"/>
      <c r="L1193" s="929"/>
      <c r="M1193" s="929"/>
      <c r="N1193" s="929"/>
      <c r="O1193" s="929"/>
    </row>
    <row r="1194" spans="5:15" x14ac:dyDescent="0.25">
      <c r="E1194" s="931"/>
      <c r="F1194" s="929"/>
      <c r="G1194" s="929"/>
      <c r="H1194" s="929"/>
      <c r="I1194" s="929"/>
      <c r="J1194" s="929"/>
      <c r="K1194" s="929"/>
      <c r="L1194" s="929"/>
      <c r="M1194" s="929"/>
      <c r="N1194" s="929"/>
      <c r="O1194" s="929"/>
    </row>
    <row r="1195" spans="5:15" x14ac:dyDescent="0.25">
      <c r="E1195" s="931"/>
      <c r="F1195" s="929"/>
      <c r="G1195" s="929"/>
      <c r="H1195" s="929"/>
      <c r="I1195" s="929"/>
      <c r="J1195" s="929"/>
      <c r="K1195" s="929"/>
      <c r="L1195" s="929"/>
      <c r="M1195" s="929"/>
    </row>
    <row r="1196" spans="5:15" x14ac:dyDescent="0.25">
      <c r="E1196" s="931"/>
      <c r="F1196" s="929"/>
      <c r="G1196" s="929"/>
      <c r="H1196" s="929"/>
      <c r="I1196" s="929"/>
      <c r="J1196" s="929"/>
      <c r="K1196" s="929"/>
      <c r="L1196" s="929"/>
      <c r="M1196" s="929"/>
      <c r="N1196" s="929"/>
      <c r="O1196" s="929"/>
    </row>
    <row r="1197" spans="5:15" x14ac:dyDescent="0.25">
      <c r="E1197" s="931"/>
      <c r="F1197" s="929"/>
      <c r="G1197" s="929"/>
      <c r="H1197" s="929"/>
      <c r="I1197" s="929"/>
      <c r="J1197" s="929"/>
      <c r="K1197" s="929"/>
      <c r="L1197" s="929"/>
      <c r="M1197" s="929"/>
    </row>
    <row r="1198" spans="5:15" x14ac:dyDescent="0.25">
      <c r="E1198" s="931"/>
      <c r="N1198" s="929"/>
      <c r="O1198" s="929"/>
    </row>
    <row r="1199" spans="5:15" x14ac:dyDescent="0.25">
      <c r="E1199" s="931"/>
      <c r="F1199" s="929"/>
      <c r="G1199" s="929"/>
      <c r="H1199" s="929"/>
      <c r="I1199" s="929"/>
      <c r="J1199" s="929"/>
      <c r="K1199" s="929"/>
      <c r="L1199" s="929"/>
      <c r="M1199" s="929"/>
      <c r="N1199" s="929"/>
      <c r="O1199" s="929"/>
    </row>
    <row r="1200" spans="5:15" x14ac:dyDescent="0.25">
      <c r="N1200" s="929"/>
      <c r="O1200" s="929"/>
    </row>
    <row r="1201" spans="5:15" x14ac:dyDescent="0.25">
      <c r="E1201" s="931"/>
      <c r="F1201" s="929"/>
      <c r="G1201" s="929"/>
      <c r="H1201" s="929"/>
      <c r="I1201" s="929"/>
      <c r="J1201" s="929"/>
      <c r="K1201" s="929"/>
      <c r="L1201" s="929"/>
      <c r="M1201" s="929"/>
      <c r="N1201" s="929"/>
      <c r="O1201" s="929"/>
    </row>
    <row r="1202" spans="5:15" x14ac:dyDescent="0.25">
      <c r="F1202" s="929"/>
      <c r="G1202" s="929"/>
      <c r="H1202" s="929"/>
      <c r="I1202" s="929"/>
      <c r="J1202" s="929"/>
      <c r="K1202" s="929"/>
      <c r="L1202" s="929"/>
      <c r="M1202" s="929"/>
      <c r="N1202" s="929"/>
      <c r="O1202" s="929"/>
    </row>
    <row r="1203" spans="5:15" x14ac:dyDescent="0.25">
      <c r="F1203" s="929"/>
      <c r="G1203" s="929"/>
      <c r="H1203" s="929"/>
      <c r="I1203" s="929"/>
      <c r="J1203" s="929"/>
      <c r="K1203" s="929"/>
      <c r="L1203" s="929"/>
      <c r="M1203" s="929"/>
      <c r="N1203" s="929"/>
      <c r="O1203" s="929"/>
    </row>
    <row r="1204" spans="5:15" x14ac:dyDescent="0.25">
      <c r="E1204" s="931"/>
      <c r="F1204" s="929"/>
      <c r="G1204" s="929"/>
      <c r="H1204" s="929"/>
      <c r="I1204" s="929"/>
      <c r="J1204" s="929"/>
      <c r="K1204" s="929"/>
      <c r="L1204" s="929"/>
      <c r="M1204" s="929"/>
    </row>
    <row r="1205" spans="5:15" x14ac:dyDescent="0.25">
      <c r="F1205" s="929"/>
      <c r="G1205" s="929"/>
      <c r="H1205" s="929"/>
      <c r="I1205" s="929"/>
      <c r="J1205" s="929"/>
      <c r="K1205" s="929"/>
      <c r="L1205" s="929"/>
      <c r="M1205" s="929"/>
      <c r="N1205" s="929"/>
      <c r="O1205" s="929"/>
    </row>
    <row r="1206" spans="5:15" x14ac:dyDescent="0.25">
      <c r="E1206" s="931"/>
      <c r="F1206" s="929"/>
      <c r="G1206" s="929"/>
      <c r="H1206" s="929"/>
      <c r="I1206" s="929"/>
      <c r="J1206" s="929"/>
      <c r="K1206" s="929"/>
      <c r="L1206" s="929"/>
      <c r="M1206" s="929"/>
      <c r="N1206" s="929"/>
      <c r="O1206" s="929"/>
    </row>
    <row r="1208" spans="5:15" x14ac:dyDescent="0.25">
      <c r="E1208" s="931"/>
      <c r="F1208" s="929"/>
      <c r="G1208" s="929"/>
      <c r="H1208" s="929"/>
      <c r="I1208" s="929"/>
      <c r="J1208" s="929"/>
      <c r="K1208" s="929"/>
      <c r="L1208" s="929"/>
      <c r="M1208" s="929"/>
      <c r="N1208" s="929"/>
      <c r="O1208" s="929"/>
    </row>
    <row r="1209" spans="5:15" x14ac:dyDescent="0.25">
      <c r="E1209" s="931"/>
      <c r="F1209" s="929"/>
      <c r="G1209" s="929"/>
      <c r="H1209" s="929"/>
      <c r="I1209" s="929"/>
      <c r="J1209" s="929"/>
      <c r="K1209" s="929"/>
      <c r="L1209" s="929"/>
      <c r="M1209" s="929"/>
      <c r="N1209" s="929"/>
      <c r="O1209" s="929"/>
    </row>
    <row r="1210" spans="5:15" x14ac:dyDescent="0.25">
      <c r="E1210" s="931"/>
      <c r="N1210" s="929"/>
      <c r="O1210" s="929"/>
    </row>
    <row r="1211" spans="5:15" x14ac:dyDescent="0.25">
      <c r="E1211" s="931"/>
      <c r="F1211" s="929"/>
      <c r="G1211" s="929"/>
      <c r="H1211" s="929"/>
      <c r="I1211" s="929"/>
      <c r="J1211" s="929"/>
      <c r="K1211" s="929"/>
      <c r="L1211" s="929"/>
      <c r="M1211" s="929"/>
      <c r="N1211" s="929"/>
      <c r="O1211" s="929"/>
    </row>
    <row r="1212" spans="5:15" x14ac:dyDescent="0.25">
      <c r="E1212" s="931"/>
      <c r="F1212" s="929"/>
      <c r="G1212" s="929"/>
      <c r="H1212" s="929"/>
      <c r="I1212" s="929"/>
      <c r="J1212" s="929"/>
      <c r="K1212" s="929"/>
      <c r="L1212" s="929"/>
      <c r="M1212" s="929"/>
      <c r="N1212" s="929"/>
      <c r="O1212" s="929"/>
    </row>
    <row r="1213" spans="5:15" x14ac:dyDescent="0.25">
      <c r="E1213" s="931"/>
      <c r="F1213" s="929"/>
      <c r="G1213" s="929"/>
      <c r="H1213" s="929"/>
      <c r="I1213" s="929"/>
      <c r="J1213" s="929"/>
      <c r="K1213" s="929"/>
      <c r="L1213" s="929"/>
      <c r="M1213" s="929"/>
      <c r="N1213" s="929"/>
      <c r="O1213" s="929"/>
    </row>
    <row r="1214" spans="5:15" x14ac:dyDescent="0.25">
      <c r="E1214" s="931"/>
      <c r="F1214" s="929"/>
      <c r="G1214" s="929"/>
      <c r="H1214" s="929"/>
      <c r="I1214" s="929"/>
      <c r="J1214" s="929"/>
      <c r="K1214" s="929"/>
      <c r="L1214" s="929"/>
      <c r="M1214" s="929"/>
    </row>
    <row r="1215" spans="5:15" x14ac:dyDescent="0.25">
      <c r="E1215" s="931"/>
      <c r="F1215" s="929"/>
      <c r="G1215" s="929"/>
      <c r="H1215" s="929"/>
      <c r="I1215" s="929"/>
      <c r="J1215" s="929"/>
      <c r="K1215" s="929"/>
      <c r="L1215" s="929"/>
      <c r="M1215" s="929"/>
      <c r="N1215" s="929"/>
      <c r="O1215" s="929"/>
    </row>
    <row r="1216" spans="5:15" x14ac:dyDescent="0.25">
      <c r="E1216" s="931"/>
      <c r="F1216" s="929"/>
      <c r="G1216" s="929"/>
      <c r="H1216" s="929"/>
      <c r="I1216" s="929"/>
      <c r="J1216" s="929"/>
      <c r="K1216" s="929"/>
      <c r="L1216" s="929"/>
      <c r="M1216" s="929"/>
      <c r="N1216" s="929"/>
      <c r="O1216" s="929"/>
    </row>
    <row r="1217" spans="5:15" x14ac:dyDescent="0.25">
      <c r="E1217" s="931"/>
      <c r="N1217" s="929"/>
      <c r="O1217" s="929"/>
    </row>
    <row r="1218" spans="5:15" x14ac:dyDescent="0.25">
      <c r="E1218" s="931"/>
      <c r="F1218" s="929"/>
      <c r="G1218" s="929"/>
      <c r="H1218" s="929"/>
      <c r="I1218" s="929"/>
      <c r="J1218" s="929"/>
      <c r="K1218" s="929"/>
      <c r="L1218" s="929"/>
      <c r="M1218" s="929"/>
      <c r="N1218" s="929"/>
      <c r="O1218" s="929"/>
    </row>
    <row r="1219" spans="5:15" x14ac:dyDescent="0.25">
      <c r="E1219" s="931"/>
      <c r="F1219" s="929"/>
      <c r="G1219" s="929"/>
      <c r="H1219" s="929"/>
      <c r="I1219" s="929"/>
      <c r="J1219" s="929"/>
      <c r="K1219" s="929"/>
      <c r="L1219" s="929"/>
      <c r="M1219" s="929"/>
      <c r="N1219" s="929"/>
      <c r="O1219" s="929"/>
    </row>
    <row r="1220" spans="5:15" x14ac:dyDescent="0.25">
      <c r="E1220" s="931"/>
      <c r="F1220" s="929"/>
      <c r="G1220" s="929"/>
      <c r="H1220" s="929"/>
      <c r="I1220" s="929"/>
      <c r="J1220" s="929"/>
      <c r="K1220" s="929"/>
      <c r="L1220" s="929"/>
      <c r="M1220" s="929"/>
      <c r="N1220" s="929"/>
      <c r="O1220" s="929"/>
    </row>
    <row r="1221" spans="5:15" x14ac:dyDescent="0.25">
      <c r="E1221" s="931"/>
      <c r="F1221" s="929"/>
      <c r="G1221" s="929"/>
      <c r="H1221" s="929"/>
      <c r="I1221" s="929"/>
      <c r="J1221" s="929"/>
      <c r="K1221" s="929"/>
      <c r="L1221" s="929"/>
      <c r="M1221" s="929"/>
    </row>
    <row r="1222" spans="5:15" x14ac:dyDescent="0.25">
      <c r="E1222" s="931"/>
      <c r="F1222" s="929"/>
      <c r="G1222" s="929"/>
      <c r="H1222" s="929"/>
      <c r="I1222" s="929"/>
      <c r="J1222" s="929"/>
      <c r="K1222" s="929"/>
      <c r="L1222" s="929"/>
      <c r="M1222" s="929"/>
      <c r="N1222" s="929"/>
      <c r="O1222" s="929"/>
    </row>
    <row r="1223" spans="5:15" x14ac:dyDescent="0.25">
      <c r="E1223" s="931"/>
      <c r="F1223" s="929"/>
      <c r="G1223" s="929"/>
      <c r="H1223" s="929"/>
      <c r="I1223" s="929"/>
      <c r="J1223" s="929"/>
      <c r="K1223" s="929"/>
      <c r="L1223" s="929"/>
      <c r="M1223" s="929"/>
      <c r="N1223" s="929"/>
      <c r="O1223" s="929"/>
    </row>
    <row r="1224" spans="5:15" x14ac:dyDescent="0.25">
      <c r="E1224" s="931"/>
      <c r="N1224" s="929"/>
      <c r="O1224" s="929"/>
    </row>
    <row r="1225" spans="5:15" x14ac:dyDescent="0.25">
      <c r="E1225" s="931"/>
      <c r="F1225" s="929"/>
      <c r="G1225" s="929"/>
      <c r="H1225" s="929"/>
      <c r="I1225" s="929"/>
      <c r="J1225" s="929"/>
      <c r="K1225" s="929"/>
      <c r="L1225" s="929"/>
      <c r="M1225" s="929"/>
      <c r="N1225" s="929"/>
      <c r="O1225" s="929"/>
    </row>
    <row r="1226" spans="5:15" x14ac:dyDescent="0.25">
      <c r="E1226" s="931"/>
      <c r="F1226" s="929"/>
      <c r="G1226" s="929"/>
      <c r="H1226" s="929"/>
      <c r="I1226" s="929"/>
      <c r="J1226" s="929"/>
      <c r="K1226" s="929"/>
      <c r="L1226" s="929"/>
      <c r="M1226" s="929"/>
      <c r="N1226" s="929"/>
      <c r="O1226" s="929"/>
    </row>
    <row r="1227" spans="5:15" x14ac:dyDescent="0.25">
      <c r="E1227" s="931"/>
      <c r="F1227" s="929"/>
      <c r="G1227" s="929"/>
      <c r="H1227" s="929"/>
      <c r="I1227" s="929"/>
      <c r="J1227" s="929"/>
      <c r="K1227" s="929"/>
      <c r="L1227" s="929"/>
      <c r="M1227" s="929"/>
      <c r="N1227" s="929"/>
      <c r="O1227" s="929"/>
    </row>
    <row r="1228" spans="5:15" x14ac:dyDescent="0.25">
      <c r="E1228" s="931"/>
      <c r="F1228" s="929"/>
      <c r="G1228" s="929"/>
      <c r="H1228" s="929"/>
      <c r="I1228" s="929"/>
      <c r="J1228" s="929"/>
      <c r="K1228" s="929"/>
      <c r="L1228" s="929"/>
      <c r="M1228" s="929"/>
    </row>
    <row r="1229" spans="5:15" x14ac:dyDescent="0.25">
      <c r="E1229" s="931"/>
      <c r="F1229" s="929"/>
      <c r="G1229" s="929"/>
      <c r="H1229" s="929"/>
      <c r="I1229" s="929"/>
      <c r="J1229" s="929"/>
      <c r="K1229" s="929"/>
      <c r="L1229" s="929"/>
      <c r="M1229" s="929"/>
    </row>
    <row r="1230" spans="5:15" x14ac:dyDescent="0.25">
      <c r="E1230" s="931"/>
      <c r="F1230" s="929"/>
      <c r="G1230" s="929"/>
      <c r="H1230" s="929"/>
      <c r="I1230" s="929"/>
      <c r="J1230" s="929"/>
      <c r="K1230" s="929"/>
      <c r="L1230" s="929"/>
      <c r="M1230" s="929"/>
      <c r="N1230" s="929"/>
      <c r="O1230" s="929"/>
    </row>
    <row r="1231" spans="5:15" x14ac:dyDescent="0.25">
      <c r="N1231" s="929"/>
      <c r="O1231" s="929"/>
    </row>
    <row r="1232" spans="5:15" x14ac:dyDescent="0.25">
      <c r="E1232" s="931"/>
      <c r="N1232" s="929"/>
      <c r="O1232" s="929"/>
    </row>
    <row r="1233" spans="5:15" x14ac:dyDescent="0.25">
      <c r="E1233" s="931"/>
      <c r="F1233" s="929"/>
      <c r="G1233" s="929"/>
      <c r="H1233" s="929"/>
      <c r="I1233" s="929"/>
      <c r="J1233" s="929"/>
      <c r="K1233" s="929"/>
      <c r="L1233" s="929"/>
      <c r="M1233" s="929"/>
      <c r="N1233" s="929"/>
      <c r="O1233" s="929"/>
    </row>
    <row r="1234" spans="5:15" x14ac:dyDescent="0.25">
      <c r="E1234" s="931"/>
      <c r="F1234" s="929"/>
      <c r="G1234" s="929"/>
      <c r="H1234" s="929"/>
      <c r="I1234" s="929"/>
      <c r="J1234" s="929"/>
      <c r="K1234" s="929"/>
      <c r="L1234" s="929"/>
      <c r="M1234" s="929"/>
      <c r="N1234" s="929"/>
      <c r="O1234" s="929"/>
    </row>
    <row r="1235" spans="5:15" x14ac:dyDescent="0.25">
      <c r="E1235" s="931"/>
      <c r="F1235" s="929"/>
      <c r="G1235" s="929"/>
      <c r="H1235" s="929"/>
      <c r="I1235" s="929"/>
      <c r="J1235" s="929"/>
      <c r="K1235" s="929"/>
      <c r="L1235" s="929"/>
      <c r="M1235" s="929"/>
      <c r="N1235" s="929"/>
      <c r="O1235" s="929"/>
    </row>
    <row r="1236" spans="5:15" x14ac:dyDescent="0.25">
      <c r="E1236" s="931"/>
      <c r="F1236" s="929"/>
      <c r="G1236" s="929"/>
      <c r="H1236" s="929"/>
      <c r="I1236" s="929"/>
      <c r="J1236" s="929"/>
      <c r="K1236" s="929"/>
      <c r="L1236" s="929"/>
      <c r="M1236" s="929"/>
    </row>
    <row r="1237" spans="5:15" x14ac:dyDescent="0.25">
      <c r="E1237" s="931"/>
      <c r="F1237" s="929"/>
      <c r="G1237" s="929"/>
      <c r="H1237" s="929"/>
      <c r="I1237" s="929"/>
      <c r="J1237" s="929"/>
      <c r="K1237" s="929"/>
      <c r="L1237" s="929"/>
      <c r="M1237" s="929"/>
      <c r="N1237" s="929"/>
      <c r="O1237" s="929"/>
    </row>
    <row r="1238" spans="5:15" x14ac:dyDescent="0.25">
      <c r="E1238" s="931"/>
      <c r="F1238" s="929"/>
      <c r="G1238" s="929"/>
      <c r="H1238" s="929"/>
      <c r="I1238" s="929"/>
      <c r="J1238" s="929"/>
      <c r="K1238" s="929"/>
      <c r="L1238" s="929"/>
      <c r="M1238" s="929"/>
      <c r="N1238" s="929"/>
      <c r="O1238" s="929"/>
    </row>
    <row r="1239" spans="5:15" x14ac:dyDescent="0.25">
      <c r="E1239" s="931"/>
      <c r="N1239" s="929"/>
      <c r="O1239" s="929"/>
    </row>
    <row r="1240" spans="5:15" x14ac:dyDescent="0.25">
      <c r="E1240" s="931"/>
      <c r="F1240" s="929"/>
      <c r="G1240" s="929"/>
      <c r="H1240" s="929"/>
      <c r="I1240" s="929"/>
      <c r="J1240" s="929"/>
      <c r="K1240" s="929"/>
      <c r="L1240" s="929"/>
      <c r="M1240" s="929"/>
      <c r="N1240" s="929"/>
      <c r="O1240" s="929"/>
    </row>
    <row r="1241" spans="5:15" x14ac:dyDescent="0.25">
      <c r="E1241" s="931"/>
      <c r="F1241" s="929"/>
      <c r="G1241" s="929"/>
      <c r="H1241" s="929"/>
      <c r="I1241" s="929"/>
      <c r="J1241" s="929"/>
      <c r="K1241" s="929"/>
      <c r="L1241" s="929"/>
      <c r="M1241" s="929"/>
      <c r="N1241" s="929"/>
      <c r="O1241" s="929"/>
    </row>
    <row r="1242" spans="5:15" x14ac:dyDescent="0.25">
      <c r="E1242" s="931"/>
      <c r="F1242" s="929"/>
      <c r="G1242" s="929"/>
      <c r="H1242" s="929"/>
      <c r="I1242" s="929"/>
      <c r="J1242" s="929"/>
      <c r="K1242" s="929"/>
      <c r="L1242" s="929"/>
      <c r="M1242" s="929"/>
    </row>
    <row r="1243" spans="5:15" x14ac:dyDescent="0.25">
      <c r="E1243" s="931"/>
      <c r="F1243" s="929"/>
      <c r="G1243" s="929"/>
      <c r="H1243" s="929"/>
      <c r="I1243" s="929"/>
      <c r="J1243" s="929"/>
      <c r="K1243" s="929"/>
      <c r="L1243" s="929"/>
      <c r="M1243" s="929"/>
    </row>
    <row r="1244" spans="5:15" x14ac:dyDescent="0.25">
      <c r="E1244" s="931"/>
      <c r="F1244" s="929"/>
      <c r="G1244" s="929"/>
      <c r="H1244" s="929"/>
      <c r="I1244" s="929"/>
      <c r="J1244" s="929"/>
      <c r="K1244" s="929"/>
      <c r="L1244" s="929"/>
      <c r="M1244" s="929"/>
      <c r="N1244" s="929"/>
      <c r="O1244" s="929"/>
    </row>
    <row r="1245" spans="5:15" x14ac:dyDescent="0.25">
      <c r="N1245" s="929"/>
      <c r="O1245" s="929"/>
    </row>
    <row r="1246" spans="5:15" x14ac:dyDescent="0.25">
      <c r="E1246" s="931"/>
      <c r="N1246" s="929"/>
      <c r="O1246" s="929"/>
    </row>
    <row r="1247" spans="5:15" x14ac:dyDescent="0.25">
      <c r="E1247" s="931"/>
      <c r="F1247" s="929"/>
      <c r="G1247" s="929"/>
      <c r="H1247" s="929"/>
      <c r="I1247" s="929"/>
      <c r="J1247" s="929"/>
      <c r="K1247" s="929"/>
      <c r="L1247" s="929"/>
      <c r="M1247" s="929"/>
      <c r="N1247" s="929"/>
      <c r="O1247" s="929"/>
    </row>
    <row r="1248" spans="5:15" x14ac:dyDescent="0.25">
      <c r="E1248" s="931"/>
      <c r="F1248" s="929"/>
      <c r="G1248" s="929"/>
      <c r="H1248" s="929"/>
      <c r="I1248" s="929"/>
      <c r="J1248" s="929"/>
      <c r="K1248" s="929"/>
      <c r="L1248" s="929"/>
      <c r="M1248" s="929"/>
      <c r="N1248" s="929"/>
      <c r="O1248" s="929"/>
    </row>
    <row r="1249" spans="5:15" x14ac:dyDescent="0.25">
      <c r="E1249" s="931"/>
      <c r="F1249" s="929"/>
      <c r="G1249" s="929"/>
      <c r="H1249" s="929"/>
      <c r="I1249" s="929"/>
      <c r="J1249" s="929"/>
      <c r="K1249" s="929"/>
      <c r="L1249" s="929"/>
      <c r="M1249" s="929"/>
    </row>
    <row r="1250" spans="5:15" x14ac:dyDescent="0.25">
      <c r="E1250" s="931"/>
      <c r="F1250" s="929"/>
      <c r="G1250" s="929"/>
      <c r="H1250" s="929"/>
      <c r="I1250" s="929"/>
      <c r="J1250" s="929"/>
      <c r="K1250" s="929"/>
      <c r="L1250" s="929"/>
      <c r="M1250" s="929"/>
    </row>
    <row r="1251" spans="5:15" x14ac:dyDescent="0.25">
      <c r="E1251" s="931"/>
      <c r="F1251" s="929"/>
      <c r="G1251" s="929"/>
      <c r="H1251" s="929"/>
      <c r="I1251" s="929"/>
      <c r="J1251" s="929"/>
      <c r="K1251" s="929"/>
      <c r="L1251" s="929"/>
      <c r="M1251" s="929"/>
    </row>
    <row r="1252" spans="5:15" x14ac:dyDescent="0.25">
      <c r="F1252" s="929"/>
    </row>
    <row r="1255" spans="5:15" x14ac:dyDescent="0.25">
      <c r="N1255" s="929"/>
      <c r="O1255" s="929"/>
    </row>
    <row r="1256" spans="5:15" x14ac:dyDescent="0.25">
      <c r="N1256" s="929"/>
      <c r="O1256" s="929"/>
    </row>
    <row r="1257" spans="5:15" x14ac:dyDescent="0.25">
      <c r="N1257" s="929"/>
      <c r="O1257" s="929"/>
    </row>
    <row r="1258" spans="5:15" x14ac:dyDescent="0.25">
      <c r="F1258" s="929"/>
      <c r="G1258" s="929"/>
      <c r="H1258" s="929"/>
      <c r="I1258" s="929"/>
      <c r="J1258" s="929"/>
      <c r="K1258" s="929"/>
      <c r="L1258" s="929"/>
      <c r="M1258" s="929"/>
      <c r="N1258" s="929"/>
      <c r="O1258" s="929"/>
    </row>
    <row r="1259" spans="5:15" x14ac:dyDescent="0.25">
      <c r="F1259" s="929"/>
      <c r="G1259" s="929"/>
      <c r="H1259" s="929"/>
      <c r="I1259" s="929"/>
      <c r="J1259" s="929"/>
      <c r="K1259" s="929"/>
      <c r="L1259" s="929"/>
      <c r="M1259" s="929"/>
      <c r="N1259" s="929"/>
      <c r="O1259" s="929"/>
    </row>
    <row r="1260" spans="5:15" x14ac:dyDescent="0.25">
      <c r="F1260" s="929"/>
      <c r="G1260" s="929"/>
      <c r="H1260" s="929"/>
      <c r="I1260" s="929"/>
      <c r="J1260" s="929"/>
      <c r="K1260" s="929"/>
      <c r="L1260" s="929"/>
      <c r="M1260" s="929"/>
      <c r="N1260" s="929"/>
      <c r="O1260" s="929"/>
    </row>
    <row r="1261" spans="5:15" x14ac:dyDescent="0.25">
      <c r="F1261" s="929"/>
      <c r="G1261" s="929"/>
      <c r="H1261" s="929"/>
      <c r="I1261" s="929"/>
      <c r="J1261" s="929"/>
      <c r="K1261" s="929"/>
      <c r="L1261" s="929"/>
      <c r="M1261" s="929"/>
      <c r="N1261" s="929"/>
      <c r="O1261" s="929"/>
    </row>
    <row r="1262" spans="5:15" x14ac:dyDescent="0.25">
      <c r="F1262" s="929"/>
      <c r="G1262" s="929"/>
      <c r="H1262" s="929"/>
      <c r="I1262" s="929"/>
      <c r="J1262" s="929"/>
      <c r="K1262" s="929"/>
      <c r="L1262" s="929"/>
      <c r="M1262" s="929"/>
    </row>
    <row r="1263" spans="5:15" x14ac:dyDescent="0.25">
      <c r="F1263" s="929"/>
      <c r="G1263" s="929"/>
      <c r="H1263" s="929"/>
      <c r="I1263" s="929"/>
      <c r="J1263" s="929"/>
      <c r="K1263" s="929"/>
      <c r="L1263" s="929"/>
      <c r="M1263" s="929"/>
    </row>
    <row r="1264" spans="5:15" x14ac:dyDescent="0.25">
      <c r="F1264" s="929"/>
      <c r="G1264" s="929"/>
      <c r="H1264" s="929"/>
      <c r="I1264" s="929"/>
      <c r="J1264" s="929"/>
      <c r="K1264" s="929"/>
      <c r="L1264" s="929"/>
      <c r="M1264" s="929"/>
    </row>
    <row r="1269" spans="6:15" x14ac:dyDescent="0.25">
      <c r="N1269" s="929"/>
      <c r="O1269" s="929"/>
    </row>
    <row r="1270" spans="6:15" x14ac:dyDescent="0.25">
      <c r="N1270" s="929"/>
      <c r="O1270" s="929"/>
    </row>
    <row r="1271" spans="6:15" x14ac:dyDescent="0.25">
      <c r="N1271" s="929"/>
      <c r="O1271" s="929"/>
    </row>
    <row r="1272" spans="6:15" x14ac:dyDescent="0.25">
      <c r="F1272" s="929"/>
      <c r="G1272" s="929"/>
      <c r="H1272" s="929"/>
      <c r="I1272" s="929"/>
      <c r="J1272" s="929"/>
      <c r="K1272" s="929"/>
      <c r="L1272" s="929"/>
      <c r="M1272" s="929"/>
      <c r="N1272" s="929"/>
      <c r="O1272" s="929"/>
    </row>
    <row r="1273" spans="6:15" x14ac:dyDescent="0.25">
      <c r="F1273" s="929"/>
      <c r="G1273" s="929"/>
      <c r="H1273" s="929"/>
      <c r="I1273" s="929"/>
      <c r="J1273" s="929"/>
      <c r="K1273" s="929"/>
      <c r="L1273" s="929"/>
      <c r="M1273" s="929"/>
      <c r="N1273" s="929"/>
      <c r="O1273" s="929"/>
    </row>
    <row r="1274" spans="6:15" x14ac:dyDescent="0.25">
      <c r="F1274" s="929"/>
      <c r="G1274" s="929"/>
      <c r="H1274" s="929"/>
      <c r="I1274" s="929"/>
      <c r="J1274" s="929"/>
      <c r="K1274" s="929"/>
      <c r="L1274" s="929"/>
      <c r="M1274" s="929"/>
      <c r="N1274" s="929"/>
      <c r="O1274" s="929"/>
    </row>
    <row r="1275" spans="6:15" x14ac:dyDescent="0.25">
      <c r="F1275" s="929"/>
      <c r="G1275" s="929"/>
      <c r="H1275" s="929"/>
      <c r="I1275" s="929"/>
      <c r="J1275" s="929"/>
      <c r="K1275" s="929"/>
      <c r="L1275" s="929"/>
      <c r="M1275" s="929"/>
      <c r="N1275" s="929"/>
      <c r="O1275" s="929"/>
    </row>
    <row r="1276" spans="6:15" x14ac:dyDescent="0.25">
      <c r="F1276" s="929"/>
      <c r="G1276" s="929"/>
      <c r="H1276" s="929"/>
      <c r="I1276" s="929"/>
      <c r="J1276" s="929"/>
      <c r="K1276" s="929"/>
      <c r="L1276" s="929"/>
      <c r="M1276" s="929"/>
      <c r="N1276" s="929"/>
      <c r="O1276" s="929"/>
    </row>
    <row r="1277" spans="6:15" x14ac:dyDescent="0.25">
      <c r="F1277" s="929"/>
      <c r="G1277" s="929"/>
      <c r="H1277" s="929"/>
      <c r="I1277" s="929"/>
      <c r="J1277" s="929"/>
      <c r="K1277" s="929"/>
      <c r="L1277" s="929"/>
      <c r="M1277" s="929"/>
      <c r="N1277" s="929"/>
      <c r="O1277" s="929"/>
    </row>
    <row r="1278" spans="6:15" x14ac:dyDescent="0.25">
      <c r="F1278" s="929"/>
      <c r="G1278" s="929"/>
      <c r="H1278" s="929"/>
      <c r="I1278" s="929"/>
      <c r="J1278" s="929"/>
      <c r="K1278" s="929"/>
      <c r="L1278" s="929"/>
      <c r="M1278" s="929"/>
      <c r="N1278" s="929"/>
      <c r="O1278" s="929"/>
    </row>
    <row r="1279" spans="6:15" x14ac:dyDescent="0.25">
      <c r="F1279" s="929"/>
      <c r="G1279" s="929"/>
      <c r="H1279" s="929"/>
      <c r="I1279" s="929"/>
      <c r="J1279" s="929"/>
      <c r="K1279" s="929"/>
      <c r="L1279" s="929"/>
      <c r="M1279" s="929"/>
      <c r="N1279" s="929"/>
      <c r="O1279" s="929"/>
    </row>
    <row r="1280" spans="6:15" x14ac:dyDescent="0.25">
      <c r="F1280" s="929"/>
      <c r="G1280" s="929"/>
      <c r="H1280" s="929"/>
      <c r="I1280" s="929"/>
      <c r="J1280" s="929"/>
      <c r="K1280" s="929"/>
      <c r="L1280" s="929"/>
      <c r="M1280" s="929"/>
      <c r="N1280" s="929"/>
      <c r="O1280" s="929"/>
    </row>
    <row r="1281" spans="6:15" x14ac:dyDescent="0.25">
      <c r="F1281" s="929"/>
      <c r="G1281" s="929"/>
      <c r="H1281" s="929"/>
      <c r="I1281" s="929"/>
      <c r="J1281" s="929"/>
      <c r="K1281" s="929"/>
      <c r="L1281" s="929"/>
      <c r="M1281" s="929"/>
    </row>
    <row r="1282" spans="6:15" x14ac:dyDescent="0.25">
      <c r="F1282" s="929"/>
      <c r="G1282" s="929"/>
      <c r="H1282" s="929"/>
      <c r="I1282" s="929"/>
      <c r="J1282" s="929"/>
      <c r="K1282" s="929"/>
      <c r="L1282" s="929"/>
      <c r="M1282" s="929"/>
      <c r="N1282" s="929"/>
      <c r="O1282" s="929"/>
    </row>
    <row r="1283" spans="6:15" x14ac:dyDescent="0.25">
      <c r="F1283" s="929"/>
      <c r="G1283" s="929"/>
      <c r="H1283" s="929"/>
      <c r="I1283" s="929"/>
      <c r="J1283" s="929"/>
      <c r="K1283" s="929"/>
      <c r="L1283" s="929"/>
      <c r="M1283" s="929"/>
      <c r="N1283" s="929"/>
      <c r="O1283" s="929"/>
    </row>
    <row r="1284" spans="6:15" x14ac:dyDescent="0.25">
      <c r="N1284" s="929"/>
      <c r="O1284" s="929"/>
    </row>
    <row r="1285" spans="6:15" x14ac:dyDescent="0.25">
      <c r="F1285" s="929"/>
      <c r="G1285" s="929"/>
      <c r="H1285" s="929"/>
      <c r="I1285" s="929"/>
      <c r="J1285" s="929"/>
      <c r="K1285" s="929"/>
      <c r="L1285" s="929"/>
      <c r="M1285" s="929"/>
      <c r="N1285" s="929"/>
      <c r="O1285" s="929"/>
    </row>
    <row r="1286" spans="6:15" x14ac:dyDescent="0.25">
      <c r="F1286" s="929"/>
      <c r="G1286" s="929"/>
      <c r="H1286" s="929"/>
      <c r="I1286" s="929"/>
      <c r="J1286" s="929"/>
      <c r="K1286" s="929"/>
      <c r="L1286" s="929"/>
      <c r="M1286" s="929"/>
      <c r="N1286" s="929"/>
      <c r="O1286" s="929"/>
    </row>
    <row r="1287" spans="6:15" x14ac:dyDescent="0.25">
      <c r="F1287" s="929"/>
      <c r="G1287" s="929"/>
      <c r="H1287" s="929"/>
      <c r="I1287" s="929"/>
      <c r="J1287" s="929"/>
      <c r="K1287" s="929"/>
      <c r="L1287" s="929"/>
      <c r="M1287" s="929"/>
      <c r="N1287" s="929"/>
      <c r="O1287" s="929"/>
    </row>
    <row r="1288" spans="6:15" x14ac:dyDescent="0.25">
      <c r="F1288" s="929"/>
      <c r="G1288" s="929"/>
      <c r="H1288" s="929"/>
      <c r="I1288" s="929"/>
      <c r="J1288" s="929"/>
      <c r="K1288" s="929"/>
      <c r="L1288" s="929"/>
      <c r="M1288" s="929"/>
      <c r="N1288" s="929"/>
      <c r="O1288" s="929"/>
    </row>
    <row r="1289" spans="6:15" x14ac:dyDescent="0.25">
      <c r="F1289" s="929"/>
      <c r="G1289" s="929"/>
      <c r="H1289" s="929"/>
      <c r="I1289" s="929"/>
      <c r="J1289" s="929"/>
      <c r="K1289" s="929"/>
      <c r="L1289" s="929"/>
      <c r="M1289" s="929"/>
    </row>
    <row r="1290" spans="6:15" x14ac:dyDescent="0.25">
      <c r="F1290" s="929"/>
      <c r="G1290" s="929"/>
      <c r="H1290" s="929"/>
      <c r="I1290" s="929"/>
      <c r="J1290" s="929"/>
      <c r="K1290" s="929"/>
      <c r="L1290" s="929"/>
      <c r="M1290" s="929"/>
      <c r="N1290" s="929"/>
      <c r="O1290" s="929"/>
    </row>
    <row r="1291" spans="6:15" x14ac:dyDescent="0.25">
      <c r="F1291" s="929"/>
      <c r="G1291" s="929"/>
      <c r="H1291" s="929"/>
      <c r="I1291" s="929"/>
      <c r="J1291" s="929"/>
      <c r="K1291" s="929"/>
      <c r="L1291" s="929"/>
      <c r="M1291" s="929"/>
      <c r="N1291" s="929"/>
      <c r="O1291" s="929"/>
    </row>
    <row r="1292" spans="6:15" x14ac:dyDescent="0.25">
      <c r="N1292" s="929"/>
      <c r="O1292" s="929"/>
    </row>
    <row r="1293" spans="6:15" x14ac:dyDescent="0.25">
      <c r="F1293" s="929"/>
      <c r="G1293" s="929"/>
      <c r="H1293" s="929"/>
      <c r="I1293" s="929"/>
      <c r="J1293" s="929"/>
      <c r="K1293" s="929"/>
      <c r="L1293" s="929"/>
      <c r="M1293" s="929"/>
      <c r="N1293" s="929"/>
      <c r="O1293" s="929"/>
    </row>
    <row r="1294" spans="6:15" x14ac:dyDescent="0.25">
      <c r="F1294" s="929"/>
      <c r="G1294" s="929"/>
      <c r="H1294" s="929"/>
      <c r="I1294" s="929"/>
      <c r="J1294" s="929"/>
      <c r="K1294" s="929"/>
      <c r="L1294" s="929"/>
      <c r="M1294" s="929"/>
    </row>
    <row r="1295" spans="6:15" x14ac:dyDescent="0.25">
      <c r="F1295" s="929"/>
      <c r="G1295" s="929"/>
      <c r="H1295" s="929"/>
      <c r="I1295" s="929"/>
      <c r="J1295" s="929"/>
      <c r="K1295" s="929"/>
      <c r="L1295" s="929"/>
      <c r="M1295" s="929"/>
    </row>
    <row r="1296" spans="6:15" x14ac:dyDescent="0.25">
      <c r="F1296" s="929"/>
      <c r="G1296" s="929"/>
      <c r="H1296" s="929"/>
      <c r="I1296" s="929"/>
      <c r="J1296" s="929"/>
      <c r="K1296" s="929"/>
      <c r="L1296" s="929"/>
      <c r="M1296" s="929"/>
    </row>
    <row r="1301" spans="6:15" x14ac:dyDescent="0.25">
      <c r="N1301" s="929"/>
      <c r="O1301" s="929"/>
    </row>
    <row r="1302" spans="6:15" x14ac:dyDescent="0.25">
      <c r="N1302" s="929"/>
      <c r="O1302" s="929"/>
    </row>
    <row r="1304" spans="6:15" x14ac:dyDescent="0.25">
      <c r="F1304" s="929"/>
      <c r="G1304" s="929"/>
      <c r="H1304" s="929"/>
      <c r="I1304" s="929"/>
      <c r="J1304" s="929"/>
      <c r="K1304" s="929"/>
      <c r="L1304" s="929"/>
      <c r="M1304" s="929"/>
    </row>
    <row r="1305" spans="6:15" x14ac:dyDescent="0.25">
      <c r="F1305" s="929"/>
      <c r="G1305" s="929"/>
      <c r="H1305" s="929"/>
      <c r="I1305" s="929"/>
      <c r="J1305" s="929"/>
      <c r="K1305" s="929"/>
      <c r="L1305" s="929"/>
      <c r="M1305" s="929"/>
    </row>
    <row r="1310" spans="6:15" x14ac:dyDescent="0.25">
      <c r="N1310" s="929"/>
      <c r="O1310" s="929"/>
    </row>
    <row r="1311" spans="6:15" x14ac:dyDescent="0.25">
      <c r="N1311" s="929"/>
      <c r="O1311" s="929"/>
    </row>
    <row r="1312" spans="6:15" x14ac:dyDescent="0.25">
      <c r="N1312" s="929"/>
      <c r="O1312" s="929"/>
    </row>
    <row r="1313" spans="6:16" x14ac:dyDescent="0.25">
      <c r="F1313" s="929"/>
      <c r="G1313" s="929"/>
      <c r="H1313" s="929"/>
      <c r="I1313" s="929"/>
      <c r="J1313" s="929"/>
      <c r="K1313" s="929"/>
      <c r="L1313" s="929"/>
      <c r="M1313" s="929"/>
      <c r="N1313" s="929"/>
      <c r="O1313" s="929"/>
    </row>
    <row r="1314" spans="6:16" x14ac:dyDescent="0.25">
      <c r="F1314" s="929"/>
      <c r="G1314" s="929"/>
      <c r="H1314" s="929"/>
      <c r="I1314" s="929"/>
      <c r="J1314" s="929"/>
      <c r="K1314" s="929"/>
      <c r="L1314" s="929"/>
      <c r="M1314" s="929"/>
      <c r="N1314" s="929"/>
      <c r="O1314" s="929"/>
      <c r="P1314" s="930"/>
    </row>
    <row r="1315" spans="6:16" x14ac:dyDescent="0.25">
      <c r="F1315" s="929"/>
      <c r="G1315" s="929"/>
      <c r="H1315" s="929"/>
      <c r="I1315" s="929"/>
      <c r="J1315" s="929"/>
      <c r="K1315" s="929"/>
      <c r="L1315" s="929"/>
      <c r="M1315" s="929"/>
      <c r="N1315" s="929"/>
      <c r="O1315" s="929"/>
      <c r="P1315" s="930"/>
    </row>
    <row r="1316" spans="6:16" x14ac:dyDescent="0.25">
      <c r="F1316" s="929"/>
      <c r="G1316" s="929"/>
      <c r="H1316" s="929"/>
      <c r="I1316" s="929"/>
      <c r="J1316" s="929"/>
      <c r="K1316" s="929"/>
      <c r="L1316" s="929"/>
      <c r="M1316" s="929"/>
      <c r="P1316" s="930"/>
    </row>
    <row r="1317" spans="6:16" x14ac:dyDescent="0.25">
      <c r="F1317" s="929"/>
      <c r="G1317" s="929"/>
      <c r="H1317" s="929"/>
      <c r="I1317" s="929"/>
      <c r="J1317" s="929"/>
      <c r="K1317" s="929"/>
      <c r="L1317" s="929"/>
      <c r="M1317" s="929"/>
    </row>
    <row r="1318" spans="6:16" x14ac:dyDescent="0.25">
      <c r="F1318" s="929"/>
      <c r="G1318" s="929"/>
      <c r="H1318" s="929"/>
      <c r="I1318" s="929"/>
      <c r="J1318" s="929"/>
      <c r="K1318" s="929"/>
      <c r="L1318" s="929"/>
      <c r="M1318" s="929"/>
    </row>
  </sheetData>
  <hyperlinks>
    <hyperlink ref="F286" r:id="rId1"/>
    <hyperlink ref="F285" r:id="rId2"/>
  </hyperlinks>
  <pageMargins left="0.7" right="0.7" top="0.75" bottom="0.75" header="0.3" footer="0.3"/>
  <pageSetup orientation="portrait" verticalDpi="0" r:id="rId3"/>
  <ignoredErrors>
    <ignoredError sqref="H801:M801 F17:M17" numberStoredAsText="1"/>
  </ignoredErrors>
  <tableParts count="1">
    <tablePart r:id="rId4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AH645"/>
  <sheetViews>
    <sheetView topLeftCell="D524" zoomScale="70" zoomScaleNormal="70" workbookViewId="0">
      <selection activeCell="M575" sqref="M575"/>
    </sheetView>
  </sheetViews>
  <sheetFormatPr baseColWidth="10" defaultColWidth="9.140625" defaultRowHeight="15" outlineLevelRow="2" x14ac:dyDescent="0.25"/>
  <cols>
    <col min="1" max="2" width="9.140625" style="1009"/>
    <col min="3" max="3" width="41.28515625" style="1009" customWidth="1"/>
    <col min="4" max="4" width="52.5703125" style="1009" customWidth="1"/>
    <col min="5" max="5" width="23.7109375" style="1009" customWidth="1"/>
    <col min="6" max="13" width="23.140625" style="1009" customWidth="1"/>
    <col min="14" max="14" width="12.85546875" style="1009" customWidth="1"/>
    <col min="15" max="16" width="10.7109375" style="1009" customWidth="1"/>
    <col min="17" max="17" width="15.7109375" style="1009" bestFit="1" customWidth="1"/>
    <col min="18" max="16384" width="9.140625" style="1009"/>
  </cols>
  <sheetData>
    <row r="1" spans="1:34" ht="20.25" x14ac:dyDescent="0.3">
      <c r="A1" s="1008" t="s">
        <v>579</v>
      </c>
      <c r="B1" s="1008" t="s">
        <v>420</v>
      </c>
      <c r="C1" s="1008"/>
    </row>
    <row r="2" spans="1:34" s="1011" customFormat="1" ht="19.5" customHeight="1" x14ac:dyDescent="0.25">
      <c r="A2" s="1010" t="s">
        <v>421</v>
      </c>
      <c r="B2" s="1010" t="str">
        <f>INDEX(Modulos[Modulos], MATCH($A2, Modulos[Código], 0))</f>
        <v>Transporte de pasajeros</v>
      </c>
      <c r="C2" s="1010"/>
      <c r="E2" s="259"/>
      <c r="O2" s="1009"/>
      <c r="P2" s="1009"/>
    </row>
    <row r="3" spans="1:34" x14ac:dyDescent="0.25">
      <c r="E3" s="1012"/>
      <c r="F3" s="1012"/>
      <c r="G3" s="1012"/>
      <c r="H3" s="1012"/>
      <c r="I3" s="1012"/>
      <c r="J3" s="1012"/>
      <c r="K3" s="1012"/>
      <c r="L3" s="1012"/>
    </row>
    <row r="4" spans="1:34" ht="23.25" collapsed="1" x14ac:dyDescent="0.35">
      <c r="A4" s="1013"/>
      <c r="B4" s="1014" t="s">
        <v>144</v>
      </c>
      <c r="C4" s="1015"/>
      <c r="D4" s="1015"/>
      <c r="E4" s="1015"/>
      <c r="F4" s="1015"/>
      <c r="G4" s="1015"/>
      <c r="H4" s="1015"/>
      <c r="I4" s="1015"/>
      <c r="J4" s="1015"/>
      <c r="K4" s="1015"/>
      <c r="L4" s="1015"/>
      <c r="M4" s="1015"/>
      <c r="N4" s="1015"/>
    </row>
    <row r="5" spans="1:34" x14ac:dyDescent="0.25">
      <c r="B5" s="1016"/>
      <c r="C5" s="1017"/>
      <c r="D5" s="1017"/>
      <c r="E5" s="1017"/>
      <c r="F5" s="1017"/>
      <c r="G5" s="1017"/>
      <c r="H5" s="1017"/>
      <c r="I5" s="1017"/>
      <c r="J5" s="1017"/>
      <c r="K5" s="1017"/>
      <c r="L5" s="1017"/>
      <c r="M5" s="1017"/>
      <c r="N5" s="1017"/>
    </row>
    <row r="6" spans="1:34" ht="5.25" customHeight="1" x14ac:dyDescent="0.25">
      <c r="B6" s="1016"/>
      <c r="C6" s="1018"/>
      <c r="D6" s="1017"/>
      <c r="E6" s="1019"/>
      <c r="F6" s="1017"/>
      <c r="G6" s="1017"/>
      <c r="H6" s="1017"/>
      <c r="I6" s="1017"/>
      <c r="J6" s="1017"/>
      <c r="K6" s="1017"/>
      <c r="L6" s="1017"/>
      <c r="M6" s="1017"/>
      <c r="N6" s="1017"/>
    </row>
    <row r="7" spans="1:34" ht="15.75" x14ac:dyDescent="0.25">
      <c r="B7" s="1020"/>
      <c r="C7" s="1017"/>
      <c r="D7" s="1021" t="s">
        <v>2</v>
      </c>
      <c r="E7" s="1021" t="s">
        <v>3</v>
      </c>
      <c r="F7" s="1017"/>
      <c r="G7" s="1017"/>
      <c r="H7" s="1017"/>
      <c r="I7" s="1017"/>
      <c r="J7" s="1017"/>
      <c r="K7" s="1017"/>
      <c r="L7" s="1017"/>
      <c r="M7" s="1017"/>
      <c r="N7" s="1017"/>
    </row>
    <row r="8" spans="1:34" ht="15.75" x14ac:dyDescent="0.25">
      <c r="B8" s="1020"/>
      <c r="C8" s="3092" t="s">
        <v>1967</v>
      </c>
      <c r="D8" s="3575" t="s">
        <v>2182</v>
      </c>
      <c r="E8" s="3576">
        <f>Control!F76</f>
        <v>1</v>
      </c>
      <c r="F8" s="1017"/>
      <c r="G8" s="3539"/>
      <c r="H8" s="3540"/>
      <c r="I8" s="3540"/>
      <c r="J8" s="3540"/>
      <c r="K8" s="3540"/>
      <c r="L8" s="1017"/>
      <c r="M8" s="1017"/>
      <c r="N8" s="1017"/>
    </row>
    <row r="9" spans="1:34" ht="15.75" x14ac:dyDescent="0.25">
      <c r="B9" s="1020"/>
      <c r="C9" s="3034" t="s">
        <v>1968</v>
      </c>
      <c r="D9" s="3108" t="s">
        <v>2183</v>
      </c>
      <c r="E9" s="1022">
        <f>Control!F77</f>
        <v>1</v>
      </c>
      <c r="F9" s="1017"/>
      <c r="G9" s="1017"/>
      <c r="H9" s="1017"/>
      <c r="I9" s="1017"/>
      <c r="J9" s="1017"/>
      <c r="K9" s="1017"/>
      <c r="L9" s="1017"/>
      <c r="M9" s="1017"/>
      <c r="N9" s="1017"/>
    </row>
    <row r="10" spans="1:34" ht="15.75" x14ac:dyDescent="0.25">
      <c r="B10" s="1020"/>
      <c r="C10" s="3034" t="s">
        <v>1969</v>
      </c>
      <c r="D10" s="3108" t="s">
        <v>921</v>
      </c>
      <c r="E10" s="1022">
        <f>Control!F78</f>
        <v>1</v>
      </c>
      <c r="F10" s="1017"/>
      <c r="G10" s="3542"/>
      <c r="H10" s="3539"/>
      <c r="I10" s="3539"/>
      <c r="J10" s="3539"/>
      <c r="K10" s="3539"/>
      <c r="L10" s="1017"/>
      <c r="M10" s="1017"/>
      <c r="N10" s="1017"/>
    </row>
    <row r="11" spans="1:34" ht="15.75" x14ac:dyDescent="0.25">
      <c r="B11" s="1020"/>
      <c r="C11" s="3034" t="s">
        <v>1970</v>
      </c>
      <c r="D11" s="3541" t="s">
        <v>2181</v>
      </c>
      <c r="E11" s="1022">
        <v>1</v>
      </c>
      <c r="F11" s="1017"/>
      <c r="G11" s="1017"/>
      <c r="H11" s="1017"/>
      <c r="I11" s="1017"/>
      <c r="J11" s="1017"/>
      <c r="K11" s="1017"/>
      <c r="L11" s="1017"/>
      <c r="M11" s="1017"/>
      <c r="N11" s="1017"/>
    </row>
    <row r="12" spans="1:34" ht="15.75" x14ac:dyDescent="0.25">
      <c r="B12" s="1020"/>
      <c r="C12" s="3034" t="s">
        <v>1971</v>
      </c>
      <c r="D12" s="3541" t="s">
        <v>2324</v>
      </c>
      <c r="E12" s="1022">
        <f>Control!F79</f>
        <v>1</v>
      </c>
      <c r="F12" s="1017"/>
      <c r="G12" s="3539"/>
      <c r="H12" s="1017"/>
      <c r="I12" s="1017"/>
      <c r="J12" s="1017"/>
      <c r="K12" s="1017"/>
      <c r="L12" s="1017"/>
      <c r="M12" s="1017"/>
      <c r="N12" s="1017"/>
    </row>
    <row r="13" spans="1:34" ht="15.75" x14ac:dyDescent="0.25">
      <c r="B13" s="1020"/>
      <c r="C13" s="3034" t="s">
        <v>1972</v>
      </c>
      <c r="D13" s="3109" t="s">
        <v>2180</v>
      </c>
      <c r="E13" s="3577">
        <v>1</v>
      </c>
      <c r="F13" s="1017"/>
      <c r="G13" s="1017"/>
      <c r="H13" s="1017"/>
      <c r="I13" s="1017"/>
      <c r="J13" s="1017"/>
      <c r="K13" s="1017"/>
      <c r="L13" s="1017"/>
      <c r="M13" s="1017"/>
      <c r="N13" s="1017"/>
    </row>
    <row r="14" spans="1:34" ht="15.75" x14ac:dyDescent="0.25">
      <c r="B14" s="1020"/>
      <c r="C14" s="1017"/>
      <c r="D14" s="1022"/>
      <c r="E14" s="1022"/>
      <c r="F14" s="1017"/>
      <c r="G14" s="1017"/>
      <c r="H14" s="1017"/>
      <c r="I14" s="1017"/>
      <c r="J14" s="1017"/>
      <c r="K14" s="1017"/>
      <c r="L14" s="1017"/>
      <c r="M14" s="1017"/>
      <c r="N14" s="1017"/>
    </row>
    <row r="16" spans="1:34" ht="15.75" x14ac:dyDescent="0.25">
      <c r="A16" s="1023"/>
      <c r="B16" s="1024" t="s">
        <v>323</v>
      </c>
      <c r="C16" s="1025"/>
      <c r="D16" s="1026"/>
      <c r="E16" s="1027"/>
      <c r="F16" s="1026"/>
      <c r="G16" s="1026"/>
      <c r="H16" s="1026"/>
      <c r="I16" s="1026"/>
      <c r="J16" s="1026"/>
      <c r="K16" s="1026"/>
      <c r="L16" s="1026"/>
      <c r="M16" s="1026"/>
      <c r="N16" s="1026"/>
      <c r="AE16" s="1028"/>
      <c r="AF16" s="1029"/>
      <c r="AG16" s="1029"/>
      <c r="AH16" s="1030"/>
    </row>
    <row r="17" spans="1:34" ht="15.75" x14ac:dyDescent="0.25">
      <c r="A17" s="1023"/>
      <c r="B17" s="1031"/>
      <c r="C17" s="1032"/>
      <c r="D17" s="1032"/>
      <c r="E17" s="1032"/>
      <c r="F17" s="1033"/>
      <c r="G17" s="1033"/>
      <c r="H17" s="1033"/>
      <c r="I17" s="1033"/>
      <c r="J17" s="1033"/>
      <c r="K17" s="1033"/>
      <c r="L17" s="1033"/>
      <c r="M17" s="1033"/>
      <c r="N17" s="1033"/>
      <c r="AE17" s="1028"/>
      <c r="AF17" s="1029"/>
      <c r="AG17" s="1029"/>
      <c r="AH17" s="1030"/>
    </row>
    <row r="18" spans="1:34" ht="15.75" x14ac:dyDescent="0.25">
      <c r="A18" s="1023"/>
      <c r="B18" s="1040"/>
      <c r="C18" s="1034" t="s">
        <v>1951</v>
      </c>
      <c r="D18" s="1035"/>
      <c r="E18" s="1035"/>
      <c r="F18" s="1035"/>
      <c r="G18" s="1035"/>
      <c r="H18" s="1035"/>
      <c r="I18" s="1035"/>
      <c r="J18" s="1035"/>
      <c r="K18" s="1035"/>
      <c r="L18" s="1035"/>
      <c r="M18" s="2732" t="s">
        <v>171</v>
      </c>
      <c r="N18" s="1035"/>
      <c r="AE18" s="1028"/>
      <c r="AF18" s="1029"/>
      <c r="AG18" s="1029"/>
      <c r="AH18" s="1030"/>
    </row>
    <row r="19" spans="1:34" ht="15.75" x14ac:dyDescent="0.25">
      <c r="A19" s="1023"/>
      <c r="B19" s="1040"/>
      <c r="C19" s="1036"/>
      <c r="D19" s="1036" t="s">
        <v>15</v>
      </c>
      <c r="E19" s="1036" t="s">
        <v>8</v>
      </c>
      <c r="F19" s="1037" t="s">
        <v>16</v>
      </c>
      <c r="G19" s="2808" t="s">
        <v>17</v>
      </c>
      <c r="H19" s="1037" t="s">
        <v>18</v>
      </c>
      <c r="I19" s="1037" t="s">
        <v>19</v>
      </c>
      <c r="J19" s="1037" t="s">
        <v>20</v>
      </c>
      <c r="K19" s="1037" t="s">
        <v>21</v>
      </c>
      <c r="L19" s="1037" t="s">
        <v>22</v>
      </c>
      <c r="M19" s="1037" t="s">
        <v>23</v>
      </c>
      <c r="N19" s="1035"/>
      <c r="AE19" s="1028"/>
      <c r="AF19" s="1029"/>
      <c r="AG19" s="1029"/>
      <c r="AH19" s="1030"/>
    </row>
    <row r="20" spans="1:34" ht="15.75" x14ac:dyDescent="0.25">
      <c r="A20" s="1023"/>
      <c r="B20" s="1040"/>
      <c r="C20" s="1038"/>
      <c r="D20" s="1038" t="s">
        <v>1900</v>
      </c>
      <c r="E20" s="1039"/>
      <c r="F20" s="2730">
        <f>D.a!F115*D.a!F59</f>
        <v>79.232293368709207</v>
      </c>
      <c r="G20" s="2730">
        <f>D.a!G115*D.a!G59</f>
        <v>85.299837036161648</v>
      </c>
      <c r="H20" s="2730">
        <f>D.a!H115*D.a!H59</f>
        <v>101.47850055412749</v>
      </c>
      <c r="I20" s="2730">
        <f>D.a!I115*D.a!I59</f>
        <v>123.7125679471021</v>
      </c>
      <c r="J20" s="2730">
        <f>D.a!J115*D.a!J59</f>
        <v>142.50252267880376</v>
      </c>
      <c r="K20" s="2730">
        <f>D.a!K115*D.a!K59</f>
        <v>155.32281992167975</v>
      </c>
      <c r="L20" s="2730">
        <f>D.a!L115*D.a!L59</f>
        <v>164.10708503893542</v>
      </c>
      <c r="M20" s="2730">
        <f>D.a!M115*D.a!M59</f>
        <v>171.05269329713286</v>
      </c>
      <c r="N20" s="1035"/>
      <c r="AE20" s="1028"/>
      <c r="AF20" s="1029"/>
      <c r="AG20" s="1029"/>
      <c r="AH20" s="1030"/>
    </row>
    <row r="21" spans="1:34" ht="15.75" x14ac:dyDescent="0.25">
      <c r="A21" s="1023"/>
      <c r="B21" s="1040"/>
      <c r="C21" s="1041"/>
      <c r="D21" s="1041"/>
      <c r="E21" s="1042"/>
      <c r="F21" s="2735"/>
      <c r="G21" s="2735"/>
      <c r="H21" s="2735"/>
      <c r="I21" s="2735"/>
      <c r="J21" s="2735"/>
      <c r="K21" s="2735"/>
      <c r="L21" s="2735"/>
      <c r="M21" s="2735"/>
      <c r="N21" s="1035"/>
      <c r="AE21" s="1028"/>
      <c r="AF21" s="1029"/>
      <c r="AG21" s="1029"/>
      <c r="AH21" s="1030"/>
    </row>
    <row r="22" spans="1:34" x14ac:dyDescent="0.25">
      <c r="A22" s="1023"/>
      <c r="AE22" s="1028"/>
      <c r="AF22" s="1029"/>
      <c r="AG22" s="1029"/>
      <c r="AH22" s="1030"/>
    </row>
    <row r="23" spans="1:34" s="1044" customFormat="1" ht="15.75" x14ac:dyDescent="0.25">
      <c r="B23" s="1045" t="s">
        <v>151</v>
      </c>
      <c r="C23" s="1046"/>
      <c r="D23" s="1046"/>
      <c r="E23" s="1047"/>
      <c r="F23" s="1047"/>
      <c r="G23" s="1047"/>
      <c r="H23" s="1047"/>
      <c r="I23" s="1047"/>
      <c r="J23" s="1047"/>
      <c r="K23" s="1047"/>
      <c r="L23" s="1047"/>
      <c r="M23" s="1047"/>
      <c r="N23" s="1047"/>
      <c r="O23" s="1009"/>
      <c r="P23" s="1009"/>
    </row>
    <row r="24" spans="1:34" x14ac:dyDescent="0.25">
      <c r="B24" s="1048"/>
      <c r="C24" s="1049"/>
      <c r="D24" s="1049"/>
      <c r="E24" s="1049"/>
      <c r="F24" s="1049"/>
      <c r="G24" s="1049"/>
      <c r="H24" s="1049"/>
      <c r="I24" s="1049"/>
      <c r="J24" s="1049"/>
      <c r="K24" s="1049"/>
      <c r="L24" s="1049"/>
      <c r="M24" s="1049"/>
      <c r="N24" s="1049"/>
    </row>
    <row r="25" spans="1:34" x14ac:dyDescent="0.25">
      <c r="B25" s="1048"/>
      <c r="C25" s="1059" t="s">
        <v>580</v>
      </c>
      <c r="D25" s="1049"/>
      <c r="E25" s="1049"/>
      <c r="F25" s="1049"/>
      <c r="G25" s="1049"/>
      <c r="H25" s="1049"/>
      <c r="I25" s="1049"/>
      <c r="J25" s="1049"/>
      <c r="K25" s="1049"/>
      <c r="L25" s="1049"/>
      <c r="M25" s="1049"/>
      <c r="N25" s="1049"/>
    </row>
    <row r="26" spans="1:34" ht="5.25" customHeight="1" x14ac:dyDescent="0.25">
      <c r="B26" s="1048"/>
      <c r="C26" s="1049"/>
      <c r="D26" s="1049"/>
      <c r="E26" s="1049"/>
      <c r="F26" s="1049"/>
      <c r="G26" s="1049"/>
      <c r="H26" s="1049"/>
      <c r="I26" s="1049"/>
      <c r="J26" s="1049"/>
      <c r="K26" s="1049"/>
      <c r="L26" s="1049"/>
      <c r="M26" s="1049"/>
      <c r="N26" s="1049"/>
    </row>
    <row r="27" spans="1:34" x14ac:dyDescent="0.25">
      <c r="B27" s="3040" t="s">
        <v>1967</v>
      </c>
      <c r="C27" s="1050" t="s">
        <v>2126</v>
      </c>
      <c r="D27" s="1049"/>
      <c r="E27" s="1051"/>
      <c r="F27" s="1049"/>
      <c r="G27" s="1049"/>
      <c r="H27" s="1049"/>
      <c r="I27" s="1049"/>
      <c r="J27" s="1049"/>
      <c r="K27" s="1049"/>
      <c r="L27" s="1049"/>
      <c r="M27" s="1051" t="s">
        <v>581</v>
      </c>
      <c r="N27" s="1049"/>
    </row>
    <row r="28" spans="1:34" ht="5.25" customHeight="1" x14ac:dyDescent="0.25">
      <c r="B28" s="1048"/>
      <c r="C28" s="1049"/>
      <c r="D28" s="1049"/>
      <c r="E28" s="1049"/>
      <c r="F28" s="1049"/>
      <c r="G28" s="1049"/>
      <c r="H28" s="1049"/>
      <c r="I28" s="1049"/>
      <c r="J28" s="1049"/>
      <c r="K28" s="1049"/>
      <c r="L28" s="1049"/>
      <c r="M28" s="1049"/>
      <c r="N28" s="1049"/>
    </row>
    <row r="29" spans="1:34" x14ac:dyDescent="0.25">
      <c r="B29" s="1048"/>
      <c r="C29" s="1052" t="s">
        <v>325</v>
      </c>
      <c r="D29" s="1052" t="s">
        <v>483</v>
      </c>
      <c r="E29" s="1052" t="s">
        <v>2096</v>
      </c>
      <c r="F29" s="1053">
        <v>2015</v>
      </c>
      <c r="G29" s="2800">
        <v>2020</v>
      </c>
      <c r="H29" s="1053">
        <v>2025</v>
      </c>
      <c r="I29" s="1053">
        <v>2030</v>
      </c>
      <c r="J29" s="1053">
        <v>2035</v>
      </c>
      <c r="K29" s="1053">
        <v>2040</v>
      </c>
      <c r="L29" s="1053">
        <v>2045</v>
      </c>
      <c r="M29" s="1053">
        <v>2050</v>
      </c>
      <c r="N29" s="1049"/>
    </row>
    <row r="30" spans="1:34" x14ac:dyDescent="0.25">
      <c r="B30" s="1048"/>
      <c r="C30" s="1054">
        <v>1</v>
      </c>
      <c r="D30" s="1055"/>
      <c r="E30" s="3041"/>
      <c r="F30" s="1061">
        <v>1.7493280254124954</v>
      </c>
      <c r="G30" s="2805">
        <v>1.7430917888324162</v>
      </c>
      <c r="H30" s="1062">
        <v>1.7382253066216153</v>
      </c>
      <c r="I30" s="1062">
        <v>1.7338158102449852</v>
      </c>
      <c r="J30" s="1062">
        <v>1.7295059193021312</v>
      </c>
      <c r="K30" s="1062">
        <v>1.7258715130865008</v>
      </c>
      <c r="L30" s="1062">
        <v>1.722335152550531</v>
      </c>
      <c r="M30" s="1062">
        <v>1.7190441154680238</v>
      </c>
      <c r="N30" s="1049"/>
    </row>
    <row r="31" spans="1:34" x14ac:dyDescent="0.25">
      <c r="B31" s="1048"/>
      <c r="C31" s="1054">
        <v>2</v>
      </c>
      <c r="D31" s="1055"/>
      <c r="E31" s="1056"/>
      <c r="F31" s="1061">
        <v>1.7493280254124954</v>
      </c>
      <c r="G31" s="2806">
        <v>1.7720029489307769</v>
      </c>
      <c r="H31" s="1063">
        <v>1.8371308551983638</v>
      </c>
      <c r="I31" s="1062">
        <v>1.9065237352090505</v>
      </c>
      <c r="J31" s="1063">
        <v>1.9017845297351124</v>
      </c>
      <c r="K31" s="1062">
        <v>1.8977880950085702</v>
      </c>
      <c r="L31" s="1062">
        <v>1.893899472435028</v>
      </c>
      <c r="M31" s="1062">
        <v>1.8902806103424241</v>
      </c>
      <c r="N31" s="1049"/>
    </row>
    <row r="32" spans="1:34" ht="15.75" x14ac:dyDescent="0.25">
      <c r="B32" s="1060"/>
      <c r="C32" s="1054">
        <v>3</v>
      </c>
      <c r="D32" s="1055"/>
      <c r="E32" s="1056"/>
      <c r="F32" s="1061">
        <v>1.7493280254124954</v>
      </c>
      <c r="G32" s="2806">
        <v>1.8013261060570043</v>
      </c>
      <c r="H32" s="1063">
        <v>1.939588991982983</v>
      </c>
      <c r="I32" s="1063">
        <v>2.0825105415360396</v>
      </c>
      <c r="J32" s="1063">
        <v>2.0773338709414304</v>
      </c>
      <c r="K32" s="1063">
        <v>2.0729685345478228</v>
      </c>
      <c r="L32" s="1063">
        <v>2.0687209621982614</v>
      </c>
      <c r="M32" s="1063">
        <v>2.0647680512971092</v>
      </c>
      <c r="N32" s="1049"/>
    </row>
    <row r="33" spans="2:14" ht="15.75" x14ac:dyDescent="0.25">
      <c r="B33" s="1060"/>
      <c r="C33" s="1064">
        <v>4</v>
      </c>
      <c r="D33" s="1065"/>
      <c r="E33" s="1065"/>
      <c r="F33" s="1066">
        <v>1.7493280254124954</v>
      </c>
      <c r="G33" s="2807">
        <v>1.8380844216374437</v>
      </c>
      <c r="H33" s="1067">
        <v>2.0702892355411104</v>
      </c>
      <c r="I33" s="1067">
        <v>2.3024940494447765</v>
      </c>
      <c r="J33" s="1067">
        <v>2.2967705474493281</v>
      </c>
      <c r="K33" s="1067">
        <v>2.291944083971889</v>
      </c>
      <c r="L33" s="1067">
        <v>2.2872478244023031</v>
      </c>
      <c r="M33" s="1067">
        <v>2.2828773524904662</v>
      </c>
      <c r="N33" s="1049"/>
    </row>
    <row r="34" spans="2:14" ht="15.75" x14ac:dyDescent="0.25">
      <c r="B34" s="1060"/>
      <c r="C34" s="1057" t="s">
        <v>153</v>
      </c>
      <c r="D34" s="1058"/>
      <c r="E34" s="1058"/>
      <c r="F34" s="176">
        <f t="shared" ref="F34:M34" si="0">(INDEX(F$30:F$33,ROUNDDOWN($E$8,0))*(1-MOD($E$8,1)))+(INDEX(F$30:F$33,ROUNDUP($E$8,0))*MOD($E$8,1))</f>
        <v>1.7493280254124954</v>
      </c>
      <c r="G34" s="2804">
        <f t="shared" si="0"/>
        <v>1.7430917888324162</v>
      </c>
      <c r="H34" s="176">
        <f t="shared" si="0"/>
        <v>1.7382253066216153</v>
      </c>
      <c r="I34" s="176">
        <f t="shared" si="0"/>
        <v>1.7338158102449852</v>
      </c>
      <c r="J34" s="176">
        <f t="shared" si="0"/>
        <v>1.7295059193021312</v>
      </c>
      <c r="K34" s="176">
        <f t="shared" si="0"/>
        <v>1.7258715130865008</v>
      </c>
      <c r="L34" s="176">
        <f t="shared" si="0"/>
        <v>1.722335152550531</v>
      </c>
      <c r="M34" s="176">
        <f t="shared" si="0"/>
        <v>1.7190441154680238</v>
      </c>
      <c r="N34" s="1049"/>
    </row>
    <row r="35" spans="2:14" ht="15.75" x14ac:dyDescent="0.25">
      <c r="B35" s="1060"/>
      <c r="C35" s="1054"/>
      <c r="D35" s="1055"/>
      <c r="E35" s="1055"/>
      <c r="F35" s="1061"/>
      <c r="G35" s="1063"/>
      <c r="H35" s="1063"/>
      <c r="I35" s="1063"/>
      <c r="J35" s="1063"/>
      <c r="K35" s="1063"/>
      <c r="L35" s="1063"/>
      <c r="M35" s="1063"/>
      <c r="N35" s="1049"/>
    </row>
    <row r="36" spans="2:14" x14ac:dyDescent="0.25">
      <c r="B36" s="3040" t="s">
        <v>1968</v>
      </c>
      <c r="C36" s="1050" t="s">
        <v>2127</v>
      </c>
      <c r="D36" s="1055"/>
      <c r="E36" s="1055"/>
      <c r="F36" s="1061"/>
      <c r="G36" s="1063"/>
      <c r="H36" s="1063"/>
      <c r="I36" s="1063"/>
      <c r="J36" s="1063"/>
      <c r="K36" s="1063"/>
      <c r="L36" s="1063"/>
      <c r="M36" s="3051" t="s">
        <v>2151</v>
      </c>
      <c r="N36" s="1049"/>
    </row>
    <row r="37" spans="2:14" ht="5.25" customHeight="1" x14ac:dyDescent="0.25">
      <c r="B37" s="1060"/>
      <c r="C37" s="1054"/>
      <c r="D37" s="1055"/>
      <c r="E37" s="1055"/>
      <c r="F37" s="1061"/>
      <c r="G37" s="1063"/>
      <c r="H37" s="1063"/>
      <c r="I37" s="1063"/>
      <c r="J37" s="1063"/>
      <c r="K37" s="1063"/>
      <c r="L37" s="1063"/>
      <c r="M37" s="1063"/>
      <c r="N37" s="1049"/>
    </row>
    <row r="38" spans="2:14" ht="15.75" x14ac:dyDescent="0.25">
      <c r="B38" s="1060"/>
      <c r="C38" s="1052" t="s">
        <v>325</v>
      </c>
      <c r="D38" s="1052" t="s">
        <v>483</v>
      </c>
      <c r="E38" s="1052" t="s">
        <v>2096</v>
      </c>
      <c r="F38" s="1053">
        <v>2015</v>
      </c>
      <c r="G38" s="2800">
        <v>2020</v>
      </c>
      <c r="H38" s="1053">
        <v>2025</v>
      </c>
      <c r="I38" s="1053">
        <v>2030</v>
      </c>
      <c r="J38" s="1053">
        <v>2035</v>
      </c>
      <c r="K38" s="1053">
        <v>2040</v>
      </c>
      <c r="L38" s="1053">
        <v>2045</v>
      </c>
      <c r="M38" s="1053">
        <v>2050</v>
      </c>
      <c r="N38" s="1049"/>
    </row>
    <row r="39" spans="2:14" ht="15.75" x14ac:dyDescent="0.25">
      <c r="B39" s="1060"/>
      <c r="C39" s="1054">
        <v>1</v>
      </c>
      <c r="D39" s="1055"/>
      <c r="E39" s="3041"/>
      <c r="F39" s="1061">
        <v>1</v>
      </c>
      <c r="G39" s="2805">
        <v>1.0638482763914314</v>
      </c>
      <c r="H39" s="1062">
        <v>1.145978962202824</v>
      </c>
      <c r="I39" s="1062">
        <v>1.236109288915062</v>
      </c>
      <c r="J39" s="1062">
        <v>1.3321096571549744</v>
      </c>
      <c r="K39" s="1062">
        <v>1.4078367854660512</v>
      </c>
      <c r="L39" s="1062">
        <v>1.5052078824676842</v>
      </c>
      <c r="M39" s="1062">
        <v>1.6068785403346257</v>
      </c>
      <c r="N39" s="1049"/>
    </row>
    <row r="40" spans="2:14" ht="15.75" x14ac:dyDescent="0.25">
      <c r="B40" s="1060"/>
      <c r="C40" s="1054">
        <v>2</v>
      </c>
      <c r="D40" s="1055"/>
      <c r="E40" s="1056"/>
      <c r="F40" s="1061">
        <v>1</v>
      </c>
      <c r="G40" s="2806">
        <v>1.0844677696239986</v>
      </c>
      <c r="H40" s="1063">
        <v>1.2226930732652632</v>
      </c>
      <c r="I40" s="1062">
        <v>1.388677479939507</v>
      </c>
      <c r="J40" s="1063">
        <v>1.565510151006873</v>
      </c>
      <c r="K40" s="1062">
        <v>1.7030034489095538</v>
      </c>
      <c r="L40" s="1062">
        <v>1.8746575674340127</v>
      </c>
      <c r="M40" s="1062">
        <v>2.0462719359856214</v>
      </c>
      <c r="N40" s="1049"/>
    </row>
    <row r="41" spans="2:14" ht="15.75" x14ac:dyDescent="0.25">
      <c r="B41" s="1060"/>
      <c r="C41" s="1054">
        <v>3</v>
      </c>
      <c r="D41" s="1055"/>
      <c r="E41" s="1056"/>
      <c r="F41" s="1061">
        <v>1</v>
      </c>
      <c r="G41" s="2806">
        <v>1.1050872628565658</v>
      </c>
      <c r="H41" s="1063">
        <v>1.2994071843277024</v>
      </c>
      <c r="I41" s="1063">
        <v>1.5412456709639519</v>
      </c>
      <c r="J41" s="1063">
        <v>1.7989106448587717</v>
      </c>
      <c r="K41" s="1063">
        <v>1.9981701123530566</v>
      </c>
      <c r="L41" s="1063">
        <v>2.2441072524003411</v>
      </c>
      <c r="M41" s="1063">
        <v>2.4856653316366168</v>
      </c>
      <c r="N41" s="1049"/>
    </row>
    <row r="42" spans="2:14" ht="15.75" x14ac:dyDescent="0.25">
      <c r="B42" s="1060"/>
      <c r="C42" s="1064">
        <v>4</v>
      </c>
      <c r="D42" s="1065"/>
      <c r="E42" s="1065"/>
      <c r="F42" s="1066">
        <v>1</v>
      </c>
      <c r="G42" s="2807">
        <v>1.1420994352164902</v>
      </c>
      <c r="H42" s="1067">
        <v>1.4520443456749084</v>
      </c>
      <c r="I42" s="1067">
        <v>1.7979476205356268</v>
      </c>
      <c r="J42" s="1067">
        <v>2.1628163933543698</v>
      </c>
      <c r="K42" s="1067">
        <v>2.4478675457678087</v>
      </c>
      <c r="L42" s="1067">
        <v>2.7705192633489735</v>
      </c>
      <c r="M42" s="1067">
        <v>3.0506654544617469</v>
      </c>
      <c r="N42" s="1049"/>
    </row>
    <row r="43" spans="2:14" ht="15.75" x14ac:dyDescent="0.25">
      <c r="B43" s="1060"/>
      <c r="C43" s="1057"/>
      <c r="D43" s="1058"/>
      <c r="E43" s="1058"/>
      <c r="F43" s="176">
        <f t="shared" ref="F43:M43" si="1">(INDEX(F$39:F$42,ROUNDDOWN($E$9,0))*(1-MOD($E$9,1)))+(INDEX(F$39:F$42,ROUNDUP($E$9,0))*MOD($E$9,1))</f>
        <v>1</v>
      </c>
      <c r="G43" s="2804">
        <f t="shared" si="1"/>
        <v>1.0638482763914314</v>
      </c>
      <c r="H43" s="176">
        <f t="shared" si="1"/>
        <v>1.145978962202824</v>
      </c>
      <c r="I43" s="176">
        <f t="shared" si="1"/>
        <v>1.236109288915062</v>
      </c>
      <c r="J43" s="176">
        <f t="shared" si="1"/>
        <v>1.3321096571549744</v>
      </c>
      <c r="K43" s="176">
        <f t="shared" si="1"/>
        <v>1.4078367854660512</v>
      </c>
      <c r="L43" s="176">
        <f t="shared" si="1"/>
        <v>1.5052078824676842</v>
      </c>
      <c r="M43" s="176">
        <f t="shared" si="1"/>
        <v>1.6068785403346257</v>
      </c>
      <c r="N43" s="1049"/>
    </row>
    <row r="44" spans="2:14" ht="15.75" x14ac:dyDescent="0.25">
      <c r="B44" s="1060"/>
      <c r="C44" s="3043" t="s">
        <v>153</v>
      </c>
      <c r="D44" s="3103" t="s">
        <v>2150</v>
      </c>
      <c r="E44" s="2840"/>
      <c r="F44" s="2839">
        <f>F43/F39</f>
        <v>1</v>
      </c>
      <c r="G44" s="2839">
        <f t="shared" ref="G44:M44" si="2">G43/G39</f>
        <v>1</v>
      </c>
      <c r="H44" s="2839">
        <f t="shared" si="2"/>
        <v>1</v>
      </c>
      <c r="I44" s="2839">
        <f t="shared" si="2"/>
        <v>1</v>
      </c>
      <c r="J44" s="2839">
        <f t="shared" si="2"/>
        <v>1</v>
      </c>
      <c r="K44" s="2839">
        <f t="shared" si="2"/>
        <v>1</v>
      </c>
      <c r="L44" s="2839">
        <f t="shared" si="2"/>
        <v>1</v>
      </c>
      <c r="M44" s="2839">
        <f t="shared" si="2"/>
        <v>1</v>
      </c>
      <c r="N44" s="1049"/>
    </row>
    <row r="45" spans="2:14" ht="15.75" x14ac:dyDescent="0.25">
      <c r="B45" s="1060"/>
      <c r="C45" s="1054"/>
      <c r="D45" s="1055"/>
      <c r="E45" s="1055"/>
      <c r="F45" s="1061"/>
      <c r="G45" s="1063"/>
      <c r="H45" s="1063"/>
      <c r="I45" s="1063"/>
      <c r="J45" s="1063"/>
      <c r="K45" s="1063"/>
      <c r="L45" s="1063"/>
      <c r="M45" s="1063"/>
      <c r="N45" s="1049"/>
    </row>
    <row r="46" spans="2:14" x14ac:dyDescent="0.25">
      <c r="B46" s="3040" t="s">
        <v>1969</v>
      </c>
      <c r="C46" s="1050" t="s">
        <v>2196</v>
      </c>
      <c r="D46" s="1055"/>
      <c r="E46" s="1055"/>
      <c r="F46" s="1061"/>
      <c r="G46" s="1063"/>
      <c r="H46" s="1063"/>
      <c r="I46" s="1063"/>
      <c r="J46" s="1063"/>
      <c r="K46" s="1063"/>
      <c r="L46" s="1063"/>
      <c r="M46" s="1063"/>
      <c r="N46" s="1049"/>
    </row>
    <row r="47" spans="2:14" ht="5.25" customHeight="1" x14ac:dyDescent="0.25">
      <c r="B47" s="1060"/>
      <c r="C47" s="1054"/>
      <c r="D47" s="1055"/>
      <c r="E47" s="1055"/>
      <c r="F47" s="1061"/>
      <c r="G47" s="1063"/>
      <c r="H47" s="1063"/>
      <c r="I47" s="1063"/>
      <c r="J47" s="1063"/>
      <c r="K47" s="1063"/>
      <c r="L47" s="1063"/>
      <c r="M47" s="1063" t="s">
        <v>190</v>
      </c>
      <c r="N47" s="1049"/>
    </row>
    <row r="48" spans="2:14" ht="15.75" x14ac:dyDescent="0.25">
      <c r="B48" s="1060"/>
      <c r="C48" s="1052" t="s">
        <v>325</v>
      </c>
      <c r="D48" s="1052" t="s">
        <v>145</v>
      </c>
      <c r="E48" s="1052" t="s">
        <v>8</v>
      </c>
      <c r="F48" s="1053">
        <v>2015</v>
      </c>
      <c r="G48" s="2800">
        <v>2020</v>
      </c>
      <c r="H48" s="1053">
        <v>2025</v>
      </c>
      <c r="I48" s="1053">
        <v>2030</v>
      </c>
      <c r="J48" s="1053">
        <v>2035</v>
      </c>
      <c r="K48" s="1053">
        <v>2040</v>
      </c>
      <c r="L48" s="1053">
        <v>2045</v>
      </c>
      <c r="M48" s="1053">
        <v>2050</v>
      </c>
      <c r="N48" s="1049"/>
    </row>
    <row r="49" spans="2:27" ht="15.75" x14ac:dyDescent="0.25">
      <c r="B49" s="1060"/>
      <c r="C49" s="1054">
        <v>1</v>
      </c>
      <c r="D49" s="1055" t="s">
        <v>582</v>
      </c>
      <c r="E49" s="3344" t="s">
        <v>136</v>
      </c>
      <c r="F49" s="1061">
        <v>0.91778998677762402</v>
      </c>
      <c r="G49" s="2805">
        <v>0.91778998677762402</v>
      </c>
      <c r="H49" s="1062">
        <v>0.91778998677762402</v>
      </c>
      <c r="I49" s="1062">
        <v>0.91778998677762402</v>
      </c>
      <c r="J49" s="1062">
        <v>0.91778998677762402</v>
      </c>
      <c r="K49" s="1062">
        <v>0.91778998677762402</v>
      </c>
      <c r="L49" s="1062">
        <v>0.91778998677762402</v>
      </c>
      <c r="M49" s="1062">
        <v>0.91778998677762402</v>
      </c>
      <c r="N49" s="1049"/>
    </row>
    <row r="50" spans="2:27" ht="15.75" x14ac:dyDescent="0.25">
      <c r="B50" s="1060"/>
      <c r="C50" s="1054"/>
      <c r="D50" s="1055" t="s">
        <v>334</v>
      </c>
      <c r="E50" s="1056"/>
      <c r="F50" s="1061">
        <v>8.1332885314435083E-2</v>
      </c>
      <c r="G50" s="2805">
        <v>8.1332885314435083E-2</v>
      </c>
      <c r="H50" s="1062">
        <v>8.1332885314435083E-2</v>
      </c>
      <c r="I50" s="1062">
        <v>8.1332885314435083E-2</v>
      </c>
      <c r="J50" s="1062">
        <v>8.1332885314435083E-2</v>
      </c>
      <c r="K50" s="1062">
        <v>8.1332885314435083E-2</v>
      </c>
      <c r="L50" s="1062">
        <v>8.1332885314435083E-2</v>
      </c>
      <c r="M50" s="1062">
        <v>8.1332885314435083E-2</v>
      </c>
      <c r="N50" s="1049"/>
    </row>
    <row r="51" spans="2:27" ht="15.75" x14ac:dyDescent="0.25">
      <c r="B51" s="1060"/>
      <c r="C51" s="1054"/>
      <c r="D51" s="1055" t="s">
        <v>583</v>
      </c>
      <c r="E51" s="1056"/>
      <c r="F51" s="1061">
        <v>8.5094498531574421E-4</v>
      </c>
      <c r="G51" s="2805">
        <v>8.5094498531574421E-4</v>
      </c>
      <c r="H51" s="1062">
        <v>8.5094498531574421E-4</v>
      </c>
      <c r="I51" s="1062">
        <v>8.5094498531574421E-4</v>
      </c>
      <c r="J51" s="1062">
        <v>8.5094498531574421E-4</v>
      </c>
      <c r="K51" s="1062">
        <v>8.5094498531574421E-4</v>
      </c>
      <c r="L51" s="1062">
        <v>8.5094498531574421E-4</v>
      </c>
      <c r="M51" s="1062">
        <v>8.5094498531574421E-4</v>
      </c>
      <c r="N51" s="1049"/>
    </row>
    <row r="52" spans="2:27" ht="15.75" x14ac:dyDescent="0.25">
      <c r="B52" s="1060"/>
      <c r="C52" s="1054"/>
      <c r="D52" s="1055" t="s">
        <v>584</v>
      </c>
      <c r="E52" s="1056"/>
      <c r="F52" s="1061">
        <v>0</v>
      </c>
      <c r="G52" s="2805">
        <v>0</v>
      </c>
      <c r="H52" s="1062">
        <v>0</v>
      </c>
      <c r="I52" s="1062">
        <v>0</v>
      </c>
      <c r="J52" s="1062">
        <v>0</v>
      </c>
      <c r="K52" s="1062">
        <v>0</v>
      </c>
      <c r="L52" s="1062">
        <v>0</v>
      </c>
      <c r="M52" s="1062">
        <v>0</v>
      </c>
      <c r="N52" s="1049"/>
    </row>
    <row r="53" spans="2:27" ht="15.75" x14ac:dyDescent="0.25">
      <c r="B53" s="1060"/>
      <c r="C53" s="1054"/>
      <c r="D53" s="1055" t="s">
        <v>585</v>
      </c>
      <c r="E53" s="1056"/>
      <c r="F53" s="1061">
        <v>0</v>
      </c>
      <c r="G53" s="2805">
        <v>0</v>
      </c>
      <c r="H53" s="1062">
        <v>0</v>
      </c>
      <c r="I53" s="1062">
        <v>0</v>
      </c>
      <c r="J53" s="1062">
        <v>0</v>
      </c>
      <c r="K53" s="1062">
        <v>0</v>
      </c>
      <c r="L53" s="1062">
        <v>0</v>
      </c>
      <c r="M53" s="1062">
        <v>0</v>
      </c>
      <c r="N53" s="1049"/>
    </row>
    <row r="54" spans="2:27" ht="15.75" x14ac:dyDescent="0.25">
      <c r="B54" s="1060"/>
      <c r="C54" s="1054"/>
      <c r="D54" s="1055" t="s">
        <v>586</v>
      </c>
      <c r="E54" s="1056"/>
      <c r="F54" s="1061">
        <v>0</v>
      </c>
      <c r="G54" s="2806">
        <v>0</v>
      </c>
      <c r="H54" s="1063">
        <v>0</v>
      </c>
      <c r="I54" s="1062">
        <v>0</v>
      </c>
      <c r="J54" s="1063">
        <v>0</v>
      </c>
      <c r="K54" s="1062">
        <v>0</v>
      </c>
      <c r="L54" s="1062">
        <v>0</v>
      </c>
      <c r="M54" s="1062">
        <v>0</v>
      </c>
      <c r="N54" s="1049"/>
    </row>
    <row r="55" spans="2:27" ht="15.75" x14ac:dyDescent="0.25">
      <c r="B55" s="1060"/>
      <c r="C55" s="1054"/>
      <c r="D55" s="1055" t="s">
        <v>587</v>
      </c>
      <c r="E55" s="1056"/>
      <c r="F55" s="1061">
        <v>2.6182922625099822E-5</v>
      </c>
      <c r="G55" s="3435">
        <v>2.6182922625099822E-5</v>
      </c>
      <c r="H55" s="3436">
        <v>2.6182922625099822E-5</v>
      </c>
      <c r="I55" s="3436">
        <v>2.6182922625099822E-5</v>
      </c>
      <c r="J55" s="3436">
        <v>2.6182922625099822E-5</v>
      </c>
      <c r="K55" s="3436">
        <v>2.6182922625099822E-5</v>
      </c>
      <c r="L55" s="3436">
        <v>2.6182922625099822E-5</v>
      </c>
      <c r="M55" s="3436">
        <v>2.6182922625099822E-5</v>
      </c>
      <c r="N55" s="1049"/>
    </row>
    <row r="56" spans="2:27" ht="15.75" x14ac:dyDescent="0.25">
      <c r="B56" s="1060"/>
      <c r="C56" s="1064"/>
      <c r="D56" s="1065" t="s">
        <v>588</v>
      </c>
      <c r="E56" s="1065"/>
      <c r="F56" s="1066">
        <v>0</v>
      </c>
      <c r="G56" s="2807">
        <v>0</v>
      </c>
      <c r="H56" s="1067">
        <v>0</v>
      </c>
      <c r="I56" s="1067">
        <v>0</v>
      </c>
      <c r="J56" s="1067">
        <v>0</v>
      </c>
      <c r="K56" s="1067">
        <v>0</v>
      </c>
      <c r="L56" s="1067">
        <v>0</v>
      </c>
      <c r="M56" s="1067">
        <v>0</v>
      </c>
      <c r="N56" s="1049"/>
    </row>
    <row r="57" spans="2:27" ht="15.75" x14ac:dyDescent="0.25">
      <c r="B57" s="1060"/>
      <c r="C57" s="1054">
        <v>2</v>
      </c>
      <c r="D57" s="1055" t="s">
        <v>582</v>
      </c>
      <c r="E57" s="3362" t="s">
        <v>317</v>
      </c>
      <c r="F57" s="1061">
        <v>0.91778998677762402</v>
      </c>
      <c r="G57" s="1062">
        <f t="shared" ref="G57:L57" si="3">1-SUM(G58:G64)</f>
        <v>0.91778998677762402</v>
      </c>
      <c r="H57" s="1062">
        <f t="shared" si="3"/>
        <v>0.8330717266190637</v>
      </c>
      <c r="I57" s="1062">
        <f t="shared" si="3"/>
        <v>0.72596405160493183</v>
      </c>
      <c r="J57" s="1062">
        <f t="shared" si="3"/>
        <v>0.61926156614942895</v>
      </c>
      <c r="K57" s="1062">
        <f t="shared" si="3"/>
        <v>0.43103575267580552</v>
      </c>
      <c r="L57" s="1062">
        <f t="shared" si="3"/>
        <v>0.32750351390819432</v>
      </c>
      <c r="M57" s="1062">
        <f>1-SUM(M58:M64)</f>
        <v>0.22450519255240531</v>
      </c>
      <c r="N57" s="1049"/>
    </row>
    <row r="58" spans="2:27" ht="15.75" x14ac:dyDescent="0.25">
      <c r="B58" s="1060"/>
      <c r="C58" s="1054"/>
      <c r="D58" s="1055" t="s">
        <v>334</v>
      </c>
      <c r="E58" s="1056"/>
      <c r="F58" s="1061">
        <v>8.1332885314435083E-2</v>
      </c>
      <c r="G58" s="2805">
        <v>8.1332885314435083E-2</v>
      </c>
      <c r="H58" s="1062">
        <v>7.6209870645488953E-2</v>
      </c>
      <c r="I58" s="1062">
        <v>6.8194527728697066E-2</v>
      </c>
      <c r="J58" s="1062">
        <v>6.0719437556743444E-2</v>
      </c>
      <c r="K58" s="1062">
        <v>4.8077106729698525E-2</v>
      </c>
      <c r="L58" s="1062">
        <v>4.1148819524545077E-2</v>
      </c>
      <c r="M58" s="1062">
        <v>3.4220532319391636E-2</v>
      </c>
      <c r="N58" s="1049"/>
    </row>
    <row r="59" spans="2:27" ht="15.75" x14ac:dyDescent="0.25">
      <c r="B59" s="1060"/>
      <c r="C59" s="1054"/>
      <c r="D59" s="1055" t="s">
        <v>583</v>
      </c>
      <c r="E59" s="1056"/>
      <c r="F59" s="1061">
        <v>8.5094498531574421E-4</v>
      </c>
      <c r="G59" s="2805">
        <v>8.5094498531574421E-4</v>
      </c>
      <c r="H59" s="1062">
        <v>1.9063537700202492E-2</v>
      </c>
      <c r="I59" s="1062">
        <v>4.021770401320169E-2</v>
      </c>
      <c r="J59" s="1062">
        <v>6.1912123071039139E-2</v>
      </c>
      <c r="K59" s="1062">
        <v>0.10760881070357638</v>
      </c>
      <c r="L59" s="1062">
        <v>0.12985003272821402</v>
      </c>
      <c r="M59" s="1062">
        <v>0.15209125475285171</v>
      </c>
      <c r="N59" s="1049"/>
    </row>
    <row r="60" spans="2:27" ht="15.75" x14ac:dyDescent="0.25">
      <c r="B60" s="1060"/>
      <c r="C60" s="1054"/>
      <c r="D60" s="1055" t="s">
        <v>584</v>
      </c>
      <c r="E60" s="1056"/>
      <c r="F60" s="1061">
        <v>0</v>
      </c>
      <c r="G60" s="2805">
        <v>0</v>
      </c>
      <c r="H60" s="1062">
        <v>5.7875417335125773E-3</v>
      </c>
      <c r="I60" s="1062">
        <v>1.1410394319794072E-2</v>
      </c>
      <c r="J60" s="1062">
        <v>1.7573499650913819E-2</v>
      </c>
      <c r="K60" s="1062">
        <v>3.220755983001565E-2</v>
      </c>
      <c r="L60" s="1062">
        <v>3.8917468127935576E-2</v>
      </c>
      <c r="M60" s="1062">
        <v>4.5627376425855508E-2</v>
      </c>
      <c r="N60" s="1049"/>
    </row>
    <row r="61" spans="2:27" ht="15.75" x14ac:dyDescent="0.25">
      <c r="B61" s="1060"/>
      <c r="C61" s="1054"/>
      <c r="D61" s="1055" t="s">
        <v>585</v>
      </c>
      <c r="E61" s="1056"/>
      <c r="F61" s="1061">
        <v>0</v>
      </c>
      <c r="G61" s="2805">
        <v>0</v>
      </c>
      <c r="H61" s="1062">
        <v>2.9943211606024318E-2</v>
      </c>
      <c r="I61" s="1062">
        <v>6.5760651532945483E-2</v>
      </c>
      <c r="J61" s="1062">
        <v>0.10211834420470491</v>
      </c>
      <c r="K61" s="1062">
        <v>0.1771415790650861</v>
      </c>
      <c r="L61" s="1062">
        <v>0.2140460747036457</v>
      </c>
      <c r="M61" s="1062">
        <v>0.2509505703422053</v>
      </c>
      <c r="N61" s="1049"/>
    </row>
    <row r="62" spans="2:27" ht="15.75" x14ac:dyDescent="0.25">
      <c r="B62" s="1060"/>
      <c r="C62" s="1054"/>
      <c r="D62" s="1055" t="s">
        <v>586</v>
      </c>
      <c r="E62" s="1056"/>
      <c r="F62" s="1061">
        <v>0</v>
      </c>
      <c r="G62" s="2806">
        <v>0</v>
      </c>
      <c r="H62" s="1063">
        <v>7.5768506129578923E-3</v>
      </c>
      <c r="I62" s="1062">
        <v>1.5436339298546028E-2</v>
      </c>
      <c r="J62" s="1063">
        <v>2.383608072897242E-2</v>
      </c>
      <c r="K62" s="1062">
        <v>4.2943413106687527E-2</v>
      </c>
      <c r="L62" s="1062">
        <v>5.1889957503914105E-2</v>
      </c>
      <c r="M62" s="1062">
        <v>6.0836501901140677E-2</v>
      </c>
      <c r="N62" s="1049"/>
    </row>
    <row r="63" spans="2:27" ht="15.75" x14ac:dyDescent="0.25">
      <c r="B63" s="1060"/>
      <c r="C63" s="1054"/>
      <c r="D63" s="1055" t="s">
        <v>587</v>
      </c>
      <c r="E63" s="1056"/>
      <c r="F63" s="3345">
        <v>2.6182922625099822E-5</v>
      </c>
      <c r="G63" s="3346">
        <v>2.6182922625099822E-5</v>
      </c>
      <c r="H63" s="3347">
        <v>1.3189576827558155E-2</v>
      </c>
      <c r="I63" s="3347">
        <v>4.092484127298928E-2</v>
      </c>
      <c r="J63" s="3347">
        <v>6.4878336504552409E-2</v>
      </c>
      <c r="K63" s="3347">
        <v>9.6630380349642622E-2</v>
      </c>
      <c r="L63" s="3347">
        <v>0.1167562548136046</v>
      </c>
      <c r="M63" s="3347">
        <v>0.13688212927756657</v>
      </c>
      <c r="N63" s="1049"/>
    </row>
    <row r="64" spans="2:27" ht="15.75" x14ac:dyDescent="0.25">
      <c r="B64" s="1060"/>
      <c r="C64" s="1064"/>
      <c r="D64" s="1065" t="s">
        <v>588</v>
      </c>
      <c r="E64" s="1065"/>
      <c r="F64" s="1066">
        <v>0</v>
      </c>
      <c r="G64" s="3352">
        <v>0</v>
      </c>
      <c r="H64" s="3353">
        <v>1.5157684255191883E-2</v>
      </c>
      <c r="I64" s="3353">
        <v>3.2091490228894501E-2</v>
      </c>
      <c r="J64" s="3353">
        <v>4.9700612133644968E-2</v>
      </c>
      <c r="K64" s="3353">
        <v>6.4355397539487755E-2</v>
      </c>
      <c r="L64" s="3353">
        <v>7.988787868994647E-2</v>
      </c>
      <c r="M64" s="3353">
        <v>9.4886442428583184E-2</v>
      </c>
      <c r="N64" s="1049"/>
      <c r="AA64" s="3348"/>
    </row>
    <row r="65" spans="2:34" ht="15.75" x14ac:dyDescent="0.25">
      <c r="B65" s="1060"/>
      <c r="C65" s="1054">
        <v>3</v>
      </c>
      <c r="D65" s="1055" t="s">
        <v>582</v>
      </c>
      <c r="E65" s="3344" t="s">
        <v>317</v>
      </c>
      <c r="F65" s="1061">
        <v>0.91778998677762402</v>
      </c>
      <c r="G65" s="2805">
        <v>0.91778998677762402</v>
      </c>
      <c r="H65" s="1062">
        <f t="shared" ref="H65:L65" si="4">1-SUM(H66:H72)</f>
        <v>0.81212961398852379</v>
      </c>
      <c r="I65" s="1062">
        <f t="shared" si="4"/>
        <v>0.70304084865686123</v>
      </c>
      <c r="J65" s="1062">
        <f t="shared" si="4"/>
        <v>0.59462739925624652</v>
      </c>
      <c r="K65" s="1062">
        <f t="shared" si="4"/>
        <v>0.48325961335672407</v>
      </c>
      <c r="L65" s="1062">
        <f t="shared" si="4"/>
        <v>0.37276952320181755</v>
      </c>
      <c r="M65" s="1062">
        <f>1-SUM(M66:M72)</f>
        <v>0.26174551563508919</v>
      </c>
      <c r="N65" s="1049"/>
      <c r="AA65" s="3349"/>
      <c r="AB65" s="1113"/>
      <c r="AC65" s="1113"/>
      <c r="AD65" s="1113"/>
      <c r="AE65" s="1113"/>
      <c r="AF65" s="1113"/>
      <c r="AG65" s="1113"/>
      <c r="AH65" s="1113"/>
    </row>
    <row r="66" spans="2:34" ht="15.75" x14ac:dyDescent="0.25">
      <c r="B66" s="1060"/>
      <c r="C66" s="1054"/>
      <c r="D66" s="1055" t="s">
        <v>334</v>
      </c>
      <c r="E66" s="1056"/>
      <c r="F66" s="1061">
        <v>8.1332885314435083E-2</v>
      </c>
      <c r="G66" s="2805">
        <v>8.1332885314435083E-2</v>
      </c>
      <c r="H66" s="1062">
        <v>7.5738814330219034E-2</v>
      </c>
      <c r="I66" s="1062">
        <v>6.6732926254661734E-2</v>
      </c>
      <c r="J66" s="1062">
        <v>5.8402354110152301E-2</v>
      </c>
      <c r="K66" s="1062">
        <v>4.7117445466735172E-2</v>
      </c>
      <c r="L66" s="1062">
        <v>3.6710232567933945E-2</v>
      </c>
      <c r="M66" s="1062">
        <v>2.5769102257310775E-2</v>
      </c>
      <c r="N66" s="1049"/>
      <c r="AA66" s="3349"/>
      <c r="AB66" s="1113"/>
      <c r="AC66" s="1113"/>
      <c r="AD66" s="1113"/>
      <c r="AE66" s="1113"/>
      <c r="AF66" s="1113"/>
      <c r="AG66" s="1113"/>
      <c r="AH66" s="1113"/>
    </row>
    <row r="67" spans="2:34" ht="15.75" x14ac:dyDescent="0.25">
      <c r="B67" s="1060"/>
      <c r="C67" s="1054"/>
      <c r="D67" s="1055" t="s">
        <v>583</v>
      </c>
      <c r="E67" s="1056"/>
      <c r="F67" s="1061">
        <v>8.5094498531574421E-4</v>
      </c>
      <c r="G67" s="2805">
        <v>8.5094498531574421E-4</v>
      </c>
      <c r="H67" s="1062">
        <v>1.8592481384932569E-2</v>
      </c>
      <c r="I67" s="1062">
        <v>3.8756102539166351E-2</v>
      </c>
      <c r="J67" s="1062">
        <v>5.9595039624447996E-2</v>
      </c>
      <c r="K67" s="1062">
        <v>7.7479640210821946E-2</v>
      </c>
      <c r="L67" s="1062">
        <v>9.6241936541811804E-2</v>
      </c>
      <c r="M67" s="1062">
        <v>0.11447031546097972</v>
      </c>
      <c r="N67" s="1049"/>
      <c r="AA67" s="3349"/>
      <c r="AB67" s="1113"/>
      <c r="AC67" s="1113"/>
      <c r="AD67" s="1113"/>
      <c r="AE67" s="1113"/>
      <c r="AF67" s="1113"/>
      <c r="AG67" s="1113"/>
      <c r="AH67" s="1113"/>
    </row>
    <row r="68" spans="2:34" ht="15.75" x14ac:dyDescent="0.25">
      <c r="B68" s="1060"/>
      <c r="C68" s="1054"/>
      <c r="D68" s="1055" t="s">
        <v>584</v>
      </c>
      <c r="E68" s="1056"/>
      <c r="F68" s="1061">
        <v>0</v>
      </c>
      <c r="G68" s="2805">
        <v>0</v>
      </c>
      <c r="H68" s="1062">
        <v>5.3164854182426542E-3</v>
      </c>
      <c r="I68" s="1062">
        <v>9.9487928457587353E-3</v>
      </c>
      <c r="J68" s="1062">
        <v>1.5256416204322675E-2</v>
      </c>
      <c r="K68" s="1062">
        <v>1.760970306397892E-2</v>
      </c>
      <c r="L68" s="1062">
        <v>2.084068566825107E-2</v>
      </c>
      <c r="M68" s="1062">
        <v>2.3537750860701274E-2</v>
      </c>
      <c r="N68" s="1049"/>
      <c r="AA68" s="3349"/>
      <c r="AB68" s="1113"/>
      <c r="AC68" s="1113"/>
      <c r="AD68" s="1113"/>
      <c r="AE68" s="1113"/>
      <c r="AF68" s="1113"/>
      <c r="AG68" s="1113"/>
      <c r="AH68" s="1113"/>
    </row>
    <row r="69" spans="2:34" ht="15.75" x14ac:dyDescent="0.25">
      <c r="B69" s="1060"/>
      <c r="C69" s="1054"/>
      <c r="D69" s="1055" t="s">
        <v>585</v>
      </c>
      <c r="E69" s="1056"/>
      <c r="F69" s="1061">
        <v>0</v>
      </c>
      <c r="G69" s="2805">
        <v>0</v>
      </c>
      <c r="H69" s="1062">
        <v>2.9472155290754396E-2</v>
      </c>
      <c r="I69" s="1062">
        <v>6.4299050058910151E-2</v>
      </c>
      <c r="J69" s="1062">
        <v>9.9801260758113769E-2</v>
      </c>
      <c r="K69" s="1062">
        <v>0.13234913495840969</v>
      </c>
      <c r="L69" s="1062">
        <v>0.16577470490332152</v>
      </c>
      <c r="M69" s="1062">
        <v>0.19866635743641139</v>
      </c>
      <c r="N69" s="1049"/>
      <c r="AA69" s="3349"/>
      <c r="AB69" s="1113"/>
      <c r="AC69" s="1113"/>
      <c r="AD69" s="1113"/>
      <c r="AE69" s="1113"/>
      <c r="AF69" s="1113"/>
      <c r="AG69" s="1113"/>
      <c r="AH69" s="1113"/>
    </row>
    <row r="70" spans="2:34" ht="15.75" x14ac:dyDescent="0.25">
      <c r="B70" s="1060"/>
      <c r="C70" s="1054"/>
      <c r="D70" s="1055" t="s">
        <v>586</v>
      </c>
      <c r="E70" s="1056"/>
      <c r="F70" s="1061">
        <v>0</v>
      </c>
      <c r="G70" s="2805">
        <v>0</v>
      </c>
      <c r="H70" s="1062">
        <v>7.1057942976879692E-3</v>
      </c>
      <c r="I70" s="1062">
        <v>1.3974737824510692E-2</v>
      </c>
      <c r="J70" s="1062">
        <v>2.1518997282381276E-2</v>
      </c>
      <c r="K70" s="1062">
        <v>2.6108920241344164E-2</v>
      </c>
      <c r="L70" s="1062">
        <v>3.1576538944922947E-2</v>
      </c>
      <c r="M70" s="1062">
        <v>3.65102402366798E-2</v>
      </c>
      <c r="N70" s="1049"/>
      <c r="AA70" s="3349"/>
      <c r="AB70" s="1113"/>
      <c r="AC70" s="1113"/>
      <c r="AD70" s="1113"/>
      <c r="AE70" s="1113"/>
      <c r="AF70" s="1113"/>
      <c r="AG70" s="1113"/>
      <c r="AH70" s="1113"/>
    </row>
    <row r="71" spans="2:34" ht="15.75" x14ac:dyDescent="0.25">
      <c r="B71" s="1060"/>
      <c r="C71" s="1054"/>
      <c r="D71" s="1055" t="s">
        <v>587</v>
      </c>
      <c r="E71" s="1056"/>
      <c r="F71" s="3437">
        <v>2.6182922625099822E-5</v>
      </c>
      <c r="G71" s="3438">
        <v>2.6182922625099822E-5</v>
      </c>
      <c r="H71" s="3439">
        <v>1.6486971034447694E-2</v>
      </c>
      <c r="I71" s="3439">
        <v>5.1156051591236595E-2</v>
      </c>
      <c r="J71" s="3439">
        <v>8.1097920630690504E-2</v>
      </c>
      <c r="K71" s="3439">
        <v>0.13172014516249828</v>
      </c>
      <c r="L71" s="3439">
        <v>0.17619849948199467</v>
      </c>
      <c r="M71" s="3439">
        <v>0.22441427568424471</v>
      </c>
      <c r="N71" s="1049"/>
      <c r="AA71" s="3350"/>
      <c r="AB71" s="3351"/>
      <c r="AC71" s="3351"/>
      <c r="AD71" s="3351"/>
      <c r="AE71" s="3351"/>
      <c r="AF71" s="3351"/>
      <c r="AG71" s="3351"/>
      <c r="AH71" s="3351"/>
    </row>
    <row r="72" spans="2:34" ht="15.75" x14ac:dyDescent="0.25">
      <c r="B72" s="1060"/>
      <c r="C72" s="1064"/>
      <c r="D72" s="1065" t="s">
        <v>588</v>
      </c>
      <c r="E72" s="1065"/>
      <c r="F72" s="1066">
        <v>0</v>
      </c>
      <c r="G72" s="3352">
        <v>0</v>
      </c>
      <c r="H72" s="3353">
        <f>H64+0.02</f>
        <v>3.5157684255191883E-2</v>
      </c>
      <c r="I72" s="3353">
        <f t="shared" ref="I72:M72" si="5">I64+0.02</f>
        <v>5.2091490228894505E-2</v>
      </c>
      <c r="J72" s="3353">
        <f t="shared" si="5"/>
        <v>6.9700612133644965E-2</v>
      </c>
      <c r="K72" s="3353">
        <f t="shared" si="5"/>
        <v>8.4355397539487759E-2</v>
      </c>
      <c r="L72" s="3353">
        <f t="shared" si="5"/>
        <v>9.9887878689946474E-2</v>
      </c>
      <c r="M72" s="3353">
        <f t="shared" si="5"/>
        <v>0.11488644242858319</v>
      </c>
      <c r="N72" s="1049"/>
      <c r="AA72" s="3349"/>
      <c r="AB72" s="1113"/>
      <c r="AC72" s="1113"/>
      <c r="AD72" s="1113"/>
      <c r="AE72" s="1113"/>
      <c r="AF72" s="1113"/>
      <c r="AG72" s="1113"/>
      <c r="AH72" s="1113"/>
    </row>
    <row r="73" spans="2:34" ht="15.75" x14ac:dyDescent="0.25">
      <c r="B73" s="1060"/>
      <c r="C73" s="1054">
        <v>4</v>
      </c>
      <c r="D73" s="1055" t="s">
        <v>582</v>
      </c>
      <c r="E73" s="3344" t="s">
        <v>136</v>
      </c>
      <c r="F73" s="1061">
        <v>0.91778998677762402</v>
      </c>
      <c r="G73" s="1062">
        <f t="shared" ref="G73:L73" si="6">1-SUM(G74:G80)</f>
        <v>0.58817460317460313</v>
      </c>
      <c r="H73" s="1062">
        <f t="shared" si="6"/>
        <v>0.46026286782114667</v>
      </c>
      <c r="I73" s="1062">
        <f t="shared" si="6"/>
        <v>0.34529306214322397</v>
      </c>
      <c r="J73" s="1062">
        <f t="shared" si="6"/>
        <v>0.19813740171722705</v>
      </c>
      <c r="K73" s="1062">
        <f t="shared" si="6"/>
        <v>5.3346929664929488E-2</v>
      </c>
      <c r="L73" s="1062">
        <f t="shared" si="6"/>
        <v>0.10906265359047485</v>
      </c>
      <c r="M73" s="1062">
        <f>1-SUM(M74:M80)</f>
        <v>0.14527864647782751</v>
      </c>
      <c r="N73" s="1049"/>
    </row>
    <row r="74" spans="2:34" ht="15.75" x14ac:dyDescent="0.25">
      <c r="B74" s="1060"/>
      <c r="C74" s="1054"/>
      <c r="D74" s="1055" t="s">
        <v>334</v>
      </c>
      <c r="E74" s="1056"/>
      <c r="F74" s="1061">
        <v>8.1332885314435083E-2</v>
      </c>
      <c r="G74" s="2805">
        <v>0.1693121693121693</v>
      </c>
      <c r="H74" s="1062">
        <v>0.11655011655011654</v>
      </c>
      <c r="I74" s="1062">
        <v>7.4999999999999997E-2</v>
      </c>
      <c r="J74" s="1062">
        <v>3.4220532319391636E-2</v>
      </c>
      <c r="K74" s="1062">
        <v>0</v>
      </c>
      <c r="L74" s="1062">
        <v>0</v>
      </c>
      <c r="M74" s="1062">
        <v>0</v>
      </c>
      <c r="N74" s="1049"/>
    </row>
    <row r="75" spans="2:34" ht="15.75" x14ac:dyDescent="0.25">
      <c r="B75" s="1060"/>
      <c r="C75" s="1054"/>
      <c r="D75" s="1055" t="s">
        <v>583</v>
      </c>
      <c r="E75" s="1056"/>
      <c r="F75" s="1061">
        <v>8.5094498531574421E-4</v>
      </c>
      <c r="G75" s="2805">
        <v>0.15873015873015872</v>
      </c>
      <c r="H75" s="1062">
        <v>0.17249417249417245</v>
      </c>
      <c r="I75" s="1062">
        <v>0.18333333333333332</v>
      </c>
      <c r="J75" s="1062">
        <v>0.15209125475285171</v>
      </c>
      <c r="K75" s="1062">
        <v>0.12587412587412589</v>
      </c>
      <c r="L75" s="1062">
        <v>6.0897435897435896E-2</v>
      </c>
      <c r="M75" s="1062">
        <v>5.9171597633136093E-3</v>
      </c>
      <c r="N75" s="1049"/>
    </row>
    <row r="76" spans="2:34" ht="15.75" x14ac:dyDescent="0.25">
      <c r="B76" s="1060"/>
      <c r="C76" s="1054"/>
      <c r="D76" s="1055" t="s">
        <v>584</v>
      </c>
      <c r="E76" s="1056"/>
      <c r="F76" s="1061">
        <v>0</v>
      </c>
      <c r="G76" s="2805">
        <v>2.1164021164021163E-2</v>
      </c>
      <c r="H76" s="1062">
        <v>4.195804195804196E-2</v>
      </c>
      <c r="I76" s="1062">
        <v>5.8333333333333334E-2</v>
      </c>
      <c r="J76" s="1062">
        <v>4.5627376425855508E-2</v>
      </c>
      <c r="K76" s="1062">
        <v>3.4965034965034968E-2</v>
      </c>
      <c r="L76" s="1062">
        <v>1.9230769230769228E-2</v>
      </c>
      <c r="M76" s="1062">
        <v>5.9171597633136093E-3</v>
      </c>
      <c r="N76" s="1049"/>
    </row>
    <row r="77" spans="2:34" ht="15.75" x14ac:dyDescent="0.25">
      <c r="B77" s="1060"/>
      <c r="C77" s="1054"/>
      <c r="D77" s="1055" t="s">
        <v>585</v>
      </c>
      <c r="E77" s="1056"/>
      <c r="F77" s="1061">
        <v>0</v>
      </c>
      <c r="G77" s="2805">
        <v>4.2328042328042326E-2</v>
      </c>
      <c r="H77" s="1062">
        <v>0.11655011655011654</v>
      </c>
      <c r="I77" s="1062">
        <v>0.17499999999999999</v>
      </c>
      <c r="J77" s="1062">
        <v>0.2509505703422053</v>
      </c>
      <c r="K77" s="1062">
        <v>0.31468531468531469</v>
      </c>
      <c r="L77" s="1062">
        <v>0.26282051282051283</v>
      </c>
      <c r="M77" s="1062">
        <v>0.21893491124260356</v>
      </c>
      <c r="N77" s="1049"/>
    </row>
    <row r="78" spans="2:34" ht="15.75" x14ac:dyDescent="0.25">
      <c r="B78" s="1060"/>
      <c r="C78" s="1054"/>
      <c r="D78" s="1055" t="s">
        <v>586</v>
      </c>
      <c r="E78" s="1056"/>
      <c r="F78" s="1061">
        <v>0</v>
      </c>
      <c r="G78" s="2806">
        <v>5.2910052910052907E-3</v>
      </c>
      <c r="H78" s="1063">
        <v>2.097902097902098E-2</v>
      </c>
      <c r="I78" s="1062">
        <v>3.3333333333333333E-2</v>
      </c>
      <c r="J78" s="1063">
        <v>6.0836501901140677E-2</v>
      </c>
      <c r="K78" s="1062">
        <v>8.3916083916083919E-2</v>
      </c>
      <c r="L78" s="1062">
        <v>8.9743589743589758E-2</v>
      </c>
      <c r="M78" s="1062">
        <v>9.4674556213017749E-2</v>
      </c>
      <c r="N78" s="1049"/>
    </row>
    <row r="79" spans="2:34" ht="15.75" x14ac:dyDescent="0.25">
      <c r="B79" s="1060"/>
      <c r="C79" s="1054"/>
      <c r="D79" s="1055" t="s">
        <v>587</v>
      </c>
      <c r="E79" s="1056"/>
      <c r="F79" s="1061">
        <v>2.6182922625099822E-5</v>
      </c>
      <c r="G79" s="3346">
        <v>1.4999999999999999E-2</v>
      </c>
      <c r="H79" s="3347">
        <v>5.557692307692301E-2</v>
      </c>
      <c r="I79" s="3347">
        <v>9.6153846153846201E-2</v>
      </c>
      <c r="J79" s="3347">
        <v>0.20611866696109199</v>
      </c>
      <c r="K79" s="3347">
        <v>0.2959577580428</v>
      </c>
      <c r="L79" s="3347">
        <v>0.34797887902139996</v>
      </c>
      <c r="M79" s="3347">
        <v>0.4</v>
      </c>
      <c r="N79" s="1049"/>
    </row>
    <row r="80" spans="2:34" ht="15.75" x14ac:dyDescent="0.25">
      <c r="B80" s="1060"/>
      <c r="C80" s="1064"/>
      <c r="D80" s="1065" t="s">
        <v>588</v>
      </c>
      <c r="E80" s="1065"/>
      <c r="F80" s="1066">
        <v>0</v>
      </c>
      <c r="G80" s="2807">
        <v>0</v>
      </c>
      <c r="H80" s="1067">
        <v>1.5628740570461805E-2</v>
      </c>
      <c r="I80" s="1067">
        <v>3.355309170292984E-2</v>
      </c>
      <c r="J80" s="1067">
        <v>5.2017695580236112E-2</v>
      </c>
      <c r="K80" s="1067">
        <v>9.1254752851711043E-2</v>
      </c>
      <c r="L80" s="1067">
        <v>0.11026615969581749</v>
      </c>
      <c r="M80" s="1067">
        <v>0.12927756653992395</v>
      </c>
      <c r="N80" s="1049"/>
    </row>
    <row r="81" spans="2:14" ht="5.25" customHeight="1" x14ac:dyDescent="0.25">
      <c r="B81" s="1060"/>
      <c r="C81" s="1064"/>
      <c r="D81" s="1065"/>
      <c r="E81" s="1065"/>
      <c r="F81" s="1066"/>
      <c r="G81" s="1067"/>
      <c r="H81" s="1067"/>
      <c r="I81" s="1067"/>
      <c r="J81" s="1067"/>
      <c r="K81" s="1067"/>
      <c r="L81" s="1067"/>
      <c r="M81" s="1067"/>
      <c r="N81" s="1049"/>
    </row>
    <row r="82" spans="2:14" ht="15.75" x14ac:dyDescent="0.25">
      <c r="B82" s="1060"/>
      <c r="C82" s="1068" t="s">
        <v>153</v>
      </c>
      <c r="D82" s="1069" t="s">
        <v>582</v>
      </c>
      <c r="E82" s="1069"/>
      <c r="F82" s="1061">
        <f t="shared" ref="F82:M89" si="7">CHOOSE($E$10, F49, F57, F65, F73)</f>
        <v>0.91778998677762402</v>
      </c>
      <c r="G82" s="2809">
        <f t="shared" si="7"/>
        <v>0.91778998677762402</v>
      </c>
      <c r="H82" s="1070">
        <f t="shared" si="7"/>
        <v>0.91778998677762402</v>
      </c>
      <c r="I82" s="1070">
        <f t="shared" si="7"/>
        <v>0.91778998677762402</v>
      </c>
      <c r="J82" s="1070">
        <f t="shared" si="7"/>
        <v>0.91778998677762402</v>
      </c>
      <c r="K82" s="1070">
        <f t="shared" si="7"/>
        <v>0.91778998677762402</v>
      </c>
      <c r="L82" s="1070">
        <f t="shared" si="7"/>
        <v>0.91778998677762402</v>
      </c>
      <c r="M82" s="1070">
        <f t="shared" si="7"/>
        <v>0.91778998677762402</v>
      </c>
      <c r="N82" s="1049"/>
    </row>
    <row r="83" spans="2:14" ht="15.75" x14ac:dyDescent="0.25">
      <c r="B83" s="1060"/>
      <c r="C83" s="1054"/>
      <c r="D83" s="1055" t="s">
        <v>334</v>
      </c>
      <c r="E83" s="1055"/>
      <c r="F83" s="1061">
        <f t="shared" si="7"/>
        <v>8.1332885314435083E-2</v>
      </c>
      <c r="G83" s="2810">
        <f t="shared" si="7"/>
        <v>8.1332885314435083E-2</v>
      </c>
      <c r="H83" s="1061">
        <f t="shared" si="7"/>
        <v>8.1332885314435083E-2</v>
      </c>
      <c r="I83" s="1061">
        <f t="shared" si="7"/>
        <v>8.1332885314435083E-2</v>
      </c>
      <c r="J83" s="1061">
        <f t="shared" si="7"/>
        <v>8.1332885314435083E-2</v>
      </c>
      <c r="K83" s="1061">
        <f t="shared" si="7"/>
        <v>8.1332885314435083E-2</v>
      </c>
      <c r="L83" s="1061">
        <f t="shared" si="7"/>
        <v>8.1332885314435083E-2</v>
      </c>
      <c r="M83" s="1061">
        <f t="shared" si="7"/>
        <v>8.1332885314435083E-2</v>
      </c>
      <c r="N83" s="1049"/>
    </row>
    <row r="84" spans="2:14" ht="15.75" x14ac:dyDescent="0.25">
      <c r="B84" s="1060"/>
      <c r="C84" s="1054"/>
      <c r="D84" s="1055" t="s">
        <v>583</v>
      </c>
      <c r="E84" s="1055"/>
      <c r="F84" s="1061">
        <f t="shared" si="7"/>
        <v>8.5094498531574421E-4</v>
      </c>
      <c r="G84" s="2810">
        <f t="shared" si="7"/>
        <v>8.5094498531574421E-4</v>
      </c>
      <c r="H84" s="1061">
        <f t="shared" si="7"/>
        <v>8.5094498531574421E-4</v>
      </c>
      <c r="I84" s="1061">
        <f t="shared" si="7"/>
        <v>8.5094498531574421E-4</v>
      </c>
      <c r="J84" s="1061">
        <f t="shared" si="7"/>
        <v>8.5094498531574421E-4</v>
      </c>
      <c r="K84" s="1061">
        <f t="shared" si="7"/>
        <v>8.5094498531574421E-4</v>
      </c>
      <c r="L84" s="1061">
        <f t="shared" si="7"/>
        <v>8.5094498531574421E-4</v>
      </c>
      <c r="M84" s="1061">
        <f t="shared" si="7"/>
        <v>8.5094498531574421E-4</v>
      </c>
      <c r="N84" s="1049"/>
    </row>
    <row r="85" spans="2:14" ht="15.75" x14ac:dyDescent="0.25">
      <c r="B85" s="1060"/>
      <c r="C85" s="1054"/>
      <c r="D85" s="1055" t="s">
        <v>584</v>
      </c>
      <c r="E85" s="1055"/>
      <c r="F85" s="1061">
        <f t="shared" si="7"/>
        <v>0</v>
      </c>
      <c r="G85" s="2810">
        <f t="shared" si="7"/>
        <v>0</v>
      </c>
      <c r="H85" s="1061">
        <f t="shared" si="7"/>
        <v>0</v>
      </c>
      <c r="I85" s="1061">
        <f t="shared" si="7"/>
        <v>0</v>
      </c>
      <c r="J85" s="1061">
        <f t="shared" si="7"/>
        <v>0</v>
      </c>
      <c r="K85" s="1061">
        <f t="shared" si="7"/>
        <v>0</v>
      </c>
      <c r="L85" s="1061">
        <f t="shared" si="7"/>
        <v>0</v>
      </c>
      <c r="M85" s="1061">
        <f t="shared" si="7"/>
        <v>0</v>
      </c>
      <c r="N85" s="1049"/>
    </row>
    <row r="86" spans="2:14" ht="15.75" x14ac:dyDescent="0.25">
      <c r="B86" s="1060"/>
      <c r="C86" s="1054"/>
      <c r="D86" s="1055" t="s">
        <v>585</v>
      </c>
      <c r="E86" s="1055"/>
      <c r="F86" s="1061">
        <f t="shared" si="7"/>
        <v>0</v>
      </c>
      <c r="G86" s="2810">
        <f t="shared" si="7"/>
        <v>0</v>
      </c>
      <c r="H86" s="1061">
        <f t="shared" si="7"/>
        <v>0</v>
      </c>
      <c r="I86" s="1061">
        <f t="shared" si="7"/>
        <v>0</v>
      </c>
      <c r="J86" s="1061">
        <f t="shared" si="7"/>
        <v>0</v>
      </c>
      <c r="K86" s="1061">
        <f t="shared" si="7"/>
        <v>0</v>
      </c>
      <c r="L86" s="1061">
        <f t="shared" si="7"/>
        <v>0</v>
      </c>
      <c r="M86" s="1061">
        <f t="shared" si="7"/>
        <v>0</v>
      </c>
      <c r="N86" s="1049"/>
    </row>
    <row r="87" spans="2:14" ht="15.75" x14ac:dyDescent="0.25">
      <c r="B87" s="1060"/>
      <c r="C87" s="1054"/>
      <c r="D87" s="1055" t="s">
        <v>586</v>
      </c>
      <c r="E87" s="1055"/>
      <c r="F87" s="1061">
        <f t="shared" si="7"/>
        <v>0</v>
      </c>
      <c r="G87" s="2810">
        <f t="shared" si="7"/>
        <v>0</v>
      </c>
      <c r="H87" s="1061">
        <f t="shared" si="7"/>
        <v>0</v>
      </c>
      <c r="I87" s="1061">
        <f t="shared" si="7"/>
        <v>0</v>
      </c>
      <c r="J87" s="1061">
        <f t="shared" si="7"/>
        <v>0</v>
      </c>
      <c r="K87" s="1061">
        <f t="shared" si="7"/>
        <v>0</v>
      </c>
      <c r="L87" s="1061">
        <f t="shared" si="7"/>
        <v>0</v>
      </c>
      <c r="M87" s="1061">
        <f t="shared" si="7"/>
        <v>0</v>
      </c>
      <c r="N87" s="1049"/>
    </row>
    <row r="88" spans="2:14" ht="15.75" x14ac:dyDescent="0.25">
      <c r="B88" s="1060"/>
      <c r="C88" s="1054"/>
      <c r="D88" s="1055" t="s">
        <v>587</v>
      </c>
      <c r="E88" s="1055"/>
      <c r="F88" s="1061">
        <f t="shared" si="7"/>
        <v>2.6182922625099822E-5</v>
      </c>
      <c r="G88" s="2810">
        <f t="shared" si="7"/>
        <v>2.6182922625099822E-5</v>
      </c>
      <c r="H88" s="1061">
        <f t="shared" si="7"/>
        <v>2.6182922625099822E-5</v>
      </c>
      <c r="I88" s="1061">
        <f t="shared" si="7"/>
        <v>2.6182922625099822E-5</v>
      </c>
      <c r="J88" s="1061">
        <f t="shared" si="7"/>
        <v>2.6182922625099822E-5</v>
      </c>
      <c r="K88" s="1061">
        <f t="shared" si="7"/>
        <v>2.6182922625099822E-5</v>
      </c>
      <c r="L88" s="1061">
        <f t="shared" si="7"/>
        <v>2.6182922625099822E-5</v>
      </c>
      <c r="M88" s="1061">
        <f t="shared" si="7"/>
        <v>2.6182922625099822E-5</v>
      </c>
      <c r="N88" s="1049"/>
    </row>
    <row r="89" spans="2:14" ht="15.75" x14ac:dyDescent="0.25">
      <c r="B89" s="1060"/>
      <c r="C89" s="1064"/>
      <c r="D89" s="1065" t="s">
        <v>588</v>
      </c>
      <c r="E89" s="1065"/>
      <c r="F89" s="1066">
        <f t="shared" si="7"/>
        <v>0</v>
      </c>
      <c r="G89" s="2811">
        <f t="shared" si="7"/>
        <v>0</v>
      </c>
      <c r="H89" s="1066">
        <f t="shared" si="7"/>
        <v>0</v>
      </c>
      <c r="I89" s="1066">
        <f t="shared" si="7"/>
        <v>0</v>
      </c>
      <c r="J89" s="1066">
        <f t="shared" si="7"/>
        <v>0</v>
      </c>
      <c r="K89" s="1066">
        <f t="shared" si="7"/>
        <v>0</v>
      </c>
      <c r="L89" s="1066">
        <f t="shared" si="7"/>
        <v>0</v>
      </c>
      <c r="M89" s="1066">
        <f t="shared" si="7"/>
        <v>0</v>
      </c>
      <c r="N89" s="1049"/>
    </row>
    <row r="90" spans="2:14" ht="15.75" x14ac:dyDescent="0.25">
      <c r="B90" s="1060"/>
      <c r="C90" s="1054"/>
      <c r="D90" s="1055"/>
      <c r="E90" s="1055"/>
      <c r="F90" s="1061"/>
      <c r="G90" s="1063"/>
      <c r="H90" s="1063"/>
      <c r="I90" s="1063"/>
      <c r="J90" s="1063"/>
      <c r="K90" s="1063"/>
      <c r="L90" s="1063"/>
      <c r="M90" s="1063"/>
      <c r="N90" s="1049"/>
    </row>
    <row r="91" spans="2:14" ht="15.75" x14ac:dyDescent="0.25">
      <c r="B91" s="1060"/>
      <c r="C91" s="1059" t="s">
        <v>589</v>
      </c>
      <c r="D91" s="1055"/>
      <c r="E91" s="1055"/>
      <c r="F91" s="1061"/>
      <c r="G91" s="1063"/>
      <c r="H91" s="1063"/>
      <c r="I91" s="1063"/>
      <c r="J91" s="1063"/>
      <c r="K91" s="1063"/>
      <c r="L91" s="1063"/>
      <c r="M91" s="1063"/>
      <c r="N91" s="1049"/>
    </row>
    <row r="92" spans="2:14" ht="5.25" customHeight="1" x14ac:dyDescent="0.25">
      <c r="B92" s="1060"/>
      <c r="C92" s="1054"/>
      <c r="D92" s="1055"/>
      <c r="E92" s="1055"/>
      <c r="F92" s="1061"/>
      <c r="G92" s="1063"/>
      <c r="H92" s="1063"/>
      <c r="I92" s="1063"/>
      <c r="J92" s="1063"/>
      <c r="K92" s="1063"/>
      <c r="L92" s="1063"/>
      <c r="M92" s="1063"/>
      <c r="N92" s="1049"/>
    </row>
    <row r="93" spans="2:14" x14ac:dyDescent="0.25">
      <c r="B93" s="3040" t="s">
        <v>1970</v>
      </c>
      <c r="C93" s="1050" t="s">
        <v>2314</v>
      </c>
      <c r="D93" s="1055"/>
      <c r="E93" s="1055"/>
      <c r="F93" s="1061"/>
      <c r="G93" s="1063"/>
      <c r="H93" s="1063"/>
      <c r="I93" s="1063"/>
      <c r="J93" s="1063"/>
      <c r="K93" s="1063"/>
      <c r="L93" s="1063"/>
      <c r="M93" s="1063" t="s">
        <v>190</v>
      </c>
      <c r="N93" s="1049"/>
    </row>
    <row r="94" spans="2:14" ht="5.25" customHeight="1" x14ac:dyDescent="0.25">
      <c r="B94" s="1060"/>
      <c r="C94" s="1054"/>
      <c r="D94" s="1055"/>
      <c r="E94" s="1055"/>
      <c r="F94" s="1061"/>
      <c r="G94" s="1063"/>
      <c r="H94" s="1063"/>
      <c r="I94" s="1063"/>
      <c r="J94" s="1063"/>
      <c r="K94" s="1063"/>
      <c r="L94" s="1063"/>
      <c r="M94" s="1063"/>
      <c r="N94" s="1049"/>
    </row>
    <row r="95" spans="2:14" ht="15.75" x14ac:dyDescent="0.25">
      <c r="B95" s="1060"/>
      <c r="C95" s="1052" t="s">
        <v>325</v>
      </c>
      <c r="D95" s="1052" t="s">
        <v>145</v>
      </c>
      <c r="E95" s="1052" t="s">
        <v>2096</v>
      </c>
      <c r="F95" s="1053">
        <v>2015</v>
      </c>
      <c r="G95" s="2800">
        <v>2020</v>
      </c>
      <c r="H95" s="1053">
        <v>2025</v>
      </c>
      <c r="I95" s="1053">
        <v>2030</v>
      </c>
      <c r="J95" s="1053">
        <v>2035</v>
      </c>
      <c r="K95" s="1053">
        <v>2040</v>
      </c>
      <c r="L95" s="1053">
        <v>2045</v>
      </c>
      <c r="M95" s="1053">
        <v>2050</v>
      </c>
      <c r="N95" s="1049"/>
    </row>
    <row r="96" spans="2:14" ht="15.75" x14ac:dyDescent="0.25">
      <c r="B96" s="1060"/>
      <c r="C96" s="1054">
        <v>1</v>
      </c>
      <c r="D96" s="1055" t="s">
        <v>590</v>
      </c>
      <c r="E96" s="1056"/>
      <c r="F96" s="1061">
        <v>0</v>
      </c>
      <c r="G96" s="2805">
        <v>6.0423576254415232E-5</v>
      </c>
      <c r="H96" s="1062">
        <v>5.8076401111909906E-5</v>
      </c>
      <c r="I96" s="1062">
        <v>5.6478233765385606E-5</v>
      </c>
      <c r="J96" s="1062">
        <v>5.5453324509612039E-5</v>
      </c>
      <c r="K96" s="1062">
        <v>5.1691764335052617E-5</v>
      </c>
      <c r="L96" s="1062">
        <v>4.9559895793414541E-5</v>
      </c>
      <c r="M96" s="1062">
        <v>4.7446561176004557E-5</v>
      </c>
      <c r="N96" s="1049"/>
    </row>
    <row r="97" spans="2:14" ht="15.75" x14ac:dyDescent="0.25">
      <c r="B97" s="1060"/>
      <c r="C97" s="1054"/>
      <c r="D97" s="1055" t="s">
        <v>591</v>
      </c>
      <c r="E97" s="1056"/>
      <c r="F97" s="1061">
        <v>6.3698354995302969E-5</v>
      </c>
      <c r="G97" s="2806">
        <v>1.1806766800112735E-2</v>
      </c>
      <c r="H97" s="1063">
        <v>1.887483036137072E-2</v>
      </c>
      <c r="I97" s="1062">
        <v>3.6710851947500643E-2</v>
      </c>
      <c r="J97" s="1063">
        <v>3.6044660931247828E-2</v>
      </c>
      <c r="K97" s="1062">
        <v>5.0399470226676298E-2</v>
      </c>
      <c r="L97" s="1062">
        <v>4.8320898398579178E-2</v>
      </c>
      <c r="M97" s="1062">
        <v>4.6260397146604446E-2</v>
      </c>
      <c r="N97" s="1049"/>
    </row>
    <row r="98" spans="2:14" ht="15.75" x14ac:dyDescent="0.25">
      <c r="B98" s="1060"/>
      <c r="C98" s="1054"/>
      <c r="D98" s="1055" t="s">
        <v>592</v>
      </c>
      <c r="E98" s="1056"/>
      <c r="F98" s="1061">
        <v>0</v>
      </c>
      <c r="G98" s="2806">
        <v>0</v>
      </c>
      <c r="H98" s="1063">
        <v>0</v>
      </c>
      <c r="I98" s="1063">
        <v>0</v>
      </c>
      <c r="J98" s="1063">
        <v>0</v>
      </c>
      <c r="K98" s="1063">
        <v>0</v>
      </c>
      <c r="L98" s="1063">
        <v>0</v>
      </c>
      <c r="M98" s="1063">
        <v>0</v>
      </c>
      <c r="N98" s="1049"/>
    </row>
    <row r="99" spans="2:14" ht="15.75" x14ac:dyDescent="0.25">
      <c r="B99" s="1060"/>
      <c r="C99" s="1064"/>
      <c r="D99" s="1065" t="s">
        <v>593</v>
      </c>
      <c r="E99" s="1065"/>
      <c r="F99" s="1066">
        <v>0.99993630164500469</v>
      </c>
      <c r="G99" s="2807">
        <v>0.98813280962363281</v>
      </c>
      <c r="H99" s="1067">
        <v>0.9810670932375174</v>
      </c>
      <c r="I99" s="1067">
        <v>0.9632326698187339</v>
      </c>
      <c r="J99" s="1067">
        <v>0.96389988574424257</v>
      </c>
      <c r="K99" s="1067">
        <v>0.94954883800898859</v>
      </c>
      <c r="L99" s="1067">
        <v>0.95162954170562741</v>
      </c>
      <c r="M99" s="1067">
        <v>0.95369215629221948</v>
      </c>
      <c r="N99" s="1049"/>
    </row>
    <row r="100" spans="2:14" ht="15.75" x14ac:dyDescent="0.25">
      <c r="B100" s="1060"/>
      <c r="C100" s="1054">
        <v>2</v>
      </c>
      <c r="D100" s="1055" t="s">
        <v>590</v>
      </c>
      <c r="E100" s="1056"/>
      <c r="F100" s="1061">
        <v>0</v>
      </c>
      <c r="G100" s="2805">
        <v>2.2960958976677788E-3</v>
      </c>
      <c r="H100" s="1062">
        <v>2.9038200555954953E-3</v>
      </c>
      <c r="I100" s="1062">
        <v>2.8239116882692802E-3</v>
      </c>
      <c r="J100" s="1062">
        <v>6.4695545261214049E-3</v>
      </c>
      <c r="K100" s="1062">
        <v>7.7537646502578925E-3</v>
      </c>
      <c r="L100" s="1062">
        <v>8.5353153866436163E-3</v>
      </c>
      <c r="M100" s="1062">
        <v>9.4893122352009123E-3</v>
      </c>
      <c r="N100" s="1049"/>
    </row>
    <row r="101" spans="2:14" ht="15.75" x14ac:dyDescent="0.25">
      <c r="B101" s="1060"/>
      <c r="C101" s="1054"/>
      <c r="D101" s="1055" t="s">
        <v>591</v>
      </c>
      <c r="E101" s="1056"/>
      <c r="F101" s="1061">
        <v>6.3698354995302969E-5</v>
      </c>
      <c r="G101" s="2806">
        <v>2.720571520855046E-2</v>
      </c>
      <c r="H101" s="1063">
        <v>4.6344968087304102E-2</v>
      </c>
      <c r="I101" s="1062">
        <v>6.3989838856181896E-2</v>
      </c>
      <c r="J101" s="1063">
        <v>7.7634654313456869E-2</v>
      </c>
      <c r="K101" s="1062">
        <v>9.3045175803094723E-2</v>
      </c>
      <c r="L101" s="1062">
        <v>0.1024237846397234</v>
      </c>
      <c r="M101" s="1062">
        <v>0.11387174682241094</v>
      </c>
      <c r="N101" s="1049"/>
    </row>
    <row r="102" spans="2:14" ht="15.75" x14ac:dyDescent="0.25">
      <c r="B102" s="1060"/>
      <c r="C102" s="1054"/>
      <c r="D102" s="1055" t="s">
        <v>592</v>
      </c>
      <c r="E102" s="1056"/>
      <c r="F102" s="1061">
        <v>0</v>
      </c>
      <c r="G102" s="2806">
        <v>0</v>
      </c>
      <c r="H102" s="1063">
        <v>0</v>
      </c>
      <c r="I102" s="1063">
        <v>0</v>
      </c>
      <c r="J102" s="1063">
        <v>0</v>
      </c>
      <c r="K102" s="1063">
        <v>0</v>
      </c>
      <c r="L102" s="1063">
        <v>0</v>
      </c>
      <c r="M102" s="1063">
        <v>0</v>
      </c>
      <c r="N102" s="1049"/>
    </row>
    <row r="103" spans="2:14" ht="15.75" x14ac:dyDescent="0.25">
      <c r="B103" s="1060"/>
      <c r="C103" s="1064"/>
      <c r="D103" s="1065" t="s">
        <v>593</v>
      </c>
      <c r="E103" s="1065"/>
      <c r="F103" s="1066">
        <v>0.99993630164500469</v>
      </c>
      <c r="G103" s="2807">
        <v>0.97049818889378181</v>
      </c>
      <c r="H103" s="1067">
        <v>0.95075121185710032</v>
      </c>
      <c r="I103" s="1067">
        <v>0.93318624945554884</v>
      </c>
      <c r="J103" s="1067">
        <v>0.91589579116042175</v>
      </c>
      <c r="K103" s="1067">
        <v>0.89920105954664742</v>
      </c>
      <c r="L103" s="1067">
        <v>0.889040899973633</v>
      </c>
      <c r="M103" s="1067">
        <v>0.87663894094238815</v>
      </c>
      <c r="N103" s="1049"/>
    </row>
    <row r="104" spans="2:14" ht="15.75" x14ac:dyDescent="0.25">
      <c r="B104" s="1060"/>
      <c r="C104" s="1054">
        <v>3</v>
      </c>
      <c r="D104" s="1055" t="s">
        <v>590</v>
      </c>
      <c r="E104" s="1056"/>
      <c r="F104" s="1061">
        <v>0</v>
      </c>
      <c r="G104" s="2805">
        <f>(G100+G108)/2</f>
        <v>3.3788863841469008E-2</v>
      </c>
      <c r="H104" s="1062">
        <f t="shared" ref="H104:M104" si="8">(H100+H108)/2</f>
        <v>5.3720671028516666E-2</v>
      </c>
      <c r="I104" s="1062">
        <f t="shared" si="8"/>
        <v>5.2242366232981688E-2</v>
      </c>
      <c r="J104" s="1062">
        <f t="shared" si="8"/>
        <v>5.3142769321711539E-2</v>
      </c>
      <c r="K104" s="1062">
        <f t="shared" si="8"/>
        <v>5.0399470226676304E-2</v>
      </c>
      <c r="L104" s="1062">
        <f t="shared" si="8"/>
        <v>4.8871563907394902E-2</v>
      </c>
      <c r="M104" s="1062">
        <f t="shared" si="8"/>
        <v>4.7446561176004556E-2</v>
      </c>
      <c r="N104" s="1049"/>
    </row>
    <row r="105" spans="2:14" ht="15.75" x14ac:dyDescent="0.25">
      <c r="B105" s="1060"/>
      <c r="C105" s="1054"/>
      <c r="D105" s="1055" t="s">
        <v>591</v>
      </c>
      <c r="E105" s="1056"/>
      <c r="F105" s="1061">
        <v>6.3698354995302969E-5</v>
      </c>
      <c r="G105" s="2806">
        <f>(G101+G109)/2</f>
        <v>2.5397539689137084E-2</v>
      </c>
      <c r="H105" s="1063">
        <f t="shared" ref="H105:M105" si="9">(H101+H109)/2</f>
        <v>4.7743269129460086E-2</v>
      </c>
      <c r="I105" s="1062">
        <f t="shared" si="9"/>
        <v>6.5121575771249815E-2</v>
      </c>
      <c r="J105" s="1063">
        <f t="shared" si="9"/>
        <v>8.0407320538937455E-2</v>
      </c>
      <c r="K105" s="1062">
        <f t="shared" si="9"/>
        <v>0.11023785662093322</v>
      </c>
      <c r="L105" s="1062">
        <f t="shared" si="9"/>
        <v>0.12824449034809238</v>
      </c>
      <c r="M105" s="1062">
        <f t="shared" si="9"/>
        <v>0.14976507035205838</v>
      </c>
      <c r="N105" s="1049"/>
    </row>
    <row r="106" spans="2:14" ht="15.75" x14ac:dyDescent="0.25">
      <c r="B106" s="1060"/>
      <c r="C106" s="1054"/>
      <c r="D106" s="1055" t="s">
        <v>592</v>
      </c>
      <c r="E106" s="1056"/>
      <c r="F106" s="1061">
        <v>0</v>
      </c>
      <c r="G106" s="2806">
        <f>(G102+G110)/2</f>
        <v>0</v>
      </c>
      <c r="H106" s="1063">
        <f t="shared" ref="H106:M106" si="10">(H102+H110)/2</f>
        <v>2.9038200555954953E-5</v>
      </c>
      <c r="I106" s="1063">
        <f t="shared" si="10"/>
        <v>2.8239116882692802E-4</v>
      </c>
      <c r="J106" s="1063">
        <f t="shared" si="10"/>
        <v>2.7726662254806021E-3</v>
      </c>
      <c r="K106" s="1063">
        <f t="shared" si="10"/>
        <v>1.1889105797062101E-2</v>
      </c>
      <c r="L106" s="1063">
        <f t="shared" si="10"/>
        <v>1.7345963527695091E-2</v>
      </c>
      <c r="M106" s="1063">
        <f t="shared" si="10"/>
        <v>2.3723280588002278E-2</v>
      </c>
      <c r="N106" s="1049"/>
    </row>
    <row r="107" spans="2:14" ht="15.75" x14ac:dyDescent="0.25">
      <c r="B107" s="1060"/>
      <c r="C107" s="1064"/>
      <c r="D107" s="1065" t="s">
        <v>593</v>
      </c>
      <c r="E107" s="1065"/>
      <c r="F107" s="1066">
        <v>0.99993630164500469</v>
      </c>
      <c r="G107" s="2807">
        <f>(G103+G111)/2</f>
        <v>0.940813596469394</v>
      </c>
      <c r="H107" s="1067">
        <f>(H103+H111)/2</f>
        <v>0.89850702164146723</v>
      </c>
      <c r="I107" s="1067">
        <f>(I103+I111)/2</f>
        <v>0.88235366682694161</v>
      </c>
      <c r="J107" s="1067">
        <f>(J103+J111)/2</f>
        <v>0.86367724391387046</v>
      </c>
      <c r="K107" s="1067">
        <f>(K103+K111)/2</f>
        <v>0.8274735673553284</v>
      </c>
      <c r="L107" s="1067">
        <f>(L103+L111)/2</f>
        <v>0.80553798221681772</v>
      </c>
      <c r="M107" s="1067">
        <v>0.75766031647198595</v>
      </c>
      <c r="N107" s="1049"/>
    </row>
    <row r="108" spans="2:14" ht="15.75" x14ac:dyDescent="0.25">
      <c r="B108" s="1060"/>
      <c r="C108" s="1054">
        <v>4</v>
      </c>
      <c r="D108" s="1055" t="s">
        <v>590</v>
      </c>
      <c r="E108" s="1056"/>
      <c r="F108" s="1061">
        <v>0</v>
      </c>
      <c r="G108" s="2805">
        <v>6.528163178527023E-2</v>
      </c>
      <c r="H108" s="1062">
        <v>0.10453752200143783</v>
      </c>
      <c r="I108" s="1062">
        <v>0.10166082077769409</v>
      </c>
      <c r="J108" s="1062">
        <v>9.9815984117301679E-2</v>
      </c>
      <c r="K108" s="1062">
        <v>9.304517580309471E-2</v>
      </c>
      <c r="L108" s="1062">
        <v>8.9207812428146183E-2</v>
      </c>
      <c r="M108" s="1062">
        <v>8.5403810116808199E-2</v>
      </c>
      <c r="N108" s="1049"/>
    </row>
    <row r="109" spans="2:14" ht="15.75" x14ac:dyDescent="0.25">
      <c r="B109" s="1060"/>
      <c r="C109" s="1054"/>
      <c r="D109" s="1055" t="s">
        <v>591</v>
      </c>
      <c r="E109" s="1056"/>
      <c r="F109" s="1061">
        <v>6.3698354995302969E-5</v>
      </c>
      <c r="G109" s="2806">
        <v>2.3589364169723705E-2</v>
      </c>
      <c r="H109" s="1063">
        <v>4.9141570171616064E-2</v>
      </c>
      <c r="I109" s="1062">
        <v>6.6253312686317734E-2</v>
      </c>
      <c r="J109" s="1063">
        <v>8.3179986764418054E-2</v>
      </c>
      <c r="K109" s="1062">
        <v>0.12743053743877172</v>
      </c>
      <c r="L109" s="1062">
        <v>0.15406519605646135</v>
      </c>
      <c r="M109" s="1062">
        <v>0.18565839388170582</v>
      </c>
      <c r="N109" s="1049"/>
    </row>
    <row r="110" spans="2:14" ht="15.75" x14ac:dyDescent="0.25">
      <c r="B110" s="1060"/>
      <c r="C110" s="1054"/>
      <c r="D110" s="1055" t="s">
        <v>592</v>
      </c>
      <c r="E110" s="1056"/>
      <c r="F110" s="1061">
        <v>0</v>
      </c>
      <c r="G110" s="2806">
        <v>0</v>
      </c>
      <c r="H110" s="1063">
        <v>5.8076401111909906E-5</v>
      </c>
      <c r="I110" s="1063">
        <v>5.6478233765385605E-4</v>
      </c>
      <c r="J110" s="1063">
        <v>5.5453324509612042E-3</v>
      </c>
      <c r="K110" s="1063">
        <v>2.3778211594124202E-2</v>
      </c>
      <c r="L110" s="1063">
        <v>3.4691927055390183E-2</v>
      </c>
      <c r="M110" s="1063">
        <v>4.7446561176004556E-2</v>
      </c>
      <c r="N110" s="1049"/>
    </row>
    <row r="111" spans="2:14" ht="15.75" x14ac:dyDescent="0.25">
      <c r="B111" s="1060"/>
      <c r="C111" s="1064"/>
      <c r="D111" s="1065" t="s">
        <v>593</v>
      </c>
      <c r="E111" s="1065"/>
      <c r="F111" s="1066">
        <v>0.99993630164500469</v>
      </c>
      <c r="G111" s="2807">
        <v>0.91112900404500607</v>
      </c>
      <c r="H111" s="1067">
        <v>0.84626283142583425</v>
      </c>
      <c r="I111" s="1067">
        <v>0.83152108419833426</v>
      </c>
      <c r="J111" s="1067">
        <v>0.81145869666731907</v>
      </c>
      <c r="K111" s="1067">
        <v>0.75574607516400938</v>
      </c>
      <c r="L111" s="1067">
        <v>0.72203506446000243</v>
      </c>
      <c r="M111" s="1067">
        <v>0.68149123482548146</v>
      </c>
      <c r="N111" s="1049"/>
    </row>
    <row r="112" spans="2:14" ht="15.75" x14ac:dyDescent="0.25">
      <c r="B112" s="1060"/>
      <c r="C112" s="1068" t="s">
        <v>153</v>
      </c>
      <c r="D112" s="1055" t="s">
        <v>590</v>
      </c>
      <c r="E112" s="1069"/>
      <c r="F112" s="1061">
        <f>CHOOSE($E$11, F96, F100, F104, F108)</f>
        <v>0</v>
      </c>
      <c r="G112" s="2809">
        <f t="shared" ref="G112:M112" si="11">CHOOSE($E$11, G96, G100, G104, G108)</f>
        <v>6.0423576254415232E-5</v>
      </c>
      <c r="H112" s="1070">
        <f t="shared" si="11"/>
        <v>5.8076401111909906E-5</v>
      </c>
      <c r="I112" s="1070">
        <f t="shared" si="11"/>
        <v>5.6478233765385606E-5</v>
      </c>
      <c r="J112" s="1070">
        <f t="shared" si="11"/>
        <v>5.5453324509612039E-5</v>
      </c>
      <c r="K112" s="1070">
        <f t="shared" si="11"/>
        <v>5.1691764335052617E-5</v>
      </c>
      <c r="L112" s="1070">
        <f t="shared" si="11"/>
        <v>4.9559895793414541E-5</v>
      </c>
      <c r="M112" s="1070">
        <f t="shared" si="11"/>
        <v>4.7446561176004557E-5</v>
      </c>
      <c r="N112" s="1049"/>
    </row>
    <row r="113" spans="2:14" ht="15.75" x14ac:dyDescent="0.25">
      <c r="B113" s="1060"/>
      <c r="C113" s="1054"/>
      <c r="D113" s="1055" t="s">
        <v>591</v>
      </c>
      <c r="E113" s="1055"/>
      <c r="F113" s="1061">
        <f t="shared" ref="F113:M115" si="12">CHOOSE($E$11, F97, F101, F105, F109)</f>
        <v>6.3698354995302969E-5</v>
      </c>
      <c r="G113" s="2810">
        <f t="shared" si="12"/>
        <v>1.1806766800112735E-2</v>
      </c>
      <c r="H113" s="1061">
        <f t="shared" si="12"/>
        <v>1.887483036137072E-2</v>
      </c>
      <c r="I113" s="1061">
        <f t="shared" si="12"/>
        <v>3.6710851947500643E-2</v>
      </c>
      <c r="J113" s="1061">
        <f t="shared" si="12"/>
        <v>3.6044660931247828E-2</v>
      </c>
      <c r="K113" s="1061">
        <f t="shared" si="12"/>
        <v>5.0399470226676298E-2</v>
      </c>
      <c r="L113" s="1061">
        <f t="shared" si="12"/>
        <v>4.8320898398579178E-2</v>
      </c>
      <c r="M113" s="1061">
        <f t="shared" si="12"/>
        <v>4.6260397146604446E-2</v>
      </c>
      <c r="N113" s="1049"/>
    </row>
    <row r="114" spans="2:14" ht="15.75" x14ac:dyDescent="0.25">
      <c r="B114" s="1060"/>
      <c r="C114" s="1054"/>
      <c r="D114" s="1055" t="s">
        <v>592</v>
      </c>
      <c r="E114" s="1055"/>
      <c r="F114" s="1061">
        <f t="shared" si="12"/>
        <v>0</v>
      </c>
      <c r="G114" s="2810">
        <f t="shared" si="12"/>
        <v>0</v>
      </c>
      <c r="H114" s="1061">
        <f t="shared" si="12"/>
        <v>0</v>
      </c>
      <c r="I114" s="1061">
        <f t="shared" si="12"/>
        <v>0</v>
      </c>
      <c r="J114" s="1061">
        <f t="shared" si="12"/>
        <v>0</v>
      </c>
      <c r="K114" s="1061">
        <f t="shared" si="12"/>
        <v>0</v>
      </c>
      <c r="L114" s="1061">
        <f t="shared" si="12"/>
        <v>0</v>
      </c>
      <c r="M114" s="1061">
        <f t="shared" si="12"/>
        <v>0</v>
      </c>
      <c r="N114" s="1049"/>
    </row>
    <row r="115" spans="2:14" ht="15.75" x14ac:dyDescent="0.25">
      <c r="B115" s="1060"/>
      <c r="C115" s="1064"/>
      <c r="D115" s="1065" t="s">
        <v>593</v>
      </c>
      <c r="E115" s="1065"/>
      <c r="F115" s="1066">
        <f t="shared" si="12"/>
        <v>0.99993630164500469</v>
      </c>
      <c r="G115" s="2811">
        <f t="shared" si="12"/>
        <v>0.98813280962363281</v>
      </c>
      <c r="H115" s="1066">
        <f t="shared" si="12"/>
        <v>0.9810670932375174</v>
      </c>
      <c r="I115" s="1066">
        <f t="shared" si="12"/>
        <v>0.9632326698187339</v>
      </c>
      <c r="J115" s="1066">
        <f t="shared" si="12"/>
        <v>0.96389988574424257</v>
      </c>
      <c r="K115" s="1066">
        <f t="shared" si="12"/>
        <v>0.94954883800898859</v>
      </c>
      <c r="L115" s="1066">
        <f t="shared" si="12"/>
        <v>0.95162954170562741</v>
      </c>
      <c r="M115" s="1066">
        <f t="shared" si="12"/>
        <v>0.95369215629221948</v>
      </c>
      <c r="N115" s="1049"/>
    </row>
    <row r="116" spans="2:14" ht="15.75" x14ac:dyDescent="0.25">
      <c r="B116" s="1060"/>
      <c r="C116" s="1054"/>
      <c r="D116" s="1055"/>
      <c r="E116" s="1055"/>
      <c r="F116" s="1061"/>
      <c r="G116" s="1063"/>
      <c r="H116" s="1063"/>
      <c r="I116" s="1063"/>
      <c r="J116" s="1063"/>
      <c r="K116" s="1063"/>
      <c r="L116" s="1063"/>
      <c r="M116" s="1063"/>
      <c r="N116" s="1049"/>
    </row>
    <row r="117" spans="2:14" x14ac:dyDescent="0.25">
      <c r="B117" s="3040" t="s">
        <v>1971</v>
      </c>
      <c r="C117" s="1050" t="s">
        <v>2184</v>
      </c>
      <c r="D117" s="1055"/>
      <c r="E117" s="1055"/>
      <c r="F117" s="1061"/>
      <c r="G117" s="1063"/>
      <c r="H117" s="1063"/>
      <c r="I117" s="1063"/>
      <c r="J117" s="1063"/>
      <c r="K117" s="1063"/>
      <c r="L117" s="1063"/>
      <c r="M117" s="1063" t="s">
        <v>190</v>
      </c>
      <c r="N117" s="1049"/>
    </row>
    <row r="118" spans="2:14" ht="5.25" customHeight="1" x14ac:dyDescent="0.25">
      <c r="B118" s="1060"/>
      <c r="C118" s="1054"/>
      <c r="D118" s="1055"/>
      <c r="E118" s="1055"/>
      <c r="F118" s="1061"/>
      <c r="G118" s="1063"/>
      <c r="H118" s="1063"/>
      <c r="I118" s="1063"/>
      <c r="J118" s="1063"/>
      <c r="K118" s="1063"/>
      <c r="L118" s="1063"/>
      <c r="M118" s="1063"/>
      <c r="N118" s="1049"/>
    </row>
    <row r="119" spans="2:14" ht="15.75" x14ac:dyDescent="0.25">
      <c r="B119" s="1060"/>
      <c r="C119" s="1052" t="s">
        <v>325</v>
      </c>
      <c r="D119" s="1052" t="s">
        <v>483</v>
      </c>
      <c r="E119" s="1052" t="s">
        <v>2096</v>
      </c>
      <c r="F119" s="1053">
        <v>2015</v>
      </c>
      <c r="G119" s="2800">
        <v>2020</v>
      </c>
      <c r="H119" s="1053">
        <v>2025</v>
      </c>
      <c r="I119" s="1053">
        <v>2030</v>
      </c>
      <c r="J119" s="1053">
        <v>2035</v>
      </c>
      <c r="K119" s="1053">
        <v>2040</v>
      </c>
      <c r="L119" s="1053">
        <v>2045</v>
      </c>
      <c r="M119" s="1053">
        <v>2050</v>
      </c>
      <c r="N119" s="1049"/>
    </row>
    <row r="120" spans="2:14" ht="15.75" x14ac:dyDescent="0.25">
      <c r="B120" s="1060"/>
      <c r="C120" s="1054">
        <v>1</v>
      </c>
      <c r="D120" s="1055"/>
      <c r="E120" s="1056"/>
      <c r="F120" s="1061">
        <v>0.51427095916553589</v>
      </c>
      <c r="G120" s="2805">
        <v>0.49609482930340004</v>
      </c>
      <c r="H120" s="1062">
        <v>0.47774623513679626</v>
      </c>
      <c r="I120" s="1062">
        <v>0.45922271032206746</v>
      </c>
      <c r="J120" s="1062">
        <v>0.45922271032206746</v>
      </c>
      <c r="K120" s="1062">
        <v>0.42164076597563038</v>
      </c>
      <c r="L120" s="1062">
        <v>0.39874230679357647</v>
      </c>
      <c r="M120" s="1062">
        <v>0.38332829977194083</v>
      </c>
      <c r="N120" s="1049"/>
    </row>
    <row r="121" spans="2:14" ht="15.75" x14ac:dyDescent="0.25">
      <c r="B121" s="1060"/>
      <c r="C121" s="1054">
        <v>2</v>
      </c>
      <c r="D121" s="1055"/>
      <c r="E121" s="1056"/>
      <c r="F121" s="1061">
        <v>0.51427095916553589</v>
      </c>
      <c r="G121" s="2806">
        <v>0.49609482930340004</v>
      </c>
      <c r="H121" s="1063">
        <v>0.47774623513679626</v>
      </c>
      <c r="I121" s="1062">
        <v>0.45922271032206746</v>
      </c>
      <c r="J121" s="1063">
        <v>0.45922271032206746</v>
      </c>
      <c r="K121" s="1062">
        <v>0.44052174126337446</v>
      </c>
      <c r="L121" s="1062">
        <v>0.44052174126337446</v>
      </c>
      <c r="M121" s="1062">
        <v>0.44052174126337446</v>
      </c>
      <c r="N121" s="1049"/>
    </row>
    <row r="122" spans="2:14" ht="15.75" x14ac:dyDescent="0.25">
      <c r="B122" s="1060"/>
      <c r="C122" s="1054">
        <v>3</v>
      </c>
      <c r="D122" s="1055"/>
      <c r="E122" s="1056"/>
      <c r="F122" s="1061">
        <v>0.51427095916553589</v>
      </c>
      <c r="G122" s="2806">
        <v>0.49609482930340004</v>
      </c>
      <c r="H122" s="1063">
        <v>0.47774623513679626</v>
      </c>
      <c r="I122" s="1063">
        <v>0.45922271032206746</v>
      </c>
      <c r="J122" s="1063">
        <v>0.45922271032206746</v>
      </c>
      <c r="K122" s="1063">
        <v>0.45922271032206746</v>
      </c>
      <c r="L122" s="1063">
        <v>0.45922271032206746</v>
      </c>
      <c r="M122" s="1063">
        <v>0.45922271032206746</v>
      </c>
      <c r="N122" s="1049"/>
    </row>
    <row r="123" spans="2:14" ht="15.75" x14ac:dyDescent="0.25">
      <c r="B123" s="1060"/>
      <c r="C123" s="1064">
        <v>4</v>
      </c>
      <c r="D123" s="1065"/>
      <c r="E123" s="1065"/>
      <c r="F123" s="1066">
        <v>0.51416825649756692</v>
      </c>
      <c r="G123" s="2807">
        <v>0.4959572458171817</v>
      </c>
      <c r="H123" s="1067">
        <v>0.4959572458171817</v>
      </c>
      <c r="I123" s="1067">
        <v>0.50142054902129707</v>
      </c>
      <c r="J123" s="1067">
        <v>0.50142054902129707</v>
      </c>
      <c r="K123" s="1067">
        <v>0.52509486290579799</v>
      </c>
      <c r="L123" s="1067">
        <v>0.52509486290579799</v>
      </c>
      <c r="M123" s="1067">
        <v>0.52509486290579799</v>
      </c>
      <c r="N123" s="1049"/>
    </row>
    <row r="124" spans="2:14" ht="15.75" x14ac:dyDescent="0.25">
      <c r="B124" s="1060"/>
      <c r="C124" s="1057" t="s">
        <v>153</v>
      </c>
      <c r="D124" s="1058"/>
      <c r="E124" s="1058"/>
      <c r="F124" s="176">
        <f t="shared" ref="F124:M124" si="13">(INDEX(F$120:F$123,ROUNDDOWN($E$12,0))*(1-MOD($E$12,1)))+(INDEX(F$120:F$123,ROUNDUP($E$12,0))*MOD($E$12,1))</f>
        <v>0.51427095916553589</v>
      </c>
      <c r="G124" s="2804">
        <f t="shared" si="13"/>
        <v>0.49609482930340004</v>
      </c>
      <c r="H124" s="176">
        <f t="shared" si="13"/>
        <v>0.47774623513679626</v>
      </c>
      <c r="I124" s="176">
        <f t="shared" si="13"/>
        <v>0.45922271032206746</v>
      </c>
      <c r="J124" s="176">
        <f t="shared" si="13"/>
        <v>0.45922271032206746</v>
      </c>
      <c r="K124" s="176">
        <f t="shared" si="13"/>
        <v>0.42164076597563038</v>
      </c>
      <c r="L124" s="176">
        <f t="shared" si="13"/>
        <v>0.39874230679357647</v>
      </c>
      <c r="M124" s="176">
        <f t="shared" si="13"/>
        <v>0.38332829977194083</v>
      </c>
      <c r="N124" s="1049"/>
    </row>
    <row r="125" spans="2:14" ht="15.75" x14ac:dyDescent="0.25">
      <c r="B125" s="1060"/>
      <c r="C125" s="1054"/>
      <c r="D125" s="1055"/>
      <c r="E125" s="1055"/>
      <c r="F125" s="1061"/>
      <c r="G125" s="1063"/>
      <c r="H125" s="1063"/>
      <c r="I125" s="1063"/>
      <c r="J125" s="1063"/>
      <c r="K125" s="1063"/>
      <c r="L125" s="1063"/>
      <c r="M125" s="1063"/>
      <c r="N125" s="1049"/>
    </row>
    <row r="126" spans="2:14" ht="15.75" x14ac:dyDescent="0.25">
      <c r="B126" s="1060"/>
      <c r="C126" s="1059" t="s">
        <v>594</v>
      </c>
      <c r="D126" s="1055"/>
      <c r="E126" s="1055"/>
      <c r="F126" s="1061"/>
      <c r="G126" s="1063"/>
      <c r="H126" s="1063"/>
      <c r="I126" s="1063"/>
      <c r="J126" s="1063"/>
      <c r="K126" s="1063"/>
      <c r="L126" s="1063"/>
      <c r="M126" s="1063"/>
      <c r="N126" s="1049"/>
    </row>
    <row r="127" spans="2:14" ht="0.75" customHeight="1" x14ac:dyDescent="0.25">
      <c r="B127" s="1060"/>
      <c r="C127" s="1059"/>
      <c r="D127" s="1055"/>
      <c r="E127" s="1055"/>
      <c r="F127" s="1061"/>
      <c r="G127" s="1063"/>
      <c r="H127" s="1063"/>
      <c r="I127" s="1063"/>
      <c r="J127" s="1063"/>
      <c r="K127" s="1063"/>
      <c r="L127" s="1063"/>
      <c r="M127" s="1063"/>
      <c r="N127" s="1049"/>
    </row>
    <row r="128" spans="2:14" x14ac:dyDescent="0.25">
      <c r="B128" s="3040" t="s">
        <v>1972</v>
      </c>
      <c r="C128" s="1050" t="s">
        <v>2128</v>
      </c>
      <c r="D128" s="1055"/>
      <c r="E128" s="1055"/>
      <c r="F128" s="1061"/>
      <c r="G128" s="1063"/>
      <c r="H128" s="1063"/>
      <c r="I128" s="1063"/>
      <c r="J128" s="1063"/>
      <c r="K128" s="1063"/>
      <c r="L128" s="1063"/>
      <c r="M128" s="1063" t="s">
        <v>190</v>
      </c>
      <c r="N128" s="1049"/>
    </row>
    <row r="129" spans="2:25" ht="5.25" customHeight="1" x14ac:dyDescent="0.25">
      <c r="B129" s="1060"/>
      <c r="C129" s="1054"/>
      <c r="D129" s="1055"/>
      <c r="E129" s="1055"/>
      <c r="F129" s="1061"/>
      <c r="G129" s="1063"/>
      <c r="H129" s="1063"/>
      <c r="I129" s="1063"/>
      <c r="J129" s="1063"/>
      <c r="K129" s="1063"/>
      <c r="L129" s="1063"/>
      <c r="M129" s="1063"/>
      <c r="N129" s="1049"/>
    </row>
    <row r="130" spans="2:25" ht="15.75" x14ac:dyDescent="0.25">
      <c r="B130" s="1060"/>
      <c r="C130" s="1052" t="s">
        <v>325</v>
      </c>
      <c r="D130" s="1052" t="s">
        <v>483</v>
      </c>
      <c r="E130" s="1052" t="s">
        <v>2096</v>
      </c>
      <c r="F130" s="1053">
        <v>2015</v>
      </c>
      <c r="G130" s="2800">
        <v>2020</v>
      </c>
      <c r="H130" s="1053">
        <v>2025</v>
      </c>
      <c r="I130" s="1053">
        <v>2030</v>
      </c>
      <c r="J130" s="1053">
        <v>2035</v>
      </c>
      <c r="K130" s="1053">
        <v>2040</v>
      </c>
      <c r="L130" s="1053">
        <v>2045</v>
      </c>
      <c r="M130" s="1053">
        <v>2050</v>
      </c>
      <c r="N130" s="1049"/>
    </row>
    <row r="131" spans="2:25" ht="15.75" x14ac:dyDescent="0.25">
      <c r="B131" s="1060"/>
      <c r="C131" s="1054">
        <v>1</v>
      </c>
      <c r="D131" s="1055"/>
      <c r="E131" s="1056"/>
      <c r="F131" s="1071">
        <v>3.8957532311519334E-2</v>
      </c>
      <c r="G131" s="2812">
        <v>3.8957532311519334E-2</v>
      </c>
      <c r="H131" s="1072">
        <v>3.8957532311519334E-2</v>
      </c>
      <c r="I131" s="1072">
        <v>3.8957532311519334E-2</v>
      </c>
      <c r="J131" s="1072">
        <v>3.8957532311519334E-2</v>
      </c>
      <c r="K131" s="1072">
        <v>3.8957532311519334E-2</v>
      </c>
      <c r="L131" s="1072">
        <v>3.8957532311519334E-2</v>
      </c>
      <c r="M131" s="1072">
        <v>3.8957532311519334E-2</v>
      </c>
      <c r="N131" s="1049"/>
    </row>
    <row r="132" spans="2:25" ht="15.75" x14ac:dyDescent="0.25">
      <c r="B132" s="1060"/>
      <c r="C132" s="1054">
        <v>2</v>
      </c>
      <c r="D132" s="1055"/>
      <c r="E132" s="1056"/>
      <c r="F132" s="1071">
        <v>3.8957532311519334E-2</v>
      </c>
      <c r="G132" s="2813">
        <v>3.9964610259599444E-2</v>
      </c>
      <c r="H132" s="1073">
        <v>4.1643073506399626E-2</v>
      </c>
      <c r="I132" s="1072">
        <v>4.3321536753199809E-2</v>
      </c>
      <c r="J132" s="1073">
        <v>4.4999999999999998E-2</v>
      </c>
      <c r="K132" s="1072">
        <v>0.05</v>
      </c>
      <c r="L132" s="1072">
        <v>5.5000000000000007E-2</v>
      </c>
      <c r="M132" s="1072">
        <v>0.06</v>
      </c>
      <c r="N132" s="1049"/>
    </row>
    <row r="133" spans="2:25" ht="15.75" x14ac:dyDescent="0.25">
      <c r="B133" s="1060"/>
      <c r="C133" s="1054">
        <v>3</v>
      </c>
      <c r="D133" s="1055"/>
      <c r="E133" s="1056"/>
      <c r="F133" s="1071">
        <v>3.8957532311519334E-2</v>
      </c>
      <c r="G133" s="2813">
        <v>4.2464610259599439E-2</v>
      </c>
      <c r="H133" s="1073">
        <v>4.830974017306628E-2</v>
      </c>
      <c r="I133" s="1073">
        <v>5.4154870086533122E-2</v>
      </c>
      <c r="J133" s="1073">
        <v>0.06</v>
      </c>
      <c r="K133" s="1073">
        <v>0.06</v>
      </c>
      <c r="L133" s="1073">
        <v>0.06</v>
      </c>
      <c r="M133" s="1073">
        <v>0.06</v>
      </c>
      <c r="N133" s="1049"/>
    </row>
    <row r="134" spans="2:25" ht="15.75" x14ac:dyDescent="0.25">
      <c r="B134" s="1060"/>
      <c r="C134" s="1064">
        <v>4</v>
      </c>
      <c r="D134" s="1065"/>
      <c r="E134" s="1065"/>
      <c r="F134" s="1074">
        <v>3.8957532311519334E-2</v>
      </c>
      <c r="G134" s="2814">
        <v>4.2464610259599439E-2</v>
      </c>
      <c r="H134" s="1075">
        <v>4.830974017306628E-2</v>
      </c>
      <c r="I134" s="1075">
        <v>5.4154870086533122E-2</v>
      </c>
      <c r="J134" s="1075">
        <v>0.06</v>
      </c>
      <c r="K134" s="1075">
        <v>7.333333333333332E-2</v>
      </c>
      <c r="L134" s="1075">
        <v>8.6666666666666642E-2</v>
      </c>
      <c r="M134" s="1075">
        <v>0.1</v>
      </c>
      <c r="N134" s="1049"/>
    </row>
    <row r="135" spans="2:25" ht="15.75" x14ac:dyDescent="0.25">
      <c r="B135" s="1060"/>
      <c r="C135" s="1057" t="s">
        <v>153</v>
      </c>
      <c r="D135" s="1058"/>
      <c r="E135" s="1058"/>
      <c r="F135" s="802">
        <f t="shared" ref="F135:M135" si="14">(INDEX(F$131:F$134,ROUNDDOWN($E$13,0))*(1-MOD($E$13,1)))+(INDEX(F$131:F$134,ROUNDUP($E$13,0))*MOD($E$13,1))</f>
        <v>3.8957532311519334E-2</v>
      </c>
      <c r="G135" s="2815">
        <f t="shared" si="14"/>
        <v>3.8957532311519334E-2</v>
      </c>
      <c r="H135" s="802">
        <f t="shared" si="14"/>
        <v>3.8957532311519334E-2</v>
      </c>
      <c r="I135" s="802">
        <f t="shared" si="14"/>
        <v>3.8957532311519334E-2</v>
      </c>
      <c r="J135" s="802">
        <f t="shared" si="14"/>
        <v>3.8957532311519334E-2</v>
      </c>
      <c r="K135" s="802">
        <f t="shared" si="14"/>
        <v>3.8957532311519334E-2</v>
      </c>
      <c r="L135" s="802">
        <f t="shared" si="14"/>
        <v>3.8957532311519334E-2</v>
      </c>
      <c r="M135" s="802">
        <f t="shared" si="14"/>
        <v>3.8957532311519334E-2</v>
      </c>
      <c r="N135" s="1049"/>
    </row>
    <row r="136" spans="2:25" ht="15.75" x14ac:dyDescent="0.25">
      <c r="B136" s="1060"/>
      <c r="C136" s="1054"/>
      <c r="D136" s="1055"/>
      <c r="E136" s="1055"/>
      <c r="F136" s="1061"/>
      <c r="G136" s="1063"/>
      <c r="H136" s="1063"/>
      <c r="I136" s="1063"/>
      <c r="J136" s="1063"/>
      <c r="K136" s="1063"/>
      <c r="L136" s="1063"/>
      <c r="M136" s="1063"/>
      <c r="N136" s="1049"/>
    </row>
    <row r="137" spans="2:25" ht="15.75" x14ac:dyDescent="0.25">
      <c r="B137" s="1060"/>
      <c r="C137" s="2897" t="s">
        <v>8</v>
      </c>
      <c r="D137" s="2896"/>
      <c r="E137" s="1055"/>
      <c r="F137" s="1061"/>
      <c r="G137" s="2897"/>
      <c r="H137" s="2896"/>
      <c r="I137" s="1063"/>
      <c r="J137" s="1063"/>
      <c r="K137" s="1063"/>
      <c r="L137" s="1063"/>
      <c r="M137" s="1063"/>
      <c r="N137" s="1049"/>
    </row>
    <row r="138" spans="2:25" ht="15.75" x14ac:dyDescent="0.25">
      <c r="B138" s="1060"/>
      <c r="C138" s="3042" t="s">
        <v>136</v>
      </c>
      <c r="D138" s="3044" t="s">
        <v>2136</v>
      </c>
      <c r="E138" s="1055"/>
      <c r="F138" s="1061"/>
      <c r="G138" s="2897"/>
      <c r="H138" s="2992"/>
      <c r="I138" s="1063"/>
      <c r="J138" s="1063"/>
      <c r="K138" s="1063"/>
      <c r="L138" s="1063"/>
      <c r="M138" s="1063"/>
      <c r="N138" s="1049"/>
    </row>
    <row r="139" spans="2:25" ht="15.75" x14ac:dyDescent="0.25">
      <c r="B139" s="1060"/>
      <c r="C139" s="3363" t="s">
        <v>317</v>
      </c>
      <c r="D139" s="3364" t="s">
        <v>2256</v>
      </c>
      <c r="E139" s="1055"/>
      <c r="F139" s="1061"/>
      <c r="G139" s="2897"/>
      <c r="H139" s="2896"/>
      <c r="I139" s="1063"/>
      <c r="J139" s="1063"/>
      <c r="K139" s="1063"/>
      <c r="L139" s="1063"/>
      <c r="M139" s="1063"/>
      <c r="N139" s="1049"/>
    </row>
    <row r="140" spans="2:25" ht="15.75" x14ac:dyDescent="0.25">
      <c r="B140" s="1060"/>
      <c r="C140" s="1054"/>
      <c r="D140" s="1055"/>
      <c r="E140" s="1055"/>
      <c r="F140" s="1061"/>
      <c r="G140" s="1063"/>
      <c r="H140" s="1063"/>
      <c r="I140" s="1063"/>
      <c r="J140" s="1063"/>
      <c r="K140" s="1063"/>
      <c r="L140" s="1063"/>
      <c r="M140" s="1063"/>
      <c r="N140" s="1049"/>
    </row>
    <row r="142" spans="2:25" s="1044" customFormat="1" ht="15.75" x14ac:dyDescent="0.25">
      <c r="B142" s="1045" t="s">
        <v>13</v>
      </c>
      <c r="C142" s="1046"/>
      <c r="D142" s="1046"/>
      <c r="E142" s="1047"/>
      <c r="F142" s="1047"/>
      <c r="G142" s="1047"/>
      <c r="H142" s="1047"/>
      <c r="I142" s="1047"/>
      <c r="J142" s="1047"/>
      <c r="K142" s="1047"/>
      <c r="L142" s="1047"/>
      <c r="M142" s="1047"/>
      <c r="N142" s="1047"/>
      <c r="O142" s="1009"/>
      <c r="P142" s="1009"/>
      <c r="Q142" s="1009"/>
      <c r="R142" s="1009"/>
      <c r="S142" s="1009"/>
      <c r="T142" s="1009"/>
      <c r="U142" s="1009"/>
      <c r="V142" s="1009"/>
      <c r="W142" s="1009"/>
      <c r="X142" s="1009"/>
      <c r="Y142" s="1009"/>
    </row>
    <row r="143" spans="2:25" x14ac:dyDescent="0.25">
      <c r="B143" s="1048"/>
      <c r="C143" s="1049"/>
      <c r="D143" s="1049"/>
      <c r="E143" s="1049"/>
      <c r="F143" s="1049"/>
      <c r="G143" s="1049"/>
      <c r="H143" s="1049"/>
      <c r="I143" s="1049"/>
      <c r="J143" s="1049"/>
      <c r="K143" s="1049"/>
      <c r="L143" s="1049"/>
      <c r="M143" s="1049"/>
      <c r="N143" s="1049"/>
    </row>
    <row r="144" spans="2:25" x14ac:dyDescent="0.25">
      <c r="B144" s="1048"/>
      <c r="C144" s="1049"/>
      <c r="D144" s="1049"/>
      <c r="E144" s="1049"/>
      <c r="F144" s="1049"/>
      <c r="G144" s="1049"/>
      <c r="H144" s="1049"/>
      <c r="I144" s="1049"/>
      <c r="J144" s="1049"/>
      <c r="K144" s="1049"/>
      <c r="L144" s="1049"/>
      <c r="M144" s="3051" t="s">
        <v>1920</v>
      </c>
      <c r="N144" s="1049"/>
    </row>
    <row r="145" spans="2:14" x14ac:dyDescent="0.25">
      <c r="B145" s="1048"/>
      <c r="C145" s="3082" t="s">
        <v>1917</v>
      </c>
      <c r="D145" s="1076"/>
      <c r="E145" s="3060" t="s">
        <v>2137</v>
      </c>
      <c r="F145" s="2816">
        <v>2015</v>
      </c>
      <c r="G145" s="3061">
        <v>2020</v>
      </c>
      <c r="H145" s="2816">
        <v>2025</v>
      </c>
      <c r="I145" s="2816">
        <v>2030</v>
      </c>
      <c r="J145" s="2816">
        <v>2035</v>
      </c>
      <c r="K145" s="2816">
        <v>2040</v>
      </c>
      <c r="L145" s="2816">
        <v>2045</v>
      </c>
      <c r="M145" s="3062">
        <v>2050</v>
      </c>
      <c r="N145" s="1049"/>
    </row>
    <row r="146" spans="2:14" x14ac:dyDescent="0.25">
      <c r="B146" s="1048"/>
      <c r="C146" s="3083" t="s">
        <v>2142</v>
      </c>
      <c r="D146" s="3046" t="s">
        <v>1920</v>
      </c>
      <c r="E146" s="1049"/>
      <c r="F146" s="3048">
        <v>149939532292.52252</v>
      </c>
      <c r="G146" s="3048">
        <v>162606439419.22409</v>
      </c>
      <c r="H146" s="3048">
        <v>185897516164.68985</v>
      </c>
      <c r="I146" s="3048">
        <v>216246077854.03421</v>
      </c>
      <c r="J146" s="3048">
        <v>245805232271.92966</v>
      </c>
      <c r="K146" s="3048">
        <v>270748203718.45178</v>
      </c>
      <c r="L146" s="3048">
        <v>291690498627.26385</v>
      </c>
      <c r="M146" s="3084">
        <v>309537306669.53802</v>
      </c>
      <c r="N146" s="1049"/>
    </row>
    <row r="147" spans="2:14" x14ac:dyDescent="0.25">
      <c r="B147" s="1048"/>
      <c r="C147" s="3085" t="s">
        <v>2152</v>
      </c>
      <c r="D147" s="3049" t="s">
        <v>1920</v>
      </c>
      <c r="E147" s="1080"/>
      <c r="F147" s="3050">
        <v>31123310916.246922</v>
      </c>
      <c r="G147" s="3050">
        <v>36125279774.611977</v>
      </c>
      <c r="H147" s="3050">
        <v>44552060589.912376</v>
      </c>
      <c r="I147" s="3050">
        <v>56258722105.74511</v>
      </c>
      <c r="J147" s="3050">
        <v>70191256979.933655</v>
      </c>
      <c r="K147" s="3050">
        <v>88578731229.585892</v>
      </c>
      <c r="L147" s="3050">
        <v>113392599398.60785</v>
      </c>
      <c r="M147" s="3086">
        <v>146707584035.28406</v>
      </c>
      <c r="N147" s="1049"/>
    </row>
    <row r="148" spans="2:14" x14ac:dyDescent="0.25">
      <c r="B148" s="1048"/>
      <c r="C148" s="1049"/>
      <c r="D148" s="1049"/>
      <c r="E148" s="1049"/>
      <c r="F148" s="1049"/>
      <c r="G148" s="1049"/>
      <c r="H148" s="1049"/>
      <c r="I148" s="1049"/>
      <c r="J148" s="1049"/>
      <c r="K148" s="1049"/>
      <c r="L148" s="1049"/>
      <c r="M148" s="3051" t="s">
        <v>190</v>
      </c>
      <c r="N148" s="1049"/>
    </row>
    <row r="149" spans="2:14" x14ac:dyDescent="0.25">
      <c r="B149" s="1048"/>
      <c r="C149" s="3082" t="s">
        <v>1917</v>
      </c>
      <c r="D149" s="1076"/>
      <c r="E149" s="3060" t="s">
        <v>2137</v>
      </c>
      <c r="F149" s="2816">
        <v>2015</v>
      </c>
      <c r="G149" s="3061">
        <v>2020</v>
      </c>
      <c r="H149" s="2816">
        <v>2025</v>
      </c>
      <c r="I149" s="2816">
        <v>2030</v>
      </c>
      <c r="J149" s="2816">
        <v>2035</v>
      </c>
      <c r="K149" s="2816">
        <v>2040</v>
      </c>
      <c r="L149" s="2816">
        <v>2045</v>
      </c>
      <c r="M149" s="3062">
        <v>2050</v>
      </c>
      <c r="N149" s="1049"/>
    </row>
    <row r="150" spans="2:14" x14ac:dyDescent="0.25">
      <c r="B150" s="1048"/>
      <c r="C150" s="3087"/>
      <c r="D150" s="1049" t="s">
        <v>1915</v>
      </c>
      <c r="E150" s="2756"/>
      <c r="F150" s="1090">
        <v>0.852579978956439</v>
      </c>
      <c r="G150" s="2802">
        <v>0.83749251229008359</v>
      </c>
      <c r="H150" s="1090">
        <v>0.81410902124852613</v>
      </c>
      <c r="I150" s="1090">
        <v>0.79153184807796284</v>
      </c>
      <c r="J150" s="1090">
        <v>0.7974500169334493</v>
      </c>
      <c r="K150" s="1090">
        <v>0.81445378497272924</v>
      </c>
      <c r="L150" s="1090">
        <v>0.82785172269029117</v>
      </c>
      <c r="M150" s="3076">
        <v>0.83839140133889245</v>
      </c>
      <c r="N150" s="1049"/>
    </row>
    <row r="151" spans="2:14" x14ac:dyDescent="0.25">
      <c r="B151" s="1048"/>
      <c r="C151" s="3087"/>
      <c r="D151" s="1049" t="s">
        <v>648</v>
      </c>
      <c r="E151" s="1049"/>
      <c r="F151" s="1090">
        <v>5.4661054642724015E-3</v>
      </c>
      <c r="G151" s="2802">
        <v>7.3001988368809854E-3</v>
      </c>
      <c r="H151" s="1090">
        <v>6.6097230756479927E-3</v>
      </c>
      <c r="I151" s="1090">
        <v>5.9549539072850446E-3</v>
      </c>
      <c r="J151" s="1090">
        <v>5.5671203380234747E-3</v>
      </c>
      <c r="K151" s="1090">
        <v>5.3474931343961418E-3</v>
      </c>
      <c r="L151" s="1090">
        <v>5.2001220688555694E-3</v>
      </c>
      <c r="M151" s="3076">
        <v>5.0646111999007662E-3</v>
      </c>
      <c r="N151" s="1049"/>
    </row>
    <row r="152" spans="2:14" x14ac:dyDescent="0.25">
      <c r="B152" s="1048"/>
      <c r="C152" s="3088"/>
      <c r="D152" s="1080" t="s">
        <v>1916</v>
      </c>
      <c r="E152" s="1080"/>
      <c r="F152" s="1093">
        <v>0.14195391557928852</v>
      </c>
      <c r="G152" s="2803">
        <v>0.15520728887303553</v>
      </c>
      <c r="H152" s="1093">
        <v>0.17928125567582581</v>
      </c>
      <c r="I152" s="1093">
        <v>0.20251319801475212</v>
      </c>
      <c r="J152" s="1093">
        <v>0.19698286272852719</v>
      </c>
      <c r="K152" s="1093">
        <v>0.18019872189287456</v>
      </c>
      <c r="L152" s="1093">
        <v>0.16694815524085321</v>
      </c>
      <c r="M152" s="3078">
        <v>0.15654398746120676</v>
      </c>
      <c r="N152" s="1049"/>
    </row>
    <row r="153" spans="2:14" x14ac:dyDescent="0.25">
      <c r="B153" s="1048"/>
      <c r="C153" s="3088"/>
      <c r="D153" s="2758" t="s">
        <v>118</v>
      </c>
      <c r="E153" s="2758"/>
      <c r="F153" s="1093">
        <v>0.99999999999999989</v>
      </c>
      <c r="G153" s="2803">
        <v>1</v>
      </c>
      <c r="H153" s="1093">
        <v>1</v>
      </c>
      <c r="I153" s="1093">
        <v>1</v>
      </c>
      <c r="J153" s="1093">
        <v>0.99999999999999989</v>
      </c>
      <c r="K153" s="1093">
        <v>0.99999999999999989</v>
      </c>
      <c r="L153" s="1093">
        <v>1</v>
      </c>
      <c r="M153" s="3078">
        <v>1</v>
      </c>
      <c r="N153" s="1049"/>
    </row>
    <row r="154" spans="2:14" x14ac:dyDescent="0.25">
      <c r="B154" s="1048"/>
      <c r="C154" s="1049"/>
      <c r="D154" s="1049"/>
      <c r="E154" s="1049"/>
      <c r="F154" s="1049"/>
      <c r="G154" s="1049"/>
      <c r="H154" s="1049"/>
      <c r="I154" s="1049"/>
      <c r="J154" s="1049"/>
      <c r="K154" s="1049"/>
      <c r="L154" s="1049"/>
      <c r="M154" s="1051" t="s">
        <v>190</v>
      </c>
      <c r="N154" s="1049"/>
    </row>
    <row r="155" spans="2:14" x14ac:dyDescent="0.25">
      <c r="B155" s="1048"/>
      <c r="C155" s="3082" t="s">
        <v>2153</v>
      </c>
      <c r="D155" s="1076"/>
      <c r="E155" s="3060" t="s">
        <v>2137</v>
      </c>
      <c r="F155" s="2816">
        <v>2015</v>
      </c>
      <c r="G155" s="3061">
        <v>2020</v>
      </c>
      <c r="H155" s="2816">
        <v>2025</v>
      </c>
      <c r="I155" s="2816">
        <v>2030</v>
      </c>
      <c r="J155" s="2816">
        <v>2035</v>
      </c>
      <c r="K155" s="2816">
        <v>2040</v>
      </c>
      <c r="L155" s="2816">
        <v>2045</v>
      </c>
      <c r="M155" s="3062">
        <v>2050</v>
      </c>
      <c r="N155" s="1049"/>
    </row>
    <row r="156" spans="2:14" x14ac:dyDescent="0.25">
      <c r="B156" s="1048"/>
      <c r="C156" s="3065" t="s">
        <v>595</v>
      </c>
      <c r="D156" s="1049"/>
      <c r="E156" s="1049"/>
      <c r="F156" s="1078">
        <v>0.74356348192707489</v>
      </c>
      <c r="G156" s="2817">
        <v>0.73285948809324841</v>
      </c>
      <c r="H156" s="1078">
        <v>0.72045359135518006</v>
      </c>
      <c r="I156" s="1078">
        <v>0.70917106567134547</v>
      </c>
      <c r="J156" s="1078">
        <v>0.70019705005542954</v>
      </c>
      <c r="K156" s="1078">
        <v>0.69191499866342043</v>
      </c>
      <c r="L156" s="1078">
        <v>0.68435073339490893</v>
      </c>
      <c r="M156" s="3089">
        <v>0.67753223269748852</v>
      </c>
      <c r="N156" s="1049"/>
    </row>
    <row r="157" spans="2:14" x14ac:dyDescent="0.25">
      <c r="B157" s="1048"/>
      <c r="C157" s="3065" t="s">
        <v>596</v>
      </c>
      <c r="D157" s="1049"/>
      <c r="E157" s="1049"/>
      <c r="F157" s="1078">
        <v>0.18083311226201418</v>
      </c>
      <c r="G157" s="2817">
        <v>0.19326867862035815</v>
      </c>
      <c r="H157" s="1078">
        <v>0.20851212126777641</v>
      </c>
      <c r="I157" s="1078">
        <v>0.22316437416565119</v>
      </c>
      <c r="J157" s="1078">
        <v>0.23527502852144774</v>
      </c>
      <c r="K157" s="1078">
        <v>0.24673568358622089</v>
      </c>
      <c r="L157" s="1078">
        <v>0.25737380153618367</v>
      </c>
      <c r="M157" s="3089">
        <v>0.26704615407780091</v>
      </c>
      <c r="N157" s="1049"/>
    </row>
    <row r="158" spans="2:14" x14ac:dyDescent="0.25">
      <c r="B158" s="1048"/>
      <c r="C158" s="3067" t="s">
        <v>597</v>
      </c>
      <c r="D158" s="1080"/>
      <c r="E158" s="1080"/>
      <c r="F158" s="1081">
        <v>7.5603405810910976E-2</v>
      </c>
      <c r="G158" s="2818">
        <v>7.3871833286393379E-2</v>
      </c>
      <c r="H158" s="1081">
        <v>7.1034287377043565E-2</v>
      </c>
      <c r="I158" s="1082">
        <v>6.7664560163003304E-2</v>
      </c>
      <c r="J158" s="1081">
        <v>6.4527921423122719E-2</v>
      </c>
      <c r="K158" s="1082">
        <v>6.1349317750358623E-2</v>
      </c>
      <c r="L158" s="1082">
        <v>5.8275465068907385E-2</v>
      </c>
      <c r="M158" s="3090">
        <v>5.542161322471055E-2</v>
      </c>
      <c r="N158" s="1049"/>
    </row>
    <row r="159" spans="2:14" x14ac:dyDescent="0.25">
      <c r="B159" s="1048"/>
      <c r="C159" s="1049"/>
      <c r="D159" s="1049"/>
      <c r="E159" s="1049"/>
      <c r="F159" s="1049"/>
      <c r="G159" s="1049"/>
      <c r="H159" s="1049"/>
      <c r="I159" s="1049"/>
      <c r="J159" s="1049"/>
      <c r="K159" s="1049"/>
      <c r="L159" s="1049"/>
      <c r="M159" s="1049"/>
      <c r="N159" s="1049"/>
    </row>
    <row r="160" spans="2:14" x14ac:dyDescent="0.25">
      <c r="B160" s="1048"/>
      <c r="C160" s="3059" t="s">
        <v>2138</v>
      </c>
      <c r="D160" s="3060"/>
      <c r="E160" s="3060" t="s">
        <v>2137</v>
      </c>
      <c r="F160" s="2816">
        <v>2015</v>
      </c>
      <c r="G160" s="3061">
        <v>2020</v>
      </c>
      <c r="H160" s="2816">
        <v>2025</v>
      </c>
      <c r="I160" s="2816">
        <v>2030</v>
      </c>
      <c r="J160" s="2816">
        <v>2035</v>
      </c>
      <c r="K160" s="2816">
        <v>2040</v>
      </c>
      <c r="L160" s="2816">
        <v>2045</v>
      </c>
      <c r="M160" s="3062">
        <v>2050</v>
      </c>
      <c r="N160" s="1049"/>
    </row>
    <row r="161" spans="2:14" x14ac:dyDescent="0.25">
      <c r="B161" s="1048"/>
      <c r="C161" s="3063" t="s">
        <v>602</v>
      </c>
      <c r="D161" s="1083"/>
      <c r="E161" s="1084"/>
      <c r="F161" s="2799">
        <v>0.1</v>
      </c>
      <c r="G161" s="2819">
        <v>0.1</v>
      </c>
      <c r="H161" s="2799">
        <v>0.1</v>
      </c>
      <c r="I161" s="2799">
        <v>0.1</v>
      </c>
      <c r="J161" s="2799">
        <v>0.1</v>
      </c>
      <c r="K161" s="2799">
        <v>0.1</v>
      </c>
      <c r="L161" s="2799">
        <v>0.1</v>
      </c>
      <c r="M161" s="3064">
        <v>0.1</v>
      </c>
      <c r="N161" s="1049"/>
    </row>
    <row r="162" spans="2:14" x14ac:dyDescent="0.25">
      <c r="B162" s="1048"/>
      <c r="C162" s="3065" t="s">
        <v>595</v>
      </c>
      <c r="D162" s="1055"/>
      <c r="E162" s="1078"/>
      <c r="F162" s="1087">
        <v>0.87</v>
      </c>
      <c r="G162" s="2820">
        <v>0.87</v>
      </c>
      <c r="H162" s="1087">
        <v>0.87</v>
      </c>
      <c r="I162" s="1087">
        <v>0.87</v>
      </c>
      <c r="J162" s="1087">
        <v>0.87</v>
      </c>
      <c r="K162" s="1087">
        <v>0.87</v>
      </c>
      <c r="L162" s="1087">
        <v>0.87</v>
      </c>
      <c r="M162" s="3066">
        <v>0.87</v>
      </c>
      <c r="N162" s="1049"/>
    </row>
    <row r="163" spans="2:14" x14ac:dyDescent="0.25">
      <c r="B163" s="1048"/>
      <c r="C163" s="3067" t="s">
        <v>603</v>
      </c>
      <c r="D163" s="1065"/>
      <c r="E163" s="1081"/>
      <c r="F163" s="1081">
        <v>0.03</v>
      </c>
      <c r="G163" s="2818">
        <v>0.03</v>
      </c>
      <c r="H163" s="1081">
        <v>0.03</v>
      </c>
      <c r="I163" s="1081">
        <v>0.03</v>
      </c>
      <c r="J163" s="1081">
        <v>0.03</v>
      </c>
      <c r="K163" s="1081">
        <v>0.03</v>
      </c>
      <c r="L163" s="1081">
        <v>0.03</v>
      </c>
      <c r="M163" s="3068">
        <v>0.03</v>
      </c>
      <c r="N163" s="1049"/>
    </row>
    <row r="164" spans="2:14" ht="3.75" customHeight="1" x14ac:dyDescent="0.25">
      <c r="B164" s="1048"/>
      <c r="C164" s="1054"/>
      <c r="D164" s="1055"/>
      <c r="E164" s="1087"/>
      <c r="F164" s="1086"/>
      <c r="G164" s="1049"/>
      <c r="H164" s="1049"/>
      <c r="I164" s="1049"/>
      <c r="J164" s="1049"/>
      <c r="K164" s="1049"/>
      <c r="L164" s="1049"/>
      <c r="M164" s="1049"/>
      <c r="N164" s="1049"/>
    </row>
    <row r="165" spans="2:14" x14ac:dyDescent="0.25">
      <c r="B165" s="1048"/>
      <c r="C165" s="2897" t="s">
        <v>8</v>
      </c>
      <c r="D165" s="2896"/>
      <c r="E165" s="1087"/>
      <c r="F165" s="1086"/>
      <c r="G165" s="1049"/>
      <c r="H165" s="1049"/>
      <c r="I165" s="1049"/>
      <c r="J165" s="1049"/>
      <c r="K165" s="1049"/>
      <c r="L165" s="1049"/>
      <c r="M165" s="1049"/>
      <c r="N165" s="1049"/>
    </row>
    <row r="166" spans="2:14" x14ac:dyDescent="0.25">
      <c r="B166" s="1048"/>
      <c r="C166" s="2897" t="s">
        <v>12</v>
      </c>
      <c r="D166" s="3091" t="s">
        <v>2145</v>
      </c>
      <c r="E166" s="1087"/>
      <c r="F166" s="1086"/>
      <c r="G166" s="1049"/>
      <c r="H166" s="1049"/>
      <c r="I166" s="1049"/>
      <c r="J166" s="1049"/>
      <c r="K166" s="1049"/>
      <c r="L166" s="1049"/>
      <c r="M166" s="1049"/>
      <c r="N166" s="1049"/>
    </row>
    <row r="167" spans="2:14" x14ac:dyDescent="0.25">
      <c r="B167" s="1048"/>
      <c r="C167" s="2897"/>
      <c r="D167" s="3365" t="s">
        <v>1979</v>
      </c>
      <c r="E167" s="1087"/>
      <c r="F167" s="1086"/>
      <c r="G167" s="1049"/>
      <c r="H167" s="1049"/>
      <c r="I167" s="1049"/>
      <c r="J167" s="1049"/>
      <c r="K167" s="1049"/>
      <c r="L167" s="1049"/>
      <c r="M167" s="1049"/>
      <c r="N167" s="1049"/>
    </row>
    <row r="168" spans="2:14" x14ac:dyDescent="0.25">
      <c r="B168" s="1048"/>
      <c r="C168" s="1054"/>
      <c r="D168" s="1055"/>
      <c r="E168" s="1087"/>
      <c r="F168" s="1086"/>
      <c r="G168" s="1049"/>
      <c r="H168" s="1049"/>
      <c r="I168" s="1049"/>
      <c r="J168" s="1049"/>
      <c r="K168" s="1049"/>
      <c r="L168" s="1049"/>
      <c r="M168" s="1049"/>
      <c r="N168" s="1049"/>
    </row>
    <row r="169" spans="2:14" x14ac:dyDescent="0.25">
      <c r="B169" s="1048"/>
      <c r="C169" s="1092" t="s">
        <v>2139</v>
      </c>
      <c r="D169" s="1055"/>
      <c r="E169" s="1087"/>
      <c r="F169" s="1086"/>
      <c r="G169" s="1049"/>
      <c r="H169" s="1049"/>
      <c r="I169" s="1049"/>
      <c r="J169" s="1049"/>
      <c r="K169" s="1049"/>
      <c r="L169" s="1049"/>
      <c r="M169" s="1049" t="s">
        <v>608</v>
      </c>
      <c r="N169" s="1049"/>
    </row>
    <row r="170" spans="2:14" ht="3.75" customHeight="1" x14ac:dyDescent="0.25">
      <c r="B170" s="1048"/>
      <c r="C170" s="1050"/>
      <c r="D170" s="1055"/>
      <c r="E170" s="1087"/>
      <c r="F170" s="1086"/>
      <c r="G170" s="1049"/>
      <c r="H170" s="1049"/>
      <c r="I170" s="1049"/>
      <c r="J170" s="1049"/>
      <c r="K170" s="1049"/>
      <c r="L170" s="1049"/>
      <c r="M170" s="1049"/>
      <c r="N170" s="1049"/>
    </row>
    <row r="171" spans="2:14" x14ac:dyDescent="0.25">
      <c r="B171" s="1048"/>
      <c r="C171" s="3069" t="s">
        <v>145</v>
      </c>
      <c r="D171" s="3070" t="s">
        <v>483</v>
      </c>
      <c r="E171" s="3060" t="s">
        <v>2094</v>
      </c>
      <c r="F171" s="3071">
        <v>2015</v>
      </c>
      <c r="G171" s="3072">
        <v>2020</v>
      </c>
      <c r="H171" s="3071">
        <v>2025</v>
      </c>
      <c r="I171" s="3071">
        <v>2030</v>
      </c>
      <c r="J171" s="3071">
        <v>2035</v>
      </c>
      <c r="K171" s="3071">
        <v>2040</v>
      </c>
      <c r="L171" s="3071">
        <v>2045</v>
      </c>
      <c r="M171" s="3073">
        <v>2050</v>
      </c>
      <c r="N171" s="1049"/>
    </row>
    <row r="172" spans="2:14" x14ac:dyDescent="0.25">
      <c r="B172" s="1048"/>
      <c r="C172" s="3074" t="s">
        <v>582</v>
      </c>
      <c r="D172" s="1055"/>
      <c r="E172" s="1087"/>
      <c r="F172" s="2796">
        <v>0.60772967557825619</v>
      </c>
      <c r="G172" s="2801">
        <v>0.49402649066822746</v>
      </c>
      <c r="H172" s="2795">
        <v>0.40851641962224283</v>
      </c>
      <c r="I172" s="2795">
        <v>0.40656173371539817</v>
      </c>
      <c r="J172" s="2795">
        <v>0.40656173371539817</v>
      </c>
      <c r="K172" s="2795">
        <v>0.40656173371539817</v>
      </c>
      <c r="L172" s="2795">
        <v>0.40656173371539817</v>
      </c>
      <c r="M172" s="3075">
        <v>0.40656173371539817</v>
      </c>
      <c r="N172" s="1049"/>
    </row>
    <row r="173" spans="2:14" x14ac:dyDescent="0.25">
      <c r="B173" s="1048"/>
      <c r="C173" s="3074" t="s">
        <v>334</v>
      </c>
      <c r="D173" s="1055"/>
      <c r="E173" s="1087"/>
      <c r="F173" s="2796">
        <v>0.48461196965362074</v>
      </c>
      <c r="G173" s="2801">
        <v>0.43696384066331717</v>
      </c>
      <c r="H173" s="2795">
        <v>0.38559861585212374</v>
      </c>
      <c r="I173" s="2795">
        <v>0.3843138692846213</v>
      </c>
      <c r="J173" s="2795">
        <v>0.3843138692846213</v>
      </c>
      <c r="K173" s="2795">
        <v>0.3843138692846213</v>
      </c>
      <c r="L173" s="2795">
        <v>0.3843138692846213</v>
      </c>
      <c r="M173" s="3075">
        <v>0.3843138692846213</v>
      </c>
      <c r="N173" s="1049"/>
    </row>
    <row r="174" spans="2:14" x14ac:dyDescent="0.25">
      <c r="B174" s="1048"/>
      <c r="C174" s="3074" t="s">
        <v>583</v>
      </c>
      <c r="D174" s="1055"/>
      <c r="E174" s="1087"/>
      <c r="F174" s="2796">
        <v>0.42135358652718807</v>
      </c>
      <c r="G174" s="2802">
        <v>0.37414439946686356</v>
      </c>
      <c r="H174" s="1090">
        <v>0.30619392822588976</v>
      </c>
      <c r="I174" s="1090">
        <v>0.30955488210668214</v>
      </c>
      <c r="J174" s="1090">
        <v>0.3058618559111661</v>
      </c>
      <c r="K174" s="1090">
        <v>0.30270952811860186</v>
      </c>
      <c r="L174" s="1090">
        <v>0.30270952811860186</v>
      </c>
      <c r="M174" s="3076">
        <v>0.30270952811860186</v>
      </c>
      <c r="N174" s="1049"/>
    </row>
    <row r="175" spans="2:14" x14ac:dyDescent="0.25">
      <c r="B175" s="1048"/>
      <c r="C175" s="3074" t="s">
        <v>584</v>
      </c>
      <c r="D175" s="1055"/>
      <c r="E175" s="1087"/>
      <c r="F175" s="2796">
        <v>0.37753149113077622</v>
      </c>
      <c r="G175" s="2802">
        <v>0.3078590504769973</v>
      </c>
      <c r="H175" s="1090">
        <v>0.28041923849709827</v>
      </c>
      <c r="I175" s="1090">
        <v>0.27127767866280811</v>
      </c>
      <c r="J175" s="1090">
        <v>0.26964880398516411</v>
      </c>
      <c r="K175" s="1090">
        <v>0.26900149697355907</v>
      </c>
      <c r="L175" s="1090">
        <v>0.26900149697355907</v>
      </c>
      <c r="M175" s="3076">
        <v>0.26900149697355907</v>
      </c>
      <c r="N175" s="1049"/>
    </row>
    <row r="176" spans="2:14" x14ac:dyDescent="0.25">
      <c r="B176" s="1048"/>
      <c r="C176" s="3074" t="s">
        <v>585</v>
      </c>
      <c r="D176" s="1055"/>
      <c r="E176" s="1087"/>
      <c r="F176" s="2796">
        <v>0.32389911212610195</v>
      </c>
      <c r="G176" s="2802">
        <v>0.32389911212610195</v>
      </c>
      <c r="H176" s="1090">
        <v>0.28844716798202663</v>
      </c>
      <c r="I176" s="1090">
        <v>0.28607436590437274</v>
      </c>
      <c r="J176" s="1090">
        <v>0.28607436590437274</v>
      </c>
      <c r="K176" s="1090">
        <v>0.28607436590437274</v>
      </c>
      <c r="L176" s="1090">
        <v>0.28607436590437274</v>
      </c>
      <c r="M176" s="3076">
        <v>0.28607436590437274</v>
      </c>
      <c r="N176" s="1049"/>
    </row>
    <row r="177" spans="2:14" x14ac:dyDescent="0.25">
      <c r="B177" s="1048"/>
      <c r="C177" s="3074" t="s">
        <v>586</v>
      </c>
      <c r="D177" s="1055"/>
      <c r="E177" s="1087"/>
      <c r="F177" s="2796">
        <v>0.42023092900654446</v>
      </c>
      <c r="G177" s="2802">
        <v>0.35386976597777947</v>
      </c>
      <c r="H177" s="1090">
        <v>0.3035725771165903</v>
      </c>
      <c r="I177" s="1090">
        <v>0.30202404626631102</v>
      </c>
      <c r="J177" s="1090">
        <v>0.30202404626631102</v>
      </c>
      <c r="K177" s="1090">
        <v>0.30202404626631102</v>
      </c>
      <c r="L177" s="1090">
        <v>0.30202404626631102</v>
      </c>
      <c r="M177" s="3076">
        <v>0.30202404626631102</v>
      </c>
      <c r="N177" s="1049"/>
    </row>
    <row r="178" spans="2:14" x14ac:dyDescent="0.25">
      <c r="B178" s="1048"/>
      <c r="C178" s="3074" t="s">
        <v>587</v>
      </c>
      <c r="D178" s="1055"/>
      <c r="E178" s="1087"/>
      <c r="F178" s="2796">
        <v>0.162447571417484</v>
      </c>
      <c r="G178" s="2802">
        <v>0.13755503934681398</v>
      </c>
      <c r="H178" s="1090">
        <v>0.12952069080496387</v>
      </c>
      <c r="I178" s="1090">
        <v>0.12829251618628196</v>
      </c>
      <c r="J178" s="1090">
        <v>0.1277581515011644</v>
      </c>
      <c r="K178" s="1090">
        <v>0.12655724408442595</v>
      </c>
      <c r="L178" s="1090">
        <v>0.12655724408442595</v>
      </c>
      <c r="M178" s="3076">
        <v>0.12655724408442595</v>
      </c>
      <c r="N178" s="1049"/>
    </row>
    <row r="179" spans="2:14" x14ac:dyDescent="0.25">
      <c r="B179" s="1048"/>
      <c r="C179" s="3077" t="s">
        <v>588</v>
      </c>
      <c r="D179" s="1065"/>
      <c r="E179" s="1081"/>
      <c r="F179" s="2797">
        <v>0.6124719510297354</v>
      </c>
      <c r="G179" s="2803">
        <v>0.49831172597670953</v>
      </c>
      <c r="H179" s="1093">
        <v>0.41210347599932406</v>
      </c>
      <c r="I179" s="1093">
        <v>0.41001504129826122</v>
      </c>
      <c r="J179" s="1093">
        <v>0.40987370407443846</v>
      </c>
      <c r="K179" s="1093">
        <v>0.40953434898876395</v>
      </c>
      <c r="L179" s="1093">
        <v>0.40953434898876395</v>
      </c>
      <c r="M179" s="3078">
        <v>0.40953434898876395</v>
      </c>
      <c r="N179" s="1049"/>
    </row>
    <row r="180" spans="2:14" x14ac:dyDescent="0.25">
      <c r="B180" s="1048"/>
      <c r="C180" s="1054"/>
      <c r="D180" s="1055"/>
      <c r="E180" s="1087"/>
      <c r="F180" s="1086"/>
      <c r="G180" s="1049"/>
      <c r="H180" s="1049"/>
      <c r="I180" s="1049"/>
      <c r="J180" s="1049"/>
      <c r="K180" s="1049"/>
      <c r="L180" s="1049"/>
      <c r="M180" s="1049"/>
      <c r="N180" s="1049"/>
    </row>
    <row r="181" spans="2:14" x14ac:dyDescent="0.25">
      <c r="B181" s="1048"/>
      <c r="C181" s="1092" t="s">
        <v>2156</v>
      </c>
      <c r="D181" s="1055"/>
      <c r="E181" s="1087"/>
      <c r="F181" s="1086"/>
      <c r="G181" s="1049"/>
      <c r="H181" s="1049"/>
      <c r="I181" s="1049"/>
      <c r="J181" s="1049"/>
      <c r="K181" s="1049"/>
      <c r="L181" s="1049"/>
      <c r="M181" s="1049" t="s">
        <v>611</v>
      </c>
      <c r="N181" s="1049"/>
    </row>
    <row r="182" spans="2:14" ht="3.75" customHeight="1" x14ac:dyDescent="0.25">
      <c r="B182" s="1048"/>
      <c r="C182" s="1054"/>
      <c r="D182" s="1055"/>
      <c r="E182" s="1087"/>
      <c r="F182" s="1086"/>
      <c r="G182" s="1049"/>
      <c r="H182" s="1049"/>
      <c r="I182" s="1049"/>
      <c r="J182" s="1049"/>
      <c r="K182" s="1049"/>
      <c r="L182" s="1049"/>
      <c r="M182" s="1049"/>
      <c r="N182" s="1049"/>
    </row>
    <row r="183" spans="2:14" x14ac:dyDescent="0.25">
      <c r="B183" s="1048"/>
      <c r="C183" s="3059" t="s">
        <v>604</v>
      </c>
      <c r="D183" s="3060" t="s">
        <v>145</v>
      </c>
      <c r="E183" s="3060" t="s">
        <v>8</v>
      </c>
      <c r="F183" s="2816">
        <v>2015</v>
      </c>
      <c r="G183" s="3061">
        <v>2020</v>
      </c>
      <c r="H183" s="2816">
        <v>2025</v>
      </c>
      <c r="I183" s="2816">
        <v>2030</v>
      </c>
      <c r="J183" s="2816">
        <v>2035</v>
      </c>
      <c r="K183" s="2816">
        <v>2040</v>
      </c>
      <c r="L183" s="2816">
        <v>2045</v>
      </c>
      <c r="M183" s="3062">
        <v>2050</v>
      </c>
      <c r="N183" s="1049"/>
    </row>
    <row r="184" spans="2:14" x14ac:dyDescent="0.25">
      <c r="B184" s="1048"/>
      <c r="C184" s="3074" t="s">
        <v>595</v>
      </c>
      <c r="D184" s="1055" t="s">
        <v>334</v>
      </c>
      <c r="E184" s="1087" t="s">
        <v>136</v>
      </c>
      <c r="F184" s="2795">
        <v>3.6413888888888888</v>
      </c>
      <c r="G184" s="2802">
        <v>3.3602777777777777</v>
      </c>
      <c r="H184" s="1090">
        <v>3.0791666666666666</v>
      </c>
      <c r="I184" s="1090">
        <v>2.7980555555555555</v>
      </c>
      <c r="J184" s="1090">
        <v>2.777222222222222</v>
      </c>
      <c r="K184" s="1090">
        <v>2.756388888888889</v>
      </c>
      <c r="L184" s="1090">
        <v>2.7355555555555555</v>
      </c>
      <c r="M184" s="3076">
        <v>2.714722222222222</v>
      </c>
      <c r="N184" s="1049"/>
    </row>
    <row r="185" spans="2:14" x14ac:dyDescent="0.25">
      <c r="B185" s="1048"/>
      <c r="C185" s="3074" t="s">
        <v>595</v>
      </c>
      <c r="D185" s="1055" t="s">
        <v>610</v>
      </c>
      <c r="E185" s="1087" t="s">
        <v>136</v>
      </c>
      <c r="F185" s="2795">
        <v>2.5490277777777779</v>
      </c>
      <c r="G185" s="2802">
        <v>2.3522222222222222</v>
      </c>
      <c r="H185" s="1090">
        <v>2.1554166666666665</v>
      </c>
      <c r="I185" s="1090">
        <v>1.9586111111111111</v>
      </c>
      <c r="J185" s="1090">
        <v>1.9440277777777779</v>
      </c>
      <c r="K185" s="1090">
        <v>1.9294444444444445</v>
      </c>
      <c r="L185" s="1090">
        <v>1.9148611111111111</v>
      </c>
      <c r="M185" s="3076">
        <v>1.9002777777777777</v>
      </c>
      <c r="N185" s="1049"/>
    </row>
    <row r="186" spans="2:14" x14ac:dyDescent="0.25">
      <c r="B186" s="1048"/>
      <c r="C186" s="3077" t="s">
        <v>603</v>
      </c>
      <c r="D186" s="1065" t="s">
        <v>334</v>
      </c>
      <c r="E186" s="1081" t="s">
        <v>136</v>
      </c>
      <c r="F186" s="2798">
        <v>0.10064358492839408</v>
      </c>
      <c r="G186" s="2803">
        <v>9.5346554142689152E-2</v>
      </c>
      <c r="H186" s="1093">
        <v>9.0049523356984212E-2</v>
      </c>
      <c r="I186" s="1093">
        <v>8.4752492571279273E-2</v>
      </c>
      <c r="J186" s="1093">
        <v>7.9455461785574333E-2</v>
      </c>
      <c r="K186" s="1093">
        <v>7.4158430999869407E-2</v>
      </c>
      <c r="L186" s="1093">
        <v>6.886140021416437E-2</v>
      </c>
      <c r="M186" s="3078">
        <v>6.356436942845943E-2</v>
      </c>
      <c r="N186" s="1049"/>
    </row>
    <row r="187" spans="2:14" x14ac:dyDescent="0.25">
      <c r="B187" s="1048"/>
      <c r="C187" s="1054"/>
      <c r="D187" s="1055"/>
      <c r="E187" s="1087"/>
      <c r="F187" s="2795"/>
      <c r="G187" s="1090"/>
      <c r="H187" s="1090"/>
      <c r="I187" s="1090"/>
      <c r="J187" s="1090"/>
      <c r="K187" s="1090"/>
      <c r="L187" s="1090"/>
      <c r="M187" s="1090"/>
      <c r="N187" s="1049"/>
    </row>
    <row r="188" spans="2:14" x14ac:dyDescent="0.25">
      <c r="B188" s="1048"/>
      <c r="C188" s="1092" t="s">
        <v>2155</v>
      </c>
      <c r="D188" s="1055"/>
      <c r="E188" s="1087"/>
      <c r="F188" s="1087"/>
      <c r="G188" s="1049"/>
      <c r="H188" s="1049"/>
      <c r="I188" s="1049"/>
      <c r="J188" s="1049"/>
      <c r="K188" s="1049"/>
      <c r="L188" s="1049"/>
      <c r="M188" s="1049" t="s">
        <v>611</v>
      </c>
      <c r="N188" s="1049"/>
    </row>
    <row r="189" spans="2:14" ht="3.75" customHeight="1" x14ac:dyDescent="0.25">
      <c r="B189" s="1048"/>
      <c r="C189" s="1054"/>
      <c r="D189" s="1055"/>
      <c r="E189" s="1087"/>
      <c r="F189" s="1087"/>
      <c r="G189" s="1049"/>
      <c r="H189" s="1049"/>
      <c r="I189" s="1049"/>
      <c r="J189" s="1049"/>
      <c r="K189" s="1049"/>
      <c r="L189" s="1049"/>
      <c r="M189" s="1049"/>
      <c r="N189" s="1049"/>
    </row>
    <row r="190" spans="2:14" x14ac:dyDescent="0.25">
      <c r="B190" s="1048"/>
      <c r="C190" s="3059" t="s">
        <v>604</v>
      </c>
      <c r="D190" s="3060" t="s">
        <v>145</v>
      </c>
      <c r="E190" s="3060" t="s">
        <v>148</v>
      </c>
      <c r="F190" s="2816">
        <v>2015</v>
      </c>
      <c r="G190" s="3061">
        <v>2020</v>
      </c>
      <c r="H190" s="2816">
        <v>2025</v>
      </c>
      <c r="I190" s="2816">
        <v>2030</v>
      </c>
      <c r="J190" s="2816">
        <v>2035</v>
      </c>
      <c r="K190" s="2816">
        <v>2040</v>
      </c>
      <c r="L190" s="2816">
        <v>2045</v>
      </c>
      <c r="M190" s="3062">
        <v>2050</v>
      </c>
      <c r="N190" s="1049"/>
    </row>
    <row r="191" spans="2:14" x14ac:dyDescent="0.25">
      <c r="B191" s="1048"/>
      <c r="C191" s="3074" t="s">
        <v>595</v>
      </c>
      <c r="D191" s="1054" t="s">
        <v>590</v>
      </c>
      <c r="E191" s="1087" t="s">
        <v>136</v>
      </c>
      <c r="F191" s="2795">
        <v>0.8666666666666667</v>
      </c>
      <c r="G191" s="2821">
        <v>0.79972222222222222</v>
      </c>
      <c r="H191" s="1089">
        <v>0.73277777777777775</v>
      </c>
      <c r="I191" s="1089">
        <v>0.66583333333333339</v>
      </c>
      <c r="J191" s="1089">
        <v>0.66097222222222229</v>
      </c>
      <c r="K191" s="1089">
        <v>0.65611111111111109</v>
      </c>
      <c r="L191" s="1089">
        <v>0.65111111111111108</v>
      </c>
      <c r="M191" s="3079">
        <v>0.64611111111111108</v>
      </c>
      <c r="N191" s="1049"/>
    </row>
    <row r="192" spans="2:14" x14ac:dyDescent="0.25">
      <c r="B192" s="1048"/>
      <c r="C192" s="3077" t="s">
        <v>603</v>
      </c>
      <c r="D192" s="1065" t="s">
        <v>587</v>
      </c>
      <c r="E192" s="1081" t="s">
        <v>2146</v>
      </c>
      <c r="F192" s="2798">
        <v>3.0663246397786E-2</v>
      </c>
      <c r="G192" s="2822">
        <v>2.9468574460209999E-2</v>
      </c>
      <c r="H192" s="1091">
        <v>2.8273902522633901E-2</v>
      </c>
      <c r="I192" s="1091">
        <v>2.70792305850578E-2</v>
      </c>
      <c r="J192" s="1091">
        <v>2.5884558647481699E-2</v>
      </c>
      <c r="K192" s="1091">
        <v>2.4689886709905601E-2</v>
      </c>
      <c r="L192" s="1091">
        <v>2.34952147723296E-2</v>
      </c>
      <c r="M192" s="3080">
        <v>2.2300542834753499E-2</v>
      </c>
      <c r="N192" s="1049"/>
    </row>
    <row r="193" spans="2:14" x14ac:dyDescent="0.25">
      <c r="B193" s="1048"/>
      <c r="C193" s="1054"/>
      <c r="D193" s="1055"/>
      <c r="E193" s="1087"/>
      <c r="F193" s="1086"/>
      <c r="G193" s="1049"/>
      <c r="H193" s="1049"/>
      <c r="I193" s="1049"/>
      <c r="J193" s="1049"/>
      <c r="K193" s="1049"/>
      <c r="L193" s="1049"/>
      <c r="M193" s="1049"/>
      <c r="N193" s="1049"/>
    </row>
    <row r="194" spans="2:14" x14ac:dyDescent="0.25">
      <c r="B194" s="1048"/>
      <c r="C194" s="1092" t="s">
        <v>2157</v>
      </c>
      <c r="D194" s="1055"/>
      <c r="E194" s="1087"/>
      <c r="F194" s="1086"/>
      <c r="G194" s="1049"/>
      <c r="H194" s="1049"/>
      <c r="I194" s="1049"/>
      <c r="J194" s="1049"/>
      <c r="K194" s="1049"/>
      <c r="L194" s="1049"/>
      <c r="M194" s="1049" t="s">
        <v>611</v>
      </c>
      <c r="N194" s="1049"/>
    </row>
    <row r="195" spans="2:14" ht="3.75" customHeight="1" x14ac:dyDescent="0.25">
      <c r="B195" s="1048"/>
      <c r="C195" s="1054"/>
      <c r="D195" s="1055"/>
      <c r="E195" s="1087"/>
      <c r="F195" s="1086"/>
      <c r="G195" s="1049"/>
      <c r="H195" s="1049"/>
      <c r="I195" s="1049"/>
      <c r="J195" s="1049"/>
      <c r="K195" s="1049"/>
      <c r="L195" s="1049"/>
      <c r="M195" s="1049"/>
      <c r="N195" s="1049"/>
    </row>
    <row r="196" spans="2:14" x14ac:dyDescent="0.25">
      <c r="B196" s="1048"/>
      <c r="C196" s="3059" t="s">
        <v>604</v>
      </c>
      <c r="D196" s="3060" t="s">
        <v>145</v>
      </c>
      <c r="E196" s="3060" t="s">
        <v>148</v>
      </c>
      <c r="F196" s="2816">
        <v>2015</v>
      </c>
      <c r="G196" s="3061">
        <v>2020</v>
      </c>
      <c r="H196" s="2816">
        <v>2025</v>
      </c>
      <c r="I196" s="2816">
        <v>2030</v>
      </c>
      <c r="J196" s="2816">
        <v>2035</v>
      </c>
      <c r="K196" s="2816">
        <v>2040</v>
      </c>
      <c r="L196" s="2816">
        <v>2045</v>
      </c>
      <c r="M196" s="3062">
        <v>2050</v>
      </c>
      <c r="N196" s="1049"/>
    </row>
    <row r="197" spans="2:14" x14ac:dyDescent="0.25">
      <c r="B197" s="1048"/>
      <c r="C197" s="3077" t="s">
        <v>595</v>
      </c>
      <c r="D197" s="1064" t="s">
        <v>588</v>
      </c>
      <c r="E197" s="1081" t="s">
        <v>136</v>
      </c>
      <c r="F197" s="1091">
        <v>6.4</v>
      </c>
      <c r="G197" s="2822">
        <v>5.96</v>
      </c>
      <c r="H197" s="1091">
        <v>5.55</v>
      </c>
      <c r="I197" s="1091">
        <v>5.17</v>
      </c>
      <c r="J197" s="1091">
        <v>4.82</v>
      </c>
      <c r="K197" s="1091">
        <v>4.49</v>
      </c>
      <c r="L197" s="1091">
        <v>4.18</v>
      </c>
      <c r="M197" s="3080">
        <v>3.89</v>
      </c>
      <c r="N197" s="1049"/>
    </row>
    <row r="198" spans="2:14" x14ac:dyDescent="0.25">
      <c r="B198" s="1048"/>
      <c r="C198" s="1054"/>
      <c r="D198" s="1054"/>
      <c r="E198" s="1087"/>
      <c r="F198" s="1089"/>
      <c r="G198" s="1089"/>
      <c r="H198" s="1089"/>
      <c r="I198" s="1089"/>
      <c r="J198" s="1089"/>
      <c r="K198" s="1089"/>
      <c r="L198" s="1089"/>
      <c r="M198" s="1089"/>
      <c r="N198" s="1049"/>
    </row>
    <row r="199" spans="2:14" x14ac:dyDescent="0.25">
      <c r="B199" s="1048"/>
      <c r="C199" s="1092" t="s">
        <v>2144</v>
      </c>
      <c r="D199" s="1054"/>
      <c r="E199" s="3101" t="s">
        <v>2102</v>
      </c>
      <c r="F199" s="1089"/>
      <c r="G199" s="1089"/>
      <c r="H199" s="1089"/>
      <c r="I199" s="1089"/>
      <c r="J199" s="1089"/>
      <c r="K199" s="1089"/>
      <c r="L199" s="1089"/>
      <c r="M199" s="1089"/>
      <c r="N199" s="1049"/>
    </row>
    <row r="200" spans="2:14" ht="3.75" customHeight="1" x14ac:dyDescent="0.25">
      <c r="B200" s="1048"/>
      <c r="C200" s="1054"/>
      <c r="D200" s="1054"/>
      <c r="E200" s="1087"/>
      <c r="F200" s="1089"/>
      <c r="G200" s="1089"/>
      <c r="H200" s="1089"/>
      <c r="I200" s="1089"/>
      <c r="J200" s="1089"/>
      <c r="K200" s="1089"/>
      <c r="L200" s="1089"/>
      <c r="M200" s="1089"/>
      <c r="N200" s="1049"/>
    </row>
    <row r="201" spans="2:14" x14ac:dyDescent="0.25">
      <c r="B201" s="1048"/>
      <c r="C201" s="3052" t="s">
        <v>604</v>
      </c>
      <c r="D201" s="3053" t="s">
        <v>145</v>
      </c>
      <c r="E201" s="3054" t="s">
        <v>613</v>
      </c>
      <c r="F201" s="1089"/>
      <c r="G201" s="1089"/>
      <c r="H201" s="1089"/>
      <c r="I201" s="1089"/>
      <c r="J201" s="1089"/>
      <c r="K201" s="1089"/>
      <c r="L201" s="1089"/>
      <c r="M201" s="1089"/>
      <c r="N201" s="1049"/>
    </row>
    <row r="202" spans="2:14" x14ac:dyDescent="0.25">
      <c r="B202" s="1048"/>
      <c r="C202" s="3055" t="s">
        <v>602</v>
      </c>
      <c r="D202" s="1094" t="s">
        <v>583</v>
      </c>
      <c r="E202" s="3056">
        <v>0.3</v>
      </c>
      <c r="F202" s="1089"/>
      <c r="G202" s="1089"/>
      <c r="H202" s="1089"/>
      <c r="I202" s="1089"/>
      <c r="J202" s="1089"/>
      <c r="K202" s="1089"/>
      <c r="L202" s="1089"/>
      <c r="M202" s="1089"/>
      <c r="N202" s="1049"/>
    </row>
    <row r="203" spans="2:14" x14ac:dyDescent="0.25">
      <c r="B203" s="1048"/>
      <c r="C203" s="3055" t="s">
        <v>602</v>
      </c>
      <c r="D203" s="1094" t="s">
        <v>584</v>
      </c>
      <c r="E203" s="3056">
        <v>0.3</v>
      </c>
      <c r="F203" s="1089"/>
      <c r="G203" s="1089"/>
      <c r="H203" s="1089"/>
      <c r="I203" s="1089"/>
      <c r="J203" s="1089"/>
      <c r="K203" s="1089"/>
      <c r="L203" s="1089"/>
      <c r="M203" s="1089"/>
      <c r="N203" s="1049"/>
    </row>
    <row r="204" spans="2:14" x14ac:dyDescent="0.25">
      <c r="B204" s="1048"/>
      <c r="C204" s="3055" t="s">
        <v>602</v>
      </c>
      <c r="D204" s="1094" t="s">
        <v>585</v>
      </c>
      <c r="E204" s="3056">
        <v>0.5</v>
      </c>
      <c r="F204" s="1089"/>
      <c r="G204" s="1089"/>
      <c r="H204" s="1089"/>
      <c r="I204" s="1089"/>
      <c r="J204" s="1089"/>
      <c r="K204" s="1089"/>
      <c r="L204" s="1089"/>
      <c r="M204" s="1089"/>
      <c r="N204" s="1049"/>
    </row>
    <row r="205" spans="2:14" x14ac:dyDescent="0.25">
      <c r="B205" s="1048"/>
      <c r="C205" s="3055" t="s">
        <v>602</v>
      </c>
      <c r="D205" s="1094" t="s">
        <v>586</v>
      </c>
      <c r="E205" s="3056">
        <v>0.5</v>
      </c>
      <c r="F205" s="1089"/>
      <c r="G205" s="1089"/>
      <c r="H205" s="1089"/>
      <c r="I205" s="1089"/>
      <c r="J205" s="1089"/>
      <c r="K205" s="1089"/>
      <c r="L205" s="1089"/>
      <c r="M205" s="1089"/>
      <c r="N205" s="1049"/>
    </row>
    <row r="206" spans="2:14" x14ac:dyDescent="0.25">
      <c r="B206" s="1048"/>
      <c r="C206" s="3057" t="s">
        <v>595</v>
      </c>
      <c r="D206" s="1095" t="s">
        <v>614</v>
      </c>
      <c r="E206" s="3058">
        <v>0.5</v>
      </c>
      <c r="F206" s="1089"/>
      <c r="G206" s="1054"/>
      <c r="H206" s="1054"/>
      <c r="I206" s="1096"/>
      <c r="J206" s="1089"/>
      <c r="K206" s="1089"/>
      <c r="L206" s="1089"/>
      <c r="M206" s="1089"/>
      <c r="N206" s="1049"/>
    </row>
    <row r="207" spans="2:14" ht="4.5" customHeight="1" x14ac:dyDescent="0.25">
      <c r="B207" s="1048"/>
      <c r="C207" s="1054"/>
      <c r="D207" s="1054"/>
      <c r="E207" s="1087"/>
      <c r="F207" s="1089"/>
      <c r="G207" s="1089"/>
      <c r="H207" s="1089"/>
      <c r="I207" s="1089"/>
      <c r="J207" s="1089"/>
      <c r="K207" s="1089"/>
      <c r="L207" s="1089"/>
      <c r="M207" s="1089"/>
      <c r="N207" s="1049"/>
    </row>
    <row r="208" spans="2:14" x14ac:dyDescent="0.25">
      <c r="B208" s="1048"/>
      <c r="C208" s="2897" t="s">
        <v>8</v>
      </c>
      <c r="D208" s="2896"/>
      <c r="E208" s="1087"/>
      <c r="F208" s="1089"/>
      <c r="G208" s="1089"/>
      <c r="H208" s="1089"/>
      <c r="I208" s="1089"/>
      <c r="J208" s="1089"/>
      <c r="K208" s="1089"/>
      <c r="L208" s="1089"/>
      <c r="M208" s="1089"/>
      <c r="N208" s="1049"/>
    </row>
    <row r="209" spans="1:14" x14ac:dyDescent="0.25">
      <c r="B209" s="1048"/>
      <c r="C209" s="3102" t="s">
        <v>133</v>
      </c>
      <c r="D209" s="3081" t="s">
        <v>2147</v>
      </c>
      <c r="E209" s="1087"/>
      <c r="F209" s="1089"/>
      <c r="G209" s="1089"/>
      <c r="H209" s="1089"/>
      <c r="I209" s="1089"/>
      <c r="J209" s="1089"/>
      <c r="K209" s="1089"/>
      <c r="L209" s="1089"/>
      <c r="M209" s="1089"/>
      <c r="N209" s="1049"/>
    </row>
    <row r="210" spans="1:14" x14ac:dyDescent="0.25">
      <c r="B210" s="1048"/>
      <c r="C210" s="3102" t="s">
        <v>136</v>
      </c>
      <c r="D210" s="3081" t="s">
        <v>2149</v>
      </c>
      <c r="E210" s="1087"/>
      <c r="F210" s="1089"/>
      <c r="G210" s="1089"/>
      <c r="H210" s="1089"/>
      <c r="I210" s="1089"/>
      <c r="J210" s="1089"/>
      <c r="K210" s="1089"/>
      <c r="L210" s="1089"/>
      <c r="M210" s="1089"/>
      <c r="N210" s="1049"/>
    </row>
    <row r="211" spans="1:14" x14ac:dyDescent="0.25">
      <c r="B211" s="1048"/>
      <c r="C211" s="3102" t="s">
        <v>2146</v>
      </c>
      <c r="D211" s="3091" t="s">
        <v>2148</v>
      </c>
      <c r="E211" s="1087"/>
      <c r="F211" s="1089"/>
      <c r="G211" s="1089"/>
      <c r="H211" s="1089"/>
      <c r="I211" s="1089"/>
      <c r="J211" s="1089"/>
      <c r="K211" s="1089"/>
      <c r="L211" s="1089"/>
      <c r="M211" s="1089"/>
      <c r="N211" s="1049"/>
    </row>
    <row r="212" spans="1:14" x14ac:dyDescent="0.25">
      <c r="B212" s="1048"/>
      <c r="C212" s="1054"/>
      <c r="D212" s="1054"/>
      <c r="E212" s="1087"/>
      <c r="F212" s="1089"/>
      <c r="G212" s="1089"/>
      <c r="H212" s="1089"/>
      <c r="I212" s="1089"/>
      <c r="J212" s="1089"/>
      <c r="K212" s="1089"/>
      <c r="L212" s="1089"/>
      <c r="M212" s="1089"/>
      <c r="N212" s="1049"/>
    </row>
    <row r="213" spans="1:14" x14ac:dyDescent="0.25">
      <c r="B213" s="1048"/>
      <c r="C213" s="1054"/>
      <c r="D213" s="1054"/>
      <c r="E213" s="1087"/>
      <c r="F213" s="1089"/>
      <c r="G213" s="1089"/>
      <c r="H213" s="1089"/>
      <c r="I213" s="1089"/>
      <c r="J213" s="1089"/>
      <c r="K213" s="1089"/>
      <c r="L213" s="1089"/>
      <c r="M213" s="1089"/>
      <c r="N213" s="1049"/>
    </row>
    <row r="214" spans="1:14" x14ac:dyDescent="0.25">
      <c r="A214" s="3122"/>
      <c r="B214" s="1048"/>
      <c r="C214" s="1092" t="s">
        <v>2197</v>
      </c>
      <c r="D214" s="1054"/>
      <c r="E214" s="1087"/>
      <c r="F214" s="1089"/>
      <c r="G214" s="1089"/>
      <c r="H214" s="1089"/>
      <c r="I214" s="1089"/>
      <c r="J214" s="1089"/>
      <c r="K214" s="1089"/>
      <c r="L214" s="1089"/>
      <c r="M214" s="1089" t="s">
        <v>2202</v>
      </c>
      <c r="N214" s="1049"/>
    </row>
    <row r="215" spans="1:14" ht="4.5" customHeight="1" x14ac:dyDescent="0.25">
      <c r="B215" s="1048"/>
      <c r="C215" s="1054"/>
      <c r="D215" s="1054"/>
      <c r="E215" s="1087"/>
      <c r="F215" s="1089"/>
      <c r="G215" s="1089"/>
      <c r="H215" s="1089"/>
      <c r="I215" s="1089"/>
      <c r="J215" s="1089"/>
      <c r="K215" s="1089"/>
      <c r="L215" s="1089"/>
      <c r="M215" s="1089"/>
      <c r="N215" s="1049"/>
    </row>
    <row r="216" spans="1:14" x14ac:dyDescent="0.25">
      <c r="B216" s="1048"/>
      <c r="C216" s="3059" t="s">
        <v>15</v>
      </c>
      <c r="D216" s="3060" t="s">
        <v>415</v>
      </c>
      <c r="E216" s="3060" t="s">
        <v>8</v>
      </c>
      <c r="F216" s="2816">
        <v>2015</v>
      </c>
      <c r="G216" s="3061">
        <v>2020</v>
      </c>
      <c r="H216" s="2816">
        <v>2025</v>
      </c>
      <c r="I216" s="2816">
        <v>2030</v>
      </c>
      <c r="J216" s="2816">
        <v>2035</v>
      </c>
      <c r="K216" s="2816">
        <v>2040</v>
      </c>
      <c r="L216" s="2816">
        <v>2045</v>
      </c>
      <c r="M216" s="3062">
        <v>2050</v>
      </c>
      <c r="N216" s="1049"/>
    </row>
    <row r="217" spans="1:14" x14ac:dyDescent="0.25">
      <c r="B217" s="1048"/>
      <c r="C217" s="3124" t="s">
        <v>2198</v>
      </c>
      <c r="D217" s="1055"/>
      <c r="E217" s="1086" t="s">
        <v>133</v>
      </c>
      <c r="F217" s="3128">
        <v>3020325</v>
      </c>
      <c r="G217" s="3128">
        <v>3245031.2212744998</v>
      </c>
      <c r="H217" s="3129">
        <v>3711046.6340406868</v>
      </c>
      <c r="I217" s="3129">
        <v>4243144.7612322429</v>
      </c>
      <c r="J217" s="3129">
        <v>4852022.4066428738</v>
      </c>
      <c r="K217" s="3129">
        <v>5379704.3749496108</v>
      </c>
      <c r="L217" s="3129">
        <v>5843014.3749496108</v>
      </c>
      <c r="M217" s="3130">
        <v>6306324.3749496108</v>
      </c>
      <c r="N217" s="1049"/>
    </row>
    <row r="218" spans="1:14" x14ac:dyDescent="0.25">
      <c r="B218" s="1048"/>
      <c r="C218" s="3124" t="s">
        <v>2199</v>
      </c>
      <c r="D218" s="3126" t="s">
        <v>2201</v>
      </c>
      <c r="E218" s="1086" t="s">
        <v>133</v>
      </c>
      <c r="F218" s="3128">
        <v>927508.73323629901</v>
      </c>
      <c r="G218" s="3128">
        <v>914821.64333328954</v>
      </c>
      <c r="H218" s="3129">
        <v>1046244.3861213513</v>
      </c>
      <c r="I218" s="3129">
        <v>1208086.2922294964</v>
      </c>
      <c r="J218" s="3129">
        <v>1152214.9545107989</v>
      </c>
      <c r="K218" s="3129">
        <v>1380837.0560994765</v>
      </c>
      <c r="L218" s="3129">
        <v>1578342.5133129074</v>
      </c>
      <c r="M218" s="3130">
        <v>1775847.9705263383</v>
      </c>
      <c r="N218" s="1049"/>
    </row>
    <row r="219" spans="1:14" x14ac:dyDescent="0.25">
      <c r="B219" s="1048"/>
      <c r="C219" s="3125" t="s">
        <v>2200</v>
      </c>
      <c r="D219" s="3127" t="s">
        <v>2201</v>
      </c>
      <c r="E219" s="3123" t="s">
        <v>133</v>
      </c>
      <c r="F219" s="3131">
        <v>1152214.9545108001</v>
      </c>
      <c r="G219" s="3132">
        <v>1380837.0560994765</v>
      </c>
      <c r="H219" s="3133">
        <v>1578342.5133129074</v>
      </c>
      <c r="I219" s="3133">
        <v>1816963.9376401273</v>
      </c>
      <c r="J219" s="3133">
        <v>1679896.9228175362</v>
      </c>
      <c r="K219" s="3133">
        <v>1844147.0560994765</v>
      </c>
      <c r="L219" s="3133">
        <v>2041652.5133129074</v>
      </c>
      <c r="M219" s="3134">
        <v>2239157.9705263386</v>
      </c>
      <c r="N219" s="1049"/>
    </row>
    <row r="220" spans="1:14" x14ac:dyDescent="0.25">
      <c r="B220" s="1048"/>
      <c r="C220" s="1054"/>
      <c r="D220" s="1054"/>
      <c r="E220" s="1087"/>
      <c r="F220" s="1089"/>
      <c r="G220" s="1089"/>
      <c r="H220" s="1089"/>
      <c r="I220" s="1089"/>
      <c r="J220" s="1089"/>
      <c r="K220" s="1089"/>
      <c r="L220" s="1089"/>
      <c r="M220" s="1089"/>
      <c r="N220" s="1049"/>
    </row>
    <row r="221" spans="1:14" x14ac:dyDescent="0.25">
      <c r="B221" s="1048"/>
      <c r="C221" s="1054"/>
      <c r="D221" s="1054"/>
      <c r="E221" s="1087"/>
      <c r="F221" s="1089"/>
      <c r="G221" s="1089"/>
      <c r="H221" s="1089"/>
      <c r="I221" s="1089"/>
      <c r="J221" s="1089"/>
      <c r="K221" s="1089"/>
      <c r="L221" s="1089"/>
      <c r="M221" s="1089"/>
      <c r="N221" s="1049"/>
    </row>
    <row r="222" spans="1:14" x14ac:dyDescent="0.25">
      <c r="B222" s="1048"/>
      <c r="C222" s="1092" t="s">
        <v>2208</v>
      </c>
      <c r="D222" s="1054"/>
      <c r="E222" s="1087"/>
      <c r="F222" s="1089"/>
      <c r="G222" s="1089"/>
      <c r="H222" s="1089"/>
      <c r="I222" s="1089"/>
      <c r="J222" s="1089"/>
      <c r="K222" s="1089"/>
      <c r="L222" s="1089"/>
      <c r="M222" s="1089"/>
      <c r="N222" s="1049"/>
    </row>
    <row r="223" spans="1:14" ht="4.5" customHeight="1" x14ac:dyDescent="0.25">
      <c r="B223" s="1048"/>
      <c r="C223" s="1092"/>
      <c r="D223" s="1054"/>
      <c r="E223" s="1087"/>
      <c r="F223" s="1089"/>
      <c r="G223" s="1089"/>
      <c r="H223" s="1089"/>
      <c r="I223" s="1089"/>
      <c r="J223" s="1089"/>
      <c r="K223" s="1089"/>
      <c r="L223" s="1089"/>
      <c r="M223" s="1089"/>
      <c r="N223" s="1049"/>
    </row>
    <row r="224" spans="1:14" x14ac:dyDescent="0.25">
      <c r="B224" s="1048"/>
      <c r="C224" s="3059" t="s">
        <v>145</v>
      </c>
      <c r="D224" s="3138" t="s">
        <v>2209</v>
      </c>
      <c r="E224" s="1087"/>
      <c r="F224" s="1089"/>
      <c r="G224" s="1089"/>
      <c r="H224" s="1089"/>
      <c r="I224" s="1089"/>
      <c r="J224" s="1089"/>
      <c r="K224" s="1089"/>
      <c r="L224" s="1089"/>
      <c r="M224" s="1089"/>
      <c r="N224" s="1049"/>
    </row>
    <row r="225" spans="2:14" x14ac:dyDescent="0.25">
      <c r="B225" s="1048"/>
      <c r="C225" s="3074" t="s">
        <v>582</v>
      </c>
      <c r="D225" s="3136">
        <v>0.91778998677762402</v>
      </c>
      <c r="E225" s="1087"/>
      <c r="F225" s="1089"/>
      <c r="G225" s="1089"/>
      <c r="H225" s="1089"/>
      <c r="I225" s="1089"/>
      <c r="J225" s="1089"/>
      <c r="K225" s="1089"/>
      <c r="L225" s="1089"/>
      <c r="M225" s="1089"/>
      <c r="N225" s="1049"/>
    </row>
    <row r="226" spans="2:14" x14ac:dyDescent="0.25">
      <c r="B226" s="1048"/>
      <c r="C226" s="3074" t="s">
        <v>334</v>
      </c>
      <c r="D226" s="3136">
        <v>8.1332885314435083E-2</v>
      </c>
      <c r="E226" s="1087"/>
      <c r="F226" s="1089"/>
      <c r="G226" s="1089"/>
      <c r="H226" s="1089"/>
      <c r="I226" s="1089"/>
      <c r="J226" s="1089"/>
      <c r="K226" s="1089"/>
      <c r="L226" s="1089"/>
      <c r="M226" s="1089"/>
      <c r="N226" s="1049"/>
    </row>
    <row r="227" spans="2:14" x14ac:dyDescent="0.25">
      <c r="B227" s="1048"/>
      <c r="C227" s="3074" t="s">
        <v>583</v>
      </c>
      <c r="D227" s="3136">
        <v>4.2547249265787211E-4</v>
      </c>
      <c r="E227" s="1087"/>
      <c r="F227" s="1089"/>
      <c r="G227" s="1089"/>
      <c r="H227" s="1089"/>
      <c r="I227" s="1089"/>
      <c r="J227" s="1089"/>
      <c r="K227" s="1089"/>
      <c r="L227" s="1089"/>
      <c r="M227" s="1089"/>
      <c r="N227" s="1049"/>
    </row>
    <row r="228" spans="2:14" x14ac:dyDescent="0.25">
      <c r="B228" s="1048"/>
      <c r="C228" s="3074" t="s">
        <v>584</v>
      </c>
      <c r="D228" s="3136">
        <v>4.2547249265787211E-4</v>
      </c>
      <c r="E228" s="1087"/>
      <c r="F228" s="1089"/>
      <c r="G228" s="1089"/>
      <c r="H228" s="1089"/>
      <c r="I228" s="1089"/>
      <c r="J228" s="1089"/>
      <c r="K228" s="1089"/>
      <c r="L228" s="1089"/>
      <c r="M228" s="1089"/>
      <c r="N228" s="1049"/>
    </row>
    <row r="229" spans="2:14" x14ac:dyDescent="0.25">
      <c r="B229" s="1048"/>
      <c r="C229" s="3074" t="s">
        <v>585</v>
      </c>
      <c r="D229" s="3136">
        <v>0</v>
      </c>
      <c r="E229" s="1087"/>
      <c r="F229" s="1089"/>
      <c r="G229" s="1089"/>
      <c r="H229" s="1089"/>
      <c r="I229" s="1089"/>
      <c r="J229" s="1089"/>
      <c r="K229" s="1089"/>
      <c r="L229" s="1089"/>
      <c r="M229" s="1089"/>
      <c r="N229" s="1049"/>
    </row>
    <row r="230" spans="2:14" x14ac:dyDescent="0.25">
      <c r="B230" s="1048"/>
      <c r="C230" s="3074" t="s">
        <v>586</v>
      </c>
      <c r="D230" s="3136">
        <v>0</v>
      </c>
      <c r="E230" s="1087"/>
      <c r="F230" s="1089"/>
      <c r="G230" s="1089"/>
      <c r="H230" s="1089"/>
      <c r="I230" s="1089"/>
      <c r="J230" s="1089"/>
      <c r="K230" s="1089"/>
      <c r="L230" s="1089"/>
      <c r="M230" s="1089"/>
      <c r="N230" s="1049"/>
    </row>
    <row r="231" spans="2:14" x14ac:dyDescent="0.25">
      <c r="B231" s="1048"/>
      <c r="C231" s="3074" t="s">
        <v>587</v>
      </c>
      <c r="D231" s="3136">
        <v>2.6182922625099822E-5</v>
      </c>
      <c r="E231" s="1087"/>
      <c r="F231" s="1089"/>
      <c r="G231" s="1089"/>
      <c r="H231" s="1089"/>
      <c r="I231" s="1089"/>
      <c r="J231" s="1089"/>
      <c r="K231" s="1089"/>
      <c r="L231" s="1089"/>
      <c r="M231" s="1089"/>
      <c r="N231" s="1049"/>
    </row>
    <row r="232" spans="2:14" x14ac:dyDescent="0.25">
      <c r="B232" s="1048"/>
      <c r="C232" s="3077" t="s">
        <v>588</v>
      </c>
      <c r="D232" s="3137">
        <v>0</v>
      </c>
      <c r="E232" s="1087"/>
      <c r="F232" s="1089"/>
      <c r="G232" s="1089"/>
      <c r="H232" s="1089"/>
      <c r="I232" s="1089"/>
      <c r="J232" s="1089"/>
      <c r="K232" s="1089"/>
      <c r="L232" s="1089"/>
      <c r="M232" s="1089"/>
      <c r="N232" s="1049"/>
    </row>
    <row r="233" spans="2:14" x14ac:dyDescent="0.25">
      <c r="B233" s="1048"/>
      <c r="C233" s="1054"/>
      <c r="D233" s="1054"/>
      <c r="E233" s="1087"/>
      <c r="F233" s="1089"/>
      <c r="G233" s="1089"/>
      <c r="H233" s="1089"/>
      <c r="I233" s="1089"/>
      <c r="J233" s="1089"/>
      <c r="K233" s="1089"/>
      <c r="L233" s="1089"/>
      <c r="M233" s="1089"/>
      <c r="N233" s="1049"/>
    </row>
    <row r="234" spans="2:14" x14ac:dyDescent="0.25">
      <c r="B234" s="1048"/>
      <c r="C234" s="1054"/>
      <c r="D234" s="1054"/>
      <c r="E234" s="1087"/>
      <c r="F234" s="1089"/>
      <c r="G234" s="1089"/>
      <c r="H234" s="1089"/>
      <c r="I234" s="1089"/>
      <c r="J234" s="1089"/>
      <c r="K234" s="1089"/>
      <c r="L234" s="1089"/>
      <c r="M234" s="1089"/>
      <c r="N234" s="1049"/>
    </row>
    <row r="236" spans="2:14" ht="15" customHeight="1" x14ac:dyDescent="0.25"/>
    <row r="237" spans="2:14" ht="15" customHeight="1" x14ac:dyDescent="0.25">
      <c r="B237" s="1097" t="s">
        <v>168</v>
      </c>
      <c r="C237" s="1098"/>
      <c r="D237" s="1098"/>
      <c r="E237" s="1098"/>
      <c r="F237" s="1098"/>
      <c r="G237" s="1098"/>
      <c r="H237" s="1098"/>
      <c r="I237" s="1098"/>
      <c r="J237" s="1098"/>
      <c r="K237" s="1098"/>
      <c r="L237" s="1098"/>
      <c r="M237" s="1098"/>
      <c r="N237" s="1099"/>
    </row>
    <row r="238" spans="2:14" s="1011" customFormat="1" ht="15" customHeight="1" x14ac:dyDescent="0.25">
      <c r="B238" s="1048"/>
      <c r="C238" s="1049"/>
      <c r="D238" s="1049"/>
      <c r="E238" s="1049"/>
      <c r="F238" s="1049"/>
      <c r="G238" s="1049"/>
      <c r="H238" s="1049"/>
      <c r="I238" s="1049"/>
      <c r="J238" s="1049"/>
      <c r="K238" s="1049"/>
      <c r="L238" s="1049"/>
      <c r="M238" s="1049"/>
      <c r="N238" s="1100"/>
    </row>
    <row r="239" spans="2:14" x14ac:dyDescent="0.25">
      <c r="B239" s="1048"/>
      <c r="C239" s="1050" t="s">
        <v>2143</v>
      </c>
      <c r="D239" s="1049"/>
      <c r="E239" s="1051"/>
      <c r="F239" s="1049"/>
      <c r="G239" s="1049"/>
      <c r="H239" s="1049"/>
      <c r="I239" s="1049"/>
      <c r="J239" s="1049"/>
      <c r="K239" s="1049"/>
      <c r="L239" s="1049"/>
      <c r="M239" s="1051" t="s">
        <v>190</v>
      </c>
      <c r="N239" s="1049"/>
    </row>
    <row r="240" spans="2:14" ht="3" customHeight="1" x14ac:dyDescent="0.25">
      <c r="B240" s="1048"/>
      <c r="C240" s="1049"/>
      <c r="D240" s="1049"/>
      <c r="E240" s="1049"/>
      <c r="F240" s="1049"/>
      <c r="G240" s="1049"/>
      <c r="H240" s="1049"/>
      <c r="I240" s="1049"/>
      <c r="J240" s="1049"/>
      <c r="K240" s="1049"/>
      <c r="L240" s="1049"/>
      <c r="M240" s="1049"/>
      <c r="N240" s="1049"/>
    </row>
    <row r="241" spans="2:15" x14ac:dyDescent="0.25">
      <c r="B241" s="1048"/>
      <c r="C241" s="3059" t="s">
        <v>598</v>
      </c>
      <c r="D241" s="3060" t="s">
        <v>483</v>
      </c>
      <c r="E241" s="3060" t="s">
        <v>2137</v>
      </c>
      <c r="F241" s="2816">
        <v>2015</v>
      </c>
      <c r="G241" s="3061">
        <v>2020</v>
      </c>
      <c r="H241" s="2816">
        <v>2025</v>
      </c>
      <c r="I241" s="2816">
        <v>2030</v>
      </c>
      <c r="J241" s="2816">
        <v>2035</v>
      </c>
      <c r="K241" s="2816">
        <v>2040</v>
      </c>
      <c r="L241" s="2816">
        <v>2045</v>
      </c>
      <c r="M241" s="3062">
        <v>2050</v>
      </c>
      <c r="N241" s="1049"/>
    </row>
    <row r="242" spans="2:15" x14ac:dyDescent="0.25">
      <c r="B242" s="1048"/>
      <c r="C242" s="3074" t="s">
        <v>599</v>
      </c>
      <c r="D242" s="1055"/>
      <c r="E242" s="1078"/>
      <c r="F242" s="1078">
        <f t="shared" ref="F242:M242" si="15">F146/(F146+F147)</f>
        <v>0.82810768700698545</v>
      </c>
      <c r="G242" s="1078">
        <f t="shared" si="15"/>
        <v>0.81822086619511092</v>
      </c>
      <c r="H242" s="1078">
        <f t="shared" si="15"/>
        <v>0.80667328090884571</v>
      </c>
      <c r="I242" s="1078">
        <f t="shared" si="15"/>
        <v>0.79354961045071981</v>
      </c>
      <c r="J242" s="1078">
        <f t="shared" si="15"/>
        <v>0.77787330123155873</v>
      </c>
      <c r="K242" s="1078">
        <f t="shared" si="15"/>
        <v>0.75348708205691495</v>
      </c>
      <c r="L242" s="1078">
        <f t="shared" si="15"/>
        <v>0.72007570804307974</v>
      </c>
      <c r="M242" s="3089">
        <f t="shared" si="15"/>
        <v>0.67844552996824714</v>
      </c>
      <c r="N242" s="1049"/>
    </row>
    <row r="243" spans="2:15" x14ac:dyDescent="0.25">
      <c r="B243" s="1048"/>
      <c r="C243" s="3077" t="s">
        <v>600</v>
      </c>
      <c r="D243" s="1065"/>
      <c r="E243" s="1081"/>
      <c r="F243" s="1081">
        <f>1-F242</f>
        <v>0.17189231299301455</v>
      </c>
      <c r="G243" s="1081">
        <f t="shared" ref="G243:M243" si="16">1-G242</f>
        <v>0.18177913380488908</v>
      </c>
      <c r="H243" s="1081">
        <f t="shared" si="16"/>
        <v>0.19332671909115429</v>
      </c>
      <c r="I243" s="1081">
        <f t="shared" si="16"/>
        <v>0.20645038954928019</v>
      </c>
      <c r="J243" s="1081">
        <f t="shared" si="16"/>
        <v>0.22212669876844127</v>
      </c>
      <c r="K243" s="1081">
        <f t="shared" si="16"/>
        <v>0.24651291794308505</v>
      </c>
      <c r="L243" s="1081">
        <f t="shared" si="16"/>
        <v>0.27992429195692026</v>
      </c>
      <c r="M243" s="3068">
        <f t="shared" si="16"/>
        <v>0.32155447003175286</v>
      </c>
      <c r="N243" s="1049"/>
    </row>
    <row r="244" spans="2:15" s="1011" customFormat="1" ht="15" customHeight="1" x14ac:dyDescent="0.25">
      <c r="B244" s="1048"/>
      <c r="C244" s="1049"/>
      <c r="D244" s="1049"/>
      <c r="E244" s="1049"/>
      <c r="F244" s="1049"/>
      <c r="G244" s="1049"/>
      <c r="H244" s="1049"/>
      <c r="I244" s="1049"/>
      <c r="J244" s="1049"/>
      <c r="K244" s="1049"/>
      <c r="L244" s="1049"/>
      <c r="M244" s="1049"/>
      <c r="N244" s="1100"/>
    </row>
    <row r="245" spans="2:15" ht="15" customHeight="1" x14ac:dyDescent="0.25">
      <c r="B245" s="1048"/>
      <c r="C245" s="1050" t="s">
        <v>2140</v>
      </c>
      <c r="D245" s="1049"/>
      <c r="E245" s="1051"/>
      <c r="F245" s="1049"/>
      <c r="G245" s="1049"/>
      <c r="H245" s="1049"/>
      <c r="I245" s="1049"/>
      <c r="J245" s="1049"/>
      <c r="K245" s="1049"/>
      <c r="L245" s="1049"/>
      <c r="M245" s="2761" t="s">
        <v>190</v>
      </c>
      <c r="N245" s="1100"/>
    </row>
    <row r="246" spans="2:15" ht="4.5" customHeight="1" x14ac:dyDescent="0.25">
      <c r="B246" s="1048"/>
      <c r="C246" s="1049"/>
      <c r="D246" s="1049"/>
      <c r="E246" s="1049"/>
      <c r="F246" s="1049"/>
      <c r="G246" s="1049"/>
      <c r="H246" s="1049"/>
      <c r="I246" s="1049"/>
      <c r="J246" s="1049"/>
      <c r="K246" s="1049"/>
      <c r="L246" s="1049"/>
      <c r="M246" s="1049"/>
      <c r="N246" s="1100"/>
    </row>
    <row r="247" spans="2:15" ht="15" customHeight="1" x14ac:dyDescent="0.25">
      <c r="B247" s="1060"/>
      <c r="C247" s="3069"/>
      <c r="D247" s="3070"/>
      <c r="E247" s="3070" t="s">
        <v>8</v>
      </c>
      <c r="F247" s="3071">
        <v>2015</v>
      </c>
      <c r="G247" s="3072">
        <v>2020</v>
      </c>
      <c r="H247" s="3071">
        <v>2025</v>
      </c>
      <c r="I247" s="3071">
        <v>2030</v>
      </c>
      <c r="J247" s="3071">
        <v>2035</v>
      </c>
      <c r="K247" s="3071">
        <v>2040</v>
      </c>
      <c r="L247" s="3071">
        <v>2045</v>
      </c>
      <c r="M247" s="3073">
        <v>2050</v>
      </c>
      <c r="N247" s="1100"/>
    </row>
    <row r="248" spans="2:15" ht="15.75" x14ac:dyDescent="0.25">
      <c r="B248" s="1060"/>
      <c r="C248" s="3063" t="s">
        <v>602</v>
      </c>
      <c r="D248" s="1085"/>
      <c r="E248" s="1085"/>
      <c r="F248" s="1101">
        <f>(1/(1+F124))*(1-F249)</f>
        <v>0.63465687027246376</v>
      </c>
      <c r="G248" s="2823">
        <f>(1/(1+G124))*(1-G249)</f>
        <v>0.64236734788793681</v>
      </c>
      <c r="H248" s="1101">
        <f t="shared" ref="H248:M248" si="17">(1/(1+H124))*(1-H249)</f>
        <v>0.650343370761162</v>
      </c>
      <c r="I248" s="1101">
        <f t="shared" si="17"/>
        <v>0.6585988971322736</v>
      </c>
      <c r="J248" s="1101">
        <f t="shared" si="17"/>
        <v>0.6585988971322736</v>
      </c>
      <c r="K248" s="1101">
        <f t="shared" si="17"/>
        <v>0.67600936234333797</v>
      </c>
      <c r="L248" s="1101">
        <f t="shared" si="17"/>
        <v>0.68707614191747568</v>
      </c>
      <c r="M248" s="3093">
        <f t="shared" si="17"/>
        <v>0.69473202264922995</v>
      </c>
      <c r="N248" s="1049"/>
    </row>
    <row r="249" spans="2:15" ht="15.75" x14ac:dyDescent="0.25">
      <c r="B249" s="1060"/>
      <c r="C249" s="3065" t="s">
        <v>606</v>
      </c>
      <c r="D249" s="1077"/>
      <c r="E249" s="1077"/>
      <c r="F249" s="1063">
        <f t="shared" ref="F249:M249" si="18">F135</f>
        <v>3.8957532311519334E-2</v>
      </c>
      <c r="G249" s="2806">
        <f t="shared" si="18"/>
        <v>3.8957532311519334E-2</v>
      </c>
      <c r="H249" s="1063">
        <f t="shared" si="18"/>
        <v>3.8957532311519334E-2</v>
      </c>
      <c r="I249" s="1063">
        <f t="shared" si="18"/>
        <v>3.8957532311519334E-2</v>
      </c>
      <c r="J249" s="1063">
        <f t="shared" si="18"/>
        <v>3.8957532311519334E-2</v>
      </c>
      <c r="K249" s="1063">
        <f t="shared" si="18"/>
        <v>3.8957532311519334E-2</v>
      </c>
      <c r="L249" s="1063">
        <f t="shared" si="18"/>
        <v>3.8957532311519334E-2</v>
      </c>
      <c r="M249" s="3094">
        <f t="shared" si="18"/>
        <v>3.8957532311519334E-2</v>
      </c>
      <c r="N249" s="1049"/>
    </row>
    <row r="250" spans="2:15" ht="15.75" x14ac:dyDescent="0.25">
      <c r="B250" s="1060"/>
      <c r="C250" s="3065" t="s">
        <v>595</v>
      </c>
      <c r="D250" s="1077"/>
      <c r="E250" s="1077"/>
      <c r="F250" s="1063">
        <f t="shared" ref="F250:M250" si="19">(1-1/(1+F124))*(1-F249)*F156</f>
        <v>0.24268841126550209</v>
      </c>
      <c r="G250" s="2806">
        <f t="shared" si="19"/>
        <v>0.23354408516508118</v>
      </c>
      <c r="H250" s="1063">
        <f t="shared" si="19"/>
        <v>0.22384428021209796</v>
      </c>
      <c r="I250" s="1063">
        <f t="shared" si="19"/>
        <v>0.21448422923679217</v>
      </c>
      <c r="J250" s="1063">
        <f t="shared" si="19"/>
        <v>0.21177009591168741</v>
      </c>
      <c r="K250" s="1063">
        <f t="shared" si="19"/>
        <v>0.19721868070391496</v>
      </c>
      <c r="L250" s="1063">
        <f t="shared" si="19"/>
        <v>0.18748905596689577</v>
      </c>
      <c r="M250" s="3094">
        <f t="shared" si="19"/>
        <v>0.1804339104181053</v>
      </c>
      <c r="N250" s="1049"/>
    </row>
    <row r="251" spans="2:15" ht="15.75" x14ac:dyDescent="0.25">
      <c r="B251" s="1060"/>
      <c r="C251" s="3065" t="s">
        <v>607</v>
      </c>
      <c r="D251" s="1077"/>
      <c r="E251" s="1077"/>
      <c r="F251" s="1063">
        <f t="shared" ref="F251:M251" si="20">(1-1/(1+F124))*(1-F249)*F157</f>
        <v>5.9021323378235159E-2</v>
      </c>
      <c r="G251" s="2806">
        <f t="shared" si="20"/>
        <v>6.1589919313035445E-2</v>
      </c>
      <c r="H251" s="1063">
        <f t="shared" si="20"/>
        <v>6.4784527776297701E-2</v>
      </c>
      <c r="I251" s="1063">
        <f t="shared" si="20"/>
        <v>6.7494630143600937E-2</v>
      </c>
      <c r="J251" s="1063">
        <f t="shared" si="20"/>
        <v>7.115741968874012E-2</v>
      </c>
      <c r="K251" s="1063">
        <f t="shared" si="20"/>
        <v>7.0327838092037076E-2</v>
      </c>
      <c r="L251" s="1063">
        <f t="shared" si="20"/>
        <v>7.0511754756584069E-2</v>
      </c>
      <c r="M251" s="3094">
        <f t="shared" si="20"/>
        <v>7.1117180138479466E-2</v>
      </c>
      <c r="N251" s="1049"/>
    </row>
    <row r="252" spans="2:15" ht="13.5" customHeight="1" x14ac:dyDescent="0.25">
      <c r="B252" s="1102"/>
      <c r="C252" s="3067" t="s">
        <v>597</v>
      </c>
      <c r="D252" s="1079"/>
      <c r="E252" s="1079"/>
      <c r="F252" s="1067">
        <f t="shared" ref="F252:M252" si="21">(1-1/(1+F124))*(1-F249)*F158</f>
        <v>2.4675862772279747E-2</v>
      </c>
      <c r="G252" s="2807">
        <f t="shared" si="21"/>
        <v>2.3541115322427215E-2</v>
      </c>
      <c r="H252" s="1067">
        <f t="shared" si="21"/>
        <v>2.2070288938923072E-2</v>
      </c>
      <c r="I252" s="1067">
        <f t="shared" si="21"/>
        <v>2.0464711175814013E-2</v>
      </c>
      <c r="J252" s="1067">
        <f t="shared" si="21"/>
        <v>1.9516054955779606E-2</v>
      </c>
      <c r="K252" s="1067">
        <f t="shared" si="21"/>
        <v>1.7486586549190598E-2</v>
      </c>
      <c r="L252" s="1067">
        <f t="shared" si="21"/>
        <v>1.5965515047525098E-2</v>
      </c>
      <c r="M252" s="3095">
        <f t="shared" si="21"/>
        <v>1.4759354482665887E-2</v>
      </c>
      <c r="N252" s="1055"/>
      <c r="O252" s="1103"/>
    </row>
    <row r="253" spans="2:15" ht="13.5" customHeight="1" x14ac:dyDescent="0.25">
      <c r="B253" s="1102"/>
      <c r="C253" s="3096" t="s">
        <v>118</v>
      </c>
      <c r="D253" s="1088"/>
      <c r="E253" s="1088"/>
      <c r="F253" s="1107">
        <f>SUM(F248:F252)</f>
        <v>1.0000000000000002</v>
      </c>
      <c r="G253" s="1107">
        <f t="shared" ref="G253:M253" si="22">SUM(G248:G252)</f>
        <v>1</v>
      </c>
      <c r="H253" s="1107">
        <f t="shared" si="22"/>
        <v>1</v>
      </c>
      <c r="I253" s="1107">
        <f t="shared" si="22"/>
        <v>1</v>
      </c>
      <c r="J253" s="1107">
        <f t="shared" si="22"/>
        <v>1</v>
      </c>
      <c r="K253" s="1107">
        <f t="shared" si="22"/>
        <v>0.99999999999999989</v>
      </c>
      <c r="L253" s="1107">
        <f t="shared" si="22"/>
        <v>1</v>
      </c>
      <c r="M253" s="3097">
        <f t="shared" si="22"/>
        <v>0.99999999999999989</v>
      </c>
      <c r="N253" s="1055"/>
      <c r="O253" s="1103"/>
    </row>
    <row r="254" spans="2:15" ht="13.5" customHeight="1" x14ac:dyDescent="0.25">
      <c r="B254" s="1102"/>
      <c r="C254" s="1104"/>
      <c r="D254" s="1105"/>
      <c r="E254" s="1105"/>
      <c r="F254" s="1104"/>
      <c r="G254" s="1104"/>
      <c r="H254" s="1104"/>
      <c r="I254" s="1104"/>
      <c r="J254" s="1104"/>
      <c r="K254" s="1104"/>
      <c r="L254" s="1104"/>
      <c r="M254" s="1104"/>
      <c r="N254" s="1055"/>
      <c r="O254" s="1103"/>
    </row>
    <row r="255" spans="2:15" ht="13.5" customHeight="1" x14ac:dyDescent="0.25">
      <c r="B255" s="1102"/>
      <c r="C255" s="1050" t="s">
        <v>2141</v>
      </c>
      <c r="D255" s="1049"/>
      <c r="E255" s="1051"/>
      <c r="F255" s="1049"/>
      <c r="G255" s="1049"/>
      <c r="H255" s="1049"/>
      <c r="I255" s="1049"/>
      <c r="J255" s="1049"/>
      <c r="K255" s="1049"/>
      <c r="L255" s="1049"/>
      <c r="M255" s="1051" t="s">
        <v>581</v>
      </c>
      <c r="N255" s="1055"/>
      <c r="O255" s="1103"/>
    </row>
    <row r="256" spans="2:15" ht="5.25" customHeight="1" x14ac:dyDescent="0.25">
      <c r="B256" s="1102"/>
      <c r="C256" s="1049"/>
      <c r="D256" s="1049"/>
      <c r="E256" s="1049"/>
      <c r="F256" s="1049"/>
      <c r="G256" s="1049"/>
      <c r="H256" s="1049"/>
      <c r="I256" s="1049"/>
      <c r="J256" s="1049"/>
      <c r="K256" s="1049"/>
      <c r="L256" s="1049"/>
      <c r="M256" s="1049"/>
      <c r="N256" s="1055"/>
      <c r="O256" s="1103"/>
    </row>
    <row r="257" spans="2:15" ht="13.5" customHeight="1" x14ac:dyDescent="0.25">
      <c r="B257" s="1102"/>
      <c r="C257" s="3069" t="s">
        <v>604</v>
      </c>
      <c r="D257" s="3070" t="s">
        <v>483</v>
      </c>
      <c r="E257" s="3070" t="s">
        <v>8</v>
      </c>
      <c r="F257" s="3071">
        <v>2015</v>
      </c>
      <c r="G257" s="3072">
        <v>2020</v>
      </c>
      <c r="H257" s="3071">
        <v>2025</v>
      </c>
      <c r="I257" s="3071">
        <v>2030</v>
      </c>
      <c r="J257" s="3071">
        <v>2035</v>
      </c>
      <c r="K257" s="3071">
        <v>2040</v>
      </c>
      <c r="L257" s="3071">
        <v>2045</v>
      </c>
      <c r="M257" s="3073">
        <v>2050</v>
      </c>
      <c r="N257" s="1055"/>
      <c r="O257" s="1103"/>
    </row>
    <row r="258" spans="2:15" ht="13.5" customHeight="1" x14ac:dyDescent="0.25">
      <c r="B258" s="1102"/>
      <c r="C258" s="3063" t="s">
        <v>602</v>
      </c>
      <c r="D258" s="1055"/>
      <c r="E258" s="1087"/>
      <c r="F258" s="1089">
        <f t="shared" ref="F258:M258" si="23">F34</f>
        <v>1.7493280254124954</v>
      </c>
      <c r="G258" s="2821">
        <f t="shared" si="23"/>
        <v>1.7430917888324162</v>
      </c>
      <c r="H258" s="1089">
        <f t="shared" si="23"/>
        <v>1.7382253066216153</v>
      </c>
      <c r="I258" s="1089">
        <f t="shared" si="23"/>
        <v>1.7338158102449852</v>
      </c>
      <c r="J258" s="1089">
        <f t="shared" si="23"/>
        <v>1.7295059193021312</v>
      </c>
      <c r="K258" s="1089">
        <f t="shared" si="23"/>
        <v>1.7258715130865008</v>
      </c>
      <c r="L258" s="1089">
        <f t="shared" si="23"/>
        <v>1.722335152550531</v>
      </c>
      <c r="M258" s="3079">
        <f t="shared" si="23"/>
        <v>1.7190441154680238</v>
      </c>
      <c r="N258" s="1055"/>
      <c r="O258" s="1103"/>
    </row>
    <row r="259" spans="2:15" ht="13.5" customHeight="1" x14ac:dyDescent="0.25">
      <c r="B259" s="1102"/>
      <c r="C259" s="3065" t="s">
        <v>606</v>
      </c>
      <c r="D259" s="1055"/>
      <c r="E259" s="1087"/>
      <c r="F259" s="1089">
        <v>1</v>
      </c>
      <c r="G259" s="2821">
        <v>1</v>
      </c>
      <c r="H259" s="1089">
        <v>1</v>
      </c>
      <c r="I259" s="1089">
        <v>1</v>
      </c>
      <c r="J259" s="1089">
        <v>1</v>
      </c>
      <c r="K259" s="1089">
        <v>1</v>
      </c>
      <c r="L259" s="1089">
        <v>1</v>
      </c>
      <c r="M259" s="3079">
        <v>1</v>
      </c>
      <c r="N259" s="1055"/>
      <c r="O259" s="1103"/>
    </row>
    <row r="260" spans="2:15" ht="13.5" customHeight="1" x14ac:dyDescent="0.25">
      <c r="B260" s="1102"/>
      <c r="C260" s="3065" t="s">
        <v>595</v>
      </c>
      <c r="D260" s="1055"/>
      <c r="E260" s="1087"/>
      <c r="F260" s="1089">
        <v>9.0545454545454547</v>
      </c>
      <c r="G260" s="2821">
        <v>9.0545454545454547</v>
      </c>
      <c r="H260" s="1089">
        <v>9.0545454545454547</v>
      </c>
      <c r="I260" s="1089">
        <v>9.0545454545454547</v>
      </c>
      <c r="J260" s="1089">
        <v>9.0545454545454547</v>
      </c>
      <c r="K260" s="1089">
        <v>9.0545454545454547</v>
      </c>
      <c r="L260" s="1089">
        <v>9.0545454545454547</v>
      </c>
      <c r="M260" s="3079">
        <v>9.0545454545454547</v>
      </c>
      <c r="N260" s="1055"/>
      <c r="O260" s="1103"/>
    </row>
    <row r="261" spans="2:15" ht="13.5" customHeight="1" x14ac:dyDescent="0.25">
      <c r="B261" s="1102"/>
      <c r="C261" s="3065" t="s">
        <v>607</v>
      </c>
      <c r="D261" s="1055"/>
      <c r="E261" s="1087"/>
      <c r="F261" s="1089">
        <v>105.8</v>
      </c>
      <c r="G261" s="2821">
        <v>105.8</v>
      </c>
      <c r="H261" s="1089">
        <v>105.8</v>
      </c>
      <c r="I261" s="1089">
        <v>105.8</v>
      </c>
      <c r="J261" s="1089">
        <v>105.8</v>
      </c>
      <c r="K261" s="1089">
        <v>105.8</v>
      </c>
      <c r="L261" s="1089">
        <v>105.8</v>
      </c>
      <c r="M261" s="3079">
        <v>105.8</v>
      </c>
      <c r="N261" s="1055"/>
      <c r="O261" s="1103"/>
    </row>
    <row r="262" spans="2:15" ht="13.5" customHeight="1" x14ac:dyDescent="0.25">
      <c r="B262" s="1102"/>
      <c r="C262" s="3067" t="s">
        <v>597</v>
      </c>
      <c r="D262" s="1065"/>
      <c r="E262" s="1081"/>
      <c r="F262" s="1091">
        <v>1.4535833325868115</v>
      </c>
      <c r="G262" s="2822">
        <v>1.4535833325868115</v>
      </c>
      <c r="H262" s="1091">
        <v>1.4535833325868115</v>
      </c>
      <c r="I262" s="1091">
        <v>1.4535833325868115</v>
      </c>
      <c r="J262" s="1091">
        <v>1.4535833325868115</v>
      </c>
      <c r="K262" s="1091">
        <v>1.4535833325868115</v>
      </c>
      <c r="L262" s="1091">
        <v>1.4535833325868115</v>
      </c>
      <c r="M262" s="3080">
        <v>1.4535833325868115</v>
      </c>
      <c r="N262" s="1055"/>
      <c r="O262" s="1103"/>
    </row>
    <row r="263" spans="2:15" ht="13.5" customHeight="1" x14ac:dyDescent="0.25">
      <c r="B263" s="1102"/>
      <c r="C263" s="1104"/>
      <c r="D263" s="1105"/>
      <c r="E263" s="1105"/>
      <c r="F263" s="1104"/>
      <c r="G263" s="1104"/>
      <c r="H263" s="1104"/>
      <c r="I263" s="1104"/>
      <c r="J263" s="1104"/>
      <c r="K263" s="1104"/>
      <c r="L263" s="1104"/>
      <c r="M263" s="1104"/>
      <c r="N263" s="1055"/>
      <c r="O263" s="1103"/>
    </row>
    <row r="264" spans="2:15" ht="13.5" customHeight="1" x14ac:dyDescent="0.25">
      <c r="B264" s="1102"/>
      <c r="C264" s="1050" t="s">
        <v>2154</v>
      </c>
      <c r="D264" s="1105"/>
      <c r="E264" s="1105"/>
      <c r="F264" s="1104"/>
      <c r="G264" s="1104"/>
      <c r="H264" s="1104"/>
      <c r="I264" s="1104"/>
      <c r="J264" s="1104"/>
      <c r="K264" s="1104"/>
      <c r="L264" s="1104"/>
      <c r="M264" s="1049" t="s">
        <v>608</v>
      </c>
      <c r="N264" s="1055"/>
      <c r="O264" s="1103"/>
    </row>
    <row r="265" spans="2:15" ht="5.25" customHeight="1" x14ac:dyDescent="0.25">
      <c r="B265" s="1102"/>
      <c r="C265" s="1104"/>
      <c r="D265" s="1105"/>
      <c r="E265" s="1105"/>
      <c r="F265" s="1104"/>
      <c r="G265" s="1104"/>
      <c r="H265" s="1104"/>
      <c r="I265" s="1104"/>
      <c r="J265" s="1104"/>
      <c r="K265" s="1104"/>
      <c r="L265" s="1104"/>
      <c r="M265" s="1049"/>
      <c r="N265" s="1055"/>
      <c r="O265" s="1103"/>
    </row>
    <row r="266" spans="2:15" ht="13.5" customHeight="1" x14ac:dyDescent="0.25">
      <c r="B266" s="1102"/>
      <c r="C266" s="3072" t="s">
        <v>615</v>
      </c>
      <c r="D266" s="3071"/>
      <c r="E266" s="3071"/>
      <c r="F266" s="3071">
        <v>2015</v>
      </c>
      <c r="G266" s="3072">
        <v>2020</v>
      </c>
      <c r="H266" s="3071">
        <v>2025</v>
      </c>
      <c r="I266" s="3071">
        <v>2030</v>
      </c>
      <c r="J266" s="3071">
        <v>2035</v>
      </c>
      <c r="K266" s="3071">
        <v>2040</v>
      </c>
      <c r="L266" s="3071">
        <v>2045</v>
      </c>
      <c r="M266" s="3073">
        <v>2050</v>
      </c>
      <c r="N266" s="1055"/>
      <c r="O266" s="1103"/>
    </row>
    <row r="267" spans="2:15" ht="13.5" customHeight="1" x14ac:dyDescent="0.25">
      <c r="B267" s="1102"/>
      <c r="C267" s="3098" t="s">
        <v>590</v>
      </c>
      <c r="D267" s="1105"/>
      <c r="E267" s="1105"/>
      <c r="F267" s="1106">
        <f t="shared" ref="F267:M267" si="24">F191</f>
        <v>0.8666666666666667</v>
      </c>
      <c r="G267" s="2824">
        <f t="shared" si="24"/>
        <v>0.79972222222222222</v>
      </c>
      <c r="H267" s="1106">
        <f t="shared" si="24"/>
        <v>0.73277777777777775</v>
      </c>
      <c r="I267" s="1106">
        <f t="shared" si="24"/>
        <v>0.66583333333333339</v>
      </c>
      <c r="J267" s="1106">
        <f t="shared" si="24"/>
        <v>0.66097222222222229</v>
      </c>
      <c r="K267" s="1106">
        <f t="shared" si="24"/>
        <v>0.65611111111111109</v>
      </c>
      <c r="L267" s="1106">
        <f t="shared" si="24"/>
        <v>0.65111111111111108</v>
      </c>
      <c r="M267" s="3099">
        <f t="shared" si="24"/>
        <v>0.64611111111111108</v>
      </c>
      <c r="N267" s="1055"/>
      <c r="O267" s="1103"/>
    </row>
    <row r="268" spans="2:15" ht="13.5" customHeight="1" x14ac:dyDescent="0.25">
      <c r="B268" s="1102"/>
      <c r="C268" s="3098" t="s">
        <v>591</v>
      </c>
      <c r="D268" s="1105"/>
      <c r="E268" s="1105"/>
      <c r="F268" s="1106">
        <f t="shared" ref="F268:M268" si="25">F185</f>
        <v>2.5490277777777779</v>
      </c>
      <c r="G268" s="2824">
        <f t="shared" si="25"/>
        <v>2.3522222222222222</v>
      </c>
      <c r="H268" s="1106">
        <f t="shared" si="25"/>
        <v>2.1554166666666665</v>
      </c>
      <c r="I268" s="1106">
        <f t="shared" si="25"/>
        <v>1.9586111111111111</v>
      </c>
      <c r="J268" s="1106">
        <f t="shared" si="25"/>
        <v>1.9440277777777779</v>
      </c>
      <c r="K268" s="1106">
        <f t="shared" si="25"/>
        <v>1.9294444444444445</v>
      </c>
      <c r="L268" s="1106">
        <f t="shared" si="25"/>
        <v>1.9148611111111111</v>
      </c>
      <c r="M268" s="3099">
        <f t="shared" si="25"/>
        <v>1.9002777777777777</v>
      </c>
      <c r="N268" s="1055"/>
      <c r="O268" s="1103"/>
    </row>
    <row r="269" spans="2:15" ht="13.5" customHeight="1" x14ac:dyDescent="0.25">
      <c r="B269" s="1102"/>
      <c r="C269" s="3098" t="s">
        <v>616</v>
      </c>
      <c r="D269" s="1105"/>
      <c r="E269" s="1105"/>
      <c r="F269" s="1106">
        <f t="shared" ref="F269:M269" si="26">F197</f>
        <v>6.4</v>
      </c>
      <c r="G269" s="2824">
        <f t="shared" si="26"/>
        <v>5.96</v>
      </c>
      <c r="H269" s="1106">
        <f t="shared" si="26"/>
        <v>5.55</v>
      </c>
      <c r="I269" s="1106">
        <f t="shared" si="26"/>
        <v>5.17</v>
      </c>
      <c r="J269" s="1106">
        <f t="shared" si="26"/>
        <v>4.82</v>
      </c>
      <c r="K269" s="1106">
        <f t="shared" si="26"/>
        <v>4.49</v>
      </c>
      <c r="L269" s="1106">
        <f t="shared" si="26"/>
        <v>4.18</v>
      </c>
      <c r="M269" s="3099">
        <f t="shared" si="26"/>
        <v>3.89</v>
      </c>
      <c r="N269" s="1055"/>
      <c r="O269" s="1103"/>
    </row>
    <row r="270" spans="2:15" ht="13.5" customHeight="1" x14ac:dyDescent="0.25">
      <c r="B270" s="1102"/>
      <c r="C270" s="3098" t="s">
        <v>593</v>
      </c>
      <c r="D270" s="1105"/>
      <c r="E270" s="1105"/>
      <c r="F270" s="1106">
        <f t="shared" ref="F270:M270" si="27">F184</f>
        <v>3.6413888888888888</v>
      </c>
      <c r="G270" s="2824">
        <f t="shared" si="27"/>
        <v>3.3602777777777777</v>
      </c>
      <c r="H270" s="1106">
        <f t="shared" si="27"/>
        <v>3.0791666666666666</v>
      </c>
      <c r="I270" s="1106">
        <f t="shared" si="27"/>
        <v>2.7980555555555555</v>
      </c>
      <c r="J270" s="1106">
        <f t="shared" si="27"/>
        <v>2.777222222222222</v>
      </c>
      <c r="K270" s="1106">
        <f t="shared" si="27"/>
        <v>2.756388888888889</v>
      </c>
      <c r="L270" s="1106">
        <f t="shared" si="27"/>
        <v>2.7355555555555555</v>
      </c>
      <c r="M270" s="3099">
        <f t="shared" si="27"/>
        <v>2.714722222222222</v>
      </c>
      <c r="N270" s="1055"/>
      <c r="O270" s="1103"/>
    </row>
    <row r="271" spans="2:15" ht="13.5" customHeight="1" x14ac:dyDescent="0.25">
      <c r="B271" s="1102"/>
      <c r="C271" s="3096" t="s">
        <v>607</v>
      </c>
      <c r="D271" s="1088"/>
      <c r="E271" s="1088"/>
      <c r="F271" s="1108">
        <f t="shared" ref="F271:M271" si="28">F192*105.8</f>
        <v>3.2441714688857588</v>
      </c>
      <c r="G271" s="2832">
        <f t="shared" si="28"/>
        <v>3.1177751778902181</v>
      </c>
      <c r="H271" s="1108">
        <f t="shared" si="28"/>
        <v>2.9913788868946667</v>
      </c>
      <c r="I271" s="1108">
        <f t="shared" si="28"/>
        <v>2.8649825958991153</v>
      </c>
      <c r="J271" s="1108">
        <f t="shared" si="28"/>
        <v>2.7385863049035635</v>
      </c>
      <c r="K271" s="1108">
        <f t="shared" si="28"/>
        <v>2.6121900139080125</v>
      </c>
      <c r="L271" s="1108">
        <f t="shared" si="28"/>
        <v>2.4857937229124718</v>
      </c>
      <c r="M271" s="3100">
        <f t="shared" si="28"/>
        <v>2.35939743191692</v>
      </c>
      <c r="N271" s="1055"/>
      <c r="O271" s="1103"/>
    </row>
    <row r="272" spans="2:15" ht="13.5" customHeight="1" x14ac:dyDescent="0.25">
      <c r="B272" s="1102"/>
      <c r="C272" s="1104"/>
      <c r="D272" s="1105"/>
      <c r="E272" s="1105"/>
      <c r="F272" s="1106"/>
      <c r="G272" s="1106"/>
      <c r="H272" s="1106"/>
      <c r="I272" s="1106"/>
      <c r="J272" s="1106"/>
      <c r="K272" s="1106"/>
      <c r="L272" s="1106"/>
      <c r="M272" s="1106"/>
      <c r="N272" s="1055"/>
      <c r="O272" s="1103"/>
    </row>
    <row r="273" spans="2:15" ht="13.5" customHeight="1" x14ac:dyDescent="0.25">
      <c r="B273" s="3045"/>
      <c r="C273" s="3072" t="s">
        <v>2203</v>
      </c>
      <c r="D273" s="3071"/>
      <c r="E273" s="3071"/>
      <c r="F273" s="3071">
        <v>2015</v>
      </c>
      <c r="G273" s="3072">
        <v>2020</v>
      </c>
      <c r="H273" s="3071">
        <v>2025</v>
      </c>
      <c r="I273" s="3071">
        <v>2030</v>
      </c>
      <c r="J273" s="3071">
        <v>2035</v>
      </c>
      <c r="K273" s="3071">
        <v>2040</v>
      </c>
      <c r="L273" s="3071">
        <v>2045</v>
      </c>
      <c r="M273" s="3073">
        <v>2050</v>
      </c>
      <c r="N273" s="1055"/>
      <c r="O273" s="1103"/>
    </row>
    <row r="274" spans="2:15" ht="13.5" customHeight="1" x14ac:dyDescent="0.25">
      <c r="B274" s="3045"/>
      <c r="C274" s="3320" t="s">
        <v>582</v>
      </c>
      <c r="D274" s="3321"/>
      <c r="E274" s="3322"/>
      <c r="F274" s="3355">
        <v>0.91778998677762402</v>
      </c>
      <c r="G274" s="3323">
        <f t="shared" ref="G274:M281" si="29">F314/F$322</f>
        <v>0.91755969073699095</v>
      </c>
      <c r="H274" s="3323">
        <f t="shared" si="29"/>
        <v>0.917389988202295</v>
      </c>
      <c r="I274" s="3323">
        <f t="shared" si="29"/>
        <v>0.91724147859923799</v>
      </c>
      <c r="J274" s="3323">
        <f t="shared" si="29"/>
        <v>0.91710969600704795</v>
      </c>
      <c r="K274" s="3323">
        <f t="shared" si="29"/>
        <v>0.91700385519129524</v>
      </c>
      <c r="L274" s="3323">
        <f t="shared" si="29"/>
        <v>0.91687577855895441</v>
      </c>
      <c r="M274" s="3324">
        <f t="shared" si="29"/>
        <v>0.91674128663652366</v>
      </c>
      <c r="N274" s="1055"/>
      <c r="O274" s="3139"/>
    </row>
    <row r="275" spans="2:15" ht="13.5" customHeight="1" x14ac:dyDescent="0.25">
      <c r="B275" s="3045"/>
      <c r="C275" s="3325" t="s">
        <v>334</v>
      </c>
      <c r="D275" s="1105"/>
      <c r="E275" s="1049"/>
      <c r="F275" s="3356">
        <v>8.1332885314435083E-2</v>
      </c>
      <c r="G275" s="3312">
        <f t="shared" si="29"/>
        <v>8.1312476896680447E-2</v>
      </c>
      <c r="H275" s="3312">
        <f t="shared" si="29"/>
        <v>8.1297438165608152E-2</v>
      </c>
      <c r="I275" s="3312">
        <f t="shared" si="29"/>
        <v>8.1284277513729686E-2</v>
      </c>
      <c r="J275" s="3312">
        <f t="shared" si="29"/>
        <v>8.1272599179239832E-2</v>
      </c>
      <c r="K275" s="3312">
        <f t="shared" si="29"/>
        <v>8.1263219757963481E-2</v>
      </c>
      <c r="L275" s="3312">
        <f t="shared" si="29"/>
        <v>8.1251869838919147E-2</v>
      </c>
      <c r="M275" s="3326">
        <f t="shared" si="29"/>
        <v>8.1239951408493466E-2</v>
      </c>
      <c r="N275" s="1055"/>
      <c r="O275" s="3139"/>
    </row>
    <row r="276" spans="2:15" ht="13.5" customHeight="1" x14ac:dyDescent="0.25">
      <c r="B276" s="3045"/>
      <c r="C276" s="3325" t="s">
        <v>583</v>
      </c>
      <c r="D276" s="1105"/>
      <c r="E276" s="1049"/>
      <c r="F276" s="3356">
        <v>4.2547249265787211E-4</v>
      </c>
      <c r="G276" s="3312">
        <f t="shared" si="29"/>
        <v>6.9815560758884198E-4</v>
      </c>
      <c r="H276" s="3312">
        <f t="shared" si="29"/>
        <v>9.2711125772448172E-4</v>
      </c>
      <c r="I276" s="3312">
        <f t="shared" si="29"/>
        <v>1.1273798157630443E-3</v>
      </c>
      <c r="J276" s="3312">
        <f t="shared" si="29"/>
        <v>1.3045636602465596E-3</v>
      </c>
      <c r="K276" s="3312">
        <f t="shared" si="29"/>
        <v>1.4423231151618732E-3</v>
      </c>
      <c r="L276" s="3312">
        <f t="shared" si="29"/>
        <v>1.5965286175391915E-3</v>
      </c>
      <c r="M276" s="3326">
        <f t="shared" si="29"/>
        <v>1.7547263623510086E-3</v>
      </c>
      <c r="N276" s="1055"/>
      <c r="O276" s="3139"/>
    </row>
    <row r="277" spans="2:15" ht="13.5" customHeight="1" x14ac:dyDescent="0.25">
      <c r="B277" s="3045"/>
      <c r="C277" s="3325" t="s">
        <v>584</v>
      </c>
      <c r="D277" s="1105"/>
      <c r="E277" s="1049"/>
      <c r="F277" s="3356">
        <v>4.2547249265787211E-4</v>
      </c>
      <c r="G277" s="3312">
        <f t="shared" si="29"/>
        <v>3.960101209387354E-4</v>
      </c>
      <c r="H277" s="3312">
        <f t="shared" si="29"/>
        <v>3.4628107192166268E-4</v>
      </c>
      <c r="I277" s="3312">
        <f t="shared" si="29"/>
        <v>3.0285679105930248E-4</v>
      </c>
      <c r="J277" s="3312">
        <f t="shared" si="29"/>
        <v>2.6485145753397856E-4</v>
      </c>
      <c r="K277" s="3312">
        <f t="shared" si="29"/>
        <v>2.3887282958720647E-4</v>
      </c>
      <c r="L277" s="3312">
        <f t="shared" si="29"/>
        <v>2.1993189198648341E-4</v>
      </c>
      <c r="M277" s="3326">
        <f t="shared" si="29"/>
        <v>2.0377404173681685E-4</v>
      </c>
      <c r="N277" s="1055"/>
      <c r="O277" s="3139"/>
    </row>
    <row r="278" spans="2:15" ht="13.5" customHeight="1" x14ac:dyDescent="0.25">
      <c r="B278" s="3045"/>
      <c r="C278" s="3325" t="s">
        <v>585</v>
      </c>
      <c r="D278" s="1105"/>
      <c r="E278" s="1049"/>
      <c r="F278" s="3356">
        <v>0</v>
      </c>
      <c r="G278" s="3312">
        <f t="shared" si="29"/>
        <v>0</v>
      </c>
      <c r="H278" s="3312">
        <f t="shared" si="29"/>
        <v>0</v>
      </c>
      <c r="I278" s="3312">
        <f t="shared" si="29"/>
        <v>0</v>
      </c>
      <c r="J278" s="3312">
        <f t="shared" si="29"/>
        <v>0</v>
      </c>
      <c r="K278" s="3312">
        <f t="shared" si="29"/>
        <v>0</v>
      </c>
      <c r="L278" s="3312">
        <f t="shared" si="29"/>
        <v>0</v>
      </c>
      <c r="M278" s="3326">
        <f t="shared" si="29"/>
        <v>0</v>
      </c>
      <c r="N278" s="1055"/>
      <c r="O278" s="3139"/>
    </row>
    <row r="279" spans="2:15" ht="13.5" customHeight="1" x14ac:dyDescent="0.25">
      <c r="B279" s="3045"/>
      <c r="C279" s="3325" t="s">
        <v>586</v>
      </c>
      <c r="D279" s="1105"/>
      <c r="E279" s="1049"/>
      <c r="F279" s="3356">
        <v>0</v>
      </c>
      <c r="G279" s="3312">
        <f t="shared" si="29"/>
        <v>0</v>
      </c>
      <c r="H279" s="3312">
        <f t="shared" si="29"/>
        <v>0</v>
      </c>
      <c r="I279" s="3312">
        <f t="shared" si="29"/>
        <v>0</v>
      </c>
      <c r="J279" s="3312">
        <f t="shared" si="29"/>
        <v>0</v>
      </c>
      <c r="K279" s="3312">
        <f t="shared" si="29"/>
        <v>0</v>
      </c>
      <c r="L279" s="3312">
        <f t="shared" si="29"/>
        <v>0</v>
      </c>
      <c r="M279" s="3326">
        <f t="shared" si="29"/>
        <v>0</v>
      </c>
      <c r="N279" s="1055"/>
      <c r="O279" s="3139"/>
    </row>
    <row r="280" spans="2:15" ht="13.5" customHeight="1" x14ac:dyDescent="0.25">
      <c r="B280" s="3045"/>
      <c r="C280" s="3325" t="s">
        <v>587</v>
      </c>
      <c r="D280" s="1105"/>
      <c r="E280" s="1049"/>
      <c r="F280" s="3356">
        <v>2.6182922625099822E-5</v>
      </c>
      <c r="G280" s="3312">
        <f t="shared" si="29"/>
        <v>3.3666637800848525E-5</v>
      </c>
      <c r="H280" s="3312">
        <f t="shared" si="29"/>
        <v>3.9181302450650587E-5</v>
      </c>
      <c r="I280" s="3312">
        <f t="shared" si="29"/>
        <v>4.4007280209918346E-5</v>
      </c>
      <c r="J280" s="3312">
        <f t="shared" si="29"/>
        <v>4.8289695931708858E-5</v>
      </c>
      <c r="K280" s="3312">
        <f t="shared" si="29"/>
        <v>5.1729105992279358E-5</v>
      </c>
      <c r="L280" s="3312">
        <f t="shared" si="29"/>
        <v>5.5891092600789975E-5</v>
      </c>
      <c r="M280" s="3326">
        <f t="shared" si="29"/>
        <v>6.0261550895009987E-5</v>
      </c>
      <c r="N280" s="1055"/>
      <c r="O280" s="3139"/>
    </row>
    <row r="281" spans="2:15" ht="13.5" customHeight="1" x14ac:dyDescent="0.25">
      <c r="B281" s="3045"/>
      <c r="C281" s="3327" t="s">
        <v>588</v>
      </c>
      <c r="D281" s="1088"/>
      <c r="E281" s="1080"/>
      <c r="F281" s="3357">
        <v>0</v>
      </c>
      <c r="G281" s="3328">
        <f t="shared" si="29"/>
        <v>0</v>
      </c>
      <c r="H281" s="3328">
        <f t="shared" si="29"/>
        <v>0</v>
      </c>
      <c r="I281" s="3328">
        <f t="shared" si="29"/>
        <v>0</v>
      </c>
      <c r="J281" s="3328">
        <f t="shared" si="29"/>
        <v>0</v>
      </c>
      <c r="K281" s="3328">
        <f t="shared" si="29"/>
        <v>0</v>
      </c>
      <c r="L281" s="3328">
        <f t="shared" si="29"/>
        <v>0</v>
      </c>
      <c r="M281" s="3329">
        <f t="shared" si="29"/>
        <v>0</v>
      </c>
      <c r="N281" s="1055"/>
      <c r="O281" s="3139"/>
    </row>
    <row r="282" spans="2:15" ht="13.5" customHeight="1" x14ac:dyDescent="0.25">
      <c r="B282" s="3045"/>
      <c r="C282" s="375"/>
      <c r="D282" s="1105"/>
      <c r="E282" s="1049"/>
      <c r="F282" s="375"/>
      <c r="G282" s="375"/>
      <c r="H282" s="375"/>
      <c r="I282" s="375"/>
      <c r="J282" s="375"/>
      <c r="K282" s="375"/>
      <c r="L282" s="375"/>
      <c r="M282" s="375"/>
      <c r="N282" s="1055"/>
      <c r="O282" s="1103"/>
    </row>
    <row r="283" spans="2:15" ht="13.5" customHeight="1" x14ac:dyDescent="0.25">
      <c r="B283" s="3045"/>
      <c r="C283" s="3317" t="s">
        <v>2204</v>
      </c>
      <c r="D283" s="3318"/>
      <c r="E283" s="3318"/>
      <c r="F283" s="3318">
        <v>2015</v>
      </c>
      <c r="G283" s="3317">
        <v>2020</v>
      </c>
      <c r="H283" s="3318">
        <v>2025</v>
      </c>
      <c r="I283" s="3318">
        <v>2030</v>
      </c>
      <c r="J283" s="3318">
        <v>2035</v>
      </c>
      <c r="K283" s="3318">
        <v>2040</v>
      </c>
      <c r="L283" s="3318">
        <v>2045</v>
      </c>
      <c r="M283" s="3319">
        <v>2050</v>
      </c>
      <c r="N283" s="1055"/>
      <c r="O283" s="1103"/>
    </row>
    <row r="284" spans="2:15" ht="13.5" customHeight="1" x14ac:dyDescent="0.25">
      <c r="B284" s="3045"/>
      <c r="C284" s="3320" t="s">
        <v>582</v>
      </c>
      <c r="D284" s="3321"/>
      <c r="E284" s="3322"/>
      <c r="F284" s="3335">
        <f t="shared" ref="F284:M284" si="30">F$217*F274</f>
        <v>2772024.0418141275</v>
      </c>
      <c r="G284" s="3335">
        <f t="shared" si="30"/>
        <v>2977509.84382451</v>
      </c>
      <c r="H284" s="3335">
        <f t="shared" si="30"/>
        <v>3404477.027820752</v>
      </c>
      <c r="I284" s="3335">
        <f t="shared" si="30"/>
        <v>3891988.3747032732</v>
      </c>
      <c r="J284" s="3335">
        <f t="shared" si="30"/>
        <v>4449836.794375631</v>
      </c>
      <c r="K284" s="3335">
        <f t="shared" si="30"/>
        <v>4933209.6516182702</v>
      </c>
      <c r="L284" s="3335">
        <f t="shared" si="30"/>
        <v>5357318.354163087</v>
      </c>
      <c r="M284" s="3336">
        <f t="shared" si="30"/>
        <v>5781267.9214385767</v>
      </c>
      <c r="N284" s="1055"/>
      <c r="O284" s="1103"/>
    </row>
    <row r="285" spans="2:15" ht="13.5" customHeight="1" x14ac:dyDescent="0.25">
      <c r="B285" s="3045"/>
      <c r="C285" s="3325" t="s">
        <v>334</v>
      </c>
      <c r="D285" s="1105"/>
      <c r="E285" s="1049"/>
      <c r="F285" s="3313">
        <f t="shared" ref="F285:G291" si="31">F$217*F275</f>
        <v>245651.74683732114</v>
      </c>
      <c r="G285" s="3313">
        <f t="shared" si="31"/>
        <v>263861.5262088895</v>
      </c>
      <c r="H285" s="3313">
        <f t="shared" ref="H285:M285" si="32">H$217*H275</f>
        <v>301698.58426061098</v>
      </c>
      <c r="I285" s="3313">
        <f t="shared" si="32"/>
        <v>344900.9563029299</v>
      </c>
      <c r="J285" s="3313">
        <f t="shared" si="32"/>
        <v>394336.47226377687</v>
      </c>
      <c r="K285" s="3313">
        <f t="shared" si="32"/>
        <v>437172.09885440778</v>
      </c>
      <c r="L285" s="3313">
        <f t="shared" si="32"/>
        <v>474755.8434603393</v>
      </c>
      <c r="M285" s="3337">
        <f t="shared" si="32"/>
        <v>512325.48578710429</v>
      </c>
      <c r="N285" s="1055"/>
      <c r="O285" s="1103"/>
    </row>
    <row r="286" spans="2:15" ht="13.5" customHeight="1" x14ac:dyDescent="0.25">
      <c r="B286" s="3045"/>
      <c r="C286" s="3325" t="s">
        <v>583</v>
      </c>
      <c r="D286" s="1105"/>
      <c r="E286" s="1049"/>
      <c r="F286" s="3313">
        <f t="shared" si="31"/>
        <v>1285.0652063868877</v>
      </c>
      <c r="G286" s="3313">
        <f t="shared" si="31"/>
        <v>2265.5367439336601</v>
      </c>
      <c r="H286" s="3313">
        <f t="shared" ref="H286:M286" si="33">H$217*H276</f>
        <v>3440.5531123596656</v>
      </c>
      <c r="I286" s="3313">
        <f t="shared" si="33"/>
        <v>4783.6357591739325</v>
      </c>
      <c r="J286" s="3313">
        <f t="shared" si="33"/>
        <v>6329.7721104083485</v>
      </c>
      <c r="K286" s="3313">
        <f t="shared" si="33"/>
        <v>7759.2719727272806</v>
      </c>
      <c r="L286" s="3313">
        <f t="shared" si="33"/>
        <v>9328.5396622999251</v>
      </c>
      <c r="M286" s="3337">
        <f t="shared" si="33"/>
        <v>11065.873630260829</v>
      </c>
      <c r="N286" s="1055"/>
      <c r="O286" s="1103"/>
    </row>
    <row r="287" spans="2:15" ht="13.5" customHeight="1" x14ac:dyDescent="0.25">
      <c r="B287" s="3045"/>
      <c r="C287" s="3325" t="s">
        <v>584</v>
      </c>
      <c r="D287" s="1105"/>
      <c r="E287" s="1049"/>
      <c r="F287" s="3313">
        <f t="shared" si="31"/>
        <v>1285.0652063868877</v>
      </c>
      <c r="G287" s="3313">
        <f t="shared" si="31"/>
        <v>1285.065206386887</v>
      </c>
      <c r="H287" s="3313">
        <f t="shared" ref="H287:M287" si="34">H$217*H277</f>
        <v>1285.0652063868872</v>
      </c>
      <c r="I287" s="3313">
        <f t="shared" si="34"/>
        <v>1285.0652063868872</v>
      </c>
      <c r="J287" s="3313">
        <f t="shared" si="34"/>
        <v>1285.0652063868874</v>
      </c>
      <c r="K287" s="3313">
        <f t="shared" si="34"/>
        <v>1285.0652063868874</v>
      </c>
      <c r="L287" s="3313">
        <f t="shared" si="34"/>
        <v>1285.0652063868877</v>
      </c>
      <c r="M287" s="3337">
        <f t="shared" si="34"/>
        <v>1285.0652063868874</v>
      </c>
      <c r="N287" s="1055"/>
      <c r="O287" s="1103"/>
    </row>
    <row r="288" spans="2:15" ht="13.5" customHeight="1" x14ac:dyDescent="0.25">
      <c r="B288" s="3045"/>
      <c r="C288" s="3325" t="s">
        <v>585</v>
      </c>
      <c r="D288" s="1105"/>
      <c r="E288" s="1049"/>
      <c r="F288" s="3313">
        <f t="shared" si="31"/>
        <v>0</v>
      </c>
      <c r="G288" s="3313">
        <f t="shared" si="31"/>
        <v>0</v>
      </c>
      <c r="H288" s="3313">
        <f t="shared" ref="H288:M288" si="35">H$217*H278</f>
        <v>0</v>
      </c>
      <c r="I288" s="3313">
        <f t="shared" si="35"/>
        <v>0</v>
      </c>
      <c r="J288" s="3313">
        <f t="shared" si="35"/>
        <v>0</v>
      </c>
      <c r="K288" s="3313">
        <f t="shared" si="35"/>
        <v>0</v>
      </c>
      <c r="L288" s="3313">
        <f t="shared" si="35"/>
        <v>0</v>
      </c>
      <c r="M288" s="3337">
        <f t="shared" si="35"/>
        <v>0</v>
      </c>
      <c r="N288" s="1055"/>
      <c r="O288" s="1103"/>
    </row>
    <row r="289" spans="2:15" ht="13.5" customHeight="1" x14ac:dyDescent="0.25">
      <c r="B289" s="3045"/>
      <c r="C289" s="3325" t="s">
        <v>586</v>
      </c>
      <c r="D289" s="1105"/>
      <c r="E289" s="1049"/>
      <c r="F289" s="3313">
        <f t="shared" si="31"/>
        <v>0</v>
      </c>
      <c r="G289" s="3313">
        <f t="shared" si="31"/>
        <v>0</v>
      </c>
      <c r="H289" s="3313">
        <f t="shared" ref="H289:M289" si="36">H$217*H279</f>
        <v>0</v>
      </c>
      <c r="I289" s="3313">
        <f t="shared" si="36"/>
        <v>0</v>
      </c>
      <c r="J289" s="3313">
        <f t="shared" si="36"/>
        <v>0</v>
      </c>
      <c r="K289" s="3313">
        <f t="shared" si="36"/>
        <v>0</v>
      </c>
      <c r="L289" s="3313">
        <f t="shared" si="36"/>
        <v>0</v>
      </c>
      <c r="M289" s="3337">
        <f t="shared" si="36"/>
        <v>0</v>
      </c>
      <c r="N289" s="1055"/>
      <c r="O289" s="1103"/>
    </row>
    <row r="290" spans="2:15" ht="13.5" customHeight="1" x14ac:dyDescent="0.25">
      <c r="B290" s="3045"/>
      <c r="C290" s="3325" t="s">
        <v>587</v>
      </c>
      <c r="D290" s="1105"/>
      <c r="E290" s="1049"/>
      <c r="F290" s="3313">
        <f t="shared" si="31"/>
        <v>79.080935777654616</v>
      </c>
      <c r="G290" s="3313">
        <f t="shared" si="31"/>
        <v>109.24929077909373</v>
      </c>
      <c r="H290" s="3313">
        <f t="shared" ref="H290:M290" si="37">H$217*H280</f>
        <v>145.40364057681697</v>
      </c>
      <c r="I290" s="3313">
        <f t="shared" si="37"/>
        <v>186.7292604787944</v>
      </c>
      <c r="J290" s="3313">
        <f t="shared" si="37"/>
        <v>234.30268667062259</v>
      </c>
      <c r="K290" s="3313">
        <f t="shared" si="37"/>
        <v>278.2872978188974</v>
      </c>
      <c r="L290" s="3313">
        <f t="shared" si="37"/>
        <v>326.57245749805566</v>
      </c>
      <c r="M290" s="3337">
        <f t="shared" si="37"/>
        <v>380.02888728146803</v>
      </c>
      <c r="N290" s="1055"/>
      <c r="O290" s="1103"/>
    </row>
    <row r="291" spans="2:15" ht="13.5" customHeight="1" x14ac:dyDescent="0.25">
      <c r="B291" s="3045"/>
      <c r="C291" s="3327" t="s">
        <v>588</v>
      </c>
      <c r="D291" s="1088"/>
      <c r="E291" s="1080"/>
      <c r="F291" s="3338">
        <f t="shared" si="31"/>
        <v>0</v>
      </c>
      <c r="G291" s="3338">
        <f t="shared" si="31"/>
        <v>0</v>
      </c>
      <c r="H291" s="3338">
        <f t="shared" ref="H291:M291" si="38">H$217*H281</f>
        <v>0</v>
      </c>
      <c r="I291" s="3338">
        <f t="shared" si="38"/>
        <v>0</v>
      </c>
      <c r="J291" s="3338">
        <f t="shared" si="38"/>
        <v>0</v>
      </c>
      <c r="K291" s="3338">
        <f t="shared" si="38"/>
        <v>0</v>
      </c>
      <c r="L291" s="3338">
        <f t="shared" si="38"/>
        <v>0</v>
      </c>
      <c r="M291" s="3339">
        <f t="shared" si="38"/>
        <v>0</v>
      </c>
      <c r="N291" s="1055"/>
      <c r="O291" s="1103"/>
    </row>
    <row r="292" spans="2:15" ht="13.5" customHeight="1" x14ac:dyDescent="0.25">
      <c r="B292" s="3045"/>
      <c r="C292" s="375"/>
      <c r="D292" s="1105"/>
      <c r="E292" s="1049"/>
      <c r="F292" s="375"/>
      <c r="G292" s="375"/>
      <c r="H292" s="375"/>
      <c r="I292" s="375"/>
      <c r="J292" s="375"/>
      <c r="K292" s="375"/>
      <c r="L292" s="375"/>
      <c r="M292" s="375"/>
      <c r="N292" s="1055"/>
      <c r="O292" s="1103"/>
    </row>
    <row r="293" spans="2:15" ht="13.5" customHeight="1" x14ac:dyDescent="0.25">
      <c r="B293" s="3045"/>
      <c r="C293" s="3317" t="s">
        <v>2205</v>
      </c>
      <c r="D293" s="3318"/>
      <c r="E293" s="3318"/>
      <c r="F293" s="3318">
        <v>2015</v>
      </c>
      <c r="G293" s="3317">
        <v>2020</v>
      </c>
      <c r="H293" s="3318">
        <v>2025</v>
      </c>
      <c r="I293" s="3318">
        <v>2030</v>
      </c>
      <c r="J293" s="3318">
        <v>2035</v>
      </c>
      <c r="K293" s="3318">
        <v>2040</v>
      </c>
      <c r="L293" s="3318">
        <v>2045</v>
      </c>
      <c r="M293" s="3319">
        <v>2050</v>
      </c>
      <c r="N293" s="1055"/>
      <c r="O293" s="1103"/>
    </row>
    <row r="294" spans="2:15" ht="13.5" customHeight="1" x14ac:dyDescent="0.25">
      <c r="B294" s="3045"/>
      <c r="C294" s="3320" t="s">
        <v>609</v>
      </c>
      <c r="D294" s="3321"/>
      <c r="E294" s="3322"/>
      <c r="F294" s="3330">
        <f>IF(F274+F275=0,0,F218*F274/(F274+F275))</f>
        <v>852005.5458550636</v>
      </c>
      <c r="G294" s="3330">
        <f>IF(G274+G275=0,0,G218*G274/(G274+G275))</f>
        <v>840351.23946335015</v>
      </c>
      <c r="H294" s="3330">
        <f t="shared" ref="H294:M294" si="39">IF(H274+H275=0,0,H218*H274/(H274+H275))</f>
        <v>961075.60754149419</v>
      </c>
      <c r="I294" s="3330">
        <f t="shared" si="39"/>
        <v>1109742.8886297946</v>
      </c>
      <c r="J294" s="3330">
        <f t="shared" si="39"/>
        <v>1058419.7173378388</v>
      </c>
      <c r="K294" s="3330">
        <f t="shared" si="39"/>
        <v>1268430.9996887164</v>
      </c>
      <c r="L294" s="3330">
        <f t="shared" si="39"/>
        <v>1449858.6659224657</v>
      </c>
      <c r="M294" s="3330">
        <f t="shared" si="39"/>
        <v>1631286.3321562153</v>
      </c>
      <c r="N294" s="1055"/>
      <c r="O294" s="1103"/>
    </row>
    <row r="295" spans="2:15" ht="13.5" customHeight="1" x14ac:dyDescent="0.25">
      <c r="B295" s="3045"/>
      <c r="C295" s="3325" t="s">
        <v>334</v>
      </c>
      <c r="D295" s="1105"/>
      <c r="E295" s="1049"/>
      <c r="F295" s="3314">
        <f>IF(F275+F274=0,0,F218*F275/(F275+F274))</f>
        <v>75503.187381235446</v>
      </c>
      <c r="G295" s="3314">
        <f t="shared" ref="G295:L295" si="40">IF(G275+G274=0,0,G218*G275/(G275+G274))</f>
        <v>74470.40386993943</v>
      </c>
      <c r="H295" s="3314">
        <f t="shared" si="40"/>
        <v>85168.778579857026</v>
      </c>
      <c r="I295" s="3314">
        <f t="shared" si="40"/>
        <v>98343.403599701938</v>
      </c>
      <c r="J295" s="3314">
        <f t="shared" si="40"/>
        <v>93795.237172960202</v>
      </c>
      <c r="K295" s="3314">
        <f t="shared" si="40"/>
        <v>112406.05641076036</v>
      </c>
      <c r="L295" s="3314">
        <f t="shared" si="40"/>
        <v>128483.84739044173</v>
      </c>
      <c r="M295" s="3314">
        <f>IF(M275+M274=0,0,M218*M275/(M275+M274))</f>
        <v>144561.63837012305</v>
      </c>
      <c r="N295" s="1055"/>
      <c r="O295" s="1103"/>
    </row>
    <row r="296" spans="2:15" ht="13.5" customHeight="1" x14ac:dyDescent="0.25">
      <c r="B296" s="3045"/>
      <c r="C296" s="3325" t="s">
        <v>583</v>
      </c>
      <c r="D296" s="1105"/>
      <c r="E296" s="1049"/>
      <c r="F296" s="3314"/>
      <c r="G296" s="3314"/>
      <c r="H296" s="3314"/>
      <c r="I296" s="3314"/>
      <c r="J296" s="3314"/>
      <c r="K296" s="3314"/>
      <c r="L296" s="3314"/>
      <c r="M296" s="3332"/>
      <c r="N296" s="1055"/>
      <c r="O296" s="1103"/>
    </row>
    <row r="297" spans="2:15" ht="13.5" customHeight="1" x14ac:dyDescent="0.25">
      <c r="B297" s="3045"/>
      <c r="C297" s="3325" t="s">
        <v>584</v>
      </c>
      <c r="D297" s="1105"/>
      <c r="E297" s="1049"/>
      <c r="F297" s="3314"/>
      <c r="G297" s="3314"/>
      <c r="H297" s="3314"/>
      <c r="I297" s="3314"/>
      <c r="J297" s="3314"/>
      <c r="K297" s="3314"/>
      <c r="L297" s="3314"/>
      <c r="M297" s="3332"/>
      <c r="N297" s="1055"/>
      <c r="O297" s="1103"/>
    </row>
    <row r="298" spans="2:15" ht="13.5" customHeight="1" x14ac:dyDescent="0.25">
      <c r="B298" s="3045"/>
      <c r="C298" s="3325" t="s">
        <v>585</v>
      </c>
      <c r="D298" s="1105"/>
      <c r="E298" s="1049"/>
      <c r="F298" s="3314"/>
      <c r="G298" s="3314"/>
      <c r="H298" s="3314"/>
      <c r="I298" s="3314"/>
      <c r="J298" s="3314"/>
      <c r="K298" s="3314"/>
      <c r="L298" s="3314"/>
      <c r="M298" s="3332"/>
      <c r="N298" s="1055"/>
      <c r="O298" s="1103"/>
    </row>
    <row r="299" spans="2:15" ht="13.5" customHeight="1" x14ac:dyDescent="0.25">
      <c r="B299" s="3045"/>
      <c r="C299" s="3325" t="s">
        <v>586</v>
      </c>
      <c r="D299" s="1105"/>
      <c r="E299" s="1049"/>
      <c r="F299" s="3314"/>
      <c r="G299" s="3314"/>
      <c r="H299" s="3314"/>
      <c r="I299" s="3314"/>
      <c r="J299" s="3314"/>
      <c r="K299" s="3314"/>
      <c r="L299" s="3314"/>
      <c r="M299" s="3332"/>
      <c r="N299" s="1055"/>
      <c r="O299" s="1103"/>
    </row>
    <row r="300" spans="2:15" ht="13.5" customHeight="1" x14ac:dyDescent="0.25">
      <c r="B300" s="3045"/>
      <c r="C300" s="3325" t="s">
        <v>587</v>
      </c>
      <c r="D300" s="1105"/>
      <c r="E300" s="1049"/>
      <c r="F300" s="3314"/>
      <c r="G300" s="3314"/>
      <c r="H300" s="3314"/>
      <c r="I300" s="3314"/>
      <c r="J300" s="3314"/>
      <c r="K300" s="3314"/>
      <c r="L300" s="3314"/>
      <c r="M300" s="3332"/>
      <c r="N300" s="1055"/>
      <c r="O300" s="1103"/>
    </row>
    <row r="301" spans="2:15" ht="13.5" customHeight="1" x14ac:dyDescent="0.25">
      <c r="B301" s="3045"/>
      <c r="C301" s="3327" t="s">
        <v>588</v>
      </c>
      <c r="D301" s="1088"/>
      <c r="E301" s="1080"/>
      <c r="F301" s="3333"/>
      <c r="G301" s="3333"/>
      <c r="H301" s="3333"/>
      <c r="I301" s="3333"/>
      <c r="J301" s="3333"/>
      <c r="K301" s="3333"/>
      <c r="L301" s="3333"/>
      <c r="M301" s="3334"/>
      <c r="N301" s="1055"/>
      <c r="O301" s="1103"/>
    </row>
    <row r="302" spans="2:15" ht="13.5" customHeight="1" x14ac:dyDescent="0.25">
      <c r="B302" s="3045"/>
      <c r="C302" s="375"/>
      <c r="D302" s="1105"/>
      <c r="E302" s="1049"/>
      <c r="F302" s="3314"/>
      <c r="G302" s="375"/>
      <c r="H302" s="375"/>
      <c r="I302" s="375"/>
      <c r="J302" s="375"/>
      <c r="K302" s="375"/>
      <c r="L302" s="375"/>
      <c r="M302" s="375"/>
      <c r="N302" s="1055"/>
      <c r="O302" s="1103"/>
    </row>
    <row r="303" spans="2:15" ht="13.5" customHeight="1" x14ac:dyDescent="0.25">
      <c r="B303" s="3045"/>
      <c r="C303" s="3317" t="s">
        <v>2206</v>
      </c>
      <c r="D303" s="3318"/>
      <c r="E303" s="3318"/>
      <c r="F303" s="3318">
        <v>2015</v>
      </c>
      <c r="G303" s="3317">
        <v>2020</v>
      </c>
      <c r="H303" s="3318">
        <v>2025</v>
      </c>
      <c r="I303" s="3318">
        <v>2030</v>
      </c>
      <c r="J303" s="3318">
        <v>2035</v>
      </c>
      <c r="K303" s="3318">
        <v>2040</v>
      </c>
      <c r="L303" s="3318">
        <v>2045</v>
      </c>
      <c r="M303" s="3319">
        <v>2050</v>
      </c>
      <c r="N303" s="1055"/>
      <c r="O303" s="1103"/>
    </row>
    <row r="304" spans="2:15" ht="13.5" customHeight="1" x14ac:dyDescent="0.25">
      <c r="B304" s="3045"/>
      <c r="C304" s="3320" t="s">
        <v>609</v>
      </c>
      <c r="D304" s="3321"/>
      <c r="E304" s="3322"/>
      <c r="F304" s="3330">
        <f t="shared" ref="F304:M311" si="41">F$219*F82</f>
        <v>1057491.3478654479</v>
      </c>
      <c r="G304" s="3330">
        <f t="shared" si="41"/>
        <v>1267318.4234595918</v>
      </c>
      <c r="H304" s="3330">
        <f t="shared" si="41"/>
        <v>1448586.9544240152</v>
      </c>
      <c r="I304" s="3330">
        <f t="shared" si="41"/>
        <v>1667591.308302152</v>
      </c>
      <c r="J304" s="3330">
        <f t="shared" si="41"/>
        <v>1541792.5745804778</v>
      </c>
      <c r="K304" s="3330">
        <f t="shared" si="41"/>
        <v>1692539.7022335329</v>
      </c>
      <c r="L304" s="3330">
        <f t="shared" si="41"/>
        <v>1873808.2331979561</v>
      </c>
      <c r="M304" s="3331">
        <f t="shared" si="41"/>
        <v>2055076.7641623798</v>
      </c>
      <c r="N304" s="1055"/>
      <c r="O304" s="1103"/>
    </row>
    <row r="305" spans="2:15" ht="13.5" customHeight="1" x14ac:dyDescent="0.25">
      <c r="B305" s="3045"/>
      <c r="C305" s="3325" t="s">
        <v>334</v>
      </c>
      <c r="D305" s="1105"/>
      <c r="E305" s="1049"/>
      <c r="F305" s="3314">
        <f t="shared" si="41"/>
        <v>93712.966752803943</v>
      </c>
      <c r="G305" s="3314">
        <f t="shared" si="41"/>
        <v>112307.46192166088</v>
      </c>
      <c r="H305" s="3314">
        <f t="shared" si="41"/>
        <v>128371.15062217593</v>
      </c>
      <c r="I305" s="3314">
        <f t="shared" si="41"/>
        <v>147778.91956054885</v>
      </c>
      <c r="J305" s="3314">
        <f t="shared" si="41"/>
        <v>136630.86376359107</v>
      </c>
      <c r="K305" s="3314">
        <f t="shared" si="41"/>
        <v>149989.80101669181</v>
      </c>
      <c r="L305" s="3314">
        <f t="shared" si="41"/>
        <v>166053.48971720686</v>
      </c>
      <c r="M305" s="3332">
        <f t="shared" si="41"/>
        <v>182117.17841772191</v>
      </c>
      <c r="N305" s="1055"/>
      <c r="O305" s="1103"/>
    </row>
    <row r="306" spans="2:15" ht="13.5" customHeight="1" x14ac:dyDescent="0.25">
      <c r="B306" s="3045"/>
      <c r="C306" s="3325" t="s">
        <v>583</v>
      </c>
      <c r="D306" s="1105"/>
      <c r="E306" s="1049"/>
      <c r="F306" s="3314">
        <f t="shared" si="41"/>
        <v>980.47153754677367</v>
      </c>
      <c r="G306" s="3314">
        <f t="shared" si="41"/>
        <v>1175.0163684260044</v>
      </c>
      <c r="H306" s="3314">
        <f t="shared" si="41"/>
        <v>1343.0826468142668</v>
      </c>
      <c r="I306" s="3314">
        <f t="shared" si="41"/>
        <v>1546.1363512344149</v>
      </c>
      <c r="J306" s="3314">
        <f t="shared" si="41"/>
        <v>1429.4998623189322</v>
      </c>
      <c r="K306" s="3314">
        <f t="shared" si="41"/>
        <v>1569.267689572642</v>
      </c>
      <c r="L306" s="3314">
        <f t="shared" si="41"/>
        <v>1737.3339679609044</v>
      </c>
      <c r="M306" s="3332">
        <f t="shared" si="41"/>
        <v>1905.4002463491668</v>
      </c>
      <c r="N306" s="1055"/>
      <c r="O306" s="1103"/>
    </row>
    <row r="307" spans="2:15" ht="13.5" customHeight="1" x14ac:dyDescent="0.25">
      <c r="B307" s="3045"/>
      <c r="C307" s="3325" t="s">
        <v>584</v>
      </c>
      <c r="D307" s="1105"/>
      <c r="E307" s="1049"/>
      <c r="F307" s="3314">
        <f t="shared" si="41"/>
        <v>0</v>
      </c>
      <c r="G307" s="3314">
        <f t="shared" si="41"/>
        <v>0</v>
      </c>
      <c r="H307" s="3314">
        <f t="shared" si="41"/>
        <v>0</v>
      </c>
      <c r="I307" s="3314">
        <f t="shared" si="41"/>
        <v>0</v>
      </c>
      <c r="J307" s="3314">
        <f t="shared" si="41"/>
        <v>0</v>
      </c>
      <c r="K307" s="3314">
        <f t="shared" si="41"/>
        <v>0</v>
      </c>
      <c r="L307" s="3314">
        <f t="shared" si="41"/>
        <v>0</v>
      </c>
      <c r="M307" s="3332">
        <f t="shared" si="41"/>
        <v>0</v>
      </c>
      <c r="N307" s="1055"/>
      <c r="O307" s="1103"/>
    </row>
    <row r="308" spans="2:15" ht="13.5" customHeight="1" x14ac:dyDescent="0.25">
      <c r="B308" s="3045"/>
      <c r="C308" s="3325" t="s">
        <v>585</v>
      </c>
      <c r="D308" s="1105"/>
      <c r="E308" s="1049"/>
      <c r="F308" s="3314">
        <f t="shared" si="41"/>
        <v>0</v>
      </c>
      <c r="G308" s="3314">
        <f t="shared" si="41"/>
        <v>0</v>
      </c>
      <c r="H308" s="3314">
        <f t="shared" si="41"/>
        <v>0</v>
      </c>
      <c r="I308" s="3314">
        <f t="shared" si="41"/>
        <v>0</v>
      </c>
      <c r="J308" s="3314">
        <f t="shared" si="41"/>
        <v>0</v>
      </c>
      <c r="K308" s="3314">
        <f t="shared" si="41"/>
        <v>0</v>
      </c>
      <c r="L308" s="3314">
        <f t="shared" si="41"/>
        <v>0</v>
      </c>
      <c r="M308" s="3332">
        <f t="shared" si="41"/>
        <v>0</v>
      </c>
      <c r="N308" s="1055"/>
      <c r="O308" s="1103"/>
    </row>
    <row r="309" spans="2:15" ht="13.5" customHeight="1" x14ac:dyDescent="0.25">
      <c r="B309" s="3045"/>
      <c r="C309" s="3325" t="s">
        <v>586</v>
      </c>
      <c r="D309" s="1105"/>
      <c r="E309" s="1049"/>
      <c r="F309" s="3314">
        <f t="shared" si="41"/>
        <v>0</v>
      </c>
      <c r="G309" s="3314">
        <f t="shared" si="41"/>
        <v>0</v>
      </c>
      <c r="H309" s="3314">
        <f t="shared" si="41"/>
        <v>0</v>
      </c>
      <c r="I309" s="3314">
        <f t="shared" si="41"/>
        <v>0</v>
      </c>
      <c r="J309" s="3314">
        <f t="shared" si="41"/>
        <v>0</v>
      </c>
      <c r="K309" s="3314">
        <f t="shared" si="41"/>
        <v>0</v>
      </c>
      <c r="L309" s="3314">
        <f t="shared" si="41"/>
        <v>0</v>
      </c>
      <c r="M309" s="3332">
        <f t="shared" si="41"/>
        <v>0</v>
      </c>
      <c r="N309" s="1055"/>
      <c r="O309" s="1103"/>
    </row>
    <row r="310" spans="2:15" ht="13.5" customHeight="1" x14ac:dyDescent="0.25">
      <c r="B310" s="3045"/>
      <c r="C310" s="3325" t="s">
        <v>587</v>
      </c>
      <c r="D310" s="1105"/>
      <c r="E310" s="1049"/>
      <c r="F310" s="3314">
        <f t="shared" si="41"/>
        <v>30.168355001439188</v>
      </c>
      <c r="G310" s="3314">
        <f t="shared" si="41"/>
        <v>36.154349797723214</v>
      </c>
      <c r="H310" s="3314">
        <f t="shared" si="41"/>
        <v>41.32561990197744</v>
      </c>
      <c r="I310" s="3314">
        <f t="shared" si="41"/>
        <v>47.573426191828148</v>
      </c>
      <c r="J310" s="3314">
        <f t="shared" si="41"/>
        <v>43.984611148274837</v>
      </c>
      <c r="K310" s="3314">
        <f t="shared" si="41"/>
        <v>48.285159679158212</v>
      </c>
      <c r="L310" s="3314">
        <f t="shared" si="41"/>
        <v>53.456429783412439</v>
      </c>
      <c r="M310" s="3332">
        <f t="shared" si="41"/>
        <v>58.627699887666672</v>
      </c>
      <c r="N310" s="1055"/>
      <c r="O310" s="1103"/>
    </row>
    <row r="311" spans="2:15" ht="13.5" customHeight="1" x14ac:dyDescent="0.25">
      <c r="B311" s="3045"/>
      <c r="C311" s="3327" t="s">
        <v>588</v>
      </c>
      <c r="D311" s="1088"/>
      <c r="E311" s="1080"/>
      <c r="F311" s="3333">
        <f t="shared" si="41"/>
        <v>0</v>
      </c>
      <c r="G311" s="3333">
        <f t="shared" si="41"/>
        <v>0</v>
      </c>
      <c r="H311" s="3333">
        <f t="shared" si="41"/>
        <v>0</v>
      </c>
      <c r="I311" s="3333">
        <f t="shared" si="41"/>
        <v>0</v>
      </c>
      <c r="J311" s="3333">
        <f t="shared" si="41"/>
        <v>0</v>
      </c>
      <c r="K311" s="3333">
        <f t="shared" si="41"/>
        <v>0</v>
      </c>
      <c r="L311" s="3333">
        <f t="shared" si="41"/>
        <v>0</v>
      </c>
      <c r="M311" s="3334">
        <f t="shared" si="41"/>
        <v>0</v>
      </c>
      <c r="N311" s="1055"/>
      <c r="O311" s="1103"/>
    </row>
    <row r="312" spans="2:15" ht="13.5" customHeight="1" x14ac:dyDescent="0.25">
      <c r="B312" s="3045"/>
      <c r="C312" s="1049"/>
      <c r="D312" s="1105"/>
      <c r="E312" s="1049"/>
      <c r="F312" s="1049"/>
      <c r="G312" s="1049"/>
      <c r="H312" s="1049"/>
      <c r="I312" s="1049"/>
      <c r="J312" s="1049"/>
      <c r="K312" s="1049"/>
      <c r="L312" s="1049"/>
      <c r="M312" s="1049"/>
      <c r="N312" s="1055"/>
      <c r="O312" s="1103"/>
    </row>
    <row r="313" spans="2:15" ht="13.5" customHeight="1" x14ac:dyDescent="0.25">
      <c r="B313" s="3045"/>
      <c r="C313" s="3317" t="s">
        <v>2207</v>
      </c>
      <c r="D313" s="3318"/>
      <c r="E313" s="3318"/>
      <c r="F313" s="3318">
        <v>2015</v>
      </c>
      <c r="G313" s="3317">
        <v>2020</v>
      </c>
      <c r="H313" s="3318">
        <v>2025</v>
      </c>
      <c r="I313" s="3318">
        <v>2030</v>
      </c>
      <c r="J313" s="3318">
        <v>2035</v>
      </c>
      <c r="K313" s="3318">
        <v>2040</v>
      </c>
      <c r="L313" s="3318">
        <v>2045</v>
      </c>
      <c r="M313" s="3319">
        <v>2050</v>
      </c>
      <c r="N313" s="1055"/>
      <c r="O313" s="1103"/>
    </row>
    <row r="314" spans="2:15" ht="13.5" customHeight="1" x14ac:dyDescent="0.25">
      <c r="B314" s="3045"/>
      <c r="C314" s="3320" t="s">
        <v>609</v>
      </c>
      <c r="D314" s="3321"/>
      <c r="E314" s="3322"/>
      <c r="F314" s="3340">
        <f t="shared" ref="F314:M314" si="42">IF(F284-F294+F304&lt;0,0,F284-F294+F304)</f>
        <v>2977509.8438245119</v>
      </c>
      <c r="G314" s="3340">
        <f t="shared" si="42"/>
        <v>3404477.0278207515</v>
      </c>
      <c r="H314" s="3340">
        <f t="shared" si="42"/>
        <v>3891988.3747032732</v>
      </c>
      <c r="I314" s="3340">
        <f t="shared" si="42"/>
        <v>4449836.7943756301</v>
      </c>
      <c r="J314" s="3340">
        <f t="shared" si="42"/>
        <v>4933209.6516182702</v>
      </c>
      <c r="K314" s="3340">
        <f t="shared" si="42"/>
        <v>5357318.354163086</v>
      </c>
      <c r="L314" s="3340">
        <f t="shared" si="42"/>
        <v>5781267.9214385776</v>
      </c>
      <c r="M314" s="3340">
        <f t="shared" si="42"/>
        <v>6205058.3534447411</v>
      </c>
      <c r="N314" s="1055"/>
      <c r="O314" s="1103"/>
    </row>
    <row r="315" spans="2:15" ht="13.5" customHeight="1" x14ac:dyDescent="0.25">
      <c r="B315" s="3045"/>
      <c r="C315" s="3325" t="s">
        <v>334</v>
      </c>
      <c r="D315" s="1105"/>
      <c r="E315" s="1049"/>
      <c r="F315" s="3315">
        <f>IF(F285-F295+F305&lt;0,0,F285-F295+F305)</f>
        <v>263861.52620888967</v>
      </c>
      <c r="G315" s="3315">
        <f t="shared" ref="G315:M315" si="43">IF(G285-G295+G305&lt;0,0,G285-G295+G305)</f>
        <v>301698.58426061092</v>
      </c>
      <c r="H315" s="3315">
        <f t="shared" si="43"/>
        <v>344900.9563029299</v>
      </c>
      <c r="I315" s="3315">
        <f t="shared" si="43"/>
        <v>394336.47226377681</v>
      </c>
      <c r="J315" s="3315">
        <f t="shared" si="43"/>
        <v>437172.09885440778</v>
      </c>
      <c r="K315" s="3315">
        <f t="shared" si="43"/>
        <v>474755.84346033924</v>
      </c>
      <c r="L315" s="3315">
        <f>IF(L285-L295+L305&lt;0,0,L285-L295+L305)</f>
        <v>512325.48578710441</v>
      </c>
      <c r="M315" s="3315">
        <f t="shared" si="43"/>
        <v>549881.02583470312</v>
      </c>
      <c r="N315" s="1055"/>
      <c r="O315" s="1103"/>
    </row>
    <row r="316" spans="2:15" ht="13.5" customHeight="1" x14ac:dyDescent="0.25">
      <c r="B316" s="3045"/>
      <c r="C316" s="3325" t="s">
        <v>583</v>
      </c>
      <c r="D316" s="1105"/>
      <c r="E316" s="1049"/>
      <c r="F316" s="3315">
        <f t="shared" ref="F316:M321" si="44">F286-F296+F306</f>
        <v>2265.5367439336615</v>
      </c>
      <c r="G316" s="3315">
        <f t="shared" si="44"/>
        <v>3440.5531123596647</v>
      </c>
      <c r="H316" s="3315">
        <f t="shared" si="44"/>
        <v>4783.6357591739325</v>
      </c>
      <c r="I316" s="3315">
        <f t="shared" si="44"/>
        <v>6329.7721104083475</v>
      </c>
      <c r="J316" s="3315">
        <f t="shared" si="44"/>
        <v>7759.2719727272806</v>
      </c>
      <c r="K316" s="3315">
        <f t="shared" si="44"/>
        <v>9328.5396622999233</v>
      </c>
      <c r="L316" s="3315">
        <f t="shared" si="44"/>
        <v>11065.87363026083</v>
      </c>
      <c r="M316" s="3341">
        <f t="shared" si="44"/>
        <v>12971.273876609996</v>
      </c>
      <c r="N316" s="1055"/>
      <c r="O316" s="1103"/>
    </row>
    <row r="317" spans="2:15" ht="13.5" customHeight="1" x14ac:dyDescent="0.25">
      <c r="B317" s="3045"/>
      <c r="C317" s="3325" t="s">
        <v>584</v>
      </c>
      <c r="D317" s="1105"/>
      <c r="E317" s="1049"/>
      <c r="F317" s="3315">
        <f t="shared" si="44"/>
        <v>1285.0652063868877</v>
      </c>
      <c r="G317" s="3315">
        <f t="shared" si="44"/>
        <v>1285.065206386887</v>
      </c>
      <c r="H317" s="3315">
        <f t="shared" si="44"/>
        <v>1285.0652063868872</v>
      </c>
      <c r="I317" s="3315">
        <f t="shared" si="44"/>
        <v>1285.0652063868872</v>
      </c>
      <c r="J317" s="3315">
        <f t="shared" si="44"/>
        <v>1285.0652063868874</v>
      </c>
      <c r="K317" s="3315">
        <f t="shared" si="44"/>
        <v>1285.0652063868874</v>
      </c>
      <c r="L317" s="3315">
        <f t="shared" si="44"/>
        <v>1285.0652063868877</v>
      </c>
      <c r="M317" s="3341">
        <f t="shared" si="44"/>
        <v>1285.0652063868874</v>
      </c>
      <c r="N317" s="1055"/>
      <c r="O317" s="1103"/>
    </row>
    <row r="318" spans="2:15" ht="13.5" customHeight="1" x14ac:dyDescent="0.25">
      <c r="B318" s="3045"/>
      <c r="C318" s="3325" t="s">
        <v>585</v>
      </c>
      <c r="D318" s="1105"/>
      <c r="E318" s="1049"/>
      <c r="F318" s="3315">
        <f t="shared" si="44"/>
        <v>0</v>
      </c>
      <c r="G318" s="3315">
        <f t="shared" si="44"/>
        <v>0</v>
      </c>
      <c r="H318" s="3315">
        <f t="shared" si="44"/>
        <v>0</v>
      </c>
      <c r="I318" s="3315">
        <f t="shared" si="44"/>
        <v>0</v>
      </c>
      <c r="J318" s="3315">
        <f t="shared" si="44"/>
        <v>0</v>
      </c>
      <c r="K318" s="3315">
        <f t="shared" si="44"/>
        <v>0</v>
      </c>
      <c r="L318" s="3315">
        <f t="shared" si="44"/>
        <v>0</v>
      </c>
      <c r="M318" s="3341">
        <f t="shared" si="44"/>
        <v>0</v>
      </c>
      <c r="N318" s="1055"/>
      <c r="O318" s="1103"/>
    </row>
    <row r="319" spans="2:15" ht="13.5" customHeight="1" x14ac:dyDescent="0.25">
      <c r="B319" s="3045"/>
      <c r="C319" s="3325" t="s">
        <v>586</v>
      </c>
      <c r="D319" s="1105"/>
      <c r="E319" s="1049"/>
      <c r="F319" s="3315">
        <f t="shared" si="44"/>
        <v>0</v>
      </c>
      <c r="G319" s="3315">
        <f t="shared" si="44"/>
        <v>0</v>
      </c>
      <c r="H319" s="3315">
        <f t="shared" si="44"/>
        <v>0</v>
      </c>
      <c r="I319" s="3315">
        <f t="shared" si="44"/>
        <v>0</v>
      </c>
      <c r="J319" s="3315">
        <f t="shared" si="44"/>
        <v>0</v>
      </c>
      <c r="K319" s="3315">
        <f t="shared" si="44"/>
        <v>0</v>
      </c>
      <c r="L319" s="3315">
        <f t="shared" si="44"/>
        <v>0</v>
      </c>
      <c r="M319" s="3341">
        <f t="shared" si="44"/>
        <v>0</v>
      </c>
      <c r="N319" s="1055"/>
      <c r="O319" s="1103"/>
    </row>
    <row r="320" spans="2:15" ht="13.5" customHeight="1" x14ac:dyDescent="0.25">
      <c r="B320" s="3045"/>
      <c r="C320" s="3325" t="s">
        <v>587</v>
      </c>
      <c r="D320" s="1105"/>
      <c r="E320" s="1049"/>
      <c r="F320" s="3315">
        <f t="shared" si="44"/>
        <v>109.2492907790938</v>
      </c>
      <c r="G320" s="3315">
        <f t="shared" si="44"/>
        <v>145.40364057681694</v>
      </c>
      <c r="H320" s="3315">
        <f t="shared" si="44"/>
        <v>186.7292604787944</v>
      </c>
      <c r="I320" s="3315">
        <f t="shared" si="44"/>
        <v>234.30268667062256</v>
      </c>
      <c r="J320" s="3315">
        <f t="shared" si="44"/>
        <v>278.2872978188974</v>
      </c>
      <c r="K320" s="3315">
        <f t="shared" si="44"/>
        <v>326.5724574980556</v>
      </c>
      <c r="L320" s="3315">
        <f t="shared" si="44"/>
        <v>380.02888728146809</v>
      </c>
      <c r="M320" s="3341">
        <f t="shared" si="44"/>
        <v>438.6565871691347</v>
      </c>
      <c r="N320" s="1055"/>
      <c r="O320" s="3440">
        <f>M320/M322</f>
        <v>6.479767781733409E-5</v>
      </c>
    </row>
    <row r="321" spans="1:15" ht="13.5" customHeight="1" x14ac:dyDescent="0.25">
      <c r="B321" s="3045"/>
      <c r="C321" s="3327" t="s">
        <v>588</v>
      </c>
      <c r="D321" s="1088"/>
      <c r="E321" s="1080"/>
      <c r="F321" s="3342">
        <f t="shared" si="44"/>
        <v>0</v>
      </c>
      <c r="G321" s="3342">
        <f t="shared" si="44"/>
        <v>0</v>
      </c>
      <c r="H321" s="3342">
        <f t="shared" si="44"/>
        <v>0</v>
      </c>
      <c r="I321" s="3342">
        <f t="shared" si="44"/>
        <v>0</v>
      </c>
      <c r="J321" s="3342">
        <f t="shared" si="44"/>
        <v>0</v>
      </c>
      <c r="K321" s="3342">
        <f t="shared" si="44"/>
        <v>0</v>
      </c>
      <c r="L321" s="3342">
        <f t="shared" si="44"/>
        <v>0</v>
      </c>
      <c r="M321" s="3343">
        <f t="shared" si="44"/>
        <v>0</v>
      </c>
      <c r="N321" s="1055"/>
      <c r="O321" s="1103"/>
    </row>
    <row r="322" spans="1:15" ht="13.5" customHeight="1" x14ac:dyDescent="0.25">
      <c r="B322" s="3045"/>
      <c r="C322" s="3316" t="s">
        <v>118</v>
      </c>
      <c r="D322" s="1105"/>
      <c r="E322" s="1049"/>
      <c r="F322" s="3315">
        <f t="shared" ref="F322:M322" si="45">SUM(F314:F321)</f>
        <v>3245031.2212745016</v>
      </c>
      <c r="G322" s="3315">
        <f t="shared" si="45"/>
        <v>3711046.6340406858</v>
      </c>
      <c r="H322" s="3315">
        <f t="shared" si="45"/>
        <v>4243144.7612322429</v>
      </c>
      <c r="I322" s="3315">
        <f t="shared" si="45"/>
        <v>4852022.4066428728</v>
      </c>
      <c r="J322" s="3315">
        <f t="shared" si="45"/>
        <v>5379704.3749496108</v>
      </c>
      <c r="K322" s="3315">
        <f t="shared" si="45"/>
        <v>5843014.3749496099</v>
      </c>
      <c r="L322" s="3315">
        <f t="shared" si="45"/>
        <v>6306324.3749496117</v>
      </c>
      <c r="M322" s="3315">
        <f t="shared" si="45"/>
        <v>6769634.3749496108</v>
      </c>
      <c r="N322" s="1055"/>
      <c r="O322" s="1103"/>
    </row>
    <row r="323" spans="1:15" ht="13.5" customHeight="1" x14ac:dyDescent="0.25">
      <c r="B323" s="3045"/>
      <c r="C323" s="1104"/>
      <c r="D323" s="1105"/>
      <c r="E323" s="1105"/>
      <c r="F323" s="1106"/>
      <c r="G323" s="1106"/>
      <c r="H323" s="1106"/>
      <c r="I323" s="1106"/>
      <c r="J323" s="1106"/>
      <c r="K323" s="1106"/>
      <c r="L323" s="1106"/>
      <c r="M323" s="1106"/>
      <c r="N323" s="1055"/>
      <c r="O323" s="1103"/>
    </row>
    <row r="325" spans="1:15" ht="21" x14ac:dyDescent="0.35">
      <c r="A325" s="851"/>
      <c r="B325" s="853" t="s">
        <v>229</v>
      </c>
      <c r="C325" s="963"/>
    </row>
    <row r="326" spans="1:15" x14ac:dyDescent="0.25">
      <c r="A326" s="853" t="s">
        <v>701</v>
      </c>
      <c r="B326" s="853" t="s">
        <v>2178</v>
      </c>
      <c r="C326" s="963"/>
    </row>
    <row r="327" spans="1:15" x14ac:dyDescent="0.25">
      <c r="A327" s="853" t="s">
        <v>702</v>
      </c>
      <c r="B327" s="853" t="s">
        <v>2160</v>
      </c>
      <c r="C327" s="963"/>
      <c r="E327" s="853"/>
      <c r="F327" s="853"/>
      <c r="G327" s="853"/>
    </row>
    <row r="328" spans="1:15" x14ac:dyDescent="0.25">
      <c r="A328" s="853" t="s">
        <v>2162</v>
      </c>
      <c r="B328" s="853" t="s">
        <v>2169</v>
      </c>
      <c r="C328" s="963"/>
      <c r="F328" s="853"/>
      <c r="G328" s="853"/>
    </row>
    <row r="329" spans="1:15" x14ac:dyDescent="0.25">
      <c r="A329" s="853" t="s">
        <v>2170</v>
      </c>
      <c r="B329" s="1112" t="s">
        <v>2172</v>
      </c>
      <c r="C329" s="963"/>
      <c r="F329" s="853"/>
      <c r="G329" s="853"/>
    </row>
    <row r="330" spans="1:15" x14ac:dyDescent="0.25">
      <c r="A330" s="853" t="s">
        <v>2174</v>
      </c>
      <c r="B330" s="1112" t="s">
        <v>2175</v>
      </c>
      <c r="C330" s="2789"/>
      <c r="F330" s="853"/>
      <c r="G330" s="853"/>
    </row>
    <row r="331" spans="1:15" x14ac:dyDescent="0.25">
      <c r="A331" s="853" t="s">
        <v>2177</v>
      </c>
      <c r="B331" s="1112" t="s">
        <v>2173</v>
      </c>
      <c r="C331" s="963"/>
    </row>
    <row r="332" spans="1:15" x14ac:dyDescent="0.25">
      <c r="A332" s="853"/>
      <c r="B332" s="1112"/>
      <c r="C332" s="963"/>
    </row>
    <row r="333" spans="1:15" x14ac:dyDescent="0.25">
      <c r="C333" s="928"/>
    </row>
    <row r="334" spans="1:15" x14ac:dyDescent="0.25">
      <c r="A334" s="853" t="s">
        <v>701</v>
      </c>
      <c r="B334" s="853" t="s">
        <v>2178</v>
      </c>
      <c r="C334" s="1112"/>
      <c r="E334" s="2757"/>
      <c r="F334" s="1012"/>
      <c r="G334" s="1012"/>
      <c r="H334" s="1012"/>
      <c r="I334" s="1012"/>
      <c r="J334" s="1012"/>
      <c r="K334" s="1012"/>
      <c r="L334" s="1012"/>
      <c r="M334" s="1012"/>
    </row>
    <row r="335" spans="1:15" outlineLevel="1" x14ac:dyDescent="0.25">
      <c r="A335" s="853"/>
      <c r="B335" s="853"/>
      <c r="C335" s="1112"/>
    </row>
    <row r="336" spans="1:15" outlineLevel="1" x14ac:dyDescent="0.25">
      <c r="A336" s="853"/>
      <c r="B336" s="1112" t="s">
        <v>2163</v>
      </c>
      <c r="C336" s="1112"/>
    </row>
    <row r="337" spans="2:14" outlineLevel="2" x14ac:dyDescent="0.25">
      <c r="B337" s="2789"/>
      <c r="C337" s="1112"/>
      <c r="E337" s="2757"/>
      <c r="F337" s="3104">
        <v>2015</v>
      </c>
      <c r="G337" s="3104">
        <v>2020</v>
      </c>
      <c r="H337" s="3104">
        <v>2025</v>
      </c>
      <c r="I337" s="3104">
        <v>2030</v>
      </c>
      <c r="J337" s="3104">
        <v>2035</v>
      </c>
      <c r="K337" s="3104">
        <v>2040</v>
      </c>
      <c r="L337" s="3104">
        <v>2045</v>
      </c>
      <c r="M337" s="3104">
        <v>2050</v>
      </c>
      <c r="N337" s="1109"/>
    </row>
    <row r="338" spans="2:14" s="2789" customFormat="1" outlineLevel="2" x14ac:dyDescent="0.25">
      <c r="E338" s="2757"/>
      <c r="F338" s="1012"/>
      <c r="G338" s="1012"/>
      <c r="H338" s="1012"/>
      <c r="I338" s="1012"/>
      <c r="J338" s="1012"/>
      <c r="K338" s="1012"/>
      <c r="L338" s="1012"/>
      <c r="M338" s="1012"/>
    </row>
    <row r="339" spans="2:14" s="2789" customFormat="1" outlineLevel="2" x14ac:dyDescent="0.25">
      <c r="C339" s="1112"/>
      <c r="E339" s="3047" t="s">
        <v>1919</v>
      </c>
      <c r="F339" s="2790">
        <f t="shared" ref="F339:M339" si="46">F146</f>
        <v>149939532292.52252</v>
      </c>
      <c r="G339" s="2790">
        <f t="shared" si="46"/>
        <v>162606439419.22409</v>
      </c>
      <c r="H339" s="2790">
        <f t="shared" si="46"/>
        <v>185897516164.68985</v>
      </c>
      <c r="I339" s="2790">
        <f t="shared" si="46"/>
        <v>216246077854.03421</v>
      </c>
      <c r="J339" s="2790">
        <f t="shared" si="46"/>
        <v>245805232271.92966</v>
      </c>
      <c r="K339" s="2790">
        <f t="shared" si="46"/>
        <v>270748203718.45178</v>
      </c>
      <c r="L339" s="2790">
        <f t="shared" si="46"/>
        <v>291690498627.26385</v>
      </c>
      <c r="M339" s="2790">
        <f t="shared" si="46"/>
        <v>309537306669.53802</v>
      </c>
    </row>
    <row r="340" spans="2:14" outlineLevel="2" x14ac:dyDescent="0.25">
      <c r="E340" s="2757"/>
      <c r="F340" s="1012"/>
      <c r="G340" s="1012"/>
      <c r="H340" s="1012"/>
      <c r="I340" s="1012"/>
      <c r="J340" s="1012"/>
      <c r="K340" s="1012"/>
      <c r="L340" s="1012"/>
      <c r="M340" s="1012"/>
    </row>
    <row r="341" spans="2:14" outlineLevel="2" x14ac:dyDescent="0.25">
      <c r="C341" s="2773" t="s">
        <v>1938</v>
      </c>
      <c r="D341" s="1111"/>
      <c r="E341" s="1111"/>
      <c r="F341" s="1111"/>
      <c r="G341" s="1111"/>
      <c r="H341" s="1111"/>
      <c r="I341" s="1111"/>
      <c r="J341" s="1111"/>
      <c r="K341" s="1111"/>
      <c r="L341" s="1111"/>
      <c r="M341" s="1111"/>
    </row>
    <row r="342" spans="2:14" outlineLevel="2" x14ac:dyDescent="0.25">
      <c r="C342" s="1009" t="s">
        <v>602</v>
      </c>
      <c r="E342" s="2762" t="s">
        <v>1918</v>
      </c>
      <c r="F342" s="1012">
        <f t="shared" ref="F342:M342" si="47">F248+F252</f>
        <v>0.65933273304474349</v>
      </c>
      <c r="G342" s="1012">
        <f t="shared" si="47"/>
        <v>0.66590846321036401</v>
      </c>
      <c r="H342" s="1012">
        <f t="shared" si="47"/>
        <v>0.67241365970008504</v>
      </c>
      <c r="I342" s="1012">
        <f t="shared" si="47"/>
        <v>0.67906360830808765</v>
      </c>
      <c r="J342" s="1012">
        <f t="shared" si="47"/>
        <v>0.67811495208805317</v>
      </c>
      <c r="K342" s="1012">
        <f t="shared" si="47"/>
        <v>0.69349594889252852</v>
      </c>
      <c r="L342" s="1012">
        <f t="shared" si="47"/>
        <v>0.70304165696500076</v>
      </c>
      <c r="M342" s="1012">
        <f t="shared" si="47"/>
        <v>0.70949137713189581</v>
      </c>
    </row>
    <row r="343" spans="2:14" outlineLevel="2" x14ac:dyDescent="0.25">
      <c r="C343" s="1009" t="s">
        <v>606</v>
      </c>
      <c r="E343" s="2762" t="s">
        <v>1918</v>
      </c>
      <c r="F343" s="1012">
        <f t="shared" ref="F343:M345" si="48">F249</f>
        <v>3.8957532311519334E-2</v>
      </c>
      <c r="G343" s="1012">
        <f t="shared" si="48"/>
        <v>3.8957532311519334E-2</v>
      </c>
      <c r="H343" s="1012">
        <f t="shared" si="48"/>
        <v>3.8957532311519334E-2</v>
      </c>
      <c r="I343" s="1012">
        <f t="shared" si="48"/>
        <v>3.8957532311519334E-2</v>
      </c>
      <c r="J343" s="1012">
        <f t="shared" si="48"/>
        <v>3.8957532311519334E-2</v>
      </c>
      <c r="K343" s="1012">
        <f t="shared" si="48"/>
        <v>3.8957532311519334E-2</v>
      </c>
      <c r="L343" s="1012">
        <f t="shared" si="48"/>
        <v>3.8957532311519334E-2</v>
      </c>
      <c r="M343" s="1012">
        <f t="shared" si="48"/>
        <v>3.8957532311519334E-2</v>
      </c>
    </row>
    <row r="344" spans="2:14" outlineLevel="2" x14ac:dyDescent="0.25">
      <c r="C344" s="1109" t="s">
        <v>595</v>
      </c>
      <c r="D344" s="1109"/>
      <c r="E344" s="2763" t="s">
        <v>1918</v>
      </c>
      <c r="F344" s="1886">
        <f t="shared" si="48"/>
        <v>0.24268841126550209</v>
      </c>
      <c r="G344" s="1886">
        <f t="shared" si="48"/>
        <v>0.23354408516508118</v>
      </c>
      <c r="H344" s="1886">
        <f t="shared" si="48"/>
        <v>0.22384428021209796</v>
      </c>
      <c r="I344" s="1886">
        <f t="shared" si="48"/>
        <v>0.21448422923679217</v>
      </c>
      <c r="J344" s="1886">
        <f t="shared" si="48"/>
        <v>0.21177009591168741</v>
      </c>
      <c r="K344" s="1886">
        <f t="shared" si="48"/>
        <v>0.19721868070391496</v>
      </c>
      <c r="L344" s="1886">
        <f t="shared" si="48"/>
        <v>0.18748905596689577</v>
      </c>
      <c r="M344" s="1886">
        <f t="shared" si="48"/>
        <v>0.1804339104181053</v>
      </c>
    </row>
    <row r="345" spans="2:14" outlineLevel="2" x14ac:dyDescent="0.25">
      <c r="C345" s="2764" t="s">
        <v>596</v>
      </c>
      <c r="D345" s="1111"/>
      <c r="E345" s="2765" t="s">
        <v>1918</v>
      </c>
      <c r="F345" s="2760">
        <f t="shared" si="48"/>
        <v>5.9021323378235159E-2</v>
      </c>
      <c r="G345" s="2760">
        <f t="shared" si="48"/>
        <v>6.1589919313035445E-2</v>
      </c>
      <c r="H345" s="2760">
        <f t="shared" si="48"/>
        <v>6.4784527776297701E-2</v>
      </c>
      <c r="I345" s="2760">
        <f t="shared" si="48"/>
        <v>6.7494630143600937E-2</v>
      </c>
      <c r="J345" s="2760">
        <f t="shared" si="48"/>
        <v>7.115741968874012E-2</v>
      </c>
      <c r="K345" s="2760">
        <f t="shared" si="48"/>
        <v>7.0327838092037076E-2</v>
      </c>
      <c r="L345" s="2760">
        <f t="shared" si="48"/>
        <v>7.0511754756584069E-2</v>
      </c>
      <c r="M345" s="2760">
        <f t="shared" si="48"/>
        <v>7.1117180138479466E-2</v>
      </c>
    </row>
    <row r="346" spans="2:14" outlineLevel="2" x14ac:dyDescent="0.25">
      <c r="C346" s="2766" t="s">
        <v>602</v>
      </c>
      <c r="D346" s="2766"/>
      <c r="E346" s="2767" t="s">
        <v>1920</v>
      </c>
      <c r="F346" s="2768">
        <f t="shared" ref="F346:M349" si="49">F$339*F342</f>
        <v>98860041617.879456</v>
      </c>
      <c r="G346" s="2768">
        <f t="shared" si="49"/>
        <v>108281004181.76466</v>
      </c>
      <c r="H346" s="2768">
        <f t="shared" si="49"/>
        <v>125000029173.45482</v>
      </c>
      <c r="I346" s="2768">
        <f t="shared" si="49"/>
        <v>146844841910.0321</v>
      </c>
      <c r="J346" s="2768">
        <f t="shared" si="49"/>
        <v>166684203305.07236</v>
      </c>
      <c r="K346" s="2768">
        <f t="shared" si="49"/>
        <v>187762782448.67532</v>
      </c>
      <c r="L346" s="2768">
        <f t="shared" si="49"/>
        <v>205070571475.85886</v>
      </c>
      <c r="M346" s="2768">
        <f t="shared" si="49"/>
        <v>219614049982.66849</v>
      </c>
    </row>
    <row r="347" spans="2:14" outlineLevel="2" x14ac:dyDescent="0.25">
      <c r="C347" s="1109" t="s">
        <v>606</v>
      </c>
      <c r="D347" s="1109"/>
      <c r="E347" s="2763" t="s">
        <v>1920</v>
      </c>
      <c r="F347" s="2769">
        <f t="shared" si="49"/>
        <v>5841274174.0600424</v>
      </c>
      <c r="G347" s="2769">
        <f t="shared" si="49"/>
        <v>6334745617.7355337</v>
      </c>
      <c r="H347" s="2769">
        <f t="shared" si="49"/>
        <v>7242108492.6170921</v>
      </c>
      <c r="I347" s="2769">
        <f t="shared" si="49"/>
        <v>8424413565.2378635</v>
      </c>
      <c r="J347" s="2769">
        <f t="shared" si="49"/>
        <v>9575965278.5742149</v>
      </c>
      <c r="K347" s="2769">
        <f t="shared" si="49"/>
        <v>10547681894.647404</v>
      </c>
      <c r="L347" s="2769">
        <f t="shared" si="49"/>
        <v>11363542025.234818</v>
      </c>
      <c r="M347" s="2769">
        <f t="shared" si="49"/>
        <v>12058809626.199196</v>
      </c>
    </row>
    <row r="348" spans="2:14" outlineLevel="2" x14ac:dyDescent="0.25">
      <c r="C348" s="1109" t="s">
        <v>595</v>
      </c>
      <c r="D348" s="1109"/>
      <c r="E348" s="2763" t="s">
        <v>1920</v>
      </c>
      <c r="F348" s="2769">
        <f t="shared" si="49"/>
        <v>36388586877.964737</v>
      </c>
      <c r="G348" s="2769">
        <f t="shared" si="49"/>
        <v>37975772136.113884</v>
      </c>
      <c r="H348" s="2769">
        <f t="shared" si="49"/>
        <v>41612095699.101845</v>
      </c>
      <c r="I348" s="2769">
        <f t="shared" si="49"/>
        <v>46381373334.001877</v>
      </c>
      <c r="J348" s="2769">
        <f t="shared" si="49"/>
        <v>52054197613.821144</v>
      </c>
      <c r="K348" s="2769">
        <f t="shared" si="49"/>
        <v>53396603540.307861</v>
      </c>
      <c r="L348" s="2769">
        <f t="shared" si="49"/>
        <v>54688776222.138809</v>
      </c>
      <c r="M348" s="2769">
        <f t="shared" si="49"/>
        <v>55851026662.673012</v>
      </c>
    </row>
    <row r="349" spans="2:14" outlineLevel="2" x14ac:dyDescent="0.25">
      <c r="C349" s="2764" t="s">
        <v>596</v>
      </c>
      <c r="D349" s="1111"/>
      <c r="E349" s="2765" t="s">
        <v>1920</v>
      </c>
      <c r="F349" s="1114">
        <f t="shared" si="49"/>
        <v>8849629622.6183052</v>
      </c>
      <c r="G349" s="1114">
        <f t="shared" si="49"/>
        <v>10014917483.609999</v>
      </c>
      <c r="H349" s="1114">
        <f t="shared" si="49"/>
        <v>12043282799.5161</v>
      </c>
      <c r="I349" s="1114">
        <f t="shared" si="49"/>
        <v>14595449044.762373</v>
      </c>
      <c r="J349" s="1114">
        <f t="shared" si="49"/>
        <v>17490866074.461945</v>
      </c>
      <c r="K349" s="1114">
        <f t="shared" si="49"/>
        <v>19041135834.821148</v>
      </c>
      <c r="L349" s="1114">
        <f t="shared" si="49"/>
        <v>20567608904.031349</v>
      </c>
      <c r="M349" s="1114">
        <f t="shared" si="49"/>
        <v>22013420397.997295</v>
      </c>
    </row>
    <row r="350" spans="2:14" outlineLevel="2" x14ac:dyDescent="0.25">
      <c r="C350" s="1109" t="s">
        <v>602</v>
      </c>
      <c r="D350" s="1109"/>
      <c r="E350" s="2763" t="s">
        <v>1921</v>
      </c>
      <c r="F350" s="2771">
        <f t="shared" ref="F350:M353" si="50">F346/F258/10^9</f>
        <v>56.513152583014289</v>
      </c>
      <c r="G350" s="2771">
        <f t="shared" si="50"/>
        <v>62.12008161331255</v>
      </c>
      <c r="H350" s="2771">
        <f t="shared" si="50"/>
        <v>71.912443511941916</v>
      </c>
      <c r="I350" s="2771">
        <f t="shared" si="50"/>
        <v>84.694603107398805</v>
      </c>
      <c r="J350" s="2771">
        <f t="shared" si="50"/>
        <v>96.376775265580306</v>
      </c>
      <c r="K350" s="2771">
        <f t="shared" si="50"/>
        <v>108.79302487175629</v>
      </c>
      <c r="L350" s="2771">
        <f t="shared" si="50"/>
        <v>119.06542763885344</v>
      </c>
      <c r="M350" s="2771">
        <f t="shared" si="50"/>
        <v>127.75358584842179</v>
      </c>
    </row>
    <row r="351" spans="2:14" outlineLevel="2" x14ac:dyDescent="0.25">
      <c r="C351" s="1109" t="s">
        <v>606</v>
      </c>
      <c r="D351" s="1109"/>
      <c r="E351" s="2763" t="s">
        <v>1921</v>
      </c>
      <c r="F351" s="2771">
        <f t="shared" si="50"/>
        <v>5.8412741740600422</v>
      </c>
      <c r="G351" s="2771">
        <f t="shared" si="50"/>
        <v>6.3347456177355337</v>
      </c>
      <c r="H351" s="2771">
        <f t="shared" si="50"/>
        <v>7.242108492617092</v>
      </c>
      <c r="I351" s="2771">
        <f t="shared" si="50"/>
        <v>8.4244135652378631</v>
      </c>
      <c r="J351" s="2771">
        <f t="shared" si="50"/>
        <v>9.5759652785742144</v>
      </c>
      <c r="K351" s="2771">
        <f t="shared" si="50"/>
        <v>10.547681894647404</v>
      </c>
      <c r="L351" s="2771">
        <f t="shared" si="50"/>
        <v>11.363542025234818</v>
      </c>
      <c r="M351" s="2771">
        <f t="shared" si="50"/>
        <v>12.058809626199196</v>
      </c>
    </row>
    <row r="352" spans="2:14" outlineLevel="2" x14ac:dyDescent="0.25">
      <c r="C352" s="1109" t="s">
        <v>595</v>
      </c>
      <c r="D352" s="1109"/>
      <c r="E352" s="2763" t="s">
        <v>1921</v>
      </c>
      <c r="F352" s="2771">
        <f t="shared" si="50"/>
        <v>4.0188198359198006</v>
      </c>
      <c r="G352" s="2771">
        <f t="shared" si="50"/>
        <v>4.1941113804945056</v>
      </c>
      <c r="H352" s="2771">
        <f t="shared" si="50"/>
        <v>4.5957133804228949</v>
      </c>
      <c r="I352" s="2771">
        <f t="shared" si="50"/>
        <v>5.1224408300604489</v>
      </c>
      <c r="J352" s="2771">
        <f t="shared" si="50"/>
        <v>5.7489575677914919</v>
      </c>
      <c r="K352" s="2771">
        <f t="shared" si="50"/>
        <v>5.8972152504356066</v>
      </c>
      <c r="L352" s="2771">
        <f t="shared" si="50"/>
        <v>6.0399250847743664</v>
      </c>
      <c r="M352" s="2771">
        <f t="shared" si="50"/>
        <v>6.1682860772028425</v>
      </c>
    </row>
    <row r="353" spans="1:14" outlineLevel="2" x14ac:dyDescent="0.25">
      <c r="C353" s="2776" t="s">
        <v>596</v>
      </c>
      <c r="D353" s="1109"/>
      <c r="E353" s="2763" t="s">
        <v>1921</v>
      </c>
      <c r="F353" s="2771">
        <f t="shared" si="50"/>
        <v>8.3644892463311013E-2</v>
      </c>
      <c r="G353" s="2771">
        <f t="shared" si="50"/>
        <v>9.4658955421644597E-2</v>
      </c>
      <c r="H353" s="2771">
        <f t="shared" si="50"/>
        <v>0.11383065027898015</v>
      </c>
      <c r="I353" s="2771">
        <f t="shared" si="50"/>
        <v>0.13795320458187499</v>
      </c>
      <c r="J353" s="2771">
        <f t="shared" si="50"/>
        <v>0.1653200952217575</v>
      </c>
      <c r="K353" s="2771">
        <f t="shared" si="50"/>
        <v>0.17997292849547397</v>
      </c>
      <c r="L353" s="2771">
        <f t="shared" si="50"/>
        <v>0.19440084030275379</v>
      </c>
      <c r="M353" s="2771">
        <f t="shared" si="50"/>
        <v>0.20806635536859447</v>
      </c>
      <c r="N353" s="1109"/>
    </row>
    <row r="354" spans="1:14" outlineLevel="1" x14ac:dyDescent="0.25">
      <c r="C354" s="1109"/>
      <c r="D354" s="1109"/>
      <c r="E354" s="2826"/>
      <c r="F354" s="2769"/>
      <c r="G354" s="1886"/>
      <c r="H354" s="1886"/>
      <c r="I354" s="1886"/>
      <c r="J354" s="1886"/>
      <c r="K354" s="1886"/>
      <c r="L354" s="1886"/>
      <c r="M354" s="1886"/>
    </row>
    <row r="355" spans="1:14" outlineLevel="1" x14ac:dyDescent="0.25">
      <c r="A355" s="853"/>
      <c r="B355" s="853" t="s">
        <v>2158</v>
      </c>
      <c r="C355" s="1109"/>
      <c r="D355" s="1109"/>
      <c r="E355" s="2826"/>
      <c r="F355" s="2769"/>
      <c r="G355" s="1886"/>
      <c r="H355" s="1886"/>
      <c r="I355" s="1886"/>
      <c r="J355" s="1886"/>
      <c r="K355" s="1886"/>
      <c r="L355" s="1886"/>
      <c r="M355" s="1886"/>
    </row>
    <row r="356" spans="1:14" outlineLevel="2" x14ac:dyDescent="0.25">
      <c r="A356" s="853"/>
      <c r="B356" s="853"/>
      <c r="C356" s="1109"/>
      <c r="D356" s="1109"/>
      <c r="E356" s="2826"/>
      <c r="F356" s="2769"/>
      <c r="G356" s="1886"/>
      <c r="H356" s="1886"/>
      <c r="I356" s="1886"/>
      <c r="J356" s="1886"/>
      <c r="K356" s="1886"/>
      <c r="L356" s="1886"/>
      <c r="M356" s="1886"/>
    </row>
    <row r="357" spans="1:14" outlineLevel="2" x14ac:dyDescent="0.25">
      <c r="B357" s="1112"/>
      <c r="C357" s="2773" t="s">
        <v>2164</v>
      </c>
      <c r="D357" s="1111"/>
      <c r="E357" s="1111"/>
      <c r="F357" s="2833">
        <v>2015</v>
      </c>
      <c r="G357" s="2833">
        <v>2020</v>
      </c>
      <c r="H357" s="2833">
        <v>2025</v>
      </c>
      <c r="I357" s="2833">
        <v>2030</v>
      </c>
      <c r="J357" s="2833">
        <v>2035</v>
      </c>
      <c r="K357" s="2833">
        <v>2040</v>
      </c>
      <c r="L357" s="2833">
        <v>2045</v>
      </c>
      <c r="M357" s="2833">
        <v>2050</v>
      </c>
    </row>
    <row r="358" spans="1:14" outlineLevel="2" x14ac:dyDescent="0.25">
      <c r="C358" s="1009" t="s">
        <v>602</v>
      </c>
      <c r="D358" s="1009" t="s">
        <v>582</v>
      </c>
      <c r="E358" s="2763" t="s">
        <v>1921</v>
      </c>
      <c r="F358" s="1113">
        <f t="shared" ref="F358:M365" si="51">F$350*F274</f>
        <v>51.867205561926532</v>
      </c>
      <c r="G358" s="1113">
        <f t="shared" si="51"/>
        <v>56.998882873667704</v>
      </c>
      <c r="H358" s="1113">
        <f t="shared" si="51"/>
        <v>65.971755705018595</v>
      </c>
      <c r="I358" s="1113">
        <f t="shared" si="51"/>
        <v>77.685402983606096</v>
      </c>
      <c r="J358" s="1113">
        <f t="shared" si="51"/>
        <v>88.388075065955931</v>
      </c>
      <c r="K358" s="1113">
        <f t="shared" si="51"/>
        <v>99.763623225322988</v>
      </c>
      <c r="L358" s="1113">
        <f t="shared" si="51"/>
        <v>109.16820666582859</v>
      </c>
      <c r="M358" s="1113">
        <f t="shared" si="51"/>
        <v>117.11698666311177</v>
      </c>
    </row>
    <row r="359" spans="1:14" outlineLevel="2" x14ac:dyDescent="0.25">
      <c r="C359" s="1009" t="s">
        <v>602</v>
      </c>
      <c r="D359" s="1009" t="s">
        <v>334</v>
      </c>
      <c r="E359" s="2763" t="s">
        <v>1921</v>
      </c>
      <c r="F359" s="1113">
        <f t="shared" si="51"/>
        <v>4.5963777577914717</v>
      </c>
      <c r="G359" s="1113">
        <f t="shared" si="51"/>
        <v>5.0511377010023804</v>
      </c>
      <c r="H359" s="1113">
        <f t="shared" si="51"/>
        <v>5.8462974297498871</v>
      </c>
      <c r="I359" s="1113">
        <f t="shared" si="51"/>
        <v>6.8843396228969969</v>
      </c>
      <c r="J359" s="1113">
        <f t="shared" si="51"/>
        <v>7.8327910263471834</v>
      </c>
      <c r="K359" s="1113">
        <f t="shared" si="51"/>
        <v>8.8408714882871173</v>
      </c>
      <c r="L359" s="1113">
        <f t="shared" si="51"/>
        <v>9.674288628827366</v>
      </c>
      <c r="M359" s="1113">
        <f t="shared" si="51"/>
        <v>10.378695106586585</v>
      </c>
    </row>
    <row r="360" spans="1:14" outlineLevel="2" x14ac:dyDescent="0.25">
      <c r="C360" s="1009" t="s">
        <v>602</v>
      </c>
      <c r="D360" s="1009" t="s">
        <v>583</v>
      </c>
      <c r="E360" s="2763" t="s">
        <v>1921</v>
      </c>
      <c r="F360" s="1113">
        <f t="shared" si="51"/>
        <v>2.4044791897449753E-2</v>
      </c>
      <c r="G360" s="1113">
        <f t="shared" si="51"/>
        <v>4.3369483322210675E-2</v>
      </c>
      <c r="H360" s="1113">
        <f t="shared" si="51"/>
        <v>6.6670835950397217E-2</v>
      </c>
      <c r="I360" s="1113">
        <f t="shared" si="51"/>
        <v>9.5482986047343427E-2</v>
      </c>
      <c r="J360" s="1113">
        <f t="shared" si="51"/>
        <v>0.12572963870322554</v>
      </c>
      <c r="K360" s="1113">
        <f t="shared" si="51"/>
        <v>0.1569146945409147</v>
      </c>
      <c r="L360" s="1113">
        <f t="shared" si="51"/>
        <v>0.19009136258497131</v>
      </c>
      <c r="M360" s="1113">
        <f t="shared" si="51"/>
        <v>0.22417258497309847</v>
      </c>
    </row>
    <row r="361" spans="1:14" outlineLevel="2" x14ac:dyDescent="0.25">
      <c r="C361" s="1009" t="s">
        <v>602</v>
      </c>
      <c r="D361" s="1009" t="s">
        <v>584</v>
      </c>
      <c r="E361" s="2763" t="s">
        <v>1921</v>
      </c>
      <c r="F361" s="1113">
        <f t="shared" si="51"/>
        <v>2.4044791897449753E-2</v>
      </c>
      <c r="G361" s="1113">
        <f t="shared" si="51"/>
        <v>2.4600181032412016E-2</v>
      </c>
      <c r="H361" s="1113">
        <f t="shared" si="51"/>
        <v>2.4901918023821263E-2</v>
      </c>
      <c r="I361" s="1113">
        <f t="shared" si="51"/>
        <v>2.5650335717148032E-2</v>
      </c>
      <c r="J361" s="1113">
        <f t="shared" si="51"/>
        <v>2.5525529401513637E-2</v>
      </c>
      <c r="K361" s="1113">
        <f t="shared" si="51"/>
        <v>2.5987697690467753E-2</v>
      </c>
      <c r="L361" s="1113">
        <f t="shared" si="51"/>
        <v>2.6186284770792771E-2</v>
      </c>
      <c r="M361" s="1113">
        <f t="shared" si="51"/>
        <v>2.6032864534704315E-2</v>
      </c>
    </row>
    <row r="362" spans="1:14" outlineLevel="2" x14ac:dyDescent="0.25">
      <c r="C362" s="1009" t="s">
        <v>602</v>
      </c>
      <c r="D362" s="1009" t="s">
        <v>585</v>
      </c>
      <c r="E362" s="2763" t="s">
        <v>1921</v>
      </c>
      <c r="F362" s="1113">
        <f t="shared" si="51"/>
        <v>0</v>
      </c>
      <c r="G362" s="1113">
        <f t="shared" si="51"/>
        <v>0</v>
      </c>
      <c r="H362" s="1113">
        <f t="shared" si="51"/>
        <v>0</v>
      </c>
      <c r="I362" s="1113">
        <f t="shared" si="51"/>
        <v>0</v>
      </c>
      <c r="J362" s="1113">
        <f t="shared" si="51"/>
        <v>0</v>
      </c>
      <c r="K362" s="1113">
        <f t="shared" si="51"/>
        <v>0</v>
      </c>
      <c r="L362" s="1113">
        <f t="shared" si="51"/>
        <v>0</v>
      </c>
      <c r="M362" s="1113">
        <f t="shared" si="51"/>
        <v>0</v>
      </c>
    </row>
    <row r="363" spans="1:14" outlineLevel="2" x14ac:dyDescent="0.25">
      <c r="C363" s="1009" t="s">
        <v>602</v>
      </c>
      <c r="D363" s="1009" t="s">
        <v>586</v>
      </c>
      <c r="E363" s="2763" t="s">
        <v>1921</v>
      </c>
      <c r="F363" s="1113">
        <f t="shared" si="51"/>
        <v>0</v>
      </c>
      <c r="G363" s="1113">
        <f t="shared" si="51"/>
        <v>0</v>
      </c>
      <c r="H363" s="1113">
        <f t="shared" si="51"/>
        <v>0</v>
      </c>
      <c r="I363" s="1113">
        <f t="shared" si="51"/>
        <v>0</v>
      </c>
      <c r="J363" s="1113">
        <f t="shared" si="51"/>
        <v>0</v>
      </c>
      <c r="K363" s="1113">
        <f t="shared" si="51"/>
        <v>0</v>
      </c>
      <c r="L363" s="1113">
        <f t="shared" si="51"/>
        <v>0</v>
      </c>
      <c r="M363" s="1113">
        <f t="shared" si="51"/>
        <v>0</v>
      </c>
    </row>
    <row r="364" spans="1:14" outlineLevel="2" x14ac:dyDescent="0.25">
      <c r="C364" s="1009" t="s">
        <v>602</v>
      </c>
      <c r="D364" s="1009" t="s">
        <v>587</v>
      </c>
      <c r="E364" s="2763" t="s">
        <v>1921</v>
      </c>
      <c r="F364" s="1113">
        <f t="shared" si="51"/>
        <v>1.4796795013815233E-3</v>
      </c>
      <c r="G364" s="1113">
        <f t="shared" si="51"/>
        <v>2.0913742878345435E-3</v>
      </c>
      <c r="H364" s="1113">
        <f t="shared" si="51"/>
        <v>2.8176231992067219E-3</v>
      </c>
      <c r="I364" s="1113">
        <f t="shared" si="51"/>
        <v>3.7271791312151201E-3</v>
      </c>
      <c r="J364" s="1113">
        <f t="shared" si="51"/>
        <v>4.6540051724535125E-3</v>
      </c>
      <c r="K364" s="1113">
        <f t="shared" si="51"/>
        <v>5.6277659148117653E-3</v>
      </c>
      <c r="L364" s="1113">
        <f t="shared" si="51"/>
        <v>6.6546968417158158E-3</v>
      </c>
      <c r="M364" s="1113">
        <f t="shared" si="51"/>
        <v>7.6986292156246972E-3</v>
      </c>
    </row>
    <row r="365" spans="1:14" outlineLevel="2" x14ac:dyDescent="0.25">
      <c r="C365" s="1111" t="s">
        <v>602</v>
      </c>
      <c r="D365" s="1111" t="s">
        <v>588</v>
      </c>
      <c r="E365" s="2765" t="s">
        <v>1921</v>
      </c>
      <c r="F365" s="1113">
        <f t="shared" si="51"/>
        <v>0</v>
      </c>
      <c r="G365" s="1113">
        <f t="shared" si="51"/>
        <v>0</v>
      </c>
      <c r="H365" s="1113">
        <f t="shared" si="51"/>
        <v>0</v>
      </c>
      <c r="I365" s="1113">
        <f t="shared" si="51"/>
        <v>0</v>
      </c>
      <c r="J365" s="1113">
        <f t="shared" si="51"/>
        <v>0</v>
      </c>
      <c r="K365" s="1113">
        <f t="shared" si="51"/>
        <v>0</v>
      </c>
      <c r="L365" s="1113">
        <f t="shared" si="51"/>
        <v>0</v>
      </c>
      <c r="M365" s="1113">
        <f t="shared" si="51"/>
        <v>0</v>
      </c>
    </row>
    <row r="366" spans="1:14" outlineLevel="2" x14ac:dyDescent="0.25">
      <c r="C366" s="2774" t="s">
        <v>595</v>
      </c>
      <c r="D366" s="2766" t="s">
        <v>590</v>
      </c>
      <c r="E366" s="2767" t="s">
        <v>1921</v>
      </c>
      <c r="F366" s="2775">
        <f t="shared" ref="F366:M369" si="52">F$352*F112</f>
        <v>0</v>
      </c>
      <c r="G366" s="2775">
        <f t="shared" si="52"/>
        <v>2.5342320881882049E-4</v>
      </c>
      <c r="H366" s="2775">
        <f t="shared" si="52"/>
        <v>2.6690249367681147E-4</v>
      </c>
      <c r="I366" s="2775">
        <f t="shared" si="52"/>
        <v>2.8930641064950992E-4</v>
      </c>
      <c r="J366" s="2775">
        <f t="shared" si="52"/>
        <v>3.1879880959873155E-4</v>
      </c>
      <c r="K366" s="2775">
        <f t="shared" si="52"/>
        <v>3.048374609585957E-4</v>
      </c>
      <c r="L366" s="2775">
        <f t="shared" si="52"/>
        <v>2.993380578014481E-4</v>
      </c>
      <c r="M366" s="2775">
        <f t="shared" si="52"/>
        <v>2.9266396271310181E-4</v>
      </c>
    </row>
    <row r="367" spans="1:14" outlineLevel="2" x14ac:dyDescent="0.25">
      <c r="C367" s="2776" t="s">
        <v>595</v>
      </c>
      <c r="D367" s="1109" t="s">
        <v>591</v>
      </c>
      <c r="E367" s="2763" t="s">
        <v>1921</v>
      </c>
      <c r="F367" s="2771">
        <f t="shared" si="52"/>
        <v>2.5599221257058469E-4</v>
      </c>
      <c r="G367" s="2771">
        <f t="shared" si="52"/>
        <v>4.9518895003197519E-2</v>
      </c>
      <c r="H367" s="2771">
        <f t="shared" si="52"/>
        <v>8.6743310444963723E-2</v>
      </c>
      <c r="I367" s="2771">
        <f t="shared" si="52"/>
        <v>0.18804916692218143</v>
      </c>
      <c r="J367" s="2771">
        <f t="shared" si="52"/>
        <v>0.20721922623917552</v>
      </c>
      <c r="K367" s="2771">
        <f t="shared" si="52"/>
        <v>0.29721652443463076</v>
      </c>
      <c r="L367" s="2771">
        <f t="shared" si="52"/>
        <v>0.29185460635641186</v>
      </c>
      <c r="M367" s="2771">
        <f t="shared" si="52"/>
        <v>0.2853473636452743</v>
      </c>
    </row>
    <row r="368" spans="1:14" outlineLevel="2" x14ac:dyDescent="0.25">
      <c r="C368" s="2776" t="s">
        <v>595</v>
      </c>
      <c r="D368" s="1109" t="s">
        <v>592</v>
      </c>
      <c r="E368" s="2763" t="s">
        <v>1921</v>
      </c>
      <c r="F368" s="2771">
        <f t="shared" si="52"/>
        <v>0</v>
      </c>
      <c r="G368" s="2771">
        <f t="shared" si="52"/>
        <v>0</v>
      </c>
      <c r="H368" s="2771">
        <f t="shared" si="52"/>
        <v>0</v>
      </c>
      <c r="I368" s="2771">
        <f t="shared" si="52"/>
        <v>0</v>
      </c>
      <c r="J368" s="2771">
        <f t="shared" si="52"/>
        <v>0</v>
      </c>
      <c r="K368" s="2771">
        <f t="shared" si="52"/>
        <v>0</v>
      </c>
      <c r="L368" s="2771">
        <f t="shared" si="52"/>
        <v>0</v>
      </c>
      <c r="M368" s="2771">
        <f t="shared" si="52"/>
        <v>0</v>
      </c>
    </row>
    <row r="369" spans="1:13" outlineLevel="2" x14ac:dyDescent="0.25">
      <c r="C369" s="2764" t="s">
        <v>595</v>
      </c>
      <c r="D369" s="1111" t="s">
        <v>593</v>
      </c>
      <c r="E369" s="2765" t="s">
        <v>1921</v>
      </c>
      <c r="F369" s="2772">
        <f t="shared" si="52"/>
        <v>4.0185638437072297</v>
      </c>
      <c r="G369" s="2772">
        <f t="shared" si="52"/>
        <v>4.1443390622824889</v>
      </c>
      <c r="H369" s="2772">
        <f t="shared" si="52"/>
        <v>4.5087031674842546</v>
      </c>
      <c r="I369" s="2772">
        <f t="shared" si="52"/>
        <v>4.9341023567276174</v>
      </c>
      <c r="J369" s="2772">
        <f t="shared" si="52"/>
        <v>5.5414195427427178</v>
      </c>
      <c r="K369" s="2772">
        <f t="shared" si="52"/>
        <v>5.5996938885400169</v>
      </c>
      <c r="L369" s="2772">
        <f t="shared" si="52"/>
        <v>5.747771140360153</v>
      </c>
      <c r="M369" s="2772">
        <f t="shared" si="52"/>
        <v>5.8826460495948547</v>
      </c>
    </row>
    <row r="370" spans="1:13" outlineLevel="2" x14ac:dyDescent="0.25">
      <c r="C370" s="2777" t="s">
        <v>606</v>
      </c>
      <c r="D370" s="2777" t="s">
        <v>1922</v>
      </c>
      <c r="E370" s="2778" t="s">
        <v>1921</v>
      </c>
      <c r="F370" s="2779">
        <f t="shared" ref="F370:M370" si="53">F351</f>
        <v>5.8412741740600422</v>
      </c>
      <c r="G370" s="2779">
        <f t="shared" si="53"/>
        <v>6.3347456177355337</v>
      </c>
      <c r="H370" s="2779">
        <f t="shared" si="53"/>
        <v>7.242108492617092</v>
      </c>
      <c r="I370" s="2779">
        <f t="shared" si="53"/>
        <v>8.4244135652378631</v>
      </c>
      <c r="J370" s="2779">
        <f t="shared" si="53"/>
        <v>9.5759652785742144</v>
      </c>
      <c r="K370" s="2779">
        <f t="shared" si="53"/>
        <v>10.547681894647404</v>
      </c>
      <c r="L370" s="2779">
        <f t="shared" si="53"/>
        <v>11.363542025234818</v>
      </c>
      <c r="M370" s="2779">
        <f t="shared" si="53"/>
        <v>12.058809626199196</v>
      </c>
    </row>
    <row r="371" spans="1:13" outlineLevel="2" x14ac:dyDescent="0.25">
      <c r="C371" s="2777" t="s">
        <v>596</v>
      </c>
      <c r="D371" s="2777" t="s">
        <v>1923</v>
      </c>
      <c r="E371" s="2778" t="s">
        <v>1921</v>
      </c>
      <c r="F371" s="2779">
        <f t="shared" ref="F371:M371" si="54">F353</f>
        <v>8.3644892463311013E-2</v>
      </c>
      <c r="G371" s="2779">
        <f t="shared" si="54"/>
        <v>9.4658955421644597E-2</v>
      </c>
      <c r="H371" s="2779">
        <f t="shared" si="54"/>
        <v>0.11383065027898015</v>
      </c>
      <c r="I371" s="2779">
        <f t="shared" si="54"/>
        <v>0.13795320458187499</v>
      </c>
      <c r="J371" s="2779">
        <f t="shared" si="54"/>
        <v>0.1653200952217575</v>
      </c>
      <c r="K371" s="2779">
        <f t="shared" si="54"/>
        <v>0.17997292849547397</v>
      </c>
      <c r="L371" s="2779">
        <f t="shared" si="54"/>
        <v>0.19440084030275379</v>
      </c>
      <c r="M371" s="2779">
        <f t="shared" si="54"/>
        <v>0.20806635536859447</v>
      </c>
    </row>
    <row r="372" spans="1:13" outlineLevel="1" x14ac:dyDescent="0.25">
      <c r="E372" s="2757"/>
      <c r="F372" s="1012"/>
      <c r="G372" s="1012"/>
      <c r="H372" s="1012"/>
      <c r="I372" s="1012"/>
      <c r="J372" s="1012"/>
      <c r="K372" s="1012"/>
      <c r="L372" s="1012"/>
      <c r="M372" s="1012"/>
    </row>
    <row r="373" spans="1:13" outlineLevel="1" x14ac:dyDescent="0.25">
      <c r="A373" s="853"/>
      <c r="B373" s="853" t="s">
        <v>2159</v>
      </c>
      <c r="C373" s="963"/>
      <c r="E373" s="2757"/>
      <c r="F373" s="1012"/>
      <c r="G373" s="1012"/>
      <c r="H373" s="1012"/>
      <c r="I373" s="1012"/>
      <c r="J373" s="1012"/>
      <c r="K373" s="1012"/>
      <c r="L373" s="1012"/>
      <c r="M373" s="1012"/>
    </row>
    <row r="374" spans="1:13" outlineLevel="2" x14ac:dyDescent="0.25">
      <c r="C374" s="2773" t="s">
        <v>2165</v>
      </c>
      <c r="D374" s="1111"/>
      <c r="E374" s="2770"/>
      <c r="F374" s="2760"/>
      <c r="G374" s="2760"/>
      <c r="H374" s="2760"/>
      <c r="I374" s="2760"/>
      <c r="J374" s="2760"/>
      <c r="K374" s="2760"/>
      <c r="L374" s="2760"/>
      <c r="M374" s="2760"/>
    </row>
    <row r="375" spans="1:13" outlineLevel="2" x14ac:dyDescent="0.25">
      <c r="C375" s="2774" t="s">
        <v>602</v>
      </c>
      <c r="D375" s="2766" t="s">
        <v>582</v>
      </c>
      <c r="E375" s="2767" t="s">
        <v>171</v>
      </c>
      <c r="F375" s="1113">
        <f t="shared" ref="F375:M375" si="55">F358*F172/F44</f>
        <v>31.521240009300335</v>
      </c>
      <c r="G375" s="1113">
        <f t="shared" si="55"/>
        <v>28.158958078087387</v>
      </c>
      <c r="H375" s="1113">
        <f t="shared" si="55"/>
        <v>26.95054543680747</v>
      </c>
      <c r="I375" s="1113">
        <f t="shared" si="55"/>
        <v>31.58391212139426</v>
      </c>
      <c r="J375" s="1113">
        <f t="shared" si="55"/>
        <v>35.935209038581796</v>
      </c>
      <c r="K375" s="1113">
        <f t="shared" si="55"/>
        <v>40.560071620217073</v>
      </c>
      <c r="L375" s="1113">
        <f t="shared" si="55"/>
        <v>44.383615368660159</v>
      </c>
      <c r="M375" s="1113">
        <f t="shared" si="55"/>
        <v>47.615285145277888</v>
      </c>
    </row>
    <row r="376" spans="1:13" outlineLevel="2" x14ac:dyDescent="0.25">
      <c r="C376" s="2776" t="s">
        <v>602</v>
      </c>
      <c r="D376" s="1109" t="s">
        <v>334</v>
      </c>
      <c r="E376" s="2763" t="s">
        <v>171</v>
      </c>
      <c r="F376" s="1113">
        <f t="shared" ref="F376:M376" si="56">F359*F173/F44</f>
        <v>2.2274596784754181</v>
      </c>
      <c r="G376" s="1113">
        <f t="shared" si="56"/>
        <v>2.2071645295492783</v>
      </c>
      <c r="H376" s="1113">
        <f t="shared" si="56"/>
        <v>2.254324196771385</v>
      </c>
      <c r="I376" s="1113">
        <f t="shared" si="56"/>
        <v>2.6457471979449756</v>
      </c>
      <c r="J376" s="1113">
        <f t="shared" si="56"/>
        <v>3.010250226633346</v>
      </c>
      <c r="K376" s="1113">
        <f t="shared" si="56"/>
        <v>3.3976695295117105</v>
      </c>
      <c r="L376" s="1113">
        <f t="shared" si="56"/>
        <v>3.7179632955208586</v>
      </c>
      <c r="M376" s="1113">
        <f t="shared" si="56"/>
        <v>3.9886764745376557</v>
      </c>
    </row>
    <row r="377" spans="1:13" outlineLevel="2" x14ac:dyDescent="0.25">
      <c r="C377" s="2776" t="s">
        <v>602</v>
      </c>
      <c r="D377" s="2776" t="s">
        <v>583</v>
      </c>
      <c r="E377" s="2776" t="s">
        <v>171</v>
      </c>
      <c r="F377" s="2771">
        <f t="shared" ref="F377:M382" si="57">F360*F174</f>
        <v>1.0131359303290325E-2</v>
      </c>
      <c r="G377" s="2771">
        <f t="shared" si="57"/>
        <v>1.6226449292776668E-2</v>
      </c>
      <c r="H377" s="2771">
        <f t="shared" si="57"/>
        <v>2.0414205157755997E-2</v>
      </c>
      <c r="I377" s="2771">
        <f t="shared" si="57"/>
        <v>2.9557224489079371E-2</v>
      </c>
      <c r="J377" s="2771">
        <f t="shared" si="57"/>
        <v>3.845590063680894E-2</v>
      </c>
      <c r="K377" s="2771">
        <f t="shared" si="57"/>
        <v>4.7499573139354836E-2</v>
      </c>
      <c r="L377" s="2771">
        <f t="shared" si="57"/>
        <v>5.7542466667518714E-2</v>
      </c>
      <c r="M377" s="2771">
        <f t="shared" si="57"/>
        <v>6.785917741433381E-2</v>
      </c>
    </row>
    <row r="378" spans="1:13" outlineLevel="2" x14ac:dyDescent="0.25">
      <c r="C378" s="2776" t="s">
        <v>602</v>
      </c>
      <c r="D378" s="2776" t="s">
        <v>584</v>
      </c>
      <c r="E378" s="2776" t="s">
        <v>171</v>
      </c>
      <c r="F378" s="2771">
        <f t="shared" si="57"/>
        <v>9.0776661389734108E-3</v>
      </c>
      <c r="G378" s="2771">
        <f t="shared" si="57"/>
        <v>7.5733883742006023E-3</v>
      </c>
      <c r="H378" s="2771">
        <f t="shared" si="57"/>
        <v>6.9829768893571245E-3</v>
      </c>
      <c r="I378" s="2771">
        <f t="shared" si="57"/>
        <v>6.9583635302696333E-3</v>
      </c>
      <c r="J378" s="2771">
        <f t="shared" si="57"/>
        <v>6.882928474206294E-3</v>
      </c>
      <c r="K378" s="2771">
        <f t="shared" si="57"/>
        <v>6.990729581632129E-3</v>
      </c>
      <c r="L378" s="2771">
        <f t="shared" si="57"/>
        <v>7.0441498035191674E-3</v>
      </c>
      <c r="M378" s="2771">
        <f t="shared" si="57"/>
        <v>7.0028795303453363E-3</v>
      </c>
    </row>
    <row r="379" spans="1:13" outlineLevel="2" x14ac:dyDescent="0.25">
      <c r="C379" s="2776" t="s">
        <v>602</v>
      </c>
      <c r="D379" s="2776" t="s">
        <v>585</v>
      </c>
      <c r="E379" s="2776" t="s">
        <v>171</v>
      </c>
      <c r="F379" s="2771">
        <f t="shared" si="57"/>
        <v>0</v>
      </c>
      <c r="G379" s="2771">
        <f t="shared" si="57"/>
        <v>0</v>
      </c>
      <c r="H379" s="2771">
        <f t="shared" si="57"/>
        <v>0</v>
      </c>
      <c r="I379" s="2771">
        <f t="shared" si="57"/>
        <v>0</v>
      </c>
      <c r="J379" s="2771">
        <f t="shared" si="57"/>
        <v>0</v>
      </c>
      <c r="K379" s="2771">
        <f t="shared" si="57"/>
        <v>0</v>
      </c>
      <c r="L379" s="2771">
        <f t="shared" si="57"/>
        <v>0</v>
      </c>
      <c r="M379" s="2771">
        <f t="shared" si="57"/>
        <v>0</v>
      </c>
    </row>
    <row r="380" spans="1:13" outlineLevel="2" x14ac:dyDescent="0.25">
      <c r="C380" s="2776" t="s">
        <v>602</v>
      </c>
      <c r="D380" s="2776" t="s">
        <v>586</v>
      </c>
      <c r="E380" s="2776" t="s">
        <v>171</v>
      </c>
      <c r="F380" s="2771">
        <f t="shared" si="57"/>
        <v>0</v>
      </c>
      <c r="G380" s="2771">
        <f t="shared" si="57"/>
        <v>0</v>
      </c>
      <c r="H380" s="2771">
        <f t="shared" si="57"/>
        <v>0</v>
      </c>
      <c r="I380" s="2771">
        <f t="shared" si="57"/>
        <v>0</v>
      </c>
      <c r="J380" s="2771">
        <f t="shared" si="57"/>
        <v>0</v>
      </c>
      <c r="K380" s="2771">
        <f t="shared" si="57"/>
        <v>0</v>
      </c>
      <c r="L380" s="2771">
        <f t="shared" si="57"/>
        <v>0</v>
      </c>
      <c r="M380" s="2771">
        <f t="shared" si="57"/>
        <v>0</v>
      </c>
    </row>
    <row r="381" spans="1:13" outlineLevel="2" x14ac:dyDescent="0.25">
      <c r="C381" s="2776" t="s">
        <v>602</v>
      </c>
      <c r="D381" s="2776" t="s">
        <v>587</v>
      </c>
      <c r="E381" s="2776" t="s">
        <v>171</v>
      </c>
      <c r="F381" s="2771">
        <f t="shared" si="57"/>
        <v>2.4037034147566212E-4</v>
      </c>
      <c r="G381" s="2771">
        <f t="shared" si="57"/>
        <v>2.8767907245199573E-4</v>
      </c>
      <c r="H381" s="2771">
        <f t="shared" si="57"/>
        <v>3.6494050318934692E-4</v>
      </c>
      <c r="I381" s="2771">
        <f t="shared" si="57"/>
        <v>4.781691890205881E-4</v>
      </c>
      <c r="J381" s="2771">
        <f t="shared" si="57"/>
        <v>5.9458709790951865E-4</v>
      </c>
      <c r="K381" s="2771">
        <f t="shared" si="57"/>
        <v>7.1223454453084529E-4</v>
      </c>
      <c r="L381" s="2771">
        <f t="shared" si="57"/>
        <v>8.4220009250488698E-4</v>
      </c>
      <c r="M381" s="2771">
        <f t="shared" si="57"/>
        <v>9.7431729675730746E-4</v>
      </c>
    </row>
    <row r="382" spans="1:13" outlineLevel="2" x14ac:dyDescent="0.25">
      <c r="C382" s="2764" t="s">
        <v>602</v>
      </c>
      <c r="D382" s="2764" t="s">
        <v>588</v>
      </c>
      <c r="E382" s="2764" t="s">
        <v>171</v>
      </c>
      <c r="F382" s="2772">
        <f t="shared" si="57"/>
        <v>0</v>
      </c>
      <c r="G382" s="2772">
        <f t="shared" si="57"/>
        <v>0</v>
      </c>
      <c r="H382" s="2772">
        <f t="shared" si="57"/>
        <v>0</v>
      </c>
      <c r="I382" s="2772">
        <f t="shared" si="57"/>
        <v>0</v>
      </c>
      <c r="J382" s="2772">
        <f t="shared" si="57"/>
        <v>0</v>
      </c>
      <c r="K382" s="2772">
        <f t="shared" si="57"/>
        <v>0</v>
      </c>
      <c r="L382" s="2772">
        <f t="shared" si="57"/>
        <v>0</v>
      </c>
      <c r="M382" s="2772">
        <f t="shared" si="57"/>
        <v>0</v>
      </c>
    </row>
    <row r="383" spans="1:13" outlineLevel="2" x14ac:dyDescent="0.25">
      <c r="C383" s="2776" t="s">
        <v>595</v>
      </c>
      <c r="D383" s="2776" t="s">
        <v>590</v>
      </c>
      <c r="E383" s="2776" t="s">
        <v>171</v>
      </c>
      <c r="F383" s="2771">
        <f t="shared" ref="F383:M386" si="58">F366*F267</f>
        <v>0</v>
      </c>
      <c r="G383" s="2771">
        <f t="shared" si="58"/>
        <v>2.0266817171927338E-4</v>
      </c>
      <c r="H383" s="2771">
        <f t="shared" si="58"/>
        <v>1.9558021619984128E-4</v>
      </c>
      <c r="I383" s="2771">
        <f t="shared" si="58"/>
        <v>1.9262985175746538E-4</v>
      </c>
      <c r="J383" s="2771">
        <f t="shared" si="58"/>
        <v>2.1071715762227273E-4</v>
      </c>
      <c r="K383" s="2771">
        <f t="shared" si="58"/>
        <v>2.0000724521783417E-4</v>
      </c>
      <c r="L383" s="2771">
        <f t="shared" si="58"/>
        <v>1.9490233541294286E-4</v>
      </c>
      <c r="M383" s="2771">
        <f t="shared" si="58"/>
        <v>1.8909343813074299E-4</v>
      </c>
    </row>
    <row r="384" spans="1:13" outlineLevel="2" x14ac:dyDescent="0.25">
      <c r="C384" s="2776" t="s">
        <v>595</v>
      </c>
      <c r="D384" s="2776" t="s">
        <v>591</v>
      </c>
      <c r="E384" s="2776" t="s">
        <v>171</v>
      </c>
      <c r="F384" s="2771">
        <f t="shared" si="58"/>
        <v>6.5253126073721408E-4</v>
      </c>
      <c r="G384" s="2771">
        <f t="shared" si="58"/>
        <v>0.11647944524641016</v>
      </c>
      <c r="H384" s="2771">
        <f t="shared" si="58"/>
        <v>0.18696797705491555</v>
      </c>
      <c r="I384" s="2771">
        <f t="shared" si="58"/>
        <v>0.3683151877689726</v>
      </c>
      <c r="J384" s="2771">
        <f t="shared" si="58"/>
        <v>0.40283993189857498</v>
      </c>
      <c r="K384" s="2771">
        <f t="shared" si="58"/>
        <v>0.57346277186748484</v>
      </c>
      <c r="L384" s="2771">
        <f t="shared" si="58"/>
        <v>0.55886103581053481</v>
      </c>
      <c r="M384" s="2771">
        <f t="shared" si="58"/>
        <v>0.54223925408258933</v>
      </c>
    </row>
    <row r="385" spans="1:13" outlineLevel="2" x14ac:dyDescent="0.25">
      <c r="C385" s="2776" t="s">
        <v>595</v>
      </c>
      <c r="D385" s="2776" t="s">
        <v>592</v>
      </c>
      <c r="E385" s="2776" t="s">
        <v>171</v>
      </c>
      <c r="F385" s="2771">
        <f t="shared" si="58"/>
        <v>0</v>
      </c>
      <c r="G385" s="2771">
        <f t="shared" si="58"/>
        <v>0</v>
      </c>
      <c r="H385" s="2771">
        <f t="shared" si="58"/>
        <v>0</v>
      </c>
      <c r="I385" s="2771">
        <f t="shared" si="58"/>
        <v>0</v>
      </c>
      <c r="J385" s="2771">
        <f t="shared" si="58"/>
        <v>0</v>
      </c>
      <c r="K385" s="2771">
        <f t="shared" si="58"/>
        <v>0</v>
      </c>
      <c r="L385" s="2771">
        <f t="shared" si="58"/>
        <v>0</v>
      </c>
      <c r="M385" s="2771">
        <f t="shared" si="58"/>
        <v>0</v>
      </c>
    </row>
    <row r="386" spans="1:13" outlineLevel="2" x14ac:dyDescent="0.25">
      <c r="C386" s="2776" t="s">
        <v>595</v>
      </c>
      <c r="D386" s="2776" t="s">
        <v>593</v>
      </c>
      <c r="E386" s="2776" t="s">
        <v>171</v>
      </c>
      <c r="F386" s="2771">
        <f t="shared" si="58"/>
        <v>14.633153729766132</v>
      </c>
      <c r="G386" s="2771">
        <f t="shared" si="58"/>
        <v>13.926130454564241</v>
      </c>
      <c r="H386" s="2771">
        <f t="shared" si="58"/>
        <v>13.883048503211933</v>
      </c>
      <c r="I386" s="2771">
        <f t="shared" si="58"/>
        <v>13.805892510921469</v>
      </c>
      <c r="J386" s="2771">
        <f t="shared" si="58"/>
        <v>15.38975349676158</v>
      </c>
      <c r="K386" s="2771">
        <f t="shared" si="58"/>
        <v>15.43493401555072</v>
      </c>
      <c r="L386" s="2771">
        <f t="shared" si="58"/>
        <v>15.723347275074108</v>
      </c>
      <c r="M386" s="2771">
        <f t="shared" si="58"/>
        <v>15.96974995630292</v>
      </c>
    </row>
    <row r="387" spans="1:13" outlineLevel="2" x14ac:dyDescent="0.25">
      <c r="C387" s="2776" t="s">
        <v>606</v>
      </c>
      <c r="D387" s="2776" t="s">
        <v>1922</v>
      </c>
      <c r="E387" s="2776" t="s">
        <v>171</v>
      </c>
      <c r="F387" s="2771">
        <v>0</v>
      </c>
      <c r="G387" s="2771">
        <v>0</v>
      </c>
      <c r="H387" s="2771">
        <v>0</v>
      </c>
      <c r="I387" s="2771">
        <v>0</v>
      </c>
      <c r="J387" s="2771">
        <v>0</v>
      </c>
      <c r="K387" s="2771">
        <v>0</v>
      </c>
      <c r="L387" s="2771">
        <v>0</v>
      </c>
      <c r="M387" s="2771">
        <v>0</v>
      </c>
    </row>
    <row r="388" spans="1:13" outlineLevel="2" x14ac:dyDescent="0.25">
      <c r="C388" s="2764" t="s">
        <v>596</v>
      </c>
      <c r="D388" s="2764" t="s">
        <v>1923</v>
      </c>
      <c r="E388" s="2764" t="s">
        <v>171</v>
      </c>
      <c r="F388" s="2772">
        <f t="shared" ref="F388:M388" si="59">F371*F271</f>
        <v>0.27135837364749105</v>
      </c>
      <c r="G388" s="2772">
        <f t="shared" si="59"/>
        <v>0.29512534157862019</v>
      </c>
      <c r="H388" s="2772">
        <f t="shared" si="59"/>
        <v>0.34051060392603172</v>
      </c>
      <c r="I388" s="2772">
        <f t="shared" si="59"/>
        <v>0.39523353017558194</v>
      </c>
      <c r="J388" s="2772">
        <f t="shared" si="59"/>
        <v>0.45274334869965815</v>
      </c>
      <c r="K388" s="2772">
        <f t="shared" si="59"/>
        <v>0.47012348658965791</v>
      </c>
      <c r="L388" s="2772">
        <f t="shared" si="59"/>
        <v>0.48324038855349521</v>
      </c>
      <c r="M388" s="2772">
        <f t="shared" si="59"/>
        <v>0.49091122452497504</v>
      </c>
    </row>
    <row r="389" spans="1:13" outlineLevel="1" x14ac:dyDescent="0.25">
      <c r="E389" s="2757"/>
      <c r="F389" s="1012"/>
      <c r="G389" s="1012"/>
      <c r="H389" s="1012"/>
      <c r="I389" s="1012"/>
      <c r="J389" s="1012"/>
      <c r="K389" s="1012"/>
      <c r="L389" s="1012"/>
      <c r="M389" s="1012"/>
    </row>
    <row r="390" spans="1:13" outlineLevel="1" x14ac:dyDescent="0.25">
      <c r="E390" s="2757"/>
      <c r="F390" s="1012"/>
      <c r="G390" s="1012"/>
      <c r="H390" s="1012"/>
      <c r="I390" s="1012"/>
      <c r="J390" s="1012"/>
      <c r="K390" s="1012"/>
      <c r="L390" s="1012"/>
      <c r="M390" s="1012"/>
    </row>
    <row r="391" spans="1:13" x14ac:dyDescent="0.25">
      <c r="E391" s="2757"/>
      <c r="F391" s="1012"/>
      <c r="G391" s="1012"/>
      <c r="H391" s="1012"/>
      <c r="I391" s="1012"/>
      <c r="J391" s="1012"/>
      <c r="K391" s="1012"/>
      <c r="L391" s="1012"/>
      <c r="M391" s="1012"/>
    </row>
    <row r="392" spans="1:13" x14ac:dyDescent="0.25">
      <c r="A392" s="853" t="s">
        <v>702</v>
      </c>
      <c r="B392" s="853" t="s">
        <v>2179</v>
      </c>
      <c r="E392" s="2757"/>
      <c r="F392" s="1012"/>
      <c r="G392" s="1012"/>
      <c r="H392" s="1012"/>
      <c r="I392" s="1012"/>
      <c r="J392" s="1012"/>
      <c r="K392" s="1012"/>
      <c r="L392" s="1012"/>
      <c r="M392" s="1012"/>
    </row>
    <row r="393" spans="1:13" outlineLevel="1" x14ac:dyDescent="0.25">
      <c r="A393" s="853"/>
      <c r="B393" s="1112" t="s">
        <v>2163</v>
      </c>
      <c r="E393" s="2757"/>
      <c r="F393" s="1012"/>
      <c r="G393" s="1012"/>
      <c r="H393" s="1012"/>
      <c r="I393" s="1012"/>
      <c r="J393" s="1012"/>
      <c r="K393" s="1012"/>
      <c r="L393" s="1012"/>
      <c r="M393" s="1012"/>
    </row>
    <row r="394" spans="1:13" outlineLevel="2" x14ac:dyDescent="0.25">
      <c r="B394" s="2789"/>
      <c r="E394" s="2757"/>
      <c r="F394" s="1012"/>
      <c r="G394" s="1012"/>
      <c r="H394" s="1012"/>
      <c r="I394" s="1012"/>
      <c r="J394" s="1012"/>
      <c r="K394" s="1012"/>
      <c r="L394" s="1012"/>
      <c r="M394" s="1012"/>
    </row>
    <row r="395" spans="1:13" outlineLevel="2" x14ac:dyDescent="0.25">
      <c r="C395" s="1112" t="s">
        <v>1942</v>
      </c>
      <c r="E395" s="2757"/>
      <c r="F395" s="1012"/>
      <c r="G395" s="1012"/>
      <c r="H395" s="1012"/>
      <c r="I395" s="1012"/>
      <c r="J395" s="1012"/>
      <c r="K395" s="1012"/>
      <c r="L395" s="1012"/>
      <c r="M395" s="1012"/>
    </row>
    <row r="396" spans="1:13" outlineLevel="2" x14ac:dyDescent="0.25">
      <c r="C396" s="1112"/>
      <c r="D396" s="2789"/>
      <c r="E396" s="2789" t="s">
        <v>1937</v>
      </c>
      <c r="F396" s="2790">
        <f t="shared" ref="F396:M396" si="60">F147</f>
        <v>31123310916.246922</v>
      </c>
      <c r="G396" s="2790">
        <f t="shared" si="60"/>
        <v>36125279774.611977</v>
      </c>
      <c r="H396" s="2790">
        <f t="shared" si="60"/>
        <v>44552060589.912376</v>
      </c>
      <c r="I396" s="2790">
        <f t="shared" si="60"/>
        <v>56258722105.74511</v>
      </c>
      <c r="J396" s="2790">
        <f t="shared" si="60"/>
        <v>70191256979.933655</v>
      </c>
      <c r="K396" s="2790">
        <f t="shared" si="60"/>
        <v>88578731229.585892</v>
      </c>
      <c r="L396" s="2790">
        <f t="shared" si="60"/>
        <v>113392599398.60785</v>
      </c>
      <c r="M396" s="2790">
        <f t="shared" si="60"/>
        <v>146707584035.28406</v>
      </c>
    </row>
    <row r="397" spans="1:13" outlineLevel="2" x14ac:dyDescent="0.25">
      <c r="E397" s="2757"/>
      <c r="F397" s="1012"/>
      <c r="G397" s="1012"/>
      <c r="H397" s="1012"/>
      <c r="I397" s="1012"/>
      <c r="J397" s="1012"/>
      <c r="K397" s="1012"/>
      <c r="L397" s="1012"/>
      <c r="M397" s="1012"/>
    </row>
    <row r="398" spans="1:13" outlineLevel="2" x14ac:dyDescent="0.25">
      <c r="C398" s="2773" t="s">
        <v>1939</v>
      </c>
      <c r="D398" s="1111"/>
      <c r="E398" s="1111"/>
      <c r="F398" s="1111"/>
      <c r="G398" s="1111"/>
      <c r="H398" s="1111"/>
      <c r="I398" s="1111"/>
      <c r="J398" s="1111"/>
      <c r="K398" s="1111"/>
      <c r="L398" s="1111"/>
      <c r="M398" s="1111"/>
    </row>
    <row r="399" spans="1:13" outlineLevel="2" x14ac:dyDescent="0.25">
      <c r="C399" s="1009" t="s">
        <v>602</v>
      </c>
      <c r="E399" s="2762" t="s">
        <v>1918</v>
      </c>
      <c r="F399" s="1012">
        <f t="shared" ref="F399:M401" si="61">F161</f>
        <v>0.1</v>
      </c>
      <c r="G399" s="1012">
        <f t="shared" si="61"/>
        <v>0.1</v>
      </c>
      <c r="H399" s="1012">
        <f t="shared" si="61"/>
        <v>0.1</v>
      </c>
      <c r="I399" s="1012">
        <f t="shared" si="61"/>
        <v>0.1</v>
      </c>
      <c r="J399" s="1012">
        <f t="shared" si="61"/>
        <v>0.1</v>
      </c>
      <c r="K399" s="1012">
        <f t="shared" si="61"/>
        <v>0.1</v>
      </c>
      <c r="L399" s="1012">
        <f t="shared" si="61"/>
        <v>0.1</v>
      </c>
      <c r="M399" s="1012">
        <f t="shared" si="61"/>
        <v>0.1</v>
      </c>
    </row>
    <row r="400" spans="1:13" outlineLevel="2" x14ac:dyDescent="0.25">
      <c r="C400" s="1109" t="s">
        <v>595</v>
      </c>
      <c r="D400" s="1109"/>
      <c r="E400" s="2763" t="s">
        <v>1918</v>
      </c>
      <c r="F400" s="1886">
        <f t="shared" si="61"/>
        <v>0.87</v>
      </c>
      <c r="G400" s="1886">
        <f t="shared" si="61"/>
        <v>0.87</v>
      </c>
      <c r="H400" s="1886">
        <f t="shared" si="61"/>
        <v>0.87</v>
      </c>
      <c r="I400" s="1886">
        <f t="shared" si="61"/>
        <v>0.87</v>
      </c>
      <c r="J400" s="1886">
        <f t="shared" si="61"/>
        <v>0.87</v>
      </c>
      <c r="K400" s="1886">
        <f t="shared" si="61"/>
        <v>0.87</v>
      </c>
      <c r="L400" s="1886">
        <f t="shared" si="61"/>
        <v>0.87</v>
      </c>
      <c r="M400" s="1886">
        <f t="shared" si="61"/>
        <v>0.87</v>
      </c>
    </row>
    <row r="401" spans="2:13" outlineLevel="2" x14ac:dyDescent="0.25">
      <c r="C401" s="2793" t="s">
        <v>603</v>
      </c>
      <c r="D401" s="1111"/>
      <c r="E401" s="2765" t="s">
        <v>1918</v>
      </c>
      <c r="F401" s="2760">
        <f t="shared" si="61"/>
        <v>0.03</v>
      </c>
      <c r="G401" s="2760">
        <f t="shared" si="61"/>
        <v>0.03</v>
      </c>
      <c r="H401" s="2760">
        <f t="shared" si="61"/>
        <v>0.03</v>
      </c>
      <c r="I401" s="2760">
        <f t="shared" si="61"/>
        <v>0.03</v>
      </c>
      <c r="J401" s="2760">
        <f t="shared" si="61"/>
        <v>0.03</v>
      </c>
      <c r="K401" s="2760">
        <f t="shared" si="61"/>
        <v>0.03</v>
      </c>
      <c r="L401" s="2760">
        <f t="shared" si="61"/>
        <v>0.03</v>
      </c>
      <c r="M401" s="2760">
        <f t="shared" si="61"/>
        <v>0.03</v>
      </c>
    </row>
    <row r="402" spans="2:13" outlineLevel="2" x14ac:dyDescent="0.25">
      <c r="C402" s="1009" t="s">
        <v>602</v>
      </c>
      <c r="D402" s="2766"/>
      <c r="E402" s="2767" t="s">
        <v>1920</v>
      </c>
      <c r="F402" s="2768">
        <f>F$396*F399</f>
        <v>3112331091.6246924</v>
      </c>
      <c r="G402" s="2768">
        <f t="shared" ref="G402:M402" si="62">G$396*G399</f>
        <v>3612527977.4611979</v>
      </c>
      <c r="H402" s="2768">
        <f t="shared" si="62"/>
        <v>4455206058.9912376</v>
      </c>
      <c r="I402" s="2768">
        <f t="shared" si="62"/>
        <v>5625872210.5745115</v>
      </c>
      <c r="J402" s="2768">
        <f t="shared" si="62"/>
        <v>7019125697.9933662</v>
      </c>
      <c r="K402" s="2768">
        <f t="shared" si="62"/>
        <v>8857873122.9585896</v>
      </c>
      <c r="L402" s="2768">
        <f t="shared" si="62"/>
        <v>11339259939.860786</v>
      </c>
      <c r="M402" s="2768">
        <f t="shared" si="62"/>
        <v>14670758403.528406</v>
      </c>
    </row>
    <row r="403" spans="2:13" outlineLevel="2" x14ac:dyDescent="0.25">
      <c r="C403" s="1109" t="s">
        <v>595</v>
      </c>
      <c r="D403" s="1109"/>
      <c r="E403" s="2763" t="s">
        <v>1920</v>
      </c>
      <c r="F403" s="2769">
        <f>F$396*F400</f>
        <v>27077280497.134823</v>
      </c>
      <c r="G403" s="2769">
        <f t="shared" ref="G403:M403" si="63">G$396*G400</f>
        <v>31428993403.912418</v>
      </c>
      <c r="H403" s="2769">
        <f t="shared" si="63"/>
        <v>38760292713.22377</v>
      </c>
      <c r="I403" s="2769">
        <f t="shared" si="63"/>
        <v>48945088231.998245</v>
      </c>
      <c r="J403" s="2769">
        <f t="shared" si="63"/>
        <v>61066393572.542282</v>
      </c>
      <c r="K403" s="2769">
        <f t="shared" si="63"/>
        <v>77063496169.739731</v>
      </c>
      <c r="L403" s="2769">
        <f t="shared" si="63"/>
        <v>98651561476.788834</v>
      </c>
      <c r="M403" s="2769">
        <f t="shared" si="63"/>
        <v>127635598110.69713</v>
      </c>
    </row>
    <row r="404" spans="2:13" outlineLevel="2" x14ac:dyDescent="0.25">
      <c r="C404" s="2793" t="s">
        <v>603</v>
      </c>
      <c r="D404" s="1111"/>
      <c r="E404" s="2765" t="s">
        <v>1920</v>
      </c>
      <c r="F404" s="1114">
        <f>F$396*F401</f>
        <v>933699327.48740757</v>
      </c>
      <c r="G404" s="1114">
        <f t="shared" ref="G404:M404" si="64">G$396*G401</f>
        <v>1083758393.2383592</v>
      </c>
      <c r="H404" s="1114">
        <f t="shared" si="64"/>
        <v>1336561817.6973712</v>
      </c>
      <c r="I404" s="1114">
        <f t="shared" si="64"/>
        <v>1687761663.1723533</v>
      </c>
      <c r="J404" s="1114">
        <f t="shared" si="64"/>
        <v>2105737709.3980095</v>
      </c>
      <c r="K404" s="1114">
        <f t="shared" si="64"/>
        <v>2657361936.8875766</v>
      </c>
      <c r="L404" s="1114">
        <f t="shared" si="64"/>
        <v>3401777981.9582353</v>
      </c>
      <c r="M404" s="1114">
        <f t="shared" si="64"/>
        <v>4401227521.0585213</v>
      </c>
    </row>
    <row r="405" spans="2:13" outlineLevel="2" x14ac:dyDescent="0.25">
      <c r="C405" s="1009" t="s">
        <v>602</v>
      </c>
      <c r="D405" s="1109"/>
      <c r="E405" s="2763" t="s">
        <v>1921</v>
      </c>
      <c r="F405" s="2771">
        <f t="shared" ref="F405:M405" si="65">F402/F258/10^9</f>
        <v>1.7791580803667726</v>
      </c>
      <c r="G405" s="2771">
        <f t="shared" si="65"/>
        <v>2.0724829298180536</v>
      </c>
      <c r="H405" s="2771">
        <f t="shared" si="65"/>
        <v>2.5630774342195597</v>
      </c>
      <c r="I405" s="2771">
        <f t="shared" si="65"/>
        <v>3.2447923114621879</v>
      </c>
      <c r="J405" s="2771">
        <f t="shared" si="65"/>
        <v>4.058457169562991</v>
      </c>
      <c r="K405" s="2771">
        <f t="shared" si="65"/>
        <v>5.132405892207708</v>
      </c>
      <c r="L405" s="2771">
        <f t="shared" si="65"/>
        <v>6.5836547103326382</v>
      </c>
      <c r="M405" s="2771">
        <f t="shared" si="65"/>
        <v>8.5342535840240341</v>
      </c>
    </row>
    <row r="406" spans="2:13" outlineLevel="2" x14ac:dyDescent="0.25">
      <c r="C406" s="1109" t="s">
        <v>595</v>
      </c>
      <c r="D406" s="1109"/>
      <c r="E406" s="2763" t="s">
        <v>1921</v>
      </c>
      <c r="F406" s="2771">
        <f t="shared" ref="F406:M407" si="66">F403/F260/10^9</f>
        <v>2.9904627055068578</v>
      </c>
      <c r="G406" s="2771">
        <f t="shared" si="66"/>
        <v>3.471073568705187</v>
      </c>
      <c r="H406" s="2771">
        <f t="shared" si="66"/>
        <v>4.2807552193319429</v>
      </c>
      <c r="I406" s="2771">
        <f t="shared" si="66"/>
        <v>5.4055820336544249</v>
      </c>
      <c r="J406" s="2771">
        <f t="shared" si="66"/>
        <v>6.7442804146382036</v>
      </c>
      <c r="K406" s="2771">
        <f t="shared" si="66"/>
        <v>8.5110286934451516</v>
      </c>
      <c r="L406" s="2771">
        <f t="shared" si="66"/>
        <v>10.895252773540935</v>
      </c>
      <c r="M406" s="2771">
        <f t="shared" si="66"/>
        <v>14.096300996161329</v>
      </c>
    </row>
    <row r="407" spans="2:13" outlineLevel="2" x14ac:dyDescent="0.25">
      <c r="C407" s="2793" t="s">
        <v>603</v>
      </c>
      <c r="D407" s="1111"/>
      <c r="E407" s="2765" t="s">
        <v>1921</v>
      </c>
      <c r="F407" s="2772">
        <f t="shared" si="66"/>
        <v>8.8251354204858939E-3</v>
      </c>
      <c r="G407" s="2772">
        <f t="shared" si="66"/>
        <v>1.0243463074086571E-2</v>
      </c>
      <c r="H407" s="2772">
        <f t="shared" si="66"/>
        <v>1.2632909430031864E-2</v>
      </c>
      <c r="I407" s="2772">
        <f t="shared" si="66"/>
        <v>1.5952378668925835E-2</v>
      </c>
      <c r="J407" s="2772">
        <f t="shared" si="66"/>
        <v>1.9903002924366822E-2</v>
      </c>
      <c r="K407" s="2772">
        <f t="shared" si="66"/>
        <v>2.5116842503663295E-2</v>
      </c>
      <c r="L407" s="2772">
        <f t="shared" si="66"/>
        <v>3.2152910982592015E-2</v>
      </c>
      <c r="M407" s="2772">
        <f t="shared" si="66"/>
        <v>4.159950397975918E-2</v>
      </c>
    </row>
    <row r="408" spans="2:13" outlineLevel="2" x14ac:dyDescent="0.25">
      <c r="C408" s="3105"/>
      <c r="D408" s="1109"/>
      <c r="E408" s="2763"/>
      <c r="F408" s="2771"/>
      <c r="G408" s="2771"/>
      <c r="H408" s="2771"/>
      <c r="I408" s="2771"/>
      <c r="J408" s="2771"/>
      <c r="K408" s="2771"/>
      <c r="L408" s="2771"/>
      <c r="M408" s="2771"/>
    </row>
    <row r="409" spans="2:13" s="1109" customFormat="1" outlineLevel="1" x14ac:dyDescent="0.25">
      <c r="C409" s="3105"/>
      <c r="E409" s="2763"/>
      <c r="F409" s="2771"/>
      <c r="G409" s="2771"/>
      <c r="H409" s="2771"/>
      <c r="I409" s="2771"/>
      <c r="J409" s="2771"/>
      <c r="K409" s="2771"/>
      <c r="L409" s="2771"/>
      <c r="M409" s="2771"/>
    </row>
    <row r="410" spans="2:13" s="1109" customFormat="1" outlineLevel="1" x14ac:dyDescent="0.25">
      <c r="B410" s="853" t="s">
        <v>2161</v>
      </c>
      <c r="E410" s="2826"/>
      <c r="F410" s="2769"/>
      <c r="G410" s="1886"/>
      <c r="H410" s="1886"/>
      <c r="I410" s="1886"/>
      <c r="J410" s="1886"/>
      <c r="K410" s="1886"/>
      <c r="L410" s="1886"/>
      <c r="M410" s="1886"/>
    </row>
    <row r="411" spans="2:13" outlineLevel="2" x14ac:dyDescent="0.25">
      <c r="C411" s="2773" t="s">
        <v>2166</v>
      </c>
      <c r="D411" s="1111"/>
      <c r="E411" s="1111"/>
      <c r="F411" s="1111"/>
      <c r="G411" s="1111"/>
      <c r="H411" s="1111"/>
      <c r="I411" s="1111"/>
      <c r="J411" s="1111"/>
      <c r="K411" s="1111"/>
      <c r="L411" s="1111"/>
      <c r="M411" s="1111"/>
    </row>
    <row r="412" spans="2:13" outlineLevel="2" x14ac:dyDescent="0.25">
      <c r="C412" s="1009" t="s">
        <v>602</v>
      </c>
      <c r="D412" s="1009" t="s">
        <v>582</v>
      </c>
      <c r="E412" s="2763" t="s">
        <v>1921</v>
      </c>
      <c r="F412" s="1113">
        <f t="shared" ref="F412:M419" si="67">F$405*F274</f>
        <v>1.6328934710551231</v>
      </c>
      <c r="G412" s="1113">
        <f t="shared" si="67"/>
        <v>1.9016267961415463</v>
      </c>
      <c r="H412" s="1113">
        <f t="shared" si="67"/>
        <v>2.3513415771402504</v>
      </c>
      <c r="I412" s="1113">
        <f t="shared" si="67"/>
        <v>2.9762580975130164</v>
      </c>
      <c r="J412" s="1113">
        <f t="shared" si="67"/>
        <v>3.7220504210355387</v>
      </c>
      <c r="K412" s="1113">
        <f t="shared" si="67"/>
        <v>4.7064359895609877</v>
      </c>
      <c r="L412" s="1113">
        <f t="shared" si="67"/>
        <v>6.0363935382995653</v>
      </c>
      <c r="M412" s="1113">
        <f t="shared" si="67"/>
        <v>7.8237026111005568</v>
      </c>
    </row>
    <row r="413" spans="2:13" outlineLevel="2" x14ac:dyDescent="0.25">
      <c r="C413" s="1009" t="s">
        <v>602</v>
      </c>
      <c r="D413" s="1009" t="s">
        <v>334</v>
      </c>
      <c r="E413" s="2763" t="s">
        <v>1921</v>
      </c>
      <c r="F413" s="1113">
        <f t="shared" si="67"/>
        <v>0.14470406010672118</v>
      </c>
      <c r="G413" s="1113">
        <f t="shared" si="67"/>
        <v>0.16851872034959509</v>
      </c>
      <c r="H413" s="1113">
        <f t="shared" si="67"/>
        <v>0.20837162922213026</v>
      </c>
      <c r="I413" s="1113">
        <f t="shared" si="67"/>
        <v>0.26375059871930889</v>
      </c>
      <c r="J413" s="1113">
        <f t="shared" si="67"/>
        <v>0.32984136282800514</v>
      </c>
      <c r="K413" s="1113">
        <f t="shared" si="67"/>
        <v>0.4170758279055416</v>
      </c>
      <c r="L413" s="1113">
        <f t="shared" si="67"/>
        <v>0.53493425558833441</v>
      </c>
      <c r="M413" s="1113">
        <f t="shared" si="67"/>
        <v>0.6933223464738737</v>
      </c>
    </row>
    <row r="414" spans="2:13" outlineLevel="2" x14ac:dyDescent="0.25">
      <c r="C414" s="1009" t="s">
        <v>602</v>
      </c>
      <c r="D414" s="1009" t="s">
        <v>583</v>
      </c>
      <c r="E414" s="2763" t="s">
        <v>1921</v>
      </c>
      <c r="F414" s="1113">
        <f t="shared" si="67"/>
        <v>7.5698282328604547E-4</v>
      </c>
      <c r="G414" s="1113">
        <f t="shared" si="67"/>
        <v>1.4469155790846266E-3</v>
      </c>
      <c r="H414" s="1113">
        <f t="shared" si="67"/>
        <v>2.3762579436845334E-3</v>
      </c>
      <c r="I414" s="1113">
        <f t="shared" si="67"/>
        <v>3.6581133582855841E-3</v>
      </c>
      <c r="J414" s="1113">
        <f t="shared" si="67"/>
        <v>5.2945157400789873E-3</v>
      </c>
      <c r="K414" s="1113">
        <f t="shared" si="67"/>
        <v>7.4025876547241746E-3</v>
      </c>
      <c r="L414" s="1113">
        <f t="shared" si="67"/>
        <v>1.0510993153042754E-2</v>
      </c>
      <c r="M414" s="1113">
        <f t="shared" si="67"/>
        <v>1.4975279746875552E-2</v>
      </c>
    </row>
    <row r="415" spans="2:13" outlineLevel="2" x14ac:dyDescent="0.25">
      <c r="C415" s="1009" t="s">
        <v>602</v>
      </c>
      <c r="D415" s="1009" t="s">
        <v>584</v>
      </c>
      <c r="E415" s="2763" t="s">
        <v>1921</v>
      </c>
      <c r="F415" s="1113">
        <f t="shared" si="67"/>
        <v>7.5698282328604547E-4</v>
      </c>
      <c r="G415" s="1113">
        <f t="shared" si="67"/>
        <v>8.2072421568071211E-4</v>
      </c>
      <c r="H415" s="1113">
        <f t="shared" si="67"/>
        <v>8.8754520133977396E-4</v>
      </c>
      <c r="I415" s="1113">
        <f t="shared" si="67"/>
        <v>9.8270738710333505E-4</v>
      </c>
      <c r="J415" s="1113">
        <f t="shared" si="67"/>
        <v>1.0748882966979834E-3</v>
      </c>
      <c r="K415" s="1113">
        <f t="shared" si="67"/>
        <v>1.2259923180617063E-3</v>
      </c>
      <c r="L415" s="1113">
        <f t="shared" si="67"/>
        <v>1.4479556366291805E-3</v>
      </c>
      <c r="M415" s="1113">
        <f t="shared" si="67"/>
        <v>1.7390593460234922E-3</v>
      </c>
    </row>
    <row r="416" spans="2:13" outlineLevel="2" x14ac:dyDescent="0.25">
      <c r="C416" s="1009" t="s">
        <v>602</v>
      </c>
      <c r="D416" s="1009" t="s">
        <v>585</v>
      </c>
      <c r="E416" s="2763" t="s">
        <v>1921</v>
      </c>
      <c r="F416" s="1113">
        <f t="shared" si="67"/>
        <v>0</v>
      </c>
      <c r="G416" s="1113">
        <f t="shared" si="67"/>
        <v>0</v>
      </c>
      <c r="H416" s="1113">
        <f t="shared" si="67"/>
        <v>0</v>
      </c>
      <c r="I416" s="1113">
        <f t="shared" si="67"/>
        <v>0</v>
      </c>
      <c r="J416" s="1113">
        <f t="shared" si="67"/>
        <v>0</v>
      </c>
      <c r="K416" s="1113">
        <f t="shared" si="67"/>
        <v>0</v>
      </c>
      <c r="L416" s="1113">
        <f t="shared" si="67"/>
        <v>0</v>
      </c>
      <c r="M416" s="1113">
        <f t="shared" si="67"/>
        <v>0</v>
      </c>
    </row>
    <row r="417" spans="2:13" outlineLevel="2" x14ac:dyDescent="0.25">
      <c r="C417" s="1009" t="s">
        <v>602</v>
      </c>
      <c r="D417" s="1009" t="s">
        <v>586</v>
      </c>
      <c r="E417" s="2763" t="s">
        <v>1921</v>
      </c>
      <c r="F417" s="1113">
        <f t="shared" si="67"/>
        <v>0</v>
      </c>
      <c r="G417" s="1113">
        <f t="shared" si="67"/>
        <v>0</v>
      </c>
      <c r="H417" s="1113">
        <f t="shared" si="67"/>
        <v>0</v>
      </c>
      <c r="I417" s="1113">
        <f t="shared" si="67"/>
        <v>0</v>
      </c>
      <c r="J417" s="1113">
        <f t="shared" si="67"/>
        <v>0</v>
      </c>
      <c r="K417" s="1113">
        <f t="shared" si="67"/>
        <v>0</v>
      </c>
      <c r="L417" s="1113">
        <f t="shared" si="67"/>
        <v>0</v>
      </c>
      <c r="M417" s="1113">
        <f t="shared" si="67"/>
        <v>0</v>
      </c>
    </row>
    <row r="418" spans="2:13" outlineLevel="2" x14ac:dyDescent="0.25">
      <c r="C418" s="1009" t="s">
        <v>602</v>
      </c>
      <c r="D418" s="1009" t="s">
        <v>587</v>
      </c>
      <c r="E418" s="2763" t="s">
        <v>1921</v>
      </c>
      <c r="F418" s="1113">
        <f t="shared" si="67"/>
        <v>4.6583558356064337E-5</v>
      </c>
      <c r="G418" s="1113">
        <f t="shared" si="67"/>
        <v>6.977353214662578E-5</v>
      </c>
      <c r="H418" s="1113">
        <f t="shared" si="67"/>
        <v>1.0042471215459406E-4</v>
      </c>
      <c r="I418" s="1113">
        <f t="shared" si="67"/>
        <v>1.4279448447350514E-4</v>
      </c>
      <c r="J418" s="1113">
        <f t="shared" si="67"/>
        <v>1.9598166267006061E-4</v>
      </c>
      <c r="K418" s="1113">
        <f t="shared" si="67"/>
        <v>2.6549476839341163E-4</v>
      </c>
      <c r="L418" s="1113">
        <f t="shared" si="67"/>
        <v>3.679676550668286E-4</v>
      </c>
      <c r="M418" s="1113">
        <f t="shared" si="67"/>
        <v>5.1428735670458567E-4</v>
      </c>
    </row>
    <row r="419" spans="2:13" outlineLevel="2" x14ac:dyDescent="0.25">
      <c r="C419" s="1111" t="s">
        <v>602</v>
      </c>
      <c r="D419" s="1111" t="s">
        <v>588</v>
      </c>
      <c r="E419" s="2765" t="s">
        <v>1921</v>
      </c>
      <c r="F419" s="1113">
        <f t="shared" si="67"/>
        <v>0</v>
      </c>
      <c r="G419" s="1113">
        <f t="shared" si="67"/>
        <v>0</v>
      </c>
      <c r="H419" s="1113">
        <f t="shared" si="67"/>
        <v>0</v>
      </c>
      <c r="I419" s="1113">
        <f t="shared" si="67"/>
        <v>0</v>
      </c>
      <c r="J419" s="1113">
        <f t="shared" si="67"/>
        <v>0</v>
      </c>
      <c r="K419" s="1113">
        <f t="shared" si="67"/>
        <v>0</v>
      </c>
      <c r="L419" s="1113">
        <f t="shared" si="67"/>
        <v>0</v>
      </c>
      <c r="M419" s="1113">
        <f t="shared" si="67"/>
        <v>0</v>
      </c>
    </row>
    <row r="420" spans="2:13" outlineLevel="2" x14ac:dyDescent="0.25">
      <c r="C420" s="2774" t="s">
        <v>595</v>
      </c>
      <c r="D420" s="2766" t="s">
        <v>590</v>
      </c>
      <c r="E420" s="2767" t="s">
        <v>1921</v>
      </c>
      <c r="F420" s="2775">
        <f t="shared" ref="F420:M423" si="68">F$406*F112</f>
        <v>0</v>
      </c>
      <c r="G420" s="2775">
        <f t="shared" si="68"/>
        <v>2.0973467846334309E-4</v>
      </c>
      <c r="H420" s="2775">
        <f t="shared" si="68"/>
        <v>2.4861085717982378E-4</v>
      </c>
      <c r="I420" s="2775">
        <f t="shared" si="68"/>
        <v>3.0529772573470313E-4</v>
      </c>
      <c r="J420" s="2775">
        <f t="shared" si="68"/>
        <v>3.7399277041675315E-4</v>
      </c>
      <c r="K420" s="2775">
        <f t="shared" si="68"/>
        <v>4.3995008947043756E-4</v>
      </c>
      <c r="L420" s="2775">
        <f t="shared" si="68"/>
        <v>5.3996759209959952E-4</v>
      </c>
      <c r="M420" s="2775">
        <f t="shared" si="68"/>
        <v>6.6882100756974247E-4</v>
      </c>
    </row>
    <row r="421" spans="2:13" outlineLevel="2" x14ac:dyDescent="0.25">
      <c r="C421" s="2776" t="s">
        <v>595</v>
      </c>
      <c r="D421" s="1109" t="s">
        <v>591</v>
      </c>
      <c r="E421" s="2763" t="s">
        <v>1921</v>
      </c>
      <c r="F421" s="2771">
        <f t="shared" si="68"/>
        <v>1.9048755501558997E-4</v>
      </c>
      <c r="G421" s="2771">
        <f t="shared" si="68"/>
        <v>4.0982156171737234E-2</v>
      </c>
      <c r="H421" s="2771">
        <f t="shared" si="68"/>
        <v>8.0798528583442733E-2</v>
      </c>
      <c r="I421" s="2771">
        <f t="shared" si="68"/>
        <v>0.19844352172755703</v>
      </c>
      <c r="J421" s="2771">
        <f t="shared" si="68"/>
        <v>0.24309530077088956</v>
      </c>
      <c r="K421" s="2771">
        <f t="shared" si="68"/>
        <v>0.42895133723367657</v>
      </c>
      <c r="L421" s="2771">
        <f t="shared" si="68"/>
        <v>0.52646840229710956</v>
      </c>
      <c r="M421" s="2771">
        <f t="shared" si="68"/>
        <v>0.65210048238049889</v>
      </c>
    </row>
    <row r="422" spans="2:13" outlineLevel="2" x14ac:dyDescent="0.25">
      <c r="C422" s="2776" t="s">
        <v>595</v>
      </c>
      <c r="D422" s="1109" t="s">
        <v>592</v>
      </c>
      <c r="E422" s="2763" t="s">
        <v>1921</v>
      </c>
      <c r="F422" s="2771">
        <f t="shared" si="68"/>
        <v>0</v>
      </c>
      <c r="G422" s="2771">
        <f t="shared" si="68"/>
        <v>0</v>
      </c>
      <c r="H422" s="2771">
        <f t="shared" si="68"/>
        <v>0</v>
      </c>
      <c r="I422" s="2771">
        <f t="shared" si="68"/>
        <v>0</v>
      </c>
      <c r="J422" s="2771">
        <f t="shared" si="68"/>
        <v>0</v>
      </c>
      <c r="K422" s="2771">
        <f t="shared" si="68"/>
        <v>0</v>
      </c>
      <c r="L422" s="2771">
        <f t="shared" si="68"/>
        <v>0</v>
      </c>
      <c r="M422" s="2771">
        <f t="shared" si="68"/>
        <v>0</v>
      </c>
    </row>
    <row r="423" spans="2:13" outlineLevel="2" x14ac:dyDescent="0.25">
      <c r="C423" s="2764" t="s">
        <v>595</v>
      </c>
      <c r="D423" s="1111" t="s">
        <v>593</v>
      </c>
      <c r="E423" s="2765" t="s">
        <v>1921</v>
      </c>
      <c r="F423" s="2771">
        <f t="shared" si="68"/>
        <v>2.9902722179518419</v>
      </c>
      <c r="G423" s="2771">
        <f t="shared" si="68"/>
        <v>3.4298816778549863</v>
      </c>
      <c r="H423" s="2771">
        <f t="shared" si="68"/>
        <v>4.1997080798913204</v>
      </c>
      <c r="I423" s="2771">
        <f t="shared" si="68"/>
        <v>5.2068332142011329</v>
      </c>
      <c r="J423" s="2771">
        <f t="shared" si="68"/>
        <v>6.5008111210968975</v>
      </c>
      <c r="K423" s="2771">
        <f t="shared" si="68"/>
        <v>8.0816374061220042</v>
      </c>
      <c r="L423" s="2771">
        <f t="shared" si="68"/>
        <v>10.368244403651726</v>
      </c>
      <c r="M423" s="2771">
        <f t="shared" si="68"/>
        <v>13.443531692773259</v>
      </c>
    </row>
    <row r="424" spans="2:13" outlineLevel="2" x14ac:dyDescent="0.25">
      <c r="C424" s="2794" t="s">
        <v>603</v>
      </c>
      <c r="D424" s="2794" t="s">
        <v>1940</v>
      </c>
      <c r="E424" s="2778" t="s">
        <v>1921</v>
      </c>
      <c r="F424" s="2779">
        <f>F407</f>
        <v>8.8251354204858939E-3</v>
      </c>
      <c r="G424" s="2779">
        <f t="shared" ref="G424:M424" si="69">G407</f>
        <v>1.0243463074086571E-2</v>
      </c>
      <c r="H424" s="2779">
        <f t="shared" si="69"/>
        <v>1.2632909430031864E-2</v>
      </c>
      <c r="I424" s="2779">
        <f t="shared" si="69"/>
        <v>1.5952378668925835E-2</v>
      </c>
      <c r="J424" s="2779">
        <f t="shared" si="69"/>
        <v>1.9903002924366822E-2</v>
      </c>
      <c r="K424" s="2779">
        <f t="shared" si="69"/>
        <v>2.5116842503663295E-2</v>
      </c>
      <c r="L424" s="2779">
        <f t="shared" si="69"/>
        <v>3.2152910982592015E-2</v>
      </c>
      <c r="M424" s="2779">
        <f t="shared" si="69"/>
        <v>4.159950397975918E-2</v>
      </c>
    </row>
    <row r="425" spans="2:13" outlineLevel="2" x14ac:dyDescent="0.25">
      <c r="C425" s="3105"/>
      <c r="D425" s="3105"/>
      <c r="E425" s="2763"/>
      <c r="F425" s="2771"/>
      <c r="G425" s="2771"/>
      <c r="H425" s="2771"/>
      <c r="I425" s="2771"/>
      <c r="J425" s="2771"/>
      <c r="K425" s="2771"/>
      <c r="L425" s="2771"/>
      <c r="M425" s="2771"/>
    </row>
    <row r="426" spans="2:13" outlineLevel="1" x14ac:dyDescent="0.25">
      <c r="C426" s="3105"/>
      <c r="D426" s="3105"/>
      <c r="E426" s="2763"/>
      <c r="F426" s="2771"/>
      <c r="G426" s="2771"/>
      <c r="H426" s="2771"/>
      <c r="I426" s="2771"/>
      <c r="J426" s="2771"/>
      <c r="K426" s="2771"/>
      <c r="L426" s="2771"/>
      <c r="M426" s="2771"/>
    </row>
    <row r="427" spans="2:13" outlineLevel="1" x14ac:dyDescent="0.25">
      <c r="B427" s="853" t="s">
        <v>2168</v>
      </c>
      <c r="E427" s="2757"/>
      <c r="F427" s="1012"/>
      <c r="G427" s="1012"/>
      <c r="H427" s="1012"/>
      <c r="I427" s="1012"/>
      <c r="J427" s="1012"/>
      <c r="K427" s="1012"/>
      <c r="L427" s="1012"/>
      <c r="M427" s="1012"/>
    </row>
    <row r="428" spans="2:13" outlineLevel="2" x14ac:dyDescent="0.25">
      <c r="C428" s="2773" t="s">
        <v>2167</v>
      </c>
      <c r="D428" s="1111"/>
      <c r="E428" s="2770"/>
      <c r="F428" s="2760"/>
      <c r="G428" s="2760"/>
      <c r="H428" s="2760"/>
      <c r="I428" s="2760"/>
      <c r="J428" s="2760"/>
      <c r="K428" s="2760"/>
      <c r="L428" s="2760"/>
      <c r="M428" s="2760"/>
    </row>
    <row r="429" spans="2:13" outlineLevel="2" x14ac:dyDescent="0.25">
      <c r="C429" s="1009" t="s">
        <v>602</v>
      </c>
      <c r="D429" s="1009" t="s">
        <v>582</v>
      </c>
      <c r="E429" s="2763" t="s">
        <v>171</v>
      </c>
      <c r="F429" s="1113">
        <f t="shared" ref="F429:M429" si="70">F412*F172/F44</f>
        <v>0.99235781941818257</v>
      </c>
      <c r="G429" s="1113">
        <f t="shared" si="70"/>
        <v>0.93945401265847295</v>
      </c>
      <c r="H429" s="1113">
        <f t="shared" si="70"/>
        <v>0.96056164240225284</v>
      </c>
      <c r="I429" s="1113">
        <f t="shared" si="70"/>
        <v>1.2100326521093845</v>
      </c>
      <c r="J429" s="1113">
        <f t="shared" si="70"/>
        <v>1.5132432721523363</v>
      </c>
      <c r="K429" s="1113">
        <f t="shared" si="70"/>
        <v>1.9134567755364607</v>
      </c>
      <c r="L429" s="1113">
        <f t="shared" si="70"/>
        <v>2.454166622319498</v>
      </c>
      <c r="M429" s="1113">
        <f t="shared" si="70"/>
        <v>3.1808180976427298</v>
      </c>
    </row>
    <row r="430" spans="2:13" outlineLevel="2" x14ac:dyDescent="0.25">
      <c r="C430" s="1009" t="s">
        <v>602</v>
      </c>
      <c r="D430" s="1009" t="s">
        <v>334</v>
      </c>
      <c r="E430" s="2763" t="s">
        <v>171</v>
      </c>
      <c r="F430" s="1113">
        <f t="shared" ref="F430:M430" si="71">F413*F173/F44</f>
        <v>7.0125319585194079E-2</v>
      </c>
      <c r="G430" s="1113">
        <f t="shared" si="71"/>
        <v>7.3636587267626577E-2</v>
      </c>
      <c r="H430" s="1113">
        <f t="shared" si="71"/>
        <v>8.0347811810905362E-2</v>
      </c>
      <c r="I430" s="1113">
        <f t="shared" si="71"/>
        <v>0.10136301311995309</v>
      </c>
      <c r="J430" s="1113">
        <f t="shared" si="71"/>
        <v>0.12676261039854331</v>
      </c>
      <c r="K430" s="1113">
        <f t="shared" si="71"/>
        <v>0.16028802520746552</v>
      </c>
      <c r="L430" s="1113">
        <f t="shared" si="71"/>
        <v>0.20558265357804134</v>
      </c>
      <c r="M430" s="1113">
        <f t="shared" si="71"/>
        <v>0.2664533936348672</v>
      </c>
    </row>
    <row r="431" spans="2:13" outlineLevel="2" x14ac:dyDescent="0.25">
      <c r="C431" s="1109" t="s">
        <v>602</v>
      </c>
      <c r="D431" s="1109" t="s">
        <v>583</v>
      </c>
      <c r="E431" s="1109" t="s">
        <v>171</v>
      </c>
      <c r="F431" s="2771">
        <f t="shared" ref="F431:M436" si="72">F414*F174</f>
        <v>3.1895742753105188E-4</v>
      </c>
      <c r="G431" s="2771">
        <f t="shared" si="72"/>
        <v>5.4135536041586673E-4</v>
      </c>
      <c r="H431" s="2771">
        <f t="shared" si="72"/>
        <v>7.2759575425474237E-4</v>
      </c>
      <c r="I431" s="2771">
        <f t="shared" si="72"/>
        <v>1.132386849356973E-3</v>
      </c>
      <c r="J431" s="2771">
        <f t="shared" si="72"/>
        <v>1.6193904104114401E-3</v>
      </c>
      <c r="K431" s="2771">
        <f t="shared" si="72"/>
        <v>2.2408338158181424E-3</v>
      </c>
      <c r="L431" s="2771">
        <f t="shared" si="72"/>
        <v>3.181777777415427E-3</v>
      </c>
      <c r="M431" s="2771">
        <f t="shared" si="72"/>
        <v>4.533159865620754E-3</v>
      </c>
    </row>
    <row r="432" spans="2:13" outlineLevel="2" x14ac:dyDescent="0.25">
      <c r="C432" s="1109" t="s">
        <v>602</v>
      </c>
      <c r="D432" s="1109" t="s">
        <v>584</v>
      </c>
      <c r="E432" s="1109" t="s">
        <v>171</v>
      </c>
      <c r="F432" s="2771">
        <f t="shared" si="72"/>
        <v>2.857848540355656E-4</v>
      </c>
      <c r="G432" s="2771">
        <f t="shared" si="72"/>
        <v>2.5266737774294238E-4</v>
      </c>
      <c r="H432" s="2771">
        <f t="shared" si="72"/>
        <v>2.4888474949145316E-4</v>
      </c>
      <c r="I432" s="2771">
        <f t="shared" si="72"/>
        <v>2.6658657877818632E-4</v>
      </c>
      <c r="J432" s="2771">
        <f t="shared" si="72"/>
        <v>2.8984234362226146E-4</v>
      </c>
      <c r="K432" s="2771">
        <f t="shared" si="72"/>
        <v>3.2979376883668273E-4</v>
      </c>
      <c r="L432" s="2771">
        <f t="shared" si="72"/>
        <v>3.8950223380455228E-4</v>
      </c>
      <c r="M432" s="2771">
        <f t="shared" si="72"/>
        <v>4.6780956740617805E-4</v>
      </c>
    </row>
    <row r="433" spans="1:13" outlineLevel="2" x14ac:dyDescent="0.25">
      <c r="C433" s="1109" t="s">
        <v>602</v>
      </c>
      <c r="D433" s="1109" t="s">
        <v>585</v>
      </c>
      <c r="E433" s="1109" t="s">
        <v>171</v>
      </c>
      <c r="F433" s="2771">
        <f t="shared" si="72"/>
        <v>0</v>
      </c>
      <c r="G433" s="2771">
        <f t="shared" si="72"/>
        <v>0</v>
      </c>
      <c r="H433" s="2771">
        <f t="shared" si="72"/>
        <v>0</v>
      </c>
      <c r="I433" s="2771">
        <f t="shared" si="72"/>
        <v>0</v>
      </c>
      <c r="J433" s="2771">
        <f t="shared" si="72"/>
        <v>0</v>
      </c>
      <c r="K433" s="2771">
        <f t="shared" si="72"/>
        <v>0</v>
      </c>
      <c r="L433" s="2771">
        <f t="shared" si="72"/>
        <v>0</v>
      </c>
      <c r="M433" s="2771">
        <f t="shared" si="72"/>
        <v>0</v>
      </c>
    </row>
    <row r="434" spans="1:13" outlineLevel="2" x14ac:dyDescent="0.25">
      <c r="C434" s="1109" t="s">
        <v>602</v>
      </c>
      <c r="D434" s="1109" t="s">
        <v>586</v>
      </c>
      <c r="E434" s="1109" t="s">
        <v>171</v>
      </c>
      <c r="F434" s="2771">
        <f t="shared" si="72"/>
        <v>0</v>
      </c>
      <c r="G434" s="2771">
        <f t="shared" si="72"/>
        <v>0</v>
      </c>
      <c r="H434" s="2771">
        <f t="shared" si="72"/>
        <v>0</v>
      </c>
      <c r="I434" s="2771">
        <f t="shared" si="72"/>
        <v>0</v>
      </c>
      <c r="J434" s="2771">
        <f t="shared" si="72"/>
        <v>0</v>
      </c>
      <c r="K434" s="2771">
        <f t="shared" si="72"/>
        <v>0</v>
      </c>
      <c r="L434" s="2771">
        <f t="shared" si="72"/>
        <v>0</v>
      </c>
      <c r="M434" s="2771">
        <f t="shared" si="72"/>
        <v>0</v>
      </c>
    </row>
    <row r="435" spans="1:13" outlineLevel="2" x14ac:dyDescent="0.25">
      <c r="C435" s="1109" t="s">
        <v>602</v>
      </c>
      <c r="D435" s="1109" t="s">
        <v>587</v>
      </c>
      <c r="E435" s="1109" t="s">
        <v>171</v>
      </c>
      <c r="F435" s="2771">
        <f t="shared" si="72"/>
        <v>7.5673859229272954E-6</v>
      </c>
      <c r="G435" s="2771">
        <f t="shared" si="72"/>
        <v>9.5977009597952989E-6</v>
      </c>
      <c r="H435" s="2771">
        <f t="shared" si="72"/>
        <v>1.3007078092152674E-5</v>
      </c>
      <c r="I435" s="2771">
        <f t="shared" si="72"/>
        <v>1.8319463710628945E-5</v>
      </c>
      <c r="J435" s="2771">
        <f t="shared" si="72"/>
        <v>2.50382549508517E-5</v>
      </c>
      <c r="K435" s="2771">
        <f t="shared" si="72"/>
        <v>3.360028620670313E-5</v>
      </c>
      <c r="L435" s="2771">
        <f t="shared" si="72"/>
        <v>4.6568972337466482E-5</v>
      </c>
      <c r="M435" s="2771">
        <f t="shared" si="72"/>
        <v>6.5086790531996479E-5</v>
      </c>
    </row>
    <row r="436" spans="1:13" outlineLevel="2" x14ac:dyDescent="0.25">
      <c r="C436" s="1109" t="s">
        <v>602</v>
      </c>
      <c r="D436" s="1109" t="s">
        <v>588</v>
      </c>
      <c r="E436" s="1109" t="s">
        <v>171</v>
      </c>
      <c r="F436" s="2771">
        <f t="shared" si="72"/>
        <v>0</v>
      </c>
      <c r="G436" s="2771">
        <f t="shared" si="72"/>
        <v>0</v>
      </c>
      <c r="H436" s="2771">
        <f t="shared" si="72"/>
        <v>0</v>
      </c>
      <c r="I436" s="2771">
        <f t="shared" si="72"/>
        <v>0</v>
      </c>
      <c r="J436" s="2771">
        <f t="shared" si="72"/>
        <v>0</v>
      </c>
      <c r="K436" s="2771">
        <f t="shared" si="72"/>
        <v>0</v>
      </c>
      <c r="L436" s="2771">
        <f t="shared" si="72"/>
        <v>0</v>
      </c>
      <c r="M436" s="2771">
        <f t="shared" si="72"/>
        <v>0</v>
      </c>
    </row>
    <row r="437" spans="1:13" outlineLevel="2" x14ac:dyDescent="0.25">
      <c r="C437" s="1109" t="s">
        <v>595</v>
      </c>
      <c r="D437" s="1109" t="s">
        <v>590</v>
      </c>
      <c r="E437" s="1109" t="s">
        <v>171</v>
      </c>
      <c r="F437" s="2771">
        <f t="shared" ref="F437:M441" si="73">F420*F267</f>
        <v>0</v>
      </c>
      <c r="G437" s="2771">
        <f t="shared" si="73"/>
        <v>1.67729483137768E-4</v>
      </c>
      <c r="H437" s="2771">
        <f t="shared" si="73"/>
        <v>1.8217651145565974E-4</v>
      </c>
      <c r="I437" s="2771">
        <f t="shared" si="73"/>
        <v>2.032774023850232E-4</v>
      </c>
      <c r="J437" s="2771">
        <f t="shared" si="73"/>
        <v>2.4719883255740671E-4</v>
      </c>
      <c r="K437" s="2771">
        <f t="shared" si="73"/>
        <v>2.8865614203588152E-4</v>
      </c>
      <c r="L437" s="2771">
        <f t="shared" si="73"/>
        <v>3.5157889885596146E-4</v>
      </c>
      <c r="M437" s="2771">
        <f t="shared" si="73"/>
        <v>4.3213268433533916E-4</v>
      </c>
    </row>
    <row r="438" spans="1:13" outlineLevel="2" x14ac:dyDescent="0.25">
      <c r="C438" s="1109" t="s">
        <v>595</v>
      </c>
      <c r="D438" s="1109" t="s">
        <v>591</v>
      </c>
      <c r="E438" s="1109" t="s">
        <v>171</v>
      </c>
      <c r="F438" s="2771">
        <f t="shared" si="73"/>
        <v>4.8555806905571154E-4</v>
      </c>
      <c r="G438" s="2771">
        <f t="shared" si="73"/>
        <v>9.6399138461741918E-2</v>
      </c>
      <c r="H438" s="2771">
        <f t="shared" si="73"/>
        <v>0.17415449515089551</v>
      </c>
      <c r="I438" s="2771">
        <f t="shared" si="73"/>
        <v>0.3886736865836124</v>
      </c>
      <c r="J438" s="2771">
        <f t="shared" si="73"/>
        <v>0.47258401734585298</v>
      </c>
      <c r="K438" s="2771">
        <f t="shared" si="73"/>
        <v>0.82763777456253262</v>
      </c>
      <c r="L438" s="2771">
        <f t="shared" si="73"/>
        <v>1.0081138697875347</v>
      </c>
      <c r="M438" s="2771">
        <f t="shared" si="73"/>
        <v>1.2391720555458314</v>
      </c>
    </row>
    <row r="439" spans="1:13" outlineLevel="2" x14ac:dyDescent="0.25">
      <c r="C439" s="1109" t="s">
        <v>595</v>
      </c>
      <c r="D439" s="1109" t="s">
        <v>592</v>
      </c>
      <c r="E439" s="1109" t="s">
        <v>171</v>
      </c>
      <c r="F439" s="2771">
        <f t="shared" si="73"/>
        <v>0</v>
      </c>
      <c r="G439" s="2771">
        <f t="shared" si="73"/>
        <v>0</v>
      </c>
      <c r="H439" s="2771">
        <f t="shared" si="73"/>
        <v>0</v>
      </c>
      <c r="I439" s="2771">
        <f t="shared" si="73"/>
        <v>0</v>
      </c>
      <c r="J439" s="2771">
        <f t="shared" si="73"/>
        <v>0</v>
      </c>
      <c r="K439" s="2771">
        <f t="shared" si="73"/>
        <v>0</v>
      </c>
      <c r="L439" s="2771">
        <f t="shared" si="73"/>
        <v>0</v>
      </c>
      <c r="M439" s="2771">
        <f t="shared" si="73"/>
        <v>0</v>
      </c>
    </row>
    <row r="440" spans="1:13" outlineLevel="2" x14ac:dyDescent="0.25">
      <c r="C440" s="1109" t="s">
        <v>595</v>
      </c>
      <c r="D440" s="1109" t="s">
        <v>593</v>
      </c>
      <c r="E440" s="1109" t="s">
        <v>171</v>
      </c>
      <c r="F440" s="2771">
        <f t="shared" si="73"/>
        <v>10.888744029202972</v>
      </c>
      <c r="G440" s="2771">
        <f t="shared" si="73"/>
        <v>11.525355182503269</v>
      </c>
      <c r="H440" s="2771">
        <f t="shared" si="73"/>
        <v>12.931601129332025</v>
      </c>
      <c r="I440" s="2771">
        <f t="shared" si="73"/>
        <v>14.56900860184667</v>
      </c>
      <c r="J440" s="2771">
        <f t="shared" si="73"/>
        <v>18.054197107979661</v>
      </c>
      <c r="K440" s="2771">
        <f t="shared" si="73"/>
        <v>22.276135550263515</v>
      </c>
      <c r="L440" s="2771">
        <f t="shared" si="73"/>
        <v>28.362908579767279</v>
      </c>
      <c r="M440" s="2771">
        <f t="shared" si="73"/>
        <v>36.495454231520291</v>
      </c>
    </row>
    <row r="441" spans="1:13" outlineLevel="2" x14ac:dyDescent="0.25">
      <c r="C441" s="1111" t="s">
        <v>603</v>
      </c>
      <c r="D441" s="1111" t="s">
        <v>1940</v>
      </c>
      <c r="E441" s="1111" t="s">
        <v>171</v>
      </c>
      <c r="F441" s="2772">
        <f t="shared" si="73"/>
        <v>2.8630252540193461E-2</v>
      </c>
      <c r="G441" s="2772">
        <f t="shared" si="73"/>
        <v>3.1936814908022138E-2</v>
      </c>
      <c r="H441" s="2772">
        <f t="shared" si="73"/>
        <v>3.7789818549049857E-2</v>
      </c>
      <c r="I441" s="2772">
        <f t="shared" si="73"/>
        <v>4.5703287249664812E-2</v>
      </c>
      <c r="J441" s="2772">
        <f t="shared" si="73"/>
        <v>5.4506091235126557E-2</v>
      </c>
      <c r="K441" s="2772">
        <f t="shared" si="73"/>
        <v>6.5609965168969581E-2</v>
      </c>
      <c r="L441" s="2772">
        <f t="shared" si="73"/>
        <v>7.9925504293890712E-2</v>
      </c>
      <c r="M441" s="2772">
        <f t="shared" si="73"/>
        <v>9.8149762858861497E-2</v>
      </c>
    </row>
    <row r="442" spans="1:13" outlineLevel="2" x14ac:dyDescent="0.25">
      <c r="E442" s="2759"/>
      <c r="F442" s="1012"/>
      <c r="G442" s="1012"/>
      <c r="H442" s="1012"/>
      <c r="I442" s="1012"/>
      <c r="J442" s="1012"/>
      <c r="K442" s="1012"/>
      <c r="L442" s="1012"/>
      <c r="M442" s="1012"/>
    </row>
    <row r="443" spans="1:13" outlineLevel="1" x14ac:dyDescent="0.25">
      <c r="E443" s="2759"/>
      <c r="F443" s="1012"/>
      <c r="G443" s="1012"/>
      <c r="H443" s="1012"/>
      <c r="I443" s="1012"/>
      <c r="J443" s="1012"/>
      <c r="K443" s="1012"/>
      <c r="L443" s="1012"/>
      <c r="M443" s="1012"/>
    </row>
    <row r="444" spans="1:13" outlineLevel="1" x14ac:dyDescent="0.25">
      <c r="E444" s="2759"/>
      <c r="F444" s="1012"/>
      <c r="G444" s="1012"/>
      <c r="H444" s="1012"/>
      <c r="I444" s="1012"/>
      <c r="J444" s="1012"/>
      <c r="K444" s="1012"/>
      <c r="L444" s="1012"/>
      <c r="M444" s="1012"/>
    </row>
    <row r="445" spans="1:13" x14ac:dyDescent="0.25">
      <c r="E445" s="2759"/>
      <c r="F445" s="1012"/>
      <c r="G445" s="1012"/>
      <c r="H445" s="1012"/>
      <c r="I445" s="1012"/>
      <c r="J445" s="1012"/>
      <c r="K445" s="1012"/>
      <c r="L445" s="1012"/>
      <c r="M445" s="1012"/>
    </row>
    <row r="446" spans="1:13" x14ac:dyDescent="0.25">
      <c r="A446" s="853" t="s">
        <v>703</v>
      </c>
      <c r="B446" s="853" t="s">
        <v>2171</v>
      </c>
      <c r="E446" s="2759"/>
      <c r="F446" s="1012"/>
      <c r="G446" s="1012"/>
      <c r="H446" s="1012"/>
      <c r="I446" s="1012"/>
      <c r="J446" s="1012"/>
      <c r="K446" s="1012"/>
      <c r="L446" s="1012"/>
      <c r="M446" s="1012"/>
    </row>
    <row r="447" spans="1:13" outlineLevel="1" x14ac:dyDescent="0.25">
      <c r="A447" s="853"/>
      <c r="B447" s="853"/>
      <c r="E447" s="2759"/>
      <c r="F447" s="1012"/>
      <c r="G447" s="1012"/>
      <c r="H447" s="1012"/>
      <c r="I447" s="1012"/>
      <c r="J447" s="1012"/>
      <c r="K447" s="1012"/>
      <c r="L447" s="1012"/>
      <c r="M447" s="1012"/>
    </row>
    <row r="448" spans="1:13" outlineLevel="1" x14ac:dyDescent="0.25">
      <c r="B448" s="2834" t="s">
        <v>1949</v>
      </c>
      <c r="C448" s="2789"/>
      <c r="E448" s="2757"/>
      <c r="F448" s="1012"/>
      <c r="G448" s="1012"/>
      <c r="H448" s="1012"/>
      <c r="I448" s="1012"/>
      <c r="J448" s="1012"/>
      <c r="K448" s="1012"/>
      <c r="L448" s="1012"/>
      <c r="M448" s="1012"/>
    </row>
    <row r="449" spans="1:13" outlineLevel="1" x14ac:dyDescent="0.25">
      <c r="B449" s="1009" t="s">
        <v>447</v>
      </c>
      <c r="C449" s="1009" t="s">
        <v>980</v>
      </c>
      <c r="E449" s="2757" t="s">
        <v>171</v>
      </c>
      <c r="F449" s="1012">
        <f t="shared" ref="F449:M449" si="74">SUM(F375:F387)</f>
        <v>48.401955344586355</v>
      </c>
      <c r="G449" s="1012">
        <f t="shared" si="74"/>
        <v>44.433022692358463</v>
      </c>
      <c r="H449" s="1012">
        <f t="shared" si="74"/>
        <v>43.30284381661221</v>
      </c>
      <c r="I449" s="1012">
        <f t="shared" si="74"/>
        <v>48.441053405089804</v>
      </c>
      <c r="J449" s="1012">
        <f t="shared" si="74"/>
        <v>54.784196827241843</v>
      </c>
      <c r="K449" s="1012">
        <f t="shared" si="74"/>
        <v>60.021540481657723</v>
      </c>
      <c r="L449" s="1012">
        <f t="shared" si="74"/>
        <v>64.449410693964623</v>
      </c>
      <c r="M449" s="1012">
        <f t="shared" si="74"/>
        <v>68.191976297880615</v>
      </c>
    </row>
    <row r="450" spans="1:13" outlineLevel="1" x14ac:dyDescent="0.25">
      <c r="B450" s="1009" t="s">
        <v>448</v>
      </c>
      <c r="C450" s="1009" t="s">
        <v>992</v>
      </c>
      <c r="E450" s="2757" t="s">
        <v>171</v>
      </c>
      <c r="F450" s="1012">
        <f t="shared" ref="F450:M450" si="75">SUM(F429:F440)</f>
        <v>11.952325035942893</v>
      </c>
      <c r="G450" s="1012">
        <f t="shared" si="75"/>
        <v>12.635816270813367</v>
      </c>
      <c r="H450" s="1012">
        <f t="shared" si="75"/>
        <v>14.147836742789373</v>
      </c>
      <c r="I450" s="1012">
        <f t="shared" si="75"/>
        <v>16.27069852395385</v>
      </c>
      <c r="J450" s="1012">
        <f t="shared" si="75"/>
        <v>20.168968477717936</v>
      </c>
      <c r="K450" s="1012">
        <f t="shared" si="75"/>
        <v>25.180411009582873</v>
      </c>
      <c r="L450" s="1012">
        <f t="shared" si="75"/>
        <v>32.034741153334764</v>
      </c>
      <c r="M450" s="1012">
        <f t="shared" si="75"/>
        <v>41.187395967251618</v>
      </c>
    </row>
    <row r="451" spans="1:13" outlineLevel="1" x14ac:dyDescent="0.25">
      <c r="B451" s="1009" t="s">
        <v>449</v>
      </c>
      <c r="C451" s="1009" t="s">
        <v>981</v>
      </c>
      <c r="E451" s="2757" t="s">
        <v>171</v>
      </c>
      <c r="F451" s="1012">
        <f t="shared" ref="F451:M451" si="76">F388</f>
        <v>0.27135837364749105</v>
      </c>
      <c r="G451" s="1012">
        <f t="shared" si="76"/>
        <v>0.29512534157862019</v>
      </c>
      <c r="H451" s="1012">
        <f t="shared" si="76"/>
        <v>0.34051060392603172</v>
      </c>
      <c r="I451" s="1012">
        <f t="shared" si="76"/>
        <v>0.39523353017558194</v>
      </c>
      <c r="J451" s="1012">
        <f t="shared" si="76"/>
        <v>0.45274334869965815</v>
      </c>
      <c r="K451" s="1012">
        <f t="shared" si="76"/>
        <v>0.47012348658965791</v>
      </c>
      <c r="L451" s="1012">
        <f t="shared" si="76"/>
        <v>0.48324038855349521</v>
      </c>
      <c r="M451" s="1012">
        <f t="shared" si="76"/>
        <v>0.49091122452497504</v>
      </c>
    </row>
    <row r="452" spans="1:13" outlineLevel="1" x14ac:dyDescent="0.25">
      <c r="B452" s="1009" t="s">
        <v>450</v>
      </c>
      <c r="C452" s="1009" t="s">
        <v>982</v>
      </c>
      <c r="E452" s="2757" t="s">
        <v>171</v>
      </c>
      <c r="F452" s="1012">
        <f t="shared" ref="F452:M452" si="77">F441</f>
        <v>2.8630252540193461E-2</v>
      </c>
      <c r="G452" s="1012">
        <f t="shared" si="77"/>
        <v>3.1936814908022138E-2</v>
      </c>
      <c r="H452" s="1012">
        <f t="shared" si="77"/>
        <v>3.7789818549049857E-2</v>
      </c>
      <c r="I452" s="1012">
        <f t="shared" si="77"/>
        <v>4.5703287249664812E-2</v>
      </c>
      <c r="J452" s="1012">
        <f t="shared" si="77"/>
        <v>5.4506091235126557E-2</v>
      </c>
      <c r="K452" s="1012">
        <f t="shared" si="77"/>
        <v>6.5609965168969581E-2</v>
      </c>
      <c r="L452" s="1012">
        <f t="shared" si="77"/>
        <v>7.9925504293890712E-2</v>
      </c>
      <c r="M452" s="1012">
        <f t="shared" si="77"/>
        <v>9.8149762858861497E-2</v>
      </c>
    </row>
    <row r="453" spans="1:13" outlineLevel="1" x14ac:dyDescent="0.25">
      <c r="B453" s="1009" t="s">
        <v>451</v>
      </c>
      <c r="C453" s="1009" t="s">
        <v>983</v>
      </c>
      <c r="E453" s="2757" t="s">
        <v>171</v>
      </c>
      <c r="F453" s="1012">
        <f t="shared" ref="F453:M453" si="78">F$20*F152</f>
        <v>11.247334284015169</v>
      </c>
      <c r="G453" s="1012">
        <f t="shared" si="78"/>
        <v>13.239156447694397</v>
      </c>
      <c r="H453" s="1012">
        <f t="shared" si="78"/>
        <v>18.193193003443962</v>
      </c>
      <c r="I453" s="1012">
        <f t="shared" si="78"/>
        <v>25.053427769584964</v>
      </c>
      <c r="J453" s="1012">
        <f t="shared" si="78"/>
        <v>28.070554863307635</v>
      </c>
      <c r="K453" s="1012">
        <f t="shared" si="78"/>
        <v>27.988973630683805</v>
      </c>
      <c r="L453" s="1012">
        <f t="shared" si="78"/>
        <v>27.397375109204091</v>
      </c>
      <c r="M453" s="1012">
        <f t="shared" si="78"/>
        <v>26.777270674712014</v>
      </c>
    </row>
    <row r="454" spans="1:13" outlineLevel="1" x14ac:dyDescent="0.25">
      <c r="E454" s="2757"/>
      <c r="F454" s="1012"/>
      <c r="G454" s="1012"/>
      <c r="H454" s="1012"/>
      <c r="I454" s="1012"/>
      <c r="J454" s="1012"/>
      <c r="K454" s="1012"/>
      <c r="L454" s="1012"/>
      <c r="M454" s="1012"/>
    </row>
    <row r="455" spans="1:13" outlineLevel="1" x14ac:dyDescent="0.25">
      <c r="B455" s="2789"/>
      <c r="C455" s="2789"/>
      <c r="E455" s="2757"/>
      <c r="F455" s="1012"/>
      <c r="G455" s="1012"/>
      <c r="H455" s="1012"/>
      <c r="I455" s="1012"/>
      <c r="J455" s="1012"/>
      <c r="K455" s="1012"/>
      <c r="L455" s="1012"/>
      <c r="M455" s="1012"/>
    </row>
    <row r="456" spans="1:13" x14ac:dyDescent="0.25">
      <c r="B456" s="2789"/>
      <c r="C456" s="2789"/>
      <c r="E456" s="2757"/>
      <c r="F456" s="1012"/>
      <c r="G456" s="1012"/>
      <c r="H456" s="1012"/>
      <c r="I456" s="1012"/>
      <c r="J456" s="1012"/>
      <c r="K456" s="1012"/>
      <c r="L456" s="1012"/>
      <c r="M456" s="1012"/>
    </row>
    <row r="457" spans="1:13" x14ac:dyDescent="0.25">
      <c r="A457" s="853" t="s">
        <v>2170</v>
      </c>
      <c r="B457" s="1112" t="s">
        <v>2172</v>
      </c>
      <c r="C457" s="2789"/>
      <c r="E457" s="2757"/>
      <c r="F457" s="1012"/>
      <c r="G457" s="1012"/>
      <c r="H457" s="1012"/>
      <c r="I457" s="1012"/>
      <c r="J457" s="1012"/>
      <c r="K457" s="1012"/>
      <c r="L457" s="1012"/>
      <c r="M457" s="1012"/>
    </row>
    <row r="458" spans="1:13" outlineLevel="1" x14ac:dyDescent="0.25">
      <c r="B458" s="2789"/>
      <c r="C458" s="2789"/>
      <c r="E458" s="2757"/>
      <c r="F458" s="1012"/>
      <c r="G458" s="1012"/>
      <c r="H458" s="1012"/>
      <c r="I458" s="1012"/>
      <c r="J458" s="1012"/>
      <c r="K458" s="1012"/>
      <c r="L458" s="1012"/>
      <c r="M458" s="1012"/>
    </row>
    <row r="459" spans="1:13" outlineLevel="1" x14ac:dyDescent="0.25">
      <c r="B459" s="1112" t="s">
        <v>609</v>
      </c>
      <c r="E459" s="2757"/>
      <c r="F459" s="1012"/>
      <c r="G459" s="1012"/>
      <c r="H459" s="1012"/>
      <c r="I459" s="1012"/>
      <c r="J459" s="1012"/>
      <c r="K459" s="1012"/>
      <c r="L459" s="1012"/>
      <c r="M459" s="1012"/>
    </row>
    <row r="460" spans="1:13" outlineLevel="1" x14ac:dyDescent="0.25">
      <c r="C460" s="2773" t="s">
        <v>620</v>
      </c>
      <c r="D460" s="1111"/>
      <c r="E460" s="2770"/>
      <c r="F460" s="2760"/>
      <c r="G460" s="2760"/>
      <c r="H460" s="2760"/>
      <c r="I460" s="2760"/>
      <c r="J460" s="2760"/>
      <c r="K460" s="2760"/>
      <c r="L460" s="2760"/>
      <c r="M460" s="2760"/>
    </row>
    <row r="461" spans="1:13" outlineLevel="1" x14ac:dyDescent="0.25">
      <c r="B461" s="2789"/>
      <c r="C461" s="2766" t="s">
        <v>602</v>
      </c>
      <c r="D461" s="2766" t="s">
        <v>582</v>
      </c>
      <c r="E461" s="2791" t="str">
        <f t="shared" ref="E461:M461" si="79">E375</f>
        <v>TWh</v>
      </c>
      <c r="F461" s="2792">
        <f t="shared" si="79"/>
        <v>31.521240009300335</v>
      </c>
      <c r="G461" s="2792">
        <f t="shared" si="79"/>
        <v>28.158958078087387</v>
      </c>
      <c r="H461" s="2792">
        <f t="shared" si="79"/>
        <v>26.95054543680747</v>
      </c>
      <c r="I461" s="2792">
        <f t="shared" si="79"/>
        <v>31.58391212139426</v>
      </c>
      <c r="J461" s="2792">
        <f t="shared" si="79"/>
        <v>35.935209038581796</v>
      </c>
      <c r="K461" s="2792">
        <f t="shared" si="79"/>
        <v>40.560071620217073</v>
      </c>
      <c r="L461" s="2792">
        <f t="shared" si="79"/>
        <v>44.383615368660159</v>
      </c>
      <c r="M461" s="2792">
        <f t="shared" si="79"/>
        <v>47.615285145277888</v>
      </c>
    </row>
    <row r="462" spans="1:13" outlineLevel="1" x14ac:dyDescent="0.25">
      <c r="B462" s="2789"/>
      <c r="C462" s="1109" t="s">
        <v>602</v>
      </c>
      <c r="D462" s="1109" t="s">
        <v>583</v>
      </c>
      <c r="E462" s="2826" t="str">
        <f>E377</f>
        <v>TWh</v>
      </c>
      <c r="F462" s="1886">
        <f t="shared" ref="F462:M462" si="80">F377*(1-$E$202)</f>
        <v>7.0919515123032267E-3</v>
      </c>
      <c r="G462" s="1886">
        <f t="shared" si="80"/>
        <v>1.1358514504943667E-2</v>
      </c>
      <c r="H462" s="1886">
        <f t="shared" si="80"/>
        <v>1.4289943610429196E-2</v>
      </c>
      <c r="I462" s="1886">
        <f t="shared" si="80"/>
        <v>2.0690057142355559E-2</v>
      </c>
      <c r="J462" s="1886">
        <f t="shared" si="80"/>
        <v>2.6919130445766257E-2</v>
      </c>
      <c r="K462" s="1886">
        <f t="shared" si="80"/>
        <v>3.324970119754838E-2</v>
      </c>
      <c r="L462" s="1886">
        <f t="shared" si="80"/>
        <v>4.0279726667263101E-2</v>
      </c>
      <c r="M462" s="1886">
        <f t="shared" si="80"/>
        <v>4.7501424190033663E-2</v>
      </c>
    </row>
    <row r="463" spans="1:13" outlineLevel="1" x14ac:dyDescent="0.25">
      <c r="B463" s="2789"/>
      <c r="C463" s="1111" t="s">
        <v>602</v>
      </c>
      <c r="D463" s="1111" t="s">
        <v>585</v>
      </c>
      <c r="E463" s="2770" t="str">
        <f>E379</f>
        <v>TWh</v>
      </c>
      <c r="F463" s="2760">
        <f t="shared" ref="F463:M463" si="81">F379*(1-$E$204)</f>
        <v>0</v>
      </c>
      <c r="G463" s="2760">
        <f t="shared" si="81"/>
        <v>0</v>
      </c>
      <c r="H463" s="2760">
        <f t="shared" si="81"/>
        <v>0</v>
      </c>
      <c r="I463" s="2760">
        <f t="shared" si="81"/>
        <v>0</v>
      </c>
      <c r="J463" s="2760">
        <f t="shared" si="81"/>
        <v>0</v>
      </c>
      <c r="K463" s="2760">
        <f t="shared" si="81"/>
        <v>0</v>
      </c>
      <c r="L463" s="2760">
        <f t="shared" si="81"/>
        <v>0</v>
      </c>
      <c r="M463" s="2760">
        <f t="shared" si="81"/>
        <v>0</v>
      </c>
    </row>
    <row r="464" spans="1:13" outlineLevel="1" x14ac:dyDescent="0.25">
      <c r="B464" s="2789"/>
      <c r="C464" s="2773" t="s">
        <v>622</v>
      </c>
      <c r="D464" s="1111"/>
      <c r="E464" s="2770"/>
      <c r="F464" s="2760"/>
      <c r="G464" s="2760"/>
      <c r="H464" s="2760"/>
      <c r="I464" s="2760"/>
      <c r="J464" s="2760"/>
      <c r="K464" s="2760"/>
      <c r="L464" s="2760"/>
      <c r="M464" s="2760"/>
    </row>
    <row r="465" spans="2:13" outlineLevel="1" x14ac:dyDescent="0.25">
      <c r="B465" s="2789"/>
      <c r="C465" s="1009" t="s">
        <v>602</v>
      </c>
      <c r="D465" s="1009" t="s">
        <v>582</v>
      </c>
      <c r="E465" s="2825" t="s">
        <v>171</v>
      </c>
      <c r="F465" s="1012">
        <f t="shared" ref="F465:M465" si="82">F429</f>
        <v>0.99235781941818257</v>
      </c>
      <c r="G465" s="1012">
        <f t="shared" si="82"/>
        <v>0.93945401265847295</v>
      </c>
      <c r="H465" s="1012">
        <f t="shared" si="82"/>
        <v>0.96056164240225284</v>
      </c>
      <c r="I465" s="1012">
        <f t="shared" si="82"/>
        <v>1.2100326521093845</v>
      </c>
      <c r="J465" s="1012">
        <f t="shared" si="82"/>
        <v>1.5132432721523363</v>
      </c>
      <c r="K465" s="1012">
        <f t="shared" si="82"/>
        <v>1.9134567755364607</v>
      </c>
      <c r="L465" s="1012">
        <f t="shared" si="82"/>
        <v>2.454166622319498</v>
      </c>
      <c r="M465" s="1012">
        <f t="shared" si="82"/>
        <v>3.1808180976427298</v>
      </c>
    </row>
    <row r="466" spans="2:13" outlineLevel="1" x14ac:dyDescent="0.25">
      <c r="B466" s="2789"/>
      <c r="C466" s="1009" t="s">
        <v>602</v>
      </c>
      <c r="D466" s="1009" t="s">
        <v>583</v>
      </c>
      <c r="E466" s="2825" t="s">
        <v>171</v>
      </c>
      <c r="F466" s="1012">
        <f t="shared" ref="F466:M466" si="83">F431*(1-$E$202)</f>
        <v>2.2327019927173629E-4</v>
      </c>
      <c r="G466" s="1012">
        <f t="shared" si="83"/>
        <v>3.7894875229110668E-4</v>
      </c>
      <c r="H466" s="1012">
        <f t="shared" si="83"/>
        <v>5.0931702797831966E-4</v>
      </c>
      <c r="I466" s="1012">
        <f t="shared" si="83"/>
        <v>7.9267079454988106E-4</v>
      </c>
      <c r="J466" s="1012">
        <f t="shared" si="83"/>
        <v>1.133573287288008E-3</v>
      </c>
      <c r="K466" s="1012">
        <f t="shared" si="83"/>
        <v>1.5685836710726997E-3</v>
      </c>
      <c r="L466" s="1012">
        <f t="shared" si="83"/>
        <v>2.2272444441907989E-3</v>
      </c>
      <c r="M466" s="1012">
        <f t="shared" si="83"/>
        <v>3.1732119059345275E-3</v>
      </c>
    </row>
    <row r="467" spans="2:13" outlineLevel="1" x14ac:dyDescent="0.25">
      <c r="B467" s="2789"/>
      <c r="C467" s="1111" t="s">
        <v>602</v>
      </c>
      <c r="D467" s="1111" t="s">
        <v>585</v>
      </c>
      <c r="E467" s="2827" t="s">
        <v>171</v>
      </c>
      <c r="F467" s="2760">
        <f t="shared" ref="F467:M467" si="84">F433*(1-$E$204)</f>
        <v>0</v>
      </c>
      <c r="G467" s="2760">
        <f t="shared" si="84"/>
        <v>0</v>
      </c>
      <c r="H467" s="2760">
        <f t="shared" si="84"/>
        <v>0</v>
      </c>
      <c r="I467" s="2760">
        <f t="shared" si="84"/>
        <v>0</v>
      </c>
      <c r="J467" s="2760">
        <f t="shared" si="84"/>
        <v>0</v>
      </c>
      <c r="K467" s="2760">
        <f t="shared" si="84"/>
        <v>0</v>
      </c>
      <c r="L467" s="2760">
        <f t="shared" si="84"/>
        <v>0</v>
      </c>
      <c r="M467" s="2760">
        <f t="shared" si="84"/>
        <v>0</v>
      </c>
    </row>
    <row r="468" spans="2:13" outlineLevel="1" x14ac:dyDescent="0.25">
      <c r="B468" s="2789"/>
      <c r="E468" s="2825"/>
      <c r="F468" s="1012"/>
      <c r="G468" s="1012"/>
      <c r="H468" s="1012"/>
      <c r="I468" s="1012"/>
      <c r="J468" s="1012"/>
      <c r="K468" s="1012"/>
      <c r="L468" s="1012"/>
      <c r="M468" s="1012"/>
    </row>
    <row r="469" spans="2:13" outlineLevel="1" x14ac:dyDescent="0.25">
      <c r="B469" s="1112" t="s">
        <v>334</v>
      </c>
      <c r="C469" s="2825"/>
      <c r="D469" s="1109"/>
      <c r="E469" s="2826"/>
      <c r="F469" s="1886"/>
      <c r="G469" s="1886"/>
      <c r="H469" s="1886"/>
      <c r="I469" s="1886"/>
      <c r="J469" s="1886"/>
      <c r="K469" s="1886"/>
      <c r="L469" s="1886"/>
      <c r="M469" s="1886"/>
    </row>
    <row r="470" spans="2:13" outlineLevel="1" x14ac:dyDescent="0.25">
      <c r="B470" s="2789"/>
      <c r="C470" s="2773" t="s">
        <v>620</v>
      </c>
      <c r="D470" s="1111"/>
      <c r="E470" s="2770"/>
      <c r="F470" s="2760"/>
      <c r="G470" s="2760"/>
      <c r="H470" s="2760"/>
      <c r="I470" s="2760"/>
      <c r="J470" s="2760"/>
      <c r="K470" s="2760"/>
      <c r="L470" s="2760"/>
      <c r="M470" s="2760"/>
    </row>
    <row r="471" spans="2:13" outlineLevel="1" x14ac:dyDescent="0.25">
      <c r="B471" s="2789"/>
      <c r="C471" s="1009" t="s">
        <v>602</v>
      </c>
      <c r="D471" s="1009" t="s">
        <v>334</v>
      </c>
      <c r="E471" s="2759" t="s">
        <v>171</v>
      </c>
      <c r="F471" s="1012">
        <f t="shared" ref="F471:M471" si="85">F376</f>
        <v>2.2274596784754181</v>
      </c>
      <c r="G471" s="1012">
        <f t="shared" si="85"/>
        <v>2.2071645295492783</v>
      </c>
      <c r="H471" s="1012">
        <f t="shared" si="85"/>
        <v>2.254324196771385</v>
      </c>
      <c r="I471" s="1012">
        <f t="shared" si="85"/>
        <v>2.6457471979449756</v>
      </c>
      <c r="J471" s="1012">
        <f t="shared" si="85"/>
        <v>3.010250226633346</v>
      </c>
      <c r="K471" s="1012">
        <f t="shared" si="85"/>
        <v>3.3976695295117105</v>
      </c>
      <c r="L471" s="1012">
        <f t="shared" si="85"/>
        <v>3.7179632955208586</v>
      </c>
      <c r="M471" s="1012">
        <f t="shared" si="85"/>
        <v>3.9886764745376557</v>
      </c>
    </row>
    <row r="472" spans="2:13" outlineLevel="1" x14ac:dyDescent="0.25">
      <c r="B472" s="2789"/>
      <c r="C472" s="1009" t="s">
        <v>602</v>
      </c>
      <c r="D472" s="1009" t="s">
        <v>584</v>
      </c>
      <c r="E472" s="2759" t="s">
        <v>171</v>
      </c>
      <c r="F472" s="1012">
        <f t="shared" ref="F472:M472" si="86">F378*(1-$E$203)</f>
        <v>6.3543662972813872E-3</v>
      </c>
      <c r="G472" s="1012">
        <f t="shared" si="86"/>
        <v>5.301371861940421E-3</v>
      </c>
      <c r="H472" s="1012">
        <f t="shared" si="86"/>
        <v>4.888083822549987E-3</v>
      </c>
      <c r="I472" s="1012">
        <f t="shared" si="86"/>
        <v>4.8708544711887434E-3</v>
      </c>
      <c r="J472" s="1012">
        <f t="shared" si="86"/>
        <v>4.8180499319444058E-3</v>
      </c>
      <c r="K472" s="1012">
        <f t="shared" si="86"/>
        <v>4.8935107071424898E-3</v>
      </c>
      <c r="L472" s="1012">
        <f t="shared" si="86"/>
        <v>4.9309048624634165E-3</v>
      </c>
      <c r="M472" s="1012">
        <f t="shared" si="86"/>
        <v>4.902015671241735E-3</v>
      </c>
    </row>
    <row r="473" spans="2:13" outlineLevel="1" x14ac:dyDescent="0.25">
      <c r="B473" s="2789"/>
      <c r="C473" s="1109" t="s">
        <v>602</v>
      </c>
      <c r="D473" s="1109" t="s">
        <v>586</v>
      </c>
      <c r="E473" s="2759" t="s">
        <v>171</v>
      </c>
      <c r="F473" s="1886">
        <f t="shared" ref="F473:M473" si="87">F380*(1-$E$205)</f>
        <v>0</v>
      </c>
      <c r="G473" s="1886">
        <f t="shared" si="87"/>
        <v>0</v>
      </c>
      <c r="H473" s="1886">
        <f t="shared" si="87"/>
        <v>0</v>
      </c>
      <c r="I473" s="1886">
        <f t="shared" si="87"/>
        <v>0</v>
      </c>
      <c r="J473" s="1886">
        <f t="shared" si="87"/>
        <v>0</v>
      </c>
      <c r="K473" s="1886">
        <f t="shared" si="87"/>
        <v>0</v>
      </c>
      <c r="L473" s="1886">
        <f t="shared" si="87"/>
        <v>0</v>
      </c>
      <c r="M473" s="1886">
        <f t="shared" si="87"/>
        <v>0</v>
      </c>
    </row>
    <row r="474" spans="2:13" outlineLevel="1" x14ac:dyDescent="0.25">
      <c r="B474" s="2789"/>
      <c r="C474" s="2776" t="s">
        <v>595</v>
      </c>
      <c r="D474" s="1109" t="s">
        <v>591</v>
      </c>
      <c r="E474" s="2759" t="s">
        <v>171</v>
      </c>
      <c r="F474" s="1886">
        <f t="shared" ref="F474:M474" si="88">F384*(1-$E$206)</f>
        <v>3.2626563036860704E-4</v>
      </c>
      <c r="G474" s="1886">
        <f t="shared" si="88"/>
        <v>5.8239722623205079E-2</v>
      </c>
      <c r="H474" s="1886">
        <f t="shared" si="88"/>
        <v>9.3483988527457776E-2</v>
      </c>
      <c r="I474" s="1886">
        <f t="shared" si="88"/>
        <v>0.1841575938844863</v>
      </c>
      <c r="J474" s="1886">
        <f t="shared" si="88"/>
        <v>0.20141996594928749</v>
      </c>
      <c r="K474" s="1886">
        <f t="shared" si="88"/>
        <v>0.28673138593374242</v>
      </c>
      <c r="L474" s="1886">
        <f t="shared" si="88"/>
        <v>0.27943051790526741</v>
      </c>
      <c r="M474" s="1886">
        <f t="shared" si="88"/>
        <v>0.27111962704129466</v>
      </c>
    </row>
    <row r="475" spans="2:13" outlineLevel="1" x14ac:dyDescent="0.25">
      <c r="B475" s="2789"/>
      <c r="C475" s="2764" t="s">
        <v>595</v>
      </c>
      <c r="D475" s="1111" t="s">
        <v>593</v>
      </c>
      <c r="E475" s="2764" t="s">
        <v>171</v>
      </c>
      <c r="F475" s="2760">
        <f t="shared" ref="F475:M475" si="89">F386</f>
        <v>14.633153729766132</v>
      </c>
      <c r="G475" s="2760">
        <f t="shared" si="89"/>
        <v>13.926130454564241</v>
      </c>
      <c r="H475" s="2760">
        <f t="shared" si="89"/>
        <v>13.883048503211933</v>
      </c>
      <c r="I475" s="2760">
        <f t="shared" si="89"/>
        <v>13.805892510921469</v>
      </c>
      <c r="J475" s="2760">
        <f t="shared" si="89"/>
        <v>15.38975349676158</v>
      </c>
      <c r="K475" s="2760">
        <f t="shared" si="89"/>
        <v>15.43493401555072</v>
      </c>
      <c r="L475" s="2760">
        <f t="shared" si="89"/>
        <v>15.723347275074108</v>
      </c>
      <c r="M475" s="2760">
        <f t="shared" si="89"/>
        <v>15.96974995630292</v>
      </c>
    </row>
    <row r="476" spans="2:13" outlineLevel="1" x14ac:dyDescent="0.25">
      <c r="B476" s="2789"/>
      <c r="C476" s="2773" t="s">
        <v>622</v>
      </c>
      <c r="D476" s="2793"/>
      <c r="E476" s="2793"/>
      <c r="F476" s="2760"/>
      <c r="G476" s="2760"/>
      <c r="H476" s="2760"/>
      <c r="I476" s="2760"/>
      <c r="J476" s="2760"/>
      <c r="K476" s="2760"/>
      <c r="L476" s="2760"/>
      <c r="M476" s="2760"/>
    </row>
    <row r="477" spans="2:13" outlineLevel="1" x14ac:dyDescent="0.25">
      <c r="B477" s="2789"/>
      <c r="C477" s="1009" t="s">
        <v>602</v>
      </c>
      <c r="D477" s="1009" t="s">
        <v>334</v>
      </c>
      <c r="E477" s="2759" t="s">
        <v>171</v>
      </c>
      <c r="F477" s="1012">
        <f t="shared" ref="F477:M477" si="90">F430</f>
        <v>7.0125319585194079E-2</v>
      </c>
      <c r="G477" s="1012">
        <f t="shared" si="90"/>
        <v>7.3636587267626577E-2</v>
      </c>
      <c r="H477" s="1012">
        <f t="shared" si="90"/>
        <v>8.0347811810905362E-2</v>
      </c>
      <c r="I477" s="1012">
        <f t="shared" si="90"/>
        <v>0.10136301311995309</v>
      </c>
      <c r="J477" s="1012">
        <f t="shared" si="90"/>
        <v>0.12676261039854331</v>
      </c>
      <c r="K477" s="1012">
        <f t="shared" si="90"/>
        <v>0.16028802520746552</v>
      </c>
      <c r="L477" s="1012">
        <f t="shared" si="90"/>
        <v>0.20558265357804134</v>
      </c>
      <c r="M477" s="1012">
        <f t="shared" si="90"/>
        <v>0.2664533936348672</v>
      </c>
    </row>
    <row r="478" spans="2:13" outlineLevel="1" x14ac:dyDescent="0.25">
      <c r="B478" s="2789"/>
      <c r="C478" s="1009" t="s">
        <v>602</v>
      </c>
      <c r="D478" s="1009" t="s">
        <v>584</v>
      </c>
      <c r="E478" s="2759" t="s">
        <v>171</v>
      </c>
      <c r="F478" s="1012">
        <f t="shared" ref="F478:M478" si="91">F432*(1-$E$203)</f>
        <v>2.000493978248959E-4</v>
      </c>
      <c r="G478" s="1012">
        <f t="shared" si="91"/>
        <v>1.7686716442005967E-4</v>
      </c>
      <c r="H478" s="1012">
        <f t="shared" si="91"/>
        <v>1.7421932464401722E-4</v>
      </c>
      <c r="I478" s="1012">
        <f t="shared" si="91"/>
        <v>1.8661060514473042E-4</v>
      </c>
      <c r="J478" s="1012">
        <f t="shared" si="91"/>
        <v>2.02889640535583E-4</v>
      </c>
      <c r="K478" s="1012">
        <f t="shared" si="91"/>
        <v>2.3085563818567789E-4</v>
      </c>
      <c r="L478" s="1012">
        <f t="shared" si="91"/>
        <v>2.726515636631866E-4</v>
      </c>
      <c r="M478" s="1012">
        <f t="shared" si="91"/>
        <v>3.2746669718432459E-4</v>
      </c>
    </row>
    <row r="479" spans="2:13" outlineLevel="1" x14ac:dyDescent="0.25">
      <c r="B479" s="2789"/>
      <c r="C479" s="1009" t="s">
        <v>602</v>
      </c>
      <c r="D479" s="1009" t="s">
        <v>586</v>
      </c>
      <c r="E479" s="2759" t="s">
        <v>171</v>
      </c>
      <c r="F479" s="1012">
        <f t="shared" ref="F479:M479" si="92">F434*(1-$E$205)</f>
        <v>0</v>
      </c>
      <c r="G479" s="1012">
        <f t="shared" si="92"/>
        <v>0</v>
      </c>
      <c r="H479" s="1012">
        <f t="shared" si="92"/>
        <v>0</v>
      </c>
      <c r="I479" s="1012">
        <f t="shared" si="92"/>
        <v>0</v>
      </c>
      <c r="J479" s="1012">
        <f t="shared" si="92"/>
        <v>0</v>
      </c>
      <c r="K479" s="1012">
        <f t="shared" si="92"/>
        <v>0</v>
      </c>
      <c r="L479" s="1012">
        <f t="shared" si="92"/>
        <v>0</v>
      </c>
      <c r="M479" s="1012">
        <f t="shared" si="92"/>
        <v>0</v>
      </c>
    </row>
    <row r="480" spans="2:13" outlineLevel="1" x14ac:dyDescent="0.25">
      <c r="B480" s="2789"/>
      <c r="C480" s="2776" t="s">
        <v>595</v>
      </c>
      <c r="D480" s="1109" t="s">
        <v>591</v>
      </c>
      <c r="E480" s="2759" t="s">
        <v>171</v>
      </c>
      <c r="F480" s="1886">
        <f t="shared" ref="F480:M480" si="93">F438*(1-$E$206)</f>
        <v>2.4277903452785577E-4</v>
      </c>
      <c r="G480" s="1886">
        <f t="shared" si="93"/>
        <v>4.8199569230870959E-2</v>
      </c>
      <c r="H480" s="1886">
        <f t="shared" si="93"/>
        <v>8.7077247575447755E-2</v>
      </c>
      <c r="I480" s="1886">
        <f t="shared" si="93"/>
        <v>0.1943368432918062</v>
      </c>
      <c r="J480" s="1886">
        <f t="shared" si="93"/>
        <v>0.23629200867292649</v>
      </c>
      <c r="K480" s="1886">
        <f t="shared" si="93"/>
        <v>0.41381888728126631</v>
      </c>
      <c r="L480" s="1886">
        <f t="shared" si="93"/>
        <v>0.50405693489376735</v>
      </c>
      <c r="M480" s="1886">
        <f t="shared" si="93"/>
        <v>0.61958602777291572</v>
      </c>
    </row>
    <row r="481" spans="2:13" outlineLevel="1" x14ac:dyDescent="0.25">
      <c r="B481" s="2789"/>
      <c r="C481" s="2764" t="s">
        <v>595</v>
      </c>
      <c r="D481" s="1111" t="s">
        <v>593</v>
      </c>
      <c r="E481" s="2764" t="s">
        <v>171</v>
      </c>
      <c r="F481" s="2760">
        <f t="shared" ref="F481:M481" si="94">F440</f>
        <v>10.888744029202972</v>
      </c>
      <c r="G481" s="2760">
        <f t="shared" si="94"/>
        <v>11.525355182503269</v>
      </c>
      <c r="H481" s="2760">
        <f t="shared" si="94"/>
        <v>12.931601129332025</v>
      </c>
      <c r="I481" s="2760">
        <f t="shared" si="94"/>
        <v>14.56900860184667</v>
      </c>
      <c r="J481" s="2760">
        <f t="shared" si="94"/>
        <v>18.054197107979661</v>
      </c>
      <c r="K481" s="2760">
        <f t="shared" si="94"/>
        <v>22.276135550263515</v>
      </c>
      <c r="L481" s="2760">
        <f t="shared" si="94"/>
        <v>28.362908579767279</v>
      </c>
      <c r="M481" s="2760">
        <f t="shared" si="94"/>
        <v>36.495454231520291</v>
      </c>
    </row>
    <row r="482" spans="2:13" outlineLevel="1" x14ac:dyDescent="0.25">
      <c r="B482" s="2789"/>
      <c r="C482" s="2776"/>
      <c r="D482" s="1109"/>
      <c r="E482" s="2776"/>
      <c r="F482" s="1886"/>
      <c r="G482" s="1886"/>
      <c r="H482" s="1886"/>
      <c r="I482" s="1886"/>
      <c r="J482" s="1886"/>
      <c r="K482" s="1886"/>
      <c r="L482" s="1886"/>
      <c r="M482" s="1886"/>
    </row>
    <row r="483" spans="2:13" outlineLevel="1" x14ac:dyDescent="0.25">
      <c r="B483" s="1112" t="s">
        <v>498</v>
      </c>
      <c r="C483" s="2789"/>
      <c r="E483" s="2757"/>
      <c r="F483" s="1012"/>
      <c r="G483" s="1012"/>
      <c r="H483" s="1012"/>
      <c r="I483" s="1012"/>
      <c r="J483" s="1012"/>
      <c r="K483" s="1012"/>
      <c r="L483" s="1012"/>
      <c r="M483" s="1012"/>
    </row>
    <row r="484" spans="2:13" outlineLevel="1" x14ac:dyDescent="0.25">
      <c r="B484" s="2789"/>
      <c r="C484" s="2773" t="s">
        <v>620</v>
      </c>
      <c r="D484" s="1111"/>
      <c r="E484" s="2770"/>
      <c r="F484" s="2783"/>
      <c r="G484" s="2760"/>
      <c r="H484" s="2760"/>
      <c r="I484" s="2760"/>
      <c r="J484" s="2760"/>
      <c r="K484" s="2760"/>
      <c r="L484" s="2760"/>
      <c r="M484" s="2760"/>
    </row>
    <row r="485" spans="2:13" outlineLevel="1" x14ac:dyDescent="0.25">
      <c r="B485" s="2789"/>
      <c r="C485" s="1009" t="s">
        <v>602</v>
      </c>
      <c r="D485" s="1009" t="s">
        <v>583</v>
      </c>
      <c r="E485" s="2759" t="s">
        <v>171</v>
      </c>
      <c r="F485" s="2828">
        <f t="shared" ref="F485:M488" si="95">F377*$E202</f>
        <v>3.0394077909870975E-3</v>
      </c>
      <c r="G485" s="2828">
        <f t="shared" si="95"/>
        <v>4.8679347878330002E-3</v>
      </c>
      <c r="H485" s="2828">
        <f t="shared" si="95"/>
        <v>6.1242615473267991E-3</v>
      </c>
      <c r="I485" s="2828">
        <f t="shared" si="95"/>
        <v>8.8671673467238116E-3</v>
      </c>
      <c r="J485" s="2828">
        <f t="shared" si="95"/>
        <v>1.1536770191042682E-2</v>
      </c>
      <c r="K485" s="2828">
        <f t="shared" si="95"/>
        <v>1.424987194180645E-2</v>
      </c>
      <c r="L485" s="2828">
        <f t="shared" si="95"/>
        <v>1.7262740000255614E-2</v>
      </c>
      <c r="M485" s="2828">
        <f t="shared" si="95"/>
        <v>2.0357753224300144E-2</v>
      </c>
    </row>
    <row r="486" spans="2:13" outlineLevel="1" x14ac:dyDescent="0.25">
      <c r="B486" s="2789"/>
      <c r="C486" s="1009" t="s">
        <v>602</v>
      </c>
      <c r="D486" s="1009" t="s">
        <v>584</v>
      </c>
      <c r="E486" s="2759" t="s">
        <v>171</v>
      </c>
      <c r="F486" s="77">
        <f t="shared" si="95"/>
        <v>2.7232998416920231E-3</v>
      </c>
      <c r="G486" s="77">
        <f t="shared" si="95"/>
        <v>2.2720165122601804E-3</v>
      </c>
      <c r="H486" s="77">
        <f t="shared" si="95"/>
        <v>2.0948930668071371E-3</v>
      </c>
      <c r="I486" s="77">
        <f t="shared" si="95"/>
        <v>2.0875090590808899E-3</v>
      </c>
      <c r="J486" s="77">
        <f t="shared" si="95"/>
        <v>2.0648785422618882E-3</v>
      </c>
      <c r="K486" s="77">
        <f t="shared" si="95"/>
        <v>2.0972188744896388E-3</v>
      </c>
      <c r="L486" s="77">
        <f t="shared" si="95"/>
        <v>2.1132449410557501E-3</v>
      </c>
      <c r="M486" s="77">
        <f t="shared" si="95"/>
        <v>2.1008638591036009E-3</v>
      </c>
    </row>
    <row r="487" spans="2:13" outlineLevel="1" x14ac:dyDescent="0.25">
      <c r="B487" s="2789"/>
      <c r="C487" s="1009" t="s">
        <v>602</v>
      </c>
      <c r="D487" s="1009" t="s">
        <v>585</v>
      </c>
      <c r="E487" s="2759" t="s">
        <v>171</v>
      </c>
      <c r="F487" s="77">
        <f t="shared" si="95"/>
        <v>0</v>
      </c>
      <c r="G487" s="77">
        <f t="shared" si="95"/>
        <v>0</v>
      </c>
      <c r="H487" s="77">
        <f t="shared" si="95"/>
        <v>0</v>
      </c>
      <c r="I487" s="77">
        <f t="shared" si="95"/>
        <v>0</v>
      </c>
      <c r="J487" s="77">
        <f t="shared" si="95"/>
        <v>0</v>
      </c>
      <c r="K487" s="77">
        <f t="shared" si="95"/>
        <v>0</v>
      </c>
      <c r="L487" s="77">
        <f t="shared" si="95"/>
        <v>0</v>
      </c>
      <c r="M487" s="77">
        <f t="shared" si="95"/>
        <v>0</v>
      </c>
    </row>
    <row r="488" spans="2:13" outlineLevel="1" x14ac:dyDescent="0.25">
      <c r="B488" s="2789"/>
      <c r="C488" s="1009" t="s">
        <v>602</v>
      </c>
      <c r="D488" s="1009" t="s">
        <v>586</v>
      </c>
      <c r="E488" s="2759" t="s">
        <v>171</v>
      </c>
      <c r="F488" s="77">
        <f t="shared" si="95"/>
        <v>0</v>
      </c>
      <c r="G488" s="77">
        <f t="shared" si="95"/>
        <v>0</v>
      </c>
      <c r="H488" s="77">
        <f t="shared" si="95"/>
        <v>0</v>
      </c>
      <c r="I488" s="77">
        <f t="shared" si="95"/>
        <v>0</v>
      </c>
      <c r="J488" s="77">
        <f t="shared" si="95"/>
        <v>0</v>
      </c>
      <c r="K488" s="77">
        <f t="shared" si="95"/>
        <v>0</v>
      </c>
      <c r="L488" s="77">
        <f t="shared" si="95"/>
        <v>0</v>
      </c>
      <c r="M488" s="77">
        <f t="shared" si="95"/>
        <v>0</v>
      </c>
    </row>
    <row r="489" spans="2:13" outlineLevel="1" x14ac:dyDescent="0.25">
      <c r="B489" s="2789"/>
      <c r="C489" s="1009" t="s">
        <v>602</v>
      </c>
      <c r="D489" s="1009" t="s">
        <v>587</v>
      </c>
      <c r="E489" s="2759" t="s">
        <v>171</v>
      </c>
      <c r="F489" s="77">
        <f t="shared" ref="F489:M489" si="96">F381</f>
        <v>2.4037034147566212E-4</v>
      </c>
      <c r="G489" s="77">
        <f t="shared" si="96"/>
        <v>2.8767907245199573E-4</v>
      </c>
      <c r="H489" s="77">
        <f t="shared" si="96"/>
        <v>3.6494050318934692E-4</v>
      </c>
      <c r="I489" s="77">
        <f t="shared" si="96"/>
        <v>4.781691890205881E-4</v>
      </c>
      <c r="J489" s="77">
        <f t="shared" si="96"/>
        <v>5.9458709790951865E-4</v>
      </c>
      <c r="K489" s="77">
        <f t="shared" si="96"/>
        <v>7.1223454453084529E-4</v>
      </c>
      <c r="L489" s="77">
        <f t="shared" si="96"/>
        <v>8.4220009250488698E-4</v>
      </c>
      <c r="M489" s="77">
        <f t="shared" si="96"/>
        <v>9.7431729675730746E-4</v>
      </c>
    </row>
    <row r="490" spans="2:13" outlineLevel="1" x14ac:dyDescent="0.25">
      <c r="B490" s="2789"/>
      <c r="C490" s="2776" t="s">
        <v>595</v>
      </c>
      <c r="D490" s="1109" t="s">
        <v>590</v>
      </c>
      <c r="E490" s="2759" t="s">
        <v>171</v>
      </c>
      <c r="F490" s="2830">
        <f t="shared" ref="F490:M490" si="97">F383</f>
        <v>0</v>
      </c>
      <c r="G490" s="2830">
        <f t="shared" si="97"/>
        <v>2.0266817171927338E-4</v>
      </c>
      <c r="H490" s="2830">
        <f t="shared" si="97"/>
        <v>1.9558021619984128E-4</v>
      </c>
      <c r="I490" s="2830">
        <f t="shared" si="97"/>
        <v>1.9262985175746538E-4</v>
      </c>
      <c r="J490" s="2830">
        <f t="shared" si="97"/>
        <v>2.1071715762227273E-4</v>
      </c>
      <c r="K490" s="2830">
        <f t="shared" si="97"/>
        <v>2.0000724521783417E-4</v>
      </c>
      <c r="L490" s="2830">
        <f t="shared" si="97"/>
        <v>1.9490233541294286E-4</v>
      </c>
      <c r="M490" s="2830">
        <f t="shared" si="97"/>
        <v>1.8909343813074299E-4</v>
      </c>
    </row>
    <row r="491" spans="2:13" outlineLevel="1" x14ac:dyDescent="0.25">
      <c r="B491" s="2789"/>
      <c r="C491" s="2776" t="s">
        <v>595</v>
      </c>
      <c r="D491" s="1109" t="s">
        <v>591</v>
      </c>
      <c r="E491" s="2759" t="s">
        <v>171</v>
      </c>
      <c r="F491" s="2830">
        <f t="shared" ref="F491:M491" si="98">F384*$E$206</f>
        <v>3.2626563036860704E-4</v>
      </c>
      <c r="G491" s="2830">
        <f t="shared" si="98"/>
        <v>5.8239722623205079E-2</v>
      </c>
      <c r="H491" s="2830">
        <f t="shared" si="98"/>
        <v>9.3483988527457776E-2</v>
      </c>
      <c r="I491" s="2830">
        <f t="shared" si="98"/>
        <v>0.1841575938844863</v>
      </c>
      <c r="J491" s="2830">
        <f t="shared" si="98"/>
        <v>0.20141996594928749</v>
      </c>
      <c r="K491" s="2830">
        <f t="shared" si="98"/>
        <v>0.28673138593374242</v>
      </c>
      <c r="L491" s="2830">
        <f t="shared" si="98"/>
        <v>0.27943051790526741</v>
      </c>
      <c r="M491" s="2830">
        <f t="shared" si="98"/>
        <v>0.27111962704129466</v>
      </c>
    </row>
    <row r="492" spans="2:13" outlineLevel="1" x14ac:dyDescent="0.25">
      <c r="B492" s="2789"/>
      <c r="C492" s="2764" t="s">
        <v>596</v>
      </c>
      <c r="D492" s="1111" t="s">
        <v>1923</v>
      </c>
      <c r="E492" s="2764" t="s">
        <v>171</v>
      </c>
      <c r="F492" s="2829">
        <f t="shared" ref="F492:M492" si="99">F388</f>
        <v>0.27135837364749105</v>
      </c>
      <c r="G492" s="2829">
        <f t="shared" si="99"/>
        <v>0.29512534157862019</v>
      </c>
      <c r="H492" s="2829">
        <f t="shared" si="99"/>
        <v>0.34051060392603172</v>
      </c>
      <c r="I492" s="2829">
        <f t="shared" si="99"/>
        <v>0.39523353017558194</v>
      </c>
      <c r="J492" s="2829">
        <f t="shared" si="99"/>
        <v>0.45274334869965815</v>
      </c>
      <c r="K492" s="2829">
        <f t="shared" si="99"/>
        <v>0.47012348658965791</v>
      </c>
      <c r="L492" s="2829">
        <f t="shared" si="99"/>
        <v>0.48324038855349521</v>
      </c>
      <c r="M492" s="2829">
        <f t="shared" si="99"/>
        <v>0.49091122452497504</v>
      </c>
    </row>
    <row r="493" spans="2:13" outlineLevel="1" x14ac:dyDescent="0.25">
      <c r="B493" s="2789"/>
      <c r="C493" s="2773" t="s">
        <v>622</v>
      </c>
      <c r="D493" s="1111"/>
      <c r="E493" s="2770"/>
      <c r="F493" s="2783"/>
      <c r="G493" s="2760"/>
      <c r="H493" s="2760"/>
      <c r="I493" s="2760"/>
      <c r="J493" s="2760"/>
      <c r="K493" s="2760"/>
      <c r="L493" s="2760"/>
      <c r="M493" s="2760"/>
    </row>
    <row r="494" spans="2:13" outlineLevel="1" x14ac:dyDescent="0.25">
      <c r="B494" s="2789"/>
      <c r="C494" s="1009" t="s">
        <v>602</v>
      </c>
      <c r="D494" s="1009" t="s">
        <v>583</v>
      </c>
      <c r="E494" s="2759" t="s">
        <v>171</v>
      </c>
      <c r="F494" s="1012">
        <f t="shared" ref="F494:M497" si="100">F431*$E202</f>
        <v>9.5687228259315563E-5</v>
      </c>
      <c r="G494" s="1012">
        <f t="shared" si="100"/>
        <v>1.6240660812476002E-4</v>
      </c>
      <c r="H494" s="1012">
        <f t="shared" si="100"/>
        <v>2.1827872627642271E-4</v>
      </c>
      <c r="I494" s="1012">
        <f t="shared" si="100"/>
        <v>3.3971605480709186E-4</v>
      </c>
      <c r="J494" s="1012">
        <f t="shared" si="100"/>
        <v>4.8581712312343201E-4</v>
      </c>
      <c r="K494" s="1012">
        <f t="shared" si="100"/>
        <v>6.7225014474544273E-4</v>
      </c>
      <c r="L494" s="1012">
        <f t="shared" si="100"/>
        <v>9.5453333322462804E-4</v>
      </c>
      <c r="M494" s="1012">
        <f t="shared" si="100"/>
        <v>1.3599479596862261E-3</v>
      </c>
    </row>
    <row r="495" spans="2:13" outlineLevel="1" x14ac:dyDescent="0.25">
      <c r="B495" s="2789"/>
      <c r="C495" s="1009" t="s">
        <v>602</v>
      </c>
      <c r="D495" s="1009" t="s">
        <v>584</v>
      </c>
      <c r="E495" s="2759" t="s">
        <v>171</v>
      </c>
      <c r="F495" s="1012">
        <f t="shared" si="100"/>
        <v>8.5735456210669683E-5</v>
      </c>
      <c r="G495" s="1012">
        <f t="shared" si="100"/>
        <v>7.5800213322882714E-5</v>
      </c>
      <c r="H495" s="1012">
        <f t="shared" si="100"/>
        <v>7.4665424847435949E-5</v>
      </c>
      <c r="I495" s="1012">
        <f t="shared" si="100"/>
        <v>7.9975973633455888E-5</v>
      </c>
      <c r="J495" s="1012">
        <f t="shared" si="100"/>
        <v>8.695270308667844E-5</v>
      </c>
      <c r="K495" s="1012">
        <f t="shared" si="100"/>
        <v>9.893813065100482E-5</v>
      </c>
      <c r="L495" s="1012">
        <f t="shared" si="100"/>
        <v>1.1685067014136568E-4</v>
      </c>
      <c r="M495" s="1012">
        <f t="shared" si="100"/>
        <v>1.403428702218534E-4</v>
      </c>
    </row>
    <row r="496" spans="2:13" outlineLevel="1" x14ac:dyDescent="0.25">
      <c r="B496" s="2789"/>
      <c r="C496" s="1009" t="s">
        <v>602</v>
      </c>
      <c r="D496" s="1009" t="s">
        <v>585</v>
      </c>
      <c r="E496" s="2759" t="s">
        <v>171</v>
      </c>
      <c r="F496" s="1012">
        <f t="shared" si="100"/>
        <v>0</v>
      </c>
      <c r="G496" s="1012">
        <f t="shared" si="100"/>
        <v>0</v>
      </c>
      <c r="H496" s="1012">
        <f t="shared" si="100"/>
        <v>0</v>
      </c>
      <c r="I496" s="1012">
        <f t="shared" si="100"/>
        <v>0</v>
      </c>
      <c r="J496" s="1012">
        <f t="shared" si="100"/>
        <v>0</v>
      </c>
      <c r="K496" s="1012">
        <f t="shared" si="100"/>
        <v>0</v>
      </c>
      <c r="L496" s="1012">
        <f t="shared" si="100"/>
        <v>0</v>
      </c>
      <c r="M496" s="1012">
        <f t="shared" si="100"/>
        <v>0</v>
      </c>
    </row>
    <row r="497" spans="2:13" outlineLevel="1" x14ac:dyDescent="0.25">
      <c r="B497" s="2789"/>
      <c r="C497" s="1009" t="s">
        <v>602</v>
      </c>
      <c r="D497" s="1009" t="s">
        <v>586</v>
      </c>
      <c r="E497" s="2759" t="s">
        <v>171</v>
      </c>
      <c r="F497" s="1012">
        <f t="shared" si="100"/>
        <v>0</v>
      </c>
      <c r="G497" s="1012">
        <f t="shared" si="100"/>
        <v>0</v>
      </c>
      <c r="H497" s="1012">
        <f t="shared" si="100"/>
        <v>0</v>
      </c>
      <c r="I497" s="1012">
        <f t="shared" si="100"/>
        <v>0</v>
      </c>
      <c r="J497" s="1012">
        <f t="shared" si="100"/>
        <v>0</v>
      </c>
      <c r="K497" s="1012">
        <f t="shared" si="100"/>
        <v>0</v>
      </c>
      <c r="L497" s="1012">
        <f t="shared" si="100"/>
        <v>0</v>
      </c>
      <c r="M497" s="1012">
        <f t="shared" si="100"/>
        <v>0</v>
      </c>
    </row>
    <row r="498" spans="2:13" outlineLevel="1" x14ac:dyDescent="0.25">
      <c r="B498" s="2789"/>
      <c r="C498" s="1009" t="s">
        <v>602</v>
      </c>
      <c r="D498" s="1009" t="s">
        <v>587</v>
      </c>
      <c r="E498" s="2759" t="s">
        <v>171</v>
      </c>
      <c r="F498" s="1012">
        <f t="shared" ref="F498:M498" si="101">F435</f>
        <v>7.5673859229272954E-6</v>
      </c>
      <c r="G498" s="1012">
        <f t="shared" si="101"/>
        <v>9.5977009597952989E-6</v>
      </c>
      <c r="H498" s="1012">
        <f t="shared" si="101"/>
        <v>1.3007078092152674E-5</v>
      </c>
      <c r="I498" s="1012">
        <f t="shared" si="101"/>
        <v>1.8319463710628945E-5</v>
      </c>
      <c r="J498" s="1012">
        <f t="shared" si="101"/>
        <v>2.50382549508517E-5</v>
      </c>
      <c r="K498" s="1012">
        <f t="shared" si="101"/>
        <v>3.360028620670313E-5</v>
      </c>
      <c r="L498" s="1012">
        <f t="shared" si="101"/>
        <v>4.6568972337466482E-5</v>
      </c>
      <c r="M498" s="1012">
        <f t="shared" si="101"/>
        <v>6.5086790531996479E-5</v>
      </c>
    </row>
    <row r="499" spans="2:13" outlineLevel="1" x14ac:dyDescent="0.25">
      <c r="B499" s="2789"/>
      <c r="C499" s="2776" t="s">
        <v>595</v>
      </c>
      <c r="D499" s="1009" t="s">
        <v>590</v>
      </c>
      <c r="E499" s="2759" t="s">
        <v>171</v>
      </c>
      <c r="F499" s="1012">
        <f t="shared" ref="F499:M499" si="102">F437</f>
        <v>0</v>
      </c>
      <c r="G499" s="1012">
        <f t="shared" si="102"/>
        <v>1.67729483137768E-4</v>
      </c>
      <c r="H499" s="1012">
        <f t="shared" si="102"/>
        <v>1.8217651145565974E-4</v>
      </c>
      <c r="I499" s="1012">
        <f t="shared" si="102"/>
        <v>2.032774023850232E-4</v>
      </c>
      <c r="J499" s="1012">
        <f t="shared" si="102"/>
        <v>2.4719883255740671E-4</v>
      </c>
      <c r="K499" s="1012">
        <f t="shared" si="102"/>
        <v>2.8865614203588152E-4</v>
      </c>
      <c r="L499" s="1012">
        <f t="shared" si="102"/>
        <v>3.5157889885596146E-4</v>
      </c>
      <c r="M499" s="1012">
        <f t="shared" si="102"/>
        <v>4.3213268433533916E-4</v>
      </c>
    </row>
    <row r="500" spans="2:13" outlineLevel="1" x14ac:dyDescent="0.25">
      <c r="B500" s="2789"/>
      <c r="C500" s="2776" t="s">
        <v>595</v>
      </c>
      <c r="D500" s="1009" t="s">
        <v>591</v>
      </c>
      <c r="E500" s="2759" t="s">
        <v>171</v>
      </c>
      <c r="F500" s="1886">
        <f t="shared" ref="F500:M500" si="103">F438*$E$206</f>
        <v>2.4277903452785577E-4</v>
      </c>
      <c r="G500" s="1886">
        <f t="shared" si="103"/>
        <v>4.8199569230870959E-2</v>
      </c>
      <c r="H500" s="1886">
        <f t="shared" si="103"/>
        <v>8.7077247575447755E-2</v>
      </c>
      <c r="I500" s="1886">
        <f t="shared" si="103"/>
        <v>0.1943368432918062</v>
      </c>
      <c r="J500" s="1886">
        <f t="shared" si="103"/>
        <v>0.23629200867292649</v>
      </c>
      <c r="K500" s="1886">
        <f t="shared" si="103"/>
        <v>0.41381888728126631</v>
      </c>
      <c r="L500" s="1886">
        <f t="shared" si="103"/>
        <v>0.50405693489376735</v>
      </c>
      <c r="M500" s="1886">
        <f t="shared" si="103"/>
        <v>0.61958602777291572</v>
      </c>
    </row>
    <row r="501" spans="2:13" outlineLevel="1" x14ac:dyDescent="0.25">
      <c r="B501" s="2789"/>
      <c r="C501" s="2764" t="s">
        <v>603</v>
      </c>
      <c r="D501" s="1111" t="s">
        <v>1940</v>
      </c>
      <c r="E501" s="2764" t="s">
        <v>171</v>
      </c>
      <c r="F501" s="2760">
        <f t="shared" ref="F501:M501" si="104">F441</f>
        <v>2.8630252540193461E-2</v>
      </c>
      <c r="G501" s="2760">
        <f t="shared" si="104"/>
        <v>3.1936814908022138E-2</v>
      </c>
      <c r="H501" s="2760">
        <f t="shared" si="104"/>
        <v>3.7789818549049857E-2</v>
      </c>
      <c r="I501" s="2760">
        <f t="shared" si="104"/>
        <v>4.5703287249664812E-2</v>
      </c>
      <c r="J501" s="2760">
        <f t="shared" si="104"/>
        <v>5.4506091235126557E-2</v>
      </c>
      <c r="K501" s="2760">
        <f t="shared" si="104"/>
        <v>6.5609965168969581E-2</v>
      </c>
      <c r="L501" s="2760">
        <f t="shared" si="104"/>
        <v>7.9925504293890712E-2</v>
      </c>
      <c r="M501" s="2760">
        <f t="shared" si="104"/>
        <v>9.8149762858861497E-2</v>
      </c>
    </row>
    <row r="502" spans="2:13" outlineLevel="1" x14ac:dyDescent="0.25">
      <c r="B502" s="2789"/>
      <c r="C502" s="2789"/>
      <c r="E502" s="2757"/>
      <c r="F502" s="1012"/>
      <c r="G502" s="1012"/>
      <c r="H502" s="1012"/>
      <c r="I502" s="1012"/>
      <c r="J502" s="1012"/>
      <c r="K502" s="1012"/>
      <c r="L502" s="1012"/>
      <c r="M502" s="1012"/>
    </row>
    <row r="503" spans="2:13" outlineLevel="1" x14ac:dyDescent="0.25">
      <c r="B503" s="1112" t="s">
        <v>612</v>
      </c>
      <c r="C503" s="2789"/>
      <c r="E503" s="2757"/>
      <c r="F503" s="1012"/>
      <c r="G503" s="1012"/>
      <c r="H503" s="1012"/>
      <c r="I503" s="1012"/>
      <c r="J503" s="1012"/>
      <c r="K503" s="1012"/>
      <c r="L503" s="1012"/>
      <c r="M503" s="1012"/>
    </row>
    <row r="504" spans="2:13" outlineLevel="1" x14ac:dyDescent="0.25">
      <c r="B504" s="2789"/>
      <c r="C504" s="1110" t="s">
        <v>620</v>
      </c>
      <c r="E504" s="2757"/>
      <c r="F504" s="1012"/>
      <c r="G504" s="1012"/>
      <c r="H504" s="1012"/>
      <c r="I504" s="1012"/>
      <c r="J504" s="1012"/>
      <c r="K504" s="1012"/>
      <c r="L504" s="1012"/>
      <c r="M504" s="1012"/>
    </row>
    <row r="505" spans="2:13" outlineLevel="1" x14ac:dyDescent="0.25">
      <c r="B505" s="2789"/>
      <c r="C505" s="2831" t="s">
        <v>602</v>
      </c>
      <c r="D505" s="2766" t="s">
        <v>588</v>
      </c>
      <c r="E505" s="2774" t="s">
        <v>171</v>
      </c>
      <c r="F505" s="2792">
        <f t="shared" ref="F505:M505" si="105">F382</f>
        <v>0</v>
      </c>
      <c r="G505" s="2792">
        <f t="shared" si="105"/>
        <v>0</v>
      </c>
      <c r="H505" s="2792">
        <f t="shared" si="105"/>
        <v>0</v>
      </c>
      <c r="I505" s="2792">
        <f t="shared" si="105"/>
        <v>0</v>
      </c>
      <c r="J505" s="2792">
        <f t="shared" si="105"/>
        <v>0</v>
      </c>
      <c r="K505" s="2792">
        <f t="shared" si="105"/>
        <v>0</v>
      </c>
      <c r="L505" s="2792">
        <f t="shared" si="105"/>
        <v>0</v>
      </c>
      <c r="M505" s="2792">
        <f t="shared" si="105"/>
        <v>0</v>
      </c>
    </row>
    <row r="506" spans="2:13" outlineLevel="1" x14ac:dyDescent="0.25">
      <c r="B506" s="2789"/>
      <c r="C506" s="2827" t="s">
        <v>595</v>
      </c>
      <c r="D506" s="1111" t="s">
        <v>592</v>
      </c>
      <c r="E506" s="2764" t="s">
        <v>171</v>
      </c>
      <c r="F506" s="2760">
        <f t="shared" ref="F506:M506" si="106">F385</f>
        <v>0</v>
      </c>
      <c r="G506" s="2760">
        <f t="shared" si="106"/>
        <v>0</v>
      </c>
      <c r="H506" s="2760">
        <f t="shared" si="106"/>
        <v>0</v>
      </c>
      <c r="I506" s="2760">
        <f t="shared" si="106"/>
        <v>0</v>
      </c>
      <c r="J506" s="2760">
        <f t="shared" si="106"/>
        <v>0</v>
      </c>
      <c r="K506" s="2760">
        <f t="shared" si="106"/>
        <v>0</v>
      </c>
      <c r="L506" s="2760">
        <f t="shared" si="106"/>
        <v>0</v>
      </c>
      <c r="M506" s="2760">
        <f t="shared" si="106"/>
        <v>0</v>
      </c>
    </row>
    <row r="507" spans="2:13" outlineLevel="1" x14ac:dyDescent="0.25">
      <c r="B507" s="2789"/>
      <c r="C507" s="1110" t="s">
        <v>622</v>
      </c>
      <c r="E507" s="2757"/>
      <c r="F507" s="1012"/>
      <c r="G507" s="1012"/>
      <c r="H507" s="1012"/>
      <c r="I507" s="1012"/>
      <c r="J507" s="1012"/>
      <c r="K507" s="1012"/>
      <c r="L507" s="1012"/>
      <c r="M507" s="1012"/>
    </row>
    <row r="508" spans="2:13" outlineLevel="1" x14ac:dyDescent="0.25">
      <c r="B508" s="2789"/>
      <c r="C508" s="2831" t="s">
        <v>602</v>
      </c>
      <c r="D508" s="2766" t="s">
        <v>588</v>
      </c>
      <c r="E508" s="2774" t="s">
        <v>171</v>
      </c>
      <c r="F508" s="2792">
        <f t="shared" ref="F508:M508" si="107">F436</f>
        <v>0</v>
      </c>
      <c r="G508" s="2792">
        <f t="shared" si="107"/>
        <v>0</v>
      </c>
      <c r="H508" s="2792">
        <f t="shared" si="107"/>
        <v>0</v>
      </c>
      <c r="I508" s="2792">
        <f t="shared" si="107"/>
        <v>0</v>
      </c>
      <c r="J508" s="2792">
        <f t="shared" si="107"/>
        <v>0</v>
      </c>
      <c r="K508" s="2792">
        <f t="shared" si="107"/>
        <v>0</v>
      </c>
      <c r="L508" s="2792">
        <f t="shared" si="107"/>
        <v>0</v>
      </c>
      <c r="M508" s="2792">
        <f t="shared" si="107"/>
        <v>0</v>
      </c>
    </row>
    <row r="509" spans="2:13" outlineLevel="1" x14ac:dyDescent="0.25">
      <c r="B509" s="2789"/>
      <c r="C509" s="2827" t="s">
        <v>595</v>
      </c>
      <c r="D509" s="1111" t="s">
        <v>592</v>
      </c>
      <c r="E509" s="2764" t="s">
        <v>171</v>
      </c>
      <c r="F509" s="2760">
        <f t="shared" ref="F509:M509" si="108">F439</f>
        <v>0</v>
      </c>
      <c r="G509" s="2760">
        <f t="shared" si="108"/>
        <v>0</v>
      </c>
      <c r="H509" s="2760">
        <f t="shared" si="108"/>
        <v>0</v>
      </c>
      <c r="I509" s="2760">
        <f t="shared" si="108"/>
        <v>0</v>
      </c>
      <c r="J509" s="2760">
        <f t="shared" si="108"/>
        <v>0</v>
      </c>
      <c r="K509" s="2760">
        <f t="shared" si="108"/>
        <v>0</v>
      </c>
      <c r="L509" s="2760">
        <f t="shared" si="108"/>
        <v>0</v>
      </c>
      <c r="M509" s="2760">
        <f t="shared" si="108"/>
        <v>0</v>
      </c>
    </row>
    <row r="510" spans="2:13" outlineLevel="1" x14ac:dyDescent="0.25">
      <c r="B510" s="2789"/>
      <c r="C510" s="2825"/>
      <c r="E510" s="2757"/>
      <c r="F510" s="1012"/>
      <c r="G510" s="1012"/>
      <c r="H510" s="1012"/>
      <c r="I510" s="1012"/>
      <c r="J510" s="1012"/>
      <c r="K510" s="1012"/>
      <c r="L510" s="1012"/>
      <c r="M510" s="1012"/>
    </row>
    <row r="511" spans="2:13" outlineLevel="1" x14ac:dyDescent="0.25">
      <c r="B511" s="2789"/>
    </row>
    <row r="512" spans="2:13" outlineLevel="1" x14ac:dyDescent="0.25">
      <c r="B512" s="2789"/>
      <c r="C512" s="2825"/>
      <c r="E512" s="2825"/>
      <c r="F512" s="1012"/>
      <c r="G512" s="1012"/>
      <c r="H512" s="1012"/>
      <c r="I512" s="1012"/>
      <c r="J512" s="1012"/>
      <c r="K512" s="1012"/>
      <c r="L512" s="1012"/>
      <c r="M512" s="1012"/>
    </row>
    <row r="513" spans="1:13" outlineLevel="1" x14ac:dyDescent="0.25">
      <c r="B513" s="2789"/>
      <c r="C513" s="2834" t="s">
        <v>1945</v>
      </c>
      <c r="D513" s="2834"/>
      <c r="E513" s="2834" t="s">
        <v>171</v>
      </c>
      <c r="F513" s="2837">
        <f t="shared" ref="F513:M513" si="109">SUM(F461:F467)</f>
        <v>32.520913050430096</v>
      </c>
      <c r="G513" s="2837">
        <f t="shared" si="109"/>
        <v>29.110149554003097</v>
      </c>
      <c r="H513" s="2837">
        <f t="shared" si="109"/>
        <v>27.925906339848133</v>
      </c>
      <c r="I513" s="2837">
        <f t="shared" si="109"/>
        <v>32.815427501440553</v>
      </c>
      <c r="J513" s="2837">
        <f t="shared" si="109"/>
        <v>37.476505014467193</v>
      </c>
      <c r="K513" s="2837">
        <f t="shared" si="109"/>
        <v>42.508346680622154</v>
      </c>
      <c r="L513" s="2837">
        <f t="shared" si="109"/>
        <v>46.880288962091115</v>
      </c>
      <c r="M513" s="2837">
        <f t="shared" si="109"/>
        <v>50.846777879016578</v>
      </c>
    </row>
    <row r="514" spans="1:13" outlineLevel="1" x14ac:dyDescent="0.25">
      <c r="B514" s="2789"/>
      <c r="C514" s="2834" t="s">
        <v>1946</v>
      </c>
      <c r="D514" s="2834"/>
      <c r="E514" s="2834" t="s">
        <v>171</v>
      </c>
      <c r="F514" s="2838">
        <f t="shared" ref="F514:M514" si="110">SUM(F471:F481)</f>
        <v>27.82660621738972</v>
      </c>
      <c r="G514" s="2838">
        <f t="shared" si="110"/>
        <v>27.844204284764849</v>
      </c>
      <c r="H514" s="2838">
        <f t="shared" si="110"/>
        <v>29.334945180376351</v>
      </c>
      <c r="I514" s="2838">
        <f t="shared" si="110"/>
        <v>31.505563226085698</v>
      </c>
      <c r="J514" s="2838">
        <f t="shared" si="110"/>
        <v>37.023696355967829</v>
      </c>
      <c r="K514" s="2838">
        <f t="shared" si="110"/>
        <v>41.974701760093751</v>
      </c>
      <c r="L514" s="2838">
        <f t="shared" si="110"/>
        <v>48.798492813165446</v>
      </c>
      <c r="M514" s="2838">
        <f t="shared" si="110"/>
        <v>57.616269193178368</v>
      </c>
    </row>
    <row r="515" spans="1:13" outlineLevel="1" x14ac:dyDescent="0.25">
      <c r="B515" s="2789"/>
      <c r="C515" s="2834" t="s">
        <v>1947</v>
      </c>
      <c r="D515" s="2834"/>
      <c r="E515" s="2834" t="s">
        <v>171</v>
      </c>
      <c r="F515" s="2837">
        <f t="shared" ref="F515:M515" si="111">SUM(F485:F501)</f>
        <v>0.30674973889712864</v>
      </c>
      <c r="G515" s="2837">
        <f t="shared" si="111"/>
        <v>0.44154728089052808</v>
      </c>
      <c r="H515" s="2837">
        <f t="shared" si="111"/>
        <v>0.56812946165218181</v>
      </c>
      <c r="I515" s="2837">
        <f t="shared" si="111"/>
        <v>0.83169801894265816</v>
      </c>
      <c r="J515" s="2837">
        <f t="shared" si="111"/>
        <v>0.96021337445955335</v>
      </c>
      <c r="K515" s="2837">
        <f t="shared" si="111"/>
        <v>1.2546365022833201</v>
      </c>
      <c r="L515" s="2837">
        <f t="shared" si="111"/>
        <v>1.3685359648902093</v>
      </c>
      <c r="M515" s="2837">
        <f t="shared" si="111"/>
        <v>1.5053861803211139</v>
      </c>
    </row>
    <row r="516" spans="1:13" outlineLevel="1" x14ac:dyDescent="0.25">
      <c r="B516" s="2789"/>
      <c r="C516" s="2834" t="s">
        <v>1948</v>
      </c>
      <c r="D516" s="2834"/>
      <c r="E516" s="2834" t="s">
        <v>171</v>
      </c>
      <c r="F516" s="2837">
        <f t="shared" ref="F516:M516" si="112">SUM(F505:F509)</f>
        <v>0</v>
      </c>
      <c r="G516" s="2837">
        <f t="shared" si="112"/>
        <v>0</v>
      </c>
      <c r="H516" s="2837">
        <f t="shared" si="112"/>
        <v>0</v>
      </c>
      <c r="I516" s="2837">
        <f t="shared" si="112"/>
        <v>0</v>
      </c>
      <c r="J516" s="2837">
        <f t="shared" si="112"/>
        <v>0</v>
      </c>
      <c r="K516" s="2837">
        <f t="shared" si="112"/>
        <v>0</v>
      </c>
      <c r="L516" s="2837">
        <f t="shared" si="112"/>
        <v>0</v>
      </c>
      <c r="M516" s="2837">
        <f t="shared" si="112"/>
        <v>0</v>
      </c>
    </row>
    <row r="517" spans="1:13" outlineLevel="1" x14ac:dyDescent="0.25">
      <c r="B517" s="2789"/>
      <c r="C517" s="2834" t="s">
        <v>1950</v>
      </c>
      <c r="D517" s="2834"/>
      <c r="E517" s="2834" t="s">
        <v>171</v>
      </c>
      <c r="F517" s="2837">
        <f t="shared" ref="F517:M517" si="113">F$20*F152</f>
        <v>11.247334284015169</v>
      </c>
      <c r="G517" s="2837">
        <f t="shared" si="113"/>
        <v>13.239156447694397</v>
      </c>
      <c r="H517" s="2837">
        <f t="shared" si="113"/>
        <v>18.193193003443962</v>
      </c>
      <c r="I517" s="2837">
        <f t="shared" si="113"/>
        <v>25.053427769584964</v>
      </c>
      <c r="J517" s="2837">
        <f t="shared" si="113"/>
        <v>28.070554863307635</v>
      </c>
      <c r="K517" s="2837">
        <f t="shared" si="113"/>
        <v>27.988973630683805</v>
      </c>
      <c r="L517" s="2837">
        <f t="shared" si="113"/>
        <v>27.397375109204091</v>
      </c>
      <c r="M517" s="2837">
        <f t="shared" si="113"/>
        <v>26.777270674712014</v>
      </c>
    </row>
    <row r="518" spans="1:13" s="3358" customFormat="1" outlineLevel="1" x14ac:dyDescent="0.25">
      <c r="B518" s="3359"/>
      <c r="C518" s="3360"/>
      <c r="D518" s="3360" t="s">
        <v>118</v>
      </c>
      <c r="E518" s="3360" t="s">
        <v>171</v>
      </c>
      <c r="F518" s="3361">
        <f>SUM(F513:F517)</f>
        <v>71.901603290732126</v>
      </c>
      <c r="G518" s="3361">
        <f>SUM(G513:G517)</f>
        <v>70.63505756735286</v>
      </c>
      <c r="H518" s="3361">
        <f t="shared" ref="H518:M518" si="114">SUM(H513:H517)</f>
        <v>76.022173985320634</v>
      </c>
      <c r="I518" s="3361">
        <f t="shared" si="114"/>
        <v>90.206116516053868</v>
      </c>
      <c r="J518" s="3361">
        <f t="shared" si="114"/>
        <v>103.53096960820221</v>
      </c>
      <c r="K518" s="3361">
        <f t="shared" si="114"/>
        <v>113.72665857368303</v>
      </c>
      <c r="L518" s="3361">
        <f t="shared" si="114"/>
        <v>124.44469284935087</v>
      </c>
      <c r="M518" s="3361">
        <f t="shared" si="114"/>
        <v>136.74570392722808</v>
      </c>
    </row>
    <row r="519" spans="1:13" x14ac:dyDescent="0.25">
      <c r="B519" s="2789"/>
      <c r="C519" s="1112"/>
      <c r="D519" s="1112"/>
      <c r="E519" s="1112"/>
      <c r="F519" s="1115"/>
      <c r="G519" s="1115"/>
      <c r="H519" s="1115"/>
      <c r="I519" s="1115"/>
      <c r="J519" s="1115"/>
      <c r="K519" s="1115"/>
      <c r="L519" s="1115"/>
      <c r="M519" s="1115"/>
    </row>
    <row r="520" spans="1:13" x14ac:dyDescent="0.25">
      <c r="A520" s="853" t="s">
        <v>2174</v>
      </c>
      <c r="B520" s="1112" t="s">
        <v>2175</v>
      </c>
      <c r="C520" s="2789"/>
      <c r="D520" s="1112"/>
      <c r="E520" s="1112"/>
      <c r="F520" s="1115"/>
      <c r="G520" s="1115"/>
      <c r="H520" s="1115"/>
      <c r="I520" s="1115"/>
      <c r="J520" s="1115"/>
      <c r="K520" s="1115"/>
      <c r="L520" s="1115"/>
      <c r="M520" s="1115"/>
    </row>
    <row r="521" spans="1:13" outlineLevel="1" x14ac:dyDescent="0.25">
      <c r="B521" s="2789"/>
      <c r="D521" s="1112"/>
      <c r="E521" s="1112" t="s">
        <v>2176</v>
      </c>
      <c r="F521" s="3107">
        <f>F20/71.9026901564699</f>
        <v>1.1019378161830817</v>
      </c>
      <c r="G521" s="3107">
        <f>G20/70.6387108081059</f>
        <v>1.2075508748720449</v>
      </c>
      <c r="H521" s="3107">
        <f>H20/76.0262675527056</f>
        <v>1.3347820933571017</v>
      </c>
      <c r="I521" s="3107">
        <f>I20/90.2124188086998</f>
        <v>1.3713474217939012</v>
      </c>
      <c r="J521" s="3107">
        <f>J20/103.539683684732</f>
        <v>1.3763082675885867</v>
      </c>
      <c r="K521" s="3107">
        <f>K20/113.738037270524</f>
        <v>1.3656189578183686</v>
      </c>
      <c r="L521" s="3107">
        <f>L20/124.459042023238</f>
        <v>1.3185629775962333</v>
      </c>
      <c r="M521" s="3107">
        <f>M20/136.763334869373</f>
        <v>1.2507204029538377</v>
      </c>
    </row>
    <row r="522" spans="1:13" outlineLevel="1" x14ac:dyDescent="0.25">
      <c r="B522" s="2789"/>
      <c r="C522" s="1112"/>
      <c r="D522" s="1112"/>
      <c r="E522" s="1112"/>
      <c r="F522" s="3107"/>
      <c r="G522" s="3107"/>
      <c r="H522" s="3107"/>
      <c r="I522" s="3107"/>
      <c r="J522" s="3107"/>
      <c r="K522" s="3107"/>
      <c r="L522" s="3107"/>
      <c r="M522" s="3107"/>
    </row>
    <row r="523" spans="1:13" outlineLevel="1" x14ac:dyDescent="0.25">
      <c r="B523" s="2789"/>
      <c r="C523" s="2834" t="s">
        <v>1945</v>
      </c>
      <c r="D523" s="2834"/>
      <c r="E523" s="2834" t="s">
        <v>171</v>
      </c>
      <c r="F523" s="3107">
        <f t="shared" ref="F523:M527" si="115">F513*F$521</f>
        <v>35.836023907070825</v>
      </c>
      <c r="G523" s="3107">
        <f t="shared" si="115"/>
        <v>35.151986561592508</v>
      </c>
      <c r="H523" s="3107">
        <f t="shared" si="115"/>
        <v>37.274999723196849</v>
      </c>
      <c r="I523" s="3107">
        <f t="shared" si="115"/>
        <v>45.001351899165186</v>
      </c>
      <c r="J523" s="3107">
        <f t="shared" si="115"/>
        <v>51.579223691736324</v>
      </c>
      <c r="K523" s="3107">
        <f t="shared" si="115"/>
        <v>58.050204092573132</v>
      </c>
      <c r="L523" s="3107">
        <f t="shared" si="115"/>
        <v>61.814613404426687</v>
      </c>
      <c r="M523" s="3107">
        <f t="shared" si="115"/>
        <v>63.595102517747897</v>
      </c>
    </row>
    <row r="524" spans="1:13" outlineLevel="1" x14ac:dyDescent="0.25">
      <c r="B524" s="2789"/>
      <c r="C524" s="2834" t="s">
        <v>1946</v>
      </c>
      <c r="D524" s="2834"/>
      <c r="E524" s="2834" t="s">
        <v>171</v>
      </c>
      <c r="F524" s="3107">
        <f t="shared" si="115"/>
        <v>30.663189686976992</v>
      </c>
      <c r="G524" s="3107">
        <f t="shared" si="115"/>
        <v>33.623293244183735</v>
      </c>
      <c r="H524" s="3107">
        <f t="shared" si="115"/>
        <v>39.155759536378568</v>
      </c>
      <c r="I524" s="3107">
        <f t="shared" si="115"/>
        <v>43.205072902257371</v>
      </c>
      <c r="J524" s="3107">
        <f t="shared" si="115"/>
        <v>50.956019391407956</v>
      </c>
      <c r="K524" s="3107">
        <f t="shared" si="115"/>
        <v>57.321448472356074</v>
      </c>
      <c r="L524" s="3107">
        <f t="shared" si="115"/>
        <v>64.343885985935827</v>
      </c>
      <c r="M524" s="3107">
        <f t="shared" si="115"/>
        <v>72.06184342198884</v>
      </c>
    </row>
    <row r="525" spans="1:13" outlineLevel="1" x14ac:dyDescent="0.25">
      <c r="B525" s="2789"/>
      <c r="C525" s="2834" t="s">
        <v>1947</v>
      </c>
      <c r="D525" s="2834"/>
      <c r="E525" s="2834" t="s">
        <v>171</v>
      </c>
      <c r="F525" s="3107">
        <f t="shared" si="115"/>
        <v>0.33801913739503248</v>
      </c>
      <c r="G525" s="3107">
        <f t="shared" si="115"/>
        <v>0.5331908053367298</v>
      </c>
      <c r="H525" s="3107">
        <f t="shared" si="115"/>
        <v>0.75832903212194247</v>
      </c>
      <c r="I525" s="3107">
        <f t="shared" si="115"/>
        <v>1.1405469339881096</v>
      </c>
      <c r="J525" s="3107">
        <f t="shared" si="115"/>
        <v>1.3215496059178187</v>
      </c>
      <c r="K525" s="3107">
        <f t="shared" si="115"/>
        <v>1.7133553926890308</v>
      </c>
      <c r="L525" s="3107">
        <f t="shared" si="115"/>
        <v>1.8045008568131686</v>
      </c>
      <c r="M525" s="3107">
        <f t="shared" si="115"/>
        <v>1.8828172100523621</v>
      </c>
    </row>
    <row r="526" spans="1:13" outlineLevel="1" x14ac:dyDescent="0.25">
      <c r="B526" s="2789"/>
      <c r="C526" s="2834" t="s">
        <v>1948</v>
      </c>
      <c r="D526" s="2834"/>
      <c r="E526" s="2834" t="s">
        <v>171</v>
      </c>
      <c r="F526" s="3107">
        <f t="shared" si="115"/>
        <v>0</v>
      </c>
      <c r="G526" s="3107">
        <f t="shared" si="115"/>
        <v>0</v>
      </c>
      <c r="H526" s="3107">
        <f t="shared" si="115"/>
        <v>0</v>
      </c>
      <c r="I526" s="3107">
        <f t="shared" si="115"/>
        <v>0</v>
      </c>
      <c r="J526" s="3107">
        <f t="shared" si="115"/>
        <v>0</v>
      </c>
      <c r="K526" s="3107">
        <f t="shared" si="115"/>
        <v>0</v>
      </c>
      <c r="L526" s="3107">
        <f t="shared" si="115"/>
        <v>0</v>
      </c>
      <c r="M526" s="3107">
        <f t="shared" si="115"/>
        <v>0</v>
      </c>
    </row>
    <row r="527" spans="1:13" outlineLevel="1" x14ac:dyDescent="0.25">
      <c r="B527" s="2789"/>
      <c r="C527" s="2834" t="s">
        <v>1950</v>
      </c>
      <c r="D527" s="2834"/>
      <c r="E527" s="2834" t="s">
        <v>171</v>
      </c>
      <c r="F527" s="3107">
        <f t="shared" si="115"/>
        <v>12.39386297880878</v>
      </c>
      <c r="G527" s="3107">
        <f t="shared" si="115"/>
        <v>15.986954950981243</v>
      </c>
      <c r="H527" s="3107">
        <f t="shared" si="115"/>
        <v>24.28394824198671</v>
      </c>
      <c r="I527" s="3107">
        <f t="shared" si="115"/>
        <v>34.35695357892007</v>
      </c>
      <c r="J527" s="3107">
        <f t="shared" si="115"/>
        <v>38.633736734169311</v>
      </c>
      <c r="K527" s="3107">
        <f t="shared" si="115"/>
        <v>38.222272999940216</v>
      </c>
      <c r="L527" s="3107">
        <f t="shared" si="115"/>
        <v>36.125164502313076</v>
      </c>
      <c r="M527" s="3107">
        <f t="shared" si="115"/>
        <v>33.490878768279792</v>
      </c>
    </row>
    <row r="528" spans="1:13" outlineLevel="1" x14ac:dyDescent="0.25">
      <c r="B528" s="2789"/>
      <c r="C528" s="1112"/>
      <c r="D528" s="1112" t="s">
        <v>118</v>
      </c>
      <c r="E528" s="1112" t="s">
        <v>171</v>
      </c>
      <c r="F528" s="1115">
        <f>SUM(F523:F527)</f>
        <v>79.231095710251637</v>
      </c>
      <c r="G528" s="1115">
        <f t="shared" ref="G528:L528" si="116">SUM(G523:G527)</f>
        <v>85.295425562094223</v>
      </c>
      <c r="H528" s="1115">
        <f t="shared" si="116"/>
        <v>101.47303653368407</v>
      </c>
      <c r="I528" s="1115">
        <f t="shared" si="116"/>
        <v>123.70392531433073</v>
      </c>
      <c r="J528" s="1115">
        <f t="shared" si="116"/>
        <v>142.49052942323141</v>
      </c>
      <c r="K528" s="1115">
        <f t="shared" si="116"/>
        <v>155.30728095755845</v>
      </c>
      <c r="L528" s="1115">
        <f t="shared" si="116"/>
        <v>164.08816474948875</v>
      </c>
      <c r="M528" s="1115">
        <f>SUM(M523:M527)</f>
        <v>171.03064191806891</v>
      </c>
    </row>
    <row r="529" spans="1:13" outlineLevel="1" x14ac:dyDescent="0.25">
      <c r="B529" s="2789"/>
      <c r="C529" s="1112"/>
      <c r="D529" s="1112"/>
      <c r="E529" s="1112"/>
      <c r="F529" s="1115"/>
      <c r="G529" s="1115"/>
      <c r="H529" s="1115"/>
      <c r="I529" s="1115"/>
      <c r="J529" s="1115"/>
      <c r="K529" s="1115"/>
      <c r="L529" s="1115"/>
      <c r="M529" s="1115"/>
    </row>
    <row r="530" spans="1:13" outlineLevel="1" x14ac:dyDescent="0.25">
      <c r="B530" s="2834" t="s">
        <v>1949</v>
      </c>
      <c r="C530" s="2789"/>
      <c r="D530" s="1112"/>
      <c r="E530" s="1112"/>
      <c r="F530" s="3107"/>
      <c r="G530" s="3107"/>
      <c r="H530" s="3107"/>
      <c r="I530" s="3107"/>
      <c r="J530" s="3107"/>
      <c r="K530" s="3107"/>
      <c r="L530" s="3107"/>
      <c r="M530" s="3107"/>
    </row>
    <row r="531" spans="1:13" outlineLevel="1" x14ac:dyDescent="0.25">
      <c r="B531" s="1009" t="s">
        <v>447</v>
      </c>
      <c r="C531" s="1009" t="s">
        <v>980</v>
      </c>
      <c r="D531" s="1112"/>
      <c r="E531" s="2834" t="s">
        <v>171</v>
      </c>
      <c r="F531" s="3107">
        <f t="shared" ref="F531:M535" si="117">F449*F$521</f>
        <v>53.33594497140453</v>
      </c>
      <c r="G531" s="3107">
        <f t="shared" si="117"/>
        <v>53.655135425366886</v>
      </c>
      <c r="H531" s="3107">
        <f t="shared" si="117"/>
        <v>57.799860517853276</v>
      </c>
      <c r="I531" s="3107">
        <f t="shared" si="117"/>
        <v>66.429513696050577</v>
      </c>
      <c r="J531" s="3107">
        <f t="shared" si="117"/>
        <v>75.399943026533364</v>
      </c>
      <c r="K531" s="3107">
        <f t="shared" si="117"/>
        <v>81.966553559214447</v>
      </c>
      <c r="L531" s="3107">
        <f t="shared" si="117"/>
        <v>84.980606868956514</v>
      </c>
      <c r="M531" s="3107">
        <f t="shared" si="117"/>
        <v>85.289096073503785</v>
      </c>
    </row>
    <row r="532" spans="1:13" outlineLevel="1" x14ac:dyDescent="0.25">
      <c r="B532" s="1009" t="s">
        <v>448</v>
      </c>
      <c r="C532" s="1009" t="s">
        <v>992</v>
      </c>
      <c r="D532" s="1112"/>
      <c r="E532" s="2834" t="s">
        <v>171</v>
      </c>
      <c r="F532" s="3107">
        <f t="shared" si="117"/>
        <v>13.170718948417285</v>
      </c>
      <c r="G532" s="3107">
        <f t="shared" si="117"/>
        <v>15.2583909925431</v>
      </c>
      <c r="H532" s="3107">
        <f t="shared" si="117"/>
        <v>18.884279144014918</v>
      </c>
      <c r="I532" s="3107">
        <f t="shared" si="117"/>
        <v>22.312780471609948</v>
      </c>
      <c r="J532" s="3107">
        <f t="shared" si="117"/>
        <v>27.758718064616787</v>
      </c>
      <c r="K532" s="3107">
        <f t="shared" si="117"/>
        <v>34.386846640344736</v>
      </c>
      <c r="L532" s="3107">
        <f t="shared" si="117"/>
        <v>42.239823681665676</v>
      </c>
      <c r="M532" s="3107">
        <f t="shared" si="117"/>
        <v>51.51391648078021</v>
      </c>
    </row>
    <row r="533" spans="1:13" outlineLevel="1" x14ac:dyDescent="0.25">
      <c r="B533" s="1009" t="s">
        <v>449</v>
      </c>
      <c r="C533" s="1009" t="s">
        <v>981</v>
      </c>
      <c r="D533" s="1112"/>
      <c r="E533" s="2834" t="s">
        <v>171</v>
      </c>
      <c r="F533" s="3107">
        <f t="shared" si="117"/>
        <v>0.29902005366010898</v>
      </c>
      <c r="G533" s="3107">
        <f t="shared" si="117"/>
        <v>0.35637886442017391</v>
      </c>
      <c r="H533" s="3107">
        <f t="shared" si="117"/>
        <v>0.45450745671867954</v>
      </c>
      <c r="I533" s="3107">
        <f t="shared" si="117"/>
        <v>0.54200248261278638</v>
      </c>
      <c r="J533" s="3107">
        <f t="shared" si="117"/>
        <v>0.62311441391108191</v>
      </c>
      <c r="K533" s="3107">
        <f t="shared" si="117"/>
        <v>0.64200954580250646</v>
      </c>
      <c r="L533" s="3107">
        <f t="shared" si="117"/>
        <v>0.63718288562585734</v>
      </c>
      <c r="M533" s="3107">
        <f t="shared" si="117"/>
        <v>0.61399268455243872</v>
      </c>
    </row>
    <row r="534" spans="1:13" outlineLevel="1" x14ac:dyDescent="0.25">
      <c r="B534" s="1009" t="s">
        <v>450</v>
      </c>
      <c r="C534" s="1009" t="s">
        <v>982</v>
      </c>
      <c r="D534" s="1112"/>
      <c r="E534" s="2834" t="s">
        <v>171</v>
      </c>
      <c r="F534" s="3107">
        <f t="shared" si="117"/>
        <v>3.154875796091091E-2</v>
      </c>
      <c r="G534" s="3107">
        <f t="shared" si="117"/>
        <v>3.8565328782808703E-2</v>
      </c>
      <c r="H534" s="3107">
        <f t="shared" si="117"/>
        <v>5.04411731104858E-2</v>
      </c>
      <c r="I534" s="3107">
        <f t="shared" si="117"/>
        <v>6.2675085137333914E-2</v>
      </c>
      <c r="J534" s="3107">
        <f t="shared" si="117"/>
        <v>7.501718400084248E-2</v>
      </c>
      <c r="K534" s="3107">
        <f t="shared" si="117"/>
        <v>8.959821225654771E-2</v>
      </c>
      <c r="L534" s="3107">
        <f t="shared" si="117"/>
        <v>0.10538681092763307</v>
      </c>
      <c r="M534" s="3107">
        <f t="shared" si="117"/>
        <v>0.12275791095265887</v>
      </c>
    </row>
    <row r="535" spans="1:13" outlineLevel="1" x14ac:dyDescent="0.25">
      <c r="B535" s="1009" t="s">
        <v>451</v>
      </c>
      <c r="C535" s="1009" t="s">
        <v>983</v>
      </c>
      <c r="E535" s="2757" t="s">
        <v>171</v>
      </c>
      <c r="F535" s="3107">
        <f t="shared" si="117"/>
        <v>12.39386297880878</v>
      </c>
      <c r="G535" s="3107">
        <f t="shared" si="117"/>
        <v>15.986954950981243</v>
      </c>
      <c r="H535" s="3107">
        <f t="shared" si="117"/>
        <v>24.28394824198671</v>
      </c>
      <c r="I535" s="3107">
        <f t="shared" si="117"/>
        <v>34.35695357892007</v>
      </c>
      <c r="J535" s="3107">
        <f t="shared" si="117"/>
        <v>38.633736734169311</v>
      </c>
      <c r="K535" s="3107">
        <f t="shared" si="117"/>
        <v>38.222272999940216</v>
      </c>
      <c r="L535" s="3107">
        <f t="shared" si="117"/>
        <v>36.125164502313076</v>
      </c>
      <c r="M535" s="3107">
        <f t="shared" si="117"/>
        <v>33.490878768279792</v>
      </c>
    </row>
    <row r="536" spans="1:13" outlineLevel="1" x14ac:dyDescent="0.25">
      <c r="B536" s="2789"/>
      <c r="C536" s="1112"/>
      <c r="D536" s="1112" t="s">
        <v>118</v>
      </c>
      <c r="E536" s="1112" t="s">
        <v>171</v>
      </c>
      <c r="F536" s="1115">
        <f>SUM(F531:F535)</f>
        <v>79.231095710251623</v>
      </c>
      <c r="G536" s="1115">
        <f t="shared" ref="G536:L536" si="118">SUM(G531:G535)</f>
        <v>85.295425562094223</v>
      </c>
      <c r="H536" s="1115">
        <f t="shared" si="118"/>
        <v>101.47303653368405</v>
      </c>
      <c r="I536" s="1115">
        <f t="shared" si="118"/>
        <v>123.70392531433072</v>
      </c>
      <c r="J536" s="1115">
        <f t="shared" si="118"/>
        <v>142.49052942323138</v>
      </c>
      <c r="K536" s="1115">
        <f t="shared" si="118"/>
        <v>155.30728095755848</v>
      </c>
      <c r="L536" s="1115">
        <f t="shared" si="118"/>
        <v>164.08816474948875</v>
      </c>
      <c r="M536" s="1115">
        <f>SUM(M531:M535)</f>
        <v>171.03064191806891</v>
      </c>
    </row>
    <row r="537" spans="1:13" outlineLevel="1" x14ac:dyDescent="0.25">
      <c r="B537" s="2789"/>
      <c r="C537" s="1112"/>
      <c r="D537" s="1112"/>
      <c r="E537" s="1112"/>
      <c r="F537" s="1115"/>
      <c r="G537" s="1115"/>
      <c r="H537" s="1115"/>
      <c r="I537" s="1115"/>
      <c r="J537" s="1115"/>
      <c r="K537" s="1115"/>
      <c r="L537" s="1115"/>
      <c r="M537" s="1115"/>
    </row>
    <row r="538" spans="1:13" x14ac:dyDescent="0.25">
      <c r="B538" s="2789"/>
      <c r="C538" s="1112"/>
      <c r="D538" s="1112"/>
      <c r="E538" s="1112"/>
      <c r="F538" s="1115"/>
      <c r="G538" s="1115"/>
      <c r="H538" s="1115"/>
      <c r="I538" s="1115"/>
      <c r="J538" s="1115"/>
      <c r="K538" s="1115"/>
      <c r="L538" s="1115"/>
      <c r="M538" s="1115"/>
    </row>
    <row r="539" spans="1:13" x14ac:dyDescent="0.25">
      <c r="A539" s="853" t="s">
        <v>2177</v>
      </c>
      <c r="B539" s="1112" t="s">
        <v>2173</v>
      </c>
      <c r="C539" s="1112"/>
      <c r="D539" s="1112"/>
      <c r="E539" s="1112"/>
      <c r="F539" s="1115"/>
      <c r="G539" s="1115"/>
      <c r="H539" s="1115"/>
      <c r="I539" s="1115"/>
      <c r="J539" s="1115"/>
      <c r="K539" s="1115"/>
      <c r="L539" s="1115"/>
      <c r="M539" s="1115"/>
    </row>
    <row r="540" spans="1:13" hidden="1" outlineLevel="1" x14ac:dyDescent="0.25">
      <c r="B540" s="674" t="s">
        <v>434</v>
      </c>
      <c r="C540" s="487"/>
      <c r="D540" s="487"/>
      <c r="E540" s="487"/>
      <c r="F540" s="1012"/>
      <c r="G540" s="1012"/>
      <c r="H540" s="1012"/>
      <c r="I540" s="1012"/>
      <c r="J540" s="1012"/>
      <c r="K540" s="1012"/>
      <c r="L540" s="1012"/>
      <c r="M540" s="1012"/>
    </row>
    <row r="541" spans="1:13" hidden="1" outlineLevel="1" x14ac:dyDescent="0.25">
      <c r="B541" s="674" t="s">
        <v>1894</v>
      </c>
      <c r="C541" s="2835" t="s">
        <v>420</v>
      </c>
      <c r="D541" s="487"/>
      <c r="E541" s="487"/>
      <c r="F541" s="1012"/>
      <c r="G541" s="1012"/>
      <c r="H541" s="1012"/>
      <c r="I541" s="1012"/>
      <c r="J541" s="1012"/>
      <c r="K541" s="1012"/>
      <c r="L541" s="1012"/>
      <c r="M541" s="1012"/>
    </row>
    <row r="542" spans="1:13" hidden="1" outlineLevel="1" x14ac:dyDescent="0.25">
      <c r="B542" s="2689"/>
      <c r="C542" s="487"/>
      <c r="D542" s="487"/>
      <c r="E542" s="487"/>
      <c r="F542" s="1012"/>
      <c r="G542" s="1012"/>
      <c r="H542" s="1012"/>
      <c r="I542" s="1012"/>
      <c r="J542" s="1012"/>
      <c r="K542" s="1012"/>
      <c r="L542" s="1012"/>
      <c r="M542" s="1012"/>
    </row>
    <row r="543" spans="1:13" hidden="1" outlineLevel="1" x14ac:dyDescent="0.25">
      <c r="B543" s="674" t="s">
        <v>398</v>
      </c>
      <c r="C543" s="487"/>
      <c r="D543" s="487"/>
      <c r="E543" s="487"/>
      <c r="F543" s="1012"/>
      <c r="G543" s="1012"/>
      <c r="H543" s="1012"/>
      <c r="I543" s="1012"/>
      <c r="J543" s="1012"/>
      <c r="K543" s="1012"/>
      <c r="L543" s="1012"/>
      <c r="M543" s="1012"/>
    </row>
    <row r="544" spans="1:13" hidden="1" outlineLevel="1" x14ac:dyDescent="0.25">
      <c r="B544" s="685" t="s">
        <v>1726</v>
      </c>
      <c r="C544" s="2689" t="str">
        <f>CONCATENATE(B544,"_",$C$541)</f>
        <v>V.044_Transporte</v>
      </c>
      <c r="D544" s="2835" t="s">
        <v>1686</v>
      </c>
      <c r="E544" s="2721" t="s">
        <v>1895</v>
      </c>
      <c r="F544" s="1012">
        <f>VLOOKUP($C544,Constantes!$G$11:$P$120,8,0)*F523</f>
        <v>8.9396560718502815</v>
      </c>
      <c r="G544" s="1012">
        <f>VLOOKUP($C544,Constantes!$G$11:$P$120,8,0)*G523</f>
        <v>8.7690160860992101</v>
      </c>
      <c r="H544" s="1012">
        <f>VLOOKUP($C544,Constantes!$G$11:$P$120,8,0)*H523</f>
        <v>9.2986230410998623</v>
      </c>
      <c r="I544" s="1012">
        <f>VLOOKUP($C544,Constantes!$G$11:$P$120,8,0)*I523</f>
        <v>11.226039188668636</v>
      </c>
      <c r="J544" s="1012">
        <f>VLOOKUP($C544,Constantes!$G$11:$P$120,8,0)*J523</f>
        <v>12.866955370184764</v>
      </c>
      <c r="K544" s="1012">
        <f>VLOOKUP($C544,Constantes!$G$11:$P$120,8,0)*K523</f>
        <v>14.481206420501504</v>
      </c>
      <c r="L544" s="1012">
        <f>VLOOKUP($C544,Constantes!$G$11:$P$120,8,0)*L523</f>
        <v>15.420276130045966</v>
      </c>
      <c r="M544" s="1012">
        <f>VLOOKUP($C544,Constantes!$G$11:$P$120,8,0)*M523</f>
        <v>15.864437021166053</v>
      </c>
    </row>
    <row r="545" spans="2:14" hidden="1" outlineLevel="1" x14ac:dyDescent="0.25">
      <c r="B545" s="2836" t="s">
        <v>1724</v>
      </c>
      <c r="C545" s="2689" t="str">
        <f>CONCATENATE(B545,"_",$C$541)</f>
        <v>V.042_Transporte</v>
      </c>
      <c r="D545" s="2835" t="s">
        <v>492</v>
      </c>
      <c r="E545" s="2721" t="s">
        <v>1895</v>
      </c>
      <c r="F545" s="1012">
        <f>VLOOKUP($C545,Constantes!$G$11:$P$120,8,0)*F524</f>
        <v>8.1790581562454836</v>
      </c>
      <c r="G545" s="1012">
        <f>VLOOKUP($C545,Constantes!$G$11:$P$120,8,0)*G524</f>
        <v>8.9686322152412341</v>
      </c>
      <c r="H545" s="1012">
        <f>VLOOKUP($C545,Constantes!$G$11:$P$120,8,0)*H524</f>
        <v>10.444354865535104</v>
      </c>
      <c r="I545" s="1012">
        <f>VLOOKUP($C545,Constantes!$G$11:$P$120,8,0)*I524</f>
        <v>11.524463290342949</v>
      </c>
      <c r="J545" s="1012">
        <f>VLOOKUP($C545,Constantes!$G$11:$P$120,8,0)*J524</f>
        <v>13.591940377621777</v>
      </c>
      <c r="K545" s="1012">
        <f>VLOOKUP($C545,Constantes!$G$11:$P$120,8,0)*K524</f>
        <v>15.289846406773165</v>
      </c>
      <c r="L545" s="1012">
        <f>VLOOKUP($C545,Constantes!$G$11:$P$120,8,0)*L524</f>
        <v>17.163001985449405</v>
      </c>
      <c r="M545" s="1012">
        <f>VLOOKUP($C545,Constantes!$G$11:$P$120,8,0)*M524</f>
        <v>19.221679616880394</v>
      </c>
    </row>
    <row r="546" spans="2:14" hidden="1" outlineLevel="1" x14ac:dyDescent="0.25">
      <c r="B546" s="2836" t="s">
        <v>1729</v>
      </c>
      <c r="C546" s="2689" t="str">
        <f>CONCATENATE(B546,"_",$C$541)</f>
        <v>V.047_Transporte</v>
      </c>
      <c r="D546" s="2835" t="s">
        <v>497</v>
      </c>
      <c r="E546" s="2721" t="s">
        <v>1895</v>
      </c>
      <c r="F546" s="1012">
        <f>VLOOKUP($C546,Constantes!$G$11:$P$120,8,0)*F527</f>
        <v>3.1899251367344421</v>
      </c>
      <c r="G546" s="1012">
        <f>VLOOKUP($C546,Constantes!$G$11:$P$120,8,0)*G527</f>
        <v>4.1147130273403851</v>
      </c>
      <c r="H546" s="1012">
        <f>VLOOKUP($C546,Constantes!$G$11:$P$120,8,0)*H527</f>
        <v>6.250188262426386</v>
      </c>
      <c r="I546" s="1012">
        <f>VLOOKUP($C546,Constantes!$G$11:$P$120,8,0)*I527</f>
        <v>8.842772429419675</v>
      </c>
      <c r="J546" s="1012">
        <f>VLOOKUP($C546,Constantes!$G$11:$P$120,8,0)*J527</f>
        <v>9.9435283531069345</v>
      </c>
      <c r="K546" s="1012">
        <f>VLOOKUP($C546,Constantes!$G$11:$P$120,8,0)*K527</f>
        <v>9.8376260600998062</v>
      </c>
      <c r="L546" s="1012">
        <f>VLOOKUP($C546,Constantes!$G$11:$P$120,8,0)*L527</f>
        <v>9.2978735130143466</v>
      </c>
      <c r="M546" s="1012">
        <f>VLOOKUP($C546,Constantes!$G$11:$P$120,8,0)*M527</f>
        <v>8.6198626059467447</v>
      </c>
    </row>
    <row r="547" spans="2:14" hidden="1" outlineLevel="1" x14ac:dyDescent="0.25">
      <c r="B547" s="2836"/>
      <c r="C547" s="2689"/>
      <c r="D547" s="2835"/>
      <c r="E547" s="2721"/>
      <c r="F547" s="1012"/>
      <c r="G547" s="1012"/>
      <c r="H547" s="1012"/>
      <c r="I547" s="1012"/>
      <c r="J547" s="1012"/>
      <c r="K547" s="1012"/>
      <c r="L547" s="1012"/>
      <c r="M547" s="1012"/>
    </row>
    <row r="548" spans="2:14" hidden="1" outlineLevel="1" x14ac:dyDescent="0.25">
      <c r="B548" s="685"/>
      <c r="C548" s="2689"/>
      <c r="D548" s="2689"/>
      <c r="E548" s="2721"/>
      <c r="F548" s="1012"/>
      <c r="G548" s="1012"/>
      <c r="H548" s="1012"/>
      <c r="I548" s="1012"/>
      <c r="J548" s="1012"/>
      <c r="K548" s="1012"/>
      <c r="L548" s="1012"/>
      <c r="M548" s="1012"/>
    </row>
    <row r="549" spans="2:14" hidden="1" outlineLevel="1" x14ac:dyDescent="0.25">
      <c r="B549" s="674" t="s">
        <v>400</v>
      </c>
      <c r="C549" s="2689"/>
      <c r="D549" s="487"/>
      <c r="E549" s="487"/>
      <c r="F549" s="1012"/>
      <c r="G549" s="1012"/>
      <c r="H549" s="1012"/>
      <c r="I549" s="1012"/>
      <c r="J549" s="1012"/>
      <c r="K549" s="1012"/>
      <c r="L549" s="1012"/>
      <c r="M549" s="1012"/>
    </row>
    <row r="550" spans="2:14" hidden="1" outlineLevel="1" x14ac:dyDescent="0.25">
      <c r="B550" s="685" t="s">
        <v>1726</v>
      </c>
      <c r="C550" s="2689" t="str">
        <f>CONCATENATE(B550,"_",$C$541)</f>
        <v>V.044_Transporte</v>
      </c>
      <c r="D550" s="2835" t="s">
        <v>1686</v>
      </c>
      <c r="E550" s="2721" t="s">
        <v>1895</v>
      </c>
      <c r="F550" s="1012">
        <f>VLOOKUP($C550,Constantes!$G$11:$P$120,9,0)*F523</f>
        <v>0.11637806813536003</v>
      </c>
      <c r="G550" s="1012">
        <f>VLOOKUP($C550,Constantes!$G$11:$P$120,9,0)*G523</f>
        <v>0.11415664577540063</v>
      </c>
      <c r="H550" s="1012">
        <f>VLOOKUP($C550,Constantes!$G$11:$P$120,9,0)*H523</f>
        <v>0.12105116540777275</v>
      </c>
      <c r="I550" s="1012">
        <f>VLOOKUP($C550,Constantes!$G$11:$P$120,9,0)*I523</f>
        <v>0.14614261925612262</v>
      </c>
      <c r="J550" s="1012">
        <f>VLOOKUP($C550,Constantes!$G$11:$P$120,9,0)*J523</f>
        <v>0.16750436445549619</v>
      </c>
      <c r="K550" s="1012">
        <f>VLOOKUP($C550,Constantes!$G$11:$P$120,9,0)*K523</f>
        <v>0.18851897812871049</v>
      </c>
      <c r="L550" s="1012">
        <f>VLOOKUP($C550,Constantes!$G$11:$P$120,9,0)*L523</f>
        <v>0.2007439583475075</v>
      </c>
      <c r="M550" s="1012">
        <f>VLOOKUP($C550,Constantes!$G$11:$P$120,9,0)*M523</f>
        <v>0.20652612558463443</v>
      </c>
      <c r="N550" s="1012"/>
    </row>
    <row r="551" spans="2:14" hidden="1" outlineLevel="1" x14ac:dyDescent="0.25">
      <c r="B551" s="2836" t="s">
        <v>1724</v>
      </c>
      <c r="C551" s="2689" t="str">
        <f>CONCATENATE(B551,"_",$C$541)</f>
        <v>V.042_Transporte</v>
      </c>
      <c r="D551" s="2835" t="s">
        <v>492</v>
      </c>
      <c r="E551" s="2721" t="s">
        <v>1895</v>
      </c>
      <c r="F551" s="1012">
        <f>VLOOKUP($C551,Constantes!$G$11:$P$120,9,0)*F524</f>
        <v>1.6225661929393873E-2</v>
      </c>
      <c r="G551" s="1012">
        <f>VLOOKUP($C551,Constantes!$G$11:$P$120,9,0)*G524</f>
        <v>1.7792023422948198E-2</v>
      </c>
      <c r="H551" s="1012">
        <f>VLOOKUP($C551,Constantes!$G$11:$P$120,9,0)*H524</f>
        <v>2.0719570381021058E-2</v>
      </c>
      <c r="I551" s="1012">
        <f>VLOOKUP($C551,Constantes!$G$11:$P$120,9,0)*I524</f>
        <v>2.2862295596226906E-2</v>
      </c>
      <c r="J551" s="1012">
        <f>VLOOKUP($C551,Constantes!$G$11:$P$120,9,0)*J524</f>
        <v>2.6963768360464255E-2</v>
      </c>
      <c r="K551" s="1012">
        <f>VLOOKUP($C551,Constantes!$G$11:$P$120,9,0)*K524</f>
        <v>3.0332083964853651E-2</v>
      </c>
      <c r="L551" s="1012">
        <f>VLOOKUP($C551,Constantes!$G$11:$P$120,9,0)*L524</f>
        <v>3.4048060618907729E-2</v>
      </c>
      <c r="M551" s="1012">
        <f>VLOOKUP($C551,Constantes!$G$11:$P$120,9,0)*M524</f>
        <v>3.813207697275868E-2</v>
      </c>
      <c r="N551" s="1012"/>
    </row>
    <row r="552" spans="2:14" hidden="1" outlineLevel="1" x14ac:dyDescent="0.25">
      <c r="B552" s="2836" t="s">
        <v>1729</v>
      </c>
      <c r="C552" s="2689" t="str">
        <f>CONCATENATE(B552,"_",$C$541)</f>
        <v>V.047_Transporte</v>
      </c>
      <c r="D552" s="2835" t="s">
        <v>497</v>
      </c>
      <c r="E552" s="2721" t="s">
        <v>1895</v>
      </c>
      <c r="F552" s="1012">
        <f>VLOOKUP($C552,Constantes!$G$11:$P$120,9,0)*F527</f>
        <v>4.6845054455540747E-4</v>
      </c>
      <c r="G552" s="1012">
        <f>VLOOKUP($C552,Constantes!$G$11:$P$120,9,0)*G527</f>
        <v>6.0425855646257403E-4</v>
      </c>
      <c r="H552" s="1012">
        <f>VLOOKUP($C552,Constantes!$G$11:$P$120,9,0)*H527</f>
        <v>9.1785981476191672E-4</v>
      </c>
      <c r="I552" s="1012">
        <f>VLOOKUP($C552,Constantes!$G$11:$P$120,9,0)*I527</f>
        <v>1.2985889581665253E-3</v>
      </c>
      <c r="J552" s="1012">
        <f>VLOOKUP($C552,Constantes!$G$11:$P$120,9,0)*J527</f>
        <v>1.4602384294772417E-3</v>
      </c>
      <c r="K552" s="1012">
        <f>VLOOKUP($C552,Constantes!$G$11:$P$120,9,0)*K527</f>
        <v>1.4446863444901809E-3</v>
      </c>
      <c r="L552" s="1012">
        <f>VLOOKUP($C552,Constantes!$G$11:$P$120,9,0)*L527</f>
        <v>1.36542198442868E-3</v>
      </c>
      <c r="M552" s="1012">
        <f>VLOOKUP($C552,Constantes!$G$11:$P$120,9,0)*M527</f>
        <v>1.2658539491250461E-3</v>
      </c>
      <c r="N552" s="1012"/>
    </row>
    <row r="553" spans="2:14" hidden="1" outlineLevel="1" x14ac:dyDescent="0.25">
      <c r="B553" s="2836"/>
      <c r="C553" s="2689"/>
      <c r="D553" s="2835"/>
      <c r="E553" s="2721"/>
      <c r="F553" s="1012"/>
      <c r="G553" s="1012"/>
      <c r="H553" s="1012"/>
      <c r="I553" s="1012"/>
      <c r="J553" s="1012"/>
      <c r="K553" s="1012"/>
      <c r="L553" s="1012"/>
      <c r="M553" s="1012"/>
      <c r="N553" s="1012"/>
    </row>
    <row r="554" spans="2:14" hidden="1" outlineLevel="1" x14ac:dyDescent="0.25">
      <c r="B554" s="685"/>
      <c r="C554" s="2689"/>
      <c r="D554" s="2689"/>
      <c r="E554" s="2721"/>
      <c r="F554" s="1012"/>
      <c r="G554" s="1012"/>
      <c r="H554" s="1012"/>
      <c r="I554" s="1012"/>
      <c r="J554" s="1012"/>
      <c r="K554" s="1012"/>
      <c r="L554" s="1012"/>
      <c r="M554" s="1012"/>
      <c r="N554" s="1012"/>
    </row>
    <row r="555" spans="2:14" hidden="1" outlineLevel="1" x14ac:dyDescent="0.25">
      <c r="B555" s="674" t="s">
        <v>401</v>
      </c>
      <c r="C555" s="2689"/>
      <c r="D555" s="487"/>
      <c r="E555" s="487"/>
      <c r="F555" s="1012"/>
      <c r="G555" s="1012"/>
      <c r="H555" s="1012"/>
      <c r="I555" s="1012"/>
      <c r="J555" s="1012"/>
      <c r="K555" s="1012"/>
      <c r="L555" s="1012"/>
      <c r="M555" s="1012"/>
      <c r="N555" s="1012"/>
    </row>
    <row r="556" spans="2:14" hidden="1" outlineLevel="1" x14ac:dyDescent="0.25">
      <c r="B556" s="685" t="s">
        <v>1726</v>
      </c>
      <c r="C556" s="2689" t="str">
        <f>CONCATENATE(B556,"_",$C$541)</f>
        <v>V.044_Transporte</v>
      </c>
      <c r="D556" s="2835" t="s">
        <v>1686</v>
      </c>
      <c r="E556" s="2721" t="s">
        <v>1895</v>
      </c>
      <c r="F556" s="1012">
        <f>VLOOKUP($C556,Constantes!$G$11:$P$120,10,0)*F523</f>
        <v>0.17675493145237026</v>
      </c>
      <c r="G556" s="1012">
        <f>VLOOKUP($C556,Constantes!$G$11:$P$120,10,0)*G523</f>
        <v>0.1733810366691651</v>
      </c>
      <c r="H556" s="1012">
        <f>VLOOKUP($C556,Constantes!$G$11:$P$120,10,0)*H523</f>
        <v>0.18385242844033237</v>
      </c>
      <c r="I556" s="1012">
        <f>VLOOKUP($C556,Constantes!$G$11:$P$120,10,0)*I523</f>
        <v>0.22196131163511934</v>
      </c>
      <c r="J556" s="1012">
        <f>VLOOKUP($C556,Constantes!$G$11:$P$120,10,0)*J523</f>
        <v>0.25440551584743387</v>
      </c>
      <c r="K556" s="1012">
        <f>VLOOKUP($C556,Constantes!$G$11:$P$120,10,0)*K523</f>
        <v>0.28632249693176287</v>
      </c>
      <c r="L556" s="1012">
        <f>VLOOKUP($C556,Constantes!$G$11:$P$120,10,0)*L523</f>
        <v>0.30488978864919175</v>
      </c>
      <c r="M556" s="1012">
        <f>VLOOKUP($C556,Constantes!$G$11:$P$120,10,0)*M523</f>
        <v>0.31367174035211731</v>
      </c>
      <c r="N556" s="1012"/>
    </row>
    <row r="557" spans="2:14" hidden="1" outlineLevel="1" x14ac:dyDescent="0.25">
      <c r="B557" s="2836" t="s">
        <v>1724</v>
      </c>
      <c r="C557" s="2689" t="str">
        <f>CONCATENATE(B557,"_",$C$541)</f>
        <v>V.042_Transporte</v>
      </c>
      <c r="D557" s="2835" t="s">
        <v>492</v>
      </c>
      <c r="E557" s="2721" t="s">
        <v>1895</v>
      </c>
      <c r="F557" s="1012">
        <f>VLOOKUP($C557,Constantes!$G$11:$P$120,10,0)*F524</f>
        <v>6.8434764600164649E-2</v>
      </c>
      <c r="G557" s="1012">
        <f>VLOOKUP($C557,Constantes!$G$11:$P$120,10,0)*G524</f>
        <v>7.5041187226040029E-2</v>
      </c>
      <c r="H557" s="1012">
        <f>VLOOKUP($C557,Constantes!$G$11:$P$120,10,0)*H524</f>
        <v>8.7388664192061621E-2</v>
      </c>
      <c r="I557" s="1012">
        <f>VLOOKUP($C557,Constantes!$G$11:$P$120,10,0)*I524</f>
        <v>9.6426008637147495E-2</v>
      </c>
      <c r="J557" s="1012">
        <f>VLOOKUP($C557,Constantes!$G$11:$P$120,10,0)*J524</f>
        <v>0.11372473730263837</v>
      </c>
      <c r="K557" s="1012">
        <f>VLOOKUP($C557,Constantes!$G$11:$P$120,10,0)*K524</f>
        <v>0.12793123849121948</v>
      </c>
      <c r="L557" s="1012">
        <f>VLOOKUP($C557,Constantes!$G$11:$P$120,10,0)*L524</f>
        <v>0.14360406519539315</v>
      </c>
      <c r="M557" s="1012">
        <f>VLOOKUP($C557,Constantes!$G$11:$P$120,10,0)*M524</f>
        <v>0.16082916818442436</v>
      </c>
      <c r="N557" s="1012"/>
    </row>
    <row r="558" spans="2:14" hidden="1" outlineLevel="1" x14ac:dyDescent="0.25">
      <c r="B558" s="2836" t="s">
        <v>1729</v>
      </c>
      <c r="C558" s="2689" t="str">
        <f>CONCATENATE(B558,"_",$C$541)</f>
        <v>V.047_Transporte</v>
      </c>
      <c r="D558" s="2835" t="s">
        <v>497</v>
      </c>
      <c r="E558" s="2721" t="s">
        <v>1895</v>
      </c>
      <c r="F558" s="1012">
        <f>VLOOKUP($C558,Constantes!$G$11:$P$120,10,0)*F527</f>
        <v>2.7660889297557396E-2</v>
      </c>
      <c r="G558" s="1012">
        <f>VLOOKUP($C558,Constantes!$G$11:$P$120,10,0)*G527</f>
        <v>3.5680029048266282E-2</v>
      </c>
      <c r="H558" s="1012">
        <f>VLOOKUP($C558,Constantes!$G$11:$P$120,10,0)*H527</f>
        <v>5.419743668117985E-2</v>
      </c>
      <c r="I558" s="1012">
        <f>VLOOKUP($C558,Constantes!$G$11:$P$120,10,0)*I527</f>
        <v>7.6678586101261506E-2</v>
      </c>
      <c r="J558" s="1012">
        <f>VLOOKUP($C558,Constantes!$G$11:$P$120,10,0)*J527</f>
        <v>8.6223602502465718E-2</v>
      </c>
      <c r="K558" s="1012">
        <f>VLOOKUP($C558,Constantes!$G$11:$P$120,10,0)*K527</f>
        <v>8.530528891275356E-2</v>
      </c>
      <c r="L558" s="1012">
        <f>VLOOKUP($C558,Constantes!$G$11:$P$120,10,0)*L527</f>
        <v>8.0624917175788735E-2</v>
      </c>
      <c r="M558" s="1012">
        <f>VLOOKUP($C558,Constantes!$G$11:$P$120,10,0)*M527</f>
        <v>7.4745661757859877E-2</v>
      </c>
      <c r="N558" s="1012"/>
    </row>
    <row r="559" spans="2:14" hidden="1" outlineLevel="1" x14ac:dyDescent="0.25">
      <c r="B559" s="2836"/>
      <c r="C559" s="2689"/>
      <c r="D559" s="2835"/>
      <c r="E559" s="2721"/>
      <c r="F559" s="1012"/>
      <c r="G559" s="1012"/>
      <c r="H559" s="1012"/>
      <c r="I559" s="1012"/>
      <c r="J559" s="1012"/>
      <c r="K559" s="1012"/>
      <c r="L559" s="1012"/>
      <c r="M559" s="1012"/>
      <c r="N559" s="1012"/>
    </row>
    <row r="560" spans="2:14" hidden="1" outlineLevel="1" x14ac:dyDescent="0.25">
      <c r="B560" s="489"/>
      <c r="C560" s="487"/>
      <c r="D560" s="487"/>
      <c r="E560" s="487"/>
      <c r="F560" s="1012"/>
      <c r="G560" s="1012"/>
      <c r="H560" s="1012"/>
      <c r="I560" s="1012"/>
      <c r="J560" s="1012"/>
      <c r="K560" s="1012"/>
      <c r="L560" s="1012"/>
      <c r="M560" s="1012"/>
      <c r="N560" s="1012"/>
    </row>
    <row r="561" spans="2:14" hidden="1" outlineLevel="1" x14ac:dyDescent="0.25">
      <c r="B561" s="489"/>
      <c r="C561" s="2721" t="s">
        <v>118</v>
      </c>
      <c r="D561" s="2721" t="s">
        <v>398</v>
      </c>
      <c r="E561" s="3106" t="s">
        <v>1895</v>
      </c>
      <c r="F561" s="1012">
        <f>F544+F545+F546</f>
        <v>20.308639364830206</v>
      </c>
      <c r="G561" s="1012">
        <f t="shared" ref="G561:M561" si="119">G544+G545+G546</f>
        <v>21.852361328680828</v>
      </c>
      <c r="H561" s="1012">
        <f t="shared" si="119"/>
        <v>25.993166169061354</v>
      </c>
      <c r="I561" s="1012">
        <f t="shared" si="119"/>
        <v>31.593274908431262</v>
      </c>
      <c r="J561" s="1012">
        <f t="shared" si="119"/>
        <v>36.402424100913478</v>
      </c>
      <c r="K561" s="1012">
        <f t="shared" si="119"/>
        <v>39.608678887374474</v>
      </c>
      <c r="L561" s="1012">
        <f t="shared" si="119"/>
        <v>41.88115162850972</v>
      </c>
      <c r="M561" s="1012">
        <f t="shared" si="119"/>
        <v>43.705979243993191</v>
      </c>
    </row>
    <row r="562" spans="2:14" hidden="1" outlineLevel="1" x14ac:dyDescent="0.25">
      <c r="B562" s="489"/>
      <c r="C562" s="487"/>
      <c r="D562" s="2721" t="s">
        <v>400</v>
      </c>
      <c r="E562" s="2721" t="s">
        <v>1895</v>
      </c>
      <c r="F562" s="1012">
        <f>F550+F551+F552</f>
        <v>0.13307218060930931</v>
      </c>
      <c r="G562" s="1012">
        <f t="shared" ref="G562:M562" si="120">G550+G551+G552</f>
        <v>0.13255292775481139</v>
      </c>
      <c r="H562" s="1012">
        <f t="shared" si="120"/>
        <v>0.14268859560355573</v>
      </c>
      <c r="I562" s="1012">
        <f t="shared" si="120"/>
        <v>0.17030350381051607</v>
      </c>
      <c r="J562" s="1012">
        <f t="shared" si="120"/>
        <v>0.19592837124543766</v>
      </c>
      <c r="K562" s="1012">
        <f t="shared" si="120"/>
        <v>0.22029574843805433</v>
      </c>
      <c r="L562" s="1012">
        <f t="shared" si="120"/>
        <v>0.2361574409508439</v>
      </c>
      <c r="M562" s="1012">
        <f t="shared" si="120"/>
        <v>0.24592405650651816</v>
      </c>
    </row>
    <row r="563" spans="2:14" hidden="1" outlineLevel="1" x14ac:dyDescent="0.25">
      <c r="B563" s="489"/>
      <c r="C563" s="487"/>
      <c r="D563" s="2721" t="s">
        <v>401</v>
      </c>
      <c r="E563" s="2721" t="s">
        <v>1895</v>
      </c>
      <c r="F563" s="1012">
        <f>F556+F557+F558</f>
        <v>0.27285058535009232</v>
      </c>
      <c r="G563" s="1012">
        <f t="shared" ref="G563:M563" si="121">G556+G557+G558</f>
        <v>0.28410225294347141</v>
      </c>
      <c r="H563" s="1012">
        <f t="shared" si="121"/>
        <v>0.32543852931357387</v>
      </c>
      <c r="I563" s="1012">
        <f t="shared" si="121"/>
        <v>0.39506590637352834</v>
      </c>
      <c r="J563" s="1012">
        <f t="shared" si="121"/>
        <v>0.45435385565253794</v>
      </c>
      <c r="K563" s="1012">
        <f t="shared" si="121"/>
        <v>0.49955902433573596</v>
      </c>
      <c r="L563" s="1012">
        <f t="shared" si="121"/>
        <v>0.52911877102037363</v>
      </c>
      <c r="M563" s="1012">
        <f t="shared" si="121"/>
        <v>0.5492465702944016</v>
      </c>
    </row>
    <row r="564" spans="2:14" hidden="1" outlineLevel="1" x14ac:dyDescent="0.25">
      <c r="B564" s="487"/>
      <c r="C564" s="487"/>
      <c r="D564" s="489"/>
      <c r="E564" s="487"/>
      <c r="F564" s="1012"/>
      <c r="G564" s="1012"/>
      <c r="H564" s="1012"/>
      <c r="I564" s="1012"/>
      <c r="J564" s="1012"/>
      <c r="K564" s="1012"/>
      <c r="L564" s="1012"/>
      <c r="M564" s="1012"/>
    </row>
    <row r="565" spans="2:14" hidden="1" outlineLevel="1" x14ac:dyDescent="0.25">
      <c r="B565" s="487"/>
      <c r="C565" s="487"/>
      <c r="D565" s="1112" t="s">
        <v>118</v>
      </c>
      <c r="E565" s="674" t="s">
        <v>1895</v>
      </c>
      <c r="F565" s="1115">
        <f>F561+F562+F563</f>
        <v>20.714562130789609</v>
      </c>
      <c r="G565" s="1115">
        <f t="shared" ref="G565:M565" si="122">G561+G562+G563</f>
        <v>22.269016509379114</v>
      </c>
      <c r="H565" s="1115">
        <f t="shared" si="122"/>
        <v>26.461293293978482</v>
      </c>
      <c r="I565" s="1115">
        <f t="shared" si="122"/>
        <v>32.158644318615309</v>
      </c>
      <c r="J565" s="1115">
        <f t="shared" si="122"/>
        <v>37.05270632781145</v>
      </c>
      <c r="K565" s="1115">
        <f t="shared" si="122"/>
        <v>40.328533660148267</v>
      </c>
      <c r="L565" s="1115">
        <f t="shared" si="122"/>
        <v>42.646427840480932</v>
      </c>
      <c r="M565" s="1115">
        <f t="shared" si="122"/>
        <v>44.501149870794109</v>
      </c>
    </row>
    <row r="566" spans="2:14" hidden="1" outlineLevel="1" x14ac:dyDescent="0.25">
      <c r="B566" s="2789"/>
      <c r="C566" s="2825"/>
      <c r="E566" s="2825"/>
      <c r="F566" s="1012"/>
      <c r="G566" s="1012"/>
      <c r="H566" s="1012"/>
      <c r="I566" s="1012"/>
      <c r="J566" s="1012"/>
      <c r="K566" s="1012"/>
      <c r="L566" s="1012"/>
      <c r="M566" s="1012"/>
    </row>
    <row r="567" spans="2:14" s="1111" customFormat="1" collapsed="1" x14ac:dyDescent="0.25">
      <c r="B567" s="2793"/>
      <c r="C567" s="2827"/>
      <c r="E567" s="2827"/>
      <c r="F567" s="2760"/>
      <c r="G567" s="2760"/>
      <c r="H567" s="2760"/>
      <c r="I567" s="2760"/>
      <c r="J567" s="2760"/>
      <c r="K567" s="2760"/>
      <c r="L567" s="2760"/>
      <c r="M567" s="2760"/>
    </row>
    <row r="568" spans="2:14" x14ac:dyDescent="0.25">
      <c r="B568" s="2789"/>
      <c r="C568" s="2825"/>
      <c r="E568" s="2825"/>
      <c r="F568" s="1012"/>
      <c r="G568" s="1012"/>
      <c r="H568" s="1012"/>
      <c r="I568" s="1012"/>
      <c r="J568" s="1012"/>
      <c r="K568" s="1012"/>
      <c r="L568" s="1012"/>
      <c r="M568" s="1012"/>
    </row>
    <row r="570" spans="2:14" ht="15.75" x14ac:dyDescent="0.25">
      <c r="B570" s="353" t="s">
        <v>181</v>
      </c>
      <c r="C570" s="355"/>
      <c r="D570" s="355"/>
      <c r="E570" s="355"/>
      <c r="F570" s="355"/>
      <c r="G570" s="355"/>
      <c r="H570" s="355"/>
      <c r="I570" s="355"/>
      <c r="J570" s="355"/>
      <c r="K570" s="355"/>
      <c r="L570" s="355"/>
      <c r="M570" s="355"/>
      <c r="N570" s="355"/>
    </row>
    <row r="571" spans="2:14" x14ac:dyDescent="0.25">
      <c r="B571" s="358"/>
      <c r="C571" s="360"/>
      <c r="D571" s="360"/>
      <c r="E571" s="360"/>
      <c r="F571" s="360"/>
      <c r="G571" s="360"/>
      <c r="H571" s="360"/>
      <c r="I571" s="360"/>
      <c r="J571" s="360"/>
      <c r="K571" s="360"/>
      <c r="L571" s="360"/>
      <c r="M571" s="360"/>
      <c r="N571" s="360"/>
    </row>
    <row r="572" spans="2:14" x14ac:dyDescent="0.25">
      <c r="B572" s="358"/>
      <c r="C572" s="457" t="s">
        <v>979</v>
      </c>
      <c r="D572" s="360"/>
      <c r="E572" s="361"/>
      <c r="F572" s="360"/>
      <c r="G572" s="361"/>
      <c r="H572" s="360"/>
      <c r="I572" s="360"/>
      <c r="J572" s="360"/>
      <c r="K572" s="360"/>
      <c r="L572" s="360"/>
      <c r="M572" s="1882" t="s">
        <v>171</v>
      </c>
      <c r="N572" s="360"/>
    </row>
    <row r="573" spans="2:14" x14ac:dyDescent="0.25">
      <c r="B573" s="358"/>
      <c r="C573" s="360"/>
      <c r="D573" s="360"/>
      <c r="E573" s="360"/>
      <c r="F573" s="360"/>
      <c r="G573" s="360"/>
      <c r="H573" s="360"/>
      <c r="I573" s="360"/>
      <c r="J573" s="360"/>
      <c r="K573" s="360"/>
      <c r="L573" s="360"/>
      <c r="M573" s="360"/>
      <c r="N573" s="360"/>
    </row>
    <row r="574" spans="2:14" ht="15.75" x14ac:dyDescent="0.25">
      <c r="B574" s="363"/>
      <c r="C574" s="458" t="s">
        <v>146</v>
      </c>
      <c r="D574" s="458" t="s">
        <v>242</v>
      </c>
      <c r="E574" s="458" t="s">
        <v>8</v>
      </c>
      <c r="F574" s="458" t="s">
        <v>16</v>
      </c>
      <c r="G574" s="458" t="s">
        <v>17</v>
      </c>
      <c r="H574" s="458" t="s">
        <v>18</v>
      </c>
      <c r="I574" s="458" t="s">
        <v>19</v>
      </c>
      <c r="J574" s="458" t="s">
        <v>20</v>
      </c>
      <c r="K574" s="458" t="s">
        <v>21</v>
      </c>
      <c r="L574" s="458" t="s">
        <v>22</v>
      </c>
      <c r="M574" s="458" t="s">
        <v>23</v>
      </c>
      <c r="N574" s="1879"/>
    </row>
    <row r="575" spans="2:14" ht="15.75" x14ac:dyDescent="0.25">
      <c r="B575" s="363"/>
      <c r="C575" s="73" t="s">
        <v>447</v>
      </c>
      <c r="D575" s="73" t="str">
        <f>INDEX(Vectors[Descripción], MATCH(C575,Vectors[Código],FALSE))</f>
        <v>Transporte pasajeros caminero Urbano</v>
      </c>
      <c r="E575" s="73"/>
      <c r="F575" s="1880">
        <f>F531</f>
        <v>53.33594497140453</v>
      </c>
      <c r="G575" s="1880">
        <f t="shared" ref="G575:M575" si="123">G531</f>
        <v>53.655135425366886</v>
      </c>
      <c r="H575" s="1880">
        <f t="shared" si="123"/>
        <v>57.799860517853276</v>
      </c>
      <c r="I575" s="1880">
        <f t="shared" si="123"/>
        <v>66.429513696050577</v>
      </c>
      <c r="J575" s="1880">
        <f t="shared" si="123"/>
        <v>75.399943026533364</v>
      </c>
      <c r="K575" s="1880">
        <f t="shared" si="123"/>
        <v>81.966553559214447</v>
      </c>
      <c r="L575" s="1880">
        <f t="shared" si="123"/>
        <v>84.980606868956514</v>
      </c>
      <c r="M575" s="1880">
        <f t="shared" si="123"/>
        <v>85.289096073503785</v>
      </c>
      <c r="N575" s="1880"/>
    </row>
    <row r="576" spans="2:14" ht="15.75" x14ac:dyDescent="0.25">
      <c r="B576" s="363"/>
      <c r="C576" s="73" t="s">
        <v>448</v>
      </c>
      <c r="D576" s="73" t="str">
        <f>INDEX(Vectors[Descripción], MATCH(C576,Vectors[Código],FALSE))</f>
        <v>Transporte pasajeros caminero Interurbano</v>
      </c>
      <c r="E576" s="73"/>
      <c r="F576" s="1880">
        <f>F532</f>
        <v>13.170718948417285</v>
      </c>
      <c r="G576" s="1880">
        <f t="shared" ref="G576:M576" si="124">G532</f>
        <v>15.2583909925431</v>
      </c>
      <c r="H576" s="1880">
        <f t="shared" si="124"/>
        <v>18.884279144014918</v>
      </c>
      <c r="I576" s="1880">
        <f t="shared" si="124"/>
        <v>22.312780471609948</v>
      </c>
      <c r="J576" s="1880">
        <f t="shared" si="124"/>
        <v>27.758718064616787</v>
      </c>
      <c r="K576" s="1880">
        <f t="shared" si="124"/>
        <v>34.386846640344736</v>
      </c>
      <c r="L576" s="1880">
        <f t="shared" si="124"/>
        <v>42.239823681665676</v>
      </c>
      <c r="M576" s="1880">
        <f t="shared" si="124"/>
        <v>51.51391648078021</v>
      </c>
      <c r="N576" s="1880"/>
    </row>
    <row r="577" spans="1:14" ht="15.75" x14ac:dyDescent="0.25">
      <c r="B577" s="363"/>
      <c r="C577" s="73" t="s">
        <v>449</v>
      </c>
      <c r="D577" s="73" t="str">
        <f>INDEX(Vectors[Descripción], MATCH(C577,Vectors[Código],FALSE))</f>
        <v>Transporte pasajeros ferroviario Urbano</v>
      </c>
      <c r="E577" s="73"/>
      <c r="F577" s="1880">
        <f t="shared" ref="F577:M579" si="125">F533</f>
        <v>0.29902005366010898</v>
      </c>
      <c r="G577" s="1880">
        <f t="shared" si="125"/>
        <v>0.35637886442017391</v>
      </c>
      <c r="H577" s="1880">
        <f t="shared" si="125"/>
        <v>0.45450745671867954</v>
      </c>
      <c r="I577" s="1880">
        <f t="shared" si="125"/>
        <v>0.54200248261278638</v>
      </c>
      <c r="J577" s="1880">
        <f t="shared" si="125"/>
        <v>0.62311441391108191</v>
      </c>
      <c r="K577" s="1880">
        <f t="shared" si="125"/>
        <v>0.64200954580250646</v>
      </c>
      <c r="L577" s="1880">
        <f t="shared" si="125"/>
        <v>0.63718288562585734</v>
      </c>
      <c r="M577" s="1880">
        <f t="shared" si="125"/>
        <v>0.61399268455243872</v>
      </c>
      <c r="N577" s="1880"/>
    </row>
    <row r="578" spans="1:14" ht="15.75" x14ac:dyDescent="0.25">
      <c r="B578" s="363"/>
      <c r="C578" s="73" t="s">
        <v>450</v>
      </c>
      <c r="D578" s="73" t="str">
        <f>INDEX(Vectors[Descripción], MATCH(C578,Vectors[Código],FALSE))</f>
        <v>Transporte pasajeros ferroviario Interurbano</v>
      </c>
      <c r="E578" s="73"/>
      <c r="F578" s="1880">
        <f t="shared" si="125"/>
        <v>3.154875796091091E-2</v>
      </c>
      <c r="G578" s="1880">
        <f t="shared" si="125"/>
        <v>3.8565328782808703E-2</v>
      </c>
      <c r="H578" s="1880">
        <f t="shared" si="125"/>
        <v>5.04411731104858E-2</v>
      </c>
      <c r="I578" s="1880">
        <f t="shared" si="125"/>
        <v>6.2675085137333914E-2</v>
      </c>
      <c r="J578" s="1880">
        <f t="shared" si="125"/>
        <v>7.501718400084248E-2</v>
      </c>
      <c r="K578" s="1880">
        <f t="shared" si="125"/>
        <v>8.959821225654771E-2</v>
      </c>
      <c r="L578" s="1880">
        <f t="shared" si="125"/>
        <v>0.10538681092763307</v>
      </c>
      <c r="M578" s="1880">
        <f t="shared" si="125"/>
        <v>0.12275791095265887</v>
      </c>
      <c r="N578" s="1880"/>
    </row>
    <row r="579" spans="1:14" ht="15.75" x14ac:dyDescent="0.25">
      <c r="B579" s="363"/>
      <c r="C579" s="73" t="s">
        <v>451</v>
      </c>
      <c r="D579" s="73" t="str">
        <f>INDEX(Vectors[Descripción], MATCH(C579,Vectors[Código],FALSE))</f>
        <v>Transporte pasajeros Aéreo Interurbano</v>
      </c>
      <c r="E579" s="73"/>
      <c r="F579" s="1880">
        <f t="shared" si="125"/>
        <v>12.39386297880878</v>
      </c>
      <c r="G579" s="1880">
        <f t="shared" si="125"/>
        <v>15.986954950981243</v>
      </c>
      <c r="H579" s="1880">
        <f t="shared" si="125"/>
        <v>24.28394824198671</v>
      </c>
      <c r="I579" s="1880">
        <f t="shared" si="125"/>
        <v>34.35695357892007</v>
      </c>
      <c r="J579" s="1880">
        <f t="shared" si="125"/>
        <v>38.633736734169311</v>
      </c>
      <c r="K579" s="1880">
        <f t="shared" si="125"/>
        <v>38.222272999940216</v>
      </c>
      <c r="L579" s="1880">
        <f t="shared" si="125"/>
        <v>36.125164502313076</v>
      </c>
      <c r="M579" s="1880">
        <f t="shared" si="125"/>
        <v>33.490878768279792</v>
      </c>
      <c r="N579" s="1880"/>
    </row>
    <row r="580" spans="1:14" ht="15.75" x14ac:dyDescent="0.25">
      <c r="B580" s="363"/>
      <c r="C580" s="73" t="s">
        <v>333</v>
      </c>
      <c r="D580" s="73" t="str">
        <f>INDEX(Vectors[Descripción], MATCH(C580,Vectors[Código],FALSE))</f>
        <v>Hidrocarburo Líquido</v>
      </c>
      <c r="E580" s="73"/>
      <c r="F580" s="1880">
        <f>-(F523+F524+F527)</f>
        <v>-78.8930765728566</v>
      </c>
      <c r="G580" s="1880">
        <f t="shared" ref="G580:M580" si="126">-(G523+G524+G527)</f>
        <v>-84.762234756757493</v>
      </c>
      <c r="H580" s="1880">
        <f t="shared" si="126"/>
        <v>-100.71470750156212</v>
      </c>
      <c r="I580" s="1880">
        <f t="shared" si="126"/>
        <v>-122.56337838034263</v>
      </c>
      <c r="J580" s="1880">
        <f t="shared" si="126"/>
        <v>-141.16897981731358</v>
      </c>
      <c r="K580" s="1880">
        <f t="shared" si="126"/>
        <v>-153.59392556486944</v>
      </c>
      <c r="L580" s="1880">
        <f t="shared" si="126"/>
        <v>-162.28366389267561</v>
      </c>
      <c r="M580" s="1880">
        <f t="shared" si="126"/>
        <v>-169.14782470801654</v>
      </c>
      <c r="N580" s="1880"/>
    </row>
    <row r="581" spans="1:14" ht="15.75" x14ac:dyDescent="0.25">
      <c r="B581" s="363"/>
      <c r="C581" s="73" t="s">
        <v>149</v>
      </c>
      <c r="D581" s="73" t="str">
        <f>INDEX(Vectors[Descripción], MATCH(C581,Vectors[Código],FALSE))</f>
        <v>Electricidad (consumo final)</v>
      </c>
      <c r="E581" s="73"/>
      <c r="F581" s="1880">
        <f>-F525</f>
        <v>-0.33801913739503248</v>
      </c>
      <c r="G581" s="1880">
        <f t="shared" ref="G581:M581" si="127">-G525</f>
        <v>-0.5331908053367298</v>
      </c>
      <c r="H581" s="1880">
        <f t="shared" si="127"/>
        <v>-0.75832903212194247</v>
      </c>
      <c r="I581" s="1880">
        <f t="shared" si="127"/>
        <v>-1.1405469339881096</v>
      </c>
      <c r="J581" s="1880">
        <f t="shared" si="127"/>
        <v>-1.3215496059178187</v>
      </c>
      <c r="K581" s="1880">
        <f t="shared" si="127"/>
        <v>-1.7133553926890308</v>
      </c>
      <c r="L581" s="1880">
        <f t="shared" si="127"/>
        <v>-1.8045008568131686</v>
      </c>
      <c r="M581" s="1880">
        <f t="shared" si="127"/>
        <v>-1.8828172100523621</v>
      </c>
      <c r="N581" s="1880"/>
    </row>
    <row r="582" spans="1:14" ht="15.75" x14ac:dyDescent="0.25">
      <c r="B582" s="363"/>
      <c r="C582" s="73" t="s">
        <v>630</v>
      </c>
      <c r="D582" s="73" t="str">
        <f>INDEX(Vectors[Descripción], MATCH(C582,Vectors[Código],FALSE))</f>
        <v>H2</v>
      </c>
      <c r="E582" s="73"/>
      <c r="F582" s="1880">
        <f>-F526</f>
        <v>0</v>
      </c>
      <c r="G582" s="1880">
        <f t="shared" ref="G582:M582" si="128">-G526</f>
        <v>0</v>
      </c>
      <c r="H582" s="1880">
        <f t="shared" si="128"/>
        <v>0</v>
      </c>
      <c r="I582" s="1880">
        <f t="shared" si="128"/>
        <v>0</v>
      </c>
      <c r="J582" s="1880">
        <f t="shared" si="128"/>
        <v>0</v>
      </c>
      <c r="K582" s="1880">
        <f t="shared" si="128"/>
        <v>0</v>
      </c>
      <c r="L582" s="1880">
        <f t="shared" si="128"/>
        <v>0</v>
      </c>
      <c r="M582" s="1880">
        <f t="shared" si="128"/>
        <v>0</v>
      </c>
      <c r="N582" s="1880"/>
    </row>
    <row r="583" spans="1:14" ht="15.75" x14ac:dyDescent="0.25">
      <c r="A583" s="1885"/>
      <c r="B583" s="363"/>
      <c r="C583" s="460" t="s">
        <v>118</v>
      </c>
      <c r="D583" s="460"/>
      <c r="E583" s="460"/>
      <c r="F583" s="1241">
        <f>SUBTOTAL(109,XII.a.Outputs[2015])</f>
        <v>-9.936496070395151E-15</v>
      </c>
      <c r="G583" s="1241">
        <f>SUBTOTAL(109,XII.a.Outputs[2020])</f>
        <v>2.2204460492503131E-16</v>
      </c>
      <c r="H583" s="1241">
        <f>SUBTOTAL(109,XII.a.Outputs[2025])</f>
        <v>-7.3274719625260332E-15</v>
      </c>
      <c r="I583" s="1241">
        <f>SUBTOTAL(109,XII.a.Outputs[2030])</f>
        <v>-1.865174681370263E-14</v>
      </c>
      <c r="J583" s="1241">
        <f>SUBTOTAL(109,XII.a.Outputs[2035])</f>
        <v>-2.3536728122053319E-14</v>
      </c>
      <c r="K583" s="1241">
        <f>SUBTOTAL(109,XII.a.Outputs[2040])</f>
        <v>7.7715611723760958E-15</v>
      </c>
      <c r="L583" s="1241">
        <f>SUBTOTAL(109,XII.a.Outputs[2045])</f>
        <v>-1.9317880628477724E-14</v>
      </c>
      <c r="M583" s="1241">
        <f>SUBTOTAL(109,XII.a.Outputs[2050])</f>
        <v>3.7747582837255322E-15</v>
      </c>
      <c r="N583" s="1881"/>
    </row>
    <row r="584" spans="1:14" customFormat="1" ht="15.75" x14ac:dyDescent="0.25">
      <c r="B584" s="363"/>
      <c r="C584" s="73"/>
      <c r="D584" s="73"/>
      <c r="E584" s="73"/>
      <c r="F584" s="1881"/>
      <c r="G584" s="1881"/>
      <c r="H584" s="1881"/>
      <c r="I584" s="1881"/>
      <c r="J584" s="1881"/>
      <c r="K584" s="1881"/>
      <c r="L584" s="1881"/>
      <c r="M584" s="1881"/>
      <c r="N584" s="1881"/>
    </row>
    <row r="585" spans="1:14" customFormat="1" ht="12.75" x14ac:dyDescent="0.2"/>
    <row r="587" spans="1:14" ht="15.75" x14ac:dyDescent="0.25">
      <c r="B587" s="701" t="s">
        <v>434</v>
      </c>
      <c r="C587" s="704"/>
      <c r="D587" s="705"/>
      <c r="E587" s="705"/>
      <c r="F587" s="705"/>
      <c r="G587" s="705"/>
      <c r="H587" s="705"/>
      <c r="I587" s="705"/>
      <c r="J587" s="705"/>
      <c r="K587" s="705"/>
      <c r="L587" s="705"/>
      <c r="M587" s="705"/>
      <c r="N587" s="702"/>
    </row>
    <row r="588" spans="1:14" x14ac:dyDescent="0.25">
      <c r="B588" s="703"/>
      <c r="C588" s="708"/>
      <c r="D588" s="708"/>
      <c r="E588" s="708"/>
      <c r="F588" s="708"/>
      <c r="G588" s="708"/>
      <c r="H588" s="708"/>
      <c r="I588" s="708"/>
      <c r="J588" s="708"/>
      <c r="K588" s="708"/>
      <c r="L588" s="708"/>
      <c r="M588" s="708"/>
      <c r="N588" s="706"/>
    </row>
    <row r="589" spans="1:14" x14ac:dyDescent="0.25">
      <c r="B589" s="707"/>
      <c r="C589" s="710" t="s">
        <v>394</v>
      </c>
      <c r="D589" s="711"/>
      <c r="E589" s="712"/>
      <c r="F589" s="711"/>
      <c r="G589" s="712"/>
      <c r="H589" s="711"/>
      <c r="I589" s="711"/>
      <c r="J589" s="711"/>
      <c r="K589" s="711"/>
      <c r="L589" s="711"/>
      <c r="M589" s="713" t="s">
        <v>395</v>
      </c>
      <c r="N589" s="709"/>
    </row>
    <row r="590" spans="1:14" x14ac:dyDescent="0.25">
      <c r="B590" s="707"/>
      <c r="C590" s="711"/>
      <c r="D590" s="711"/>
      <c r="E590" s="711"/>
      <c r="F590" s="711"/>
      <c r="G590" s="711"/>
      <c r="H590" s="711"/>
      <c r="I590" s="711"/>
      <c r="J590" s="711"/>
      <c r="K590" s="711"/>
      <c r="L590" s="711"/>
      <c r="M590" s="711"/>
      <c r="N590" s="709"/>
    </row>
    <row r="591" spans="1:14" ht="15.75" x14ac:dyDescent="0.25">
      <c r="B591" s="714"/>
      <c r="C591" s="715" t="s">
        <v>396</v>
      </c>
      <c r="D591" s="715" t="s">
        <v>397</v>
      </c>
      <c r="E591" s="715" t="s">
        <v>148</v>
      </c>
      <c r="F591" s="716">
        <v>2015</v>
      </c>
      <c r="G591" s="716">
        <v>2020</v>
      </c>
      <c r="H591" s="716" t="s">
        <v>18</v>
      </c>
      <c r="I591" s="716" t="s">
        <v>19</v>
      </c>
      <c r="J591" s="716" t="s">
        <v>20</v>
      </c>
      <c r="K591" s="716" t="s">
        <v>21</v>
      </c>
      <c r="L591" s="716" t="s">
        <v>22</v>
      </c>
      <c r="M591" s="716" t="s">
        <v>23</v>
      </c>
      <c r="N591" s="709"/>
    </row>
    <row r="592" spans="1:14" ht="15.75" x14ac:dyDescent="0.25">
      <c r="B592" s="714"/>
      <c r="C592" s="717" t="s">
        <v>398</v>
      </c>
      <c r="D592" s="718" t="s">
        <v>399</v>
      </c>
      <c r="E592" s="717"/>
      <c r="F592" s="719">
        <f>F561</f>
        <v>20.308639364830206</v>
      </c>
      <c r="G592" s="719">
        <f t="shared" ref="G592:M592" si="129">G561</f>
        <v>21.852361328680828</v>
      </c>
      <c r="H592" s="719">
        <f t="shared" si="129"/>
        <v>25.993166169061354</v>
      </c>
      <c r="I592" s="719">
        <f t="shared" si="129"/>
        <v>31.593274908431262</v>
      </c>
      <c r="J592" s="719">
        <f t="shared" si="129"/>
        <v>36.402424100913478</v>
      </c>
      <c r="K592" s="719">
        <f t="shared" si="129"/>
        <v>39.608678887374474</v>
      </c>
      <c r="L592" s="719">
        <f t="shared" si="129"/>
        <v>41.88115162850972</v>
      </c>
      <c r="M592" s="719">
        <f t="shared" si="129"/>
        <v>43.705979243993191</v>
      </c>
      <c r="N592" s="709"/>
    </row>
    <row r="593" spans="2:14" ht="15.75" x14ac:dyDescent="0.25">
      <c r="B593" s="714"/>
      <c r="C593" s="717" t="s">
        <v>400</v>
      </c>
      <c r="D593" s="718" t="s">
        <v>399</v>
      </c>
      <c r="E593" s="717"/>
      <c r="F593" s="719">
        <f>F562</f>
        <v>0.13307218060930931</v>
      </c>
      <c r="G593" s="719">
        <f t="shared" ref="G593:M593" si="130">G562</f>
        <v>0.13255292775481139</v>
      </c>
      <c r="H593" s="719">
        <f t="shared" si="130"/>
        <v>0.14268859560355573</v>
      </c>
      <c r="I593" s="719">
        <f t="shared" si="130"/>
        <v>0.17030350381051607</v>
      </c>
      <c r="J593" s="719">
        <f t="shared" si="130"/>
        <v>0.19592837124543766</v>
      </c>
      <c r="K593" s="719">
        <f t="shared" si="130"/>
        <v>0.22029574843805433</v>
      </c>
      <c r="L593" s="719">
        <f t="shared" si="130"/>
        <v>0.2361574409508439</v>
      </c>
      <c r="M593" s="719">
        <f t="shared" si="130"/>
        <v>0.24592405650651816</v>
      </c>
      <c r="N593" s="709"/>
    </row>
    <row r="594" spans="2:14" ht="15.75" x14ac:dyDescent="0.25">
      <c r="B594" s="714"/>
      <c r="C594" s="717" t="s">
        <v>401</v>
      </c>
      <c r="D594" s="718" t="s">
        <v>399</v>
      </c>
      <c r="E594" s="717"/>
      <c r="F594" s="719">
        <f>F563</f>
        <v>0.27285058535009232</v>
      </c>
      <c r="G594" s="719">
        <f t="shared" ref="G594:M594" si="131">G563</f>
        <v>0.28410225294347141</v>
      </c>
      <c r="H594" s="719">
        <f t="shared" si="131"/>
        <v>0.32543852931357387</v>
      </c>
      <c r="I594" s="719">
        <f t="shared" si="131"/>
        <v>0.39506590637352834</v>
      </c>
      <c r="J594" s="719">
        <f t="shared" si="131"/>
        <v>0.45435385565253794</v>
      </c>
      <c r="K594" s="719">
        <f t="shared" si="131"/>
        <v>0.49955902433573596</v>
      </c>
      <c r="L594" s="719">
        <f t="shared" si="131"/>
        <v>0.52911877102037363</v>
      </c>
      <c r="M594" s="719">
        <f t="shared" si="131"/>
        <v>0.5492465702944016</v>
      </c>
      <c r="N594" s="709"/>
    </row>
    <row r="595" spans="2:14" ht="15.75" x14ac:dyDescent="0.25">
      <c r="B595" s="714"/>
      <c r="C595" s="717" t="s">
        <v>118</v>
      </c>
      <c r="D595" s="717"/>
      <c r="E595" s="717"/>
      <c r="F595" s="721">
        <f>F565</f>
        <v>20.714562130789609</v>
      </c>
      <c r="G595" s="721">
        <f t="shared" ref="G595:M595" si="132">G565</f>
        <v>22.269016509379114</v>
      </c>
      <c r="H595" s="721">
        <f t="shared" si="132"/>
        <v>26.461293293978482</v>
      </c>
      <c r="I595" s="721">
        <f>I565</f>
        <v>32.158644318615309</v>
      </c>
      <c r="J595" s="721">
        <f t="shared" si="132"/>
        <v>37.05270632781145</v>
      </c>
      <c r="K595" s="721">
        <f t="shared" si="132"/>
        <v>40.328533660148267</v>
      </c>
      <c r="L595" s="721">
        <f t="shared" si="132"/>
        <v>42.646427840480932</v>
      </c>
      <c r="M595" s="721">
        <f t="shared" si="132"/>
        <v>44.501149870794109</v>
      </c>
      <c r="N595" s="709"/>
    </row>
    <row r="596" spans="2:14" x14ac:dyDescent="0.25">
      <c r="B596" s="720"/>
      <c r="C596" s="720"/>
      <c r="D596" s="720"/>
      <c r="E596" s="720"/>
      <c r="F596" s="720"/>
      <c r="G596" s="720"/>
      <c r="H596" s="720"/>
      <c r="I596" s="720"/>
      <c r="J596" s="720"/>
      <c r="K596" s="720"/>
      <c r="L596" s="720"/>
      <c r="M596" s="720"/>
      <c r="N596" s="720"/>
    </row>
    <row r="643" spans="3:6" x14ac:dyDescent="0.25">
      <c r="C643" s="487"/>
      <c r="D643" s="487"/>
      <c r="E643" s="487"/>
      <c r="F643" s="2721"/>
    </row>
    <row r="644" spans="3:6" x14ac:dyDescent="0.25">
      <c r="C644" s="487"/>
      <c r="D644" s="487"/>
      <c r="E644" s="487"/>
      <c r="F644" s="2721"/>
    </row>
    <row r="645" spans="3:6" x14ac:dyDescent="0.25">
      <c r="C645" s="487"/>
      <c r="D645" s="487"/>
      <c r="E645" s="487"/>
      <c r="F645" s="487"/>
    </row>
  </sheetData>
  <pageMargins left="0.7" right="0.7" top="0.75" bottom="0.75" header="0.3" footer="0.3"/>
  <pageSetup orientation="portrait" verticalDpi="0" r:id="rId1"/>
  <ignoredErrors>
    <ignoredError sqref="H591:M591 F19:M19" numberStoredAsText="1"/>
  </ignoredErrors>
  <tableParts count="1">
    <tablePart r:id="rId2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AH266"/>
  <sheetViews>
    <sheetView zoomScale="85" zoomScaleNormal="85" workbookViewId="0">
      <selection activeCell="F9" sqref="F9"/>
    </sheetView>
  </sheetViews>
  <sheetFormatPr baseColWidth="10" defaultColWidth="9.140625" defaultRowHeight="15" outlineLevelRow="1" x14ac:dyDescent="0.25"/>
  <cols>
    <col min="1" max="2" width="9.140625" style="1117"/>
    <col min="3" max="3" width="35.140625" style="1117" customWidth="1"/>
    <col min="4" max="4" width="39" style="1117" customWidth="1"/>
    <col min="5" max="5" width="19.28515625" style="1117" customWidth="1"/>
    <col min="6" max="6" width="24" style="1117" customWidth="1"/>
    <col min="7" max="11" width="19.85546875" style="1117" customWidth="1"/>
    <col min="12" max="12" width="19.7109375" style="1117" customWidth="1"/>
    <col min="13" max="13" width="19.85546875" style="1117" customWidth="1"/>
    <col min="14" max="14" width="21" style="1117" customWidth="1"/>
    <col min="15" max="16" width="10.7109375" style="1117" customWidth="1"/>
    <col min="17" max="24" width="15.42578125" style="1117" customWidth="1"/>
    <col min="25" max="16384" width="9.140625" style="1117"/>
  </cols>
  <sheetData>
    <row r="1" spans="1:34" ht="20.25" x14ac:dyDescent="0.3">
      <c r="A1" s="1116" t="s">
        <v>579</v>
      </c>
      <c r="B1" s="1116" t="s">
        <v>420</v>
      </c>
      <c r="C1" s="1116"/>
    </row>
    <row r="2" spans="1:34" s="1119" customFormat="1" ht="19.5" customHeight="1" x14ac:dyDescent="0.25">
      <c r="A2" s="1118" t="s">
        <v>102</v>
      </c>
      <c r="B2" s="1118" t="str">
        <f>INDEX(Modulos[Modulos], MATCH($A2, Modulos[Código], 0))</f>
        <v>Transporte de carga</v>
      </c>
      <c r="C2" s="1118"/>
      <c r="E2" s="259"/>
      <c r="O2" s="1117"/>
      <c r="P2" s="1117"/>
    </row>
    <row r="4" spans="1:34" ht="23.25" collapsed="1" x14ac:dyDescent="0.35">
      <c r="A4" s="1120"/>
      <c r="B4" s="1121" t="s">
        <v>144</v>
      </c>
      <c r="C4" s="1122"/>
      <c r="D4" s="1122"/>
      <c r="E4" s="1122"/>
      <c r="F4" s="1122"/>
      <c r="G4" s="1122"/>
      <c r="H4" s="1122"/>
      <c r="I4" s="1122"/>
      <c r="J4" s="1122"/>
      <c r="K4" s="1122"/>
      <c r="L4" s="1122"/>
      <c r="M4" s="1122"/>
      <c r="N4" s="1122"/>
    </row>
    <row r="5" spans="1:34" x14ac:dyDescent="0.25">
      <c r="B5" s="1123"/>
      <c r="C5" s="1124"/>
      <c r="D5" s="1124"/>
      <c r="E5" s="1124"/>
      <c r="F5" s="1124"/>
      <c r="G5" s="1124"/>
      <c r="H5" s="1124"/>
      <c r="I5" s="1124"/>
      <c r="J5" s="1124"/>
      <c r="K5" s="1124"/>
      <c r="L5" s="1124"/>
      <c r="M5" s="1124"/>
      <c r="N5" s="1124"/>
      <c r="Q5"/>
      <c r="R5"/>
      <c r="S5"/>
      <c r="T5"/>
      <c r="U5"/>
      <c r="V5"/>
      <c r="W5"/>
      <c r="X5"/>
      <c r="Y5"/>
      <c r="Z5"/>
    </row>
    <row r="6" spans="1:34" ht="21" customHeight="1" x14ac:dyDescent="0.25">
      <c r="B6" s="1123"/>
      <c r="C6" s="1125"/>
      <c r="D6" s="1124"/>
      <c r="E6" s="1126"/>
      <c r="F6" s="1124"/>
      <c r="G6" s="1124"/>
      <c r="H6" s="1124"/>
      <c r="I6" s="1124"/>
      <c r="J6" s="1124"/>
      <c r="K6" s="1124"/>
      <c r="L6" s="1124"/>
      <c r="M6" s="1124"/>
      <c r="N6" s="1124"/>
      <c r="Q6"/>
      <c r="R6"/>
      <c r="S6"/>
      <c r="T6"/>
      <c r="U6"/>
      <c r="V6"/>
      <c r="W6"/>
      <c r="X6"/>
      <c r="Y6"/>
      <c r="Z6"/>
    </row>
    <row r="7" spans="1:34" ht="15.75" x14ac:dyDescent="0.25">
      <c r="B7" s="1127"/>
      <c r="C7" s="1124"/>
      <c r="D7" s="1128" t="s">
        <v>2</v>
      </c>
      <c r="E7" s="1128" t="s">
        <v>3</v>
      </c>
      <c r="F7" s="1124"/>
      <c r="G7" s="1124"/>
      <c r="H7" s="1124"/>
      <c r="I7" s="1124"/>
      <c r="J7" s="1124"/>
      <c r="K7" s="1124"/>
      <c r="L7" s="1124"/>
      <c r="M7" s="1124"/>
      <c r="N7" s="1124"/>
      <c r="Q7"/>
      <c r="R7"/>
      <c r="S7"/>
      <c r="T7"/>
      <c r="U7"/>
      <c r="V7"/>
      <c r="W7"/>
      <c r="X7"/>
      <c r="Y7"/>
      <c r="Z7"/>
    </row>
    <row r="8" spans="1:34" ht="15.75" x14ac:dyDescent="0.25">
      <c r="B8" s="1127"/>
      <c r="C8" s="3092" t="s">
        <v>1967</v>
      </c>
      <c r="D8" s="3110" t="s">
        <v>431</v>
      </c>
      <c r="E8" s="1129">
        <v>1</v>
      </c>
      <c r="F8" s="1124"/>
      <c r="G8" s="1124"/>
      <c r="H8" s="1124"/>
      <c r="I8" s="1124"/>
      <c r="J8" s="1124"/>
      <c r="K8" s="1124"/>
      <c r="L8" s="1124"/>
      <c r="M8" s="1124"/>
      <c r="N8" s="1124"/>
      <c r="Q8"/>
      <c r="R8"/>
      <c r="S8"/>
      <c r="T8"/>
      <c r="U8"/>
      <c r="V8"/>
      <c r="W8"/>
      <c r="X8"/>
      <c r="Y8"/>
      <c r="Z8"/>
    </row>
    <row r="9" spans="1:34" ht="15.75" x14ac:dyDescent="0.25">
      <c r="B9" s="1127"/>
      <c r="C9" s="3034" t="s">
        <v>1968</v>
      </c>
      <c r="D9" s="3110" t="s">
        <v>2194</v>
      </c>
      <c r="E9" s="1129">
        <v>1</v>
      </c>
      <c r="F9" s="1124"/>
      <c r="G9" s="1124"/>
      <c r="H9" s="1124"/>
      <c r="I9" s="1124"/>
      <c r="J9" s="1124"/>
      <c r="K9" s="1124"/>
      <c r="L9" s="1124"/>
      <c r="M9" s="1124"/>
      <c r="N9" s="1124"/>
      <c r="Q9"/>
      <c r="R9"/>
      <c r="S9"/>
      <c r="T9"/>
      <c r="U9"/>
      <c r="V9"/>
      <c r="W9"/>
      <c r="X9"/>
      <c r="Y9"/>
      <c r="Z9"/>
    </row>
    <row r="10" spans="1:34" ht="15.75" x14ac:dyDescent="0.25">
      <c r="B10" s="1127"/>
      <c r="C10" s="1124"/>
      <c r="D10" s="1129"/>
      <c r="E10" s="1129"/>
      <c r="F10" s="1124"/>
      <c r="G10" s="1124"/>
      <c r="H10" s="1124"/>
      <c r="I10" s="1124"/>
      <c r="J10" s="1124"/>
      <c r="K10" s="1124"/>
      <c r="L10" s="1124"/>
      <c r="M10" s="1124"/>
      <c r="N10" s="1124"/>
      <c r="Q10"/>
      <c r="R10"/>
      <c r="S10"/>
      <c r="T10"/>
      <c r="U10"/>
      <c r="V10"/>
      <c r="W10"/>
      <c r="X10"/>
      <c r="Y10"/>
      <c r="Z10"/>
    </row>
    <row r="11" spans="1:34" x14ac:dyDescent="0.25">
      <c r="Q11"/>
      <c r="R11"/>
      <c r="S11"/>
      <c r="T11"/>
      <c r="U11"/>
      <c r="V11"/>
      <c r="W11"/>
      <c r="X11"/>
      <c r="Y11"/>
      <c r="Z11"/>
    </row>
    <row r="12" spans="1:34" s="1009" customFormat="1" ht="15.75" x14ac:dyDescent="0.25">
      <c r="A12" s="1023"/>
      <c r="B12" s="1024" t="s">
        <v>323</v>
      </c>
      <c r="C12" s="1025"/>
      <c r="D12" s="1026"/>
      <c r="E12" s="1027"/>
      <c r="F12" s="1026"/>
      <c r="G12" s="1026"/>
      <c r="H12" s="1026"/>
      <c r="I12" s="1026"/>
      <c r="J12" s="1026"/>
      <c r="K12" s="1026"/>
      <c r="L12" s="1026"/>
      <c r="M12" s="1026"/>
      <c r="N12" s="1026"/>
      <c r="Q12"/>
      <c r="R12"/>
      <c r="S12"/>
      <c r="T12"/>
      <c r="U12"/>
      <c r="V12"/>
      <c r="W12"/>
      <c r="X12"/>
      <c r="Y12"/>
      <c r="Z12"/>
      <c r="AE12" s="1028"/>
      <c r="AF12" s="1029"/>
      <c r="AG12" s="1029"/>
      <c r="AH12" s="1030"/>
    </row>
    <row r="13" spans="1:34" s="1009" customFormat="1" ht="15.75" x14ac:dyDescent="0.25">
      <c r="A13" s="1023"/>
      <c r="B13" s="1031"/>
      <c r="C13" s="1032"/>
      <c r="D13" s="1032"/>
      <c r="E13" s="1032"/>
      <c r="F13" s="1033"/>
      <c r="G13" s="1033"/>
      <c r="H13" s="1033"/>
      <c r="I13" s="1033"/>
      <c r="J13" s="1033"/>
      <c r="K13" s="1033"/>
      <c r="L13" s="1033"/>
      <c r="M13" s="1033"/>
      <c r="N13" s="1033"/>
      <c r="Q13"/>
      <c r="R13"/>
      <c r="S13"/>
      <c r="T13"/>
      <c r="U13"/>
      <c r="V13"/>
      <c r="W13"/>
      <c r="X13"/>
      <c r="Y13"/>
      <c r="Z13"/>
      <c r="AE13" s="1028"/>
      <c r="AF13" s="1029"/>
      <c r="AG13" s="1029"/>
      <c r="AH13" s="1030"/>
    </row>
    <row r="14" spans="1:34" s="1009" customFormat="1" ht="15.75" x14ac:dyDescent="0.25">
      <c r="A14" s="1023"/>
      <c r="B14" s="1040"/>
      <c r="C14" s="1034" t="s">
        <v>2325</v>
      </c>
      <c r="D14" s="1035"/>
      <c r="E14" s="1035"/>
      <c r="F14" s="1035"/>
      <c r="G14" s="1035"/>
      <c r="H14" s="1035"/>
      <c r="I14" s="1035"/>
      <c r="J14" s="1035"/>
      <c r="K14" s="1035"/>
      <c r="L14" s="1035"/>
      <c r="M14" s="2732" t="s">
        <v>171</v>
      </c>
      <c r="N14" s="1035"/>
      <c r="Q14"/>
      <c r="R14"/>
      <c r="S14"/>
      <c r="T14"/>
      <c r="U14"/>
      <c r="V14"/>
      <c r="W14"/>
      <c r="X14"/>
      <c r="Y14"/>
      <c r="Z14"/>
      <c r="AA14"/>
      <c r="AE14" s="1028"/>
      <c r="AF14" s="1029"/>
      <c r="AG14" s="1029"/>
      <c r="AH14" s="1030"/>
    </row>
    <row r="15" spans="1:34" s="1009" customFormat="1" ht="15.75" x14ac:dyDescent="0.25">
      <c r="A15" s="1023"/>
      <c r="B15" s="1040"/>
      <c r="C15" s="1036"/>
      <c r="D15" s="1036" t="s">
        <v>15</v>
      </c>
      <c r="E15" s="1036" t="s">
        <v>8</v>
      </c>
      <c r="F15" s="1037" t="s">
        <v>16</v>
      </c>
      <c r="G15" s="1037" t="s">
        <v>17</v>
      </c>
      <c r="H15" s="1037" t="s">
        <v>18</v>
      </c>
      <c r="I15" s="1037" t="s">
        <v>19</v>
      </c>
      <c r="J15" s="1037" t="s">
        <v>20</v>
      </c>
      <c r="K15" s="1037" t="s">
        <v>21</v>
      </c>
      <c r="L15" s="1037" t="s">
        <v>22</v>
      </c>
      <c r="M15" s="1037" t="s">
        <v>23</v>
      </c>
      <c r="N15" s="1035"/>
      <c r="Q15" s="1117"/>
      <c r="R15" s="1117"/>
      <c r="S15" s="1117"/>
      <c r="T15" s="1117"/>
      <c r="Z15"/>
      <c r="AA15"/>
      <c r="AE15" s="1028"/>
      <c r="AF15" s="1029"/>
      <c r="AG15" s="1029"/>
      <c r="AH15" s="1030"/>
    </row>
    <row r="16" spans="1:34" s="1009" customFormat="1" ht="15.75" x14ac:dyDescent="0.25">
      <c r="A16" s="1023"/>
      <c r="B16" s="1040"/>
      <c r="C16" s="1038"/>
      <c r="D16" s="1038" t="s">
        <v>1900</v>
      </c>
      <c r="E16" s="1039"/>
      <c r="F16" s="2730">
        <f>D.a!F115*D.a!F60</f>
        <v>15.949704970925145</v>
      </c>
      <c r="G16" s="2730">
        <f>D.a!G115*D.a!G60</f>
        <v>17.054088161104055</v>
      </c>
      <c r="H16" s="2730">
        <f>D.a!H115*D.a!H60</f>
        <v>18.694271418848359</v>
      </c>
      <c r="I16" s="2730">
        <f>D.a!I115*D.a!I60</f>
        <v>20.40418703868896</v>
      </c>
      <c r="J16" s="2730">
        <f>D.a!J115*D.a!J60</f>
        <v>22.337712867486367</v>
      </c>
      <c r="K16" s="2730">
        <f>D.a!K115*D.a!K60</f>
        <v>24.274967695883127</v>
      </c>
      <c r="L16" s="2730">
        <f>D.a!L115*D.a!L60</f>
        <v>26.215133083410635</v>
      </c>
      <c r="M16" s="2730">
        <f>D.a!M115*D.a!M60</f>
        <v>28.077601998235519</v>
      </c>
      <c r="N16" s="1035"/>
      <c r="Q16" s="1117"/>
      <c r="R16" s="1117"/>
      <c r="S16" s="1117"/>
      <c r="T16" s="1117"/>
      <c r="Z16"/>
      <c r="AA16"/>
      <c r="AE16" s="1028"/>
      <c r="AF16" s="1029"/>
      <c r="AG16" s="1029"/>
      <c r="AH16" s="1030"/>
    </row>
    <row r="17" spans="1:34" s="1009" customFormat="1" ht="15.75" x14ac:dyDescent="0.25">
      <c r="A17" s="1023"/>
      <c r="B17" s="1040"/>
      <c r="C17" s="1041"/>
      <c r="D17" s="1041"/>
      <c r="E17" s="1042"/>
      <c r="F17" s="1043"/>
      <c r="G17" s="1043"/>
      <c r="H17" s="1043"/>
      <c r="I17" s="1043"/>
      <c r="J17" s="1043"/>
      <c r="K17" s="1043"/>
      <c r="L17" s="1043"/>
      <c r="M17" s="1043"/>
      <c r="N17" s="1035"/>
      <c r="Q17" s="1117"/>
      <c r="R17" s="1117"/>
      <c r="S17" s="1117"/>
      <c r="T17" s="1117"/>
      <c r="Z17"/>
      <c r="AA17"/>
      <c r="AE17" s="1028"/>
      <c r="AF17" s="1029"/>
      <c r="AG17" s="1029"/>
      <c r="AH17" s="1030"/>
    </row>
    <row r="18" spans="1:34" x14ac:dyDescent="0.25">
      <c r="U18" s="1009"/>
      <c r="V18" s="1009"/>
      <c r="W18" s="1009"/>
      <c r="X18" s="1009"/>
      <c r="Z18"/>
      <c r="AA18"/>
    </row>
    <row r="19" spans="1:34" x14ac:dyDescent="0.25">
      <c r="A19" s="1130"/>
      <c r="U19" s="1009"/>
      <c r="V19" s="1009"/>
      <c r="W19" s="1009"/>
      <c r="X19" s="1009"/>
      <c r="Z19"/>
      <c r="AA19"/>
      <c r="AE19" s="1131"/>
      <c r="AF19" s="1132"/>
      <c r="AG19" s="1132"/>
      <c r="AH19" s="1133"/>
    </row>
    <row r="20" spans="1:34" s="1134" customFormat="1" ht="15.75" x14ac:dyDescent="0.25">
      <c r="B20" s="1135" t="s">
        <v>151</v>
      </c>
      <c r="C20" s="1136"/>
      <c r="D20" s="1136"/>
      <c r="E20" s="1137"/>
      <c r="F20" s="1137"/>
      <c r="G20" s="1137"/>
      <c r="H20" s="1137"/>
      <c r="I20" s="1137"/>
      <c r="J20" s="1137"/>
      <c r="K20" s="1137"/>
      <c r="L20" s="1137"/>
      <c r="M20" s="1137"/>
      <c r="N20" s="1137"/>
      <c r="O20" s="1117"/>
      <c r="P20" s="1117"/>
      <c r="Q20" s="1117"/>
      <c r="R20" s="1117"/>
      <c r="S20" s="1117"/>
      <c r="T20" s="1117"/>
      <c r="U20" s="1009"/>
      <c r="V20" s="1009"/>
      <c r="W20" s="1009"/>
      <c r="X20" s="1009"/>
      <c r="Z20"/>
      <c r="AA20"/>
    </row>
    <row r="21" spans="1:34" x14ac:dyDescent="0.25">
      <c r="B21" s="1138"/>
      <c r="C21" s="1139"/>
      <c r="D21" s="1139"/>
      <c r="E21" s="1139"/>
      <c r="F21" s="1139"/>
      <c r="G21" s="1139"/>
      <c r="H21" s="1139"/>
      <c r="I21" s="1139"/>
      <c r="J21" s="1139"/>
      <c r="K21" s="1139"/>
      <c r="L21" s="1139"/>
      <c r="M21" s="1139"/>
      <c r="N21" s="1139"/>
    </row>
    <row r="22" spans="1:34" x14ac:dyDescent="0.25">
      <c r="B22" s="3111" t="s">
        <v>1967</v>
      </c>
      <c r="C22" s="1140" t="s">
        <v>2186</v>
      </c>
      <c r="D22" s="1146"/>
      <c r="E22" s="1146"/>
      <c r="F22" s="1150"/>
      <c r="G22" s="1151"/>
      <c r="H22" s="1151"/>
      <c r="I22" s="1151"/>
      <c r="J22" s="1151"/>
      <c r="K22" s="1151"/>
      <c r="L22" s="1151"/>
      <c r="M22" s="1151" t="s">
        <v>190</v>
      </c>
      <c r="N22" s="1139"/>
    </row>
    <row r="23" spans="1:34" ht="5.25" customHeight="1" x14ac:dyDescent="0.25">
      <c r="B23" s="1138"/>
      <c r="C23" s="1145"/>
      <c r="D23" s="1146"/>
      <c r="E23" s="1146"/>
      <c r="F23" s="1150"/>
      <c r="G23" s="1151"/>
      <c r="H23" s="1151"/>
      <c r="I23" s="1151"/>
      <c r="J23" s="1151"/>
      <c r="K23" s="1151"/>
      <c r="L23" s="1151"/>
      <c r="M23" s="1151"/>
      <c r="N23" s="1139"/>
    </row>
    <row r="24" spans="1:34" x14ac:dyDescent="0.25">
      <c r="B24" s="1138"/>
      <c r="C24" s="1142" t="s">
        <v>325</v>
      </c>
      <c r="D24" s="1142" t="s">
        <v>604</v>
      </c>
      <c r="E24" s="1142" t="s">
        <v>8</v>
      </c>
      <c r="F24" s="1143">
        <v>2015</v>
      </c>
      <c r="G24" s="1144">
        <v>2020</v>
      </c>
      <c r="H24" s="1143">
        <v>2025</v>
      </c>
      <c r="I24" s="1143">
        <v>2030</v>
      </c>
      <c r="J24" s="1143">
        <v>2035</v>
      </c>
      <c r="K24" s="1143">
        <v>2040</v>
      </c>
      <c r="L24" s="1143">
        <v>2045</v>
      </c>
      <c r="M24" s="1143">
        <v>2050</v>
      </c>
      <c r="N24" s="1139"/>
    </row>
    <row r="25" spans="1:34" x14ac:dyDescent="0.25">
      <c r="B25" s="1138"/>
      <c r="C25" s="1145">
        <v>1</v>
      </c>
      <c r="D25" s="1146" t="s">
        <v>632</v>
      </c>
      <c r="E25" s="1147"/>
      <c r="F25" s="1150">
        <v>0.84430000000000005</v>
      </c>
      <c r="G25" s="1152">
        <v>0.84430000000000005</v>
      </c>
      <c r="H25" s="1153">
        <v>0.84430000000000005</v>
      </c>
      <c r="I25" s="1153">
        <v>0.84430000000000005</v>
      </c>
      <c r="J25" s="1153">
        <v>0.84430000000000005</v>
      </c>
      <c r="K25" s="1153">
        <v>0.84430000000000005</v>
      </c>
      <c r="L25" s="1153">
        <v>0.84430000000000005</v>
      </c>
      <c r="M25" s="1153">
        <v>0.84430000000000005</v>
      </c>
      <c r="N25" s="1139"/>
    </row>
    <row r="26" spans="1:34" x14ac:dyDescent="0.25">
      <c r="B26" s="1138"/>
      <c r="C26" s="1145"/>
      <c r="D26" s="1146" t="s">
        <v>633</v>
      </c>
      <c r="E26" s="1147"/>
      <c r="F26" s="1150">
        <v>0.1</v>
      </c>
      <c r="G26" s="1154">
        <v>0.1</v>
      </c>
      <c r="H26" s="1151">
        <v>0.1</v>
      </c>
      <c r="I26" s="1153">
        <v>0.1</v>
      </c>
      <c r="J26" s="1151">
        <v>0.1</v>
      </c>
      <c r="K26" s="1153">
        <v>0.1</v>
      </c>
      <c r="L26" s="1153">
        <v>0.1</v>
      </c>
      <c r="M26" s="1153">
        <v>0.1</v>
      </c>
      <c r="N26" s="1139"/>
    </row>
    <row r="27" spans="1:34" x14ac:dyDescent="0.25">
      <c r="B27" s="1138"/>
      <c r="C27" s="1155"/>
      <c r="D27" s="1156" t="s">
        <v>634</v>
      </c>
      <c r="E27" s="1156"/>
      <c r="F27" s="1157">
        <v>5.57E-2</v>
      </c>
      <c r="G27" s="1158">
        <v>5.57E-2</v>
      </c>
      <c r="H27" s="1159">
        <v>5.57E-2</v>
      </c>
      <c r="I27" s="1159">
        <v>5.57E-2</v>
      </c>
      <c r="J27" s="1159">
        <v>5.57E-2</v>
      </c>
      <c r="K27" s="1159">
        <v>5.57E-2</v>
      </c>
      <c r="L27" s="1159">
        <v>5.57E-2</v>
      </c>
      <c r="M27" s="1159">
        <v>5.57E-2</v>
      </c>
      <c r="N27" s="1139"/>
    </row>
    <row r="28" spans="1:34" x14ac:dyDescent="0.25">
      <c r="B28" s="1138"/>
      <c r="C28" s="1145">
        <v>2</v>
      </c>
      <c r="D28" s="1146" t="s">
        <v>632</v>
      </c>
      <c r="E28" s="1147"/>
      <c r="F28" s="1150">
        <v>0.84430000000000005</v>
      </c>
      <c r="G28" s="1152">
        <v>0.82430000000000003</v>
      </c>
      <c r="H28" s="1153">
        <v>0.82430000000000003</v>
      </c>
      <c r="I28" s="1153">
        <v>0.82430000000000003</v>
      </c>
      <c r="J28" s="1153">
        <v>0.82430000000000003</v>
      </c>
      <c r="K28" s="1153">
        <v>0.82430000000000003</v>
      </c>
      <c r="L28" s="1153">
        <v>0.82430000000000003</v>
      </c>
      <c r="M28" s="1153">
        <v>0.82430000000000003</v>
      </c>
      <c r="N28" s="1139"/>
    </row>
    <row r="29" spans="1:34" x14ac:dyDescent="0.25">
      <c r="B29" s="1138"/>
      <c r="C29" s="1145"/>
      <c r="D29" s="1146" t="s">
        <v>633</v>
      </c>
      <c r="E29" s="1147"/>
      <c r="F29" s="1150">
        <v>0.1</v>
      </c>
      <c r="G29" s="1154">
        <v>0.12</v>
      </c>
      <c r="H29" s="1151">
        <v>0.12</v>
      </c>
      <c r="I29" s="1153">
        <v>0.12</v>
      </c>
      <c r="J29" s="1151">
        <v>0.12</v>
      </c>
      <c r="K29" s="1153">
        <v>0.12</v>
      </c>
      <c r="L29" s="1153">
        <v>0.12</v>
      </c>
      <c r="M29" s="1153">
        <v>0.12</v>
      </c>
      <c r="N29" s="1139"/>
    </row>
    <row r="30" spans="1:34" x14ac:dyDescent="0.25">
      <c r="B30" s="1138"/>
      <c r="C30" s="1155"/>
      <c r="D30" s="1156" t="s">
        <v>634</v>
      </c>
      <c r="E30" s="1156"/>
      <c r="F30" s="1157">
        <v>5.57E-2</v>
      </c>
      <c r="G30" s="1158">
        <v>5.57E-2</v>
      </c>
      <c r="H30" s="1159">
        <v>5.57E-2</v>
      </c>
      <c r="I30" s="1159">
        <v>5.57E-2</v>
      </c>
      <c r="J30" s="1159">
        <v>5.57E-2</v>
      </c>
      <c r="K30" s="1159">
        <v>5.57E-2</v>
      </c>
      <c r="L30" s="1159">
        <v>5.57E-2</v>
      </c>
      <c r="M30" s="1159">
        <v>5.57E-2</v>
      </c>
      <c r="N30" s="1139"/>
    </row>
    <row r="31" spans="1:34" x14ac:dyDescent="0.25">
      <c r="B31" s="1138"/>
      <c r="C31" s="1160">
        <v>3</v>
      </c>
      <c r="D31" s="1161" t="s">
        <v>632</v>
      </c>
      <c r="E31" s="1162"/>
      <c r="F31" s="1150">
        <v>0.84430000000000005</v>
      </c>
      <c r="G31" s="1164">
        <v>0.8140857142857143</v>
      </c>
      <c r="H31" s="1165">
        <v>0.8</v>
      </c>
      <c r="I31" s="1165">
        <v>0.79</v>
      </c>
      <c r="J31" s="1165">
        <v>0.78</v>
      </c>
      <c r="K31" s="1165">
        <v>0.78</v>
      </c>
      <c r="L31" s="1165">
        <v>0.78</v>
      </c>
      <c r="M31" s="1165">
        <v>0.78</v>
      </c>
      <c r="N31" s="1139"/>
    </row>
    <row r="32" spans="1:34" x14ac:dyDescent="0.25">
      <c r="B32" s="1138"/>
      <c r="C32" s="1145"/>
      <c r="D32" s="1146" t="s">
        <v>633</v>
      </c>
      <c r="E32" s="1147"/>
      <c r="F32" s="1150">
        <v>0.1</v>
      </c>
      <c r="G32" s="1154">
        <v>0.12000000000000002</v>
      </c>
      <c r="H32" s="1151">
        <v>0.13000000000000003</v>
      </c>
      <c r="I32" s="1153">
        <v>0.14000000000000004</v>
      </c>
      <c r="J32" s="1151">
        <v>0.15</v>
      </c>
      <c r="K32" s="1153">
        <v>0.15</v>
      </c>
      <c r="L32" s="1153">
        <v>0.15</v>
      </c>
      <c r="M32" s="1153">
        <v>0.15</v>
      </c>
      <c r="N32" s="1139"/>
    </row>
    <row r="33" spans="2:14" x14ac:dyDescent="0.25">
      <c r="B33" s="1138"/>
      <c r="C33" s="1155"/>
      <c r="D33" s="1156" t="s">
        <v>634</v>
      </c>
      <c r="E33" s="1166"/>
      <c r="F33" s="1157">
        <v>5.57E-2</v>
      </c>
      <c r="G33" s="1158">
        <v>6.5914285714285731E-2</v>
      </c>
      <c r="H33" s="1159">
        <v>7.0000000000000007E-2</v>
      </c>
      <c r="I33" s="1159">
        <v>7.0000000000000007E-2</v>
      </c>
      <c r="J33" s="1159">
        <v>7.0000000000000007E-2</v>
      </c>
      <c r="K33" s="1159">
        <v>7.0000000000000007E-2</v>
      </c>
      <c r="L33" s="1159">
        <v>7.0000000000000007E-2</v>
      </c>
      <c r="M33" s="1159">
        <v>7.0000000000000007E-2</v>
      </c>
      <c r="N33" s="1139"/>
    </row>
    <row r="34" spans="2:14" x14ac:dyDescent="0.25">
      <c r="B34" s="1138"/>
      <c r="C34" s="1145">
        <v>4</v>
      </c>
      <c r="D34" s="1146" t="s">
        <v>632</v>
      </c>
      <c r="E34" s="1147"/>
      <c r="F34" s="1150">
        <v>0.84430000000000005</v>
      </c>
      <c r="G34" s="1152">
        <v>0.78584166666666666</v>
      </c>
      <c r="H34" s="1153">
        <v>0.75661249999999991</v>
      </c>
      <c r="I34" s="1153">
        <v>0.72738333333333327</v>
      </c>
      <c r="J34" s="1153">
        <v>0.70000000000000007</v>
      </c>
      <c r="K34" s="1153">
        <v>0.70000000000000007</v>
      </c>
      <c r="L34" s="1153">
        <v>0.70000000000000007</v>
      </c>
      <c r="M34" s="1153">
        <v>0.70000000000000007</v>
      </c>
      <c r="N34" s="1139"/>
    </row>
    <row r="35" spans="2:14" x14ac:dyDescent="0.25">
      <c r="B35" s="1138"/>
      <c r="C35" s="1145"/>
      <c r="D35" s="1146" t="s">
        <v>633</v>
      </c>
      <c r="E35" s="1147"/>
      <c r="F35" s="1150">
        <v>0.1</v>
      </c>
      <c r="G35" s="1154">
        <v>0.14000000000000004</v>
      </c>
      <c r="H35" s="1151">
        <v>0.16000000000000006</v>
      </c>
      <c r="I35" s="1153">
        <v>0.18000000000000005</v>
      </c>
      <c r="J35" s="1151">
        <v>0.2</v>
      </c>
      <c r="K35" s="1153">
        <v>0.2</v>
      </c>
      <c r="L35" s="1153">
        <v>0.2</v>
      </c>
      <c r="M35" s="1153">
        <v>0.2</v>
      </c>
      <c r="N35" s="1139"/>
    </row>
    <row r="36" spans="2:14" x14ac:dyDescent="0.25">
      <c r="B36" s="1138"/>
      <c r="C36" s="1155"/>
      <c r="D36" s="1156" t="s">
        <v>634</v>
      </c>
      <c r="E36" s="1156"/>
      <c r="F36" s="1157">
        <v>5.57E-2</v>
      </c>
      <c r="G36" s="1158">
        <v>7.4158333333333354E-2</v>
      </c>
      <c r="H36" s="1159">
        <v>8.3387500000000031E-2</v>
      </c>
      <c r="I36" s="1159">
        <v>9.261666666666668E-2</v>
      </c>
      <c r="J36" s="1159">
        <v>0.1</v>
      </c>
      <c r="K36" s="1159">
        <v>0.1</v>
      </c>
      <c r="L36" s="1159">
        <v>0.1</v>
      </c>
      <c r="M36" s="1159">
        <v>0.1</v>
      </c>
      <c r="N36" s="1139"/>
    </row>
    <row r="37" spans="2:14" x14ac:dyDescent="0.25">
      <c r="B37" s="1138"/>
      <c r="C37" s="1160" t="s">
        <v>153</v>
      </c>
      <c r="D37" s="1146" t="s">
        <v>632</v>
      </c>
      <c r="E37" s="1161"/>
      <c r="F37" s="1163">
        <f>CHOOSE($E$8, F25, F28, F31, F34)</f>
        <v>0.84430000000000005</v>
      </c>
      <c r="G37" s="1163">
        <f t="shared" ref="G37:M38" si="0">CHOOSE($E$8, G25, G28, G31, G34)</f>
        <v>0.84430000000000005</v>
      </c>
      <c r="H37" s="1163">
        <f t="shared" si="0"/>
        <v>0.84430000000000005</v>
      </c>
      <c r="I37" s="1163">
        <f t="shared" si="0"/>
        <v>0.84430000000000005</v>
      </c>
      <c r="J37" s="1163">
        <f t="shared" si="0"/>
        <v>0.84430000000000005</v>
      </c>
      <c r="K37" s="1163">
        <f t="shared" si="0"/>
        <v>0.84430000000000005</v>
      </c>
      <c r="L37" s="1163">
        <f t="shared" si="0"/>
        <v>0.84430000000000005</v>
      </c>
      <c r="M37" s="1163">
        <f t="shared" si="0"/>
        <v>0.84430000000000005</v>
      </c>
      <c r="N37" s="1139"/>
    </row>
    <row r="38" spans="2:14" x14ac:dyDescent="0.25">
      <c r="B38" s="1138"/>
      <c r="C38" s="1145"/>
      <c r="D38" s="1146" t="s">
        <v>633</v>
      </c>
      <c r="E38" s="1146"/>
      <c r="F38" s="1150">
        <f>CHOOSE($E$8, F26, F29, F32, F35)</f>
        <v>0.1</v>
      </c>
      <c r="G38" s="1150">
        <f t="shared" si="0"/>
        <v>0.1</v>
      </c>
      <c r="H38" s="1150">
        <f t="shared" si="0"/>
        <v>0.1</v>
      </c>
      <c r="I38" s="1150">
        <f t="shared" si="0"/>
        <v>0.1</v>
      </c>
      <c r="J38" s="1150">
        <f t="shared" si="0"/>
        <v>0.1</v>
      </c>
      <c r="K38" s="1150">
        <f t="shared" si="0"/>
        <v>0.1</v>
      </c>
      <c r="L38" s="1150">
        <f t="shared" si="0"/>
        <v>0.1</v>
      </c>
      <c r="M38" s="1150">
        <f t="shared" si="0"/>
        <v>0.1</v>
      </c>
      <c r="N38" s="1139"/>
    </row>
    <row r="39" spans="2:14" x14ac:dyDescent="0.25">
      <c r="B39" s="1138"/>
      <c r="C39" s="1155"/>
      <c r="D39" s="1156" t="s">
        <v>634</v>
      </c>
      <c r="E39" s="1156"/>
      <c r="F39" s="1157">
        <f>CHOOSE($E$8, F27, F30,F33, F36)</f>
        <v>5.57E-2</v>
      </c>
      <c r="G39" s="1157">
        <f t="shared" ref="G39:M39" si="1">CHOOSE($E$8, G27, G30,G33, G36)</f>
        <v>5.57E-2</v>
      </c>
      <c r="H39" s="1157">
        <f t="shared" si="1"/>
        <v>5.57E-2</v>
      </c>
      <c r="I39" s="1157">
        <f t="shared" si="1"/>
        <v>5.57E-2</v>
      </c>
      <c r="J39" s="1157">
        <f t="shared" si="1"/>
        <v>5.57E-2</v>
      </c>
      <c r="K39" s="1157">
        <f t="shared" si="1"/>
        <v>5.57E-2</v>
      </c>
      <c r="L39" s="1157">
        <f t="shared" si="1"/>
        <v>5.57E-2</v>
      </c>
      <c r="M39" s="1157">
        <f t="shared" si="1"/>
        <v>5.57E-2</v>
      </c>
      <c r="N39" s="1139"/>
    </row>
    <row r="40" spans="2:14" x14ac:dyDescent="0.25">
      <c r="B40" s="1138"/>
      <c r="C40" s="1139"/>
      <c r="D40" s="1139"/>
      <c r="E40" s="1139"/>
      <c r="F40" s="1139"/>
      <c r="G40" s="1139"/>
      <c r="H40" s="1139"/>
      <c r="I40" s="1139"/>
      <c r="J40" s="1139"/>
      <c r="K40" s="1139"/>
      <c r="L40" s="1139"/>
      <c r="M40" s="1139"/>
      <c r="N40" s="1139"/>
    </row>
    <row r="41" spans="2:14" x14ac:dyDescent="0.25">
      <c r="B41" s="3111" t="s">
        <v>1968</v>
      </c>
      <c r="C41" s="1140" t="s">
        <v>2187</v>
      </c>
      <c r="D41" s="1146"/>
      <c r="E41" s="1146"/>
      <c r="F41" s="1150"/>
      <c r="G41" s="1151"/>
      <c r="H41" s="1151"/>
      <c r="I41" s="1151"/>
      <c r="J41" s="1151"/>
      <c r="K41" s="1151"/>
      <c r="L41" s="1151"/>
      <c r="M41" s="1151"/>
      <c r="N41" s="1139"/>
    </row>
    <row r="42" spans="2:14" ht="5.25" customHeight="1" x14ac:dyDescent="0.25">
      <c r="B42" s="1138"/>
      <c r="C42" s="1145"/>
      <c r="D42" s="1146"/>
      <c r="E42" s="1146"/>
      <c r="F42" s="1150"/>
      <c r="G42" s="1151"/>
      <c r="H42" s="1151"/>
      <c r="I42" s="1151"/>
      <c r="J42" s="1151"/>
      <c r="K42" s="1151"/>
      <c r="L42" s="1151"/>
      <c r="M42" s="1151" t="s">
        <v>190</v>
      </c>
      <c r="N42" s="1139"/>
    </row>
    <row r="43" spans="2:14" x14ac:dyDescent="0.25">
      <c r="B43" s="1138"/>
      <c r="C43" s="1142" t="s">
        <v>325</v>
      </c>
      <c r="D43" s="1142" t="s">
        <v>145</v>
      </c>
      <c r="E43" s="1142" t="s">
        <v>8</v>
      </c>
      <c r="F43" s="1143">
        <v>2015</v>
      </c>
      <c r="G43" s="1144">
        <v>2020</v>
      </c>
      <c r="H43" s="1143">
        <v>2025</v>
      </c>
      <c r="I43" s="1143">
        <v>2030</v>
      </c>
      <c r="J43" s="1143">
        <v>2035</v>
      </c>
      <c r="K43" s="1143">
        <v>2040</v>
      </c>
      <c r="L43" s="1143">
        <v>2045</v>
      </c>
      <c r="M43" s="1143">
        <v>2050</v>
      </c>
      <c r="N43" s="1139"/>
    </row>
    <row r="44" spans="2:14" x14ac:dyDescent="0.25">
      <c r="B44" s="1138"/>
      <c r="C44" s="1167" t="s">
        <v>635</v>
      </c>
      <c r="D44" s="1168"/>
      <c r="E44" s="1169"/>
      <c r="F44" s="3521">
        <v>1</v>
      </c>
      <c r="G44" s="3522">
        <v>1.0080240320160001</v>
      </c>
      <c r="H44" s="3523">
        <v>1.0181446740200375</v>
      </c>
      <c r="I44" s="3523">
        <v>1.0283669280802568</v>
      </c>
      <c r="J44" s="3523">
        <v>1.0386918143898392</v>
      </c>
      <c r="K44" s="3523">
        <v>1.049120363384787</v>
      </c>
      <c r="L44" s="3523">
        <v>1.0596536158467624</v>
      </c>
      <c r="M44" s="3523">
        <v>1.0702926230069592</v>
      </c>
      <c r="N44" s="1139"/>
    </row>
    <row r="45" spans="2:14" x14ac:dyDescent="0.25">
      <c r="B45" s="1138"/>
      <c r="C45" s="1145" t="s">
        <v>636</v>
      </c>
      <c r="D45" s="1146"/>
      <c r="E45" s="1147"/>
      <c r="F45" s="1150">
        <v>1</v>
      </c>
      <c r="G45" s="1152">
        <v>1.0084372220529911</v>
      </c>
      <c r="H45" s="1153">
        <v>1.0203732838474961</v>
      </c>
      <c r="I45" s="1153">
        <v>1.0317418851972686</v>
      </c>
      <c r="J45" s="1153">
        <v>1.0417777888601463</v>
      </c>
      <c r="K45" s="1153">
        <v>1.0519585469711752</v>
      </c>
      <c r="L45" s="1153">
        <v>1.0622870649804552</v>
      </c>
      <c r="M45" s="1153">
        <v>1.072769294962852</v>
      </c>
      <c r="N45" s="1139"/>
    </row>
    <row r="46" spans="2:14" x14ac:dyDescent="0.25">
      <c r="B46" s="1138"/>
      <c r="C46" s="1145" t="s">
        <v>637</v>
      </c>
      <c r="D46" s="1146"/>
      <c r="E46" s="1147"/>
      <c r="F46" s="1150">
        <v>1</v>
      </c>
      <c r="G46" s="1152">
        <v>1.0100899822009561</v>
      </c>
      <c r="H46" s="1153">
        <v>1.0292877231573305</v>
      </c>
      <c r="I46" s="1153">
        <v>1.0452417136653165</v>
      </c>
      <c r="J46" s="1153">
        <v>1.0541216867413754</v>
      </c>
      <c r="K46" s="1153">
        <v>1.0633112813167271</v>
      </c>
      <c r="L46" s="1153">
        <v>1.0728208615152275</v>
      </c>
      <c r="M46" s="1153">
        <v>1.0826759827864239</v>
      </c>
      <c r="N46" s="1139"/>
    </row>
    <row r="47" spans="2:14" x14ac:dyDescent="0.25">
      <c r="B47" s="1138"/>
      <c r="C47" s="1155" t="s">
        <v>638</v>
      </c>
      <c r="D47" s="1156"/>
      <c r="E47" s="1166"/>
      <c r="F47" s="1157">
        <v>1</v>
      </c>
      <c r="G47" s="1170">
        <v>1.010778632262608</v>
      </c>
      <c r="H47" s="1171">
        <v>1.0607358840559136</v>
      </c>
      <c r="I47" s="1171">
        <v>1.0670664363553268</v>
      </c>
      <c r="J47" s="1171">
        <v>1.0740776549826954</v>
      </c>
      <c r="K47" s="1171">
        <v>1.0816648685087027</v>
      </c>
      <c r="L47" s="1171">
        <v>1.089850499246442</v>
      </c>
      <c r="M47" s="1171">
        <v>1.0986917947678645</v>
      </c>
      <c r="N47" s="1139"/>
    </row>
    <row r="48" spans="2:14" x14ac:dyDescent="0.25">
      <c r="B48" s="1138"/>
      <c r="C48" s="1148" t="s">
        <v>153</v>
      </c>
      <c r="D48" s="1149"/>
      <c r="E48" s="1149"/>
      <c r="F48" s="176">
        <f t="shared" ref="F48:M48" si="2">(INDEX(F$44:F$47,ROUNDDOWN($E$9,0))*(1-MOD($E$9,1)))+(INDEX(F$44:F$47,ROUNDUP($E$9,0))*MOD($E$9,1))</f>
        <v>1</v>
      </c>
      <c r="G48" s="176">
        <f t="shared" si="2"/>
        <v>1.0080240320160001</v>
      </c>
      <c r="H48" s="176">
        <f t="shared" si="2"/>
        <v>1.0181446740200375</v>
      </c>
      <c r="I48" s="176">
        <f t="shared" si="2"/>
        <v>1.0283669280802568</v>
      </c>
      <c r="J48" s="176">
        <f t="shared" si="2"/>
        <v>1.0386918143898392</v>
      </c>
      <c r="K48" s="176">
        <f t="shared" si="2"/>
        <v>1.049120363384787</v>
      </c>
      <c r="L48" s="176">
        <f t="shared" si="2"/>
        <v>1.0596536158467624</v>
      </c>
      <c r="M48" s="176">
        <f t="shared" si="2"/>
        <v>1.0702926230069592</v>
      </c>
      <c r="N48" s="1139"/>
    </row>
    <row r="49" spans="2:16" x14ac:dyDescent="0.25">
      <c r="B49" s="1138"/>
      <c r="C49" s="1139"/>
      <c r="D49" s="1139"/>
      <c r="E49" s="1139"/>
      <c r="F49" s="1139"/>
      <c r="G49" s="1139"/>
      <c r="H49" s="1139"/>
      <c r="I49" s="1139"/>
      <c r="J49" s="1139"/>
      <c r="K49" s="1139"/>
      <c r="L49" s="1139"/>
      <c r="M49" s="1139"/>
      <c r="N49" s="1139"/>
    </row>
    <row r="50" spans="2:16" x14ac:dyDescent="0.25">
      <c r="B50" s="1138"/>
      <c r="C50" s="1139"/>
      <c r="D50" s="1139"/>
      <c r="E50" s="1139"/>
      <c r="F50" s="1139"/>
      <c r="G50" s="1139"/>
      <c r="H50" s="1139"/>
      <c r="I50" s="1139"/>
      <c r="J50" s="1139"/>
      <c r="K50" s="1139"/>
      <c r="L50" s="1139"/>
      <c r="M50" s="1139"/>
      <c r="N50" s="1139"/>
    </row>
    <row r="52" spans="2:16" s="1134" customFormat="1" ht="15.75" x14ac:dyDescent="0.25">
      <c r="B52" s="1135" t="s">
        <v>13</v>
      </c>
      <c r="C52" s="1136"/>
      <c r="D52" s="1136"/>
      <c r="E52" s="1137"/>
      <c r="F52" s="1137"/>
      <c r="G52" s="1137"/>
      <c r="H52" s="1137"/>
      <c r="I52" s="1137"/>
      <c r="J52" s="1137"/>
      <c r="K52" s="1137"/>
      <c r="L52" s="1137"/>
      <c r="M52" s="1137"/>
      <c r="N52" s="1137"/>
      <c r="O52" s="1117"/>
      <c r="P52" s="1117"/>
    </row>
    <row r="53" spans="2:16" x14ac:dyDescent="0.25">
      <c r="B53" s="1138"/>
      <c r="C53" s="1139"/>
      <c r="D53" s="1139"/>
      <c r="E53" s="1139"/>
      <c r="F53" s="1139"/>
      <c r="G53" s="1139"/>
      <c r="H53" s="1139"/>
      <c r="I53" s="1139"/>
      <c r="J53" s="1139"/>
      <c r="K53" s="1139"/>
      <c r="L53" s="1139"/>
      <c r="M53" s="1139"/>
      <c r="N53" s="1139"/>
    </row>
    <row r="54" spans="2:16" x14ac:dyDescent="0.25">
      <c r="B54" s="1138"/>
      <c r="C54" s="1140" t="s">
        <v>2185</v>
      </c>
      <c r="D54" s="1139"/>
      <c r="E54" s="1139"/>
      <c r="F54" s="1139"/>
      <c r="G54" s="1139"/>
      <c r="H54" s="1139"/>
      <c r="I54" s="1139"/>
      <c r="J54" s="1139"/>
      <c r="K54" s="1139"/>
      <c r="L54" s="1139"/>
      <c r="M54" s="1141" t="s">
        <v>631</v>
      </c>
      <c r="N54" s="1139"/>
    </row>
    <row r="55" spans="2:16" x14ac:dyDescent="0.25">
      <c r="B55" s="1138"/>
      <c r="C55" s="1139"/>
      <c r="D55" s="1139"/>
      <c r="E55" s="1139"/>
      <c r="F55" s="1139"/>
      <c r="G55" s="1139"/>
      <c r="H55" s="1139"/>
      <c r="I55" s="1139"/>
      <c r="J55" s="1139"/>
      <c r="K55" s="1139"/>
      <c r="L55" s="1139"/>
      <c r="M55" s="1139"/>
      <c r="N55" s="1139"/>
    </row>
    <row r="56" spans="2:16" x14ac:dyDescent="0.25">
      <c r="B56" s="1138"/>
      <c r="C56" s="1142"/>
      <c r="D56" s="1142" t="s">
        <v>483</v>
      </c>
      <c r="E56" s="1142" t="s">
        <v>8</v>
      </c>
      <c r="F56" s="1143">
        <v>2015</v>
      </c>
      <c r="G56" s="1144">
        <v>2020</v>
      </c>
      <c r="H56" s="1143">
        <v>2025</v>
      </c>
      <c r="I56" s="1143">
        <v>2030</v>
      </c>
      <c r="J56" s="1143">
        <v>2035</v>
      </c>
      <c r="K56" s="1143">
        <v>2040</v>
      </c>
      <c r="L56" s="1143">
        <v>2045</v>
      </c>
      <c r="M56" s="1143">
        <v>2050</v>
      </c>
      <c r="N56" s="1139"/>
      <c r="O56" s="1854"/>
    </row>
    <row r="57" spans="2:16" x14ac:dyDescent="0.25">
      <c r="B57" s="1138"/>
      <c r="C57" s="1148"/>
      <c r="D57" s="1149"/>
      <c r="E57" s="1149"/>
      <c r="F57" s="176">
        <v>48955172757.136932</v>
      </c>
      <c r="G57" s="176">
        <v>53153673983.882423</v>
      </c>
      <c r="H57" s="176">
        <v>58503499267.31488</v>
      </c>
      <c r="I57" s="176">
        <v>64369122382.277016</v>
      </c>
      <c r="J57" s="176">
        <v>70498489573.237427</v>
      </c>
      <c r="K57" s="176">
        <v>77182930841.031052</v>
      </c>
      <c r="L57" s="176">
        <v>84458415826.219269</v>
      </c>
      <c r="M57" s="176">
        <v>92213847621.059601</v>
      </c>
      <c r="N57" s="1139"/>
    </row>
    <row r="58" spans="2:16" x14ac:dyDescent="0.25">
      <c r="B58" s="1138"/>
      <c r="C58" s="1139"/>
      <c r="D58" s="1139"/>
      <c r="E58" s="1139"/>
      <c r="F58" s="1139"/>
      <c r="G58" s="1139"/>
      <c r="H58" s="1139"/>
      <c r="I58" s="1139"/>
      <c r="J58" s="1139"/>
      <c r="K58" s="1139"/>
      <c r="L58" s="1139"/>
      <c r="M58" s="1139"/>
      <c r="N58" s="1139"/>
    </row>
    <row r="59" spans="2:16" x14ac:dyDescent="0.25">
      <c r="B59" s="1138"/>
      <c r="C59" s="1139"/>
      <c r="D59" s="1139"/>
      <c r="E59" s="1139"/>
      <c r="F59" s="1139"/>
      <c r="G59" s="1139"/>
      <c r="H59" s="1139"/>
      <c r="I59" s="1139"/>
      <c r="J59" s="1139"/>
      <c r="K59" s="1139"/>
      <c r="L59" s="1139"/>
      <c r="M59" s="1139"/>
      <c r="N59" s="1139"/>
    </row>
    <row r="60" spans="2:16" x14ac:dyDescent="0.25">
      <c r="B60" s="1138"/>
      <c r="C60" s="1140" t="s">
        <v>2188</v>
      </c>
      <c r="D60" s="1139"/>
      <c r="E60" s="1141"/>
      <c r="F60" s="1139"/>
      <c r="G60" s="1139"/>
      <c r="H60" s="1139"/>
      <c r="I60" s="1139"/>
      <c r="J60" s="1139"/>
      <c r="K60" s="1139"/>
      <c r="L60" s="1139"/>
      <c r="M60" s="1141" t="s">
        <v>190</v>
      </c>
      <c r="N60" s="1139"/>
    </row>
    <row r="61" spans="2:16" ht="3" customHeight="1" x14ac:dyDescent="0.25">
      <c r="B61" s="1138"/>
      <c r="C61" s="1139"/>
      <c r="D61" s="1139"/>
      <c r="E61" s="1139"/>
      <c r="F61" s="1139"/>
      <c r="G61" s="1139"/>
      <c r="H61" s="1139"/>
      <c r="I61" s="1139"/>
      <c r="J61" s="1139"/>
      <c r="K61" s="1139"/>
      <c r="L61" s="1139"/>
      <c r="M61" s="1139"/>
      <c r="N61" s="1139"/>
    </row>
    <row r="62" spans="2:16" x14ac:dyDescent="0.25">
      <c r="B62" s="1138"/>
      <c r="C62" s="1142" t="s">
        <v>598</v>
      </c>
      <c r="D62" s="1142" t="s">
        <v>483</v>
      </c>
      <c r="E62" s="1142" t="s">
        <v>8</v>
      </c>
      <c r="F62" s="1143">
        <v>2015</v>
      </c>
      <c r="G62" s="1144">
        <v>2020</v>
      </c>
      <c r="H62" s="1143">
        <v>2025</v>
      </c>
      <c r="I62" s="1143">
        <v>2030</v>
      </c>
      <c r="J62" s="1143">
        <v>2035</v>
      </c>
      <c r="K62" s="1143">
        <v>2040</v>
      </c>
      <c r="L62" s="1143">
        <v>2045</v>
      </c>
      <c r="M62" s="1143">
        <v>2050</v>
      </c>
      <c r="N62" s="1139"/>
    </row>
    <row r="63" spans="2:16" x14ac:dyDescent="0.25">
      <c r="B63" s="1138"/>
      <c r="C63" s="1167" t="s">
        <v>639</v>
      </c>
      <c r="D63" s="1168"/>
      <c r="E63" s="1173"/>
      <c r="F63" s="1174">
        <v>0.41799999999999998</v>
      </c>
      <c r="G63" s="1174">
        <f>F63</f>
        <v>0.41799999999999998</v>
      </c>
      <c r="H63" s="1174">
        <f t="shared" ref="H63:M64" si="3">G63</f>
        <v>0.41799999999999998</v>
      </c>
      <c r="I63" s="1174">
        <f t="shared" si="3"/>
        <v>0.41799999999999998</v>
      </c>
      <c r="J63" s="1174">
        <f t="shared" si="3"/>
        <v>0.41799999999999998</v>
      </c>
      <c r="K63" s="1174">
        <f t="shared" si="3"/>
        <v>0.41799999999999998</v>
      </c>
      <c r="L63" s="1174">
        <f t="shared" si="3"/>
        <v>0.41799999999999998</v>
      </c>
      <c r="M63" s="1174">
        <f t="shared" si="3"/>
        <v>0.41799999999999998</v>
      </c>
      <c r="N63" s="1139"/>
    </row>
    <row r="64" spans="2:16" x14ac:dyDescent="0.25">
      <c r="B64" s="1138"/>
      <c r="C64" s="1155" t="s">
        <v>640</v>
      </c>
      <c r="D64" s="1156"/>
      <c r="E64" s="1175"/>
      <c r="F64" s="1176">
        <v>0.58199999999999996</v>
      </c>
      <c r="G64" s="1176">
        <f>F64</f>
        <v>0.58199999999999996</v>
      </c>
      <c r="H64" s="1176">
        <f t="shared" si="3"/>
        <v>0.58199999999999996</v>
      </c>
      <c r="I64" s="1176">
        <f t="shared" si="3"/>
        <v>0.58199999999999996</v>
      </c>
      <c r="J64" s="1176">
        <f t="shared" si="3"/>
        <v>0.58199999999999996</v>
      </c>
      <c r="K64" s="1176">
        <f t="shared" si="3"/>
        <v>0.58199999999999996</v>
      </c>
      <c r="L64" s="1176">
        <f t="shared" si="3"/>
        <v>0.58199999999999996</v>
      </c>
      <c r="M64" s="1176">
        <f t="shared" si="3"/>
        <v>0.58199999999999996</v>
      </c>
      <c r="N64" s="1139"/>
    </row>
    <row r="65" spans="2:14" x14ac:dyDescent="0.25">
      <c r="B65" s="1138"/>
      <c r="C65" s="1145"/>
      <c r="D65" s="1146"/>
      <c r="E65" s="1177"/>
      <c r="F65" s="1178"/>
      <c r="G65" s="1178"/>
      <c r="H65" s="1178"/>
      <c r="I65" s="1178"/>
      <c r="J65" s="1178"/>
      <c r="K65" s="1178"/>
      <c r="L65" s="1178"/>
      <c r="M65" s="1178"/>
      <c r="N65" s="1139"/>
    </row>
    <row r="66" spans="2:14" x14ac:dyDescent="0.25">
      <c r="B66" s="1138"/>
      <c r="C66" s="1179" t="s">
        <v>2189</v>
      </c>
      <c r="D66" s="1180"/>
      <c r="E66" s="1180"/>
      <c r="F66" s="1181"/>
      <c r="G66" s="1181"/>
      <c r="H66" s="1181"/>
      <c r="I66" s="1181"/>
      <c r="J66" s="1181"/>
      <c r="K66" s="1181"/>
      <c r="L66" s="1181"/>
      <c r="M66" s="1139" t="s">
        <v>608</v>
      </c>
      <c r="N66" s="1139"/>
    </row>
    <row r="67" spans="2:14" x14ac:dyDescent="0.25">
      <c r="B67" s="1138"/>
      <c r="C67" s="1181"/>
      <c r="D67" s="1180"/>
      <c r="E67" s="1180"/>
      <c r="F67" s="1181"/>
      <c r="G67" s="1181"/>
      <c r="H67" s="1181"/>
      <c r="I67" s="1181"/>
      <c r="J67" s="1181"/>
      <c r="K67" s="1181"/>
      <c r="L67" s="1181"/>
      <c r="M67" s="1139"/>
      <c r="N67" s="1139"/>
    </row>
    <row r="68" spans="2:14" x14ac:dyDescent="0.25">
      <c r="B68" s="1138"/>
      <c r="C68" s="1143" t="s">
        <v>145</v>
      </c>
      <c r="D68" s="1143"/>
      <c r="E68" s="1143"/>
      <c r="F68" s="1143">
        <v>2015</v>
      </c>
      <c r="G68" s="1144">
        <v>2020</v>
      </c>
      <c r="H68" s="1143">
        <v>2025</v>
      </c>
      <c r="I68" s="1143">
        <v>2030</v>
      </c>
      <c r="J68" s="1143">
        <v>2035</v>
      </c>
      <c r="K68" s="1143">
        <v>2040</v>
      </c>
      <c r="L68" s="1143">
        <v>2045</v>
      </c>
      <c r="M68" s="1143">
        <v>2050</v>
      </c>
      <c r="N68" s="1139"/>
    </row>
    <row r="69" spans="2:14" x14ac:dyDescent="0.25">
      <c r="B69" s="1138"/>
      <c r="C69" s="1145" t="s">
        <v>607</v>
      </c>
      <c r="D69" s="1146"/>
      <c r="E69" s="1177"/>
      <c r="F69" s="1182">
        <v>3.2441714688857588</v>
      </c>
      <c r="G69" s="1182">
        <v>3.1177751778902181</v>
      </c>
      <c r="H69" s="1182">
        <v>2.9913788868946667</v>
      </c>
      <c r="I69" s="1182">
        <v>2.8649825958991153</v>
      </c>
      <c r="J69" s="1182">
        <v>2.7385863049035635</v>
      </c>
      <c r="K69" s="1182">
        <v>2.6121900139080125</v>
      </c>
      <c r="L69" s="1182">
        <v>2.4857937229124718</v>
      </c>
      <c r="M69" s="1182">
        <v>2.35939743191692</v>
      </c>
      <c r="N69" s="1139"/>
    </row>
    <row r="70" spans="2:14" x14ac:dyDescent="0.25">
      <c r="B70" s="1138"/>
      <c r="C70" s="1145"/>
      <c r="D70" s="1146"/>
      <c r="E70" s="1177"/>
      <c r="F70" s="1182"/>
      <c r="G70" s="1182"/>
      <c r="H70" s="1182"/>
      <c r="I70" s="1182"/>
      <c r="J70" s="1182"/>
      <c r="K70" s="1182"/>
      <c r="L70" s="1182"/>
      <c r="M70" s="1182"/>
      <c r="N70" s="1139"/>
    </row>
    <row r="71" spans="2:14" x14ac:dyDescent="0.25">
      <c r="B71" s="1138"/>
      <c r="C71" s="1145"/>
      <c r="D71" s="1146"/>
      <c r="E71" s="1177"/>
      <c r="F71" s="1178"/>
      <c r="G71" s="1178"/>
      <c r="H71" s="1178"/>
      <c r="I71" s="1178"/>
      <c r="J71" s="1178"/>
      <c r="K71" s="1178"/>
      <c r="L71" s="1178"/>
      <c r="M71" s="1178"/>
      <c r="N71" s="1139"/>
    </row>
    <row r="72" spans="2:14" x14ac:dyDescent="0.25">
      <c r="B72" s="1138"/>
      <c r="C72" s="1183" t="s">
        <v>2190</v>
      </c>
      <c r="D72" s="1146"/>
      <c r="E72" s="1177"/>
      <c r="F72" s="1178"/>
      <c r="G72" s="1178"/>
      <c r="H72" s="1178"/>
      <c r="I72" s="1178"/>
      <c r="J72" s="1178"/>
      <c r="K72" s="1178"/>
      <c r="L72" s="1178"/>
      <c r="M72" s="1178"/>
      <c r="N72" s="1139"/>
    </row>
    <row r="73" spans="2:14" ht="5.25" customHeight="1" x14ac:dyDescent="0.25">
      <c r="B73" s="1138"/>
      <c r="C73" s="1184"/>
      <c r="D73" s="1146"/>
      <c r="E73" s="1146"/>
      <c r="F73" s="178"/>
      <c r="G73" s="178"/>
      <c r="H73" s="178"/>
      <c r="I73" s="178"/>
      <c r="J73" s="178"/>
      <c r="K73" s="178"/>
      <c r="L73" s="178"/>
      <c r="M73" s="178"/>
      <c r="N73" s="1139"/>
    </row>
    <row r="74" spans="2:14" x14ac:dyDescent="0.25">
      <c r="B74" s="1138"/>
      <c r="C74" s="1185" t="s">
        <v>598</v>
      </c>
      <c r="D74" s="1142" t="s">
        <v>483</v>
      </c>
      <c r="E74" s="1142" t="s">
        <v>8</v>
      </c>
      <c r="F74" s="1143" t="s">
        <v>601</v>
      </c>
      <c r="G74" s="1139"/>
      <c r="H74" s="1139"/>
      <c r="I74" s="1139"/>
      <c r="J74" s="1139"/>
      <c r="K74" s="1139"/>
      <c r="L74" s="1139"/>
      <c r="M74" s="1139"/>
      <c r="N74" s="1139"/>
    </row>
    <row r="75" spans="2:14" x14ac:dyDescent="0.25">
      <c r="B75" s="1138"/>
      <c r="C75" s="1186" t="s">
        <v>641</v>
      </c>
      <c r="D75" s="1168"/>
      <c r="E75" s="1173"/>
      <c r="F75" s="1187">
        <v>0.1</v>
      </c>
      <c r="G75" s="1139"/>
      <c r="H75" s="1139"/>
      <c r="I75" s="1139"/>
      <c r="J75" s="1139"/>
      <c r="K75" s="1139"/>
      <c r="L75" s="1139"/>
      <c r="M75" s="1139"/>
      <c r="N75" s="1139"/>
    </row>
    <row r="76" spans="2:14" x14ac:dyDescent="0.25">
      <c r="B76" s="1138"/>
      <c r="C76" s="1183" t="s">
        <v>642</v>
      </c>
      <c r="D76" s="1146"/>
      <c r="E76" s="1188"/>
      <c r="F76" s="1189">
        <v>0.87</v>
      </c>
      <c r="G76" s="1139"/>
      <c r="H76" s="1139"/>
      <c r="I76" s="1139"/>
      <c r="J76" s="1139"/>
      <c r="K76" s="1139"/>
      <c r="L76" s="1139"/>
      <c r="M76" s="1139"/>
      <c r="N76" s="1139"/>
    </row>
    <row r="77" spans="2:14" x14ac:dyDescent="0.25">
      <c r="B77" s="1138"/>
      <c r="C77" s="1184" t="s">
        <v>643</v>
      </c>
      <c r="D77" s="1156"/>
      <c r="E77" s="1175"/>
      <c r="F77" s="1190">
        <v>0.03</v>
      </c>
      <c r="G77" s="1139"/>
      <c r="H77" s="1139"/>
      <c r="I77" s="1139"/>
      <c r="J77" s="1139"/>
      <c r="K77" s="1139"/>
      <c r="L77" s="1139"/>
      <c r="M77" s="1139"/>
      <c r="N77" s="1139"/>
    </row>
    <row r="78" spans="2:14" x14ac:dyDescent="0.25">
      <c r="B78" s="1138"/>
      <c r="C78" s="1183"/>
      <c r="D78" s="1146"/>
      <c r="E78" s="1177"/>
      <c r="F78" s="1189"/>
      <c r="G78" s="1139"/>
      <c r="H78" s="1139"/>
      <c r="I78" s="1139"/>
      <c r="J78" s="1139"/>
      <c r="K78" s="1139"/>
      <c r="L78" s="1139"/>
      <c r="M78" s="1139"/>
      <c r="N78" s="1139"/>
    </row>
    <row r="79" spans="2:14" x14ac:dyDescent="0.25">
      <c r="B79" s="1138"/>
      <c r="C79" s="1183" t="s">
        <v>2191</v>
      </c>
      <c r="D79" s="1146"/>
      <c r="E79" s="1177"/>
      <c r="F79" s="1189"/>
      <c r="G79" s="1139"/>
      <c r="H79" s="1139"/>
      <c r="I79" s="1139"/>
      <c r="J79" s="1139"/>
      <c r="K79" s="1139"/>
      <c r="L79" s="1139"/>
      <c r="M79" s="1139"/>
      <c r="N79" s="1139"/>
    </row>
    <row r="80" spans="2:14" ht="6" customHeight="1" x14ac:dyDescent="0.25">
      <c r="B80" s="1138"/>
      <c r="C80" s="1183"/>
      <c r="D80" s="1146"/>
      <c r="E80" s="1177"/>
      <c r="F80" s="1189"/>
      <c r="G80" s="1139"/>
      <c r="H80" s="1139"/>
      <c r="I80" s="1139"/>
      <c r="J80" s="1139"/>
      <c r="K80" s="1139"/>
      <c r="L80" s="1139"/>
      <c r="M80" s="1139"/>
      <c r="N80" s="1139"/>
    </row>
    <row r="81" spans="2:19" x14ac:dyDescent="0.25">
      <c r="B81" s="1138"/>
      <c r="C81" s="1191" t="s">
        <v>598</v>
      </c>
      <c r="D81" s="1142" t="s">
        <v>483</v>
      </c>
      <c r="E81" s="1142" t="s">
        <v>8</v>
      </c>
      <c r="F81" s="1143" t="s">
        <v>601</v>
      </c>
      <c r="G81" s="1139"/>
      <c r="H81" s="1139"/>
      <c r="I81" s="1139"/>
      <c r="J81" s="1139"/>
      <c r="K81" s="1139"/>
      <c r="L81" s="1139"/>
      <c r="M81" s="1139"/>
      <c r="N81" s="1139"/>
    </row>
    <row r="82" spans="2:19" x14ac:dyDescent="0.25">
      <c r="B82" s="1138"/>
      <c r="C82" s="1186" t="s">
        <v>641</v>
      </c>
      <c r="D82" s="1168"/>
      <c r="E82" s="1173"/>
      <c r="F82" s="1187">
        <v>0</v>
      </c>
      <c r="G82" s="1139"/>
      <c r="H82" s="1139"/>
      <c r="I82" s="1139"/>
      <c r="J82" s="1139"/>
      <c r="K82" s="1139"/>
      <c r="L82" s="1139"/>
      <c r="M82" s="1139"/>
      <c r="N82" s="1139"/>
    </row>
    <row r="83" spans="2:19" x14ac:dyDescent="0.25">
      <c r="B83" s="1138"/>
      <c r="C83" s="1183" t="s">
        <v>642</v>
      </c>
      <c r="D83" s="1146"/>
      <c r="E83" s="1188"/>
      <c r="F83" s="1189">
        <v>0</v>
      </c>
      <c r="G83" s="1139"/>
      <c r="H83" s="1139"/>
      <c r="I83" s="1139"/>
      <c r="J83" s="1139"/>
      <c r="K83" s="1139"/>
      <c r="L83" s="1139"/>
      <c r="M83" s="1139"/>
      <c r="N83" s="1139"/>
    </row>
    <row r="84" spans="2:19" x14ac:dyDescent="0.25">
      <c r="B84" s="1138"/>
      <c r="C84" s="1184" t="s">
        <v>643</v>
      </c>
      <c r="D84" s="1156"/>
      <c r="E84" s="1175"/>
      <c r="F84" s="1190">
        <v>1</v>
      </c>
      <c r="G84" s="1139"/>
      <c r="H84" s="1139"/>
      <c r="I84" s="1139"/>
      <c r="J84" s="1139"/>
      <c r="K84" s="1139"/>
      <c r="L84" s="1139"/>
      <c r="M84" s="1139"/>
      <c r="N84" s="1139"/>
    </row>
    <row r="85" spans="2:19" x14ac:dyDescent="0.25">
      <c r="B85" s="1138"/>
      <c r="C85" s="1183"/>
      <c r="D85" s="1146"/>
      <c r="E85" s="1177"/>
      <c r="F85" s="1189"/>
      <c r="G85" s="1139"/>
      <c r="H85" s="1139"/>
      <c r="I85" s="1139"/>
      <c r="J85" s="1139"/>
      <c r="K85" s="1139"/>
      <c r="L85" s="1139"/>
      <c r="M85" s="1139"/>
      <c r="N85" s="1139"/>
    </row>
    <row r="86" spans="2:19" x14ac:dyDescent="0.25">
      <c r="B86" s="1138"/>
      <c r="C86" s="1183"/>
      <c r="D86" s="1146"/>
      <c r="E86" s="1177"/>
      <c r="F86" s="1189"/>
      <c r="G86" s="1139"/>
      <c r="H86" s="1139"/>
      <c r="I86" s="1139"/>
      <c r="J86" s="1139"/>
      <c r="K86" s="1139"/>
      <c r="L86" s="1139"/>
      <c r="M86" s="1139"/>
      <c r="N86" s="1139"/>
    </row>
    <row r="87" spans="2:19" x14ac:dyDescent="0.25">
      <c r="B87" s="1138"/>
      <c r="C87" s="1183" t="s">
        <v>2192</v>
      </c>
      <c r="D87" s="1146"/>
      <c r="E87" s="1177"/>
      <c r="F87" s="1189"/>
      <c r="G87" s="1139"/>
      <c r="H87" s="1139"/>
      <c r="I87" s="1139"/>
      <c r="J87" s="1139"/>
      <c r="K87" s="1139"/>
      <c r="L87" s="1139"/>
      <c r="M87" s="1139"/>
      <c r="N87" s="1139"/>
    </row>
    <row r="88" spans="2:19" ht="5.25" customHeight="1" x14ac:dyDescent="0.25">
      <c r="B88" s="1138"/>
      <c r="C88" s="1183"/>
      <c r="D88" s="1146"/>
      <c r="E88" s="1177"/>
      <c r="F88" s="1189"/>
      <c r="G88" s="1139"/>
      <c r="H88" s="1139"/>
      <c r="I88" s="1139"/>
      <c r="J88" s="1139"/>
      <c r="K88" s="1139"/>
      <c r="L88" s="1139"/>
      <c r="M88" s="1139"/>
      <c r="N88" s="1139"/>
    </row>
    <row r="89" spans="2:19" x14ac:dyDescent="0.25">
      <c r="B89" s="1138"/>
      <c r="C89" s="1191" t="s">
        <v>598</v>
      </c>
      <c r="D89" s="1142" t="s">
        <v>483</v>
      </c>
      <c r="E89" s="1142" t="s">
        <v>8</v>
      </c>
      <c r="F89" s="1143" t="s">
        <v>644</v>
      </c>
      <c r="G89" s="1139"/>
      <c r="H89" s="1139"/>
      <c r="I89" s="1139"/>
      <c r="J89" s="1139"/>
      <c r="K89" s="1139"/>
      <c r="L89" s="1139"/>
      <c r="M89" s="1139"/>
      <c r="N89" s="1139"/>
    </row>
    <row r="90" spans="2:19" x14ac:dyDescent="0.25">
      <c r="B90" s="1138"/>
      <c r="C90" s="1186" t="s">
        <v>641</v>
      </c>
      <c r="D90" s="1168"/>
      <c r="E90" s="1173"/>
      <c r="F90" s="1192">
        <v>5.5</v>
      </c>
      <c r="G90" s="1139"/>
      <c r="H90" s="1139"/>
      <c r="I90" s="1139"/>
      <c r="J90" s="1139"/>
      <c r="K90" s="1139"/>
      <c r="L90" s="1139"/>
      <c r="M90" s="1139"/>
      <c r="N90" s="1139"/>
    </row>
    <row r="91" spans="2:19" x14ac:dyDescent="0.25">
      <c r="B91" s="1138"/>
      <c r="C91" s="1183" t="s">
        <v>642</v>
      </c>
      <c r="D91" s="1146"/>
      <c r="E91" s="1188"/>
      <c r="F91" s="1193">
        <v>9</v>
      </c>
      <c r="G91" s="1139"/>
      <c r="H91" s="1139"/>
      <c r="I91" s="1139"/>
      <c r="J91" s="1139"/>
      <c r="K91" s="1139"/>
      <c r="L91" s="1139"/>
      <c r="M91" s="1139"/>
      <c r="N91" s="1139"/>
    </row>
    <row r="92" spans="2:19" x14ac:dyDescent="0.25">
      <c r="B92" s="1138"/>
      <c r="C92" s="1183" t="s">
        <v>643</v>
      </c>
      <c r="D92" s="1146"/>
      <c r="E92" s="1188"/>
      <c r="F92" s="1193">
        <v>14</v>
      </c>
      <c r="G92" s="1139"/>
      <c r="H92" s="1139"/>
      <c r="I92" s="1139"/>
      <c r="J92" s="1139"/>
      <c r="K92" s="1139"/>
      <c r="L92" s="1139"/>
      <c r="M92" s="1139"/>
      <c r="N92" s="1139"/>
    </row>
    <row r="93" spans="2:19" x14ac:dyDescent="0.25">
      <c r="B93" s="1138"/>
      <c r="C93" s="1183" t="s">
        <v>603</v>
      </c>
      <c r="D93" s="1146"/>
      <c r="E93" s="1188"/>
      <c r="F93" s="1193">
        <v>2625</v>
      </c>
      <c r="G93" s="1139"/>
      <c r="H93" s="1139"/>
      <c r="I93" s="1139"/>
      <c r="J93" s="1139"/>
      <c r="K93" s="1139"/>
      <c r="L93" s="1139"/>
      <c r="M93" s="1139"/>
      <c r="N93" s="1139"/>
    </row>
    <row r="94" spans="2:19" x14ac:dyDescent="0.25">
      <c r="B94" s="1138"/>
      <c r="C94" s="1183"/>
      <c r="D94" s="1146"/>
      <c r="E94" s="1177"/>
      <c r="F94" s="1189"/>
      <c r="G94" s="1139"/>
      <c r="H94" s="1139"/>
      <c r="I94" s="1139"/>
      <c r="J94" s="1139"/>
      <c r="K94" s="1139"/>
      <c r="L94" s="1139"/>
      <c r="M94" s="1139"/>
      <c r="N94" s="1139"/>
    </row>
    <row r="95" spans="2:19" s="192" customFormat="1" x14ac:dyDescent="0.25">
      <c r="B95" s="1194"/>
      <c r="C95" s="1140" t="s">
        <v>2193</v>
      </c>
      <c r="D95" s="1139"/>
      <c r="E95" s="1141"/>
      <c r="F95" s="1141" t="s">
        <v>646</v>
      </c>
      <c r="G95" s="1139"/>
      <c r="H95" s="1139"/>
      <c r="I95" s="1139"/>
      <c r="J95" s="1139"/>
      <c r="K95" s="1139"/>
      <c r="L95" s="1139"/>
      <c r="M95" s="1139"/>
      <c r="N95" s="1139"/>
      <c r="O95" s="1117"/>
      <c r="P95" s="1117"/>
      <c r="Q95" s="1117"/>
      <c r="R95" s="1117"/>
      <c r="S95" s="1117"/>
    </row>
    <row r="96" spans="2:19" s="192" customFormat="1" ht="6" customHeight="1" x14ac:dyDescent="0.25">
      <c r="B96" s="1172"/>
      <c r="C96" s="1139"/>
      <c r="D96" s="1139"/>
      <c r="E96" s="1139"/>
      <c r="F96" s="1139"/>
      <c r="G96" s="1139"/>
      <c r="H96" s="1139"/>
      <c r="I96" s="1139"/>
      <c r="J96" s="1139"/>
      <c r="K96" s="1139"/>
      <c r="L96" s="1139"/>
      <c r="M96" s="1139"/>
      <c r="N96" s="1139"/>
      <c r="O96" s="1117"/>
      <c r="P96" s="1117"/>
      <c r="Q96" s="1117"/>
      <c r="R96" s="1117"/>
      <c r="S96" s="1117"/>
    </row>
    <row r="97" spans="2:19" s="192" customFormat="1" ht="15.75" x14ac:dyDescent="0.25">
      <c r="B97" s="1172"/>
      <c r="C97" s="1195" t="s">
        <v>647</v>
      </c>
      <c r="D97" s="1142"/>
      <c r="E97" s="1142" t="s">
        <v>605</v>
      </c>
      <c r="F97" s="1196">
        <v>2015</v>
      </c>
      <c r="G97" s="1139"/>
      <c r="H97" s="1139"/>
      <c r="I97" s="1139"/>
      <c r="J97" s="1139"/>
      <c r="K97" s="1139"/>
      <c r="L97" s="1139"/>
      <c r="M97" s="1139"/>
      <c r="N97" s="1139"/>
      <c r="O97" s="1117"/>
      <c r="P97" s="1117"/>
      <c r="Q97" s="1117"/>
      <c r="R97" s="1117"/>
      <c r="S97" s="1117"/>
    </row>
    <row r="98" spans="2:19" s="192" customFormat="1" ht="15.75" x14ac:dyDescent="0.25">
      <c r="B98" s="1172"/>
      <c r="C98" s="1186" t="s">
        <v>641</v>
      </c>
      <c r="D98" s="1186"/>
      <c r="E98" s="1183"/>
      <c r="F98" s="1197">
        <v>5.3582178437796699</v>
      </c>
      <c r="G98" s="1139"/>
      <c r="H98" s="1139"/>
      <c r="I98" s="1139"/>
      <c r="J98" s="1139"/>
      <c r="K98" s="1139"/>
      <c r="L98" s="1139"/>
      <c r="M98" s="1139"/>
      <c r="N98" s="1139"/>
      <c r="O98" s="1117"/>
      <c r="P98" s="1117"/>
      <c r="Q98" s="1117"/>
      <c r="R98" s="1117"/>
      <c r="S98" s="1117"/>
    </row>
    <row r="99" spans="2:19" s="192" customFormat="1" ht="15.75" x14ac:dyDescent="0.25">
      <c r="B99" s="1172"/>
      <c r="C99" s="1183" t="s">
        <v>642</v>
      </c>
      <c r="D99" s="1183"/>
      <c r="E99" s="1183"/>
      <c r="F99" s="1197">
        <v>2.9656432358697042</v>
      </c>
      <c r="G99" s="1139"/>
      <c r="H99" s="1139"/>
      <c r="I99" s="1139"/>
      <c r="J99" s="1139"/>
      <c r="K99" s="1139"/>
      <c r="L99" s="1139"/>
      <c r="M99" s="1139"/>
      <c r="N99" s="1139"/>
      <c r="O99" s="1117"/>
      <c r="P99" s="1117"/>
      <c r="Q99" s="1117"/>
      <c r="R99" s="1117"/>
      <c r="S99" s="1117"/>
    </row>
    <row r="100" spans="2:19" s="192" customFormat="1" ht="15.75" x14ac:dyDescent="0.25">
      <c r="B100" s="1172"/>
      <c r="C100" s="1184" t="s">
        <v>643</v>
      </c>
      <c r="D100" s="1184"/>
      <c r="E100" s="1184"/>
      <c r="F100" s="1198">
        <v>2.378284909480604</v>
      </c>
      <c r="G100" s="1139"/>
      <c r="H100" s="1139"/>
      <c r="I100" s="1139"/>
      <c r="J100" s="1139"/>
      <c r="K100" s="1139"/>
      <c r="L100" s="1139"/>
      <c r="M100" s="1139"/>
      <c r="N100" s="1139"/>
      <c r="O100" s="1117"/>
      <c r="P100" s="1117"/>
      <c r="Q100" s="1117"/>
      <c r="R100" s="1117"/>
      <c r="S100" s="1117"/>
    </row>
    <row r="101" spans="2:19" s="192" customFormat="1" ht="15.75" x14ac:dyDescent="0.25">
      <c r="B101" s="1172"/>
      <c r="C101" s="1183"/>
      <c r="D101" s="1183"/>
      <c r="E101" s="1183"/>
      <c r="F101" s="1141" t="s">
        <v>646</v>
      </c>
      <c r="G101" s="1139"/>
      <c r="H101" s="1139"/>
      <c r="I101" s="1139"/>
      <c r="J101" s="1139"/>
      <c r="K101" s="1139"/>
      <c r="L101" s="1139"/>
      <c r="M101" s="1139"/>
      <c r="N101" s="1139"/>
      <c r="O101" s="1117"/>
      <c r="P101" s="1117"/>
      <c r="Q101" s="1117"/>
      <c r="R101" s="1117"/>
      <c r="S101" s="1117"/>
    </row>
    <row r="102" spans="2:19" s="192" customFormat="1" ht="4.5" customHeight="1" x14ac:dyDescent="0.25">
      <c r="B102" s="1172"/>
      <c r="C102" s="1183"/>
      <c r="D102" s="1183"/>
      <c r="E102" s="1183"/>
      <c r="F102" s="1199"/>
      <c r="G102" s="1139"/>
      <c r="H102" s="1139"/>
      <c r="I102" s="1139"/>
      <c r="J102" s="1139"/>
      <c r="K102" s="1139"/>
      <c r="L102" s="1139"/>
      <c r="M102" s="1139"/>
      <c r="N102" s="1139"/>
      <c r="O102" s="1117"/>
      <c r="P102" s="1117"/>
    </row>
    <row r="103" spans="2:19" x14ac:dyDescent="0.25">
      <c r="B103" s="1138"/>
      <c r="C103" s="1195" t="s">
        <v>648</v>
      </c>
      <c r="D103" s="1142"/>
      <c r="E103" s="1142" t="s">
        <v>605</v>
      </c>
      <c r="F103" s="1196">
        <v>2015</v>
      </c>
      <c r="G103" s="1139"/>
      <c r="H103" s="1139"/>
      <c r="I103" s="1139"/>
      <c r="J103" s="1139"/>
      <c r="K103" s="1139"/>
      <c r="L103" s="1139"/>
      <c r="M103" s="1139"/>
      <c r="N103" s="1139"/>
    </row>
    <row r="104" spans="2:19" x14ac:dyDescent="0.25">
      <c r="B104" s="1138"/>
      <c r="C104" s="1200" t="s">
        <v>649</v>
      </c>
      <c r="D104" s="1156"/>
      <c r="E104" s="1175"/>
      <c r="F104" s="1201">
        <v>0.09</v>
      </c>
      <c r="G104" s="1139"/>
      <c r="H104" s="1139"/>
      <c r="I104" s="1139"/>
      <c r="J104" s="1139"/>
      <c r="K104" s="1139"/>
      <c r="L104" s="1139"/>
      <c r="M104" s="1139"/>
      <c r="N104" s="1139"/>
    </row>
    <row r="105" spans="2:19" x14ac:dyDescent="0.25">
      <c r="B105" s="1138"/>
      <c r="C105" s="1183"/>
      <c r="D105" s="1146"/>
      <c r="E105" s="1177"/>
      <c r="F105" s="1141" t="s">
        <v>650</v>
      </c>
      <c r="G105" s="1139"/>
      <c r="H105" s="1139"/>
      <c r="I105" s="1139"/>
      <c r="J105" s="1139"/>
      <c r="K105" s="1139"/>
      <c r="L105" s="1139"/>
      <c r="M105" s="1139"/>
      <c r="N105" s="1139"/>
    </row>
    <row r="106" spans="2:19" ht="5.25" customHeight="1" x14ac:dyDescent="0.25">
      <c r="B106" s="1138"/>
      <c r="C106" s="1183"/>
      <c r="D106" s="1146"/>
      <c r="E106" s="1177"/>
      <c r="F106" s="1202"/>
      <c r="G106" s="1139"/>
      <c r="H106" s="1139"/>
      <c r="I106" s="1139"/>
      <c r="J106" s="1139"/>
      <c r="K106" s="1139"/>
      <c r="L106" s="1139"/>
      <c r="M106" s="1139"/>
      <c r="N106" s="1139"/>
    </row>
    <row r="107" spans="2:19" x14ac:dyDescent="0.25">
      <c r="B107" s="1138"/>
      <c r="C107" s="1195" t="s">
        <v>651</v>
      </c>
      <c r="D107" s="1142"/>
      <c r="E107" s="1142" t="s">
        <v>605</v>
      </c>
      <c r="F107" s="1196">
        <v>2015</v>
      </c>
      <c r="G107" s="1139"/>
      <c r="H107" s="1139"/>
      <c r="I107" s="1139"/>
      <c r="J107" s="1139"/>
      <c r="K107" s="1139"/>
      <c r="L107" s="1139"/>
      <c r="M107" s="1139"/>
      <c r="N107" s="1139"/>
    </row>
    <row r="108" spans="2:19" x14ac:dyDescent="0.25">
      <c r="B108" s="1138"/>
      <c r="C108" s="1200" t="s">
        <v>651</v>
      </c>
      <c r="D108" s="1156"/>
      <c r="E108" s="1175"/>
      <c r="F108" s="1201">
        <v>0.09</v>
      </c>
      <c r="G108" s="1139"/>
      <c r="H108" s="1139"/>
      <c r="I108" s="1139"/>
      <c r="J108" s="1139"/>
      <c r="K108" s="1139"/>
      <c r="L108" s="1139"/>
      <c r="M108" s="1139"/>
      <c r="N108" s="1139"/>
    </row>
    <row r="109" spans="2:19" x14ac:dyDescent="0.25">
      <c r="B109" s="1138"/>
      <c r="C109" s="1183"/>
      <c r="D109" s="1146"/>
      <c r="E109" s="1177"/>
      <c r="F109" s="1202"/>
      <c r="G109" s="1139"/>
      <c r="H109" s="1139"/>
      <c r="I109" s="1139"/>
      <c r="J109" s="1139"/>
      <c r="K109" s="1139"/>
      <c r="L109" s="1139"/>
      <c r="M109" s="1139"/>
      <c r="N109" s="1139"/>
    </row>
    <row r="110" spans="2:19" x14ac:dyDescent="0.25">
      <c r="B110" s="1138"/>
      <c r="C110" s="1184" t="s">
        <v>1952</v>
      </c>
      <c r="D110" s="1156"/>
      <c r="E110" s="1177"/>
      <c r="F110" s="1202"/>
      <c r="G110" s="1139"/>
      <c r="H110" s="1139"/>
      <c r="I110" s="1139"/>
      <c r="J110" s="1139"/>
      <c r="K110" s="1139"/>
      <c r="L110" s="1139"/>
      <c r="M110" s="1139"/>
      <c r="N110" s="1139"/>
    </row>
    <row r="111" spans="2:19" x14ac:dyDescent="0.25">
      <c r="B111" s="1138"/>
      <c r="C111" s="2844">
        <f>Constantes!D168</f>
        <v>0.89749999999999996</v>
      </c>
      <c r="D111" s="1189" t="s">
        <v>652</v>
      </c>
      <c r="E111" s="1177"/>
      <c r="F111" s="1202"/>
      <c r="G111" s="1139"/>
      <c r="H111" s="1139"/>
      <c r="I111" s="1139"/>
      <c r="J111" s="1139"/>
      <c r="K111" s="1139"/>
      <c r="L111" s="1139"/>
      <c r="M111" s="1139"/>
      <c r="N111" s="1139"/>
    </row>
    <row r="112" spans="2:19" x14ac:dyDescent="0.25">
      <c r="B112" s="1138"/>
      <c r="C112" s="2843">
        <f>Constantes!D169</f>
        <v>8.9749999999999997E-4</v>
      </c>
      <c r="D112" s="1190" t="s">
        <v>653</v>
      </c>
      <c r="E112" s="1177"/>
      <c r="F112" s="1202"/>
      <c r="G112" s="1139"/>
      <c r="H112" s="1139"/>
      <c r="I112" s="1139"/>
      <c r="J112" s="1139"/>
      <c r="K112" s="1139"/>
      <c r="L112" s="1139"/>
      <c r="M112" s="1139"/>
      <c r="N112" s="1139"/>
    </row>
    <row r="113" spans="2:14" x14ac:dyDescent="0.25">
      <c r="B113" s="1138"/>
      <c r="C113" s="1203"/>
      <c r="D113" s="1204"/>
      <c r="E113" s="1177"/>
      <c r="F113" s="1202"/>
      <c r="G113" s="1139"/>
      <c r="H113" s="1139"/>
      <c r="I113" s="1139"/>
      <c r="J113" s="1139"/>
      <c r="K113" s="1139"/>
      <c r="L113" s="1139"/>
      <c r="M113" s="1139"/>
      <c r="N113" s="1139"/>
    </row>
    <row r="114" spans="2:14" x14ac:dyDescent="0.25">
      <c r="B114" s="1138"/>
      <c r="C114" s="1184" t="s">
        <v>1953</v>
      </c>
      <c r="D114" s="1156"/>
      <c r="E114" s="1177"/>
      <c r="F114" s="1202"/>
      <c r="G114" s="1139"/>
      <c r="H114" s="1139"/>
      <c r="I114" s="1139"/>
      <c r="J114" s="1139"/>
      <c r="K114" s="1139"/>
      <c r="L114" s="1139"/>
      <c r="M114" s="1139"/>
      <c r="N114" s="1139"/>
    </row>
    <row r="115" spans="2:14" x14ac:dyDescent="0.25">
      <c r="B115" s="1138"/>
      <c r="C115" s="2842">
        <f>Constantes!D172</f>
        <v>10664.6</v>
      </c>
      <c r="D115" s="1189" t="s">
        <v>654</v>
      </c>
      <c r="E115" s="1177"/>
      <c r="F115" s="1202"/>
      <c r="G115" s="1139"/>
      <c r="H115" s="1139"/>
      <c r="I115" s="1139"/>
      <c r="J115" s="1139"/>
      <c r="K115" s="1139"/>
      <c r="L115" s="1139"/>
      <c r="M115" s="1139"/>
      <c r="N115" s="1139"/>
    </row>
    <row r="116" spans="2:14" x14ac:dyDescent="0.25">
      <c r="B116" s="1138"/>
      <c r="C116" s="2843">
        <f>Constantes!D173</f>
        <v>1.06646E-2</v>
      </c>
      <c r="D116" s="1190" t="s">
        <v>655</v>
      </c>
      <c r="E116" s="1177"/>
      <c r="F116" s="1202"/>
      <c r="G116" s="1139"/>
      <c r="H116" s="1139"/>
      <c r="I116" s="1139"/>
      <c r="J116" s="1139"/>
      <c r="K116" s="1139"/>
      <c r="L116" s="1139"/>
      <c r="M116" s="1139"/>
      <c r="N116" s="1139"/>
    </row>
    <row r="117" spans="2:14" x14ac:dyDescent="0.25">
      <c r="B117" s="1138"/>
      <c r="C117" s="1203"/>
      <c r="D117" s="1205"/>
      <c r="E117" s="1177"/>
      <c r="F117" s="1202"/>
      <c r="G117" s="1139"/>
      <c r="H117" s="1139"/>
      <c r="I117" s="1139"/>
      <c r="J117" s="1139"/>
      <c r="K117" s="1139"/>
      <c r="L117" s="1139"/>
      <c r="M117" s="1139"/>
      <c r="N117" s="1139"/>
    </row>
    <row r="119" spans="2:14" ht="15.75" x14ac:dyDescent="0.25">
      <c r="B119" s="1206" t="s">
        <v>168</v>
      </c>
      <c r="C119" s="1207"/>
      <c r="D119" s="1207"/>
      <c r="E119" s="1207"/>
      <c r="F119" s="1207"/>
      <c r="G119" s="1207"/>
      <c r="H119" s="1207"/>
      <c r="I119" s="1207"/>
      <c r="J119" s="1207"/>
      <c r="K119" s="1207"/>
      <c r="L119" s="1207"/>
      <c r="M119" s="1207"/>
      <c r="N119" s="1208"/>
    </row>
    <row r="120" spans="2:14" s="1119" customFormat="1" ht="5.25" customHeight="1" x14ac:dyDescent="0.25">
      <c r="B120" s="1138"/>
      <c r="C120" s="1139"/>
      <c r="D120" s="1139"/>
      <c r="E120" s="1139"/>
      <c r="F120" s="1139"/>
      <c r="G120" s="1139"/>
      <c r="H120" s="1139"/>
      <c r="I120" s="1139"/>
      <c r="J120" s="1139"/>
      <c r="K120" s="1139"/>
      <c r="L120" s="1139"/>
      <c r="M120" s="1139"/>
      <c r="N120" s="1209"/>
    </row>
    <row r="121" spans="2:14" s="1119" customFormat="1" ht="5.25" customHeight="1" x14ac:dyDescent="0.25">
      <c r="B121" s="1138"/>
      <c r="C121" s="1139"/>
      <c r="D121" s="1139"/>
      <c r="E121" s="1139"/>
      <c r="F121" s="1139"/>
      <c r="G121" s="1139"/>
      <c r="H121" s="1139"/>
      <c r="I121" s="1139"/>
      <c r="J121" s="1139"/>
      <c r="K121" s="1139"/>
      <c r="L121" s="1139"/>
      <c r="M121" s="1139"/>
      <c r="N121" s="1209"/>
    </row>
    <row r="122" spans="2:14" x14ac:dyDescent="0.25">
      <c r="B122" s="1138"/>
      <c r="C122" s="1140" t="s">
        <v>645</v>
      </c>
      <c r="D122" s="1139"/>
      <c r="E122" s="1141"/>
      <c r="F122" s="1141"/>
      <c r="G122" s="1139"/>
      <c r="H122" s="1139"/>
      <c r="I122" s="1139"/>
      <c r="J122" s="1139"/>
      <c r="K122" s="1139"/>
      <c r="L122" s="1139"/>
      <c r="M122" s="1141" t="s">
        <v>646</v>
      </c>
      <c r="N122" s="1209"/>
    </row>
    <row r="123" spans="2:14" ht="4.5" customHeight="1" x14ac:dyDescent="0.25">
      <c r="B123" s="1138"/>
      <c r="C123" s="1139"/>
      <c r="D123" s="1139"/>
      <c r="E123" s="1139"/>
      <c r="F123" s="1139"/>
      <c r="G123" s="1139"/>
      <c r="H123" s="1139"/>
      <c r="I123" s="1139"/>
      <c r="J123" s="1139"/>
      <c r="K123" s="1139"/>
      <c r="L123" s="1139"/>
      <c r="M123" s="1139"/>
      <c r="N123" s="1209"/>
    </row>
    <row r="124" spans="2:14" ht="15.75" x14ac:dyDescent="0.25">
      <c r="B124" s="1172"/>
      <c r="C124" s="1195" t="s">
        <v>647</v>
      </c>
      <c r="D124" s="1142"/>
      <c r="E124" s="1142" t="s">
        <v>605</v>
      </c>
      <c r="F124" s="1196">
        <v>2015</v>
      </c>
      <c r="G124" s="1144">
        <v>2020</v>
      </c>
      <c r="H124" s="1143">
        <v>2025</v>
      </c>
      <c r="I124" s="1143">
        <v>2030</v>
      </c>
      <c r="J124" s="1143">
        <v>2035</v>
      </c>
      <c r="K124" s="1143">
        <v>2040</v>
      </c>
      <c r="L124" s="1143">
        <v>2045</v>
      </c>
      <c r="M124" s="1143">
        <v>2050</v>
      </c>
      <c r="N124" s="1209"/>
    </row>
    <row r="125" spans="2:14" ht="15.75" x14ac:dyDescent="0.25">
      <c r="B125" s="1172"/>
      <c r="C125" s="1186" t="s">
        <v>641</v>
      </c>
      <c r="D125" s="1186"/>
      <c r="E125" s="1183"/>
      <c r="F125" s="1197">
        <f t="shared" ref="F125:M125" si="4">$F$98*F48</f>
        <v>5.3582178437796699</v>
      </c>
      <c r="G125" s="1197">
        <f t="shared" si="4"/>
        <v>5.4012123553068614</v>
      </c>
      <c r="H125" s="1197">
        <f t="shared" si="4"/>
        <v>5.4554409598834006</v>
      </c>
      <c r="I125" s="1197">
        <f t="shared" si="4"/>
        <v>5.5102140239925159</v>
      </c>
      <c r="J125" s="1197">
        <f t="shared" si="4"/>
        <v>5.5655370140515172</v>
      </c>
      <c r="K125" s="1197">
        <f t="shared" si="4"/>
        <v>5.6214154513609769</v>
      </c>
      <c r="L125" s="1197">
        <f t="shared" si="4"/>
        <v>5.6778549126557705</v>
      </c>
      <c r="M125" s="1197">
        <f t="shared" si="4"/>
        <v>5.7348610306616354</v>
      </c>
      <c r="N125" s="1139"/>
    </row>
    <row r="126" spans="2:14" ht="15.75" x14ac:dyDescent="0.25">
      <c r="B126" s="1172"/>
      <c r="C126" s="1183" t="s">
        <v>642</v>
      </c>
      <c r="D126" s="1183"/>
      <c r="E126" s="1183"/>
      <c r="F126" s="1197">
        <f t="shared" ref="F126:M126" si="5">$F$99*F48</f>
        <v>2.9656432358697042</v>
      </c>
      <c r="G126" s="1197">
        <f t="shared" si="5"/>
        <v>2.989439652142357</v>
      </c>
      <c r="H126" s="1197">
        <f t="shared" si="5"/>
        <v>3.0194538656442891</v>
      </c>
      <c r="I126" s="1197">
        <f t="shared" si="5"/>
        <v>3.04976942425332</v>
      </c>
      <c r="J126" s="1197">
        <f t="shared" si="5"/>
        <v>3.080389353498457</v>
      </c>
      <c r="K126" s="1197">
        <f t="shared" si="5"/>
        <v>3.1113167092852598</v>
      </c>
      <c r="L126" s="1197">
        <f t="shared" si="5"/>
        <v>3.1425545782008251</v>
      </c>
      <c r="M126" s="1197">
        <f t="shared" si="5"/>
        <v>3.1741060778218317</v>
      </c>
      <c r="N126" s="1139"/>
    </row>
    <row r="127" spans="2:14" ht="15.75" x14ac:dyDescent="0.25">
      <c r="B127" s="1172"/>
      <c r="C127" s="1184" t="s">
        <v>643</v>
      </c>
      <c r="D127" s="1184"/>
      <c r="E127" s="1184"/>
      <c r="F127" s="1198">
        <f t="shared" ref="F127:M127" si="6">$F$100*F48</f>
        <v>2.378284909480604</v>
      </c>
      <c r="G127" s="1198">
        <f t="shared" si="6"/>
        <v>2.3973683437374462</v>
      </c>
      <c r="H127" s="1198">
        <f t="shared" si="6"/>
        <v>2.4214381138899039</v>
      </c>
      <c r="I127" s="1198">
        <f t="shared" si="6"/>
        <v>2.4457495464622001</v>
      </c>
      <c r="J127" s="1198">
        <f t="shared" si="6"/>
        <v>2.4703050677643827</v>
      </c>
      <c r="K127" s="1198">
        <f t="shared" si="6"/>
        <v>2.4951071284668465</v>
      </c>
      <c r="L127" s="1198">
        <f t="shared" si="6"/>
        <v>2.520158203844912</v>
      </c>
      <c r="M127" s="1198">
        <f t="shared" si="6"/>
        <v>2.545460794025864</v>
      </c>
      <c r="N127" s="1139"/>
    </row>
    <row r="128" spans="2:14" ht="15.75" x14ac:dyDescent="0.25">
      <c r="B128" s="1172"/>
      <c r="C128" s="1183"/>
      <c r="D128" s="1183"/>
      <c r="E128" s="1183"/>
      <c r="F128" s="1151"/>
      <c r="G128" s="1151"/>
      <c r="H128" s="1151"/>
      <c r="I128" s="1151"/>
      <c r="J128" s="1151"/>
      <c r="K128" s="1151"/>
      <c r="L128" s="1151"/>
      <c r="M128" s="1151"/>
      <c r="N128" s="1139"/>
    </row>
    <row r="129" spans="2:15" ht="13.5" customHeight="1" x14ac:dyDescent="0.25">
      <c r="B129" s="1210"/>
      <c r="C129" s="1184"/>
      <c r="D129" s="1184"/>
      <c r="E129" s="1184"/>
      <c r="F129" s="1159"/>
      <c r="G129" s="1159"/>
      <c r="H129" s="1159"/>
      <c r="I129" s="1159"/>
      <c r="J129" s="1159"/>
      <c r="K129" s="1159"/>
      <c r="L129" s="1159"/>
      <c r="M129" s="1159"/>
      <c r="N129" s="1146"/>
      <c r="O129" s="1211"/>
    </row>
    <row r="130" spans="2:15" ht="13.5" customHeight="1" x14ac:dyDescent="0.25">
      <c r="B130" s="1210"/>
      <c r="C130" s="1181"/>
      <c r="D130" s="1180"/>
      <c r="E130" s="1180"/>
      <c r="F130" s="1181"/>
      <c r="G130" s="1181"/>
      <c r="H130" s="1181"/>
      <c r="I130" s="1181"/>
      <c r="J130" s="1181"/>
      <c r="K130" s="1181"/>
      <c r="L130" s="1181"/>
      <c r="M130" s="1181"/>
      <c r="N130" s="1146"/>
      <c r="O130" s="1211"/>
    </row>
    <row r="132" spans="2:15" s="1213" customFormat="1" ht="21" x14ac:dyDescent="0.35">
      <c r="B132" s="1212" t="s">
        <v>229</v>
      </c>
      <c r="F132" s="1214"/>
      <c r="G132" s="1214"/>
      <c r="H132" s="1214"/>
      <c r="I132" s="1214"/>
      <c r="J132" s="1214"/>
      <c r="K132" s="1214"/>
      <c r="L132" s="1214"/>
      <c r="M132" s="1214"/>
    </row>
    <row r="133" spans="2:15" s="1213" customFormat="1" x14ac:dyDescent="0.25">
      <c r="B133" s="1215">
        <v>1</v>
      </c>
      <c r="C133" s="1215" t="s">
        <v>657</v>
      </c>
    </row>
    <row r="134" spans="2:15" s="1213" customFormat="1" x14ac:dyDescent="0.25">
      <c r="B134" s="1215">
        <v>2</v>
      </c>
      <c r="C134" s="1215" t="s">
        <v>658</v>
      </c>
    </row>
    <row r="135" spans="2:15" s="1213" customFormat="1" x14ac:dyDescent="0.25">
      <c r="B135" s="1215">
        <v>3</v>
      </c>
      <c r="C135" s="1215" t="s">
        <v>617</v>
      </c>
    </row>
    <row r="136" spans="2:15" s="1213" customFormat="1" x14ac:dyDescent="0.25">
      <c r="B136" s="1215">
        <v>4</v>
      </c>
      <c r="C136" s="1217" t="s">
        <v>629</v>
      </c>
    </row>
    <row r="137" spans="2:15" s="1213" customFormat="1" x14ac:dyDescent="0.25">
      <c r="B137" s="1215">
        <v>5</v>
      </c>
      <c r="C137" s="1215" t="s">
        <v>618</v>
      </c>
    </row>
    <row r="138" spans="2:15" s="1216" customFormat="1" x14ac:dyDescent="0.25"/>
    <row r="140" spans="2:15" x14ac:dyDescent="0.25">
      <c r="B140" s="1217">
        <v>1</v>
      </c>
      <c r="C140" s="1217" t="s">
        <v>657</v>
      </c>
      <c r="F140" s="3104">
        <v>2015</v>
      </c>
      <c r="G140" s="3104">
        <v>2020</v>
      </c>
      <c r="H140" s="3104">
        <v>2025</v>
      </c>
      <c r="I140" s="3104">
        <v>2030</v>
      </c>
      <c r="J140" s="3104">
        <v>2035</v>
      </c>
      <c r="K140" s="3104">
        <v>2040</v>
      </c>
      <c r="L140" s="3104">
        <v>2045</v>
      </c>
      <c r="M140" s="3104">
        <v>2050</v>
      </c>
    </row>
    <row r="141" spans="2:15" s="1217" customFormat="1" x14ac:dyDescent="0.25">
      <c r="C141" s="3113" t="s">
        <v>659</v>
      </c>
      <c r="D141" s="3114" t="s">
        <v>660</v>
      </c>
      <c r="E141" s="3113"/>
      <c r="F141" s="3115">
        <f t="shared" ref="F141:M141" si="7">F57</f>
        <v>48955172757.136932</v>
      </c>
      <c r="G141" s="3115">
        <f t="shared" si="7"/>
        <v>53153673983.882423</v>
      </c>
      <c r="H141" s="3115">
        <f t="shared" si="7"/>
        <v>58503499267.31488</v>
      </c>
      <c r="I141" s="3115">
        <f t="shared" si="7"/>
        <v>64369122382.277016</v>
      </c>
      <c r="J141" s="3115">
        <f t="shared" si="7"/>
        <v>70498489573.237427</v>
      </c>
      <c r="K141" s="3115">
        <f t="shared" si="7"/>
        <v>77182930841.031052</v>
      </c>
      <c r="L141" s="3115">
        <f t="shared" si="7"/>
        <v>84458415826.219269</v>
      </c>
      <c r="M141" s="3115">
        <f t="shared" si="7"/>
        <v>92213847621.059601</v>
      </c>
    </row>
    <row r="142" spans="2:15" s="1217" customFormat="1" x14ac:dyDescent="0.25">
      <c r="C142" s="3113"/>
      <c r="D142" s="3114"/>
      <c r="E142" s="3113"/>
      <c r="F142" s="3115"/>
      <c r="G142" s="3115"/>
      <c r="H142" s="3115"/>
      <c r="I142" s="3115"/>
      <c r="J142" s="3115"/>
      <c r="K142" s="3115"/>
      <c r="L142" s="3115"/>
      <c r="M142" s="3115"/>
    </row>
    <row r="143" spans="2:15" x14ac:dyDescent="0.25">
      <c r="B143" s="1219"/>
      <c r="C143" s="3113"/>
      <c r="D143" s="3114"/>
      <c r="E143" s="3113"/>
      <c r="F143" s="3116"/>
      <c r="G143" s="3116"/>
      <c r="H143" s="3116"/>
      <c r="I143" s="3116"/>
      <c r="J143" s="3116"/>
      <c r="K143" s="3116"/>
      <c r="L143" s="3116"/>
      <c r="M143" s="3116"/>
    </row>
    <row r="144" spans="2:15" s="1217" customFormat="1" x14ac:dyDescent="0.25">
      <c r="B144" s="1218" t="s">
        <v>1941</v>
      </c>
      <c r="C144" s="1217" t="s">
        <v>661</v>
      </c>
      <c r="D144" s="3114" t="s">
        <v>660</v>
      </c>
      <c r="E144" s="3113"/>
      <c r="F144" s="3115">
        <f t="shared" ref="F144:M144" si="8">F141*F37</f>
        <v>41332852358.850716</v>
      </c>
      <c r="G144" s="3115">
        <f t="shared" si="8"/>
        <v>44877646944.591934</v>
      </c>
      <c r="H144" s="3115">
        <f t="shared" si="8"/>
        <v>49394504431.393959</v>
      </c>
      <c r="I144" s="3115">
        <f t="shared" si="8"/>
        <v>54346850027.356491</v>
      </c>
      <c r="J144" s="3115">
        <f t="shared" si="8"/>
        <v>59521874746.684364</v>
      </c>
      <c r="K144" s="3115">
        <f t="shared" si="8"/>
        <v>65165548509.08252</v>
      </c>
      <c r="L144" s="3115">
        <f t="shared" si="8"/>
        <v>71308240482.076935</v>
      </c>
      <c r="M144" s="3115">
        <f t="shared" si="8"/>
        <v>77856151546.460632</v>
      </c>
    </row>
    <row r="145" spans="2:13" x14ac:dyDescent="0.25">
      <c r="B145" s="1219"/>
      <c r="C145" s="1117" t="s">
        <v>662</v>
      </c>
      <c r="D145" s="1219" t="s">
        <v>660</v>
      </c>
      <c r="F145" s="2845">
        <f t="shared" ref="F145:M146" si="9">F$144*F63</f>
        <v>17277132285.999599</v>
      </c>
      <c r="G145" s="2845">
        <f t="shared" si="9"/>
        <v>18758856422.839428</v>
      </c>
      <c r="H145" s="2845">
        <f t="shared" si="9"/>
        <v>20646902852.322674</v>
      </c>
      <c r="I145" s="2845">
        <f t="shared" si="9"/>
        <v>22716983311.435013</v>
      </c>
      <c r="J145" s="2845">
        <f t="shared" si="9"/>
        <v>24880143644.114063</v>
      </c>
      <c r="K145" s="2845">
        <f t="shared" si="9"/>
        <v>27239199276.796494</v>
      </c>
      <c r="L145" s="2845">
        <f t="shared" si="9"/>
        <v>29806844521.508156</v>
      </c>
      <c r="M145" s="2845">
        <f t="shared" si="9"/>
        <v>32543871346.420544</v>
      </c>
    </row>
    <row r="146" spans="2:13" x14ac:dyDescent="0.25">
      <c r="B146" s="1219"/>
      <c r="C146" s="1117" t="s">
        <v>663</v>
      </c>
      <c r="D146" s="1219" t="s">
        <v>660</v>
      </c>
      <c r="F146" s="2845">
        <f t="shared" si="9"/>
        <v>24055720072.851116</v>
      </c>
      <c r="G146" s="2845">
        <f t="shared" si="9"/>
        <v>26118790521.752502</v>
      </c>
      <c r="H146" s="2845">
        <f t="shared" si="9"/>
        <v>28747601579.071281</v>
      </c>
      <c r="I146" s="2845">
        <f t="shared" si="9"/>
        <v>31629866715.921474</v>
      </c>
      <c r="J146" s="2845">
        <f t="shared" si="9"/>
        <v>34641731102.570297</v>
      </c>
      <c r="K146" s="2845">
        <f t="shared" si="9"/>
        <v>37926349232.286026</v>
      </c>
      <c r="L146" s="2845">
        <f t="shared" si="9"/>
        <v>41501395960.568771</v>
      </c>
      <c r="M146" s="2845">
        <f t="shared" si="9"/>
        <v>45312280200.040085</v>
      </c>
    </row>
    <row r="147" spans="2:13" x14ac:dyDescent="0.25">
      <c r="B147" s="1219"/>
      <c r="C147" s="1117" t="s">
        <v>664</v>
      </c>
      <c r="D147" s="1219" t="s">
        <v>660</v>
      </c>
      <c r="F147" s="2845">
        <f t="shared" ref="F147:M147" si="10">F145*$F$75</f>
        <v>1727713228.5999601</v>
      </c>
      <c r="G147" s="2845">
        <f t="shared" si="10"/>
        <v>1875885642.2839429</v>
      </c>
      <c r="H147" s="2845">
        <f t="shared" si="10"/>
        <v>2064690285.2322674</v>
      </c>
      <c r="I147" s="2845">
        <f t="shared" si="10"/>
        <v>2271698331.1435013</v>
      </c>
      <c r="J147" s="2845">
        <f t="shared" si="10"/>
        <v>2488014364.4114065</v>
      </c>
      <c r="K147" s="2845">
        <f t="shared" si="10"/>
        <v>2723919927.6796494</v>
      </c>
      <c r="L147" s="2845">
        <f t="shared" si="10"/>
        <v>2980684452.150816</v>
      </c>
      <c r="M147" s="2845">
        <f t="shared" si="10"/>
        <v>3254387134.6420546</v>
      </c>
    </row>
    <row r="148" spans="2:13" x14ac:dyDescent="0.25">
      <c r="B148" s="1219"/>
      <c r="C148" s="1117" t="s">
        <v>665</v>
      </c>
      <c r="D148" s="1219" t="s">
        <v>660</v>
      </c>
      <c r="F148" s="2845">
        <f t="shared" ref="F148:M148" si="11">F145*$F$76</f>
        <v>15031105088.819651</v>
      </c>
      <c r="G148" s="2845">
        <f t="shared" si="11"/>
        <v>16320205087.870302</v>
      </c>
      <c r="H148" s="2845">
        <f t="shared" si="11"/>
        <v>17962805481.520725</v>
      </c>
      <c r="I148" s="2845">
        <f t="shared" si="11"/>
        <v>19763775480.94846</v>
      </c>
      <c r="J148" s="2845">
        <f t="shared" si="11"/>
        <v>21645724970.379234</v>
      </c>
      <c r="K148" s="2845">
        <f t="shared" si="11"/>
        <v>23698103370.81295</v>
      </c>
      <c r="L148" s="2845">
        <f t="shared" si="11"/>
        <v>25931954733.712097</v>
      </c>
      <c r="M148" s="2845">
        <f t="shared" si="11"/>
        <v>28313168071.385872</v>
      </c>
    </row>
    <row r="149" spans="2:13" x14ac:dyDescent="0.25">
      <c r="B149" s="1219"/>
      <c r="C149" s="1117" t="s">
        <v>666</v>
      </c>
      <c r="D149" s="1219" t="s">
        <v>660</v>
      </c>
      <c r="F149" s="2845">
        <f t="shared" ref="F149:M149" si="12">F145*$F$77</f>
        <v>518313968.57998794</v>
      </c>
      <c r="G149" s="2845">
        <f t="shared" si="12"/>
        <v>562765692.68518281</v>
      </c>
      <c r="H149" s="2845">
        <f t="shared" si="12"/>
        <v>619407085.56968021</v>
      </c>
      <c r="I149" s="2845">
        <f t="shared" si="12"/>
        <v>681509499.34305036</v>
      </c>
      <c r="J149" s="2845">
        <f t="shared" si="12"/>
        <v>746404309.32342184</v>
      </c>
      <c r="K149" s="2845">
        <f t="shared" si="12"/>
        <v>817175978.30389476</v>
      </c>
      <c r="L149" s="2845">
        <f t="shared" si="12"/>
        <v>894205335.6452446</v>
      </c>
      <c r="M149" s="2845">
        <f t="shared" si="12"/>
        <v>976316140.39261627</v>
      </c>
    </row>
    <row r="150" spans="2:13" x14ac:dyDescent="0.25">
      <c r="B150" s="1219"/>
      <c r="C150" s="1117" t="s">
        <v>667</v>
      </c>
      <c r="D150" s="1219" t="s">
        <v>660</v>
      </c>
      <c r="F150" s="2845">
        <f t="shared" ref="F150:M150" si="13">F146*$F$82</f>
        <v>0</v>
      </c>
      <c r="G150" s="2845">
        <f t="shared" si="13"/>
        <v>0</v>
      </c>
      <c r="H150" s="2845">
        <f t="shared" si="13"/>
        <v>0</v>
      </c>
      <c r="I150" s="2845">
        <f t="shared" si="13"/>
        <v>0</v>
      </c>
      <c r="J150" s="2845">
        <f t="shared" si="13"/>
        <v>0</v>
      </c>
      <c r="K150" s="2845">
        <f t="shared" si="13"/>
        <v>0</v>
      </c>
      <c r="L150" s="2845">
        <f t="shared" si="13"/>
        <v>0</v>
      </c>
      <c r="M150" s="2845">
        <f t="shared" si="13"/>
        <v>0</v>
      </c>
    </row>
    <row r="151" spans="2:13" x14ac:dyDescent="0.25">
      <c r="B151" s="1219"/>
      <c r="C151" s="1117" t="s">
        <v>668</v>
      </c>
      <c r="D151" s="1219" t="s">
        <v>660</v>
      </c>
      <c r="F151" s="2845">
        <f t="shared" ref="F151:M151" si="14">F146*$F$83</f>
        <v>0</v>
      </c>
      <c r="G151" s="2845">
        <f t="shared" si="14"/>
        <v>0</v>
      </c>
      <c r="H151" s="2845">
        <f t="shared" si="14"/>
        <v>0</v>
      </c>
      <c r="I151" s="2845">
        <f t="shared" si="14"/>
        <v>0</v>
      </c>
      <c r="J151" s="2845">
        <f t="shared" si="14"/>
        <v>0</v>
      </c>
      <c r="K151" s="2845">
        <f t="shared" si="14"/>
        <v>0</v>
      </c>
      <c r="L151" s="2845">
        <f t="shared" si="14"/>
        <v>0</v>
      </c>
      <c r="M151" s="2845">
        <f t="shared" si="14"/>
        <v>0</v>
      </c>
    </row>
    <row r="152" spans="2:13" x14ac:dyDescent="0.25">
      <c r="B152" s="1219"/>
      <c r="C152" s="1117" t="s">
        <v>669</v>
      </c>
      <c r="D152" s="1219" t="s">
        <v>660</v>
      </c>
      <c r="F152" s="2845">
        <f t="shared" ref="F152:M152" si="15">F146*$F$84</f>
        <v>24055720072.851116</v>
      </c>
      <c r="G152" s="2845">
        <f t="shared" si="15"/>
        <v>26118790521.752502</v>
      </c>
      <c r="H152" s="2845">
        <f t="shared" si="15"/>
        <v>28747601579.071281</v>
      </c>
      <c r="I152" s="2845">
        <f t="shared" si="15"/>
        <v>31629866715.921474</v>
      </c>
      <c r="J152" s="2845">
        <f t="shared" si="15"/>
        <v>34641731102.570297</v>
      </c>
      <c r="K152" s="2845">
        <f t="shared" si="15"/>
        <v>37926349232.286026</v>
      </c>
      <c r="L152" s="2845">
        <f t="shared" si="15"/>
        <v>41501395960.568771</v>
      </c>
      <c r="M152" s="2845">
        <f t="shared" si="15"/>
        <v>45312280200.040085</v>
      </c>
    </row>
    <row r="153" spans="2:13" x14ac:dyDescent="0.25">
      <c r="B153" s="1219"/>
      <c r="D153" s="1219"/>
      <c r="F153" s="3117"/>
      <c r="G153" s="3117"/>
      <c r="H153" s="3117"/>
      <c r="I153" s="3117"/>
      <c r="J153" s="3117"/>
      <c r="K153" s="3117"/>
      <c r="L153" s="3117"/>
      <c r="M153" s="3117"/>
    </row>
    <row r="154" spans="2:13" x14ac:dyDescent="0.25">
      <c r="B154" s="1219"/>
      <c r="D154" s="1219"/>
      <c r="F154" s="3104"/>
      <c r="G154" s="3104"/>
      <c r="H154" s="3104"/>
      <c r="I154" s="3104"/>
      <c r="J154" s="3104"/>
      <c r="K154" s="3104"/>
      <c r="L154" s="3104"/>
      <c r="M154" s="3104"/>
    </row>
    <row r="155" spans="2:13" s="1217" customFormat="1" x14ac:dyDescent="0.25">
      <c r="B155" s="1218" t="s">
        <v>1943</v>
      </c>
      <c r="C155" s="1217" t="s">
        <v>670</v>
      </c>
      <c r="D155" s="1218" t="s">
        <v>660</v>
      </c>
      <c r="F155" s="3112">
        <f t="shared" ref="F155:M155" si="16">F141*F38</f>
        <v>4895517275.7136936</v>
      </c>
      <c r="G155" s="3112">
        <f t="shared" si="16"/>
        <v>5315367398.3882427</v>
      </c>
      <c r="H155" s="3112">
        <f t="shared" si="16"/>
        <v>5850349926.7314882</v>
      </c>
      <c r="I155" s="3112">
        <f t="shared" si="16"/>
        <v>6436912238.2277021</v>
      </c>
      <c r="J155" s="3112">
        <f t="shared" si="16"/>
        <v>7049848957.3237429</v>
      </c>
      <c r="K155" s="3112">
        <f t="shared" si="16"/>
        <v>7718293084.1031055</v>
      </c>
      <c r="L155" s="3112">
        <f t="shared" si="16"/>
        <v>8445841582.6219273</v>
      </c>
      <c r="M155" s="3112">
        <f t="shared" si="16"/>
        <v>9221384762.1059608</v>
      </c>
    </row>
    <row r="156" spans="2:13" x14ac:dyDescent="0.25">
      <c r="B156" s="1219"/>
      <c r="D156" s="1219"/>
      <c r="F156" s="1215"/>
      <c r="G156" s="1215"/>
      <c r="H156" s="1215"/>
      <c r="I156" s="1215"/>
      <c r="J156" s="1215"/>
      <c r="K156" s="1215"/>
      <c r="L156" s="1215"/>
      <c r="M156" s="1215"/>
    </row>
    <row r="157" spans="2:13" x14ac:dyDescent="0.25">
      <c r="B157" s="1219"/>
      <c r="D157" s="1219"/>
      <c r="F157" s="3104"/>
      <c r="G157" s="3104"/>
      <c r="H157" s="3104"/>
      <c r="I157" s="3104"/>
      <c r="J157" s="3104"/>
      <c r="K157" s="3104"/>
      <c r="L157" s="3104"/>
      <c r="M157" s="3104"/>
    </row>
    <row r="158" spans="2:13" s="1217" customFormat="1" x14ac:dyDescent="0.25">
      <c r="B158" s="1218" t="s">
        <v>1944</v>
      </c>
      <c r="C158" s="1217" t="s">
        <v>671</v>
      </c>
      <c r="D158" s="1218" t="s">
        <v>660</v>
      </c>
      <c r="F158" s="3112">
        <f t="shared" ref="F158:M158" si="17">F141*F39</f>
        <v>2726803122.5725269</v>
      </c>
      <c r="G158" s="3112">
        <f t="shared" si="17"/>
        <v>2960659640.9022508</v>
      </c>
      <c r="H158" s="3112">
        <f t="shared" si="17"/>
        <v>3258644909.1894388</v>
      </c>
      <c r="I158" s="3112">
        <f t="shared" si="17"/>
        <v>3585360116.6928296</v>
      </c>
      <c r="J158" s="3112">
        <f t="shared" si="17"/>
        <v>3926765869.2293248</v>
      </c>
      <c r="K158" s="3112">
        <f t="shared" si="17"/>
        <v>4299089247.8454294</v>
      </c>
      <c r="L158" s="3112">
        <f t="shared" si="17"/>
        <v>4704333761.5204134</v>
      </c>
      <c r="M158" s="3112">
        <f t="shared" si="17"/>
        <v>5136311312.4930201</v>
      </c>
    </row>
    <row r="159" spans="2:13" x14ac:dyDescent="0.25">
      <c r="D159" s="1219"/>
      <c r="F159" s="2845"/>
      <c r="G159" s="2845"/>
      <c r="H159" s="2845"/>
      <c r="I159" s="2845"/>
      <c r="J159" s="2845"/>
      <c r="K159" s="2845"/>
      <c r="L159" s="2845"/>
      <c r="M159" s="2845"/>
    </row>
    <row r="160" spans="2:13" x14ac:dyDescent="0.25">
      <c r="B160" s="1215">
        <v>2</v>
      </c>
      <c r="C160" s="1215" t="s">
        <v>672</v>
      </c>
      <c r="D160" s="1219"/>
      <c r="F160" s="2845"/>
      <c r="G160" s="2845"/>
      <c r="H160" s="2845"/>
      <c r="I160" s="2845"/>
      <c r="J160" s="2845"/>
      <c r="K160" s="2845"/>
      <c r="L160" s="2845"/>
      <c r="M160" s="2845"/>
    </row>
    <row r="161" spans="2:14" x14ac:dyDescent="0.25">
      <c r="D161" s="1219"/>
      <c r="F161" s="2845"/>
      <c r="G161" s="2845"/>
      <c r="H161" s="2845"/>
      <c r="I161" s="2845"/>
      <c r="J161" s="2845"/>
      <c r="K161" s="2845"/>
      <c r="L161" s="2845"/>
      <c r="M161" s="2845"/>
    </row>
    <row r="162" spans="2:14" x14ac:dyDescent="0.25">
      <c r="B162" s="1218" t="s">
        <v>1941</v>
      </c>
      <c r="C162" s="1217" t="s">
        <v>673</v>
      </c>
      <c r="D162" s="1219"/>
      <c r="F162" s="3104">
        <v>2015</v>
      </c>
      <c r="G162" s="3104">
        <v>2020</v>
      </c>
      <c r="H162" s="3104">
        <v>2025</v>
      </c>
      <c r="I162" s="3104">
        <v>2030</v>
      </c>
      <c r="J162" s="3104">
        <v>2035</v>
      </c>
      <c r="K162" s="3104">
        <v>2040</v>
      </c>
      <c r="L162" s="3104">
        <v>2045</v>
      </c>
      <c r="M162" s="3104">
        <v>2050</v>
      </c>
    </row>
    <row r="163" spans="2:14" x14ac:dyDescent="0.25">
      <c r="C163" s="1117" t="s">
        <v>674</v>
      </c>
      <c r="D163" s="1219" t="s">
        <v>675</v>
      </c>
      <c r="F163" s="2845">
        <f t="shared" ref="F163:M163" si="18">F147/$F$90</f>
        <v>314129677.92726547</v>
      </c>
      <c r="G163" s="2845">
        <f t="shared" si="18"/>
        <v>341070116.77889872</v>
      </c>
      <c r="H163" s="2845">
        <f t="shared" si="18"/>
        <v>375398233.67859405</v>
      </c>
      <c r="I163" s="2845">
        <f t="shared" si="18"/>
        <v>413036060.20790935</v>
      </c>
      <c r="J163" s="2845">
        <f t="shared" si="18"/>
        <v>452366248.07480121</v>
      </c>
      <c r="K163" s="2845">
        <f t="shared" si="18"/>
        <v>495258168.66902715</v>
      </c>
      <c r="L163" s="2845">
        <f t="shared" si="18"/>
        <v>541942627.66378474</v>
      </c>
      <c r="M163" s="2845">
        <f t="shared" si="18"/>
        <v>591706751.75310087</v>
      </c>
      <c r="N163" s="1220"/>
    </row>
    <row r="164" spans="2:14" x14ac:dyDescent="0.25">
      <c r="C164" s="1117" t="s">
        <v>676</v>
      </c>
      <c r="D164" s="1219" t="s">
        <v>675</v>
      </c>
      <c r="F164" s="2845">
        <f t="shared" ref="F164:M164" si="19">F148/$F$91</f>
        <v>1670122787.6466279</v>
      </c>
      <c r="G164" s="2845">
        <f t="shared" si="19"/>
        <v>1813356120.8744781</v>
      </c>
      <c r="H164" s="2845">
        <f t="shared" si="19"/>
        <v>1995867275.724525</v>
      </c>
      <c r="I164" s="2845">
        <f t="shared" si="19"/>
        <v>2195975053.4387178</v>
      </c>
      <c r="J164" s="2845">
        <f t="shared" si="19"/>
        <v>2405080552.2643595</v>
      </c>
      <c r="K164" s="2845">
        <f t="shared" si="19"/>
        <v>2633122596.7569942</v>
      </c>
      <c r="L164" s="2845">
        <f t="shared" si="19"/>
        <v>2881328303.7457886</v>
      </c>
      <c r="M164" s="2845">
        <f t="shared" si="19"/>
        <v>3145907563.487319</v>
      </c>
      <c r="N164" s="1220"/>
    </row>
    <row r="165" spans="2:14" x14ac:dyDescent="0.25">
      <c r="C165" s="1117" t="s">
        <v>677</v>
      </c>
      <c r="D165" s="1219" t="s">
        <v>675</v>
      </c>
      <c r="F165" s="2845">
        <f t="shared" ref="F165:M165" si="20">F149/$F$92</f>
        <v>37022426.327141993</v>
      </c>
      <c r="G165" s="2845">
        <f t="shared" si="20"/>
        <v>40197549.47751306</v>
      </c>
      <c r="H165" s="2845">
        <f t="shared" si="20"/>
        <v>44243363.254977159</v>
      </c>
      <c r="I165" s="2845">
        <f t="shared" si="20"/>
        <v>48679249.953075029</v>
      </c>
      <c r="J165" s="2845">
        <f t="shared" si="20"/>
        <v>53314593.523101561</v>
      </c>
      <c r="K165" s="2845">
        <f t="shared" si="20"/>
        <v>58369712.735992484</v>
      </c>
      <c r="L165" s="2845">
        <f t="shared" si="20"/>
        <v>63871809.688946046</v>
      </c>
      <c r="M165" s="2845">
        <f t="shared" si="20"/>
        <v>69736867.170901164</v>
      </c>
      <c r="N165" s="1220"/>
    </row>
    <row r="166" spans="2:14" x14ac:dyDescent="0.25">
      <c r="C166" s="2846" t="s">
        <v>1954</v>
      </c>
      <c r="D166" s="1219" t="s">
        <v>675</v>
      </c>
      <c r="F166" s="2845">
        <f t="shared" ref="F166:M166" si="21">F150/$F$90</f>
        <v>0</v>
      </c>
      <c r="G166" s="2845">
        <f t="shared" si="21"/>
        <v>0</v>
      </c>
      <c r="H166" s="2845">
        <f t="shared" si="21"/>
        <v>0</v>
      </c>
      <c r="I166" s="2845">
        <f t="shared" si="21"/>
        <v>0</v>
      </c>
      <c r="J166" s="2845">
        <f t="shared" si="21"/>
        <v>0</v>
      </c>
      <c r="K166" s="2845">
        <f t="shared" si="21"/>
        <v>0</v>
      </c>
      <c r="L166" s="2845">
        <f t="shared" si="21"/>
        <v>0</v>
      </c>
      <c r="M166" s="2845">
        <f t="shared" si="21"/>
        <v>0</v>
      </c>
    </row>
    <row r="167" spans="2:14" x14ac:dyDescent="0.25">
      <c r="C167" s="2846" t="s">
        <v>1955</v>
      </c>
      <c r="D167" s="1219" t="s">
        <v>675</v>
      </c>
      <c r="F167" s="2845">
        <f t="shared" ref="F167:M167" si="22">F151/$F$91</f>
        <v>0</v>
      </c>
      <c r="G167" s="2845">
        <f t="shared" si="22"/>
        <v>0</v>
      </c>
      <c r="H167" s="2845">
        <f t="shared" si="22"/>
        <v>0</v>
      </c>
      <c r="I167" s="2845">
        <f t="shared" si="22"/>
        <v>0</v>
      </c>
      <c r="J167" s="2845">
        <f t="shared" si="22"/>
        <v>0</v>
      </c>
      <c r="K167" s="2845">
        <f t="shared" si="22"/>
        <v>0</v>
      </c>
      <c r="L167" s="2845">
        <f t="shared" si="22"/>
        <v>0</v>
      </c>
      <c r="M167" s="2845">
        <f t="shared" si="22"/>
        <v>0</v>
      </c>
    </row>
    <row r="168" spans="2:14" x14ac:dyDescent="0.25">
      <c r="C168" s="2846" t="s">
        <v>1956</v>
      </c>
      <c r="D168" s="1219" t="s">
        <v>675</v>
      </c>
      <c r="F168" s="2845">
        <f t="shared" ref="F168:M168" si="23">F152/$F$92</f>
        <v>1718265719.4893653</v>
      </c>
      <c r="G168" s="2845">
        <f t="shared" si="23"/>
        <v>1865627894.410893</v>
      </c>
      <c r="H168" s="2845">
        <f t="shared" si="23"/>
        <v>2053400112.7908058</v>
      </c>
      <c r="I168" s="2845">
        <f t="shared" si="23"/>
        <v>2259276193.994391</v>
      </c>
      <c r="J168" s="2845">
        <f t="shared" si="23"/>
        <v>2474409364.4693069</v>
      </c>
      <c r="K168" s="2845">
        <f t="shared" si="23"/>
        <v>2709024945.1632876</v>
      </c>
      <c r="L168" s="2845">
        <f t="shared" si="23"/>
        <v>2964385425.7549124</v>
      </c>
      <c r="M168" s="2845">
        <f t="shared" si="23"/>
        <v>3236591442.8600059</v>
      </c>
    </row>
    <row r="169" spans="2:14" x14ac:dyDescent="0.25">
      <c r="D169" s="1219"/>
      <c r="F169" s="2845"/>
      <c r="G169" s="2845"/>
      <c r="H169" s="2845"/>
      <c r="I169" s="2845"/>
      <c r="J169" s="2845"/>
      <c r="K169" s="2845"/>
      <c r="L169" s="2845"/>
      <c r="M169" s="2845"/>
    </row>
    <row r="170" spans="2:14" x14ac:dyDescent="0.25">
      <c r="D170" s="1219"/>
      <c r="F170" s="3104">
        <v>2015</v>
      </c>
      <c r="G170" s="3104">
        <v>2020</v>
      </c>
      <c r="H170" s="3104">
        <v>2025</v>
      </c>
      <c r="I170" s="3104">
        <v>2030</v>
      </c>
      <c r="J170" s="3104">
        <v>2035</v>
      </c>
      <c r="K170" s="3104">
        <v>2040</v>
      </c>
      <c r="L170" s="3104">
        <v>2045</v>
      </c>
      <c r="M170" s="3104">
        <v>2050</v>
      </c>
    </row>
    <row r="171" spans="2:14" x14ac:dyDescent="0.25">
      <c r="B171" s="1218" t="s">
        <v>1943</v>
      </c>
      <c r="C171" s="1217" t="s">
        <v>678</v>
      </c>
      <c r="D171" s="1219" t="s">
        <v>675</v>
      </c>
      <c r="F171" s="2845">
        <f t="shared" ref="F171:M171" si="24">F155/$F$93</f>
        <v>1864958.9621766452</v>
      </c>
      <c r="G171" s="2845">
        <f t="shared" si="24"/>
        <v>2024901.8660526639</v>
      </c>
      <c r="H171" s="2845">
        <f t="shared" si="24"/>
        <v>2228704.7339929477</v>
      </c>
      <c r="I171" s="2845">
        <f t="shared" si="24"/>
        <v>2452157.0431343629</v>
      </c>
      <c r="J171" s="2845">
        <f t="shared" si="24"/>
        <v>2685656.7456471403</v>
      </c>
      <c r="K171" s="2845">
        <f t="shared" si="24"/>
        <v>2940302.1272773733</v>
      </c>
      <c r="L171" s="2845">
        <f t="shared" si="24"/>
        <v>3217463.4600464483</v>
      </c>
      <c r="M171" s="2845">
        <f t="shared" si="24"/>
        <v>3512908.4808022706</v>
      </c>
    </row>
    <row r="172" spans="2:14" x14ac:dyDescent="0.25">
      <c r="D172" s="1219"/>
      <c r="F172" s="2845"/>
      <c r="G172" s="2845"/>
      <c r="H172" s="2845"/>
      <c r="I172" s="2845"/>
      <c r="J172" s="2845"/>
      <c r="K172" s="2845"/>
      <c r="L172" s="2845"/>
      <c r="M172" s="2845"/>
    </row>
    <row r="173" spans="2:14" x14ac:dyDescent="0.25">
      <c r="B173" s="1215">
        <v>3</v>
      </c>
      <c r="C173" s="1215" t="s">
        <v>617</v>
      </c>
      <c r="D173" s="1219"/>
      <c r="F173" s="1220"/>
      <c r="G173" s="1220"/>
      <c r="H173" s="1220"/>
      <c r="I173" s="1220"/>
      <c r="J173" s="1220"/>
      <c r="K173" s="1220"/>
      <c r="L173" s="1220"/>
      <c r="M173" s="1220"/>
    </row>
    <row r="174" spans="2:14" x14ac:dyDescent="0.25">
      <c r="B174" s="1215"/>
      <c r="C174" s="1215"/>
      <c r="D174" s="1219"/>
    </row>
    <row r="175" spans="2:14" x14ac:dyDescent="0.25">
      <c r="B175" s="1215" t="s">
        <v>679</v>
      </c>
      <c r="C175" s="1215" t="s">
        <v>680</v>
      </c>
      <c r="D175" s="1219"/>
      <c r="F175"/>
      <c r="G175"/>
      <c r="H175"/>
      <c r="I175"/>
      <c r="J175"/>
      <c r="K175"/>
      <c r="L175"/>
      <c r="M175"/>
    </row>
    <row r="176" spans="2:14" x14ac:dyDescent="0.25">
      <c r="B176" s="1215"/>
      <c r="C176" s="1215" t="s">
        <v>681</v>
      </c>
      <c r="D176" s="1219"/>
      <c r="F176" s="3104">
        <v>2015</v>
      </c>
      <c r="G176" s="3104">
        <v>2020</v>
      </c>
      <c r="H176" s="3104">
        <v>2025</v>
      </c>
      <c r="I176" s="3104">
        <v>2030</v>
      </c>
      <c r="J176" s="3104">
        <v>2035</v>
      </c>
      <c r="K176" s="3104">
        <v>2040</v>
      </c>
      <c r="L176" s="3104">
        <v>2045</v>
      </c>
      <c r="M176" s="3104">
        <v>2050</v>
      </c>
    </row>
    <row r="177" spans="1:14" x14ac:dyDescent="0.25">
      <c r="B177" s="1215"/>
      <c r="C177" s="1221" t="s">
        <v>682</v>
      </c>
      <c r="D177" s="1219" t="s">
        <v>683</v>
      </c>
      <c r="F177" s="2845">
        <f t="shared" ref="F177:M179" si="25">F163/F125</f>
        <v>58625775.786988042</v>
      </c>
      <c r="G177" s="2845">
        <f t="shared" si="25"/>
        <v>63146955.598549381</v>
      </c>
      <c r="H177" s="2845">
        <f t="shared" si="25"/>
        <v>68811712.277538329</v>
      </c>
      <c r="I177" s="2845">
        <f t="shared" si="25"/>
        <v>74958260.86055316</v>
      </c>
      <c r="J177" s="2845">
        <f t="shared" si="25"/>
        <v>81279892.116914392</v>
      </c>
      <c r="K177" s="2845">
        <f t="shared" si="25"/>
        <v>88102039.949586421</v>
      </c>
      <c r="L177" s="2845">
        <f t="shared" si="25"/>
        <v>95448481.16069515</v>
      </c>
      <c r="M177" s="2845">
        <f t="shared" si="25"/>
        <v>103177173.533852</v>
      </c>
      <c r="N177" s="1220"/>
    </row>
    <row r="178" spans="1:14" x14ac:dyDescent="0.25">
      <c r="B178" s="1215"/>
      <c r="C178" s="1221" t="s">
        <v>684</v>
      </c>
      <c r="D178" s="1219" t="s">
        <v>683</v>
      </c>
      <c r="F178" s="2845">
        <f t="shared" si="25"/>
        <v>563157013.44192469</v>
      </c>
      <c r="G178" s="2845">
        <f t="shared" si="25"/>
        <v>606587297.91549778</v>
      </c>
      <c r="H178" s="2845">
        <f t="shared" si="25"/>
        <v>661002739.08263481</v>
      </c>
      <c r="I178" s="2845">
        <f t="shared" si="25"/>
        <v>720046255.2923528</v>
      </c>
      <c r="J178" s="2845">
        <f t="shared" si="25"/>
        <v>780771609.12560081</v>
      </c>
      <c r="K178" s="2845">
        <f t="shared" si="25"/>
        <v>846304906.50432122</v>
      </c>
      <c r="L178" s="2845">
        <f t="shared" si="25"/>
        <v>916874546.50203919</v>
      </c>
      <c r="M178" s="2845">
        <f t="shared" si="25"/>
        <v>991116076.89120984</v>
      </c>
      <c r="N178" s="1220"/>
    </row>
    <row r="179" spans="1:14" x14ac:dyDescent="0.25">
      <c r="B179" s="1215"/>
      <c r="C179" s="1221" t="s">
        <v>685</v>
      </c>
      <c r="D179" s="1219" t="s">
        <v>683</v>
      </c>
      <c r="F179" s="2845">
        <f t="shared" si="25"/>
        <v>15566859.201586304</v>
      </c>
      <c r="G179" s="2845">
        <f t="shared" si="25"/>
        <v>16767364.757493183</v>
      </c>
      <c r="H179" s="2845">
        <f t="shared" si="25"/>
        <v>18271523.439392257</v>
      </c>
      <c r="I179" s="2845">
        <f t="shared" si="25"/>
        <v>19903611.971834984</v>
      </c>
      <c r="J179" s="2845">
        <f t="shared" si="25"/>
        <v>21582190.077985421</v>
      </c>
      <c r="K179" s="2845">
        <f t="shared" si="25"/>
        <v>23393669.983163636</v>
      </c>
      <c r="L179" s="2845">
        <f t="shared" si="25"/>
        <v>25344365.12418117</v>
      </c>
      <c r="M179" s="2845">
        <f t="shared" si="25"/>
        <v>27396559.135607954</v>
      </c>
      <c r="N179" s="1220"/>
    </row>
    <row r="180" spans="1:14" x14ac:dyDescent="0.25">
      <c r="B180" s="1215"/>
      <c r="C180" s="1215" t="s">
        <v>681</v>
      </c>
      <c r="D180" s="1219"/>
      <c r="F180" s="453"/>
      <c r="G180" s="453"/>
      <c r="H180" s="453"/>
      <c r="I180" s="453"/>
      <c r="J180" s="453"/>
      <c r="K180" s="453"/>
      <c r="L180" s="453"/>
      <c r="M180" s="453"/>
    </row>
    <row r="181" spans="1:14" x14ac:dyDescent="0.25">
      <c r="B181" s="1215"/>
      <c r="C181" s="1221" t="s">
        <v>682</v>
      </c>
      <c r="D181" s="1219" t="s">
        <v>683</v>
      </c>
      <c r="F181" s="2845">
        <f t="shared" ref="F181:M183" si="26">F166/F125</f>
        <v>0</v>
      </c>
      <c r="G181" s="2845">
        <f t="shared" si="26"/>
        <v>0</v>
      </c>
      <c r="H181" s="2845">
        <f t="shared" si="26"/>
        <v>0</v>
      </c>
      <c r="I181" s="2845">
        <f t="shared" si="26"/>
        <v>0</v>
      </c>
      <c r="J181" s="2845">
        <f t="shared" si="26"/>
        <v>0</v>
      </c>
      <c r="K181" s="2845">
        <f t="shared" si="26"/>
        <v>0</v>
      </c>
      <c r="L181" s="2845">
        <f t="shared" si="26"/>
        <v>0</v>
      </c>
      <c r="M181" s="2845">
        <f t="shared" si="26"/>
        <v>0</v>
      </c>
    </row>
    <row r="182" spans="1:14" x14ac:dyDescent="0.25">
      <c r="B182" s="1215"/>
      <c r="C182" s="1221" t="s">
        <v>684</v>
      </c>
      <c r="D182" s="1219" t="s">
        <v>683</v>
      </c>
      <c r="F182" s="2845">
        <f t="shared" si="26"/>
        <v>0</v>
      </c>
      <c r="G182" s="2845">
        <f t="shared" si="26"/>
        <v>0</v>
      </c>
      <c r="H182" s="2845">
        <f t="shared" si="26"/>
        <v>0</v>
      </c>
      <c r="I182" s="2845">
        <f t="shared" si="26"/>
        <v>0</v>
      </c>
      <c r="J182" s="2845">
        <f t="shared" si="26"/>
        <v>0</v>
      </c>
      <c r="K182" s="2845">
        <f t="shared" si="26"/>
        <v>0</v>
      </c>
      <c r="L182" s="2845">
        <f t="shared" si="26"/>
        <v>0</v>
      </c>
      <c r="M182" s="2845">
        <f t="shared" si="26"/>
        <v>0</v>
      </c>
    </row>
    <row r="183" spans="1:14" x14ac:dyDescent="0.25">
      <c r="B183" s="1215"/>
      <c r="C183" s="1221" t="s">
        <v>685</v>
      </c>
      <c r="D183" s="1219" t="s">
        <v>683</v>
      </c>
      <c r="F183" s="2845">
        <f t="shared" si="26"/>
        <v>722481025.14539313</v>
      </c>
      <c r="G183" s="2845">
        <f t="shared" si="26"/>
        <v>778198268.64920509</v>
      </c>
      <c r="H183" s="2845">
        <f t="shared" si="26"/>
        <v>848008504.1249038</v>
      </c>
      <c r="I183" s="2845">
        <f t="shared" si="26"/>
        <v>923756153.71674311</v>
      </c>
      <c r="J183" s="2845">
        <f t="shared" si="26"/>
        <v>1001661453.3801845</v>
      </c>
      <c r="K183" s="2845">
        <f t="shared" si="26"/>
        <v>1085734922.6635756</v>
      </c>
      <c r="L183" s="2845">
        <f t="shared" si="26"/>
        <v>1176269577.5337672</v>
      </c>
      <c r="M183" s="2845">
        <f t="shared" si="26"/>
        <v>1271514945.5282159</v>
      </c>
    </row>
    <row r="184" spans="1:14" x14ac:dyDescent="0.25">
      <c r="B184" s="1215"/>
      <c r="C184" s="1221"/>
      <c r="D184" s="1219"/>
      <c r="F184" s="453"/>
      <c r="G184" s="453"/>
      <c r="H184" s="453"/>
      <c r="I184" s="453"/>
      <c r="J184" s="453"/>
      <c r="K184" s="453"/>
      <c r="L184" s="453"/>
      <c r="M184" s="453"/>
    </row>
    <row r="185" spans="1:14" x14ac:dyDescent="0.25">
      <c r="B185" s="1215" t="s">
        <v>686</v>
      </c>
      <c r="C185" s="1222" t="s">
        <v>687</v>
      </c>
      <c r="D185" s="1219"/>
      <c r="F185" s="453"/>
      <c r="G185" s="453"/>
      <c r="H185" s="453"/>
      <c r="I185" s="453"/>
      <c r="J185" s="453"/>
      <c r="K185" s="453"/>
      <c r="L185" s="453"/>
      <c r="M185" s="453"/>
    </row>
    <row r="186" spans="1:14" x14ac:dyDescent="0.25">
      <c r="B186" s="1215"/>
      <c r="C186" s="1215" t="s">
        <v>688</v>
      </c>
      <c r="D186" s="1219"/>
      <c r="F186" s="453"/>
      <c r="G186" s="453"/>
      <c r="H186" s="453"/>
      <c r="I186" s="453"/>
      <c r="J186" s="453"/>
      <c r="K186" s="453"/>
      <c r="L186" s="453"/>
      <c r="M186" s="453"/>
    </row>
    <row r="187" spans="1:14" x14ac:dyDescent="0.25">
      <c r="A187" s="3366"/>
      <c r="B187" s="1215"/>
      <c r="C187" s="1221" t="s">
        <v>689</v>
      </c>
      <c r="D187" s="1219" t="s">
        <v>171</v>
      </c>
      <c r="F187" s="2847">
        <f>F177*$C$112*$C$116*Conversiones!$F$7</f>
        <v>0.65203927959451491</v>
      </c>
      <c r="G187" s="2847">
        <f>G177*$C$112*$C$116*Conversiones!$F$7</f>
        <v>0.70232410376398913</v>
      </c>
      <c r="H187" s="2847">
        <f>H177*$C$112*$C$116*Conversiones!$F$7</f>
        <v>0.76532785619989252</v>
      </c>
      <c r="I187" s="2847">
        <f>I177*$C$112*$C$116*Conversiones!$F$7</f>
        <v>0.83369012614449256</v>
      </c>
      <c r="J187" s="2847">
        <f>J177*$C$112*$C$116*Conversiones!$F$7</f>
        <v>0.90399967573982287</v>
      </c>
      <c r="K187" s="2847">
        <f>K177*$C$112*$C$116*Conversiones!$F$7</f>
        <v>0.97987599973535178</v>
      </c>
      <c r="L187" s="2847">
        <f>L177*$C$112*$C$116*Conversiones!$F$7</f>
        <v>1.0615835451037829</v>
      </c>
      <c r="M187" s="2847">
        <f>M177*$C$112*$C$116*Conversiones!$F$7</f>
        <v>1.147542510073579</v>
      </c>
    </row>
    <row r="188" spans="1:14" x14ac:dyDescent="0.25">
      <c r="A188" s="3366"/>
      <c r="B188" s="1215"/>
      <c r="C188" s="1221" t="s">
        <v>690</v>
      </c>
      <c r="D188" s="1219" t="s">
        <v>171</v>
      </c>
      <c r="F188" s="2847">
        <f>F178*$C$112*$C$116*Conversiones!$F$7</f>
        <v>6.2634649761815346</v>
      </c>
      <c r="G188" s="2847">
        <f>G178*$C$112*$C$116*Conversiones!$F$7</f>
        <v>6.7464991197914292</v>
      </c>
      <c r="H188" s="2847">
        <f>H178*$C$112*$C$116*Conversiones!$F$7</f>
        <v>7.3517108134729785</v>
      </c>
      <c r="I188" s="2847">
        <f>I178*$C$112*$C$116*Conversiones!$F$7</f>
        <v>8.0083962262851411</v>
      </c>
      <c r="J188" s="2847">
        <f>J178*$C$112*$C$116*Conversiones!$F$7</f>
        <v>8.6837871347213778</v>
      </c>
      <c r="K188" s="2847">
        <f>K178*$C$112*$C$116*Conversiones!$F$7</f>
        <v>9.4126522702128224</v>
      </c>
      <c r="L188" s="2847">
        <f>L178*$C$112*$C$116*Conversiones!$F$7</f>
        <v>10.197531900506243</v>
      </c>
      <c r="M188" s="2847">
        <f>M178*$C$112*$C$116*Conversiones!$F$7</f>
        <v>11.02325050876547</v>
      </c>
    </row>
    <row r="189" spans="1:14" x14ac:dyDescent="0.25">
      <c r="A189" s="3366"/>
      <c r="B189" s="1215"/>
      <c r="C189" s="1221" t="s">
        <v>691</v>
      </c>
      <c r="D189" s="1219" t="s">
        <v>171</v>
      </c>
      <c r="F189" s="2847">
        <f>F179*$C$112*$C$116*Conversiones!$F$7</f>
        <v>0.17313551118251319</v>
      </c>
      <c r="G189" s="2847">
        <f>G179*$C$112*$C$116*Conversiones!$F$7</f>
        <v>0.1864876036250403</v>
      </c>
      <c r="H189" s="2847">
        <f>H179*$C$112*$C$116*Conversiones!$F$7</f>
        <v>0.20321694375189608</v>
      </c>
      <c r="I189" s="2847">
        <f>I179*$C$112*$C$116*Conversiones!$F$7</f>
        <v>0.22136912709860446</v>
      </c>
      <c r="J189" s="2847">
        <f>J179*$C$112*$C$116*Conversiones!$F$7</f>
        <v>0.24003837018127558</v>
      </c>
      <c r="K189" s="2847">
        <f>K179*$C$112*$C$116*Conversiones!$F$7</f>
        <v>0.26018575478329736</v>
      </c>
      <c r="L189" s="2847">
        <f>L179*$C$112*$C$116*Conversiones!$F$7</f>
        <v>0.28188149931517442</v>
      </c>
      <c r="M189" s="2847">
        <f>M179*$C$112*$C$116*Conversiones!$F$7</f>
        <v>0.30470612017240301</v>
      </c>
    </row>
    <row r="190" spans="1:14" x14ac:dyDescent="0.25">
      <c r="B190" s="1215"/>
      <c r="C190" s="1215" t="s">
        <v>692</v>
      </c>
      <c r="D190" s="1219"/>
      <c r="F190" s="453"/>
      <c r="G190" s="453"/>
      <c r="H190" s="453"/>
      <c r="I190" s="453"/>
      <c r="J190" s="453"/>
      <c r="K190" s="453"/>
      <c r="L190" s="453"/>
      <c r="M190" s="453"/>
      <c r="N190"/>
    </row>
    <row r="191" spans="1:14" x14ac:dyDescent="0.25">
      <c r="A191" s="3366"/>
      <c r="B191" s="1215"/>
      <c r="C191" s="1221" t="s">
        <v>689</v>
      </c>
      <c r="D191" s="1219" t="s">
        <v>171</v>
      </c>
      <c r="F191" s="2847">
        <f>F181*$C$112*$C$116*Conversiones!$F$7</f>
        <v>0</v>
      </c>
      <c r="G191" s="2847">
        <f>G181*$C$112*$C$116*Conversiones!$F$7</f>
        <v>0</v>
      </c>
      <c r="H191" s="2847">
        <f>H181*$C$112*$C$116*Conversiones!$F$7</f>
        <v>0</v>
      </c>
      <c r="I191" s="2847">
        <f>I181*$C$112*$C$116*Conversiones!$F$7</f>
        <v>0</v>
      </c>
      <c r="J191" s="2847">
        <f>J181*$C$112*$C$116*Conversiones!$F$7</f>
        <v>0</v>
      </c>
      <c r="K191" s="2847">
        <f>K181*$C$112*$C$116*Conversiones!$F$7</f>
        <v>0</v>
      </c>
      <c r="L191" s="2847">
        <f>L181*$C$112*$C$116*Conversiones!$F$7</f>
        <v>0</v>
      </c>
      <c r="M191" s="2847">
        <f>M181*$C$112*$C$116*Conversiones!$F$7</f>
        <v>0</v>
      </c>
    </row>
    <row r="192" spans="1:14" x14ac:dyDescent="0.25">
      <c r="A192" s="3366"/>
      <c r="B192" s="1215"/>
      <c r="C192" s="1221" t="s">
        <v>690</v>
      </c>
      <c r="D192" s="1219" t="s">
        <v>171</v>
      </c>
      <c r="F192" s="2847">
        <f>F182*$C$112*$C$116*Conversiones!$F$7</f>
        <v>0</v>
      </c>
      <c r="G192" s="2847">
        <f>G182*$C$112*$C$116*Conversiones!$F$7</f>
        <v>0</v>
      </c>
      <c r="H192" s="2847">
        <f>H182*$C$112*$C$116*Conversiones!$F$7</f>
        <v>0</v>
      </c>
      <c r="I192" s="2847">
        <f>I182*$C$112*$C$116*Conversiones!$F$7</f>
        <v>0</v>
      </c>
      <c r="J192" s="2847">
        <f>J182*$C$112*$C$116*Conversiones!$F$7</f>
        <v>0</v>
      </c>
      <c r="K192" s="2847">
        <f>K182*$C$112*$C$116*Conversiones!$F$7</f>
        <v>0</v>
      </c>
      <c r="L192" s="2847">
        <f>L182*$C$112*$C$116*Conversiones!$F$7</f>
        <v>0</v>
      </c>
      <c r="M192" s="2847">
        <f>M182*$C$112*$C$116*Conversiones!$F$7</f>
        <v>0</v>
      </c>
    </row>
    <row r="193" spans="1:14" x14ac:dyDescent="0.25">
      <c r="A193" s="3366"/>
      <c r="B193" s="1215"/>
      <c r="C193" s="1221" t="s">
        <v>691</v>
      </c>
      <c r="D193" s="1219" t="s">
        <v>171</v>
      </c>
      <c r="F193" s="2847">
        <f>F183*$C$112*$C$116*Conversiones!$F$7</f>
        <v>8.0354758778486985</v>
      </c>
      <c r="G193" s="2847">
        <f>G183*$C$112*$C$116*Conversiones!$F$7</f>
        <v>8.6551662926454114</v>
      </c>
      <c r="H193" s="2847">
        <f>H183*$C$112*$C$116*Conversiones!$F$7</f>
        <v>9.4315997817865629</v>
      </c>
      <c r="I193" s="2847">
        <f>I183*$C$112*$C$116*Conversiones!$F$7</f>
        <v>10.274069535198388</v>
      </c>
      <c r="J193" s="2847">
        <f>J183*$C$112*$C$116*Conversiones!$F$7</f>
        <v>11.140536797886952</v>
      </c>
      <c r="K193" s="2847">
        <f>K183*$C$112*$C$116*Conversiones!$F$7</f>
        <v>12.075606800947295</v>
      </c>
      <c r="L193" s="2847">
        <f>L183*$C$112*$C$116*Conversiones!$F$7</f>
        <v>13.08253848496264</v>
      </c>
      <c r="M193" s="2847">
        <f>M183*$C$112*$C$116*Conversiones!$F$7</f>
        <v>14.141862993647409</v>
      </c>
    </row>
    <row r="194" spans="1:14" x14ac:dyDescent="0.25">
      <c r="B194" s="1215"/>
      <c r="C194" s="1221"/>
      <c r="D194" s="1219"/>
      <c r="F194" s="2847"/>
      <c r="G194" s="2847"/>
      <c r="H194" s="2847"/>
      <c r="I194" s="2847"/>
      <c r="J194" s="2847"/>
      <c r="K194" s="2847"/>
      <c r="L194" s="2847"/>
      <c r="M194" s="2847"/>
    </row>
    <row r="195" spans="1:14" x14ac:dyDescent="0.25">
      <c r="B195" s="1215"/>
      <c r="C195" s="1223"/>
      <c r="D195" s="1219"/>
      <c r="F195" s="453"/>
      <c r="G195" s="453"/>
      <c r="H195" s="453"/>
      <c r="I195" s="453"/>
      <c r="J195" s="453"/>
      <c r="K195" s="453"/>
      <c r="L195" s="453"/>
      <c r="M195" s="453"/>
      <c r="N195"/>
    </row>
    <row r="196" spans="1:14" x14ac:dyDescent="0.25">
      <c r="B196" s="1215" t="s">
        <v>626</v>
      </c>
      <c r="C196" s="1215" t="s">
        <v>693</v>
      </c>
      <c r="D196" s="1219" t="s">
        <v>171</v>
      </c>
      <c r="F196" s="2847">
        <f t="shared" ref="F196:M196" si="27">F171*F69/10^9</f>
        <v>6.0502466557362678E-3</v>
      </c>
      <c r="G196" s="2847">
        <f t="shared" si="27"/>
        <v>6.3131887756425788E-3</v>
      </c>
      <c r="H196" s="2847">
        <f t="shared" si="27"/>
        <v>6.6669002863886983E-3</v>
      </c>
      <c r="I196" s="2847">
        <f t="shared" si="27"/>
        <v>7.0253872509913858E-3</v>
      </c>
      <c r="J196" s="2847">
        <f t="shared" si="27"/>
        <v>7.3549027833011314E-3</v>
      </c>
      <c r="K196" s="2847">
        <f t="shared" si="27"/>
        <v>7.6806278547464401E-3</v>
      </c>
      <c r="L196" s="2847">
        <f t="shared" si="27"/>
        <v>7.9979504726837031E-3</v>
      </c>
      <c r="M196" s="2847">
        <f t="shared" si="27"/>
        <v>8.2883472481640463E-3</v>
      </c>
    </row>
    <row r="197" spans="1:14" x14ac:dyDescent="0.25">
      <c r="B197" s="1215"/>
      <c r="C197" s="1215"/>
      <c r="F197" s="1213"/>
      <c r="G197" s="1213"/>
      <c r="H197" s="1213"/>
      <c r="I197" s="1213"/>
      <c r="J197" s="1213"/>
      <c r="K197" s="1213"/>
      <c r="L197" s="1213"/>
      <c r="M197" s="1213"/>
    </row>
    <row r="198" spans="1:14" x14ac:dyDescent="0.25">
      <c r="A198" s="3366"/>
      <c r="B198" s="1215" t="s">
        <v>694</v>
      </c>
      <c r="C198" s="1215" t="s">
        <v>695</v>
      </c>
      <c r="D198" s="1219" t="s">
        <v>171</v>
      </c>
      <c r="F198" s="2851">
        <f>F158*$F$108/10^6*Conversiones!$F$7</f>
        <v>0.28516907055863489</v>
      </c>
      <c r="G198" s="2851">
        <f>G158*$F$108/10^6*Conversiones!$F$7</f>
        <v>0.30962578524555734</v>
      </c>
      <c r="H198" s="2851">
        <f>H158*$F$108/10^6*Conversiones!$F$7</f>
        <v>0.34078908460303153</v>
      </c>
      <c r="I198" s="2851">
        <f>I158*$F$108/10^6*Conversiones!$F$7</f>
        <v>0.37495696100373616</v>
      </c>
      <c r="J198" s="2851">
        <f>J158*$F$108/10^6*Conversiones!$F$7</f>
        <v>0.41066117460400281</v>
      </c>
      <c r="K198" s="2851">
        <f>K158*$F$108/10^6*Conversiones!$F$7</f>
        <v>0.44959875353967499</v>
      </c>
      <c r="L198" s="2851">
        <f>L158*$F$108/10^6*Conversiones!$F$7</f>
        <v>0.49197922477980477</v>
      </c>
      <c r="M198" s="2851">
        <f>M158*$F$108/10^6*Conversiones!$F$7</f>
        <v>0.53715543706052005</v>
      </c>
    </row>
    <row r="199" spans="1:14" x14ac:dyDescent="0.25">
      <c r="B199" s="1215"/>
      <c r="C199" s="1221"/>
      <c r="D199" s="1219"/>
      <c r="F199" s="2849"/>
      <c r="G199" s="2845"/>
      <c r="H199" s="2845"/>
      <c r="I199" s="2845"/>
      <c r="J199" s="2845"/>
      <c r="K199" s="2845"/>
      <c r="L199" s="2845"/>
      <c r="M199" s="2845"/>
    </row>
    <row r="200" spans="1:14" x14ac:dyDescent="0.25">
      <c r="B200" s="1215"/>
      <c r="C200" s="1222" t="s">
        <v>696</v>
      </c>
      <c r="D200" s="1219"/>
      <c r="F200" s="453"/>
      <c r="G200" s="453"/>
      <c r="H200" s="453"/>
      <c r="I200" s="453"/>
      <c r="J200" s="453"/>
      <c r="K200" s="453"/>
      <c r="L200" s="453"/>
      <c r="M200" s="453"/>
    </row>
    <row r="201" spans="1:14" x14ac:dyDescent="0.25">
      <c r="B201" s="1215"/>
      <c r="C201" s="1221"/>
      <c r="D201" s="1219"/>
      <c r="F201" s="453"/>
      <c r="G201" s="453"/>
      <c r="H201" s="453"/>
      <c r="I201" s="453"/>
      <c r="J201" s="453"/>
      <c r="K201" s="453"/>
      <c r="L201" s="453"/>
      <c r="M201" s="453"/>
    </row>
    <row r="202" spans="1:14" x14ac:dyDescent="0.25">
      <c r="B202" s="1215"/>
      <c r="C202" s="1222" t="s">
        <v>687</v>
      </c>
      <c r="D202" s="1219" t="s">
        <v>171</v>
      </c>
      <c r="F202" s="2849">
        <f t="shared" ref="F202:M202" si="28">SUM(F187:F189)+SUM(F191:F193)</f>
        <v>15.124115644807262</v>
      </c>
      <c r="G202" s="2849">
        <f t="shared" si="28"/>
        <v>16.290477119825869</v>
      </c>
      <c r="H202" s="2849">
        <f t="shared" si="28"/>
        <v>17.751855395211329</v>
      </c>
      <c r="I202" s="2849">
        <f t="shared" si="28"/>
        <v>19.337525014726626</v>
      </c>
      <c r="J202" s="2849">
        <f t="shared" si="28"/>
        <v>20.96836197852943</v>
      </c>
      <c r="K202" s="2849">
        <f t="shared" si="28"/>
        <v>22.728320825678765</v>
      </c>
      <c r="L202" s="2849">
        <f t="shared" si="28"/>
        <v>24.623535429887841</v>
      </c>
      <c r="M202" s="2849">
        <f t="shared" si="28"/>
        <v>26.617362132658862</v>
      </c>
    </row>
    <row r="203" spans="1:14" x14ac:dyDescent="0.25">
      <c r="B203" s="1215"/>
      <c r="C203" s="1215" t="s">
        <v>693</v>
      </c>
      <c r="D203" s="1219" t="s">
        <v>171</v>
      </c>
      <c r="F203" s="2851">
        <f t="shared" ref="F203:M203" si="29">F196</f>
        <v>6.0502466557362678E-3</v>
      </c>
      <c r="G203" s="2851">
        <f t="shared" si="29"/>
        <v>6.3131887756425788E-3</v>
      </c>
      <c r="H203" s="2851">
        <f t="shared" si="29"/>
        <v>6.6669002863886983E-3</v>
      </c>
      <c r="I203" s="2851">
        <f t="shared" si="29"/>
        <v>7.0253872509913858E-3</v>
      </c>
      <c r="J203" s="2851">
        <f t="shared" si="29"/>
        <v>7.3549027833011314E-3</v>
      </c>
      <c r="K203" s="2851">
        <f t="shared" si="29"/>
        <v>7.6806278547464401E-3</v>
      </c>
      <c r="L203" s="2851">
        <f t="shared" si="29"/>
        <v>7.9979504726837031E-3</v>
      </c>
      <c r="M203" s="2851">
        <f t="shared" si="29"/>
        <v>8.2883472481640463E-3</v>
      </c>
    </row>
    <row r="204" spans="1:14" x14ac:dyDescent="0.25">
      <c r="B204" s="1215"/>
      <c r="C204" s="1215" t="s">
        <v>695</v>
      </c>
      <c r="D204" s="1219" t="s">
        <v>171</v>
      </c>
      <c r="F204" s="2851">
        <f>F198</f>
        <v>0.28516907055863489</v>
      </c>
      <c r="G204" s="2851">
        <f t="shared" ref="G204:M204" si="30">G198</f>
        <v>0.30962578524555734</v>
      </c>
      <c r="H204" s="2851">
        <f t="shared" si="30"/>
        <v>0.34078908460303153</v>
      </c>
      <c r="I204" s="2851">
        <f t="shared" si="30"/>
        <v>0.37495696100373616</v>
      </c>
      <c r="J204" s="2851">
        <f t="shared" si="30"/>
        <v>0.41066117460400281</v>
      </c>
      <c r="K204" s="2851">
        <f t="shared" si="30"/>
        <v>0.44959875353967499</v>
      </c>
      <c r="L204" s="2851">
        <f t="shared" si="30"/>
        <v>0.49197922477980477</v>
      </c>
      <c r="M204" s="2851">
        <f t="shared" si="30"/>
        <v>0.53715543706052005</v>
      </c>
    </row>
    <row r="205" spans="1:14" x14ac:dyDescent="0.25">
      <c r="B205" s="1215"/>
      <c r="C205" s="1215"/>
      <c r="D205" s="1219"/>
      <c r="F205" s="2845"/>
      <c r="G205" s="2845"/>
      <c r="H205" s="2845"/>
      <c r="I205" s="2845"/>
      <c r="J205" s="2845"/>
      <c r="K205" s="2845"/>
      <c r="L205" s="2845"/>
      <c r="M205" s="2845"/>
    </row>
    <row r="206" spans="1:14" x14ac:dyDescent="0.25">
      <c r="B206" s="1215"/>
      <c r="C206" s="1215"/>
      <c r="D206" s="1219"/>
      <c r="F206" s="453"/>
      <c r="G206" s="453"/>
      <c r="H206" s="453"/>
      <c r="I206" s="453"/>
      <c r="J206" s="453"/>
      <c r="K206" s="453"/>
      <c r="L206" s="453"/>
      <c r="M206" s="453"/>
    </row>
    <row r="207" spans="1:14" x14ac:dyDescent="0.25">
      <c r="B207" s="1215"/>
      <c r="C207" s="1215"/>
      <c r="D207" s="1219"/>
      <c r="F207"/>
      <c r="G207"/>
      <c r="H207"/>
      <c r="I207"/>
      <c r="J207"/>
      <c r="K207"/>
      <c r="L207"/>
      <c r="M207"/>
    </row>
    <row r="208" spans="1:14" x14ac:dyDescent="0.25">
      <c r="B208" s="1215"/>
      <c r="C208" s="1215" t="s">
        <v>452</v>
      </c>
      <c r="D208" s="1887" t="str">
        <f>INDEX(Vectors[Descripción], MATCH(C208,Vectors[Código],FALSE))</f>
        <v>Transporte de carga caminero Urbano</v>
      </c>
      <c r="E208" s="1219" t="s">
        <v>171</v>
      </c>
      <c r="F208" s="1224">
        <f t="shared" ref="F208:M208" si="31">SUM(F187:F189)</f>
        <v>7.088639766958563</v>
      </c>
      <c r="G208" s="1224">
        <f t="shared" si="31"/>
        <v>7.6353108271804588</v>
      </c>
      <c r="H208" s="1224">
        <f t="shared" si="31"/>
        <v>8.3202556134247665</v>
      </c>
      <c r="I208" s="1224">
        <f t="shared" si="31"/>
        <v>9.0634554795282387</v>
      </c>
      <c r="J208" s="1224">
        <f t="shared" si="31"/>
        <v>9.8278251806424759</v>
      </c>
      <c r="K208" s="1224">
        <f t="shared" si="31"/>
        <v>10.652714024731472</v>
      </c>
      <c r="L208" s="1224">
        <f t="shared" si="31"/>
        <v>11.540996944925201</v>
      </c>
      <c r="M208" s="1224">
        <f t="shared" si="31"/>
        <v>12.475499139011452</v>
      </c>
    </row>
    <row r="209" spans="2:13" x14ac:dyDescent="0.25">
      <c r="B209" s="1215"/>
      <c r="C209" s="1215" t="s">
        <v>984</v>
      </c>
      <c r="D209" s="1887" t="str">
        <f>INDEX(Vectors[Descripción], MATCH(C209,Vectors[Código],FALSE))</f>
        <v>Transporte de carga caminero Interurbano</v>
      </c>
      <c r="E209" s="1219" t="s">
        <v>171</v>
      </c>
      <c r="F209" s="2851">
        <f t="shared" ref="F209:M209" si="32">SUM(F191:F193)</f>
        <v>8.0354758778486985</v>
      </c>
      <c r="G209" s="2851">
        <f t="shared" si="32"/>
        <v>8.6551662926454114</v>
      </c>
      <c r="H209" s="2851">
        <f t="shared" si="32"/>
        <v>9.4315997817865629</v>
      </c>
      <c r="I209" s="2851">
        <f t="shared" si="32"/>
        <v>10.274069535198388</v>
      </c>
      <c r="J209" s="2851">
        <f t="shared" si="32"/>
        <v>11.140536797886952</v>
      </c>
      <c r="K209" s="2851">
        <f t="shared" si="32"/>
        <v>12.075606800947295</v>
      </c>
      <c r="L209" s="2851">
        <f t="shared" si="32"/>
        <v>13.08253848496264</v>
      </c>
      <c r="M209" s="2851">
        <f t="shared" si="32"/>
        <v>14.141862993647409</v>
      </c>
    </row>
    <row r="210" spans="2:13" x14ac:dyDescent="0.25">
      <c r="B210" s="1215"/>
      <c r="C210" s="1215" t="s">
        <v>985</v>
      </c>
      <c r="D210" s="1887" t="str">
        <f>INDEX(Vectors[Descripción], MATCH(C210,Vectors[Código],FALSE))</f>
        <v>Transporte de carga ferroviario</v>
      </c>
      <c r="E210" s="1219" t="s">
        <v>171</v>
      </c>
      <c r="F210" s="2851">
        <f t="shared" ref="F210:M210" si="33">F196</f>
        <v>6.0502466557362678E-3</v>
      </c>
      <c r="G210" s="2851">
        <f t="shared" si="33"/>
        <v>6.3131887756425788E-3</v>
      </c>
      <c r="H210" s="2851">
        <f t="shared" si="33"/>
        <v>6.6669002863886983E-3</v>
      </c>
      <c r="I210" s="2851">
        <f t="shared" si="33"/>
        <v>7.0253872509913858E-3</v>
      </c>
      <c r="J210" s="2851">
        <f t="shared" si="33"/>
        <v>7.3549027833011314E-3</v>
      </c>
      <c r="K210" s="2851">
        <f t="shared" si="33"/>
        <v>7.6806278547464401E-3</v>
      </c>
      <c r="L210" s="2851">
        <f t="shared" si="33"/>
        <v>7.9979504726837031E-3</v>
      </c>
      <c r="M210" s="2851">
        <f t="shared" si="33"/>
        <v>8.2883472481640463E-3</v>
      </c>
    </row>
    <row r="211" spans="2:13" x14ac:dyDescent="0.25">
      <c r="B211" s="1215"/>
      <c r="C211" s="1215" t="s">
        <v>986</v>
      </c>
      <c r="D211" s="1887" t="str">
        <f>INDEX(Vectors[Descripción], MATCH(C211,Vectors[Código],FALSE))</f>
        <v>Transporte de carga maritimo</v>
      </c>
      <c r="E211" s="1219" t="s">
        <v>171</v>
      </c>
      <c r="F211" s="2848">
        <f>F198</f>
        <v>0.28516907055863489</v>
      </c>
      <c r="G211" s="2848">
        <f t="shared" ref="G211:M211" si="34">G198</f>
        <v>0.30962578524555734</v>
      </c>
      <c r="H211" s="2848">
        <f t="shared" si="34"/>
        <v>0.34078908460303153</v>
      </c>
      <c r="I211" s="2848">
        <f t="shared" si="34"/>
        <v>0.37495696100373616</v>
      </c>
      <c r="J211" s="2848">
        <f t="shared" si="34"/>
        <v>0.41066117460400281</v>
      </c>
      <c r="K211" s="2848">
        <f t="shared" si="34"/>
        <v>0.44959875353967499</v>
      </c>
      <c r="L211" s="2848">
        <f t="shared" si="34"/>
        <v>0.49197922477980477</v>
      </c>
      <c r="M211" s="2848">
        <f t="shared" si="34"/>
        <v>0.53715543706052005</v>
      </c>
    </row>
    <row r="212" spans="2:13" x14ac:dyDescent="0.25">
      <c r="B212" s="1215"/>
      <c r="D212" s="2846" t="s">
        <v>118</v>
      </c>
      <c r="E212" s="1218" t="s">
        <v>171</v>
      </c>
      <c r="F212" s="2852">
        <f>SUM(F208:F211)</f>
        <v>15.415334962021632</v>
      </c>
      <c r="G212" s="2852">
        <f t="shared" ref="G212:M212" si="35">SUM(G208:G211)</f>
        <v>16.60641609384707</v>
      </c>
      <c r="H212" s="2852">
        <f t="shared" si="35"/>
        <v>18.099311380100751</v>
      </c>
      <c r="I212" s="2852">
        <f t="shared" si="35"/>
        <v>19.719507362981354</v>
      </c>
      <c r="J212" s="2852">
        <f t="shared" si="35"/>
        <v>21.386378055916733</v>
      </c>
      <c r="K212" s="2852">
        <f t="shared" si="35"/>
        <v>23.185600207073186</v>
      </c>
      <c r="L212" s="2852">
        <f t="shared" si="35"/>
        <v>25.123512605140331</v>
      </c>
      <c r="M212" s="2852">
        <f t="shared" si="35"/>
        <v>27.162805916967546</v>
      </c>
    </row>
    <row r="213" spans="2:13" x14ac:dyDescent="0.25">
      <c r="B213" s="1215"/>
      <c r="G213" s="2841"/>
      <c r="H213" s="2841"/>
      <c r="I213" s="2841"/>
      <c r="J213" s="2841"/>
      <c r="K213" s="2841"/>
      <c r="L213" s="2841"/>
      <c r="M213" s="2841"/>
    </row>
    <row r="214" spans="2:13" x14ac:dyDescent="0.25">
      <c r="D214" s="1219"/>
      <c r="F214" s="2853">
        <f t="shared" ref="F214:M214" si="36">F16</f>
        <v>15.949704970925145</v>
      </c>
      <c r="G214" s="2853">
        <f t="shared" si="36"/>
        <v>17.054088161104055</v>
      </c>
      <c r="H214" s="2853">
        <f t="shared" si="36"/>
        <v>18.694271418848359</v>
      </c>
      <c r="I214" s="2853">
        <f t="shared" si="36"/>
        <v>20.40418703868896</v>
      </c>
      <c r="J214" s="2853">
        <f t="shared" si="36"/>
        <v>22.337712867486367</v>
      </c>
      <c r="K214" s="2853">
        <f t="shared" si="36"/>
        <v>24.274967695883127</v>
      </c>
      <c r="L214" s="2853">
        <f t="shared" si="36"/>
        <v>26.215133083410635</v>
      </c>
      <c r="M214" s="2853">
        <f t="shared" si="36"/>
        <v>28.077601998235519</v>
      </c>
    </row>
    <row r="215" spans="2:13" x14ac:dyDescent="0.25">
      <c r="B215" s="3561" t="s">
        <v>628</v>
      </c>
      <c r="C215" s="1217" t="s">
        <v>629</v>
      </c>
      <c r="D215" s="1227"/>
      <c r="E215" s="1219"/>
      <c r="F215"/>
      <c r="G215"/>
      <c r="H215"/>
      <c r="I215"/>
      <c r="J215"/>
      <c r="K215"/>
      <c r="L215"/>
      <c r="M215"/>
    </row>
    <row r="216" spans="2:13" x14ac:dyDescent="0.25">
      <c r="B216" s="1218"/>
      <c r="C216" s="1217"/>
      <c r="D216" s="1227"/>
      <c r="E216" s="1227"/>
      <c r="F216"/>
      <c r="G216"/>
      <c r="H216"/>
      <c r="I216"/>
      <c r="J216"/>
      <c r="K216"/>
      <c r="L216"/>
      <c r="M216"/>
    </row>
    <row r="217" spans="2:13" x14ac:dyDescent="0.25">
      <c r="B217" s="1218"/>
      <c r="C217" s="1217" t="s">
        <v>609</v>
      </c>
      <c r="D217" s="1227"/>
      <c r="E217" s="1219" t="s">
        <v>171</v>
      </c>
      <c r="F217" s="1225">
        <v>0</v>
      </c>
      <c r="G217" s="1225">
        <v>0</v>
      </c>
      <c r="H217" s="1225">
        <v>0</v>
      </c>
      <c r="I217" s="1225">
        <v>0</v>
      </c>
      <c r="J217" s="1225">
        <v>0</v>
      </c>
      <c r="K217" s="1225">
        <v>0</v>
      </c>
      <c r="L217" s="1225">
        <v>0</v>
      </c>
      <c r="M217" s="1225">
        <v>0</v>
      </c>
    </row>
    <row r="218" spans="2:13" x14ac:dyDescent="0.25">
      <c r="B218" s="1218"/>
      <c r="C218" s="1217" t="s">
        <v>334</v>
      </c>
      <c r="D218" s="1227"/>
      <c r="E218" s="1219" t="s">
        <v>171</v>
      </c>
      <c r="F218" s="1225">
        <f>F208+F209+F210+F211</f>
        <v>15.415334962021632</v>
      </c>
      <c r="G218" s="1225">
        <f t="shared" ref="G218:M218" si="37">G208+G209+G210+G211</f>
        <v>16.60641609384707</v>
      </c>
      <c r="H218" s="1225">
        <f t="shared" si="37"/>
        <v>18.099311380100751</v>
      </c>
      <c r="I218" s="1225">
        <f t="shared" si="37"/>
        <v>19.719507362981354</v>
      </c>
      <c r="J218" s="1225">
        <f t="shared" si="37"/>
        <v>21.386378055916733</v>
      </c>
      <c r="K218" s="1225">
        <f t="shared" si="37"/>
        <v>23.185600207073186</v>
      </c>
      <c r="L218" s="1225">
        <f t="shared" si="37"/>
        <v>25.123512605140331</v>
      </c>
      <c r="M218" s="1225">
        <f t="shared" si="37"/>
        <v>27.162805916967546</v>
      </c>
    </row>
    <row r="219" spans="2:13" x14ac:dyDescent="0.25">
      <c r="B219" s="1218"/>
      <c r="C219" s="1217" t="s">
        <v>498</v>
      </c>
      <c r="D219" s="1227"/>
      <c r="E219" s="1219" t="s">
        <v>171</v>
      </c>
      <c r="F219" s="2849">
        <v>0</v>
      </c>
      <c r="G219" s="2849">
        <v>0</v>
      </c>
      <c r="H219" s="2849">
        <v>0</v>
      </c>
      <c r="I219" s="2849">
        <v>0</v>
      </c>
      <c r="J219" s="2849">
        <v>0</v>
      </c>
      <c r="K219" s="2849">
        <v>0</v>
      </c>
      <c r="L219" s="2849">
        <v>0</v>
      </c>
      <c r="M219" s="2849">
        <v>0</v>
      </c>
    </row>
    <row r="220" spans="2:13" x14ac:dyDescent="0.25">
      <c r="B220" s="1218"/>
      <c r="C220" s="1217" t="s">
        <v>612</v>
      </c>
      <c r="D220" s="1227"/>
      <c r="E220" s="1219" t="s">
        <v>171</v>
      </c>
      <c r="F220" s="2850">
        <v>0</v>
      </c>
      <c r="G220" s="2850">
        <v>0</v>
      </c>
      <c r="H220" s="2850">
        <v>0</v>
      </c>
      <c r="I220" s="2850">
        <v>0</v>
      </c>
      <c r="J220" s="2850">
        <v>0</v>
      </c>
      <c r="K220" s="2850">
        <v>0</v>
      </c>
      <c r="L220" s="2850">
        <v>0</v>
      </c>
      <c r="M220" s="2850">
        <v>0</v>
      </c>
    </row>
    <row r="221" spans="2:13" x14ac:dyDescent="0.25">
      <c r="B221" s="1218"/>
      <c r="C221" s="1217"/>
      <c r="D221" s="1227" t="s">
        <v>118</v>
      </c>
      <c r="E221" s="1227"/>
      <c r="F221" s="2852">
        <f>SUM(F217:F220)</f>
        <v>15.415334962021632</v>
      </c>
      <c r="G221" s="2852">
        <f t="shared" ref="G221:L221" si="38">SUM(G217:G220)</f>
        <v>16.60641609384707</v>
      </c>
      <c r="H221" s="2852">
        <f t="shared" si="38"/>
        <v>18.099311380100751</v>
      </c>
      <c r="I221" s="2852">
        <f t="shared" si="38"/>
        <v>19.719507362981354</v>
      </c>
      <c r="J221" s="2852">
        <f t="shared" si="38"/>
        <v>21.386378055916733</v>
      </c>
      <c r="K221" s="2852">
        <f t="shared" si="38"/>
        <v>23.185600207073186</v>
      </c>
      <c r="L221" s="2852">
        <f t="shared" si="38"/>
        <v>25.123512605140331</v>
      </c>
      <c r="M221" s="2852">
        <f>SUM(M217:M220)</f>
        <v>27.162805916967546</v>
      </c>
    </row>
    <row r="222" spans="2:13" x14ac:dyDescent="0.25">
      <c r="B222" s="1218"/>
      <c r="C222" s="1217"/>
      <c r="D222" s="1227"/>
      <c r="E222" s="1227"/>
      <c r="F222" s="1226"/>
    </row>
    <row r="223" spans="2:13" x14ac:dyDescent="0.25">
      <c r="B223" s="3561">
        <v>5</v>
      </c>
      <c r="C223" s="674" t="s">
        <v>434</v>
      </c>
      <c r="D223" s="487"/>
      <c r="E223" s="487"/>
      <c r="F223" s="1012"/>
      <c r="G223" s="1012"/>
      <c r="H223" s="1012"/>
      <c r="I223" s="1012"/>
      <c r="J223" s="1012"/>
      <c r="K223" s="1012"/>
      <c r="L223" s="1012"/>
      <c r="M223" s="1012"/>
    </row>
    <row r="224" spans="2:13" x14ac:dyDescent="0.25">
      <c r="B224" s="3561"/>
      <c r="C224" s="674"/>
      <c r="D224" s="487"/>
      <c r="E224" s="487"/>
      <c r="F224" s="1012"/>
      <c r="G224" s="1012"/>
      <c r="H224" s="1012"/>
      <c r="I224" s="1012"/>
      <c r="J224" s="1012"/>
      <c r="K224" s="1012"/>
      <c r="L224" s="1012"/>
      <c r="M224" s="1012"/>
    </row>
    <row r="225" spans="2:13" x14ac:dyDescent="0.25">
      <c r="B225" s="674" t="s">
        <v>1894</v>
      </c>
      <c r="C225" s="2835" t="s">
        <v>420</v>
      </c>
      <c r="D225" s="487"/>
      <c r="E225" s="487"/>
      <c r="F225" s="1012"/>
      <c r="G225" s="1012"/>
      <c r="H225" s="1012"/>
      <c r="I225" s="1012"/>
      <c r="J225" s="1012"/>
      <c r="K225" s="1012"/>
      <c r="L225" s="1012"/>
      <c r="M225" s="1012"/>
    </row>
    <row r="226" spans="2:13" x14ac:dyDescent="0.25">
      <c r="B226" s="674" t="s">
        <v>398</v>
      </c>
      <c r="C226" s="487"/>
      <c r="D226" s="487"/>
      <c r="E226" s="487"/>
      <c r="F226"/>
      <c r="G226"/>
      <c r="H226"/>
      <c r="I226"/>
      <c r="J226"/>
      <c r="K226"/>
      <c r="L226"/>
      <c r="M226"/>
    </row>
    <row r="227" spans="2:13" x14ac:dyDescent="0.25">
      <c r="B227" s="2836" t="s">
        <v>1724</v>
      </c>
      <c r="C227" s="2689" t="str">
        <f>CONCATENATE(B227,"_",$C$225)</f>
        <v>V.042_Transporte</v>
      </c>
      <c r="D227" s="2835" t="s">
        <v>492</v>
      </c>
      <c r="E227" s="2721" t="s">
        <v>1895</v>
      </c>
      <c r="F227" s="1012">
        <f>VLOOKUP($C227,Constantes!$G$11:$P$120,8,0)*F218</f>
        <v>4.1118658052044745</v>
      </c>
      <c r="G227" s="1012">
        <f>VLOOKUP($C227,Constantes!$G$11:$P$120,8,0)*G218</f>
        <v>4.4295731913393377</v>
      </c>
      <c r="H227" s="1012">
        <f>VLOOKUP($C227,Constantes!$G$11:$P$120,8,0)*H218</f>
        <v>4.827786080869207</v>
      </c>
      <c r="I227" s="1012">
        <f>VLOOKUP($C227,Constantes!$G$11:$P$120,8,0)*I218</f>
        <v>5.2599549877498859</v>
      </c>
      <c r="J227" s="1012">
        <f>VLOOKUP($C227,Constantes!$G$11:$P$120,8,0)*J218</f>
        <v>5.704573844288805</v>
      </c>
      <c r="K227" s="1012">
        <f>VLOOKUP($C227,Constantes!$G$11:$P$120,8,0)*K218</f>
        <v>6.1844959515627185</v>
      </c>
      <c r="L227" s="1012">
        <f>VLOOKUP($C227,Constantes!$G$11:$P$120,8,0)*L218</f>
        <v>6.7014121095784684</v>
      </c>
      <c r="M227" s="1012">
        <f>VLOOKUP($C227,Constantes!$G$11:$P$120,8,0)*M218</f>
        <v>7.2453704767721216</v>
      </c>
    </row>
    <row r="228" spans="2:13" x14ac:dyDescent="0.25">
      <c r="B228" s="674" t="s">
        <v>400</v>
      </c>
      <c r="C228" s="2689"/>
      <c r="D228" s="487"/>
      <c r="E228" s="487"/>
      <c r="F228" s="1012"/>
      <c r="G228" s="1012"/>
      <c r="H228" s="1012"/>
      <c r="I228" s="1012"/>
      <c r="J228" s="1012"/>
      <c r="K228" s="1012"/>
      <c r="L228" s="1012"/>
      <c r="M228" s="1012"/>
    </row>
    <row r="229" spans="2:13" x14ac:dyDescent="0.25">
      <c r="B229" s="2836" t="s">
        <v>1724</v>
      </c>
      <c r="C229" s="2689" t="str">
        <f>CONCATENATE(B227,"_",$C$225)</f>
        <v>V.042_Transporte</v>
      </c>
      <c r="D229" s="2835" t="s">
        <v>492</v>
      </c>
      <c r="E229" s="2721" t="s">
        <v>1895</v>
      </c>
      <c r="F229" s="1012">
        <f>VLOOKUP($C229,Constantes!$G$11:$P$120,9,0)*F218</f>
        <v>8.1571426904866098E-3</v>
      </c>
      <c r="G229" s="1012">
        <f>VLOOKUP($C229,Constantes!$G$11:$P$120,9,0)*G218</f>
        <v>8.7874124038715608E-3</v>
      </c>
      <c r="H229" s="1012">
        <f>VLOOKUP($C229,Constantes!$G$11:$P$120,9,0)*H218</f>
        <v>9.5773893911980223E-3</v>
      </c>
      <c r="I229" s="1012">
        <f>VLOOKUP($C229,Constantes!$G$11:$P$120,9,0)*I218</f>
        <v>1.0434728518208277E-2</v>
      </c>
      <c r="J229" s="1012">
        <f>VLOOKUP($C229,Constantes!$G$11:$P$120,9,0)*J218</f>
        <v>1.1316765925917063E-2</v>
      </c>
      <c r="K229" s="1012">
        <f>VLOOKUP($C229,Constantes!$G$11:$P$120,9,0)*K218</f>
        <v>1.2268838122533328E-2</v>
      </c>
      <c r="L229" s="1012">
        <f>VLOOKUP($C229,Constantes!$G$11:$P$120,9,0)*L218</f>
        <v>1.3294299326694129E-2</v>
      </c>
      <c r="M229" s="1012">
        <f>VLOOKUP($C229,Constantes!$G$11:$P$120,9,0)*M218</f>
        <v>1.437340701869773E-2</v>
      </c>
    </row>
    <row r="230" spans="2:13" x14ac:dyDescent="0.25">
      <c r="B230" s="674" t="s">
        <v>401</v>
      </c>
      <c r="C230" s="2689"/>
      <c r="D230" s="487"/>
      <c r="E230" s="487"/>
      <c r="F230" s="1012"/>
      <c r="G230" s="1012"/>
      <c r="H230" s="1012"/>
      <c r="I230" s="1012"/>
      <c r="J230" s="1012"/>
      <c r="K230" s="1012"/>
      <c r="L230" s="1012"/>
      <c r="M230" s="1012"/>
    </row>
    <row r="231" spans="2:13" x14ac:dyDescent="0.25">
      <c r="B231" s="2836" t="s">
        <v>1724</v>
      </c>
      <c r="C231" s="2689" t="str">
        <f>CONCATENATE(B227,"_",$C$225)</f>
        <v>V.042_Transporte</v>
      </c>
      <c r="D231" s="2835" t="s">
        <v>492</v>
      </c>
      <c r="E231" s="2721" t="s">
        <v>1895</v>
      </c>
      <c r="F231" s="1012">
        <f>VLOOKUP($C231,Constantes!$G$11:$P$120,10,0)*F218</f>
        <v>3.440427529320883E-2</v>
      </c>
      <c r="G231" s="1012">
        <f>VLOOKUP($C231,Constantes!$G$11:$P$120,10,0)*G218</f>
        <v>3.7062555717009303E-2</v>
      </c>
      <c r="H231" s="1012">
        <f>VLOOKUP($C231,Constantes!$G$11:$P$120,10,0)*H218</f>
        <v>4.0394431445869211E-2</v>
      </c>
      <c r="I231" s="1012">
        <f>VLOOKUP($C231,Constantes!$G$11:$P$120,10,0)*I218</f>
        <v>4.4010419600606338E-2</v>
      </c>
      <c r="J231" s="1012">
        <f>VLOOKUP($C231,Constantes!$G$11:$P$120,10,0)*J218</f>
        <v>4.7730577374616188E-2</v>
      </c>
      <c r="K231" s="1012">
        <f>VLOOKUP($C231,Constantes!$G$11:$P$120,10,0)*K218</f>
        <v>5.1746119972589551E-2</v>
      </c>
      <c r="L231" s="1012">
        <f>VLOOKUP($C231,Constantes!$G$11:$P$120,10,0)*L218</f>
        <v>5.6071194439118101E-2</v>
      </c>
      <c r="M231" s="1012">
        <f>VLOOKUP($C231,Constantes!$G$11:$P$120,10,0)*M218</f>
        <v>6.0622533004031254E-2</v>
      </c>
    </row>
    <row r="232" spans="2:13" x14ac:dyDescent="0.25">
      <c r="B232" s="2836"/>
      <c r="C232" s="2689"/>
      <c r="D232" s="2835"/>
      <c r="E232" s="2721"/>
      <c r="F232" s="1012"/>
      <c r="G232" s="1012"/>
      <c r="H232" s="1012"/>
      <c r="I232" s="1012"/>
      <c r="J232" s="1012"/>
      <c r="K232" s="1012"/>
      <c r="L232" s="1012"/>
      <c r="M232" s="1012"/>
    </row>
    <row r="233" spans="2:13" x14ac:dyDescent="0.25">
      <c r="B233" s="489"/>
      <c r="C233" s="2721" t="s">
        <v>118</v>
      </c>
      <c r="D233" s="2721" t="s">
        <v>398</v>
      </c>
      <c r="E233" s="2721" t="s">
        <v>1895</v>
      </c>
      <c r="F233" s="1012">
        <f t="shared" ref="F233:M233" si="39">F227</f>
        <v>4.1118658052044745</v>
      </c>
      <c r="G233" s="1012">
        <f t="shared" si="39"/>
        <v>4.4295731913393377</v>
      </c>
      <c r="H233" s="1012">
        <f t="shared" si="39"/>
        <v>4.827786080869207</v>
      </c>
      <c r="I233" s="1012">
        <f t="shared" si="39"/>
        <v>5.2599549877498859</v>
      </c>
      <c r="J233" s="1012">
        <f t="shared" si="39"/>
        <v>5.704573844288805</v>
      </c>
      <c r="K233" s="1012">
        <f t="shared" si="39"/>
        <v>6.1844959515627185</v>
      </c>
      <c r="L233" s="1012">
        <f t="shared" si="39"/>
        <v>6.7014121095784684</v>
      </c>
      <c r="M233" s="1012">
        <f t="shared" si="39"/>
        <v>7.2453704767721216</v>
      </c>
    </row>
    <row r="234" spans="2:13" x14ac:dyDescent="0.25">
      <c r="B234" s="489"/>
      <c r="C234" s="487"/>
      <c r="D234" s="2721" t="s">
        <v>400</v>
      </c>
      <c r="E234" s="2721" t="s">
        <v>1895</v>
      </c>
      <c r="F234" s="1012">
        <f t="shared" ref="F234:M234" si="40">F229</f>
        <v>8.1571426904866098E-3</v>
      </c>
      <c r="G234" s="1012">
        <f t="shared" si="40"/>
        <v>8.7874124038715608E-3</v>
      </c>
      <c r="H234" s="1012">
        <f t="shared" si="40"/>
        <v>9.5773893911980223E-3</v>
      </c>
      <c r="I234" s="1012">
        <f t="shared" si="40"/>
        <v>1.0434728518208277E-2</v>
      </c>
      <c r="J234" s="1012">
        <f t="shared" si="40"/>
        <v>1.1316765925917063E-2</v>
      </c>
      <c r="K234" s="1012">
        <f t="shared" si="40"/>
        <v>1.2268838122533328E-2</v>
      </c>
      <c r="L234" s="1012">
        <f t="shared" si="40"/>
        <v>1.3294299326694129E-2</v>
      </c>
      <c r="M234" s="1012">
        <f t="shared" si="40"/>
        <v>1.437340701869773E-2</v>
      </c>
    </row>
    <row r="235" spans="2:13" x14ac:dyDescent="0.25">
      <c r="B235" s="489"/>
      <c r="C235" s="487"/>
      <c r="D235" s="2721" t="s">
        <v>401</v>
      </c>
      <c r="E235" s="2721" t="s">
        <v>1895</v>
      </c>
      <c r="F235" s="1012">
        <f>F231</f>
        <v>3.440427529320883E-2</v>
      </c>
      <c r="G235" s="1012">
        <f t="shared" ref="G235:M235" si="41">G231</f>
        <v>3.7062555717009303E-2</v>
      </c>
      <c r="H235" s="1012">
        <f t="shared" si="41"/>
        <v>4.0394431445869211E-2</v>
      </c>
      <c r="I235" s="1012">
        <f t="shared" si="41"/>
        <v>4.4010419600606338E-2</v>
      </c>
      <c r="J235" s="1012">
        <f t="shared" si="41"/>
        <v>4.7730577374616188E-2</v>
      </c>
      <c r="K235" s="1012">
        <f t="shared" si="41"/>
        <v>5.1746119972589551E-2</v>
      </c>
      <c r="L235" s="1012">
        <f t="shared" si="41"/>
        <v>5.6071194439118101E-2</v>
      </c>
      <c r="M235" s="1012">
        <f t="shared" si="41"/>
        <v>6.0622533004031254E-2</v>
      </c>
    </row>
    <row r="236" spans="2:13" x14ac:dyDescent="0.25">
      <c r="B236" s="487"/>
      <c r="C236" s="487"/>
      <c r="D236" s="489"/>
      <c r="E236" s="487"/>
      <c r="F236" s="1012"/>
      <c r="G236" s="1012"/>
      <c r="H236" s="1012"/>
      <c r="I236" s="1012"/>
      <c r="J236" s="1012"/>
      <c r="K236" s="1012"/>
      <c r="L236" s="1012"/>
      <c r="M236" s="1012"/>
    </row>
    <row r="237" spans="2:13" x14ac:dyDescent="0.25">
      <c r="B237" s="487"/>
      <c r="C237" s="487"/>
      <c r="D237" s="1112" t="s">
        <v>118</v>
      </c>
      <c r="E237" s="674" t="s">
        <v>1895</v>
      </c>
      <c r="F237" s="1115">
        <f>F233+F234+F235</f>
        <v>4.1544272231881703</v>
      </c>
      <c r="G237" s="1115">
        <f t="shared" ref="G237:M237" si="42">G233+G234+G235</f>
        <v>4.4754231594602185</v>
      </c>
      <c r="H237" s="1115">
        <f t="shared" si="42"/>
        <v>4.877757901706274</v>
      </c>
      <c r="I237" s="1115">
        <f t="shared" si="42"/>
        <v>5.3144001358687003</v>
      </c>
      <c r="J237" s="1115">
        <f t="shared" si="42"/>
        <v>5.7636211875893384</v>
      </c>
      <c r="K237" s="1115">
        <f t="shared" si="42"/>
        <v>6.2485109096578419</v>
      </c>
      <c r="L237" s="1115">
        <f t="shared" si="42"/>
        <v>6.770777603344281</v>
      </c>
      <c r="M237" s="1115">
        <f t="shared" si="42"/>
        <v>7.320366416794851</v>
      </c>
    </row>
    <row r="238" spans="2:13" x14ac:dyDescent="0.25">
      <c r="B238" s="1218"/>
      <c r="C238" s="1217"/>
      <c r="D238" s="1227"/>
      <c r="E238" s="1227"/>
      <c r="F238" s="1226"/>
    </row>
    <row r="239" spans="2:13" x14ac:dyDescent="0.25">
      <c r="B239" s="1218"/>
      <c r="C239" s="1217"/>
      <c r="D239" s="1227"/>
      <c r="E239" s="1227"/>
      <c r="F239" s="1226"/>
    </row>
    <row r="241" spans="1:17" s="1009" customFormat="1" ht="15.75" x14ac:dyDescent="0.25">
      <c r="B241" s="353" t="s">
        <v>181</v>
      </c>
      <c r="C241" s="355"/>
      <c r="D241" s="355"/>
      <c r="E241" s="355"/>
      <c r="F241" s="355"/>
      <c r="G241" s="355"/>
      <c r="H241" s="355"/>
      <c r="I241" s="355"/>
      <c r="J241" s="355"/>
      <c r="K241" s="355"/>
      <c r="L241" s="355"/>
      <c r="M241" s="355"/>
      <c r="N241" s="355"/>
    </row>
    <row r="242" spans="1:17" s="1009" customFormat="1" x14ac:dyDescent="0.25">
      <c r="B242" s="358"/>
      <c r="C242" s="360"/>
      <c r="D242" s="360"/>
      <c r="E242" s="360"/>
      <c r="F242" s="360"/>
      <c r="G242" s="360"/>
      <c r="H242" s="360"/>
      <c r="I242" s="360"/>
      <c r="J242" s="360"/>
      <c r="K242" s="360"/>
      <c r="L242" s="360"/>
      <c r="M242" s="360"/>
      <c r="N242" s="360"/>
    </row>
    <row r="243" spans="1:17" s="1009" customFormat="1" x14ac:dyDescent="0.25">
      <c r="B243" s="358"/>
      <c r="C243" s="457" t="s">
        <v>979</v>
      </c>
      <c r="D243" s="360"/>
      <c r="E243" s="361"/>
      <c r="F243" s="360"/>
      <c r="G243" s="361"/>
      <c r="H243" s="360"/>
      <c r="I243" s="360"/>
      <c r="J243" s="360"/>
      <c r="K243" s="360"/>
      <c r="L243" s="360"/>
      <c r="M243" s="1882" t="s">
        <v>171</v>
      </c>
      <c r="N243" s="360"/>
    </row>
    <row r="244" spans="1:17" s="1009" customFormat="1" x14ac:dyDescent="0.25">
      <c r="B244" s="358"/>
      <c r="C244" s="360"/>
      <c r="D244" s="360"/>
      <c r="E244" s="360"/>
      <c r="F244" s="360"/>
      <c r="G244" s="360"/>
      <c r="H244" s="360"/>
      <c r="I244" s="360"/>
      <c r="J244" s="360"/>
      <c r="K244" s="360"/>
      <c r="L244" s="360"/>
      <c r="M244" s="360"/>
      <c r="N244" s="360"/>
    </row>
    <row r="245" spans="1:17" s="1009" customFormat="1" ht="15.75" x14ac:dyDescent="0.25">
      <c r="B245" s="363"/>
      <c r="C245" s="458" t="s">
        <v>146</v>
      </c>
      <c r="D245" s="458" t="s">
        <v>242</v>
      </c>
      <c r="E245" s="458" t="s">
        <v>8</v>
      </c>
      <c r="F245" s="458" t="s">
        <v>16</v>
      </c>
      <c r="G245" s="458" t="s">
        <v>17</v>
      </c>
      <c r="H245" s="458" t="s">
        <v>18</v>
      </c>
      <c r="I245" s="458" t="s">
        <v>19</v>
      </c>
      <c r="J245" s="458" t="s">
        <v>20</v>
      </c>
      <c r="K245" s="458" t="s">
        <v>21</v>
      </c>
      <c r="L245" s="458" t="s">
        <v>22</v>
      </c>
      <c r="M245" s="458" t="s">
        <v>23</v>
      </c>
      <c r="N245" s="1879"/>
    </row>
    <row r="246" spans="1:17" s="1009" customFormat="1" ht="15.75" x14ac:dyDescent="0.25">
      <c r="B246" s="363"/>
      <c r="C246" s="73" t="s">
        <v>452</v>
      </c>
      <c r="D246" s="73" t="str">
        <f>INDEX(Vectors[Descripción], MATCH(C246,Vectors[Código],FALSE))</f>
        <v>Transporte de carga caminero Urbano</v>
      </c>
      <c r="E246" s="73"/>
      <c r="F246" s="1890">
        <f t="shared" ref="F246:M249" si="43">F208</f>
        <v>7.088639766958563</v>
      </c>
      <c r="G246" s="1890">
        <f t="shared" si="43"/>
        <v>7.6353108271804588</v>
      </c>
      <c r="H246" s="1890">
        <f t="shared" si="43"/>
        <v>8.3202556134247665</v>
      </c>
      <c r="I246" s="1890">
        <f t="shared" si="43"/>
        <v>9.0634554795282387</v>
      </c>
      <c r="J246" s="1890">
        <f t="shared" si="43"/>
        <v>9.8278251806424759</v>
      </c>
      <c r="K246" s="1890">
        <f t="shared" si="43"/>
        <v>10.652714024731472</v>
      </c>
      <c r="L246" s="1890">
        <f t="shared" si="43"/>
        <v>11.540996944925201</v>
      </c>
      <c r="M246" s="1890">
        <f t="shared" si="43"/>
        <v>12.475499139011452</v>
      </c>
      <c r="N246" s="1880"/>
    </row>
    <row r="247" spans="1:17" s="1009" customFormat="1" ht="15.75" x14ac:dyDescent="0.25">
      <c r="B247" s="363"/>
      <c r="C247" s="73" t="s">
        <v>984</v>
      </c>
      <c r="D247" s="73" t="str">
        <f>INDEX(Vectors[Descripción], MATCH(C247,Vectors[Código],FALSE))</f>
        <v>Transporte de carga caminero Interurbano</v>
      </c>
      <c r="E247" s="73"/>
      <c r="F247" s="1890">
        <f t="shared" si="43"/>
        <v>8.0354758778486985</v>
      </c>
      <c r="G247" s="1890">
        <f t="shared" si="43"/>
        <v>8.6551662926454114</v>
      </c>
      <c r="H247" s="1890">
        <f t="shared" si="43"/>
        <v>9.4315997817865629</v>
      </c>
      <c r="I247" s="1890">
        <f t="shared" si="43"/>
        <v>10.274069535198388</v>
      </c>
      <c r="J247" s="1890">
        <f t="shared" si="43"/>
        <v>11.140536797886952</v>
      </c>
      <c r="K247" s="1890">
        <f t="shared" si="43"/>
        <v>12.075606800947295</v>
      </c>
      <c r="L247" s="1890">
        <f t="shared" si="43"/>
        <v>13.08253848496264</v>
      </c>
      <c r="M247" s="1890">
        <f t="shared" si="43"/>
        <v>14.141862993647409</v>
      </c>
      <c r="N247" s="1880"/>
    </row>
    <row r="248" spans="1:17" s="1009" customFormat="1" ht="15.75" x14ac:dyDescent="0.25">
      <c r="B248" s="363"/>
      <c r="C248" s="73" t="s">
        <v>985</v>
      </c>
      <c r="D248" s="73" t="str">
        <f>INDEX(Vectors[Descripción], MATCH(C248,Vectors[Código],FALSE))</f>
        <v>Transporte de carga ferroviario</v>
      </c>
      <c r="E248" s="73"/>
      <c r="F248" s="1935">
        <f t="shared" si="43"/>
        <v>6.0502466557362678E-3</v>
      </c>
      <c r="G248" s="1935">
        <f t="shared" si="43"/>
        <v>6.3131887756425788E-3</v>
      </c>
      <c r="H248" s="1935">
        <f t="shared" si="43"/>
        <v>6.6669002863886983E-3</v>
      </c>
      <c r="I248" s="1935">
        <f t="shared" si="43"/>
        <v>7.0253872509913858E-3</v>
      </c>
      <c r="J248" s="1935">
        <f t="shared" si="43"/>
        <v>7.3549027833011314E-3</v>
      </c>
      <c r="K248" s="1935">
        <f t="shared" si="43"/>
        <v>7.6806278547464401E-3</v>
      </c>
      <c r="L248" s="1935">
        <f t="shared" si="43"/>
        <v>7.9979504726837031E-3</v>
      </c>
      <c r="M248" s="1935">
        <f t="shared" si="43"/>
        <v>8.2883472481640463E-3</v>
      </c>
      <c r="N248" s="1880"/>
    </row>
    <row r="249" spans="1:17" s="1009" customFormat="1" ht="15.75" x14ac:dyDescent="0.25">
      <c r="B249" s="363"/>
      <c r="C249" s="73" t="s">
        <v>986</v>
      </c>
      <c r="D249" s="73" t="str">
        <f>INDEX(Vectors[Descripción], MATCH(C249,Vectors[Código],FALSE))</f>
        <v>Transporte de carga maritimo</v>
      </c>
      <c r="E249" s="73"/>
      <c r="F249" s="1890">
        <f t="shared" si="43"/>
        <v>0.28516907055863489</v>
      </c>
      <c r="G249" s="1890">
        <f t="shared" si="43"/>
        <v>0.30962578524555734</v>
      </c>
      <c r="H249" s="1890">
        <f t="shared" si="43"/>
        <v>0.34078908460303153</v>
      </c>
      <c r="I249" s="1890">
        <f t="shared" si="43"/>
        <v>0.37495696100373616</v>
      </c>
      <c r="J249" s="1890">
        <f t="shared" si="43"/>
        <v>0.41066117460400281</v>
      </c>
      <c r="K249" s="1890">
        <f t="shared" si="43"/>
        <v>0.44959875353967499</v>
      </c>
      <c r="L249" s="1890">
        <f t="shared" si="43"/>
        <v>0.49197922477980477</v>
      </c>
      <c r="M249" s="1890">
        <f t="shared" si="43"/>
        <v>0.53715543706052005</v>
      </c>
      <c r="N249" s="1880"/>
    </row>
    <row r="250" spans="1:17" s="1009" customFormat="1" ht="15.75" x14ac:dyDescent="0.25">
      <c r="B250" s="363"/>
      <c r="C250" s="73" t="s">
        <v>333</v>
      </c>
      <c r="D250" s="73" t="str">
        <f>INDEX(Vectors[Descripción], MATCH(C250,Vectors[Código],FALSE))</f>
        <v>Hidrocarburo Líquido</v>
      </c>
      <c r="E250" s="73"/>
      <c r="F250" s="1890">
        <f t="shared" ref="F250:M250" si="44">-(F218)</f>
        <v>-15.415334962021632</v>
      </c>
      <c r="G250" s="1890">
        <f t="shared" si="44"/>
        <v>-16.60641609384707</v>
      </c>
      <c r="H250" s="1890">
        <f t="shared" si="44"/>
        <v>-18.099311380100751</v>
      </c>
      <c r="I250" s="1890">
        <f t="shared" si="44"/>
        <v>-19.719507362981354</v>
      </c>
      <c r="J250" s="1890">
        <f t="shared" si="44"/>
        <v>-21.386378055916733</v>
      </c>
      <c r="K250" s="1890">
        <f t="shared" si="44"/>
        <v>-23.185600207073186</v>
      </c>
      <c r="L250" s="1890">
        <f t="shared" si="44"/>
        <v>-25.123512605140331</v>
      </c>
      <c r="M250" s="1890">
        <f t="shared" si="44"/>
        <v>-27.162805916967546</v>
      </c>
      <c r="N250" s="1880"/>
    </row>
    <row r="251" spans="1:17" s="1009" customFormat="1" ht="15.75" x14ac:dyDescent="0.25">
      <c r="B251" s="363"/>
      <c r="C251" s="73" t="s">
        <v>149</v>
      </c>
      <c r="D251" s="73" t="str">
        <f>INDEX(Vectors[Descripción], MATCH(C251,Vectors[Código],FALSE))</f>
        <v>Electricidad (consumo final)</v>
      </c>
      <c r="E251" s="73"/>
      <c r="F251" s="1890">
        <f t="shared" ref="F251:M252" si="45">F219</f>
        <v>0</v>
      </c>
      <c r="G251" s="1890">
        <f t="shared" si="45"/>
        <v>0</v>
      </c>
      <c r="H251" s="1890">
        <f t="shared" si="45"/>
        <v>0</v>
      </c>
      <c r="I251" s="1890">
        <f t="shared" si="45"/>
        <v>0</v>
      </c>
      <c r="J251" s="1890">
        <f t="shared" si="45"/>
        <v>0</v>
      </c>
      <c r="K251" s="1890">
        <f t="shared" si="45"/>
        <v>0</v>
      </c>
      <c r="L251" s="1890">
        <f t="shared" si="45"/>
        <v>0</v>
      </c>
      <c r="M251" s="1890">
        <f t="shared" si="45"/>
        <v>0</v>
      </c>
      <c r="N251" s="1880"/>
    </row>
    <row r="252" spans="1:17" s="1009" customFormat="1" ht="15.75" x14ac:dyDescent="0.25">
      <c r="B252" s="363"/>
      <c r="C252" s="73" t="s">
        <v>630</v>
      </c>
      <c r="D252" s="73" t="str">
        <f>INDEX(Vectors[Descripción], MATCH(C252,Vectors[Código],FALSE))</f>
        <v>H2</v>
      </c>
      <c r="E252" s="73"/>
      <c r="F252" s="1890">
        <f t="shared" si="45"/>
        <v>0</v>
      </c>
      <c r="G252" s="1890">
        <f t="shared" si="45"/>
        <v>0</v>
      </c>
      <c r="H252" s="1890">
        <f t="shared" si="45"/>
        <v>0</v>
      </c>
      <c r="I252" s="1890">
        <f t="shared" si="45"/>
        <v>0</v>
      </c>
      <c r="J252" s="1890">
        <f t="shared" si="45"/>
        <v>0</v>
      </c>
      <c r="K252" s="1890">
        <f t="shared" si="45"/>
        <v>0</v>
      </c>
      <c r="L252" s="1890">
        <f t="shared" si="45"/>
        <v>0</v>
      </c>
      <c r="M252" s="1890">
        <f t="shared" si="45"/>
        <v>0</v>
      </c>
      <c r="N252" s="1880"/>
    </row>
    <row r="253" spans="1:17" s="1009" customFormat="1" ht="15.75" x14ac:dyDescent="0.25">
      <c r="A253" s="1885"/>
      <c r="B253" s="363"/>
      <c r="C253" s="460" t="s">
        <v>118</v>
      </c>
      <c r="D253" s="460"/>
      <c r="E253" s="460"/>
      <c r="F253" s="1241">
        <f>SUBTOTAL(109,XII.b.Outputs[2015])</f>
        <v>0</v>
      </c>
      <c r="G253" s="1241">
        <f>SUBTOTAL(109,XII.b.Outputs[2020])</f>
        <v>0</v>
      </c>
      <c r="H253" s="1241">
        <f>SUBTOTAL(109,XII.b.Outputs[2025])</f>
        <v>0</v>
      </c>
      <c r="I253" s="1241">
        <f>SUBTOTAL(109,XII.b.Outputs[2030])</f>
        <v>0</v>
      </c>
      <c r="J253" s="1241">
        <f>SUBTOTAL(109,XII.b.Outputs[2035])</f>
        <v>0</v>
      </c>
      <c r="K253" s="1241">
        <f>SUBTOTAL(109,XII.b.Outputs[2040])</f>
        <v>0</v>
      </c>
      <c r="L253" s="1241">
        <f>SUBTOTAL(109,XII.b.Outputs[2045])</f>
        <v>0</v>
      </c>
      <c r="M253" s="1241">
        <f>SUBTOTAL(109,XII.b.Outputs[2050])</f>
        <v>0</v>
      </c>
      <c r="N253" s="1881"/>
    </row>
    <row r="254" spans="1:17" customFormat="1" ht="15.75" x14ac:dyDescent="0.25">
      <c r="B254" s="363"/>
      <c r="C254" s="73"/>
      <c r="D254" s="73"/>
      <c r="E254" s="73"/>
      <c r="F254" s="1881"/>
      <c r="G254" s="1881"/>
      <c r="H254" s="1881"/>
      <c r="I254" s="1881"/>
      <c r="J254" s="1881"/>
      <c r="K254" s="1881"/>
      <c r="L254" s="1881"/>
      <c r="M254" s="1881"/>
      <c r="N254" s="1881"/>
      <c r="Q254" s="1009"/>
    </row>
    <row r="255" spans="1:17" x14ac:dyDescent="0.25">
      <c r="Q255" s="1009"/>
    </row>
    <row r="256" spans="1:17" x14ac:dyDescent="0.25">
      <c r="Q256" s="1009"/>
    </row>
    <row r="257" spans="2:17" ht="15.75" x14ac:dyDescent="0.25">
      <c r="B257" s="701" t="s">
        <v>434</v>
      </c>
      <c r="C257" s="704"/>
      <c r="D257" s="705"/>
      <c r="E257" s="705"/>
      <c r="F257" s="705"/>
      <c r="G257" s="705"/>
      <c r="H257" s="705"/>
      <c r="I257" s="705"/>
      <c r="J257" s="705"/>
      <c r="K257" s="705"/>
      <c r="L257" s="705"/>
      <c r="M257" s="705"/>
      <c r="N257" s="702"/>
      <c r="Q257" s="1009"/>
    </row>
    <row r="258" spans="2:17" x14ac:dyDescent="0.25">
      <c r="B258" s="703"/>
      <c r="C258" s="708"/>
      <c r="D258" s="708"/>
      <c r="E258" s="708"/>
      <c r="F258" s="708"/>
      <c r="G258" s="708"/>
      <c r="H258" s="708"/>
      <c r="I258" s="708"/>
      <c r="J258" s="708"/>
      <c r="K258" s="708"/>
      <c r="L258" s="708"/>
      <c r="M258" s="708"/>
      <c r="N258" s="706"/>
      <c r="Q258" s="1009"/>
    </row>
    <row r="259" spans="2:17" x14ac:dyDescent="0.25">
      <c r="B259" s="707"/>
      <c r="C259" s="710" t="s">
        <v>394</v>
      </c>
      <c r="D259" s="711"/>
      <c r="E259" s="712"/>
      <c r="F259" s="711"/>
      <c r="G259" s="712"/>
      <c r="H259" s="711"/>
      <c r="I259" s="711"/>
      <c r="J259" s="711"/>
      <c r="K259" s="711"/>
      <c r="L259" s="711"/>
      <c r="M259" s="713" t="s">
        <v>395</v>
      </c>
      <c r="N259" s="709"/>
      <c r="Q259" s="1009"/>
    </row>
    <row r="260" spans="2:17" x14ac:dyDescent="0.25">
      <c r="B260" s="707"/>
      <c r="C260" s="711"/>
      <c r="D260" s="711"/>
      <c r="E260" s="711"/>
      <c r="F260" s="711"/>
      <c r="G260" s="711"/>
      <c r="H260" s="711"/>
      <c r="I260" s="711"/>
      <c r="J260" s="711"/>
      <c r="K260" s="711"/>
      <c r="L260" s="711"/>
      <c r="M260" s="711"/>
      <c r="N260" s="709"/>
      <c r="Q260" s="1009"/>
    </row>
    <row r="261" spans="2:17" ht="15.75" x14ac:dyDescent="0.25">
      <c r="B261" s="714"/>
      <c r="C261" s="715" t="s">
        <v>396</v>
      </c>
      <c r="D261" s="715" t="s">
        <v>397</v>
      </c>
      <c r="E261" s="715" t="s">
        <v>148</v>
      </c>
      <c r="F261" s="716">
        <v>2015</v>
      </c>
      <c r="G261" s="716">
        <v>2020</v>
      </c>
      <c r="H261" s="716" t="s">
        <v>18</v>
      </c>
      <c r="I261" s="716" t="s">
        <v>19</v>
      </c>
      <c r="J261" s="716" t="s">
        <v>20</v>
      </c>
      <c r="K261" s="716" t="s">
        <v>21</v>
      </c>
      <c r="L261" s="716" t="s">
        <v>22</v>
      </c>
      <c r="M261" s="716" t="s">
        <v>23</v>
      </c>
      <c r="N261" s="709"/>
      <c r="Q261" s="1009"/>
    </row>
    <row r="262" spans="2:17" ht="15.75" outlineLevel="1" x14ac:dyDescent="0.25">
      <c r="B262" s="714"/>
      <c r="C262" s="717" t="s">
        <v>398</v>
      </c>
      <c r="D262" s="718" t="s">
        <v>399</v>
      </c>
      <c r="E262" s="717"/>
      <c r="F262" s="719">
        <f>F233</f>
        <v>4.1118658052044745</v>
      </c>
      <c r="G262" s="719">
        <f t="shared" ref="G262:M262" si="46">G233</f>
        <v>4.4295731913393377</v>
      </c>
      <c r="H262" s="719">
        <f t="shared" si="46"/>
        <v>4.827786080869207</v>
      </c>
      <c r="I262" s="719">
        <f t="shared" si="46"/>
        <v>5.2599549877498859</v>
      </c>
      <c r="J262" s="719">
        <f t="shared" si="46"/>
        <v>5.704573844288805</v>
      </c>
      <c r="K262" s="719">
        <f t="shared" si="46"/>
        <v>6.1844959515627185</v>
      </c>
      <c r="L262" s="719">
        <f t="shared" si="46"/>
        <v>6.7014121095784684</v>
      </c>
      <c r="M262" s="719">
        <f t="shared" si="46"/>
        <v>7.2453704767721216</v>
      </c>
      <c r="N262" s="709"/>
      <c r="Q262" s="1009"/>
    </row>
    <row r="263" spans="2:17" ht="15.75" outlineLevel="1" x14ac:dyDescent="0.25">
      <c r="B263" s="714"/>
      <c r="C263" s="717" t="s">
        <v>400</v>
      </c>
      <c r="D263" s="718" t="s">
        <v>399</v>
      </c>
      <c r="E263" s="717"/>
      <c r="F263" s="719">
        <f>F234</f>
        <v>8.1571426904866098E-3</v>
      </c>
      <c r="G263" s="719">
        <f t="shared" ref="G263:M263" si="47">G234</f>
        <v>8.7874124038715608E-3</v>
      </c>
      <c r="H263" s="719">
        <f t="shared" si="47"/>
        <v>9.5773893911980223E-3</v>
      </c>
      <c r="I263" s="719">
        <f t="shared" si="47"/>
        <v>1.0434728518208277E-2</v>
      </c>
      <c r="J263" s="719">
        <f t="shared" si="47"/>
        <v>1.1316765925917063E-2</v>
      </c>
      <c r="K263" s="719">
        <f t="shared" si="47"/>
        <v>1.2268838122533328E-2</v>
      </c>
      <c r="L263" s="719">
        <f t="shared" si="47"/>
        <v>1.3294299326694129E-2</v>
      </c>
      <c r="M263" s="719">
        <f t="shared" si="47"/>
        <v>1.437340701869773E-2</v>
      </c>
      <c r="N263" s="709"/>
      <c r="Q263" s="1009"/>
    </row>
    <row r="264" spans="2:17" ht="15.75" outlineLevel="1" x14ac:dyDescent="0.25">
      <c r="B264" s="714"/>
      <c r="C264" s="717" t="s">
        <v>401</v>
      </c>
      <c r="D264" s="718" t="s">
        <v>399</v>
      </c>
      <c r="E264" s="717"/>
      <c r="F264" s="719">
        <f>F235</f>
        <v>3.440427529320883E-2</v>
      </c>
      <c r="G264" s="719">
        <f t="shared" ref="G264:M264" si="48">G235</f>
        <v>3.7062555717009303E-2</v>
      </c>
      <c r="H264" s="719">
        <f t="shared" si="48"/>
        <v>4.0394431445869211E-2</v>
      </c>
      <c r="I264" s="719">
        <f t="shared" si="48"/>
        <v>4.4010419600606338E-2</v>
      </c>
      <c r="J264" s="719">
        <f t="shared" si="48"/>
        <v>4.7730577374616188E-2</v>
      </c>
      <c r="K264" s="719">
        <f t="shared" si="48"/>
        <v>5.1746119972589551E-2</v>
      </c>
      <c r="L264" s="719">
        <f t="shared" si="48"/>
        <v>5.6071194439118101E-2</v>
      </c>
      <c r="M264" s="719">
        <f t="shared" si="48"/>
        <v>6.0622533004031254E-2</v>
      </c>
      <c r="N264" s="709"/>
      <c r="Q264" s="1009"/>
    </row>
    <row r="265" spans="2:17" ht="15.75" x14ac:dyDescent="0.25">
      <c r="B265" s="714"/>
      <c r="C265" s="717" t="s">
        <v>118</v>
      </c>
      <c r="D265" s="717"/>
      <c r="E265" s="717"/>
      <c r="F265" s="721">
        <f>F237</f>
        <v>4.1544272231881703</v>
      </c>
      <c r="G265" s="721">
        <f t="shared" ref="G265:M265" si="49">G237</f>
        <v>4.4754231594602185</v>
      </c>
      <c r="H265" s="721">
        <f t="shared" si="49"/>
        <v>4.877757901706274</v>
      </c>
      <c r="I265" s="721">
        <f t="shared" si="49"/>
        <v>5.3144001358687003</v>
      </c>
      <c r="J265" s="721">
        <f t="shared" si="49"/>
        <v>5.7636211875893384</v>
      </c>
      <c r="K265" s="721">
        <f t="shared" si="49"/>
        <v>6.2485109096578419</v>
      </c>
      <c r="L265" s="721">
        <f t="shared" si="49"/>
        <v>6.770777603344281</v>
      </c>
      <c r="M265" s="721">
        <f t="shared" si="49"/>
        <v>7.320366416794851</v>
      </c>
      <c r="N265" s="709"/>
      <c r="Q265" s="1009"/>
    </row>
    <row r="266" spans="2:17" x14ac:dyDescent="0.25">
      <c r="B266" s="720"/>
      <c r="C266" s="720"/>
      <c r="D266" s="720"/>
      <c r="E266" s="720"/>
      <c r="F266" s="720"/>
      <c r="G266" s="720"/>
      <c r="H266" s="720"/>
      <c r="I266" s="720"/>
      <c r="J266" s="720"/>
      <c r="K266" s="720"/>
      <c r="L266" s="720"/>
      <c r="M266" s="720"/>
      <c r="N266" s="720"/>
      <c r="Q266" s="1009"/>
    </row>
  </sheetData>
  <pageMargins left="0.7" right="0.7" top="0.75" bottom="0.75" header="0.3" footer="0.3"/>
  <pageSetup orientation="portrait" verticalDpi="0" r:id="rId1"/>
  <ignoredErrors>
    <ignoredError sqref="H261:M261 F15:M15" numberStoredAsText="1"/>
  </ignoredErrors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Q54"/>
  <sheetViews>
    <sheetView zoomScale="85" zoomScaleNormal="85" workbookViewId="0">
      <selection activeCell="N17" sqref="N17"/>
    </sheetView>
  </sheetViews>
  <sheetFormatPr baseColWidth="10" defaultColWidth="11.42578125" defaultRowHeight="15" x14ac:dyDescent="0.25"/>
  <cols>
    <col min="1" max="1" width="9.85546875" style="3249" customWidth="1"/>
    <col min="2" max="2" width="13.28515625" style="3249" customWidth="1"/>
    <col min="3" max="3" width="16.7109375" style="3249" customWidth="1"/>
    <col min="4" max="4" width="13.28515625" style="3249" customWidth="1"/>
    <col min="5" max="5" width="12.7109375" style="3249" customWidth="1"/>
    <col min="6" max="16384" width="11.42578125" style="3249"/>
  </cols>
  <sheetData>
    <row r="1" spans="1:17" ht="20.25" x14ac:dyDescent="0.3">
      <c r="A1" s="3248" t="s">
        <v>743</v>
      </c>
      <c r="B1" s="3248" t="e">
        <f>B2</f>
        <v>#N/A</v>
      </c>
      <c r="C1" s="3248"/>
    </row>
    <row r="2" spans="1:17" ht="15.75" x14ac:dyDescent="0.25">
      <c r="A2" s="3250" t="s">
        <v>800</v>
      </c>
      <c r="B2" s="3250" t="e">
        <f>INDEX(Modulos[Modulos], MATCH($A2, Modulos[Código], 0))</f>
        <v>#N/A</v>
      </c>
      <c r="C2" s="3250"/>
      <c r="D2" s="3251"/>
      <c r="E2" s="3252"/>
      <c r="F2" s="3251"/>
      <c r="G2" s="3251"/>
      <c r="H2" s="3251"/>
      <c r="I2" s="3251"/>
      <c r="J2" s="3251"/>
      <c r="K2" s="3251"/>
      <c r="L2" s="3251"/>
      <c r="M2" s="3251"/>
      <c r="N2" s="3251"/>
      <c r="Q2" s="3251"/>
    </row>
    <row r="4" spans="1:17" ht="23.25" x14ac:dyDescent="0.35">
      <c r="A4" s="3253"/>
      <c r="B4" s="3254" t="s">
        <v>144</v>
      </c>
      <c r="C4" s="3255"/>
      <c r="D4" s="3255"/>
      <c r="E4" s="3255"/>
      <c r="F4" s="3255"/>
      <c r="G4" s="3255"/>
      <c r="H4" s="3255"/>
      <c r="I4" s="3255"/>
      <c r="J4" s="3255"/>
      <c r="K4" s="3255"/>
      <c r="L4" s="3255"/>
      <c r="M4" s="3255"/>
      <c r="N4" s="3255"/>
    </row>
    <row r="5" spans="1:17" ht="17.25" customHeight="1" x14ac:dyDescent="0.25">
      <c r="B5" s="3256"/>
      <c r="C5" s="3257"/>
      <c r="D5" s="3257"/>
      <c r="E5" s="3257"/>
      <c r="F5" s="3257"/>
      <c r="G5" s="3257"/>
      <c r="H5" s="3257"/>
      <c r="I5" s="3257"/>
      <c r="J5" s="3257"/>
      <c r="K5" s="3257"/>
      <c r="L5" s="3257"/>
      <c r="M5" s="3257"/>
      <c r="N5" s="3257"/>
    </row>
    <row r="6" spans="1:17" ht="17.25" customHeight="1" x14ac:dyDescent="0.25">
      <c r="B6" s="3258"/>
      <c r="C6" s="3259" t="s">
        <v>2232</v>
      </c>
      <c r="D6" s="3259" t="s">
        <v>3</v>
      </c>
      <c r="E6" s="3257"/>
      <c r="F6" s="3305" t="s">
        <v>2233</v>
      </c>
      <c r="G6" s="3257"/>
      <c r="H6" s="3257"/>
      <c r="I6" s="3257"/>
      <c r="J6" s="3257"/>
      <c r="K6" s="3257"/>
      <c r="L6" s="3257"/>
      <c r="M6" s="3257"/>
      <c r="N6" s="3257"/>
    </row>
    <row r="7" spans="1:17" ht="17.25" customHeight="1" x14ac:dyDescent="0.25">
      <c r="B7" s="3258"/>
      <c r="C7" s="3260" t="s">
        <v>3</v>
      </c>
      <c r="D7" s="3261">
        <v>1</v>
      </c>
      <c r="E7" s="3257"/>
      <c r="F7" s="3257"/>
      <c r="G7" s="3257"/>
      <c r="H7" s="3257"/>
      <c r="I7" s="3257"/>
      <c r="J7" s="3257"/>
      <c r="K7" s="3257"/>
      <c r="L7" s="3257"/>
      <c r="M7" s="3257"/>
      <c r="N7" s="3257"/>
    </row>
    <row r="8" spans="1:17" ht="17.25" customHeight="1" x14ac:dyDescent="0.25">
      <c r="B8" s="3258"/>
      <c r="C8" s="3257"/>
      <c r="D8" s="3262"/>
      <c r="E8" s="3263"/>
      <c r="F8" s="3257"/>
      <c r="G8" s="3257"/>
      <c r="H8" s="3257"/>
      <c r="I8" s="3257"/>
      <c r="J8" s="3257"/>
      <c r="K8" s="3257"/>
      <c r="L8" s="3257"/>
      <c r="M8" s="3257"/>
      <c r="N8" s="3257"/>
    </row>
    <row r="10" spans="1:17" ht="15.75" x14ac:dyDescent="0.25">
      <c r="B10" s="3254" t="s">
        <v>2234</v>
      </c>
      <c r="C10" s="3255"/>
      <c r="D10" s="3255"/>
      <c r="E10" s="3255"/>
      <c r="F10" s="3255"/>
      <c r="G10" s="3255"/>
      <c r="H10" s="3255"/>
      <c r="I10" s="3255"/>
      <c r="J10" s="3255"/>
      <c r="K10" s="3255"/>
      <c r="L10" s="3255"/>
      <c r="M10" s="3255"/>
      <c r="N10" s="3255"/>
    </row>
    <row r="11" spans="1:17" x14ac:dyDescent="0.25">
      <c r="B11" s="3257"/>
      <c r="C11" s="3257"/>
      <c r="D11" s="3257"/>
      <c r="E11" s="3257"/>
      <c r="F11" s="3257"/>
      <c r="G11" s="3257"/>
      <c r="H11" s="3257"/>
      <c r="I11" s="3257"/>
      <c r="J11" s="3257"/>
      <c r="K11" s="3257"/>
      <c r="L11" s="3257"/>
      <c r="M11" s="3257"/>
      <c r="N11" s="3257"/>
    </row>
    <row r="12" spans="1:17" x14ac:dyDescent="0.25">
      <c r="B12" s="3257"/>
      <c r="C12" s="3257" t="s">
        <v>2235</v>
      </c>
      <c r="D12" s="3257"/>
      <c r="E12" s="3257"/>
      <c r="F12" s="3257"/>
      <c r="G12" s="3257"/>
      <c r="H12" s="3257"/>
      <c r="I12" s="3257"/>
      <c r="J12" s="3257"/>
      <c r="K12" s="3257"/>
      <c r="L12" s="3257"/>
      <c r="M12" s="3257" t="s">
        <v>171</v>
      </c>
      <c r="N12" s="3257"/>
    </row>
    <row r="13" spans="1:17" ht="4.5" customHeight="1" x14ac:dyDescent="0.25">
      <c r="B13" s="3257"/>
      <c r="C13" s="3257"/>
      <c r="D13" s="3257"/>
      <c r="E13" s="3257"/>
      <c r="F13" s="3257"/>
      <c r="G13" s="3257"/>
      <c r="H13" s="3257"/>
      <c r="I13" s="3257"/>
      <c r="J13" s="3257"/>
      <c r="K13" s="3257"/>
      <c r="L13" s="3257"/>
      <c r="M13" s="3257"/>
      <c r="N13" s="3257"/>
    </row>
    <row r="14" spans="1:17" x14ac:dyDescent="0.25">
      <c r="B14" s="3257"/>
      <c r="C14" s="3264" t="s">
        <v>146</v>
      </c>
      <c r="D14" s="3264" t="s">
        <v>242</v>
      </c>
      <c r="E14" s="3264" t="s">
        <v>8</v>
      </c>
      <c r="F14" s="3264" t="s">
        <v>16</v>
      </c>
      <c r="G14" s="3264" t="s">
        <v>17</v>
      </c>
      <c r="H14" s="3264" t="s">
        <v>18</v>
      </c>
      <c r="I14" s="3264" t="s">
        <v>19</v>
      </c>
      <c r="J14" s="3264" t="s">
        <v>20</v>
      </c>
      <c r="K14" s="3264" t="s">
        <v>21</v>
      </c>
      <c r="L14" s="3264" t="s">
        <v>22</v>
      </c>
      <c r="M14" s="3264" t="s">
        <v>23</v>
      </c>
      <c r="N14" s="3257"/>
    </row>
    <row r="15" spans="1:17" x14ac:dyDescent="0.25">
      <c r="B15" s="3257"/>
      <c r="C15" s="3265" t="s">
        <v>150</v>
      </c>
      <c r="D15" s="3265"/>
      <c r="E15" s="3265"/>
      <c r="F15" s="3266">
        <v>32.563624290142599</v>
      </c>
      <c r="G15" s="3266">
        <v>32.343457275476219</v>
      </c>
      <c r="H15" s="3266">
        <v>35.666560951183513</v>
      </c>
      <c r="I15" s="3266">
        <v>40.669875875268666</v>
      </c>
      <c r="J15" s="3266">
        <v>49.312652659192175</v>
      </c>
      <c r="K15" s="3266">
        <v>60.38752352228132</v>
      </c>
      <c r="L15" s="3266">
        <v>72.545474620054691</v>
      </c>
      <c r="M15" s="3266">
        <v>84.602630874519562</v>
      </c>
      <c r="N15" s="3257"/>
    </row>
    <row r="16" spans="1:17" x14ac:dyDescent="0.25">
      <c r="B16" s="3257"/>
      <c r="C16" s="3257"/>
      <c r="D16" s="3257"/>
      <c r="E16" s="3257"/>
      <c r="F16" s="3267"/>
      <c r="G16" s="3267"/>
      <c r="H16" s="3267"/>
      <c r="I16" s="3267"/>
      <c r="J16" s="3267"/>
      <c r="K16" s="3267"/>
      <c r="L16" s="3267"/>
      <c r="M16" s="3267"/>
      <c r="N16" s="3257"/>
    </row>
    <row r="17" spans="1:14" x14ac:dyDescent="0.25">
      <c r="B17" s="3257"/>
      <c r="C17" s="3257" t="s">
        <v>2236</v>
      </c>
      <c r="D17" s="3257"/>
      <c r="E17" s="3257"/>
      <c r="F17" s="3267"/>
      <c r="G17" s="3267"/>
      <c r="H17" s="3267"/>
      <c r="I17" s="3267"/>
      <c r="J17" s="3267"/>
      <c r="K17" s="3267"/>
      <c r="L17" s="3267"/>
      <c r="M17" s="3268" t="s">
        <v>534</v>
      </c>
      <c r="N17" s="3257"/>
    </row>
    <row r="18" spans="1:14" ht="4.5" customHeight="1" x14ac:dyDescent="0.25">
      <c r="B18" s="3257"/>
      <c r="C18" s="3257"/>
      <c r="D18" s="3257"/>
      <c r="E18" s="3257"/>
      <c r="F18" s="3267"/>
      <c r="G18" s="3267"/>
      <c r="H18" s="3267"/>
      <c r="I18" s="3267"/>
      <c r="J18" s="3267"/>
      <c r="K18" s="3267"/>
      <c r="L18" s="3267"/>
      <c r="M18" s="3267"/>
      <c r="N18" s="3257"/>
    </row>
    <row r="19" spans="1:14" x14ac:dyDescent="0.25">
      <c r="B19" s="3257"/>
      <c r="C19" s="3264" t="s">
        <v>146</v>
      </c>
      <c r="D19" s="3264" t="s">
        <v>242</v>
      </c>
      <c r="E19" s="3264" t="s">
        <v>8</v>
      </c>
      <c r="F19" s="3264" t="s">
        <v>16</v>
      </c>
      <c r="G19" s="3264" t="s">
        <v>17</v>
      </c>
      <c r="H19" s="3264" t="s">
        <v>18</v>
      </c>
      <c r="I19" s="3264" t="s">
        <v>19</v>
      </c>
      <c r="J19" s="3264" t="s">
        <v>20</v>
      </c>
      <c r="K19" s="3264" t="s">
        <v>21</v>
      </c>
      <c r="L19" s="3264" t="s">
        <v>22</v>
      </c>
      <c r="M19" s="3264" t="s">
        <v>23</v>
      </c>
      <c r="N19" s="3257"/>
    </row>
    <row r="20" spans="1:14" x14ac:dyDescent="0.25">
      <c r="B20" s="3257"/>
      <c r="C20" s="3265" t="s">
        <v>150</v>
      </c>
      <c r="D20" s="3265"/>
      <c r="E20" s="3265"/>
      <c r="F20" s="3266">
        <v>20.254177646075764</v>
      </c>
      <c r="G20" s="3266">
        <v>19.740338752184645</v>
      </c>
      <c r="H20" s="3266">
        <v>21.869935422060546</v>
      </c>
      <c r="I20" s="3266">
        <v>25.112032381554762</v>
      </c>
      <c r="J20" s="3266">
        <v>30.763887267044243</v>
      </c>
      <c r="K20" s="3266">
        <v>38.026078573065945</v>
      </c>
      <c r="L20" s="3266">
        <v>46.005398202046635</v>
      </c>
      <c r="M20" s="3266">
        <v>53.917979620292819</v>
      </c>
      <c r="N20" s="3257"/>
    </row>
    <row r="21" spans="1:14" x14ac:dyDescent="0.25">
      <c r="B21" s="3257"/>
      <c r="C21" s="3257"/>
      <c r="D21" s="3257"/>
      <c r="E21" s="3257"/>
      <c r="F21" s="3267"/>
      <c r="G21" s="3267"/>
      <c r="H21" s="3267"/>
      <c r="I21" s="3267"/>
      <c r="J21" s="3267"/>
      <c r="K21" s="3267"/>
      <c r="L21" s="3267"/>
      <c r="M21" s="3267"/>
      <c r="N21" s="3257"/>
    </row>
    <row r="24" spans="1:14" ht="23.25" x14ac:dyDescent="0.35">
      <c r="A24" s="3253"/>
      <c r="B24" s="3269" t="s">
        <v>151</v>
      </c>
      <c r="C24" s="3270"/>
      <c r="D24" s="3270"/>
      <c r="E24" s="3270"/>
      <c r="F24" s="3270"/>
      <c r="G24" s="3270"/>
      <c r="H24" s="3270"/>
      <c r="I24" s="3270"/>
      <c r="J24" s="3270"/>
      <c r="K24" s="3270"/>
      <c r="L24" s="3270"/>
      <c r="M24" s="3270"/>
      <c r="N24" s="3270"/>
    </row>
    <row r="25" spans="1:14" x14ac:dyDescent="0.25">
      <c r="B25" s="3271"/>
      <c r="C25" s="3272"/>
      <c r="D25" s="3272"/>
      <c r="E25" s="3272"/>
      <c r="F25" s="3272"/>
      <c r="G25" s="3272"/>
      <c r="H25" s="3272"/>
      <c r="I25" s="3272"/>
      <c r="J25" s="3272"/>
      <c r="K25" s="3272"/>
      <c r="L25" s="3272"/>
      <c r="M25" s="3272"/>
      <c r="N25" s="3272"/>
    </row>
    <row r="26" spans="1:14" x14ac:dyDescent="0.25">
      <c r="B26" s="3374"/>
      <c r="C26" s="3388" t="s">
        <v>2237</v>
      </c>
      <c r="D26" s="3389"/>
      <c r="E26" s="3390"/>
      <c r="F26" s="3389"/>
      <c r="G26" s="3389"/>
      <c r="H26" s="3389"/>
      <c r="I26" s="3389"/>
      <c r="J26" s="3389"/>
      <c r="K26" s="3389"/>
      <c r="L26" s="3389"/>
      <c r="M26" s="3391" t="s">
        <v>190</v>
      </c>
      <c r="N26" s="3272"/>
    </row>
    <row r="27" spans="1:14" x14ac:dyDescent="0.25">
      <c r="B27" s="3374"/>
      <c r="C27" s="3389"/>
      <c r="D27" s="3389"/>
      <c r="E27" s="3389"/>
      <c r="F27" s="3389"/>
      <c r="G27" s="3389"/>
      <c r="H27" s="3389"/>
      <c r="I27" s="3389"/>
      <c r="J27" s="3389"/>
      <c r="K27" s="3389"/>
      <c r="L27" s="3389"/>
      <c r="M27" s="3389"/>
      <c r="N27" s="3272"/>
    </row>
    <row r="28" spans="1:14" x14ac:dyDescent="0.25">
      <c r="B28" s="3374"/>
      <c r="C28" s="3392" t="s">
        <v>3</v>
      </c>
      <c r="D28" s="3392" t="s">
        <v>7</v>
      </c>
      <c r="E28" s="3392" t="s">
        <v>8</v>
      </c>
      <c r="F28" s="3393">
        <v>2015</v>
      </c>
      <c r="G28" s="3394">
        <v>2020</v>
      </c>
      <c r="H28" s="3393">
        <v>2025</v>
      </c>
      <c r="I28" s="3393">
        <v>2030</v>
      </c>
      <c r="J28" s="3393">
        <v>2035</v>
      </c>
      <c r="K28" s="3393">
        <v>2040</v>
      </c>
      <c r="L28" s="3393">
        <v>2045</v>
      </c>
      <c r="M28" s="3393">
        <v>2050</v>
      </c>
      <c r="N28" s="3272"/>
    </row>
    <row r="29" spans="1:14" x14ac:dyDescent="0.25">
      <c r="B29" s="3374"/>
      <c r="C29" s="3395">
        <v>1</v>
      </c>
      <c r="D29" s="3375"/>
      <c r="E29" s="3396"/>
      <c r="F29" s="3376"/>
      <c r="G29" s="3397"/>
      <c r="H29" s="3376"/>
      <c r="I29" s="3376"/>
      <c r="J29" s="3376"/>
      <c r="K29" s="3376"/>
      <c r="L29" s="3376"/>
      <c r="M29" s="3376"/>
      <c r="N29" s="3272"/>
    </row>
    <row r="30" spans="1:14" x14ac:dyDescent="0.25">
      <c r="B30" s="3374"/>
      <c r="C30" s="3395">
        <v>2</v>
      </c>
      <c r="D30" s="3375"/>
      <c r="E30" s="3375"/>
      <c r="F30" s="3376"/>
      <c r="G30" s="3398">
        <f>2%</f>
        <v>0.02</v>
      </c>
      <c r="H30" s="3399">
        <f>G30</f>
        <v>0.02</v>
      </c>
      <c r="I30" s="3399">
        <f t="shared" ref="I30:M32" si="0">H30</f>
        <v>0.02</v>
      </c>
      <c r="J30" s="3399">
        <f t="shared" si="0"/>
        <v>0.02</v>
      </c>
      <c r="K30" s="3399">
        <f t="shared" si="0"/>
        <v>0.02</v>
      </c>
      <c r="L30" s="3399">
        <f t="shared" si="0"/>
        <v>0.02</v>
      </c>
      <c r="M30" s="3399">
        <f t="shared" si="0"/>
        <v>0.02</v>
      </c>
      <c r="N30" s="3272"/>
    </row>
    <row r="31" spans="1:14" x14ac:dyDescent="0.25">
      <c r="B31" s="3374"/>
      <c r="C31" s="3395">
        <v>3</v>
      </c>
      <c r="D31" s="3375"/>
      <c r="E31" s="3375"/>
      <c r="F31" s="3376"/>
      <c r="G31" s="3398">
        <f>5%</f>
        <v>0.05</v>
      </c>
      <c r="H31" s="3399">
        <f>G31</f>
        <v>0.05</v>
      </c>
      <c r="I31" s="3399">
        <f t="shared" si="0"/>
        <v>0.05</v>
      </c>
      <c r="J31" s="3399">
        <f t="shared" si="0"/>
        <v>0.05</v>
      </c>
      <c r="K31" s="3399">
        <f t="shared" si="0"/>
        <v>0.05</v>
      </c>
      <c r="L31" s="3399">
        <f t="shared" si="0"/>
        <v>0.05</v>
      </c>
      <c r="M31" s="3399">
        <f t="shared" si="0"/>
        <v>0.05</v>
      </c>
      <c r="N31" s="3272"/>
    </row>
    <row r="32" spans="1:14" x14ac:dyDescent="0.25">
      <c r="B32" s="3374"/>
      <c r="C32" s="3400">
        <v>4</v>
      </c>
      <c r="D32" s="3401"/>
      <c r="E32" s="3401"/>
      <c r="F32" s="3402"/>
      <c r="G32" s="3403">
        <f>8%</f>
        <v>0.08</v>
      </c>
      <c r="H32" s="3404">
        <f>G32</f>
        <v>0.08</v>
      </c>
      <c r="I32" s="3404">
        <f t="shared" si="0"/>
        <v>0.08</v>
      </c>
      <c r="J32" s="3404">
        <f t="shared" si="0"/>
        <v>0.08</v>
      </c>
      <c r="K32" s="3404">
        <f t="shared" si="0"/>
        <v>0.08</v>
      </c>
      <c r="L32" s="3404">
        <f t="shared" si="0"/>
        <v>0.08</v>
      </c>
      <c r="M32" s="3404">
        <f t="shared" si="0"/>
        <v>0.08</v>
      </c>
      <c r="N32" s="3272"/>
    </row>
    <row r="33" spans="1:17" x14ac:dyDescent="0.25">
      <c r="B33" s="3374"/>
      <c r="C33" s="3405" t="s">
        <v>153</v>
      </c>
      <c r="D33" s="3406"/>
      <c r="E33" s="3406"/>
      <c r="F33" s="3407">
        <f t="shared" ref="F33:M33" si="1">(INDEX(F$29:F$32,ROUNDDOWN($D$7,0))*(1-MOD($D$7,1)))+(INDEX(F$29:F$32,ROUNDUP($D$7,0))*MOD($D$7,1))</f>
        <v>0</v>
      </c>
      <c r="G33" s="3407">
        <f t="shared" si="1"/>
        <v>0</v>
      </c>
      <c r="H33" s="3407">
        <f t="shared" si="1"/>
        <v>0</v>
      </c>
      <c r="I33" s="3407">
        <f t="shared" si="1"/>
        <v>0</v>
      </c>
      <c r="J33" s="3407">
        <f t="shared" si="1"/>
        <v>0</v>
      </c>
      <c r="K33" s="3407">
        <f t="shared" si="1"/>
        <v>0</v>
      </c>
      <c r="L33" s="3407">
        <f t="shared" si="1"/>
        <v>0</v>
      </c>
      <c r="M33" s="3407">
        <f t="shared" si="1"/>
        <v>0</v>
      </c>
      <c r="N33" s="3272"/>
    </row>
    <row r="34" spans="1:17" x14ac:dyDescent="0.25">
      <c r="B34" s="3272"/>
      <c r="C34" s="3272"/>
      <c r="D34" s="3272"/>
      <c r="E34" s="3272"/>
      <c r="F34" s="3272"/>
      <c r="G34" s="3272"/>
      <c r="H34" s="3272"/>
      <c r="I34" s="3272"/>
      <c r="J34" s="3272"/>
      <c r="K34" s="3272"/>
      <c r="L34" s="3272"/>
      <c r="M34" s="3272"/>
      <c r="N34" s="3272"/>
    </row>
    <row r="36" spans="1:17" ht="23.25" x14ac:dyDescent="0.25">
      <c r="A36" s="3273"/>
      <c r="B36" s="3269" t="s">
        <v>369</v>
      </c>
      <c r="C36" s="3270"/>
      <c r="D36" s="3270"/>
      <c r="E36" s="3270"/>
      <c r="F36" s="3270"/>
      <c r="G36" s="3270"/>
      <c r="H36" s="3270"/>
      <c r="I36" s="3270"/>
      <c r="J36" s="3270"/>
      <c r="K36" s="3270"/>
      <c r="L36" s="3270"/>
      <c r="M36" s="3270"/>
      <c r="N36" s="3270"/>
      <c r="Q36" s="3251"/>
    </row>
    <row r="37" spans="1:17" x14ac:dyDescent="0.25">
      <c r="B37" s="3271"/>
      <c r="C37" s="3272"/>
      <c r="D37" s="3272"/>
      <c r="E37" s="3272"/>
      <c r="F37" s="3272"/>
      <c r="G37" s="3272"/>
      <c r="H37" s="3272"/>
      <c r="I37" s="3272"/>
      <c r="J37" s="3272"/>
      <c r="K37" s="3272"/>
      <c r="L37" s="3272"/>
      <c r="M37" s="3272"/>
      <c r="N37" s="3272"/>
    </row>
    <row r="38" spans="1:17" ht="15.75" x14ac:dyDescent="0.25">
      <c r="B38" s="3269" t="s">
        <v>369</v>
      </c>
      <c r="C38" s="3270"/>
      <c r="D38" s="3270"/>
      <c r="E38" s="3270"/>
      <c r="F38" s="3270"/>
      <c r="G38" s="3270"/>
      <c r="H38" s="3270"/>
      <c r="I38" s="3270"/>
      <c r="J38" s="3270"/>
      <c r="K38" s="3270"/>
      <c r="L38" s="3270"/>
      <c r="M38" s="3270"/>
      <c r="N38" s="3270"/>
    </row>
    <row r="39" spans="1:17" x14ac:dyDescent="0.25">
      <c r="B39" s="3271"/>
      <c r="C39" s="3272"/>
      <c r="D39" s="3272"/>
      <c r="E39" s="3272"/>
      <c r="F39" s="3272"/>
      <c r="G39" s="3272"/>
      <c r="H39" s="3272"/>
      <c r="I39" s="3272"/>
      <c r="J39" s="3272"/>
      <c r="K39" s="3272"/>
      <c r="L39" s="3272"/>
      <c r="M39" s="3272"/>
      <c r="N39" s="3272"/>
    </row>
    <row r="42" spans="1:17" x14ac:dyDescent="0.25">
      <c r="F42" s="3274">
        <v>2015</v>
      </c>
      <c r="G42" s="3274">
        <v>2020</v>
      </c>
      <c r="H42" s="3274">
        <v>2025</v>
      </c>
      <c r="I42" s="3274">
        <v>2030</v>
      </c>
      <c r="J42" s="3274">
        <v>2035</v>
      </c>
      <c r="K42" s="3274">
        <v>2040</v>
      </c>
      <c r="L42" s="3274">
        <v>2045</v>
      </c>
      <c r="M42" s="3274">
        <v>2050</v>
      </c>
    </row>
    <row r="43" spans="1:17" x14ac:dyDescent="0.25">
      <c r="B43" s="3249" t="s">
        <v>2238</v>
      </c>
      <c r="E43" s="3249" t="s">
        <v>2239</v>
      </c>
      <c r="F43" s="3275">
        <f t="shared" ref="F43:M43" si="2">F20/F15</f>
        <v>0.62198781884997201</v>
      </c>
      <c r="G43" s="3275">
        <f t="shared" si="2"/>
        <v>0.61033483786386566</v>
      </c>
      <c r="H43" s="3275">
        <f t="shared" si="2"/>
        <v>0.61317757694647712</v>
      </c>
      <c r="I43" s="3275">
        <f t="shared" si="2"/>
        <v>0.61746026613337612</v>
      </c>
      <c r="J43" s="3275">
        <f t="shared" si="2"/>
        <v>0.62385383077358481</v>
      </c>
      <c r="K43" s="3275">
        <f t="shared" si="2"/>
        <v>0.62970091096773284</v>
      </c>
      <c r="L43" s="3275">
        <f t="shared" si="2"/>
        <v>0.63415944885594233</v>
      </c>
      <c r="M43" s="3275">
        <f t="shared" si="2"/>
        <v>0.63730854540756032</v>
      </c>
    </row>
    <row r="44" spans="1:17" x14ac:dyDescent="0.25">
      <c r="B44" s="3249" t="s">
        <v>427</v>
      </c>
      <c r="F44" s="3276">
        <f>F33</f>
        <v>0</v>
      </c>
      <c r="G44" s="3276">
        <f t="shared" ref="G44:M44" si="3">G33</f>
        <v>0</v>
      </c>
      <c r="H44" s="3276">
        <f t="shared" si="3"/>
        <v>0</v>
      </c>
      <c r="I44" s="3276">
        <f t="shared" si="3"/>
        <v>0</v>
      </c>
      <c r="J44" s="3276">
        <f t="shared" si="3"/>
        <v>0</v>
      </c>
      <c r="K44" s="3276">
        <f t="shared" si="3"/>
        <v>0</v>
      </c>
      <c r="L44" s="3276">
        <f t="shared" si="3"/>
        <v>0</v>
      </c>
      <c r="M44" s="3276">
        <f t="shared" si="3"/>
        <v>0</v>
      </c>
    </row>
    <row r="45" spans="1:17" x14ac:dyDescent="0.25">
      <c r="B45" s="3249" t="s">
        <v>2240</v>
      </c>
      <c r="E45" s="3249" t="s">
        <v>2241</v>
      </c>
      <c r="F45" s="3277">
        <f t="shared" ref="F45:M45" si="4">F43*F44*F15</f>
        <v>0</v>
      </c>
      <c r="G45" s="3277">
        <f t="shared" si="4"/>
        <v>0</v>
      </c>
      <c r="H45" s="3277">
        <f t="shared" si="4"/>
        <v>0</v>
      </c>
      <c r="I45" s="3277">
        <f t="shared" si="4"/>
        <v>0</v>
      </c>
      <c r="J45" s="3277">
        <f t="shared" si="4"/>
        <v>0</v>
      </c>
      <c r="K45" s="3277">
        <f t="shared" si="4"/>
        <v>0</v>
      </c>
      <c r="L45" s="3277">
        <f t="shared" si="4"/>
        <v>0</v>
      </c>
      <c r="M45" s="3277">
        <f t="shared" si="4"/>
        <v>0</v>
      </c>
    </row>
    <row r="46" spans="1:17" x14ac:dyDescent="0.25">
      <c r="F46" s="3276"/>
      <c r="G46" s="3276"/>
      <c r="H46" s="3276"/>
      <c r="I46" s="3276"/>
      <c r="J46" s="3276"/>
      <c r="K46" s="3276"/>
      <c r="L46" s="3276"/>
      <c r="M46" s="3276"/>
    </row>
    <row r="48" spans="1:17" ht="15.75" x14ac:dyDescent="0.25">
      <c r="B48" s="3278" t="s">
        <v>434</v>
      </c>
      <c r="C48" s="3279"/>
      <c r="D48" s="3280"/>
      <c r="E48" s="3280"/>
      <c r="F48" s="3280"/>
      <c r="G48" s="3280"/>
      <c r="H48" s="3280"/>
      <c r="I48" s="3280"/>
      <c r="J48" s="3280"/>
      <c r="K48" s="3280"/>
      <c r="L48" s="3280"/>
      <c r="M48" s="3280"/>
      <c r="N48" s="3281"/>
    </row>
    <row r="49" spans="2:14" x14ac:dyDescent="0.25">
      <c r="B49" s="3282"/>
      <c r="C49" s="3283"/>
      <c r="D49" s="3283"/>
      <c r="E49" s="3283"/>
      <c r="F49" s="3283"/>
      <c r="G49" s="3283"/>
      <c r="H49" s="3283"/>
      <c r="I49" s="3283"/>
      <c r="J49" s="3283"/>
      <c r="K49" s="3283"/>
      <c r="L49" s="3283"/>
      <c r="M49" s="3283"/>
      <c r="N49" s="3284"/>
    </row>
    <row r="50" spans="2:14" x14ac:dyDescent="0.25">
      <c r="B50" s="3285"/>
      <c r="C50" s="3286" t="s">
        <v>394</v>
      </c>
      <c r="D50" s="3287"/>
      <c r="E50" s="3288"/>
      <c r="F50" s="3287"/>
      <c r="G50" s="3288"/>
      <c r="H50" s="3287"/>
      <c r="I50" s="3287"/>
      <c r="J50" s="3287"/>
      <c r="K50" s="3287"/>
      <c r="L50" s="3287"/>
      <c r="M50" s="3289" t="s">
        <v>395</v>
      </c>
      <c r="N50" s="3290"/>
    </row>
    <row r="51" spans="2:14" x14ac:dyDescent="0.25">
      <c r="B51" s="3285"/>
      <c r="C51" s="3287"/>
      <c r="D51" s="3287"/>
      <c r="E51" s="3287"/>
      <c r="F51" s="3287"/>
      <c r="G51" s="3287"/>
      <c r="H51" s="3287"/>
      <c r="I51" s="3287"/>
      <c r="J51" s="3287"/>
      <c r="K51" s="3287"/>
      <c r="L51" s="3287"/>
      <c r="M51" s="3287"/>
      <c r="N51" s="3290"/>
    </row>
    <row r="52" spans="2:14" ht="15.75" x14ac:dyDescent="0.25">
      <c r="B52" s="3291"/>
      <c r="C52" s="3292" t="s">
        <v>396</v>
      </c>
      <c r="D52" s="3292" t="s">
        <v>397</v>
      </c>
      <c r="E52" s="3292" t="s">
        <v>148</v>
      </c>
      <c r="F52" s="3293">
        <v>2015</v>
      </c>
      <c r="G52" s="3293">
        <v>2020</v>
      </c>
      <c r="H52" s="3293" t="s">
        <v>18</v>
      </c>
      <c r="I52" s="3293" t="s">
        <v>19</v>
      </c>
      <c r="J52" s="3293" t="s">
        <v>20</v>
      </c>
      <c r="K52" s="3293" t="s">
        <v>21</v>
      </c>
      <c r="L52" s="3293" t="s">
        <v>22</v>
      </c>
      <c r="M52" s="3293" t="s">
        <v>23</v>
      </c>
      <c r="N52" s="3290"/>
    </row>
    <row r="53" spans="2:14" ht="15.75" x14ac:dyDescent="0.25">
      <c r="B53" s="3291"/>
      <c r="C53" s="3294" t="s">
        <v>118</v>
      </c>
      <c r="D53" s="3294"/>
      <c r="E53" s="3294"/>
      <c r="F53" s="3295">
        <f>-F45</f>
        <v>0</v>
      </c>
      <c r="G53" s="3295">
        <f t="shared" ref="G53:M53" si="5">-G45</f>
        <v>0</v>
      </c>
      <c r="H53" s="3295">
        <f t="shared" si="5"/>
        <v>0</v>
      </c>
      <c r="I53" s="3295">
        <f t="shared" si="5"/>
        <v>0</v>
      </c>
      <c r="J53" s="3295">
        <f t="shared" si="5"/>
        <v>0</v>
      </c>
      <c r="K53" s="3295">
        <f t="shared" si="5"/>
        <v>0</v>
      </c>
      <c r="L53" s="3295">
        <f t="shared" si="5"/>
        <v>0</v>
      </c>
      <c r="M53" s="3295">
        <f t="shared" si="5"/>
        <v>0</v>
      </c>
      <c r="N53" s="3290"/>
    </row>
    <row r="54" spans="2:14" x14ac:dyDescent="0.25">
      <c r="B54" s="3287"/>
      <c r="C54" s="3287"/>
      <c r="D54" s="3287"/>
      <c r="E54" s="3287"/>
      <c r="F54" s="3287"/>
      <c r="G54" s="3287"/>
      <c r="H54" s="3287"/>
      <c r="I54" s="3287"/>
      <c r="J54" s="3287"/>
      <c r="K54" s="3287"/>
      <c r="L54" s="3287"/>
      <c r="M54" s="3287"/>
      <c r="N54" s="3287"/>
    </row>
  </sheetData>
  <hyperlinks>
    <hyperlink ref="F6" r:id="rId1"/>
  </hyperlinks>
  <pageMargins left="0.7" right="0.7" top="0.75" bottom="0.75" header="0.3" footer="0.3"/>
  <pageSetup orientation="portrait" verticalDpi="0" r:id="rId2"/>
  <ignoredErrors>
    <ignoredError sqref="F14:M19 H52:M52" numberStoredAsText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AA142"/>
  <sheetViews>
    <sheetView zoomScale="85" zoomScaleNormal="85" workbookViewId="0">
      <selection activeCell="R10" sqref="R10"/>
    </sheetView>
  </sheetViews>
  <sheetFormatPr baseColWidth="10" defaultColWidth="11.42578125" defaultRowHeight="15" x14ac:dyDescent="0.25"/>
  <cols>
    <col min="1" max="1" width="7.42578125" style="3249" customWidth="1"/>
    <col min="2" max="2" width="13.28515625" style="3249" customWidth="1"/>
    <col min="3" max="3" width="16.7109375" style="3249" customWidth="1"/>
    <col min="4" max="4" width="23" style="3249" customWidth="1"/>
    <col min="5" max="5" width="12.7109375" style="3249" customWidth="1"/>
    <col min="6" max="7" width="11.42578125" style="3249"/>
    <col min="8" max="8" width="13.5703125" style="3249" customWidth="1"/>
    <col min="9" max="16384" width="11.42578125" style="3249"/>
  </cols>
  <sheetData>
    <row r="1" spans="1:27" ht="20.25" x14ac:dyDescent="0.3">
      <c r="A1" s="3248" t="s">
        <v>745</v>
      </c>
      <c r="B1" s="3248"/>
      <c r="C1" s="3248"/>
    </row>
    <row r="2" spans="1:27" ht="15.75" x14ac:dyDescent="0.25">
      <c r="A2" s="3250" t="s">
        <v>801</v>
      </c>
      <c r="B2" s="3250" t="str">
        <f>INDEX(Modulos[Modulos], MATCH($A2, Modulos[Código], 0))</f>
        <v>Producción nacional combustibles fósiles</v>
      </c>
      <c r="C2" s="3250"/>
      <c r="D2" s="3251"/>
      <c r="E2" s="3252"/>
      <c r="F2" s="3251"/>
      <c r="G2" s="3251"/>
      <c r="H2" s="3251"/>
      <c r="I2" s="3251"/>
      <c r="J2" s="3251"/>
      <c r="K2" s="3251"/>
      <c r="L2" s="3251"/>
      <c r="M2" s="3251"/>
      <c r="N2" s="3251"/>
      <c r="Q2" s="3251"/>
    </row>
    <row r="3" spans="1:27" x14ac:dyDescent="0.25">
      <c r="P3"/>
      <c r="Q3"/>
      <c r="R3"/>
      <c r="S3"/>
      <c r="T3"/>
      <c r="U3"/>
      <c r="V3"/>
      <c r="W3"/>
      <c r="X3"/>
      <c r="Y3"/>
      <c r="Z3"/>
      <c r="AA3"/>
    </row>
    <row r="4" spans="1:27" ht="23.25" x14ac:dyDescent="0.35">
      <c r="A4" s="3253"/>
      <c r="B4" s="3254" t="s">
        <v>144</v>
      </c>
      <c r="C4" s="3255"/>
      <c r="D4" s="3255"/>
      <c r="E4" s="3255"/>
      <c r="F4" s="3255"/>
      <c r="G4" s="3255"/>
      <c r="H4" s="3255"/>
      <c r="I4" s="3255"/>
      <c r="J4" s="3255"/>
      <c r="K4" s="3255"/>
      <c r="L4" s="3255"/>
      <c r="M4" s="3255"/>
      <c r="N4" s="3255"/>
      <c r="P4"/>
      <c r="Q4"/>
      <c r="R4"/>
      <c r="S4"/>
      <c r="T4"/>
      <c r="U4"/>
      <c r="V4"/>
      <c r="W4"/>
      <c r="X4"/>
      <c r="Y4"/>
      <c r="Z4"/>
      <c r="AA4"/>
    </row>
    <row r="5" spans="1:27" ht="17.25" customHeight="1" x14ac:dyDescent="0.25">
      <c r="B5" s="3256"/>
      <c r="C5" s="3257"/>
      <c r="D5" s="3257"/>
      <c r="E5" s="3257"/>
      <c r="F5" s="3257"/>
      <c r="G5" s="3257"/>
      <c r="H5" s="3257"/>
      <c r="I5" s="3257"/>
      <c r="J5" s="3257"/>
      <c r="K5" s="3257"/>
      <c r="L5" s="3257"/>
      <c r="M5" s="3257"/>
      <c r="N5" s="3257"/>
      <c r="P5"/>
      <c r="Q5"/>
      <c r="R5"/>
      <c r="S5"/>
      <c r="T5"/>
      <c r="U5"/>
      <c r="V5"/>
      <c r="W5"/>
      <c r="X5"/>
      <c r="Y5"/>
      <c r="Z5"/>
      <c r="AA5"/>
    </row>
    <row r="6" spans="1:27" ht="17.25" customHeight="1" x14ac:dyDescent="0.25">
      <c r="B6" s="3258"/>
      <c r="C6" s="3259" t="s">
        <v>2232</v>
      </c>
      <c r="D6" s="3259" t="s">
        <v>3</v>
      </c>
      <c r="E6" s="3257"/>
      <c r="F6" s="3305"/>
      <c r="G6" s="3257"/>
      <c r="H6" s="3257"/>
      <c r="I6" s="3257"/>
      <c r="J6" s="3257"/>
      <c r="K6" s="3257"/>
      <c r="L6" s="3257"/>
      <c r="M6" s="3257"/>
      <c r="N6" s="3257"/>
      <c r="P6"/>
      <c r="Q6"/>
      <c r="R6"/>
      <c r="S6"/>
      <c r="T6"/>
      <c r="U6"/>
      <c r="V6"/>
      <c r="W6"/>
      <c r="X6"/>
      <c r="Y6"/>
      <c r="Z6"/>
      <c r="AA6"/>
    </row>
    <row r="7" spans="1:27" ht="17.25" customHeight="1" x14ac:dyDescent="0.25">
      <c r="B7" s="3258"/>
      <c r="C7" s="3260" t="s">
        <v>3</v>
      </c>
      <c r="D7" s="3261">
        <v>1</v>
      </c>
      <c r="E7" s="3257"/>
      <c r="F7" s="3257"/>
      <c r="G7" s="3257"/>
      <c r="H7" s="3257"/>
      <c r="I7" s="3257"/>
      <c r="J7" s="3257"/>
      <c r="K7" s="3257"/>
      <c r="L7" s="3257"/>
      <c r="M7" s="3257"/>
      <c r="N7" s="3257"/>
      <c r="P7"/>
      <c r="Q7"/>
      <c r="R7"/>
      <c r="S7"/>
      <c r="T7"/>
      <c r="U7"/>
      <c r="V7"/>
      <c r="W7"/>
      <c r="X7"/>
      <c r="Y7"/>
      <c r="Z7"/>
      <c r="AA7"/>
    </row>
    <row r="8" spans="1:27" ht="17.25" customHeight="1" x14ac:dyDescent="0.25">
      <c r="B8" s="3258"/>
      <c r="C8" s="3257"/>
      <c r="D8" s="3262"/>
      <c r="E8" s="3263"/>
      <c r="F8" s="3257"/>
      <c r="G8" s="3257"/>
      <c r="H8" s="3257"/>
      <c r="I8" s="3257"/>
      <c r="J8" s="3257"/>
      <c r="K8" s="3257"/>
      <c r="L8" s="3257"/>
      <c r="M8" s="3257"/>
      <c r="N8" s="3257"/>
      <c r="P8"/>
      <c r="Q8"/>
      <c r="R8"/>
      <c r="S8"/>
      <c r="T8"/>
      <c r="U8"/>
      <c r="V8"/>
      <c r="W8"/>
      <c r="X8"/>
      <c r="Y8"/>
      <c r="Z8"/>
      <c r="AA8"/>
    </row>
    <row r="9" spans="1:27" x14ac:dyDescent="0.25">
      <c r="P9"/>
      <c r="Q9"/>
      <c r="R9"/>
      <c r="S9"/>
      <c r="T9"/>
      <c r="U9"/>
      <c r="V9"/>
      <c r="W9"/>
      <c r="X9"/>
      <c r="Y9"/>
      <c r="Z9"/>
      <c r="AA9"/>
    </row>
    <row r="10" spans="1:27" ht="15.75" x14ac:dyDescent="0.25">
      <c r="B10" s="3254" t="s">
        <v>2234</v>
      </c>
      <c r="C10" s="3255"/>
      <c r="D10" s="3255"/>
      <c r="E10" s="3255"/>
      <c r="F10" s="3255"/>
      <c r="G10" s="3255"/>
      <c r="H10" s="3255"/>
      <c r="I10" s="3255"/>
      <c r="J10" s="3255"/>
      <c r="K10" s="3255"/>
      <c r="L10" s="3255"/>
      <c r="M10" s="3255"/>
      <c r="N10" s="3255"/>
      <c r="P10"/>
      <c r="Q10"/>
      <c r="R10"/>
      <c r="S10"/>
      <c r="T10"/>
      <c r="U10"/>
      <c r="V10"/>
      <c r="W10"/>
      <c r="X10"/>
      <c r="Y10"/>
      <c r="Z10"/>
      <c r="AA10"/>
    </row>
    <row r="11" spans="1:27" x14ac:dyDescent="0.25">
      <c r="B11" s="3257"/>
      <c r="C11" s="3257"/>
      <c r="D11" s="3257"/>
      <c r="E11" s="3257"/>
      <c r="F11" s="3257"/>
      <c r="G11" s="3257"/>
      <c r="H11" s="3257"/>
      <c r="I11" s="3257"/>
      <c r="J11" s="3257"/>
      <c r="K11" s="3257"/>
      <c r="L11" s="3257"/>
      <c r="M11" s="3257"/>
      <c r="N11" s="3257"/>
      <c r="P11"/>
      <c r="Q11"/>
      <c r="R11"/>
      <c r="S11"/>
      <c r="T11"/>
      <c r="U11"/>
      <c r="V11"/>
      <c r="W11"/>
      <c r="X11"/>
      <c r="Y11"/>
      <c r="Z11"/>
      <c r="AA11"/>
    </row>
    <row r="12" spans="1:27" x14ac:dyDescent="0.25">
      <c r="B12" s="3257"/>
      <c r="C12" s="3257" t="s">
        <v>2266</v>
      </c>
      <c r="D12" s="3257"/>
      <c r="E12" s="3257"/>
      <c r="F12" s="3257"/>
      <c r="G12" s="3257"/>
      <c r="H12" s="3257"/>
      <c r="I12" s="3257"/>
      <c r="J12" s="3257"/>
      <c r="K12" s="3257"/>
      <c r="L12" s="3257"/>
      <c r="M12" s="3257" t="s">
        <v>171</v>
      </c>
      <c r="N12" s="3257"/>
      <c r="P12"/>
      <c r="Q12"/>
      <c r="R12"/>
      <c r="S12"/>
      <c r="T12"/>
      <c r="U12"/>
      <c r="V12"/>
      <c r="W12"/>
      <c r="X12"/>
      <c r="Y12"/>
      <c r="Z12"/>
      <c r="AA12"/>
    </row>
    <row r="13" spans="1:27" ht="4.5" customHeight="1" x14ac:dyDescent="0.25">
      <c r="B13" s="3257"/>
      <c r="C13" s="3257"/>
      <c r="D13" s="3257"/>
      <c r="E13" s="3257"/>
      <c r="F13" s="3257"/>
      <c r="G13" s="3257"/>
      <c r="H13" s="3257"/>
      <c r="I13" s="3257"/>
      <c r="J13" s="3257"/>
      <c r="K13" s="3257"/>
      <c r="L13" s="3257"/>
      <c r="M13" s="3257"/>
      <c r="N13" s="3257"/>
      <c r="P13"/>
      <c r="Q13"/>
      <c r="R13"/>
      <c r="S13"/>
      <c r="T13"/>
      <c r="U13"/>
      <c r="V13"/>
      <c r="W13"/>
      <c r="X13"/>
      <c r="Y13"/>
      <c r="Z13"/>
      <c r="AA13"/>
    </row>
    <row r="14" spans="1:27" x14ac:dyDescent="0.25">
      <c r="B14" s="3257"/>
      <c r="C14" s="3264" t="s">
        <v>146</v>
      </c>
      <c r="D14" s="3264" t="s">
        <v>242</v>
      </c>
      <c r="E14" s="3264" t="s">
        <v>8</v>
      </c>
      <c r="F14" s="3264" t="s">
        <v>16</v>
      </c>
      <c r="G14" s="3264" t="s">
        <v>17</v>
      </c>
      <c r="H14" s="3264">
        <v>2025</v>
      </c>
      <c r="I14" s="3264" t="s">
        <v>19</v>
      </c>
      <c r="J14" s="3264" t="s">
        <v>20</v>
      </c>
      <c r="K14" s="3264" t="s">
        <v>21</v>
      </c>
      <c r="L14" s="3264" t="s">
        <v>22</v>
      </c>
      <c r="M14" s="3264" t="s">
        <v>23</v>
      </c>
      <c r="N14" s="3257"/>
      <c r="P14"/>
      <c r="Q14"/>
      <c r="R14"/>
      <c r="S14"/>
      <c r="T14"/>
      <c r="U14"/>
      <c r="V14"/>
      <c r="W14"/>
      <c r="X14"/>
      <c r="Y14"/>
      <c r="Z14"/>
      <c r="AA14"/>
    </row>
    <row r="15" spans="1:27" x14ac:dyDescent="0.25">
      <c r="B15" s="3257"/>
      <c r="C15" s="3412" t="s">
        <v>330</v>
      </c>
      <c r="D15" s="3412" t="str">
        <f>INDEX(Vectors[Descripción], MATCH($C15,Vectors[Código],FALSE))</f>
        <v>Hidrocarburo Sólido</v>
      </c>
      <c r="E15" s="3412"/>
      <c r="F15" s="3413">
        <f ca="1">-INDEX(INDIRECT("'"&amp;F$14&amp;"'!ano.balanceneto"), MATCH($C15, INDIRECT("'"&amp;F$14&amp;"'!ano.vector"), 0))</f>
        <v>90.674181997292195</v>
      </c>
      <c r="G15" s="3413">
        <f t="shared" ref="G15:M17" ca="1" si="0">-INDEX(INDIRECT("'"&amp;G$14&amp;"'!ano.balanceneto"), MATCH($C15, INDIRECT("'"&amp;G$14&amp;"'!ano.vector"), 0))</f>
        <v>101.45929322558089</v>
      </c>
      <c r="H15" s="3413">
        <f t="shared" ca="1" si="0"/>
        <v>119.46423832489575</v>
      </c>
      <c r="I15" s="3413">
        <f t="shared" ca="1" si="0"/>
        <v>137.27185779931929</v>
      </c>
      <c r="J15" s="3413">
        <f t="shared" ca="1" si="0"/>
        <v>159.42441337764467</v>
      </c>
      <c r="K15" s="3413">
        <f t="shared" ca="1" si="0"/>
        <v>183.48940437287516</v>
      </c>
      <c r="L15" s="3413">
        <f t="shared" ca="1" si="0"/>
        <v>207.95509258643116</v>
      </c>
      <c r="M15" s="3413">
        <f t="shared" ca="1" si="0"/>
        <v>230.29484921441994</v>
      </c>
      <c r="N15" s="3257"/>
      <c r="P15"/>
      <c r="Q15"/>
      <c r="R15"/>
      <c r="S15"/>
      <c r="T15"/>
      <c r="U15"/>
      <c r="V15"/>
      <c r="W15"/>
      <c r="X15"/>
      <c r="Y15"/>
      <c r="Z15"/>
      <c r="AA15"/>
    </row>
    <row r="16" spans="1:27" x14ac:dyDescent="0.25">
      <c r="B16" s="3257"/>
      <c r="C16" s="3257" t="s">
        <v>333</v>
      </c>
      <c r="D16" s="3257" t="str">
        <f>INDEX(Vectors[Descripción], MATCH($C16,Vectors[Código],FALSE))</f>
        <v>Hidrocarburo Líquido</v>
      </c>
      <c r="E16" s="3257"/>
      <c r="F16" s="3267">
        <f ca="1">-INDEX(INDIRECT("'"&amp;F$14&amp;"'!ano.balanceneto"), MATCH($C16, INDIRECT("'"&amp;F$14&amp;"'!ano.vector"), 0))</f>
        <v>155.18922878601049</v>
      </c>
      <c r="G16" s="3267">
        <f t="shared" ca="1" si="0"/>
        <v>171.46290983518537</v>
      </c>
      <c r="H16" s="3267">
        <f t="shared" ca="1" si="0"/>
        <v>199.7089576630182</v>
      </c>
      <c r="I16" s="3267">
        <f t="shared" ca="1" si="0"/>
        <v>232.82179625634126</v>
      </c>
      <c r="J16" s="3267">
        <f t="shared" ca="1" si="0"/>
        <v>264.76231276183898</v>
      </c>
      <c r="K16" s="3267">
        <f t="shared" ca="1" si="0"/>
        <v>291.4785565871108</v>
      </c>
      <c r="L16" s="3267">
        <f t="shared" ca="1" si="0"/>
        <v>314.76614030973906</v>
      </c>
      <c r="M16" s="3267">
        <f t="shared" ca="1" si="0"/>
        <v>335.37561387009015</v>
      </c>
      <c r="N16" s="3257"/>
      <c r="P16"/>
      <c r="Q16"/>
      <c r="R16"/>
      <c r="S16"/>
      <c r="T16"/>
      <c r="U16"/>
      <c r="V16"/>
      <c r="W16"/>
      <c r="X16"/>
      <c r="Y16"/>
      <c r="Z16"/>
      <c r="AA16"/>
    </row>
    <row r="17" spans="1:27" x14ac:dyDescent="0.25">
      <c r="B17" s="3257"/>
      <c r="C17" s="3414" t="s">
        <v>335</v>
      </c>
      <c r="D17" s="3414" t="str">
        <f>INDEX(Vectors[Descripción], MATCH($C17,Vectors[Código],FALSE))</f>
        <v>Hidrocarburo Gaseoso</v>
      </c>
      <c r="E17" s="3414"/>
      <c r="F17" s="3415">
        <f ca="1">-INDEX(INDIRECT("'"&amp;F$14&amp;"'!ano.balanceneto"), MATCH($C17, INDIRECT("'"&amp;F$14&amp;"'!ano.vector"), 0))</f>
        <v>71.714143547361388</v>
      </c>
      <c r="G17" s="3415">
        <f t="shared" ca="1" si="0"/>
        <v>82.721467114260918</v>
      </c>
      <c r="H17" s="3415">
        <f t="shared" ca="1" si="0"/>
        <v>97.548258585664044</v>
      </c>
      <c r="I17" s="3415">
        <f t="shared" ca="1" si="0"/>
        <v>112.93808741081389</v>
      </c>
      <c r="J17" s="3415">
        <f t="shared" ca="1" si="0"/>
        <v>131.12397915064165</v>
      </c>
      <c r="K17" s="3415">
        <f t="shared" ca="1" si="0"/>
        <v>151.83587101940554</v>
      </c>
      <c r="L17" s="3415">
        <f t="shared" ca="1" si="0"/>
        <v>174.67904222238852</v>
      </c>
      <c r="M17" s="3415">
        <f t="shared" ca="1" si="0"/>
        <v>196.29094670538313</v>
      </c>
      <c r="N17" s="3257"/>
      <c r="P17"/>
      <c r="Q17"/>
      <c r="R17"/>
      <c r="S17"/>
      <c r="T17"/>
      <c r="U17"/>
      <c r="V17"/>
      <c r="W17"/>
      <c r="X17"/>
      <c r="Y17"/>
      <c r="Z17"/>
      <c r="AA17"/>
    </row>
    <row r="18" spans="1:27" x14ac:dyDescent="0.25">
      <c r="B18" s="3257"/>
      <c r="C18" s="3257"/>
      <c r="D18" s="3257"/>
      <c r="E18" s="3257"/>
      <c r="F18" s="3267"/>
      <c r="G18" s="3267"/>
      <c r="H18" s="3267"/>
      <c r="I18" s="3267"/>
      <c r="J18" s="3267"/>
      <c r="K18" s="3267"/>
      <c r="L18" s="3267"/>
      <c r="M18" s="3267"/>
      <c r="N18" s="3257"/>
      <c r="P18"/>
      <c r="Q18"/>
      <c r="R18"/>
      <c r="S18"/>
      <c r="T18"/>
      <c r="U18"/>
      <c r="V18"/>
      <c r="W18"/>
      <c r="X18"/>
      <c r="Y18"/>
      <c r="Z18"/>
      <c r="AA18"/>
    </row>
    <row r="19" spans="1:27" x14ac:dyDescent="0.25">
      <c r="B19" s="3257"/>
      <c r="C19" s="3257"/>
      <c r="D19" s="3257"/>
      <c r="E19" s="3257"/>
      <c r="F19" s="3257"/>
      <c r="G19" s="3257"/>
      <c r="H19" s="3257"/>
      <c r="I19" s="3257"/>
      <c r="J19" s="3257"/>
      <c r="K19" s="3257"/>
      <c r="L19" s="3257"/>
      <c r="M19" s="3257"/>
      <c r="N19" s="3257"/>
      <c r="P19"/>
      <c r="Q19"/>
      <c r="R19"/>
      <c r="S19"/>
      <c r="T19"/>
      <c r="U19"/>
      <c r="V19"/>
      <c r="W19"/>
      <c r="X19"/>
      <c r="Y19"/>
      <c r="Z19"/>
      <c r="AA19"/>
    </row>
    <row r="20" spans="1:27" x14ac:dyDescent="0.25">
      <c r="P20"/>
      <c r="Q20"/>
      <c r="R20"/>
      <c r="S20"/>
      <c r="T20"/>
      <c r="U20"/>
      <c r="V20"/>
      <c r="W20"/>
      <c r="X20"/>
      <c r="Y20"/>
      <c r="Z20"/>
      <c r="AA20"/>
    </row>
    <row r="21" spans="1:27" x14ac:dyDescent="0.25">
      <c r="P21"/>
      <c r="Q21"/>
      <c r="R21"/>
      <c r="S21"/>
      <c r="T21"/>
      <c r="U21"/>
      <c r="V21"/>
      <c r="W21"/>
      <c r="X21"/>
      <c r="Y21"/>
      <c r="Z21"/>
      <c r="AA21"/>
    </row>
    <row r="22" spans="1:27" ht="23.25" x14ac:dyDescent="0.35">
      <c r="A22" s="3253"/>
      <c r="B22" s="3269" t="s">
        <v>151</v>
      </c>
      <c r="C22" s="3270"/>
      <c r="D22" s="3270"/>
      <c r="E22" s="3270"/>
      <c r="F22" s="3270"/>
      <c r="G22" s="3270"/>
      <c r="H22" s="3270"/>
      <c r="I22" s="3270"/>
      <c r="J22" s="3270"/>
      <c r="K22" s="3270"/>
      <c r="L22" s="3270"/>
      <c r="M22" s="3270"/>
      <c r="N22" s="3270"/>
      <c r="P22"/>
      <c r="Q22"/>
      <c r="R22"/>
      <c r="S22"/>
      <c r="T22"/>
      <c r="U22"/>
      <c r="V22"/>
      <c r="W22"/>
      <c r="X22"/>
      <c r="Y22"/>
      <c r="Z22"/>
      <c r="AA22"/>
    </row>
    <row r="23" spans="1:27" x14ac:dyDescent="0.25">
      <c r="B23" s="3373"/>
      <c r="C23" s="3374"/>
      <c r="D23" s="3374"/>
      <c r="E23" s="3374"/>
      <c r="F23" s="3374"/>
      <c r="G23" s="3374"/>
      <c r="H23" s="3374"/>
      <c r="I23" s="3374"/>
      <c r="J23" s="3374"/>
      <c r="K23" s="3374"/>
      <c r="L23" s="3374"/>
      <c r="M23" s="3374"/>
      <c r="N23" s="3374"/>
      <c r="P23"/>
      <c r="Q23"/>
      <c r="R23"/>
      <c r="S23"/>
      <c r="T23"/>
      <c r="U23"/>
      <c r="V23"/>
      <c r="W23"/>
      <c r="X23"/>
      <c r="Y23"/>
      <c r="Z23"/>
      <c r="AA23"/>
    </row>
    <row r="24" spans="1:27" x14ac:dyDescent="0.25">
      <c r="B24" s="3374"/>
      <c r="C24" s="3378" t="s">
        <v>387</v>
      </c>
      <c r="D24" s="375"/>
      <c r="E24" s="378"/>
      <c r="F24" s="375"/>
      <c r="G24" s="375"/>
      <c r="H24" s="375"/>
      <c r="I24" s="375"/>
      <c r="J24" s="375"/>
      <c r="K24" s="375"/>
      <c r="L24" s="375"/>
      <c r="M24" s="375" t="s">
        <v>171</v>
      </c>
      <c r="N24" s="3374"/>
      <c r="P24"/>
      <c r="Q24"/>
      <c r="R24"/>
      <c r="S24"/>
      <c r="T24"/>
      <c r="U24"/>
      <c r="V24"/>
      <c r="W24"/>
      <c r="X24"/>
      <c r="Y24"/>
      <c r="Z24"/>
      <c r="AA24"/>
    </row>
    <row r="25" spans="1:27" ht="6" customHeight="1" x14ac:dyDescent="0.25">
      <c r="B25" s="3374"/>
      <c r="C25" s="375"/>
      <c r="D25" s="375"/>
      <c r="E25" s="375"/>
      <c r="F25" s="375"/>
      <c r="G25" s="375"/>
      <c r="H25" s="375"/>
      <c r="I25" s="375"/>
      <c r="J25" s="375"/>
      <c r="K25" s="375"/>
      <c r="L25" s="375"/>
      <c r="M25" s="375"/>
      <c r="N25" s="3374"/>
      <c r="P25"/>
      <c r="Q25"/>
      <c r="R25"/>
      <c r="S25"/>
      <c r="T25"/>
      <c r="U25"/>
      <c r="V25"/>
      <c r="W25"/>
      <c r="X25"/>
      <c r="Y25"/>
      <c r="Z25"/>
      <c r="AA25"/>
    </row>
    <row r="26" spans="1:27" x14ac:dyDescent="0.25">
      <c r="B26" s="3374"/>
      <c r="C26" s="380" t="s">
        <v>2257</v>
      </c>
      <c r="D26" s="380" t="s">
        <v>444</v>
      </c>
      <c r="E26" s="380" t="s">
        <v>148</v>
      </c>
      <c r="F26" s="380">
        <v>2015</v>
      </c>
      <c r="G26" s="380">
        <v>2020</v>
      </c>
      <c r="H26" s="380">
        <v>2025</v>
      </c>
      <c r="I26" s="380">
        <v>2030</v>
      </c>
      <c r="J26" s="380">
        <v>2035</v>
      </c>
      <c r="K26" s="380">
        <v>2040</v>
      </c>
      <c r="L26" s="380">
        <v>2045</v>
      </c>
      <c r="M26" s="380">
        <v>2050</v>
      </c>
      <c r="N26" s="3374"/>
      <c r="P26"/>
      <c r="Q26"/>
      <c r="R26"/>
      <c r="S26"/>
      <c r="T26"/>
      <c r="U26"/>
      <c r="V26"/>
      <c r="W26"/>
      <c r="X26"/>
      <c r="Y26"/>
      <c r="Z26"/>
      <c r="AA26"/>
    </row>
    <row r="27" spans="1:27" x14ac:dyDescent="0.25">
      <c r="B27" s="3374"/>
      <c r="C27" s="466" t="s">
        <v>2258</v>
      </c>
      <c r="D27" s="385"/>
      <c r="E27" s="409"/>
      <c r="F27" s="3409">
        <v>25.584695004942699</v>
      </c>
      <c r="G27" s="3409">
        <v>25.584695004942699</v>
      </c>
      <c r="H27" s="3409">
        <v>25.584695004942699</v>
      </c>
      <c r="I27" s="3409">
        <v>25.584695004942699</v>
      </c>
      <c r="J27" s="3409">
        <v>25.584695004942699</v>
      </c>
      <c r="K27" s="3409">
        <v>25.584695004942699</v>
      </c>
      <c r="L27" s="3409">
        <v>25.584695004942699</v>
      </c>
      <c r="M27" s="3409">
        <v>25.584695004942699</v>
      </c>
      <c r="N27" s="3374"/>
      <c r="P27"/>
      <c r="Q27"/>
      <c r="R27"/>
      <c r="S27"/>
      <c r="T27"/>
      <c r="U27"/>
      <c r="V27"/>
      <c r="W27"/>
      <c r="X27"/>
      <c r="Y27"/>
      <c r="Z27"/>
      <c r="AA27"/>
    </row>
    <row r="28" spans="1:27" x14ac:dyDescent="0.25">
      <c r="B28" s="3374"/>
      <c r="C28" s="466" t="s">
        <v>2259</v>
      </c>
      <c r="D28" s="385"/>
      <c r="E28" s="385"/>
      <c r="F28" s="3410">
        <v>25.584695004942699</v>
      </c>
      <c r="G28" s="3410">
        <v>24.786881432808027</v>
      </c>
      <c r="H28" s="3410">
        <v>23.989067860673355</v>
      </c>
      <c r="I28" s="3410">
        <v>23.191254288538687</v>
      </c>
      <c r="J28" s="3410">
        <v>22.393440716404015</v>
      </c>
      <c r="K28" s="3410">
        <v>21.595627144269343</v>
      </c>
      <c r="L28" s="3410">
        <v>20.797813572134672</v>
      </c>
      <c r="M28" s="3410">
        <v>20</v>
      </c>
      <c r="N28" s="3374"/>
      <c r="P28"/>
      <c r="Q28"/>
      <c r="R28"/>
      <c r="S28"/>
      <c r="T28"/>
      <c r="U28"/>
      <c r="V28"/>
      <c r="W28"/>
      <c r="X28"/>
      <c r="Y28"/>
      <c r="Z28"/>
      <c r="AA28"/>
    </row>
    <row r="29" spans="1:27" x14ac:dyDescent="0.25">
      <c r="B29" s="3374"/>
      <c r="C29" s="3379" t="s">
        <v>2260</v>
      </c>
      <c r="D29" s="418"/>
      <c r="E29" s="418"/>
      <c r="F29" s="3411">
        <v>25.584695004942699</v>
      </c>
      <c r="G29" s="3411">
        <v>23.3583100042366</v>
      </c>
      <c r="H29" s="3411">
        <v>21.131925003530498</v>
      </c>
      <c r="I29" s="3411">
        <v>18.905540002824399</v>
      </c>
      <c r="J29" s="3411">
        <v>16.6791550021183</v>
      </c>
      <c r="K29" s="3411">
        <v>14.452770001412198</v>
      </c>
      <c r="L29" s="3411">
        <v>12.226385000706099</v>
      </c>
      <c r="M29" s="3411">
        <v>9.9999999999999982</v>
      </c>
      <c r="N29" s="3374"/>
    </row>
    <row r="30" spans="1:27" x14ac:dyDescent="0.25">
      <c r="B30" s="3374"/>
      <c r="C30" s="417" t="s">
        <v>2261</v>
      </c>
      <c r="D30" s="418"/>
      <c r="E30" s="418"/>
      <c r="F30" s="3408">
        <f t="shared" ref="F30:M30" si="1">(INDEX(F$27:F$29,ROUNDDOWN($D$7,0))*(1-MOD($D$7,1)))+(INDEX(F$27:F$29,ROUNDUP($D$7,0))*MOD($D$7,1))</f>
        <v>25.584695004942699</v>
      </c>
      <c r="G30" s="3408">
        <f t="shared" si="1"/>
        <v>25.584695004942699</v>
      </c>
      <c r="H30" s="3408">
        <f t="shared" si="1"/>
        <v>25.584695004942699</v>
      </c>
      <c r="I30" s="3408">
        <f t="shared" si="1"/>
        <v>25.584695004942699</v>
      </c>
      <c r="J30" s="3408">
        <f t="shared" si="1"/>
        <v>25.584695004942699</v>
      </c>
      <c r="K30" s="3408">
        <f t="shared" si="1"/>
        <v>25.584695004942699</v>
      </c>
      <c r="L30" s="3408">
        <f t="shared" si="1"/>
        <v>25.584695004942699</v>
      </c>
      <c r="M30" s="3408">
        <f t="shared" si="1"/>
        <v>25.584695004942699</v>
      </c>
      <c r="N30" s="3374"/>
    </row>
    <row r="31" spans="1:27" x14ac:dyDescent="0.25">
      <c r="B31" s="3374"/>
      <c r="C31" s="375"/>
      <c r="D31" s="375"/>
      <c r="E31" s="375"/>
      <c r="F31" s="375"/>
      <c r="G31" s="375"/>
      <c r="H31" s="375"/>
      <c r="I31" s="375"/>
      <c r="J31" s="375"/>
      <c r="K31" s="375"/>
      <c r="L31" s="375"/>
      <c r="M31" s="375"/>
      <c r="N31" s="3374"/>
    </row>
    <row r="32" spans="1:27" x14ac:dyDescent="0.25">
      <c r="B32" s="3374"/>
      <c r="C32" s="3378" t="s">
        <v>2262</v>
      </c>
      <c r="D32" s="375"/>
      <c r="E32" s="378"/>
      <c r="F32" s="375"/>
      <c r="G32" s="375"/>
      <c r="H32" s="375"/>
      <c r="I32" s="375"/>
      <c r="J32" s="375"/>
      <c r="K32" s="375"/>
      <c r="L32" s="375"/>
      <c r="M32" s="375" t="s">
        <v>171</v>
      </c>
      <c r="N32" s="3374"/>
    </row>
    <row r="33" spans="2:14" ht="6" customHeight="1" x14ac:dyDescent="0.25">
      <c r="B33" s="3374"/>
      <c r="C33" s="375"/>
      <c r="D33" s="375"/>
      <c r="E33" s="375"/>
      <c r="F33" s="375"/>
      <c r="G33" s="375"/>
      <c r="H33" s="375"/>
      <c r="I33" s="375"/>
      <c r="J33" s="375"/>
      <c r="K33" s="375"/>
      <c r="L33" s="375"/>
      <c r="M33" s="375"/>
      <c r="N33" s="3374"/>
    </row>
    <row r="34" spans="2:14" x14ac:dyDescent="0.25">
      <c r="B34" s="3374"/>
      <c r="C34" s="380" t="s">
        <v>2257</v>
      </c>
      <c r="D34" s="380" t="s">
        <v>444</v>
      </c>
      <c r="E34" s="380" t="s">
        <v>148</v>
      </c>
      <c r="F34" s="380">
        <v>2015</v>
      </c>
      <c r="G34" s="380">
        <v>2020</v>
      </c>
      <c r="H34" s="380">
        <v>2025</v>
      </c>
      <c r="I34" s="380">
        <v>2030</v>
      </c>
      <c r="J34" s="380">
        <v>2035</v>
      </c>
      <c r="K34" s="380">
        <v>2040</v>
      </c>
      <c r="L34" s="380">
        <v>2045</v>
      </c>
      <c r="M34" s="380">
        <v>2050</v>
      </c>
      <c r="N34" s="3374"/>
    </row>
    <row r="35" spans="2:14" x14ac:dyDescent="0.25">
      <c r="B35" s="3374"/>
      <c r="C35" s="466" t="s">
        <v>2258</v>
      </c>
      <c r="D35" s="385"/>
      <c r="E35" s="409"/>
      <c r="F35" s="3409">
        <v>3.0761179275455</v>
      </c>
      <c r="G35" s="3409">
        <v>3.0761179275455</v>
      </c>
      <c r="H35" s="3409">
        <v>3.0761179275455</v>
      </c>
      <c r="I35" s="3409">
        <v>3.0761179275455</v>
      </c>
      <c r="J35" s="3409">
        <v>3.0761179275455</v>
      </c>
      <c r="K35" s="3409">
        <v>3.0761179275455</v>
      </c>
      <c r="L35" s="3409">
        <v>3.0761179275455</v>
      </c>
      <c r="M35" s="3409">
        <v>3.0761179275455</v>
      </c>
      <c r="N35" s="3374"/>
    </row>
    <row r="36" spans="2:14" x14ac:dyDescent="0.25">
      <c r="B36" s="3374"/>
      <c r="C36" s="466" t="s">
        <v>2259</v>
      </c>
      <c r="D36" s="385"/>
      <c r="E36" s="385"/>
      <c r="F36" s="3410">
        <v>3.0761179275455</v>
      </c>
      <c r="G36" s="3410">
        <v>2.9223867950389999</v>
      </c>
      <c r="H36" s="3410">
        <v>2.7686556625324998</v>
      </c>
      <c r="I36" s="3410">
        <v>2.6149245300259998</v>
      </c>
      <c r="J36" s="3410">
        <v>2.4611933975194997</v>
      </c>
      <c r="K36" s="3410">
        <v>2.3074622650130001</v>
      </c>
      <c r="L36" s="3410">
        <v>2.1537311325065001</v>
      </c>
      <c r="M36" s="3410">
        <v>2</v>
      </c>
      <c r="N36" s="3374"/>
    </row>
    <row r="37" spans="2:14" x14ac:dyDescent="0.25">
      <c r="B37" s="3374"/>
      <c r="C37" s="3379" t="s">
        <v>2260</v>
      </c>
      <c r="D37" s="418"/>
      <c r="E37" s="418"/>
      <c r="F37" s="3411">
        <v>3.0761179275455</v>
      </c>
      <c r="G37" s="3411">
        <v>2.7795296521818571</v>
      </c>
      <c r="H37" s="3411">
        <v>2.4829413768182138</v>
      </c>
      <c r="I37" s="3411">
        <v>2.186353101454571</v>
      </c>
      <c r="J37" s="3411">
        <v>1.8897648260909279</v>
      </c>
      <c r="K37" s="3411">
        <v>1.5931765507272848</v>
      </c>
      <c r="L37" s="3411">
        <v>1.296588275363642</v>
      </c>
      <c r="M37" s="3411">
        <v>0.99999999999999867</v>
      </c>
      <c r="N37" s="3374"/>
    </row>
    <row r="38" spans="2:14" x14ac:dyDescent="0.25">
      <c r="B38" s="3374"/>
      <c r="C38" s="417" t="s">
        <v>2261</v>
      </c>
      <c r="D38" s="418"/>
      <c r="E38" s="418"/>
      <c r="F38" s="3408">
        <f t="shared" ref="F38:M38" si="2">(INDEX(F$35:F$37,ROUNDDOWN($D$7,0))*(1-MOD($D$7,1)))+(INDEX(F$35:F$37,ROUNDUP($D$7,0))*MOD($D$7,1))</f>
        <v>3.0761179275455</v>
      </c>
      <c r="G38" s="3408">
        <f t="shared" si="2"/>
        <v>3.0761179275455</v>
      </c>
      <c r="H38" s="3408">
        <f t="shared" si="2"/>
        <v>3.0761179275455</v>
      </c>
      <c r="I38" s="3408">
        <f t="shared" si="2"/>
        <v>3.0761179275455</v>
      </c>
      <c r="J38" s="3408">
        <f t="shared" si="2"/>
        <v>3.0761179275455</v>
      </c>
      <c r="K38" s="3408">
        <f t="shared" si="2"/>
        <v>3.0761179275455</v>
      </c>
      <c r="L38" s="3408">
        <f t="shared" si="2"/>
        <v>3.0761179275455</v>
      </c>
      <c r="M38" s="3408">
        <f t="shared" si="2"/>
        <v>3.0761179275455</v>
      </c>
      <c r="N38" s="3374"/>
    </row>
    <row r="39" spans="2:14" x14ac:dyDescent="0.25">
      <c r="B39" s="3374"/>
      <c r="C39" s="375"/>
      <c r="D39" s="375"/>
      <c r="E39" s="375"/>
      <c r="F39" s="375"/>
      <c r="G39" s="375"/>
      <c r="H39" s="375"/>
      <c r="I39" s="375"/>
      <c r="J39" s="375"/>
      <c r="K39" s="375"/>
      <c r="L39" s="375"/>
      <c r="M39" s="375"/>
      <c r="N39" s="3374"/>
    </row>
    <row r="40" spans="2:14" x14ac:dyDescent="0.25">
      <c r="B40" s="3374"/>
      <c r="C40" s="3378" t="s">
        <v>491</v>
      </c>
      <c r="D40" s="375"/>
      <c r="E40" s="378"/>
      <c r="F40" s="375"/>
      <c r="G40" s="375"/>
      <c r="H40" s="375"/>
      <c r="I40" s="375"/>
      <c r="J40" s="375"/>
      <c r="K40" s="375"/>
      <c r="L40" s="375"/>
      <c r="M40" s="375" t="s">
        <v>171</v>
      </c>
      <c r="N40" s="3374"/>
    </row>
    <row r="41" spans="2:14" ht="6" customHeight="1" x14ac:dyDescent="0.25">
      <c r="B41" s="3374"/>
      <c r="C41" s="375"/>
      <c r="D41" s="375"/>
      <c r="E41" s="375"/>
      <c r="F41" s="375"/>
      <c r="G41" s="375"/>
      <c r="H41" s="375"/>
      <c r="I41" s="375"/>
      <c r="J41" s="375"/>
      <c r="K41" s="375"/>
      <c r="L41" s="375"/>
      <c r="M41" s="375"/>
      <c r="N41" s="3374"/>
    </row>
    <row r="42" spans="2:14" x14ac:dyDescent="0.25">
      <c r="B42" s="3374"/>
      <c r="C42" s="380" t="s">
        <v>2257</v>
      </c>
      <c r="D42" s="380" t="s">
        <v>444</v>
      </c>
      <c r="E42" s="380" t="s">
        <v>148</v>
      </c>
      <c r="F42" s="380">
        <v>2015</v>
      </c>
      <c r="G42" s="380">
        <v>2020</v>
      </c>
      <c r="H42" s="380">
        <v>2025</v>
      </c>
      <c r="I42" s="380">
        <v>2030</v>
      </c>
      <c r="J42" s="380">
        <v>2035</v>
      </c>
      <c r="K42" s="380">
        <v>2040</v>
      </c>
      <c r="L42" s="380">
        <v>2045</v>
      </c>
      <c r="M42" s="380">
        <v>2050</v>
      </c>
      <c r="N42" s="3374"/>
    </row>
    <row r="43" spans="2:14" x14ac:dyDescent="0.25">
      <c r="B43" s="3374"/>
      <c r="C43" s="466" t="s">
        <v>2258</v>
      </c>
      <c r="D43" s="385"/>
      <c r="E43" s="409"/>
      <c r="F43" s="3409">
        <v>10.934465313717508</v>
      </c>
      <c r="G43" s="3409">
        <v>10.934465313717508</v>
      </c>
      <c r="H43" s="3409">
        <v>10.934465313717508</v>
      </c>
      <c r="I43" s="3409">
        <v>10.934465313717508</v>
      </c>
      <c r="J43" s="3409">
        <v>10.934465313717508</v>
      </c>
      <c r="K43" s="3409">
        <v>10.934465313717508</v>
      </c>
      <c r="L43" s="3409">
        <v>10.934465313717508</v>
      </c>
      <c r="M43" s="3409">
        <v>10.934465313717508</v>
      </c>
      <c r="N43" s="3374"/>
    </row>
    <row r="44" spans="2:14" x14ac:dyDescent="0.25">
      <c r="B44" s="3374"/>
      <c r="C44" s="466" t="s">
        <v>2259</v>
      </c>
      <c r="D44" s="385"/>
      <c r="E44" s="385"/>
      <c r="F44" s="3410">
        <v>10.934465313717508</v>
      </c>
      <c r="G44" s="3410">
        <v>10.372398840329293</v>
      </c>
      <c r="H44" s="3410">
        <v>9.8103323669410791</v>
      </c>
      <c r="I44" s="3410">
        <v>9.2482658935528637</v>
      </c>
      <c r="J44" s="3410">
        <v>8.6861994201646482</v>
      </c>
      <c r="K44" s="3410">
        <v>8.1241329467764327</v>
      </c>
      <c r="L44" s="3410">
        <v>7.5620664733882181</v>
      </c>
      <c r="M44" s="3410">
        <v>7.0000000000000036</v>
      </c>
      <c r="N44" s="3374"/>
    </row>
    <row r="45" spans="2:14" x14ac:dyDescent="0.25">
      <c r="B45" s="3374"/>
      <c r="C45" s="3379" t="s">
        <v>2260</v>
      </c>
      <c r="D45" s="418"/>
      <c r="E45" s="418"/>
      <c r="F45" s="3411">
        <v>10.934465313717508</v>
      </c>
      <c r="G45" s="3411">
        <v>9.8009702689007181</v>
      </c>
      <c r="H45" s="3411">
        <v>8.6674752240839279</v>
      </c>
      <c r="I45" s="3411">
        <v>7.5339801792671386</v>
      </c>
      <c r="J45" s="3411">
        <v>6.4004851344503484</v>
      </c>
      <c r="K45" s="3411">
        <v>5.2669900896335582</v>
      </c>
      <c r="L45" s="3411">
        <v>4.1334950448167689</v>
      </c>
      <c r="M45" s="3411">
        <v>2.9999999999999787</v>
      </c>
      <c r="N45" s="3374"/>
    </row>
    <row r="46" spans="2:14" x14ac:dyDescent="0.25">
      <c r="B46" s="3374"/>
      <c r="C46" s="417" t="s">
        <v>2261</v>
      </c>
      <c r="D46" s="418"/>
      <c r="E46" s="418"/>
      <c r="F46" s="3408">
        <f t="shared" ref="F46:M46" si="3">(INDEX(F$43:F$45,ROUNDDOWN($D$7,0))*(1-MOD($D$7,1)))+(INDEX(F$43:F$45,ROUNDUP($D$7,0))*MOD($D$7,1))</f>
        <v>10.934465313717508</v>
      </c>
      <c r="G46" s="3408">
        <f t="shared" si="3"/>
        <v>10.934465313717508</v>
      </c>
      <c r="H46" s="3408">
        <f t="shared" si="3"/>
        <v>10.934465313717508</v>
      </c>
      <c r="I46" s="3408">
        <f t="shared" si="3"/>
        <v>10.934465313717508</v>
      </c>
      <c r="J46" s="3408">
        <f t="shared" si="3"/>
        <v>10.934465313717508</v>
      </c>
      <c r="K46" s="3408">
        <f t="shared" si="3"/>
        <v>10.934465313717508</v>
      </c>
      <c r="L46" s="3408">
        <f t="shared" si="3"/>
        <v>10.934465313717508</v>
      </c>
      <c r="M46" s="3408">
        <f t="shared" si="3"/>
        <v>10.934465313717508</v>
      </c>
      <c r="N46" s="3374"/>
    </row>
    <row r="47" spans="2:14" x14ac:dyDescent="0.25">
      <c r="B47" s="3374"/>
      <c r="C47" s="375"/>
      <c r="D47" s="375"/>
      <c r="E47" s="375"/>
      <c r="F47" s="375"/>
      <c r="G47" s="375"/>
      <c r="H47" s="375"/>
      <c r="I47" s="375"/>
      <c r="J47" s="375"/>
      <c r="K47" s="375"/>
      <c r="L47" s="375"/>
      <c r="M47" s="375"/>
      <c r="N47" s="3374"/>
    </row>
    <row r="48" spans="2:14" x14ac:dyDescent="0.25">
      <c r="B48" s="3374"/>
      <c r="C48" s="3377"/>
      <c r="D48" s="3375"/>
      <c r="E48" s="3375"/>
      <c r="F48" s="3376"/>
      <c r="G48" s="3376"/>
      <c r="H48" s="3376"/>
      <c r="I48" s="3376"/>
      <c r="J48" s="3376"/>
      <c r="K48" s="3376"/>
      <c r="L48" s="3376"/>
      <c r="M48" s="3376"/>
      <c r="N48" s="3374"/>
    </row>
    <row r="49" spans="2:14" x14ac:dyDescent="0.25">
      <c r="B49" s="3374"/>
      <c r="C49" s="3377"/>
      <c r="D49" s="3375"/>
      <c r="E49" s="3375"/>
      <c r="F49" s="3376"/>
      <c r="G49" s="3376"/>
      <c r="H49" s="3376"/>
      <c r="I49" s="3376"/>
      <c r="J49" s="3376"/>
      <c r="K49" s="3376"/>
      <c r="L49" s="3376"/>
      <c r="M49" s="3376"/>
      <c r="N49" s="3374"/>
    </row>
    <row r="50" spans="2:14" x14ac:dyDescent="0.25">
      <c r="B50" s="3374"/>
      <c r="C50" s="3377"/>
      <c r="D50" s="3375"/>
      <c r="E50" s="3375"/>
      <c r="F50" s="3376"/>
      <c r="G50" s="3376"/>
      <c r="H50" s="3376"/>
      <c r="I50" s="3376"/>
      <c r="J50" s="3376"/>
      <c r="K50" s="3376"/>
      <c r="L50" s="3376"/>
      <c r="M50" s="3376"/>
      <c r="N50" s="3374"/>
    </row>
    <row r="51" spans="2:14" x14ac:dyDescent="0.25">
      <c r="B51" s="3374"/>
      <c r="C51" s="3377"/>
      <c r="D51" s="3375"/>
      <c r="E51" s="3375"/>
      <c r="F51" s="3376"/>
      <c r="G51" s="3376"/>
      <c r="H51" s="3376"/>
      <c r="I51" s="3376"/>
      <c r="J51" s="3376"/>
      <c r="K51" s="3376"/>
      <c r="L51" s="3376"/>
      <c r="M51" s="3376"/>
      <c r="N51" s="3374"/>
    </row>
    <row r="53" spans="2:14" ht="15.75" x14ac:dyDescent="0.25">
      <c r="B53" s="3269" t="s">
        <v>216</v>
      </c>
      <c r="C53" s="3270"/>
      <c r="D53" s="3270"/>
      <c r="E53" s="3270"/>
      <c r="F53" s="3270"/>
      <c r="G53" s="3270"/>
      <c r="H53" s="3270"/>
      <c r="I53" s="3270"/>
      <c r="J53" s="3270"/>
      <c r="K53" s="3270"/>
      <c r="L53" s="3270"/>
      <c r="M53" s="3270"/>
      <c r="N53" s="3270"/>
    </row>
    <row r="54" spans="2:14" x14ac:dyDescent="0.25">
      <c r="B54" s="3271"/>
      <c r="C54" s="3272"/>
      <c r="D54" s="3272"/>
      <c r="E54" s="3272"/>
      <c r="F54" s="3272"/>
      <c r="G54" s="3272"/>
      <c r="H54" s="3272"/>
      <c r="I54" s="3272"/>
      <c r="J54" s="3272"/>
      <c r="K54" s="3272"/>
      <c r="L54" s="3272"/>
      <c r="M54" s="3272"/>
      <c r="N54" s="3272"/>
    </row>
    <row r="55" spans="2:14" x14ac:dyDescent="0.25">
      <c r="B55" s="3272"/>
      <c r="C55" s="3272"/>
      <c r="D55" s="3272"/>
      <c r="E55" s="3272"/>
      <c r="F55" s="3272"/>
      <c r="G55" s="3272"/>
      <c r="H55" s="3272"/>
      <c r="I55" s="3272"/>
      <c r="J55" s="3272"/>
      <c r="K55" s="3272"/>
      <c r="L55" s="3272"/>
      <c r="M55" s="3272"/>
      <c r="N55" s="3272"/>
    </row>
    <row r="56" spans="2:14" x14ac:dyDescent="0.25">
      <c r="B56" s="3272"/>
      <c r="C56" s="3272" t="s">
        <v>2263</v>
      </c>
      <c r="D56" s="3272"/>
      <c r="E56" s="3272"/>
      <c r="F56" s="3272"/>
      <c r="G56" s="3272"/>
      <c r="H56" s="3272" t="s">
        <v>171</v>
      </c>
      <c r="I56" s="3272"/>
      <c r="J56" s="3272"/>
      <c r="K56" s="3272"/>
      <c r="L56" s="3272"/>
      <c r="M56" s="3272"/>
      <c r="N56" s="3272"/>
    </row>
    <row r="57" spans="2:14" x14ac:dyDescent="0.25">
      <c r="B57" s="3374"/>
      <c r="C57" s="3382" t="s">
        <v>531</v>
      </c>
      <c r="D57" s="3383" t="s">
        <v>2243</v>
      </c>
      <c r="E57" s="3383" t="s">
        <v>2244</v>
      </c>
      <c r="F57" s="3384" t="s">
        <v>2245</v>
      </c>
      <c r="G57" s="3384" t="s">
        <v>2246</v>
      </c>
      <c r="H57" s="3384" t="s">
        <v>2247</v>
      </c>
      <c r="I57" s="3376"/>
      <c r="J57" s="3376"/>
      <c r="K57" s="3376"/>
      <c r="L57" s="3376"/>
      <c r="M57" s="3376"/>
      <c r="N57" s="3374"/>
    </row>
    <row r="58" spans="2:14" ht="5.25" customHeight="1" x14ac:dyDescent="0.25">
      <c r="B58" s="3374"/>
      <c r="C58" s="3377"/>
      <c r="D58" s="3375"/>
      <c r="E58" s="3375"/>
      <c r="F58" s="3376"/>
      <c r="G58" s="3376"/>
      <c r="H58" s="3376"/>
      <c r="I58" s="3376"/>
      <c r="J58" s="3376"/>
      <c r="K58" s="3376"/>
      <c r="L58" s="3376"/>
      <c r="M58" s="3376"/>
      <c r="N58" s="3374"/>
    </row>
    <row r="59" spans="2:14" x14ac:dyDescent="0.25">
      <c r="B59" s="3374"/>
      <c r="C59" s="3377" t="s">
        <v>1683</v>
      </c>
      <c r="D59" s="3380">
        <v>3.0761179275455022</v>
      </c>
      <c r="E59" s="3380">
        <v>104.81595627144269</v>
      </c>
      <c r="F59" s="3381">
        <v>0</v>
      </c>
      <c r="G59" s="3381">
        <v>0.48962028260743151</v>
      </c>
      <c r="H59" s="3381">
        <v>107.40245391638076</v>
      </c>
      <c r="I59" s="3376"/>
      <c r="J59" s="3376"/>
      <c r="K59" s="3376"/>
      <c r="L59" s="3376"/>
      <c r="M59" s="3376"/>
      <c r="N59" s="3374"/>
    </row>
    <row r="60" spans="2:14" x14ac:dyDescent="0.25">
      <c r="B60" s="3374"/>
      <c r="C60" s="3377" t="s">
        <v>491</v>
      </c>
      <c r="D60" s="3380">
        <v>10.934465313717508</v>
      </c>
      <c r="E60" s="3380">
        <v>40.484968308425884</v>
      </c>
      <c r="F60" s="3381">
        <v>0</v>
      </c>
      <c r="G60" s="3381">
        <v>4.0890853055765541</v>
      </c>
      <c r="H60" s="3381">
        <v>47.330348316566841</v>
      </c>
      <c r="I60" s="3376"/>
      <c r="J60" s="3376"/>
      <c r="K60" s="3376"/>
      <c r="L60" s="3376"/>
      <c r="M60" s="3376"/>
      <c r="N60" s="3374"/>
    </row>
    <row r="61" spans="2:14" x14ac:dyDescent="0.25">
      <c r="B61" s="3374"/>
      <c r="C61" s="3377" t="s">
        <v>387</v>
      </c>
      <c r="D61" s="3380">
        <v>25.584695004942724</v>
      </c>
      <c r="E61" s="3380">
        <v>69.464441472349833</v>
      </c>
      <c r="F61" s="3381">
        <v>6.8709658661394428</v>
      </c>
      <c r="G61" s="3381">
        <v>0.30121532825492819</v>
      </c>
      <c r="H61" s="3381">
        <v>87.878118276443558</v>
      </c>
      <c r="I61" s="3376"/>
      <c r="J61" s="3376"/>
      <c r="K61" s="3376"/>
      <c r="L61" s="3376"/>
      <c r="M61" s="3376"/>
      <c r="N61" s="3374"/>
    </row>
    <row r="62" spans="2:14" x14ac:dyDescent="0.25">
      <c r="B62" s="3374"/>
      <c r="C62" s="3377"/>
      <c r="D62" s="3380"/>
      <c r="E62" s="3380"/>
      <c r="F62" s="3381"/>
      <c r="G62" s="3381"/>
      <c r="H62" s="3381"/>
      <c r="I62" s="3376"/>
      <c r="J62" s="3376"/>
      <c r="K62" s="3376"/>
      <c r="L62" s="3376"/>
      <c r="M62" s="3376"/>
      <c r="N62" s="3374"/>
    </row>
    <row r="63" spans="2:14" x14ac:dyDescent="0.25">
      <c r="B63" s="3374"/>
      <c r="C63" s="3385"/>
      <c r="D63" s="3380"/>
      <c r="E63" s="3380"/>
      <c r="F63" s="3381"/>
      <c r="G63" s="3381"/>
      <c r="H63" s="3381"/>
      <c r="I63" s="3376"/>
      <c r="J63" s="3376"/>
      <c r="K63" s="3376"/>
      <c r="L63" s="3376"/>
      <c r="M63" s="3376"/>
      <c r="N63" s="3374"/>
    </row>
    <row r="64" spans="2:14" x14ac:dyDescent="0.25">
      <c r="B64" s="3374"/>
      <c r="C64" s="3416" t="s">
        <v>605</v>
      </c>
      <c r="D64" s="3380"/>
      <c r="E64" s="3380"/>
      <c r="F64" s="3381"/>
      <c r="G64" s="3381"/>
      <c r="H64" s="3381"/>
      <c r="I64" s="3376"/>
      <c r="J64" s="3376"/>
      <c r="K64" s="3376"/>
      <c r="L64" s="3376"/>
      <c r="M64" s="3376"/>
      <c r="N64" s="3374"/>
    </row>
    <row r="65" spans="2:14" x14ac:dyDescent="0.25">
      <c r="B65" s="3374"/>
      <c r="C65" s="3416" t="s">
        <v>2285</v>
      </c>
      <c r="D65" s="3380"/>
      <c r="E65" s="3380"/>
      <c r="F65" s="3381"/>
      <c r="G65" s="3381"/>
      <c r="H65" s="3381"/>
      <c r="I65" s="3376"/>
      <c r="J65" s="3376"/>
      <c r="K65" s="3376"/>
      <c r="L65" s="3376"/>
      <c r="M65" s="3376"/>
      <c r="N65" s="3374"/>
    </row>
    <row r="66" spans="2:14" x14ac:dyDescent="0.25">
      <c r="B66" s="3374"/>
      <c r="C66" s="3386" t="s">
        <v>2264</v>
      </c>
      <c r="D66" s="3380"/>
      <c r="E66" s="3380"/>
      <c r="F66" s="3381"/>
      <c r="G66" s="3381"/>
      <c r="H66" s="3381"/>
      <c r="I66" s="3376"/>
      <c r="J66" s="3376"/>
      <c r="K66" s="3376"/>
      <c r="L66" s="3376"/>
      <c r="M66" s="3376"/>
      <c r="N66" s="3374"/>
    </row>
    <row r="67" spans="2:14" x14ac:dyDescent="0.25">
      <c r="B67" s="3374"/>
      <c r="C67" s="3377"/>
      <c r="D67" s="3380"/>
      <c r="E67" s="3380"/>
      <c r="F67" s="3381"/>
      <c r="G67" s="3381"/>
      <c r="H67" s="3381"/>
      <c r="I67" s="3376"/>
      <c r="J67" s="3376"/>
      <c r="K67" s="3376"/>
      <c r="L67" s="3376"/>
      <c r="M67" s="3376"/>
      <c r="N67" s="3374"/>
    </row>
    <row r="68" spans="2:14" x14ac:dyDescent="0.25">
      <c r="B68" s="3374"/>
      <c r="C68" s="3377" t="s">
        <v>2273</v>
      </c>
      <c r="D68" s="3380"/>
      <c r="E68" s="3380"/>
      <c r="F68" s="3381"/>
      <c r="G68" s="3381"/>
      <c r="H68" s="3381"/>
      <c r="I68" s="3376"/>
      <c r="J68" s="3376"/>
      <c r="K68" s="3376"/>
      <c r="L68" s="3376"/>
      <c r="M68" s="3376"/>
      <c r="N68" s="3374"/>
    </row>
    <row r="69" spans="2:14" x14ac:dyDescent="0.25">
      <c r="B69" s="3374"/>
      <c r="C69" s="3377"/>
      <c r="D69" s="3380"/>
      <c r="E69" s="3380"/>
      <c r="F69" s="3381"/>
      <c r="G69" s="3381"/>
      <c r="H69" s="3381"/>
      <c r="I69" s="3376"/>
      <c r="J69" s="3376"/>
      <c r="K69" s="3376"/>
      <c r="L69" s="3376"/>
      <c r="M69" s="3376"/>
      <c r="N69" s="3374"/>
    </row>
    <row r="70" spans="2:14" x14ac:dyDescent="0.25">
      <c r="B70" s="3374"/>
      <c r="C70" s="3377" t="s">
        <v>146</v>
      </c>
      <c r="D70" s="3380" t="s">
        <v>147</v>
      </c>
      <c r="E70" s="3380" t="s">
        <v>148</v>
      </c>
      <c r="F70" s="3381"/>
      <c r="G70" s="3381"/>
      <c r="H70" s="3381"/>
      <c r="I70" s="3376"/>
      <c r="J70" s="3376"/>
      <c r="K70" s="3376"/>
      <c r="L70" s="3376"/>
      <c r="M70" s="3376"/>
      <c r="N70" s="3374"/>
    </row>
    <row r="71" spans="2:14" x14ac:dyDescent="0.25">
      <c r="B71" s="3374"/>
      <c r="C71" s="3377" t="s">
        <v>2274</v>
      </c>
      <c r="D71" s="3380" t="s">
        <v>2275</v>
      </c>
      <c r="E71" s="3380" t="s">
        <v>317</v>
      </c>
      <c r="F71" s="3431">
        <f>0.125729188631037/124.4</f>
        <v>1.0106847960694291E-3</v>
      </c>
      <c r="G71" s="3381" t="s">
        <v>2279</v>
      </c>
      <c r="H71" s="3381"/>
      <c r="I71" s="3376"/>
      <c r="J71" s="3376"/>
      <c r="K71" s="3376"/>
      <c r="L71" s="3376"/>
      <c r="M71" s="3376"/>
      <c r="N71" s="3374"/>
    </row>
    <row r="72" spans="2:14" x14ac:dyDescent="0.25">
      <c r="B72" s="3374"/>
      <c r="C72" s="3377" t="s">
        <v>2276</v>
      </c>
      <c r="D72" s="3380" t="s">
        <v>2277</v>
      </c>
      <c r="E72" s="3380" t="s">
        <v>317</v>
      </c>
      <c r="F72" s="3431">
        <f>5.09168198602343/975.9</f>
        <v>5.2174218526728463E-3</v>
      </c>
      <c r="G72" s="3381" t="s">
        <v>2280</v>
      </c>
      <c r="H72" s="3381"/>
      <c r="I72" s="3376"/>
      <c r="J72" s="3376"/>
      <c r="K72" s="3376"/>
      <c r="L72" s="3376"/>
      <c r="M72" s="3376"/>
      <c r="N72" s="3374"/>
    </row>
    <row r="73" spans="2:14" x14ac:dyDescent="0.25">
      <c r="B73" s="3374"/>
      <c r="C73" s="3377"/>
      <c r="D73" s="3375"/>
      <c r="E73" s="3375"/>
      <c r="F73" s="3376"/>
      <c r="G73" s="3376"/>
      <c r="H73" s="3376"/>
      <c r="I73" s="3376"/>
      <c r="J73" s="3376"/>
      <c r="K73" s="3376"/>
      <c r="L73" s="3376"/>
      <c r="M73" s="3376"/>
      <c r="N73" s="3374"/>
    </row>
    <row r="74" spans="2:14" x14ac:dyDescent="0.25">
      <c r="B74" s="3374"/>
      <c r="C74" s="280" t="s">
        <v>317</v>
      </c>
      <c r="D74" s="3428" t="s">
        <v>2281</v>
      </c>
      <c r="E74" s="3375"/>
      <c r="F74" s="3376"/>
      <c r="G74" s="3376"/>
      <c r="H74" s="3376"/>
      <c r="I74" s="3376"/>
      <c r="J74" s="3376"/>
      <c r="K74" s="3376"/>
      <c r="L74" s="3376"/>
      <c r="M74" s="3376"/>
      <c r="N74" s="3374"/>
    </row>
    <row r="75" spans="2:14" x14ac:dyDescent="0.25">
      <c r="B75" s="3374"/>
      <c r="C75" s="280"/>
      <c r="D75" s="3428"/>
      <c r="E75" s="3374"/>
      <c r="F75" s="3374"/>
      <c r="G75" s="3374"/>
      <c r="H75" s="3374"/>
      <c r="I75" s="3374"/>
      <c r="J75" s="3374"/>
      <c r="K75" s="3374"/>
      <c r="L75" s="3374"/>
      <c r="M75" s="3374"/>
      <c r="N75" s="3374"/>
    </row>
    <row r="78" spans="2:14" ht="15.75" x14ac:dyDescent="0.25">
      <c r="B78" s="3269" t="s">
        <v>369</v>
      </c>
      <c r="C78" s="3270"/>
      <c r="D78" s="3270"/>
      <c r="E78" s="3270"/>
      <c r="F78" s="3270"/>
      <c r="G78" s="3270"/>
      <c r="H78" s="3270"/>
      <c r="I78" s="3270"/>
      <c r="J78" s="3270"/>
      <c r="K78" s="3270"/>
      <c r="L78" s="3270"/>
      <c r="M78" s="3270"/>
      <c r="N78" s="3270"/>
    </row>
    <row r="79" spans="2:14" x14ac:dyDescent="0.25">
      <c r="B79" s="3374"/>
      <c r="C79" s="3377"/>
      <c r="D79" s="3380"/>
      <c r="E79" s="3380"/>
      <c r="F79" s="3381"/>
      <c r="G79" s="3381"/>
      <c r="H79" s="3381"/>
      <c r="I79" s="3376"/>
      <c r="J79" s="3376"/>
      <c r="K79" s="3376"/>
      <c r="L79" s="3376"/>
      <c r="M79" s="3376"/>
      <c r="N79" s="3374"/>
    </row>
    <row r="80" spans="2:14" x14ac:dyDescent="0.25">
      <c r="B80" s="3374"/>
      <c r="C80" s="3416" t="s">
        <v>2268</v>
      </c>
      <c r="D80" s="3380"/>
      <c r="E80" s="3380"/>
      <c r="F80" s="3381"/>
      <c r="G80" s="3381"/>
      <c r="H80" s="3381"/>
      <c r="I80" s="3376"/>
      <c r="J80" s="3376"/>
      <c r="K80" s="3376"/>
      <c r="L80" s="3376"/>
      <c r="M80" s="3376"/>
      <c r="N80" s="3374"/>
    </row>
    <row r="81" spans="2:14" x14ac:dyDescent="0.25">
      <c r="B81" s="3374"/>
      <c r="C81" s="3417" t="s">
        <v>2267</v>
      </c>
      <c r="D81" s="3380"/>
      <c r="E81" s="3380"/>
      <c r="F81" s="3381"/>
      <c r="G81" s="3381"/>
      <c r="H81" s="3381"/>
      <c r="I81" s="3376"/>
      <c r="J81" s="3376"/>
      <c r="K81" s="3376"/>
      <c r="L81" s="3376"/>
      <c r="M81" s="3422" t="s">
        <v>2270</v>
      </c>
      <c r="N81" s="3374"/>
    </row>
    <row r="82" spans="2:14" x14ac:dyDescent="0.25">
      <c r="B82" s="3374"/>
      <c r="C82" s="3417"/>
      <c r="D82" s="3380"/>
      <c r="E82" s="3380"/>
      <c r="F82" s="380">
        <v>2015</v>
      </c>
      <c r="G82" s="380">
        <v>2020</v>
      </c>
      <c r="H82" s="380">
        <v>2025</v>
      </c>
      <c r="I82" s="380">
        <v>2030</v>
      </c>
      <c r="J82" s="380">
        <v>2035</v>
      </c>
      <c r="K82" s="380">
        <v>2040</v>
      </c>
      <c r="L82" s="380">
        <v>2045</v>
      </c>
      <c r="M82" s="380">
        <v>2050</v>
      </c>
      <c r="N82" s="3374"/>
    </row>
    <row r="83" spans="2:14" x14ac:dyDescent="0.25">
      <c r="B83" s="3374"/>
      <c r="C83" s="3418" t="s">
        <v>995</v>
      </c>
      <c r="D83" s="3380"/>
      <c r="E83" s="3380"/>
      <c r="F83" s="3419">
        <f ca="1">F15/$F15</f>
        <v>1</v>
      </c>
      <c r="G83" s="3419">
        <f t="shared" ref="G83:M83" ca="1" si="4">G15/$F$15</f>
        <v>1.1189435734706796</v>
      </c>
      <c r="H83" s="3419">
        <f t="shared" ca="1" si="4"/>
        <v>1.3175110675766923</v>
      </c>
      <c r="I83" s="3419">
        <f t="shared" ca="1" si="4"/>
        <v>1.5139023564989937</v>
      </c>
      <c r="J83" s="3419">
        <f t="shared" ca="1" si="4"/>
        <v>1.7582117628853333</v>
      </c>
      <c r="K83" s="3419">
        <f t="shared" ca="1" si="4"/>
        <v>2.0236124587079782</v>
      </c>
      <c r="L83" s="3419">
        <f t="shared" ca="1" si="4"/>
        <v>2.2934322428477087</v>
      </c>
      <c r="M83" s="3419">
        <f t="shared" ca="1" si="4"/>
        <v>2.5398061955639948</v>
      </c>
      <c r="N83" s="3374"/>
    </row>
    <row r="84" spans="2:14" x14ac:dyDescent="0.25">
      <c r="B84" s="3374"/>
      <c r="C84" s="3418" t="s">
        <v>994</v>
      </c>
      <c r="D84" s="3380"/>
      <c r="E84" s="3380"/>
      <c r="F84" s="3419">
        <f ca="1">F16/$F16</f>
        <v>1</v>
      </c>
      <c r="G84" s="3419">
        <f t="shared" ref="G84:M85" ca="1" si="5">G16/$F16</f>
        <v>1.1048634700776467</v>
      </c>
      <c r="H84" s="3419">
        <f t="shared" ca="1" si="5"/>
        <v>1.2868738328379459</v>
      </c>
      <c r="I84" s="3419">
        <f t="shared" ca="1" si="5"/>
        <v>1.5002445599969947</v>
      </c>
      <c r="J84" s="3419">
        <f t="shared" ca="1" si="5"/>
        <v>1.7060611411821511</v>
      </c>
      <c r="K84" s="3419">
        <f t="shared" ca="1" si="5"/>
        <v>1.8782138352464453</v>
      </c>
      <c r="L84" s="3419">
        <f t="shared" ca="1" si="5"/>
        <v>2.028273113875501</v>
      </c>
      <c r="M84" s="3419">
        <f t="shared" ca="1" si="5"/>
        <v>2.1610753303796466</v>
      </c>
      <c r="N84" s="3374"/>
    </row>
    <row r="85" spans="2:14" x14ac:dyDescent="0.25">
      <c r="B85" s="3374"/>
      <c r="C85" s="3418" t="s">
        <v>996</v>
      </c>
      <c r="D85" s="3380"/>
      <c r="E85" s="3380"/>
      <c r="F85" s="3419">
        <f ca="1">F17/$F17</f>
        <v>1</v>
      </c>
      <c r="G85" s="3419">
        <f t="shared" ca="1" si="5"/>
        <v>1.153488879911535</v>
      </c>
      <c r="H85" s="3419">
        <f t="shared" ca="1" si="5"/>
        <v>1.3602373780179262</v>
      </c>
      <c r="I85" s="3419">
        <f t="shared" ca="1" si="5"/>
        <v>1.5748370101670033</v>
      </c>
      <c r="J85" s="3419">
        <f t="shared" ca="1" si="5"/>
        <v>1.8284256447132339</v>
      </c>
      <c r="K85" s="3419">
        <f t="shared" ca="1" si="5"/>
        <v>2.1172374584537881</v>
      </c>
      <c r="L85" s="3419">
        <f t="shared" ca="1" si="5"/>
        <v>2.4357683656505937</v>
      </c>
      <c r="M85" s="3419">
        <f t="shared" ca="1" si="5"/>
        <v>2.737130180962823</v>
      </c>
      <c r="N85" s="3374"/>
    </row>
    <row r="86" spans="2:14" x14ac:dyDescent="0.25">
      <c r="B86" s="3374"/>
      <c r="C86" s="3377"/>
      <c r="D86" s="3380"/>
      <c r="E86" s="3380"/>
      <c r="F86" s="3381"/>
      <c r="G86" s="3381"/>
      <c r="H86" s="3381"/>
      <c r="I86" s="3376"/>
      <c r="J86" s="3376"/>
      <c r="K86" s="3376"/>
      <c r="L86" s="3376"/>
      <c r="M86" s="3376"/>
      <c r="N86" s="3374"/>
    </row>
    <row r="87" spans="2:14" x14ac:dyDescent="0.25">
      <c r="B87" s="3374"/>
      <c r="C87" s="3377"/>
      <c r="D87" s="3380"/>
      <c r="E87" s="3380"/>
      <c r="F87" s="3381"/>
      <c r="G87" s="3381"/>
      <c r="H87" s="3381"/>
      <c r="I87" s="3376"/>
      <c r="J87" s="3376"/>
      <c r="K87" s="3376"/>
      <c r="L87" s="3376"/>
      <c r="M87" s="3399" t="s">
        <v>171</v>
      </c>
      <c r="N87" s="3374"/>
    </row>
    <row r="88" spans="2:14" x14ac:dyDescent="0.25">
      <c r="B88" s="3374"/>
      <c r="C88" s="3416" t="s">
        <v>2269</v>
      </c>
      <c r="D88" s="3380"/>
      <c r="E88" s="3380"/>
      <c r="F88" s="380">
        <v>2015</v>
      </c>
      <c r="G88" s="380">
        <v>2020</v>
      </c>
      <c r="H88" s="380">
        <v>2025</v>
      </c>
      <c r="I88" s="380">
        <v>2030</v>
      </c>
      <c r="J88" s="380">
        <v>2035</v>
      </c>
      <c r="K88" s="380">
        <v>2040</v>
      </c>
      <c r="L88" s="380">
        <v>2045</v>
      </c>
      <c r="M88" s="380">
        <v>2050</v>
      </c>
      <c r="N88" s="3374"/>
    </row>
    <row r="89" spans="2:14" x14ac:dyDescent="0.25">
      <c r="B89" s="3374"/>
      <c r="C89" s="3377" t="s">
        <v>1683</v>
      </c>
      <c r="D89" s="3380"/>
      <c r="E89" s="3380"/>
      <c r="F89" s="3381">
        <f t="shared" ref="F89:M89" si="6">F38</f>
        <v>3.0761179275455</v>
      </c>
      <c r="G89" s="3381">
        <f t="shared" si="6"/>
        <v>3.0761179275455</v>
      </c>
      <c r="H89" s="3381">
        <f t="shared" si="6"/>
        <v>3.0761179275455</v>
      </c>
      <c r="I89" s="3381">
        <f t="shared" si="6"/>
        <v>3.0761179275455</v>
      </c>
      <c r="J89" s="3381">
        <f t="shared" si="6"/>
        <v>3.0761179275455</v>
      </c>
      <c r="K89" s="3381">
        <f t="shared" si="6"/>
        <v>3.0761179275455</v>
      </c>
      <c r="L89" s="3381">
        <f t="shared" si="6"/>
        <v>3.0761179275455</v>
      </c>
      <c r="M89" s="3381">
        <f t="shared" si="6"/>
        <v>3.0761179275455</v>
      </c>
      <c r="N89" s="3374"/>
    </row>
    <row r="90" spans="2:14" x14ac:dyDescent="0.25">
      <c r="B90" s="3374"/>
      <c r="C90" s="3377" t="s">
        <v>491</v>
      </c>
      <c r="D90" s="3380"/>
      <c r="E90" s="3380"/>
      <c r="F90" s="3381">
        <f t="shared" ref="F90:M90" si="7">F46</f>
        <v>10.934465313717508</v>
      </c>
      <c r="G90" s="3381">
        <f t="shared" si="7"/>
        <v>10.934465313717508</v>
      </c>
      <c r="H90" s="3381">
        <f t="shared" si="7"/>
        <v>10.934465313717508</v>
      </c>
      <c r="I90" s="3381">
        <f t="shared" si="7"/>
        <v>10.934465313717508</v>
      </c>
      <c r="J90" s="3381">
        <f t="shared" si="7"/>
        <v>10.934465313717508</v>
      </c>
      <c r="K90" s="3381">
        <f t="shared" si="7"/>
        <v>10.934465313717508</v>
      </c>
      <c r="L90" s="3381">
        <f t="shared" si="7"/>
        <v>10.934465313717508</v>
      </c>
      <c r="M90" s="3381">
        <f t="shared" si="7"/>
        <v>10.934465313717508</v>
      </c>
      <c r="N90" s="3374"/>
    </row>
    <row r="91" spans="2:14" x14ac:dyDescent="0.25">
      <c r="B91" s="3374"/>
      <c r="C91" s="3377" t="s">
        <v>387</v>
      </c>
      <c r="D91" s="3387"/>
      <c r="E91" s="3380"/>
      <c r="F91" s="3381">
        <f t="shared" ref="F91:M91" si="8">F30</f>
        <v>25.584695004942699</v>
      </c>
      <c r="G91" s="3381">
        <f t="shared" si="8"/>
        <v>25.584695004942699</v>
      </c>
      <c r="H91" s="3381">
        <f t="shared" si="8"/>
        <v>25.584695004942699</v>
      </c>
      <c r="I91" s="3381">
        <f t="shared" si="8"/>
        <v>25.584695004942699</v>
      </c>
      <c r="J91" s="3381">
        <f t="shared" si="8"/>
        <v>25.584695004942699</v>
      </c>
      <c r="K91" s="3381">
        <f t="shared" si="8"/>
        <v>25.584695004942699</v>
      </c>
      <c r="L91" s="3381">
        <f t="shared" si="8"/>
        <v>25.584695004942699</v>
      </c>
      <c r="M91" s="3381">
        <f t="shared" si="8"/>
        <v>25.584695004942699</v>
      </c>
      <c r="N91" s="3374"/>
    </row>
    <row r="92" spans="2:14" x14ac:dyDescent="0.25">
      <c r="B92" s="3374"/>
      <c r="C92" s="3377"/>
      <c r="D92" s="3387"/>
      <c r="E92" s="3380"/>
      <c r="F92" s="3381"/>
      <c r="G92" s="3381"/>
      <c r="H92" s="3381"/>
      <c r="I92" s="3376"/>
      <c r="J92" s="3376"/>
      <c r="K92" s="3376"/>
      <c r="L92" s="3376"/>
      <c r="M92" s="3376"/>
      <c r="N92" s="3374"/>
    </row>
    <row r="93" spans="2:14" x14ac:dyDescent="0.25">
      <c r="B93" s="3374"/>
      <c r="C93" s="3377"/>
      <c r="D93" s="3387"/>
      <c r="E93" s="3380"/>
      <c r="F93" s="3381"/>
      <c r="G93" s="3381"/>
      <c r="H93" s="3381"/>
      <c r="I93" s="3376"/>
      <c r="J93" s="3376"/>
      <c r="K93" s="3376"/>
      <c r="L93" s="3376"/>
      <c r="M93" s="3376"/>
      <c r="N93" s="3374"/>
    </row>
    <row r="94" spans="2:14" x14ac:dyDescent="0.25">
      <c r="B94" s="3374"/>
      <c r="C94" s="3377"/>
      <c r="D94" s="3380"/>
      <c r="E94" s="3380"/>
      <c r="F94" s="3381"/>
      <c r="G94" s="3381"/>
      <c r="H94" s="3381"/>
      <c r="I94" s="3376"/>
      <c r="J94" s="3376"/>
      <c r="K94" s="3376"/>
      <c r="L94" s="3376"/>
      <c r="M94" s="3376"/>
      <c r="N94" s="3374"/>
    </row>
    <row r="95" spans="2:14" ht="14.25" customHeight="1" x14ac:dyDescent="0.25"/>
    <row r="96" spans="2:14" ht="14.25" customHeight="1" x14ac:dyDescent="0.25"/>
    <row r="98" spans="2:13" x14ac:dyDescent="0.25">
      <c r="B98" s="3274" t="s">
        <v>2247</v>
      </c>
    </row>
    <row r="99" spans="2:13" x14ac:dyDescent="0.25">
      <c r="B99" s="3249" t="s">
        <v>2284</v>
      </c>
      <c r="F99" s="3274">
        <v>2015</v>
      </c>
      <c r="G99" s="3274">
        <v>2020</v>
      </c>
      <c r="H99" s="3274">
        <v>2025</v>
      </c>
      <c r="I99" s="3274">
        <v>2030</v>
      </c>
      <c r="J99" s="3274">
        <v>2035</v>
      </c>
      <c r="K99" s="3274">
        <v>2040</v>
      </c>
      <c r="L99" s="3274">
        <v>2045</v>
      </c>
      <c r="M99" s="3274">
        <v>2050</v>
      </c>
    </row>
    <row r="100" spans="2:13" x14ac:dyDescent="0.25">
      <c r="C100" s="3249" t="s">
        <v>1683</v>
      </c>
      <c r="E100" s="3249" t="s">
        <v>171</v>
      </c>
      <c r="F100" s="3421">
        <f t="shared" ref="F100:M102" ca="1" si="9">$H59*F83</f>
        <v>107.40245391638076</v>
      </c>
      <c r="G100" s="3421">
        <f t="shared" ca="1" si="9"/>
        <v>120.17728558471508</v>
      </c>
      <c r="H100" s="3421">
        <f t="shared" ca="1" si="9"/>
        <v>141.50392171972732</v>
      </c>
      <c r="I100" s="3421">
        <f t="shared" ca="1" si="9"/>
        <v>162.59682807778341</v>
      </c>
      <c r="J100" s="3421">
        <f t="shared" ca="1" si="9"/>
        <v>188.8362578385306</v>
      </c>
      <c r="K100" s="3421">
        <f t="shared" ca="1" si="9"/>
        <v>217.3409438409976</v>
      </c>
      <c r="L100" s="3421">
        <f t="shared" ca="1" si="9"/>
        <v>246.3202507727928</v>
      </c>
      <c r="M100" s="3421">
        <f t="shared" ca="1" si="9"/>
        <v>272.78141787560031</v>
      </c>
    </row>
    <row r="101" spans="2:13" x14ac:dyDescent="0.25">
      <c r="C101" s="3249" t="s">
        <v>491</v>
      </c>
      <c r="E101" s="3249" t="s">
        <v>171</v>
      </c>
      <c r="F101" s="3421">
        <f t="shared" ca="1" si="9"/>
        <v>47.330348316566841</v>
      </c>
      <c r="G101" s="3421">
        <f t="shared" ca="1" si="9"/>
        <v>52.293572881025746</v>
      </c>
      <c r="H101" s="3421">
        <f t="shared" ca="1" si="9"/>
        <v>60.908186747695389</v>
      </c>
      <c r="I101" s="3421">
        <f t="shared" ca="1" si="9"/>
        <v>71.007097584692318</v>
      </c>
      <c r="J101" s="3421">
        <f t="shared" ca="1" si="9"/>
        <v>80.748468061510735</v>
      </c>
      <c r="K101" s="3421">
        <f t="shared" ca="1" si="9"/>
        <v>88.896515035209134</v>
      </c>
      <c r="L101" s="3421">
        <f t="shared" ca="1" si="9"/>
        <v>95.99887296085511</v>
      </c>
      <c r="M101" s="3421">
        <f t="shared" ca="1" si="9"/>
        <v>102.28444812520844</v>
      </c>
    </row>
    <row r="102" spans="2:13" x14ac:dyDescent="0.25">
      <c r="C102" s="3249" t="s">
        <v>387</v>
      </c>
      <c r="E102" s="3249" t="s">
        <v>171</v>
      </c>
      <c r="F102" s="3421">
        <f t="shared" ca="1" si="9"/>
        <v>87.878118276443558</v>
      </c>
      <c r="G102" s="3421">
        <f t="shared" ca="1" si="9"/>
        <v>101.36643221942828</v>
      </c>
      <c r="H102" s="3421">
        <f t="shared" ca="1" si="9"/>
        <v>119.53510118949879</v>
      </c>
      <c r="I102" s="3421">
        <f t="shared" ca="1" si="9"/>
        <v>138.39371304557667</v>
      </c>
      <c r="J102" s="3421">
        <f t="shared" ca="1" si="9"/>
        <v>160.67860506579214</v>
      </c>
      <c r="K102" s="3421">
        <f t="shared" ca="1" si="9"/>
        <v>186.05884379331874</v>
      </c>
      <c r="L102" s="3421">
        <f t="shared" ca="1" si="9"/>
        <v>214.05074053066249</v>
      </c>
      <c r="M102" s="3421">
        <f t="shared" ca="1" si="9"/>
        <v>240.53384978067433</v>
      </c>
    </row>
    <row r="104" spans="2:13" x14ac:dyDescent="0.25">
      <c r="B104" s="3274" t="s">
        <v>2271</v>
      </c>
      <c r="F104" s="3274">
        <v>2015</v>
      </c>
      <c r="G104" s="3274">
        <v>2020</v>
      </c>
      <c r="H104" s="3274">
        <v>2025</v>
      </c>
      <c r="I104" s="3274">
        <v>2030</v>
      </c>
      <c r="J104" s="3274">
        <v>2035</v>
      </c>
      <c r="K104" s="3274">
        <v>2040</v>
      </c>
      <c r="L104" s="3274">
        <v>2045</v>
      </c>
      <c r="M104" s="3274">
        <v>2050</v>
      </c>
    </row>
    <row r="105" spans="2:13" x14ac:dyDescent="0.25">
      <c r="C105" s="3249" t="s">
        <v>1683</v>
      </c>
      <c r="E105" s="3249" t="s">
        <v>171</v>
      </c>
      <c r="F105" s="3421">
        <f>F89</f>
        <v>3.0761179275455</v>
      </c>
      <c r="G105" s="3421">
        <f t="shared" ref="G105:M105" si="10">G89</f>
        <v>3.0761179275455</v>
      </c>
      <c r="H105" s="3421">
        <f t="shared" si="10"/>
        <v>3.0761179275455</v>
      </c>
      <c r="I105" s="3421">
        <f t="shared" si="10"/>
        <v>3.0761179275455</v>
      </c>
      <c r="J105" s="3421">
        <f t="shared" si="10"/>
        <v>3.0761179275455</v>
      </c>
      <c r="K105" s="3421">
        <f t="shared" si="10"/>
        <v>3.0761179275455</v>
      </c>
      <c r="L105" s="3421">
        <f t="shared" si="10"/>
        <v>3.0761179275455</v>
      </c>
      <c r="M105" s="3421">
        <f t="shared" si="10"/>
        <v>3.0761179275455</v>
      </c>
    </row>
    <row r="106" spans="2:13" x14ac:dyDescent="0.25">
      <c r="C106" s="3249" t="s">
        <v>491</v>
      </c>
      <c r="E106" s="3249" t="s">
        <v>171</v>
      </c>
      <c r="F106" s="3421">
        <f t="shared" ref="F106:M107" si="11">F90</f>
        <v>10.934465313717508</v>
      </c>
      <c r="G106" s="3421">
        <f t="shared" si="11"/>
        <v>10.934465313717508</v>
      </c>
      <c r="H106" s="3421">
        <f t="shared" si="11"/>
        <v>10.934465313717508</v>
      </c>
      <c r="I106" s="3421">
        <f t="shared" si="11"/>
        <v>10.934465313717508</v>
      </c>
      <c r="J106" s="3421">
        <f t="shared" si="11"/>
        <v>10.934465313717508</v>
      </c>
      <c r="K106" s="3421">
        <f t="shared" si="11"/>
        <v>10.934465313717508</v>
      </c>
      <c r="L106" s="3421">
        <f t="shared" si="11"/>
        <v>10.934465313717508</v>
      </c>
      <c r="M106" s="3421">
        <f t="shared" si="11"/>
        <v>10.934465313717508</v>
      </c>
    </row>
    <row r="107" spans="2:13" x14ac:dyDescent="0.25">
      <c r="C107" s="3249" t="s">
        <v>387</v>
      </c>
      <c r="E107" s="3249" t="s">
        <v>171</v>
      </c>
      <c r="F107" s="3421">
        <f t="shared" si="11"/>
        <v>25.584695004942699</v>
      </c>
      <c r="G107" s="3421">
        <f t="shared" si="11"/>
        <v>25.584695004942699</v>
      </c>
      <c r="H107" s="3421">
        <f t="shared" si="11"/>
        <v>25.584695004942699</v>
      </c>
      <c r="I107" s="3421">
        <f t="shared" si="11"/>
        <v>25.584695004942699</v>
      </c>
      <c r="J107" s="3421">
        <f t="shared" si="11"/>
        <v>25.584695004942699</v>
      </c>
      <c r="K107" s="3421">
        <f t="shared" si="11"/>
        <v>25.584695004942699</v>
      </c>
      <c r="L107" s="3421">
        <f t="shared" si="11"/>
        <v>25.584695004942699</v>
      </c>
      <c r="M107" s="3421">
        <f t="shared" si="11"/>
        <v>25.584695004942699</v>
      </c>
    </row>
    <row r="108" spans="2:13" x14ac:dyDescent="0.25">
      <c r="F108" s="3421"/>
      <c r="G108" s="3421"/>
      <c r="H108" s="3421"/>
      <c r="I108" s="3421"/>
      <c r="J108" s="3421"/>
      <c r="K108" s="3421"/>
      <c r="L108" s="3421"/>
      <c r="M108" s="3421"/>
    </row>
    <row r="109" spans="2:13" x14ac:dyDescent="0.25">
      <c r="B109" s="3274" t="s">
        <v>2272</v>
      </c>
      <c r="D109" s="3249" t="s">
        <v>1683</v>
      </c>
      <c r="E109" s="3249" t="s">
        <v>601</v>
      </c>
      <c r="F109" s="3423">
        <f ca="1">F105/F100</f>
        <v>2.8641039523551685E-2</v>
      </c>
      <c r="G109" s="3423">
        <f t="shared" ref="G109:M109" ca="1" si="12">G105/G100</f>
        <v>2.5596500308513712E-2</v>
      </c>
      <c r="H109" s="3423">
        <f t="shared" ca="1" si="12"/>
        <v>2.1738746814652085E-2</v>
      </c>
      <c r="I109" s="3423">
        <f t="shared" ca="1" si="12"/>
        <v>1.891868349408354E-2</v>
      </c>
      <c r="J109" s="3423">
        <f t="shared" ca="1" si="12"/>
        <v>1.6289869131889997E-2</v>
      </c>
      <c r="K109" s="3423">
        <f t="shared" ca="1" si="12"/>
        <v>1.4153421224653961E-2</v>
      </c>
      <c r="L109" s="3423">
        <f t="shared" ca="1" si="12"/>
        <v>1.2488286764464724E-2</v>
      </c>
      <c r="M109" s="3423">
        <f t="shared" ca="1" si="12"/>
        <v>1.1276860247673975E-2</v>
      </c>
    </row>
    <row r="110" spans="2:13" x14ac:dyDescent="0.25">
      <c r="D110" s="3249" t="s">
        <v>491</v>
      </c>
      <c r="E110" s="3249" t="s">
        <v>601</v>
      </c>
      <c r="F110" s="3423">
        <f t="shared" ref="F110:M110" ca="1" si="13">F106/F101</f>
        <v>0.23102439983291151</v>
      </c>
      <c r="G110" s="3423">
        <f t="shared" ca="1" si="13"/>
        <v>0.20909769042927609</v>
      </c>
      <c r="H110" s="3423">
        <f t="shared" ca="1" si="13"/>
        <v>0.17952373724425871</v>
      </c>
      <c r="I110" s="3423">
        <f t="shared" ca="1" si="13"/>
        <v>0.15399115983688308</v>
      </c>
      <c r="J110" s="3423">
        <f t="shared" ca="1" si="13"/>
        <v>0.13541390414228169</v>
      </c>
      <c r="K110" s="3423">
        <f t="shared" ca="1" si="13"/>
        <v>0.12300218191215603</v>
      </c>
      <c r="L110" s="3423">
        <f t="shared" ca="1" si="13"/>
        <v>0.11390201755989562</v>
      </c>
      <c r="M110" s="3423">
        <f t="shared" ca="1" si="13"/>
        <v>0.10690252051154844</v>
      </c>
    </row>
    <row r="111" spans="2:13" x14ac:dyDescent="0.25">
      <c r="D111" s="3249" t="s">
        <v>387</v>
      </c>
      <c r="E111" s="3249" t="s">
        <v>601</v>
      </c>
      <c r="F111" s="3423">
        <f t="shared" ref="F111:M111" ca="1" si="14">F107/F102</f>
        <v>0.29113840290092879</v>
      </c>
      <c r="G111" s="3423">
        <f t="shared" ca="1" si="14"/>
        <v>0.25239810107511151</v>
      </c>
      <c r="H111" s="3423">
        <f t="shared" ca="1" si="14"/>
        <v>0.21403499683648008</v>
      </c>
      <c r="I111" s="3423">
        <f t="shared" ca="1" si="14"/>
        <v>0.18486891089132776</v>
      </c>
      <c r="J111" s="3423">
        <f t="shared" ca="1" si="14"/>
        <v>0.1592290087063345</v>
      </c>
      <c r="K111" s="3423">
        <f t="shared" ca="1" si="14"/>
        <v>0.13750862083913171</v>
      </c>
      <c r="L111" s="3423">
        <f t="shared" ca="1" si="14"/>
        <v>0.11952630923637343</v>
      </c>
      <c r="M111" s="3423">
        <f t="shared" ca="1" si="14"/>
        <v>0.10636629741831163</v>
      </c>
    </row>
    <row r="114" spans="2:14" x14ac:dyDescent="0.25">
      <c r="B114" s="3249" t="s">
        <v>2278</v>
      </c>
      <c r="F114" s="3274">
        <v>2015</v>
      </c>
      <c r="G114" s="3274">
        <v>2020</v>
      </c>
      <c r="H114" s="3274">
        <v>2025</v>
      </c>
      <c r="I114" s="3274">
        <v>2030</v>
      </c>
      <c r="J114" s="3274">
        <v>2035</v>
      </c>
      <c r="K114" s="3274">
        <v>2040</v>
      </c>
      <c r="L114" s="3274">
        <v>2045</v>
      </c>
      <c r="M114" s="3274">
        <v>2050</v>
      </c>
    </row>
    <row r="115" spans="2:14" x14ac:dyDescent="0.25">
      <c r="C115" s="3249" t="s">
        <v>387</v>
      </c>
      <c r="E115" s="3249" t="s">
        <v>2241</v>
      </c>
      <c r="F115" s="3420">
        <f>$F$71*Constantes!$E$140*(XV.b!F107)</f>
        <v>0.54301930732495007</v>
      </c>
      <c r="G115" s="3420">
        <f>$F$71*Constantes!$E$140*(XV.b!G107)</f>
        <v>0.54301930732495007</v>
      </c>
      <c r="H115" s="3420">
        <f>$F$71*Constantes!$E$140*(XV.b!H107)</f>
        <v>0.54301930732495007</v>
      </c>
      <c r="I115" s="3420">
        <f>$F$71*Constantes!$E$140*(XV.b!I107)</f>
        <v>0.54301930732495007</v>
      </c>
      <c r="J115" s="3420">
        <f>$F$71*Constantes!$E$140*(XV.b!J107)</f>
        <v>0.54301930732495007</v>
      </c>
      <c r="K115" s="3420">
        <f>$F$71*Constantes!$E$140*(XV.b!K107)</f>
        <v>0.54301930732495007</v>
      </c>
      <c r="L115" s="3420">
        <f>$F$71*Constantes!$E$140*(XV.b!L107)</f>
        <v>0.54301930732495007</v>
      </c>
      <c r="M115" s="3420">
        <f>$F$71*Constantes!$E$140*(XV.b!M107)</f>
        <v>0.54301930732495007</v>
      </c>
    </row>
    <row r="116" spans="2:14" x14ac:dyDescent="0.25">
      <c r="C116" s="3249" t="s">
        <v>2282</v>
      </c>
      <c r="F116" s="3277">
        <f>$F$72*(XV.b!F106+F105)</f>
        <v>7.3099123171657579E-2</v>
      </c>
      <c r="G116" s="3277">
        <f>$F$72*(XV.b!G106+G105)</f>
        <v>7.3099123171657579E-2</v>
      </c>
      <c r="H116" s="3277">
        <f>$F$72*(XV.b!H106+H105)</f>
        <v>7.3099123171657579E-2</v>
      </c>
      <c r="I116" s="3277">
        <f>$F$72*(XV.b!I106+I105)</f>
        <v>7.3099123171657579E-2</v>
      </c>
      <c r="J116" s="3277">
        <f>$F$72*(XV.b!J106+J105)</f>
        <v>7.3099123171657579E-2</v>
      </c>
      <c r="K116" s="3277">
        <f>$F$72*(XV.b!K106+K105)</f>
        <v>7.3099123171657579E-2</v>
      </c>
      <c r="L116" s="3277">
        <f>$F$72*(XV.b!L106+L105)</f>
        <v>7.3099123171657579E-2</v>
      </c>
      <c r="M116" s="3277">
        <f>$F$72*(XV.b!M106+M105)</f>
        <v>7.3099123171657579E-2</v>
      </c>
    </row>
    <row r="117" spans="2:14" x14ac:dyDescent="0.25">
      <c r="E117" s="3249" t="s">
        <v>118</v>
      </c>
      <c r="F117" s="3277">
        <f>SUM(F115:F116)</f>
        <v>0.61611843049660764</v>
      </c>
      <c r="G117" s="3277">
        <f t="shared" ref="G117:M117" ca="1" si="15">G115*G116*G15</f>
        <v>4.0273490516402957</v>
      </c>
      <c r="H117" s="3277">
        <f t="shared" ca="1" si="15"/>
        <v>4.7420415777289637</v>
      </c>
      <c r="I117" s="3277">
        <f t="shared" ca="1" si="15"/>
        <v>5.4489014140461443</v>
      </c>
      <c r="J117" s="3277">
        <f t="shared" ca="1" si="15"/>
        <v>6.3282301661341158</v>
      </c>
      <c r="K117" s="3277">
        <f t="shared" ca="1" si="15"/>
        <v>7.2834715795243072</v>
      </c>
      <c r="L117" s="3277">
        <f t="shared" ca="1" si="15"/>
        <v>8.2546183625550125</v>
      </c>
      <c r="M117" s="3277">
        <f t="shared" ca="1" si="15"/>
        <v>9.1413779171437639</v>
      </c>
    </row>
    <row r="118" spans="2:14" x14ac:dyDescent="0.25">
      <c r="F118" s="3276"/>
      <c r="G118" s="3276"/>
      <c r="H118" s="3276"/>
      <c r="I118" s="3276"/>
      <c r="J118" s="3276"/>
      <c r="K118" s="3276"/>
      <c r="L118" s="3276"/>
      <c r="M118" s="3276"/>
    </row>
    <row r="119" spans="2:14" x14ac:dyDescent="0.25">
      <c r="F119" s="3276"/>
      <c r="G119" s="3276"/>
      <c r="H119" s="3276"/>
      <c r="I119" s="3276"/>
      <c r="J119" s="3276"/>
      <c r="K119" s="3276"/>
      <c r="L119" s="3276"/>
      <c r="M119" s="3276"/>
    </row>
    <row r="120" spans="2:14" x14ac:dyDescent="0.25">
      <c r="F120" s="3276"/>
      <c r="G120" s="3276"/>
      <c r="H120" s="3276"/>
      <c r="I120" s="3276"/>
      <c r="J120" s="3276"/>
      <c r="K120" s="3276"/>
      <c r="L120" s="3276"/>
      <c r="M120" s="3276"/>
    </row>
    <row r="122" spans="2:14" ht="15.75" x14ac:dyDescent="0.25">
      <c r="B122" s="3278" t="s">
        <v>434</v>
      </c>
      <c r="C122" s="3279"/>
      <c r="D122" s="3280"/>
      <c r="E122" s="3280"/>
      <c r="F122" s="3280"/>
      <c r="G122" s="3280"/>
      <c r="H122" s="3280"/>
      <c r="I122" s="3280"/>
      <c r="J122" s="3280"/>
      <c r="K122" s="3280"/>
      <c r="L122" s="3280"/>
      <c r="M122" s="3280"/>
      <c r="N122" s="3281"/>
    </row>
    <row r="123" spans="2:14" x14ac:dyDescent="0.25">
      <c r="B123" s="3282"/>
      <c r="C123" s="3283"/>
      <c r="D123" s="3283"/>
      <c r="E123" s="3283"/>
      <c r="F123" s="3283"/>
      <c r="G123" s="3283"/>
      <c r="H123" s="3283"/>
      <c r="I123" s="3283"/>
      <c r="J123" s="3283"/>
      <c r="K123" s="3283"/>
      <c r="L123" s="3283"/>
      <c r="M123" s="3283"/>
      <c r="N123" s="3284"/>
    </row>
    <row r="124" spans="2:14" x14ac:dyDescent="0.25">
      <c r="B124" s="3285"/>
      <c r="C124" s="3286" t="s">
        <v>394</v>
      </c>
      <c r="D124" s="3287"/>
      <c r="E124" s="3288"/>
      <c r="F124" s="3287"/>
      <c r="G124" s="3288"/>
      <c r="H124" s="3287"/>
      <c r="I124" s="3287"/>
      <c r="J124" s="3287"/>
      <c r="K124" s="3287"/>
      <c r="L124" s="3287"/>
      <c r="M124" s="3289" t="s">
        <v>395</v>
      </c>
      <c r="N124" s="3290"/>
    </row>
    <row r="125" spans="2:14" x14ac:dyDescent="0.25">
      <c r="B125" s="3285"/>
      <c r="C125" s="3287"/>
      <c r="D125" s="3287"/>
      <c r="E125" s="3287"/>
      <c r="F125" s="3287"/>
      <c r="G125" s="3287"/>
      <c r="H125" s="3287"/>
      <c r="I125" s="3287"/>
      <c r="J125" s="3287"/>
      <c r="K125" s="3287"/>
      <c r="L125" s="3287"/>
      <c r="M125" s="3287"/>
      <c r="N125" s="3290"/>
    </row>
    <row r="126" spans="2:14" ht="15.75" x14ac:dyDescent="0.25">
      <c r="B126" s="3291"/>
      <c r="C126" s="3292" t="s">
        <v>396</v>
      </c>
      <c r="D126" s="3292" t="s">
        <v>397</v>
      </c>
      <c r="E126" s="3292" t="s">
        <v>148</v>
      </c>
      <c r="F126" s="3293">
        <v>2015</v>
      </c>
      <c r="G126" s="3293">
        <v>2020</v>
      </c>
      <c r="H126" s="3293" t="s">
        <v>18</v>
      </c>
      <c r="I126" s="3293" t="s">
        <v>19</v>
      </c>
      <c r="J126" s="3293" t="s">
        <v>20</v>
      </c>
      <c r="K126" s="3293" t="s">
        <v>21</v>
      </c>
      <c r="L126" s="3293" t="s">
        <v>22</v>
      </c>
      <c r="M126" s="3293" t="s">
        <v>23</v>
      </c>
      <c r="N126" s="3290"/>
    </row>
    <row r="127" spans="2:14" ht="15.75" x14ac:dyDescent="0.25">
      <c r="B127" s="3291"/>
      <c r="C127" s="3294" t="s">
        <v>118</v>
      </c>
      <c r="D127" s="3294"/>
      <c r="E127" s="3294"/>
      <c r="F127" s="3295">
        <f>F117</f>
        <v>0.61611843049660764</v>
      </c>
      <c r="G127" s="3295">
        <f t="shared" ref="G127:M127" ca="1" si="16">G117</f>
        <v>4.0273490516402957</v>
      </c>
      <c r="H127" s="3295">
        <f t="shared" ca="1" si="16"/>
        <v>4.7420415777289637</v>
      </c>
      <c r="I127" s="3295">
        <f t="shared" ca="1" si="16"/>
        <v>5.4489014140461443</v>
      </c>
      <c r="J127" s="3295">
        <f t="shared" ca="1" si="16"/>
        <v>6.3282301661341158</v>
      </c>
      <c r="K127" s="3295">
        <f t="shared" ca="1" si="16"/>
        <v>7.2834715795243072</v>
      </c>
      <c r="L127" s="3295">
        <f t="shared" ca="1" si="16"/>
        <v>8.2546183625550125</v>
      </c>
      <c r="M127" s="3295">
        <f t="shared" ca="1" si="16"/>
        <v>9.1413779171437639</v>
      </c>
      <c r="N127" s="3290"/>
    </row>
    <row r="128" spans="2:14" x14ac:dyDescent="0.25">
      <c r="B128" s="3287"/>
      <c r="C128" s="3287"/>
      <c r="D128" s="3287"/>
      <c r="E128" s="3287"/>
      <c r="F128" s="3287"/>
      <c r="G128" s="3287"/>
      <c r="H128" s="3287"/>
      <c r="I128" s="3287"/>
      <c r="J128" s="3287"/>
      <c r="K128" s="3287"/>
      <c r="L128" s="3287"/>
      <c r="M128" s="3287"/>
      <c r="N128" s="3287"/>
    </row>
    <row r="130" spans="2:14" ht="15.75" x14ac:dyDescent="0.25">
      <c r="B130" s="353" t="s">
        <v>181</v>
      </c>
      <c r="C130" s="355"/>
      <c r="D130" s="355"/>
      <c r="E130" s="355"/>
      <c r="F130" s="355"/>
      <c r="G130" s="355"/>
      <c r="H130" s="355"/>
      <c r="I130" s="355"/>
      <c r="J130" s="355"/>
      <c r="K130" s="355"/>
      <c r="L130" s="355"/>
      <c r="M130" s="355"/>
      <c r="N130" s="355"/>
    </row>
    <row r="131" spans="2:14" x14ac:dyDescent="0.25">
      <c r="B131" s="358"/>
      <c r="C131" s="360"/>
      <c r="D131" s="360"/>
      <c r="E131" s="360"/>
      <c r="F131" s="360"/>
      <c r="G131" s="360"/>
      <c r="H131" s="360"/>
      <c r="I131" s="360"/>
      <c r="J131" s="360"/>
      <c r="K131" s="360"/>
      <c r="L131" s="360"/>
      <c r="M131" s="360"/>
      <c r="N131" s="360"/>
    </row>
    <row r="132" spans="2:14" x14ac:dyDescent="0.25">
      <c r="B132" s="358"/>
      <c r="C132" s="457" t="s">
        <v>393</v>
      </c>
      <c r="D132" s="360"/>
      <c r="E132" s="361"/>
      <c r="F132" s="360"/>
      <c r="G132" s="361"/>
      <c r="H132" s="360"/>
      <c r="I132" s="360"/>
      <c r="J132" s="360"/>
      <c r="K132" s="360"/>
      <c r="L132" s="360"/>
      <c r="M132" s="361" t="s">
        <v>171</v>
      </c>
      <c r="N132" s="360"/>
    </row>
    <row r="133" spans="2:14" x14ac:dyDescent="0.25">
      <c r="B133" s="358"/>
      <c r="C133" s="360"/>
      <c r="D133" s="360"/>
      <c r="E133" s="360"/>
      <c r="F133" s="360"/>
      <c r="G133" s="360"/>
      <c r="H133" s="360"/>
      <c r="I133" s="360"/>
      <c r="J133" s="360"/>
      <c r="K133" s="360"/>
      <c r="L133" s="360"/>
      <c r="M133" s="360"/>
      <c r="N133" s="360"/>
    </row>
    <row r="134" spans="2:14" ht="15.75" x14ac:dyDescent="0.25">
      <c r="B134" s="363"/>
      <c r="C134" s="3424" t="s">
        <v>146</v>
      </c>
      <c r="D134" s="3424" t="s">
        <v>242</v>
      </c>
      <c r="E134" s="3424" t="s">
        <v>8</v>
      </c>
      <c r="F134" s="3430" t="s">
        <v>16</v>
      </c>
      <c r="G134" s="3430" t="s">
        <v>17</v>
      </c>
      <c r="H134" s="3430" t="s">
        <v>18</v>
      </c>
      <c r="I134" s="3430" t="s">
        <v>19</v>
      </c>
      <c r="J134" s="3430" t="s">
        <v>20</v>
      </c>
      <c r="K134" s="3430" t="s">
        <v>21</v>
      </c>
      <c r="L134" s="3430" t="s">
        <v>22</v>
      </c>
      <c r="M134" s="3430" t="s">
        <v>23</v>
      </c>
      <c r="N134" s="360"/>
    </row>
    <row r="135" spans="2:14" ht="15.75" x14ac:dyDescent="0.25">
      <c r="B135" s="363"/>
      <c r="C135" s="73" t="s">
        <v>467</v>
      </c>
      <c r="D135" s="482" t="str">
        <f>INDEX(Vectors[Descripción], MATCH(C135,Vectors[Código],FALSE))</f>
        <v>Carbón y  residuos fósiles</v>
      </c>
      <c r="E135" s="3424"/>
      <c r="F135" s="3429">
        <f>F107</f>
        <v>25.584695004942699</v>
      </c>
      <c r="G135" s="3429">
        <f t="shared" ref="G135:M135" si="17">G107</f>
        <v>25.584695004942699</v>
      </c>
      <c r="H135" s="3429">
        <f t="shared" si="17"/>
        <v>25.584695004942699</v>
      </c>
      <c r="I135" s="3429">
        <f t="shared" si="17"/>
        <v>25.584695004942699</v>
      </c>
      <c r="J135" s="3429">
        <f t="shared" si="17"/>
        <v>25.584695004942699</v>
      </c>
      <c r="K135" s="3429">
        <f t="shared" si="17"/>
        <v>25.584695004942699</v>
      </c>
      <c r="L135" s="3429">
        <f t="shared" si="17"/>
        <v>25.584695004942699</v>
      </c>
      <c r="M135" s="3429">
        <f t="shared" si="17"/>
        <v>25.584695004942699</v>
      </c>
      <c r="N135" s="360"/>
    </row>
    <row r="136" spans="2:14" ht="15.75" x14ac:dyDescent="0.25">
      <c r="B136" s="363"/>
      <c r="C136" s="73" t="s">
        <v>468</v>
      </c>
      <c r="D136" s="482" t="str">
        <f>INDEX(Vectors[Descripción], MATCH(C136,Vectors[Código],FALSE))</f>
        <v>Derivados del petróleo</v>
      </c>
      <c r="E136" s="3424"/>
      <c r="F136" s="3429">
        <f>F105</f>
        <v>3.0761179275455</v>
      </c>
      <c r="G136" s="3429">
        <f t="shared" ref="G136:M136" si="18">G105</f>
        <v>3.0761179275455</v>
      </c>
      <c r="H136" s="3429">
        <f t="shared" si="18"/>
        <v>3.0761179275455</v>
      </c>
      <c r="I136" s="3429">
        <f t="shared" si="18"/>
        <v>3.0761179275455</v>
      </c>
      <c r="J136" s="3429">
        <f t="shared" si="18"/>
        <v>3.0761179275455</v>
      </c>
      <c r="K136" s="3429">
        <f t="shared" si="18"/>
        <v>3.0761179275455</v>
      </c>
      <c r="L136" s="3429">
        <f t="shared" si="18"/>
        <v>3.0761179275455</v>
      </c>
      <c r="M136" s="3429">
        <f t="shared" si="18"/>
        <v>3.0761179275455</v>
      </c>
      <c r="N136" s="360"/>
    </row>
    <row r="137" spans="2:14" ht="15.75" x14ac:dyDescent="0.25">
      <c r="B137" s="363"/>
      <c r="C137" s="73" t="s">
        <v>469</v>
      </c>
      <c r="D137" s="482" t="str">
        <f>INDEX(Vectors[Descripción], MATCH(C137,Vectors[Código],FALSE))</f>
        <v>Gas Natural</v>
      </c>
      <c r="E137" s="3424"/>
      <c r="F137" s="3429">
        <f>F106</f>
        <v>10.934465313717508</v>
      </c>
      <c r="G137" s="3429">
        <f t="shared" ref="G137:M137" si="19">G106</f>
        <v>10.934465313717508</v>
      </c>
      <c r="H137" s="3429">
        <f t="shared" si="19"/>
        <v>10.934465313717508</v>
      </c>
      <c r="I137" s="3429">
        <f t="shared" si="19"/>
        <v>10.934465313717508</v>
      </c>
      <c r="J137" s="3429">
        <f t="shared" si="19"/>
        <v>10.934465313717508</v>
      </c>
      <c r="K137" s="3429">
        <f t="shared" si="19"/>
        <v>10.934465313717508</v>
      </c>
      <c r="L137" s="3429">
        <f t="shared" si="19"/>
        <v>10.934465313717508</v>
      </c>
      <c r="M137" s="3429">
        <f t="shared" si="19"/>
        <v>10.934465313717508</v>
      </c>
      <c r="N137" s="360"/>
    </row>
    <row r="138" spans="2:14" ht="15.75" x14ac:dyDescent="0.25">
      <c r="B138" s="363"/>
      <c r="C138" s="73" t="s">
        <v>464</v>
      </c>
      <c r="D138" s="482" t="str">
        <f>INDEX(Vectors[Descripción], MATCH(C138,Vectors[Código],FALSE))</f>
        <v>Reservas de Carbón</v>
      </c>
      <c r="E138" s="73"/>
      <c r="F138" s="3426">
        <f>-F107</f>
        <v>-25.584695004942699</v>
      </c>
      <c r="G138" s="3426">
        <f t="shared" ref="G138:L138" si="20">-G107</f>
        <v>-25.584695004942699</v>
      </c>
      <c r="H138" s="3426">
        <f t="shared" si="20"/>
        <v>-25.584695004942699</v>
      </c>
      <c r="I138" s="3426">
        <f t="shared" si="20"/>
        <v>-25.584695004942699</v>
      </c>
      <c r="J138" s="3426">
        <f t="shared" si="20"/>
        <v>-25.584695004942699</v>
      </c>
      <c r="K138" s="3426">
        <f t="shared" si="20"/>
        <v>-25.584695004942699</v>
      </c>
      <c r="L138" s="3426">
        <f t="shared" si="20"/>
        <v>-25.584695004942699</v>
      </c>
      <c r="M138" s="3426">
        <f>-M107</f>
        <v>-25.584695004942699</v>
      </c>
      <c r="N138" s="459"/>
    </row>
    <row r="139" spans="2:14" ht="15.75" x14ac:dyDescent="0.25">
      <c r="B139" s="363"/>
      <c r="C139" s="73" t="s">
        <v>465</v>
      </c>
      <c r="D139" s="482" t="str">
        <f>INDEX(Vectors[Descripción], MATCH(C139,Vectors[Código],FALSE))</f>
        <v>Reservas de Petroleo</v>
      </c>
      <c r="E139" s="73"/>
      <c r="F139" s="3426">
        <f>-F105</f>
        <v>-3.0761179275455</v>
      </c>
      <c r="G139" s="3426">
        <f t="shared" ref="G139:L139" si="21">-G105</f>
        <v>-3.0761179275455</v>
      </c>
      <c r="H139" s="3426">
        <f t="shared" si="21"/>
        <v>-3.0761179275455</v>
      </c>
      <c r="I139" s="3426">
        <f t="shared" si="21"/>
        <v>-3.0761179275455</v>
      </c>
      <c r="J139" s="3426">
        <f t="shared" si="21"/>
        <v>-3.0761179275455</v>
      </c>
      <c r="K139" s="3426">
        <f t="shared" si="21"/>
        <v>-3.0761179275455</v>
      </c>
      <c r="L139" s="3426">
        <f t="shared" si="21"/>
        <v>-3.0761179275455</v>
      </c>
      <c r="M139" s="3426">
        <f>-M105</f>
        <v>-3.0761179275455</v>
      </c>
      <c r="N139" s="3372"/>
    </row>
    <row r="140" spans="2:14" ht="15.75" x14ac:dyDescent="0.25">
      <c r="B140" s="363"/>
      <c r="C140" s="73" t="s">
        <v>466</v>
      </c>
      <c r="D140" s="482" t="str">
        <f>INDEX(Vectors[Descripción], MATCH(C140,Vectors[Código],FALSE))</f>
        <v>Reservas de Gas</v>
      </c>
      <c r="E140" s="73"/>
      <c r="F140" s="3427">
        <f>-F106</f>
        <v>-10.934465313717508</v>
      </c>
      <c r="G140" s="3427">
        <f t="shared" ref="G140:L140" si="22">-G106</f>
        <v>-10.934465313717508</v>
      </c>
      <c r="H140" s="3427">
        <f t="shared" si="22"/>
        <v>-10.934465313717508</v>
      </c>
      <c r="I140" s="3427">
        <f t="shared" si="22"/>
        <v>-10.934465313717508</v>
      </c>
      <c r="J140" s="3427">
        <f t="shared" si="22"/>
        <v>-10.934465313717508</v>
      </c>
      <c r="K140" s="3427">
        <f t="shared" si="22"/>
        <v>-10.934465313717508</v>
      </c>
      <c r="L140" s="3427">
        <f t="shared" si="22"/>
        <v>-10.934465313717508</v>
      </c>
      <c r="M140" s="3427">
        <f>-M106</f>
        <v>-10.934465313717508</v>
      </c>
      <c r="N140" s="3425"/>
    </row>
    <row r="141" spans="2:14" ht="15.75" x14ac:dyDescent="0.25">
      <c r="B141" s="367"/>
      <c r="C141" s="460" t="s">
        <v>118</v>
      </c>
      <c r="D141" s="3432"/>
      <c r="E141" s="3432"/>
      <c r="F141" s="3432">
        <f>SUBTOTAL(109,XV.b.Outputs[2015])</f>
        <v>0</v>
      </c>
      <c r="G141" s="3432">
        <f>SUBTOTAL(109,XV.b.Outputs[2020])</f>
        <v>0</v>
      </c>
      <c r="H141" s="3432">
        <f>SUBTOTAL(109,XV.b.Outputs[2025])</f>
        <v>0</v>
      </c>
      <c r="I141" s="3432">
        <f>SUBTOTAL(109,XV.b.Outputs[2030])</f>
        <v>0</v>
      </c>
      <c r="J141" s="3432">
        <f>SUBTOTAL(109,XV.b.Outputs[2035])</f>
        <v>0</v>
      </c>
      <c r="K141" s="3432">
        <f>SUBTOTAL(109,XV.b.Outputs[2040])</f>
        <v>0</v>
      </c>
      <c r="L141" s="3432">
        <f>SUBTOTAL(109,XV.b.Outputs[2045])</f>
        <v>0</v>
      </c>
      <c r="M141" s="3433">
        <f>SUBTOTAL(109,XV.b.Outputs[2050])</f>
        <v>0</v>
      </c>
      <c r="N141" s="368"/>
    </row>
    <row r="142" spans="2:14" ht="15.75" x14ac:dyDescent="0.25">
      <c r="B142" s="367"/>
      <c r="C142" s="73"/>
      <c r="D142" s="73"/>
      <c r="E142" s="73"/>
      <c r="F142" s="3183"/>
      <c r="G142" s="3183"/>
      <c r="H142" s="3183"/>
      <c r="I142" s="3183"/>
      <c r="J142" s="3183"/>
      <c r="K142" s="3183"/>
      <c r="L142" s="3183"/>
      <c r="M142" s="3183"/>
      <c r="N142" s="368"/>
    </row>
  </sheetData>
  <pageMargins left="0.7" right="0.7" top="0.75" bottom="0.75" header="0.3" footer="0.3"/>
  <pageSetup orientation="portrait" verticalDpi="0" r:id="rId1"/>
  <ignoredErrors>
    <ignoredError sqref="F14:M14 H126:M126" numberStoredAsText="1"/>
  </ignoredErrors>
  <tableParts count="1"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DP141"/>
  <sheetViews>
    <sheetView topLeftCell="A19" zoomScale="85" zoomScaleNormal="85" workbookViewId="0">
      <selection activeCell="D65" sqref="D65"/>
    </sheetView>
  </sheetViews>
  <sheetFormatPr baseColWidth="10" defaultColWidth="8.85546875" defaultRowHeight="12.75" outlineLevelRow="2" outlineLevelCol="2" x14ac:dyDescent="0.2"/>
  <cols>
    <col min="1" max="1" width="15.5703125" customWidth="1"/>
    <col min="2" max="2" width="1.42578125" customWidth="1"/>
    <col min="3" max="3" width="9.28515625" style="1429" customWidth="1"/>
    <col min="4" max="4" width="28.28515625" style="1430" customWidth="1"/>
    <col min="5" max="5" width="41.7109375" style="1430" customWidth="1"/>
    <col min="6" max="6" width="1.140625" customWidth="1" outlineLevel="1"/>
    <col min="7" max="14" width="13.28515625" style="1430" hidden="1" customWidth="1" outlineLevel="2"/>
    <col min="15" max="15" width="13.28515625" style="1431" hidden="1" customWidth="1" outlineLevel="2"/>
    <col min="16" max="22" width="13.28515625" style="1430" hidden="1" customWidth="1" outlineLevel="2"/>
    <col min="23" max="23" width="13.28515625" style="1430" customWidth="1" outlineLevel="1" collapsed="1"/>
    <col min="24" max="24" width="1.140625" customWidth="1" outlineLevel="1"/>
    <col min="25" max="25" width="14.5703125" style="1430" customWidth="1" outlineLevel="2"/>
    <col min="26" max="26" width="12.5703125" style="1430" customWidth="1" outlineLevel="2"/>
    <col min="27" max="29" width="14.85546875" style="1430" customWidth="1" outlineLevel="2"/>
    <col min="30" max="35" width="10" style="1430" customWidth="1" outlineLevel="2"/>
    <col min="36" max="36" width="11.85546875" style="1430" customWidth="1" outlineLevel="2"/>
    <col min="37" max="42" width="10" style="1430" customWidth="1" outlineLevel="2"/>
    <col min="43" max="43" width="14.140625" style="1430" customWidth="1" outlineLevel="1"/>
    <col min="44" max="44" width="1.140625" customWidth="1" outlineLevel="1"/>
    <col min="45" max="49" width="10" style="1430" hidden="1" customWidth="1" outlineLevel="2"/>
    <col min="50" max="50" width="10.140625" style="1430" hidden="1" customWidth="1" outlineLevel="2"/>
    <col min="51" max="51" width="10.85546875" style="1430" hidden="1" customWidth="1" outlineLevel="2"/>
    <col min="52" max="52" width="12.7109375" style="1430" hidden="1" customWidth="1" outlineLevel="2"/>
    <col min="53" max="53" width="16.5703125" style="1430" hidden="1" customWidth="1" outlineLevel="2"/>
    <col min="54" max="63" width="10" style="1430" hidden="1" customWidth="1" outlineLevel="2"/>
    <col min="64" max="64" width="11.42578125" style="1430" customWidth="1" outlineLevel="1" collapsed="1"/>
    <col min="65" max="65" width="1.140625" customWidth="1" outlineLevel="1"/>
    <col min="66" max="66" width="10" style="1430" hidden="1" customWidth="1" outlineLevel="2"/>
    <col min="67" max="67" width="13" style="1430" hidden="1" customWidth="1" outlineLevel="2"/>
    <col min="68" max="68" width="10" style="1430" customWidth="1" outlineLevel="1" collapsed="1"/>
    <col min="69" max="69" width="1.140625" customWidth="1" outlineLevel="1"/>
    <col min="70" max="70" width="18.7109375" style="1429" customWidth="1" outlineLevel="1"/>
    <col min="71" max="71" width="5.28515625" style="1430" customWidth="1"/>
    <col min="73" max="116" width="7.42578125" hidden="1" customWidth="1" outlineLevel="1"/>
    <col min="117" max="117" width="2.42578125" hidden="1" customWidth="1" outlineLevel="1"/>
    <col min="118" max="119" width="8.85546875" hidden="1" customWidth="1" outlineLevel="1"/>
    <col min="120" max="120" width="8.85546875" collapsed="1"/>
  </cols>
  <sheetData>
    <row r="1" spans="1:118" ht="6" customHeight="1" x14ac:dyDescent="0.2"/>
    <row r="2" spans="1:118" ht="21" customHeight="1" x14ac:dyDescent="0.2">
      <c r="D2" s="1432"/>
      <c r="E2" s="1433">
        <v>2015</v>
      </c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Y2" s="1434"/>
      <c r="Z2" s="1434"/>
      <c r="AA2" s="1434"/>
      <c r="AB2" s="1434"/>
      <c r="AC2" s="1434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N2"/>
      <c r="BO2"/>
      <c r="BP2"/>
      <c r="BR2" s="74"/>
      <c r="BS2" s="1435"/>
    </row>
    <row r="3" spans="1:118" ht="39" customHeight="1" x14ac:dyDescent="0.2">
      <c r="A3" s="1436"/>
      <c r="B3" s="1436"/>
      <c r="C3" s="1436"/>
      <c r="D3" s="1437"/>
      <c r="E3" s="1438" t="s">
        <v>171</v>
      </c>
      <c r="G3" s="1439" t="s">
        <v>912</v>
      </c>
      <c r="H3" s="1439"/>
      <c r="I3" s="1439"/>
      <c r="J3" s="1439"/>
      <c r="K3" s="1439"/>
      <c r="L3" s="1439"/>
      <c r="M3" s="1439"/>
      <c r="N3" s="1439"/>
      <c r="O3" s="1439"/>
      <c r="P3" s="1439"/>
      <c r="Q3" s="1439"/>
      <c r="R3" s="1439"/>
      <c r="S3" s="1439"/>
      <c r="T3" s="1439"/>
      <c r="U3" s="1439"/>
      <c r="V3" s="1439"/>
      <c r="W3" s="1439"/>
      <c r="Y3" s="1440" t="s">
        <v>913</v>
      </c>
      <c r="Z3" s="1441"/>
      <c r="AA3" s="1441"/>
      <c r="AB3" s="1441"/>
      <c r="AC3" s="1441"/>
      <c r="AD3" s="1442"/>
      <c r="AE3" s="1441"/>
      <c r="AF3" s="1441"/>
      <c r="AG3" s="1441"/>
      <c r="AH3" s="1441"/>
      <c r="AI3" s="1441"/>
      <c r="AJ3" s="1441"/>
      <c r="AK3" s="1441"/>
      <c r="AL3" s="1441"/>
      <c r="AM3" s="1441"/>
      <c r="AN3" s="1441"/>
      <c r="AO3" s="1441"/>
      <c r="AP3" s="1441"/>
      <c r="AQ3" s="1443"/>
      <c r="AS3" s="1444" t="s">
        <v>914</v>
      </c>
      <c r="AT3" s="1445"/>
      <c r="AU3" s="1445"/>
      <c r="AV3" s="1446"/>
      <c r="AW3" s="1445"/>
      <c r="AX3" s="1445"/>
      <c r="AY3" s="1445"/>
      <c r="AZ3" s="1445"/>
      <c r="BA3" s="1445"/>
      <c r="BB3" s="1445"/>
      <c r="BC3" s="1445"/>
      <c r="BD3" s="1445"/>
      <c r="BE3" s="1445"/>
      <c r="BF3" s="1445"/>
      <c r="BG3" s="1445"/>
      <c r="BH3" s="1445"/>
      <c r="BI3" s="1445"/>
      <c r="BJ3" s="1445"/>
      <c r="BK3" s="1445"/>
      <c r="BL3" s="1447"/>
      <c r="BN3" s="1448" t="s">
        <v>915</v>
      </c>
      <c r="BO3" s="1449"/>
      <c r="BP3" s="1449"/>
      <c r="BR3" s="1450"/>
      <c r="BS3" s="1450"/>
      <c r="BT3" s="1436"/>
      <c r="BU3" s="1451" t="s">
        <v>918</v>
      </c>
      <c r="BV3" s="1452"/>
      <c r="BW3" s="1452"/>
      <c r="BX3" s="1452"/>
      <c r="BY3" s="1452"/>
      <c r="BZ3" s="1452"/>
      <c r="CA3" s="1452"/>
      <c r="CB3" s="1452"/>
      <c r="CC3" s="1452"/>
      <c r="CD3" s="1452"/>
      <c r="CE3" s="1452"/>
      <c r="CF3" s="1452"/>
      <c r="CG3" s="1452"/>
      <c r="CH3" s="1452"/>
      <c r="CI3" s="1452"/>
      <c r="CJ3" s="1452"/>
      <c r="CK3" s="1452"/>
      <c r="CL3" s="1452"/>
      <c r="CM3" s="1452"/>
      <c r="CN3" s="1452"/>
      <c r="CO3" s="1452"/>
      <c r="CP3" s="1452"/>
      <c r="CQ3" s="1452"/>
      <c r="CR3" s="1452"/>
      <c r="CS3" s="1452"/>
      <c r="CT3" s="1452"/>
      <c r="CU3" s="1452"/>
      <c r="CV3" s="1452"/>
      <c r="CW3" s="1452"/>
      <c r="CX3" s="1452"/>
      <c r="CY3" s="1452"/>
      <c r="CZ3" s="1452"/>
      <c r="DA3" s="1452"/>
      <c r="DB3" s="1452"/>
      <c r="DC3" s="1452"/>
      <c r="DD3" s="1452"/>
      <c r="DE3" s="1452"/>
      <c r="DF3" s="1452"/>
      <c r="DG3" s="1452"/>
      <c r="DH3" s="1452"/>
      <c r="DI3" s="1453"/>
      <c r="DJ3" s="1453"/>
      <c r="DK3" s="1453"/>
      <c r="DL3" s="1453"/>
    </row>
    <row r="4" spans="1:118" ht="63.75" customHeight="1" x14ac:dyDescent="0.2">
      <c r="C4" s="1454"/>
      <c r="D4" s="1454"/>
      <c r="G4" s="1455" t="str">
        <f>INDEX(Vectors[Descripción], MATCH(G$5,Vectors[Código],FALSE))</f>
        <v>Climatización</v>
      </c>
      <c r="H4" s="1455" t="str">
        <f>INDEX(Vectors[Descripción], MATCH(H$5,Vectors[Código],FALSE))</f>
        <v>Iluminación</v>
      </c>
      <c r="I4" s="1455" t="str">
        <f>INDEX(Vectors[Descripción], MATCH(I$5,Vectors[Código],FALSE))</f>
        <v>Refrigeración</v>
      </c>
      <c r="J4" s="1455" t="str">
        <f>INDEX(Vectors[Descripción], MATCH(J$5,Vectors[Código],FALSE))</f>
        <v>ACS</v>
      </c>
      <c r="K4" s="1455" t="str">
        <f>INDEX(Vectors[Descripción], MATCH(K$5,Vectors[Código],FALSE))</f>
        <v>Cocción</v>
      </c>
      <c r="L4" s="1455" t="str">
        <f>INDEX(Vectors[Descripción], MATCH(L$5,Vectors[Código],FALSE))</f>
        <v>Otros Electrodomésticos</v>
      </c>
      <c r="M4" s="1455" t="str">
        <f>INDEX(Vectors[Descripción], MATCH(M$5,Vectors[Código],FALSE))</f>
        <v>Industria y minería</v>
      </c>
      <c r="N4" s="1455" t="str">
        <f>INDEX(Vectors[Descripción], MATCH(N$5,Vectors[Código],FALSE))</f>
        <v>Transporte pasajeros caminero Urbano</v>
      </c>
      <c r="O4" s="1455" t="str">
        <f>INDEX(Vectors[Descripción], MATCH(O$5,Vectors[Código],FALSE))</f>
        <v>Transporte pasajeros caminero Interurbano</v>
      </c>
      <c r="P4" s="1455" t="str">
        <f>INDEX(Vectors[Descripción], MATCH(P$5,Vectors[Código],FALSE))</f>
        <v>Transporte pasajeros ferroviario Urbano</v>
      </c>
      <c r="Q4" s="1455" t="str">
        <f>INDEX(Vectors[Descripción], MATCH(Q$5,Vectors[Código],FALSE))</f>
        <v>Transporte pasajeros ferroviario Interurbano</v>
      </c>
      <c r="R4" s="1455" t="str">
        <f>INDEX(Vectors[Descripción], MATCH(R$5,Vectors[Código],FALSE))</f>
        <v>Transporte pasajeros Aéreo Interurbano</v>
      </c>
      <c r="S4" s="1455" t="str">
        <f>INDEX(Vectors[Descripción], MATCH(S$5,Vectors[Código],FALSE))</f>
        <v>Transporte de carga caminero Urbano</v>
      </c>
      <c r="T4" s="1455" t="str">
        <f>INDEX(Vectors[Descripción], MATCH(T$5,Vectors[Código],FALSE))</f>
        <v>Transporte de carga caminero Interurbano</v>
      </c>
      <c r="U4" s="1455" t="str">
        <f>INDEX(Vectors[Descripción], MATCH(U$5,Vectors[Código],FALSE))</f>
        <v>Transporte de carga ferroviario</v>
      </c>
      <c r="V4" s="1455" t="str">
        <f>INDEX(Vectors[Descripción], MATCH(V$5,Vectors[Código],FALSE))</f>
        <v>Transporte de carga maritimo</v>
      </c>
      <c r="W4" s="3169" t="s">
        <v>2218</v>
      </c>
      <c r="Y4" s="1456" t="str">
        <f>INDEX(Vectors[Descripción], MATCH(Y$5,Vectors[Código],FALSE))</f>
        <v>Electricidad (consumo final)</v>
      </c>
      <c r="Z4" s="1456" t="str">
        <f>INDEX(Vectors[Descripción], MATCH(Z5,Vectors[Código],FALSE))</f>
        <v>Electricidad (suministrada a la red)</v>
      </c>
      <c r="AA4" s="1456" t="str">
        <f>INDEX(Vectors[Descripción], MATCH(AA5,Vectors[Código],FALSE))</f>
        <v>Hidrocarburo Sólido</v>
      </c>
      <c r="AB4" s="1456" t="str">
        <f>INDEX(Vectors[Descripción], MATCH(AB5,Vectors[Código],FALSE))</f>
        <v>Hidrocarburo Líquido</v>
      </c>
      <c r="AC4" s="1456" t="str">
        <f>INDEX(Vectors[Descripción], MATCH(AC5,Vectors[Código],FALSE))</f>
        <v>Hidrocarburo Gaseoso</v>
      </c>
      <c r="AD4" s="1456" t="str">
        <f>INDEX(Vectors[Descripción], MATCH(AD5,Vectors[Código],FALSE))</f>
        <v>Carbón y  residuos fósiles</v>
      </c>
      <c r="AE4" s="1456" t="str">
        <f>INDEX(Vectors[Descripción], MATCH(AE5,Vectors[Código],FALSE))</f>
        <v>Derivados del petróleo</v>
      </c>
      <c r="AF4" s="1456" t="str">
        <f>INDEX(Vectors[Descripción], MATCH(AF5,Vectors[Código],FALSE))</f>
        <v>Gas Natural</v>
      </c>
      <c r="AG4" s="1456" t="str">
        <f>INDEX(Vectors[Descripción], MATCH(AG5,Vectors[Código],FALSE))</f>
        <v>Blast furnace gas</v>
      </c>
      <c r="AH4" s="1456" t="str">
        <f>INDEX(Vectors[Descripción], MATCH(AH5,Vectors[Código],FALSE))</f>
        <v>Heat transport</v>
      </c>
      <c r="AI4" s="1456" t="str">
        <f>INDEX(Vectors[Descripción], MATCH(AI5,Vectors[Código],FALSE))</f>
        <v>Biomasa comestible</v>
      </c>
      <c r="AJ4" s="1456" t="str">
        <f>INDEX(Vectors[Descripción], MATCH(AJ5,Vectors[Código],FALSE))</f>
        <v>Cultivos para Energía (segunda generación)</v>
      </c>
      <c r="AK4" s="1456" t="str">
        <f>INDEX(Vectors[Descripción], MATCH(AK5,Vectors[Código],FALSE))</f>
        <v>Cultivos para Energía (primera generación)</v>
      </c>
      <c r="AL4" s="1456" t="str">
        <f>INDEX(Vectors[Descripción], MATCH(AL5,Vectors[Código],FALSE))</f>
        <v>Biomasa</v>
      </c>
      <c r="AM4" s="1456" t="str">
        <f>INDEX(Vectors[Descripción], MATCH(AM5,Vectors[Código],FALSE))</f>
        <v>Biomasa seca y residuos</v>
      </c>
      <c r="AN4" s="1456" t="str">
        <f>INDEX(Vectors[Descripción], MATCH(AN5,Vectors[Código],FALSE))</f>
        <v>Residuos gaseosos</v>
      </c>
      <c r="AO4" s="1456" t="str">
        <f>INDEX(Vectors[Descripción], MATCH(AO5,Vectors[Código],FALSE))</f>
        <v>Solar para uso térmico domestico</v>
      </c>
      <c r="AP4" s="1456" t="str">
        <f>INDEX(Vectors[Descripción], MATCH(AP5,Vectors[Código],FALSE))</f>
        <v>H2</v>
      </c>
      <c r="AQ4" s="3170" t="s">
        <v>976</v>
      </c>
      <c r="AS4" s="1457" t="str">
        <f>INDEX(Vectors[Descripción], MATCH(AS5,Vectors[Código],FALSE))</f>
        <v>Reservas de Carbón</v>
      </c>
      <c r="AT4" s="1457" t="str">
        <f>INDEX(Vectors[Descripción], MATCH(AT5,Vectors[Código],FALSE))</f>
        <v>Reservas de Petroleo</v>
      </c>
      <c r="AU4" s="1457" t="str">
        <f>INDEX(Vectors[Descripción], MATCH(AU5,Vectors[Código],FALSE))</f>
        <v>Reservas de Gas</v>
      </c>
      <c r="AV4" s="1457" t="str">
        <f>INDEX(Vectors[Descripción], MATCH(AV5,Vectors[Código],FALSE))</f>
        <v>Biomasa sobreoferta  (importada)</v>
      </c>
      <c r="AW4" s="1457" t="str">
        <f>INDEX(Vectors[Descripción], MATCH(AW5,Vectors[Código],FALSE))</f>
        <v>Electricidad sobreoferta  (importada)</v>
      </c>
      <c r="AX4" s="1457" t="str">
        <f>INDEX(Vectors[Descripción], MATCH(AX5,Vectors[Código],FALSE))</f>
        <v xml:space="preserve">Dervidados del Petroleo sobreoferta </v>
      </c>
      <c r="AY4" s="1457" t="str">
        <f>INDEX(Vectors[Descripción], MATCH(AY5,Vectors[Código],FALSE))</f>
        <v>Carbón sobreoferta  (importada)</v>
      </c>
      <c r="AZ4" s="1457" t="str">
        <f>INDEX(Vectors[Descripción], MATCH(AZ5,Vectors[Código],FALSE))</f>
        <v>Carbón sobreoferta  (importada)</v>
      </c>
      <c r="BA4" s="1457">
        <f>INDEX(Vectors[Descripción], MATCH(BA5,Vectors[Código],FALSE))</f>
        <v>0</v>
      </c>
      <c r="BB4" s="1457" t="str">
        <f>INDEX(Vectors[Descripción], MATCH(BB5,Vectors[Código],FALSE))</f>
        <v>Fisión nuclear</v>
      </c>
      <c r="BC4" s="1457" t="str">
        <f>INDEX(Vectors[Descripción], MATCH(BC5,Vectors[Código],FALSE))</f>
        <v>Solar</v>
      </c>
      <c r="BD4" s="1457" t="str">
        <f>INDEX(Vectors[Descripción], MATCH(BD5,Vectors[Código],FALSE))</f>
        <v>Viento</v>
      </c>
      <c r="BE4" s="1457" t="str">
        <f>INDEX(Vectors[Descripción], MATCH(BE5,Vectors[Código],FALSE))</f>
        <v>Mareomotriz</v>
      </c>
      <c r="BF4" s="1457" t="str">
        <f>INDEX(Vectors[Descripción], MATCH(BF5,Vectors[Código],FALSE))</f>
        <v>Undimotriz</v>
      </c>
      <c r="BG4" s="1457" t="str">
        <f>INDEX(Vectors[Descripción], MATCH(BG5,Vectors[Código],FALSE))</f>
        <v>Geotermia</v>
      </c>
      <c r="BH4" s="1457" t="str">
        <f>INDEX(Vectors[Descripción], MATCH(BH5,Vectors[Código],FALSE))</f>
        <v>Hidro</v>
      </c>
      <c r="BI4" s="1457" t="str">
        <f>INDEX(Vectors[Descripción], MATCH(BI5,Vectors[Código],FALSE))</f>
        <v>Almacenamiento</v>
      </c>
      <c r="BJ4" s="1457" t="str">
        <f>INDEX(Vectors[Descripción], MATCH(BJ5,Vectors[Código],FALSE))</f>
        <v>Agropecuario</v>
      </c>
      <c r="BK4" s="1457" t="str">
        <f>INDEX(Vectors[Descripción], MATCH(BK5,Vectors[Código],FALSE))</f>
        <v>Residuos</v>
      </c>
      <c r="BL4" s="3171" t="s">
        <v>977</v>
      </c>
      <c r="BN4" s="1458" t="str">
        <f>INDEX(Vectors[Descripción], MATCH(BN5,Vectors[Código],FALSE))</f>
        <v>Perdidas por conversión</v>
      </c>
      <c r="BO4" s="1458" t="str">
        <f>INDEX(Vectors[Descripción], MATCH(BO5,Vectors[Código],FALSE))</f>
        <v>Perdidas por distribución y uso propio</v>
      </c>
      <c r="BP4" s="3172" t="s">
        <v>978</v>
      </c>
      <c r="BR4" s="1459"/>
      <c r="BS4" s="1459"/>
      <c r="BU4" s="1460" t="s">
        <v>720</v>
      </c>
      <c r="BV4" s="1461"/>
      <c r="BW4" s="1461"/>
      <c r="BX4" s="1462"/>
      <c r="BY4" s="1460" t="s">
        <v>722</v>
      </c>
      <c r="BZ4" s="1461"/>
      <c r="CA4" s="1461"/>
      <c r="CB4" s="1462"/>
      <c r="CC4" s="1460" t="s">
        <v>723</v>
      </c>
      <c r="CD4" s="1461"/>
      <c r="CE4" s="1461"/>
      <c r="CF4" s="1462"/>
      <c r="CG4" s="1460" t="s">
        <v>724</v>
      </c>
      <c r="CH4" s="1461"/>
      <c r="CI4" s="1461"/>
      <c r="CJ4" s="1462"/>
      <c r="CK4" s="1460" t="s">
        <v>544</v>
      </c>
      <c r="CL4" s="1461"/>
      <c r="CM4" s="1461"/>
      <c r="CN4" s="1462"/>
      <c r="CO4" s="1460" t="s">
        <v>725</v>
      </c>
      <c r="CP4" s="1461"/>
      <c r="CQ4" s="1461"/>
      <c r="CR4" s="1462"/>
      <c r="CS4" s="1460" t="s">
        <v>545</v>
      </c>
      <c r="CT4" s="1461"/>
      <c r="CU4" s="1461"/>
      <c r="CV4" s="1462"/>
      <c r="CW4" s="1460" t="s">
        <v>726</v>
      </c>
      <c r="CX4" s="1461"/>
      <c r="CY4" s="1461"/>
      <c r="CZ4" s="1462"/>
      <c r="DA4" s="1460" t="s">
        <v>728</v>
      </c>
      <c r="DB4" s="1461"/>
      <c r="DC4" s="1461"/>
      <c r="DD4" s="1462"/>
      <c r="DE4" s="1460" t="s">
        <v>730</v>
      </c>
      <c r="DF4" s="1461"/>
      <c r="DG4" s="1461"/>
      <c r="DH4" s="1462"/>
      <c r="DI4" s="1460" t="s">
        <v>732</v>
      </c>
      <c r="DJ4" s="1461"/>
      <c r="DK4" s="1461"/>
      <c r="DL4" s="1462"/>
      <c r="DN4" s="1463" t="s">
        <v>118</v>
      </c>
    </row>
    <row r="5" spans="1:118" x14ac:dyDescent="0.2">
      <c r="D5" s="1464" t="s">
        <v>40</v>
      </c>
      <c r="G5" s="1465" t="s">
        <v>454</v>
      </c>
      <c r="H5" s="1465" t="s">
        <v>1007</v>
      </c>
      <c r="I5" s="1465" t="s">
        <v>1008</v>
      </c>
      <c r="J5" s="1465" t="s">
        <v>1009</v>
      </c>
      <c r="K5" s="1465" t="s">
        <v>1010</v>
      </c>
      <c r="L5" s="1465" t="s">
        <v>1011</v>
      </c>
      <c r="M5" s="1465" t="s">
        <v>453</v>
      </c>
      <c r="N5" s="1465" t="s">
        <v>447</v>
      </c>
      <c r="O5" s="1465" t="s">
        <v>448</v>
      </c>
      <c r="P5" s="1465" t="s">
        <v>449</v>
      </c>
      <c r="Q5" s="1465" t="s">
        <v>450</v>
      </c>
      <c r="R5" s="1465" t="s">
        <v>451</v>
      </c>
      <c r="S5" s="1465" t="s">
        <v>452</v>
      </c>
      <c r="T5" s="1465" t="s">
        <v>984</v>
      </c>
      <c r="U5" s="1465" t="s">
        <v>985</v>
      </c>
      <c r="V5" s="1465" t="s">
        <v>986</v>
      </c>
      <c r="W5" s="1465"/>
      <c r="Y5" s="1466" t="s">
        <v>149</v>
      </c>
      <c r="Z5" s="1466" t="s">
        <v>150</v>
      </c>
      <c r="AA5" s="1466" t="s">
        <v>330</v>
      </c>
      <c r="AB5" s="1466" t="s">
        <v>333</v>
      </c>
      <c r="AC5" s="1466" t="s">
        <v>335</v>
      </c>
      <c r="AD5" s="1466" t="s">
        <v>467</v>
      </c>
      <c r="AE5" s="1466" t="s">
        <v>468</v>
      </c>
      <c r="AF5" s="1466" t="s">
        <v>469</v>
      </c>
      <c r="AG5" s="1466" t="s">
        <v>470</v>
      </c>
      <c r="AH5" s="1466" t="s">
        <v>471</v>
      </c>
      <c r="AI5" s="1466" t="s">
        <v>472</v>
      </c>
      <c r="AJ5" s="1466" t="s">
        <v>709</v>
      </c>
      <c r="AK5" s="1466" t="s">
        <v>804</v>
      </c>
      <c r="AL5" s="1466" t="s">
        <v>473</v>
      </c>
      <c r="AM5" s="1466" t="s">
        <v>474</v>
      </c>
      <c r="AN5" s="1466" t="s">
        <v>805</v>
      </c>
      <c r="AO5" s="1466" t="s">
        <v>475</v>
      </c>
      <c r="AP5" s="1466" t="s">
        <v>630</v>
      </c>
      <c r="AQ5" s="1466"/>
      <c r="AS5" s="1467" t="s">
        <v>464</v>
      </c>
      <c r="AT5" s="1467" t="s">
        <v>465</v>
      </c>
      <c r="AU5" s="1467" t="s">
        <v>466</v>
      </c>
      <c r="AV5" s="1467" t="s">
        <v>458</v>
      </c>
      <c r="AW5" s="1467" t="s">
        <v>459</v>
      </c>
      <c r="AX5" s="1467" t="s">
        <v>460</v>
      </c>
      <c r="AY5" s="1467" t="s">
        <v>461</v>
      </c>
      <c r="AZ5" s="1467" t="s">
        <v>462</v>
      </c>
      <c r="BA5" s="1467" t="s">
        <v>463</v>
      </c>
      <c r="BB5" s="1467" t="s">
        <v>157</v>
      </c>
      <c r="BC5" s="1467" t="s">
        <v>315</v>
      </c>
      <c r="BD5" s="1467" t="s">
        <v>218</v>
      </c>
      <c r="BE5" s="1467" t="s">
        <v>285</v>
      </c>
      <c r="BF5" s="1467" t="s">
        <v>286</v>
      </c>
      <c r="BG5" s="1467" t="s">
        <v>302</v>
      </c>
      <c r="BH5" s="1467" t="s">
        <v>249</v>
      </c>
      <c r="BI5" s="1467" t="s">
        <v>455</v>
      </c>
      <c r="BJ5" s="1467" t="s">
        <v>456</v>
      </c>
      <c r="BK5" s="1467" t="s">
        <v>457</v>
      </c>
      <c r="BL5" s="1467"/>
      <c r="BN5" s="1468" t="s">
        <v>184</v>
      </c>
      <c r="BO5" s="1468" t="s">
        <v>185</v>
      </c>
      <c r="BP5" s="1468"/>
      <c r="BR5" s="3173" t="s">
        <v>1017</v>
      </c>
      <c r="BS5" s="1469"/>
      <c r="BU5" s="1470" t="s">
        <v>399</v>
      </c>
      <c r="BV5" s="1471" t="s">
        <v>399</v>
      </c>
      <c r="BW5" s="1471" t="s">
        <v>399</v>
      </c>
      <c r="BX5" s="1472" t="s">
        <v>399</v>
      </c>
      <c r="BY5" s="1470" t="s">
        <v>721</v>
      </c>
      <c r="BZ5" s="1471" t="s">
        <v>721</v>
      </c>
      <c r="CA5" s="1471" t="s">
        <v>721</v>
      </c>
      <c r="CB5" s="1472" t="s">
        <v>721</v>
      </c>
      <c r="CC5" s="1470">
        <v>2</v>
      </c>
      <c r="CD5" s="1471">
        <v>2</v>
      </c>
      <c r="CE5" s="1471">
        <v>2</v>
      </c>
      <c r="CF5" s="1472">
        <v>2</v>
      </c>
      <c r="CG5" s="1470">
        <v>3</v>
      </c>
      <c r="CH5" s="1471">
        <v>3</v>
      </c>
      <c r="CI5" s="1471">
        <v>3</v>
      </c>
      <c r="CJ5" s="1472">
        <v>3</v>
      </c>
      <c r="CK5" s="1470">
        <v>4</v>
      </c>
      <c r="CL5" s="1471">
        <v>4</v>
      </c>
      <c r="CM5" s="1471">
        <v>4</v>
      </c>
      <c r="CN5" s="1472">
        <v>4</v>
      </c>
      <c r="CO5" s="1470">
        <v>5</v>
      </c>
      <c r="CP5" s="1471">
        <v>5</v>
      </c>
      <c r="CQ5" s="1471">
        <v>5</v>
      </c>
      <c r="CR5" s="1472">
        <v>5</v>
      </c>
      <c r="CS5" s="1470">
        <v>6</v>
      </c>
      <c r="CT5" s="1471">
        <v>6</v>
      </c>
      <c r="CU5" s="1471">
        <v>6</v>
      </c>
      <c r="CV5" s="1472">
        <v>6</v>
      </c>
      <c r="CW5" s="1470">
        <v>7</v>
      </c>
      <c r="CX5" s="1471">
        <v>7</v>
      </c>
      <c r="CY5" s="1471">
        <v>7</v>
      </c>
      <c r="CZ5" s="1472">
        <v>7</v>
      </c>
      <c r="DA5" s="1470" t="s">
        <v>727</v>
      </c>
      <c r="DB5" s="1471" t="s">
        <v>727</v>
      </c>
      <c r="DC5" s="1471" t="s">
        <v>727</v>
      </c>
      <c r="DD5" s="1472" t="s">
        <v>727</v>
      </c>
      <c r="DE5" s="1470" t="s">
        <v>729</v>
      </c>
      <c r="DF5" s="1471" t="s">
        <v>729</v>
      </c>
      <c r="DG5" s="1471" t="s">
        <v>729</v>
      </c>
      <c r="DH5" s="1472" t="s">
        <v>729</v>
      </c>
      <c r="DI5" s="1470" t="s">
        <v>731</v>
      </c>
      <c r="DJ5" s="1471" t="s">
        <v>731</v>
      </c>
      <c r="DK5" s="1471" t="s">
        <v>731</v>
      </c>
      <c r="DL5" s="1472" t="s">
        <v>731</v>
      </c>
    </row>
    <row r="6" spans="1:118" ht="15.75" customHeight="1" x14ac:dyDescent="0.2">
      <c r="G6" s="1473"/>
      <c r="H6" s="1473"/>
      <c r="I6" s="1473"/>
      <c r="J6" s="1473"/>
      <c r="K6" s="1473"/>
      <c r="L6" s="1473"/>
      <c r="M6" s="1473"/>
      <c r="N6" s="1473"/>
      <c r="O6" s="1474"/>
      <c r="P6" s="1473"/>
      <c r="Q6" s="1473"/>
      <c r="R6" s="1473"/>
      <c r="S6" s="1473"/>
      <c r="T6" s="1473"/>
      <c r="U6" s="1473"/>
      <c r="V6" s="1473"/>
      <c r="W6" s="1473"/>
      <c r="Y6" s="1475"/>
      <c r="Z6" s="1475"/>
      <c r="AA6" s="1475"/>
      <c r="AB6" s="1475"/>
      <c r="AC6" s="1475"/>
      <c r="AD6" s="1475"/>
      <c r="AE6" s="1475"/>
      <c r="AF6" s="1475"/>
      <c r="AG6" s="1475"/>
      <c r="AH6" s="1475"/>
      <c r="AI6" s="1475"/>
      <c r="AJ6" s="1475"/>
      <c r="AK6" s="1475"/>
      <c r="AL6" s="1475"/>
      <c r="AM6" s="1475"/>
      <c r="AN6" s="1475"/>
      <c r="AO6" s="1475"/>
      <c r="AP6" s="1475"/>
      <c r="AQ6" s="1475"/>
      <c r="AS6" s="1476"/>
      <c r="AT6" s="1476"/>
      <c r="AU6" s="1476"/>
      <c r="AV6" s="1476"/>
      <c r="AW6" s="1476"/>
      <c r="AX6" s="1476"/>
      <c r="AY6" s="1476"/>
      <c r="AZ6" s="1476"/>
      <c r="BA6" s="1476"/>
      <c r="BB6" s="1476"/>
      <c r="BC6" s="1476"/>
      <c r="BD6" s="1476"/>
      <c r="BE6" s="1476"/>
      <c r="BF6" s="1476"/>
      <c r="BG6" s="1476"/>
      <c r="BH6" s="1476"/>
      <c r="BI6" s="1476"/>
      <c r="BJ6" s="1476"/>
      <c r="BK6" s="1476"/>
      <c r="BL6" s="1476"/>
      <c r="BN6" s="1477"/>
      <c r="BO6" s="1477"/>
      <c r="BP6" s="1477"/>
      <c r="BR6" s="1956"/>
      <c r="BS6" s="1478"/>
      <c r="BU6" s="1479" t="s">
        <v>398</v>
      </c>
      <c r="BV6" s="1479" t="s">
        <v>400</v>
      </c>
      <c r="BW6" s="1479" t="s">
        <v>401</v>
      </c>
      <c r="BX6" s="1479" t="s">
        <v>806</v>
      </c>
      <c r="BY6" s="1479" t="s">
        <v>398</v>
      </c>
      <c r="BZ6" s="1479" t="s">
        <v>400</v>
      </c>
      <c r="CA6" s="1479" t="s">
        <v>401</v>
      </c>
      <c r="CB6" s="1479" t="s">
        <v>806</v>
      </c>
      <c r="CC6" s="1479" t="s">
        <v>398</v>
      </c>
      <c r="CD6" s="1479" t="s">
        <v>400</v>
      </c>
      <c r="CE6" s="1479" t="s">
        <v>401</v>
      </c>
      <c r="CF6" s="1479" t="s">
        <v>806</v>
      </c>
      <c r="CG6" s="1479" t="s">
        <v>398</v>
      </c>
      <c r="CH6" s="1479" t="s">
        <v>400</v>
      </c>
      <c r="CI6" s="1479" t="s">
        <v>401</v>
      </c>
      <c r="CJ6" s="1479" t="s">
        <v>806</v>
      </c>
      <c r="CK6" s="1479" t="s">
        <v>398</v>
      </c>
      <c r="CL6" s="1479" t="s">
        <v>400</v>
      </c>
      <c r="CM6" s="1479" t="s">
        <v>401</v>
      </c>
      <c r="CN6" s="1479" t="s">
        <v>806</v>
      </c>
      <c r="CO6" s="1479" t="s">
        <v>398</v>
      </c>
      <c r="CP6" s="1479" t="s">
        <v>400</v>
      </c>
      <c r="CQ6" s="1479" t="s">
        <v>401</v>
      </c>
      <c r="CR6" s="1479" t="s">
        <v>806</v>
      </c>
      <c r="CS6" s="1479" t="s">
        <v>398</v>
      </c>
      <c r="CT6" s="1479" t="s">
        <v>400</v>
      </c>
      <c r="CU6" s="1479" t="s">
        <v>401</v>
      </c>
      <c r="CV6" s="1479" t="s">
        <v>806</v>
      </c>
      <c r="CW6" s="1479" t="s">
        <v>398</v>
      </c>
      <c r="CX6" s="1479" t="s">
        <v>400</v>
      </c>
      <c r="CY6" s="1479" t="s">
        <v>401</v>
      </c>
      <c r="CZ6" s="1479" t="s">
        <v>806</v>
      </c>
      <c r="DA6" s="1479" t="s">
        <v>398</v>
      </c>
      <c r="DB6" s="1479" t="s">
        <v>400</v>
      </c>
      <c r="DC6" s="1479" t="s">
        <v>401</v>
      </c>
      <c r="DD6" s="1479" t="s">
        <v>806</v>
      </c>
      <c r="DE6" s="1479" t="s">
        <v>398</v>
      </c>
      <c r="DF6" s="1479" t="s">
        <v>400</v>
      </c>
      <c r="DG6" s="1479" t="s">
        <v>401</v>
      </c>
      <c r="DH6" s="1479" t="s">
        <v>806</v>
      </c>
      <c r="DI6" s="1479" t="s">
        <v>398</v>
      </c>
      <c r="DJ6" s="1479" t="s">
        <v>400</v>
      </c>
      <c r="DK6" s="1479" t="s">
        <v>401</v>
      </c>
      <c r="DL6" s="1479" t="s">
        <v>806</v>
      </c>
    </row>
    <row r="7" spans="1:118" ht="18" customHeight="1" x14ac:dyDescent="0.2">
      <c r="C7" s="1480" t="s">
        <v>405</v>
      </c>
      <c r="D7" s="1480"/>
      <c r="E7" s="1481"/>
      <c r="G7" s="1482"/>
      <c r="H7" s="1482"/>
      <c r="I7" s="1482"/>
      <c r="J7" s="1482"/>
      <c r="K7" s="1482"/>
      <c r="L7" s="1482"/>
      <c r="M7" s="1482"/>
      <c r="N7" s="1482"/>
      <c r="O7" s="1482"/>
      <c r="P7" s="1482"/>
      <c r="Q7" s="1482"/>
      <c r="R7" s="1482"/>
      <c r="S7" s="1482"/>
      <c r="T7" s="1482"/>
      <c r="U7" s="1482"/>
      <c r="V7" s="1482"/>
      <c r="W7" s="1482"/>
      <c r="Y7" s="1483"/>
      <c r="Z7" s="1483"/>
      <c r="AA7" s="1483"/>
      <c r="AB7" s="1483"/>
      <c r="AC7" s="1483"/>
      <c r="AD7" s="1483"/>
      <c r="AE7" s="1483"/>
      <c r="AF7" s="1483"/>
      <c r="AG7" s="1483"/>
      <c r="AH7" s="1483"/>
      <c r="AI7" s="1483"/>
      <c r="AJ7" s="1483"/>
      <c r="AK7" s="1483"/>
      <c r="AL7" s="1483"/>
      <c r="AM7" s="1483"/>
      <c r="AN7" s="1483"/>
      <c r="AO7" s="1483"/>
      <c r="AP7" s="1483"/>
      <c r="AQ7" s="1483"/>
      <c r="AS7" s="1484"/>
      <c r="AT7" s="1484"/>
      <c r="AU7" s="1484"/>
      <c r="AV7" s="1484"/>
      <c r="AW7" s="1484"/>
      <c r="AX7" s="1484"/>
      <c r="AY7" s="1484"/>
      <c r="AZ7" s="1484"/>
      <c r="BA7" s="1484"/>
      <c r="BB7" s="1484"/>
      <c r="BC7" s="1484"/>
      <c r="BD7" s="1484"/>
      <c r="BE7" s="1484"/>
      <c r="BF7" s="1484"/>
      <c r="BG7" s="1484"/>
      <c r="BH7" s="1484"/>
      <c r="BI7" s="1484"/>
      <c r="BJ7" s="1484"/>
      <c r="BK7" s="1484"/>
      <c r="BL7" s="1484"/>
      <c r="BN7" s="1485"/>
      <c r="BO7" s="1485"/>
      <c r="BP7" s="1485"/>
      <c r="BR7" s="3168">
        <f t="shared" ref="BR7:BR14" si="0">W7+AQ7+BL7+BP7</f>
        <v>0</v>
      </c>
      <c r="BS7" s="1486"/>
      <c r="BU7" s="1487"/>
      <c r="BV7" s="1487"/>
      <c r="BW7" s="1487"/>
      <c r="BX7" s="1487"/>
      <c r="BY7" s="1487"/>
      <c r="BZ7" s="1487"/>
      <c r="CA7" s="1487"/>
      <c r="CB7" s="1487"/>
      <c r="CC7" s="1487"/>
      <c r="CD7" s="1487"/>
      <c r="CE7" s="1487"/>
      <c r="CF7" s="1487"/>
      <c r="CG7" s="1487"/>
      <c r="CH7" s="1487"/>
      <c r="CI7" s="1487"/>
      <c r="CJ7" s="1487"/>
      <c r="CK7" s="1487"/>
      <c r="CL7" s="1487"/>
      <c r="CM7" s="1487"/>
      <c r="CN7" s="1487"/>
      <c r="CO7" s="1487"/>
      <c r="CP7" s="1487"/>
      <c r="CQ7" s="1487"/>
      <c r="CR7" s="1487"/>
      <c r="CS7" s="1487"/>
      <c r="CT7" s="1487"/>
      <c r="CU7" s="1487"/>
      <c r="CV7" s="1487"/>
      <c r="CW7" s="1487"/>
      <c r="CX7" s="1487"/>
      <c r="CY7" s="1487"/>
      <c r="CZ7" s="1487"/>
      <c r="DA7" s="1487"/>
      <c r="DB7" s="1487"/>
      <c r="DC7" s="1487"/>
      <c r="DD7" s="1487"/>
      <c r="DE7" s="1487"/>
      <c r="DF7" s="1487"/>
      <c r="DG7" s="1487"/>
      <c r="DH7" s="1487"/>
      <c r="DI7" s="1487"/>
      <c r="DJ7" s="1487"/>
      <c r="DK7" s="1487"/>
      <c r="DL7" s="1487"/>
    </row>
    <row r="8" spans="1:118" ht="12.75" hidden="1" customHeight="1" outlineLevel="1" x14ac:dyDescent="0.2">
      <c r="G8" s="1488"/>
      <c r="H8" s="1488"/>
      <c r="I8" s="1488"/>
      <c r="J8" s="1488"/>
      <c r="K8" s="1488"/>
      <c r="L8" s="1488"/>
      <c r="M8" s="1488"/>
      <c r="N8" s="1488"/>
      <c r="O8" s="1489"/>
      <c r="P8" s="1488"/>
      <c r="Q8" s="1488"/>
      <c r="R8" s="1488"/>
      <c r="S8" s="1488"/>
      <c r="T8" s="1488"/>
      <c r="U8" s="1488"/>
      <c r="V8" s="1488"/>
      <c r="W8" s="1488"/>
      <c r="Y8" s="1490"/>
      <c r="Z8" s="1490"/>
      <c r="AA8" s="1490"/>
      <c r="AB8" s="1490"/>
      <c r="AC8" s="1490"/>
      <c r="AD8" s="1490"/>
      <c r="AE8" s="1490"/>
      <c r="AF8" s="1490"/>
      <c r="AG8" s="1490"/>
      <c r="AH8" s="1490"/>
      <c r="AI8" s="1490"/>
      <c r="AJ8" s="1490"/>
      <c r="AK8" s="1490"/>
      <c r="AL8" s="1490"/>
      <c r="AM8" s="1490"/>
      <c r="AN8" s="1490"/>
      <c r="AO8" s="1490"/>
      <c r="AP8" s="1490"/>
      <c r="AQ8" s="1490"/>
      <c r="AS8" s="1491"/>
      <c r="AT8" s="1491"/>
      <c r="AU8" s="1491"/>
      <c r="AV8" s="1491"/>
      <c r="AW8" s="1491"/>
      <c r="AX8" s="1491"/>
      <c r="AY8" s="1491"/>
      <c r="AZ8" s="1491"/>
      <c r="BA8" s="1491"/>
      <c r="BB8" s="1491"/>
      <c r="BC8" s="1491"/>
      <c r="BD8" s="1491"/>
      <c r="BE8" s="1491"/>
      <c r="BF8" s="1491"/>
      <c r="BG8" s="1491"/>
      <c r="BH8" s="1491"/>
      <c r="BI8" s="1491"/>
      <c r="BJ8" s="1491"/>
      <c r="BK8" s="1491"/>
      <c r="BL8" s="1491"/>
      <c r="BN8" s="1492"/>
      <c r="BO8" s="1492"/>
      <c r="BP8" s="1492"/>
      <c r="BR8" s="3168">
        <f t="shared" si="0"/>
        <v>0</v>
      </c>
      <c r="BS8" s="1493"/>
      <c r="BU8" s="1494"/>
      <c r="BV8" s="1494"/>
      <c r="BW8" s="1494"/>
      <c r="BX8" s="1494"/>
      <c r="BY8" s="1494"/>
      <c r="BZ8" s="1494"/>
      <c r="CA8" s="1494"/>
      <c r="CB8" s="1494"/>
      <c r="CC8" s="1494"/>
      <c r="CD8" s="1494"/>
      <c r="CE8" s="1494"/>
      <c r="CF8" s="1494"/>
      <c r="CG8" s="1494"/>
      <c r="CH8" s="1494"/>
      <c r="CI8" s="1494"/>
      <c r="CJ8" s="1494"/>
      <c r="CK8" s="1494"/>
      <c r="CL8" s="1494"/>
      <c r="CM8" s="1494"/>
      <c r="CN8" s="1494"/>
      <c r="CO8" s="1494"/>
      <c r="CP8" s="1494"/>
      <c r="CQ8" s="1494"/>
      <c r="CR8" s="1494"/>
      <c r="CS8" s="1494"/>
      <c r="CT8" s="1494"/>
      <c r="CU8" s="1494"/>
      <c r="CV8" s="1494"/>
      <c r="CW8" s="1494"/>
      <c r="CX8" s="1494"/>
      <c r="CY8" s="1494"/>
      <c r="CZ8" s="1494"/>
      <c r="DA8" s="1494"/>
      <c r="DB8" s="1494"/>
      <c r="DC8" s="1494"/>
      <c r="DD8" s="1494"/>
      <c r="DE8" s="1494"/>
      <c r="DF8" s="1494"/>
      <c r="DG8" s="1494"/>
      <c r="DH8" s="1494"/>
      <c r="DI8" s="1494"/>
      <c r="DJ8" s="1494"/>
      <c r="DK8" s="1494"/>
      <c r="DL8" s="1494"/>
    </row>
    <row r="9" spans="1:118" s="14" customFormat="1" ht="10.5" hidden="1" customHeight="1" outlineLevel="2" x14ac:dyDescent="0.2">
      <c r="A9" s="1495"/>
      <c r="B9" s="1495"/>
      <c r="C9" s="1511" t="s">
        <v>86</v>
      </c>
      <c r="D9" s="14" t="str">
        <f>INDEX(Modulos[Modulos], MATCH($C9, Modulos[Código], 0))</f>
        <v>Residencial</v>
      </c>
      <c r="G9" s="1540">
        <f ca="1">IFERROR(INDEX(INDIRECT($C9&amp;".Outputs["&amp;this.Year&amp;"]"), MATCH(G$5, INDIRECT($C9&amp;".Outputs[Vector]"), 0)), 0)</f>
        <v>27.963150160062671</v>
      </c>
      <c r="H9" s="1540">
        <f t="shared" ref="H9:V9" ca="1" si="1">IFERROR(INDEX(INDIRECT($C9&amp;".Outputs["&amp;this.Year&amp;"]"), MATCH(H$5, INDIRECT($C9&amp;".Outputs[Vector]"), 0)), 0)</f>
        <v>1.3907072903761191</v>
      </c>
      <c r="I9" s="1540">
        <f t="shared" ca="1" si="1"/>
        <v>2.4834058756716413</v>
      </c>
      <c r="J9" s="1540">
        <f t="shared" ca="1" si="1"/>
        <v>8.7415886823641777</v>
      </c>
      <c r="K9" s="1540">
        <f t="shared" ca="1" si="1"/>
        <v>3.7747769310208938</v>
      </c>
      <c r="L9" s="1540">
        <f t="shared" ca="1" si="1"/>
        <v>5.3144885739373136</v>
      </c>
      <c r="M9" s="1540">
        <f t="shared" ca="1" si="1"/>
        <v>0</v>
      </c>
      <c r="N9" s="1540">
        <f t="shared" ca="1" si="1"/>
        <v>0</v>
      </c>
      <c r="O9" s="1540">
        <f t="shared" ca="1" si="1"/>
        <v>0</v>
      </c>
      <c r="P9" s="1540">
        <f t="shared" ca="1" si="1"/>
        <v>0</v>
      </c>
      <c r="Q9" s="1540">
        <f t="shared" ca="1" si="1"/>
        <v>0</v>
      </c>
      <c r="R9" s="1540">
        <f t="shared" ca="1" si="1"/>
        <v>0</v>
      </c>
      <c r="S9" s="1540">
        <f t="shared" ca="1" si="1"/>
        <v>0</v>
      </c>
      <c r="T9" s="1540">
        <f t="shared" ca="1" si="1"/>
        <v>0</v>
      </c>
      <c r="U9" s="1540">
        <f t="shared" ca="1" si="1"/>
        <v>0</v>
      </c>
      <c r="V9" s="1540">
        <f t="shared" ca="1" si="1"/>
        <v>0</v>
      </c>
      <c r="W9" s="1539">
        <f ca="1">SUM(G9:V9)</f>
        <v>49.668117513432819</v>
      </c>
      <c r="Y9" s="1500">
        <f ca="1">IFERROR(INDEX(INDIRECT($C9&amp;".Outputs["&amp;this.Year&amp;"]"), MATCH(Y$5, INDIRECT($C9&amp;".Outputs[Vector]"), 0)), 0)</f>
        <v>-10.986823497301508</v>
      </c>
      <c r="Z9" s="1500">
        <f t="shared" ref="Z9:AP9" ca="1" si="2">IFERROR(INDEX(INDIRECT($C9&amp;".Outputs["&amp;this.Year&amp;"]"), MATCH(Z$5, INDIRECT($C9&amp;".Outputs[Vector]"), 0)), 0)</f>
        <v>0</v>
      </c>
      <c r="AA9" s="1500">
        <f t="shared" ca="1" si="2"/>
        <v>0</v>
      </c>
      <c r="AB9" s="1500">
        <f t="shared" ca="1" si="2"/>
        <v>-4.7526719834691171</v>
      </c>
      <c r="AC9" s="1500">
        <f t="shared" ca="1" si="2"/>
        <v>-22.393654601250446</v>
      </c>
      <c r="AD9" s="1500">
        <f t="shared" ca="1" si="2"/>
        <v>0</v>
      </c>
      <c r="AE9" s="1500">
        <f t="shared" ca="1" si="2"/>
        <v>0</v>
      </c>
      <c r="AF9" s="1500">
        <f t="shared" ca="1" si="2"/>
        <v>0</v>
      </c>
      <c r="AG9" s="1500">
        <f t="shared" ca="1" si="2"/>
        <v>0</v>
      </c>
      <c r="AH9" s="1500">
        <f t="shared" ca="1" si="2"/>
        <v>0</v>
      </c>
      <c r="AI9" s="1500">
        <f t="shared" ca="1" si="2"/>
        <v>0</v>
      </c>
      <c r="AJ9" s="1500">
        <f t="shared" ca="1" si="2"/>
        <v>0</v>
      </c>
      <c r="AK9" s="1500">
        <f t="shared" ca="1" si="2"/>
        <v>0</v>
      </c>
      <c r="AL9" s="1500">
        <f ca="1">IFERROR(INDEX(INDIRECT($C9&amp;".Outputs["&amp;this.Year&amp;"]"), MATCH(AL$5, INDIRECT($C9&amp;".Outputs[Vector]"), 0)), 0)</f>
        <v>-11.534967431411745</v>
      </c>
      <c r="AM9" s="1500">
        <f t="shared" ca="1" si="2"/>
        <v>0</v>
      </c>
      <c r="AN9" s="1500">
        <f t="shared" ca="1" si="2"/>
        <v>0</v>
      </c>
      <c r="AO9" s="1500">
        <f t="shared" ca="1" si="2"/>
        <v>0</v>
      </c>
      <c r="AP9" s="1500">
        <f t="shared" ca="1" si="2"/>
        <v>0</v>
      </c>
      <c r="AQ9" s="1490">
        <f ca="1">SUM(Y9:AP9)</f>
        <v>-49.668117513432819</v>
      </c>
      <c r="AS9" s="1491">
        <f t="shared" ref="AS9:BK9" ca="1" si="3">IFERROR(INDEX(INDIRECT($C9&amp;".Outputs["&amp;this.Year&amp;"]"), MATCH(AS$5, INDIRECT($C9&amp;".Outputs[Vector]"), 0)), 0)</f>
        <v>0</v>
      </c>
      <c r="AT9" s="1491">
        <f t="shared" ca="1" si="3"/>
        <v>0</v>
      </c>
      <c r="AU9" s="1491">
        <f t="shared" ca="1" si="3"/>
        <v>0</v>
      </c>
      <c r="AV9" s="1491">
        <f t="shared" ca="1" si="3"/>
        <v>0</v>
      </c>
      <c r="AW9" s="1491">
        <f t="shared" ca="1" si="3"/>
        <v>0</v>
      </c>
      <c r="AX9" s="1491">
        <f t="shared" ca="1" si="3"/>
        <v>0</v>
      </c>
      <c r="AY9" s="1491">
        <f t="shared" ca="1" si="3"/>
        <v>0</v>
      </c>
      <c r="AZ9" s="1491">
        <f t="shared" ca="1" si="3"/>
        <v>0</v>
      </c>
      <c r="BA9" s="1491">
        <f t="shared" ca="1" si="3"/>
        <v>0</v>
      </c>
      <c r="BB9" s="1491">
        <f t="shared" ca="1" si="3"/>
        <v>0</v>
      </c>
      <c r="BC9" s="1491">
        <f t="shared" ca="1" si="3"/>
        <v>0</v>
      </c>
      <c r="BD9" s="1491">
        <f t="shared" ca="1" si="3"/>
        <v>0</v>
      </c>
      <c r="BE9" s="1491">
        <f t="shared" ca="1" si="3"/>
        <v>0</v>
      </c>
      <c r="BF9" s="1491">
        <f t="shared" ca="1" si="3"/>
        <v>0</v>
      </c>
      <c r="BG9" s="1491">
        <f t="shared" ca="1" si="3"/>
        <v>0</v>
      </c>
      <c r="BH9" s="1491">
        <f t="shared" ca="1" si="3"/>
        <v>0</v>
      </c>
      <c r="BI9" s="1491">
        <f t="shared" ca="1" si="3"/>
        <v>0</v>
      </c>
      <c r="BJ9" s="1491">
        <f t="shared" ca="1" si="3"/>
        <v>0</v>
      </c>
      <c r="BK9" s="1491">
        <f t="shared" ca="1" si="3"/>
        <v>0</v>
      </c>
      <c r="BL9" s="1503">
        <f ca="1">SUM(AS9:BK9)</f>
        <v>0</v>
      </c>
      <c r="BN9" s="1941">
        <f ca="1">IFERROR(INDEX(INDIRECT($C9&amp;".Outputs["&amp;this.Year&amp;"]"), MATCH(BN$5, INDIRECT($C9&amp;".Outputs[Vector]"), 0)), 0)</f>
        <v>0</v>
      </c>
      <c r="BO9" s="1941">
        <f ca="1">IFERROR(INDEX(INDIRECT($C9&amp;".Outputs["&amp;this.Year&amp;"]"), MATCH(BO$5, INDIRECT($C9&amp;".Outputs[Vector]"), 0)), 0)</f>
        <v>0</v>
      </c>
      <c r="BP9" s="1505">
        <f ca="1">BN9+BO9</f>
        <v>0</v>
      </c>
      <c r="BR9" s="3168">
        <f ca="1">W9+AQ9+BL9+BP9</f>
        <v>0</v>
      </c>
      <c r="BS9" s="1506"/>
      <c r="BT9" s="748"/>
      <c r="BU9" s="1507">
        <v>67.291769164453711</v>
      </c>
      <c r="BV9" s="1508">
        <v>0.13655504882378258</v>
      </c>
      <c r="BW9" s="1508">
        <v>0.22513176941521534</v>
      </c>
      <c r="BX9" s="1508">
        <v>0</v>
      </c>
      <c r="BY9" s="1508">
        <v>0</v>
      </c>
      <c r="BZ9" s="1508">
        <v>0</v>
      </c>
      <c r="CA9" s="1508">
        <v>0</v>
      </c>
      <c r="CB9" s="1508">
        <v>0</v>
      </c>
      <c r="CC9" s="1508">
        <v>0</v>
      </c>
      <c r="CD9" s="1508">
        <v>0</v>
      </c>
      <c r="CE9" s="1508">
        <v>0</v>
      </c>
      <c r="CF9" s="1508">
        <v>0</v>
      </c>
      <c r="CG9" s="1508">
        <v>0</v>
      </c>
      <c r="CH9" s="1508">
        <v>0</v>
      </c>
      <c r="CI9" s="1508">
        <v>0</v>
      </c>
      <c r="CJ9" s="1508">
        <v>0</v>
      </c>
      <c r="CK9" s="1508">
        <v>0</v>
      </c>
      <c r="CL9" s="1508">
        <v>0</v>
      </c>
      <c r="CM9" s="1508">
        <v>0</v>
      </c>
      <c r="CN9" s="1508">
        <v>0</v>
      </c>
      <c r="CO9" s="1508">
        <v>0</v>
      </c>
      <c r="CP9" s="1508">
        <v>0</v>
      </c>
      <c r="CQ9" s="1508">
        <v>0</v>
      </c>
      <c r="CR9" s="1508">
        <v>0</v>
      </c>
      <c r="CS9" s="1508">
        <v>0</v>
      </c>
      <c r="CT9" s="1508">
        <v>0</v>
      </c>
      <c r="CU9" s="1508">
        <v>0</v>
      </c>
      <c r="CV9" s="1508">
        <v>0</v>
      </c>
      <c r="CW9" s="1508">
        <v>0</v>
      </c>
      <c r="CX9" s="1508">
        <v>0</v>
      </c>
      <c r="CY9" s="1508">
        <v>0</v>
      </c>
      <c r="CZ9" s="1508">
        <v>0</v>
      </c>
      <c r="DA9" s="1508">
        <v>0</v>
      </c>
      <c r="DB9" s="1508">
        <v>0</v>
      </c>
      <c r="DC9" s="1508">
        <v>0</v>
      </c>
      <c r="DD9" s="1508">
        <v>0</v>
      </c>
      <c r="DE9" s="1508">
        <v>0</v>
      </c>
      <c r="DF9" s="1508">
        <v>0</v>
      </c>
      <c r="DG9" s="1508">
        <v>0</v>
      </c>
      <c r="DH9" s="1508">
        <v>0</v>
      </c>
      <c r="DI9" s="1508">
        <v>0</v>
      </c>
      <c r="DJ9" s="1508">
        <v>0</v>
      </c>
      <c r="DK9" s="1508">
        <v>0</v>
      </c>
      <c r="DL9" s="1508">
        <v>0</v>
      </c>
      <c r="DN9" s="1509"/>
    </row>
    <row r="10" spans="1:118" s="14" customFormat="1" ht="10.5" hidden="1" customHeight="1" outlineLevel="2" x14ac:dyDescent="0.2">
      <c r="A10" s="1510"/>
      <c r="B10" s="1510"/>
      <c r="C10" s="1511"/>
      <c r="D10" s="1510"/>
      <c r="E10" s="1512"/>
      <c r="G10" s="1513"/>
      <c r="H10" s="1513"/>
      <c r="I10" s="1513"/>
      <c r="J10" s="1513"/>
      <c r="K10" s="1513"/>
      <c r="L10" s="1513"/>
      <c r="M10" s="1513"/>
      <c r="N10" s="1513"/>
      <c r="O10" s="1513"/>
      <c r="P10" s="1513"/>
      <c r="Q10" s="1513"/>
      <c r="R10" s="1513"/>
      <c r="S10" s="1513"/>
      <c r="T10" s="1513"/>
      <c r="U10" s="1513"/>
      <c r="V10" s="1513"/>
      <c r="W10" s="1514"/>
      <c r="Y10" s="1515"/>
      <c r="Z10" s="1515"/>
      <c r="AA10" s="1515"/>
      <c r="AB10" s="1515"/>
      <c r="AC10" s="1515"/>
      <c r="AD10" s="1515"/>
      <c r="AE10" s="1515"/>
      <c r="AF10" s="1515"/>
      <c r="AG10" s="1515"/>
      <c r="AH10" s="1515"/>
      <c r="AI10" s="1515"/>
      <c r="AJ10" s="1515"/>
      <c r="AK10" s="1515"/>
      <c r="AL10" s="1515"/>
      <c r="AM10" s="1515"/>
      <c r="AN10" s="1515"/>
      <c r="AO10" s="1515"/>
      <c r="AP10" s="1515"/>
      <c r="AQ10" s="1516"/>
      <c r="AS10" s="1517"/>
      <c r="AT10" s="1517"/>
      <c r="AU10" s="1517"/>
      <c r="AV10" s="1517"/>
      <c r="AW10" s="1517"/>
      <c r="AX10" s="1517"/>
      <c r="AY10" s="1517"/>
      <c r="AZ10" s="1517"/>
      <c r="BA10" s="1517"/>
      <c r="BB10" s="1517"/>
      <c r="BC10" s="1517"/>
      <c r="BD10" s="1517"/>
      <c r="BE10" s="1517"/>
      <c r="BF10" s="1517"/>
      <c r="BG10" s="1517"/>
      <c r="BH10" s="1517"/>
      <c r="BI10" s="1517"/>
      <c r="BJ10" s="1517"/>
      <c r="BK10" s="1517"/>
      <c r="BL10" s="1518"/>
      <c r="BN10" s="1519"/>
      <c r="BO10" s="1519"/>
      <c r="BP10" s="1520"/>
      <c r="BR10" s="3168">
        <f t="shared" si="0"/>
        <v>0</v>
      </c>
      <c r="BS10" s="1521"/>
      <c r="BT10" s="748"/>
      <c r="BU10" s="1507">
        <v>0</v>
      </c>
      <c r="BV10" s="1508">
        <v>0</v>
      </c>
      <c r="BW10" s="1508">
        <v>0</v>
      </c>
      <c r="BX10" s="1508">
        <v>0</v>
      </c>
      <c r="BY10" s="1508">
        <v>0</v>
      </c>
      <c r="BZ10" s="1508">
        <v>0</v>
      </c>
      <c r="CA10" s="1508">
        <v>0</v>
      </c>
      <c r="CB10" s="1508">
        <v>0</v>
      </c>
      <c r="CC10" s="1508">
        <v>0</v>
      </c>
      <c r="CD10" s="1508">
        <v>0</v>
      </c>
      <c r="CE10" s="1508">
        <v>0</v>
      </c>
      <c r="CF10" s="1508">
        <v>0</v>
      </c>
      <c r="CG10" s="1508">
        <v>0</v>
      </c>
      <c r="CH10" s="1508">
        <v>0</v>
      </c>
      <c r="CI10" s="1508">
        <v>0</v>
      </c>
      <c r="CJ10" s="1508">
        <v>0</v>
      </c>
      <c r="CK10" s="1508">
        <v>0</v>
      </c>
      <c r="CL10" s="1508">
        <v>0</v>
      </c>
      <c r="CM10" s="1508">
        <v>0</v>
      </c>
      <c r="CN10" s="1508">
        <v>0</v>
      </c>
      <c r="CO10" s="1508">
        <v>0</v>
      </c>
      <c r="CP10" s="1508">
        <v>0</v>
      </c>
      <c r="CQ10" s="1508">
        <v>0</v>
      </c>
      <c r="CR10" s="1508">
        <v>0</v>
      </c>
      <c r="CS10" s="1508">
        <v>0</v>
      </c>
      <c r="CT10" s="1508">
        <v>0</v>
      </c>
      <c r="CU10" s="1508">
        <v>0</v>
      </c>
      <c r="CV10" s="1508">
        <v>0</v>
      </c>
      <c r="CW10" s="1508">
        <v>0</v>
      </c>
      <c r="CX10" s="1508">
        <v>0</v>
      </c>
      <c r="CY10" s="1508">
        <v>0</v>
      </c>
      <c r="CZ10" s="1508">
        <v>0</v>
      </c>
      <c r="DA10" s="1508">
        <v>0</v>
      </c>
      <c r="DB10" s="1508">
        <v>0</v>
      </c>
      <c r="DC10" s="1508">
        <v>0</v>
      </c>
      <c r="DD10" s="1508">
        <v>0</v>
      </c>
      <c r="DE10" s="1508">
        <v>0</v>
      </c>
      <c r="DF10" s="1508">
        <v>0</v>
      </c>
      <c r="DG10" s="1508">
        <v>0</v>
      </c>
      <c r="DH10" s="1508">
        <v>0</v>
      </c>
      <c r="DI10" s="1508">
        <v>0</v>
      </c>
      <c r="DJ10" s="1508">
        <v>0</v>
      </c>
      <c r="DK10" s="1508">
        <v>0</v>
      </c>
      <c r="DL10" s="1508">
        <v>0</v>
      </c>
      <c r="DN10" s="1509"/>
    </row>
    <row r="11" spans="1:118" s="14" customFormat="1" ht="12.75" hidden="1" customHeight="1" outlineLevel="1" x14ac:dyDescent="0.2">
      <c r="A11" s="1522"/>
      <c r="B11" s="1522"/>
      <c r="C11" s="1496"/>
      <c r="D11" s="1522"/>
      <c r="E11" s="1497"/>
      <c r="G11" s="1499"/>
      <c r="H11" s="1499"/>
      <c r="I11" s="1499"/>
      <c r="J11" s="1499"/>
      <c r="K11" s="1499"/>
      <c r="L11" s="1499"/>
      <c r="M11" s="1499"/>
      <c r="N11" s="1499"/>
      <c r="O11" s="1499"/>
      <c r="P11" s="1499"/>
      <c r="Q11" s="1499"/>
      <c r="R11" s="1499"/>
      <c r="S11" s="1499"/>
      <c r="T11" s="1499"/>
      <c r="U11" s="1499"/>
      <c r="V11" s="1499"/>
      <c r="W11" s="1499"/>
      <c r="Y11" s="1501"/>
      <c r="Z11" s="1501"/>
      <c r="AA11" s="1501"/>
      <c r="AB11" s="1501"/>
      <c r="AC11" s="1501"/>
      <c r="AD11" s="1501"/>
      <c r="AE11" s="1501"/>
      <c r="AF11" s="1501"/>
      <c r="AG11" s="1501"/>
      <c r="AH11" s="1501"/>
      <c r="AI11" s="1501"/>
      <c r="AJ11" s="1501"/>
      <c r="AK11" s="1501"/>
      <c r="AL11" s="1501"/>
      <c r="AM11" s="1501"/>
      <c r="AN11" s="1501"/>
      <c r="AO11" s="1501"/>
      <c r="AP11" s="1501"/>
      <c r="AQ11" s="1501"/>
      <c r="AS11" s="1523"/>
      <c r="AT11" s="1523"/>
      <c r="AU11" s="1523"/>
      <c r="AV11" s="1523"/>
      <c r="AW11" s="1523"/>
      <c r="AX11" s="1523"/>
      <c r="AY11" s="1523"/>
      <c r="AZ11" s="1523"/>
      <c r="BA11" s="1523"/>
      <c r="BB11" s="1523"/>
      <c r="BC11" s="1523"/>
      <c r="BD11" s="1523"/>
      <c r="BE11" s="1523"/>
      <c r="BF11" s="1523"/>
      <c r="BG11" s="1523"/>
      <c r="BH11" s="1523"/>
      <c r="BI11" s="1523"/>
      <c r="BJ11" s="1523"/>
      <c r="BK11" s="1523"/>
      <c r="BL11" s="1524"/>
      <c r="BN11" s="1505"/>
      <c r="BO11" s="1505"/>
      <c r="BP11" s="1505"/>
      <c r="BR11" s="3168">
        <f t="shared" si="0"/>
        <v>0</v>
      </c>
      <c r="BS11" s="1525"/>
      <c r="BT11" s="748"/>
      <c r="BU11" s="1507">
        <v>67.291769164453711</v>
      </c>
      <c r="BV11" s="1508">
        <v>0.13655504882378258</v>
      </c>
      <c r="BW11" s="1508">
        <v>0.22513176941521534</v>
      </c>
      <c r="BX11" s="1508">
        <v>0</v>
      </c>
      <c r="BY11" s="1508">
        <v>0</v>
      </c>
      <c r="BZ11" s="1508">
        <v>0</v>
      </c>
      <c r="CA11" s="1508">
        <v>0</v>
      </c>
      <c r="CB11" s="1508">
        <v>0</v>
      </c>
      <c r="CC11" s="1508">
        <v>0</v>
      </c>
      <c r="CD11" s="1508">
        <v>0</v>
      </c>
      <c r="CE11" s="1508">
        <v>0</v>
      </c>
      <c r="CF11" s="1508">
        <v>0</v>
      </c>
      <c r="CG11" s="1508">
        <v>0</v>
      </c>
      <c r="CH11" s="1508">
        <v>0</v>
      </c>
      <c r="CI11" s="1508">
        <v>0</v>
      </c>
      <c r="CJ11" s="1508">
        <v>0</v>
      </c>
      <c r="CK11" s="1508">
        <v>0</v>
      </c>
      <c r="CL11" s="1508">
        <v>0</v>
      </c>
      <c r="CM11" s="1508">
        <v>0</v>
      </c>
      <c r="CN11" s="1508">
        <v>0</v>
      </c>
      <c r="CO11" s="1508">
        <v>0</v>
      </c>
      <c r="CP11" s="1508">
        <v>0</v>
      </c>
      <c r="CQ11" s="1508">
        <v>0</v>
      </c>
      <c r="CR11" s="1508">
        <v>0</v>
      </c>
      <c r="CS11" s="1508">
        <v>0</v>
      </c>
      <c r="CT11" s="1508">
        <v>0</v>
      </c>
      <c r="CU11" s="1508">
        <v>0</v>
      </c>
      <c r="CV11" s="1508">
        <v>0</v>
      </c>
      <c r="CW11" s="1508">
        <v>0</v>
      </c>
      <c r="CX11" s="1508">
        <v>0</v>
      </c>
      <c r="CY11" s="1508">
        <v>0</v>
      </c>
      <c r="CZ11" s="1508">
        <v>0</v>
      </c>
      <c r="DA11" s="1508">
        <v>0</v>
      </c>
      <c r="DB11" s="1508">
        <v>0</v>
      </c>
      <c r="DC11" s="1508">
        <v>0</v>
      </c>
      <c r="DD11" s="1508">
        <v>0</v>
      </c>
      <c r="DE11" s="1508">
        <v>0</v>
      </c>
      <c r="DF11" s="1508">
        <v>0</v>
      </c>
      <c r="DG11" s="1508">
        <v>0</v>
      </c>
      <c r="DH11" s="1508">
        <v>0</v>
      </c>
      <c r="DI11" s="1508">
        <v>0</v>
      </c>
      <c r="DJ11" s="1508">
        <v>0</v>
      </c>
      <c r="DK11" s="1508">
        <v>0</v>
      </c>
      <c r="DL11" s="1508">
        <v>0</v>
      </c>
      <c r="DN11" s="1509"/>
    </row>
    <row r="12" spans="1:118" s="14" customFormat="1" ht="10.5" hidden="1" customHeight="1" outlineLevel="2" x14ac:dyDescent="0.2">
      <c r="A12" s="1495"/>
      <c r="B12" s="1495"/>
      <c r="C12" s="1496" t="s">
        <v>554</v>
      </c>
      <c r="D12" s="14" t="str">
        <f>INDEX(Modulos[Modulos], MATCH($C12, Modulos[Código], 0))</f>
        <v>Comercial y Púbico</v>
      </c>
      <c r="G12" s="1498">
        <f t="shared" ref="G12:V12" ca="1" si="4">IFERROR(INDEX(INDIRECT($C12&amp;".Outputs["&amp;this.Year&amp;"]"), MATCH(G$5, INDIRECT($C12&amp;".Outputs[Vector]"), 0)), 0)</f>
        <v>7.5290293664292438</v>
      </c>
      <c r="H12" s="1498">
        <f t="shared" ca="1" si="4"/>
        <v>6.0835198978170633</v>
      </c>
      <c r="I12" s="1498">
        <f t="shared" ca="1" si="4"/>
        <v>0.50816297239657438</v>
      </c>
      <c r="J12" s="1498">
        <f t="shared" ca="1" si="4"/>
        <v>1.3546496655725258</v>
      </c>
      <c r="K12" s="1498">
        <f t="shared" ca="1" si="4"/>
        <v>0.68588479913784972</v>
      </c>
      <c r="L12" s="1498">
        <f t="shared" ca="1" si="4"/>
        <v>3.9031243949365226</v>
      </c>
      <c r="M12" s="1498">
        <f t="shared" ca="1" si="4"/>
        <v>0</v>
      </c>
      <c r="N12" s="1498">
        <f t="shared" ca="1" si="4"/>
        <v>0</v>
      </c>
      <c r="O12" s="1498">
        <f t="shared" ca="1" si="4"/>
        <v>0</v>
      </c>
      <c r="P12" s="1498">
        <f t="shared" ca="1" si="4"/>
        <v>0</v>
      </c>
      <c r="Q12" s="1498">
        <f t="shared" ca="1" si="4"/>
        <v>0</v>
      </c>
      <c r="R12" s="1498">
        <f t="shared" ca="1" si="4"/>
        <v>0</v>
      </c>
      <c r="S12" s="1498">
        <f t="shared" ca="1" si="4"/>
        <v>0</v>
      </c>
      <c r="T12" s="1498">
        <f t="shared" ca="1" si="4"/>
        <v>0</v>
      </c>
      <c r="U12" s="1498">
        <f t="shared" ca="1" si="4"/>
        <v>0</v>
      </c>
      <c r="V12" s="1498">
        <f t="shared" ca="1" si="4"/>
        <v>0</v>
      </c>
      <c r="W12" s="1539">
        <f ca="1">SUM(G12:V12)</f>
        <v>20.064371096289779</v>
      </c>
      <c r="Y12" s="1500">
        <f t="shared" ref="Y12:AP12" ca="1" si="5">IFERROR(INDEX(INDIRECT($C12&amp;".Outputs["&amp;this.Year&amp;"]"), MATCH(Y$5, INDIRECT($C12&amp;".Outputs[Vector]"), 0)), 0)</f>
        <v>-11.187753955502936</v>
      </c>
      <c r="Z12" s="1500">
        <f t="shared" ca="1" si="5"/>
        <v>0</v>
      </c>
      <c r="AA12" s="1500">
        <f t="shared" ca="1" si="5"/>
        <v>0</v>
      </c>
      <c r="AB12" s="1500">
        <f t="shared" ca="1" si="5"/>
        <v>-4.1614452007220439</v>
      </c>
      <c r="AC12" s="1500">
        <f t="shared" ca="1" si="5"/>
        <v>-4.1463122766715843</v>
      </c>
      <c r="AD12" s="1500">
        <f t="shared" ca="1" si="5"/>
        <v>0</v>
      </c>
      <c r="AE12" s="1500">
        <f t="shared" ca="1" si="5"/>
        <v>0</v>
      </c>
      <c r="AF12" s="1500">
        <f t="shared" ca="1" si="5"/>
        <v>0</v>
      </c>
      <c r="AG12" s="1500">
        <f t="shared" ca="1" si="5"/>
        <v>0</v>
      </c>
      <c r="AH12" s="1500">
        <f t="shared" ca="1" si="5"/>
        <v>0</v>
      </c>
      <c r="AI12" s="1500">
        <f t="shared" ca="1" si="5"/>
        <v>0</v>
      </c>
      <c r="AJ12" s="1500">
        <f t="shared" ca="1" si="5"/>
        <v>0</v>
      </c>
      <c r="AK12" s="1500">
        <f t="shared" ca="1" si="5"/>
        <v>0</v>
      </c>
      <c r="AL12" s="1500">
        <f t="shared" ca="1" si="5"/>
        <v>-0.55269731361784125</v>
      </c>
      <c r="AM12" s="1500">
        <f t="shared" ca="1" si="5"/>
        <v>0</v>
      </c>
      <c r="AN12" s="1500">
        <f t="shared" ca="1" si="5"/>
        <v>0</v>
      </c>
      <c r="AO12" s="1500">
        <f t="shared" ca="1" si="5"/>
        <v>0</v>
      </c>
      <c r="AP12" s="1500">
        <f t="shared" ca="1" si="5"/>
        <v>0</v>
      </c>
      <c r="AQ12" s="1490">
        <f ca="1">SUM(Y12:AP12)</f>
        <v>-20.048208746514405</v>
      </c>
      <c r="AS12" s="1491">
        <f t="shared" ref="AS12:BK12" ca="1" si="6">IFERROR(INDEX(INDIRECT($C12&amp;".Outputs["&amp;this.Year&amp;"]"), MATCH(AS$5, INDIRECT($C12&amp;".Outputs[Vector]"), 0)), 0)</f>
        <v>0</v>
      </c>
      <c r="AT12" s="1491">
        <f t="shared" ca="1" si="6"/>
        <v>0</v>
      </c>
      <c r="AU12" s="1491">
        <f t="shared" ca="1" si="6"/>
        <v>0</v>
      </c>
      <c r="AV12" s="1491">
        <f t="shared" ca="1" si="6"/>
        <v>0</v>
      </c>
      <c r="AW12" s="1491">
        <f t="shared" ca="1" si="6"/>
        <v>0</v>
      </c>
      <c r="AX12" s="1491">
        <f t="shared" ca="1" si="6"/>
        <v>0</v>
      </c>
      <c r="AY12" s="1491">
        <f t="shared" ca="1" si="6"/>
        <v>0</v>
      </c>
      <c r="AZ12" s="1491">
        <f t="shared" ca="1" si="6"/>
        <v>0</v>
      </c>
      <c r="BA12" s="1491">
        <f t="shared" ca="1" si="6"/>
        <v>0</v>
      </c>
      <c r="BB12" s="1491">
        <f t="shared" ca="1" si="6"/>
        <v>0</v>
      </c>
      <c r="BC12" s="1491">
        <f t="shared" ca="1" si="6"/>
        <v>-1.6162349775373903E-2</v>
      </c>
      <c r="BD12" s="1491">
        <f t="shared" ca="1" si="6"/>
        <v>0</v>
      </c>
      <c r="BE12" s="1491">
        <f t="shared" ca="1" si="6"/>
        <v>0</v>
      </c>
      <c r="BF12" s="1491">
        <f t="shared" ca="1" si="6"/>
        <v>0</v>
      </c>
      <c r="BG12" s="1491">
        <f t="shared" ca="1" si="6"/>
        <v>0</v>
      </c>
      <c r="BH12" s="1491">
        <f t="shared" ca="1" si="6"/>
        <v>0</v>
      </c>
      <c r="BI12" s="1491">
        <f t="shared" ca="1" si="6"/>
        <v>0</v>
      </c>
      <c r="BJ12" s="1491">
        <f t="shared" ca="1" si="6"/>
        <v>0</v>
      </c>
      <c r="BK12" s="1491">
        <f t="shared" ca="1" si="6"/>
        <v>0</v>
      </c>
      <c r="BL12" s="1503">
        <f ca="1">SUM(AS12:BK12)</f>
        <v>-1.6162349775373903E-2</v>
      </c>
      <c r="BN12" s="1941">
        <f ca="1">IFERROR(INDEX(INDIRECT($C12&amp;".Outputs["&amp;this.Year&amp;"]"), MATCH(BN$5, INDIRECT($C12&amp;".Outputs[Vector]"), 0)), 0)</f>
        <v>0</v>
      </c>
      <c r="BO12" s="1941">
        <f ca="1">IFERROR(INDEX(INDIRECT($C12&amp;".Outputs["&amp;this.Year&amp;"]"), MATCH(BO$5, INDIRECT($C12&amp;".Outputs[Vector]"), 0)), 0)</f>
        <v>0</v>
      </c>
      <c r="BP12" s="1505">
        <f ca="1">BN12+BO12</f>
        <v>0</v>
      </c>
      <c r="BR12" s="3168">
        <f t="shared" ca="1" si="0"/>
        <v>5.4817261840867104E-16</v>
      </c>
      <c r="BS12" s="1506"/>
      <c r="BT12" s="748"/>
      <c r="BU12" s="1507">
        <v>16.670422935762357</v>
      </c>
      <c r="BV12" s="1508">
        <v>3.1691470049996472E-2</v>
      </c>
      <c r="BW12" s="1508">
        <v>7.1890492881915569E-2</v>
      </c>
      <c r="BX12" s="1508">
        <v>0</v>
      </c>
      <c r="BY12" s="1508">
        <v>0</v>
      </c>
      <c r="BZ12" s="1508">
        <v>0</v>
      </c>
      <c r="CA12" s="1508">
        <v>0</v>
      </c>
      <c r="CB12" s="1508">
        <v>0</v>
      </c>
      <c r="CC12" s="1508">
        <v>0</v>
      </c>
      <c r="CD12" s="1508">
        <v>0</v>
      </c>
      <c r="CE12" s="1508">
        <v>0</v>
      </c>
      <c r="CF12" s="1508">
        <v>0</v>
      </c>
      <c r="CG12" s="1508">
        <v>0</v>
      </c>
      <c r="CH12" s="1508">
        <v>0</v>
      </c>
      <c r="CI12" s="1508">
        <v>0</v>
      </c>
      <c r="CJ12" s="1508">
        <v>0</v>
      </c>
      <c r="CK12" s="1508">
        <v>0</v>
      </c>
      <c r="CL12" s="1508">
        <v>0</v>
      </c>
      <c r="CM12" s="1508">
        <v>0</v>
      </c>
      <c r="CN12" s="1508">
        <v>0</v>
      </c>
      <c r="CO12" s="1508">
        <v>0</v>
      </c>
      <c r="CP12" s="1508">
        <v>0</v>
      </c>
      <c r="CQ12" s="1508">
        <v>0</v>
      </c>
      <c r="CR12" s="1508">
        <v>0</v>
      </c>
      <c r="CS12" s="1508">
        <v>0</v>
      </c>
      <c r="CT12" s="1508">
        <v>0</v>
      </c>
      <c r="CU12" s="1508">
        <v>0</v>
      </c>
      <c r="CV12" s="1508">
        <v>0</v>
      </c>
      <c r="CW12" s="1508">
        <v>0</v>
      </c>
      <c r="CX12" s="1508">
        <v>0</v>
      </c>
      <c r="CY12" s="1508">
        <v>0</v>
      </c>
      <c r="CZ12" s="1508">
        <v>0</v>
      </c>
      <c r="DA12" s="1508">
        <v>0</v>
      </c>
      <c r="DB12" s="1508">
        <v>0</v>
      </c>
      <c r="DC12" s="1508">
        <v>0</v>
      </c>
      <c r="DD12" s="1508">
        <v>0</v>
      </c>
      <c r="DE12" s="1508">
        <v>0</v>
      </c>
      <c r="DF12" s="1508">
        <v>0</v>
      </c>
      <c r="DG12" s="1508">
        <v>0</v>
      </c>
      <c r="DH12" s="1508">
        <v>0</v>
      </c>
      <c r="DI12" s="1508">
        <v>0</v>
      </c>
      <c r="DJ12" s="1508">
        <v>0</v>
      </c>
      <c r="DK12" s="1508">
        <v>0</v>
      </c>
      <c r="DL12" s="1508">
        <v>0</v>
      </c>
      <c r="DN12" s="1509"/>
    </row>
    <row r="13" spans="1:118" s="14" customFormat="1" ht="10.5" hidden="1" customHeight="1" outlineLevel="2" x14ac:dyDescent="0.2">
      <c r="A13" s="1510"/>
      <c r="B13" s="1510"/>
      <c r="C13" s="1511"/>
      <c r="D13" s="1510"/>
      <c r="E13" s="1512"/>
      <c r="G13" s="1513"/>
      <c r="H13" s="1513"/>
      <c r="I13" s="1513"/>
      <c r="J13" s="1513"/>
      <c r="K13" s="1513"/>
      <c r="L13" s="1513"/>
      <c r="M13" s="1513"/>
      <c r="N13" s="1513"/>
      <c r="O13" s="1513"/>
      <c r="P13" s="1513"/>
      <c r="Q13" s="1513"/>
      <c r="R13" s="1513"/>
      <c r="S13" s="1513"/>
      <c r="T13" s="1513"/>
      <c r="U13" s="1513"/>
      <c r="V13" s="1513"/>
      <c r="W13" s="1514"/>
      <c r="Y13" s="1515"/>
      <c r="Z13" s="1515"/>
      <c r="AA13" s="1515"/>
      <c r="AB13" s="1515"/>
      <c r="AC13" s="1515"/>
      <c r="AD13" s="1515"/>
      <c r="AE13" s="1515"/>
      <c r="AF13" s="1515"/>
      <c r="AG13" s="1515"/>
      <c r="AH13" s="1515"/>
      <c r="AI13" s="1515"/>
      <c r="AJ13" s="1515"/>
      <c r="AK13" s="1515"/>
      <c r="AL13" s="1515"/>
      <c r="AM13" s="1515"/>
      <c r="AN13" s="1515"/>
      <c r="AO13" s="1515"/>
      <c r="AP13" s="1515"/>
      <c r="AQ13" s="1516"/>
      <c r="AS13" s="1517"/>
      <c r="AT13" s="1517"/>
      <c r="AU13" s="1517"/>
      <c r="AV13" s="1517"/>
      <c r="AW13" s="1517"/>
      <c r="AX13" s="1517"/>
      <c r="AY13" s="1517"/>
      <c r="AZ13" s="1517"/>
      <c r="BA13" s="1517"/>
      <c r="BB13" s="1517"/>
      <c r="BC13" s="1517"/>
      <c r="BD13" s="1517"/>
      <c r="BE13" s="1517"/>
      <c r="BF13" s="1517"/>
      <c r="BG13" s="1517"/>
      <c r="BH13" s="1517"/>
      <c r="BI13" s="1517"/>
      <c r="BJ13" s="1517"/>
      <c r="BK13" s="1517"/>
      <c r="BL13" s="1518"/>
      <c r="BN13" s="1519"/>
      <c r="BO13" s="1519"/>
      <c r="BP13" s="1520"/>
      <c r="BR13" s="3168">
        <f t="shared" si="0"/>
        <v>0</v>
      </c>
      <c r="BS13" s="1521"/>
      <c r="BT13" s="748"/>
      <c r="BU13" s="1507">
        <v>0</v>
      </c>
      <c r="BV13" s="1508">
        <v>0</v>
      </c>
      <c r="BW13" s="1508">
        <v>0</v>
      </c>
      <c r="BX13" s="1508">
        <v>0</v>
      </c>
      <c r="BY13" s="1508">
        <v>0</v>
      </c>
      <c r="BZ13" s="1508">
        <v>0</v>
      </c>
      <c r="CA13" s="1508">
        <v>0</v>
      </c>
      <c r="CB13" s="1508">
        <v>0</v>
      </c>
      <c r="CC13" s="1508">
        <v>0</v>
      </c>
      <c r="CD13" s="1508">
        <v>0</v>
      </c>
      <c r="CE13" s="1508">
        <v>0</v>
      </c>
      <c r="CF13" s="1508">
        <v>0</v>
      </c>
      <c r="CG13" s="1508">
        <v>0</v>
      </c>
      <c r="CH13" s="1508">
        <v>0</v>
      </c>
      <c r="CI13" s="1508">
        <v>0</v>
      </c>
      <c r="CJ13" s="1508">
        <v>0</v>
      </c>
      <c r="CK13" s="1508">
        <v>0</v>
      </c>
      <c r="CL13" s="1508">
        <v>0</v>
      </c>
      <c r="CM13" s="1508">
        <v>0</v>
      </c>
      <c r="CN13" s="1508">
        <v>0</v>
      </c>
      <c r="CO13" s="1508">
        <v>0</v>
      </c>
      <c r="CP13" s="1508">
        <v>0</v>
      </c>
      <c r="CQ13" s="1508">
        <v>0</v>
      </c>
      <c r="CR13" s="1508">
        <v>0</v>
      </c>
      <c r="CS13" s="1508">
        <v>0</v>
      </c>
      <c r="CT13" s="1508">
        <v>0</v>
      </c>
      <c r="CU13" s="1508">
        <v>0</v>
      </c>
      <c r="CV13" s="1508">
        <v>0</v>
      </c>
      <c r="CW13" s="1508">
        <v>0</v>
      </c>
      <c r="CX13" s="1508">
        <v>0</v>
      </c>
      <c r="CY13" s="1508">
        <v>0</v>
      </c>
      <c r="CZ13" s="1508">
        <v>0</v>
      </c>
      <c r="DA13" s="1508">
        <v>0</v>
      </c>
      <c r="DB13" s="1508">
        <v>0</v>
      </c>
      <c r="DC13" s="1508">
        <v>0</v>
      </c>
      <c r="DD13" s="1508">
        <v>0</v>
      </c>
      <c r="DE13" s="1508">
        <v>0</v>
      </c>
      <c r="DF13" s="1508">
        <v>0</v>
      </c>
      <c r="DG13" s="1508">
        <v>0</v>
      </c>
      <c r="DH13" s="1508">
        <v>0</v>
      </c>
      <c r="DI13" s="1508">
        <v>0</v>
      </c>
      <c r="DJ13" s="1508">
        <v>0</v>
      </c>
      <c r="DK13" s="1508">
        <v>0</v>
      </c>
      <c r="DL13" s="1508">
        <v>0</v>
      </c>
      <c r="DN13" s="1509"/>
    </row>
    <row r="14" spans="1:118" s="14" customFormat="1" ht="12.75" hidden="1" customHeight="1" outlineLevel="1" x14ac:dyDescent="0.2">
      <c r="A14" s="1522"/>
      <c r="B14" s="1522"/>
      <c r="C14" s="1496"/>
      <c r="D14" s="1526"/>
      <c r="E14" s="1526"/>
      <c r="G14" s="1527"/>
      <c r="H14" s="1527"/>
      <c r="I14" s="1527"/>
      <c r="J14" s="1527"/>
      <c r="K14" s="1527"/>
      <c r="L14" s="1527"/>
      <c r="M14" s="1527"/>
      <c r="N14" s="1527"/>
      <c r="O14" s="1527"/>
      <c r="P14" s="1527"/>
      <c r="Q14" s="1527"/>
      <c r="R14" s="1527"/>
      <c r="S14" s="1527"/>
      <c r="T14" s="1527"/>
      <c r="U14" s="1527"/>
      <c r="V14" s="1527"/>
      <c r="W14" s="1527"/>
      <c r="Y14" s="1528"/>
      <c r="Z14" s="1528"/>
      <c r="AA14" s="1528"/>
      <c r="AB14" s="1528"/>
      <c r="AC14" s="1528"/>
      <c r="AD14" s="1528"/>
      <c r="AE14" s="1528"/>
      <c r="AF14" s="1528"/>
      <c r="AG14" s="1528"/>
      <c r="AH14" s="1528"/>
      <c r="AI14" s="1528"/>
      <c r="AJ14" s="1528"/>
      <c r="AK14" s="1528"/>
      <c r="AL14" s="1528"/>
      <c r="AM14" s="1528"/>
      <c r="AN14" s="1528"/>
      <c r="AO14" s="1528"/>
      <c r="AP14" s="1528"/>
      <c r="AQ14" s="1528"/>
      <c r="AS14" s="1529"/>
      <c r="AT14" s="1529"/>
      <c r="AU14" s="1529"/>
      <c r="AV14" s="1529"/>
      <c r="AW14" s="1529"/>
      <c r="AX14" s="1529"/>
      <c r="AY14" s="1529"/>
      <c r="AZ14" s="1529"/>
      <c r="BA14" s="1529"/>
      <c r="BB14" s="1529"/>
      <c r="BC14" s="1529"/>
      <c r="BD14" s="1529"/>
      <c r="BE14" s="1529"/>
      <c r="BF14" s="1529"/>
      <c r="BG14" s="1529"/>
      <c r="BH14" s="1529"/>
      <c r="BI14" s="1529"/>
      <c r="BJ14" s="1529"/>
      <c r="BK14" s="1529"/>
      <c r="BL14" s="1530"/>
      <c r="BN14" s="1531"/>
      <c r="BO14" s="1531"/>
      <c r="BP14" s="1531"/>
      <c r="BR14" s="3168">
        <f t="shared" si="0"/>
        <v>0</v>
      </c>
      <c r="BS14" s="1525"/>
      <c r="BT14" s="748"/>
      <c r="BU14" s="1532">
        <v>16.670422935762357</v>
      </c>
      <c r="BV14" s="1533">
        <v>3.1691470049996472E-2</v>
      </c>
      <c r="BW14" s="1533">
        <v>7.1890492881915569E-2</v>
      </c>
      <c r="BX14" s="1533">
        <v>0</v>
      </c>
      <c r="BY14" s="1533">
        <v>0</v>
      </c>
      <c r="BZ14" s="1533">
        <v>0</v>
      </c>
      <c r="CA14" s="1533">
        <v>0</v>
      </c>
      <c r="CB14" s="1533">
        <v>0</v>
      </c>
      <c r="CC14" s="1533">
        <v>0</v>
      </c>
      <c r="CD14" s="1533">
        <v>0</v>
      </c>
      <c r="CE14" s="1533">
        <v>0</v>
      </c>
      <c r="CF14" s="1533">
        <v>0</v>
      </c>
      <c r="CG14" s="1533">
        <v>0</v>
      </c>
      <c r="CH14" s="1533">
        <v>0</v>
      </c>
      <c r="CI14" s="1533">
        <v>0</v>
      </c>
      <c r="CJ14" s="1533">
        <v>0</v>
      </c>
      <c r="CK14" s="1533">
        <v>0</v>
      </c>
      <c r="CL14" s="1533">
        <v>0</v>
      </c>
      <c r="CM14" s="1533">
        <v>0</v>
      </c>
      <c r="CN14" s="1533">
        <v>0</v>
      </c>
      <c r="CO14" s="1533">
        <v>0</v>
      </c>
      <c r="CP14" s="1533">
        <v>0</v>
      </c>
      <c r="CQ14" s="1533">
        <v>0</v>
      </c>
      <c r="CR14" s="1533">
        <v>0</v>
      </c>
      <c r="CS14" s="1533">
        <v>0</v>
      </c>
      <c r="CT14" s="1533">
        <v>0</v>
      </c>
      <c r="CU14" s="1533">
        <v>0</v>
      </c>
      <c r="CV14" s="1533">
        <v>0</v>
      </c>
      <c r="CW14" s="1533">
        <v>0</v>
      </c>
      <c r="CX14" s="1533">
        <v>0</v>
      </c>
      <c r="CY14" s="1533">
        <v>0</v>
      </c>
      <c r="CZ14" s="1533">
        <v>0</v>
      </c>
      <c r="DA14" s="1533">
        <v>0</v>
      </c>
      <c r="DB14" s="1533">
        <v>0</v>
      </c>
      <c r="DC14" s="1533">
        <v>0</v>
      </c>
      <c r="DD14" s="1533">
        <v>0</v>
      </c>
      <c r="DE14" s="1533">
        <v>0</v>
      </c>
      <c r="DF14" s="1533">
        <v>0</v>
      </c>
      <c r="DG14" s="1533">
        <v>0</v>
      </c>
      <c r="DH14" s="1533">
        <v>0</v>
      </c>
      <c r="DI14" s="1533">
        <v>0</v>
      </c>
      <c r="DJ14" s="1533">
        <v>0</v>
      </c>
      <c r="DK14" s="1533">
        <v>0</v>
      </c>
      <c r="DL14" s="1533">
        <v>0</v>
      </c>
      <c r="DN14" s="1509"/>
    </row>
    <row r="15" spans="1:118" s="14" customFormat="1" ht="15.75" collapsed="1" x14ac:dyDescent="0.2">
      <c r="A15" s="1534"/>
      <c r="B15" s="1535"/>
      <c r="C15" s="1536" t="s">
        <v>478</v>
      </c>
      <c r="D15" s="1537" t="str">
        <f>INDEX(Flujos[Flujos], MATCH($C15, Flujos[Código], 0))</f>
        <v>Comercial, Público y Residencial</v>
      </c>
      <c r="E15" s="1538"/>
      <c r="G15" s="1539">
        <f ca="1">G9+G12</f>
        <v>35.492179526491917</v>
      </c>
      <c r="H15" s="1539">
        <f ca="1">H9+H12</f>
        <v>7.4742271881931828</v>
      </c>
      <c r="I15" s="1539">
        <f t="shared" ref="I15:V15" ca="1" si="7">I9+I12</f>
        <v>2.9915688480682157</v>
      </c>
      <c r="J15" s="1539">
        <f t="shared" ca="1" si="7"/>
        <v>10.096238347936703</v>
      </c>
      <c r="K15" s="1539">
        <f t="shared" ca="1" si="7"/>
        <v>4.4606617301587432</v>
      </c>
      <c r="L15" s="1539">
        <f t="shared" ca="1" si="7"/>
        <v>9.2176129688738371</v>
      </c>
      <c r="M15" s="1539">
        <f t="shared" ca="1" si="7"/>
        <v>0</v>
      </c>
      <c r="N15" s="1539">
        <f t="shared" ca="1" si="7"/>
        <v>0</v>
      </c>
      <c r="O15" s="1539">
        <f t="shared" ca="1" si="7"/>
        <v>0</v>
      </c>
      <c r="P15" s="1539">
        <f t="shared" ca="1" si="7"/>
        <v>0</v>
      </c>
      <c r="Q15" s="1539">
        <f t="shared" ca="1" si="7"/>
        <v>0</v>
      </c>
      <c r="R15" s="1539">
        <f t="shared" ca="1" si="7"/>
        <v>0</v>
      </c>
      <c r="S15" s="1539">
        <f t="shared" ca="1" si="7"/>
        <v>0</v>
      </c>
      <c r="T15" s="1539">
        <f t="shared" ca="1" si="7"/>
        <v>0</v>
      </c>
      <c r="U15" s="1539">
        <f t="shared" ca="1" si="7"/>
        <v>0</v>
      </c>
      <c r="V15" s="1539">
        <f t="shared" ca="1" si="7"/>
        <v>0</v>
      </c>
      <c r="W15" s="1539">
        <f ca="1">SUM(G15:V15)</f>
        <v>69.732488609722594</v>
      </c>
      <c r="Y15" s="1490">
        <f ca="1">Y9+Y12</f>
        <v>-22.174577452804442</v>
      </c>
      <c r="Z15" s="1490">
        <f t="shared" ref="Z15:AP15" ca="1" si="8">Z9+Z12</f>
        <v>0</v>
      </c>
      <c r="AA15" s="1490">
        <f t="shared" ca="1" si="8"/>
        <v>0</v>
      </c>
      <c r="AB15" s="1490">
        <f ca="1">AB9+AB12</f>
        <v>-8.9141171841911611</v>
      </c>
      <c r="AC15" s="1490">
        <f t="shared" ca="1" si="8"/>
        <v>-26.53996687792203</v>
      </c>
      <c r="AD15" s="1490">
        <f t="shared" ca="1" si="8"/>
        <v>0</v>
      </c>
      <c r="AE15" s="1490">
        <f t="shared" ca="1" si="8"/>
        <v>0</v>
      </c>
      <c r="AF15" s="1490">
        <f t="shared" ca="1" si="8"/>
        <v>0</v>
      </c>
      <c r="AG15" s="1490">
        <f t="shared" ca="1" si="8"/>
        <v>0</v>
      </c>
      <c r="AH15" s="1490">
        <f t="shared" ca="1" si="8"/>
        <v>0</v>
      </c>
      <c r="AI15" s="1490">
        <f t="shared" ca="1" si="8"/>
        <v>0</v>
      </c>
      <c r="AJ15" s="1490">
        <f t="shared" ca="1" si="8"/>
        <v>0</v>
      </c>
      <c r="AK15" s="1490">
        <f t="shared" ca="1" si="8"/>
        <v>0</v>
      </c>
      <c r="AL15" s="1490">
        <f t="shared" ca="1" si="8"/>
        <v>-12.087664745029587</v>
      </c>
      <c r="AM15" s="1490">
        <f t="shared" ca="1" si="8"/>
        <v>0</v>
      </c>
      <c r="AN15" s="1490">
        <f t="shared" ca="1" si="8"/>
        <v>0</v>
      </c>
      <c r="AO15" s="1490">
        <f t="shared" ca="1" si="8"/>
        <v>0</v>
      </c>
      <c r="AP15" s="1490">
        <f t="shared" ca="1" si="8"/>
        <v>0</v>
      </c>
      <c r="AQ15" s="1490">
        <f ca="1">SUM(Y15:AP15)</f>
        <v>-69.716326259947223</v>
      </c>
      <c r="AS15" s="1491">
        <f ca="1">AS9+AS12</f>
        <v>0</v>
      </c>
      <c r="AT15" s="1491">
        <f t="shared" ref="AT15:BJ15" ca="1" si="9">AT9+AT12</f>
        <v>0</v>
      </c>
      <c r="AU15" s="1491">
        <f t="shared" ca="1" si="9"/>
        <v>0</v>
      </c>
      <c r="AV15" s="1491">
        <f t="shared" ca="1" si="9"/>
        <v>0</v>
      </c>
      <c r="AW15" s="1491">
        <f t="shared" ca="1" si="9"/>
        <v>0</v>
      </c>
      <c r="AX15" s="1491">
        <f t="shared" ca="1" si="9"/>
        <v>0</v>
      </c>
      <c r="AY15" s="1491">
        <f t="shared" ca="1" si="9"/>
        <v>0</v>
      </c>
      <c r="AZ15" s="1491">
        <f t="shared" ca="1" si="9"/>
        <v>0</v>
      </c>
      <c r="BA15" s="1491">
        <f t="shared" ca="1" si="9"/>
        <v>0</v>
      </c>
      <c r="BB15" s="1491">
        <f t="shared" ca="1" si="9"/>
        <v>0</v>
      </c>
      <c r="BC15" s="1491">
        <f t="shared" ca="1" si="9"/>
        <v>-1.6162349775373903E-2</v>
      </c>
      <c r="BD15" s="1491">
        <f t="shared" ca="1" si="9"/>
        <v>0</v>
      </c>
      <c r="BE15" s="1491">
        <f t="shared" ca="1" si="9"/>
        <v>0</v>
      </c>
      <c r="BF15" s="1491">
        <f t="shared" ca="1" si="9"/>
        <v>0</v>
      </c>
      <c r="BG15" s="1491">
        <f t="shared" ca="1" si="9"/>
        <v>0</v>
      </c>
      <c r="BH15" s="1491">
        <f t="shared" ca="1" si="9"/>
        <v>0</v>
      </c>
      <c r="BI15" s="1491">
        <f t="shared" ca="1" si="9"/>
        <v>0</v>
      </c>
      <c r="BJ15" s="1491">
        <f t="shared" ca="1" si="9"/>
        <v>0</v>
      </c>
      <c r="BK15" s="1491">
        <f ca="1">BK9+BK12</f>
        <v>0</v>
      </c>
      <c r="BL15" s="1491">
        <f ca="1">SUM(AS15:BK15)</f>
        <v>-1.6162349775373903E-2</v>
      </c>
      <c r="BN15" s="1941">
        <f ca="1">BN9+BN12</f>
        <v>0</v>
      </c>
      <c r="BO15" s="1941">
        <f ca="1">BO9+BO12</f>
        <v>0</v>
      </c>
      <c r="BP15" s="1505">
        <f ca="1">BN15+BO15</f>
        <v>0</v>
      </c>
      <c r="BR15" s="3168">
        <f ca="1">W15+AQ15+BL15+BP15</f>
        <v>-3.0045410603918299E-15</v>
      </c>
      <c r="BS15" s="1493"/>
      <c r="BT15" s="748"/>
      <c r="BU15" s="1508">
        <v>83.962192100216072</v>
      </c>
      <c r="BV15" s="1508">
        <v>0.16824651887377906</v>
      </c>
      <c r="BW15" s="1508">
        <v>0.29702226229713091</v>
      </c>
      <c r="BX15" s="1508">
        <v>0</v>
      </c>
      <c r="BY15" s="1508">
        <v>0</v>
      </c>
      <c r="BZ15" s="1508">
        <v>0</v>
      </c>
      <c r="CA15" s="1508">
        <v>0</v>
      </c>
      <c r="CB15" s="1508">
        <v>0</v>
      </c>
      <c r="CC15" s="1508">
        <v>0</v>
      </c>
      <c r="CD15" s="1508">
        <v>0</v>
      </c>
      <c r="CE15" s="1508">
        <v>0</v>
      </c>
      <c r="CF15" s="1508">
        <v>0</v>
      </c>
      <c r="CG15" s="1508">
        <v>0</v>
      </c>
      <c r="CH15" s="1508">
        <v>0</v>
      </c>
      <c r="CI15" s="1508">
        <v>0</v>
      </c>
      <c r="CJ15" s="1508">
        <v>0</v>
      </c>
      <c r="CK15" s="1508">
        <v>0</v>
      </c>
      <c r="CL15" s="1508">
        <v>0</v>
      </c>
      <c r="CM15" s="1508">
        <v>0</v>
      </c>
      <c r="CN15" s="1508">
        <v>0</v>
      </c>
      <c r="CO15" s="1508">
        <v>0</v>
      </c>
      <c r="CP15" s="1508">
        <v>0</v>
      </c>
      <c r="CQ15" s="1508">
        <v>0</v>
      </c>
      <c r="CR15" s="1508">
        <v>0</v>
      </c>
      <c r="CS15" s="1508">
        <v>0</v>
      </c>
      <c r="CT15" s="1508">
        <v>0</v>
      </c>
      <c r="CU15" s="1508">
        <v>0</v>
      </c>
      <c r="CV15" s="1508">
        <v>0</v>
      </c>
      <c r="CW15" s="1508">
        <v>0</v>
      </c>
      <c r="CX15" s="1508">
        <v>0</v>
      </c>
      <c r="CY15" s="1508">
        <v>0</v>
      </c>
      <c r="CZ15" s="1508">
        <v>0</v>
      </c>
      <c r="DA15" s="1508">
        <v>0</v>
      </c>
      <c r="DB15" s="1508">
        <v>0</v>
      </c>
      <c r="DC15" s="1508">
        <v>0</v>
      </c>
      <c r="DD15" s="1508">
        <v>0</v>
      </c>
      <c r="DE15" s="1508">
        <v>0</v>
      </c>
      <c r="DF15" s="1508">
        <v>0</v>
      </c>
      <c r="DG15" s="1508">
        <v>0</v>
      </c>
      <c r="DH15" s="1508">
        <v>0</v>
      </c>
      <c r="DI15" s="1508">
        <v>0</v>
      </c>
      <c r="DJ15" s="1508">
        <v>0</v>
      </c>
      <c r="DK15" s="1508">
        <v>0</v>
      </c>
      <c r="DL15" s="1508">
        <v>0</v>
      </c>
      <c r="DN15" s="1509">
        <v>84.427460881386978</v>
      </c>
    </row>
    <row r="16" spans="1:118" s="14" customFormat="1" ht="15.75" x14ac:dyDescent="0.2">
      <c r="A16" s="1534"/>
      <c r="B16" s="1535"/>
      <c r="C16" s="1536"/>
      <c r="D16" s="1537"/>
      <c r="E16" s="1538"/>
      <c r="G16" s="1539"/>
      <c r="H16" s="1539"/>
      <c r="I16" s="1539"/>
      <c r="J16" s="1539"/>
      <c r="K16" s="1539"/>
      <c r="L16" s="1539"/>
      <c r="M16" s="1539"/>
      <c r="N16" s="1539"/>
      <c r="O16" s="1539"/>
      <c r="P16" s="1539"/>
      <c r="Q16" s="1539"/>
      <c r="R16" s="1539"/>
      <c r="S16" s="1539"/>
      <c r="T16" s="1539"/>
      <c r="U16" s="1539"/>
      <c r="V16" s="1539"/>
      <c r="W16" s="1539"/>
      <c r="Y16" s="1490"/>
      <c r="Z16" s="1490"/>
      <c r="AA16" s="1490"/>
      <c r="AB16" s="1490"/>
      <c r="AC16" s="1490"/>
      <c r="AD16" s="1490"/>
      <c r="AE16" s="1490"/>
      <c r="AF16" s="1490"/>
      <c r="AG16" s="1490"/>
      <c r="AH16" s="1490"/>
      <c r="AI16" s="1490"/>
      <c r="AJ16" s="1490"/>
      <c r="AK16" s="1490"/>
      <c r="AL16" s="1490"/>
      <c r="AM16" s="1490"/>
      <c r="AN16" s="1490"/>
      <c r="AO16" s="1490"/>
      <c r="AP16" s="1490"/>
      <c r="AQ16" s="1490"/>
      <c r="AS16" s="1491"/>
      <c r="AT16" s="1491"/>
      <c r="AU16" s="1491"/>
      <c r="AV16" s="1491"/>
      <c r="AW16" s="1491"/>
      <c r="AX16" s="1491"/>
      <c r="AY16" s="1491"/>
      <c r="AZ16" s="1491"/>
      <c r="BA16" s="1491"/>
      <c r="BB16" s="1491"/>
      <c r="BC16" s="1491"/>
      <c r="BD16" s="1491"/>
      <c r="BE16" s="1491"/>
      <c r="BF16" s="1491"/>
      <c r="BG16" s="1491"/>
      <c r="BH16" s="1491"/>
      <c r="BI16" s="1491"/>
      <c r="BJ16" s="1491"/>
      <c r="BK16" s="1491"/>
      <c r="BL16" s="1491"/>
      <c r="BN16" s="1492"/>
      <c r="BO16" s="1492"/>
      <c r="BP16" s="1492"/>
      <c r="BR16" s="3168"/>
      <c r="BS16" s="1493"/>
      <c r="BT16" s="748"/>
      <c r="BU16" s="1508"/>
      <c r="BV16" s="1508"/>
      <c r="BW16" s="1508"/>
      <c r="BX16" s="1508"/>
      <c r="BY16" s="1508"/>
      <c r="BZ16" s="1508"/>
      <c r="CA16" s="1508"/>
      <c r="CB16" s="1508"/>
      <c r="CC16" s="1508"/>
      <c r="CD16" s="1508"/>
      <c r="CE16" s="1508"/>
      <c r="CF16" s="1508"/>
      <c r="CG16" s="1508"/>
      <c r="CH16" s="1508"/>
      <c r="CI16" s="1508"/>
      <c r="CJ16" s="1508"/>
      <c r="CK16" s="1508"/>
      <c r="CL16" s="1508"/>
      <c r="CM16" s="1508"/>
      <c r="CN16" s="1508"/>
      <c r="CO16" s="1508"/>
      <c r="CP16" s="1508"/>
      <c r="CQ16" s="1508"/>
      <c r="CR16" s="1508"/>
      <c r="CS16" s="1508"/>
      <c r="CT16" s="1508"/>
      <c r="CU16" s="1508"/>
      <c r="CV16" s="1508"/>
      <c r="CW16" s="1508"/>
      <c r="CX16" s="1508"/>
      <c r="CY16" s="1508"/>
      <c r="CZ16" s="1508"/>
      <c r="DA16" s="1508"/>
      <c r="DB16" s="1508"/>
      <c r="DC16" s="1508"/>
      <c r="DD16" s="1508"/>
      <c r="DE16" s="1508"/>
      <c r="DF16" s="1508"/>
      <c r="DG16" s="1508"/>
      <c r="DH16" s="1508"/>
      <c r="DI16" s="1508"/>
      <c r="DJ16" s="1508"/>
      <c r="DK16" s="1508"/>
      <c r="DL16" s="1508"/>
      <c r="DN16" s="1509"/>
    </row>
    <row r="17" spans="1:118" s="14" customFormat="1" ht="12.75" hidden="1" customHeight="1" outlineLevel="1" x14ac:dyDescent="0.2">
      <c r="A17" s="1522"/>
      <c r="B17" s="1522"/>
      <c r="C17" s="1496"/>
      <c r="D17" s="1497"/>
      <c r="E17" s="1497"/>
      <c r="G17" s="1499"/>
      <c r="H17" s="1499"/>
      <c r="I17" s="1499"/>
      <c r="J17" s="1499"/>
      <c r="K17" s="1499"/>
      <c r="L17" s="1499"/>
      <c r="M17" s="1499"/>
      <c r="N17" s="1499"/>
      <c r="O17" s="1499"/>
      <c r="P17" s="1499"/>
      <c r="Q17" s="1499"/>
      <c r="R17" s="1499"/>
      <c r="S17" s="1499"/>
      <c r="T17" s="1499"/>
      <c r="U17" s="1499"/>
      <c r="V17" s="1499"/>
      <c r="W17" s="1539">
        <f t="shared" ref="W17:W33" si="10">SUM(G17:V17)</f>
        <v>0</v>
      </c>
      <c r="Y17" s="1501"/>
      <c r="Z17" s="1501"/>
      <c r="AA17" s="1501"/>
      <c r="AB17" s="1501"/>
      <c r="AC17" s="1501"/>
      <c r="AD17" s="1501"/>
      <c r="AE17" s="1501"/>
      <c r="AF17" s="1501"/>
      <c r="AG17" s="1501"/>
      <c r="AH17" s="1501"/>
      <c r="AI17" s="1501"/>
      <c r="AJ17" s="1501"/>
      <c r="AK17" s="1501"/>
      <c r="AL17" s="1501"/>
      <c r="AM17" s="1501"/>
      <c r="AN17" s="1501"/>
      <c r="AO17" s="1501"/>
      <c r="AP17" s="1501"/>
      <c r="AQ17" s="1490">
        <f t="shared" ref="AQ17:AQ27" si="11">SUM(Y17:AP17)</f>
        <v>0</v>
      </c>
      <c r="AS17" s="1523"/>
      <c r="AT17" s="1523"/>
      <c r="AU17" s="1523"/>
      <c r="AV17" s="1523"/>
      <c r="AW17" s="1523"/>
      <c r="AX17" s="1523"/>
      <c r="AY17" s="1523"/>
      <c r="AZ17" s="1523"/>
      <c r="BA17" s="1523"/>
      <c r="BB17" s="1523"/>
      <c r="BC17" s="1523"/>
      <c r="BD17" s="1523"/>
      <c r="BE17" s="1523"/>
      <c r="BF17" s="1523"/>
      <c r="BG17" s="1523"/>
      <c r="BH17" s="1523"/>
      <c r="BI17" s="1523"/>
      <c r="BJ17" s="1523"/>
      <c r="BK17" s="1523"/>
      <c r="BL17" s="1524"/>
      <c r="BN17" s="1505"/>
      <c r="BO17" s="1505"/>
      <c r="BP17" s="1505"/>
      <c r="BR17" s="3168">
        <f t="shared" ref="BR17:BR73" si="12">W17+AQ17+BL17+BP17</f>
        <v>0</v>
      </c>
      <c r="BS17" s="1525"/>
      <c r="BT17" s="1522"/>
      <c r="BU17" s="1507"/>
      <c r="BV17" s="1508"/>
      <c r="BW17" s="1508"/>
      <c r="BX17" s="1508"/>
      <c r="BY17" s="1508"/>
      <c r="BZ17" s="1508"/>
      <c r="CA17" s="1508"/>
      <c r="CB17" s="1508"/>
      <c r="CC17" s="1508"/>
      <c r="CD17" s="1508"/>
      <c r="CE17" s="1508"/>
      <c r="CF17" s="1508"/>
      <c r="CG17" s="1508"/>
      <c r="CH17" s="1508"/>
      <c r="CI17" s="1508"/>
      <c r="CJ17" s="1508"/>
      <c r="CK17" s="1508"/>
      <c r="CL17" s="1508"/>
      <c r="CM17" s="1508"/>
      <c r="CN17" s="1508"/>
      <c r="CO17" s="1508"/>
      <c r="CP17" s="1508"/>
      <c r="CQ17" s="1508"/>
      <c r="CR17" s="1508"/>
      <c r="CS17" s="1508"/>
      <c r="CT17" s="1508"/>
      <c r="CU17" s="1508"/>
      <c r="CV17" s="1508"/>
      <c r="CW17" s="1508"/>
      <c r="CX17" s="1508"/>
      <c r="CY17" s="1508"/>
      <c r="CZ17" s="1508"/>
      <c r="DA17" s="1508"/>
      <c r="DB17" s="1508"/>
      <c r="DC17" s="1508"/>
      <c r="DD17" s="1508"/>
      <c r="DE17" s="1508"/>
      <c r="DF17" s="1508"/>
      <c r="DG17" s="1508"/>
      <c r="DH17" s="1508"/>
      <c r="DI17" s="1508"/>
      <c r="DJ17" s="1508"/>
      <c r="DK17" s="1508"/>
      <c r="DL17" s="1508"/>
      <c r="DN17" s="1509">
        <v>0</v>
      </c>
    </row>
    <row r="18" spans="1:118" s="14" customFormat="1" ht="12.75" hidden="1" customHeight="1" outlineLevel="1" x14ac:dyDescent="0.2">
      <c r="A18" s="1522"/>
      <c r="B18" s="1522"/>
      <c r="C18" s="1496" t="s">
        <v>425</v>
      </c>
      <c r="D18" s="14" t="str">
        <f>INDEX(Modulos[Modulos], MATCH($C18, Modulos[Código], 0))</f>
        <v>Procesos Industriales</v>
      </c>
      <c r="E18" s="1526"/>
      <c r="G18" s="1540">
        <f t="shared" ref="G18:V18" ca="1" si="13">IFERROR(INDEX(INDIRECT($C18&amp;".Outputs["&amp;this.Year&amp;"]"), MATCH(G$5, INDIRECT($C18&amp;".Outputs[Vector]"), 0)), 0)</f>
        <v>0</v>
      </c>
      <c r="H18" s="1540"/>
      <c r="I18" s="1540"/>
      <c r="J18" s="1540"/>
      <c r="K18" s="1540"/>
      <c r="L18" s="1540"/>
      <c r="M18" s="1540">
        <f t="shared" ca="1" si="13"/>
        <v>135.84274834045024</v>
      </c>
      <c r="N18" s="1540">
        <f t="shared" ca="1" si="13"/>
        <v>0</v>
      </c>
      <c r="O18" s="1540">
        <f t="shared" ca="1" si="13"/>
        <v>0</v>
      </c>
      <c r="P18" s="1540">
        <f t="shared" ca="1" si="13"/>
        <v>0</v>
      </c>
      <c r="Q18" s="1540">
        <f t="shared" ca="1" si="13"/>
        <v>0</v>
      </c>
      <c r="R18" s="1540">
        <f t="shared" ca="1" si="13"/>
        <v>0</v>
      </c>
      <c r="S18" s="1540">
        <f t="shared" ca="1" si="13"/>
        <v>0</v>
      </c>
      <c r="T18" s="1540">
        <f t="shared" ca="1" si="13"/>
        <v>0</v>
      </c>
      <c r="U18" s="1540">
        <f t="shared" ca="1" si="13"/>
        <v>0</v>
      </c>
      <c r="V18" s="1540">
        <f t="shared" ca="1" si="13"/>
        <v>0</v>
      </c>
      <c r="W18" s="1539">
        <f t="shared" ca="1" si="10"/>
        <v>135.84274834045024</v>
      </c>
      <c r="Y18" s="1541">
        <f t="shared" ref="Y18:AP18" ca="1" si="14">IFERROR(INDEX(INDIRECT($C18&amp;".Outputs["&amp;this.Year&amp;"]"), MATCH(Y$5, INDIRECT($C18&amp;".Outputs[Vector]"), 0)), 0)</f>
        <v>-45.067036726374283</v>
      </c>
      <c r="Z18" s="1541">
        <f t="shared" ca="1" si="14"/>
        <v>0</v>
      </c>
      <c r="AA18" s="1541">
        <f t="shared" ca="1" si="14"/>
        <v>-32.95605051369435</v>
      </c>
      <c r="AB18" s="1541">
        <f t="shared" ca="1" si="14"/>
        <v>-44.269200168174002</v>
      </c>
      <c r="AC18" s="1541">
        <f t="shared" ca="1" si="14"/>
        <v>-13.550460932207598</v>
      </c>
      <c r="AD18" s="1541">
        <f t="shared" ca="1" si="14"/>
        <v>0</v>
      </c>
      <c r="AE18" s="1541">
        <f t="shared" ca="1" si="14"/>
        <v>0</v>
      </c>
      <c r="AF18" s="1541">
        <f t="shared" ca="1" si="14"/>
        <v>0</v>
      </c>
      <c r="AG18" s="1541">
        <f t="shared" ca="1" si="14"/>
        <v>0</v>
      </c>
      <c r="AH18" s="1541">
        <f t="shared" ca="1" si="14"/>
        <v>0</v>
      </c>
      <c r="AI18" s="1541">
        <f t="shared" ca="1" si="14"/>
        <v>0</v>
      </c>
      <c r="AJ18" s="1541">
        <f t="shared" ca="1" si="14"/>
        <v>0</v>
      </c>
      <c r="AK18" s="1541">
        <f t="shared" ca="1" si="14"/>
        <v>0</v>
      </c>
      <c r="AL18" s="1541">
        <f t="shared" ca="1" si="14"/>
        <v>0</v>
      </c>
      <c r="AM18" s="1541">
        <f t="shared" ca="1" si="14"/>
        <v>0</v>
      </c>
      <c r="AN18" s="1541">
        <f t="shared" ca="1" si="14"/>
        <v>0</v>
      </c>
      <c r="AO18" s="1541">
        <f t="shared" ca="1" si="14"/>
        <v>0</v>
      </c>
      <c r="AP18" s="1541">
        <f t="shared" ca="1" si="14"/>
        <v>0</v>
      </c>
      <c r="AQ18" s="1490">
        <f t="shared" ca="1" si="11"/>
        <v>-135.84274834045021</v>
      </c>
      <c r="AS18" s="1542">
        <f t="shared" ref="AS18:BK18" ca="1" si="15">IFERROR(INDEX(INDIRECT($C18&amp;".Outputs["&amp;this.Year&amp;"]"), MATCH(AS$5, INDIRECT($C18&amp;".Outputs[Vector]"), 0)), 0)</f>
        <v>0</v>
      </c>
      <c r="AT18" s="1542">
        <f t="shared" ca="1" si="15"/>
        <v>0</v>
      </c>
      <c r="AU18" s="1542">
        <f t="shared" ca="1" si="15"/>
        <v>0</v>
      </c>
      <c r="AV18" s="1542">
        <f t="shared" ca="1" si="15"/>
        <v>0</v>
      </c>
      <c r="AW18" s="1542">
        <f t="shared" ca="1" si="15"/>
        <v>0</v>
      </c>
      <c r="AX18" s="1542">
        <f t="shared" ca="1" si="15"/>
        <v>0</v>
      </c>
      <c r="AY18" s="1542">
        <f t="shared" ca="1" si="15"/>
        <v>0</v>
      </c>
      <c r="AZ18" s="1542">
        <f t="shared" ca="1" si="15"/>
        <v>0</v>
      </c>
      <c r="BA18" s="1542">
        <f t="shared" ca="1" si="15"/>
        <v>0</v>
      </c>
      <c r="BB18" s="1542">
        <f t="shared" ca="1" si="15"/>
        <v>0</v>
      </c>
      <c r="BC18" s="1542">
        <f t="shared" ca="1" si="15"/>
        <v>0</v>
      </c>
      <c r="BD18" s="1542">
        <f t="shared" ca="1" si="15"/>
        <v>0</v>
      </c>
      <c r="BE18" s="1542">
        <f t="shared" ca="1" si="15"/>
        <v>0</v>
      </c>
      <c r="BF18" s="1542">
        <f t="shared" ca="1" si="15"/>
        <v>0</v>
      </c>
      <c r="BG18" s="1542">
        <f t="shared" ca="1" si="15"/>
        <v>0</v>
      </c>
      <c r="BH18" s="1542">
        <f t="shared" ca="1" si="15"/>
        <v>0</v>
      </c>
      <c r="BI18" s="1542">
        <f t="shared" ca="1" si="15"/>
        <v>0</v>
      </c>
      <c r="BJ18" s="1542">
        <f t="shared" ca="1" si="15"/>
        <v>0</v>
      </c>
      <c r="BK18" s="1542">
        <f t="shared" ca="1" si="15"/>
        <v>0</v>
      </c>
      <c r="BL18" s="1542">
        <f ca="1">SUM(AS18:BK18)</f>
        <v>0</v>
      </c>
      <c r="BN18" s="1941">
        <f ca="1">IFERROR(INDEX(INDIRECT($C18&amp;".Outputs["&amp;this.Year&amp;"]"), MATCH(BN$5, INDIRECT($C18&amp;".Outputs[Vector]"), 0)), 0)</f>
        <v>0</v>
      </c>
      <c r="BO18" s="1941">
        <f ca="1">IFERROR(INDEX(INDIRECT($C18&amp;".Outputs["&amp;this.Year&amp;"]"), MATCH(BO$5, INDIRECT($C18&amp;".Outputs[Vector]"), 0)), 0)</f>
        <v>0</v>
      </c>
      <c r="BP18" s="1505">
        <f ca="1">BN18+BO18</f>
        <v>0</v>
      </c>
      <c r="BR18" s="3168">
        <f t="shared" ca="1" si="12"/>
        <v>2.8421709430404007E-14</v>
      </c>
      <c r="BS18" s="1525"/>
      <c r="BT18" s="748"/>
      <c r="BU18" s="1532">
        <v>64.817912804929591</v>
      </c>
      <c r="BV18" s="1533">
        <v>0.13010783216178268</v>
      </c>
      <c r="BW18" s="1533">
        <v>0.57551021650787848</v>
      </c>
      <c r="BX18" s="1533">
        <v>0</v>
      </c>
      <c r="BY18" s="1533">
        <v>0</v>
      </c>
      <c r="BZ18" s="1533">
        <v>0</v>
      </c>
      <c r="CA18" s="1533">
        <v>0</v>
      </c>
      <c r="CB18" s="1533">
        <v>0</v>
      </c>
      <c r="CC18" s="1533">
        <v>14.39565925511863</v>
      </c>
      <c r="CD18" s="1533">
        <v>0.11288744235152412</v>
      </c>
      <c r="CE18" s="1533">
        <v>2.7624692105907238</v>
      </c>
      <c r="CF18" s="1533">
        <v>10.620296151887526</v>
      </c>
      <c r="CG18" s="1533">
        <v>0</v>
      </c>
      <c r="CH18" s="1533">
        <v>0</v>
      </c>
      <c r="CI18" s="1533">
        <v>0</v>
      </c>
      <c r="CJ18" s="1533">
        <v>0</v>
      </c>
      <c r="CK18" s="1533">
        <v>0</v>
      </c>
      <c r="CL18" s="1533">
        <v>0</v>
      </c>
      <c r="CM18" s="1533">
        <v>0</v>
      </c>
      <c r="CN18" s="1533">
        <v>0</v>
      </c>
      <c r="CO18" s="1533">
        <v>0</v>
      </c>
      <c r="CP18" s="1533">
        <v>0</v>
      </c>
      <c r="CQ18" s="1533">
        <v>0</v>
      </c>
      <c r="CR18" s="1533">
        <v>0</v>
      </c>
      <c r="CS18" s="1533">
        <v>0</v>
      </c>
      <c r="CT18" s="1533">
        <v>0</v>
      </c>
      <c r="CU18" s="1533">
        <v>0</v>
      </c>
      <c r="CV18" s="1533">
        <v>0</v>
      </c>
      <c r="CW18" s="1533">
        <v>0</v>
      </c>
      <c r="CX18" s="1533">
        <v>0</v>
      </c>
      <c r="CY18" s="1533">
        <v>0</v>
      </c>
      <c r="CZ18" s="1533">
        <v>0</v>
      </c>
      <c r="DA18" s="1533">
        <v>0</v>
      </c>
      <c r="DB18" s="1533">
        <v>0</v>
      </c>
      <c r="DC18" s="1533">
        <v>0</v>
      </c>
      <c r="DD18" s="1533">
        <v>0</v>
      </c>
      <c r="DE18" s="1533">
        <v>0</v>
      </c>
      <c r="DF18" s="1533">
        <v>0</v>
      </c>
      <c r="DG18" s="1533">
        <v>0</v>
      </c>
      <c r="DH18" s="1533">
        <v>0</v>
      </c>
      <c r="DI18" s="1533">
        <v>0</v>
      </c>
      <c r="DJ18" s="1533">
        <v>0</v>
      </c>
      <c r="DK18" s="1533">
        <v>0</v>
      </c>
      <c r="DL18" s="1533">
        <v>0</v>
      </c>
      <c r="DN18" s="1509">
        <v>93.414842913547659</v>
      </c>
    </row>
    <row r="19" spans="1:118" s="14" customFormat="1" ht="15.75" collapsed="1" x14ac:dyDescent="0.2">
      <c r="A19" s="1534"/>
      <c r="B19" s="1535"/>
      <c r="C19" s="1536" t="s">
        <v>578</v>
      </c>
      <c r="D19" s="1537" t="str">
        <f>INDEX(Flujos[Flujos], MATCH($C19, Flujos[Código], 0))</f>
        <v>Industria y Minería</v>
      </c>
      <c r="E19" s="1538"/>
      <c r="G19" s="1539">
        <f ca="1">G18</f>
        <v>0</v>
      </c>
      <c r="H19" s="1539">
        <f t="shared" ref="H19:V19" si="16">H18</f>
        <v>0</v>
      </c>
      <c r="I19" s="1539">
        <f t="shared" si="16"/>
        <v>0</v>
      </c>
      <c r="J19" s="1539">
        <f t="shared" si="16"/>
        <v>0</v>
      </c>
      <c r="K19" s="1539">
        <f t="shared" si="16"/>
        <v>0</v>
      </c>
      <c r="L19" s="1539">
        <f t="shared" si="16"/>
        <v>0</v>
      </c>
      <c r="M19" s="1539">
        <f t="shared" ca="1" si="16"/>
        <v>135.84274834045024</v>
      </c>
      <c r="N19" s="1539">
        <f t="shared" ca="1" si="16"/>
        <v>0</v>
      </c>
      <c r="O19" s="1539">
        <f t="shared" ca="1" si="16"/>
        <v>0</v>
      </c>
      <c r="P19" s="1539">
        <f t="shared" ca="1" si="16"/>
        <v>0</v>
      </c>
      <c r="Q19" s="1539">
        <f t="shared" ca="1" si="16"/>
        <v>0</v>
      </c>
      <c r="R19" s="1539">
        <f t="shared" ca="1" si="16"/>
        <v>0</v>
      </c>
      <c r="S19" s="1539">
        <f t="shared" ca="1" si="16"/>
        <v>0</v>
      </c>
      <c r="T19" s="1539">
        <f t="shared" ca="1" si="16"/>
        <v>0</v>
      </c>
      <c r="U19" s="1539">
        <f t="shared" ca="1" si="16"/>
        <v>0</v>
      </c>
      <c r="V19" s="1539">
        <f t="shared" ca="1" si="16"/>
        <v>0</v>
      </c>
      <c r="W19" s="1539">
        <f t="shared" ca="1" si="10"/>
        <v>135.84274834045024</v>
      </c>
      <c r="Y19" s="1490">
        <f ca="1">Y18</f>
        <v>-45.067036726374283</v>
      </c>
      <c r="Z19" s="1490">
        <f t="shared" ref="Z19:AP19" ca="1" si="17">Z18</f>
        <v>0</v>
      </c>
      <c r="AA19" s="1490">
        <f t="shared" ca="1" si="17"/>
        <v>-32.95605051369435</v>
      </c>
      <c r="AB19" s="1490">
        <f t="shared" ca="1" si="17"/>
        <v>-44.269200168174002</v>
      </c>
      <c r="AC19" s="1490">
        <f t="shared" ca="1" si="17"/>
        <v>-13.550460932207598</v>
      </c>
      <c r="AD19" s="1490">
        <f t="shared" ca="1" si="17"/>
        <v>0</v>
      </c>
      <c r="AE19" s="1490">
        <f t="shared" ca="1" si="17"/>
        <v>0</v>
      </c>
      <c r="AF19" s="1490">
        <f t="shared" ca="1" si="17"/>
        <v>0</v>
      </c>
      <c r="AG19" s="1490">
        <f t="shared" ca="1" si="17"/>
        <v>0</v>
      </c>
      <c r="AH19" s="1490">
        <f t="shared" ca="1" si="17"/>
        <v>0</v>
      </c>
      <c r="AI19" s="1490">
        <f t="shared" ca="1" si="17"/>
        <v>0</v>
      </c>
      <c r="AJ19" s="1490">
        <f t="shared" ca="1" si="17"/>
        <v>0</v>
      </c>
      <c r="AK19" s="1490">
        <f t="shared" ca="1" si="17"/>
        <v>0</v>
      </c>
      <c r="AL19" s="1490">
        <f t="shared" ca="1" si="17"/>
        <v>0</v>
      </c>
      <c r="AM19" s="1490">
        <f t="shared" ca="1" si="17"/>
        <v>0</v>
      </c>
      <c r="AN19" s="1490">
        <f t="shared" ca="1" si="17"/>
        <v>0</v>
      </c>
      <c r="AO19" s="1490">
        <f t="shared" ca="1" si="17"/>
        <v>0</v>
      </c>
      <c r="AP19" s="1490">
        <f t="shared" ca="1" si="17"/>
        <v>0</v>
      </c>
      <c r="AQ19" s="1490">
        <f t="shared" ca="1" si="11"/>
        <v>-135.84274834045021</v>
      </c>
      <c r="AS19" s="1491">
        <f ca="1">AS18</f>
        <v>0</v>
      </c>
      <c r="AT19" s="1491">
        <f t="shared" ref="AT19:BM19" ca="1" si="18">AT18</f>
        <v>0</v>
      </c>
      <c r="AU19" s="1491">
        <f t="shared" ca="1" si="18"/>
        <v>0</v>
      </c>
      <c r="AV19" s="1491">
        <f t="shared" ca="1" si="18"/>
        <v>0</v>
      </c>
      <c r="AW19" s="1491">
        <f t="shared" ca="1" si="18"/>
        <v>0</v>
      </c>
      <c r="AX19" s="1491">
        <f t="shared" ca="1" si="18"/>
        <v>0</v>
      </c>
      <c r="AY19" s="1491">
        <f t="shared" ca="1" si="18"/>
        <v>0</v>
      </c>
      <c r="AZ19" s="1491">
        <f t="shared" ca="1" si="18"/>
        <v>0</v>
      </c>
      <c r="BA19" s="1491">
        <f t="shared" ca="1" si="18"/>
        <v>0</v>
      </c>
      <c r="BB19" s="1491">
        <f t="shared" ca="1" si="18"/>
        <v>0</v>
      </c>
      <c r="BC19" s="1491">
        <f t="shared" ca="1" si="18"/>
        <v>0</v>
      </c>
      <c r="BD19" s="1491">
        <f t="shared" ca="1" si="18"/>
        <v>0</v>
      </c>
      <c r="BE19" s="1491">
        <f t="shared" ca="1" si="18"/>
        <v>0</v>
      </c>
      <c r="BF19" s="1491">
        <f t="shared" ca="1" si="18"/>
        <v>0</v>
      </c>
      <c r="BG19" s="1491">
        <f t="shared" ca="1" si="18"/>
        <v>0</v>
      </c>
      <c r="BH19" s="1491">
        <f t="shared" ca="1" si="18"/>
        <v>0</v>
      </c>
      <c r="BI19" s="1491">
        <f t="shared" ca="1" si="18"/>
        <v>0</v>
      </c>
      <c r="BJ19" s="1491">
        <f t="shared" ca="1" si="18"/>
        <v>0</v>
      </c>
      <c r="BK19" s="1491">
        <f t="shared" ca="1" si="18"/>
        <v>0</v>
      </c>
      <c r="BL19" s="1491">
        <f ca="1">BL18</f>
        <v>0</v>
      </c>
      <c r="BM19" s="1491">
        <f t="shared" si="18"/>
        <v>0</v>
      </c>
      <c r="BN19" s="1941">
        <f ca="1">BN18</f>
        <v>0</v>
      </c>
      <c r="BO19" s="1941">
        <f ca="1">BO18</f>
        <v>0</v>
      </c>
      <c r="BP19" s="1505">
        <f ca="1">BN19+BO19</f>
        <v>0</v>
      </c>
      <c r="BR19" s="3168">
        <f ca="1">W19+AQ19+BL19+BP19</f>
        <v>2.8421709430404007E-14</v>
      </c>
      <c r="BS19" s="1493"/>
      <c r="BT19" s="748"/>
      <c r="BU19" s="1508">
        <v>64.817912804929591</v>
      </c>
      <c r="BV19" s="1508">
        <v>0.13010783216178268</v>
      </c>
      <c r="BW19" s="1508">
        <v>0.57551021650787848</v>
      </c>
      <c r="BX19" s="1508">
        <v>0</v>
      </c>
      <c r="BY19" s="1508">
        <v>0</v>
      </c>
      <c r="BZ19" s="1508">
        <v>0</v>
      </c>
      <c r="CA19" s="1508">
        <v>0</v>
      </c>
      <c r="CB19" s="1508">
        <v>0</v>
      </c>
      <c r="CC19" s="1508">
        <v>14.39565925511863</v>
      </c>
      <c r="CD19" s="1508">
        <v>0.11288744235152412</v>
      </c>
      <c r="CE19" s="1508">
        <v>2.7624692105907238</v>
      </c>
      <c r="CF19" s="1508">
        <v>10.620296151887526</v>
      </c>
      <c r="CG19" s="1508">
        <v>0</v>
      </c>
      <c r="CH19" s="1508">
        <v>0</v>
      </c>
      <c r="CI19" s="1508">
        <v>0</v>
      </c>
      <c r="CJ19" s="1508">
        <v>0</v>
      </c>
      <c r="CK19" s="1508">
        <v>0</v>
      </c>
      <c r="CL19" s="1508">
        <v>0</v>
      </c>
      <c r="CM19" s="1508">
        <v>0</v>
      </c>
      <c r="CN19" s="1508">
        <v>0</v>
      </c>
      <c r="CO19" s="1508">
        <v>0</v>
      </c>
      <c r="CP19" s="1508">
        <v>0</v>
      </c>
      <c r="CQ19" s="1508">
        <v>0</v>
      </c>
      <c r="CR19" s="1508">
        <v>0</v>
      </c>
      <c r="CS19" s="1508">
        <v>0</v>
      </c>
      <c r="CT19" s="1508">
        <v>0</v>
      </c>
      <c r="CU19" s="1508">
        <v>0</v>
      </c>
      <c r="CV19" s="1508">
        <v>0</v>
      </c>
      <c r="CW19" s="1508">
        <v>0</v>
      </c>
      <c r="CX19" s="1508">
        <v>0</v>
      </c>
      <c r="CY19" s="1508">
        <v>0</v>
      </c>
      <c r="CZ19" s="1508">
        <v>0</v>
      </c>
      <c r="DA19" s="1508">
        <v>0</v>
      </c>
      <c r="DB19" s="1508">
        <v>0</v>
      </c>
      <c r="DC19" s="1508">
        <v>0</v>
      </c>
      <c r="DD19" s="1508">
        <v>0</v>
      </c>
      <c r="DE19" s="1508">
        <v>0</v>
      </c>
      <c r="DF19" s="1508">
        <v>0</v>
      </c>
      <c r="DG19" s="1508">
        <v>0</v>
      </c>
      <c r="DH19" s="1508">
        <v>0</v>
      </c>
      <c r="DI19" s="1508">
        <v>0</v>
      </c>
      <c r="DJ19" s="1508">
        <v>0</v>
      </c>
      <c r="DK19" s="1508">
        <v>0</v>
      </c>
      <c r="DL19" s="1508">
        <v>0</v>
      </c>
      <c r="DN19" s="1509">
        <v>93.414842913547659</v>
      </c>
    </row>
    <row r="20" spans="1:118" s="14" customFormat="1" ht="15.75" x14ac:dyDescent="0.2">
      <c r="A20" s="1534"/>
      <c r="B20" s="1535"/>
      <c r="C20" s="1536"/>
      <c r="D20" s="1537"/>
      <c r="E20" s="1538"/>
      <c r="G20" s="1539"/>
      <c r="H20" s="1539"/>
      <c r="I20" s="1539"/>
      <c r="J20" s="1539"/>
      <c r="K20" s="1539"/>
      <c r="L20" s="1539"/>
      <c r="M20" s="1539"/>
      <c r="N20" s="1539"/>
      <c r="O20" s="1539"/>
      <c r="P20" s="1539"/>
      <c r="Q20" s="1539"/>
      <c r="R20" s="1539"/>
      <c r="S20" s="1539"/>
      <c r="T20" s="1539"/>
      <c r="U20" s="1539"/>
      <c r="V20" s="1539"/>
      <c r="W20" s="1539"/>
      <c r="Y20" s="1490"/>
      <c r="Z20" s="1490"/>
      <c r="AA20" s="1490"/>
      <c r="AB20" s="1490"/>
      <c r="AC20" s="1490"/>
      <c r="AD20" s="1490"/>
      <c r="AE20" s="1490"/>
      <c r="AF20" s="1490"/>
      <c r="AG20" s="1490"/>
      <c r="AH20" s="1490"/>
      <c r="AI20" s="1490"/>
      <c r="AJ20" s="1490"/>
      <c r="AK20" s="1490"/>
      <c r="AL20" s="1490"/>
      <c r="AM20" s="1490"/>
      <c r="AN20" s="1490"/>
      <c r="AO20" s="1490"/>
      <c r="AP20" s="1490"/>
      <c r="AQ20" s="1490"/>
      <c r="AS20" s="1491"/>
      <c r="AT20" s="1491"/>
      <c r="AU20" s="1491"/>
      <c r="AV20" s="1491"/>
      <c r="AW20" s="1491"/>
      <c r="AX20" s="1491"/>
      <c r="AY20" s="1491"/>
      <c r="AZ20" s="1491"/>
      <c r="BA20" s="1491"/>
      <c r="BB20" s="1491"/>
      <c r="BC20" s="1491"/>
      <c r="BD20" s="1491"/>
      <c r="BE20" s="1491"/>
      <c r="BF20" s="1491"/>
      <c r="BG20" s="1491"/>
      <c r="BH20" s="1491"/>
      <c r="BI20" s="1491"/>
      <c r="BJ20" s="1491"/>
      <c r="BK20" s="1491"/>
      <c r="BL20" s="1491"/>
      <c r="BN20" s="1492"/>
      <c r="BO20" s="1492"/>
      <c r="BP20" s="1492"/>
      <c r="BR20" s="3168"/>
      <c r="BS20" s="1493"/>
      <c r="BT20" s="748"/>
      <c r="BU20" s="1508"/>
      <c r="BV20" s="1508"/>
      <c r="BW20" s="1508"/>
      <c r="BX20" s="1508"/>
      <c r="BY20" s="1508"/>
      <c r="BZ20" s="1508"/>
      <c r="CA20" s="1508"/>
      <c r="CB20" s="1508"/>
      <c r="CC20" s="1508"/>
      <c r="CD20" s="1508"/>
      <c r="CE20" s="1508"/>
      <c r="CF20" s="1508"/>
      <c r="CG20" s="1508"/>
      <c r="CH20" s="1508"/>
      <c r="CI20" s="1508"/>
      <c r="CJ20" s="1508"/>
      <c r="CK20" s="1508"/>
      <c r="CL20" s="1508"/>
      <c r="CM20" s="1508"/>
      <c r="CN20" s="1508"/>
      <c r="CO20" s="1508"/>
      <c r="CP20" s="1508"/>
      <c r="CQ20" s="1508"/>
      <c r="CR20" s="1508"/>
      <c r="CS20" s="1508"/>
      <c r="CT20" s="1508"/>
      <c r="CU20" s="1508"/>
      <c r="CV20" s="1508"/>
      <c r="CW20" s="1508"/>
      <c r="CX20" s="1508"/>
      <c r="CY20" s="1508"/>
      <c r="CZ20" s="1508"/>
      <c r="DA20" s="1508"/>
      <c r="DB20" s="1508"/>
      <c r="DC20" s="1508"/>
      <c r="DD20" s="1508"/>
      <c r="DE20" s="1508"/>
      <c r="DF20" s="1508"/>
      <c r="DG20" s="1508"/>
      <c r="DH20" s="1508"/>
      <c r="DI20" s="1508"/>
      <c r="DJ20" s="1508"/>
      <c r="DK20" s="1508"/>
      <c r="DL20" s="1508"/>
      <c r="DN20" s="1509"/>
    </row>
    <row r="21" spans="1:118" s="14" customFormat="1" ht="10.5" hidden="1" customHeight="1" outlineLevel="2" x14ac:dyDescent="0.2">
      <c r="A21" s="1495"/>
      <c r="B21" s="1495"/>
      <c r="C21" s="1511" t="s">
        <v>421</v>
      </c>
      <c r="D21" s="14" t="str">
        <f>INDEX(Modulos[Modulos], MATCH($C21, Modulos[Código], 0))</f>
        <v>Transporte de pasajeros</v>
      </c>
      <c r="E21" s="1512"/>
      <c r="G21" s="1889">
        <f t="shared" ref="G21:V21" ca="1" si="19">IFERROR(INDEX(INDIRECT($C21&amp;".Outputs["&amp;this.Year&amp;"]"), MATCH(G$5, INDIRECT($C21&amp;".Outputs[Vector]"), 0)), 0)</f>
        <v>0</v>
      </c>
      <c r="H21" s="1889"/>
      <c r="I21" s="1889"/>
      <c r="J21" s="1889"/>
      <c r="K21" s="1889"/>
      <c r="L21" s="1889"/>
      <c r="M21" s="1889">
        <f t="shared" ca="1" si="19"/>
        <v>0</v>
      </c>
      <c r="N21" s="1889">
        <f t="shared" ca="1" si="19"/>
        <v>53.33594497140453</v>
      </c>
      <c r="O21" s="1889">
        <f t="shared" ca="1" si="19"/>
        <v>13.170718948417285</v>
      </c>
      <c r="P21" s="1889">
        <f t="shared" ca="1" si="19"/>
        <v>0.29902005366010898</v>
      </c>
      <c r="Q21" s="1889">
        <f t="shared" ca="1" si="19"/>
        <v>3.154875796091091E-2</v>
      </c>
      <c r="R21" s="1888">
        <f t="shared" ca="1" si="19"/>
        <v>12.39386297880878</v>
      </c>
      <c r="S21" s="1889">
        <f t="shared" ca="1" si="19"/>
        <v>0</v>
      </c>
      <c r="T21" s="1889">
        <f t="shared" ca="1" si="19"/>
        <v>0</v>
      </c>
      <c r="U21" s="1889">
        <f t="shared" ca="1" si="19"/>
        <v>0</v>
      </c>
      <c r="V21" s="1889">
        <f t="shared" ca="1" si="19"/>
        <v>0</v>
      </c>
      <c r="W21" s="1539">
        <f t="shared" ca="1" si="10"/>
        <v>79.231095710251623</v>
      </c>
      <c r="Y21" s="1500">
        <f t="shared" ref="Y21:AP21" ca="1" si="20">IFERROR(INDEX(INDIRECT($C21&amp;".Outputs["&amp;this.Year&amp;"]"), MATCH(Y$5, INDIRECT($C21&amp;".Outputs[Vector]"), 0)), 0)</f>
        <v>-0.33801913739503248</v>
      </c>
      <c r="Z21" s="1500">
        <f t="shared" ca="1" si="20"/>
        <v>0</v>
      </c>
      <c r="AA21" s="1500">
        <f t="shared" ca="1" si="20"/>
        <v>0</v>
      </c>
      <c r="AB21" s="1500">
        <f t="shared" ca="1" si="20"/>
        <v>-78.8930765728566</v>
      </c>
      <c r="AC21" s="1500">
        <f t="shared" ca="1" si="20"/>
        <v>0</v>
      </c>
      <c r="AD21" s="1500">
        <f t="shared" ca="1" si="20"/>
        <v>0</v>
      </c>
      <c r="AE21" s="1500">
        <f t="shared" ca="1" si="20"/>
        <v>0</v>
      </c>
      <c r="AF21" s="1500">
        <f t="shared" ca="1" si="20"/>
        <v>0</v>
      </c>
      <c r="AG21" s="1500">
        <f t="shared" ca="1" si="20"/>
        <v>0</v>
      </c>
      <c r="AH21" s="1500">
        <f t="shared" ca="1" si="20"/>
        <v>0</v>
      </c>
      <c r="AI21" s="1500">
        <f t="shared" ca="1" si="20"/>
        <v>0</v>
      </c>
      <c r="AJ21" s="1500">
        <f t="shared" ca="1" si="20"/>
        <v>0</v>
      </c>
      <c r="AK21" s="1500">
        <f t="shared" ca="1" si="20"/>
        <v>0</v>
      </c>
      <c r="AL21" s="1500">
        <f t="shared" ca="1" si="20"/>
        <v>0</v>
      </c>
      <c r="AM21" s="1500">
        <f t="shared" ca="1" si="20"/>
        <v>0</v>
      </c>
      <c r="AN21" s="1500">
        <f t="shared" ca="1" si="20"/>
        <v>0</v>
      </c>
      <c r="AO21" s="1500">
        <f t="shared" ca="1" si="20"/>
        <v>0</v>
      </c>
      <c r="AP21" s="1500">
        <f t="shared" ca="1" si="20"/>
        <v>0</v>
      </c>
      <c r="AQ21" s="1490">
        <f ca="1">SUM(Y21:AP21)</f>
        <v>-79.231095710251637</v>
      </c>
      <c r="AS21" s="1491">
        <f>AS20</f>
        <v>0</v>
      </c>
      <c r="AT21" s="1491">
        <f t="shared" ref="AT21:BK21" si="21">AT20</f>
        <v>0</v>
      </c>
      <c r="AU21" s="1491">
        <f t="shared" si="21"/>
        <v>0</v>
      </c>
      <c r="AV21" s="1491">
        <f t="shared" si="21"/>
        <v>0</v>
      </c>
      <c r="AW21" s="1491">
        <f t="shared" si="21"/>
        <v>0</v>
      </c>
      <c r="AX21" s="1491">
        <f t="shared" si="21"/>
        <v>0</v>
      </c>
      <c r="AY21" s="1491">
        <f t="shared" si="21"/>
        <v>0</v>
      </c>
      <c r="AZ21" s="1491">
        <f t="shared" si="21"/>
        <v>0</v>
      </c>
      <c r="BA21" s="1491">
        <f t="shared" si="21"/>
        <v>0</v>
      </c>
      <c r="BB21" s="1491">
        <f t="shared" si="21"/>
        <v>0</v>
      </c>
      <c r="BC21" s="1491">
        <f t="shared" si="21"/>
        <v>0</v>
      </c>
      <c r="BD21" s="1491">
        <f t="shared" si="21"/>
        <v>0</v>
      </c>
      <c r="BE21" s="1491">
        <f t="shared" si="21"/>
        <v>0</v>
      </c>
      <c r="BF21" s="1491">
        <f t="shared" si="21"/>
        <v>0</v>
      </c>
      <c r="BG21" s="1491">
        <f t="shared" si="21"/>
        <v>0</v>
      </c>
      <c r="BH21" s="1491">
        <f t="shared" si="21"/>
        <v>0</v>
      </c>
      <c r="BI21" s="1491">
        <f t="shared" si="21"/>
        <v>0</v>
      </c>
      <c r="BJ21" s="1491">
        <f t="shared" si="21"/>
        <v>0</v>
      </c>
      <c r="BK21" s="1491">
        <f t="shared" si="21"/>
        <v>0</v>
      </c>
      <c r="BL21" s="1503">
        <f>SUM(AS21:BK21)</f>
        <v>0</v>
      </c>
      <c r="BN21" s="1941">
        <f ca="1">IFERROR(INDEX(INDIRECT($C21&amp;".Outputs["&amp;this.Year&amp;"]"), MATCH(BN$5, INDIRECT($C21&amp;".Outputs[Vector]"), 0)), 0)</f>
        <v>0</v>
      </c>
      <c r="BO21" s="1941">
        <f ca="1">IFERROR(INDEX(INDIRECT($C21&amp;".Outputs["&amp;this.Year&amp;"]"), MATCH(BO$5, INDIRECT($C21&amp;".Outputs[Vector]"), 0)), 0)</f>
        <v>0</v>
      </c>
      <c r="BP21" s="1505">
        <f ca="1">BN21+BO21</f>
        <v>0</v>
      </c>
      <c r="BR21" s="3168">
        <f t="shared" ca="1" si="12"/>
        <v>-1.4210854715202004E-14</v>
      </c>
      <c r="BS21" s="1506"/>
      <c r="BT21" s="748"/>
      <c r="BU21" s="1507">
        <v>0</v>
      </c>
      <c r="BV21" s="1508">
        <v>0</v>
      </c>
      <c r="BW21" s="1508">
        <v>0</v>
      </c>
      <c r="BX21" s="1508">
        <v>0</v>
      </c>
      <c r="BY21" s="1508">
        <v>0</v>
      </c>
      <c r="BZ21" s="1508">
        <v>0</v>
      </c>
      <c r="CA21" s="1508">
        <v>0</v>
      </c>
      <c r="CB21" s="1508">
        <v>0</v>
      </c>
      <c r="CC21" s="1508">
        <v>0</v>
      </c>
      <c r="CD21" s="1508">
        <v>0</v>
      </c>
      <c r="CE21" s="1508">
        <v>0</v>
      </c>
      <c r="CF21" s="1508">
        <v>0</v>
      </c>
      <c r="CG21" s="1508">
        <v>0</v>
      </c>
      <c r="CH21" s="1508">
        <v>0</v>
      </c>
      <c r="CI21" s="1508">
        <v>0</v>
      </c>
      <c r="CJ21" s="1508">
        <v>0</v>
      </c>
      <c r="CK21" s="1508">
        <v>0</v>
      </c>
      <c r="CL21" s="1508">
        <v>0</v>
      </c>
      <c r="CM21" s="1508">
        <v>0</v>
      </c>
      <c r="CN21" s="1508">
        <v>0</v>
      </c>
      <c r="CO21" s="1508">
        <v>0</v>
      </c>
      <c r="CP21" s="1508">
        <v>0</v>
      </c>
      <c r="CQ21" s="1508">
        <v>0</v>
      </c>
      <c r="CR21" s="1508">
        <v>0</v>
      </c>
      <c r="CS21" s="1508">
        <v>0</v>
      </c>
      <c r="CT21" s="1508">
        <v>0</v>
      </c>
      <c r="CU21" s="1508">
        <v>0</v>
      </c>
      <c r="CV21" s="1508">
        <v>0</v>
      </c>
      <c r="CW21" s="1508">
        <v>0</v>
      </c>
      <c r="CX21" s="1508">
        <v>0</v>
      </c>
      <c r="CY21" s="1508">
        <v>0</v>
      </c>
      <c r="CZ21" s="1508">
        <v>0</v>
      </c>
      <c r="DA21" s="1508">
        <v>38.200000000000003</v>
      </c>
      <c r="DB21" s="1508">
        <v>4.7558849195905424E-2</v>
      </c>
      <c r="DC21" s="1508">
        <v>0.68729627526214465</v>
      </c>
      <c r="DD21" s="1508">
        <v>0</v>
      </c>
      <c r="DE21" s="1508">
        <v>0</v>
      </c>
      <c r="DF21" s="1508">
        <v>0</v>
      </c>
      <c r="DG21" s="1508">
        <v>0</v>
      </c>
      <c r="DH21" s="1508">
        <v>0</v>
      </c>
      <c r="DI21" s="1508">
        <v>0</v>
      </c>
      <c r="DJ21" s="1508">
        <v>0</v>
      </c>
      <c r="DK21" s="1508">
        <v>0</v>
      </c>
      <c r="DL21" s="1508">
        <v>0</v>
      </c>
      <c r="DN21" s="1509">
        <v>38.934855124458053</v>
      </c>
    </row>
    <row r="22" spans="1:118" s="14" customFormat="1" ht="10.5" hidden="1" customHeight="1" outlineLevel="2" x14ac:dyDescent="0.2">
      <c r="A22" s="1510"/>
      <c r="B22" s="1510"/>
      <c r="C22" s="1510"/>
      <c r="D22" s="1546"/>
      <c r="E22" s="1512"/>
      <c r="G22" s="1513"/>
      <c r="H22" s="1513"/>
      <c r="I22" s="1513"/>
      <c r="J22" s="1513"/>
      <c r="K22" s="1513"/>
      <c r="L22" s="1513"/>
      <c r="M22" s="1513"/>
      <c r="N22" s="1513"/>
      <c r="O22" s="1513"/>
      <c r="P22" s="1513"/>
      <c r="Q22" s="1513"/>
      <c r="R22" s="1513"/>
      <c r="S22" s="1513"/>
      <c r="T22" s="1513"/>
      <c r="U22" s="1513"/>
      <c r="V22" s="1513"/>
      <c r="W22" s="1539">
        <f t="shared" si="10"/>
        <v>0</v>
      </c>
      <c r="Y22" s="1515"/>
      <c r="Z22" s="1515"/>
      <c r="AA22" s="1515"/>
      <c r="AB22" s="1515"/>
      <c r="AC22" s="1515"/>
      <c r="AD22" s="1515"/>
      <c r="AE22" s="1515"/>
      <c r="AF22" s="1515"/>
      <c r="AG22" s="1515"/>
      <c r="AH22" s="1515"/>
      <c r="AI22" s="1515"/>
      <c r="AJ22" s="1515"/>
      <c r="AK22" s="1515"/>
      <c r="AL22" s="1515"/>
      <c r="AM22" s="1515"/>
      <c r="AN22" s="1515"/>
      <c r="AO22" s="1515"/>
      <c r="AP22" s="1515"/>
      <c r="AQ22" s="1490">
        <f t="shared" si="11"/>
        <v>0</v>
      </c>
      <c r="AS22" s="1517"/>
      <c r="AT22" s="1517"/>
      <c r="AU22" s="1517"/>
      <c r="AV22" s="1517"/>
      <c r="AW22" s="1517"/>
      <c r="AX22" s="1517"/>
      <c r="AY22" s="1517"/>
      <c r="AZ22" s="1517"/>
      <c r="BA22" s="1517"/>
      <c r="BB22" s="1517"/>
      <c r="BC22" s="1517"/>
      <c r="BD22" s="1517"/>
      <c r="BE22" s="1517"/>
      <c r="BF22" s="1517"/>
      <c r="BG22" s="1517"/>
      <c r="BH22" s="1517"/>
      <c r="BI22" s="1517"/>
      <c r="BJ22" s="1517"/>
      <c r="BK22" s="1517"/>
      <c r="BL22" s="1518"/>
      <c r="BN22" s="1519"/>
      <c r="BO22" s="1519"/>
      <c r="BP22" s="1520"/>
      <c r="BR22" s="3168">
        <f t="shared" si="12"/>
        <v>0</v>
      </c>
      <c r="BS22" s="1521"/>
      <c r="BT22" s="748"/>
      <c r="BU22" s="1507">
        <v>0</v>
      </c>
      <c r="BV22" s="1508">
        <v>0</v>
      </c>
      <c r="BW22" s="1508">
        <v>0</v>
      </c>
      <c r="BX22" s="1508">
        <v>0</v>
      </c>
      <c r="BY22" s="1508">
        <v>0</v>
      </c>
      <c r="BZ22" s="1508">
        <v>0</v>
      </c>
      <c r="CA22" s="1508">
        <v>0</v>
      </c>
      <c r="CB22" s="1508">
        <v>0</v>
      </c>
      <c r="CC22" s="1508">
        <v>0</v>
      </c>
      <c r="CD22" s="1508">
        <v>0</v>
      </c>
      <c r="CE22" s="1508">
        <v>0</v>
      </c>
      <c r="CF22" s="1508">
        <v>0</v>
      </c>
      <c r="CG22" s="1508">
        <v>0</v>
      </c>
      <c r="CH22" s="1508">
        <v>0</v>
      </c>
      <c r="CI22" s="1508">
        <v>0</v>
      </c>
      <c r="CJ22" s="1508">
        <v>0</v>
      </c>
      <c r="CK22" s="1508">
        <v>0</v>
      </c>
      <c r="CL22" s="1508">
        <v>0</v>
      </c>
      <c r="CM22" s="1508">
        <v>0</v>
      </c>
      <c r="CN22" s="1508">
        <v>0</v>
      </c>
      <c r="CO22" s="1508">
        <v>0</v>
      </c>
      <c r="CP22" s="1508">
        <v>0</v>
      </c>
      <c r="CQ22" s="1508">
        <v>0</v>
      </c>
      <c r="CR22" s="1508">
        <v>0</v>
      </c>
      <c r="CS22" s="1508">
        <v>0</v>
      </c>
      <c r="CT22" s="1508">
        <v>0</v>
      </c>
      <c r="CU22" s="1508">
        <v>0</v>
      </c>
      <c r="CV22" s="1508">
        <v>0</v>
      </c>
      <c r="CW22" s="1508">
        <v>0</v>
      </c>
      <c r="CX22" s="1508">
        <v>0</v>
      </c>
      <c r="CY22" s="1508">
        <v>0</v>
      </c>
      <c r="CZ22" s="1508">
        <v>0</v>
      </c>
      <c r="DA22" s="1508">
        <v>0</v>
      </c>
      <c r="DB22" s="1508">
        <v>0</v>
      </c>
      <c r="DC22" s="1508">
        <v>0</v>
      </c>
      <c r="DD22" s="1508">
        <v>0</v>
      </c>
      <c r="DE22" s="1508">
        <v>0</v>
      </c>
      <c r="DF22" s="1508">
        <v>0</v>
      </c>
      <c r="DG22" s="1508">
        <v>0</v>
      </c>
      <c r="DH22" s="1508">
        <v>0</v>
      </c>
      <c r="DI22" s="1508">
        <v>0</v>
      </c>
      <c r="DJ22" s="1508">
        <v>0</v>
      </c>
      <c r="DK22" s="1508">
        <v>0</v>
      </c>
      <c r="DL22" s="1508">
        <v>0</v>
      </c>
      <c r="DN22" s="1509">
        <v>0</v>
      </c>
    </row>
    <row r="23" spans="1:118" s="14" customFormat="1" ht="10.5" hidden="1" customHeight="1" outlineLevel="1" x14ac:dyDescent="0.2">
      <c r="A23" s="1522"/>
      <c r="B23" s="1522"/>
      <c r="C23" s="1522"/>
      <c r="D23" s="1545"/>
      <c r="E23" s="1512"/>
      <c r="G23" s="1499"/>
      <c r="H23" s="1499"/>
      <c r="I23" s="1499"/>
      <c r="J23" s="1499"/>
      <c r="K23" s="1499"/>
      <c r="L23" s="1499"/>
      <c r="M23" s="1499"/>
      <c r="N23" s="1499"/>
      <c r="O23" s="1499"/>
      <c r="P23" s="1499"/>
      <c r="Q23" s="1499"/>
      <c r="R23" s="1499"/>
      <c r="S23" s="1499"/>
      <c r="T23" s="1499"/>
      <c r="U23" s="1499"/>
      <c r="V23" s="1499"/>
      <c r="W23" s="1539">
        <f t="shared" si="10"/>
        <v>0</v>
      </c>
      <c r="Y23" s="1501"/>
      <c r="Z23" s="1501"/>
      <c r="AA23" s="1501"/>
      <c r="AB23" s="1501"/>
      <c r="AC23" s="1501"/>
      <c r="AD23" s="1501"/>
      <c r="AE23" s="1501"/>
      <c r="AF23" s="1501"/>
      <c r="AG23" s="1501"/>
      <c r="AH23" s="1501"/>
      <c r="AI23" s="1501"/>
      <c r="AJ23" s="1501"/>
      <c r="AK23" s="1501"/>
      <c r="AL23" s="1501"/>
      <c r="AM23" s="1501"/>
      <c r="AN23" s="1501"/>
      <c r="AO23" s="1501"/>
      <c r="AP23" s="1501"/>
      <c r="AQ23" s="1490">
        <f t="shared" si="11"/>
        <v>0</v>
      </c>
      <c r="AS23" s="1523"/>
      <c r="AT23" s="1523"/>
      <c r="AU23" s="1523"/>
      <c r="AV23" s="1523"/>
      <c r="AW23" s="1523"/>
      <c r="AX23" s="1523"/>
      <c r="AY23" s="1523"/>
      <c r="AZ23" s="1523"/>
      <c r="BA23" s="1523"/>
      <c r="BB23" s="1523"/>
      <c r="BC23" s="1523"/>
      <c r="BD23" s="1523"/>
      <c r="BE23" s="1523"/>
      <c r="BF23" s="1523"/>
      <c r="BG23" s="1523"/>
      <c r="BH23" s="1523"/>
      <c r="BI23" s="1523"/>
      <c r="BJ23" s="1523"/>
      <c r="BK23" s="1523"/>
      <c r="BL23" s="1503"/>
      <c r="BN23" s="1505"/>
      <c r="BO23" s="1505"/>
      <c r="BP23" s="1505"/>
      <c r="BR23" s="3168">
        <f t="shared" si="12"/>
        <v>0</v>
      </c>
      <c r="BS23" s="1506"/>
      <c r="BT23" s="748"/>
      <c r="BU23" s="1507">
        <v>0</v>
      </c>
      <c r="BV23" s="1508">
        <v>0</v>
      </c>
      <c r="BW23" s="1508">
        <v>0</v>
      </c>
      <c r="BX23" s="1508">
        <v>0</v>
      </c>
      <c r="BY23" s="1508">
        <v>0</v>
      </c>
      <c r="BZ23" s="1508">
        <v>0</v>
      </c>
      <c r="CA23" s="1508">
        <v>0</v>
      </c>
      <c r="CB23" s="1508">
        <v>0</v>
      </c>
      <c r="CC23" s="1508">
        <v>0</v>
      </c>
      <c r="CD23" s="1508">
        <v>0</v>
      </c>
      <c r="CE23" s="1508">
        <v>0</v>
      </c>
      <c r="CF23" s="1508">
        <v>0</v>
      </c>
      <c r="CG23" s="1508">
        <v>0</v>
      </c>
      <c r="CH23" s="1508">
        <v>0</v>
      </c>
      <c r="CI23" s="1508">
        <v>0</v>
      </c>
      <c r="CJ23" s="1508">
        <v>0</v>
      </c>
      <c r="CK23" s="1508">
        <v>0</v>
      </c>
      <c r="CL23" s="1508">
        <v>0</v>
      </c>
      <c r="CM23" s="1508">
        <v>0</v>
      </c>
      <c r="CN23" s="1508">
        <v>0</v>
      </c>
      <c r="CO23" s="1508">
        <v>0</v>
      </c>
      <c r="CP23" s="1508">
        <v>0</v>
      </c>
      <c r="CQ23" s="1508">
        <v>0</v>
      </c>
      <c r="CR23" s="1508">
        <v>0</v>
      </c>
      <c r="CS23" s="1508">
        <v>0</v>
      </c>
      <c r="CT23" s="1508">
        <v>0</v>
      </c>
      <c r="CU23" s="1508">
        <v>0</v>
      </c>
      <c r="CV23" s="1508">
        <v>0</v>
      </c>
      <c r="CW23" s="1508">
        <v>0</v>
      </c>
      <c r="CX23" s="1508">
        <v>0</v>
      </c>
      <c r="CY23" s="1508">
        <v>0</v>
      </c>
      <c r="CZ23" s="1508">
        <v>0</v>
      </c>
      <c r="DA23" s="1508">
        <v>38.200000000000003</v>
      </c>
      <c r="DB23" s="1508">
        <v>4.7558849195905424E-2</v>
      </c>
      <c r="DC23" s="1508">
        <v>0.68729627526214465</v>
      </c>
      <c r="DD23" s="1508">
        <v>0</v>
      </c>
      <c r="DE23" s="1508">
        <v>0</v>
      </c>
      <c r="DF23" s="1508">
        <v>0</v>
      </c>
      <c r="DG23" s="1508">
        <v>0</v>
      </c>
      <c r="DH23" s="1508">
        <v>0</v>
      </c>
      <c r="DI23" s="1508">
        <v>0</v>
      </c>
      <c r="DJ23" s="1508">
        <v>0</v>
      </c>
      <c r="DK23" s="1508">
        <v>0</v>
      </c>
      <c r="DL23" s="1508">
        <v>0</v>
      </c>
      <c r="DN23" s="1509">
        <v>38.934855124458053</v>
      </c>
    </row>
    <row r="24" spans="1:118" s="14" customFormat="1" ht="12.75" hidden="1" customHeight="1" outlineLevel="2" x14ac:dyDescent="0.2">
      <c r="A24" s="1495"/>
      <c r="B24" s="1495"/>
      <c r="C24" s="1496" t="s">
        <v>102</v>
      </c>
      <c r="D24" s="14" t="str">
        <f>INDEX(Modulos[Modulos], MATCH($C24, Modulos[Código], 0))</f>
        <v>Transporte de carga</v>
      </c>
      <c r="E24" s="1512"/>
      <c r="G24" s="1889">
        <f t="shared" ref="G24:V24" ca="1" si="22">IFERROR(INDEX(INDIRECT($C24&amp;".Outputs["&amp;this.Year&amp;"]"), MATCH(G$5, INDIRECT($C24&amp;".Outputs[Vector]"), 0)), 0)</f>
        <v>0</v>
      </c>
      <c r="H24" s="1889"/>
      <c r="I24" s="1889"/>
      <c r="J24" s="1889"/>
      <c r="K24" s="1889"/>
      <c r="L24" s="1889"/>
      <c r="M24" s="1889">
        <f t="shared" ca="1" si="22"/>
        <v>0</v>
      </c>
      <c r="N24" s="1889">
        <f t="shared" ca="1" si="22"/>
        <v>0</v>
      </c>
      <c r="O24" s="1889">
        <f t="shared" ca="1" si="22"/>
        <v>0</v>
      </c>
      <c r="P24" s="1889">
        <f t="shared" ca="1" si="22"/>
        <v>0</v>
      </c>
      <c r="Q24" s="1889">
        <f t="shared" ca="1" si="22"/>
        <v>0</v>
      </c>
      <c r="R24" s="1889">
        <f t="shared" ca="1" si="22"/>
        <v>0</v>
      </c>
      <c r="S24" s="1889">
        <f t="shared" ca="1" si="22"/>
        <v>7.088639766958563</v>
      </c>
      <c r="T24" s="1889">
        <f t="shared" ca="1" si="22"/>
        <v>8.0354758778486985</v>
      </c>
      <c r="U24" s="1889">
        <f t="shared" ca="1" si="22"/>
        <v>6.0502466557362678E-3</v>
      </c>
      <c r="V24" s="1889">
        <f t="shared" ca="1" si="22"/>
        <v>0.28516907055863489</v>
      </c>
      <c r="W24" s="1539">
        <f t="shared" ca="1" si="10"/>
        <v>15.415334962021632</v>
      </c>
      <c r="Y24" s="1891">
        <f t="shared" ref="Y24:AP24" ca="1" si="23">IFERROR(INDEX(INDIRECT($C24&amp;".Outputs["&amp;this.Year&amp;"]"), MATCH(Y$5, INDIRECT($C24&amp;".Outputs[Vector]"), 0)), 0)</f>
        <v>0</v>
      </c>
      <c r="Z24" s="1891">
        <f t="shared" ca="1" si="23"/>
        <v>0</v>
      </c>
      <c r="AA24" s="1891">
        <f t="shared" ca="1" si="23"/>
        <v>0</v>
      </c>
      <c r="AB24" s="1891">
        <f t="shared" ca="1" si="23"/>
        <v>-15.415334962021632</v>
      </c>
      <c r="AC24" s="1891">
        <f t="shared" ca="1" si="23"/>
        <v>0</v>
      </c>
      <c r="AD24" s="1891">
        <f t="shared" ca="1" si="23"/>
        <v>0</v>
      </c>
      <c r="AE24" s="1891">
        <f t="shared" ca="1" si="23"/>
        <v>0</v>
      </c>
      <c r="AF24" s="1891">
        <f t="shared" ca="1" si="23"/>
        <v>0</v>
      </c>
      <c r="AG24" s="1891">
        <f t="shared" ca="1" si="23"/>
        <v>0</v>
      </c>
      <c r="AH24" s="1891">
        <f t="shared" ca="1" si="23"/>
        <v>0</v>
      </c>
      <c r="AI24" s="1891">
        <f t="shared" ca="1" si="23"/>
        <v>0</v>
      </c>
      <c r="AJ24" s="1891">
        <f t="shared" ca="1" si="23"/>
        <v>0</v>
      </c>
      <c r="AK24" s="1891">
        <f t="shared" ca="1" si="23"/>
        <v>0</v>
      </c>
      <c r="AL24" s="1891">
        <f t="shared" ca="1" si="23"/>
        <v>0</v>
      </c>
      <c r="AM24" s="1891">
        <f t="shared" ca="1" si="23"/>
        <v>0</v>
      </c>
      <c r="AN24" s="1891">
        <f t="shared" ca="1" si="23"/>
        <v>0</v>
      </c>
      <c r="AO24" s="1891">
        <f t="shared" ca="1" si="23"/>
        <v>0</v>
      </c>
      <c r="AP24" s="1891">
        <f t="shared" ca="1" si="23"/>
        <v>0</v>
      </c>
      <c r="AQ24" s="1490">
        <f t="shared" ca="1" si="11"/>
        <v>-15.415334962021632</v>
      </c>
      <c r="AS24" s="1491">
        <f>AS23</f>
        <v>0</v>
      </c>
      <c r="AT24" s="1491">
        <f t="shared" ref="AT24:BK24" si="24">AT23</f>
        <v>0</v>
      </c>
      <c r="AU24" s="1491">
        <f t="shared" si="24"/>
        <v>0</v>
      </c>
      <c r="AV24" s="1491">
        <f t="shared" si="24"/>
        <v>0</v>
      </c>
      <c r="AW24" s="1491">
        <f t="shared" si="24"/>
        <v>0</v>
      </c>
      <c r="AX24" s="1491">
        <f t="shared" si="24"/>
        <v>0</v>
      </c>
      <c r="AY24" s="1491">
        <f t="shared" si="24"/>
        <v>0</v>
      </c>
      <c r="AZ24" s="1491">
        <f t="shared" si="24"/>
        <v>0</v>
      </c>
      <c r="BA24" s="1491">
        <f t="shared" si="24"/>
        <v>0</v>
      </c>
      <c r="BB24" s="1491">
        <f t="shared" si="24"/>
        <v>0</v>
      </c>
      <c r="BC24" s="1491">
        <f t="shared" si="24"/>
        <v>0</v>
      </c>
      <c r="BD24" s="1491">
        <f t="shared" si="24"/>
        <v>0</v>
      </c>
      <c r="BE24" s="1491">
        <f t="shared" si="24"/>
        <v>0</v>
      </c>
      <c r="BF24" s="1491">
        <f t="shared" si="24"/>
        <v>0</v>
      </c>
      <c r="BG24" s="1491">
        <f t="shared" si="24"/>
        <v>0</v>
      </c>
      <c r="BH24" s="1491">
        <f t="shared" si="24"/>
        <v>0</v>
      </c>
      <c r="BI24" s="1491">
        <f t="shared" si="24"/>
        <v>0</v>
      </c>
      <c r="BJ24" s="1491">
        <f t="shared" si="24"/>
        <v>0</v>
      </c>
      <c r="BK24" s="1491">
        <f t="shared" si="24"/>
        <v>0</v>
      </c>
      <c r="BL24" s="1503">
        <f>SUM(AS24:BK24)</f>
        <v>0</v>
      </c>
      <c r="BN24" s="1941">
        <f ca="1">IFERROR(INDEX(INDIRECT($C24&amp;".Outputs["&amp;this.Year&amp;"]"), MATCH(BN$5, INDIRECT($C24&amp;".Outputs[Vector]"), 0)), 0)</f>
        <v>0</v>
      </c>
      <c r="BO24" s="1941">
        <f ca="1">IFERROR(INDEX(INDIRECT($C24&amp;".Outputs["&amp;this.Year&amp;"]"), MATCH(BO$5, INDIRECT($C24&amp;".Outputs[Vector]"), 0)), 0)</f>
        <v>0</v>
      </c>
      <c r="BP24" s="1505">
        <f ca="1">BN24+BO24</f>
        <v>0</v>
      </c>
      <c r="BR24" s="3168">
        <f t="shared" ca="1" si="12"/>
        <v>0</v>
      </c>
      <c r="BS24" s="1525"/>
      <c r="BT24" s="748"/>
      <c r="BU24" s="1507">
        <v>0</v>
      </c>
      <c r="BV24" s="1508">
        <v>0</v>
      </c>
      <c r="BW24" s="1508">
        <v>0</v>
      </c>
      <c r="BX24" s="1508">
        <v>0</v>
      </c>
      <c r="BY24" s="1508">
        <v>0</v>
      </c>
      <c r="BZ24" s="1508">
        <v>0</v>
      </c>
      <c r="CA24" s="1508">
        <v>0</v>
      </c>
      <c r="CB24" s="1508">
        <v>0</v>
      </c>
      <c r="CC24" s="1508">
        <v>0</v>
      </c>
      <c r="CD24" s="1508">
        <v>0</v>
      </c>
      <c r="CE24" s="1508">
        <v>0</v>
      </c>
      <c r="CF24" s="1508">
        <v>0</v>
      </c>
      <c r="CG24" s="1508">
        <v>0</v>
      </c>
      <c r="CH24" s="1508">
        <v>0</v>
      </c>
      <c r="CI24" s="1508">
        <v>0</v>
      </c>
      <c r="CJ24" s="1508">
        <v>0</v>
      </c>
      <c r="CK24" s="1508">
        <v>0</v>
      </c>
      <c r="CL24" s="1508">
        <v>0</v>
      </c>
      <c r="CM24" s="1508">
        <v>0</v>
      </c>
      <c r="CN24" s="1508">
        <v>0</v>
      </c>
      <c r="CO24" s="1508">
        <v>0</v>
      </c>
      <c r="CP24" s="1508">
        <v>0</v>
      </c>
      <c r="CQ24" s="1508">
        <v>0</v>
      </c>
      <c r="CR24" s="1508">
        <v>0</v>
      </c>
      <c r="CS24" s="1508">
        <v>0</v>
      </c>
      <c r="CT24" s="1508">
        <v>0</v>
      </c>
      <c r="CU24" s="1508">
        <v>0</v>
      </c>
      <c r="CV24" s="1508">
        <v>0</v>
      </c>
      <c r="CW24" s="1508">
        <v>0</v>
      </c>
      <c r="CX24" s="1508">
        <v>0</v>
      </c>
      <c r="CY24" s="1508">
        <v>0</v>
      </c>
      <c r="CZ24" s="1508">
        <v>0</v>
      </c>
      <c r="DA24" s="1508">
        <v>13.5395392718143</v>
      </c>
      <c r="DB24" s="1508">
        <v>1.6856672942676842E-2</v>
      </c>
      <c r="DC24" s="1508">
        <v>0.2436040552430235</v>
      </c>
      <c r="DD24" s="1508">
        <v>0</v>
      </c>
      <c r="DE24" s="1508">
        <v>0</v>
      </c>
      <c r="DF24" s="1508">
        <v>0</v>
      </c>
      <c r="DG24" s="1508">
        <v>0</v>
      </c>
      <c r="DH24" s="1508">
        <v>0</v>
      </c>
      <c r="DI24" s="1508">
        <v>0</v>
      </c>
      <c r="DJ24" s="1508">
        <v>0</v>
      </c>
      <c r="DK24" s="1508">
        <v>0</v>
      </c>
      <c r="DL24" s="1508">
        <v>0</v>
      </c>
      <c r="DN24" s="1509">
        <v>13.8</v>
      </c>
    </row>
    <row r="25" spans="1:118" s="14" customFormat="1" ht="10.5" hidden="1" customHeight="1" outlineLevel="2" x14ac:dyDescent="0.2">
      <c r="A25" s="1510"/>
      <c r="B25" s="1510"/>
      <c r="C25" s="1511"/>
      <c r="D25" s="1546"/>
      <c r="E25" s="1512"/>
      <c r="G25" s="1513"/>
      <c r="H25" s="1513"/>
      <c r="I25" s="1513"/>
      <c r="J25" s="1513"/>
      <c r="K25" s="1513"/>
      <c r="L25" s="1513"/>
      <c r="M25" s="1513"/>
      <c r="N25" s="1513"/>
      <c r="O25" s="1513"/>
      <c r="P25" s="1513"/>
      <c r="Q25" s="1513"/>
      <c r="R25" s="1513"/>
      <c r="S25" s="1513"/>
      <c r="T25" s="1513"/>
      <c r="U25" s="1513"/>
      <c r="V25" s="1513"/>
      <c r="W25" s="1539">
        <f t="shared" si="10"/>
        <v>0</v>
      </c>
      <c r="Y25" s="1515"/>
      <c r="Z25" s="1515"/>
      <c r="AA25" s="1515"/>
      <c r="AB25" s="1515"/>
      <c r="AC25" s="1515"/>
      <c r="AD25" s="1515"/>
      <c r="AE25" s="1515"/>
      <c r="AF25" s="1515"/>
      <c r="AG25" s="1515"/>
      <c r="AH25" s="1515"/>
      <c r="AI25" s="1515"/>
      <c r="AJ25" s="1515"/>
      <c r="AK25" s="1515"/>
      <c r="AL25" s="1515"/>
      <c r="AM25" s="1515"/>
      <c r="AN25" s="1515"/>
      <c r="AO25" s="1515"/>
      <c r="AP25" s="1515"/>
      <c r="AQ25" s="1490">
        <f t="shared" si="11"/>
        <v>0</v>
      </c>
      <c r="AS25" s="1517"/>
      <c r="AT25" s="1517"/>
      <c r="AU25" s="1517"/>
      <c r="AV25" s="1517"/>
      <c r="AW25" s="1517"/>
      <c r="AX25" s="1517"/>
      <c r="AY25" s="1517"/>
      <c r="AZ25" s="1517"/>
      <c r="BA25" s="1517"/>
      <c r="BB25" s="1517"/>
      <c r="BC25" s="1517"/>
      <c r="BD25" s="1517"/>
      <c r="BE25" s="1517"/>
      <c r="BF25" s="1517"/>
      <c r="BG25" s="1517"/>
      <c r="BH25" s="1517"/>
      <c r="BI25" s="1517"/>
      <c r="BJ25" s="1517"/>
      <c r="BK25" s="1517"/>
      <c r="BL25" s="1518"/>
      <c r="BN25" s="1519"/>
      <c r="BO25" s="1519"/>
      <c r="BP25" s="1520"/>
      <c r="BR25" s="3168">
        <f t="shared" si="12"/>
        <v>0</v>
      </c>
      <c r="BS25" s="1521"/>
      <c r="BT25" s="748"/>
      <c r="BU25" s="1507">
        <v>0</v>
      </c>
      <c r="BV25" s="1508">
        <v>0</v>
      </c>
      <c r="BW25" s="1508">
        <v>0</v>
      </c>
      <c r="BX25" s="1508">
        <v>0</v>
      </c>
      <c r="BY25" s="1508">
        <v>0</v>
      </c>
      <c r="BZ25" s="1508">
        <v>0</v>
      </c>
      <c r="CA25" s="1508">
        <v>0</v>
      </c>
      <c r="CB25" s="1508">
        <v>0</v>
      </c>
      <c r="CC25" s="1508">
        <v>0</v>
      </c>
      <c r="CD25" s="1508">
        <v>0</v>
      </c>
      <c r="CE25" s="1508">
        <v>0</v>
      </c>
      <c r="CF25" s="1508">
        <v>0</v>
      </c>
      <c r="CG25" s="1508">
        <v>0</v>
      </c>
      <c r="CH25" s="1508">
        <v>0</v>
      </c>
      <c r="CI25" s="1508">
        <v>0</v>
      </c>
      <c r="CJ25" s="1508">
        <v>0</v>
      </c>
      <c r="CK25" s="1508">
        <v>0</v>
      </c>
      <c r="CL25" s="1508">
        <v>0</v>
      </c>
      <c r="CM25" s="1508">
        <v>0</v>
      </c>
      <c r="CN25" s="1508">
        <v>0</v>
      </c>
      <c r="CO25" s="1508">
        <v>0</v>
      </c>
      <c r="CP25" s="1508">
        <v>0</v>
      </c>
      <c r="CQ25" s="1508">
        <v>0</v>
      </c>
      <c r="CR25" s="1508">
        <v>0</v>
      </c>
      <c r="CS25" s="1508">
        <v>0</v>
      </c>
      <c r="CT25" s="1508">
        <v>0</v>
      </c>
      <c r="CU25" s="1508">
        <v>0</v>
      </c>
      <c r="CV25" s="1508">
        <v>0</v>
      </c>
      <c r="CW25" s="1508">
        <v>0</v>
      </c>
      <c r="CX25" s="1508">
        <v>0</v>
      </c>
      <c r="CY25" s="1508">
        <v>0</v>
      </c>
      <c r="CZ25" s="1508">
        <v>0</v>
      </c>
      <c r="DA25" s="1508">
        <v>0</v>
      </c>
      <c r="DB25" s="1508">
        <v>0</v>
      </c>
      <c r="DC25" s="1508">
        <v>0</v>
      </c>
      <c r="DD25" s="1508">
        <v>0</v>
      </c>
      <c r="DE25" s="1508">
        <v>0</v>
      </c>
      <c r="DF25" s="1508">
        <v>0</v>
      </c>
      <c r="DG25" s="1508">
        <v>0</v>
      </c>
      <c r="DH25" s="1508">
        <v>0</v>
      </c>
      <c r="DI25" s="1508">
        <v>0</v>
      </c>
      <c r="DJ25" s="1508">
        <v>0</v>
      </c>
      <c r="DK25" s="1508">
        <v>0</v>
      </c>
      <c r="DL25" s="1508">
        <v>0</v>
      </c>
      <c r="DN25" s="1509">
        <v>0</v>
      </c>
    </row>
    <row r="26" spans="1:118" s="14" customFormat="1" ht="11.25" hidden="1" customHeight="1" outlineLevel="1" x14ac:dyDescent="0.2">
      <c r="A26" s="1522"/>
      <c r="B26" s="1522"/>
      <c r="D26" s="1547"/>
      <c r="E26" s="1526"/>
      <c r="G26" s="1527"/>
      <c r="H26" s="1527"/>
      <c r="I26" s="1527"/>
      <c r="J26" s="1527"/>
      <c r="K26" s="1527"/>
      <c r="L26" s="1527"/>
      <c r="M26" s="1527"/>
      <c r="N26" s="1527"/>
      <c r="O26" s="1527"/>
      <c r="P26" s="1527"/>
      <c r="Q26" s="1527"/>
      <c r="R26" s="1527"/>
      <c r="S26" s="1527"/>
      <c r="T26" s="1527"/>
      <c r="U26" s="1527"/>
      <c r="V26" s="1527"/>
      <c r="W26" s="1539">
        <f t="shared" si="10"/>
        <v>0</v>
      </c>
      <c r="Y26" s="1528"/>
      <c r="Z26" s="1528"/>
      <c r="AA26" s="1528"/>
      <c r="AB26" s="1528"/>
      <c r="AC26" s="1528"/>
      <c r="AD26" s="1548"/>
      <c r="AE26" s="1548"/>
      <c r="AF26" s="1548"/>
      <c r="AG26" s="1528"/>
      <c r="AH26" s="1528"/>
      <c r="AI26" s="1528"/>
      <c r="AJ26" s="1528"/>
      <c r="AK26" s="1528"/>
      <c r="AL26" s="1528"/>
      <c r="AM26" s="1528"/>
      <c r="AN26" s="1528"/>
      <c r="AO26" s="1528"/>
      <c r="AP26" s="1528"/>
      <c r="AQ26" s="1490">
        <f t="shared" si="11"/>
        <v>0</v>
      </c>
      <c r="AS26" s="1549"/>
      <c r="AT26" s="1549"/>
      <c r="AU26" s="1549"/>
      <c r="AV26" s="1549"/>
      <c r="AW26" s="1549"/>
      <c r="AX26" s="1549"/>
      <c r="AY26" s="1549"/>
      <c r="AZ26" s="1549"/>
      <c r="BA26" s="1549"/>
      <c r="BB26" s="1549"/>
      <c r="BC26" s="1549"/>
      <c r="BD26" s="1549"/>
      <c r="BE26" s="1549"/>
      <c r="BF26" s="1549"/>
      <c r="BG26" s="1549"/>
      <c r="BH26" s="1549"/>
      <c r="BI26" s="1549"/>
      <c r="BJ26" s="1549"/>
      <c r="BK26" s="1549"/>
      <c r="BL26" s="1550"/>
      <c r="BN26" s="1551"/>
      <c r="BO26" s="1551"/>
      <c r="BP26" s="1531"/>
      <c r="BR26" s="3168">
        <f t="shared" si="12"/>
        <v>0</v>
      </c>
      <c r="BS26" s="1506"/>
      <c r="BT26" s="1522"/>
      <c r="BU26" s="1532">
        <v>0</v>
      </c>
      <c r="BV26" s="1533">
        <v>0</v>
      </c>
      <c r="BW26" s="1533">
        <v>0</v>
      </c>
      <c r="BX26" s="1533">
        <v>0</v>
      </c>
      <c r="BY26" s="1533">
        <v>0</v>
      </c>
      <c r="BZ26" s="1533">
        <v>0</v>
      </c>
      <c r="CA26" s="1533">
        <v>0</v>
      </c>
      <c r="CB26" s="1533">
        <v>0</v>
      </c>
      <c r="CC26" s="1533">
        <v>0</v>
      </c>
      <c r="CD26" s="1533">
        <v>0</v>
      </c>
      <c r="CE26" s="1533">
        <v>0</v>
      </c>
      <c r="CF26" s="1533">
        <v>0</v>
      </c>
      <c r="CG26" s="1533">
        <v>0</v>
      </c>
      <c r="CH26" s="1533">
        <v>0</v>
      </c>
      <c r="CI26" s="1533">
        <v>0</v>
      </c>
      <c r="CJ26" s="1533">
        <v>0</v>
      </c>
      <c r="CK26" s="1533">
        <v>0</v>
      </c>
      <c r="CL26" s="1533">
        <v>0</v>
      </c>
      <c r="CM26" s="1533">
        <v>0</v>
      </c>
      <c r="CN26" s="1533">
        <v>0</v>
      </c>
      <c r="CO26" s="1533">
        <v>0</v>
      </c>
      <c r="CP26" s="1533">
        <v>0</v>
      </c>
      <c r="CQ26" s="1533">
        <v>0</v>
      </c>
      <c r="CR26" s="1533">
        <v>0</v>
      </c>
      <c r="CS26" s="1533">
        <v>0</v>
      </c>
      <c r="CT26" s="1533">
        <v>0</v>
      </c>
      <c r="CU26" s="1533">
        <v>0</v>
      </c>
      <c r="CV26" s="1533">
        <v>0</v>
      </c>
      <c r="CW26" s="1533">
        <v>0</v>
      </c>
      <c r="CX26" s="1533">
        <v>0</v>
      </c>
      <c r="CY26" s="1533">
        <v>0</v>
      </c>
      <c r="CZ26" s="1533">
        <v>0</v>
      </c>
      <c r="DA26" s="1533">
        <v>13.5395392718143</v>
      </c>
      <c r="DB26" s="1533">
        <v>1.6856672942676842E-2</v>
      </c>
      <c r="DC26" s="1533">
        <v>0.2436040552430235</v>
      </c>
      <c r="DD26" s="1533">
        <v>0</v>
      </c>
      <c r="DE26" s="1533">
        <v>0</v>
      </c>
      <c r="DF26" s="1533">
        <v>0</v>
      </c>
      <c r="DG26" s="1533">
        <v>0</v>
      </c>
      <c r="DH26" s="1533">
        <v>0</v>
      </c>
      <c r="DI26" s="1533">
        <v>0</v>
      </c>
      <c r="DJ26" s="1533">
        <v>0</v>
      </c>
      <c r="DK26" s="1533">
        <v>0</v>
      </c>
      <c r="DL26" s="1533">
        <v>0</v>
      </c>
      <c r="DN26" s="1509">
        <v>13.8</v>
      </c>
    </row>
    <row r="27" spans="1:118" s="14" customFormat="1" ht="15.75" collapsed="1" x14ac:dyDescent="0.2">
      <c r="A27" s="1534"/>
      <c r="B27" s="1535"/>
      <c r="C27" s="1536" t="s">
        <v>579</v>
      </c>
      <c r="D27" s="1537" t="str">
        <f>INDEX(Flujos[Flujos], MATCH($C27, Flujos[Código], 0))</f>
        <v>Transporte</v>
      </c>
      <c r="E27" s="1538"/>
      <c r="G27" s="1539">
        <f ca="1">G21+G24</f>
        <v>0</v>
      </c>
      <c r="H27" s="1539">
        <f t="shared" ref="H27:V27" si="25">H21+H24</f>
        <v>0</v>
      </c>
      <c r="I27" s="1539">
        <f t="shared" si="25"/>
        <v>0</v>
      </c>
      <c r="J27" s="1539">
        <f t="shared" si="25"/>
        <v>0</v>
      </c>
      <c r="K27" s="1539">
        <f t="shared" si="25"/>
        <v>0</v>
      </c>
      <c r="L27" s="1539">
        <f t="shared" si="25"/>
        <v>0</v>
      </c>
      <c r="M27" s="1539">
        <f t="shared" ca="1" si="25"/>
        <v>0</v>
      </c>
      <c r="N27" s="1892">
        <f t="shared" ca="1" si="25"/>
        <v>53.33594497140453</v>
      </c>
      <c r="O27" s="1892">
        <f t="shared" ca="1" si="25"/>
        <v>13.170718948417285</v>
      </c>
      <c r="P27" s="1892">
        <f t="shared" ca="1" si="25"/>
        <v>0.29902005366010898</v>
      </c>
      <c r="Q27" s="1892">
        <f t="shared" ca="1" si="25"/>
        <v>3.154875796091091E-2</v>
      </c>
      <c r="R27" s="1892">
        <f t="shared" ca="1" si="25"/>
        <v>12.39386297880878</v>
      </c>
      <c r="S27" s="1892">
        <f t="shared" ca="1" si="25"/>
        <v>7.088639766958563</v>
      </c>
      <c r="T27" s="1892">
        <f t="shared" ca="1" si="25"/>
        <v>8.0354758778486985</v>
      </c>
      <c r="U27" s="1892">
        <f t="shared" ca="1" si="25"/>
        <v>6.0502466557362678E-3</v>
      </c>
      <c r="V27" s="1892">
        <f t="shared" ca="1" si="25"/>
        <v>0.28516907055863489</v>
      </c>
      <c r="W27" s="1539">
        <f t="shared" ca="1" si="10"/>
        <v>94.646430672273254</v>
      </c>
      <c r="Y27" s="1893">
        <f ca="1">Y21+Y24</f>
        <v>-0.33801913739503248</v>
      </c>
      <c r="Z27" s="1893">
        <f t="shared" ref="Z27:AP27" ca="1" si="26">Z21+Z24</f>
        <v>0</v>
      </c>
      <c r="AA27" s="1893">
        <f t="shared" ca="1" si="26"/>
        <v>0</v>
      </c>
      <c r="AB27" s="1893">
        <f ca="1">AB21+AB24</f>
        <v>-94.308411534878232</v>
      </c>
      <c r="AC27" s="1893">
        <f t="shared" ca="1" si="26"/>
        <v>0</v>
      </c>
      <c r="AD27" s="1893">
        <f t="shared" ca="1" si="26"/>
        <v>0</v>
      </c>
      <c r="AE27" s="1893">
        <f t="shared" ca="1" si="26"/>
        <v>0</v>
      </c>
      <c r="AF27" s="1893">
        <f t="shared" ca="1" si="26"/>
        <v>0</v>
      </c>
      <c r="AG27" s="1893">
        <f t="shared" ca="1" si="26"/>
        <v>0</v>
      </c>
      <c r="AH27" s="1893">
        <f t="shared" ca="1" si="26"/>
        <v>0</v>
      </c>
      <c r="AI27" s="1893">
        <f t="shared" ca="1" si="26"/>
        <v>0</v>
      </c>
      <c r="AJ27" s="1893">
        <f t="shared" ca="1" si="26"/>
        <v>0</v>
      </c>
      <c r="AK27" s="1893">
        <f t="shared" ca="1" si="26"/>
        <v>0</v>
      </c>
      <c r="AL27" s="1893">
        <f t="shared" ca="1" si="26"/>
        <v>0</v>
      </c>
      <c r="AM27" s="1893">
        <f t="shared" ca="1" si="26"/>
        <v>0</v>
      </c>
      <c r="AN27" s="1893">
        <f t="shared" ca="1" si="26"/>
        <v>0</v>
      </c>
      <c r="AO27" s="1893">
        <f t="shared" ca="1" si="26"/>
        <v>0</v>
      </c>
      <c r="AP27" s="1893">
        <f t="shared" ca="1" si="26"/>
        <v>0</v>
      </c>
      <c r="AQ27" s="1490">
        <f t="shared" ca="1" si="11"/>
        <v>-94.646430672273269</v>
      </c>
      <c r="AS27" s="1491">
        <f>AS26</f>
        <v>0</v>
      </c>
      <c r="AT27" s="1491">
        <f t="shared" ref="AT27:BK27" si="27">AT26</f>
        <v>0</v>
      </c>
      <c r="AU27" s="1491">
        <f t="shared" si="27"/>
        <v>0</v>
      </c>
      <c r="AV27" s="1491">
        <f t="shared" si="27"/>
        <v>0</v>
      </c>
      <c r="AW27" s="1491">
        <f t="shared" si="27"/>
        <v>0</v>
      </c>
      <c r="AX27" s="1491">
        <f t="shared" si="27"/>
        <v>0</v>
      </c>
      <c r="AY27" s="1491">
        <f t="shared" si="27"/>
        <v>0</v>
      </c>
      <c r="AZ27" s="1491">
        <f t="shared" si="27"/>
        <v>0</v>
      </c>
      <c r="BA27" s="1491">
        <f t="shared" si="27"/>
        <v>0</v>
      </c>
      <c r="BB27" s="1491">
        <f t="shared" si="27"/>
        <v>0</v>
      </c>
      <c r="BC27" s="1491">
        <f t="shared" si="27"/>
        <v>0</v>
      </c>
      <c r="BD27" s="1491">
        <f t="shared" si="27"/>
        <v>0</v>
      </c>
      <c r="BE27" s="1491">
        <f t="shared" si="27"/>
        <v>0</v>
      </c>
      <c r="BF27" s="1491">
        <f t="shared" si="27"/>
        <v>0</v>
      </c>
      <c r="BG27" s="1491">
        <f t="shared" si="27"/>
        <v>0</v>
      </c>
      <c r="BH27" s="1491">
        <f t="shared" si="27"/>
        <v>0</v>
      </c>
      <c r="BI27" s="1491">
        <f t="shared" si="27"/>
        <v>0</v>
      </c>
      <c r="BJ27" s="1491">
        <f t="shared" si="27"/>
        <v>0</v>
      </c>
      <c r="BK27" s="1491">
        <f t="shared" si="27"/>
        <v>0</v>
      </c>
      <c r="BL27" s="1503">
        <f>SUM(AS27:BK27)</f>
        <v>0</v>
      </c>
      <c r="BN27" s="1941">
        <f ca="1">BN24+BN21</f>
        <v>0</v>
      </c>
      <c r="BO27" s="1941">
        <f ca="1">BO24+BO21</f>
        <v>0</v>
      </c>
      <c r="BP27" s="1505">
        <f ca="1">BN27+BO27</f>
        <v>0</v>
      </c>
      <c r="BR27" s="3168">
        <f t="shared" ca="1" si="12"/>
        <v>-1.4210854715202004E-14</v>
      </c>
      <c r="BS27" s="1493"/>
      <c r="BT27" s="748"/>
      <c r="BU27" s="1508">
        <v>131.46551968326995</v>
      </c>
      <c r="BV27" s="1508">
        <v>0.16367405301251234</v>
      </c>
      <c r="BW27" s="1508">
        <v>2.365334083866848</v>
      </c>
      <c r="BX27" s="1508">
        <v>0</v>
      </c>
      <c r="BY27" s="1508">
        <v>0</v>
      </c>
      <c r="BZ27" s="1508">
        <v>0</v>
      </c>
      <c r="CA27" s="1508">
        <v>0</v>
      </c>
      <c r="CB27" s="1508">
        <v>0</v>
      </c>
      <c r="CC27" s="1508">
        <v>0</v>
      </c>
      <c r="CD27" s="1508">
        <v>0</v>
      </c>
      <c r="CE27" s="1508">
        <v>0</v>
      </c>
      <c r="CF27" s="1508">
        <v>0</v>
      </c>
      <c r="CG27" s="1508">
        <v>0</v>
      </c>
      <c r="CH27" s="1508">
        <v>0</v>
      </c>
      <c r="CI27" s="1508">
        <v>0</v>
      </c>
      <c r="CJ27" s="1508">
        <v>0</v>
      </c>
      <c r="CK27" s="1508">
        <v>0</v>
      </c>
      <c r="CL27" s="1508">
        <v>0</v>
      </c>
      <c r="CM27" s="1508">
        <v>0</v>
      </c>
      <c r="CN27" s="1508">
        <v>0</v>
      </c>
      <c r="CO27" s="1508">
        <v>0</v>
      </c>
      <c r="CP27" s="1508">
        <v>0</v>
      </c>
      <c r="CQ27" s="1508">
        <v>0</v>
      </c>
      <c r="CR27" s="1508">
        <v>0</v>
      </c>
      <c r="CS27" s="1508">
        <v>0</v>
      </c>
      <c r="CT27" s="1508">
        <v>0</v>
      </c>
      <c r="CU27" s="1508">
        <v>0</v>
      </c>
      <c r="CV27" s="1508">
        <v>0</v>
      </c>
      <c r="CW27" s="1508">
        <v>0</v>
      </c>
      <c r="CX27" s="1508">
        <v>0</v>
      </c>
      <c r="CY27" s="1508">
        <v>0</v>
      </c>
      <c r="CZ27" s="1508">
        <v>0</v>
      </c>
      <c r="DA27" s="1508">
        <v>51.739539271814301</v>
      </c>
      <c r="DB27" s="1508">
        <v>6.441552213858226E-2</v>
      </c>
      <c r="DC27" s="1508">
        <v>0.93090033050516818</v>
      </c>
      <c r="DD27" s="1508">
        <v>0</v>
      </c>
      <c r="DE27" s="1508">
        <v>0</v>
      </c>
      <c r="DF27" s="1508">
        <v>0</v>
      </c>
      <c r="DG27" s="1508">
        <v>0</v>
      </c>
      <c r="DH27" s="1508">
        <v>0</v>
      </c>
      <c r="DI27" s="1508">
        <v>0</v>
      </c>
      <c r="DJ27" s="1508">
        <v>0</v>
      </c>
      <c r="DK27" s="1508">
        <v>0</v>
      </c>
      <c r="DL27" s="1508">
        <v>0</v>
      </c>
      <c r="DN27" s="1509">
        <v>186.72938294460735</v>
      </c>
    </row>
    <row r="28" spans="1:118" s="14" customFormat="1" ht="15.75" x14ac:dyDescent="0.2">
      <c r="A28" s="1534"/>
      <c r="B28" s="1535"/>
      <c r="C28" s="1536"/>
      <c r="D28" s="1537"/>
      <c r="E28" s="1538"/>
      <c r="G28" s="1539"/>
      <c r="H28" s="1539"/>
      <c r="I28" s="1539"/>
      <c r="J28" s="1539"/>
      <c r="K28" s="1539"/>
      <c r="L28" s="1539"/>
      <c r="M28" s="1539"/>
      <c r="N28" s="1539"/>
      <c r="O28" s="1539"/>
      <c r="P28" s="1539"/>
      <c r="Q28" s="1539"/>
      <c r="R28" s="1539"/>
      <c r="S28" s="1539"/>
      <c r="T28" s="1539"/>
      <c r="U28" s="1539"/>
      <c r="V28" s="1539"/>
      <c r="W28" s="1539"/>
      <c r="Y28" s="1490"/>
      <c r="Z28" s="1490"/>
      <c r="AA28" s="1490"/>
      <c r="AB28" s="1490"/>
      <c r="AC28" s="1490"/>
      <c r="AD28" s="1490"/>
      <c r="AE28" s="1490"/>
      <c r="AF28" s="1490"/>
      <c r="AG28" s="1490"/>
      <c r="AH28" s="1490"/>
      <c r="AI28" s="1490"/>
      <c r="AJ28" s="1490"/>
      <c r="AK28" s="1490"/>
      <c r="AL28" s="1490"/>
      <c r="AM28" s="1490"/>
      <c r="AN28" s="1490"/>
      <c r="AO28" s="1490"/>
      <c r="AP28" s="1490"/>
      <c r="AQ28" s="1490"/>
      <c r="AS28" s="1491"/>
      <c r="AT28" s="1491"/>
      <c r="AU28" s="1491"/>
      <c r="AV28" s="1491"/>
      <c r="AW28" s="1491"/>
      <c r="AX28" s="1491"/>
      <c r="AY28" s="1491"/>
      <c r="AZ28" s="1491"/>
      <c r="BA28" s="1491"/>
      <c r="BB28" s="1491"/>
      <c r="BC28" s="1491"/>
      <c r="BD28" s="1491"/>
      <c r="BE28" s="1491"/>
      <c r="BF28" s="1491"/>
      <c r="BG28" s="1491"/>
      <c r="BH28" s="1491"/>
      <c r="BI28" s="1491"/>
      <c r="BJ28" s="1491"/>
      <c r="BK28" s="1491"/>
      <c r="BL28" s="1491"/>
      <c r="BN28" s="1492"/>
      <c r="BO28" s="1492"/>
      <c r="BP28" s="1492"/>
      <c r="BR28" s="3168"/>
      <c r="BS28" s="1493"/>
      <c r="BT28" s="748"/>
      <c r="BU28" s="1508"/>
      <c r="BV28" s="1508"/>
      <c r="BW28" s="1508"/>
      <c r="BX28" s="1508"/>
      <c r="BY28" s="1508"/>
      <c r="BZ28" s="1508"/>
      <c r="CA28" s="1508"/>
      <c r="CB28" s="1508"/>
      <c r="CC28" s="1508"/>
      <c r="CD28" s="1508"/>
      <c r="CE28" s="1508"/>
      <c r="CF28" s="1508"/>
      <c r="CG28" s="1508"/>
      <c r="CH28" s="1508"/>
      <c r="CI28" s="1508"/>
      <c r="CJ28" s="1508"/>
      <c r="CK28" s="1508"/>
      <c r="CL28" s="1508"/>
      <c r="CM28" s="1508"/>
      <c r="CN28" s="1508"/>
      <c r="CO28" s="1508"/>
      <c r="CP28" s="1508"/>
      <c r="CQ28" s="1508"/>
      <c r="CR28" s="1508"/>
      <c r="CS28" s="1508"/>
      <c r="CT28" s="1508"/>
      <c r="CU28" s="1508"/>
      <c r="CV28" s="1508"/>
      <c r="CW28" s="1508"/>
      <c r="CX28" s="1508"/>
      <c r="CY28" s="1508"/>
      <c r="CZ28" s="1508"/>
      <c r="DA28" s="1508"/>
      <c r="DB28" s="1508"/>
      <c r="DC28" s="1508"/>
      <c r="DD28" s="1508"/>
      <c r="DE28" s="1508"/>
      <c r="DF28" s="1508"/>
      <c r="DG28" s="1508"/>
      <c r="DH28" s="1508"/>
      <c r="DI28" s="1508"/>
      <c r="DJ28" s="1508"/>
      <c r="DK28" s="1508"/>
      <c r="DL28" s="1508"/>
      <c r="DN28" s="1509"/>
    </row>
    <row r="29" spans="1:118" s="14" customFormat="1" ht="12.75" hidden="1" customHeight="1" outlineLevel="1" x14ac:dyDescent="0.2">
      <c r="A29" s="1534"/>
      <c r="B29" s="1534"/>
      <c r="C29" s="1544"/>
      <c r="D29" s="1538"/>
      <c r="E29" s="1538"/>
      <c r="G29" s="1539"/>
      <c r="H29" s="1539"/>
      <c r="I29" s="1539"/>
      <c r="J29" s="1539"/>
      <c r="K29" s="1539"/>
      <c r="L29" s="1539"/>
      <c r="M29" s="1539"/>
      <c r="N29" s="1539"/>
      <c r="O29" s="1539"/>
      <c r="P29" s="1539"/>
      <c r="Q29" s="1539"/>
      <c r="R29" s="1539"/>
      <c r="S29" s="1539"/>
      <c r="T29" s="1539"/>
      <c r="U29" s="1539"/>
      <c r="V29" s="1539"/>
      <c r="W29" s="1539">
        <f t="shared" si="10"/>
        <v>0</v>
      </c>
      <c r="Y29" s="1490"/>
      <c r="Z29" s="1490"/>
      <c r="AA29" s="1490"/>
      <c r="AB29" s="1490"/>
      <c r="AC29" s="1490"/>
      <c r="AD29" s="1490"/>
      <c r="AE29" s="1490"/>
      <c r="AF29" s="1490"/>
      <c r="AG29" s="1490"/>
      <c r="AH29" s="1490"/>
      <c r="AI29" s="1490"/>
      <c r="AJ29" s="1490"/>
      <c r="AK29" s="1490"/>
      <c r="AL29" s="1490"/>
      <c r="AM29" s="1490"/>
      <c r="AN29" s="1490"/>
      <c r="AO29" s="1490"/>
      <c r="AP29" s="1490"/>
      <c r="AQ29" s="1490"/>
      <c r="AS29" s="1491"/>
      <c r="AT29" s="1491"/>
      <c r="AU29" s="1491"/>
      <c r="AV29" s="1491"/>
      <c r="AW29" s="1491"/>
      <c r="AX29" s="1491"/>
      <c r="AY29" s="1491"/>
      <c r="AZ29" s="1491"/>
      <c r="BA29" s="1491"/>
      <c r="BB29" s="1491"/>
      <c r="BC29" s="1491"/>
      <c r="BD29" s="1491"/>
      <c r="BE29" s="1491"/>
      <c r="BF29" s="1491"/>
      <c r="BG29" s="1491"/>
      <c r="BH29" s="1491"/>
      <c r="BI29" s="1491"/>
      <c r="BJ29" s="1491"/>
      <c r="BK29" s="1491"/>
      <c r="BL29" s="1491"/>
      <c r="BN29" s="1492"/>
      <c r="BO29" s="1492"/>
      <c r="BP29" s="1492"/>
      <c r="BR29" s="3168">
        <f t="shared" si="12"/>
        <v>0</v>
      </c>
      <c r="BS29" s="1493"/>
      <c r="BT29" s="1534"/>
      <c r="BU29" s="1508"/>
      <c r="BV29" s="1508"/>
      <c r="BW29" s="1508"/>
      <c r="BX29" s="1508"/>
      <c r="BY29" s="1508"/>
      <c r="BZ29" s="1508"/>
      <c r="CA29" s="1508"/>
      <c r="CB29" s="1508"/>
      <c r="CC29" s="1508"/>
      <c r="CD29" s="1508"/>
      <c r="CE29" s="1508"/>
      <c r="CF29" s="1508"/>
      <c r="CG29" s="1508"/>
      <c r="CH29" s="1508"/>
      <c r="CI29" s="1508"/>
      <c r="CJ29" s="1508"/>
      <c r="CK29" s="1508"/>
      <c r="CL29" s="1508"/>
      <c r="CM29" s="1508"/>
      <c r="CN29" s="1508"/>
      <c r="CO29" s="1508"/>
      <c r="CP29" s="1508"/>
      <c r="CQ29" s="1508"/>
      <c r="CR29" s="1508"/>
      <c r="CS29" s="1508"/>
      <c r="CT29" s="1508"/>
      <c r="CU29" s="1508"/>
      <c r="CV29" s="1508"/>
      <c r="CW29" s="1508"/>
      <c r="CX29" s="1508"/>
      <c r="CY29" s="1508"/>
      <c r="CZ29" s="1508"/>
      <c r="DA29" s="1508"/>
      <c r="DB29" s="1508"/>
      <c r="DC29" s="1508"/>
      <c r="DD29" s="1508"/>
      <c r="DE29" s="1508"/>
      <c r="DF29" s="1508"/>
      <c r="DG29" s="1508"/>
      <c r="DH29" s="1508"/>
      <c r="DI29" s="1508"/>
      <c r="DJ29" s="1508"/>
      <c r="DK29" s="1508"/>
      <c r="DL29" s="1508"/>
      <c r="DN29" s="1509">
        <v>0</v>
      </c>
    </row>
    <row r="30" spans="1:118" s="14" customFormat="1" ht="12.75" hidden="1" customHeight="1" outlineLevel="1" x14ac:dyDescent="0.2">
      <c r="A30" s="1522"/>
      <c r="B30" s="1522"/>
      <c r="C30" s="1496"/>
      <c r="D30" s="1526"/>
      <c r="E30" s="1526"/>
      <c r="G30" s="1540">
        <v>0</v>
      </c>
      <c r="H30" s="1540"/>
      <c r="I30" s="1540"/>
      <c r="J30" s="1540"/>
      <c r="K30" s="1540"/>
      <c r="L30" s="1540"/>
      <c r="M30" s="1540">
        <v>0</v>
      </c>
      <c r="N30" s="1540">
        <v>0</v>
      </c>
      <c r="O30" s="1540">
        <v>0</v>
      </c>
      <c r="P30" s="1540">
        <v>0</v>
      </c>
      <c r="Q30" s="1540">
        <v>0</v>
      </c>
      <c r="R30" s="1540">
        <v>0</v>
      </c>
      <c r="S30" s="1540"/>
      <c r="T30" s="1540"/>
      <c r="U30" s="1540"/>
      <c r="V30" s="1540"/>
      <c r="W30" s="1539">
        <f t="shared" si="10"/>
        <v>0</v>
      </c>
      <c r="Y30" s="1541"/>
      <c r="Z30" s="1541"/>
      <c r="AA30" s="1541"/>
      <c r="AB30" s="1541"/>
      <c r="AC30" s="1541"/>
      <c r="AD30" s="1541"/>
      <c r="AE30" s="1541"/>
      <c r="AF30" s="1541"/>
      <c r="AG30" s="1541"/>
      <c r="AH30" s="1541"/>
      <c r="AI30" s="1541"/>
      <c r="AJ30" s="1541"/>
      <c r="AK30" s="1541"/>
      <c r="AL30" s="1541"/>
      <c r="AM30" s="1541"/>
      <c r="AN30" s="1541"/>
      <c r="AO30" s="1541"/>
      <c r="AP30" s="1541"/>
      <c r="AQ30" s="1528"/>
      <c r="AS30" s="1542"/>
      <c r="AT30" s="1542"/>
      <c r="AU30" s="1542"/>
      <c r="AV30" s="1542"/>
      <c r="AW30" s="1542"/>
      <c r="AX30" s="1542"/>
      <c r="AY30" s="1542"/>
      <c r="AZ30" s="1542"/>
      <c r="BA30" s="1542"/>
      <c r="BB30" s="1542"/>
      <c r="BC30" s="1542"/>
      <c r="BD30" s="1542"/>
      <c r="BE30" s="1542"/>
      <c r="BF30" s="1542"/>
      <c r="BG30" s="1542"/>
      <c r="BH30" s="1542"/>
      <c r="BI30" s="1542"/>
      <c r="BJ30" s="1542"/>
      <c r="BK30" s="1542"/>
      <c r="BL30" s="1530"/>
      <c r="BN30" s="1543">
        <v>0</v>
      </c>
      <c r="BO30" s="1543">
        <v>0</v>
      </c>
      <c r="BP30" s="1531">
        <v>0</v>
      </c>
      <c r="BR30" s="3168">
        <f t="shared" si="12"/>
        <v>0</v>
      </c>
      <c r="BS30" s="1525"/>
      <c r="BT30" s="748"/>
      <c r="BU30" s="1532">
        <v>0</v>
      </c>
      <c r="BV30" s="1533">
        <v>0</v>
      </c>
      <c r="BW30" s="1533">
        <v>0</v>
      </c>
      <c r="BX30" s="1533">
        <v>0</v>
      </c>
      <c r="BY30" s="1533">
        <v>0</v>
      </c>
      <c r="BZ30" s="1533">
        <v>0</v>
      </c>
      <c r="CA30" s="1533">
        <v>0</v>
      </c>
      <c r="CB30" s="1533">
        <v>0</v>
      </c>
      <c r="CC30" s="1533">
        <v>0</v>
      </c>
      <c r="CD30" s="1533">
        <v>0</v>
      </c>
      <c r="CE30" s="1533">
        <v>0</v>
      </c>
      <c r="CF30" s="1533">
        <v>0</v>
      </c>
      <c r="CG30" s="1533">
        <v>0</v>
      </c>
      <c r="CH30" s="1533">
        <v>0</v>
      </c>
      <c r="CI30" s="1533">
        <v>0</v>
      </c>
      <c r="CJ30" s="1533">
        <v>0</v>
      </c>
      <c r="CK30" s="1533">
        <v>0</v>
      </c>
      <c r="CL30" s="1533">
        <v>0</v>
      </c>
      <c r="CM30" s="1533">
        <v>0</v>
      </c>
      <c r="CN30" s="1533">
        <v>0</v>
      </c>
      <c r="CO30" s="1533">
        <v>0</v>
      </c>
      <c r="CP30" s="1533">
        <v>0</v>
      </c>
      <c r="CQ30" s="1533">
        <v>0</v>
      </c>
      <c r="CR30" s="1533">
        <v>0</v>
      </c>
      <c r="CS30" s="1533">
        <v>0</v>
      </c>
      <c r="CT30" s="1533">
        <v>0</v>
      </c>
      <c r="CU30" s="1533">
        <v>0</v>
      </c>
      <c r="CV30" s="1533">
        <v>0</v>
      </c>
      <c r="CW30" s="1533">
        <v>0</v>
      </c>
      <c r="CX30" s="1533">
        <v>0</v>
      </c>
      <c r="CY30" s="1533">
        <v>0</v>
      </c>
      <c r="CZ30" s="1533">
        <v>0</v>
      </c>
      <c r="DA30" s="1533">
        <v>0</v>
      </c>
      <c r="DB30" s="1533">
        <v>0</v>
      </c>
      <c r="DC30" s="1533">
        <v>0</v>
      </c>
      <c r="DD30" s="1533">
        <v>0</v>
      </c>
      <c r="DE30" s="1533">
        <v>0</v>
      </c>
      <c r="DF30" s="1533">
        <v>0</v>
      </c>
      <c r="DG30" s="1533">
        <v>0</v>
      </c>
      <c r="DH30" s="1533">
        <v>0</v>
      </c>
      <c r="DI30" s="1533">
        <v>0</v>
      </c>
      <c r="DJ30" s="1533">
        <v>0</v>
      </c>
      <c r="DK30" s="1533">
        <v>0</v>
      </c>
      <c r="DL30" s="1533">
        <v>0</v>
      </c>
      <c r="DN30" s="1509">
        <v>0</v>
      </c>
    </row>
    <row r="31" spans="1:118" s="14" customFormat="1" ht="15.75" collapsed="1" x14ac:dyDescent="0.2">
      <c r="A31" s="1534"/>
      <c r="B31" s="1535"/>
      <c r="C31" s="1536"/>
      <c r="D31" s="1537"/>
      <c r="E31" s="1538"/>
      <c r="G31" s="1539"/>
      <c r="H31" s="1539"/>
      <c r="I31" s="1539"/>
      <c r="J31" s="1539"/>
      <c r="K31" s="1539"/>
      <c r="L31" s="1539"/>
      <c r="M31" s="1539"/>
      <c r="N31" s="1539"/>
      <c r="O31" s="1539"/>
      <c r="P31" s="1539"/>
      <c r="Q31" s="1539"/>
      <c r="R31" s="1539"/>
      <c r="S31" s="1539"/>
      <c r="T31" s="1539"/>
      <c r="U31" s="1539"/>
      <c r="V31" s="1539"/>
      <c r="W31" s="1539"/>
      <c r="Y31" s="1490"/>
      <c r="Z31" s="1490"/>
      <c r="AA31" s="1490"/>
      <c r="AB31" s="1490"/>
      <c r="AC31" s="1490"/>
      <c r="AD31" s="1490"/>
      <c r="AE31" s="1490"/>
      <c r="AF31" s="1490"/>
      <c r="AG31" s="1490"/>
      <c r="AH31" s="1490"/>
      <c r="AI31" s="1490"/>
      <c r="AJ31" s="1490"/>
      <c r="AK31" s="1490"/>
      <c r="AL31" s="1490"/>
      <c r="AM31" s="1490"/>
      <c r="AN31" s="1490"/>
      <c r="AO31" s="1490"/>
      <c r="AP31" s="1490"/>
      <c r="AQ31" s="1490"/>
      <c r="AS31" s="1491"/>
      <c r="AT31" s="1491"/>
      <c r="AU31" s="1491"/>
      <c r="AV31" s="1491"/>
      <c r="AW31" s="1491"/>
      <c r="AX31" s="1491"/>
      <c r="AY31" s="1491"/>
      <c r="AZ31" s="1491"/>
      <c r="BA31" s="1491"/>
      <c r="BB31" s="1491"/>
      <c r="BC31" s="1491"/>
      <c r="BD31" s="1491"/>
      <c r="BE31" s="1491"/>
      <c r="BF31" s="1491"/>
      <c r="BG31" s="1491"/>
      <c r="BH31" s="1491"/>
      <c r="BI31" s="1491"/>
      <c r="BJ31" s="1491"/>
      <c r="BK31" s="1491"/>
      <c r="BL31" s="1491"/>
      <c r="BN31" s="1492"/>
      <c r="BO31" s="1492"/>
      <c r="BP31" s="1492"/>
      <c r="BR31" s="3168"/>
      <c r="BS31" s="1493"/>
      <c r="BT31" s="748"/>
      <c r="BU31" s="1508"/>
      <c r="BV31" s="1508"/>
      <c r="BW31" s="1508"/>
      <c r="BX31" s="1508"/>
      <c r="BY31" s="1508"/>
      <c r="BZ31" s="1508"/>
      <c r="CA31" s="1508"/>
      <c r="CB31" s="1508"/>
      <c r="CC31" s="1508"/>
      <c r="CD31" s="1508"/>
      <c r="CE31" s="1508"/>
      <c r="CF31" s="1508"/>
      <c r="CG31" s="1508"/>
      <c r="CH31" s="1508"/>
      <c r="CI31" s="1508"/>
      <c r="CJ31" s="1508"/>
      <c r="CK31" s="1508"/>
      <c r="CL31" s="1508"/>
      <c r="CM31" s="1508"/>
      <c r="CN31" s="1508"/>
      <c r="CO31" s="1508"/>
      <c r="CP31" s="1508"/>
      <c r="CQ31" s="1508"/>
      <c r="CR31" s="1508"/>
      <c r="CS31" s="1508"/>
      <c r="CT31" s="1508"/>
      <c r="CU31" s="1508"/>
      <c r="CV31" s="1508"/>
      <c r="CW31" s="1508"/>
      <c r="CX31" s="1508"/>
      <c r="CY31" s="1508"/>
      <c r="CZ31" s="1508"/>
      <c r="DA31" s="1508"/>
      <c r="DB31" s="1508"/>
      <c r="DC31" s="1508"/>
      <c r="DD31" s="1508"/>
      <c r="DE31" s="1508"/>
      <c r="DF31" s="1508"/>
      <c r="DG31" s="1508"/>
      <c r="DH31" s="1508"/>
      <c r="DI31" s="1508"/>
      <c r="DJ31" s="1508"/>
      <c r="DK31" s="1508"/>
      <c r="DL31" s="1508"/>
      <c r="DN31" s="1509"/>
    </row>
    <row r="32" spans="1:118" s="14" customFormat="1" ht="12.75" hidden="1" customHeight="1" outlineLevel="1" x14ac:dyDescent="0.2">
      <c r="A32" s="1534"/>
      <c r="B32" s="1534"/>
      <c r="C32" s="1544"/>
      <c r="D32" s="1538"/>
      <c r="E32" s="1538"/>
      <c r="G32" s="1539"/>
      <c r="H32" s="1539"/>
      <c r="I32" s="1539"/>
      <c r="J32" s="1539"/>
      <c r="K32" s="1539"/>
      <c r="L32" s="1539"/>
      <c r="M32" s="1539"/>
      <c r="N32" s="1539"/>
      <c r="O32" s="1539"/>
      <c r="P32" s="1539"/>
      <c r="Q32" s="1539"/>
      <c r="R32" s="1539"/>
      <c r="S32" s="1539"/>
      <c r="T32" s="1539"/>
      <c r="U32" s="1539"/>
      <c r="V32" s="1539"/>
      <c r="W32" s="1539">
        <f t="shared" si="10"/>
        <v>0</v>
      </c>
      <c r="Y32" s="1490"/>
      <c r="Z32" s="1490"/>
      <c r="AA32" s="1490"/>
      <c r="AB32" s="1490"/>
      <c r="AC32" s="1490"/>
      <c r="AD32" s="1490"/>
      <c r="AE32" s="1490"/>
      <c r="AF32" s="1490"/>
      <c r="AG32" s="1490"/>
      <c r="AH32" s="1490"/>
      <c r="AI32" s="1490"/>
      <c r="AJ32" s="1490"/>
      <c r="AK32" s="1490"/>
      <c r="AL32" s="1490"/>
      <c r="AM32" s="1490"/>
      <c r="AN32" s="1490"/>
      <c r="AO32" s="1490"/>
      <c r="AP32" s="1490"/>
      <c r="AQ32" s="1490"/>
      <c r="AS32" s="1491"/>
      <c r="AT32" s="1491"/>
      <c r="AU32" s="1491"/>
      <c r="AV32" s="1491"/>
      <c r="AW32" s="1491"/>
      <c r="AX32" s="1491"/>
      <c r="AY32" s="1491"/>
      <c r="AZ32" s="1491"/>
      <c r="BA32" s="1491"/>
      <c r="BB32" s="1491"/>
      <c r="BC32" s="1491"/>
      <c r="BD32" s="1491"/>
      <c r="BE32" s="1491"/>
      <c r="BF32" s="1491"/>
      <c r="BG32" s="1491"/>
      <c r="BH32" s="1491"/>
      <c r="BI32" s="1491"/>
      <c r="BJ32" s="1491"/>
      <c r="BK32" s="1491"/>
      <c r="BL32" s="1491"/>
      <c r="BN32" s="1492"/>
      <c r="BO32" s="1492"/>
      <c r="BP32" s="1492"/>
      <c r="BR32" s="3168">
        <f t="shared" si="12"/>
        <v>0</v>
      </c>
      <c r="BS32" s="1493"/>
      <c r="BT32" s="1534"/>
      <c r="BU32" s="1507"/>
      <c r="BV32" s="1508"/>
      <c r="BW32" s="1508"/>
      <c r="BX32" s="1508"/>
      <c r="BY32" s="1508"/>
      <c r="BZ32" s="1508"/>
      <c r="CA32" s="1508"/>
      <c r="CB32" s="1508"/>
      <c r="CC32" s="1508"/>
      <c r="CD32" s="1508"/>
      <c r="CE32" s="1508"/>
      <c r="CF32" s="1508"/>
      <c r="CG32" s="1508"/>
      <c r="CH32" s="1508"/>
      <c r="CI32" s="1508"/>
      <c r="CJ32" s="1508"/>
      <c r="CK32" s="1508"/>
      <c r="CL32" s="1508"/>
      <c r="CM32" s="1508"/>
      <c r="CN32" s="1508"/>
      <c r="CO32" s="1508"/>
      <c r="CP32" s="1508"/>
      <c r="CQ32" s="1508"/>
      <c r="CR32" s="1508"/>
      <c r="CS32" s="1508"/>
      <c r="CT32" s="1508"/>
      <c r="CU32" s="1508"/>
      <c r="CV32" s="1508"/>
      <c r="CW32" s="1508"/>
      <c r="CX32" s="1508"/>
      <c r="CY32" s="1508"/>
      <c r="CZ32" s="1508"/>
      <c r="DA32" s="1508"/>
      <c r="DB32" s="1508"/>
      <c r="DC32" s="1508"/>
      <c r="DD32" s="1508"/>
      <c r="DE32" s="1508"/>
      <c r="DF32" s="1508"/>
      <c r="DG32" s="1508"/>
      <c r="DH32" s="1508"/>
      <c r="DI32" s="1508"/>
      <c r="DJ32" s="1508"/>
      <c r="DK32" s="1508"/>
      <c r="DL32" s="1508"/>
      <c r="DN32" s="1509"/>
    </row>
    <row r="33" spans="1:118" s="14" customFormat="1" ht="12.75" hidden="1" customHeight="1" outlineLevel="1" x14ac:dyDescent="0.2">
      <c r="A33" s="1522"/>
      <c r="B33" s="1522"/>
      <c r="C33" s="1496"/>
      <c r="D33" s="1526"/>
      <c r="E33" s="1526"/>
      <c r="G33" s="1540"/>
      <c r="H33" s="1540"/>
      <c r="I33" s="1540"/>
      <c r="J33" s="1540"/>
      <c r="K33" s="1540"/>
      <c r="L33" s="1540"/>
      <c r="M33" s="1540"/>
      <c r="N33" s="1540"/>
      <c r="O33" s="1540"/>
      <c r="P33" s="1540"/>
      <c r="Q33" s="1540"/>
      <c r="R33" s="1540"/>
      <c r="S33" s="1540"/>
      <c r="T33" s="1540"/>
      <c r="U33" s="1540"/>
      <c r="V33" s="1540"/>
      <c r="W33" s="1539">
        <f t="shared" si="10"/>
        <v>0</v>
      </c>
      <c r="Y33" s="1541"/>
      <c r="Z33" s="1541"/>
      <c r="AA33" s="1541"/>
      <c r="AB33" s="1541"/>
      <c r="AC33" s="1541"/>
      <c r="AD33" s="1541"/>
      <c r="AE33" s="1541"/>
      <c r="AF33" s="1541"/>
      <c r="AG33" s="1541"/>
      <c r="AH33" s="1541"/>
      <c r="AI33" s="1541"/>
      <c r="AJ33" s="1541"/>
      <c r="AK33" s="1541"/>
      <c r="AL33" s="1541"/>
      <c r="AM33" s="1541"/>
      <c r="AN33" s="1541"/>
      <c r="AO33" s="1541"/>
      <c r="AP33" s="1541"/>
      <c r="AQ33" s="1528"/>
      <c r="AS33" s="1542"/>
      <c r="AT33" s="1542"/>
      <c r="AU33" s="1542"/>
      <c r="AV33" s="1542"/>
      <c r="AW33" s="1542"/>
      <c r="AX33" s="1542"/>
      <c r="AY33" s="1542"/>
      <c r="AZ33" s="1542"/>
      <c r="BA33" s="1542"/>
      <c r="BB33" s="1542"/>
      <c r="BC33" s="1542"/>
      <c r="BD33" s="1542"/>
      <c r="BE33" s="1542"/>
      <c r="BF33" s="1542"/>
      <c r="BG33" s="1542"/>
      <c r="BH33" s="1542"/>
      <c r="BI33" s="1542"/>
      <c r="BJ33" s="1542"/>
      <c r="BK33" s="1542"/>
      <c r="BL33" s="1530"/>
      <c r="BN33" s="1543"/>
      <c r="BO33" s="1543"/>
      <c r="BP33" s="1531"/>
      <c r="BR33" s="3168">
        <f t="shared" si="12"/>
        <v>0</v>
      </c>
      <c r="BS33" s="1525"/>
      <c r="BT33" s="748"/>
      <c r="BU33" s="1532"/>
      <c r="BV33" s="1533"/>
      <c r="BW33" s="1533"/>
      <c r="BX33" s="1533"/>
      <c r="BY33" s="1533"/>
      <c r="BZ33" s="1533"/>
      <c r="CA33" s="1533"/>
      <c r="CB33" s="1533"/>
      <c r="CC33" s="1533"/>
      <c r="CD33" s="1533"/>
      <c r="CE33" s="1533"/>
      <c r="CF33" s="1533"/>
      <c r="CG33" s="1533"/>
      <c r="CH33" s="1533"/>
      <c r="CI33" s="1533"/>
      <c r="CJ33" s="1533"/>
      <c r="CK33" s="1533"/>
      <c r="CL33" s="1533"/>
      <c r="CM33" s="1533"/>
      <c r="CN33" s="1533"/>
      <c r="CO33" s="1533"/>
      <c r="CP33" s="1533"/>
      <c r="CQ33" s="1533"/>
      <c r="CR33" s="1533"/>
      <c r="CS33" s="1533"/>
      <c r="CT33" s="1533"/>
      <c r="CU33" s="1533"/>
      <c r="CV33" s="1533"/>
      <c r="CW33" s="1533"/>
      <c r="CX33" s="1533"/>
      <c r="CY33" s="1533"/>
      <c r="CZ33" s="1533"/>
      <c r="DA33" s="1533"/>
      <c r="DB33" s="1533"/>
      <c r="DC33" s="1533"/>
      <c r="DD33" s="1533"/>
      <c r="DE33" s="1533"/>
      <c r="DF33" s="1533"/>
      <c r="DG33" s="1533"/>
      <c r="DH33" s="1533"/>
      <c r="DI33" s="1533"/>
      <c r="DJ33" s="1533"/>
      <c r="DK33" s="1533"/>
      <c r="DL33" s="1533"/>
      <c r="DN33" s="1509"/>
    </row>
    <row r="34" spans="1:118" s="14" customFormat="1" ht="15.75" collapsed="1" x14ac:dyDescent="0.2">
      <c r="A34" s="1534"/>
      <c r="B34" s="1535"/>
      <c r="C34" s="1536"/>
      <c r="D34" s="1537"/>
      <c r="E34" s="1538"/>
      <c r="G34" s="1539"/>
      <c r="H34" s="1539"/>
      <c r="I34" s="1539"/>
      <c r="J34" s="1539"/>
      <c r="K34" s="1539"/>
      <c r="L34" s="1539"/>
      <c r="M34" s="1539"/>
      <c r="N34" s="1539"/>
      <c r="O34" s="1539"/>
      <c r="P34" s="1539"/>
      <c r="Q34" s="1539"/>
      <c r="R34" s="1539"/>
      <c r="S34" s="1539"/>
      <c r="T34" s="1539"/>
      <c r="U34" s="1539"/>
      <c r="V34" s="1539"/>
      <c r="W34" s="1539"/>
      <c r="Y34" s="1490"/>
      <c r="Z34" s="1490"/>
      <c r="AA34" s="1490"/>
      <c r="AB34" s="1490"/>
      <c r="AC34" s="1490"/>
      <c r="AD34" s="1490"/>
      <c r="AE34" s="1490"/>
      <c r="AF34" s="1490"/>
      <c r="AG34" s="1490"/>
      <c r="AH34" s="1490"/>
      <c r="AI34" s="1490"/>
      <c r="AJ34" s="1490"/>
      <c r="AK34" s="1490"/>
      <c r="AL34" s="1490"/>
      <c r="AM34" s="1490"/>
      <c r="AN34" s="1490"/>
      <c r="AO34" s="1490"/>
      <c r="AP34" s="1490"/>
      <c r="AQ34" s="1490"/>
      <c r="AS34" s="1491"/>
      <c r="AT34" s="1491"/>
      <c r="AU34" s="1491"/>
      <c r="AV34" s="1491"/>
      <c r="AW34" s="1491"/>
      <c r="AX34" s="1491"/>
      <c r="AY34" s="1491"/>
      <c r="AZ34" s="1491"/>
      <c r="BA34" s="1491"/>
      <c r="BB34" s="1491"/>
      <c r="BC34" s="1491"/>
      <c r="BD34" s="1491"/>
      <c r="BE34" s="1491"/>
      <c r="BF34" s="1491"/>
      <c r="BG34" s="1491"/>
      <c r="BH34" s="1491"/>
      <c r="BI34" s="1491"/>
      <c r="BJ34" s="1491"/>
      <c r="BK34" s="1491"/>
      <c r="BL34" s="1491"/>
      <c r="BN34" s="1492"/>
      <c r="BO34" s="1492"/>
      <c r="BP34" s="1492"/>
      <c r="BR34" s="3168"/>
      <c r="BS34" s="1493"/>
      <c r="BT34" s="748"/>
      <c r="BU34" s="1508"/>
      <c r="BV34" s="1508"/>
      <c r="BW34" s="1508"/>
      <c r="BX34" s="1508"/>
      <c r="BY34" s="1508"/>
      <c r="BZ34" s="1508"/>
      <c r="CA34" s="1508"/>
      <c r="CB34" s="1508"/>
      <c r="CC34" s="1508"/>
      <c r="CD34" s="1508"/>
      <c r="CE34" s="1508"/>
      <c r="CF34" s="1508"/>
      <c r="CG34" s="1508"/>
      <c r="CH34" s="1508"/>
      <c r="CI34" s="1508"/>
      <c r="CJ34" s="1508"/>
      <c r="CK34" s="1508"/>
      <c r="CL34" s="1508"/>
      <c r="CM34" s="1508"/>
      <c r="CN34" s="1508"/>
      <c r="CO34" s="1508"/>
      <c r="CP34" s="1508"/>
      <c r="CQ34" s="1508"/>
      <c r="CR34" s="1508"/>
      <c r="CS34" s="1508"/>
      <c r="CT34" s="1508"/>
      <c r="CU34" s="1508"/>
      <c r="CV34" s="1508"/>
      <c r="CW34" s="1508"/>
      <c r="CX34" s="1508"/>
      <c r="CY34" s="1508"/>
      <c r="CZ34" s="1508"/>
      <c r="DA34" s="1508"/>
      <c r="DB34" s="1508"/>
      <c r="DC34" s="1508"/>
      <c r="DD34" s="1508"/>
      <c r="DE34" s="1508"/>
      <c r="DF34" s="1508"/>
      <c r="DG34" s="1508"/>
      <c r="DH34" s="1508"/>
      <c r="DI34" s="1508"/>
      <c r="DJ34" s="1508"/>
      <c r="DK34" s="1508"/>
      <c r="DL34" s="1508"/>
      <c r="DN34" s="1509"/>
    </row>
    <row r="35" spans="1:118" s="14" customFormat="1" ht="6" customHeight="1" x14ac:dyDescent="0.2">
      <c r="C35" s="1552"/>
      <c r="D35" s="1537"/>
      <c r="E35" s="1430"/>
      <c r="G35" s="1539"/>
      <c r="H35" s="1539"/>
      <c r="I35" s="1539"/>
      <c r="J35" s="1539"/>
      <c r="K35" s="1539"/>
      <c r="L35" s="1539"/>
      <c r="M35" s="1539"/>
      <c r="N35" s="1539"/>
      <c r="O35" s="1539"/>
      <c r="P35" s="1539"/>
      <c r="Q35" s="1539"/>
      <c r="R35" s="1539"/>
      <c r="S35" s="1539"/>
      <c r="T35" s="1539"/>
      <c r="U35" s="1539"/>
      <c r="V35" s="1539"/>
      <c r="W35" s="1539"/>
      <c r="Y35" s="1490"/>
      <c r="Z35" s="1490"/>
      <c r="AA35" s="1490"/>
      <c r="AB35" s="1490"/>
      <c r="AC35" s="1490"/>
      <c r="AD35" s="1490"/>
      <c r="AE35" s="1490"/>
      <c r="AF35" s="1490"/>
      <c r="AG35" s="1490"/>
      <c r="AH35" s="1490"/>
      <c r="AI35" s="1490"/>
      <c r="AJ35" s="1490"/>
      <c r="AK35" s="1490"/>
      <c r="AL35" s="1490"/>
      <c r="AM35" s="1490"/>
      <c r="AN35" s="1490"/>
      <c r="AO35" s="1490"/>
      <c r="AP35" s="1490"/>
      <c r="AQ35" s="1490"/>
      <c r="AS35" s="1491"/>
      <c r="AT35" s="1491"/>
      <c r="AU35" s="1491"/>
      <c r="AV35" s="1491"/>
      <c r="AW35" s="1491"/>
      <c r="AX35" s="1491"/>
      <c r="AY35" s="1491"/>
      <c r="AZ35" s="1491"/>
      <c r="BA35" s="1491"/>
      <c r="BB35" s="1491"/>
      <c r="BC35" s="1491"/>
      <c r="BD35" s="1491"/>
      <c r="BE35" s="1491"/>
      <c r="BF35" s="1491"/>
      <c r="BG35" s="1491"/>
      <c r="BH35" s="1491"/>
      <c r="BI35" s="1491"/>
      <c r="BJ35" s="1491"/>
      <c r="BK35" s="1491"/>
      <c r="BL35" s="1491"/>
      <c r="BN35" s="1492"/>
      <c r="BO35" s="1492"/>
      <c r="BP35" s="1492"/>
      <c r="BR35" s="3168"/>
      <c r="BS35" s="1493"/>
      <c r="BU35" s="1508"/>
      <c r="BV35" s="1508"/>
      <c r="BW35" s="1508"/>
      <c r="BX35" s="1508"/>
      <c r="BY35" s="1508"/>
      <c r="BZ35" s="1508"/>
      <c r="CA35" s="1508"/>
      <c r="CB35" s="1508"/>
      <c r="CC35" s="1508"/>
      <c r="CD35" s="1508"/>
      <c r="CE35" s="1508"/>
      <c r="CF35" s="1508"/>
      <c r="CG35" s="1508"/>
      <c r="CH35" s="1508"/>
      <c r="CI35" s="1508"/>
      <c r="CJ35" s="1508"/>
      <c r="CK35" s="1508"/>
      <c r="CL35" s="1508"/>
      <c r="CM35" s="1508"/>
      <c r="CN35" s="1508"/>
      <c r="CO35" s="1508"/>
      <c r="CP35" s="1508"/>
      <c r="CQ35" s="1508"/>
      <c r="CR35" s="1508"/>
      <c r="CS35" s="1508"/>
      <c r="CT35" s="1508"/>
      <c r="CU35" s="1508"/>
      <c r="CV35" s="1508"/>
      <c r="CW35" s="1508"/>
      <c r="CX35" s="1508"/>
      <c r="CY35" s="1508"/>
      <c r="CZ35" s="1508"/>
      <c r="DA35" s="1508"/>
      <c r="DB35" s="1508"/>
      <c r="DC35" s="1508"/>
      <c r="DD35" s="1508"/>
      <c r="DE35" s="1508"/>
      <c r="DF35" s="1508"/>
      <c r="DG35" s="1508"/>
      <c r="DH35" s="1508"/>
      <c r="DI35" s="1508"/>
      <c r="DJ35" s="1508"/>
      <c r="DK35" s="1508"/>
      <c r="DL35" s="1508"/>
      <c r="DN35" s="1509"/>
    </row>
    <row r="36" spans="1:118" s="14" customFormat="1" ht="15.75" x14ac:dyDescent="0.2">
      <c r="B36" s="1535"/>
      <c r="C36" s="1553"/>
      <c r="D36" s="1554" t="s">
        <v>916</v>
      </c>
      <c r="E36" s="1555"/>
      <c r="G36" s="1929">
        <f t="shared" ref="G36:V36" ca="1" si="28">G15+G19+G27</f>
        <v>35.492179526491917</v>
      </c>
      <c r="H36" s="1929">
        <f t="shared" ca="1" si="28"/>
        <v>7.4742271881931828</v>
      </c>
      <c r="I36" s="1929">
        <f t="shared" ca="1" si="28"/>
        <v>2.9915688480682157</v>
      </c>
      <c r="J36" s="1929">
        <f t="shared" ca="1" si="28"/>
        <v>10.096238347936703</v>
      </c>
      <c r="K36" s="1929">
        <f t="shared" ca="1" si="28"/>
        <v>4.4606617301587432</v>
      </c>
      <c r="L36" s="1929">
        <f t="shared" ca="1" si="28"/>
        <v>9.2176129688738371</v>
      </c>
      <c r="M36" s="1929">
        <f t="shared" ca="1" si="28"/>
        <v>135.84274834045024</v>
      </c>
      <c r="N36" s="1929">
        <f t="shared" ca="1" si="28"/>
        <v>53.33594497140453</v>
      </c>
      <c r="O36" s="1929">
        <f t="shared" ca="1" si="28"/>
        <v>13.170718948417285</v>
      </c>
      <c r="P36" s="1929">
        <f t="shared" ca="1" si="28"/>
        <v>0.29902005366010898</v>
      </c>
      <c r="Q36" s="1929">
        <f t="shared" ca="1" si="28"/>
        <v>3.154875796091091E-2</v>
      </c>
      <c r="R36" s="1929">
        <f t="shared" ca="1" si="28"/>
        <v>12.39386297880878</v>
      </c>
      <c r="S36" s="1929">
        <f ca="1">S15+S19+S27</f>
        <v>7.088639766958563</v>
      </c>
      <c r="T36" s="1929">
        <f t="shared" ca="1" si="28"/>
        <v>8.0354758778486985</v>
      </c>
      <c r="U36" s="1929">
        <f t="shared" ca="1" si="28"/>
        <v>6.0502466557362678E-3</v>
      </c>
      <c r="V36" s="1929">
        <f t="shared" ca="1" si="28"/>
        <v>0.28516907055863489</v>
      </c>
      <c r="W36" s="1929">
        <f ca="1">SUM(G36:V36)</f>
        <v>300.22166762244615</v>
      </c>
      <c r="Y36" s="1937">
        <f t="shared" ref="Y36:AP36" ca="1" si="29">Y27+Y19+Y15</f>
        <v>-67.579633316573762</v>
      </c>
      <c r="Z36" s="1937">
        <f t="shared" ca="1" si="29"/>
        <v>0</v>
      </c>
      <c r="AA36" s="1937">
        <f t="shared" ca="1" si="29"/>
        <v>-32.95605051369435</v>
      </c>
      <c r="AB36" s="1937">
        <f t="shared" ca="1" si="29"/>
        <v>-147.4917288872434</v>
      </c>
      <c r="AC36" s="1937">
        <f t="shared" ca="1" si="29"/>
        <v>-40.090427810129626</v>
      </c>
      <c r="AD36" s="1937">
        <f t="shared" ca="1" si="29"/>
        <v>0</v>
      </c>
      <c r="AE36" s="1937">
        <f t="shared" ca="1" si="29"/>
        <v>0</v>
      </c>
      <c r="AF36" s="1937">
        <f t="shared" ca="1" si="29"/>
        <v>0</v>
      </c>
      <c r="AG36" s="1937">
        <f t="shared" ca="1" si="29"/>
        <v>0</v>
      </c>
      <c r="AH36" s="1937">
        <f t="shared" ca="1" si="29"/>
        <v>0</v>
      </c>
      <c r="AI36" s="1937">
        <f t="shared" ca="1" si="29"/>
        <v>0</v>
      </c>
      <c r="AJ36" s="1937">
        <f t="shared" ca="1" si="29"/>
        <v>0</v>
      </c>
      <c r="AK36" s="1937">
        <f t="shared" ca="1" si="29"/>
        <v>0</v>
      </c>
      <c r="AL36" s="1937">
        <f ca="1">AL27+AL19+AL15</f>
        <v>-12.087664745029587</v>
      </c>
      <c r="AM36" s="1937">
        <f t="shared" ca="1" si="29"/>
        <v>0</v>
      </c>
      <c r="AN36" s="1937">
        <f t="shared" ca="1" si="29"/>
        <v>0</v>
      </c>
      <c r="AO36" s="1937">
        <f t="shared" ca="1" si="29"/>
        <v>0</v>
      </c>
      <c r="AP36" s="1937">
        <f t="shared" ca="1" si="29"/>
        <v>0</v>
      </c>
      <c r="AQ36" s="1937">
        <f ca="1">SUM(Y36:AP36)</f>
        <v>-300.20550527267073</v>
      </c>
      <c r="AS36" s="1558">
        <f ca="1">AS15+AS19+AS27</f>
        <v>0</v>
      </c>
      <c r="AT36" s="1558">
        <f t="shared" ref="AT36:BK36" ca="1" si="30">AT15+AT19+AT27</f>
        <v>0</v>
      </c>
      <c r="AU36" s="1558">
        <f t="shared" ca="1" si="30"/>
        <v>0</v>
      </c>
      <c r="AV36" s="1558">
        <f t="shared" ca="1" si="30"/>
        <v>0</v>
      </c>
      <c r="AW36" s="1558">
        <f t="shared" ca="1" si="30"/>
        <v>0</v>
      </c>
      <c r="AX36" s="1558">
        <f t="shared" ca="1" si="30"/>
        <v>0</v>
      </c>
      <c r="AY36" s="1558">
        <f t="shared" ca="1" si="30"/>
        <v>0</v>
      </c>
      <c r="AZ36" s="1558">
        <f t="shared" ca="1" si="30"/>
        <v>0</v>
      </c>
      <c r="BA36" s="1558">
        <f t="shared" ca="1" si="30"/>
        <v>0</v>
      </c>
      <c r="BB36" s="1558">
        <f t="shared" ca="1" si="30"/>
        <v>0</v>
      </c>
      <c r="BC36" s="1558">
        <f t="shared" ca="1" si="30"/>
        <v>-1.6162349775373903E-2</v>
      </c>
      <c r="BD36" s="1558">
        <f t="shared" ca="1" si="30"/>
        <v>0</v>
      </c>
      <c r="BE36" s="1558">
        <f t="shared" ca="1" si="30"/>
        <v>0</v>
      </c>
      <c r="BF36" s="1558">
        <f t="shared" ca="1" si="30"/>
        <v>0</v>
      </c>
      <c r="BG36" s="1558">
        <f t="shared" ca="1" si="30"/>
        <v>0</v>
      </c>
      <c r="BH36" s="1558">
        <f t="shared" ca="1" si="30"/>
        <v>0</v>
      </c>
      <c r="BI36" s="1558">
        <f t="shared" ca="1" si="30"/>
        <v>0</v>
      </c>
      <c r="BJ36" s="1558">
        <f t="shared" ca="1" si="30"/>
        <v>0</v>
      </c>
      <c r="BK36" s="1558">
        <f t="shared" ca="1" si="30"/>
        <v>0</v>
      </c>
      <c r="BL36" s="3166">
        <f ca="1">SUM(AS36:BK36)</f>
        <v>-1.6162349775373903E-2</v>
      </c>
      <c r="BN36" s="1559">
        <f ca="1">BN27+BN19+BN15</f>
        <v>0</v>
      </c>
      <c r="BO36" s="1559">
        <f ca="1">BO27+BO19+BO15</f>
        <v>0</v>
      </c>
      <c r="BP36" s="1505">
        <f ca="1">BN36+BO36</f>
        <v>0</v>
      </c>
      <c r="BR36" s="3168">
        <f ca="1">W36+AQ36+BL36+BP36</f>
        <v>3.9628023085214181E-14</v>
      </c>
      <c r="BS36" s="1560"/>
      <c r="BU36" s="1561">
        <v>283.37379437292333</v>
      </c>
      <c r="BV36" s="1561">
        <v>0.46829877567433276</v>
      </c>
      <c r="BW36" s="1561">
        <v>3.244610652199623</v>
      </c>
      <c r="BX36" s="1561">
        <v>0</v>
      </c>
      <c r="BY36" s="1561">
        <v>0</v>
      </c>
      <c r="BZ36" s="1561">
        <v>0</v>
      </c>
      <c r="CA36" s="1561">
        <v>0</v>
      </c>
      <c r="CB36" s="1561">
        <v>0</v>
      </c>
      <c r="CC36" s="1561">
        <v>14.39565925511863</v>
      </c>
      <c r="CD36" s="1561">
        <v>0.11288744235152412</v>
      </c>
      <c r="CE36" s="1561">
        <v>2.7624692105907238</v>
      </c>
      <c r="CF36" s="1561">
        <v>10.620296151887526</v>
      </c>
      <c r="CG36" s="1561">
        <v>0</v>
      </c>
      <c r="CH36" s="1561">
        <v>0</v>
      </c>
      <c r="CI36" s="1561">
        <v>0</v>
      </c>
      <c r="CJ36" s="1561">
        <v>0</v>
      </c>
      <c r="CK36" s="1561">
        <v>0</v>
      </c>
      <c r="CL36" s="1561">
        <v>0</v>
      </c>
      <c r="CM36" s="1561">
        <v>0</v>
      </c>
      <c r="CN36" s="1561">
        <v>0</v>
      </c>
      <c r="CO36" s="1561">
        <v>0</v>
      </c>
      <c r="CP36" s="1561">
        <v>0</v>
      </c>
      <c r="CQ36" s="1561">
        <v>0</v>
      </c>
      <c r="CR36" s="1561">
        <v>0</v>
      </c>
      <c r="CS36" s="1561">
        <v>0</v>
      </c>
      <c r="CT36" s="1561">
        <v>0</v>
      </c>
      <c r="CU36" s="1561">
        <v>0</v>
      </c>
      <c r="CV36" s="1561">
        <v>0</v>
      </c>
      <c r="CW36" s="1561">
        <v>0</v>
      </c>
      <c r="CX36" s="1561">
        <v>0</v>
      </c>
      <c r="CY36" s="1561">
        <v>0</v>
      </c>
      <c r="CZ36" s="1561">
        <v>0</v>
      </c>
      <c r="DA36" s="1561">
        <v>51.739539271814301</v>
      </c>
      <c r="DB36" s="1561">
        <v>6.441552213858226E-2</v>
      </c>
      <c r="DC36" s="1561">
        <v>0.93090033050516818</v>
      </c>
      <c r="DD36" s="1561">
        <v>0</v>
      </c>
      <c r="DE36" s="1561">
        <v>0</v>
      </c>
      <c r="DF36" s="1561">
        <v>0</v>
      </c>
      <c r="DG36" s="1561">
        <v>0</v>
      </c>
      <c r="DH36" s="1561">
        <v>0</v>
      </c>
      <c r="DI36" s="1561">
        <v>0</v>
      </c>
      <c r="DJ36" s="1561">
        <v>0</v>
      </c>
      <c r="DK36" s="1561">
        <v>0</v>
      </c>
      <c r="DL36" s="1561">
        <v>0</v>
      </c>
      <c r="DN36" s="1562">
        <v>367.71287098520372</v>
      </c>
    </row>
    <row r="37" spans="1:118" s="14" customFormat="1" ht="6" customHeight="1" x14ac:dyDescent="0.2">
      <c r="C37" s="1430"/>
      <c r="D37" s="1430"/>
      <c r="E37" s="1430"/>
      <c r="G37" s="1488"/>
      <c r="H37" s="1488"/>
      <c r="I37" s="1488"/>
      <c r="J37" s="1488"/>
      <c r="K37" s="1488"/>
      <c r="L37" s="1488"/>
      <c r="M37" s="1488"/>
      <c r="N37" s="1488"/>
      <c r="O37" s="1563"/>
      <c r="P37" s="1488"/>
      <c r="Q37" s="1488"/>
      <c r="R37" s="1488"/>
      <c r="S37" s="1488"/>
      <c r="T37" s="1488"/>
      <c r="U37" s="1488"/>
      <c r="V37" s="1488"/>
      <c r="W37" s="1488"/>
      <c r="Y37" s="1490"/>
      <c r="Z37" s="1490"/>
      <c r="AA37" s="1490"/>
      <c r="AB37" s="1490"/>
      <c r="AC37" s="1490"/>
      <c r="AD37" s="1490"/>
      <c r="AE37" s="1490"/>
      <c r="AF37" s="1490"/>
      <c r="AG37" s="1490"/>
      <c r="AH37" s="1490"/>
      <c r="AI37" s="1490"/>
      <c r="AJ37" s="1490"/>
      <c r="AK37" s="1490"/>
      <c r="AL37" s="1490"/>
      <c r="AM37" s="1490"/>
      <c r="AN37" s="1490"/>
      <c r="AO37" s="1490"/>
      <c r="AP37" s="1490"/>
      <c r="AQ37" s="1490"/>
      <c r="AS37" s="1491"/>
      <c r="AT37" s="1491"/>
      <c r="AU37" s="1491"/>
      <c r="AV37" s="1491"/>
      <c r="AW37" s="1491"/>
      <c r="AX37" s="1491"/>
      <c r="AY37" s="1491"/>
      <c r="AZ37" s="1491"/>
      <c r="BA37" s="1491"/>
      <c r="BB37" s="1491"/>
      <c r="BC37" s="1491"/>
      <c r="BD37" s="1491"/>
      <c r="BE37" s="1491"/>
      <c r="BF37" s="1491"/>
      <c r="BG37" s="1491"/>
      <c r="BH37" s="1491"/>
      <c r="BI37" s="1491"/>
      <c r="BJ37" s="1491"/>
      <c r="BK37" s="1491"/>
      <c r="BL37" s="1491"/>
      <c r="BN37" s="1492"/>
      <c r="BO37" s="1492"/>
      <c r="BP37" s="1492"/>
      <c r="BR37" s="3168"/>
      <c r="BS37" s="1493"/>
      <c r="BU37" s="1508"/>
      <c r="BV37" s="1508"/>
      <c r="BW37" s="1508"/>
      <c r="BX37" s="1508"/>
      <c r="BY37" s="1508"/>
      <c r="BZ37" s="1508"/>
      <c r="CA37" s="1508"/>
      <c r="CB37" s="1508"/>
      <c r="CC37" s="1508"/>
      <c r="CD37" s="1508"/>
      <c r="CE37" s="1508"/>
      <c r="CF37" s="1508"/>
      <c r="CG37" s="1508"/>
      <c r="CH37" s="1508"/>
      <c r="CI37" s="1508"/>
      <c r="CJ37" s="1508"/>
      <c r="CK37" s="1508"/>
      <c r="CL37" s="1508"/>
      <c r="CM37" s="1508"/>
      <c r="CN37" s="1508"/>
      <c r="CO37" s="1508"/>
      <c r="CP37" s="1508"/>
      <c r="CQ37" s="1508"/>
      <c r="CR37" s="1508"/>
      <c r="CS37" s="1508"/>
      <c r="CT37" s="1508"/>
      <c r="CU37" s="1508"/>
      <c r="CV37" s="1508"/>
      <c r="CW37" s="1508"/>
      <c r="CX37" s="1508"/>
      <c r="CY37" s="1508"/>
      <c r="CZ37" s="1508"/>
      <c r="DA37" s="1508"/>
      <c r="DB37" s="1508"/>
      <c r="DC37" s="1508"/>
      <c r="DD37" s="1508"/>
      <c r="DE37" s="1508"/>
      <c r="DF37" s="1508"/>
      <c r="DG37" s="1508"/>
      <c r="DH37" s="1508"/>
      <c r="DI37" s="1508"/>
      <c r="DJ37" s="1508"/>
      <c r="DK37" s="1508"/>
      <c r="DL37" s="1508"/>
      <c r="DN37" s="1509"/>
    </row>
    <row r="38" spans="1:118" s="14" customFormat="1" ht="17.25" customHeight="1" x14ac:dyDescent="0.2">
      <c r="C38" s="1480" t="s">
        <v>404</v>
      </c>
      <c r="D38" s="1430"/>
      <c r="E38" s="1430"/>
      <c r="G38" s="1488"/>
      <c r="H38" s="1488"/>
      <c r="I38" s="1488"/>
      <c r="J38" s="1488"/>
      <c r="K38" s="1488"/>
      <c r="L38" s="1488"/>
      <c r="M38" s="1488"/>
      <c r="N38" s="1488"/>
      <c r="O38" s="1563"/>
      <c r="P38" s="1488"/>
      <c r="Q38" s="1488"/>
      <c r="R38" s="1488"/>
      <c r="S38" s="1488"/>
      <c r="T38" s="1488"/>
      <c r="U38" s="1488"/>
      <c r="V38" s="1488"/>
      <c r="W38" s="1488"/>
      <c r="Y38" s="1490"/>
      <c r="Z38" s="1490"/>
      <c r="AA38" s="1490"/>
      <c r="AB38" s="1490"/>
      <c r="AC38" s="1490"/>
      <c r="AD38" s="1490"/>
      <c r="AE38" s="1490"/>
      <c r="AF38" s="1490"/>
      <c r="AG38" s="1490"/>
      <c r="AH38" s="1490"/>
      <c r="AI38" s="1490"/>
      <c r="AJ38" s="1490"/>
      <c r="AK38" s="1490"/>
      <c r="AL38" s="1490"/>
      <c r="AM38" s="1490"/>
      <c r="AN38" s="1490"/>
      <c r="AO38" s="1490"/>
      <c r="AP38" s="1490"/>
      <c r="AQ38" s="1490"/>
      <c r="AS38" s="1491"/>
      <c r="AT38" s="1491"/>
      <c r="AU38" s="1491"/>
      <c r="AV38" s="1491"/>
      <c r="AW38" s="1491"/>
      <c r="AX38" s="1491"/>
      <c r="AY38" s="1491"/>
      <c r="AZ38" s="1491"/>
      <c r="BA38" s="1491"/>
      <c r="BB38" s="1491"/>
      <c r="BC38" s="1491"/>
      <c r="BD38" s="1491"/>
      <c r="BE38" s="1491"/>
      <c r="BF38" s="1491"/>
      <c r="BG38" s="1491"/>
      <c r="BH38" s="1491"/>
      <c r="BI38" s="1491"/>
      <c r="BJ38" s="1491"/>
      <c r="BK38" s="1491"/>
      <c r="BL38" s="1491"/>
      <c r="BN38" s="1492"/>
      <c r="BO38" s="1492"/>
      <c r="BP38" s="1492"/>
      <c r="BR38" s="3168"/>
      <c r="BS38" s="1493"/>
      <c r="BU38" s="1508"/>
      <c r="BV38" s="1508"/>
      <c r="BW38" s="1508"/>
      <c r="BX38" s="1508"/>
      <c r="BY38" s="1508"/>
      <c r="BZ38" s="1508"/>
      <c r="CA38" s="1508"/>
      <c r="CB38" s="1508"/>
      <c r="CC38" s="1508"/>
      <c r="CD38" s="1508"/>
      <c r="CE38" s="1508"/>
      <c r="CF38" s="1508"/>
      <c r="CG38" s="1508"/>
      <c r="CH38" s="1508"/>
      <c r="CI38" s="1508"/>
      <c r="CJ38" s="1508"/>
      <c r="CK38" s="1508"/>
      <c r="CL38" s="1508"/>
      <c r="CM38" s="1508"/>
      <c r="CN38" s="1508"/>
      <c r="CO38" s="1508"/>
      <c r="CP38" s="1508"/>
      <c r="CQ38" s="1508"/>
      <c r="CR38" s="1508"/>
      <c r="CS38" s="1508"/>
      <c r="CT38" s="1508"/>
      <c r="CU38" s="1508"/>
      <c r="CV38" s="1508"/>
      <c r="CW38" s="1508"/>
      <c r="CX38" s="1508"/>
      <c r="CY38" s="1508"/>
      <c r="CZ38" s="1508"/>
      <c r="DA38" s="1508"/>
      <c r="DB38" s="1508"/>
      <c r="DC38" s="1508"/>
      <c r="DD38" s="1508"/>
      <c r="DE38" s="1508"/>
      <c r="DF38" s="1508"/>
      <c r="DG38" s="1508"/>
      <c r="DH38" s="1508"/>
      <c r="DI38" s="1508"/>
      <c r="DJ38" s="1508"/>
      <c r="DK38" s="1508"/>
      <c r="DL38" s="1508"/>
      <c r="DN38" s="1509"/>
    </row>
    <row r="39" spans="1:118" s="14" customFormat="1" ht="24" hidden="1" customHeight="1" outlineLevel="1" x14ac:dyDescent="0.2">
      <c r="D39" s="1480"/>
      <c r="E39" s="1481"/>
      <c r="G39" s="1482"/>
      <c r="H39" s="1482"/>
      <c r="I39" s="1482"/>
      <c r="J39" s="1482"/>
      <c r="K39" s="1482"/>
      <c r="L39" s="1482"/>
      <c r="M39" s="1482"/>
      <c r="N39" s="1482"/>
      <c r="O39" s="1482"/>
      <c r="P39" s="1482"/>
      <c r="Q39" s="1482"/>
      <c r="R39" s="1482"/>
      <c r="S39" s="1482"/>
      <c r="T39" s="1482"/>
      <c r="U39" s="1482"/>
      <c r="V39" s="1482"/>
      <c r="W39" s="1482"/>
      <c r="Y39" s="1483"/>
      <c r="Z39" s="1483"/>
      <c r="AA39" s="1483"/>
      <c r="AB39" s="1483"/>
      <c r="AC39" s="1483"/>
      <c r="AD39" s="1483"/>
      <c r="AE39" s="1483"/>
      <c r="AF39" s="1483"/>
      <c r="AG39" s="1483"/>
      <c r="AH39" s="1483"/>
      <c r="AI39" s="1483"/>
      <c r="AJ39" s="1483"/>
      <c r="AK39" s="1483"/>
      <c r="AL39" s="1483"/>
      <c r="AM39" s="1483"/>
      <c r="AN39" s="1483"/>
      <c r="AO39" s="1483"/>
      <c r="AP39" s="1483"/>
      <c r="AQ39" s="1483"/>
      <c r="AS39" s="1484"/>
      <c r="AT39" s="1484"/>
      <c r="AU39" s="1484"/>
      <c r="AV39" s="1484"/>
      <c r="AW39" s="1484"/>
      <c r="AX39" s="1484"/>
      <c r="AY39" s="1484"/>
      <c r="AZ39" s="1484"/>
      <c r="BA39" s="1484"/>
      <c r="BB39" s="1484"/>
      <c r="BC39" s="1484"/>
      <c r="BD39" s="1484"/>
      <c r="BE39" s="1484"/>
      <c r="BF39" s="1484"/>
      <c r="BG39" s="1484"/>
      <c r="BH39" s="1484"/>
      <c r="BI39" s="1484"/>
      <c r="BJ39" s="1484"/>
      <c r="BK39" s="1484"/>
      <c r="BL39" s="1484"/>
      <c r="BN39" s="1485"/>
      <c r="BO39" s="1485"/>
      <c r="BP39" s="1485"/>
      <c r="BR39" s="3168">
        <f t="shared" si="12"/>
        <v>0</v>
      </c>
      <c r="BS39" s="1486"/>
      <c r="BU39" s="1508"/>
      <c r="BV39" s="1508"/>
      <c r="BW39" s="1508"/>
      <c r="BX39" s="1508"/>
      <c r="BY39" s="1508"/>
      <c r="BZ39" s="1508"/>
      <c r="CA39" s="1508"/>
      <c r="CB39" s="1508"/>
      <c r="CC39" s="1508"/>
      <c r="CD39" s="1508"/>
      <c r="CE39" s="1508"/>
      <c r="CF39" s="1508"/>
      <c r="CG39" s="1508"/>
      <c r="CH39" s="1508"/>
      <c r="CI39" s="1508"/>
      <c r="CJ39" s="1508"/>
      <c r="CK39" s="1508"/>
      <c r="CL39" s="1508"/>
      <c r="CM39" s="1508"/>
      <c r="CN39" s="1508"/>
      <c r="CO39" s="1508"/>
      <c r="CP39" s="1508"/>
      <c r="CQ39" s="1508"/>
      <c r="CR39" s="1508"/>
      <c r="CS39" s="1508"/>
      <c r="CT39" s="1508"/>
      <c r="CU39" s="1508"/>
      <c r="CV39" s="1508"/>
      <c r="CW39" s="1508"/>
      <c r="CX39" s="1508"/>
      <c r="CY39" s="1508"/>
      <c r="CZ39" s="1508"/>
      <c r="DA39" s="1508"/>
      <c r="DB39" s="1508"/>
      <c r="DC39" s="1508"/>
      <c r="DD39" s="1508"/>
      <c r="DE39" s="1508"/>
      <c r="DF39" s="1508"/>
      <c r="DG39" s="1508"/>
      <c r="DH39" s="1508"/>
      <c r="DI39" s="1508"/>
      <c r="DJ39" s="1508"/>
      <c r="DK39" s="1508"/>
      <c r="DL39" s="1508"/>
      <c r="DN39" s="1509"/>
    </row>
    <row r="40" spans="1:118" s="14" customFormat="1" ht="15.75" hidden="1" customHeight="1" outlineLevel="2" x14ac:dyDescent="0.2">
      <c r="A40" s="1534"/>
      <c r="B40" s="1534"/>
      <c r="C40" s="1544"/>
      <c r="D40" s="1538"/>
      <c r="E40" s="1538"/>
      <c r="G40" s="1488"/>
      <c r="H40" s="1488"/>
      <c r="I40" s="1488"/>
      <c r="J40" s="1488"/>
      <c r="K40" s="1488"/>
      <c r="L40" s="1488"/>
      <c r="M40" s="1488"/>
      <c r="N40" s="1488"/>
      <c r="O40" s="1563"/>
      <c r="P40" s="1488"/>
      <c r="Q40" s="1488"/>
      <c r="R40" s="1488"/>
      <c r="S40" s="1488"/>
      <c r="T40" s="1488"/>
      <c r="U40" s="1488"/>
      <c r="V40" s="1488"/>
      <c r="W40" s="1488"/>
      <c r="Y40" s="1490"/>
      <c r="Z40" s="1490"/>
      <c r="AA40" s="1490"/>
      <c r="AB40" s="1490"/>
      <c r="AC40" s="1490"/>
      <c r="AD40" s="1490"/>
      <c r="AE40" s="1490"/>
      <c r="AF40" s="1490"/>
      <c r="AG40" s="1490"/>
      <c r="AH40" s="1490"/>
      <c r="AI40" s="1490"/>
      <c r="AJ40" s="1490"/>
      <c r="AK40" s="1490"/>
      <c r="AL40" s="1490"/>
      <c r="AM40" s="1490"/>
      <c r="AN40" s="1490"/>
      <c r="AO40" s="1490"/>
      <c r="AP40" s="1490"/>
      <c r="AQ40" s="1490"/>
      <c r="AS40" s="1491"/>
      <c r="AT40" s="1491"/>
      <c r="AU40" s="1491"/>
      <c r="AV40" s="1491"/>
      <c r="AW40" s="1491"/>
      <c r="AX40" s="1491"/>
      <c r="AY40" s="1491"/>
      <c r="AZ40" s="1491"/>
      <c r="BA40" s="1491"/>
      <c r="BB40" s="1491"/>
      <c r="BC40" s="1491"/>
      <c r="BD40" s="1491"/>
      <c r="BE40" s="1491"/>
      <c r="BF40" s="1491"/>
      <c r="BG40" s="1491"/>
      <c r="BH40" s="1491"/>
      <c r="BI40" s="1491"/>
      <c r="BJ40" s="1491"/>
      <c r="BK40" s="1491"/>
      <c r="BL40" s="1491"/>
      <c r="BN40" s="1492"/>
      <c r="BO40" s="1492"/>
      <c r="BP40" s="1492"/>
      <c r="BR40" s="3168">
        <f t="shared" si="12"/>
        <v>0</v>
      </c>
      <c r="BS40" s="1493"/>
      <c r="BT40" s="1534"/>
      <c r="BU40" s="1508"/>
      <c r="BV40" s="1508"/>
      <c r="BW40" s="1508"/>
      <c r="BX40" s="1508"/>
      <c r="BY40" s="1508"/>
      <c r="BZ40" s="1508"/>
      <c r="CA40" s="1508"/>
      <c r="CB40" s="1508"/>
      <c r="CC40" s="1508"/>
      <c r="CD40" s="1508"/>
      <c r="CE40" s="1508"/>
      <c r="CF40" s="1508"/>
      <c r="CG40" s="1508"/>
      <c r="CH40" s="1508"/>
      <c r="CI40" s="1508"/>
      <c r="CJ40" s="1508"/>
      <c r="CK40" s="1508"/>
      <c r="CL40" s="1508"/>
      <c r="CM40" s="1508"/>
      <c r="CN40" s="1508"/>
      <c r="CO40" s="1508"/>
      <c r="CP40" s="1508"/>
      <c r="CQ40" s="1508"/>
      <c r="CR40" s="1508"/>
      <c r="CS40" s="1508"/>
      <c r="CT40" s="1508"/>
      <c r="CU40" s="1508"/>
      <c r="CV40" s="1508"/>
      <c r="CW40" s="1508"/>
      <c r="CX40" s="1508"/>
      <c r="CY40" s="1508"/>
      <c r="CZ40" s="1508"/>
      <c r="DA40" s="1508"/>
      <c r="DB40" s="1508"/>
      <c r="DC40" s="1508"/>
      <c r="DD40" s="1508"/>
      <c r="DE40" s="1508"/>
      <c r="DF40" s="1508"/>
      <c r="DG40" s="1508"/>
      <c r="DH40" s="1508"/>
      <c r="DI40" s="1508"/>
      <c r="DJ40" s="1508"/>
      <c r="DK40" s="1508"/>
      <c r="DL40" s="1508"/>
      <c r="DN40" s="1509"/>
    </row>
    <row r="41" spans="1:118" s="1564" customFormat="1" ht="21" hidden="1" customHeight="1" outlineLevel="2" x14ac:dyDescent="0.2">
      <c r="C41" s="1565" t="s">
        <v>807</v>
      </c>
      <c r="D41" s="1566" t="s">
        <v>808</v>
      </c>
      <c r="E41" s="1566"/>
      <c r="F41" s="1567"/>
      <c r="G41" s="1568"/>
      <c r="H41" s="1568"/>
      <c r="I41" s="1568"/>
      <c r="J41" s="1568"/>
      <c r="K41" s="1568"/>
      <c r="L41" s="1568"/>
      <c r="M41" s="1568"/>
      <c r="N41" s="1568"/>
      <c r="O41" s="1569"/>
      <c r="P41" s="1568"/>
      <c r="Q41" s="1568"/>
      <c r="R41" s="1568"/>
      <c r="S41" s="1568"/>
      <c r="T41" s="1568"/>
      <c r="U41" s="1568"/>
      <c r="V41" s="1568"/>
      <c r="W41" s="1568"/>
      <c r="X41" s="1567"/>
      <c r="Y41" s="1570"/>
      <c r="Z41" s="1570"/>
      <c r="AA41" s="1570"/>
      <c r="AB41" s="1570"/>
      <c r="AC41" s="1570"/>
      <c r="AD41" s="1570"/>
      <c r="AE41" s="1570"/>
      <c r="AF41" s="1570"/>
      <c r="AG41" s="1570"/>
      <c r="AH41" s="1570"/>
      <c r="AI41" s="1570"/>
      <c r="AJ41" s="1570"/>
      <c r="AK41" s="1570"/>
      <c r="AL41" s="1570"/>
      <c r="AM41" s="1570"/>
      <c r="AN41" s="1570"/>
      <c r="AO41" s="1570"/>
      <c r="AP41" s="1570"/>
      <c r="AQ41" s="1570"/>
      <c r="AR41" s="1567"/>
      <c r="AS41" s="1571"/>
      <c r="AT41" s="1571"/>
      <c r="AU41" s="1571"/>
      <c r="AV41" s="1571"/>
      <c r="AW41" s="1571"/>
      <c r="AX41" s="1571"/>
      <c r="AY41" s="1571"/>
      <c r="AZ41" s="1571"/>
      <c r="BA41" s="1571"/>
      <c r="BB41" s="1571"/>
      <c r="BC41" s="1571"/>
      <c r="BD41" s="1571"/>
      <c r="BE41" s="1571"/>
      <c r="BF41" s="1571"/>
      <c r="BG41" s="1571"/>
      <c r="BH41" s="1571"/>
      <c r="BI41" s="1571"/>
      <c r="BJ41" s="1571"/>
      <c r="BK41" s="1571"/>
      <c r="BL41" s="1571"/>
      <c r="BM41" s="1567"/>
      <c r="BN41" s="1572"/>
      <c r="BO41" s="1572"/>
      <c r="BP41" s="1572"/>
      <c r="BQ41" s="1567"/>
      <c r="BR41" s="3168">
        <f t="shared" si="12"/>
        <v>0</v>
      </c>
      <c r="BS41" s="1573"/>
      <c r="BU41" s="1574"/>
      <c r="BV41" s="1574"/>
      <c r="BW41" s="1574"/>
      <c r="BX41" s="1574"/>
      <c r="BY41" s="1574"/>
      <c r="BZ41" s="1574"/>
      <c r="CA41" s="1574"/>
      <c r="CB41" s="1574"/>
      <c r="CC41" s="1574"/>
      <c r="CD41" s="1574"/>
      <c r="CE41" s="1574"/>
      <c r="CF41" s="1574"/>
      <c r="CG41" s="1574"/>
      <c r="CH41" s="1574"/>
      <c r="CI41" s="1574"/>
      <c r="CJ41" s="1574"/>
      <c r="CK41" s="1574"/>
      <c r="CL41" s="1574"/>
      <c r="CM41" s="1574"/>
      <c r="CN41" s="1574"/>
      <c r="CO41" s="1574"/>
      <c r="CP41" s="1574"/>
      <c r="CQ41" s="1574"/>
      <c r="CR41" s="1574"/>
      <c r="CS41" s="1574"/>
      <c r="CT41" s="1574"/>
      <c r="CU41" s="1574"/>
      <c r="CV41" s="1574"/>
      <c r="CW41" s="1574"/>
      <c r="CX41" s="1574"/>
      <c r="CY41" s="1574"/>
      <c r="CZ41" s="1574"/>
      <c r="DA41" s="1574"/>
      <c r="DB41" s="1574"/>
      <c r="DC41" s="1574"/>
      <c r="DD41" s="1574"/>
      <c r="DE41" s="1574"/>
      <c r="DF41" s="1574"/>
      <c r="DG41" s="1574"/>
      <c r="DH41" s="1574"/>
      <c r="DI41" s="1574"/>
      <c r="DJ41" s="1574"/>
      <c r="DK41" s="1574"/>
      <c r="DL41" s="1574"/>
      <c r="DN41" s="1575">
        <v>0</v>
      </c>
    </row>
    <row r="42" spans="1:118" s="14" customFormat="1" ht="25.5" hidden="1" customHeight="1" outlineLevel="2" x14ac:dyDescent="0.2">
      <c r="A42" s="1534"/>
      <c r="B42" s="1534"/>
      <c r="C42" s="1496" t="s">
        <v>78</v>
      </c>
      <c r="D42" s="1526" t="s">
        <v>794</v>
      </c>
      <c r="E42" s="1576"/>
      <c r="G42" s="1540"/>
      <c r="H42" s="1540"/>
      <c r="I42" s="1540"/>
      <c r="J42" s="1540"/>
      <c r="K42" s="1540"/>
      <c r="L42" s="1540"/>
      <c r="M42" s="1540"/>
      <c r="N42" s="1540"/>
      <c r="O42" s="1540"/>
      <c r="P42" s="1540"/>
      <c r="Q42" s="1540"/>
      <c r="R42" s="1540"/>
      <c r="S42" s="1540"/>
      <c r="T42" s="1540"/>
      <c r="U42" s="1540"/>
      <c r="V42" s="1540"/>
      <c r="W42" s="1527"/>
      <c r="Y42" s="1541"/>
      <c r="Z42" s="1541"/>
      <c r="AA42" s="1541"/>
      <c r="AB42" s="1541"/>
      <c r="AC42" s="1541"/>
      <c r="AD42" s="1541"/>
      <c r="AE42" s="1541"/>
      <c r="AF42" s="1541"/>
      <c r="AG42" s="1541"/>
      <c r="AH42" s="1541"/>
      <c r="AI42" s="1541"/>
      <c r="AJ42" s="1541"/>
      <c r="AK42" s="1541"/>
      <c r="AL42" s="1541"/>
      <c r="AM42" s="1541"/>
      <c r="AN42" s="1541"/>
      <c r="AO42" s="1541"/>
      <c r="AP42" s="1541"/>
      <c r="AQ42" s="1528"/>
      <c r="AS42" s="1542"/>
      <c r="AT42" s="1542"/>
      <c r="AU42" s="1542"/>
      <c r="AV42" s="1542"/>
      <c r="AW42" s="1542"/>
      <c r="AX42" s="1542"/>
      <c r="AY42" s="1542"/>
      <c r="AZ42" s="1542"/>
      <c r="BA42" s="1542"/>
      <c r="BB42" s="1542"/>
      <c r="BC42" s="1542"/>
      <c r="BD42" s="1542"/>
      <c r="BE42" s="1542"/>
      <c r="BF42" s="1542"/>
      <c r="BG42" s="1542"/>
      <c r="BH42" s="1542"/>
      <c r="BI42" s="1542"/>
      <c r="BJ42" s="1542"/>
      <c r="BK42" s="1542"/>
      <c r="BL42" s="1530"/>
      <c r="BN42" s="1543"/>
      <c r="BO42" s="1543"/>
      <c r="BP42" s="1531"/>
      <c r="BR42" s="3168">
        <f t="shared" si="12"/>
        <v>0</v>
      </c>
      <c r="BS42" s="1493"/>
      <c r="BT42" s="748"/>
      <c r="BU42" s="1532">
        <v>0</v>
      </c>
      <c r="BV42" s="1533">
        <v>0</v>
      </c>
      <c r="BW42" s="1533">
        <v>0</v>
      </c>
      <c r="BX42" s="1533">
        <v>0</v>
      </c>
      <c r="BY42" s="1533">
        <v>0</v>
      </c>
      <c r="BZ42" s="1533">
        <v>0</v>
      </c>
      <c r="CA42" s="1533">
        <v>0</v>
      </c>
      <c r="CB42" s="1533">
        <v>0</v>
      </c>
      <c r="CC42" s="1533">
        <v>0</v>
      </c>
      <c r="CD42" s="1533">
        <v>0</v>
      </c>
      <c r="CE42" s="1533">
        <v>0</v>
      </c>
      <c r="CF42" s="1533">
        <v>0</v>
      </c>
      <c r="CG42" s="1533">
        <v>0</v>
      </c>
      <c r="CH42" s="1533">
        <v>0</v>
      </c>
      <c r="CI42" s="1533">
        <v>0</v>
      </c>
      <c r="CJ42" s="1533">
        <v>0</v>
      </c>
      <c r="CK42" s="1533">
        <v>0</v>
      </c>
      <c r="CL42" s="1533">
        <v>0</v>
      </c>
      <c r="CM42" s="1533">
        <v>0</v>
      </c>
      <c r="CN42" s="1533">
        <v>0</v>
      </c>
      <c r="CO42" s="1533">
        <v>0</v>
      </c>
      <c r="CP42" s="1533">
        <v>0</v>
      </c>
      <c r="CQ42" s="1533">
        <v>0</v>
      </c>
      <c r="CR42" s="1533">
        <v>0</v>
      </c>
      <c r="CS42" s="1533">
        <v>0</v>
      </c>
      <c r="CT42" s="1533">
        <v>0</v>
      </c>
      <c r="CU42" s="1533">
        <v>0</v>
      </c>
      <c r="CV42" s="1533">
        <v>0</v>
      </c>
      <c r="CW42" s="1533">
        <v>0</v>
      </c>
      <c r="CX42" s="1533">
        <v>0</v>
      </c>
      <c r="CY42" s="1533">
        <v>0</v>
      </c>
      <c r="CZ42" s="1533">
        <v>0</v>
      </c>
      <c r="DA42" s="1533">
        <v>0</v>
      </c>
      <c r="DB42" s="1533">
        <v>0</v>
      </c>
      <c r="DC42" s="1533">
        <v>0</v>
      </c>
      <c r="DD42" s="1533">
        <v>0</v>
      </c>
      <c r="DE42" s="1533">
        <v>0</v>
      </c>
      <c r="DF42" s="1533">
        <v>0</v>
      </c>
      <c r="DG42" s="1533">
        <v>0</v>
      </c>
      <c r="DH42" s="1533">
        <v>0</v>
      </c>
      <c r="DI42" s="1533">
        <v>0</v>
      </c>
      <c r="DJ42" s="1533">
        <v>0</v>
      </c>
      <c r="DK42" s="1533">
        <v>0</v>
      </c>
      <c r="DL42" s="1533">
        <v>0</v>
      </c>
      <c r="DN42" s="1509"/>
    </row>
    <row r="43" spans="1:118" s="14" customFormat="1" ht="15.75" hidden="1" outlineLevel="1" x14ac:dyDescent="0.2">
      <c r="A43" s="1845" t="s">
        <v>816</v>
      </c>
      <c r="B43" s="1846"/>
      <c r="C43" s="1842" t="s">
        <v>740</v>
      </c>
      <c r="D43" s="1843" t="s">
        <v>862</v>
      </c>
      <c r="E43" s="1844"/>
      <c r="G43" s="1539"/>
      <c r="H43" s="1539"/>
      <c r="I43" s="1539"/>
      <c r="J43" s="1539"/>
      <c r="K43" s="1539"/>
      <c r="L43" s="1539"/>
      <c r="M43" s="1539"/>
      <c r="N43" s="1539"/>
      <c r="O43" s="1539"/>
      <c r="P43" s="1539"/>
      <c r="Q43" s="1539"/>
      <c r="R43" s="1539"/>
      <c r="S43" s="1539"/>
      <c r="T43" s="1539"/>
      <c r="U43" s="1539"/>
      <c r="V43" s="1539"/>
      <c r="W43" s="1539"/>
      <c r="Y43" s="1490"/>
      <c r="Z43" s="1490"/>
      <c r="AA43" s="1490"/>
      <c r="AB43" s="1490"/>
      <c r="AC43" s="1490"/>
      <c r="AD43" s="1490"/>
      <c r="AE43" s="1490"/>
      <c r="AF43" s="1490"/>
      <c r="AG43" s="1490"/>
      <c r="AH43" s="1490"/>
      <c r="AI43" s="1490"/>
      <c r="AJ43" s="1490"/>
      <c r="AK43" s="1490"/>
      <c r="AL43" s="1490"/>
      <c r="AM43" s="1490"/>
      <c r="AN43" s="1490"/>
      <c r="AO43" s="1490"/>
      <c r="AP43" s="1490"/>
      <c r="AQ43" s="1490"/>
      <c r="AS43" s="1491"/>
      <c r="AT43" s="1491"/>
      <c r="AU43" s="1491"/>
      <c r="AV43" s="1491"/>
      <c r="AW43" s="1491"/>
      <c r="AX43" s="1491"/>
      <c r="AY43" s="1491"/>
      <c r="AZ43" s="1491"/>
      <c r="BA43" s="1491"/>
      <c r="BB43" s="1491"/>
      <c r="BC43" s="1491"/>
      <c r="BD43" s="1491"/>
      <c r="BE43" s="1491"/>
      <c r="BF43" s="1491"/>
      <c r="BG43" s="1491"/>
      <c r="BH43" s="1491"/>
      <c r="BI43" s="1491"/>
      <c r="BJ43" s="1491"/>
      <c r="BK43" s="1491"/>
      <c r="BL43" s="1491"/>
      <c r="BN43" s="1492"/>
      <c r="BO43" s="1492"/>
      <c r="BP43" s="1492"/>
      <c r="BR43" s="3168">
        <f t="shared" si="12"/>
        <v>0</v>
      </c>
      <c r="BS43" s="1493"/>
      <c r="BT43" s="748"/>
      <c r="BU43" s="1508"/>
      <c r="BV43" s="1508"/>
      <c r="BW43" s="1508"/>
      <c r="BX43" s="1508"/>
      <c r="BY43" s="1508"/>
      <c r="BZ43" s="1508"/>
      <c r="CA43" s="1508"/>
      <c r="CB43" s="1508"/>
      <c r="CC43" s="1508"/>
      <c r="CD43" s="1508"/>
      <c r="CE43" s="1508"/>
      <c r="CF43" s="1508"/>
      <c r="CG43" s="1508"/>
      <c r="CH43" s="1508"/>
      <c r="CI43" s="1508"/>
      <c r="CJ43" s="1508"/>
      <c r="CK43" s="1508"/>
      <c r="CL43" s="1508"/>
      <c r="CM43" s="1508"/>
      <c r="CN43" s="1508"/>
      <c r="CO43" s="1508"/>
      <c r="CP43" s="1508"/>
      <c r="CQ43" s="1508"/>
      <c r="CR43" s="1508"/>
      <c r="CS43" s="1508"/>
      <c r="CT43" s="1508"/>
      <c r="CU43" s="1508"/>
      <c r="CV43" s="1508"/>
      <c r="CW43" s="1508"/>
      <c r="CX43" s="1508"/>
      <c r="CY43" s="1508"/>
      <c r="CZ43" s="1508"/>
      <c r="DA43" s="1508"/>
      <c r="DB43" s="1508"/>
      <c r="DC43" s="1508"/>
      <c r="DD43" s="1508"/>
      <c r="DE43" s="1508"/>
      <c r="DF43" s="1508"/>
      <c r="DG43" s="1508"/>
      <c r="DH43" s="1508"/>
      <c r="DI43" s="1508"/>
      <c r="DJ43" s="1508"/>
      <c r="DK43" s="1508"/>
      <c r="DL43" s="1508"/>
      <c r="DN43" s="1509"/>
    </row>
    <row r="44" spans="1:118" s="14" customFormat="1" ht="15.75" hidden="1" customHeight="1" outlineLevel="2" x14ac:dyDescent="0.2">
      <c r="A44" s="1534"/>
      <c r="B44" s="1534"/>
      <c r="C44" s="1544"/>
      <c r="D44" s="1538"/>
      <c r="E44" s="1538"/>
      <c r="G44" s="1488"/>
      <c r="H44" s="1488"/>
      <c r="I44" s="1488"/>
      <c r="J44" s="1488"/>
      <c r="K44" s="1488"/>
      <c r="L44" s="1488"/>
      <c r="M44" s="1488"/>
      <c r="N44" s="1488"/>
      <c r="O44" s="1563"/>
      <c r="P44" s="1488"/>
      <c r="Q44" s="1488"/>
      <c r="R44" s="1488"/>
      <c r="S44" s="1488"/>
      <c r="T44" s="1488"/>
      <c r="U44" s="1488"/>
      <c r="V44" s="1488"/>
      <c r="W44" s="1488"/>
      <c r="Y44" s="1490"/>
      <c r="Z44" s="1490"/>
      <c r="AA44" s="1490"/>
      <c r="AB44" s="1490"/>
      <c r="AC44" s="1490"/>
      <c r="AD44" s="1490"/>
      <c r="AE44" s="1490"/>
      <c r="AF44" s="1490"/>
      <c r="AG44" s="1490"/>
      <c r="AH44" s="1490"/>
      <c r="AI44" s="1490"/>
      <c r="AJ44" s="1490"/>
      <c r="AK44" s="1490"/>
      <c r="AL44" s="1490"/>
      <c r="AM44" s="1490"/>
      <c r="AN44" s="1490"/>
      <c r="AO44" s="1490"/>
      <c r="AP44" s="1490"/>
      <c r="AQ44" s="1490"/>
      <c r="AS44" s="1491"/>
      <c r="AT44" s="1491"/>
      <c r="AU44" s="1491"/>
      <c r="AV44" s="1491"/>
      <c r="AW44" s="1491"/>
      <c r="AX44" s="1491"/>
      <c r="AY44" s="1491"/>
      <c r="AZ44" s="1491"/>
      <c r="BA44" s="1491"/>
      <c r="BB44" s="1491"/>
      <c r="BC44" s="1491"/>
      <c r="BD44" s="1491"/>
      <c r="BE44" s="1491"/>
      <c r="BF44" s="1491"/>
      <c r="BG44" s="1491"/>
      <c r="BH44" s="1491"/>
      <c r="BI44" s="1491"/>
      <c r="BJ44" s="1491"/>
      <c r="BK44" s="1491"/>
      <c r="BL44" s="1491"/>
      <c r="BN44" s="1492"/>
      <c r="BO44" s="1492"/>
      <c r="BP44" s="1492"/>
      <c r="BR44" s="3168">
        <f t="shared" si="12"/>
        <v>0</v>
      </c>
      <c r="BS44" s="1493"/>
      <c r="BT44" s="1534"/>
      <c r="BU44" s="1508"/>
      <c r="BV44" s="1508"/>
      <c r="BW44" s="1508"/>
      <c r="BX44" s="1508"/>
      <c r="BY44" s="1508"/>
      <c r="BZ44" s="1508"/>
      <c r="CA44" s="1508"/>
      <c r="CB44" s="1508"/>
      <c r="CC44" s="1508"/>
      <c r="CD44" s="1508"/>
      <c r="CE44" s="1508"/>
      <c r="CF44" s="1508"/>
      <c r="CG44" s="1508"/>
      <c r="CH44" s="1508"/>
      <c r="CI44" s="1508"/>
      <c r="CJ44" s="1508"/>
      <c r="CK44" s="1508"/>
      <c r="CL44" s="1508"/>
      <c r="CM44" s="1508"/>
      <c r="CN44" s="1508"/>
      <c r="CO44" s="1508"/>
      <c r="CP44" s="1508"/>
      <c r="CQ44" s="1508"/>
      <c r="CR44" s="1508"/>
      <c r="CS44" s="1508"/>
      <c r="CT44" s="1508"/>
      <c r="CU44" s="1508"/>
      <c r="CV44" s="1508"/>
      <c r="CW44" s="1508"/>
      <c r="CX44" s="1508"/>
      <c r="CY44" s="1508"/>
      <c r="CZ44" s="1508"/>
      <c r="DA44" s="1508"/>
      <c r="DB44" s="1508"/>
      <c r="DC44" s="1508"/>
      <c r="DD44" s="1508"/>
      <c r="DE44" s="1508"/>
      <c r="DF44" s="1508"/>
      <c r="DG44" s="1508"/>
      <c r="DH44" s="1508"/>
      <c r="DI44" s="1508"/>
      <c r="DJ44" s="1508"/>
      <c r="DK44" s="1508"/>
      <c r="DL44" s="1508"/>
      <c r="DN44" s="1509"/>
    </row>
    <row r="45" spans="1:118" s="14" customFormat="1" ht="11.25" hidden="1" customHeight="1" outlineLevel="2" x14ac:dyDescent="0.2">
      <c r="A45" s="1522"/>
      <c r="B45" s="1522"/>
      <c r="C45" s="1577" t="s">
        <v>108</v>
      </c>
      <c r="D45" s="1497" t="s">
        <v>109</v>
      </c>
      <c r="E45" s="1497"/>
      <c r="G45" s="1498"/>
      <c r="H45" s="1498"/>
      <c r="I45" s="1498"/>
      <c r="J45" s="1498"/>
      <c r="K45" s="1498"/>
      <c r="L45" s="1498"/>
      <c r="M45" s="1498"/>
      <c r="N45" s="1498"/>
      <c r="O45" s="1498"/>
      <c r="P45" s="1498"/>
      <c r="Q45" s="1498"/>
      <c r="R45" s="1498"/>
      <c r="S45" s="1498"/>
      <c r="T45" s="1498"/>
      <c r="U45" s="1498"/>
      <c r="V45" s="1498"/>
      <c r="W45" s="1499"/>
      <c r="Y45" s="1500"/>
      <c r="Z45" s="1500"/>
      <c r="AA45" s="1500"/>
      <c r="AB45" s="1500"/>
      <c r="AC45" s="1500"/>
      <c r="AD45" s="1500"/>
      <c r="AE45" s="1500"/>
      <c r="AF45" s="1500"/>
      <c r="AG45" s="1500"/>
      <c r="AH45" s="1500"/>
      <c r="AI45" s="1500"/>
      <c r="AJ45" s="1500"/>
      <c r="AK45" s="1500"/>
      <c r="AL45" s="1500"/>
      <c r="AM45" s="1500"/>
      <c r="AN45" s="1500"/>
      <c r="AO45" s="1500"/>
      <c r="AP45" s="1500"/>
      <c r="AQ45" s="1501"/>
      <c r="AS45" s="1502"/>
      <c r="AT45" s="1502"/>
      <c r="AU45" s="1502"/>
      <c r="AV45" s="1502"/>
      <c r="AW45" s="1502"/>
      <c r="AX45" s="1502"/>
      <c r="AY45" s="1502"/>
      <c r="AZ45" s="1502"/>
      <c r="BA45" s="1502"/>
      <c r="BB45" s="1502"/>
      <c r="BC45" s="1502"/>
      <c r="BD45" s="1502"/>
      <c r="BE45" s="1502"/>
      <c r="BF45" s="1502"/>
      <c r="BG45" s="1502"/>
      <c r="BH45" s="1502"/>
      <c r="BI45" s="1502"/>
      <c r="BJ45" s="1502"/>
      <c r="BK45" s="1502"/>
      <c r="BL45" s="1524"/>
      <c r="BN45" s="1504"/>
      <c r="BO45" s="1504"/>
      <c r="BP45" s="1505"/>
      <c r="BR45" s="3168">
        <f t="shared" si="12"/>
        <v>0</v>
      </c>
      <c r="BS45" s="1525"/>
      <c r="BT45" s="748"/>
      <c r="BU45" s="1507"/>
      <c r="BV45" s="1508"/>
      <c r="BW45" s="1508"/>
      <c r="BX45" s="1508"/>
      <c r="BY45" s="1508"/>
      <c r="BZ45" s="1508"/>
      <c r="CA45" s="1508"/>
      <c r="CB45" s="1508"/>
      <c r="CC45" s="1508"/>
      <c r="CD45" s="1508"/>
      <c r="CE45" s="1508"/>
      <c r="CF45" s="1508"/>
      <c r="CG45" s="1508"/>
      <c r="CH45" s="1508"/>
      <c r="CI45" s="1508"/>
      <c r="CJ45" s="1508"/>
      <c r="CK45" s="1508"/>
      <c r="CL45" s="1508"/>
      <c r="CM45" s="1508"/>
      <c r="CN45" s="1508"/>
      <c r="CO45" s="1508"/>
      <c r="CP45" s="1508"/>
      <c r="CQ45" s="1508"/>
      <c r="CR45" s="1508"/>
      <c r="CS45" s="1508"/>
      <c r="CT45" s="1508"/>
      <c r="CU45" s="1508"/>
      <c r="CV45" s="1508"/>
      <c r="CW45" s="1508"/>
      <c r="CX45" s="1508"/>
      <c r="CY45" s="1508"/>
      <c r="CZ45" s="1508"/>
      <c r="DA45" s="1508"/>
      <c r="DB45" s="1508"/>
      <c r="DC45" s="1508"/>
      <c r="DD45" s="1508"/>
      <c r="DE45" s="1508"/>
      <c r="DF45" s="1508"/>
      <c r="DG45" s="1508"/>
      <c r="DH45" s="1508"/>
      <c r="DI45" s="1508"/>
      <c r="DJ45" s="1508"/>
      <c r="DK45" s="1508"/>
      <c r="DL45" s="1508"/>
      <c r="DN45" s="1509"/>
    </row>
    <row r="46" spans="1:118" s="14" customFormat="1" ht="16.5" hidden="1" customHeight="1" outlineLevel="2" x14ac:dyDescent="0.2">
      <c r="A46" s="1522"/>
      <c r="B46" s="1522"/>
      <c r="C46" s="1577" t="s">
        <v>801</v>
      </c>
      <c r="D46" s="1526" t="s">
        <v>802</v>
      </c>
      <c r="E46" s="1526"/>
      <c r="G46" s="1540"/>
      <c r="H46" s="1540"/>
      <c r="I46" s="1540"/>
      <c r="J46" s="1540"/>
      <c r="K46" s="1540"/>
      <c r="L46" s="1540"/>
      <c r="M46" s="1540"/>
      <c r="N46" s="1540"/>
      <c r="O46" s="1540"/>
      <c r="P46" s="1540"/>
      <c r="Q46" s="1540"/>
      <c r="R46" s="1540"/>
      <c r="S46" s="1540"/>
      <c r="T46" s="1540"/>
      <c r="U46" s="1540"/>
      <c r="V46" s="1540"/>
      <c r="W46" s="1527"/>
      <c r="Y46" s="1541"/>
      <c r="Z46" s="1541"/>
      <c r="AA46" s="1541"/>
      <c r="AB46" s="1541"/>
      <c r="AC46" s="1541"/>
      <c r="AD46" s="1541"/>
      <c r="AE46" s="1541"/>
      <c r="AF46" s="1541"/>
      <c r="AG46" s="1541"/>
      <c r="AH46" s="1541"/>
      <c r="AI46" s="1541"/>
      <c r="AJ46" s="1541"/>
      <c r="AK46" s="1541"/>
      <c r="AL46" s="1541"/>
      <c r="AM46" s="1541"/>
      <c r="AN46" s="1541"/>
      <c r="AO46" s="1541"/>
      <c r="AP46" s="1541"/>
      <c r="AQ46" s="1528"/>
      <c r="AS46" s="1542"/>
      <c r="AT46" s="1542"/>
      <c r="AU46" s="1542"/>
      <c r="AV46" s="1542"/>
      <c r="AW46" s="1542"/>
      <c r="AX46" s="1542"/>
      <c r="AY46" s="1542"/>
      <c r="AZ46" s="1542"/>
      <c r="BA46" s="1542"/>
      <c r="BB46" s="1542"/>
      <c r="BC46" s="1542"/>
      <c r="BD46" s="1542"/>
      <c r="BE46" s="1542"/>
      <c r="BF46" s="1542"/>
      <c r="BG46" s="1542"/>
      <c r="BH46" s="1542"/>
      <c r="BI46" s="1542"/>
      <c r="BJ46" s="1542"/>
      <c r="BK46" s="1542"/>
      <c r="BL46" s="1530"/>
      <c r="BN46" s="1543"/>
      <c r="BO46" s="1543"/>
      <c r="BP46" s="1531"/>
      <c r="BR46" s="3168">
        <f t="shared" si="12"/>
        <v>0</v>
      </c>
      <c r="BS46" s="1525"/>
      <c r="BT46" s="748"/>
      <c r="BU46" s="1532"/>
      <c r="BV46" s="1533"/>
      <c r="BW46" s="1533"/>
      <c r="BX46" s="1533"/>
      <c r="BY46" s="1533"/>
      <c r="BZ46" s="1533"/>
      <c r="CA46" s="1533"/>
      <c r="CB46" s="1533"/>
      <c r="CC46" s="1533"/>
      <c r="CD46" s="1533"/>
      <c r="CE46" s="1533"/>
      <c r="CF46" s="1533"/>
      <c r="CG46" s="1533"/>
      <c r="CH46" s="1533"/>
      <c r="CI46" s="1533"/>
      <c r="CJ46" s="1533"/>
      <c r="CK46" s="1533"/>
      <c r="CL46" s="1533"/>
      <c r="CM46" s="1533"/>
      <c r="CN46" s="1533"/>
      <c r="CO46" s="1533"/>
      <c r="CP46" s="1533"/>
      <c r="CQ46" s="1533"/>
      <c r="CR46" s="1533"/>
      <c r="CS46" s="1533"/>
      <c r="CT46" s="1533"/>
      <c r="CU46" s="1533"/>
      <c r="CV46" s="1533"/>
      <c r="CW46" s="1533"/>
      <c r="CX46" s="1533"/>
      <c r="CY46" s="1533"/>
      <c r="CZ46" s="1533"/>
      <c r="DA46" s="1533"/>
      <c r="DB46" s="1533"/>
      <c r="DC46" s="1533"/>
      <c r="DD46" s="1533"/>
      <c r="DE46" s="1533"/>
      <c r="DF46" s="1533"/>
      <c r="DG46" s="1533"/>
      <c r="DH46" s="1533"/>
      <c r="DI46" s="1533"/>
      <c r="DJ46" s="1533"/>
      <c r="DK46" s="1533"/>
      <c r="DL46" s="1533"/>
      <c r="DN46" s="1509"/>
    </row>
    <row r="47" spans="1:118" s="14" customFormat="1" ht="15.75" hidden="1" outlineLevel="1" collapsed="1" x14ac:dyDescent="0.2">
      <c r="A47" s="1845" t="s">
        <v>816</v>
      </c>
      <c r="B47" s="1847"/>
      <c r="C47" s="1842" t="s">
        <v>745</v>
      </c>
      <c r="D47" s="1843" t="s">
        <v>863</v>
      </c>
      <c r="E47" s="1844"/>
      <c r="G47" s="1539"/>
      <c r="H47" s="1539"/>
      <c r="I47" s="1539"/>
      <c r="J47" s="1539"/>
      <c r="K47" s="1539"/>
      <c r="L47" s="1539"/>
      <c r="M47" s="1539"/>
      <c r="N47" s="1539"/>
      <c r="O47" s="1539"/>
      <c r="P47" s="1539"/>
      <c r="Q47" s="1539"/>
      <c r="R47" s="1539"/>
      <c r="S47" s="1539"/>
      <c r="T47" s="1539"/>
      <c r="U47" s="1539"/>
      <c r="V47" s="1539"/>
      <c r="W47" s="1539"/>
      <c r="Y47" s="1490"/>
      <c r="Z47" s="1490"/>
      <c r="AA47" s="1490"/>
      <c r="AB47" s="1490"/>
      <c r="AC47" s="1490"/>
      <c r="AD47" s="1490"/>
      <c r="AE47" s="1490"/>
      <c r="AF47" s="1490"/>
      <c r="AG47" s="1490"/>
      <c r="AH47" s="1490"/>
      <c r="AI47" s="1490"/>
      <c r="AJ47" s="1490"/>
      <c r="AK47" s="1490"/>
      <c r="AL47" s="1490"/>
      <c r="AM47" s="1490"/>
      <c r="AN47" s="1490"/>
      <c r="AO47" s="1490"/>
      <c r="AP47" s="1490"/>
      <c r="AQ47" s="1490"/>
      <c r="AS47" s="1491"/>
      <c r="AT47" s="1491"/>
      <c r="AU47" s="1491"/>
      <c r="AV47" s="1491"/>
      <c r="AW47" s="1491"/>
      <c r="AX47" s="1491"/>
      <c r="AY47" s="1491"/>
      <c r="AZ47" s="1491"/>
      <c r="BA47" s="1491"/>
      <c r="BB47" s="1491"/>
      <c r="BC47" s="1491"/>
      <c r="BD47" s="1491"/>
      <c r="BE47" s="1491"/>
      <c r="BF47" s="1491"/>
      <c r="BG47" s="1491"/>
      <c r="BH47" s="1491"/>
      <c r="BI47" s="1491"/>
      <c r="BJ47" s="1491"/>
      <c r="BK47" s="1491"/>
      <c r="BL47" s="1491"/>
      <c r="BN47" s="1492"/>
      <c r="BO47" s="1492"/>
      <c r="BP47" s="1492"/>
      <c r="BR47" s="3168">
        <f t="shared" si="12"/>
        <v>0</v>
      </c>
      <c r="BS47" s="1579"/>
      <c r="BT47" s="748"/>
      <c r="BU47" s="1507"/>
      <c r="BV47" s="1508"/>
      <c r="BW47" s="1508"/>
      <c r="BX47" s="1508"/>
      <c r="BY47" s="1508"/>
      <c r="BZ47" s="1508"/>
      <c r="CA47" s="1508"/>
      <c r="CB47" s="1508"/>
      <c r="CC47" s="1508"/>
      <c r="CD47" s="1508"/>
      <c r="CE47" s="1508"/>
      <c r="CF47" s="1508"/>
      <c r="CG47" s="1508"/>
      <c r="CH47" s="1508"/>
      <c r="CI47" s="1508"/>
      <c r="CJ47" s="1508"/>
      <c r="CK47" s="1508"/>
      <c r="CL47" s="1508"/>
      <c r="CM47" s="1508"/>
      <c r="CN47" s="1508"/>
      <c r="CO47" s="1508"/>
      <c r="CP47" s="1508"/>
      <c r="CQ47" s="1508"/>
      <c r="CR47" s="1508"/>
      <c r="CS47" s="1508"/>
      <c r="CT47" s="1508"/>
      <c r="CU47" s="1508"/>
      <c r="CV47" s="1508"/>
      <c r="CW47" s="1508"/>
      <c r="CX47" s="1508"/>
      <c r="CY47" s="1508"/>
      <c r="CZ47" s="1508"/>
      <c r="DA47" s="1508"/>
      <c r="DB47" s="1508"/>
      <c r="DC47" s="1508"/>
      <c r="DD47" s="1508"/>
      <c r="DE47" s="1508"/>
      <c r="DF47" s="1508"/>
      <c r="DG47" s="1508"/>
      <c r="DH47" s="1508"/>
      <c r="DI47" s="1508"/>
      <c r="DJ47" s="1508"/>
      <c r="DK47" s="1508"/>
      <c r="DL47" s="1508"/>
      <c r="DN47" s="1509"/>
    </row>
    <row r="48" spans="1:118" s="14" customFormat="1" ht="15.75" collapsed="1" x14ac:dyDescent="0.2">
      <c r="A48" s="1845"/>
      <c r="B48" s="1847"/>
      <c r="C48" s="1842"/>
      <c r="D48" s="1843"/>
      <c r="E48" s="1844"/>
      <c r="G48" s="1539"/>
      <c r="H48" s="1539"/>
      <c r="I48" s="1539"/>
      <c r="J48" s="1539"/>
      <c r="K48" s="1539"/>
      <c r="L48" s="1539"/>
      <c r="M48" s="1539"/>
      <c r="N48" s="1539"/>
      <c r="O48" s="1539"/>
      <c r="P48" s="1539"/>
      <c r="Q48" s="1539"/>
      <c r="R48" s="1539"/>
      <c r="S48" s="1539"/>
      <c r="T48" s="1539"/>
      <c r="U48" s="1539"/>
      <c r="V48" s="1539"/>
      <c r="W48" s="1539"/>
      <c r="Y48" s="1490"/>
      <c r="Z48" s="1490"/>
      <c r="AA48" s="1490"/>
      <c r="AB48" s="1490"/>
      <c r="AC48" s="1490"/>
      <c r="AD48" s="1490"/>
      <c r="AE48" s="1490"/>
      <c r="AF48" s="1490"/>
      <c r="AG48" s="1490"/>
      <c r="AH48" s="1490"/>
      <c r="AI48" s="1490"/>
      <c r="AJ48" s="1490"/>
      <c r="AK48" s="1490"/>
      <c r="AL48" s="1490"/>
      <c r="AM48" s="1490"/>
      <c r="AN48" s="1490"/>
      <c r="AO48" s="1490"/>
      <c r="AP48" s="1490"/>
      <c r="AQ48" s="1490"/>
      <c r="AS48" s="1491"/>
      <c r="AT48" s="1491"/>
      <c r="AU48" s="1491"/>
      <c r="AV48" s="1491"/>
      <c r="AW48" s="1491"/>
      <c r="AX48" s="1491"/>
      <c r="AY48" s="1491"/>
      <c r="AZ48" s="1491"/>
      <c r="BA48" s="1491"/>
      <c r="BB48" s="1491"/>
      <c r="BC48" s="1491"/>
      <c r="BD48" s="1491"/>
      <c r="BE48" s="1491"/>
      <c r="BF48" s="1491"/>
      <c r="BG48" s="1491"/>
      <c r="BH48" s="1491"/>
      <c r="BI48" s="1491"/>
      <c r="BJ48" s="1491"/>
      <c r="BK48" s="1491"/>
      <c r="BL48" s="1491"/>
      <c r="BN48" s="1492"/>
      <c r="BO48" s="1492"/>
      <c r="BP48" s="1492"/>
      <c r="BR48" s="3168"/>
      <c r="BS48" s="1579"/>
      <c r="BT48" s="748"/>
      <c r="BU48" s="1507"/>
      <c r="BV48" s="1508"/>
      <c r="BW48" s="1508"/>
      <c r="BX48" s="1508"/>
      <c r="BY48" s="1508"/>
      <c r="BZ48" s="1508"/>
      <c r="CA48" s="1508"/>
      <c r="CB48" s="1508"/>
      <c r="CC48" s="1508"/>
      <c r="CD48" s="1508"/>
      <c r="CE48" s="1508"/>
      <c r="CF48" s="1508"/>
      <c r="CG48" s="1508"/>
      <c r="CH48" s="1508"/>
      <c r="CI48" s="1508"/>
      <c r="CJ48" s="1508"/>
      <c r="CK48" s="1508"/>
      <c r="CL48" s="1508"/>
      <c r="CM48" s="1508"/>
      <c r="CN48" s="1508"/>
      <c r="CO48" s="1508"/>
      <c r="CP48" s="1508"/>
      <c r="CQ48" s="1508"/>
      <c r="CR48" s="1508"/>
      <c r="CS48" s="1508"/>
      <c r="CT48" s="1508"/>
      <c r="CU48" s="1508"/>
      <c r="CV48" s="1508"/>
      <c r="CW48" s="1508"/>
      <c r="CX48" s="1508"/>
      <c r="CY48" s="1508"/>
      <c r="CZ48" s="1508"/>
      <c r="DA48" s="1508"/>
      <c r="DB48" s="1508"/>
      <c r="DC48" s="1508"/>
      <c r="DD48" s="1508"/>
      <c r="DE48" s="1508"/>
      <c r="DF48" s="1508"/>
      <c r="DG48" s="1508"/>
      <c r="DH48" s="1508"/>
      <c r="DI48" s="1508"/>
      <c r="DJ48" s="1508"/>
      <c r="DK48" s="1508"/>
      <c r="DL48" s="1508"/>
      <c r="DN48" s="1509"/>
    </row>
    <row r="49" spans="1:118" s="14" customFormat="1" ht="15.75" x14ac:dyDescent="0.2">
      <c r="A49" s="1534"/>
      <c r="B49" s="1535"/>
      <c r="C49" s="1536"/>
      <c r="D49" s="1537"/>
      <c r="E49" s="1538"/>
      <c r="G49" s="1539"/>
      <c r="H49" s="1539"/>
      <c r="I49" s="1539"/>
      <c r="J49" s="1539"/>
      <c r="K49" s="1539"/>
      <c r="L49" s="1539"/>
      <c r="M49" s="1539"/>
      <c r="N49" s="1539"/>
      <c r="O49" s="1539"/>
      <c r="P49" s="1539"/>
      <c r="Q49" s="1539"/>
      <c r="R49" s="1539"/>
      <c r="S49" s="1539"/>
      <c r="T49" s="1539"/>
      <c r="U49" s="1539"/>
      <c r="V49" s="1539"/>
      <c r="W49" s="1539"/>
      <c r="Y49" s="1490"/>
      <c r="Z49" s="1490"/>
      <c r="AA49" s="1490"/>
      <c r="AB49" s="1490"/>
      <c r="AC49" s="1490"/>
      <c r="AD49" s="1490"/>
      <c r="AE49" s="1490"/>
      <c r="AF49" s="1490"/>
      <c r="AG49" s="1490"/>
      <c r="AH49" s="1490"/>
      <c r="AI49" s="1490"/>
      <c r="AJ49" s="1490"/>
      <c r="AK49" s="1490"/>
      <c r="AL49" s="1490"/>
      <c r="AM49" s="1490"/>
      <c r="AN49" s="1490"/>
      <c r="AO49" s="1490"/>
      <c r="AP49" s="1490"/>
      <c r="AQ49" s="1893"/>
      <c r="AS49" s="1491"/>
      <c r="AT49" s="1491"/>
      <c r="AU49" s="1491"/>
      <c r="AV49" s="1491"/>
      <c r="AW49" s="1491"/>
      <c r="AX49" s="1491"/>
      <c r="AY49" s="1491"/>
      <c r="AZ49" s="1491"/>
      <c r="BA49" s="1491"/>
      <c r="BB49" s="1491"/>
      <c r="BC49" s="1491"/>
      <c r="BD49" s="1491"/>
      <c r="BE49" s="1491"/>
      <c r="BF49" s="1491"/>
      <c r="BG49" s="1491"/>
      <c r="BH49" s="1491"/>
      <c r="BI49" s="1491"/>
      <c r="BJ49" s="1491"/>
      <c r="BK49" s="1491"/>
      <c r="BL49" s="1491"/>
      <c r="BN49" s="1492"/>
      <c r="BO49" s="1492"/>
      <c r="BP49" s="1492"/>
      <c r="BR49" s="3168"/>
      <c r="BS49" s="1493"/>
      <c r="BT49" s="748"/>
      <c r="BU49" s="1508"/>
      <c r="BV49" s="1508"/>
      <c r="BW49" s="1508"/>
      <c r="BX49" s="1508"/>
      <c r="BY49" s="1508"/>
      <c r="BZ49" s="1508"/>
      <c r="CA49" s="1508"/>
      <c r="CB49" s="1508"/>
      <c r="CC49" s="1508"/>
      <c r="CD49" s="1508"/>
      <c r="CE49" s="1508"/>
      <c r="CF49" s="1508"/>
      <c r="CG49" s="1508"/>
      <c r="CH49" s="1508"/>
      <c r="CI49" s="1508"/>
      <c r="CJ49" s="1508"/>
      <c r="CK49" s="1508"/>
      <c r="CL49" s="1508"/>
      <c r="CM49" s="1508"/>
      <c r="CN49" s="1508"/>
      <c r="CO49" s="1508"/>
      <c r="CP49" s="1508"/>
      <c r="CQ49" s="1508"/>
      <c r="CR49" s="1508"/>
      <c r="CS49" s="1508"/>
      <c r="CT49" s="1508"/>
      <c r="CU49" s="1508"/>
      <c r="CV49" s="1508"/>
      <c r="CW49" s="1508"/>
      <c r="CX49" s="1508"/>
      <c r="CY49" s="1508"/>
      <c r="CZ49" s="1508"/>
      <c r="DA49" s="1508"/>
      <c r="DB49" s="1508"/>
      <c r="DC49" s="1508"/>
      <c r="DD49" s="1508"/>
      <c r="DE49" s="1508"/>
      <c r="DF49" s="1508"/>
      <c r="DG49" s="1508"/>
      <c r="DH49" s="1508"/>
      <c r="DI49" s="1508"/>
      <c r="DJ49" s="1508"/>
      <c r="DK49" s="1508"/>
      <c r="DL49" s="1508"/>
      <c r="DN49" s="1509"/>
    </row>
    <row r="50" spans="1:118" s="14" customFormat="1" ht="12.75" hidden="1" customHeight="1" outlineLevel="1" x14ac:dyDescent="0.2">
      <c r="A50" s="1534"/>
      <c r="B50" s="1534"/>
      <c r="C50" s="1544"/>
      <c r="D50" s="1538"/>
      <c r="E50" s="1538"/>
      <c r="G50" s="1488"/>
      <c r="H50" s="1488"/>
      <c r="I50" s="1488"/>
      <c r="J50" s="1488"/>
      <c r="K50" s="1488"/>
      <c r="L50" s="1488"/>
      <c r="M50" s="1488"/>
      <c r="N50" s="1488"/>
      <c r="O50" s="1563"/>
      <c r="P50" s="1488"/>
      <c r="Q50" s="1488"/>
      <c r="R50" s="1488"/>
      <c r="S50" s="1488"/>
      <c r="T50" s="1488"/>
      <c r="U50" s="1488"/>
      <c r="V50" s="1488"/>
      <c r="W50" s="1488"/>
      <c r="Y50" s="1490"/>
      <c r="Z50" s="1490"/>
      <c r="AA50" s="1490"/>
      <c r="AB50" s="1490"/>
      <c r="AC50" s="1490"/>
      <c r="AD50" s="1490"/>
      <c r="AE50" s="1490"/>
      <c r="AF50" s="1490"/>
      <c r="AG50" s="1490"/>
      <c r="AH50" s="1490"/>
      <c r="AI50" s="1490"/>
      <c r="AJ50" s="1490"/>
      <c r="AK50" s="1490"/>
      <c r="AL50" s="1490"/>
      <c r="AM50" s="1490"/>
      <c r="AN50" s="1490"/>
      <c r="AO50" s="1490"/>
      <c r="AP50" s="1490"/>
      <c r="AQ50" s="1893"/>
      <c r="AS50" s="1491"/>
      <c r="AT50" s="1491"/>
      <c r="AU50" s="1491"/>
      <c r="AV50" s="1491"/>
      <c r="AW50" s="1491"/>
      <c r="AX50" s="1491"/>
      <c r="AY50" s="1491"/>
      <c r="AZ50" s="1491"/>
      <c r="BA50" s="1491"/>
      <c r="BB50" s="1491"/>
      <c r="BC50" s="1491"/>
      <c r="BD50" s="1491"/>
      <c r="BE50" s="1491"/>
      <c r="BF50" s="1491"/>
      <c r="BG50" s="1491"/>
      <c r="BH50" s="1491"/>
      <c r="BI50" s="1491"/>
      <c r="BJ50" s="1491"/>
      <c r="BK50" s="1491"/>
      <c r="BL50" s="1491"/>
      <c r="BN50" s="1492"/>
      <c r="BO50" s="1492"/>
      <c r="BP50" s="1492"/>
      <c r="BR50" s="3168">
        <f>W50+AQ50+BL50+BP50</f>
        <v>0</v>
      </c>
      <c r="BS50" s="1493"/>
      <c r="BT50" s="1534"/>
      <c r="BU50" s="1508"/>
      <c r="BV50" s="1508"/>
      <c r="BW50" s="1508"/>
      <c r="BX50" s="1508"/>
      <c r="BY50" s="1508"/>
      <c r="BZ50" s="1508"/>
      <c r="CA50" s="1508"/>
      <c r="CB50" s="1508"/>
      <c r="CC50" s="1508"/>
      <c r="CD50" s="1508"/>
      <c r="CE50" s="1508"/>
      <c r="CF50" s="1508"/>
      <c r="CG50" s="1508"/>
      <c r="CH50" s="1508"/>
      <c r="CI50" s="1508"/>
      <c r="CJ50" s="1508"/>
      <c r="CK50" s="1508"/>
      <c r="CL50" s="1508"/>
      <c r="CM50" s="1508"/>
      <c r="CN50" s="1508"/>
      <c r="CO50" s="1508"/>
      <c r="CP50" s="1508"/>
      <c r="CQ50" s="1508"/>
      <c r="CR50" s="1508"/>
      <c r="CS50" s="1508"/>
      <c r="CT50" s="1508"/>
      <c r="CU50" s="1508"/>
      <c r="CV50" s="1508"/>
      <c r="CW50" s="1508"/>
      <c r="CX50" s="1508"/>
      <c r="CY50" s="1508"/>
      <c r="CZ50" s="1508"/>
      <c r="DA50" s="1508"/>
      <c r="DB50" s="1508"/>
      <c r="DC50" s="1508"/>
      <c r="DD50" s="1508"/>
      <c r="DE50" s="1508"/>
      <c r="DF50" s="1508"/>
      <c r="DG50" s="1508"/>
      <c r="DH50" s="1508"/>
      <c r="DI50" s="1508"/>
      <c r="DJ50" s="1508"/>
      <c r="DK50" s="1508"/>
      <c r="DL50" s="1508"/>
      <c r="DN50" s="1509">
        <v>0</v>
      </c>
    </row>
    <row r="51" spans="1:118" s="1564" customFormat="1" ht="12.75" hidden="1" customHeight="1" outlineLevel="1" x14ac:dyDescent="0.2">
      <c r="C51" s="1565"/>
      <c r="D51" s="1592"/>
      <c r="E51" s="1566"/>
      <c r="F51" s="1567"/>
      <c r="G51" s="1568"/>
      <c r="H51" s="1568"/>
      <c r="I51" s="1568"/>
      <c r="J51" s="1568"/>
      <c r="K51" s="1568"/>
      <c r="L51" s="1568"/>
      <c r="M51" s="1568"/>
      <c r="N51" s="1568"/>
      <c r="O51" s="1569"/>
      <c r="P51" s="1568"/>
      <c r="Q51" s="1568"/>
      <c r="R51" s="1568"/>
      <c r="S51" s="1568"/>
      <c r="T51" s="1568"/>
      <c r="U51" s="1568"/>
      <c r="V51" s="1568"/>
      <c r="W51" s="1568"/>
      <c r="X51" s="1567"/>
      <c r="Y51" s="1570"/>
      <c r="Z51" s="1570"/>
      <c r="AA51" s="1570"/>
      <c r="AB51" s="1570"/>
      <c r="AC51" s="1570"/>
      <c r="AD51" s="1570"/>
      <c r="AE51" s="1570"/>
      <c r="AF51" s="1570"/>
      <c r="AG51" s="1570"/>
      <c r="AH51" s="1570"/>
      <c r="AI51" s="1570"/>
      <c r="AJ51" s="1570"/>
      <c r="AK51" s="1570"/>
      <c r="AL51" s="1570"/>
      <c r="AM51" s="1570"/>
      <c r="AN51" s="1570"/>
      <c r="AO51" s="1570"/>
      <c r="AP51" s="1570"/>
      <c r="AQ51" s="1955"/>
      <c r="AR51" s="1567"/>
      <c r="AS51" s="1571"/>
      <c r="AT51" s="1571"/>
      <c r="AU51" s="1571"/>
      <c r="AV51" s="1571"/>
      <c r="AW51" s="1571"/>
      <c r="AX51" s="1571"/>
      <c r="AY51" s="1571"/>
      <c r="AZ51" s="1571"/>
      <c r="BA51" s="1571"/>
      <c r="BB51" s="1571"/>
      <c r="BC51" s="1571"/>
      <c r="BD51" s="1571"/>
      <c r="BE51" s="1571"/>
      <c r="BF51" s="1571"/>
      <c r="BG51" s="1571"/>
      <c r="BH51" s="1571"/>
      <c r="BI51" s="1571"/>
      <c r="BJ51" s="1571"/>
      <c r="BK51" s="1571"/>
      <c r="BL51" s="1571"/>
      <c r="BM51" s="1567"/>
      <c r="BN51" s="1572"/>
      <c r="BO51" s="1572"/>
      <c r="BP51" s="1572"/>
      <c r="BQ51" s="1567"/>
      <c r="BR51" s="3168">
        <f>W51+AQ51+BL51+BP51</f>
        <v>0</v>
      </c>
      <c r="BS51" s="1573"/>
      <c r="BU51" s="1574"/>
      <c r="BV51" s="1574"/>
      <c r="BW51" s="1574"/>
      <c r="BX51" s="1574"/>
      <c r="BY51" s="1574"/>
      <c r="BZ51" s="1574"/>
      <c r="CA51" s="1574"/>
      <c r="CB51" s="1574"/>
      <c r="CC51" s="1574"/>
      <c r="CD51" s="1574"/>
      <c r="CE51" s="1574"/>
      <c r="CF51" s="1574"/>
      <c r="CG51" s="1574"/>
      <c r="CH51" s="1574"/>
      <c r="CI51" s="1574"/>
      <c r="CJ51" s="1574"/>
      <c r="CK51" s="1574"/>
      <c r="CL51" s="1574"/>
      <c r="CM51" s="1574"/>
      <c r="CN51" s="1574"/>
      <c r="CO51" s="1574"/>
      <c r="CP51" s="1574"/>
      <c r="CQ51" s="1574"/>
      <c r="CR51" s="1574"/>
      <c r="CS51" s="1574"/>
      <c r="CT51" s="1574"/>
      <c r="CU51" s="1574"/>
      <c r="CV51" s="1574"/>
      <c r="CW51" s="1574"/>
      <c r="CX51" s="1574"/>
      <c r="CY51" s="1574"/>
      <c r="CZ51" s="1574"/>
      <c r="DA51" s="1574"/>
      <c r="DB51" s="1574"/>
      <c r="DC51" s="1574"/>
      <c r="DD51" s="1574"/>
      <c r="DE51" s="1574"/>
      <c r="DF51" s="1574"/>
      <c r="DG51" s="1574"/>
      <c r="DH51" s="1574"/>
      <c r="DI51" s="1574"/>
      <c r="DJ51" s="1574"/>
      <c r="DK51" s="1574"/>
      <c r="DL51" s="1574"/>
      <c r="DN51" s="1575">
        <v>0</v>
      </c>
    </row>
    <row r="52" spans="1:118" s="1877" customFormat="1" ht="12.75" hidden="1" customHeight="1" outlineLevel="1" x14ac:dyDescent="0.2">
      <c r="C52" s="1496" t="s">
        <v>46</v>
      </c>
      <c r="D52" s="14" t="str">
        <f>INDEX(Modulos[Modulos], MATCH($C52, Modulos[Código], 0))</f>
        <v>Termoelectricidad</v>
      </c>
      <c r="E52" s="1600"/>
      <c r="F52" s="56"/>
      <c r="G52" s="1601"/>
      <c r="H52" s="1601"/>
      <c r="I52" s="1601"/>
      <c r="J52" s="1601"/>
      <c r="K52" s="1601"/>
      <c r="L52" s="1601"/>
      <c r="M52" s="1601"/>
      <c r="N52" s="1601"/>
      <c r="O52" s="1602"/>
      <c r="P52" s="1601"/>
      <c r="Q52" s="1601"/>
      <c r="R52" s="1601"/>
      <c r="S52" s="1601"/>
      <c r="T52" s="1601"/>
      <c r="U52" s="1601"/>
      <c r="V52" s="1601"/>
      <c r="W52" s="1601"/>
      <c r="X52" s="56"/>
      <c r="Y52" s="1490">
        <f t="shared" ref="Y52:AP52" ca="1" si="31">IFERROR(INDEX(INDIRECT($C52&amp;".Outputs["&amp;this.Year&amp;"]"), MATCH(Y$5, INDIRECT($C52&amp;".Outputs[Vector]"), 0)), 0)</f>
        <v>0</v>
      </c>
      <c r="Z52" s="1490">
        <f ca="1">IFERROR(INDEX(INDIRECT($C52&amp;".Outputs["&amp;this.Year&amp;"]"), MATCH(Z$5, INDIRECT($C52&amp;".Outputs[Vector]"), 0)), 0)</f>
        <v>40.919162803547032</v>
      </c>
      <c r="AA52" s="1490">
        <f t="shared" ca="1" si="31"/>
        <v>-57.718131483597844</v>
      </c>
      <c r="AB52" s="1490">
        <f t="shared" ca="1" si="31"/>
        <v>-7.6974998987670942</v>
      </c>
      <c r="AC52" s="1490">
        <f t="shared" ca="1" si="31"/>
        <v>-31.623715737231763</v>
      </c>
      <c r="AD52" s="1490">
        <f t="shared" ca="1" si="31"/>
        <v>0</v>
      </c>
      <c r="AE52" s="1490">
        <f t="shared" ca="1" si="31"/>
        <v>0</v>
      </c>
      <c r="AF52" s="1490">
        <f t="shared" ca="1" si="31"/>
        <v>0</v>
      </c>
      <c r="AG52" s="1490">
        <f t="shared" ca="1" si="31"/>
        <v>0</v>
      </c>
      <c r="AH52" s="1490">
        <f t="shared" ca="1" si="31"/>
        <v>0</v>
      </c>
      <c r="AI52" s="1490">
        <f t="shared" ca="1" si="31"/>
        <v>0</v>
      </c>
      <c r="AJ52" s="1490">
        <f t="shared" ca="1" si="31"/>
        <v>0</v>
      </c>
      <c r="AK52" s="1490">
        <f t="shared" ca="1" si="31"/>
        <v>0</v>
      </c>
      <c r="AL52" s="1490">
        <f t="shared" ca="1" si="31"/>
        <v>-2.9551871218472012</v>
      </c>
      <c r="AM52" s="1490">
        <f t="shared" ca="1" si="31"/>
        <v>0</v>
      </c>
      <c r="AN52" s="1490">
        <f t="shared" ca="1" si="31"/>
        <v>0</v>
      </c>
      <c r="AO52" s="1490">
        <f t="shared" ca="1" si="31"/>
        <v>0</v>
      </c>
      <c r="AP52" s="1490">
        <f t="shared" ca="1" si="31"/>
        <v>0</v>
      </c>
      <c r="AQ52" s="1893">
        <f ca="1">SUM(Y52:AP52)</f>
        <v>-59.075371437896877</v>
      </c>
      <c r="AR52" s="56"/>
      <c r="AS52" s="1940">
        <f t="shared" ref="AS52:BK52" ca="1" si="32">IFERROR(INDEX(INDIRECT($C52&amp;".Outputs["&amp;this.Year&amp;"]"), MATCH(AS$5, INDIRECT($C52&amp;".Outputs[Vector]"), 0)), 0)</f>
        <v>0</v>
      </c>
      <c r="AT52" s="1940">
        <f t="shared" ca="1" si="32"/>
        <v>0</v>
      </c>
      <c r="AU52" s="1940">
        <f t="shared" ca="1" si="32"/>
        <v>0</v>
      </c>
      <c r="AV52" s="1940">
        <f t="shared" ca="1" si="32"/>
        <v>0</v>
      </c>
      <c r="AW52" s="1940">
        <f t="shared" ca="1" si="32"/>
        <v>0</v>
      </c>
      <c r="AX52" s="1940">
        <f t="shared" ca="1" si="32"/>
        <v>0</v>
      </c>
      <c r="AY52" s="1940">
        <f t="shared" ca="1" si="32"/>
        <v>0</v>
      </c>
      <c r="AZ52" s="1940">
        <f t="shared" ca="1" si="32"/>
        <v>0</v>
      </c>
      <c r="BA52" s="1940">
        <f t="shared" ca="1" si="32"/>
        <v>0</v>
      </c>
      <c r="BB52" s="1940">
        <f t="shared" ca="1" si="32"/>
        <v>0</v>
      </c>
      <c r="BC52" s="1940">
        <f t="shared" ca="1" si="32"/>
        <v>0</v>
      </c>
      <c r="BD52" s="1940">
        <f t="shared" ca="1" si="32"/>
        <v>0</v>
      </c>
      <c r="BE52" s="1940">
        <f t="shared" ca="1" si="32"/>
        <v>0</v>
      </c>
      <c r="BF52" s="1940">
        <f t="shared" ca="1" si="32"/>
        <v>0</v>
      </c>
      <c r="BG52" s="1940">
        <f t="shared" ca="1" si="32"/>
        <v>0</v>
      </c>
      <c r="BH52" s="1940">
        <f t="shared" ca="1" si="32"/>
        <v>0</v>
      </c>
      <c r="BI52" s="1940">
        <f t="shared" ca="1" si="32"/>
        <v>0</v>
      </c>
      <c r="BJ52" s="1940">
        <f t="shared" ca="1" si="32"/>
        <v>0</v>
      </c>
      <c r="BK52" s="1940">
        <f t="shared" ca="1" si="32"/>
        <v>0</v>
      </c>
      <c r="BL52" s="1952">
        <f ca="1">SUM(AS52:BK52)</f>
        <v>0</v>
      </c>
      <c r="BM52" s="56"/>
      <c r="BN52" s="1941">
        <f ca="1">IFERROR(INDEX(INDIRECT($C52&amp;".Outputs["&amp;this.Year&amp;"]"), MATCH(BN$5, INDIRECT($C52&amp;".Outputs[Vector]"), 0)), 0)</f>
        <v>56.886295394688268</v>
      </c>
      <c r="BO52" s="1941">
        <f ca="1">IFERROR(INDEX(INDIRECT($C52&amp;".Outputs["&amp;this.Year&amp;"]"), MATCH(BO$5, INDIRECT($C52&amp;".Outputs[Vector]"), 0)), 0)</f>
        <v>2.1890760432086078</v>
      </c>
      <c r="BP52" s="1505">
        <f ca="1">BN52+BO52</f>
        <v>59.075371437896877</v>
      </c>
      <c r="BQ52" s="56"/>
      <c r="BR52" s="3168">
        <f ca="1">W52+AQ52+BL52+BP52</f>
        <v>0</v>
      </c>
      <c r="BS52" s="1579"/>
      <c r="BU52" s="1595"/>
      <c r="BV52" s="1595"/>
      <c r="BW52" s="1595"/>
      <c r="BX52" s="1595"/>
      <c r="BY52" s="1595"/>
      <c r="BZ52" s="1595"/>
      <c r="CA52" s="1595"/>
      <c r="CB52" s="1595"/>
      <c r="CC52" s="1595"/>
      <c r="CD52" s="1595"/>
      <c r="CE52" s="1595"/>
      <c r="CF52" s="1595"/>
      <c r="CG52" s="1595"/>
      <c r="CH52" s="1595"/>
      <c r="CI52" s="1595"/>
      <c r="CJ52" s="1595"/>
      <c r="CK52" s="1595"/>
      <c r="CL52" s="1595"/>
      <c r="CM52" s="1595"/>
      <c r="CN52" s="1595"/>
      <c r="CO52" s="1595"/>
      <c r="CP52" s="1595"/>
      <c r="CQ52" s="1595"/>
      <c r="CR52" s="1595"/>
      <c r="CS52" s="1595"/>
      <c r="CT52" s="1595"/>
      <c r="CU52" s="1595"/>
      <c r="CV52" s="1595"/>
      <c r="CW52" s="1595"/>
      <c r="CX52" s="1595"/>
      <c r="CY52" s="1595"/>
      <c r="CZ52" s="1595"/>
      <c r="DA52" s="1595"/>
      <c r="DB52" s="1595"/>
      <c r="DC52" s="1595"/>
      <c r="DD52" s="1595"/>
      <c r="DE52" s="1595"/>
      <c r="DF52" s="1595"/>
      <c r="DG52" s="1595"/>
      <c r="DH52" s="1595"/>
      <c r="DI52" s="1595"/>
      <c r="DJ52" s="1595"/>
      <c r="DK52" s="1595"/>
      <c r="DL52" s="1595"/>
      <c r="DN52" s="1878"/>
    </row>
    <row r="53" spans="1:118" s="1522" customFormat="1" ht="12.75" hidden="1" customHeight="1" outlineLevel="1" x14ac:dyDescent="0.2">
      <c r="E53" s="1497"/>
      <c r="F53" s="14"/>
      <c r="G53" s="1540"/>
      <c r="H53" s="1540"/>
      <c r="I53" s="1540"/>
      <c r="J53" s="1540"/>
      <c r="K53" s="1540"/>
      <c r="L53" s="1540"/>
      <c r="M53" s="1540"/>
      <c r="N53" s="1540"/>
      <c r="O53" s="1540"/>
      <c r="P53" s="1540"/>
      <c r="Q53" s="1540"/>
      <c r="R53" s="1540"/>
      <c r="S53" s="1540"/>
      <c r="T53" s="1540"/>
      <c r="U53" s="1540"/>
      <c r="V53" s="1540"/>
      <c r="W53" s="1527"/>
      <c r="X53" s="14"/>
      <c r="Y53" s="1541"/>
      <c r="Z53" s="1541"/>
      <c r="AA53" s="1541"/>
      <c r="AB53" s="1541"/>
      <c r="AC53" s="1541"/>
      <c r="AD53" s="1541"/>
      <c r="AE53" s="1541"/>
      <c r="AF53" s="1541"/>
      <c r="AG53" s="1541"/>
      <c r="AH53" s="1541"/>
      <c r="AI53" s="1541"/>
      <c r="AJ53" s="1541"/>
      <c r="AK53" s="1541"/>
      <c r="AL53" s="1541"/>
      <c r="AM53" s="1541"/>
      <c r="AN53" s="1541"/>
      <c r="AO53" s="1541"/>
      <c r="AP53" s="1541"/>
      <c r="AQ53" s="1953"/>
      <c r="AR53" s="14"/>
      <c r="AS53" s="1542"/>
      <c r="AT53" s="1542"/>
      <c r="AU53" s="1542"/>
      <c r="AV53" s="1542"/>
      <c r="AW53" s="1542"/>
      <c r="AX53" s="1542"/>
      <c r="AY53" s="1542"/>
      <c r="AZ53" s="1542"/>
      <c r="BA53" s="1542"/>
      <c r="BB53" s="1542"/>
      <c r="BC53" s="1542"/>
      <c r="BD53" s="1542"/>
      <c r="BE53" s="1542"/>
      <c r="BF53" s="1542"/>
      <c r="BG53" s="1542"/>
      <c r="BH53" s="1542"/>
      <c r="BI53" s="1542"/>
      <c r="BJ53" s="1542"/>
      <c r="BK53" s="1542"/>
      <c r="BL53" s="1530"/>
      <c r="BM53" s="14"/>
      <c r="BN53" s="1543"/>
      <c r="BO53" s="1543"/>
      <c r="BP53" s="1531"/>
      <c r="BQ53" s="14"/>
      <c r="BR53" s="3168">
        <f>W53+AQ53+BL53+BP53</f>
        <v>0</v>
      </c>
      <c r="BS53" s="1525"/>
      <c r="BT53" s="748"/>
      <c r="BU53" s="1532">
        <v>198.26548259420858</v>
      </c>
      <c r="BV53" s="1533">
        <v>0.5182280295123709</v>
      </c>
      <c r="BW53" s="1533">
        <v>1.345630535228558</v>
      </c>
      <c r="BX53" s="1533">
        <v>0</v>
      </c>
      <c r="BY53" s="1533">
        <v>0</v>
      </c>
      <c r="BZ53" s="1533">
        <v>0</v>
      </c>
      <c r="CA53" s="1533">
        <v>0</v>
      </c>
      <c r="CB53" s="1533">
        <v>0</v>
      </c>
      <c r="CC53" s="1533">
        <v>0</v>
      </c>
      <c r="CD53" s="1533">
        <v>0</v>
      </c>
      <c r="CE53" s="1533">
        <v>0</v>
      </c>
      <c r="CF53" s="1533">
        <v>0</v>
      </c>
      <c r="CG53" s="1533">
        <v>0</v>
      </c>
      <c r="CH53" s="1533">
        <v>0</v>
      </c>
      <c r="CI53" s="1533">
        <v>0</v>
      </c>
      <c r="CJ53" s="1533">
        <v>0</v>
      </c>
      <c r="CK53" s="1533">
        <v>0</v>
      </c>
      <c r="CL53" s="1533">
        <v>0</v>
      </c>
      <c r="CM53" s="1533">
        <v>0</v>
      </c>
      <c r="CN53" s="1533">
        <v>0</v>
      </c>
      <c r="CO53" s="1533">
        <v>0</v>
      </c>
      <c r="CP53" s="1533">
        <v>0</v>
      </c>
      <c r="CQ53" s="1533">
        <v>0</v>
      </c>
      <c r="CR53" s="1533">
        <v>0</v>
      </c>
      <c r="CS53" s="1533">
        <v>0</v>
      </c>
      <c r="CT53" s="1533">
        <v>0</v>
      </c>
      <c r="CU53" s="1533">
        <v>0</v>
      </c>
      <c r="CV53" s="1533">
        <v>0</v>
      </c>
      <c r="CW53" s="1533">
        <v>0</v>
      </c>
      <c r="CX53" s="1533">
        <v>0</v>
      </c>
      <c r="CY53" s="1533">
        <v>0</v>
      </c>
      <c r="CZ53" s="1533">
        <v>0</v>
      </c>
      <c r="DA53" s="1533">
        <v>0</v>
      </c>
      <c r="DB53" s="1533">
        <v>0</v>
      </c>
      <c r="DC53" s="1533">
        <v>0</v>
      </c>
      <c r="DD53" s="1533">
        <v>0</v>
      </c>
      <c r="DE53" s="1533">
        <v>0</v>
      </c>
      <c r="DF53" s="1533">
        <v>0</v>
      </c>
      <c r="DG53" s="1533">
        <v>0</v>
      </c>
      <c r="DH53" s="1533">
        <v>0</v>
      </c>
      <c r="DI53" s="1533">
        <v>0</v>
      </c>
      <c r="DJ53" s="1533">
        <v>0</v>
      </c>
      <c r="DK53" s="1533">
        <v>0</v>
      </c>
      <c r="DL53" s="1533">
        <v>0</v>
      </c>
      <c r="DN53" s="1509">
        <v>200.1293411589495</v>
      </c>
    </row>
    <row r="54" spans="1:118" s="14" customFormat="1" ht="15.75" collapsed="1" x14ac:dyDescent="0.2">
      <c r="A54" s="1534"/>
      <c r="B54" s="1535"/>
      <c r="C54" s="1536" t="s">
        <v>322</v>
      </c>
      <c r="D54" s="1537" t="str">
        <f>INDEX(Flujos[Flujos], MATCH($C54, Flujos[Código], 0))</f>
        <v>Generación por Termoelectricidad</v>
      </c>
      <c r="E54" s="1538"/>
      <c r="G54" s="1539"/>
      <c r="H54" s="1539"/>
      <c r="I54" s="1539"/>
      <c r="J54" s="1539"/>
      <c r="K54" s="1539"/>
      <c r="L54" s="1539"/>
      <c r="M54" s="1539"/>
      <c r="N54" s="1539"/>
      <c r="O54" s="1539"/>
      <c r="P54" s="1539"/>
      <c r="Q54" s="1539"/>
      <c r="R54" s="1539"/>
      <c r="S54" s="1539"/>
      <c r="T54" s="1539"/>
      <c r="U54" s="1539"/>
      <c r="V54" s="1539"/>
      <c r="W54" s="1539"/>
      <c r="Y54" s="1490">
        <f ca="1">Y52</f>
        <v>0</v>
      </c>
      <c r="Z54" s="1490">
        <f t="shared" ref="Z54:AP54" ca="1" si="33">Z52</f>
        <v>40.919162803547032</v>
      </c>
      <c r="AA54" s="1490">
        <f t="shared" ca="1" si="33"/>
        <v>-57.718131483597844</v>
      </c>
      <c r="AB54" s="1490">
        <f t="shared" ca="1" si="33"/>
        <v>-7.6974998987670942</v>
      </c>
      <c r="AC54" s="1490">
        <f t="shared" ca="1" si="33"/>
        <v>-31.623715737231763</v>
      </c>
      <c r="AD54" s="1490">
        <f t="shared" ca="1" si="33"/>
        <v>0</v>
      </c>
      <c r="AE54" s="1490">
        <f t="shared" ca="1" si="33"/>
        <v>0</v>
      </c>
      <c r="AF54" s="1490">
        <f t="shared" ca="1" si="33"/>
        <v>0</v>
      </c>
      <c r="AG54" s="1490">
        <f t="shared" ca="1" si="33"/>
        <v>0</v>
      </c>
      <c r="AH54" s="1490">
        <f t="shared" ca="1" si="33"/>
        <v>0</v>
      </c>
      <c r="AI54" s="1490">
        <f t="shared" ca="1" si="33"/>
        <v>0</v>
      </c>
      <c r="AJ54" s="1490">
        <f t="shared" ca="1" si="33"/>
        <v>0</v>
      </c>
      <c r="AK54" s="1490">
        <f t="shared" ca="1" si="33"/>
        <v>0</v>
      </c>
      <c r="AL54" s="1490">
        <f t="shared" ca="1" si="33"/>
        <v>-2.9551871218472012</v>
      </c>
      <c r="AM54" s="1490">
        <f t="shared" ca="1" si="33"/>
        <v>0</v>
      </c>
      <c r="AN54" s="1490">
        <f t="shared" ca="1" si="33"/>
        <v>0</v>
      </c>
      <c r="AO54" s="1490">
        <f t="shared" ca="1" si="33"/>
        <v>0</v>
      </c>
      <c r="AP54" s="1490">
        <f t="shared" ca="1" si="33"/>
        <v>0</v>
      </c>
      <c r="AQ54" s="2608">
        <f ca="1">SUM(Y54:AP54)</f>
        <v>-59.075371437896877</v>
      </c>
      <c r="AS54" s="1491">
        <f ca="1">AS52</f>
        <v>0</v>
      </c>
      <c r="AT54" s="1491">
        <f t="shared" ref="AT54:BK54" ca="1" si="34">AT52</f>
        <v>0</v>
      </c>
      <c r="AU54" s="1491">
        <f t="shared" ca="1" si="34"/>
        <v>0</v>
      </c>
      <c r="AV54" s="1491">
        <f t="shared" ca="1" si="34"/>
        <v>0</v>
      </c>
      <c r="AW54" s="1491">
        <f t="shared" ca="1" si="34"/>
        <v>0</v>
      </c>
      <c r="AX54" s="1491">
        <f t="shared" ca="1" si="34"/>
        <v>0</v>
      </c>
      <c r="AY54" s="1491">
        <f t="shared" ca="1" si="34"/>
        <v>0</v>
      </c>
      <c r="AZ54" s="1491">
        <f t="shared" ca="1" si="34"/>
        <v>0</v>
      </c>
      <c r="BA54" s="1491">
        <f t="shared" ca="1" si="34"/>
        <v>0</v>
      </c>
      <c r="BB54" s="1491">
        <f t="shared" ca="1" si="34"/>
        <v>0</v>
      </c>
      <c r="BC54" s="1491">
        <f t="shared" ca="1" si="34"/>
        <v>0</v>
      </c>
      <c r="BD54" s="1491">
        <f t="shared" ca="1" si="34"/>
        <v>0</v>
      </c>
      <c r="BE54" s="1491">
        <f t="shared" ca="1" si="34"/>
        <v>0</v>
      </c>
      <c r="BF54" s="1491">
        <f t="shared" ca="1" si="34"/>
        <v>0</v>
      </c>
      <c r="BG54" s="1491">
        <f t="shared" ca="1" si="34"/>
        <v>0</v>
      </c>
      <c r="BH54" s="1491">
        <f t="shared" ca="1" si="34"/>
        <v>0</v>
      </c>
      <c r="BI54" s="1491">
        <f t="shared" ca="1" si="34"/>
        <v>0</v>
      </c>
      <c r="BJ54" s="1491">
        <f t="shared" ca="1" si="34"/>
        <v>0</v>
      </c>
      <c r="BK54" s="1491">
        <f t="shared" ca="1" si="34"/>
        <v>0</v>
      </c>
      <c r="BL54" s="1952">
        <f ca="1">SUM(AS54:BK54)</f>
        <v>0</v>
      </c>
      <c r="BN54" s="1492">
        <f ca="1">BN52</f>
        <v>56.886295394688268</v>
      </c>
      <c r="BO54" s="1492">
        <f ca="1">BO52</f>
        <v>2.1890760432086078</v>
      </c>
      <c r="BP54" s="2615">
        <f ca="1">BN54+BO54</f>
        <v>59.075371437896877</v>
      </c>
      <c r="BR54" s="3168">
        <f ca="1">W54+AQ54+BL54+BP54</f>
        <v>0</v>
      </c>
      <c r="BS54" s="1493"/>
      <c r="BT54" s="748"/>
      <c r="BU54" s="1508">
        <v>198.26548259420858</v>
      </c>
      <c r="BV54" s="1508">
        <v>0.5182280295123709</v>
      </c>
      <c r="BW54" s="1508">
        <v>1.345630535228558</v>
      </c>
      <c r="BX54" s="1508">
        <v>0</v>
      </c>
      <c r="BY54" s="1508">
        <v>0</v>
      </c>
      <c r="BZ54" s="1508">
        <v>0</v>
      </c>
      <c r="CA54" s="1508">
        <v>0</v>
      </c>
      <c r="CB54" s="1508">
        <v>0</v>
      </c>
      <c r="CC54" s="1508">
        <v>0</v>
      </c>
      <c r="CD54" s="1508">
        <v>0</v>
      </c>
      <c r="CE54" s="1508">
        <v>0</v>
      </c>
      <c r="CF54" s="1508">
        <v>0</v>
      </c>
      <c r="CG54" s="1508">
        <v>0</v>
      </c>
      <c r="CH54" s="1508">
        <v>0</v>
      </c>
      <c r="CI54" s="1508">
        <v>0</v>
      </c>
      <c r="CJ54" s="1508">
        <v>0</v>
      </c>
      <c r="CK54" s="1508">
        <v>0</v>
      </c>
      <c r="CL54" s="1508">
        <v>0</v>
      </c>
      <c r="CM54" s="1508">
        <v>0</v>
      </c>
      <c r="CN54" s="1508">
        <v>0</v>
      </c>
      <c r="CO54" s="1508">
        <v>0</v>
      </c>
      <c r="CP54" s="1508">
        <v>0</v>
      </c>
      <c r="CQ54" s="1508">
        <v>0</v>
      </c>
      <c r="CR54" s="1508">
        <v>0</v>
      </c>
      <c r="CS54" s="1508">
        <v>0</v>
      </c>
      <c r="CT54" s="1508">
        <v>0</v>
      </c>
      <c r="CU54" s="1508">
        <v>0</v>
      </c>
      <c r="CV54" s="1508">
        <v>0</v>
      </c>
      <c r="CW54" s="1508">
        <v>0</v>
      </c>
      <c r="CX54" s="1508">
        <v>0</v>
      </c>
      <c r="CY54" s="1508">
        <v>0</v>
      </c>
      <c r="CZ54" s="1508">
        <v>0</v>
      </c>
      <c r="DA54" s="1508">
        <v>0</v>
      </c>
      <c r="DB54" s="1508">
        <v>0</v>
      </c>
      <c r="DC54" s="1508">
        <v>0</v>
      </c>
      <c r="DD54" s="1508">
        <v>0</v>
      </c>
      <c r="DE54" s="1508">
        <v>0</v>
      </c>
      <c r="DF54" s="1508">
        <v>0</v>
      </c>
      <c r="DG54" s="1508">
        <v>0</v>
      </c>
      <c r="DH54" s="1508">
        <v>0</v>
      </c>
      <c r="DI54" s="1508">
        <v>0</v>
      </c>
      <c r="DJ54" s="1508">
        <v>0</v>
      </c>
      <c r="DK54" s="1508">
        <v>0</v>
      </c>
      <c r="DL54" s="1508">
        <v>0</v>
      </c>
      <c r="DN54" s="1509">
        <v>200.1293411589495</v>
      </c>
    </row>
    <row r="55" spans="1:118" s="14" customFormat="1" ht="15.75" x14ac:dyDescent="0.2">
      <c r="A55" s="1534"/>
      <c r="B55" s="1535"/>
      <c r="C55" s="1536"/>
      <c r="D55" s="1537"/>
      <c r="E55" s="1538"/>
      <c r="G55" s="1539"/>
      <c r="H55" s="1539"/>
      <c r="I55" s="1539"/>
      <c r="J55" s="1539"/>
      <c r="K55" s="1539"/>
      <c r="L55" s="1539"/>
      <c r="M55" s="1539"/>
      <c r="N55" s="1539"/>
      <c r="O55" s="1539"/>
      <c r="P55" s="1539"/>
      <c r="Q55" s="1539"/>
      <c r="R55" s="1539"/>
      <c r="S55" s="1539"/>
      <c r="T55" s="1539"/>
      <c r="U55" s="1539"/>
      <c r="V55" s="1539"/>
      <c r="W55" s="1539"/>
      <c r="Y55" s="1490"/>
      <c r="Z55" s="1490"/>
      <c r="AA55" s="1490"/>
      <c r="AB55" s="1490"/>
      <c r="AC55" s="1490"/>
      <c r="AD55" s="1490"/>
      <c r="AE55" s="1490"/>
      <c r="AF55" s="1490"/>
      <c r="AG55" s="1490"/>
      <c r="AH55" s="1490"/>
      <c r="AI55" s="1490"/>
      <c r="AJ55" s="1490"/>
      <c r="AK55" s="1490"/>
      <c r="AL55" s="1490"/>
      <c r="AM55" s="1490"/>
      <c r="AN55" s="1490"/>
      <c r="AO55" s="1490"/>
      <c r="AP55" s="1490"/>
      <c r="AQ55" s="1893"/>
      <c r="AS55" s="1491"/>
      <c r="AT55" s="1491"/>
      <c r="AU55" s="1491"/>
      <c r="AV55" s="1491"/>
      <c r="AW55" s="1491"/>
      <c r="AX55" s="1491"/>
      <c r="AY55" s="1491"/>
      <c r="AZ55" s="1491"/>
      <c r="BA55" s="1491"/>
      <c r="BB55" s="1491"/>
      <c r="BC55" s="1491"/>
      <c r="BD55" s="1491"/>
      <c r="BE55" s="1491"/>
      <c r="BF55" s="1491"/>
      <c r="BG55" s="1491"/>
      <c r="BH55" s="1491"/>
      <c r="BI55" s="1491"/>
      <c r="BJ55" s="1491"/>
      <c r="BK55" s="1491"/>
      <c r="BL55" s="1491"/>
      <c r="BN55" s="1492"/>
      <c r="BO55" s="1492"/>
      <c r="BP55" s="1492"/>
      <c r="BR55" s="3168"/>
      <c r="BS55" s="1493"/>
      <c r="BT55" s="748"/>
      <c r="BU55" s="1508"/>
      <c r="BV55" s="1508"/>
      <c r="BW55" s="1508"/>
      <c r="BX55" s="1508"/>
      <c r="BY55" s="1508"/>
      <c r="BZ55" s="1508"/>
      <c r="CA55" s="1508"/>
      <c r="CB55" s="1508"/>
      <c r="CC55" s="1508"/>
      <c r="CD55" s="1508"/>
      <c r="CE55" s="1508"/>
      <c r="CF55" s="1508"/>
      <c r="CG55" s="1508"/>
      <c r="CH55" s="1508"/>
      <c r="CI55" s="1508"/>
      <c r="CJ55" s="1508"/>
      <c r="CK55" s="1508"/>
      <c r="CL55" s="1508"/>
      <c r="CM55" s="1508"/>
      <c r="CN55" s="1508"/>
      <c r="CO55" s="1508"/>
      <c r="CP55" s="1508"/>
      <c r="CQ55" s="1508"/>
      <c r="CR55" s="1508"/>
      <c r="CS55" s="1508"/>
      <c r="CT55" s="1508"/>
      <c r="CU55" s="1508"/>
      <c r="CV55" s="1508"/>
      <c r="CW55" s="1508"/>
      <c r="CX55" s="1508"/>
      <c r="CY55" s="1508"/>
      <c r="CZ55" s="1508"/>
      <c r="DA55" s="1508"/>
      <c r="DB55" s="1508"/>
      <c r="DC55" s="1508"/>
      <c r="DD55" s="1508"/>
      <c r="DE55" s="1508"/>
      <c r="DF55" s="1508"/>
      <c r="DG55" s="1508"/>
      <c r="DH55" s="1508"/>
      <c r="DI55" s="1508"/>
      <c r="DJ55" s="1508"/>
      <c r="DK55" s="1508"/>
      <c r="DL55" s="1508"/>
      <c r="DN55" s="1509"/>
    </row>
    <row r="56" spans="1:118" s="14" customFormat="1" ht="12.75" hidden="1" customHeight="1" outlineLevel="1" x14ac:dyDescent="0.2">
      <c r="A56" s="1534"/>
      <c r="B56" s="1534"/>
      <c r="C56" s="1544"/>
      <c r="D56" s="1538"/>
      <c r="E56" s="1538"/>
      <c r="G56" s="1488"/>
      <c r="H56" s="1488"/>
      <c r="I56" s="1488"/>
      <c r="J56" s="1488"/>
      <c r="K56" s="1488"/>
      <c r="L56" s="1488"/>
      <c r="M56" s="1488"/>
      <c r="N56" s="1488"/>
      <c r="O56" s="1563"/>
      <c r="P56" s="1488"/>
      <c r="Q56" s="1488"/>
      <c r="R56" s="1488"/>
      <c r="S56" s="1488"/>
      <c r="T56" s="1488"/>
      <c r="U56" s="1488"/>
      <c r="V56" s="1488"/>
      <c r="W56" s="1488"/>
      <c r="Y56" s="1490"/>
      <c r="Z56" s="1490"/>
      <c r="AA56" s="1490"/>
      <c r="AB56" s="1490"/>
      <c r="AC56" s="1490"/>
      <c r="AD56" s="1490"/>
      <c r="AE56" s="1490"/>
      <c r="AF56" s="1490"/>
      <c r="AG56" s="1490"/>
      <c r="AH56" s="1490"/>
      <c r="AI56" s="1490"/>
      <c r="AJ56" s="1490"/>
      <c r="AK56" s="1490"/>
      <c r="AL56" s="1490"/>
      <c r="AM56" s="1490"/>
      <c r="AN56" s="1490"/>
      <c r="AO56" s="1490"/>
      <c r="AP56" s="1490"/>
      <c r="AQ56" s="1893"/>
      <c r="AS56" s="1491"/>
      <c r="AT56" s="1491"/>
      <c r="AU56" s="1491"/>
      <c r="AV56" s="1491"/>
      <c r="AW56" s="1491"/>
      <c r="AX56" s="1491"/>
      <c r="AY56" s="1491"/>
      <c r="AZ56" s="1491"/>
      <c r="BA56" s="1491"/>
      <c r="BB56" s="1491"/>
      <c r="BC56" s="1491"/>
      <c r="BD56" s="1491"/>
      <c r="BE56" s="1491"/>
      <c r="BF56" s="1491"/>
      <c r="BG56" s="1491"/>
      <c r="BH56" s="1491"/>
      <c r="BI56" s="1491"/>
      <c r="BJ56" s="1491"/>
      <c r="BK56" s="1491"/>
      <c r="BL56" s="1491"/>
      <c r="BN56" s="1492"/>
      <c r="BO56" s="1492"/>
      <c r="BP56" s="1492"/>
      <c r="BR56" s="3168">
        <f>W56+AQ56+BL56+BP56</f>
        <v>0</v>
      </c>
      <c r="BS56" s="1493"/>
      <c r="BT56" s="1534"/>
      <c r="BU56" s="1508"/>
      <c r="BV56" s="1508"/>
      <c r="BW56" s="1508"/>
      <c r="BX56" s="1508"/>
      <c r="BY56" s="1508"/>
      <c r="BZ56" s="1508"/>
      <c r="CA56" s="1508"/>
      <c r="CB56" s="1508"/>
      <c r="CC56" s="1508"/>
      <c r="CD56" s="1508"/>
      <c r="CE56" s="1508"/>
      <c r="CF56" s="1508"/>
      <c r="CG56" s="1508"/>
      <c r="CH56" s="1508"/>
      <c r="CI56" s="1508"/>
      <c r="CJ56" s="1508"/>
      <c r="CK56" s="1508"/>
      <c r="CL56" s="1508"/>
      <c r="CM56" s="1508"/>
      <c r="CN56" s="1508"/>
      <c r="CO56" s="1508"/>
      <c r="CP56" s="1508"/>
      <c r="CQ56" s="1508"/>
      <c r="CR56" s="1508"/>
      <c r="CS56" s="1508"/>
      <c r="CT56" s="1508"/>
      <c r="CU56" s="1508"/>
      <c r="CV56" s="1508"/>
      <c r="CW56" s="1508"/>
      <c r="CX56" s="1508"/>
      <c r="CY56" s="1508"/>
      <c r="CZ56" s="1508"/>
      <c r="DA56" s="1508"/>
      <c r="DB56" s="1508"/>
      <c r="DC56" s="1508"/>
      <c r="DD56" s="1508"/>
      <c r="DE56" s="1508"/>
      <c r="DF56" s="1508"/>
      <c r="DG56" s="1508"/>
      <c r="DH56" s="1508"/>
      <c r="DI56" s="1508"/>
      <c r="DJ56" s="1508"/>
      <c r="DK56" s="1508"/>
      <c r="DL56" s="1508"/>
      <c r="DN56" s="1509">
        <v>0</v>
      </c>
    </row>
    <row r="57" spans="1:118" s="1522" customFormat="1" ht="12.75" hidden="1" customHeight="1" outlineLevel="1" x14ac:dyDescent="0.2">
      <c r="E57" s="1526"/>
      <c r="F57" s="14"/>
      <c r="G57" s="1540"/>
      <c r="H57" s="1540"/>
      <c r="I57" s="1540"/>
      <c r="J57" s="1540"/>
      <c r="K57" s="1540"/>
      <c r="L57" s="1540"/>
      <c r="M57" s="1540"/>
      <c r="N57" s="1540"/>
      <c r="O57" s="1540"/>
      <c r="P57" s="1540"/>
      <c r="Q57" s="1540"/>
      <c r="R57" s="1540"/>
      <c r="S57" s="1540"/>
      <c r="T57" s="1540"/>
      <c r="U57" s="1540"/>
      <c r="V57" s="1540"/>
      <c r="W57" s="1527"/>
      <c r="X57" s="14"/>
      <c r="Y57" s="1541"/>
      <c r="Z57" s="1541"/>
      <c r="AA57" s="1541"/>
      <c r="AB57" s="1541"/>
      <c r="AC57" s="1541"/>
      <c r="AD57" s="1541"/>
      <c r="AE57" s="1541"/>
      <c r="AF57" s="1541"/>
      <c r="AG57" s="1541"/>
      <c r="AH57" s="1541"/>
      <c r="AI57" s="1541"/>
      <c r="AJ57" s="1541"/>
      <c r="AK57" s="1541"/>
      <c r="AL57" s="1541"/>
      <c r="AM57" s="1541"/>
      <c r="AN57" s="1541"/>
      <c r="AO57" s="1541"/>
      <c r="AP57" s="1541"/>
      <c r="AQ57" s="1953"/>
      <c r="AR57" s="14"/>
      <c r="AS57" s="1542"/>
      <c r="AT57" s="1542"/>
      <c r="AU57" s="1542"/>
      <c r="AV57" s="1542"/>
      <c r="AW57" s="1542"/>
      <c r="AX57" s="1542"/>
      <c r="AY57" s="1542"/>
      <c r="AZ57" s="1542"/>
      <c r="BA57" s="1542"/>
      <c r="BB57" s="1542"/>
      <c r="BC57" s="1542"/>
      <c r="BD57" s="1542"/>
      <c r="BE57" s="1542"/>
      <c r="BF57" s="1542"/>
      <c r="BG57" s="1542"/>
      <c r="BH57" s="1542"/>
      <c r="BI57" s="1542"/>
      <c r="BJ57" s="1542"/>
      <c r="BK57" s="1542"/>
      <c r="BL57" s="1530"/>
      <c r="BM57" s="14"/>
      <c r="BN57" s="1543"/>
      <c r="BO57" s="1543"/>
      <c r="BP57" s="1531"/>
      <c r="BQ57" s="14"/>
      <c r="BR57" s="3168">
        <f>W57+AQ57+BL57+BP57</f>
        <v>0</v>
      </c>
      <c r="BS57" s="1525"/>
      <c r="BT57" s="748"/>
      <c r="BU57" s="1532">
        <v>0</v>
      </c>
      <c r="BV57" s="1533">
        <v>0</v>
      </c>
      <c r="BW57" s="1533">
        <v>0</v>
      </c>
      <c r="BX57" s="1533">
        <v>0</v>
      </c>
      <c r="BY57" s="1533">
        <v>0</v>
      </c>
      <c r="BZ57" s="1533">
        <v>0</v>
      </c>
      <c r="CA57" s="1533">
        <v>0</v>
      </c>
      <c r="CB57" s="1533">
        <v>0</v>
      </c>
      <c r="CC57" s="1533">
        <v>0</v>
      </c>
      <c r="CD57" s="1533">
        <v>0</v>
      </c>
      <c r="CE57" s="1533">
        <v>0</v>
      </c>
      <c r="CF57" s="1533">
        <v>0</v>
      </c>
      <c r="CG57" s="1533">
        <v>0</v>
      </c>
      <c r="CH57" s="1533">
        <v>0</v>
      </c>
      <c r="CI57" s="1533">
        <v>0</v>
      </c>
      <c r="CJ57" s="1533">
        <v>0</v>
      </c>
      <c r="CK57" s="1533">
        <v>0</v>
      </c>
      <c r="CL57" s="1533">
        <v>0</v>
      </c>
      <c r="CM57" s="1533">
        <v>0</v>
      </c>
      <c r="CN57" s="1533">
        <v>0</v>
      </c>
      <c r="CO57" s="1533">
        <v>0</v>
      </c>
      <c r="CP57" s="1533">
        <v>0</v>
      </c>
      <c r="CQ57" s="1533">
        <v>0</v>
      </c>
      <c r="CR57" s="1533">
        <v>0</v>
      </c>
      <c r="CS57" s="1533">
        <v>0</v>
      </c>
      <c r="CT57" s="1533">
        <v>0</v>
      </c>
      <c r="CU57" s="1533">
        <v>0</v>
      </c>
      <c r="CV57" s="1533">
        <v>0</v>
      </c>
      <c r="CW57" s="1533">
        <v>0</v>
      </c>
      <c r="CX57" s="1533">
        <v>0</v>
      </c>
      <c r="CY57" s="1533">
        <v>0</v>
      </c>
      <c r="CZ57" s="1533">
        <v>0</v>
      </c>
      <c r="DA57" s="1533">
        <v>0</v>
      </c>
      <c r="DB57" s="1533">
        <v>0</v>
      </c>
      <c r="DC57" s="1533">
        <v>0</v>
      </c>
      <c r="DD57" s="1533">
        <v>0</v>
      </c>
      <c r="DE57" s="1533">
        <v>0</v>
      </c>
      <c r="DF57" s="1533">
        <v>0</v>
      </c>
      <c r="DG57" s="1533">
        <v>0</v>
      </c>
      <c r="DH57" s="1533">
        <v>0</v>
      </c>
      <c r="DI57" s="1533">
        <v>0</v>
      </c>
      <c r="DJ57" s="1533">
        <v>0</v>
      </c>
      <c r="DK57" s="1533">
        <v>0</v>
      </c>
      <c r="DL57" s="1533">
        <v>0</v>
      </c>
      <c r="DN57" s="1509">
        <v>0</v>
      </c>
    </row>
    <row r="58" spans="1:118" s="14" customFormat="1" ht="15.75" collapsed="1" x14ac:dyDescent="0.2">
      <c r="A58" s="1845"/>
      <c r="B58" s="1847"/>
      <c r="C58" s="1842"/>
      <c r="D58" s="1843"/>
      <c r="E58" s="1844"/>
      <c r="G58" s="1539"/>
      <c r="H58" s="1539"/>
      <c r="I58" s="1539"/>
      <c r="J58" s="1539"/>
      <c r="K58" s="1539"/>
      <c r="L58" s="1539"/>
      <c r="M58" s="1539"/>
      <c r="N58" s="1539"/>
      <c r="O58" s="1539"/>
      <c r="P58" s="1539"/>
      <c r="Q58" s="1539"/>
      <c r="R58" s="1539"/>
      <c r="S58" s="1539"/>
      <c r="T58" s="1539"/>
      <c r="U58" s="1539"/>
      <c r="V58" s="1539"/>
      <c r="W58" s="1539"/>
      <c r="Y58" s="1490"/>
      <c r="Z58" s="1490"/>
      <c r="AA58" s="1490"/>
      <c r="AB58" s="1490"/>
      <c r="AC58" s="1490"/>
      <c r="AD58" s="1490"/>
      <c r="AE58" s="1490"/>
      <c r="AF58" s="1490"/>
      <c r="AG58" s="1490"/>
      <c r="AH58" s="1490"/>
      <c r="AI58" s="1490"/>
      <c r="AJ58" s="1490"/>
      <c r="AK58" s="1490"/>
      <c r="AL58" s="1490"/>
      <c r="AM58" s="1490"/>
      <c r="AN58" s="1490"/>
      <c r="AO58" s="1490"/>
      <c r="AP58" s="1490"/>
      <c r="AQ58" s="1490"/>
      <c r="AS58" s="1491"/>
      <c r="AT58" s="1491"/>
      <c r="AU58" s="1491"/>
      <c r="AV58" s="1491"/>
      <c r="AW58" s="1491"/>
      <c r="AX58" s="1491"/>
      <c r="AY58" s="1491"/>
      <c r="AZ58" s="1491"/>
      <c r="BA58" s="1491"/>
      <c r="BB58" s="1491"/>
      <c r="BC58" s="1491"/>
      <c r="BD58" s="1491"/>
      <c r="BE58" s="1491"/>
      <c r="BF58" s="1491"/>
      <c r="BG58" s="1491"/>
      <c r="BH58" s="1491"/>
      <c r="BI58" s="1491"/>
      <c r="BJ58" s="1491"/>
      <c r="BK58" s="1491"/>
      <c r="BL58" s="1491"/>
      <c r="BN58" s="1492"/>
      <c r="BO58" s="1492"/>
      <c r="BP58" s="1492"/>
      <c r="BR58" s="3168"/>
      <c r="BS58" s="1579"/>
      <c r="BT58" s="748"/>
      <c r="BU58" s="1507"/>
      <c r="BV58" s="1508"/>
      <c r="BW58" s="1508"/>
      <c r="BX58" s="1508"/>
      <c r="BY58" s="1508"/>
      <c r="BZ58" s="1508"/>
      <c r="CA58" s="1508"/>
      <c r="CB58" s="1508"/>
      <c r="CC58" s="1508"/>
      <c r="CD58" s="1508"/>
      <c r="CE58" s="1508"/>
      <c r="CF58" s="1508"/>
      <c r="CG58" s="1508"/>
      <c r="CH58" s="1508"/>
      <c r="CI58" s="1508"/>
      <c r="CJ58" s="1508"/>
      <c r="CK58" s="1508"/>
      <c r="CL58" s="1508"/>
      <c r="CM58" s="1508"/>
      <c r="CN58" s="1508"/>
      <c r="CO58" s="1508"/>
      <c r="CP58" s="1508"/>
      <c r="CQ58" s="1508"/>
      <c r="CR58" s="1508"/>
      <c r="CS58" s="1508"/>
      <c r="CT58" s="1508"/>
      <c r="CU58" s="1508"/>
      <c r="CV58" s="1508"/>
      <c r="CW58" s="1508"/>
      <c r="CX58" s="1508"/>
      <c r="CY58" s="1508"/>
      <c r="CZ58" s="1508"/>
      <c r="DA58" s="1508"/>
      <c r="DB58" s="1508"/>
      <c r="DC58" s="1508"/>
      <c r="DD58" s="1508"/>
      <c r="DE58" s="1508"/>
      <c r="DF58" s="1508"/>
      <c r="DG58" s="1508"/>
      <c r="DH58" s="1508"/>
      <c r="DI58" s="1508"/>
      <c r="DJ58" s="1508"/>
      <c r="DK58" s="1508"/>
      <c r="DL58" s="1508"/>
      <c r="DN58" s="1509"/>
    </row>
    <row r="59" spans="1:118" s="14" customFormat="1" outlineLevel="1" x14ac:dyDescent="0.2">
      <c r="C59" s="1580"/>
      <c r="D59" s="746"/>
      <c r="E59" s="1430"/>
      <c r="G59" s="1488"/>
      <c r="H59" s="1488"/>
      <c r="I59" s="1488"/>
      <c r="J59" s="1488"/>
      <c r="K59" s="1488"/>
      <c r="L59" s="1488"/>
      <c r="M59" s="1488"/>
      <c r="N59" s="1488"/>
      <c r="O59" s="1563"/>
      <c r="P59" s="1488"/>
      <c r="Q59" s="1488"/>
      <c r="R59" s="1488"/>
      <c r="S59" s="1488"/>
      <c r="T59" s="1488"/>
      <c r="U59" s="1488"/>
      <c r="V59" s="1488"/>
      <c r="W59" s="1488"/>
      <c r="Y59" s="1490"/>
      <c r="Z59" s="1490"/>
      <c r="AA59" s="1490"/>
      <c r="AB59" s="1490"/>
      <c r="AC59" s="1490"/>
      <c r="AD59" s="1490"/>
      <c r="AE59" s="1490"/>
      <c r="AF59" s="1490"/>
      <c r="AG59" s="1490"/>
      <c r="AH59" s="1490"/>
      <c r="AI59" s="1490"/>
      <c r="AJ59" s="1490"/>
      <c r="AK59" s="1490"/>
      <c r="AL59" s="1490"/>
      <c r="AM59" s="1490"/>
      <c r="AN59" s="1490"/>
      <c r="AO59" s="1490"/>
      <c r="AP59" s="1490"/>
      <c r="AQ59" s="1490"/>
      <c r="AS59" s="1491"/>
      <c r="AT59" s="1491"/>
      <c r="AU59" s="1491"/>
      <c r="AV59" s="1491"/>
      <c r="AW59" s="1491"/>
      <c r="AX59" s="1491"/>
      <c r="AY59" s="1491"/>
      <c r="AZ59" s="1491"/>
      <c r="BA59" s="1491"/>
      <c r="BB59" s="1491"/>
      <c r="BC59" s="1491"/>
      <c r="BD59" s="1491"/>
      <c r="BE59" s="1491"/>
      <c r="BF59" s="1491"/>
      <c r="BG59" s="1491"/>
      <c r="BH59" s="1491"/>
      <c r="BI59" s="1491"/>
      <c r="BJ59" s="1491"/>
      <c r="BK59" s="1491"/>
      <c r="BL59" s="1491"/>
      <c r="BN59" s="1492"/>
      <c r="BO59" s="1492"/>
      <c r="BP59" s="1492"/>
      <c r="BR59" s="3168">
        <f t="shared" si="12"/>
        <v>0</v>
      </c>
      <c r="BS59" s="1493"/>
      <c r="BU59" s="1508"/>
      <c r="BV59" s="1508"/>
      <c r="BW59" s="1508"/>
      <c r="BX59" s="1508"/>
      <c r="BY59" s="1508"/>
      <c r="BZ59" s="1508"/>
      <c r="CA59" s="1508"/>
      <c r="CB59" s="1508"/>
      <c r="CC59" s="1508"/>
      <c r="CD59" s="1508"/>
      <c r="CE59" s="1508"/>
      <c r="CF59" s="1508"/>
      <c r="CG59" s="1508"/>
      <c r="CH59" s="1508"/>
      <c r="CI59" s="1508"/>
      <c r="CJ59" s="1508"/>
      <c r="CK59" s="1508"/>
      <c r="CL59" s="1508"/>
      <c r="CM59" s="1508"/>
      <c r="CN59" s="1508"/>
      <c r="CO59" s="1508"/>
      <c r="CP59" s="1508"/>
      <c r="CQ59" s="1508"/>
      <c r="CR59" s="1508"/>
      <c r="CS59" s="1508"/>
      <c r="CT59" s="1508"/>
      <c r="CU59" s="1508"/>
      <c r="CV59" s="1508"/>
      <c r="CW59" s="1508"/>
      <c r="CX59" s="1508"/>
      <c r="CY59" s="1508"/>
      <c r="CZ59" s="1508"/>
      <c r="DA59" s="1508"/>
      <c r="DB59" s="1508"/>
      <c r="DC59" s="1508"/>
      <c r="DD59" s="1508"/>
      <c r="DE59" s="1508"/>
      <c r="DF59" s="1508"/>
      <c r="DG59" s="1508"/>
      <c r="DH59" s="1508"/>
      <c r="DI59" s="1508"/>
      <c r="DJ59" s="1508"/>
      <c r="DK59" s="1508"/>
      <c r="DL59" s="1508"/>
      <c r="DN59" s="1509"/>
    </row>
    <row r="60" spans="1:118" s="1522" customFormat="1" ht="12.75" customHeight="1" outlineLevel="1" x14ac:dyDescent="0.2">
      <c r="C60" s="1496" t="s">
        <v>208</v>
      </c>
      <c r="D60" s="14" t="str">
        <f>INDEX(Modulos[Modulos], MATCH($C60, Modulos[Código], 0))</f>
        <v>Plantas Eólicas</v>
      </c>
      <c r="E60" s="1497"/>
      <c r="F60" s="14"/>
      <c r="G60" s="1498"/>
      <c r="H60" s="1498"/>
      <c r="I60" s="1498"/>
      <c r="J60" s="1498"/>
      <c r="K60" s="1498"/>
      <c r="L60" s="1498"/>
      <c r="M60" s="1498"/>
      <c r="N60" s="1498"/>
      <c r="O60" s="1498"/>
      <c r="P60" s="1498"/>
      <c r="Q60" s="1498"/>
      <c r="R60" s="1498"/>
      <c r="S60" s="1498"/>
      <c r="T60" s="1498"/>
      <c r="U60" s="1498"/>
      <c r="V60" s="1498"/>
      <c r="W60" s="1499"/>
      <c r="X60" s="14"/>
      <c r="Y60" s="1893">
        <f t="shared" ref="Y60:AH66" ca="1" si="35">IFERROR(INDEX(INDIRECT($C60&amp;".Outputs["&amp;this.Year&amp;"]"), MATCH(Y$5, INDIRECT($C60&amp;".Outputs[Vector]"), 0)), 0)</f>
        <v>0</v>
      </c>
      <c r="Z60" s="1893">
        <f t="shared" ca="1" si="35"/>
        <v>2.6604443999999998</v>
      </c>
      <c r="AA60" s="1893">
        <f t="shared" ca="1" si="35"/>
        <v>0</v>
      </c>
      <c r="AB60" s="1893">
        <f t="shared" ca="1" si="35"/>
        <v>0</v>
      </c>
      <c r="AC60" s="1893">
        <f t="shared" ca="1" si="35"/>
        <v>0</v>
      </c>
      <c r="AD60" s="1893">
        <f t="shared" ca="1" si="35"/>
        <v>0</v>
      </c>
      <c r="AE60" s="1893">
        <f t="shared" ca="1" si="35"/>
        <v>0</v>
      </c>
      <c r="AF60" s="1893">
        <f t="shared" ca="1" si="35"/>
        <v>0</v>
      </c>
      <c r="AG60" s="1893">
        <f t="shared" ca="1" si="35"/>
        <v>0</v>
      </c>
      <c r="AH60" s="1893">
        <f t="shared" ca="1" si="35"/>
        <v>0</v>
      </c>
      <c r="AI60" s="1893">
        <f t="shared" ref="AI60:AP66" ca="1" si="36">IFERROR(INDEX(INDIRECT($C60&amp;".Outputs["&amp;this.Year&amp;"]"), MATCH(AI$5, INDIRECT($C60&amp;".Outputs[Vector]"), 0)), 0)</f>
        <v>0</v>
      </c>
      <c r="AJ60" s="1893">
        <f t="shared" ca="1" si="36"/>
        <v>0</v>
      </c>
      <c r="AK60" s="1893">
        <f t="shared" ca="1" si="36"/>
        <v>0</v>
      </c>
      <c r="AL60" s="1893">
        <f t="shared" ca="1" si="36"/>
        <v>0</v>
      </c>
      <c r="AM60" s="1893">
        <f t="shared" ca="1" si="36"/>
        <v>0</v>
      </c>
      <c r="AN60" s="1893">
        <f t="shared" ca="1" si="36"/>
        <v>0</v>
      </c>
      <c r="AO60" s="1893">
        <f t="shared" ca="1" si="36"/>
        <v>0</v>
      </c>
      <c r="AP60" s="1893">
        <f t="shared" ca="1" si="36"/>
        <v>0</v>
      </c>
      <c r="AQ60" s="1951">
        <f t="shared" ref="AQ60:AQ67" ca="1" si="37">SUM(Y60:AP60)</f>
        <v>2.6604443999999998</v>
      </c>
      <c r="AR60" s="14"/>
      <c r="AS60" s="1948">
        <f t="shared" ref="AS60:BB66" ca="1" si="38">IFERROR(INDEX(INDIRECT($C60&amp;".Outputs["&amp;this.Year&amp;"]"), MATCH(AS$5, INDIRECT($C60&amp;".Outputs[Vector]"), 0)), 0)</f>
        <v>0</v>
      </c>
      <c r="AT60" s="1948">
        <f t="shared" ca="1" si="38"/>
        <v>0</v>
      </c>
      <c r="AU60" s="1948">
        <f t="shared" ca="1" si="38"/>
        <v>0</v>
      </c>
      <c r="AV60" s="1948">
        <f t="shared" ca="1" si="38"/>
        <v>0</v>
      </c>
      <c r="AW60" s="1948">
        <f t="shared" ca="1" si="38"/>
        <v>0</v>
      </c>
      <c r="AX60" s="1948">
        <f t="shared" ca="1" si="38"/>
        <v>0</v>
      </c>
      <c r="AY60" s="1948">
        <f t="shared" ca="1" si="38"/>
        <v>0</v>
      </c>
      <c r="AZ60" s="1948">
        <f t="shared" ca="1" si="38"/>
        <v>0</v>
      </c>
      <c r="BA60" s="1948">
        <f t="shared" ca="1" si="38"/>
        <v>0</v>
      </c>
      <c r="BB60" s="1948">
        <f t="shared" ca="1" si="38"/>
        <v>0</v>
      </c>
      <c r="BC60" s="1948">
        <f t="shared" ref="BC60:BK66" ca="1" si="39">IFERROR(INDEX(INDIRECT($C60&amp;".Outputs["&amp;this.Year&amp;"]"), MATCH(BC$5, INDIRECT($C60&amp;".Outputs[Vector]"), 0)), 0)</f>
        <v>0</v>
      </c>
      <c r="BD60" s="1948">
        <f t="shared" ca="1" si="39"/>
        <v>-2.6604443999999998</v>
      </c>
      <c r="BE60" s="1948">
        <f t="shared" ca="1" si="39"/>
        <v>0</v>
      </c>
      <c r="BF60" s="1948">
        <f t="shared" ca="1" si="39"/>
        <v>0</v>
      </c>
      <c r="BG60" s="1948">
        <f t="shared" ca="1" si="39"/>
        <v>0</v>
      </c>
      <c r="BH60" s="1948">
        <f t="shared" ca="1" si="39"/>
        <v>0</v>
      </c>
      <c r="BI60" s="1948">
        <f t="shared" ca="1" si="39"/>
        <v>0</v>
      </c>
      <c r="BJ60" s="1948">
        <f t="shared" ca="1" si="39"/>
        <v>0</v>
      </c>
      <c r="BK60" s="1948">
        <f t="shared" ca="1" si="39"/>
        <v>0</v>
      </c>
      <c r="BL60" s="1952">
        <f t="shared" ref="BL60:BL67" ca="1" si="40">SUM(AS60:BK60)</f>
        <v>-2.6604443999999998</v>
      </c>
      <c r="BM60" s="14"/>
      <c r="BN60" s="1941">
        <f t="shared" ref="BN60:BO66" ca="1" si="41">IFERROR(INDEX(INDIRECT($C60&amp;".Outputs["&amp;this.Year&amp;"]"), MATCH(BN$5, INDIRECT($C60&amp;".Outputs[Vector]"), 0)), 0)</f>
        <v>0</v>
      </c>
      <c r="BO60" s="1941">
        <f t="shared" ca="1" si="41"/>
        <v>0</v>
      </c>
      <c r="BP60" s="1505">
        <f ca="1">BN60+BO60</f>
        <v>0</v>
      </c>
      <c r="BQ60" s="14"/>
      <c r="BR60" s="3168">
        <f t="shared" ca="1" si="12"/>
        <v>0</v>
      </c>
      <c r="BS60" s="1525"/>
      <c r="BT60" s="748"/>
      <c r="BU60" s="1507">
        <v>0</v>
      </c>
      <c r="BV60" s="1508">
        <v>0</v>
      </c>
      <c r="BW60" s="1508">
        <v>0</v>
      </c>
      <c r="BX60" s="1508">
        <v>0</v>
      </c>
      <c r="BY60" s="1508">
        <v>0</v>
      </c>
      <c r="BZ60" s="1508">
        <v>0</v>
      </c>
      <c r="CA60" s="1508">
        <v>0</v>
      </c>
      <c r="CB60" s="1508">
        <v>0</v>
      </c>
      <c r="CC60" s="1508">
        <v>0</v>
      </c>
      <c r="CD60" s="1508">
        <v>0</v>
      </c>
      <c r="CE60" s="1508">
        <v>0</v>
      </c>
      <c r="CF60" s="1508">
        <v>0</v>
      </c>
      <c r="CG60" s="1508">
        <v>0</v>
      </c>
      <c r="CH60" s="1508">
        <v>0</v>
      </c>
      <c r="CI60" s="1508">
        <v>0</v>
      </c>
      <c r="CJ60" s="1508">
        <v>0</v>
      </c>
      <c r="CK60" s="1508">
        <v>0</v>
      </c>
      <c r="CL60" s="1508">
        <v>0</v>
      </c>
      <c r="CM60" s="1508">
        <v>0</v>
      </c>
      <c r="CN60" s="1508">
        <v>0</v>
      </c>
      <c r="CO60" s="1508">
        <v>0</v>
      </c>
      <c r="CP60" s="1508">
        <v>0</v>
      </c>
      <c r="CQ60" s="1508">
        <v>0</v>
      </c>
      <c r="CR60" s="1508">
        <v>0</v>
      </c>
      <c r="CS60" s="1508">
        <v>0</v>
      </c>
      <c r="CT60" s="1508">
        <v>0</v>
      </c>
      <c r="CU60" s="1508">
        <v>0</v>
      </c>
      <c r="CV60" s="1508">
        <v>0</v>
      </c>
      <c r="CW60" s="1508">
        <v>0</v>
      </c>
      <c r="CX60" s="1508">
        <v>0</v>
      </c>
      <c r="CY60" s="1508">
        <v>0</v>
      </c>
      <c r="CZ60" s="1508">
        <v>0</v>
      </c>
      <c r="DA60" s="1508">
        <v>0</v>
      </c>
      <c r="DB60" s="1508">
        <v>0</v>
      </c>
      <c r="DC60" s="1508">
        <v>0</v>
      </c>
      <c r="DD60" s="1508">
        <v>0</v>
      </c>
      <c r="DE60" s="1508">
        <v>0</v>
      </c>
      <c r="DF60" s="1508">
        <v>0</v>
      </c>
      <c r="DG60" s="1508">
        <v>0</v>
      </c>
      <c r="DH60" s="1508">
        <v>0</v>
      </c>
      <c r="DI60" s="1508">
        <v>0</v>
      </c>
      <c r="DJ60" s="1508">
        <v>0</v>
      </c>
      <c r="DK60" s="1508">
        <v>0</v>
      </c>
      <c r="DL60" s="1508">
        <v>0</v>
      </c>
      <c r="DN60" s="1509">
        <v>0</v>
      </c>
    </row>
    <row r="61" spans="1:118" s="1522" customFormat="1" ht="12.75" customHeight="1" outlineLevel="1" x14ac:dyDescent="0.2">
      <c r="C61" s="1496" t="s">
        <v>246</v>
      </c>
      <c r="D61" s="14" t="str">
        <f>INDEX(Modulos[Modulos], MATCH($C61, Modulos[Código], 0))</f>
        <v>Mini Hidráulica de Pasada</v>
      </c>
      <c r="E61" s="1497"/>
      <c r="F61" s="14"/>
      <c r="G61" s="1498"/>
      <c r="H61" s="1498"/>
      <c r="I61" s="1498"/>
      <c r="J61" s="1498"/>
      <c r="K61" s="1498"/>
      <c r="L61" s="1498"/>
      <c r="M61" s="1498"/>
      <c r="N61" s="1498"/>
      <c r="O61" s="1498"/>
      <c r="P61" s="1498"/>
      <c r="Q61" s="1498"/>
      <c r="R61" s="1498"/>
      <c r="S61" s="1498"/>
      <c r="T61" s="1498"/>
      <c r="U61" s="1498"/>
      <c r="V61" s="1498"/>
      <c r="W61" s="1499"/>
      <c r="X61" s="14"/>
      <c r="Y61" s="1893">
        <f t="shared" ca="1" si="35"/>
        <v>0</v>
      </c>
      <c r="Z61" s="1893">
        <f t="shared" ca="1" si="35"/>
        <v>1.8803070000000002</v>
      </c>
      <c r="AA61" s="1893">
        <f t="shared" ca="1" si="35"/>
        <v>0</v>
      </c>
      <c r="AB61" s="1893">
        <f t="shared" ca="1" si="35"/>
        <v>0</v>
      </c>
      <c r="AC61" s="1893">
        <f t="shared" ca="1" si="35"/>
        <v>0</v>
      </c>
      <c r="AD61" s="1893">
        <f t="shared" ca="1" si="35"/>
        <v>0</v>
      </c>
      <c r="AE61" s="1893">
        <f t="shared" ca="1" si="35"/>
        <v>0</v>
      </c>
      <c r="AF61" s="1893">
        <f t="shared" ca="1" si="35"/>
        <v>0</v>
      </c>
      <c r="AG61" s="1893">
        <f t="shared" ca="1" si="35"/>
        <v>0</v>
      </c>
      <c r="AH61" s="1893">
        <f t="shared" ca="1" si="35"/>
        <v>0</v>
      </c>
      <c r="AI61" s="1893">
        <f t="shared" ca="1" si="36"/>
        <v>0</v>
      </c>
      <c r="AJ61" s="1893">
        <f t="shared" ca="1" si="36"/>
        <v>0</v>
      </c>
      <c r="AK61" s="1893">
        <f t="shared" ca="1" si="36"/>
        <v>0</v>
      </c>
      <c r="AL61" s="1893">
        <f t="shared" ca="1" si="36"/>
        <v>0</v>
      </c>
      <c r="AM61" s="1893">
        <f t="shared" ca="1" si="36"/>
        <v>0</v>
      </c>
      <c r="AN61" s="1893">
        <f t="shared" ca="1" si="36"/>
        <v>0</v>
      </c>
      <c r="AO61" s="1893">
        <f t="shared" ca="1" si="36"/>
        <v>0</v>
      </c>
      <c r="AP61" s="1893">
        <f t="shared" ca="1" si="36"/>
        <v>0</v>
      </c>
      <c r="AQ61" s="1951">
        <f t="shared" ca="1" si="37"/>
        <v>1.8803070000000002</v>
      </c>
      <c r="AR61" s="14"/>
      <c r="AS61" s="1948">
        <f t="shared" ca="1" si="38"/>
        <v>0</v>
      </c>
      <c r="AT61" s="1948">
        <f t="shared" ca="1" si="38"/>
        <v>0</v>
      </c>
      <c r="AU61" s="1948">
        <f t="shared" ca="1" si="38"/>
        <v>0</v>
      </c>
      <c r="AV61" s="1948">
        <f t="shared" ca="1" si="38"/>
        <v>0</v>
      </c>
      <c r="AW61" s="1948">
        <f t="shared" ca="1" si="38"/>
        <v>0</v>
      </c>
      <c r="AX61" s="1948">
        <f t="shared" ca="1" si="38"/>
        <v>0</v>
      </c>
      <c r="AY61" s="1948">
        <f t="shared" ca="1" si="38"/>
        <v>0</v>
      </c>
      <c r="AZ61" s="1948">
        <f t="shared" ca="1" si="38"/>
        <v>0</v>
      </c>
      <c r="BA61" s="1948">
        <f t="shared" ca="1" si="38"/>
        <v>0</v>
      </c>
      <c r="BB61" s="1948">
        <f t="shared" ca="1" si="38"/>
        <v>0</v>
      </c>
      <c r="BC61" s="1948">
        <f t="shared" ca="1" si="39"/>
        <v>0</v>
      </c>
      <c r="BD61" s="1948">
        <f t="shared" ca="1" si="39"/>
        <v>0</v>
      </c>
      <c r="BE61" s="1948">
        <f t="shared" ca="1" si="39"/>
        <v>0</v>
      </c>
      <c r="BF61" s="1948">
        <f t="shared" ca="1" si="39"/>
        <v>0</v>
      </c>
      <c r="BG61" s="1948">
        <f t="shared" ca="1" si="39"/>
        <v>0</v>
      </c>
      <c r="BH61" s="1948">
        <f t="shared" ca="1" si="39"/>
        <v>-1.8803070000000002</v>
      </c>
      <c r="BI61" s="1948">
        <f t="shared" ca="1" si="39"/>
        <v>0</v>
      </c>
      <c r="BJ61" s="1948">
        <f t="shared" ca="1" si="39"/>
        <v>0</v>
      </c>
      <c r="BK61" s="1948">
        <f t="shared" ca="1" si="39"/>
        <v>0</v>
      </c>
      <c r="BL61" s="1952">
        <f t="shared" ca="1" si="40"/>
        <v>-1.8803070000000002</v>
      </c>
      <c r="BM61" s="14"/>
      <c r="BN61" s="1941">
        <f t="shared" ca="1" si="41"/>
        <v>0</v>
      </c>
      <c r="BO61" s="1941">
        <f t="shared" ca="1" si="41"/>
        <v>0</v>
      </c>
      <c r="BP61" s="1505">
        <f t="shared" ref="BP61:BP66" ca="1" si="42">BN61+BO61</f>
        <v>0</v>
      </c>
      <c r="BQ61" s="14"/>
      <c r="BR61" s="3168">
        <f t="shared" ca="1" si="12"/>
        <v>0</v>
      </c>
      <c r="BS61" s="1525"/>
      <c r="BT61" s="748"/>
      <c r="BU61" s="1507">
        <v>0</v>
      </c>
      <c r="BV61" s="1508">
        <v>0</v>
      </c>
      <c r="BW61" s="1508">
        <v>0</v>
      </c>
      <c r="BX61" s="1508">
        <v>0</v>
      </c>
      <c r="BY61" s="1508">
        <v>0</v>
      </c>
      <c r="BZ61" s="1508">
        <v>0</v>
      </c>
      <c r="CA61" s="1508">
        <v>0</v>
      </c>
      <c r="CB61" s="1508">
        <v>0</v>
      </c>
      <c r="CC61" s="1508">
        <v>0</v>
      </c>
      <c r="CD61" s="1508">
        <v>0</v>
      </c>
      <c r="CE61" s="1508">
        <v>0</v>
      </c>
      <c r="CF61" s="1508">
        <v>0</v>
      </c>
      <c r="CG61" s="1508">
        <v>0</v>
      </c>
      <c r="CH61" s="1508">
        <v>0</v>
      </c>
      <c r="CI61" s="1508">
        <v>0</v>
      </c>
      <c r="CJ61" s="1508">
        <v>0</v>
      </c>
      <c r="CK61" s="1508">
        <v>0</v>
      </c>
      <c r="CL61" s="1508">
        <v>0</v>
      </c>
      <c r="CM61" s="1508">
        <v>0</v>
      </c>
      <c r="CN61" s="1508">
        <v>0</v>
      </c>
      <c r="CO61" s="1508">
        <v>0</v>
      </c>
      <c r="CP61" s="1508">
        <v>0</v>
      </c>
      <c r="CQ61" s="1508">
        <v>0</v>
      </c>
      <c r="CR61" s="1508">
        <v>0</v>
      </c>
      <c r="CS61" s="1508">
        <v>0</v>
      </c>
      <c r="CT61" s="1508">
        <v>0</v>
      </c>
      <c r="CU61" s="1508">
        <v>0</v>
      </c>
      <c r="CV61" s="1508">
        <v>0</v>
      </c>
      <c r="CW61" s="1508">
        <v>0</v>
      </c>
      <c r="CX61" s="1508">
        <v>0</v>
      </c>
      <c r="CY61" s="1508">
        <v>0</v>
      </c>
      <c r="CZ61" s="1508">
        <v>0</v>
      </c>
      <c r="DA61" s="1508">
        <v>0</v>
      </c>
      <c r="DB61" s="1508">
        <v>0</v>
      </c>
      <c r="DC61" s="1508">
        <v>0</v>
      </c>
      <c r="DD61" s="1508">
        <v>0</v>
      </c>
      <c r="DE61" s="1508">
        <v>0</v>
      </c>
      <c r="DF61" s="1508">
        <v>0</v>
      </c>
      <c r="DG61" s="1508">
        <v>0</v>
      </c>
      <c r="DH61" s="1508">
        <v>0</v>
      </c>
      <c r="DI61" s="1508">
        <v>0</v>
      </c>
      <c r="DJ61" s="1508">
        <v>0</v>
      </c>
      <c r="DK61" s="1508">
        <v>0</v>
      </c>
      <c r="DL61" s="1508">
        <v>0</v>
      </c>
      <c r="DN61" s="1509">
        <v>0</v>
      </c>
    </row>
    <row r="62" spans="1:118" s="1522" customFormat="1" ht="12.75" customHeight="1" outlineLevel="1" x14ac:dyDescent="0.2">
      <c r="C62" s="1496" t="s">
        <v>258</v>
      </c>
      <c r="D62" s="14" t="str">
        <f>INDEX(Modulos[Modulos], MATCH($C62, Modulos[Código], 0))</f>
        <v>Hidráulica de Pasada</v>
      </c>
      <c r="E62" s="1497"/>
      <c r="F62" s="14"/>
      <c r="G62" s="1498"/>
      <c r="H62" s="1498"/>
      <c r="I62" s="1498"/>
      <c r="J62" s="1498"/>
      <c r="K62" s="1498"/>
      <c r="L62" s="1498"/>
      <c r="M62" s="1498"/>
      <c r="N62" s="1498"/>
      <c r="O62" s="1498"/>
      <c r="P62" s="1498"/>
      <c r="Q62" s="1498"/>
      <c r="R62" s="1498"/>
      <c r="S62" s="1498"/>
      <c r="T62" s="1498"/>
      <c r="U62" s="1498"/>
      <c r="V62" s="1498"/>
      <c r="W62" s="1499"/>
      <c r="X62" s="14"/>
      <c r="Y62" s="1893">
        <f t="shared" ca="1" si="35"/>
        <v>0</v>
      </c>
      <c r="Z62" s="1893">
        <f t="shared" ca="1" si="35"/>
        <v>6.3816480000000002</v>
      </c>
      <c r="AA62" s="1893">
        <f t="shared" ca="1" si="35"/>
        <v>0</v>
      </c>
      <c r="AB62" s="1893">
        <f t="shared" ca="1" si="35"/>
        <v>0</v>
      </c>
      <c r="AC62" s="1893">
        <f t="shared" ca="1" si="35"/>
        <v>0</v>
      </c>
      <c r="AD62" s="1893">
        <f t="shared" ca="1" si="35"/>
        <v>0</v>
      </c>
      <c r="AE62" s="1893">
        <f t="shared" ca="1" si="35"/>
        <v>0</v>
      </c>
      <c r="AF62" s="1893">
        <f t="shared" ca="1" si="35"/>
        <v>0</v>
      </c>
      <c r="AG62" s="1893">
        <f t="shared" ca="1" si="35"/>
        <v>0</v>
      </c>
      <c r="AH62" s="1893">
        <f t="shared" ca="1" si="35"/>
        <v>0</v>
      </c>
      <c r="AI62" s="1893">
        <f t="shared" ca="1" si="36"/>
        <v>0</v>
      </c>
      <c r="AJ62" s="1893">
        <f t="shared" ca="1" si="36"/>
        <v>0</v>
      </c>
      <c r="AK62" s="1893">
        <f t="shared" ca="1" si="36"/>
        <v>0</v>
      </c>
      <c r="AL62" s="1893">
        <f t="shared" ca="1" si="36"/>
        <v>0</v>
      </c>
      <c r="AM62" s="1893">
        <f t="shared" ca="1" si="36"/>
        <v>0</v>
      </c>
      <c r="AN62" s="1893">
        <f t="shared" ca="1" si="36"/>
        <v>0</v>
      </c>
      <c r="AO62" s="1893">
        <f t="shared" ca="1" si="36"/>
        <v>0</v>
      </c>
      <c r="AP62" s="1893">
        <f t="shared" ca="1" si="36"/>
        <v>0</v>
      </c>
      <c r="AQ62" s="1951">
        <f t="shared" ca="1" si="37"/>
        <v>6.3816480000000002</v>
      </c>
      <c r="AR62" s="14"/>
      <c r="AS62" s="1948">
        <f t="shared" ca="1" si="38"/>
        <v>0</v>
      </c>
      <c r="AT62" s="1948">
        <f t="shared" ca="1" si="38"/>
        <v>0</v>
      </c>
      <c r="AU62" s="1948">
        <f t="shared" ca="1" si="38"/>
        <v>0</v>
      </c>
      <c r="AV62" s="1948">
        <f t="shared" ca="1" si="38"/>
        <v>0</v>
      </c>
      <c r="AW62" s="1948">
        <f t="shared" ca="1" si="38"/>
        <v>0</v>
      </c>
      <c r="AX62" s="1948">
        <f t="shared" ca="1" si="38"/>
        <v>0</v>
      </c>
      <c r="AY62" s="1948">
        <f t="shared" ca="1" si="38"/>
        <v>0</v>
      </c>
      <c r="AZ62" s="1948">
        <f t="shared" ca="1" si="38"/>
        <v>0</v>
      </c>
      <c r="BA62" s="1948">
        <f t="shared" ca="1" si="38"/>
        <v>0</v>
      </c>
      <c r="BB62" s="1948">
        <f t="shared" ca="1" si="38"/>
        <v>0</v>
      </c>
      <c r="BC62" s="1948">
        <f t="shared" ca="1" si="39"/>
        <v>0</v>
      </c>
      <c r="BD62" s="1948">
        <f t="shared" ca="1" si="39"/>
        <v>0</v>
      </c>
      <c r="BE62" s="1948">
        <f t="shared" ca="1" si="39"/>
        <v>0</v>
      </c>
      <c r="BF62" s="1948">
        <f t="shared" ca="1" si="39"/>
        <v>0</v>
      </c>
      <c r="BG62" s="1948">
        <f t="shared" ca="1" si="39"/>
        <v>0</v>
      </c>
      <c r="BH62" s="1948">
        <f t="shared" ca="1" si="39"/>
        <v>-6.3816480000000002</v>
      </c>
      <c r="BI62" s="1948">
        <f t="shared" ca="1" si="39"/>
        <v>0</v>
      </c>
      <c r="BJ62" s="1948">
        <f t="shared" ca="1" si="39"/>
        <v>0</v>
      </c>
      <c r="BK62" s="1948">
        <f t="shared" ca="1" si="39"/>
        <v>0</v>
      </c>
      <c r="BL62" s="1952">
        <f t="shared" ca="1" si="40"/>
        <v>-6.3816480000000002</v>
      </c>
      <c r="BM62" s="14"/>
      <c r="BN62" s="1941">
        <f t="shared" ca="1" si="41"/>
        <v>0</v>
      </c>
      <c r="BO62" s="1941">
        <f t="shared" ca="1" si="41"/>
        <v>0</v>
      </c>
      <c r="BP62" s="1505">
        <f t="shared" ca="1" si="42"/>
        <v>0</v>
      </c>
      <c r="BQ62" s="14"/>
      <c r="BR62" s="3168">
        <f t="shared" ca="1" si="12"/>
        <v>0</v>
      </c>
      <c r="BS62" s="1525"/>
      <c r="BT62" s="748"/>
      <c r="BU62" s="1507">
        <v>0</v>
      </c>
      <c r="BV62" s="1508">
        <v>0</v>
      </c>
      <c r="BW62" s="1508">
        <v>0</v>
      </c>
      <c r="BX62" s="1508">
        <v>0</v>
      </c>
      <c r="BY62" s="1508">
        <v>0</v>
      </c>
      <c r="BZ62" s="1508">
        <v>0</v>
      </c>
      <c r="CA62" s="1508">
        <v>0</v>
      </c>
      <c r="CB62" s="1508">
        <v>0</v>
      </c>
      <c r="CC62" s="1508">
        <v>0</v>
      </c>
      <c r="CD62" s="1508">
        <v>0</v>
      </c>
      <c r="CE62" s="1508">
        <v>0</v>
      </c>
      <c r="CF62" s="1508">
        <v>0</v>
      </c>
      <c r="CG62" s="1508">
        <v>0</v>
      </c>
      <c r="CH62" s="1508">
        <v>0</v>
      </c>
      <c r="CI62" s="1508">
        <v>0</v>
      </c>
      <c r="CJ62" s="1508">
        <v>0</v>
      </c>
      <c r="CK62" s="1508">
        <v>0</v>
      </c>
      <c r="CL62" s="1508">
        <v>0</v>
      </c>
      <c r="CM62" s="1508">
        <v>0</v>
      </c>
      <c r="CN62" s="1508">
        <v>0</v>
      </c>
      <c r="CO62" s="1508">
        <v>0</v>
      </c>
      <c r="CP62" s="1508">
        <v>0</v>
      </c>
      <c r="CQ62" s="1508">
        <v>0</v>
      </c>
      <c r="CR62" s="1508">
        <v>0</v>
      </c>
      <c r="CS62" s="1508">
        <v>0</v>
      </c>
      <c r="CT62" s="1508">
        <v>0</v>
      </c>
      <c r="CU62" s="1508">
        <v>0</v>
      </c>
      <c r="CV62" s="1508">
        <v>0</v>
      </c>
      <c r="CW62" s="1508">
        <v>0</v>
      </c>
      <c r="CX62" s="1508">
        <v>0</v>
      </c>
      <c r="CY62" s="1508">
        <v>0</v>
      </c>
      <c r="CZ62" s="1508">
        <v>0</v>
      </c>
      <c r="DA62" s="1508">
        <v>0</v>
      </c>
      <c r="DB62" s="1508">
        <v>0</v>
      </c>
      <c r="DC62" s="1508">
        <v>0</v>
      </c>
      <c r="DD62" s="1508">
        <v>0</v>
      </c>
      <c r="DE62" s="1508">
        <v>0</v>
      </c>
      <c r="DF62" s="1508">
        <v>0</v>
      </c>
      <c r="DG62" s="1508">
        <v>0</v>
      </c>
      <c r="DH62" s="1508">
        <v>0</v>
      </c>
      <c r="DI62" s="1508">
        <v>0</v>
      </c>
      <c r="DJ62" s="1508">
        <v>0</v>
      </c>
      <c r="DK62" s="1508">
        <v>0</v>
      </c>
      <c r="DL62" s="1508">
        <v>0</v>
      </c>
      <c r="DN62" s="1509">
        <v>0</v>
      </c>
    </row>
    <row r="63" spans="1:118" s="1522" customFormat="1" ht="12.75" customHeight="1" outlineLevel="1" x14ac:dyDescent="0.2">
      <c r="C63" s="1496" t="s">
        <v>267</v>
      </c>
      <c r="D63" s="14" t="str">
        <f>INDEX(Modulos[Modulos], MATCH($C63, Modulos[Código], 0))</f>
        <v>Hidráulica de Embalse</v>
      </c>
      <c r="E63" s="1497"/>
      <c r="F63" s="14"/>
      <c r="G63" s="1498"/>
      <c r="H63" s="1498"/>
      <c r="I63" s="1498"/>
      <c r="J63" s="1498"/>
      <c r="K63" s="1498"/>
      <c r="L63" s="1498"/>
      <c r="M63" s="1498"/>
      <c r="N63" s="1498"/>
      <c r="O63" s="1498"/>
      <c r="P63" s="1498"/>
      <c r="Q63" s="1498"/>
      <c r="R63" s="1498"/>
      <c r="S63" s="1498"/>
      <c r="T63" s="1498"/>
      <c r="U63" s="1498"/>
      <c r="V63" s="1498"/>
      <c r="W63" s="1499"/>
      <c r="X63" s="14"/>
      <c r="Y63" s="1893">
        <f t="shared" ca="1" si="35"/>
        <v>0</v>
      </c>
      <c r="Z63" s="1893">
        <f t="shared" ca="1" si="35"/>
        <v>13.885344</v>
      </c>
      <c r="AA63" s="1893">
        <f t="shared" ca="1" si="35"/>
        <v>0</v>
      </c>
      <c r="AB63" s="1893">
        <f t="shared" ca="1" si="35"/>
        <v>0</v>
      </c>
      <c r="AC63" s="1893">
        <f t="shared" ca="1" si="35"/>
        <v>0</v>
      </c>
      <c r="AD63" s="1893">
        <f t="shared" ca="1" si="35"/>
        <v>0</v>
      </c>
      <c r="AE63" s="1893">
        <f t="shared" ca="1" si="35"/>
        <v>0</v>
      </c>
      <c r="AF63" s="1893">
        <f t="shared" ca="1" si="35"/>
        <v>0</v>
      </c>
      <c r="AG63" s="1893">
        <f t="shared" ca="1" si="35"/>
        <v>0</v>
      </c>
      <c r="AH63" s="1893">
        <f t="shared" ca="1" si="35"/>
        <v>0</v>
      </c>
      <c r="AI63" s="1893">
        <f t="shared" ca="1" si="36"/>
        <v>0</v>
      </c>
      <c r="AJ63" s="1893">
        <f t="shared" ca="1" si="36"/>
        <v>0</v>
      </c>
      <c r="AK63" s="1893">
        <f t="shared" ca="1" si="36"/>
        <v>0</v>
      </c>
      <c r="AL63" s="1893">
        <f t="shared" ca="1" si="36"/>
        <v>0</v>
      </c>
      <c r="AM63" s="1893">
        <f t="shared" ca="1" si="36"/>
        <v>0</v>
      </c>
      <c r="AN63" s="1893">
        <f t="shared" ca="1" si="36"/>
        <v>0</v>
      </c>
      <c r="AO63" s="1893">
        <f t="shared" ca="1" si="36"/>
        <v>0</v>
      </c>
      <c r="AP63" s="1893">
        <f t="shared" ca="1" si="36"/>
        <v>0</v>
      </c>
      <c r="AQ63" s="1951">
        <f t="shared" ca="1" si="37"/>
        <v>13.885344</v>
      </c>
      <c r="AR63" s="14"/>
      <c r="AS63" s="1948">
        <f t="shared" ca="1" si="38"/>
        <v>0</v>
      </c>
      <c r="AT63" s="1948">
        <f t="shared" ca="1" si="38"/>
        <v>0</v>
      </c>
      <c r="AU63" s="1948">
        <f t="shared" ca="1" si="38"/>
        <v>0</v>
      </c>
      <c r="AV63" s="1948">
        <f t="shared" ca="1" si="38"/>
        <v>0</v>
      </c>
      <c r="AW63" s="1948">
        <f t="shared" ca="1" si="38"/>
        <v>0</v>
      </c>
      <c r="AX63" s="1948">
        <f t="shared" ca="1" si="38"/>
        <v>0</v>
      </c>
      <c r="AY63" s="1948">
        <f t="shared" ca="1" si="38"/>
        <v>0</v>
      </c>
      <c r="AZ63" s="1948">
        <f t="shared" ca="1" si="38"/>
        <v>0</v>
      </c>
      <c r="BA63" s="1948">
        <f t="shared" ca="1" si="38"/>
        <v>0</v>
      </c>
      <c r="BB63" s="1948">
        <f t="shared" ca="1" si="38"/>
        <v>0</v>
      </c>
      <c r="BC63" s="1948">
        <f t="shared" ca="1" si="39"/>
        <v>0</v>
      </c>
      <c r="BD63" s="1948">
        <f t="shared" ca="1" si="39"/>
        <v>0</v>
      </c>
      <c r="BE63" s="1948">
        <f t="shared" ca="1" si="39"/>
        <v>0</v>
      </c>
      <c r="BF63" s="1948">
        <f t="shared" ca="1" si="39"/>
        <v>0</v>
      </c>
      <c r="BG63" s="1948">
        <f t="shared" ca="1" si="39"/>
        <v>0</v>
      </c>
      <c r="BH63" s="1948">
        <f t="shared" ca="1" si="39"/>
        <v>-13.885344</v>
      </c>
      <c r="BI63" s="1948">
        <f t="shared" ca="1" si="39"/>
        <v>0</v>
      </c>
      <c r="BJ63" s="1948">
        <f t="shared" ca="1" si="39"/>
        <v>0</v>
      </c>
      <c r="BK63" s="1948">
        <f t="shared" ca="1" si="39"/>
        <v>0</v>
      </c>
      <c r="BL63" s="1952">
        <f t="shared" ca="1" si="40"/>
        <v>-13.885344</v>
      </c>
      <c r="BM63" s="14"/>
      <c r="BN63" s="1941">
        <f t="shared" ca="1" si="41"/>
        <v>0</v>
      </c>
      <c r="BO63" s="1941">
        <f t="shared" ca="1" si="41"/>
        <v>0</v>
      </c>
      <c r="BP63" s="1505">
        <f t="shared" ca="1" si="42"/>
        <v>0</v>
      </c>
      <c r="BQ63" s="14"/>
      <c r="BR63" s="3168">
        <f t="shared" ca="1" si="12"/>
        <v>0</v>
      </c>
      <c r="BS63" s="1525"/>
      <c r="BT63" s="748"/>
      <c r="BU63" s="1507">
        <v>0</v>
      </c>
      <c r="BV63" s="1508">
        <v>0</v>
      </c>
      <c r="BW63" s="1508">
        <v>0</v>
      </c>
      <c r="BX63" s="1508">
        <v>0</v>
      </c>
      <c r="BY63" s="1508">
        <v>0</v>
      </c>
      <c r="BZ63" s="1508">
        <v>0</v>
      </c>
      <c r="CA63" s="1508">
        <v>0</v>
      </c>
      <c r="CB63" s="1508">
        <v>0</v>
      </c>
      <c r="CC63" s="1508">
        <v>0</v>
      </c>
      <c r="CD63" s="1508">
        <v>0</v>
      </c>
      <c r="CE63" s="1508">
        <v>0</v>
      </c>
      <c r="CF63" s="1508">
        <v>0</v>
      </c>
      <c r="CG63" s="1508">
        <v>0</v>
      </c>
      <c r="CH63" s="1508">
        <v>0</v>
      </c>
      <c r="CI63" s="1508">
        <v>0</v>
      </c>
      <c r="CJ63" s="1508">
        <v>0</v>
      </c>
      <c r="CK63" s="1508">
        <v>0</v>
      </c>
      <c r="CL63" s="1508">
        <v>0</v>
      </c>
      <c r="CM63" s="1508">
        <v>0</v>
      </c>
      <c r="CN63" s="1508">
        <v>0</v>
      </c>
      <c r="CO63" s="1508">
        <v>0</v>
      </c>
      <c r="CP63" s="1508">
        <v>0</v>
      </c>
      <c r="CQ63" s="1508">
        <v>0</v>
      </c>
      <c r="CR63" s="1508">
        <v>0</v>
      </c>
      <c r="CS63" s="1508">
        <v>0</v>
      </c>
      <c r="CT63" s="1508">
        <v>0</v>
      </c>
      <c r="CU63" s="1508">
        <v>0</v>
      </c>
      <c r="CV63" s="1508">
        <v>0</v>
      </c>
      <c r="CW63" s="1508">
        <v>0</v>
      </c>
      <c r="CX63" s="1508">
        <v>0</v>
      </c>
      <c r="CY63" s="1508">
        <v>0</v>
      </c>
      <c r="CZ63" s="1508">
        <v>0</v>
      </c>
      <c r="DA63" s="1508">
        <v>0</v>
      </c>
      <c r="DB63" s="1508">
        <v>0</v>
      </c>
      <c r="DC63" s="1508">
        <v>0</v>
      </c>
      <c r="DD63" s="1508">
        <v>0</v>
      </c>
      <c r="DE63" s="1508">
        <v>0</v>
      </c>
      <c r="DF63" s="1508">
        <v>0</v>
      </c>
      <c r="DG63" s="1508">
        <v>0</v>
      </c>
      <c r="DH63" s="1508">
        <v>0</v>
      </c>
      <c r="DI63" s="1508">
        <v>0</v>
      </c>
      <c r="DJ63" s="1508">
        <v>0</v>
      </c>
      <c r="DK63" s="1508">
        <v>0</v>
      </c>
      <c r="DL63" s="1508">
        <v>0</v>
      </c>
      <c r="DN63" s="1509">
        <v>0</v>
      </c>
    </row>
    <row r="64" spans="1:118" s="1522" customFormat="1" ht="12.75" customHeight="1" outlineLevel="1" x14ac:dyDescent="0.2">
      <c r="C64" s="1496" t="s">
        <v>58</v>
      </c>
      <c r="D64" s="14" t="str">
        <f>INDEX(Modulos[Modulos], MATCH($C64, Modulos[Código], 0))</f>
        <v>Mareomotriz y Undimotriz</v>
      </c>
      <c r="E64" s="1497"/>
      <c r="F64" s="14"/>
      <c r="G64" s="1498"/>
      <c r="H64" s="1498"/>
      <c r="I64" s="1498"/>
      <c r="J64" s="1498"/>
      <c r="K64" s="1498"/>
      <c r="L64" s="1498"/>
      <c r="M64" s="1498"/>
      <c r="N64" s="1498"/>
      <c r="O64" s="1498"/>
      <c r="P64" s="1498"/>
      <c r="Q64" s="1498"/>
      <c r="R64" s="1498"/>
      <c r="S64" s="1498"/>
      <c r="T64" s="1498"/>
      <c r="U64" s="1498"/>
      <c r="V64" s="1498"/>
      <c r="W64" s="1499"/>
      <c r="X64" s="14"/>
      <c r="Y64" s="1893">
        <f t="shared" ca="1" si="35"/>
        <v>0</v>
      </c>
      <c r="Z64" s="1893">
        <f t="shared" ca="1" si="35"/>
        <v>0</v>
      </c>
      <c r="AA64" s="1893">
        <f t="shared" ca="1" si="35"/>
        <v>0</v>
      </c>
      <c r="AB64" s="1893">
        <f t="shared" ca="1" si="35"/>
        <v>0</v>
      </c>
      <c r="AC64" s="1893">
        <f t="shared" ca="1" si="35"/>
        <v>0</v>
      </c>
      <c r="AD64" s="1893">
        <f t="shared" ca="1" si="35"/>
        <v>0</v>
      </c>
      <c r="AE64" s="1893">
        <f t="shared" ca="1" si="35"/>
        <v>0</v>
      </c>
      <c r="AF64" s="1893">
        <f t="shared" ca="1" si="35"/>
        <v>0</v>
      </c>
      <c r="AG64" s="1893">
        <f t="shared" ca="1" si="35"/>
        <v>0</v>
      </c>
      <c r="AH64" s="1893">
        <f t="shared" ca="1" si="35"/>
        <v>0</v>
      </c>
      <c r="AI64" s="1893">
        <f t="shared" ca="1" si="36"/>
        <v>0</v>
      </c>
      <c r="AJ64" s="1893">
        <f t="shared" ca="1" si="36"/>
        <v>0</v>
      </c>
      <c r="AK64" s="1893">
        <f t="shared" ca="1" si="36"/>
        <v>0</v>
      </c>
      <c r="AL64" s="1893">
        <f t="shared" ca="1" si="36"/>
        <v>0</v>
      </c>
      <c r="AM64" s="1893">
        <f t="shared" ca="1" si="36"/>
        <v>0</v>
      </c>
      <c r="AN64" s="1893">
        <f t="shared" ca="1" si="36"/>
        <v>0</v>
      </c>
      <c r="AO64" s="1893">
        <f t="shared" ca="1" si="36"/>
        <v>0</v>
      </c>
      <c r="AP64" s="1893">
        <f t="shared" ca="1" si="36"/>
        <v>0</v>
      </c>
      <c r="AQ64" s="1951">
        <f t="shared" ca="1" si="37"/>
        <v>0</v>
      </c>
      <c r="AR64" s="14"/>
      <c r="AS64" s="1948">
        <f t="shared" ca="1" si="38"/>
        <v>0</v>
      </c>
      <c r="AT64" s="1948">
        <f t="shared" ca="1" si="38"/>
        <v>0</v>
      </c>
      <c r="AU64" s="1948">
        <f t="shared" ca="1" si="38"/>
        <v>0</v>
      </c>
      <c r="AV64" s="1948">
        <f t="shared" ca="1" si="38"/>
        <v>0</v>
      </c>
      <c r="AW64" s="1948">
        <f t="shared" ca="1" si="38"/>
        <v>0</v>
      </c>
      <c r="AX64" s="1948">
        <f t="shared" ca="1" si="38"/>
        <v>0</v>
      </c>
      <c r="AY64" s="1948">
        <f t="shared" ca="1" si="38"/>
        <v>0</v>
      </c>
      <c r="AZ64" s="1948">
        <f t="shared" ca="1" si="38"/>
        <v>0</v>
      </c>
      <c r="BA64" s="1948">
        <f t="shared" ca="1" si="38"/>
        <v>0</v>
      </c>
      <c r="BB64" s="1948">
        <f t="shared" ca="1" si="38"/>
        <v>0</v>
      </c>
      <c r="BC64" s="1948">
        <f t="shared" ca="1" si="39"/>
        <v>0</v>
      </c>
      <c r="BD64" s="1948">
        <f t="shared" ca="1" si="39"/>
        <v>0</v>
      </c>
      <c r="BE64" s="1948">
        <f t="shared" ca="1" si="39"/>
        <v>0</v>
      </c>
      <c r="BF64" s="1948">
        <f t="shared" ca="1" si="39"/>
        <v>0</v>
      </c>
      <c r="BG64" s="1948">
        <f t="shared" ca="1" si="39"/>
        <v>0</v>
      </c>
      <c r="BH64" s="1948">
        <f t="shared" ca="1" si="39"/>
        <v>0</v>
      </c>
      <c r="BI64" s="1948">
        <f t="shared" ca="1" si="39"/>
        <v>0</v>
      </c>
      <c r="BJ64" s="1948">
        <f t="shared" ca="1" si="39"/>
        <v>0</v>
      </c>
      <c r="BK64" s="1948">
        <f t="shared" ca="1" si="39"/>
        <v>0</v>
      </c>
      <c r="BL64" s="1952">
        <f t="shared" ca="1" si="40"/>
        <v>0</v>
      </c>
      <c r="BM64" s="14"/>
      <c r="BN64" s="1941">
        <f t="shared" ca="1" si="41"/>
        <v>0</v>
      </c>
      <c r="BO64" s="1941">
        <f t="shared" ca="1" si="41"/>
        <v>0</v>
      </c>
      <c r="BP64" s="1505">
        <f t="shared" ca="1" si="42"/>
        <v>0</v>
      </c>
      <c r="BQ64" s="14"/>
      <c r="BR64" s="3168">
        <f t="shared" ca="1" si="12"/>
        <v>0</v>
      </c>
      <c r="BS64" s="1525"/>
      <c r="BT64" s="748"/>
      <c r="BU64" s="1507">
        <v>0</v>
      </c>
      <c r="BV64" s="1508">
        <v>0</v>
      </c>
      <c r="BW64" s="1508">
        <v>0</v>
      </c>
      <c r="BX64" s="1508">
        <v>0</v>
      </c>
      <c r="BY64" s="1508">
        <v>0</v>
      </c>
      <c r="BZ64" s="1508">
        <v>0</v>
      </c>
      <c r="CA64" s="1508">
        <v>0</v>
      </c>
      <c r="CB64" s="1508">
        <v>0</v>
      </c>
      <c r="CC64" s="1508">
        <v>0</v>
      </c>
      <c r="CD64" s="1508">
        <v>0</v>
      </c>
      <c r="CE64" s="1508">
        <v>0</v>
      </c>
      <c r="CF64" s="1508">
        <v>0</v>
      </c>
      <c r="CG64" s="1508">
        <v>0</v>
      </c>
      <c r="CH64" s="1508">
        <v>0</v>
      </c>
      <c r="CI64" s="1508">
        <v>0</v>
      </c>
      <c r="CJ64" s="1508">
        <v>0</v>
      </c>
      <c r="CK64" s="1508">
        <v>0</v>
      </c>
      <c r="CL64" s="1508">
        <v>0</v>
      </c>
      <c r="CM64" s="1508">
        <v>0</v>
      </c>
      <c r="CN64" s="1508">
        <v>0</v>
      </c>
      <c r="CO64" s="1508">
        <v>0</v>
      </c>
      <c r="CP64" s="1508">
        <v>0</v>
      </c>
      <c r="CQ64" s="1508">
        <v>0</v>
      </c>
      <c r="CR64" s="1508">
        <v>0</v>
      </c>
      <c r="CS64" s="1508">
        <v>0</v>
      </c>
      <c r="CT64" s="1508">
        <v>0</v>
      </c>
      <c r="CU64" s="1508">
        <v>0</v>
      </c>
      <c r="CV64" s="1508">
        <v>0</v>
      </c>
      <c r="CW64" s="1508">
        <v>0</v>
      </c>
      <c r="CX64" s="1508">
        <v>0</v>
      </c>
      <c r="CY64" s="1508">
        <v>0</v>
      </c>
      <c r="CZ64" s="1508">
        <v>0</v>
      </c>
      <c r="DA64" s="1508">
        <v>0</v>
      </c>
      <c r="DB64" s="1508">
        <v>0</v>
      </c>
      <c r="DC64" s="1508">
        <v>0</v>
      </c>
      <c r="DD64" s="1508">
        <v>0</v>
      </c>
      <c r="DE64" s="1508">
        <v>0</v>
      </c>
      <c r="DF64" s="1508">
        <v>0</v>
      </c>
      <c r="DG64" s="1508">
        <v>0</v>
      </c>
      <c r="DH64" s="1508">
        <v>0</v>
      </c>
      <c r="DI64" s="1508">
        <v>0</v>
      </c>
      <c r="DJ64" s="1508">
        <v>0</v>
      </c>
      <c r="DK64" s="1508">
        <v>0</v>
      </c>
      <c r="DL64" s="1508">
        <v>0</v>
      </c>
      <c r="DN64" s="1509">
        <v>0</v>
      </c>
    </row>
    <row r="65" spans="1:118" s="1522" customFormat="1" ht="12.75" customHeight="1" outlineLevel="1" x14ac:dyDescent="0.2">
      <c r="C65" s="1496" t="s">
        <v>60</v>
      </c>
      <c r="D65" s="14" t="str">
        <f>INDEX(Modulos[Modulos], MATCH($C65, Modulos[Código], 0))</f>
        <v>Geotérmica</v>
      </c>
      <c r="E65" s="1497"/>
      <c r="F65" s="14"/>
      <c r="G65" s="1498"/>
      <c r="H65" s="1498"/>
      <c r="I65" s="1498"/>
      <c r="J65" s="1498"/>
      <c r="K65" s="1498"/>
      <c r="L65" s="1498"/>
      <c r="M65" s="1498"/>
      <c r="N65" s="1498"/>
      <c r="O65" s="1498"/>
      <c r="P65" s="1498"/>
      <c r="Q65" s="1498"/>
      <c r="R65" s="1498"/>
      <c r="S65" s="1498"/>
      <c r="T65" s="1498"/>
      <c r="U65" s="1498"/>
      <c r="V65" s="1498"/>
      <c r="W65" s="1499"/>
      <c r="X65" s="14"/>
      <c r="Y65" s="1893">
        <f t="shared" ca="1" si="35"/>
        <v>0</v>
      </c>
      <c r="Z65" s="1893">
        <f t="shared" ca="1" si="35"/>
        <v>0</v>
      </c>
      <c r="AA65" s="1893">
        <f t="shared" ca="1" si="35"/>
        <v>0</v>
      </c>
      <c r="AB65" s="1893">
        <f t="shared" ca="1" si="35"/>
        <v>0</v>
      </c>
      <c r="AC65" s="1893">
        <f t="shared" ca="1" si="35"/>
        <v>0</v>
      </c>
      <c r="AD65" s="1893">
        <f t="shared" ca="1" si="35"/>
        <v>0</v>
      </c>
      <c r="AE65" s="1893">
        <f t="shared" ca="1" si="35"/>
        <v>0</v>
      </c>
      <c r="AF65" s="1893">
        <f t="shared" ca="1" si="35"/>
        <v>0</v>
      </c>
      <c r="AG65" s="1893">
        <f t="shared" ca="1" si="35"/>
        <v>0</v>
      </c>
      <c r="AH65" s="1893">
        <f t="shared" ca="1" si="35"/>
        <v>0</v>
      </c>
      <c r="AI65" s="1893">
        <f t="shared" ca="1" si="36"/>
        <v>0</v>
      </c>
      <c r="AJ65" s="1893">
        <f t="shared" ca="1" si="36"/>
        <v>0</v>
      </c>
      <c r="AK65" s="1893">
        <f t="shared" ca="1" si="36"/>
        <v>0</v>
      </c>
      <c r="AL65" s="1893">
        <f t="shared" ca="1" si="36"/>
        <v>0</v>
      </c>
      <c r="AM65" s="1893">
        <f t="shared" ca="1" si="36"/>
        <v>0</v>
      </c>
      <c r="AN65" s="1893">
        <f t="shared" ca="1" si="36"/>
        <v>0</v>
      </c>
      <c r="AO65" s="1893">
        <f t="shared" ca="1" si="36"/>
        <v>0</v>
      </c>
      <c r="AP65" s="1893">
        <f t="shared" ca="1" si="36"/>
        <v>0</v>
      </c>
      <c r="AQ65" s="1951">
        <f t="shared" ca="1" si="37"/>
        <v>0</v>
      </c>
      <c r="AR65" s="14"/>
      <c r="AS65" s="1948">
        <f t="shared" ca="1" si="38"/>
        <v>0</v>
      </c>
      <c r="AT65" s="1948">
        <f t="shared" ca="1" si="38"/>
        <v>0</v>
      </c>
      <c r="AU65" s="1948">
        <f t="shared" ca="1" si="38"/>
        <v>0</v>
      </c>
      <c r="AV65" s="1948">
        <f t="shared" ca="1" si="38"/>
        <v>0</v>
      </c>
      <c r="AW65" s="1948">
        <f t="shared" ca="1" si="38"/>
        <v>0</v>
      </c>
      <c r="AX65" s="1948">
        <f t="shared" ca="1" si="38"/>
        <v>0</v>
      </c>
      <c r="AY65" s="1948">
        <f t="shared" ca="1" si="38"/>
        <v>0</v>
      </c>
      <c r="AZ65" s="1948">
        <f t="shared" ca="1" si="38"/>
        <v>0</v>
      </c>
      <c r="BA65" s="1948">
        <f t="shared" ca="1" si="38"/>
        <v>0</v>
      </c>
      <c r="BB65" s="1948">
        <f t="shared" ca="1" si="38"/>
        <v>0</v>
      </c>
      <c r="BC65" s="1948">
        <f t="shared" ca="1" si="39"/>
        <v>0</v>
      </c>
      <c r="BD65" s="1948">
        <f t="shared" ca="1" si="39"/>
        <v>0</v>
      </c>
      <c r="BE65" s="1948">
        <f t="shared" ca="1" si="39"/>
        <v>0</v>
      </c>
      <c r="BF65" s="1948">
        <f t="shared" ca="1" si="39"/>
        <v>0</v>
      </c>
      <c r="BG65" s="1948">
        <f t="shared" ca="1" si="39"/>
        <v>0</v>
      </c>
      <c r="BH65" s="1948">
        <f t="shared" ca="1" si="39"/>
        <v>0</v>
      </c>
      <c r="BI65" s="1948">
        <f t="shared" ca="1" si="39"/>
        <v>0</v>
      </c>
      <c r="BJ65" s="1948">
        <f t="shared" ca="1" si="39"/>
        <v>0</v>
      </c>
      <c r="BK65" s="1948">
        <f t="shared" ca="1" si="39"/>
        <v>0</v>
      </c>
      <c r="BL65" s="1952">
        <f t="shared" ca="1" si="40"/>
        <v>0</v>
      </c>
      <c r="BM65" s="14"/>
      <c r="BN65" s="1941">
        <f t="shared" ca="1" si="41"/>
        <v>0</v>
      </c>
      <c r="BO65" s="1941">
        <f t="shared" ca="1" si="41"/>
        <v>0</v>
      </c>
      <c r="BP65" s="1505">
        <f t="shared" ca="1" si="42"/>
        <v>0</v>
      </c>
      <c r="BQ65" s="14"/>
      <c r="BR65" s="3168">
        <f t="shared" ca="1" si="12"/>
        <v>0</v>
      </c>
      <c r="BS65" s="1525"/>
      <c r="BT65" s="748"/>
      <c r="BU65" s="1507"/>
      <c r="BV65" s="1508"/>
      <c r="BW65" s="1508"/>
      <c r="BX65" s="1508"/>
      <c r="BY65" s="1508"/>
      <c r="BZ65" s="1508"/>
      <c r="CA65" s="1508"/>
      <c r="CB65" s="1508"/>
      <c r="CC65" s="1508"/>
      <c r="CD65" s="1508"/>
      <c r="CE65" s="1508"/>
      <c r="CF65" s="1508"/>
      <c r="CG65" s="1508"/>
      <c r="CH65" s="1508"/>
      <c r="CI65" s="1508"/>
      <c r="CJ65" s="1508"/>
      <c r="CK65" s="1508"/>
      <c r="CL65" s="1508"/>
      <c r="CM65" s="1508"/>
      <c r="CN65" s="1508"/>
      <c r="CO65" s="1508"/>
      <c r="CP65" s="1508"/>
      <c r="CQ65" s="1508"/>
      <c r="CR65" s="1508"/>
      <c r="CS65" s="1508"/>
      <c r="CT65" s="1508"/>
      <c r="CU65" s="1508"/>
      <c r="CV65" s="1508"/>
      <c r="CW65" s="1508"/>
      <c r="CX65" s="1508"/>
      <c r="CY65" s="1508"/>
      <c r="CZ65" s="1508"/>
      <c r="DA65" s="1508"/>
      <c r="DB65" s="1508"/>
      <c r="DC65" s="1508"/>
      <c r="DD65" s="1508"/>
      <c r="DE65" s="1508"/>
      <c r="DF65" s="1508"/>
      <c r="DG65" s="1508"/>
      <c r="DH65" s="1508"/>
      <c r="DI65" s="1508"/>
      <c r="DJ65" s="1508"/>
      <c r="DK65" s="1508"/>
      <c r="DL65" s="1508"/>
      <c r="DN65" s="1509"/>
    </row>
    <row r="66" spans="1:118" s="1522" customFormat="1" ht="12.75" customHeight="1" outlineLevel="1" x14ac:dyDescent="0.2">
      <c r="C66" s="1496" t="s">
        <v>311</v>
      </c>
      <c r="D66" s="14" t="str">
        <f>INDEX(Modulos[Modulos], MATCH($C66, Modulos[Código], 0))</f>
        <v>Plantas Solares</v>
      </c>
      <c r="E66" s="1497"/>
      <c r="F66" s="14"/>
      <c r="G66" s="1498"/>
      <c r="H66" s="1498"/>
      <c r="I66" s="1498"/>
      <c r="J66" s="1498"/>
      <c r="K66" s="1498"/>
      <c r="L66" s="1498"/>
      <c r="M66" s="1498"/>
      <c r="N66" s="1498"/>
      <c r="O66" s="1498"/>
      <c r="P66" s="1498"/>
      <c r="Q66" s="1498"/>
      <c r="R66" s="1498"/>
      <c r="S66" s="1498"/>
      <c r="T66" s="1498"/>
      <c r="U66" s="1498"/>
      <c r="V66" s="1498"/>
      <c r="W66" s="1499"/>
      <c r="X66" s="14"/>
      <c r="Y66" s="1893">
        <f ca="1">IFERROR(INDEX(INDIRECT($C66&amp;".Outputs["&amp;this.Year&amp;"]"), MATCH(Y$5, INDIRECT($C66&amp;".Outputs[Vector]"), 0)), 0)</f>
        <v>0</v>
      </c>
      <c r="Z66" s="1893">
        <f t="shared" ca="1" si="35"/>
        <v>1.551582</v>
      </c>
      <c r="AA66" s="1893">
        <f t="shared" ca="1" si="35"/>
        <v>0</v>
      </c>
      <c r="AB66" s="1893">
        <f t="shared" ca="1" si="35"/>
        <v>0</v>
      </c>
      <c r="AC66" s="1893">
        <f t="shared" ca="1" si="35"/>
        <v>0</v>
      </c>
      <c r="AD66" s="1893">
        <f t="shared" ca="1" si="35"/>
        <v>0</v>
      </c>
      <c r="AE66" s="1893">
        <f t="shared" ca="1" si="35"/>
        <v>0</v>
      </c>
      <c r="AF66" s="1893">
        <f t="shared" ca="1" si="35"/>
        <v>0</v>
      </c>
      <c r="AG66" s="1893">
        <f t="shared" ca="1" si="35"/>
        <v>0</v>
      </c>
      <c r="AH66" s="1893">
        <f t="shared" ca="1" si="35"/>
        <v>0</v>
      </c>
      <c r="AI66" s="1893">
        <f t="shared" ca="1" si="36"/>
        <v>0</v>
      </c>
      <c r="AJ66" s="1893">
        <f t="shared" ca="1" si="36"/>
        <v>0</v>
      </c>
      <c r="AK66" s="1893">
        <f t="shared" ca="1" si="36"/>
        <v>0</v>
      </c>
      <c r="AL66" s="1893">
        <f t="shared" ca="1" si="36"/>
        <v>0</v>
      </c>
      <c r="AM66" s="1893">
        <f t="shared" ca="1" si="36"/>
        <v>0</v>
      </c>
      <c r="AN66" s="1893">
        <f t="shared" ca="1" si="36"/>
        <v>0</v>
      </c>
      <c r="AO66" s="1893">
        <f t="shared" ca="1" si="36"/>
        <v>0</v>
      </c>
      <c r="AP66" s="1893">
        <f t="shared" ca="1" si="36"/>
        <v>0</v>
      </c>
      <c r="AQ66" s="1951">
        <f t="shared" ca="1" si="37"/>
        <v>1.551582</v>
      </c>
      <c r="AR66" s="14"/>
      <c r="AS66" s="1948">
        <f ca="1">IFERROR(INDEX(INDIRECT($C66&amp;".Outputs["&amp;this.Year&amp;"]"), MATCH(AS$5, INDIRECT($C66&amp;".Outputs[Vector]"), 0)), 0)</f>
        <v>0</v>
      </c>
      <c r="AT66" s="1948">
        <f t="shared" ca="1" si="38"/>
        <v>0</v>
      </c>
      <c r="AU66" s="1948">
        <f t="shared" ca="1" si="38"/>
        <v>0</v>
      </c>
      <c r="AV66" s="1948">
        <f t="shared" ca="1" si="38"/>
        <v>0</v>
      </c>
      <c r="AW66" s="1948">
        <f t="shared" ca="1" si="38"/>
        <v>0</v>
      </c>
      <c r="AX66" s="1948">
        <f t="shared" ca="1" si="38"/>
        <v>0</v>
      </c>
      <c r="AY66" s="1948">
        <f t="shared" ca="1" si="38"/>
        <v>0</v>
      </c>
      <c r="AZ66" s="1948">
        <f t="shared" ca="1" si="38"/>
        <v>0</v>
      </c>
      <c r="BA66" s="1948">
        <f t="shared" ca="1" si="38"/>
        <v>0</v>
      </c>
      <c r="BB66" s="1948">
        <f t="shared" ca="1" si="38"/>
        <v>0</v>
      </c>
      <c r="BC66" s="1948">
        <f t="shared" ca="1" si="39"/>
        <v>-1.551582</v>
      </c>
      <c r="BD66" s="1948">
        <f t="shared" ca="1" si="39"/>
        <v>0</v>
      </c>
      <c r="BE66" s="1948">
        <f t="shared" ca="1" si="39"/>
        <v>0</v>
      </c>
      <c r="BF66" s="1948">
        <f t="shared" ca="1" si="39"/>
        <v>0</v>
      </c>
      <c r="BG66" s="1948">
        <f t="shared" ca="1" si="39"/>
        <v>0</v>
      </c>
      <c r="BH66" s="1948">
        <f t="shared" ca="1" si="39"/>
        <v>0</v>
      </c>
      <c r="BI66" s="1948">
        <f t="shared" ca="1" si="39"/>
        <v>0</v>
      </c>
      <c r="BJ66" s="1948">
        <f t="shared" ca="1" si="39"/>
        <v>0</v>
      </c>
      <c r="BK66" s="1948">
        <f t="shared" ca="1" si="39"/>
        <v>0</v>
      </c>
      <c r="BL66" s="1952">
        <f t="shared" ca="1" si="40"/>
        <v>-1.551582</v>
      </c>
      <c r="BM66" s="14"/>
      <c r="BN66" s="1941">
        <f t="shared" ca="1" si="41"/>
        <v>0</v>
      </c>
      <c r="BO66" s="1941">
        <f t="shared" ca="1" si="41"/>
        <v>0</v>
      </c>
      <c r="BP66" s="1505">
        <f t="shared" ca="1" si="42"/>
        <v>0</v>
      </c>
      <c r="BQ66" s="14"/>
      <c r="BR66" s="3168">
        <f t="shared" ca="1" si="12"/>
        <v>0</v>
      </c>
      <c r="BS66" s="1525"/>
      <c r="BT66" s="748"/>
      <c r="BU66" s="1507"/>
      <c r="BV66" s="1508"/>
      <c r="BW66" s="1508"/>
      <c r="BX66" s="1508"/>
      <c r="BY66" s="1508"/>
      <c r="BZ66" s="1508"/>
      <c r="CA66" s="1508"/>
      <c r="CB66" s="1508"/>
      <c r="CC66" s="1508"/>
      <c r="CD66" s="1508"/>
      <c r="CE66" s="1508"/>
      <c r="CF66" s="1508"/>
      <c r="CG66" s="1508"/>
      <c r="CH66" s="1508"/>
      <c r="CI66" s="1508"/>
      <c r="CJ66" s="1508"/>
      <c r="CK66" s="1508"/>
      <c r="CL66" s="1508"/>
      <c r="CM66" s="1508"/>
      <c r="CN66" s="1508"/>
      <c r="CO66" s="1508"/>
      <c r="CP66" s="1508"/>
      <c r="CQ66" s="1508"/>
      <c r="CR66" s="1508"/>
      <c r="CS66" s="1508"/>
      <c r="CT66" s="1508"/>
      <c r="CU66" s="1508"/>
      <c r="CV66" s="1508"/>
      <c r="CW66" s="1508"/>
      <c r="CX66" s="1508"/>
      <c r="CY66" s="1508"/>
      <c r="CZ66" s="1508"/>
      <c r="DA66" s="1508"/>
      <c r="DB66" s="1508"/>
      <c r="DC66" s="1508"/>
      <c r="DD66" s="1508"/>
      <c r="DE66" s="1508"/>
      <c r="DF66" s="1508"/>
      <c r="DG66" s="1508"/>
      <c r="DH66" s="1508"/>
      <c r="DI66" s="1508"/>
      <c r="DJ66" s="1508"/>
      <c r="DK66" s="1508"/>
      <c r="DL66" s="1508"/>
      <c r="DN66" s="1509"/>
    </row>
    <row r="67" spans="1:118" s="14" customFormat="1" ht="15.75" x14ac:dyDescent="0.2">
      <c r="A67" s="1534"/>
      <c r="B67" s="1535"/>
      <c r="C67" s="1536" t="s">
        <v>206</v>
      </c>
      <c r="D67" s="1537" t="str">
        <f>INDEX(Flujos[Flujos], MATCH($C67, Flujos[Código], 0))</f>
        <v>Energía Renovable</v>
      </c>
      <c r="E67" s="1538"/>
      <c r="G67" s="1488"/>
      <c r="H67" s="1488"/>
      <c r="I67" s="1488"/>
      <c r="J67" s="1488"/>
      <c r="K67" s="1488"/>
      <c r="L67" s="1488"/>
      <c r="M67" s="1488"/>
      <c r="N67" s="1488"/>
      <c r="O67" s="1488"/>
      <c r="P67" s="1488"/>
      <c r="Q67" s="1488"/>
      <c r="R67" s="1488"/>
      <c r="S67" s="1488"/>
      <c r="T67" s="1488"/>
      <c r="U67" s="1488"/>
      <c r="V67" s="1488"/>
      <c r="W67" s="1539"/>
      <c r="Y67" s="1490">
        <f t="shared" ref="Y67:AP67" ca="1" si="43">SUM(Y60:Y66)</f>
        <v>0</v>
      </c>
      <c r="Z67" s="1490">
        <f t="shared" ca="1" si="43"/>
        <v>26.359325399999999</v>
      </c>
      <c r="AA67" s="1490">
        <f t="shared" ca="1" si="43"/>
        <v>0</v>
      </c>
      <c r="AB67" s="1490">
        <f t="shared" ca="1" si="43"/>
        <v>0</v>
      </c>
      <c r="AC67" s="1490">
        <f t="shared" ca="1" si="43"/>
        <v>0</v>
      </c>
      <c r="AD67" s="1490">
        <f t="shared" ca="1" si="43"/>
        <v>0</v>
      </c>
      <c r="AE67" s="1490">
        <f t="shared" ca="1" si="43"/>
        <v>0</v>
      </c>
      <c r="AF67" s="1490">
        <f t="shared" ca="1" si="43"/>
        <v>0</v>
      </c>
      <c r="AG67" s="1490">
        <f t="shared" ca="1" si="43"/>
        <v>0</v>
      </c>
      <c r="AH67" s="1490">
        <f t="shared" ca="1" si="43"/>
        <v>0</v>
      </c>
      <c r="AI67" s="1490">
        <f t="shared" ca="1" si="43"/>
        <v>0</v>
      </c>
      <c r="AJ67" s="1490">
        <f t="shared" ca="1" si="43"/>
        <v>0</v>
      </c>
      <c r="AK67" s="1490">
        <f t="shared" ca="1" si="43"/>
        <v>0</v>
      </c>
      <c r="AL67" s="1490">
        <f t="shared" ca="1" si="43"/>
        <v>0</v>
      </c>
      <c r="AM67" s="1490">
        <f t="shared" ca="1" si="43"/>
        <v>0</v>
      </c>
      <c r="AN67" s="1490">
        <f t="shared" ca="1" si="43"/>
        <v>0</v>
      </c>
      <c r="AO67" s="1490">
        <f t="shared" ca="1" si="43"/>
        <v>0</v>
      </c>
      <c r="AP67" s="1490">
        <f t="shared" ca="1" si="43"/>
        <v>0</v>
      </c>
      <c r="AQ67" s="1893">
        <f t="shared" ca="1" si="37"/>
        <v>26.359325399999999</v>
      </c>
      <c r="AS67" s="1491">
        <f t="shared" ref="AS67:BK67" ca="1" si="44">SUM(AS60:AS66)</f>
        <v>0</v>
      </c>
      <c r="AT67" s="1491">
        <f t="shared" ca="1" si="44"/>
        <v>0</v>
      </c>
      <c r="AU67" s="1491">
        <f t="shared" ca="1" si="44"/>
        <v>0</v>
      </c>
      <c r="AV67" s="1491">
        <f t="shared" ca="1" si="44"/>
        <v>0</v>
      </c>
      <c r="AW67" s="1491">
        <f t="shared" ca="1" si="44"/>
        <v>0</v>
      </c>
      <c r="AX67" s="1491">
        <f t="shared" ca="1" si="44"/>
        <v>0</v>
      </c>
      <c r="AY67" s="1491">
        <f t="shared" ca="1" si="44"/>
        <v>0</v>
      </c>
      <c r="AZ67" s="1491">
        <f t="shared" ca="1" si="44"/>
        <v>0</v>
      </c>
      <c r="BA67" s="1491">
        <f t="shared" ca="1" si="44"/>
        <v>0</v>
      </c>
      <c r="BB67" s="1491">
        <f t="shared" ca="1" si="44"/>
        <v>0</v>
      </c>
      <c r="BC67" s="1491">
        <f t="shared" ca="1" si="44"/>
        <v>-1.551582</v>
      </c>
      <c r="BD67" s="1491">
        <f t="shared" ca="1" si="44"/>
        <v>-2.6604443999999998</v>
      </c>
      <c r="BE67" s="1491">
        <f t="shared" ca="1" si="44"/>
        <v>0</v>
      </c>
      <c r="BF67" s="1491">
        <f t="shared" ca="1" si="44"/>
        <v>0</v>
      </c>
      <c r="BG67" s="1491">
        <f t="shared" ca="1" si="44"/>
        <v>0</v>
      </c>
      <c r="BH67" s="1491">
        <f t="shared" ca="1" si="44"/>
        <v>-22.147299</v>
      </c>
      <c r="BI67" s="1491">
        <f t="shared" ca="1" si="44"/>
        <v>0</v>
      </c>
      <c r="BJ67" s="1491">
        <f t="shared" ca="1" si="44"/>
        <v>0</v>
      </c>
      <c r="BK67" s="1491">
        <f t="shared" ca="1" si="44"/>
        <v>0</v>
      </c>
      <c r="BL67" s="1952">
        <f t="shared" ca="1" si="40"/>
        <v>-26.359325399999999</v>
      </c>
      <c r="BN67" s="1941">
        <f ca="1">SUM(BN60:BN66)</f>
        <v>0</v>
      </c>
      <c r="BO67" s="1941">
        <f ca="1">SUM(BO60:BO66)</f>
        <v>0</v>
      </c>
      <c r="BP67" s="1505">
        <f ca="1">BN67+BO67</f>
        <v>0</v>
      </c>
      <c r="BR67" s="3168">
        <f t="shared" ca="1" si="12"/>
        <v>0</v>
      </c>
      <c r="BS67" s="1493"/>
      <c r="BT67" s="748"/>
      <c r="BU67" s="1508">
        <v>0</v>
      </c>
      <c r="BV67" s="1508">
        <v>0</v>
      </c>
      <c r="BW67" s="1508">
        <v>0</v>
      </c>
      <c r="BX67" s="1508">
        <v>0</v>
      </c>
      <c r="BY67" s="1508">
        <v>0</v>
      </c>
      <c r="BZ67" s="1508">
        <v>0</v>
      </c>
      <c r="CA67" s="1508">
        <v>0</v>
      </c>
      <c r="CB67" s="1508">
        <v>0</v>
      </c>
      <c r="CC67" s="1508">
        <v>0</v>
      </c>
      <c r="CD67" s="1508">
        <v>0</v>
      </c>
      <c r="CE67" s="1508">
        <v>0</v>
      </c>
      <c r="CF67" s="1508">
        <v>0</v>
      </c>
      <c r="CG67" s="1508">
        <v>0</v>
      </c>
      <c r="CH67" s="1508">
        <v>0</v>
      </c>
      <c r="CI67" s="1508">
        <v>0</v>
      </c>
      <c r="CJ67" s="1508">
        <v>0</v>
      </c>
      <c r="CK67" s="1508">
        <v>0</v>
      </c>
      <c r="CL67" s="1508">
        <v>0</v>
      </c>
      <c r="CM67" s="1508">
        <v>0</v>
      </c>
      <c r="CN67" s="1508">
        <v>0</v>
      </c>
      <c r="CO67" s="1508">
        <v>0</v>
      </c>
      <c r="CP67" s="1508">
        <v>0</v>
      </c>
      <c r="CQ67" s="1508">
        <v>0</v>
      </c>
      <c r="CR67" s="1508">
        <v>0</v>
      </c>
      <c r="CS67" s="1508">
        <v>0</v>
      </c>
      <c r="CT67" s="1508">
        <v>0</v>
      </c>
      <c r="CU67" s="1508">
        <v>0</v>
      </c>
      <c r="CV67" s="1508">
        <v>0</v>
      </c>
      <c r="CW67" s="1508">
        <v>0</v>
      </c>
      <c r="CX67" s="1508">
        <v>0</v>
      </c>
      <c r="CY67" s="1508">
        <v>0</v>
      </c>
      <c r="CZ67" s="1508">
        <v>0</v>
      </c>
      <c r="DA67" s="1508">
        <v>0</v>
      </c>
      <c r="DB67" s="1508">
        <v>0</v>
      </c>
      <c r="DC67" s="1508">
        <v>0</v>
      </c>
      <c r="DD67" s="1508">
        <v>0</v>
      </c>
      <c r="DE67" s="1508">
        <v>0</v>
      </c>
      <c r="DF67" s="1508">
        <v>0</v>
      </c>
      <c r="DG67" s="1508">
        <v>0</v>
      </c>
      <c r="DH67" s="1508">
        <v>0</v>
      </c>
      <c r="DI67" s="1508">
        <v>0</v>
      </c>
      <c r="DJ67" s="1508">
        <v>0</v>
      </c>
      <c r="DK67" s="1508">
        <v>0</v>
      </c>
      <c r="DL67" s="1508">
        <v>0</v>
      </c>
      <c r="DN67" s="1509">
        <v>0</v>
      </c>
    </row>
    <row r="68" spans="1:118" s="14" customFormat="1" ht="15.75" x14ac:dyDescent="0.2">
      <c r="A68" s="1534"/>
      <c r="B68" s="1535"/>
      <c r="C68" s="1536"/>
      <c r="D68" s="1537"/>
      <c r="E68" s="1538"/>
      <c r="G68" s="1488"/>
      <c r="H68" s="1488"/>
      <c r="I68" s="1488"/>
      <c r="J68" s="1488"/>
      <c r="K68" s="1488"/>
      <c r="L68" s="1488"/>
      <c r="M68" s="1488"/>
      <c r="N68" s="1488"/>
      <c r="O68" s="1488"/>
      <c r="P68" s="1488"/>
      <c r="Q68" s="1488"/>
      <c r="R68" s="1488"/>
      <c r="S68" s="1488"/>
      <c r="T68" s="1488"/>
      <c r="U68" s="1488"/>
      <c r="V68" s="1488"/>
      <c r="W68" s="1539"/>
      <c r="Y68" s="1490"/>
      <c r="Z68" s="1490"/>
      <c r="AA68" s="1490"/>
      <c r="AB68" s="1490"/>
      <c r="AC68" s="1490"/>
      <c r="AD68" s="1490"/>
      <c r="AE68" s="1490"/>
      <c r="AF68" s="1490"/>
      <c r="AG68" s="1490"/>
      <c r="AH68" s="1490"/>
      <c r="AI68" s="1490"/>
      <c r="AJ68" s="1490"/>
      <c r="AK68" s="1490"/>
      <c r="AL68" s="1490"/>
      <c r="AM68" s="1490"/>
      <c r="AN68" s="1490"/>
      <c r="AO68" s="1490"/>
      <c r="AP68" s="1490"/>
      <c r="AQ68" s="1893"/>
      <c r="AS68" s="1491"/>
      <c r="AT68" s="1491"/>
      <c r="AU68" s="1491"/>
      <c r="AV68" s="1491"/>
      <c r="AW68" s="1491"/>
      <c r="AX68" s="1491"/>
      <c r="AY68" s="1491"/>
      <c r="AZ68" s="1491"/>
      <c r="BA68" s="1491"/>
      <c r="BB68" s="1491"/>
      <c r="BC68" s="1491"/>
      <c r="BD68" s="1491"/>
      <c r="BE68" s="1491"/>
      <c r="BF68" s="1491"/>
      <c r="BG68" s="1491"/>
      <c r="BH68" s="1491"/>
      <c r="BI68" s="1491"/>
      <c r="BJ68" s="1491"/>
      <c r="BK68" s="1491"/>
      <c r="BL68" s="1491"/>
      <c r="BN68" s="1492"/>
      <c r="BO68" s="1492"/>
      <c r="BP68" s="1492"/>
      <c r="BR68" s="3168"/>
      <c r="BS68" s="1493"/>
      <c r="BT68" s="748"/>
      <c r="BU68" s="1508"/>
      <c r="BV68" s="1508"/>
      <c r="BW68" s="1508"/>
      <c r="BX68" s="1508"/>
      <c r="BY68" s="1508"/>
      <c r="BZ68" s="1508"/>
      <c r="CA68" s="1508"/>
      <c r="CB68" s="1508"/>
      <c r="CC68" s="1508"/>
      <c r="CD68" s="1508"/>
      <c r="CE68" s="1508"/>
      <c r="CF68" s="1508"/>
      <c r="CG68" s="1508"/>
      <c r="CH68" s="1508"/>
      <c r="CI68" s="1508"/>
      <c r="CJ68" s="1508"/>
      <c r="CK68" s="1508"/>
      <c r="CL68" s="1508"/>
      <c r="CM68" s="1508"/>
      <c r="CN68" s="1508"/>
      <c r="CO68" s="1508"/>
      <c r="CP68" s="1508"/>
      <c r="CQ68" s="1508"/>
      <c r="CR68" s="1508"/>
      <c r="CS68" s="1508"/>
      <c r="CT68" s="1508"/>
      <c r="CU68" s="1508"/>
      <c r="CV68" s="1508"/>
      <c r="CW68" s="1508"/>
      <c r="CX68" s="1508"/>
      <c r="CY68" s="1508"/>
      <c r="CZ68" s="1508"/>
      <c r="DA68" s="1508"/>
      <c r="DB68" s="1508"/>
      <c r="DC68" s="1508"/>
      <c r="DD68" s="1508"/>
      <c r="DE68" s="1508"/>
      <c r="DF68" s="1508"/>
      <c r="DG68" s="1508"/>
      <c r="DH68" s="1508"/>
      <c r="DI68" s="1508"/>
      <c r="DJ68" s="1508"/>
      <c r="DK68" s="1508"/>
      <c r="DL68" s="1508"/>
      <c r="DN68" s="1509"/>
    </row>
    <row r="69" spans="1:118" s="14" customFormat="1" ht="12.75" customHeight="1" outlineLevel="1" x14ac:dyDescent="0.2">
      <c r="A69" s="1534"/>
      <c r="B69" s="1534"/>
      <c r="C69" s="1544"/>
      <c r="D69" s="1538"/>
      <c r="E69" s="1538"/>
      <c r="G69" s="1488"/>
      <c r="H69" s="1488"/>
      <c r="I69" s="1488"/>
      <c r="J69" s="1488"/>
      <c r="K69" s="1488"/>
      <c r="L69" s="1488"/>
      <c r="M69" s="1488"/>
      <c r="N69" s="1488"/>
      <c r="O69" s="1563"/>
      <c r="P69" s="1488"/>
      <c r="Q69" s="1488"/>
      <c r="R69" s="1488"/>
      <c r="S69" s="1488"/>
      <c r="T69" s="1488"/>
      <c r="U69" s="1488"/>
      <c r="V69" s="1488"/>
      <c r="W69" s="1488"/>
      <c r="Y69" s="1490"/>
      <c r="Z69" s="1490"/>
      <c r="AA69" s="1490"/>
      <c r="AB69" s="1490"/>
      <c r="AC69" s="1490"/>
      <c r="AD69" s="1490"/>
      <c r="AE69" s="1490"/>
      <c r="AF69" s="1490"/>
      <c r="AG69" s="1490"/>
      <c r="AH69" s="1490"/>
      <c r="AI69" s="1490"/>
      <c r="AJ69" s="1490"/>
      <c r="AK69" s="1490"/>
      <c r="AL69" s="1490"/>
      <c r="AM69" s="1490"/>
      <c r="AN69" s="1490"/>
      <c r="AO69" s="1490"/>
      <c r="AP69" s="1490"/>
      <c r="AQ69" s="1893"/>
      <c r="AS69" s="1491"/>
      <c r="AT69" s="1491"/>
      <c r="AU69" s="1491"/>
      <c r="AV69" s="1491"/>
      <c r="AW69" s="1491"/>
      <c r="AX69" s="1491"/>
      <c r="AY69" s="1491"/>
      <c r="AZ69" s="1491"/>
      <c r="BA69" s="1491"/>
      <c r="BB69" s="1491"/>
      <c r="BC69" s="1491"/>
      <c r="BD69" s="1491"/>
      <c r="BE69" s="1491"/>
      <c r="BF69" s="1491"/>
      <c r="BG69" s="1491"/>
      <c r="BH69" s="1491"/>
      <c r="BI69" s="1491"/>
      <c r="BJ69" s="1491"/>
      <c r="BK69" s="1491"/>
      <c r="BL69" s="1491"/>
      <c r="BN69" s="1492"/>
      <c r="BO69" s="1492"/>
      <c r="BP69" s="1492"/>
      <c r="BR69" s="3168">
        <f t="shared" si="12"/>
        <v>0</v>
      </c>
      <c r="BS69" s="1493"/>
      <c r="BT69" s="1534"/>
      <c r="BU69" s="1508"/>
      <c r="BV69" s="1508"/>
      <c r="BW69" s="1508"/>
      <c r="BX69" s="1508"/>
      <c r="BY69" s="1508"/>
      <c r="BZ69" s="1508"/>
      <c r="CA69" s="1508"/>
      <c r="CB69" s="1508"/>
      <c r="CC69" s="1508"/>
      <c r="CD69" s="1508"/>
      <c r="CE69" s="1508"/>
      <c r="CF69" s="1508"/>
      <c r="CG69" s="1508"/>
      <c r="CH69" s="1508"/>
      <c r="CI69" s="1508"/>
      <c r="CJ69" s="1508"/>
      <c r="CK69" s="1508"/>
      <c r="CL69" s="1508"/>
      <c r="CM69" s="1508"/>
      <c r="CN69" s="1508"/>
      <c r="CO69" s="1508"/>
      <c r="CP69" s="1508"/>
      <c r="CQ69" s="1508"/>
      <c r="CR69" s="1508"/>
      <c r="CS69" s="1508"/>
      <c r="CT69" s="1508"/>
      <c r="CU69" s="1508"/>
      <c r="CV69" s="1508"/>
      <c r="CW69" s="1508"/>
      <c r="CX69" s="1508"/>
      <c r="CY69" s="1508"/>
      <c r="CZ69" s="1508"/>
      <c r="DA69" s="1508"/>
      <c r="DB69" s="1508"/>
      <c r="DC69" s="1508"/>
      <c r="DD69" s="1508"/>
      <c r="DE69" s="1508"/>
      <c r="DF69" s="1508"/>
      <c r="DG69" s="1508"/>
      <c r="DH69" s="1508"/>
      <c r="DI69" s="1508"/>
      <c r="DJ69" s="1508"/>
      <c r="DK69" s="1508"/>
      <c r="DL69" s="1508"/>
      <c r="DN69" s="1509">
        <v>0</v>
      </c>
    </row>
    <row r="70" spans="1:118" s="1522" customFormat="1" ht="12.75" customHeight="1" outlineLevel="1" x14ac:dyDescent="0.2">
      <c r="C70" s="1496" t="s">
        <v>62</v>
      </c>
      <c r="D70" s="14" t="str">
        <f>INDEX(Modulos[Modulos], MATCH($C70, Modulos[Código], 0))</f>
        <v>Solar de menor escala (GD)</v>
      </c>
      <c r="E70" s="1497"/>
      <c r="G70" s="1581"/>
      <c r="H70" s="1581"/>
      <c r="I70" s="1581"/>
      <c r="J70" s="1581"/>
      <c r="K70" s="1581"/>
      <c r="L70" s="1581"/>
      <c r="M70" s="1581"/>
      <c r="N70" s="1581"/>
      <c r="O70" s="1582"/>
      <c r="P70" s="1581"/>
      <c r="Q70" s="1581"/>
      <c r="R70" s="1581"/>
      <c r="S70" s="1581"/>
      <c r="T70" s="1581"/>
      <c r="U70" s="1581"/>
      <c r="V70" s="1581"/>
      <c r="W70" s="1583"/>
      <c r="Y70" s="1893">
        <f t="shared" ref="Y70:AH71" ca="1" si="45">IFERROR(INDEX(INDIRECT($C70&amp;".Outputs["&amp;this.Year&amp;"]"), MATCH(Y$5, INDIRECT($C70&amp;".Outputs[Vector]"), 0)), 0)</f>
        <v>0</v>
      </c>
      <c r="Z70" s="1893">
        <f t="shared" ca="1" si="45"/>
        <v>3.4906211999999992E-2</v>
      </c>
      <c r="AA70" s="1893">
        <f t="shared" ca="1" si="45"/>
        <v>0</v>
      </c>
      <c r="AB70" s="1893">
        <f t="shared" ca="1" si="45"/>
        <v>0</v>
      </c>
      <c r="AC70" s="1893">
        <f t="shared" ca="1" si="45"/>
        <v>0</v>
      </c>
      <c r="AD70" s="1893">
        <f t="shared" ca="1" si="45"/>
        <v>0</v>
      </c>
      <c r="AE70" s="1893">
        <f t="shared" ca="1" si="45"/>
        <v>0</v>
      </c>
      <c r="AF70" s="1893">
        <f t="shared" ca="1" si="45"/>
        <v>0</v>
      </c>
      <c r="AG70" s="1893">
        <f t="shared" ca="1" si="45"/>
        <v>0</v>
      </c>
      <c r="AH70" s="1893">
        <f t="shared" ca="1" si="45"/>
        <v>0</v>
      </c>
      <c r="AI70" s="1893">
        <f t="shared" ref="AI70:AP71" ca="1" si="46">IFERROR(INDEX(INDIRECT($C70&amp;".Outputs["&amp;this.Year&amp;"]"), MATCH(AI$5, INDIRECT($C70&amp;".Outputs[Vector]"), 0)), 0)</f>
        <v>0</v>
      </c>
      <c r="AJ70" s="1893">
        <f t="shared" ca="1" si="46"/>
        <v>0</v>
      </c>
      <c r="AK70" s="1893">
        <f t="shared" ca="1" si="46"/>
        <v>0</v>
      </c>
      <c r="AL70" s="1893">
        <f t="shared" ca="1" si="46"/>
        <v>0</v>
      </c>
      <c r="AM70" s="1893">
        <f t="shared" ca="1" si="46"/>
        <v>0</v>
      </c>
      <c r="AN70" s="1893">
        <f t="shared" ca="1" si="46"/>
        <v>0</v>
      </c>
      <c r="AO70" s="1893">
        <f t="shared" ca="1" si="46"/>
        <v>0</v>
      </c>
      <c r="AP70" s="1893">
        <f t="shared" ca="1" si="46"/>
        <v>0</v>
      </c>
      <c r="AQ70" s="1893">
        <f ca="1">SUM(Y70:AP70)</f>
        <v>3.4906211999999992E-2</v>
      </c>
      <c r="AS70" s="1948">
        <f t="shared" ref="AS70:BB71" ca="1" si="47">IFERROR(INDEX(INDIRECT($C70&amp;".Outputs["&amp;this.Year&amp;"]"), MATCH(AS$5, INDIRECT($C70&amp;".Outputs[Vector]"), 0)), 0)</f>
        <v>0</v>
      </c>
      <c r="AT70" s="1948">
        <f t="shared" ca="1" si="47"/>
        <v>0</v>
      </c>
      <c r="AU70" s="1948">
        <f t="shared" ca="1" si="47"/>
        <v>0</v>
      </c>
      <c r="AV70" s="1948">
        <f t="shared" ca="1" si="47"/>
        <v>0</v>
      </c>
      <c r="AW70" s="1948">
        <f t="shared" ca="1" si="47"/>
        <v>0</v>
      </c>
      <c r="AX70" s="1948">
        <f t="shared" ca="1" si="47"/>
        <v>0</v>
      </c>
      <c r="AY70" s="1948">
        <f t="shared" ca="1" si="47"/>
        <v>0</v>
      </c>
      <c r="AZ70" s="1948">
        <f t="shared" ca="1" si="47"/>
        <v>0</v>
      </c>
      <c r="BA70" s="1948">
        <f t="shared" ca="1" si="47"/>
        <v>0</v>
      </c>
      <c r="BB70" s="1948">
        <f t="shared" ca="1" si="47"/>
        <v>0</v>
      </c>
      <c r="BC70" s="1948">
        <f t="shared" ref="BC70:BK71" ca="1" si="48">IFERROR(INDEX(INDIRECT($C70&amp;".Outputs["&amp;this.Year&amp;"]"), MATCH(BC$5, INDIRECT($C70&amp;".Outputs[Vector]"), 0)), 0)</f>
        <v>-3.4906211999999992E-2</v>
      </c>
      <c r="BD70" s="1948">
        <f t="shared" ca="1" si="48"/>
        <v>0</v>
      </c>
      <c r="BE70" s="1948">
        <f t="shared" ca="1" si="48"/>
        <v>0</v>
      </c>
      <c r="BF70" s="1948">
        <f t="shared" ca="1" si="48"/>
        <v>0</v>
      </c>
      <c r="BG70" s="1948">
        <f t="shared" ca="1" si="48"/>
        <v>0</v>
      </c>
      <c r="BH70" s="1948">
        <f t="shared" ca="1" si="48"/>
        <v>0</v>
      </c>
      <c r="BI70" s="1948">
        <f t="shared" ca="1" si="48"/>
        <v>0</v>
      </c>
      <c r="BJ70" s="1948">
        <f t="shared" ca="1" si="48"/>
        <v>0</v>
      </c>
      <c r="BK70" s="1948">
        <f t="shared" ca="1" si="48"/>
        <v>0</v>
      </c>
      <c r="BL70" s="1952">
        <f ca="1">SUM(AS70:BK70)</f>
        <v>-3.4906211999999992E-2</v>
      </c>
      <c r="BN70" s="1941">
        <f ca="1">IFERROR(INDEX(INDIRECT($C70&amp;".Outputs["&amp;this.Year&amp;"]"), MATCH(BN$5, INDIRECT($C70&amp;".Outputs[Vector]"), 0)), 0)</f>
        <v>0</v>
      </c>
      <c r="BO70" s="1941">
        <f ca="1">IFERROR(INDEX(INDIRECT($C70&amp;".Outputs["&amp;this.Year&amp;"]"), MATCH(BO$5, INDIRECT($C70&amp;".Outputs[Vector]"), 0)), 0)</f>
        <v>0</v>
      </c>
      <c r="BP70" s="1505">
        <f ca="1">BN70+BO70</f>
        <v>0</v>
      </c>
      <c r="BR70" s="3168">
        <f t="shared" ca="1" si="12"/>
        <v>0</v>
      </c>
      <c r="BS70" s="1525"/>
      <c r="BU70" s="1589">
        <v>0</v>
      </c>
      <c r="BV70" s="1589">
        <v>0</v>
      </c>
      <c r="BW70" s="1589">
        <v>0</v>
      </c>
      <c r="BX70" s="1589">
        <v>0</v>
      </c>
      <c r="BY70" s="1589">
        <v>0</v>
      </c>
      <c r="BZ70" s="1589">
        <v>0</v>
      </c>
      <c r="CA70" s="1589">
        <v>0</v>
      </c>
      <c r="CB70" s="1589">
        <v>0</v>
      </c>
      <c r="CC70" s="1589">
        <v>0</v>
      </c>
      <c r="CD70" s="1589">
        <v>0</v>
      </c>
      <c r="CE70" s="1589">
        <v>0</v>
      </c>
      <c r="CF70" s="1589">
        <v>0</v>
      </c>
      <c r="CG70" s="1589">
        <v>0</v>
      </c>
      <c r="CH70" s="1589">
        <v>0</v>
      </c>
      <c r="CI70" s="1589">
        <v>0</v>
      </c>
      <c r="CJ70" s="1589">
        <v>0</v>
      </c>
      <c r="CK70" s="1589">
        <v>0</v>
      </c>
      <c r="CL70" s="1589">
        <v>0</v>
      </c>
      <c r="CM70" s="1589">
        <v>0</v>
      </c>
      <c r="CN70" s="1589">
        <v>0</v>
      </c>
      <c r="CO70" s="1589">
        <v>0</v>
      </c>
      <c r="CP70" s="1589">
        <v>0</v>
      </c>
      <c r="CQ70" s="1589">
        <v>0</v>
      </c>
      <c r="CR70" s="1589">
        <v>0</v>
      </c>
      <c r="CS70" s="1589">
        <v>0</v>
      </c>
      <c r="CT70" s="1589">
        <v>0</v>
      </c>
      <c r="CU70" s="1589">
        <v>0</v>
      </c>
      <c r="CV70" s="1589">
        <v>0</v>
      </c>
      <c r="CW70" s="1589">
        <v>0</v>
      </c>
      <c r="CX70" s="1589">
        <v>0</v>
      </c>
      <c r="CY70" s="1589">
        <v>0</v>
      </c>
      <c r="CZ70" s="1589">
        <v>0</v>
      </c>
      <c r="DA70" s="1589">
        <v>0</v>
      </c>
      <c r="DB70" s="1589">
        <v>0</v>
      </c>
      <c r="DC70" s="1589">
        <v>0</v>
      </c>
      <c r="DD70" s="1589">
        <v>0</v>
      </c>
      <c r="DE70" s="1589">
        <v>0</v>
      </c>
      <c r="DF70" s="1589">
        <v>0</v>
      </c>
      <c r="DG70" s="1589">
        <v>0</v>
      </c>
      <c r="DH70" s="1589">
        <v>0</v>
      </c>
      <c r="DI70" s="1589">
        <v>0</v>
      </c>
      <c r="DJ70" s="1589">
        <v>0</v>
      </c>
      <c r="DK70" s="1589">
        <v>0</v>
      </c>
      <c r="DL70" s="1589">
        <v>0</v>
      </c>
      <c r="DN70" s="1590">
        <v>0</v>
      </c>
    </row>
    <row r="71" spans="1:118" s="1522" customFormat="1" ht="12.75" customHeight="1" outlineLevel="1" x14ac:dyDescent="0.2">
      <c r="C71" s="1496"/>
      <c r="D71" s="14"/>
      <c r="E71" s="1497"/>
      <c r="G71" s="1581"/>
      <c r="H71" s="1581"/>
      <c r="I71" s="1581"/>
      <c r="J71" s="1581"/>
      <c r="K71" s="1581"/>
      <c r="L71" s="1581"/>
      <c r="M71" s="1581"/>
      <c r="N71" s="1581"/>
      <c r="O71" s="1582"/>
      <c r="P71" s="1581"/>
      <c r="Q71" s="1581"/>
      <c r="R71" s="1581"/>
      <c r="S71" s="1581"/>
      <c r="T71" s="1581"/>
      <c r="U71" s="1581"/>
      <c r="V71" s="1581"/>
      <c r="W71" s="1583"/>
      <c r="Y71" s="1893">
        <f t="shared" ca="1" si="45"/>
        <v>0</v>
      </c>
      <c r="Z71" s="1893">
        <f t="shared" ca="1" si="45"/>
        <v>0</v>
      </c>
      <c r="AA71" s="1893">
        <f t="shared" ca="1" si="45"/>
        <v>0</v>
      </c>
      <c r="AB71" s="1893">
        <f t="shared" ca="1" si="45"/>
        <v>0</v>
      </c>
      <c r="AC71" s="1893">
        <f t="shared" ca="1" si="45"/>
        <v>0</v>
      </c>
      <c r="AD71" s="1893">
        <f t="shared" ca="1" si="45"/>
        <v>0</v>
      </c>
      <c r="AE71" s="1893">
        <f t="shared" ca="1" si="45"/>
        <v>0</v>
      </c>
      <c r="AF71" s="1893">
        <f t="shared" ca="1" si="45"/>
        <v>0</v>
      </c>
      <c r="AG71" s="1893">
        <f t="shared" ca="1" si="45"/>
        <v>0</v>
      </c>
      <c r="AH71" s="1893">
        <f t="shared" ca="1" si="45"/>
        <v>0</v>
      </c>
      <c r="AI71" s="1893">
        <f t="shared" ca="1" si="46"/>
        <v>0</v>
      </c>
      <c r="AJ71" s="1893">
        <f t="shared" ca="1" si="46"/>
        <v>0</v>
      </c>
      <c r="AK71" s="1893">
        <f t="shared" ca="1" si="46"/>
        <v>0</v>
      </c>
      <c r="AL71" s="1893">
        <f t="shared" ca="1" si="46"/>
        <v>0</v>
      </c>
      <c r="AM71" s="1893">
        <f t="shared" ca="1" si="46"/>
        <v>0</v>
      </c>
      <c r="AN71" s="1893">
        <f t="shared" ca="1" si="46"/>
        <v>0</v>
      </c>
      <c r="AO71" s="1893">
        <f t="shared" ca="1" si="46"/>
        <v>0</v>
      </c>
      <c r="AP71" s="1893">
        <f t="shared" ca="1" si="46"/>
        <v>0</v>
      </c>
      <c r="AQ71" s="1893">
        <f ca="1">SUM(Y71:AP71)</f>
        <v>0</v>
      </c>
      <c r="AS71" s="1948">
        <f t="shared" ca="1" si="47"/>
        <v>0</v>
      </c>
      <c r="AT71" s="1948">
        <f t="shared" ca="1" si="47"/>
        <v>0</v>
      </c>
      <c r="AU71" s="1948">
        <f t="shared" ca="1" si="47"/>
        <v>0</v>
      </c>
      <c r="AV71" s="1948">
        <f t="shared" ca="1" si="47"/>
        <v>0</v>
      </c>
      <c r="AW71" s="1948">
        <f t="shared" ca="1" si="47"/>
        <v>0</v>
      </c>
      <c r="AX71" s="1948">
        <f t="shared" ca="1" si="47"/>
        <v>0</v>
      </c>
      <c r="AY71" s="1948">
        <f t="shared" ca="1" si="47"/>
        <v>0</v>
      </c>
      <c r="AZ71" s="1948">
        <f t="shared" ca="1" si="47"/>
        <v>0</v>
      </c>
      <c r="BA71" s="1948">
        <f t="shared" ca="1" si="47"/>
        <v>0</v>
      </c>
      <c r="BB71" s="1948">
        <f t="shared" ca="1" si="47"/>
        <v>0</v>
      </c>
      <c r="BC71" s="1948">
        <f t="shared" ca="1" si="48"/>
        <v>0</v>
      </c>
      <c r="BD71" s="1948">
        <f t="shared" ca="1" si="48"/>
        <v>0</v>
      </c>
      <c r="BE71" s="1948">
        <f t="shared" ca="1" si="48"/>
        <v>0</v>
      </c>
      <c r="BF71" s="1948">
        <f t="shared" ca="1" si="48"/>
        <v>0</v>
      </c>
      <c r="BG71" s="1948">
        <f t="shared" ca="1" si="48"/>
        <v>0</v>
      </c>
      <c r="BH71" s="1948">
        <f t="shared" ca="1" si="48"/>
        <v>0</v>
      </c>
      <c r="BI71" s="1948">
        <f t="shared" ca="1" si="48"/>
        <v>0</v>
      </c>
      <c r="BJ71" s="1948">
        <f t="shared" ca="1" si="48"/>
        <v>0</v>
      </c>
      <c r="BK71" s="1948">
        <f t="shared" ca="1" si="48"/>
        <v>0</v>
      </c>
      <c r="BL71" s="1952">
        <f ca="1">SUM(AS71:BK71)</f>
        <v>0</v>
      </c>
      <c r="BN71" s="1941">
        <f ca="1">IFERROR(INDEX(INDIRECT($C71&amp;".Outputs["&amp;this.Year&amp;"]"), MATCH(BN$5, INDIRECT($C71&amp;".Outputs[Vector]"), 0)), 0)</f>
        <v>0</v>
      </c>
      <c r="BO71" s="1941">
        <f ca="1">IFERROR(INDEX(INDIRECT($C71&amp;".Outputs["&amp;this.Year&amp;"]"), MATCH(BO$5, INDIRECT($C71&amp;".Outputs[Vector]"), 0)), 0)</f>
        <v>0</v>
      </c>
      <c r="BP71" s="1505">
        <f ca="1">BN71+BO71</f>
        <v>0</v>
      </c>
      <c r="BR71" s="3168">
        <f t="shared" ca="1" si="12"/>
        <v>0</v>
      </c>
      <c r="BS71" s="1525"/>
      <c r="BU71" s="1589">
        <v>0</v>
      </c>
      <c r="BV71" s="1589">
        <v>0</v>
      </c>
      <c r="BW71" s="1589">
        <v>0</v>
      </c>
      <c r="BX71" s="1589">
        <v>0</v>
      </c>
      <c r="BY71" s="1589">
        <v>0</v>
      </c>
      <c r="BZ71" s="1589">
        <v>0</v>
      </c>
      <c r="CA71" s="1589">
        <v>0</v>
      </c>
      <c r="CB71" s="1589">
        <v>0</v>
      </c>
      <c r="CC71" s="1589">
        <v>0</v>
      </c>
      <c r="CD71" s="1589">
        <v>0</v>
      </c>
      <c r="CE71" s="1589">
        <v>0</v>
      </c>
      <c r="CF71" s="1589">
        <v>0</v>
      </c>
      <c r="CG71" s="1589">
        <v>0</v>
      </c>
      <c r="CH71" s="1589">
        <v>0</v>
      </c>
      <c r="CI71" s="1589">
        <v>0</v>
      </c>
      <c r="CJ71" s="1589">
        <v>0</v>
      </c>
      <c r="CK71" s="1589">
        <v>0</v>
      </c>
      <c r="CL71" s="1589">
        <v>0</v>
      </c>
      <c r="CM71" s="1589">
        <v>0</v>
      </c>
      <c r="CN71" s="1589">
        <v>0</v>
      </c>
      <c r="CO71" s="1589">
        <v>0</v>
      </c>
      <c r="CP71" s="1589">
        <v>0</v>
      </c>
      <c r="CQ71" s="1589">
        <v>0</v>
      </c>
      <c r="CR71" s="1589">
        <v>0</v>
      </c>
      <c r="CS71" s="1589">
        <v>0</v>
      </c>
      <c r="CT71" s="1589">
        <v>0</v>
      </c>
      <c r="CU71" s="1589">
        <v>0</v>
      </c>
      <c r="CV71" s="1589">
        <v>0</v>
      </c>
      <c r="CW71" s="1589">
        <v>0</v>
      </c>
      <c r="CX71" s="1589">
        <v>0</v>
      </c>
      <c r="CY71" s="1589">
        <v>0</v>
      </c>
      <c r="CZ71" s="1589">
        <v>0</v>
      </c>
      <c r="DA71" s="1589">
        <v>0</v>
      </c>
      <c r="DB71" s="1589">
        <v>0</v>
      </c>
      <c r="DC71" s="1589">
        <v>0</v>
      </c>
      <c r="DD71" s="1589">
        <v>0</v>
      </c>
      <c r="DE71" s="1589">
        <v>0</v>
      </c>
      <c r="DF71" s="1589">
        <v>0</v>
      </c>
      <c r="DG71" s="1589">
        <v>0</v>
      </c>
      <c r="DH71" s="1589">
        <v>0</v>
      </c>
      <c r="DI71" s="1589">
        <v>0</v>
      </c>
      <c r="DJ71" s="1589">
        <v>0</v>
      </c>
      <c r="DK71" s="1589">
        <v>0</v>
      </c>
      <c r="DL71" s="1589">
        <v>0</v>
      </c>
      <c r="DN71" s="1590">
        <v>0</v>
      </c>
    </row>
    <row r="72" spans="1:118" s="1522" customFormat="1" ht="12.75" customHeight="1" outlineLevel="1" x14ac:dyDescent="0.2">
      <c r="C72" s="1496"/>
      <c r="D72" s="1497"/>
      <c r="E72" s="1497"/>
      <c r="G72" s="1581"/>
      <c r="H72" s="1581"/>
      <c r="I72" s="1581"/>
      <c r="J72" s="1581"/>
      <c r="K72" s="1581"/>
      <c r="L72" s="1581"/>
      <c r="M72" s="1581"/>
      <c r="N72" s="1581"/>
      <c r="O72" s="1582"/>
      <c r="P72" s="1581"/>
      <c r="Q72" s="1581"/>
      <c r="R72" s="1581"/>
      <c r="S72" s="1581"/>
      <c r="T72" s="1581"/>
      <c r="U72" s="1581"/>
      <c r="V72" s="1581"/>
      <c r="W72" s="1583"/>
      <c r="Y72" s="1584"/>
      <c r="Z72" s="1584"/>
      <c r="AA72" s="1584"/>
      <c r="AB72" s="1584"/>
      <c r="AC72" s="1584"/>
      <c r="AD72" s="1584"/>
      <c r="AE72" s="1584"/>
      <c r="AF72" s="1584"/>
      <c r="AG72" s="1584"/>
      <c r="AH72" s="1584"/>
      <c r="AI72" s="1584"/>
      <c r="AJ72" s="1584"/>
      <c r="AK72" s="1584"/>
      <c r="AL72" s="1584"/>
      <c r="AM72" s="1584"/>
      <c r="AN72" s="1584"/>
      <c r="AO72" s="1584"/>
      <c r="AP72" s="1584"/>
      <c r="AQ72" s="1954"/>
      <c r="AS72" s="1586"/>
      <c r="AT72" s="1586"/>
      <c r="AU72" s="1586"/>
      <c r="AV72" s="1586"/>
      <c r="AW72" s="1586"/>
      <c r="AX72" s="1586"/>
      <c r="AY72" s="1586"/>
      <c r="AZ72" s="1586"/>
      <c r="BA72" s="1586"/>
      <c r="BB72" s="1586"/>
      <c r="BC72" s="1586"/>
      <c r="BD72" s="1586"/>
      <c r="BE72" s="1586"/>
      <c r="BF72" s="1586"/>
      <c r="BG72" s="1586"/>
      <c r="BH72" s="1586"/>
      <c r="BI72" s="1586"/>
      <c r="BJ72" s="1586"/>
      <c r="BK72" s="1586"/>
      <c r="BL72" s="1524"/>
      <c r="BN72" s="1587"/>
      <c r="BO72" s="1587"/>
      <c r="BP72" s="1588"/>
      <c r="BR72" s="3168">
        <f t="shared" si="12"/>
        <v>0</v>
      </c>
      <c r="BS72" s="1525"/>
      <c r="BU72" s="1589"/>
      <c r="BV72" s="1589"/>
      <c r="BW72" s="1589"/>
      <c r="BX72" s="1589"/>
      <c r="BY72" s="1589"/>
      <c r="BZ72" s="1589"/>
      <c r="CA72" s="1589"/>
      <c r="CB72" s="1589"/>
      <c r="CC72" s="1589"/>
      <c r="CD72" s="1589"/>
      <c r="CE72" s="1589"/>
      <c r="CF72" s="1589"/>
      <c r="CG72" s="1589"/>
      <c r="CH72" s="1589"/>
      <c r="CI72" s="1589"/>
      <c r="CJ72" s="1589"/>
      <c r="CK72" s="1589"/>
      <c r="CL72" s="1589"/>
      <c r="CM72" s="1589"/>
      <c r="CN72" s="1589"/>
      <c r="CO72" s="1589"/>
      <c r="CP72" s="1589"/>
      <c r="CQ72" s="1589"/>
      <c r="CR72" s="1589"/>
      <c r="CS72" s="1589"/>
      <c r="CT72" s="1589"/>
      <c r="CU72" s="1589"/>
      <c r="CV72" s="1589"/>
      <c r="CW72" s="1589"/>
      <c r="CX72" s="1589"/>
      <c r="CY72" s="1589"/>
      <c r="CZ72" s="1589"/>
      <c r="DA72" s="1589"/>
      <c r="DB72" s="1589"/>
      <c r="DC72" s="1589"/>
      <c r="DD72" s="1589"/>
      <c r="DE72" s="1589"/>
      <c r="DF72" s="1589"/>
      <c r="DG72" s="1589"/>
      <c r="DH72" s="1589"/>
      <c r="DI72" s="1589"/>
      <c r="DJ72" s="1589"/>
      <c r="DK72" s="1589"/>
      <c r="DL72" s="1589"/>
      <c r="DN72" s="1590"/>
    </row>
    <row r="73" spans="1:118" s="14" customFormat="1" ht="15.75" x14ac:dyDescent="0.2">
      <c r="A73" s="1534"/>
      <c r="B73" s="1535"/>
      <c r="C73" s="1536" t="s">
        <v>736</v>
      </c>
      <c r="D73" s="1537" t="str">
        <f>INDEX(Flujos[Flujos], MATCH($C73, Flujos[Código], 0))</f>
        <v>Generación Distribuida</v>
      </c>
      <c r="E73" s="1538"/>
      <c r="G73" s="1539"/>
      <c r="H73" s="1539"/>
      <c r="I73" s="1539"/>
      <c r="J73" s="1539"/>
      <c r="K73" s="1539"/>
      <c r="L73" s="1539"/>
      <c r="M73" s="1539"/>
      <c r="N73" s="1539"/>
      <c r="O73" s="1539"/>
      <c r="P73" s="1539"/>
      <c r="Q73" s="1539"/>
      <c r="R73" s="1539"/>
      <c r="S73" s="1539"/>
      <c r="T73" s="1539"/>
      <c r="U73" s="1539"/>
      <c r="V73" s="1539"/>
      <c r="W73" s="1539"/>
      <c r="Y73" s="1490">
        <f ca="1">Y70+Y71</f>
        <v>0</v>
      </c>
      <c r="Z73" s="1490">
        <f t="shared" ref="Z73:AP73" ca="1" si="49">Z70+Z71</f>
        <v>3.4906211999999992E-2</v>
      </c>
      <c r="AA73" s="1490">
        <f t="shared" ca="1" si="49"/>
        <v>0</v>
      </c>
      <c r="AB73" s="1490">
        <f t="shared" ca="1" si="49"/>
        <v>0</v>
      </c>
      <c r="AC73" s="1490">
        <f t="shared" ca="1" si="49"/>
        <v>0</v>
      </c>
      <c r="AD73" s="1490">
        <f t="shared" ca="1" si="49"/>
        <v>0</v>
      </c>
      <c r="AE73" s="1490">
        <f t="shared" ca="1" si="49"/>
        <v>0</v>
      </c>
      <c r="AF73" s="1490">
        <f t="shared" ca="1" si="49"/>
        <v>0</v>
      </c>
      <c r="AG73" s="1490">
        <f t="shared" ca="1" si="49"/>
        <v>0</v>
      </c>
      <c r="AH73" s="1490">
        <f t="shared" ca="1" si="49"/>
        <v>0</v>
      </c>
      <c r="AI73" s="1490">
        <f t="shared" ca="1" si="49"/>
        <v>0</v>
      </c>
      <c r="AJ73" s="1490">
        <f t="shared" ca="1" si="49"/>
        <v>0</v>
      </c>
      <c r="AK73" s="1490">
        <f t="shared" ca="1" si="49"/>
        <v>0</v>
      </c>
      <c r="AL73" s="1490">
        <f t="shared" ca="1" si="49"/>
        <v>0</v>
      </c>
      <c r="AM73" s="1490">
        <f t="shared" ca="1" si="49"/>
        <v>0</v>
      </c>
      <c r="AN73" s="1490">
        <f t="shared" ca="1" si="49"/>
        <v>0</v>
      </c>
      <c r="AO73" s="1490">
        <f t="shared" ca="1" si="49"/>
        <v>0</v>
      </c>
      <c r="AP73" s="1490">
        <f t="shared" ca="1" si="49"/>
        <v>0</v>
      </c>
      <c r="AQ73" s="1893">
        <f ca="1">SUM(Y73:AP73)</f>
        <v>3.4906211999999992E-2</v>
      </c>
      <c r="AS73" s="1491">
        <f ca="1">AS70+AS71</f>
        <v>0</v>
      </c>
      <c r="AT73" s="1491">
        <f t="shared" ref="AT73:BK73" ca="1" si="50">AT70+AT71</f>
        <v>0</v>
      </c>
      <c r="AU73" s="1491">
        <f t="shared" ca="1" si="50"/>
        <v>0</v>
      </c>
      <c r="AV73" s="1491">
        <f t="shared" ca="1" si="50"/>
        <v>0</v>
      </c>
      <c r="AW73" s="1491">
        <f t="shared" ca="1" si="50"/>
        <v>0</v>
      </c>
      <c r="AX73" s="1491">
        <f t="shared" ca="1" si="50"/>
        <v>0</v>
      </c>
      <c r="AY73" s="1491">
        <f t="shared" ca="1" si="50"/>
        <v>0</v>
      </c>
      <c r="AZ73" s="1491">
        <f t="shared" ca="1" si="50"/>
        <v>0</v>
      </c>
      <c r="BA73" s="1491">
        <f t="shared" ca="1" si="50"/>
        <v>0</v>
      </c>
      <c r="BB73" s="1491">
        <f t="shared" ca="1" si="50"/>
        <v>0</v>
      </c>
      <c r="BC73" s="1949">
        <f t="shared" ca="1" si="50"/>
        <v>-3.4906211999999992E-2</v>
      </c>
      <c r="BD73" s="1949">
        <f t="shared" ca="1" si="50"/>
        <v>0</v>
      </c>
      <c r="BE73" s="1491">
        <f t="shared" ca="1" si="50"/>
        <v>0</v>
      </c>
      <c r="BF73" s="1491">
        <f t="shared" ca="1" si="50"/>
        <v>0</v>
      </c>
      <c r="BG73" s="1491">
        <f t="shared" ca="1" si="50"/>
        <v>0</v>
      </c>
      <c r="BH73" s="1491">
        <f t="shared" ca="1" si="50"/>
        <v>0</v>
      </c>
      <c r="BI73" s="1491">
        <f t="shared" ca="1" si="50"/>
        <v>0</v>
      </c>
      <c r="BJ73" s="1491">
        <f t="shared" ca="1" si="50"/>
        <v>0</v>
      </c>
      <c r="BK73" s="1491">
        <f t="shared" ca="1" si="50"/>
        <v>0</v>
      </c>
      <c r="BL73" s="1952">
        <f ca="1">SUM(AS73:BK73)</f>
        <v>-3.4906211999999992E-2</v>
      </c>
      <c r="BN73" s="1492">
        <f ca="1">BN70+BN71</f>
        <v>0</v>
      </c>
      <c r="BO73" s="1492">
        <f ca="1">BO70+BO71</f>
        <v>0</v>
      </c>
      <c r="BP73" s="1505">
        <f ca="1">BN73+BO73</f>
        <v>0</v>
      </c>
      <c r="BR73" s="3168">
        <f t="shared" ca="1" si="12"/>
        <v>0</v>
      </c>
      <c r="BS73" s="1493"/>
      <c r="BT73" s="748"/>
      <c r="BU73" s="1508">
        <v>0</v>
      </c>
      <c r="BV73" s="1508">
        <v>0</v>
      </c>
      <c r="BW73" s="1508">
        <v>0</v>
      </c>
      <c r="BX73" s="1508">
        <v>0</v>
      </c>
      <c r="BY73" s="1508">
        <v>0</v>
      </c>
      <c r="BZ73" s="1508">
        <v>0</v>
      </c>
      <c r="CA73" s="1508">
        <v>0</v>
      </c>
      <c r="CB73" s="1508">
        <v>0</v>
      </c>
      <c r="CC73" s="1508">
        <v>0</v>
      </c>
      <c r="CD73" s="1508">
        <v>0</v>
      </c>
      <c r="CE73" s="1508">
        <v>0</v>
      </c>
      <c r="CF73" s="1508">
        <v>0</v>
      </c>
      <c r="CG73" s="1508">
        <v>0</v>
      </c>
      <c r="CH73" s="1508">
        <v>0</v>
      </c>
      <c r="CI73" s="1508">
        <v>0</v>
      </c>
      <c r="CJ73" s="1508">
        <v>0</v>
      </c>
      <c r="CK73" s="1508">
        <v>0</v>
      </c>
      <c r="CL73" s="1508">
        <v>0</v>
      </c>
      <c r="CM73" s="1508">
        <v>0</v>
      </c>
      <c r="CN73" s="1508">
        <v>0</v>
      </c>
      <c r="CO73" s="1508">
        <v>0</v>
      </c>
      <c r="CP73" s="1508">
        <v>0</v>
      </c>
      <c r="CQ73" s="1508">
        <v>0</v>
      </c>
      <c r="CR73" s="1508">
        <v>0</v>
      </c>
      <c r="CS73" s="1508">
        <v>0</v>
      </c>
      <c r="CT73" s="1508">
        <v>0</v>
      </c>
      <c r="CU73" s="1508">
        <v>0</v>
      </c>
      <c r="CV73" s="1508">
        <v>0</v>
      </c>
      <c r="CW73" s="1508">
        <v>0</v>
      </c>
      <c r="CX73" s="1508">
        <v>0</v>
      </c>
      <c r="CY73" s="1508">
        <v>0</v>
      </c>
      <c r="CZ73" s="1508">
        <v>0</v>
      </c>
      <c r="DA73" s="1508">
        <v>0</v>
      </c>
      <c r="DB73" s="1508">
        <v>0</v>
      </c>
      <c r="DC73" s="1508">
        <v>0</v>
      </c>
      <c r="DD73" s="1508">
        <v>0</v>
      </c>
      <c r="DE73" s="1508">
        <v>0</v>
      </c>
      <c r="DF73" s="1508">
        <v>0</v>
      </c>
      <c r="DG73" s="1508">
        <v>0</v>
      </c>
      <c r="DH73" s="1508">
        <v>0</v>
      </c>
      <c r="DI73" s="1508">
        <v>0</v>
      </c>
      <c r="DJ73" s="1508">
        <v>0</v>
      </c>
      <c r="DK73" s="1508">
        <v>0</v>
      </c>
      <c r="DL73" s="1508">
        <v>0</v>
      </c>
      <c r="DN73" s="1509">
        <v>0</v>
      </c>
    </row>
    <row r="74" spans="1:118" s="14" customFormat="1" ht="15.75" x14ac:dyDescent="0.2">
      <c r="A74" s="1845"/>
      <c r="B74" s="1847"/>
      <c r="C74" s="1842"/>
      <c r="D74" s="1843"/>
      <c r="E74" s="1844"/>
      <c r="G74" s="1539"/>
      <c r="H74" s="1539"/>
      <c r="I74" s="1539"/>
      <c r="J74" s="1539"/>
      <c r="K74" s="1539"/>
      <c r="L74" s="1539"/>
      <c r="M74" s="1539"/>
      <c r="N74" s="1539"/>
      <c r="O74" s="1539"/>
      <c r="P74" s="1539"/>
      <c r="Q74" s="1539"/>
      <c r="R74" s="1539"/>
      <c r="S74" s="1539"/>
      <c r="T74" s="1539"/>
      <c r="U74" s="1539"/>
      <c r="V74" s="1539"/>
      <c r="W74" s="1539"/>
      <c r="Y74" s="1490"/>
      <c r="Z74" s="1490"/>
      <c r="AA74" s="1490"/>
      <c r="AB74" s="1490"/>
      <c r="AC74" s="1490"/>
      <c r="AD74" s="1490"/>
      <c r="AE74" s="1490"/>
      <c r="AF74" s="1490"/>
      <c r="AG74" s="1490"/>
      <c r="AH74" s="1490"/>
      <c r="AI74" s="1490"/>
      <c r="AJ74" s="1490"/>
      <c r="AK74" s="1490"/>
      <c r="AL74" s="1490"/>
      <c r="AM74" s="1490"/>
      <c r="AN74" s="1490"/>
      <c r="AO74" s="1490"/>
      <c r="AP74" s="1490"/>
      <c r="AQ74" s="1490"/>
      <c r="AS74" s="1491"/>
      <c r="AT74" s="1491"/>
      <c r="AU74" s="1491"/>
      <c r="AV74" s="1491"/>
      <c r="AW74" s="1491"/>
      <c r="AX74" s="1491"/>
      <c r="AY74" s="1491"/>
      <c r="AZ74" s="1491"/>
      <c r="BA74" s="1491"/>
      <c r="BB74" s="1491"/>
      <c r="BC74" s="1491"/>
      <c r="BD74" s="1491"/>
      <c r="BE74" s="1491"/>
      <c r="BF74" s="1491"/>
      <c r="BG74" s="1491"/>
      <c r="BH74" s="1491"/>
      <c r="BI74" s="1491"/>
      <c r="BJ74" s="1491"/>
      <c r="BK74" s="1491"/>
      <c r="BL74" s="1491"/>
      <c r="BN74" s="1492"/>
      <c r="BO74" s="1492"/>
      <c r="BP74" s="1492"/>
      <c r="BR74" s="3168"/>
      <c r="BS74" s="1579"/>
      <c r="BT74" s="748"/>
      <c r="BU74" s="1507"/>
      <c r="BV74" s="1508"/>
      <c r="BW74" s="1508"/>
      <c r="BX74" s="1508"/>
      <c r="BY74" s="1508"/>
      <c r="BZ74" s="1508"/>
      <c r="CA74" s="1508"/>
      <c r="CB74" s="1508"/>
      <c r="CC74" s="1508"/>
      <c r="CD74" s="1508"/>
      <c r="CE74" s="1508"/>
      <c r="CF74" s="1508"/>
      <c r="CG74" s="1508"/>
      <c r="CH74" s="1508"/>
      <c r="CI74" s="1508"/>
      <c r="CJ74" s="1508"/>
      <c r="CK74" s="1508"/>
      <c r="CL74" s="1508"/>
      <c r="CM74" s="1508"/>
      <c r="CN74" s="1508"/>
      <c r="CO74" s="1508"/>
      <c r="CP74" s="1508"/>
      <c r="CQ74" s="1508"/>
      <c r="CR74" s="1508"/>
      <c r="CS74" s="1508"/>
      <c r="CT74" s="1508"/>
      <c r="CU74" s="1508"/>
      <c r="CV74" s="1508"/>
      <c r="CW74" s="1508"/>
      <c r="CX74" s="1508"/>
      <c r="CY74" s="1508"/>
      <c r="CZ74" s="1508"/>
      <c r="DA74" s="1508"/>
      <c r="DB74" s="1508"/>
      <c r="DC74" s="1508"/>
      <c r="DD74" s="1508"/>
      <c r="DE74" s="1508"/>
      <c r="DF74" s="1508"/>
      <c r="DG74" s="1508"/>
      <c r="DH74" s="1508"/>
      <c r="DI74" s="1508"/>
      <c r="DJ74" s="1508"/>
      <c r="DK74" s="1508"/>
      <c r="DL74" s="1508"/>
      <c r="DN74" s="1509"/>
    </row>
    <row r="75" spans="1:118" s="14" customFormat="1" outlineLevel="1" x14ac:dyDescent="0.2">
      <c r="A75" s="1522"/>
      <c r="B75" s="1522"/>
      <c r="C75" s="1496" t="s">
        <v>68</v>
      </c>
      <c r="D75" s="1497" t="str">
        <f>INDEX(Modulos[Modulos], MATCH($C75, Modulos[Código], 0))</f>
        <v>Residuos</v>
      </c>
      <c r="E75" s="1497"/>
      <c r="G75" s="1498"/>
      <c r="H75" s="1498"/>
      <c r="I75" s="1498"/>
      <c r="J75" s="1498"/>
      <c r="K75" s="1498"/>
      <c r="L75" s="1498"/>
      <c r="M75" s="1498"/>
      <c r="N75" s="1498"/>
      <c r="O75" s="1498"/>
      <c r="P75" s="1498"/>
      <c r="Q75" s="1498"/>
      <c r="R75" s="1498"/>
      <c r="S75" s="1498"/>
      <c r="T75" s="1498"/>
      <c r="U75" s="1498"/>
      <c r="V75" s="1498"/>
      <c r="W75" s="1499"/>
      <c r="Y75" s="1893">
        <f t="shared" ref="Y75:AH77" ca="1" si="51">IFERROR(INDEX(INDIRECT($C75&amp;".Outputs["&amp;this.Year&amp;"]"), MATCH(Y$5, INDIRECT($C75&amp;".Outputs[Vector]"), 0)), 0)</f>
        <v>0</v>
      </c>
      <c r="Z75" s="1893">
        <f t="shared" ca="1" si="51"/>
        <v>0.26280000000000003</v>
      </c>
      <c r="AA75" s="1893">
        <f t="shared" ca="1" si="51"/>
        <v>0</v>
      </c>
      <c r="AB75" s="1893">
        <f t="shared" ca="1" si="51"/>
        <v>0</v>
      </c>
      <c r="AC75" s="1893">
        <f t="shared" ca="1" si="51"/>
        <v>0</v>
      </c>
      <c r="AD75" s="1893">
        <f t="shared" ca="1" si="51"/>
        <v>0</v>
      </c>
      <c r="AE75" s="1893">
        <f t="shared" ca="1" si="51"/>
        <v>0</v>
      </c>
      <c r="AF75" s="1893">
        <f t="shared" ca="1" si="51"/>
        <v>0</v>
      </c>
      <c r="AG75" s="1893">
        <f t="shared" ca="1" si="51"/>
        <v>0</v>
      </c>
      <c r="AH75" s="1893">
        <f t="shared" ca="1" si="51"/>
        <v>0</v>
      </c>
      <c r="AI75" s="1893">
        <f t="shared" ref="AI75:AP77" ca="1" si="52">IFERROR(INDEX(INDIRECT($C75&amp;".Outputs["&amp;this.Year&amp;"]"), MATCH(AI$5, INDIRECT($C75&amp;".Outputs[Vector]"), 0)), 0)</f>
        <v>0</v>
      </c>
      <c r="AJ75" s="1893">
        <f t="shared" ca="1" si="52"/>
        <v>0</v>
      </c>
      <c r="AK75" s="1893">
        <f t="shared" ca="1" si="52"/>
        <v>0</v>
      </c>
      <c r="AL75" s="1893">
        <f t="shared" ca="1" si="52"/>
        <v>0</v>
      </c>
      <c r="AM75" s="1893">
        <f t="shared" ca="1" si="52"/>
        <v>0</v>
      </c>
      <c r="AN75" s="1893">
        <f t="shared" ca="1" si="52"/>
        <v>0</v>
      </c>
      <c r="AO75" s="1893">
        <f t="shared" ca="1" si="52"/>
        <v>0</v>
      </c>
      <c r="AP75" s="1893">
        <f t="shared" ca="1" si="52"/>
        <v>0</v>
      </c>
      <c r="AQ75" s="1951">
        <f ca="1">SUM(Y75:AP75)</f>
        <v>0.26280000000000003</v>
      </c>
      <c r="AS75" s="1948">
        <f t="shared" ref="AS75:BB77" ca="1" si="53">IFERROR(INDEX(INDIRECT($C75&amp;".Outputs["&amp;this.Year&amp;"]"), MATCH(AS$5, INDIRECT($C75&amp;".Outputs[Vector]"), 0)), 0)</f>
        <v>0</v>
      </c>
      <c r="AT75" s="1948">
        <f t="shared" ca="1" si="53"/>
        <v>0</v>
      </c>
      <c r="AU75" s="1948">
        <f t="shared" ca="1" si="53"/>
        <v>0</v>
      </c>
      <c r="AV75" s="1948">
        <f t="shared" ca="1" si="53"/>
        <v>0</v>
      </c>
      <c r="AW75" s="1948">
        <f t="shared" ca="1" si="53"/>
        <v>0</v>
      </c>
      <c r="AX75" s="1948">
        <f t="shared" ca="1" si="53"/>
        <v>0</v>
      </c>
      <c r="AY75" s="1948">
        <f t="shared" ca="1" si="53"/>
        <v>0</v>
      </c>
      <c r="AZ75" s="1948">
        <f t="shared" ca="1" si="53"/>
        <v>0</v>
      </c>
      <c r="BA75" s="1948">
        <f t="shared" ca="1" si="53"/>
        <v>0</v>
      </c>
      <c r="BB75" s="1948">
        <f t="shared" ca="1" si="53"/>
        <v>0</v>
      </c>
      <c r="BC75" s="1948">
        <f t="shared" ref="BC75:BK77" ca="1" si="54">IFERROR(INDEX(INDIRECT($C75&amp;".Outputs["&amp;this.Year&amp;"]"), MATCH(BC$5, INDIRECT($C75&amp;".Outputs[Vector]"), 0)), 0)</f>
        <v>0</v>
      </c>
      <c r="BD75" s="1948">
        <f t="shared" ca="1" si="54"/>
        <v>0</v>
      </c>
      <c r="BE75" s="1948">
        <f t="shared" ca="1" si="54"/>
        <v>0</v>
      </c>
      <c r="BF75" s="1948">
        <f t="shared" ca="1" si="54"/>
        <v>0</v>
      </c>
      <c r="BG75" s="1948">
        <f t="shared" ca="1" si="54"/>
        <v>0</v>
      </c>
      <c r="BH75" s="1948">
        <f t="shared" ca="1" si="54"/>
        <v>0</v>
      </c>
      <c r="BI75" s="1948">
        <f t="shared" ca="1" si="54"/>
        <v>0</v>
      </c>
      <c r="BJ75" s="1948">
        <f t="shared" ca="1" si="54"/>
        <v>0</v>
      </c>
      <c r="BK75" s="1948">
        <f t="shared" ca="1" si="54"/>
        <v>-0.26280000000000003</v>
      </c>
      <c r="BL75" s="1952">
        <f ca="1">SUM(AS75:BK75)</f>
        <v>-0.26280000000000003</v>
      </c>
      <c r="BN75" s="1941">
        <f t="shared" ref="BN75:BO77" ca="1" si="55">IFERROR(INDEX(INDIRECT($C75&amp;".Outputs["&amp;this.Year&amp;"]"), MATCH(BN$5, INDIRECT($C75&amp;".Outputs[Vector]"), 0)), 0)</f>
        <v>0</v>
      </c>
      <c r="BO75" s="1941">
        <f t="shared" ca="1" si="55"/>
        <v>0</v>
      </c>
      <c r="BP75" s="1505">
        <f ca="1">BN75+BO75</f>
        <v>0</v>
      </c>
      <c r="BR75" s="3168">
        <f ca="1">W75+AQ75+BL75+BP75</f>
        <v>0</v>
      </c>
      <c r="BS75" s="1525"/>
      <c r="BT75" s="748"/>
      <c r="BU75" s="1507"/>
      <c r="BV75" s="1508"/>
      <c r="BW75" s="1508"/>
      <c r="BX75" s="1508"/>
      <c r="BY75" s="1508"/>
      <c r="BZ75" s="1508"/>
      <c r="CA75" s="1508"/>
      <c r="CB75" s="1508"/>
      <c r="CC75" s="1508"/>
      <c r="CD75" s="1508"/>
      <c r="CE75" s="1508"/>
      <c r="CF75" s="1508"/>
      <c r="CG75" s="1508"/>
      <c r="CH75" s="1508"/>
      <c r="CI75" s="1508"/>
      <c r="CJ75" s="1508"/>
      <c r="CK75" s="1508"/>
      <c r="CL75" s="1508"/>
      <c r="CM75" s="1508"/>
      <c r="CN75" s="1508"/>
      <c r="CO75" s="1508"/>
      <c r="CP75" s="1508"/>
      <c r="CQ75" s="1508"/>
      <c r="CR75" s="1508"/>
      <c r="CS75" s="1508"/>
      <c r="CT75" s="1508"/>
      <c r="CU75" s="1508"/>
      <c r="CV75" s="1508"/>
      <c r="CW75" s="1508"/>
      <c r="CX75" s="1508"/>
      <c r="CY75" s="1508"/>
      <c r="CZ75" s="1508"/>
      <c r="DA75" s="1508"/>
      <c r="DB75" s="1508"/>
      <c r="DC75" s="1508"/>
      <c r="DD75" s="1508"/>
      <c r="DE75" s="1508"/>
      <c r="DF75" s="1508"/>
      <c r="DG75" s="1508"/>
      <c r="DH75" s="1508"/>
      <c r="DI75" s="1508"/>
      <c r="DJ75" s="1508"/>
      <c r="DK75" s="1508"/>
      <c r="DL75" s="1508"/>
      <c r="DN75" s="1509"/>
    </row>
    <row r="76" spans="1:118" s="14" customFormat="1" outlineLevel="1" x14ac:dyDescent="0.2">
      <c r="A76" s="1522"/>
      <c r="B76" s="1522"/>
      <c r="C76" s="1496" t="s">
        <v>764</v>
      </c>
      <c r="D76" s="1497" t="str">
        <f>INDEX(Modulos[Modulos], MATCH($C76, Modulos[Código], 0))</f>
        <v>Agropecuario</v>
      </c>
      <c r="E76" s="1497"/>
      <c r="G76" s="1498"/>
      <c r="H76" s="1498"/>
      <c r="I76" s="1498"/>
      <c r="J76" s="1498"/>
      <c r="K76" s="1498"/>
      <c r="L76" s="1498"/>
      <c r="M76" s="1498"/>
      <c r="N76" s="1498"/>
      <c r="O76" s="1498"/>
      <c r="P76" s="1498"/>
      <c r="Q76" s="1498"/>
      <c r="R76" s="1498"/>
      <c r="S76" s="1498"/>
      <c r="T76" s="1498"/>
      <c r="U76" s="1498"/>
      <c r="V76" s="1498"/>
      <c r="W76" s="1499"/>
      <c r="Y76" s="2610">
        <f t="shared" ca="1" si="51"/>
        <v>0</v>
      </c>
      <c r="Z76" s="2610">
        <f t="shared" ca="1" si="51"/>
        <v>3.4389010267325154E-3</v>
      </c>
      <c r="AA76" s="2610">
        <f t="shared" ca="1" si="51"/>
        <v>0</v>
      </c>
      <c r="AB76" s="2610">
        <f t="shared" ca="1" si="51"/>
        <v>0</v>
      </c>
      <c r="AC76" s="2610">
        <f t="shared" ca="1" si="51"/>
        <v>0</v>
      </c>
      <c r="AD76" s="2610">
        <f t="shared" ca="1" si="51"/>
        <v>0</v>
      </c>
      <c r="AE76" s="2610">
        <f t="shared" ca="1" si="51"/>
        <v>0</v>
      </c>
      <c r="AF76" s="2610">
        <f t="shared" ca="1" si="51"/>
        <v>0</v>
      </c>
      <c r="AG76" s="2610">
        <f t="shared" ca="1" si="51"/>
        <v>0</v>
      </c>
      <c r="AH76" s="2610">
        <f t="shared" ca="1" si="51"/>
        <v>0</v>
      </c>
      <c r="AI76" s="2610">
        <f t="shared" ca="1" si="52"/>
        <v>0</v>
      </c>
      <c r="AJ76" s="2610">
        <f t="shared" ca="1" si="52"/>
        <v>0</v>
      </c>
      <c r="AK76" s="2610">
        <f t="shared" ca="1" si="52"/>
        <v>0</v>
      </c>
      <c r="AL76" s="2610">
        <f t="shared" ca="1" si="52"/>
        <v>0</v>
      </c>
      <c r="AM76" s="2610">
        <f t="shared" ca="1" si="52"/>
        <v>0</v>
      </c>
      <c r="AN76" s="2610">
        <f t="shared" ca="1" si="52"/>
        <v>0</v>
      </c>
      <c r="AO76" s="2610">
        <f t="shared" ca="1" si="52"/>
        <v>0</v>
      </c>
      <c r="AP76" s="2610">
        <f t="shared" ca="1" si="52"/>
        <v>0</v>
      </c>
      <c r="AQ76" s="1951">
        <f ca="1">SUM(Y76:AP76)</f>
        <v>3.4389010267325154E-3</v>
      </c>
      <c r="AS76" s="1948">
        <f t="shared" ca="1" si="53"/>
        <v>0</v>
      </c>
      <c r="AT76" s="1948">
        <f t="shared" ca="1" si="53"/>
        <v>0</v>
      </c>
      <c r="AU76" s="1948">
        <f t="shared" ca="1" si="53"/>
        <v>0</v>
      </c>
      <c r="AV76" s="1948">
        <f t="shared" ca="1" si="53"/>
        <v>0</v>
      </c>
      <c r="AW76" s="1948">
        <f t="shared" ca="1" si="53"/>
        <v>0</v>
      </c>
      <c r="AX76" s="1948">
        <f t="shared" ca="1" si="53"/>
        <v>0</v>
      </c>
      <c r="AY76" s="1948">
        <f t="shared" ca="1" si="53"/>
        <v>0</v>
      </c>
      <c r="AZ76" s="1948">
        <f t="shared" ca="1" si="53"/>
        <v>0</v>
      </c>
      <c r="BA76" s="1948">
        <f t="shared" ca="1" si="53"/>
        <v>0</v>
      </c>
      <c r="BB76" s="1948">
        <f t="shared" ca="1" si="53"/>
        <v>0</v>
      </c>
      <c r="BC76" s="1948">
        <f t="shared" ca="1" si="54"/>
        <v>0</v>
      </c>
      <c r="BD76" s="1948">
        <f t="shared" ca="1" si="54"/>
        <v>0</v>
      </c>
      <c r="BE76" s="1948">
        <f t="shared" ca="1" si="54"/>
        <v>0</v>
      </c>
      <c r="BF76" s="1948">
        <f t="shared" ca="1" si="54"/>
        <v>0</v>
      </c>
      <c r="BG76" s="1948">
        <f t="shared" ca="1" si="54"/>
        <v>0</v>
      </c>
      <c r="BH76" s="1948">
        <f t="shared" ca="1" si="54"/>
        <v>0</v>
      </c>
      <c r="BI76" s="1948">
        <f t="shared" ca="1" si="54"/>
        <v>0</v>
      </c>
      <c r="BJ76" s="1948">
        <f t="shared" ca="1" si="54"/>
        <v>0</v>
      </c>
      <c r="BK76" s="1948">
        <f t="shared" ca="1" si="54"/>
        <v>-3.4389010267325154E-3</v>
      </c>
      <c r="BL76" s="1952">
        <f ca="1">SUM(AS76:BK76)</f>
        <v>-3.4389010267325154E-3</v>
      </c>
      <c r="BN76" s="1941">
        <f t="shared" ca="1" si="55"/>
        <v>0</v>
      </c>
      <c r="BO76" s="1941">
        <f t="shared" ca="1" si="55"/>
        <v>0</v>
      </c>
      <c r="BP76" s="1505">
        <f ca="1">BN76+BO76</f>
        <v>0</v>
      </c>
      <c r="BR76" s="3168">
        <f ca="1">W76+AQ76+BL76+BP76</f>
        <v>0</v>
      </c>
      <c r="BS76" s="1525"/>
      <c r="BT76" s="748"/>
      <c r="BU76" s="1507"/>
      <c r="BV76" s="1508"/>
      <c r="BW76" s="1508"/>
      <c r="BX76" s="1508"/>
      <c r="BY76" s="1508"/>
      <c r="BZ76" s="1508"/>
      <c r="CA76" s="1508"/>
      <c r="CB76" s="1508"/>
      <c r="CC76" s="1508"/>
      <c r="CD76" s="1508"/>
      <c r="CE76" s="1508"/>
      <c r="CF76" s="1508"/>
      <c r="CG76" s="1508"/>
      <c r="CH76" s="1508"/>
      <c r="CI76" s="1508"/>
      <c r="CJ76" s="1508"/>
      <c r="CK76" s="1508"/>
      <c r="CL76" s="1508"/>
      <c r="CM76" s="1508"/>
      <c r="CN76" s="1508"/>
      <c r="CO76" s="1508"/>
      <c r="CP76" s="1508"/>
      <c r="CQ76" s="1508"/>
      <c r="CR76" s="1508"/>
      <c r="CS76" s="1508"/>
      <c r="CT76" s="1508"/>
      <c r="CU76" s="1508"/>
      <c r="CV76" s="1508"/>
      <c r="CW76" s="1508"/>
      <c r="CX76" s="1508"/>
      <c r="CY76" s="1508"/>
      <c r="CZ76" s="1508"/>
      <c r="DA76" s="1508"/>
      <c r="DB76" s="1508"/>
      <c r="DC76" s="1508"/>
      <c r="DD76" s="1508"/>
      <c r="DE76" s="1508"/>
      <c r="DF76" s="1508"/>
      <c r="DG76" s="1508"/>
      <c r="DH76" s="1508"/>
      <c r="DI76" s="1508"/>
      <c r="DJ76" s="1508"/>
      <c r="DK76" s="1508"/>
      <c r="DL76" s="1508"/>
      <c r="DN76" s="1509"/>
    </row>
    <row r="77" spans="1:118" s="14" customFormat="1" ht="12.75" customHeight="1" outlineLevel="1" x14ac:dyDescent="0.2">
      <c r="A77" s="1522"/>
      <c r="B77" s="1522"/>
      <c r="C77" s="1496" t="s">
        <v>1620</v>
      </c>
      <c r="D77" s="1497" t="str">
        <f>INDEX(Modulos[Modulos], MATCH($C77, Modulos[Código], 0))</f>
        <v>Forestal</v>
      </c>
      <c r="E77" s="1526"/>
      <c r="G77" s="1540"/>
      <c r="H77" s="1540"/>
      <c r="I77" s="1540"/>
      <c r="J77" s="1540"/>
      <c r="K77" s="1540"/>
      <c r="L77" s="1540"/>
      <c r="M77" s="1540"/>
      <c r="N77" s="1540"/>
      <c r="O77" s="1540"/>
      <c r="P77" s="1540"/>
      <c r="Q77" s="1540"/>
      <c r="R77" s="1540"/>
      <c r="S77" s="1540"/>
      <c r="T77" s="1540"/>
      <c r="U77" s="1540"/>
      <c r="V77" s="1540"/>
      <c r="W77" s="1527"/>
      <c r="Y77" s="2614">
        <f t="shared" ca="1" si="51"/>
        <v>0</v>
      </c>
      <c r="Z77" s="2614">
        <f t="shared" ca="1" si="51"/>
        <v>0</v>
      </c>
      <c r="AA77" s="2614">
        <f t="shared" ca="1" si="51"/>
        <v>0</v>
      </c>
      <c r="AB77" s="2614">
        <f t="shared" ca="1" si="51"/>
        <v>0</v>
      </c>
      <c r="AC77" s="2614">
        <f t="shared" ca="1" si="51"/>
        <v>0</v>
      </c>
      <c r="AD77" s="2614">
        <f t="shared" ca="1" si="51"/>
        <v>0</v>
      </c>
      <c r="AE77" s="2614">
        <f t="shared" ca="1" si="51"/>
        <v>0</v>
      </c>
      <c r="AF77" s="2614">
        <f t="shared" ca="1" si="51"/>
        <v>0</v>
      </c>
      <c r="AG77" s="2614">
        <f t="shared" ca="1" si="51"/>
        <v>0</v>
      </c>
      <c r="AH77" s="2614">
        <f t="shared" ca="1" si="51"/>
        <v>0</v>
      </c>
      <c r="AI77" s="2614">
        <f t="shared" ca="1" si="52"/>
        <v>0</v>
      </c>
      <c r="AJ77" s="2614">
        <f t="shared" ca="1" si="52"/>
        <v>0</v>
      </c>
      <c r="AK77" s="2614">
        <f t="shared" ca="1" si="52"/>
        <v>0</v>
      </c>
      <c r="AL77" s="2614">
        <f t="shared" ca="1" si="52"/>
        <v>0</v>
      </c>
      <c r="AM77" s="2614">
        <f t="shared" ca="1" si="52"/>
        <v>0</v>
      </c>
      <c r="AN77" s="2614">
        <f t="shared" ca="1" si="52"/>
        <v>0</v>
      </c>
      <c r="AO77" s="2614">
        <f t="shared" ca="1" si="52"/>
        <v>0</v>
      </c>
      <c r="AP77" s="2614">
        <f t="shared" ca="1" si="52"/>
        <v>0</v>
      </c>
      <c r="AQ77" s="1951">
        <f ca="1">SUM(Y77:AP77)</f>
        <v>0</v>
      </c>
      <c r="AS77" s="1542">
        <f t="shared" ca="1" si="53"/>
        <v>0</v>
      </c>
      <c r="AT77" s="1542">
        <f t="shared" ca="1" si="53"/>
        <v>0</v>
      </c>
      <c r="AU77" s="1542">
        <f t="shared" ca="1" si="53"/>
        <v>0</v>
      </c>
      <c r="AV77" s="1542">
        <f t="shared" ca="1" si="53"/>
        <v>0</v>
      </c>
      <c r="AW77" s="1542">
        <f t="shared" ca="1" si="53"/>
        <v>0</v>
      </c>
      <c r="AX77" s="1542">
        <f t="shared" ca="1" si="53"/>
        <v>0</v>
      </c>
      <c r="AY77" s="1542">
        <f t="shared" ca="1" si="53"/>
        <v>0</v>
      </c>
      <c r="AZ77" s="1542">
        <f t="shared" ca="1" si="53"/>
        <v>0</v>
      </c>
      <c r="BA77" s="1542">
        <f t="shared" ca="1" si="53"/>
        <v>0</v>
      </c>
      <c r="BB77" s="1542">
        <f t="shared" ca="1" si="53"/>
        <v>0</v>
      </c>
      <c r="BC77" s="1542">
        <f t="shared" ca="1" si="54"/>
        <v>0</v>
      </c>
      <c r="BD77" s="1542">
        <f t="shared" ca="1" si="54"/>
        <v>0</v>
      </c>
      <c r="BE77" s="1542">
        <f t="shared" ca="1" si="54"/>
        <v>0</v>
      </c>
      <c r="BF77" s="1542">
        <f t="shared" ca="1" si="54"/>
        <v>0</v>
      </c>
      <c r="BG77" s="1542">
        <f t="shared" ca="1" si="54"/>
        <v>0</v>
      </c>
      <c r="BH77" s="1542">
        <f t="shared" ca="1" si="54"/>
        <v>0</v>
      </c>
      <c r="BI77" s="1542">
        <f t="shared" ca="1" si="54"/>
        <v>0</v>
      </c>
      <c r="BJ77" s="1542">
        <f t="shared" ca="1" si="54"/>
        <v>0</v>
      </c>
      <c r="BK77" s="1542">
        <f t="shared" ca="1" si="54"/>
        <v>0</v>
      </c>
      <c r="BL77" s="1952">
        <f ca="1">SUM(AS77:BK77)</f>
        <v>0</v>
      </c>
      <c r="BN77" s="1941">
        <f t="shared" ca="1" si="55"/>
        <v>0</v>
      </c>
      <c r="BO77" s="1941">
        <f t="shared" ca="1" si="55"/>
        <v>0</v>
      </c>
      <c r="BP77" s="1505">
        <f ca="1">BN77+BO77</f>
        <v>0</v>
      </c>
      <c r="BR77" s="3168">
        <f ca="1">W77+AQ77+BL77+BP77</f>
        <v>0</v>
      </c>
      <c r="BS77" s="1525"/>
      <c r="BT77" s="748"/>
      <c r="BU77" s="1532"/>
      <c r="BV77" s="1533"/>
      <c r="BW77" s="1533"/>
      <c r="BX77" s="1533"/>
      <c r="BY77" s="1533"/>
      <c r="BZ77" s="1533"/>
      <c r="CA77" s="1533"/>
      <c r="CB77" s="1533"/>
      <c r="CC77" s="1533"/>
      <c r="CD77" s="1533"/>
      <c r="CE77" s="1533"/>
      <c r="CF77" s="1533"/>
      <c r="CG77" s="1533"/>
      <c r="CH77" s="1533"/>
      <c r="CI77" s="1533"/>
      <c r="CJ77" s="1533"/>
      <c r="CK77" s="1533"/>
      <c r="CL77" s="1533"/>
      <c r="CM77" s="1533"/>
      <c r="CN77" s="1533"/>
      <c r="CO77" s="1533"/>
      <c r="CP77" s="1533"/>
      <c r="CQ77" s="1533"/>
      <c r="CR77" s="1533"/>
      <c r="CS77" s="1533"/>
      <c r="CT77" s="1533"/>
      <c r="CU77" s="1533"/>
      <c r="CV77" s="1533"/>
      <c r="CW77" s="1533"/>
      <c r="CX77" s="1533"/>
      <c r="CY77" s="1533"/>
      <c r="CZ77" s="1533"/>
      <c r="DA77" s="1533"/>
      <c r="DB77" s="1533"/>
      <c r="DC77" s="1533"/>
      <c r="DD77" s="1533"/>
      <c r="DE77" s="1533"/>
      <c r="DF77" s="1533"/>
      <c r="DG77" s="1533"/>
      <c r="DH77" s="1533"/>
      <c r="DI77" s="1533"/>
      <c r="DJ77" s="1533"/>
      <c r="DK77" s="1533"/>
      <c r="DL77" s="1533"/>
      <c r="DN77" s="1509"/>
    </row>
    <row r="78" spans="1:118" s="14" customFormat="1" ht="3" customHeight="1" outlineLevel="1" x14ac:dyDescent="0.2">
      <c r="A78" s="1522"/>
      <c r="B78" s="1522"/>
      <c r="C78" s="1496"/>
      <c r="D78" s="1497"/>
      <c r="E78" s="1497"/>
      <c r="G78" s="1498"/>
      <c r="H78" s="1498"/>
      <c r="I78" s="1498"/>
      <c r="J78" s="1498"/>
      <c r="K78" s="1498"/>
      <c r="L78" s="1498"/>
      <c r="M78" s="1498"/>
      <c r="N78" s="1498"/>
      <c r="O78" s="1498"/>
      <c r="P78" s="1498"/>
      <c r="Q78" s="1498"/>
      <c r="R78" s="1498"/>
      <c r="S78" s="1498"/>
      <c r="T78" s="1498"/>
      <c r="U78" s="1498"/>
      <c r="V78" s="1498"/>
      <c r="W78" s="1499"/>
      <c r="Y78" s="1500"/>
      <c r="Z78" s="1500"/>
      <c r="AA78" s="1500"/>
      <c r="AB78" s="1500"/>
      <c r="AC78" s="1500"/>
      <c r="AD78" s="1500"/>
      <c r="AE78" s="1500"/>
      <c r="AF78" s="1500"/>
      <c r="AG78" s="1500"/>
      <c r="AH78" s="1500"/>
      <c r="AI78" s="1500"/>
      <c r="AJ78" s="1500"/>
      <c r="AK78" s="1500"/>
      <c r="AL78" s="1500"/>
      <c r="AM78" s="1500"/>
      <c r="AN78" s="1500"/>
      <c r="AO78" s="1500"/>
      <c r="AP78" s="1500"/>
      <c r="AQ78" s="1501"/>
      <c r="AS78" s="1502"/>
      <c r="AT78" s="1502"/>
      <c r="AU78" s="1502"/>
      <c r="AV78" s="1502"/>
      <c r="AW78" s="1502"/>
      <c r="AX78" s="1502"/>
      <c r="AY78" s="1502"/>
      <c r="AZ78" s="1502"/>
      <c r="BA78" s="1502"/>
      <c r="BB78" s="1502"/>
      <c r="BC78" s="1502"/>
      <c r="BD78" s="1502"/>
      <c r="BE78" s="1502"/>
      <c r="BF78" s="1502"/>
      <c r="BG78" s="1502"/>
      <c r="BH78" s="1502"/>
      <c r="BI78" s="1502"/>
      <c r="BJ78" s="1502"/>
      <c r="BK78" s="1502"/>
      <c r="BL78" s="1524"/>
      <c r="BN78" s="1504"/>
      <c r="BO78" s="1504"/>
      <c r="BP78" s="1505"/>
      <c r="BR78" s="3168"/>
      <c r="BS78" s="1525"/>
      <c r="BT78" s="748"/>
      <c r="BU78" s="1507"/>
      <c r="BV78" s="1508"/>
      <c r="BW78" s="1508"/>
      <c r="BX78" s="1508"/>
      <c r="BY78" s="1508"/>
      <c r="BZ78" s="1508"/>
      <c r="CA78" s="1508"/>
      <c r="CB78" s="1508"/>
      <c r="CC78" s="1508"/>
      <c r="CD78" s="1508"/>
      <c r="CE78" s="1508"/>
      <c r="CF78" s="1508"/>
      <c r="CG78" s="1508"/>
      <c r="CH78" s="1508"/>
      <c r="CI78" s="1508"/>
      <c r="CJ78" s="1508"/>
      <c r="CK78" s="1508"/>
      <c r="CL78" s="1508"/>
      <c r="CM78" s="1508"/>
      <c r="CN78" s="1508"/>
      <c r="CO78" s="1508"/>
      <c r="CP78" s="1508"/>
      <c r="CQ78" s="1508"/>
      <c r="CR78" s="1508"/>
      <c r="CS78" s="1508"/>
      <c r="CT78" s="1508"/>
      <c r="CU78" s="1508"/>
      <c r="CV78" s="1508"/>
      <c r="CW78" s="1508"/>
      <c r="CX78" s="1508"/>
      <c r="CY78" s="1508"/>
      <c r="CZ78" s="1508"/>
      <c r="DA78" s="1508"/>
      <c r="DB78" s="1508"/>
      <c r="DC78" s="1508"/>
      <c r="DD78" s="1508"/>
      <c r="DE78" s="1508"/>
      <c r="DF78" s="1508"/>
      <c r="DG78" s="1508"/>
      <c r="DH78" s="1508"/>
      <c r="DI78" s="1508"/>
      <c r="DJ78" s="1508"/>
      <c r="DK78" s="1508"/>
      <c r="DL78" s="1508"/>
      <c r="DN78" s="1509"/>
    </row>
    <row r="79" spans="1:118" s="14" customFormat="1" ht="20.25" customHeight="1" x14ac:dyDescent="0.2">
      <c r="A79" s="1534"/>
      <c r="B79" s="1535"/>
      <c r="C79" s="1536" t="s">
        <v>737</v>
      </c>
      <c r="D79" s="1537" t="str">
        <f>INDEX(Flujos[Flujos], MATCH($C79, Flujos[Código], 0))</f>
        <v>Otros Sectores</v>
      </c>
      <c r="E79" s="1843"/>
      <c r="G79" s="1539"/>
      <c r="H79" s="1539"/>
      <c r="I79" s="1539"/>
      <c r="J79" s="1539"/>
      <c r="K79" s="1539"/>
      <c r="L79" s="1539"/>
      <c r="M79" s="1539"/>
      <c r="N79" s="1539"/>
      <c r="O79" s="1539"/>
      <c r="P79" s="1539"/>
      <c r="Q79" s="1539"/>
      <c r="R79" s="1539"/>
      <c r="S79" s="1539"/>
      <c r="T79" s="1539"/>
      <c r="U79" s="1539"/>
      <c r="V79" s="1539"/>
      <c r="W79" s="1539"/>
      <c r="Y79" s="2609">
        <f ca="1">Y75+Y76+Y77</f>
        <v>0</v>
      </c>
      <c r="Z79" s="2609">
        <f t="shared" ref="Z79:AQ79" ca="1" si="56">Z75+Z76+Z77</f>
        <v>0.26623890102673253</v>
      </c>
      <c r="AA79" s="2609">
        <f t="shared" ca="1" si="56"/>
        <v>0</v>
      </c>
      <c r="AB79" s="2609">
        <f t="shared" ca="1" si="56"/>
        <v>0</v>
      </c>
      <c r="AC79" s="2609">
        <f t="shared" ca="1" si="56"/>
        <v>0</v>
      </c>
      <c r="AD79" s="2609">
        <f t="shared" ca="1" si="56"/>
        <v>0</v>
      </c>
      <c r="AE79" s="2609">
        <f t="shared" ca="1" si="56"/>
        <v>0</v>
      </c>
      <c r="AF79" s="2609">
        <f t="shared" ca="1" si="56"/>
        <v>0</v>
      </c>
      <c r="AG79" s="2609">
        <f t="shared" ca="1" si="56"/>
        <v>0</v>
      </c>
      <c r="AH79" s="2609">
        <f t="shared" ca="1" si="56"/>
        <v>0</v>
      </c>
      <c r="AI79" s="2609">
        <f t="shared" ca="1" si="56"/>
        <v>0</v>
      </c>
      <c r="AJ79" s="2609">
        <f t="shared" ca="1" si="56"/>
        <v>0</v>
      </c>
      <c r="AK79" s="2609">
        <f t="shared" ca="1" si="56"/>
        <v>0</v>
      </c>
      <c r="AL79" s="2609">
        <f t="shared" ca="1" si="56"/>
        <v>0</v>
      </c>
      <c r="AM79" s="2609">
        <f t="shared" ca="1" si="56"/>
        <v>0</v>
      </c>
      <c r="AN79" s="2609">
        <f t="shared" ca="1" si="56"/>
        <v>0</v>
      </c>
      <c r="AO79" s="2609">
        <f t="shared" ca="1" si="56"/>
        <v>0</v>
      </c>
      <c r="AP79" s="2609">
        <f t="shared" ca="1" si="56"/>
        <v>0</v>
      </c>
      <c r="AQ79" s="2608">
        <f t="shared" ca="1" si="56"/>
        <v>0.26623890102673253</v>
      </c>
      <c r="AS79" s="1491">
        <f ca="1">AS75+AS76+AS77</f>
        <v>0</v>
      </c>
      <c r="AT79" s="1491">
        <f t="shared" ref="AT79:BJ79" ca="1" si="57">AT75+AT76+AT77</f>
        <v>0</v>
      </c>
      <c r="AU79" s="1491">
        <f t="shared" ca="1" si="57"/>
        <v>0</v>
      </c>
      <c r="AV79" s="1491">
        <f t="shared" ca="1" si="57"/>
        <v>0</v>
      </c>
      <c r="AW79" s="1491">
        <f t="shared" ca="1" si="57"/>
        <v>0</v>
      </c>
      <c r="AX79" s="1491">
        <f t="shared" ca="1" si="57"/>
        <v>0</v>
      </c>
      <c r="AY79" s="1491">
        <f t="shared" ca="1" si="57"/>
        <v>0</v>
      </c>
      <c r="AZ79" s="1491">
        <f t="shared" ca="1" si="57"/>
        <v>0</v>
      </c>
      <c r="BA79" s="1491">
        <f t="shared" ca="1" si="57"/>
        <v>0</v>
      </c>
      <c r="BB79" s="1491">
        <f t="shared" ca="1" si="57"/>
        <v>0</v>
      </c>
      <c r="BC79" s="1491">
        <f t="shared" ca="1" si="57"/>
        <v>0</v>
      </c>
      <c r="BD79" s="1491">
        <f t="shared" ca="1" si="57"/>
        <v>0</v>
      </c>
      <c r="BE79" s="1491">
        <f t="shared" ca="1" si="57"/>
        <v>0</v>
      </c>
      <c r="BF79" s="1491">
        <f t="shared" ca="1" si="57"/>
        <v>0</v>
      </c>
      <c r="BG79" s="1491">
        <f t="shared" ca="1" si="57"/>
        <v>0</v>
      </c>
      <c r="BH79" s="1491">
        <f t="shared" ca="1" si="57"/>
        <v>0</v>
      </c>
      <c r="BI79" s="1491">
        <f t="shared" ca="1" si="57"/>
        <v>0</v>
      </c>
      <c r="BJ79" s="1491">
        <f t="shared" ca="1" si="57"/>
        <v>0</v>
      </c>
      <c r="BK79" s="3167">
        <f ca="1">BK75+BK76+BK77</f>
        <v>-0.26623890102673253</v>
      </c>
      <c r="BL79" s="1491">
        <f ca="1">BL75+BL76+BL77</f>
        <v>-0.26623890102673253</v>
      </c>
      <c r="BN79" s="1492">
        <f ca="1">BN75+BN76+BN77</f>
        <v>0</v>
      </c>
      <c r="BO79" s="1492">
        <f ca="1">BO75+BO76+BO77</f>
        <v>0</v>
      </c>
      <c r="BP79" s="1492">
        <f ca="1">BP75+BP76+BP77</f>
        <v>0</v>
      </c>
      <c r="BR79" s="3168">
        <f ca="1">W79+AQ79+BL79+BP79</f>
        <v>0</v>
      </c>
      <c r="BS79" s="1493"/>
      <c r="BT79" s="748"/>
      <c r="BU79" s="1508"/>
      <c r="BV79" s="1508"/>
      <c r="BW79" s="1508"/>
      <c r="BX79" s="1508"/>
      <c r="BY79" s="1508"/>
      <c r="BZ79" s="1508"/>
      <c r="CA79" s="1508"/>
      <c r="CB79" s="1508"/>
      <c r="CC79" s="1508"/>
      <c r="CD79" s="1508"/>
      <c r="CE79" s="1508"/>
      <c r="CF79" s="1508"/>
      <c r="CG79" s="1508"/>
      <c r="CH79" s="1508"/>
      <c r="CI79" s="1508"/>
      <c r="CJ79" s="1508"/>
      <c r="CK79" s="1508"/>
      <c r="CL79" s="1508"/>
      <c r="CM79" s="1508"/>
      <c r="CN79" s="1508"/>
      <c r="CO79" s="1508"/>
      <c r="CP79" s="1508"/>
      <c r="CQ79" s="1508"/>
      <c r="CR79" s="1508"/>
      <c r="CS79" s="1508"/>
      <c r="CT79" s="1508"/>
      <c r="CU79" s="1508"/>
      <c r="CV79" s="1508"/>
      <c r="CW79" s="1508"/>
      <c r="CX79" s="1508"/>
      <c r="CY79" s="1508"/>
      <c r="CZ79" s="1508"/>
      <c r="DA79" s="1508"/>
      <c r="DB79" s="1508"/>
      <c r="DC79" s="1508"/>
      <c r="DD79" s="1508"/>
      <c r="DE79" s="1508"/>
      <c r="DF79" s="1508"/>
      <c r="DG79" s="1508"/>
      <c r="DH79" s="1508"/>
      <c r="DI79" s="1508"/>
      <c r="DJ79" s="1508"/>
      <c r="DK79" s="1508"/>
      <c r="DL79" s="1508"/>
      <c r="DN79" s="1509"/>
    </row>
    <row r="80" spans="1:118" s="14" customFormat="1" ht="15.75" x14ac:dyDescent="0.2">
      <c r="A80" s="1845"/>
      <c r="B80" s="1847"/>
      <c r="C80" s="1842"/>
      <c r="D80" s="1843"/>
      <c r="E80" s="1844"/>
      <c r="G80" s="1539"/>
      <c r="H80" s="1539"/>
      <c r="I80" s="1539"/>
      <c r="J80" s="1539"/>
      <c r="K80" s="1539"/>
      <c r="L80" s="1539"/>
      <c r="M80" s="1539"/>
      <c r="N80" s="1539"/>
      <c r="O80" s="1539"/>
      <c r="P80" s="1539"/>
      <c r="Q80" s="1539"/>
      <c r="R80" s="1539"/>
      <c r="S80" s="1539"/>
      <c r="T80" s="1539"/>
      <c r="U80" s="1539"/>
      <c r="V80" s="1539"/>
      <c r="W80" s="1539"/>
      <c r="Y80" s="1490"/>
      <c r="Z80" s="1490"/>
      <c r="AA80" s="1490"/>
      <c r="AB80" s="1490"/>
      <c r="AC80" s="1490"/>
      <c r="AD80" s="1490"/>
      <c r="AE80" s="1490"/>
      <c r="AF80" s="1490"/>
      <c r="AG80" s="1490"/>
      <c r="AH80" s="1490"/>
      <c r="AI80" s="1490"/>
      <c r="AJ80" s="1490"/>
      <c r="AK80" s="1490"/>
      <c r="AL80" s="1490"/>
      <c r="AM80" s="1490"/>
      <c r="AN80" s="1490"/>
      <c r="AO80" s="1490"/>
      <c r="AP80" s="1490"/>
      <c r="AQ80" s="1490"/>
      <c r="AS80" s="1491"/>
      <c r="AT80" s="1491"/>
      <c r="AU80" s="1491"/>
      <c r="AV80" s="1491"/>
      <c r="AW80" s="1491"/>
      <c r="AX80" s="1491"/>
      <c r="AY80" s="1491"/>
      <c r="AZ80" s="1491"/>
      <c r="BA80" s="1491"/>
      <c r="BB80" s="1491"/>
      <c r="BC80" s="1491"/>
      <c r="BD80" s="1491"/>
      <c r="BE80" s="1491"/>
      <c r="BF80" s="1491"/>
      <c r="BG80" s="1491"/>
      <c r="BH80" s="1491"/>
      <c r="BI80" s="1491"/>
      <c r="BJ80" s="1491"/>
      <c r="BK80" s="1491"/>
      <c r="BL80" s="1491"/>
      <c r="BN80" s="1492"/>
      <c r="BO80" s="1492"/>
      <c r="BP80" s="1492"/>
      <c r="BR80" s="3168"/>
      <c r="BS80" s="1579"/>
      <c r="BT80" s="748"/>
      <c r="BU80" s="1507"/>
      <c r="BV80" s="1508"/>
      <c r="BW80" s="1508"/>
      <c r="BX80" s="1508"/>
      <c r="BY80" s="1508"/>
      <c r="BZ80" s="1508"/>
      <c r="CA80" s="1508"/>
      <c r="CB80" s="1508"/>
      <c r="CC80" s="1508"/>
      <c r="CD80" s="1508"/>
      <c r="CE80" s="1508"/>
      <c r="CF80" s="1508"/>
      <c r="CG80" s="1508"/>
      <c r="CH80" s="1508"/>
      <c r="CI80" s="1508"/>
      <c r="CJ80" s="1508"/>
      <c r="CK80" s="1508"/>
      <c r="CL80" s="1508"/>
      <c r="CM80" s="1508"/>
      <c r="CN80" s="1508"/>
      <c r="CO80" s="1508"/>
      <c r="CP80" s="1508"/>
      <c r="CQ80" s="1508"/>
      <c r="CR80" s="1508"/>
      <c r="CS80" s="1508"/>
      <c r="CT80" s="1508"/>
      <c r="CU80" s="1508"/>
      <c r="CV80" s="1508"/>
      <c r="CW80" s="1508"/>
      <c r="CX80" s="1508"/>
      <c r="CY80" s="1508"/>
      <c r="CZ80" s="1508"/>
      <c r="DA80" s="1508"/>
      <c r="DB80" s="1508"/>
      <c r="DC80" s="1508"/>
      <c r="DD80" s="1508"/>
      <c r="DE80" s="1508"/>
      <c r="DF80" s="1508"/>
      <c r="DG80" s="1508"/>
      <c r="DH80" s="1508"/>
      <c r="DI80" s="1508"/>
      <c r="DJ80" s="1508"/>
      <c r="DK80" s="1508"/>
      <c r="DL80" s="1508"/>
      <c r="DN80" s="1509"/>
    </row>
    <row r="81" spans="1:118" s="14" customFormat="1" ht="15.75" hidden="1" outlineLevel="1" x14ac:dyDescent="0.2">
      <c r="A81" s="1534"/>
      <c r="B81" s="1535"/>
      <c r="C81" s="1536"/>
      <c r="D81" s="1537"/>
      <c r="E81" s="1538"/>
      <c r="G81" s="1539"/>
      <c r="H81" s="1539"/>
      <c r="I81" s="1539"/>
      <c r="J81" s="1539"/>
      <c r="K81" s="1539"/>
      <c r="L81" s="1539"/>
      <c r="M81" s="1539"/>
      <c r="N81" s="1539"/>
      <c r="O81" s="1539"/>
      <c r="P81" s="1539"/>
      <c r="Q81" s="1539"/>
      <c r="R81" s="1539"/>
      <c r="S81" s="1539"/>
      <c r="T81" s="1539"/>
      <c r="U81" s="1539"/>
      <c r="V81" s="1539"/>
      <c r="W81" s="1539"/>
      <c r="Y81" s="1490"/>
      <c r="Z81" s="1490"/>
      <c r="AA81" s="1490"/>
      <c r="AB81" s="1490"/>
      <c r="AC81" s="1490"/>
      <c r="AD81" s="1490"/>
      <c r="AE81" s="1490"/>
      <c r="AF81" s="1490"/>
      <c r="AG81" s="1490"/>
      <c r="AH81" s="1490"/>
      <c r="AI81" s="1490"/>
      <c r="AJ81" s="1490"/>
      <c r="AK81" s="1490"/>
      <c r="AL81" s="1490"/>
      <c r="AM81" s="1490"/>
      <c r="AN81" s="1490"/>
      <c r="AO81" s="1490"/>
      <c r="AP81" s="1490"/>
      <c r="AQ81" s="1490"/>
      <c r="AS81" s="1491"/>
      <c r="AT81" s="1491"/>
      <c r="AU81" s="1491"/>
      <c r="AV81" s="1491"/>
      <c r="AW81" s="1491"/>
      <c r="AX81" s="1491"/>
      <c r="AY81" s="1491"/>
      <c r="AZ81" s="1491"/>
      <c r="BA81" s="1491"/>
      <c r="BB81" s="1491"/>
      <c r="BC81" s="1491"/>
      <c r="BD81" s="1491"/>
      <c r="BE81" s="1491"/>
      <c r="BF81" s="1491"/>
      <c r="BG81" s="1491"/>
      <c r="BH81" s="1491"/>
      <c r="BI81" s="1491"/>
      <c r="BJ81" s="1491"/>
      <c r="BK81" s="1491"/>
      <c r="BL81" s="1491"/>
      <c r="BN81" s="1492"/>
      <c r="BO81" s="1492"/>
      <c r="BP81" s="1492"/>
      <c r="BR81" s="3168">
        <f t="shared" ref="BR81:BR86" si="58">W81+AQ81+BL81+BP81</f>
        <v>0</v>
      </c>
      <c r="BS81" s="1493"/>
      <c r="BT81" s="748"/>
      <c r="BU81" s="1508"/>
      <c r="BV81" s="1508"/>
      <c r="BW81" s="1508"/>
      <c r="BX81" s="1508"/>
      <c r="BY81" s="1508"/>
      <c r="BZ81" s="1508"/>
      <c r="CA81" s="1508"/>
      <c r="CB81" s="1508"/>
      <c r="CC81" s="1508"/>
      <c r="CD81" s="1508"/>
      <c r="CE81" s="1508"/>
      <c r="CF81" s="1508"/>
      <c r="CG81" s="1508"/>
      <c r="CH81" s="1508"/>
      <c r="CI81" s="1508"/>
      <c r="CJ81" s="1508"/>
      <c r="CK81" s="1508"/>
      <c r="CL81" s="1508"/>
      <c r="CM81" s="1508"/>
      <c r="CN81" s="1508"/>
      <c r="CO81" s="1508"/>
      <c r="CP81" s="1508"/>
      <c r="CQ81" s="1508"/>
      <c r="CR81" s="1508"/>
      <c r="CS81" s="1508"/>
      <c r="CT81" s="1508"/>
      <c r="CU81" s="1508"/>
      <c r="CV81" s="1508"/>
      <c r="CW81" s="1508"/>
      <c r="CX81" s="1508"/>
      <c r="CY81" s="1508"/>
      <c r="CZ81" s="1508"/>
      <c r="DA81" s="1508"/>
      <c r="DB81" s="1508"/>
      <c r="DC81" s="1508"/>
      <c r="DD81" s="1508"/>
      <c r="DE81" s="1508"/>
      <c r="DF81" s="1508"/>
      <c r="DG81" s="1508"/>
      <c r="DH81" s="1508"/>
      <c r="DI81" s="1508"/>
      <c r="DJ81" s="1508"/>
      <c r="DK81" s="1508"/>
      <c r="DL81" s="1508"/>
      <c r="DN81" s="1509"/>
    </row>
    <row r="82" spans="1:118" s="14" customFormat="1" ht="12.75" hidden="1" customHeight="1" outlineLevel="2" x14ac:dyDescent="0.2">
      <c r="A82" s="1534"/>
      <c r="B82" s="1534"/>
      <c r="C82" s="1544"/>
      <c r="D82" s="1538"/>
      <c r="E82" s="1538"/>
      <c r="G82" s="1488"/>
      <c r="H82" s="1488"/>
      <c r="I82" s="1488"/>
      <c r="J82" s="1488"/>
      <c r="K82" s="1488"/>
      <c r="L82" s="1488"/>
      <c r="M82" s="1488"/>
      <c r="N82" s="1488"/>
      <c r="O82" s="1563"/>
      <c r="P82" s="1488"/>
      <c r="Q82" s="1488"/>
      <c r="R82" s="1488"/>
      <c r="S82" s="1488"/>
      <c r="T82" s="1488"/>
      <c r="U82" s="1488"/>
      <c r="V82" s="1488"/>
      <c r="W82" s="1488"/>
      <c r="Y82" s="1490"/>
      <c r="Z82" s="1490"/>
      <c r="AA82" s="1490"/>
      <c r="AB82" s="1490"/>
      <c r="AC82" s="1490"/>
      <c r="AD82" s="1490"/>
      <c r="AE82" s="1490"/>
      <c r="AF82" s="1490"/>
      <c r="AG82" s="1490"/>
      <c r="AH82" s="1490"/>
      <c r="AI82" s="1490"/>
      <c r="AJ82" s="1490"/>
      <c r="AK82" s="1490"/>
      <c r="AL82" s="1490"/>
      <c r="AM82" s="1490"/>
      <c r="AN82" s="1490"/>
      <c r="AO82" s="1490"/>
      <c r="AP82" s="1490"/>
      <c r="AQ82" s="1490"/>
      <c r="AS82" s="1491"/>
      <c r="AT82" s="1491"/>
      <c r="AU82" s="1491"/>
      <c r="AV82" s="1491"/>
      <c r="AW82" s="1491"/>
      <c r="AX82" s="1491"/>
      <c r="AY82" s="1491"/>
      <c r="AZ82" s="1491"/>
      <c r="BA82" s="1491"/>
      <c r="BB82" s="1491"/>
      <c r="BC82" s="1491"/>
      <c r="BD82" s="1491"/>
      <c r="BE82" s="1491"/>
      <c r="BF82" s="1491"/>
      <c r="BG82" s="1491"/>
      <c r="BH82" s="1491"/>
      <c r="BI82" s="1491"/>
      <c r="BJ82" s="1491"/>
      <c r="BK82" s="1491"/>
      <c r="BL82" s="1491"/>
      <c r="BN82" s="1492"/>
      <c r="BO82" s="1492"/>
      <c r="BP82" s="1492"/>
      <c r="BR82" s="3168">
        <f t="shared" si="58"/>
        <v>0</v>
      </c>
      <c r="BS82" s="1493"/>
      <c r="BT82" s="1534"/>
      <c r="BU82" s="1508"/>
      <c r="BV82" s="1508"/>
      <c r="BW82" s="1508"/>
      <c r="BX82" s="1508"/>
      <c r="BY82" s="1508"/>
      <c r="BZ82" s="1508"/>
      <c r="CA82" s="1508"/>
      <c r="CB82" s="1508"/>
      <c r="CC82" s="1508"/>
      <c r="CD82" s="1508"/>
      <c r="CE82" s="1508"/>
      <c r="CF82" s="1508"/>
      <c r="CG82" s="1508"/>
      <c r="CH82" s="1508"/>
      <c r="CI82" s="1508"/>
      <c r="CJ82" s="1508"/>
      <c r="CK82" s="1508"/>
      <c r="CL82" s="1508"/>
      <c r="CM82" s="1508"/>
      <c r="CN82" s="1508"/>
      <c r="CO82" s="1508"/>
      <c r="CP82" s="1508"/>
      <c r="CQ82" s="1508"/>
      <c r="CR82" s="1508"/>
      <c r="CS82" s="1508"/>
      <c r="CT82" s="1508"/>
      <c r="CU82" s="1508"/>
      <c r="CV82" s="1508"/>
      <c r="CW82" s="1508"/>
      <c r="CX82" s="1508"/>
      <c r="CY82" s="1508"/>
      <c r="CZ82" s="1508"/>
      <c r="DA82" s="1508"/>
      <c r="DB82" s="1508"/>
      <c r="DC82" s="1508"/>
      <c r="DD82" s="1508"/>
      <c r="DE82" s="1508"/>
      <c r="DF82" s="1508"/>
      <c r="DG82" s="1508"/>
      <c r="DH82" s="1508"/>
      <c r="DI82" s="1508"/>
      <c r="DJ82" s="1508"/>
      <c r="DK82" s="1508"/>
      <c r="DL82" s="1508"/>
      <c r="DN82" s="1509">
        <v>0</v>
      </c>
    </row>
    <row r="83" spans="1:118" s="1564" customFormat="1" ht="12.75" hidden="1" customHeight="1" outlineLevel="2" x14ac:dyDescent="0.2">
      <c r="C83" s="1565" t="s">
        <v>809</v>
      </c>
      <c r="D83" s="1566" t="s">
        <v>810</v>
      </c>
      <c r="E83" s="1566"/>
      <c r="F83" s="1567"/>
      <c r="G83" s="1568"/>
      <c r="H83" s="1568"/>
      <c r="I83" s="1568"/>
      <c r="J83" s="1568"/>
      <c r="K83" s="1568"/>
      <c r="L83" s="1568"/>
      <c r="M83" s="1568"/>
      <c r="N83" s="1568"/>
      <c r="O83" s="1569"/>
      <c r="P83" s="1568"/>
      <c r="Q83" s="1568"/>
      <c r="R83" s="1568"/>
      <c r="S83" s="1568"/>
      <c r="T83" s="1568"/>
      <c r="U83" s="1568"/>
      <c r="V83" s="1568"/>
      <c r="W83" s="1568"/>
      <c r="X83" s="1567"/>
      <c r="Y83" s="1570"/>
      <c r="Z83" s="1570"/>
      <c r="AA83" s="1570"/>
      <c r="AB83" s="1570"/>
      <c r="AC83" s="1570"/>
      <c r="AD83" s="1570"/>
      <c r="AE83" s="1570"/>
      <c r="AF83" s="1570"/>
      <c r="AG83" s="1570"/>
      <c r="AH83" s="1570"/>
      <c r="AI83" s="1570"/>
      <c r="AJ83" s="1570"/>
      <c r="AK83" s="1570"/>
      <c r="AL83" s="1570"/>
      <c r="AM83" s="1570"/>
      <c r="AN83" s="1570"/>
      <c r="AO83" s="1570"/>
      <c r="AP83" s="1570"/>
      <c r="AQ83" s="1570"/>
      <c r="AR83" s="1567"/>
      <c r="AS83" s="1571"/>
      <c r="AT83" s="1571"/>
      <c r="AU83" s="1571"/>
      <c r="AV83" s="1571"/>
      <c r="AW83" s="1571"/>
      <c r="AX83" s="1571"/>
      <c r="AY83" s="1571"/>
      <c r="AZ83" s="1571"/>
      <c r="BA83" s="1571"/>
      <c r="BB83" s="1571"/>
      <c r="BC83" s="1571"/>
      <c r="BD83" s="1571"/>
      <c r="BE83" s="1571"/>
      <c r="BF83" s="1571"/>
      <c r="BG83" s="1571"/>
      <c r="BH83" s="1571"/>
      <c r="BI83" s="1571"/>
      <c r="BJ83" s="1571"/>
      <c r="BK83" s="1571"/>
      <c r="BL83" s="1571"/>
      <c r="BM83" s="1567"/>
      <c r="BN83" s="1572"/>
      <c r="BO83" s="1572"/>
      <c r="BP83" s="1572"/>
      <c r="BQ83" s="1567"/>
      <c r="BR83" s="3168">
        <f t="shared" si="58"/>
        <v>0</v>
      </c>
      <c r="BS83" s="1573"/>
      <c r="BU83" s="1574"/>
      <c r="BV83" s="1574"/>
      <c r="BW83" s="1574"/>
      <c r="BX83" s="1574"/>
      <c r="BY83" s="1574"/>
      <c r="BZ83" s="1574"/>
      <c r="CA83" s="1574"/>
      <c r="CB83" s="1574"/>
      <c r="CC83" s="1574"/>
      <c r="CD83" s="1574"/>
      <c r="CE83" s="1574"/>
      <c r="CF83" s="1574"/>
      <c r="CG83" s="1574"/>
      <c r="CH83" s="1574"/>
      <c r="CI83" s="1574"/>
      <c r="CJ83" s="1574"/>
      <c r="CK83" s="1574"/>
      <c r="CL83" s="1574"/>
      <c r="CM83" s="1574"/>
      <c r="CN83" s="1574"/>
      <c r="CO83" s="1574"/>
      <c r="CP83" s="1574"/>
      <c r="CQ83" s="1574"/>
      <c r="CR83" s="1574"/>
      <c r="CS83" s="1574"/>
      <c r="CT83" s="1574"/>
      <c r="CU83" s="1574"/>
      <c r="CV83" s="1574"/>
      <c r="CW83" s="1574"/>
      <c r="CX83" s="1574"/>
      <c r="CY83" s="1574"/>
      <c r="CZ83" s="1574"/>
      <c r="DA83" s="1574"/>
      <c r="DB83" s="1574"/>
      <c r="DC83" s="1574"/>
      <c r="DD83" s="1574"/>
      <c r="DE83" s="1574"/>
      <c r="DF83" s="1574"/>
      <c r="DG83" s="1574"/>
      <c r="DH83" s="1574"/>
      <c r="DI83" s="1574"/>
      <c r="DJ83" s="1574"/>
      <c r="DK83" s="1574"/>
      <c r="DL83" s="1574"/>
      <c r="DN83" s="1575">
        <v>0</v>
      </c>
    </row>
    <row r="84" spans="1:118" s="1522" customFormat="1" ht="12.75" hidden="1" customHeight="1" outlineLevel="2" x14ac:dyDescent="0.2">
      <c r="C84" s="1496" t="s">
        <v>112</v>
      </c>
      <c r="D84" s="1526" t="s">
        <v>113</v>
      </c>
      <c r="E84" s="1526"/>
      <c r="F84" s="14"/>
      <c r="G84" s="1540"/>
      <c r="H84" s="1540"/>
      <c r="I84" s="1540"/>
      <c r="J84" s="1540"/>
      <c r="K84" s="1540"/>
      <c r="L84" s="1540"/>
      <c r="M84" s="1540"/>
      <c r="N84" s="1540"/>
      <c r="O84" s="1540"/>
      <c r="P84" s="1540"/>
      <c r="Q84" s="1540"/>
      <c r="R84" s="1540"/>
      <c r="S84" s="1540"/>
      <c r="T84" s="1540"/>
      <c r="U84" s="1540"/>
      <c r="V84" s="1540"/>
      <c r="W84" s="1527"/>
      <c r="X84" s="14"/>
      <c r="Y84" s="1541"/>
      <c r="Z84" s="1541"/>
      <c r="AA84" s="1541"/>
      <c r="AB84" s="1541"/>
      <c r="AC84" s="1541"/>
      <c r="AD84" s="1541"/>
      <c r="AE84" s="1541"/>
      <c r="AF84" s="1541"/>
      <c r="AG84" s="1541"/>
      <c r="AH84" s="1541"/>
      <c r="AI84" s="1541"/>
      <c r="AJ84" s="1541"/>
      <c r="AK84" s="1541"/>
      <c r="AL84" s="1541"/>
      <c r="AM84" s="1541"/>
      <c r="AN84" s="1541"/>
      <c r="AO84" s="1541"/>
      <c r="AP84" s="1541"/>
      <c r="AQ84" s="1528"/>
      <c r="AR84" s="14"/>
      <c r="AS84" s="1542"/>
      <c r="AT84" s="1542"/>
      <c r="AU84" s="1542"/>
      <c r="AV84" s="1542"/>
      <c r="AW84" s="1542"/>
      <c r="AX84" s="1542"/>
      <c r="AY84" s="1542"/>
      <c r="AZ84" s="1542"/>
      <c r="BA84" s="1542"/>
      <c r="BB84" s="1542"/>
      <c r="BC84" s="1542"/>
      <c r="BD84" s="1542"/>
      <c r="BE84" s="1542"/>
      <c r="BF84" s="1542"/>
      <c r="BG84" s="1542"/>
      <c r="BH84" s="1542"/>
      <c r="BI84" s="1542"/>
      <c r="BJ84" s="1542"/>
      <c r="BK84" s="1542"/>
      <c r="BL84" s="1530"/>
      <c r="BM84" s="14"/>
      <c r="BN84" s="1543"/>
      <c r="BO84" s="1543"/>
      <c r="BP84" s="1531"/>
      <c r="BQ84" s="14"/>
      <c r="BR84" s="3168">
        <f t="shared" si="58"/>
        <v>0</v>
      </c>
      <c r="BS84" s="1525"/>
      <c r="BT84" s="748"/>
      <c r="BU84" s="1532">
        <v>0</v>
      </c>
      <c r="BV84" s="1533">
        <v>0</v>
      </c>
      <c r="BW84" s="1533">
        <v>0</v>
      </c>
      <c r="BX84" s="1533">
        <v>0</v>
      </c>
      <c r="BY84" s="1533">
        <v>0</v>
      </c>
      <c r="BZ84" s="1533">
        <v>0</v>
      </c>
      <c r="CA84" s="1533">
        <v>0</v>
      </c>
      <c r="CB84" s="1533">
        <v>0</v>
      </c>
      <c r="CC84" s="1533">
        <v>0</v>
      </c>
      <c r="CD84" s="1533">
        <v>0</v>
      </c>
      <c r="CE84" s="1533">
        <v>0</v>
      </c>
      <c r="CF84" s="1533">
        <v>0</v>
      </c>
      <c r="CG84" s="1533">
        <v>0</v>
      </c>
      <c r="CH84" s="1533">
        <v>0</v>
      </c>
      <c r="CI84" s="1533">
        <v>0</v>
      </c>
      <c r="CJ84" s="1533">
        <v>0</v>
      </c>
      <c r="CK84" s="1533">
        <v>0</v>
      </c>
      <c r="CL84" s="1533">
        <v>0</v>
      </c>
      <c r="CM84" s="1533">
        <v>0</v>
      </c>
      <c r="CN84" s="1533">
        <v>0</v>
      </c>
      <c r="CO84" s="1533">
        <v>0</v>
      </c>
      <c r="CP84" s="1533">
        <v>0</v>
      </c>
      <c r="CQ84" s="1533">
        <v>0</v>
      </c>
      <c r="CR84" s="1533">
        <v>0</v>
      </c>
      <c r="CS84" s="1533">
        <v>0</v>
      </c>
      <c r="CT84" s="1533">
        <v>0</v>
      </c>
      <c r="CU84" s="1533">
        <v>0</v>
      </c>
      <c r="CV84" s="1533">
        <v>0</v>
      </c>
      <c r="CW84" s="1533">
        <v>0</v>
      </c>
      <c r="CX84" s="1533">
        <v>0</v>
      </c>
      <c r="CY84" s="1533">
        <v>0</v>
      </c>
      <c r="CZ84" s="1533">
        <v>0</v>
      </c>
      <c r="DA84" s="1533">
        <v>0</v>
      </c>
      <c r="DB84" s="1533">
        <v>0</v>
      </c>
      <c r="DC84" s="1533">
        <v>0</v>
      </c>
      <c r="DD84" s="1533">
        <v>0</v>
      </c>
      <c r="DE84" s="1533">
        <v>0</v>
      </c>
      <c r="DF84" s="1533">
        <v>0</v>
      </c>
      <c r="DG84" s="1533">
        <v>0</v>
      </c>
      <c r="DH84" s="1533">
        <v>0</v>
      </c>
      <c r="DI84" s="1533">
        <v>0</v>
      </c>
      <c r="DJ84" s="1533">
        <v>0</v>
      </c>
      <c r="DK84" s="1533">
        <v>0</v>
      </c>
      <c r="DL84" s="1533">
        <v>0</v>
      </c>
      <c r="DN84" s="1509">
        <v>0</v>
      </c>
    </row>
    <row r="85" spans="1:118" s="14" customFormat="1" ht="15.75" hidden="1" outlineLevel="1" collapsed="1" x14ac:dyDescent="0.2">
      <c r="A85" s="1845"/>
      <c r="B85" s="1846"/>
      <c r="C85" s="1842" t="s">
        <v>746</v>
      </c>
      <c r="D85" s="1843" t="s">
        <v>2283</v>
      </c>
      <c r="E85" s="1844"/>
      <c r="G85" s="1539"/>
      <c r="H85" s="1539"/>
      <c r="I85" s="1539"/>
      <c r="J85" s="1539"/>
      <c r="K85" s="1539"/>
      <c r="L85" s="1539"/>
      <c r="M85" s="1539"/>
      <c r="N85" s="1539"/>
      <c r="O85" s="1539"/>
      <c r="P85" s="1539"/>
      <c r="Q85" s="1539"/>
      <c r="R85" s="1539"/>
      <c r="S85" s="1539"/>
      <c r="T85" s="1539"/>
      <c r="U85" s="1539"/>
      <c r="V85" s="1539"/>
      <c r="W85" s="1539"/>
      <c r="Y85" s="1490"/>
      <c r="Z85" s="1490"/>
      <c r="AA85" s="1490"/>
      <c r="AB85" s="1490"/>
      <c r="AC85" s="1490"/>
      <c r="AD85" s="1490"/>
      <c r="AE85" s="1490"/>
      <c r="AF85" s="1490"/>
      <c r="AG85" s="1490"/>
      <c r="AH85" s="1490"/>
      <c r="AI85" s="1490"/>
      <c r="AJ85" s="1490"/>
      <c r="AK85" s="1490"/>
      <c r="AL85" s="1490"/>
      <c r="AM85" s="1490"/>
      <c r="AN85" s="1490"/>
      <c r="AO85" s="1490"/>
      <c r="AP85" s="1490"/>
      <c r="AQ85" s="1490"/>
      <c r="AS85" s="1491"/>
      <c r="AT85" s="1491"/>
      <c r="AU85" s="1491"/>
      <c r="AV85" s="1491"/>
      <c r="AW85" s="1491"/>
      <c r="AX85" s="1491"/>
      <c r="AY85" s="1491"/>
      <c r="AZ85" s="1491"/>
      <c r="BA85" s="1491"/>
      <c r="BB85" s="1491"/>
      <c r="BC85" s="1491"/>
      <c r="BD85" s="1491"/>
      <c r="BE85" s="1491"/>
      <c r="BF85" s="1491"/>
      <c r="BG85" s="1491"/>
      <c r="BH85" s="1491"/>
      <c r="BI85" s="1491"/>
      <c r="BJ85" s="1491"/>
      <c r="BK85" s="1491"/>
      <c r="BL85" s="1491"/>
      <c r="BN85" s="1492"/>
      <c r="BO85" s="1492"/>
      <c r="BP85" s="1492"/>
      <c r="BR85" s="3168">
        <f t="shared" si="58"/>
        <v>0</v>
      </c>
      <c r="BS85" s="1493"/>
      <c r="BT85" s="748"/>
      <c r="BU85" s="1508">
        <v>0</v>
      </c>
      <c r="BV85" s="1508">
        <v>0</v>
      </c>
      <c r="BW85" s="1508">
        <v>0</v>
      </c>
      <c r="BX85" s="1508">
        <v>0</v>
      </c>
      <c r="BY85" s="1508">
        <v>0</v>
      </c>
      <c r="BZ85" s="1508">
        <v>0</v>
      </c>
      <c r="CA85" s="1508">
        <v>0</v>
      </c>
      <c r="CB85" s="1508">
        <v>0</v>
      </c>
      <c r="CC85" s="1508">
        <v>0</v>
      </c>
      <c r="CD85" s="1508">
        <v>0</v>
      </c>
      <c r="CE85" s="1508">
        <v>0</v>
      </c>
      <c r="CF85" s="1508">
        <v>0</v>
      </c>
      <c r="CG85" s="1508">
        <v>0</v>
      </c>
      <c r="CH85" s="1508">
        <v>0</v>
      </c>
      <c r="CI85" s="1508">
        <v>0</v>
      </c>
      <c r="CJ85" s="1508">
        <v>0</v>
      </c>
      <c r="CK85" s="1508">
        <v>0</v>
      </c>
      <c r="CL85" s="1508">
        <v>0</v>
      </c>
      <c r="CM85" s="1508">
        <v>0</v>
      </c>
      <c r="CN85" s="1508">
        <v>0</v>
      </c>
      <c r="CO85" s="1508">
        <v>0</v>
      </c>
      <c r="CP85" s="1508">
        <v>0</v>
      </c>
      <c r="CQ85" s="1508">
        <v>0</v>
      </c>
      <c r="CR85" s="1508">
        <v>0</v>
      </c>
      <c r="CS85" s="1508">
        <v>0</v>
      </c>
      <c r="CT85" s="1508">
        <v>0</v>
      </c>
      <c r="CU85" s="1508">
        <v>0</v>
      </c>
      <c r="CV85" s="1508">
        <v>0</v>
      </c>
      <c r="CW85" s="1508">
        <v>0</v>
      </c>
      <c r="CX85" s="1508">
        <v>0</v>
      </c>
      <c r="CY85" s="1508">
        <v>0</v>
      </c>
      <c r="CZ85" s="1508">
        <v>0</v>
      </c>
      <c r="DA85" s="1508">
        <v>0</v>
      </c>
      <c r="DB85" s="1508">
        <v>0</v>
      </c>
      <c r="DC85" s="1508">
        <v>0</v>
      </c>
      <c r="DD85" s="1508">
        <v>0</v>
      </c>
      <c r="DE85" s="1508">
        <v>0</v>
      </c>
      <c r="DF85" s="1508">
        <v>0</v>
      </c>
      <c r="DG85" s="1508">
        <v>0</v>
      </c>
      <c r="DH85" s="1508">
        <v>0</v>
      </c>
      <c r="DI85" s="1508">
        <v>0</v>
      </c>
      <c r="DJ85" s="1508">
        <v>0</v>
      </c>
      <c r="DK85" s="1508">
        <v>0</v>
      </c>
      <c r="DL85" s="1508">
        <v>0</v>
      </c>
      <c r="DN85" s="1509">
        <v>0</v>
      </c>
    </row>
    <row r="86" spans="1:118" s="14" customFormat="1" ht="15.75" hidden="1" outlineLevel="1" x14ac:dyDescent="0.2">
      <c r="A86" s="1845"/>
      <c r="B86" s="1846"/>
      <c r="C86" s="1842"/>
      <c r="D86" s="1843"/>
      <c r="E86" s="1844"/>
      <c r="G86" s="1539"/>
      <c r="H86" s="1539"/>
      <c r="I86" s="1539"/>
      <c r="J86" s="1539"/>
      <c r="K86" s="1539"/>
      <c r="L86" s="1539"/>
      <c r="M86" s="1539"/>
      <c r="N86" s="1539"/>
      <c r="O86" s="1539"/>
      <c r="P86" s="1539"/>
      <c r="Q86" s="1539"/>
      <c r="R86" s="1539"/>
      <c r="S86" s="1539"/>
      <c r="T86" s="1539"/>
      <c r="U86" s="1539"/>
      <c r="V86" s="1539"/>
      <c r="W86" s="1539"/>
      <c r="Y86" s="1490"/>
      <c r="Z86" s="1490"/>
      <c r="AA86" s="1490"/>
      <c r="AB86" s="1490"/>
      <c r="AC86" s="1490"/>
      <c r="AD86" s="1490"/>
      <c r="AE86" s="1490"/>
      <c r="AF86" s="1490"/>
      <c r="AG86" s="1490"/>
      <c r="AH86" s="1490"/>
      <c r="AI86" s="1490"/>
      <c r="AJ86" s="1490"/>
      <c r="AK86" s="1490"/>
      <c r="AL86" s="1490"/>
      <c r="AM86" s="1490"/>
      <c r="AN86" s="1490"/>
      <c r="AO86" s="1490"/>
      <c r="AP86" s="1490"/>
      <c r="AQ86" s="1490"/>
      <c r="AS86" s="1491"/>
      <c r="AT86" s="1491"/>
      <c r="AU86" s="1491"/>
      <c r="AV86" s="1491"/>
      <c r="AW86" s="1491"/>
      <c r="AX86" s="1491"/>
      <c r="AY86" s="1491"/>
      <c r="AZ86" s="1491"/>
      <c r="BA86" s="1491"/>
      <c r="BB86" s="1491"/>
      <c r="BC86" s="1491"/>
      <c r="BD86" s="1491"/>
      <c r="BE86" s="1491"/>
      <c r="BF86" s="1491"/>
      <c r="BG86" s="1491"/>
      <c r="BH86" s="1491"/>
      <c r="BI86" s="1491"/>
      <c r="BJ86" s="1491"/>
      <c r="BK86" s="1491"/>
      <c r="BL86" s="1491"/>
      <c r="BN86" s="1492"/>
      <c r="BO86" s="1492"/>
      <c r="BP86" s="1492"/>
      <c r="BR86" s="3168">
        <f t="shared" si="58"/>
        <v>0</v>
      </c>
      <c r="BS86" s="1493"/>
      <c r="BT86" s="748"/>
      <c r="BU86" s="1508"/>
      <c r="BV86" s="1508"/>
      <c r="BW86" s="1508"/>
      <c r="BX86" s="1508"/>
      <c r="BY86" s="1508"/>
      <c r="BZ86" s="1508"/>
      <c r="CA86" s="1508"/>
      <c r="CB86" s="1508"/>
      <c r="CC86" s="1508"/>
      <c r="CD86" s="1508"/>
      <c r="CE86" s="1508"/>
      <c r="CF86" s="1508"/>
      <c r="CG86" s="1508"/>
      <c r="CH86" s="1508"/>
      <c r="CI86" s="1508"/>
      <c r="CJ86" s="1508"/>
      <c r="CK86" s="1508"/>
      <c r="CL86" s="1508"/>
      <c r="CM86" s="1508"/>
      <c r="CN86" s="1508"/>
      <c r="CO86" s="1508"/>
      <c r="CP86" s="1508"/>
      <c r="CQ86" s="1508"/>
      <c r="CR86" s="1508"/>
      <c r="CS86" s="1508"/>
      <c r="CT86" s="1508"/>
      <c r="CU86" s="1508"/>
      <c r="CV86" s="1508"/>
      <c r="CW86" s="1508"/>
      <c r="CX86" s="1508"/>
      <c r="CY86" s="1508"/>
      <c r="CZ86" s="1508"/>
      <c r="DA86" s="1508"/>
      <c r="DB86" s="1508"/>
      <c r="DC86" s="1508"/>
      <c r="DD86" s="1508"/>
      <c r="DE86" s="1508"/>
      <c r="DF86" s="1508"/>
      <c r="DG86" s="1508"/>
      <c r="DH86" s="1508"/>
      <c r="DI86" s="1508"/>
      <c r="DJ86" s="1508"/>
      <c r="DK86" s="1508"/>
      <c r="DL86" s="1508"/>
      <c r="DN86" s="1509"/>
    </row>
    <row r="87" spans="1:118" s="14" customFormat="1" ht="15.75" collapsed="1" x14ac:dyDescent="0.2">
      <c r="A87" s="1845"/>
      <c r="B87" s="1846"/>
      <c r="C87" s="1842"/>
      <c r="D87" s="1843"/>
      <c r="E87" s="1844"/>
      <c r="G87" s="1539"/>
      <c r="H87" s="1539"/>
      <c r="I87" s="1539"/>
      <c r="J87" s="1539"/>
      <c r="K87" s="1539"/>
      <c r="L87" s="1539"/>
      <c r="M87" s="1539"/>
      <c r="N87" s="1539"/>
      <c r="O87" s="1539"/>
      <c r="P87" s="1539"/>
      <c r="Q87" s="1539"/>
      <c r="R87" s="1539"/>
      <c r="S87" s="1539"/>
      <c r="T87" s="1539"/>
      <c r="U87" s="1539"/>
      <c r="V87" s="1539"/>
      <c r="W87" s="1539"/>
      <c r="Y87" s="1490"/>
      <c r="Z87" s="1490"/>
      <c r="AA87" s="1490"/>
      <c r="AB87" s="1490"/>
      <c r="AC87" s="1490"/>
      <c r="AD87" s="1490"/>
      <c r="AE87" s="1490"/>
      <c r="AF87" s="1490"/>
      <c r="AG87" s="1490"/>
      <c r="AH87" s="1490"/>
      <c r="AI87" s="1490"/>
      <c r="AJ87" s="1490"/>
      <c r="AK87" s="1490"/>
      <c r="AL87" s="1490"/>
      <c r="AM87" s="1490"/>
      <c r="AN87" s="1490"/>
      <c r="AO87" s="1490"/>
      <c r="AP87" s="1490"/>
      <c r="AQ87" s="1490"/>
      <c r="AS87" s="1491"/>
      <c r="AT87" s="1491"/>
      <c r="AU87" s="1491"/>
      <c r="AV87" s="1491"/>
      <c r="AW87" s="1491"/>
      <c r="AX87" s="1491"/>
      <c r="AY87" s="1491"/>
      <c r="AZ87" s="1491"/>
      <c r="BA87" s="1491"/>
      <c r="BB87" s="1491"/>
      <c r="BC87" s="1491"/>
      <c r="BD87" s="1491"/>
      <c r="BE87" s="1491"/>
      <c r="BF87" s="1491"/>
      <c r="BG87" s="1491"/>
      <c r="BH87" s="1491"/>
      <c r="BI87" s="1491"/>
      <c r="BJ87" s="1491"/>
      <c r="BK87" s="1491"/>
      <c r="BL87" s="1491"/>
      <c r="BN87" s="1492"/>
      <c r="BO87" s="1492"/>
      <c r="BP87" s="1492"/>
      <c r="BR87" s="3168"/>
      <c r="BS87" s="1493"/>
      <c r="BT87" s="748"/>
      <c r="BU87" s="1508"/>
      <c r="BV87" s="1508"/>
      <c r="BW87" s="1508"/>
      <c r="BX87" s="1508"/>
      <c r="BY87" s="1508"/>
      <c r="BZ87" s="1508"/>
      <c r="CA87" s="1508"/>
      <c r="CB87" s="1508"/>
      <c r="CC87" s="1508"/>
      <c r="CD87" s="1508"/>
      <c r="CE87" s="1508"/>
      <c r="CF87" s="1508"/>
      <c r="CG87" s="1508"/>
      <c r="CH87" s="1508"/>
      <c r="CI87" s="1508"/>
      <c r="CJ87" s="1508"/>
      <c r="CK87" s="1508"/>
      <c r="CL87" s="1508"/>
      <c r="CM87" s="1508"/>
      <c r="CN87" s="1508"/>
      <c r="CO87" s="1508"/>
      <c r="CP87" s="1508"/>
      <c r="CQ87" s="1508"/>
      <c r="CR87" s="1508"/>
      <c r="CS87" s="1508"/>
      <c r="CT87" s="1508"/>
      <c r="CU87" s="1508"/>
      <c r="CV87" s="1508"/>
      <c r="CW87" s="1508"/>
      <c r="CX87" s="1508"/>
      <c r="CY87" s="1508"/>
      <c r="CZ87" s="1508"/>
      <c r="DA87" s="1508"/>
      <c r="DB87" s="1508"/>
      <c r="DC87" s="1508"/>
      <c r="DD87" s="1508"/>
      <c r="DE87" s="1508"/>
      <c r="DF87" s="1508"/>
      <c r="DG87" s="1508"/>
      <c r="DH87" s="1508"/>
      <c r="DI87" s="1508"/>
      <c r="DJ87" s="1508"/>
      <c r="DK87" s="1508"/>
      <c r="DL87" s="1508"/>
      <c r="DN87" s="1509"/>
    </row>
    <row r="88" spans="1:118" s="14" customFormat="1" ht="6" customHeight="1" x14ac:dyDescent="0.2">
      <c r="C88" s="1552"/>
      <c r="D88" s="1537"/>
      <c r="E88" s="1430"/>
      <c r="G88" s="1488"/>
      <c r="H88" s="1488"/>
      <c r="I88" s="1488"/>
      <c r="J88" s="1488"/>
      <c r="K88" s="1488"/>
      <c r="L88" s="1488"/>
      <c r="M88" s="1488"/>
      <c r="N88" s="1488"/>
      <c r="O88" s="1563"/>
      <c r="P88" s="1488"/>
      <c r="Q88" s="1488"/>
      <c r="R88" s="1488"/>
      <c r="S88" s="1488"/>
      <c r="T88" s="1488"/>
      <c r="U88" s="1488"/>
      <c r="V88" s="1488"/>
      <c r="W88" s="1488"/>
      <c r="Y88" s="1490"/>
      <c r="Z88" s="1490"/>
      <c r="AA88" s="1490"/>
      <c r="AB88" s="1490"/>
      <c r="AC88" s="1490"/>
      <c r="AD88" s="1490"/>
      <c r="AE88" s="1490"/>
      <c r="AF88" s="1490"/>
      <c r="AG88" s="1490"/>
      <c r="AH88" s="1490"/>
      <c r="AI88" s="1490"/>
      <c r="AJ88" s="1490"/>
      <c r="AK88" s="1490"/>
      <c r="AL88" s="1490"/>
      <c r="AM88" s="1490"/>
      <c r="AN88" s="1490"/>
      <c r="AO88" s="1490"/>
      <c r="AP88" s="1490"/>
      <c r="AQ88" s="1490"/>
      <c r="AS88" s="1491"/>
      <c r="AT88" s="1491"/>
      <c r="AU88" s="1491"/>
      <c r="AV88" s="1491"/>
      <c r="AW88" s="1491"/>
      <c r="AX88" s="1491"/>
      <c r="AY88" s="1491"/>
      <c r="AZ88" s="1491"/>
      <c r="BA88" s="1491"/>
      <c r="BB88" s="1491"/>
      <c r="BC88" s="1491"/>
      <c r="BD88" s="1491"/>
      <c r="BE88" s="1491"/>
      <c r="BF88" s="1491"/>
      <c r="BG88" s="1491"/>
      <c r="BH88" s="1491"/>
      <c r="BI88" s="1491"/>
      <c r="BJ88" s="1491"/>
      <c r="BK88" s="1491"/>
      <c r="BL88" s="1491"/>
      <c r="BN88" s="1492"/>
      <c r="BO88" s="1492"/>
      <c r="BP88" s="1492"/>
      <c r="BR88" s="3168"/>
      <c r="BS88" s="1493"/>
      <c r="BU88" s="1508"/>
      <c r="BV88" s="1508"/>
      <c r="BW88" s="1508"/>
      <c r="BX88" s="1508"/>
      <c r="BY88" s="1508"/>
      <c r="BZ88" s="1508"/>
      <c r="CA88" s="1508"/>
      <c r="CB88" s="1508"/>
      <c r="CC88" s="1508"/>
      <c r="CD88" s="1508"/>
      <c r="CE88" s="1508"/>
      <c r="CF88" s="1508"/>
      <c r="CG88" s="1508"/>
      <c r="CH88" s="1508"/>
      <c r="CI88" s="1508"/>
      <c r="CJ88" s="1508"/>
      <c r="CK88" s="1508"/>
      <c r="CL88" s="1508"/>
      <c r="CM88" s="1508"/>
      <c r="CN88" s="1508"/>
      <c r="CO88" s="1508"/>
      <c r="CP88" s="1508"/>
      <c r="CQ88" s="1508"/>
      <c r="CR88" s="1508"/>
      <c r="CS88" s="1508"/>
      <c r="CT88" s="1508"/>
      <c r="CU88" s="1508"/>
      <c r="CV88" s="1508"/>
      <c r="CW88" s="1508"/>
      <c r="CX88" s="1508"/>
      <c r="CY88" s="1508"/>
      <c r="CZ88" s="1508"/>
      <c r="DA88" s="1508"/>
      <c r="DB88" s="1508"/>
      <c r="DC88" s="1508"/>
      <c r="DD88" s="1508"/>
      <c r="DE88" s="1508"/>
      <c r="DF88" s="1508"/>
      <c r="DG88" s="1508"/>
      <c r="DH88" s="1508"/>
      <c r="DI88" s="1508"/>
      <c r="DJ88" s="1508"/>
      <c r="DK88" s="1508"/>
      <c r="DL88" s="1508"/>
      <c r="DN88" s="1509"/>
    </row>
    <row r="89" spans="1:118" s="14" customFormat="1" ht="15.75" x14ac:dyDescent="0.2">
      <c r="B89" s="1535"/>
      <c r="C89" s="1553"/>
      <c r="D89" s="1554" t="s">
        <v>917</v>
      </c>
      <c r="E89" s="1555"/>
      <c r="F89" s="1556" t="e">
        <f>F54+#REF!+F73+F67+F79</f>
        <v>#REF!</v>
      </c>
      <c r="G89" s="1556">
        <f t="shared" ref="G89:AL89" si="59">G54+G73+G67+G79</f>
        <v>0</v>
      </c>
      <c r="H89" s="1556">
        <f t="shared" si="59"/>
        <v>0</v>
      </c>
      <c r="I89" s="1556">
        <f t="shared" si="59"/>
        <v>0</v>
      </c>
      <c r="J89" s="1556">
        <f t="shared" si="59"/>
        <v>0</v>
      </c>
      <c r="K89" s="1556">
        <f t="shared" si="59"/>
        <v>0</v>
      </c>
      <c r="L89" s="1556">
        <f t="shared" si="59"/>
        <v>0</v>
      </c>
      <c r="M89" s="1556">
        <f t="shared" si="59"/>
        <v>0</v>
      </c>
      <c r="N89" s="1556">
        <f t="shared" si="59"/>
        <v>0</v>
      </c>
      <c r="O89" s="1556">
        <f t="shared" si="59"/>
        <v>0</v>
      </c>
      <c r="P89" s="1556">
        <f t="shared" si="59"/>
        <v>0</v>
      </c>
      <c r="Q89" s="1556">
        <f t="shared" si="59"/>
        <v>0</v>
      </c>
      <c r="R89" s="1556">
        <f t="shared" si="59"/>
        <v>0</v>
      </c>
      <c r="S89" s="1556">
        <f t="shared" si="59"/>
        <v>0</v>
      </c>
      <c r="T89" s="1556">
        <f t="shared" si="59"/>
        <v>0</v>
      </c>
      <c r="U89" s="1556">
        <f t="shared" si="59"/>
        <v>0</v>
      </c>
      <c r="V89" s="1556">
        <f t="shared" si="59"/>
        <v>0</v>
      </c>
      <c r="W89" s="1556">
        <f t="shared" si="59"/>
        <v>0</v>
      </c>
      <c r="X89" s="1556">
        <f t="shared" si="59"/>
        <v>0</v>
      </c>
      <c r="Y89" s="1937">
        <f t="shared" ca="1" si="59"/>
        <v>0</v>
      </c>
      <c r="Z89" s="1937">
        <f t="shared" ca="1" si="59"/>
        <v>67.579633316573776</v>
      </c>
      <c r="AA89" s="1937">
        <f t="shared" ca="1" si="59"/>
        <v>-57.718131483597844</v>
      </c>
      <c r="AB89" s="1937">
        <f t="shared" ca="1" si="59"/>
        <v>-7.6974998987670942</v>
      </c>
      <c r="AC89" s="1937">
        <f t="shared" ca="1" si="59"/>
        <v>-31.623715737231763</v>
      </c>
      <c r="AD89" s="1937">
        <f t="shared" ca="1" si="59"/>
        <v>0</v>
      </c>
      <c r="AE89" s="1937">
        <f t="shared" ca="1" si="59"/>
        <v>0</v>
      </c>
      <c r="AF89" s="1937">
        <f t="shared" ca="1" si="59"/>
        <v>0</v>
      </c>
      <c r="AG89" s="1937">
        <f t="shared" ca="1" si="59"/>
        <v>0</v>
      </c>
      <c r="AH89" s="1937">
        <f t="shared" ca="1" si="59"/>
        <v>0</v>
      </c>
      <c r="AI89" s="1937">
        <f t="shared" ca="1" si="59"/>
        <v>0</v>
      </c>
      <c r="AJ89" s="1937">
        <f t="shared" ca="1" si="59"/>
        <v>0</v>
      </c>
      <c r="AK89" s="1937">
        <f t="shared" ca="1" si="59"/>
        <v>0</v>
      </c>
      <c r="AL89" s="1937">
        <f t="shared" ca="1" si="59"/>
        <v>-2.9551871218472012</v>
      </c>
      <c r="AM89" s="1937">
        <f t="shared" ref="AM89:BP89" ca="1" si="60">AM54+AM73+AM67+AM79</f>
        <v>0</v>
      </c>
      <c r="AN89" s="1937">
        <f t="shared" ca="1" si="60"/>
        <v>0</v>
      </c>
      <c r="AO89" s="1937">
        <f t="shared" ca="1" si="60"/>
        <v>0</v>
      </c>
      <c r="AP89" s="1937">
        <f t="shared" ca="1" si="60"/>
        <v>0</v>
      </c>
      <c r="AQ89" s="1937">
        <f t="shared" ca="1" si="60"/>
        <v>-32.414900924870146</v>
      </c>
      <c r="AR89" s="1556">
        <f t="shared" si="60"/>
        <v>0</v>
      </c>
      <c r="AS89" s="1556">
        <f t="shared" ca="1" si="60"/>
        <v>0</v>
      </c>
      <c r="AT89" s="1556">
        <f t="shared" ca="1" si="60"/>
        <v>0</v>
      </c>
      <c r="AU89" s="1556">
        <f t="shared" ca="1" si="60"/>
        <v>0</v>
      </c>
      <c r="AV89" s="1556">
        <f t="shared" ca="1" si="60"/>
        <v>0</v>
      </c>
      <c r="AW89" s="1556">
        <f t="shared" ca="1" si="60"/>
        <v>0</v>
      </c>
      <c r="AX89" s="1556">
        <f t="shared" ca="1" si="60"/>
        <v>0</v>
      </c>
      <c r="AY89" s="1556">
        <f t="shared" ca="1" si="60"/>
        <v>0</v>
      </c>
      <c r="AZ89" s="1556">
        <f t="shared" ca="1" si="60"/>
        <v>0</v>
      </c>
      <c r="BA89" s="1556">
        <f t="shared" ca="1" si="60"/>
        <v>0</v>
      </c>
      <c r="BB89" s="1556">
        <f t="shared" ca="1" si="60"/>
        <v>0</v>
      </c>
      <c r="BC89" s="1556">
        <f t="shared" ca="1" si="60"/>
        <v>-1.5864882119999999</v>
      </c>
      <c r="BD89" s="1556">
        <f t="shared" ca="1" si="60"/>
        <v>-2.6604443999999998</v>
      </c>
      <c r="BE89" s="1556">
        <f t="shared" ca="1" si="60"/>
        <v>0</v>
      </c>
      <c r="BF89" s="1556">
        <f t="shared" ca="1" si="60"/>
        <v>0</v>
      </c>
      <c r="BG89" s="1556">
        <f t="shared" ca="1" si="60"/>
        <v>0</v>
      </c>
      <c r="BH89" s="1556">
        <f t="shared" ca="1" si="60"/>
        <v>-22.147299</v>
      </c>
      <c r="BI89" s="1556">
        <f t="shared" ca="1" si="60"/>
        <v>0</v>
      </c>
      <c r="BJ89" s="1556">
        <f t="shared" ca="1" si="60"/>
        <v>0</v>
      </c>
      <c r="BK89" s="1556">
        <f t="shared" ca="1" si="60"/>
        <v>-0.26623890102673253</v>
      </c>
      <c r="BL89" s="3166">
        <f t="shared" ca="1" si="60"/>
        <v>-26.660470513026731</v>
      </c>
      <c r="BM89" s="1556">
        <f t="shared" si="60"/>
        <v>0</v>
      </c>
      <c r="BN89" s="1559">
        <f t="shared" ca="1" si="60"/>
        <v>56.886295394688268</v>
      </c>
      <c r="BO89" s="1559">
        <f t="shared" ca="1" si="60"/>
        <v>2.1890760432086078</v>
      </c>
      <c r="BP89" s="1492">
        <f t="shared" ca="1" si="60"/>
        <v>59.075371437896877</v>
      </c>
      <c r="BR89" s="3168">
        <f ca="1">W89+AQ89+BL89+BP89</f>
        <v>0</v>
      </c>
      <c r="BS89" s="1560"/>
      <c r="BU89" s="1561">
        <v>226.09341168494953</v>
      </c>
      <c r="BV89" s="1561">
        <v>0.56291143459540849</v>
      </c>
      <c r="BW89" s="1561">
        <v>1.6437392022754262</v>
      </c>
      <c r="BX89" s="1561">
        <v>0</v>
      </c>
      <c r="BY89" s="1561">
        <v>5.0916819860234304</v>
      </c>
      <c r="BZ89" s="1561">
        <v>2.6403129612517775</v>
      </c>
      <c r="CA89" s="1561">
        <v>0</v>
      </c>
      <c r="CB89" s="1561">
        <v>0</v>
      </c>
      <c r="CC89" s="1561">
        <v>0</v>
      </c>
      <c r="CD89" s="1561">
        <v>0</v>
      </c>
      <c r="CE89" s="1561">
        <v>0</v>
      </c>
      <c r="CF89" s="1561">
        <v>0</v>
      </c>
      <c r="CG89" s="1561">
        <v>0</v>
      </c>
      <c r="CH89" s="1561">
        <v>0</v>
      </c>
      <c r="CI89" s="1561">
        <v>0</v>
      </c>
      <c r="CJ89" s="1561">
        <v>0</v>
      </c>
      <c r="CK89" s="1561">
        <v>0</v>
      </c>
      <c r="CL89" s="1561">
        <v>20.026732599999995</v>
      </c>
      <c r="CM89" s="1561">
        <v>23.28</v>
      </c>
      <c r="CN89" s="1561">
        <v>0</v>
      </c>
      <c r="CO89" s="1561">
        <v>-1.8247953999999991</v>
      </c>
      <c r="CP89" s="1561">
        <v>0</v>
      </c>
      <c r="CQ89" s="1561">
        <v>0</v>
      </c>
      <c r="CR89" s="1561">
        <v>0</v>
      </c>
      <c r="CS89" s="1561">
        <v>0</v>
      </c>
      <c r="CT89" s="1561">
        <v>21.652248115789206</v>
      </c>
      <c r="CU89" s="1561">
        <v>1.2204197534285715</v>
      </c>
      <c r="CV89" s="1561">
        <v>0</v>
      </c>
      <c r="CW89" s="1561">
        <v>0</v>
      </c>
      <c r="CX89" s="1561">
        <v>0</v>
      </c>
      <c r="CY89" s="1561">
        <v>0</v>
      </c>
      <c r="CZ89" s="1561">
        <v>0</v>
      </c>
      <c r="DA89" s="1561">
        <v>0</v>
      </c>
      <c r="DB89" s="1561">
        <v>0</v>
      </c>
      <c r="DC89" s="1561">
        <v>0</v>
      </c>
      <c r="DD89" s="1561">
        <v>0</v>
      </c>
      <c r="DE89" s="1561">
        <v>0</v>
      </c>
      <c r="DF89" s="1561">
        <v>0</v>
      </c>
      <c r="DG89" s="1561">
        <v>0</v>
      </c>
      <c r="DH89" s="1561">
        <v>0</v>
      </c>
      <c r="DI89" s="1561">
        <v>0</v>
      </c>
      <c r="DJ89" s="1561">
        <v>0</v>
      </c>
      <c r="DK89" s="1561">
        <v>0</v>
      </c>
      <c r="DL89" s="1561">
        <v>0</v>
      </c>
      <c r="DN89" s="1562">
        <v>300.38666233831339</v>
      </c>
    </row>
    <row r="90" spans="1:118" s="14" customFormat="1" ht="6" customHeight="1" x14ac:dyDescent="0.2">
      <c r="C90" s="1552"/>
      <c r="D90" s="1537"/>
      <c r="E90" s="1430"/>
      <c r="G90" s="1488"/>
      <c r="H90" s="1488"/>
      <c r="I90" s="1488"/>
      <c r="J90" s="1488"/>
      <c r="K90" s="1488"/>
      <c r="L90" s="1488"/>
      <c r="M90" s="1488"/>
      <c r="N90" s="1488"/>
      <c r="O90" s="1563"/>
      <c r="P90" s="1488"/>
      <c r="Q90" s="1488"/>
      <c r="R90" s="1488"/>
      <c r="S90" s="1488"/>
      <c r="T90" s="1488"/>
      <c r="U90" s="1488"/>
      <c r="V90" s="1488"/>
      <c r="W90" s="1488"/>
      <c r="Y90" s="1490"/>
      <c r="Z90" s="1490"/>
      <c r="AA90" s="1490"/>
      <c r="AB90" s="1490"/>
      <c r="AC90" s="1490"/>
      <c r="AD90" s="1490"/>
      <c r="AE90" s="1490"/>
      <c r="AF90" s="1490"/>
      <c r="AG90" s="1490"/>
      <c r="AH90" s="1490"/>
      <c r="AI90" s="1490"/>
      <c r="AJ90" s="1490"/>
      <c r="AK90" s="1490"/>
      <c r="AL90" s="1490"/>
      <c r="AM90" s="1490"/>
      <c r="AN90" s="1490"/>
      <c r="AO90" s="1490"/>
      <c r="AP90" s="1490"/>
      <c r="AQ90" s="1490"/>
      <c r="AS90" s="1491"/>
      <c r="AT90" s="1491"/>
      <c r="AU90" s="1491"/>
      <c r="AV90" s="1491"/>
      <c r="AW90" s="1491"/>
      <c r="AX90" s="1491"/>
      <c r="AY90" s="1491"/>
      <c r="AZ90" s="1491"/>
      <c r="BA90" s="1491"/>
      <c r="BB90" s="1491"/>
      <c r="BC90" s="1491"/>
      <c r="BD90" s="1491"/>
      <c r="BE90" s="1491"/>
      <c r="BF90" s="1491"/>
      <c r="BG90" s="1491"/>
      <c r="BH90" s="1491"/>
      <c r="BI90" s="1491"/>
      <c r="BJ90" s="1491"/>
      <c r="BK90" s="1491"/>
      <c r="BL90" s="1491"/>
      <c r="BN90" s="1492"/>
      <c r="BO90" s="1492"/>
      <c r="BP90" s="1492"/>
      <c r="BR90" s="3168"/>
      <c r="BS90" s="1493"/>
      <c r="BU90" s="1508"/>
      <c r="BV90" s="1508"/>
      <c r="BW90" s="1508"/>
      <c r="BX90" s="1508"/>
      <c r="BY90" s="1508"/>
      <c r="BZ90" s="1508"/>
      <c r="CA90" s="1508"/>
      <c r="CB90" s="1508"/>
      <c r="CC90" s="1508"/>
      <c r="CD90" s="1508"/>
      <c r="CE90" s="1508"/>
      <c r="CF90" s="1508"/>
      <c r="CG90" s="1508"/>
      <c r="CH90" s="1508"/>
      <c r="CI90" s="1508"/>
      <c r="CJ90" s="1508"/>
      <c r="CK90" s="1508"/>
      <c r="CL90" s="1508"/>
      <c r="CM90" s="1508"/>
      <c r="CN90" s="1508"/>
      <c r="CO90" s="1508"/>
      <c r="CP90" s="1508"/>
      <c r="CQ90" s="1508"/>
      <c r="CR90" s="1508"/>
      <c r="CS90" s="1508"/>
      <c r="CT90" s="1508"/>
      <c r="CU90" s="1508"/>
      <c r="CV90" s="1508"/>
      <c r="CW90" s="1508"/>
      <c r="CX90" s="1508"/>
      <c r="CY90" s="1508"/>
      <c r="CZ90" s="1508"/>
      <c r="DA90" s="1508"/>
      <c r="DB90" s="1508"/>
      <c r="DC90" s="1508"/>
      <c r="DD90" s="1508"/>
      <c r="DE90" s="1508"/>
      <c r="DF90" s="1508"/>
      <c r="DG90" s="1508"/>
      <c r="DH90" s="1508"/>
      <c r="DI90" s="1508"/>
      <c r="DJ90" s="1508"/>
      <c r="DK90" s="1508"/>
      <c r="DL90" s="1508"/>
      <c r="DN90" s="1509"/>
    </row>
    <row r="91" spans="1:118" s="14" customFormat="1" ht="24" hidden="1" customHeight="1" outlineLevel="1" x14ac:dyDescent="0.2">
      <c r="C91" s="1480"/>
      <c r="D91" s="1480"/>
      <c r="E91" s="1481"/>
      <c r="G91" s="1482"/>
      <c r="H91" s="1482"/>
      <c r="I91" s="1482"/>
      <c r="J91" s="1482"/>
      <c r="K91" s="1482"/>
      <c r="L91" s="1482"/>
      <c r="M91" s="1482"/>
      <c r="N91" s="1482"/>
      <c r="O91" s="1482"/>
      <c r="P91" s="1482"/>
      <c r="Q91" s="1482"/>
      <c r="R91" s="1482"/>
      <c r="S91" s="1482"/>
      <c r="T91" s="1482"/>
      <c r="U91" s="1482"/>
      <c r="V91" s="1482"/>
      <c r="W91" s="1482"/>
      <c r="Y91" s="1596"/>
      <c r="Z91" s="1596"/>
      <c r="AA91" s="1596"/>
      <c r="AB91" s="1596"/>
      <c r="AC91" s="1596"/>
      <c r="AD91" s="1483"/>
      <c r="AE91" s="1483"/>
      <c r="AF91" s="1483"/>
      <c r="AG91" s="1596"/>
      <c r="AH91" s="1596"/>
      <c r="AI91" s="1596"/>
      <c r="AJ91" s="1596"/>
      <c r="AK91" s="1596"/>
      <c r="AL91" s="1596"/>
      <c r="AM91" s="1596"/>
      <c r="AN91" s="1596"/>
      <c r="AO91" s="1596"/>
      <c r="AP91" s="1596"/>
      <c r="AQ91" s="1596"/>
      <c r="AS91" s="1597"/>
      <c r="AT91" s="1597"/>
      <c r="AU91" s="1597"/>
      <c r="AV91" s="1597"/>
      <c r="AW91" s="1597"/>
      <c r="AX91" s="1597"/>
      <c r="AY91" s="1597"/>
      <c r="AZ91" s="1597"/>
      <c r="BA91" s="1597"/>
      <c r="BB91" s="1597"/>
      <c r="BC91" s="1484"/>
      <c r="BD91" s="1484"/>
      <c r="BE91" s="1484"/>
      <c r="BF91" s="1484"/>
      <c r="BG91" s="1484"/>
      <c r="BH91" s="1484"/>
      <c r="BI91" s="1484"/>
      <c r="BJ91" s="1484"/>
      <c r="BK91" s="1484"/>
      <c r="BL91" s="1597"/>
      <c r="BN91" s="1598"/>
      <c r="BO91" s="1598"/>
      <c r="BP91" s="1598"/>
      <c r="BR91" s="3168"/>
      <c r="BS91" s="1486"/>
      <c r="BU91" s="1508"/>
      <c r="BV91" s="1508"/>
      <c r="BW91" s="1508"/>
      <c r="BX91" s="1508"/>
      <c r="BY91" s="1508"/>
      <c r="BZ91" s="1508"/>
      <c r="CA91" s="1508"/>
      <c r="CB91" s="1508"/>
      <c r="CC91" s="1508"/>
      <c r="CD91" s="1508"/>
      <c r="CE91" s="1508"/>
      <c r="CF91" s="1508"/>
      <c r="CG91" s="1508"/>
      <c r="CH91" s="1508"/>
      <c r="CI91" s="1508"/>
      <c r="CJ91" s="1508"/>
      <c r="CK91" s="1508"/>
      <c r="CL91" s="1508"/>
      <c r="CM91" s="1508"/>
      <c r="CN91" s="1508"/>
      <c r="CO91" s="1508"/>
      <c r="CP91" s="1508"/>
      <c r="CQ91" s="1508"/>
      <c r="CR91" s="1508"/>
      <c r="CS91" s="1508"/>
      <c r="CT91" s="1508"/>
      <c r="CU91" s="1508"/>
      <c r="CV91" s="1508"/>
      <c r="CW91" s="1508"/>
      <c r="CX91" s="1508"/>
      <c r="CY91" s="1508"/>
      <c r="CZ91" s="1508"/>
      <c r="DA91" s="1508"/>
      <c r="DB91" s="1508"/>
      <c r="DC91" s="1508"/>
      <c r="DD91" s="1508"/>
      <c r="DE91" s="1508"/>
      <c r="DF91" s="1508"/>
      <c r="DG91" s="1508"/>
      <c r="DH91" s="1508"/>
      <c r="DI91" s="1508"/>
      <c r="DJ91" s="1508"/>
      <c r="DK91" s="1508"/>
      <c r="DL91" s="1508"/>
      <c r="DN91" s="1509"/>
    </row>
    <row r="92" spans="1:118" s="14" customFormat="1" ht="6" hidden="1" customHeight="1" outlineLevel="1" x14ac:dyDescent="0.2">
      <c r="C92" s="1580"/>
      <c r="D92" s="746"/>
      <c r="E92" s="1430"/>
      <c r="G92" s="1488"/>
      <c r="H92" s="1488"/>
      <c r="I92" s="1488"/>
      <c r="J92" s="1488"/>
      <c r="K92" s="1488"/>
      <c r="L92" s="1488"/>
      <c r="M92" s="1488"/>
      <c r="N92" s="1488"/>
      <c r="O92" s="1563"/>
      <c r="P92" s="1488"/>
      <c r="Q92" s="1488"/>
      <c r="R92" s="1488"/>
      <c r="S92" s="1488"/>
      <c r="T92" s="1488"/>
      <c r="U92" s="1488"/>
      <c r="V92" s="1488"/>
      <c r="W92" s="1488"/>
      <c r="Y92" s="1490"/>
      <c r="Z92" s="1490"/>
      <c r="AA92" s="1490"/>
      <c r="AB92" s="1490"/>
      <c r="AC92" s="1490"/>
      <c r="AD92" s="1490"/>
      <c r="AE92" s="1490"/>
      <c r="AF92" s="1490"/>
      <c r="AG92" s="1490"/>
      <c r="AH92" s="1490"/>
      <c r="AI92" s="1490"/>
      <c r="AJ92" s="1490"/>
      <c r="AK92" s="1490"/>
      <c r="AL92" s="1490"/>
      <c r="AM92" s="1490"/>
      <c r="AN92" s="1490"/>
      <c r="AO92" s="1490"/>
      <c r="AP92" s="1490"/>
      <c r="AQ92" s="1490"/>
      <c r="AS92" s="1491"/>
      <c r="AT92" s="1491"/>
      <c r="AU92" s="1491"/>
      <c r="AV92" s="1491"/>
      <c r="AW92" s="1491"/>
      <c r="AX92" s="1491"/>
      <c r="AY92" s="1491"/>
      <c r="AZ92" s="1491"/>
      <c r="BA92" s="1491"/>
      <c r="BB92" s="1491"/>
      <c r="BC92" s="1491"/>
      <c r="BD92" s="1491"/>
      <c r="BE92" s="1491"/>
      <c r="BF92" s="1491"/>
      <c r="BG92" s="1491"/>
      <c r="BH92" s="1491"/>
      <c r="BI92" s="1491"/>
      <c r="BJ92" s="1491"/>
      <c r="BK92" s="1491"/>
      <c r="BL92" s="1491"/>
      <c r="BN92" s="1492"/>
      <c r="BO92" s="1492"/>
      <c r="BP92" s="1492"/>
      <c r="BR92" s="3168"/>
      <c r="BS92" s="1493"/>
      <c r="BU92" s="1508"/>
      <c r="BV92" s="1508"/>
      <c r="BW92" s="1508"/>
      <c r="BX92" s="1508"/>
      <c r="BY92" s="1508"/>
      <c r="BZ92" s="1508"/>
      <c r="CA92" s="1508"/>
      <c r="CB92" s="1508"/>
      <c r="CC92" s="1508"/>
      <c r="CD92" s="1508"/>
      <c r="CE92" s="1508"/>
      <c r="CF92" s="1508"/>
      <c r="CG92" s="1508"/>
      <c r="CH92" s="1508"/>
      <c r="CI92" s="1508"/>
      <c r="CJ92" s="1508"/>
      <c r="CK92" s="1508"/>
      <c r="CL92" s="1508"/>
      <c r="CM92" s="1508"/>
      <c r="CN92" s="1508"/>
      <c r="CO92" s="1508"/>
      <c r="CP92" s="1508"/>
      <c r="CQ92" s="1508"/>
      <c r="CR92" s="1508"/>
      <c r="CS92" s="1508"/>
      <c r="CT92" s="1508"/>
      <c r="CU92" s="1508"/>
      <c r="CV92" s="1508"/>
      <c r="CW92" s="1508"/>
      <c r="CX92" s="1508"/>
      <c r="CY92" s="1508"/>
      <c r="CZ92" s="1508"/>
      <c r="DA92" s="1508"/>
      <c r="DB92" s="1508"/>
      <c r="DC92" s="1508"/>
      <c r="DD92" s="1508"/>
      <c r="DE92" s="1508"/>
      <c r="DF92" s="1508"/>
      <c r="DG92" s="1508"/>
      <c r="DH92" s="1508"/>
      <c r="DI92" s="1508"/>
      <c r="DJ92" s="1508"/>
      <c r="DK92" s="1508"/>
      <c r="DL92" s="1508"/>
      <c r="DN92" s="1509"/>
    </row>
    <row r="93" spans="1:118" s="14" customFormat="1" hidden="1" outlineLevel="2" x14ac:dyDescent="0.2">
      <c r="A93" s="1578"/>
      <c r="B93" s="1578"/>
      <c r="C93" s="1599"/>
      <c r="D93" s="1600"/>
      <c r="E93" s="1600"/>
      <c r="G93" s="1601"/>
      <c r="H93" s="1601"/>
      <c r="I93" s="1601"/>
      <c r="J93" s="1601"/>
      <c r="K93" s="1601"/>
      <c r="L93" s="1601"/>
      <c r="M93" s="1601"/>
      <c r="N93" s="1601"/>
      <c r="O93" s="1602"/>
      <c r="P93" s="1601"/>
      <c r="Q93" s="1601"/>
      <c r="R93" s="1601"/>
      <c r="S93" s="1601"/>
      <c r="T93" s="1601"/>
      <c r="U93" s="1601"/>
      <c r="V93" s="1601"/>
      <c r="W93" s="1601"/>
      <c r="Y93" s="1603"/>
      <c r="Z93" s="1603"/>
      <c r="AA93" s="1603"/>
      <c r="AB93" s="1603"/>
      <c r="AC93" s="1603"/>
      <c r="AD93" s="1603"/>
      <c r="AE93" s="1603"/>
      <c r="AF93" s="1603"/>
      <c r="AG93" s="1603"/>
      <c r="AH93" s="1603"/>
      <c r="AI93" s="1603"/>
      <c r="AJ93" s="1603"/>
      <c r="AK93" s="1603"/>
      <c r="AL93" s="1603"/>
      <c r="AM93" s="1603"/>
      <c r="AN93" s="1603"/>
      <c r="AO93" s="1603"/>
      <c r="AP93" s="1603"/>
      <c r="AQ93" s="1603"/>
      <c r="AS93" s="1604"/>
      <c r="AT93" s="1604"/>
      <c r="AU93" s="1604"/>
      <c r="AV93" s="1604"/>
      <c r="AW93" s="1604"/>
      <c r="AX93" s="1604"/>
      <c r="AY93" s="1604"/>
      <c r="AZ93" s="1604"/>
      <c r="BA93" s="1604"/>
      <c r="BB93" s="1604"/>
      <c r="BC93" s="1604"/>
      <c r="BD93" s="1604"/>
      <c r="BE93" s="1604"/>
      <c r="BF93" s="1604"/>
      <c r="BG93" s="1604"/>
      <c r="BH93" s="1604"/>
      <c r="BI93" s="1604"/>
      <c r="BJ93" s="1604"/>
      <c r="BK93" s="1604"/>
      <c r="BL93" s="1604"/>
      <c r="BN93" s="1605"/>
      <c r="BO93" s="1605"/>
      <c r="BP93" s="1605"/>
      <c r="BR93" s="3168"/>
      <c r="BS93" s="1579"/>
      <c r="BT93" s="1578"/>
      <c r="BU93" s="1595"/>
      <c r="BV93" s="1508"/>
      <c r="BW93" s="1508"/>
      <c r="BX93" s="1508"/>
      <c r="BY93" s="1508"/>
      <c r="BZ93" s="1508"/>
      <c r="CA93" s="1508"/>
      <c r="CB93" s="1508"/>
      <c r="CC93" s="1508"/>
      <c r="CD93" s="1508"/>
      <c r="CE93" s="1508"/>
      <c r="CF93" s="1508"/>
      <c r="CG93" s="1508"/>
      <c r="CH93" s="1508"/>
      <c r="CI93" s="1508"/>
      <c r="CJ93" s="1508"/>
      <c r="CK93" s="1508"/>
      <c r="CL93" s="1508"/>
      <c r="CM93" s="1508"/>
      <c r="CN93" s="1508"/>
      <c r="CO93" s="1508"/>
      <c r="CP93" s="1508"/>
      <c r="CQ93" s="1508"/>
      <c r="CR93" s="1508"/>
      <c r="CS93" s="1508"/>
      <c r="CT93" s="1508"/>
      <c r="CU93" s="1508"/>
      <c r="CV93" s="1508"/>
      <c r="CW93" s="1508"/>
      <c r="CX93" s="1508"/>
      <c r="CY93" s="1508"/>
      <c r="CZ93" s="1508"/>
      <c r="DA93" s="1508"/>
      <c r="DB93" s="1508"/>
      <c r="DC93" s="1508"/>
      <c r="DD93" s="1508"/>
      <c r="DE93" s="1508"/>
      <c r="DF93" s="1508"/>
      <c r="DG93" s="1508"/>
      <c r="DH93" s="1508"/>
      <c r="DI93" s="1508"/>
      <c r="DJ93" s="1508"/>
      <c r="DK93" s="1508"/>
      <c r="DL93" s="1508"/>
      <c r="DN93" s="1509"/>
    </row>
    <row r="94" spans="1:118" s="1522" customFormat="1" hidden="1" outlineLevel="2" x14ac:dyDescent="0.2">
      <c r="C94" s="1577" t="s">
        <v>716</v>
      </c>
      <c r="D94" s="1497" t="s">
        <v>717</v>
      </c>
      <c r="E94" s="1497"/>
      <c r="F94" s="14"/>
      <c r="G94" s="1498"/>
      <c r="H94" s="1498"/>
      <c r="I94" s="1498"/>
      <c r="J94" s="1498"/>
      <c r="K94" s="1498"/>
      <c r="L94" s="1498"/>
      <c r="M94" s="1498"/>
      <c r="N94" s="1498"/>
      <c r="O94" s="1498"/>
      <c r="P94" s="1498"/>
      <c r="Q94" s="1498"/>
      <c r="R94" s="1498"/>
      <c r="S94" s="1498"/>
      <c r="T94" s="1498"/>
      <c r="U94" s="1498"/>
      <c r="V94" s="1498"/>
      <c r="W94" s="1499"/>
      <c r="X94" s="14"/>
      <c r="Y94" s="1500"/>
      <c r="Z94" s="1500"/>
      <c r="AA94" s="1500"/>
      <c r="AB94" s="1500"/>
      <c r="AC94" s="1500"/>
      <c r="AD94" s="1500"/>
      <c r="AE94" s="1500"/>
      <c r="AF94" s="1500"/>
      <c r="AG94" s="1500"/>
      <c r="AH94" s="1500"/>
      <c r="AI94" s="1500"/>
      <c r="AJ94" s="1500"/>
      <c r="AK94" s="1500"/>
      <c r="AL94" s="1500"/>
      <c r="AM94" s="1500"/>
      <c r="AN94" s="1500"/>
      <c r="AO94" s="1500"/>
      <c r="AP94" s="1500"/>
      <c r="AQ94" s="1501"/>
      <c r="AR94" s="14"/>
      <c r="AS94" s="1502"/>
      <c r="AT94" s="1502"/>
      <c r="AU94" s="1502"/>
      <c r="AV94" s="1502"/>
      <c r="AW94" s="1502"/>
      <c r="AX94" s="1502"/>
      <c r="AY94" s="1502"/>
      <c r="AZ94" s="1502"/>
      <c r="BA94" s="1502"/>
      <c r="BB94" s="1502"/>
      <c r="BC94" s="1502"/>
      <c r="BD94" s="1502"/>
      <c r="BE94" s="1502"/>
      <c r="BF94" s="1502"/>
      <c r="BG94" s="1502"/>
      <c r="BH94" s="1502"/>
      <c r="BI94" s="1502"/>
      <c r="BJ94" s="1502"/>
      <c r="BK94" s="1502"/>
      <c r="BL94" s="1524"/>
      <c r="BM94" s="14"/>
      <c r="BN94" s="1504"/>
      <c r="BO94" s="1504"/>
      <c r="BP94" s="1505"/>
      <c r="BQ94" s="14"/>
      <c r="BR94" s="3168"/>
      <c r="BS94" s="1525"/>
      <c r="BU94" s="1507">
        <v>0</v>
      </c>
      <c r="BV94" s="1508">
        <v>0</v>
      </c>
      <c r="BW94" s="1508">
        <v>0</v>
      </c>
      <c r="BX94" s="1508">
        <v>0</v>
      </c>
      <c r="BY94" s="1508">
        <v>0</v>
      </c>
      <c r="BZ94" s="1508">
        <v>0</v>
      </c>
      <c r="CA94" s="1508">
        <v>0</v>
      </c>
      <c r="CB94" s="1508">
        <v>0</v>
      </c>
      <c r="CC94" s="1508">
        <v>0</v>
      </c>
      <c r="CD94" s="1508">
        <v>0</v>
      </c>
      <c r="CE94" s="1508">
        <v>0</v>
      </c>
      <c r="CF94" s="1508">
        <v>0</v>
      </c>
      <c r="CG94" s="1508">
        <v>0</v>
      </c>
      <c r="CH94" s="1508">
        <v>0</v>
      </c>
      <c r="CI94" s="1508">
        <v>0</v>
      </c>
      <c r="CJ94" s="1508">
        <v>0</v>
      </c>
      <c r="CK94" s="1508">
        <v>0</v>
      </c>
      <c r="CL94" s="1508">
        <v>0</v>
      </c>
      <c r="CM94" s="1508">
        <v>0</v>
      </c>
      <c r="CN94" s="1508">
        <v>0</v>
      </c>
      <c r="CO94" s="1508">
        <v>0</v>
      </c>
      <c r="CP94" s="1508">
        <v>0</v>
      </c>
      <c r="CQ94" s="1508">
        <v>0</v>
      </c>
      <c r="CR94" s="1508">
        <v>0</v>
      </c>
      <c r="CS94" s="1508">
        <v>0</v>
      </c>
      <c r="CT94" s="1508">
        <v>0</v>
      </c>
      <c r="CU94" s="1508">
        <v>0</v>
      </c>
      <c r="CV94" s="1508">
        <v>0</v>
      </c>
      <c r="CW94" s="1508">
        <v>0</v>
      </c>
      <c r="CX94" s="1508">
        <v>0</v>
      </c>
      <c r="CY94" s="1508">
        <v>0</v>
      </c>
      <c r="CZ94" s="1508">
        <v>0</v>
      </c>
      <c r="DA94" s="1508">
        <v>0</v>
      </c>
      <c r="DB94" s="1508">
        <v>0</v>
      </c>
      <c r="DC94" s="1508">
        <v>0</v>
      </c>
      <c r="DD94" s="1508">
        <v>0</v>
      </c>
      <c r="DE94" s="1508">
        <v>0</v>
      </c>
      <c r="DF94" s="1508">
        <v>0</v>
      </c>
      <c r="DG94" s="1508">
        <v>0</v>
      </c>
      <c r="DH94" s="1508">
        <v>0</v>
      </c>
      <c r="DI94" s="1508">
        <v>0</v>
      </c>
      <c r="DJ94" s="1508">
        <v>0</v>
      </c>
      <c r="DK94" s="1508">
        <v>0</v>
      </c>
      <c r="DL94" s="1508">
        <v>0</v>
      </c>
      <c r="DN94" s="1509"/>
    </row>
    <row r="95" spans="1:118" s="1578" customFormat="1" ht="12.75" hidden="1" customHeight="1" outlineLevel="2" x14ac:dyDescent="0.2">
      <c r="C95" s="1591" t="s">
        <v>811</v>
      </c>
      <c r="D95" s="1592" t="s">
        <v>812</v>
      </c>
      <c r="E95" s="1592"/>
      <c r="F95" s="14"/>
      <c r="G95" s="1568"/>
      <c r="H95" s="1568"/>
      <c r="I95" s="1568"/>
      <c r="J95" s="1568"/>
      <c r="K95" s="1568"/>
      <c r="L95" s="1568"/>
      <c r="M95" s="1568"/>
      <c r="N95" s="1568"/>
      <c r="O95" s="1569"/>
      <c r="P95" s="1568"/>
      <c r="Q95" s="1568"/>
      <c r="R95" s="1568"/>
      <c r="S95" s="1568"/>
      <c r="T95" s="1568"/>
      <c r="U95" s="1568"/>
      <c r="V95" s="1568"/>
      <c r="W95" s="1568"/>
      <c r="X95" s="14"/>
      <c r="Y95" s="1570"/>
      <c r="Z95" s="1570"/>
      <c r="AA95" s="1570"/>
      <c r="AB95" s="1570"/>
      <c r="AC95" s="1570"/>
      <c r="AD95" s="1570"/>
      <c r="AE95" s="1570"/>
      <c r="AF95" s="1570"/>
      <c r="AG95" s="1570"/>
      <c r="AH95" s="1570"/>
      <c r="AI95" s="1570"/>
      <c r="AJ95" s="1570"/>
      <c r="AK95" s="1570"/>
      <c r="AL95" s="1570"/>
      <c r="AM95" s="1570"/>
      <c r="AN95" s="1570"/>
      <c r="AO95" s="1570"/>
      <c r="AP95" s="1570"/>
      <c r="AQ95" s="1570"/>
      <c r="AR95" s="14"/>
      <c r="AS95" s="1571"/>
      <c r="AT95" s="1571"/>
      <c r="AU95" s="1571"/>
      <c r="AV95" s="1571"/>
      <c r="AW95" s="1571"/>
      <c r="AX95" s="1571"/>
      <c r="AY95" s="1571"/>
      <c r="AZ95" s="1571"/>
      <c r="BA95" s="1571"/>
      <c r="BB95" s="1571"/>
      <c r="BC95" s="1571"/>
      <c r="BD95" s="1571"/>
      <c r="BE95" s="1571"/>
      <c r="BF95" s="1571"/>
      <c r="BG95" s="1571"/>
      <c r="BH95" s="1571"/>
      <c r="BI95" s="1571"/>
      <c r="BJ95" s="1571"/>
      <c r="BK95" s="1571"/>
      <c r="BL95" s="1571"/>
      <c r="BM95" s="14"/>
      <c r="BN95" s="1572"/>
      <c r="BO95" s="1572"/>
      <c r="BP95" s="1572"/>
      <c r="BQ95" s="14"/>
      <c r="BR95" s="3168"/>
      <c r="BS95" s="1579"/>
      <c r="BU95" s="1595"/>
      <c r="BV95" s="1595"/>
      <c r="BW95" s="1595"/>
      <c r="BX95" s="1595"/>
      <c r="BY95" s="1595"/>
      <c r="BZ95" s="1595"/>
      <c r="CA95" s="1595"/>
      <c r="CB95" s="1595"/>
      <c r="CC95" s="1595"/>
      <c r="CD95" s="1595"/>
      <c r="CE95" s="1595"/>
      <c r="CF95" s="1595"/>
      <c r="CG95" s="1595"/>
      <c r="CH95" s="1595"/>
      <c r="CI95" s="1595"/>
      <c r="CJ95" s="1595"/>
      <c r="CK95" s="1595"/>
      <c r="CL95" s="1595"/>
      <c r="CM95" s="1595"/>
      <c r="CN95" s="1595"/>
      <c r="CO95" s="1595"/>
      <c r="CP95" s="1595"/>
      <c r="CQ95" s="1595"/>
      <c r="CR95" s="1595"/>
      <c r="CS95" s="1595"/>
      <c r="CT95" s="1595"/>
      <c r="CU95" s="1595"/>
      <c r="CV95" s="1595"/>
      <c r="CW95" s="1595"/>
      <c r="CX95" s="1595"/>
      <c r="CY95" s="1595"/>
      <c r="CZ95" s="1595"/>
      <c r="DA95" s="1595"/>
      <c r="DB95" s="1595"/>
      <c r="DC95" s="1595"/>
      <c r="DD95" s="1595"/>
      <c r="DE95" s="1595"/>
      <c r="DF95" s="1595"/>
      <c r="DG95" s="1595"/>
      <c r="DH95" s="1595"/>
      <c r="DI95" s="1595"/>
      <c r="DJ95" s="1595"/>
      <c r="DK95" s="1595"/>
      <c r="DL95" s="1595"/>
      <c r="DN95" s="1509"/>
    </row>
    <row r="96" spans="1:118" s="1522" customFormat="1" hidden="1" outlineLevel="2" x14ac:dyDescent="0.2">
      <c r="C96" s="1577" t="s">
        <v>74</v>
      </c>
      <c r="D96" s="1497" t="s">
        <v>75</v>
      </c>
      <c r="E96" s="1497"/>
      <c r="F96" s="14"/>
      <c r="G96" s="1498"/>
      <c r="H96" s="1498"/>
      <c r="I96" s="1498"/>
      <c r="J96" s="1498"/>
      <c r="K96" s="1498"/>
      <c r="L96" s="1498"/>
      <c r="M96" s="1498"/>
      <c r="N96" s="1498"/>
      <c r="O96" s="1498"/>
      <c r="P96" s="1498"/>
      <c r="Q96" s="1498"/>
      <c r="R96" s="1498"/>
      <c r="S96" s="1498"/>
      <c r="T96" s="1498"/>
      <c r="U96" s="1498"/>
      <c r="V96" s="1498"/>
      <c r="W96" s="1499"/>
      <c r="X96" s="14"/>
      <c r="Y96" s="1500"/>
      <c r="Z96" s="1500"/>
      <c r="AA96" s="1500"/>
      <c r="AB96" s="1500"/>
      <c r="AC96" s="1500"/>
      <c r="AD96" s="1500"/>
      <c r="AE96" s="1500"/>
      <c r="AF96" s="1500"/>
      <c r="AG96" s="1500"/>
      <c r="AH96" s="1500"/>
      <c r="AI96" s="1500"/>
      <c r="AJ96" s="1500"/>
      <c r="AK96" s="1500"/>
      <c r="AL96" s="1500"/>
      <c r="AM96" s="1500"/>
      <c r="AN96" s="1500"/>
      <c r="AO96" s="1500"/>
      <c r="AP96" s="1500"/>
      <c r="AQ96" s="1501"/>
      <c r="AR96" s="14"/>
      <c r="AS96" s="1502"/>
      <c r="AT96" s="1502"/>
      <c r="AU96" s="1502"/>
      <c r="AV96" s="1502"/>
      <c r="AW96" s="1502"/>
      <c r="AX96" s="1502"/>
      <c r="AY96" s="1502"/>
      <c r="AZ96" s="1502"/>
      <c r="BA96" s="1502"/>
      <c r="BB96" s="1502"/>
      <c r="BC96" s="1502"/>
      <c r="BD96" s="1502"/>
      <c r="BE96" s="1502"/>
      <c r="BF96" s="1502"/>
      <c r="BG96" s="1502"/>
      <c r="BH96" s="1502"/>
      <c r="BI96" s="1502"/>
      <c r="BJ96" s="1502"/>
      <c r="BK96" s="1502"/>
      <c r="BL96" s="1524"/>
      <c r="BM96" s="14"/>
      <c r="BN96" s="1504"/>
      <c r="BO96" s="1504"/>
      <c r="BP96" s="1505"/>
      <c r="BQ96" s="14"/>
      <c r="BR96" s="3168"/>
      <c r="BS96" s="1525"/>
      <c r="BU96" s="1507">
        <v>0</v>
      </c>
      <c r="BV96" s="1508">
        <v>0</v>
      </c>
      <c r="BW96" s="1508">
        <v>0</v>
      </c>
      <c r="BX96" s="1508">
        <v>0</v>
      </c>
      <c r="BY96" s="1508">
        <v>0</v>
      </c>
      <c r="BZ96" s="1508">
        <v>0</v>
      </c>
      <c r="CA96" s="1508">
        <v>0</v>
      </c>
      <c r="CB96" s="1508">
        <v>0</v>
      </c>
      <c r="CC96" s="1508">
        <v>0</v>
      </c>
      <c r="CD96" s="1508">
        <v>0</v>
      </c>
      <c r="CE96" s="1508">
        <v>0</v>
      </c>
      <c r="CF96" s="1508">
        <v>0</v>
      </c>
      <c r="CG96" s="1508">
        <v>0</v>
      </c>
      <c r="CH96" s="1508">
        <v>0</v>
      </c>
      <c r="CI96" s="1508">
        <v>0</v>
      </c>
      <c r="CJ96" s="1508">
        <v>0</v>
      </c>
      <c r="CK96" s="1508">
        <v>0</v>
      </c>
      <c r="CL96" s="1508">
        <v>0</v>
      </c>
      <c r="CM96" s="1508">
        <v>0</v>
      </c>
      <c r="CN96" s="1508">
        <v>0</v>
      </c>
      <c r="CO96" s="1508">
        <v>0</v>
      </c>
      <c r="CP96" s="1508">
        <v>0</v>
      </c>
      <c r="CQ96" s="1508">
        <v>0</v>
      </c>
      <c r="CR96" s="1508">
        <v>0</v>
      </c>
      <c r="CS96" s="1508">
        <v>0</v>
      </c>
      <c r="CT96" s="1508">
        <v>0</v>
      </c>
      <c r="CU96" s="1508">
        <v>0</v>
      </c>
      <c r="CV96" s="1508">
        <v>0</v>
      </c>
      <c r="CW96" s="1508">
        <v>0</v>
      </c>
      <c r="CX96" s="1508">
        <v>0</v>
      </c>
      <c r="CY96" s="1508">
        <v>0</v>
      </c>
      <c r="CZ96" s="1508">
        <v>0</v>
      </c>
      <c r="DA96" s="1508">
        <v>0</v>
      </c>
      <c r="DB96" s="1508">
        <v>0</v>
      </c>
      <c r="DC96" s="1508">
        <v>0</v>
      </c>
      <c r="DD96" s="1508">
        <v>0</v>
      </c>
      <c r="DE96" s="1508">
        <v>0</v>
      </c>
      <c r="DF96" s="1508">
        <v>0</v>
      </c>
      <c r="DG96" s="1508">
        <v>0</v>
      </c>
      <c r="DH96" s="1508">
        <v>0</v>
      </c>
      <c r="DI96" s="1508">
        <v>0</v>
      </c>
      <c r="DJ96" s="1508">
        <v>0</v>
      </c>
      <c r="DK96" s="1508">
        <v>0</v>
      </c>
      <c r="DL96" s="1508">
        <v>0</v>
      </c>
      <c r="DN96" s="1509"/>
    </row>
    <row r="97" spans="1:118" s="1522" customFormat="1" hidden="1" outlineLevel="2" x14ac:dyDescent="0.2">
      <c r="C97" s="1577" t="s">
        <v>76</v>
      </c>
      <c r="D97" s="1526" t="s">
        <v>813</v>
      </c>
      <c r="E97" s="1526"/>
      <c r="F97" s="14"/>
      <c r="G97" s="1540"/>
      <c r="H97" s="1540"/>
      <c r="I97" s="1540"/>
      <c r="J97" s="1540"/>
      <c r="K97" s="1540"/>
      <c r="L97" s="1540"/>
      <c r="M97" s="1540"/>
      <c r="N97" s="1540"/>
      <c r="O97" s="1540"/>
      <c r="P97" s="1540"/>
      <c r="Q97" s="1540"/>
      <c r="R97" s="1540"/>
      <c r="S97" s="1540"/>
      <c r="T97" s="1540"/>
      <c r="U97" s="1540"/>
      <c r="V97" s="1540"/>
      <c r="W97" s="1527"/>
      <c r="X97" s="14"/>
      <c r="Y97" s="1541"/>
      <c r="Z97" s="1541"/>
      <c r="AA97" s="1541"/>
      <c r="AB97" s="1541"/>
      <c r="AC97" s="1541"/>
      <c r="AD97" s="1541"/>
      <c r="AE97" s="1541"/>
      <c r="AF97" s="1541"/>
      <c r="AG97" s="1541"/>
      <c r="AH97" s="1541"/>
      <c r="AI97" s="1541"/>
      <c r="AJ97" s="1541"/>
      <c r="AK97" s="1541"/>
      <c r="AL97" s="1541"/>
      <c r="AM97" s="1541"/>
      <c r="AN97" s="1541"/>
      <c r="AO97" s="1541"/>
      <c r="AP97" s="1541"/>
      <c r="AQ97" s="1528"/>
      <c r="AR97" s="14"/>
      <c r="AS97" s="1542"/>
      <c r="AT97" s="1542"/>
      <c r="AU97" s="1542"/>
      <c r="AV97" s="1542"/>
      <c r="AW97" s="1542"/>
      <c r="AX97" s="1542"/>
      <c r="AY97" s="1542"/>
      <c r="AZ97" s="1542"/>
      <c r="BA97" s="1542"/>
      <c r="BB97" s="1542"/>
      <c r="BC97" s="1542"/>
      <c r="BD97" s="1542"/>
      <c r="BE97" s="1542"/>
      <c r="BF97" s="1542"/>
      <c r="BG97" s="1542"/>
      <c r="BH97" s="1542"/>
      <c r="BI97" s="1542"/>
      <c r="BJ97" s="1542"/>
      <c r="BK97" s="1542"/>
      <c r="BL97" s="1530"/>
      <c r="BM97" s="14"/>
      <c r="BN97" s="1543"/>
      <c r="BO97" s="1543"/>
      <c r="BP97" s="1531"/>
      <c r="BQ97" s="14"/>
      <c r="BR97" s="3168"/>
      <c r="BS97" s="1525"/>
      <c r="BU97" s="1532">
        <v>0</v>
      </c>
      <c r="BV97" s="1533">
        <v>0</v>
      </c>
      <c r="BW97" s="1533">
        <v>0</v>
      </c>
      <c r="BX97" s="1533">
        <v>0</v>
      </c>
      <c r="BY97" s="1533">
        <v>0</v>
      </c>
      <c r="BZ97" s="1533">
        <v>0</v>
      </c>
      <c r="CA97" s="1533">
        <v>0</v>
      </c>
      <c r="CB97" s="1533">
        <v>0</v>
      </c>
      <c r="CC97" s="1533">
        <v>0</v>
      </c>
      <c r="CD97" s="1533">
        <v>0</v>
      </c>
      <c r="CE97" s="1533">
        <v>0</v>
      </c>
      <c r="CF97" s="1533">
        <v>0</v>
      </c>
      <c r="CG97" s="1533">
        <v>0</v>
      </c>
      <c r="CH97" s="1533">
        <v>0</v>
      </c>
      <c r="CI97" s="1533">
        <v>0</v>
      </c>
      <c r="CJ97" s="1533">
        <v>0</v>
      </c>
      <c r="CK97" s="1533">
        <v>0</v>
      </c>
      <c r="CL97" s="1533">
        <v>0</v>
      </c>
      <c r="CM97" s="1533">
        <v>0</v>
      </c>
      <c r="CN97" s="1533">
        <v>0</v>
      </c>
      <c r="CO97" s="1533">
        <v>0</v>
      </c>
      <c r="CP97" s="1533">
        <v>0</v>
      </c>
      <c r="CQ97" s="1533">
        <v>0</v>
      </c>
      <c r="CR97" s="1533">
        <v>0</v>
      </c>
      <c r="CS97" s="1533">
        <v>0</v>
      </c>
      <c r="CT97" s="1533">
        <v>0</v>
      </c>
      <c r="CU97" s="1533">
        <v>0</v>
      </c>
      <c r="CV97" s="1533">
        <v>0</v>
      </c>
      <c r="CW97" s="1533">
        <v>0</v>
      </c>
      <c r="CX97" s="1533">
        <v>0</v>
      </c>
      <c r="CY97" s="1533">
        <v>0</v>
      </c>
      <c r="CZ97" s="1533">
        <v>0</v>
      </c>
      <c r="DA97" s="1533">
        <v>0</v>
      </c>
      <c r="DB97" s="1533">
        <v>0</v>
      </c>
      <c r="DC97" s="1533">
        <v>0</v>
      </c>
      <c r="DD97" s="1533">
        <v>0</v>
      </c>
      <c r="DE97" s="1533">
        <v>0</v>
      </c>
      <c r="DF97" s="1533">
        <v>0</v>
      </c>
      <c r="DG97" s="1533">
        <v>0</v>
      </c>
      <c r="DH97" s="1533">
        <v>0</v>
      </c>
      <c r="DI97" s="1533">
        <v>0</v>
      </c>
      <c r="DJ97" s="1533">
        <v>0</v>
      </c>
      <c r="DK97" s="1533">
        <v>0</v>
      </c>
      <c r="DL97" s="1533">
        <v>0</v>
      </c>
      <c r="DN97" s="1509"/>
    </row>
    <row r="98" spans="1:118" s="1534" customFormat="1" ht="12.75" hidden="1" customHeight="1" outlineLevel="1" collapsed="1" x14ac:dyDescent="0.2">
      <c r="B98" s="1535"/>
      <c r="C98" s="1536"/>
      <c r="D98" s="1537"/>
      <c r="E98" s="1538"/>
      <c r="F98" s="14"/>
      <c r="G98" s="1488"/>
      <c r="H98" s="1488"/>
      <c r="I98" s="1488"/>
      <c r="J98" s="1488"/>
      <c r="K98" s="1488"/>
      <c r="L98" s="1488"/>
      <c r="M98" s="1488"/>
      <c r="N98" s="1488"/>
      <c r="O98" s="1563"/>
      <c r="P98" s="1488"/>
      <c r="Q98" s="1488"/>
      <c r="R98" s="1488"/>
      <c r="S98" s="1488"/>
      <c r="T98" s="1488"/>
      <c r="U98" s="1488"/>
      <c r="V98" s="1488"/>
      <c r="W98" s="1539"/>
      <c r="X98" s="14"/>
      <c r="Y98" s="1490"/>
      <c r="Z98" s="1490"/>
      <c r="AA98" s="1490"/>
      <c r="AB98" s="1490"/>
      <c r="AC98" s="1490"/>
      <c r="AD98" s="1490"/>
      <c r="AE98" s="1490"/>
      <c r="AF98" s="1490"/>
      <c r="AG98" s="1490"/>
      <c r="AH98" s="1490"/>
      <c r="AI98" s="1490"/>
      <c r="AJ98" s="1490"/>
      <c r="AK98" s="1490"/>
      <c r="AL98" s="1490"/>
      <c r="AM98" s="1490"/>
      <c r="AN98" s="1490"/>
      <c r="AO98" s="1490"/>
      <c r="AP98" s="1490"/>
      <c r="AQ98" s="1490"/>
      <c r="AR98" s="14"/>
      <c r="AS98" s="1491"/>
      <c r="AT98" s="1491"/>
      <c r="AU98" s="1491"/>
      <c r="AV98" s="1491"/>
      <c r="AW98" s="1491"/>
      <c r="AX98" s="1491"/>
      <c r="AY98" s="1491"/>
      <c r="AZ98" s="1491"/>
      <c r="BA98" s="1491"/>
      <c r="BB98" s="1491"/>
      <c r="BC98" s="1491"/>
      <c r="BD98" s="1491"/>
      <c r="BE98" s="1491"/>
      <c r="BF98" s="1491"/>
      <c r="BG98" s="1491"/>
      <c r="BH98" s="1491"/>
      <c r="BI98" s="1491"/>
      <c r="BJ98" s="1491"/>
      <c r="BK98" s="1491"/>
      <c r="BL98" s="1491"/>
      <c r="BM98" s="14"/>
      <c r="BN98" s="1492"/>
      <c r="BO98" s="1492"/>
      <c r="BP98" s="1492"/>
      <c r="BQ98" s="14"/>
      <c r="BR98" s="3168"/>
      <c r="BS98" s="1493"/>
      <c r="BT98" s="748"/>
      <c r="BU98" s="1508">
        <v>0</v>
      </c>
      <c r="BV98" s="1508">
        <v>0</v>
      </c>
      <c r="BW98" s="1508">
        <v>0</v>
      </c>
      <c r="BX98" s="1508">
        <v>0</v>
      </c>
      <c r="BY98" s="1508">
        <v>0</v>
      </c>
      <c r="BZ98" s="1508">
        <v>0</v>
      </c>
      <c r="CA98" s="1508">
        <v>0</v>
      </c>
      <c r="CB98" s="1508">
        <v>0</v>
      </c>
      <c r="CC98" s="1508">
        <v>0</v>
      </c>
      <c r="CD98" s="1508">
        <v>0</v>
      </c>
      <c r="CE98" s="1508">
        <v>0</v>
      </c>
      <c r="CF98" s="1508">
        <v>0</v>
      </c>
      <c r="CG98" s="1508">
        <v>0</v>
      </c>
      <c r="CH98" s="1508">
        <v>0</v>
      </c>
      <c r="CI98" s="1508">
        <v>0</v>
      </c>
      <c r="CJ98" s="1508">
        <v>0</v>
      </c>
      <c r="CK98" s="1508">
        <v>0</v>
      </c>
      <c r="CL98" s="1508">
        <v>0</v>
      </c>
      <c r="CM98" s="1508">
        <v>0</v>
      </c>
      <c r="CN98" s="1508">
        <v>0</v>
      </c>
      <c r="CO98" s="1508">
        <v>0</v>
      </c>
      <c r="CP98" s="1508">
        <v>0</v>
      </c>
      <c r="CQ98" s="1508">
        <v>0</v>
      </c>
      <c r="CR98" s="1508">
        <v>0</v>
      </c>
      <c r="CS98" s="1508">
        <v>0</v>
      </c>
      <c r="CT98" s="1508">
        <v>0</v>
      </c>
      <c r="CU98" s="1508">
        <v>0</v>
      </c>
      <c r="CV98" s="1508">
        <v>0</v>
      </c>
      <c r="CW98" s="1508">
        <v>0</v>
      </c>
      <c r="CX98" s="1508">
        <v>0</v>
      </c>
      <c r="CY98" s="1508">
        <v>0</v>
      </c>
      <c r="CZ98" s="1508">
        <v>0</v>
      </c>
      <c r="DA98" s="1508">
        <v>0</v>
      </c>
      <c r="DB98" s="1508">
        <v>0</v>
      </c>
      <c r="DC98" s="1508">
        <v>0</v>
      </c>
      <c r="DD98" s="1508">
        <v>0</v>
      </c>
      <c r="DE98" s="1508">
        <v>0</v>
      </c>
      <c r="DF98" s="1508">
        <v>0</v>
      </c>
      <c r="DG98" s="1508">
        <v>0</v>
      </c>
      <c r="DH98" s="1508">
        <v>0</v>
      </c>
      <c r="DI98" s="1508">
        <v>0</v>
      </c>
      <c r="DJ98" s="1508">
        <v>0</v>
      </c>
      <c r="DK98" s="1508">
        <v>0</v>
      </c>
      <c r="DL98" s="1508">
        <v>0</v>
      </c>
      <c r="DN98" s="1509">
        <v>0</v>
      </c>
    </row>
    <row r="99" spans="1:118" s="14" customFormat="1" ht="12.75" hidden="1" customHeight="1" outlineLevel="2" x14ac:dyDescent="0.2">
      <c r="A99" s="1534"/>
      <c r="B99" s="1534"/>
      <c r="C99" s="1544"/>
      <c r="D99" s="1538"/>
      <c r="E99" s="1538"/>
      <c r="G99" s="1488"/>
      <c r="H99" s="1488"/>
      <c r="I99" s="1488"/>
      <c r="J99" s="1488"/>
      <c r="K99" s="1488"/>
      <c r="L99" s="1488"/>
      <c r="M99" s="1488"/>
      <c r="N99" s="1488"/>
      <c r="O99" s="1563"/>
      <c r="P99" s="1488"/>
      <c r="Q99" s="1488"/>
      <c r="R99" s="1488"/>
      <c r="S99" s="1488"/>
      <c r="T99" s="1488"/>
      <c r="U99" s="1488"/>
      <c r="V99" s="1488"/>
      <c r="W99" s="1488"/>
      <c r="Y99" s="1490"/>
      <c r="Z99" s="1490"/>
      <c r="AA99" s="1490"/>
      <c r="AB99" s="1490"/>
      <c r="AC99" s="1490"/>
      <c r="AD99" s="1490"/>
      <c r="AE99" s="1490"/>
      <c r="AF99" s="1490"/>
      <c r="AG99" s="1490"/>
      <c r="AH99" s="1490"/>
      <c r="AI99" s="1490"/>
      <c r="AJ99" s="1490"/>
      <c r="AK99" s="1490"/>
      <c r="AL99" s="1490"/>
      <c r="AM99" s="1490"/>
      <c r="AN99" s="1490"/>
      <c r="AO99" s="1490"/>
      <c r="AP99" s="1490"/>
      <c r="AQ99" s="1490"/>
      <c r="AS99" s="1491"/>
      <c r="AT99" s="1491"/>
      <c r="AU99" s="1491"/>
      <c r="AV99" s="1491"/>
      <c r="AW99" s="1491"/>
      <c r="AX99" s="1491"/>
      <c r="AY99" s="1491"/>
      <c r="AZ99" s="1491"/>
      <c r="BA99" s="1491"/>
      <c r="BB99" s="1491"/>
      <c r="BC99" s="1491"/>
      <c r="BD99" s="1491"/>
      <c r="BE99" s="1491"/>
      <c r="BF99" s="1491"/>
      <c r="BG99" s="1491"/>
      <c r="BH99" s="1491"/>
      <c r="BI99" s="1491"/>
      <c r="BJ99" s="1491"/>
      <c r="BK99" s="1491"/>
      <c r="BL99" s="1491"/>
      <c r="BN99" s="1492"/>
      <c r="BO99" s="1492"/>
      <c r="BP99" s="1492"/>
      <c r="BR99" s="3168"/>
      <c r="BS99" s="1493"/>
      <c r="BT99" s="748"/>
      <c r="BU99" s="1508"/>
      <c r="BV99" s="1508"/>
      <c r="BW99" s="1508"/>
      <c r="BX99" s="1508"/>
      <c r="BY99" s="1508"/>
      <c r="BZ99" s="1508"/>
      <c r="CA99" s="1508"/>
      <c r="CB99" s="1508"/>
      <c r="CC99" s="1508"/>
      <c r="CD99" s="1508"/>
      <c r="CE99" s="1508"/>
      <c r="CF99" s="1508"/>
      <c r="CG99" s="1508"/>
      <c r="CH99" s="1508"/>
      <c r="CI99" s="1508"/>
      <c r="CJ99" s="1508"/>
      <c r="CK99" s="1508"/>
      <c r="CL99" s="1508"/>
      <c r="CM99" s="1508"/>
      <c r="CN99" s="1508"/>
      <c r="CO99" s="1508"/>
      <c r="CP99" s="1508"/>
      <c r="CQ99" s="1508"/>
      <c r="CR99" s="1508"/>
      <c r="CS99" s="1508"/>
      <c r="CT99" s="1508"/>
      <c r="CU99" s="1508"/>
      <c r="CV99" s="1508"/>
      <c r="CW99" s="1508"/>
      <c r="CX99" s="1508"/>
      <c r="CY99" s="1508"/>
      <c r="CZ99" s="1508"/>
      <c r="DA99" s="1508"/>
      <c r="DB99" s="1508"/>
      <c r="DC99" s="1508"/>
      <c r="DD99" s="1508"/>
      <c r="DE99" s="1508"/>
      <c r="DF99" s="1508"/>
      <c r="DG99" s="1508"/>
      <c r="DH99" s="1508"/>
      <c r="DI99" s="1508"/>
      <c r="DJ99" s="1508"/>
      <c r="DK99" s="1508"/>
      <c r="DL99" s="1508"/>
      <c r="DN99" s="1509">
        <v>0</v>
      </c>
    </row>
    <row r="100" spans="1:118" s="1564" customFormat="1" ht="12.75" hidden="1" customHeight="1" outlineLevel="2" x14ac:dyDescent="0.2">
      <c r="C100" s="1565"/>
      <c r="D100" s="1566"/>
      <c r="E100" s="1566"/>
      <c r="G100" s="1568"/>
      <c r="H100" s="1568"/>
      <c r="I100" s="1568"/>
      <c r="J100" s="1568"/>
      <c r="K100" s="1568"/>
      <c r="L100" s="1568"/>
      <c r="M100" s="1568"/>
      <c r="N100" s="1568"/>
      <c r="O100" s="1569"/>
      <c r="P100" s="1568"/>
      <c r="Q100" s="1568"/>
      <c r="R100" s="1568"/>
      <c r="S100" s="1568"/>
      <c r="T100" s="1568"/>
      <c r="U100" s="1568"/>
      <c r="V100" s="1568"/>
      <c r="W100" s="1568"/>
      <c r="Y100" s="1570"/>
      <c r="Z100" s="1570"/>
      <c r="AA100" s="1570"/>
      <c r="AB100" s="1570"/>
      <c r="AC100" s="1570"/>
      <c r="AD100" s="1570"/>
      <c r="AE100" s="1570"/>
      <c r="AF100" s="1570"/>
      <c r="AG100" s="1570"/>
      <c r="AH100" s="1570"/>
      <c r="AI100" s="1570"/>
      <c r="AJ100" s="1570"/>
      <c r="AK100" s="1570"/>
      <c r="AL100" s="1570"/>
      <c r="AM100" s="1570"/>
      <c r="AN100" s="1570"/>
      <c r="AO100" s="1570"/>
      <c r="AP100" s="1570"/>
      <c r="AQ100" s="1570"/>
      <c r="AS100" s="1571"/>
      <c r="AT100" s="1571"/>
      <c r="AU100" s="1571"/>
      <c r="AV100" s="1571"/>
      <c r="AW100" s="1571"/>
      <c r="AX100" s="1571"/>
      <c r="AY100" s="1571"/>
      <c r="AZ100" s="1571"/>
      <c r="BA100" s="1571"/>
      <c r="BB100" s="1571"/>
      <c r="BC100" s="1571"/>
      <c r="BD100" s="1571"/>
      <c r="BE100" s="1571"/>
      <c r="BF100" s="1571"/>
      <c r="BG100" s="1571"/>
      <c r="BH100" s="1571"/>
      <c r="BI100" s="1571"/>
      <c r="BJ100" s="1571"/>
      <c r="BK100" s="1571"/>
      <c r="BL100" s="1571"/>
      <c r="BN100" s="1572"/>
      <c r="BO100" s="1572"/>
      <c r="BP100" s="1572"/>
      <c r="BR100" s="3168"/>
      <c r="BS100" s="1573"/>
      <c r="BT100" s="1606"/>
      <c r="BU100" s="1607"/>
      <c r="BV100" s="1607"/>
      <c r="BW100" s="1607"/>
      <c r="BX100" s="1607"/>
      <c r="BY100" s="1607"/>
      <c r="BZ100" s="1607"/>
      <c r="CA100" s="1607"/>
      <c r="CB100" s="1607"/>
      <c r="CC100" s="1607"/>
      <c r="CD100" s="1607"/>
      <c r="CE100" s="1607"/>
      <c r="CF100" s="1607"/>
      <c r="CG100" s="1607"/>
      <c r="CH100" s="1607"/>
      <c r="CI100" s="1607"/>
      <c r="CJ100" s="1607"/>
      <c r="CK100" s="1607"/>
      <c r="CL100" s="1607"/>
      <c r="CM100" s="1607"/>
      <c r="CN100" s="1607"/>
      <c r="CO100" s="1607"/>
      <c r="CP100" s="1607"/>
      <c r="CQ100" s="1607"/>
      <c r="CR100" s="1607"/>
      <c r="CS100" s="1607"/>
      <c r="CT100" s="1607"/>
      <c r="CU100" s="1607"/>
      <c r="CV100" s="1607"/>
      <c r="CW100" s="1607"/>
      <c r="CX100" s="1607"/>
      <c r="CY100" s="1607"/>
      <c r="CZ100" s="1607"/>
      <c r="DA100" s="1607"/>
      <c r="DB100" s="1607"/>
      <c r="DC100" s="1607"/>
      <c r="DD100" s="1607"/>
      <c r="DE100" s="1607"/>
      <c r="DF100" s="1607"/>
      <c r="DG100" s="1607"/>
      <c r="DH100" s="1607"/>
      <c r="DI100" s="1607"/>
      <c r="DJ100" s="1607"/>
      <c r="DK100" s="1607"/>
      <c r="DL100" s="1607"/>
      <c r="DN100" s="1606">
        <v>0</v>
      </c>
    </row>
    <row r="101" spans="1:118" s="1567" customFormat="1" ht="12.75" hidden="1" customHeight="1" outlineLevel="2" x14ac:dyDescent="0.2">
      <c r="A101" s="1608"/>
      <c r="B101" s="1608"/>
      <c r="D101" s="1609"/>
      <c r="E101" s="1609"/>
      <c r="G101" s="1610"/>
      <c r="H101" s="1610"/>
      <c r="I101" s="1610"/>
      <c r="J101" s="1610"/>
      <c r="K101" s="1610"/>
      <c r="L101" s="1610"/>
      <c r="M101" s="1610"/>
      <c r="N101" s="1610"/>
      <c r="O101" s="1610"/>
      <c r="P101" s="1610"/>
      <c r="Q101" s="1610"/>
      <c r="R101" s="1610"/>
      <c r="S101" s="1610"/>
      <c r="T101" s="1610"/>
      <c r="U101" s="1610"/>
      <c r="V101" s="1610"/>
      <c r="W101" s="1611"/>
      <c r="Y101" s="1612"/>
      <c r="Z101" s="1612"/>
      <c r="AA101" s="1612"/>
      <c r="AB101" s="1612"/>
      <c r="AC101" s="1612"/>
      <c r="AD101" s="1612"/>
      <c r="AE101" s="1612"/>
      <c r="AF101" s="1612"/>
      <c r="AG101" s="1612"/>
      <c r="AH101" s="1612"/>
      <c r="AI101" s="1612"/>
      <c r="AJ101" s="1612"/>
      <c r="AK101" s="1612"/>
      <c r="AL101" s="1612"/>
      <c r="AM101" s="1612"/>
      <c r="AN101" s="1612"/>
      <c r="AO101" s="1612"/>
      <c r="AP101" s="1612"/>
      <c r="AQ101" s="1613"/>
      <c r="AS101" s="1614"/>
      <c r="AT101" s="1614"/>
      <c r="AU101" s="1614"/>
      <c r="AV101" s="1614"/>
      <c r="AW101" s="1614"/>
      <c r="AX101" s="1614"/>
      <c r="AY101" s="1614"/>
      <c r="AZ101" s="1614"/>
      <c r="BA101" s="1614"/>
      <c r="BB101" s="1614"/>
      <c r="BC101" s="1614"/>
      <c r="BD101" s="1614"/>
      <c r="BE101" s="1614"/>
      <c r="BF101" s="1614"/>
      <c r="BG101" s="1614"/>
      <c r="BH101" s="1614"/>
      <c r="BI101" s="1614"/>
      <c r="BJ101" s="1614"/>
      <c r="BK101" s="1614"/>
      <c r="BL101" s="1615"/>
      <c r="BN101" s="1616"/>
      <c r="BO101" s="1616"/>
      <c r="BP101" s="1617"/>
      <c r="BR101" s="3168"/>
      <c r="BS101" s="1618"/>
      <c r="BT101" s="1619"/>
      <c r="BU101" s="1620">
        <v>0</v>
      </c>
      <c r="BV101" s="1621">
        <v>0</v>
      </c>
      <c r="BW101" s="1621">
        <v>0</v>
      </c>
      <c r="BX101" s="1621">
        <v>0</v>
      </c>
      <c r="BY101" s="1621">
        <v>0</v>
      </c>
      <c r="BZ101" s="1621">
        <v>0</v>
      </c>
      <c r="CA101" s="1621">
        <v>0</v>
      </c>
      <c r="CB101" s="1621">
        <v>0</v>
      </c>
      <c r="CC101" s="1621">
        <v>0</v>
      </c>
      <c r="CD101" s="1621">
        <v>0</v>
      </c>
      <c r="CE101" s="1621">
        <v>0</v>
      </c>
      <c r="CF101" s="1621">
        <v>0</v>
      </c>
      <c r="CG101" s="1621">
        <v>0</v>
      </c>
      <c r="CH101" s="1621">
        <v>0</v>
      </c>
      <c r="CI101" s="1621">
        <v>0</v>
      </c>
      <c r="CJ101" s="1621">
        <v>0</v>
      </c>
      <c r="CK101" s="1621">
        <v>0</v>
      </c>
      <c r="CL101" s="1621">
        <v>0</v>
      </c>
      <c r="CM101" s="1621">
        <v>0</v>
      </c>
      <c r="CN101" s="1621">
        <v>0</v>
      </c>
      <c r="CO101" s="1621">
        <v>0</v>
      </c>
      <c r="CP101" s="1621">
        <v>0</v>
      </c>
      <c r="CQ101" s="1621">
        <v>0</v>
      </c>
      <c r="CR101" s="1621">
        <v>0</v>
      </c>
      <c r="CS101" s="1621">
        <v>0</v>
      </c>
      <c r="CT101" s="1621">
        <v>0</v>
      </c>
      <c r="CU101" s="1621">
        <v>0</v>
      </c>
      <c r="CV101" s="1621">
        <v>0</v>
      </c>
      <c r="CW101" s="1621">
        <v>0</v>
      </c>
      <c r="CX101" s="1621">
        <v>0</v>
      </c>
      <c r="CY101" s="1621">
        <v>0</v>
      </c>
      <c r="CZ101" s="1621">
        <v>0</v>
      </c>
      <c r="DA101" s="1621">
        <v>0</v>
      </c>
      <c r="DB101" s="1621">
        <v>0</v>
      </c>
      <c r="DC101" s="1621">
        <v>0</v>
      </c>
      <c r="DD101" s="1621">
        <v>0</v>
      </c>
      <c r="DE101" s="1621">
        <v>-5.5600542212492146</v>
      </c>
      <c r="DF101" s="1621">
        <v>0</v>
      </c>
      <c r="DG101" s="1621">
        <v>0</v>
      </c>
      <c r="DH101" s="1621">
        <v>0</v>
      </c>
      <c r="DI101" s="1621">
        <v>0</v>
      </c>
      <c r="DJ101" s="1621">
        <v>0</v>
      </c>
      <c r="DK101" s="1621">
        <v>0</v>
      </c>
      <c r="DL101" s="1621">
        <v>0</v>
      </c>
      <c r="DN101" s="1575">
        <v>-5.5600542212492146</v>
      </c>
    </row>
    <row r="102" spans="1:118" s="1564" customFormat="1" ht="12.75" hidden="1" customHeight="1" outlineLevel="2" x14ac:dyDescent="0.2">
      <c r="D102" s="1566"/>
      <c r="E102" s="1566"/>
      <c r="G102" s="1568"/>
      <c r="H102" s="1568"/>
      <c r="I102" s="1568"/>
      <c r="J102" s="1568"/>
      <c r="K102" s="1568"/>
      <c r="L102" s="1568"/>
      <c r="M102" s="1568"/>
      <c r="N102" s="1568"/>
      <c r="O102" s="1569"/>
      <c r="P102" s="1568"/>
      <c r="Q102" s="1568"/>
      <c r="R102" s="1568"/>
      <c r="S102" s="1568"/>
      <c r="T102" s="1568"/>
      <c r="U102" s="1568"/>
      <c r="V102" s="1568"/>
      <c r="W102" s="1568"/>
      <c r="Y102" s="1570"/>
      <c r="Z102" s="1570"/>
      <c r="AA102" s="1570"/>
      <c r="AB102" s="1570"/>
      <c r="AC102" s="1570"/>
      <c r="AD102" s="1570"/>
      <c r="AE102" s="1570"/>
      <c r="AF102" s="1570"/>
      <c r="AG102" s="1570"/>
      <c r="AH102" s="1570"/>
      <c r="AI102" s="1570"/>
      <c r="AJ102" s="1570"/>
      <c r="AK102" s="1570"/>
      <c r="AL102" s="1570"/>
      <c r="AM102" s="1570"/>
      <c r="AN102" s="1570"/>
      <c r="AO102" s="1570"/>
      <c r="AP102" s="1570"/>
      <c r="AQ102" s="1570"/>
      <c r="AS102" s="1571"/>
      <c r="AT102" s="1571"/>
      <c r="AU102" s="1571"/>
      <c r="AV102" s="1571"/>
      <c r="AW102" s="1571"/>
      <c r="AX102" s="1571"/>
      <c r="AY102" s="1571"/>
      <c r="AZ102" s="1571"/>
      <c r="BA102" s="1571"/>
      <c r="BB102" s="1571"/>
      <c r="BC102" s="1571"/>
      <c r="BD102" s="1571"/>
      <c r="BE102" s="1571"/>
      <c r="BF102" s="1571"/>
      <c r="BG102" s="1571"/>
      <c r="BH102" s="1571"/>
      <c r="BI102" s="1571"/>
      <c r="BJ102" s="1571"/>
      <c r="BK102" s="1571"/>
      <c r="BL102" s="1571"/>
      <c r="BN102" s="1572"/>
      <c r="BO102" s="1572"/>
      <c r="BP102" s="1572"/>
      <c r="BR102" s="3168"/>
      <c r="BS102" s="1573"/>
      <c r="BT102" s="1606"/>
      <c r="BU102" s="1607"/>
      <c r="BV102" s="1607"/>
      <c r="BW102" s="1607"/>
      <c r="BX102" s="1607"/>
      <c r="BY102" s="1607"/>
      <c r="BZ102" s="1607"/>
      <c r="CA102" s="1607"/>
      <c r="CB102" s="1607"/>
      <c r="CC102" s="1607"/>
      <c r="CD102" s="1607"/>
      <c r="CE102" s="1607"/>
      <c r="CF102" s="1607"/>
      <c r="CG102" s="1607"/>
      <c r="CH102" s="1607"/>
      <c r="CI102" s="1607"/>
      <c r="CJ102" s="1607"/>
      <c r="CK102" s="1607"/>
      <c r="CL102" s="1607"/>
      <c r="CM102" s="1607"/>
      <c r="CN102" s="1607"/>
      <c r="CO102" s="1607"/>
      <c r="CP102" s="1607"/>
      <c r="CQ102" s="1607"/>
      <c r="CR102" s="1607"/>
      <c r="CS102" s="1607"/>
      <c r="CT102" s="1607"/>
      <c r="CU102" s="1607"/>
      <c r="CV102" s="1607"/>
      <c r="CW102" s="1607"/>
      <c r="CX102" s="1607"/>
      <c r="CY102" s="1607"/>
      <c r="CZ102" s="1607"/>
      <c r="DA102" s="1607"/>
      <c r="DB102" s="1607"/>
      <c r="DC102" s="1607"/>
      <c r="DD102" s="1607"/>
      <c r="DE102" s="1607"/>
      <c r="DF102" s="1607"/>
      <c r="DG102" s="1607"/>
      <c r="DH102" s="1607"/>
      <c r="DI102" s="1607"/>
      <c r="DJ102" s="1607"/>
      <c r="DK102" s="1607"/>
      <c r="DL102" s="1607"/>
      <c r="DN102" s="1606">
        <v>0</v>
      </c>
    </row>
    <row r="103" spans="1:118" s="14" customFormat="1" ht="6" hidden="1" customHeight="1" outlineLevel="1" x14ac:dyDescent="0.2">
      <c r="C103" s="1429"/>
      <c r="D103" s="1430"/>
      <c r="E103" s="1430"/>
      <c r="G103" s="1488"/>
      <c r="H103" s="1488"/>
      <c r="I103" s="1488"/>
      <c r="J103" s="1488"/>
      <c r="K103" s="1488"/>
      <c r="L103" s="1488"/>
      <c r="M103" s="1488"/>
      <c r="N103" s="1488"/>
      <c r="O103" s="1563"/>
      <c r="P103" s="1488"/>
      <c r="Q103" s="1488"/>
      <c r="R103" s="1488"/>
      <c r="S103" s="1488"/>
      <c r="T103" s="1488"/>
      <c r="U103" s="1488"/>
      <c r="V103" s="1488"/>
      <c r="W103" s="1488"/>
      <c r="Y103" s="1490"/>
      <c r="Z103" s="1490"/>
      <c r="AA103" s="1490"/>
      <c r="AB103" s="1490"/>
      <c r="AC103" s="1490"/>
      <c r="AD103" s="1490"/>
      <c r="AE103" s="1490"/>
      <c r="AF103" s="1490"/>
      <c r="AG103" s="1490"/>
      <c r="AH103" s="1490"/>
      <c r="AI103" s="1490"/>
      <c r="AJ103" s="1490"/>
      <c r="AK103" s="1490"/>
      <c r="AL103" s="1490"/>
      <c r="AM103" s="1490"/>
      <c r="AN103" s="1490"/>
      <c r="AO103" s="1490"/>
      <c r="AP103" s="1490"/>
      <c r="AQ103" s="1490"/>
      <c r="AS103" s="1491"/>
      <c r="AT103" s="1491"/>
      <c r="AU103" s="1491"/>
      <c r="AV103" s="1491"/>
      <c r="AW103" s="1491"/>
      <c r="AX103" s="1491"/>
      <c r="AY103" s="1491"/>
      <c r="AZ103" s="1491"/>
      <c r="BA103" s="1491"/>
      <c r="BB103" s="1491"/>
      <c r="BC103" s="1491"/>
      <c r="BD103" s="1491"/>
      <c r="BE103" s="1491"/>
      <c r="BF103" s="1491"/>
      <c r="BG103" s="1491"/>
      <c r="BH103" s="1491"/>
      <c r="BI103" s="1491"/>
      <c r="BJ103" s="1491"/>
      <c r="BK103" s="1491"/>
      <c r="BL103" s="1491"/>
      <c r="BN103" s="1492"/>
      <c r="BO103" s="1492"/>
      <c r="BP103" s="1492"/>
      <c r="BR103" s="3168"/>
      <c r="BS103" s="1493"/>
      <c r="BU103" s="1508"/>
      <c r="BV103" s="1508"/>
      <c r="BW103" s="1508"/>
      <c r="BX103" s="1508"/>
      <c r="BY103" s="1508"/>
      <c r="BZ103" s="1508"/>
      <c r="CA103" s="1508"/>
      <c r="CB103" s="1508"/>
      <c r="CC103" s="1508"/>
      <c r="CD103" s="1508"/>
      <c r="CE103" s="1508"/>
      <c r="CF103" s="1508"/>
      <c r="CG103" s="1508"/>
      <c r="CH103" s="1508"/>
      <c r="CI103" s="1508"/>
      <c r="CJ103" s="1508"/>
      <c r="CK103" s="1508"/>
      <c r="CL103" s="1508"/>
      <c r="CM103" s="1508"/>
      <c r="CN103" s="1508"/>
      <c r="CO103" s="1508"/>
      <c r="CP103" s="1508"/>
      <c r="CQ103" s="1508"/>
      <c r="CR103" s="1508"/>
      <c r="CS103" s="1508"/>
      <c r="CT103" s="1508"/>
      <c r="CU103" s="1508"/>
      <c r="CV103" s="1508"/>
      <c r="CW103" s="1508"/>
      <c r="CX103" s="1508"/>
      <c r="CY103" s="1508"/>
      <c r="CZ103" s="1508"/>
      <c r="DA103" s="1508"/>
      <c r="DB103" s="1508"/>
      <c r="DC103" s="1508"/>
      <c r="DD103" s="1508"/>
      <c r="DE103" s="1508"/>
      <c r="DF103" s="1508"/>
      <c r="DG103" s="1508"/>
      <c r="DH103" s="1508"/>
      <c r="DI103" s="1508"/>
      <c r="DJ103" s="1508"/>
      <c r="DK103" s="1508"/>
      <c r="DL103" s="1508"/>
      <c r="DN103" s="1509"/>
    </row>
    <row r="104" spans="1:118" s="14" customFormat="1" ht="13.5" collapsed="1" thickBot="1" x14ac:dyDescent="0.25">
      <c r="C104" s="1429"/>
      <c r="D104" s="1430"/>
      <c r="E104" s="1430"/>
      <c r="G104" s="1488"/>
      <c r="H104" s="1488"/>
      <c r="I104" s="1488"/>
      <c r="J104" s="1488"/>
      <c r="K104" s="1488"/>
      <c r="L104" s="1488"/>
      <c r="M104" s="1488"/>
      <c r="N104" s="1488"/>
      <c r="O104" s="1563"/>
      <c r="P104" s="1488"/>
      <c r="Q104" s="1488"/>
      <c r="R104" s="1488"/>
      <c r="S104" s="1488"/>
      <c r="T104" s="1488"/>
      <c r="U104" s="1488"/>
      <c r="V104" s="1488"/>
      <c r="W104" s="1488"/>
      <c r="Y104" s="1490"/>
      <c r="Z104" s="1490"/>
      <c r="AA104" s="1490"/>
      <c r="AB104" s="1490"/>
      <c r="AC104" s="1490"/>
      <c r="AD104" s="1490"/>
      <c r="AE104" s="1490"/>
      <c r="AF104" s="1490"/>
      <c r="AG104" s="1490"/>
      <c r="AH104" s="1490"/>
      <c r="AI104" s="1490"/>
      <c r="AJ104" s="1490"/>
      <c r="AK104" s="1490"/>
      <c r="AL104" s="1490"/>
      <c r="AM104" s="1490"/>
      <c r="AN104" s="1490"/>
      <c r="AO104" s="1490"/>
      <c r="AP104" s="1490"/>
      <c r="AQ104" s="1490"/>
      <c r="AS104" s="1491"/>
      <c r="AT104" s="1491"/>
      <c r="AU104" s="1491"/>
      <c r="AV104" s="1491"/>
      <c r="AW104" s="1491"/>
      <c r="AX104" s="1491"/>
      <c r="AY104" s="1491"/>
      <c r="AZ104" s="1491"/>
      <c r="BA104" s="1491"/>
      <c r="BB104" s="1491"/>
      <c r="BC104" s="1491"/>
      <c r="BD104" s="1491"/>
      <c r="BE104" s="1491"/>
      <c r="BF104" s="1491"/>
      <c r="BG104" s="1491"/>
      <c r="BH104" s="1491"/>
      <c r="BI104" s="1491"/>
      <c r="BJ104" s="1491"/>
      <c r="BK104" s="1491"/>
      <c r="BL104" s="1491"/>
      <c r="BN104" s="1492"/>
      <c r="BO104" s="1492"/>
      <c r="BP104" s="1492"/>
      <c r="BR104" s="3168"/>
      <c r="BS104" s="1493"/>
      <c r="BU104" s="1508"/>
      <c r="BV104" s="1508"/>
      <c r="BW104" s="1508"/>
      <c r="BX104" s="1508"/>
      <c r="BY104" s="1508"/>
      <c r="BZ104" s="1508"/>
      <c r="CA104" s="1508"/>
      <c r="CB104" s="1508"/>
      <c r="CC104" s="1508"/>
      <c r="CD104" s="1508"/>
      <c r="CE104" s="1508"/>
      <c r="CF104" s="1508"/>
      <c r="CG104" s="1508"/>
      <c r="CH104" s="1508"/>
      <c r="CI104" s="1508"/>
      <c r="CJ104" s="1508"/>
      <c r="CK104" s="1508"/>
      <c r="CL104" s="1508"/>
      <c r="CM104" s="1508"/>
      <c r="CN104" s="1508"/>
      <c r="CO104" s="1508"/>
      <c r="CP104" s="1508"/>
      <c r="CQ104" s="1508"/>
      <c r="CR104" s="1508"/>
      <c r="CS104" s="1508"/>
      <c r="CT104" s="1508"/>
      <c r="CU104" s="1508"/>
      <c r="CV104" s="1508"/>
      <c r="CW104" s="1508"/>
      <c r="CX104" s="1508"/>
      <c r="CY104" s="1508"/>
      <c r="CZ104" s="1508"/>
      <c r="DA104" s="1508"/>
      <c r="DB104" s="1508"/>
      <c r="DC104" s="1508"/>
      <c r="DD104" s="1508"/>
      <c r="DE104" s="1508"/>
      <c r="DF104" s="1508"/>
      <c r="DG104" s="1508"/>
      <c r="DH104" s="1508"/>
      <c r="DI104" s="1508"/>
      <c r="DJ104" s="1508"/>
      <c r="DK104" s="1508"/>
      <c r="DL104" s="1508"/>
      <c r="DN104" s="1509"/>
    </row>
    <row r="105" spans="1:118" s="14" customFormat="1" ht="24" customHeight="1" thickBot="1" x14ac:dyDescent="0.25">
      <c r="C105" s="1631" t="s">
        <v>869</v>
      </c>
      <c r="D105" s="1631"/>
      <c r="E105" s="1631"/>
      <c r="G105" s="1632">
        <f t="shared" ref="G105:W105" ca="1" si="61">G36+G89</f>
        <v>35.492179526491917</v>
      </c>
      <c r="H105" s="1632">
        <f t="shared" ca="1" si="61"/>
        <v>7.4742271881931828</v>
      </c>
      <c r="I105" s="1632">
        <f t="shared" ca="1" si="61"/>
        <v>2.9915688480682157</v>
      </c>
      <c r="J105" s="1632">
        <f t="shared" ca="1" si="61"/>
        <v>10.096238347936703</v>
      </c>
      <c r="K105" s="1632">
        <f t="shared" ca="1" si="61"/>
        <v>4.4606617301587432</v>
      </c>
      <c r="L105" s="1632">
        <f t="shared" ca="1" si="61"/>
        <v>9.2176129688738371</v>
      </c>
      <c r="M105" s="1632">
        <f t="shared" ca="1" si="61"/>
        <v>135.84274834045024</v>
      </c>
      <c r="N105" s="1632">
        <f t="shared" ca="1" si="61"/>
        <v>53.33594497140453</v>
      </c>
      <c r="O105" s="1632">
        <f t="shared" ca="1" si="61"/>
        <v>13.170718948417285</v>
      </c>
      <c r="P105" s="1632">
        <f t="shared" ca="1" si="61"/>
        <v>0.29902005366010898</v>
      </c>
      <c r="Q105" s="1632">
        <f t="shared" ca="1" si="61"/>
        <v>3.154875796091091E-2</v>
      </c>
      <c r="R105" s="1632">
        <f t="shared" ca="1" si="61"/>
        <v>12.39386297880878</v>
      </c>
      <c r="S105" s="1632">
        <f t="shared" ca="1" si="61"/>
        <v>7.088639766958563</v>
      </c>
      <c r="T105" s="1632">
        <f t="shared" ca="1" si="61"/>
        <v>8.0354758778486985</v>
      </c>
      <c r="U105" s="1632">
        <f t="shared" ca="1" si="61"/>
        <v>6.0502466557362678E-3</v>
      </c>
      <c r="V105" s="1632">
        <f t="shared" ca="1" si="61"/>
        <v>0.28516907055863489</v>
      </c>
      <c r="W105" s="1632">
        <f t="shared" ca="1" si="61"/>
        <v>300.22166762244615</v>
      </c>
      <c r="Y105" s="1633">
        <f t="shared" ref="Y105:AQ105" ca="1" si="62">Y89+Y36</f>
        <v>-67.579633316573762</v>
      </c>
      <c r="Z105" s="1633">
        <f t="shared" ca="1" si="62"/>
        <v>67.579633316573776</v>
      </c>
      <c r="AA105" s="1633">
        <f t="shared" ca="1" si="62"/>
        <v>-90.674181997292195</v>
      </c>
      <c r="AB105" s="1633">
        <f t="shared" ca="1" si="62"/>
        <v>-155.18922878601049</v>
      </c>
      <c r="AC105" s="1633">
        <f t="shared" ca="1" si="62"/>
        <v>-71.714143547361388</v>
      </c>
      <c r="AD105" s="1633">
        <f t="shared" ca="1" si="62"/>
        <v>0</v>
      </c>
      <c r="AE105" s="1633">
        <f t="shared" ca="1" si="62"/>
        <v>0</v>
      </c>
      <c r="AF105" s="1633">
        <f t="shared" ca="1" si="62"/>
        <v>0</v>
      </c>
      <c r="AG105" s="1633">
        <f t="shared" ca="1" si="62"/>
        <v>0</v>
      </c>
      <c r="AH105" s="1633">
        <f t="shared" ca="1" si="62"/>
        <v>0</v>
      </c>
      <c r="AI105" s="1633">
        <f t="shared" ca="1" si="62"/>
        <v>0</v>
      </c>
      <c r="AJ105" s="1633">
        <f t="shared" ca="1" si="62"/>
        <v>0</v>
      </c>
      <c r="AK105" s="1633">
        <f t="shared" ca="1" si="62"/>
        <v>0</v>
      </c>
      <c r="AL105" s="1633">
        <f t="shared" ca="1" si="62"/>
        <v>-15.042851866876788</v>
      </c>
      <c r="AM105" s="1633">
        <f t="shared" ca="1" si="62"/>
        <v>0</v>
      </c>
      <c r="AN105" s="1633">
        <f t="shared" ca="1" si="62"/>
        <v>0</v>
      </c>
      <c r="AO105" s="1633">
        <f t="shared" ca="1" si="62"/>
        <v>0</v>
      </c>
      <c r="AP105" s="1633">
        <f t="shared" ca="1" si="62"/>
        <v>0</v>
      </c>
      <c r="AQ105" s="1633">
        <f t="shared" ca="1" si="62"/>
        <v>-332.62040619754089</v>
      </c>
      <c r="AS105" s="1634">
        <f ca="1">AS89+AS36</f>
        <v>0</v>
      </c>
      <c r="AT105" s="1634">
        <f t="shared" ref="AT105:BK105" ca="1" si="63">AT89+AT36</f>
        <v>0</v>
      </c>
      <c r="AU105" s="1634">
        <f t="shared" ca="1" si="63"/>
        <v>0</v>
      </c>
      <c r="AV105" s="1634">
        <f t="shared" ca="1" si="63"/>
        <v>0</v>
      </c>
      <c r="AW105" s="1634">
        <f t="shared" ca="1" si="63"/>
        <v>0</v>
      </c>
      <c r="AX105" s="1634">
        <f t="shared" ca="1" si="63"/>
        <v>0</v>
      </c>
      <c r="AY105" s="1634">
        <f t="shared" ca="1" si="63"/>
        <v>0</v>
      </c>
      <c r="AZ105" s="1634">
        <f t="shared" ca="1" si="63"/>
        <v>0</v>
      </c>
      <c r="BA105" s="1634">
        <f t="shared" ca="1" si="63"/>
        <v>0</v>
      </c>
      <c r="BB105" s="1634">
        <f t="shared" ca="1" si="63"/>
        <v>0</v>
      </c>
      <c r="BC105" s="1634">
        <f t="shared" ca="1" si="63"/>
        <v>-1.6026505617753739</v>
      </c>
      <c r="BD105" s="1634">
        <f t="shared" ca="1" si="63"/>
        <v>-2.6604443999999998</v>
      </c>
      <c r="BE105" s="1634">
        <f t="shared" ca="1" si="63"/>
        <v>0</v>
      </c>
      <c r="BF105" s="1634">
        <f t="shared" ca="1" si="63"/>
        <v>0</v>
      </c>
      <c r="BG105" s="1634">
        <f t="shared" ca="1" si="63"/>
        <v>0</v>
      </c>
      <c r="BH105" s="1634">
        <f t="shared" ca="1" si="63"/>
        <v>-22.147299</v>
      </c>
      <c r="BI105" s="1634">
        <f t="shared" ca="1" si="63"/>
        <v>0</v>
      </c>
      <c r="BJ105" s="1634">
        <f t="shared" ca="1" si="63"/>
        <v>0</v>
      </c>
      <c r="BK105" s="1634">
        <f t="shared" ca="1" si="63"/>
        <v>-0.26623890102673253</v>
      </c>
      <c r="BL105" s="1634">
        <f ca="1">BL89+BL36</f>
        <v>-26.676632862802105</v>
      </c>
      <c r="BN105" s="1635">
        <f ca="1">BN89+BN36</f>
        <v>56.886295394688268</v>
      </c>
      <c r="BO105" s="1635">
        <f ca="1">BO89+BO36</f>
        <v>2.1890760432086078</v>
      </c>
      <c r="BP105" s="1635">
        <f ca="1">BP89+BP36</f>
        <v>59.075371437896877</v>
      </c>
      <c r="BR105" s="3434">
        <f ca="1">BR89+BR36</f>
        <v>3.9628023085214181E-14</v>
      </c>
      <c r="BS105" s="1486"/>
      <c r="BU105" s="1636">
        <v>509.46720605787289</v>
      </c>
      <c r="BV105" s="1636">
        <v>1.0312102102697414</v>
      </c>
      <c r="BW105" s="1636">
        <v>4.8883498544750488</v>
      </c>
      <c r="BX105" s="1636">
        <v>0</v>
      </c>
      <c r="BY105" s="1636">
        <v>5.0916819860234304</v>
      </c>
      <c r="BZ105" s="1636">
        <v>7.0109643253402414</v>
      </c>
      <c r="CA105" s="1636">
        <v>0</v>
      </c>
      <c r="CB105" s="1636">
        <v>0</v>
      </c>
      <c r="CC105" s="1636">
        <v>14.39565925511863</v>
      </c>
      <c r="CD105" s="1636">
        <v>0.11288744235152412</v>
      </c>
      <c r="CE105" s="1636">
        <v>2.7624692105907238</v>
      </c>
      <c r="CF105" s="1636">
        <v>10.620296151887526</v>
      </c>
      <c r="CG105" s="1636">
        <v>0</v>
      </c>
      <c r="CH105" s="1636">
        <v>0</v>
      </c>
      <c r="CI105" s="1636">
        <v>0</v>
      </c>
      <c r="CJ105" s="1636">
        <v>0</v>
      </c>
      <c r="CK105" s="1636">
        <v>0</v>
      </c>
      <c r="CL105" s="1636">
        <v>20.026732599999995</v>
      </c>
      <c r="CM105" s="1636">
        <v>23.28</v>
      </c>
      <c r="CN105" s="1636">
        <v>0</v>
      </c>
      <c r="CO105" s="1636">
        <v>-1.8247953999999991</v>
      </c>
      <c r="CP105" s="1636">
        <v>0</v>
      </c>
      <c r="CQ105" s="1636">
        <v>0</v>
      </c>
      <c r="CR105" s="1636">
        <v>0</v>
      </c>
      <c r="CS105" s="1636">
        <v>0</v>
      </c>
      <c r="CT105" s="1636">
        <v>21.652248115789206</v>
      </c>
      <c r="CU105" s="1636">
        <v>1.2204197534285715</v>
      </c>
      <c r="CV105" s="1636">
        <v>0</v>
      </c>
      <c r="CW105" s="1636">
        <v>0</v>
      </c>
      <c r="CX105" s="1636">
        <v>0</v>
      </c>
      <c r="CY105" s="1636">
        <v>0</v>
      </c>
      <c r="CZ105" s="1636">
        <v>0</v>
      </c>
      <c r="DA105" s="1636">
        <v>51.739539271814301</v>
      </c>
      <c r="DB105" s="1636">
        <v>6.441552213858226E-2</v>
      </c>
      <c r="DC105" s="1636">
        <v>0.93090033050516818</v>
      </c>
      <c r="DD105" s="1636">
        <v>0</v>
      </c>
      <c r="DE105" s="1636">
        <v>-6.9140653412492146</v>
      </c>
      <c r="DF105" s="1636">
        <v>0</v>
      </c>
      <c r="DG105" s="1636">
        <v>0</v>
      </c>
      <c r="DH105" s="1636">
        <v>0</v>
      </c>
      <c r="DI105" s="1636">
        <v>0</v>
      </c>
      <c r="DJ105" s="1636">
        <v>0</v>
      </c>
      <c r="DK105" s="1636">
        <v>0</v>
      </c>
      <c r="DL105" s="1636">
        <v>0</v>
      </c>
      <c r="DN105" s="1562">
        <v>665.55611934635658</v>
      </c>
    </row>
    <row r="106" spans="1:118" s="14" customFormat="1" x14ac:dyDescent="0.2">
      <c r="C106" s="1429"/>
      <c r="D106" s="1430"/>
      <c r="E106" s="1430"/>
      <c r="G106" s="1637"/>
      <c r="H106" s="1637"/>
      <c r="I106" s="1637"/>
      <c r="J106" s="1637"/>
      <c r="K106" s="1637"/>
      <c r="L106" s="1637"/>
      <c r="M106" s="1637"/>
      <c r="N106" s="1637"/>
      <c r="O106" s="1638"/>
      <c r="P106" s="1637"/>
      <c r="Q106" s="1637"/>
      <c r="R106" s="1637"/>
      <c r="S106" s="1637"/>
      <c r="T106" s="1637"/>
      <c r="U106" s="1637"/>
      <c r="V106" s="1637"/>
      <c r="W106" s="1637"/>
      <c r="Y106" s="1639"/>
      <c r="Z106" s="1639"/>
      <c r="AA106" s="1639"/>
      <c r="AB106" s="1639"/>
      <c r="AC106" s="1639"/>
      <c r="AD106" s="1639"/>
      <c r="AE106" s="1639"/>
      <c r="AF106" s="1639"/>
      <c r="AG106" s="1639"/>
      <c r="AH106" s="1639"/>
      <c r="AI106" s="1639"/>
      <c r="AJ106" s="1639"/>
      <c r="AK106" s="1639"/>
      <c r="AL106" s="1639"/>
      <c r="AM106" s="1639"/>
      <c r="AN106" s="1639"/>
      <c r="AO106" s="1639"/>
      <c r="AP106" s="1639"/>
      <c r="AQ106" s="1639"/>
      <c r="AS106" s="1640"/>
      <c r="AT106" s="1640"/>
      <c r="AU106" s="1640"/>
      <c r="AV106" s="1640"/>
      <c r="AW106" s="1640"/>
      <c r="AX106" s="1640"/>
      <c r="AY106" s="1640"/>
      <c r="AZ106" s="1640"/>
      <c r="BA106" s="1640"/>
      <c r="BB106" s="1640"/>
      <c r="BC106" s="1640"/>
      <c r="BD106" s="1640"/>
      <c r="BE106" s="1640"/>
      <c r="BF106" s="1640"/>
      <c r="BG106" s="1640"/>
      <c r="BH106" s="1640"/>
      <c r="BI106" s="1640"/>
      <c r="BJ106" s="1640"/>
      <c r="BK106" s="1640"/>
      <c r="BL106" s="1640"/>
      <c r="BN106" s="1641"/>
      <c r="BO106" s="1641"/>
      <c r="BP106" s="1641"/>
      <c r="BR106" s="1957"/>
      <c r="BS106" s="1493"/>
      <c r="BU106" s="1642"/>
      <c r="BV106" s="1642"/>
      <c r="BW106" s="1642"/>
      <c r="BX106" s="1642"/>
      <c r="BY106" s="1642"/>
      <c r="BZ106" s="1642"/>
      <c r="CA106" s="1642"/>
      <c r="CB106" s="1642"/>
      <c r="CC106" s="1642"/>
      <c r="CD106" s="1642"/>
      <c r="CE106" s="1642"/>
      <c r="CF106" s="1642"/>
      <c r="CG106" s="1642"/>
      <c r="CH106" s="1642"/>
      <c r="CI106" s="1642"/>
      <c r="CJ106" s="1642"/>
      <c r="CK106" s="1642"/>
      <c r="CL106" s="1642"/>
      <c r="CM106" s="1642"/>
      <c r="CN106" s="1642"/>
      <c r="CO106" s="1642"/>
      <c r="CP106" s="1642"/>
      <c r="CQ106" s="1642"/>
      <c r="CR106" s="1642"/>
      <c r="CS106" s="1642"/>
      <c r="CT106" s="1642"/>
      <c r="CU106" s="1642"/>
      <c r="CV106" s="1642"/>
      <c r="CW106" s="1642"/>
      <c r="CX106" s="1642"/>
      <c r="CY106" s="1642"/>
      <c r="CZ106" s="1642"/>
      <c r="DA106" s="1642"/>
      <c r="DB106" s="1642"/>
      <c r="DC106" s="1642"/>
      <c r="DD106" s="1642"/>
      <c r="DE106" s="1642"/>
      <c r="DF106" s="1642"/>
      <c r="DG106" s="1642"/>
      <c r="DH106" s="1642"/>
      <c r="DI106" s="1642"/>
      <c r="DJ106" s="1642"/>
      <c r="DK106" s="1642"/>
      <c r="DL106" s="1642"/>
    </row>
    <row r="107" spans="1:118" x14ac:dyDescent="0.2">
      <c r="G107" s="1493"/>
      <c r="H107" s="1493"/>
      <c r="I107" s="1493"/>
      <c r="J107" s="1493"/>
      <c r="K107" s="1493"/>
      <c r="L107" s="1493"/>
      <c r="M107" s="1493"/>
      <c r="N107" s="1493"/>
      <c r="O107" s="1643"/>
      <c r="P107" s="1493"/>
      <c r="Q107" s="1493"/>
      <c r="R107" s="1493"/>
      <c r="S107" s="1493"/>
      <c r="T107" s="1493"/>
      <c r="U107" s="1493"/>
      <c r="V107" s="1493"/>
      <c r="W107" s="1493"/>
      <c r="Y107" s="1493"/>
      <c r="Z107" s="1493"/>
      <c r="AA107" s="1493"/>
      <c r="AB107" s="1493"/>
      <c r="AC107" s="1493"/>
      <c r="AD107" s="1493"/>
      <c r="AE107" s="1493"/>
      <c r="AF107" s="1493"/>
      <c r="AG107" s="1493"/>
      <c r="AH107" s="1493"/>
      <c r="AI107" s="1493"/>
      <c r="AJ107" s="1493"/>
      <c r="AK107" s="1493"/>
      <c r="AL107" s="1493"/>
      <c r="AM107" s="1493"/>
      <c r="AN107" s="1493"/>
      <c r="AO107" s="1493"/>
      <c r="AP107" s="1493"/>
      <c r="AQ107" s="1493"/>
      <c r="AS107" s="1493"/>
      <c r="AT107" s="1493"/>
      <c r="AU107" s="1493"/>
      <c r="AV107" s="1493"/>
      <c r="AW107" s="1493"/>
      <c r="AX107" s="1493"/>
      <c r="AY107" s="1493"/>
      <c r="AZ107" s="1493"/>
      <c r="BA107" s="1493"/>
      <c r="BB107" s="1493"/>
      <c r="BC107" s="1493"/>
      <c r="BD107" s="1493"/>
      <c r="BE107" s="1493"/>
      <c r="BF107" s="1493"/>
      <c r="BG107" s="1493"/>
      <c r="BH107" s="1493"/>
      <c r="BI107" s="1493"/>
      <c r="BJ107" s="1493"/>
      <c r="BK107" s="1493"/>
      <c r="BL107" s="1493"/>
      <c r="BN107" s="1493"/>
      <c r="BO107" s="1493"/>
      <c r="BP107" s="1493"/>
      <c r="BR107" s="1957"/>
      <c r="BS107" s="1493"/>
    </row>
    <row r="108" spans="1:118" x14ac:dyDescent="0.2">
      <c r="G108" s="1493"/>
      <c r="H108" s="1493"/>
      <c r="I108" s="1493"/>
      <c r="J108" s="1493"/>
      <c r="K108" s="1493"/>
      <c r="L108" s="1493"/>
      <c r="M108" s="1493"/>
      <c r="N108" s="1493"/>
      <c r="O108" s="1643"/>
      <c r="P108" s="1493"/>
      <c r="Q108" s="1493"/>
      <c r="R108" s="1493"/>
      <c r="S108" s="1493"/>
      <c r="T108" s="1493"/>
      <c r="U108" s="1493"/>
      <c r="V108" s="1493"/>
      <c r="W108" s="1493"/>
      <c r="Y108" s="1493"/>
      <c r="Z108" s="1493"/>
      <c r="AA108" s="1493"/>
      <c r="AB108" s="1493"/>
      <c r="AC108" s="1493"/>
      <c r="AD108" s="1493"/>
      <c r="AE108" s="1493"/>
      <c r="AF108" s="1493"/>
      <c r="AG108" s="1493"/>
      <c r="AH108" s="1493"/>
      <c r="AI108" s="1493"/>
      <c r="AJ108" s="1493"/>
      <c r="AK108" s="1493"/>
      <c r="AL108" s="1493"/>
      <c r="AM108" s="1493"/>
      <c r="AN108" s="1493"/>
      <c r="AO108" s="1493"/>
      <c r="AP108" s="1493"/>
      <c r="AQ108" s="1493"/>
      <c r="AS108" s="1493"/>
      <c r="AT108" s="1493"/>
      <c r="AU108" s="1493"/>
      <c r="AV108" s="1493"/>
      <c r="AW108" s="1493"/>
      <c r="AX108" s="1493"/>
      <c r="AY108" s="1493"/>
      <c r="AZ108" s="1493"/>
      <c r="BA108" s="1493"/>
      <c r="BB108" s="1493"/>
      <c r="BC108" s="1493"/>
      <c r="BD108" s="1493"/>
      <c r="BE108" s="1493"/>
      <c r="BF108" s="1493"/>
      <c r="BG108" s="1493"/>
      <c r="BH108" s="1493"/>
      <c r="BI108" s="1493"/>
      <c r="BJ108" s="1493"/>
      <c r="BK108" s="1493"/>
      <c r="BL108" s="1493"/>
      <c r="BN108" s="1493"/>
      <c r="BO108" s="1493"/>
      <c r="BP108" s="1493"/>
      <c r="BR108" s="1957"/>
      <c r="BS108" s="1493"/>
    </row>
    <row r="109" spans="1:118" ht="15.75" x14ac:dyDescent="0.25">
      <c r="B109" s="456"/>
      <c r="G109" s="1493"/>
      <c r="H109" s="1493"/>
      <c r="I109" s="1493"/>
      <c r="J109" s="1493"/>
      <c r="K109" s="1493"/>
      <c r="L109" s="1493"/>
      <c r="M109" s="1493"/>
      <c r="N109" s="1493"/>
      <c r="O109" s="1643"/>
      <c r="P109" s="1493"/>
      <c r="Q109" s="1493"/>
      <c r="R109" s="1493"/>
      <c r="S109" s="1493"/>
      <c r="T109" s="1493"/>
      <c r="U109" s="1493"/>
      <c r="V109" s="1493"/>
      <c r="W109" s="1493"/>
      <c r="Y109" s="1493"/>
      <c r="Z109" s="1493"/>
      <c r="AA109" s="1493"/>
      <c r="AB109" s="1493"/>
      <c r="AC109" s="1493"/>
      <c r="AD109" s="1493"/>
      <c r="AE109" s="1493"/>
      <c r="AF109" s="1493"/>
      <c r="AG109" s="1493"/>
      <c r="AH109" s="1493"/>
      <c r="AI109" s="1493"/>
      <c r="AJ109" s="1493"/>
      <c r="AK109" s="1493"/>
      <c r="AL109" s="1493"/>
      <c r="AM109" s="1493"/>
      <c r="AN109" s="1493"/>
      <c r="AO109" s="1493"/>
      <c r="AP109" s="1493"/>
      <c r="AQ109" s="1493"/>
      <c r="AS109" s="1493"/>
      <c r="AT109" s="1493"/>
      <c r="AU109" s="1493"/>
      <c r="AV109" s="1493"/>
      <c r="AW109" s="1493"/>
      <c r="AX109" s="1493"/>
      <c r="AY109" s="1493"/>
      <c r="AZ109" s="1493"/>
      <c r="BA109" s="1493"/>
      <c r="BB109" s="1493"/>
      <c r="BC109" s="1493"/>
      <c r="BD109" s="1493"/>
      <c r="BE109" s="1493"/>
      <c r="BF109" s="1493"/>
      <c r="BG109" s="1493"/>
      <c r="BH109" s="1493"/>
      <c r="BI109" s="1493"/>
      <c r="BJ109" s="1493"/>
      <c r="BK109" s="1493"/>
      <c r="BL109" s="1493"/>
      <c r="BN109" s="1493"/>
      <c r="BO109" s="1493"/>
      <c r="BP109" s="1493"/>
      <c r="BR109" s="1957"/>
      <c r="BS109" s="1493"/>
    </row>
    <row r="110" spans="1:118" ht="15.75" x14ac:dyDescent="0.25">
      <c r="B110" s="456"/>
      <c r="G110" s="1493"/>
      <c r="H110" s="1493"/>
      <c r="I110" s="1493"/>
      <c r="J110" s="1493"/>
      <c r="K110" s="1493"/>
      <c r="L110" s="1493"/>
      <c r="M110" s="1493"/>
      <c r="N110" s="1493"/>
      <c r="O110" s="1643"/>
      <c r="P110" s="1493"/>
      <c r="Q110" s="1493"/>
      <c r="R110" s="1493"/>
      <c r="S110" s="1493"/>
      <c r="T110" s="1493"/>
      <c r="U110" s="1493"/>
      <c r="V110" s="1493"/>
      <c r="W110" s="1493"/>
      <c r="Y110" s="1493"/>
      <c r="Z110" s="1493"/>
      <c r="AA110" s="1493"/>
      <c r="AB110" s="1493"/>
      <c r="AC110" s="1493"/>
      <c r="AD110" s="1493"/>
      <c r="AE110" s="1493"/>
      <c r="AF110" s="1493"/>
      <c r="AG110" s="1493"/>
      <c r="AH110" s="1493"/>
      <c r="AI110" s="1493"/>
      <c r="AJ110" s="1493"/>
      <c r="AK110" s="1493"/>
      <c r="AL110" s="1493"/>
      <c r="AM110" s="1493"/>
      <c r="AN110" s="1493"/>
      <c r="AO110" s="1493"/>
      <c r="AP110" s="1493"/>
      <c r="AQ110" s="1493"/>
      <c r="AS110" s="1493"/>
      <c r="AT110" s="1493"/>
      <c r="AU110" s="1493"/>
      <c r="AV110" s="1493"/>
      <c r="AW110" s="1493"/>
      <c r="AX110" s="1493"/>
      <c r="AY110" s="1493"/>
      <c r="AZ110" s="1493"/>
      <c r="BA110" s="1493"/>
      <c r="BB110" s="1493"/>
      <c r="BC110" s="1493"/>
      <c r="BD110" s="1493"/>
      <c r="BE110" s="1493"/>
      <c r="BF110" s="1493"/>
      <c r="BG110" s="1493"/>
      <c r="BH110" s="1493"/>
      <c r="BI110" s="1493"/>
      <c r="BJ110" s="1493"/>
      <c r="BK110" s="1493"/>
      <c r="BL110" s="1493"/>
      <c r="BN110" s="1493"/>
      <c r="BO110" s="1493"/>
      <c r="BP110" s="1493"/>
      <c r="BR110" s="1957"/>
      <c r="BS110" s="1493"/>
    </row>
    <row r="111" spans="1:118" ht="15.75" x14ac:dyDescent="0.25">
      <c r="B111" s="456"/>
      <c r="G111" s="1493"/>
      <c r="H111" s="1493"/>
      <c r="I111" s="1493"/>
      <c r="J111" s="1493"/>
      <c r="K111" s="1493"/>
      <c r="L111" s="1493"/>
      <c r="M111" s="1493"/>
      <c r="N111" s="1493"/>
      <c r="O111" s="1643"/>
      <c r="P111" s="1493"/>
      <c r="Q111" s="1493"/>
      <c r="R111" s="1493"/>
      <c r="S111" s="1493"/>
      <c r="T111" s="1493"/>
      <c r="U111" s="1493"/>
      <c r="V111" s="1493"/>
      <c r="W111" s="1493"/>
      <c r="Y111" s="1493"/>
      <c r="Z111" s="1493"/>
      <c r="AA111" s="1493"/>
      <c r="AB111" s="1493"/>
      <c r="AC111" s="1493"/>
      <c r="AD111" s="1493"/>
      <c r="AE111" s="1493"/>
      <c r="AF111" s="1493"/>
      <c r="AG111" s="1493"/>
      <c r="AH111" s="1493"/>
      <c r="AI111" s="1493"/>
      <c r="AJ111" s="1493"/>
      <c r="AK111" s="1493"/>
      <c r="AL111" s="1493"/>
      <c r="AM111" s="1493"/>
      <c r="AN111" s="1493"/>
      <c r="AO111" s="1493"/>
      <c r="AP111" s="1493"/>
      <c r="AQ111" s="1493"/>
      <c r="AS111" s="1493"/>
      <c r="AT111" s="1493"/>
      <c r="AU111" s="1493"/>
      <c r="AV111" s="1493"/>
      <c r="AW111" s="1493"/>
      <c r="AX111" s="1493"/>
      <c r="AY111" s="1493"/>
      <c r="AZ111" s="1493"/>
      <c r="BA111" s="1493"/>
      <c r="BB111" s="1493"/>
      <c r="BC111" s="1493"/>
      <c r="BD111" s="1493"/>
      <c r="BE111" s="1493"/>
      <c r="BF111" s="1493"/>
      <c r="BG111" s="1493"/>
      <c r="BH111" s="1493"/>
      <c r="BI111" s="1493"/>
      <c r="BJ111" s="1493"/>
      <c r="BK111" s="1493"/>
      <c r="BL111" s="1493"/>
      <c r="BN111" s="1493"/>
      <c r="BO111" s="1493"/>
      <c r="BP111" s="1493"/>
      <c r="BR111" s="1957"/>
      <c r="BS111" s="1493"/>
    </row>
    <row r="112" spans="1:118" ht="15.75" x14ac:dyDescent="0.25">
      <c r="B112" s="456"/>
      <c r="G112" s="1493"/>
      <c r="H112" s="1493"/>
      <c r="I112" s="1493"/>
      <c r="J112" s="1493"/>
      <c r="K112" s="1493"/>
      <c r="L112" s="1493"/>
      <c r="M112" s="1493"/>
      <c r="N112" s="1493"/>
      <c r="O112" s="1643"/>
      <c r="P112" s="1493"/>
      <c r="Q112" s="1493"/>
      <c r="R112" s="1493"/>
      <c r="S112" s="1493"/>
      <c r="T112" s="1493"/>
      <c r="U112" s="1493"/>
      <c r="V112" s="1493"/>
      <c r="W112" s="1493"/>
      <c r="Y112" s="1493"/>
      <c r="Z112" s="1493"/>
      <c r="AA112" s="1493"/>
      <c r="AB112" s="1493"/>
      <c r="AC112" s="1493"/>
      <c r="AD112" s="1493"/>
      <c r="AE112" s="1493"/>
      <c r="AF112" s="1493"/>
      <c r="AG112" s="1493"/>
      <c r="AH112" s="1493"/>
      <c r="AI112" s="1493"/>
      <c r="AJ112" s="1493"/>
      <c r="AK112" s="1493"/>
      <c r="AL112" s="1493"/>
      <c r="AM112" s="1493"/>
      <c r="AN112" s="1493"/>
      <c r="AO112" s="1493"/>
      <c r="AP112" s="1493"/>
      <c r="AQ112" s="1493"/>
      <c r="AS112" s="1493"/>
      <c r="AT112" s="1493"/>
      <c r="AU112" s="1493"/>
      <c r="AV112" s="1493"/>
      <c r="AW112" s="1493"/>
      <c r="AX112" s="1493"/>
      <c r="AY112" s="1493"/>
      <c r="AZ112" s="1493"/>
      <c r="BA112" s="1493"/>
      <c r="BB112" s="1493"/>
      <c r="BC112" s="1493"/>
      <c r="BD112" s="1493"/>
      <c r="BE112" s="1493"/>
      <c r="BF112" s="1493"/>
      <c r="BG112" s="1493"/>
      <c r="BH112" s="1493"/>
      <c r="BI112" s="1493"/>
      <c r="BJ112" s="1493"/>
      <c r="BK112" s="1493"/>
      <c r="BL112" s="1493"/>
      <c r="BN112" s="1493"/>
      <c r="BO112" s="1493"/>
      <c r="BP112" s="1493"/>
      <c r="BR112" s="1957"/>
      <c r="BS112" s="1493"/>
    </row>
    <row r="113" spans="2:71" ht="15.75" x14ac:dyDescent="0.25">
      <c r="B113" s="456"/>
      <c r="G113" s="1493"/>
      <c r="H113" s="1493"/>
      <c r="I113" s="1493"/>
      <c r="J113" s="1493"/>
      <c r="K113" s="1493"/>
      <c r="L113" s="1493"/>
      <c r="M113" s="1493"/>
      <c r="N113" s="1493"/>
      <c r="O113" s="1643"/>
      <c r="P113" s="1493"/>
      <c r="Q113" s="1493"/>
      <c r="R113" s="1493"/>
      <c r="S113" s="1493"/>
      <c r="T113" s="1493"/>
      <c r="U113" s="1493"/>
      <c r="V113" s="1493"/>
      <c r="W113" s="1493"/>
      <c r="Y113" s="1493"/>
      <c r="Z113" s="1493"/>
      <c r="AA113" s="1493"/>
      <c r="AB113" s="1493"/>
      <c r="AC113" s="1493"/>
      <c r="AD113" s="1493"/>
      <c r="AE113" s="1493"/>
      <c r="AF113" s="1493"/>
      <c r="AG113" s="1493"/>
      <c r="AH113" s="1493"/>
      <c r="AI113" s="1493"/>
      <c r="AJ113" s="1493"/>
      <c r="AK113" s="1493"/>
      <c r="AL113" s="1493"/>
      <c r="AM113" s="1493"/>
      <c r="AN113" s="1493"/>
      <c r="AO113" s="1493"/>
      <c r="AP113" s="1493"/>
      <c r="AQ113" s="1493"/>
      <c r="AS113" s="1493"/>
      <c r="AT113" s="1493"/>
      <c r="AU113" s="1493"/>
      <c r="AV113" s="1493"/>
      <c r="AW113" s="1493"/>
      <c r="AX113" s="1493"/>
      <c r="AY113" s="1493"/>
      <c r="AZ113" s="1493"/>
      <c r="BA113" s="1493"/>
      <c r="BB113" s="1493"/>
      <c r="BC113" s="1493"/>
      <c r="BD113" s="1493"/>
      <c r="BE113" s="1493"/>
      <c r="BF113" s="1493"/>
      <c r="BG113" s="1493"/>
      <c r="BH113" s="1493"/>
      <c r="BI113" s="1493"/>
      <c r="BJ113" s="1493"/>
      <c r="BK113" s="1493"/>
      <c r="BL113" s="1493"/>
      <c r="BN113" s="1493"/>
      <c r="BO113" s="1493"/>
      <c r="BP113" s="1493"/>
      <c r="BR113" s="1957"/>
      <c r="BS113" s="1493"/>
    </row>
    <row r="114" spans="2:71" ht="15.75" x14ac:dyDescent="0.25">
      <c r="B114" s="456"/>
      <c r="G114" s="1493"/>
      <c r="H114" s="1493"/>
      <c r="I114" s="1493"/>
      <c r="J114" s="1493"/>
      <c r="K114" s="1493"/>
      <c r="L114" s="1493"/>
      <c r="M114" s="1493"/>
      <c r="N114" s="1493"/>
      <c r="O114" s="1643"/>
      <c r="P114" s="1493"/>
      <c r="Q114" s="1493"/>
      <c r="R114" s="1493"/>
      <c r="S114" s="1493"/>
      <c r="T114" s="1493"/>
      <c r="U114" s="1493"/>
      <c r="V114" s="1493"/>
      <c r="W114" s="1493"/>
      <c r="Y114" s="1493"/>
      <c r="Z114" s="1493"/>
      <c r="AA114" s="1493"/>
      <c r="AB114" s="1493"/>
      <c r="AC114" s="1493"/>
      <c r="AD114" s="1493"/>
      <c r="AE114" s="1493"/>
      <c r="AF114" s="1493"/>
      <c r="AG114" s="1493"/>
      <c r="AH114" s="1493"/>
      <c r="AI114" s="1493"/>
      <c r="AJ114" s="1493"/>
      <c r="AK114" s="1493"/>
      <c r="AL114" s="1493"/>
      <c r="AM114" s="1493"/>
      <c r="AN114" s="1493"/>
      <c r="AO114" s="1493"/>
      <c r="AP114" s="1493"/>
      <c r="AQ114" s="1493"/>
      <c r="AS114" s="1493"/>
      <c r="AT114" s="1493"/>
      <c r="AU114" s="1493"/>
      <c r="AV114" s="1493"/>
      <c r="AW114" s="1493"/>
      <c r="AX114" s="1493"/>
      <c r="AY114" s="1493"/>
      <c r="AZ114" s="1493"/>
      <c r="BA114" s="1493"/>
      <c r="BB114" s="1493"/>
      <c r="BC114" s="1493"/>
      <c r="BD114" s="1493"/>
      <c r="BE114" s="1493"/>
      <c r="BF114" s="1493"/>
      <c r="BG114" s="1493"/>
      <c r="BH114" s="1493"/>
      <c r="BI114" s="1493"/>
      <c r="BJ114" s="1493"/>
      <c r="BK114" s="1493"/>
      <c r="BL114" s="1493"/>
      <c r="BN114" s="1493"/>
      <c r="BO114" s="1493"/>
      <c r="BP114" s="1493"/>
      <c r="BR114" s="1957"/>
      <c r="BS114" s="1493"/>
    </row>
    <row r="115" spans="2:71" x14ac:dyDescent="0.2">
      <c r="G115" s="1493"/>
      <c r="H115" s="1493"/>
      <c r="I115" s="1493"/>
      <c r="J115" s="1493"/>
      <c r="K115" s="1493"/>
      <c r="L115" s="1493"/>
      <c r="M115" s="1493"/>
      <c r="N115" s="1493"/>
      <c r="O115" s="1643"/>
      <c r="P115" s="1493"/>
      <c r="Q115" s="1493"/>
      <c r="R115" s="1493"/>
      <c r="S115" s="1493"/>
      <c r="T115" s="1493"/>
      <c r="U115" s="1493"/>
      <c r="V115" s="1493"/>
      <c r="W115" s="1493"/>
      <c r="Y115" s="1493"/>
      <c r="Z115" s="1493"/>
      <c r="AA115" s="1493"/>
      <c r="AB115" s="1493"/>
      <c r="AC115" s="1493"/>
      <c r="AD115" s="1493"/>
      <c r="AE115" s="1493"/>
      <c r="AF115" s="1493"/>
      <c r="AG115" s="1493"/>
      <c r="AH115" s="1493"/>
      <c r="AI115" s="1493"/>
      <c r="AJ115" s="1493"/>
      <c r="AK115" s="1493"/>
      <c r="AL115" s="1493"/>
      <c r="AM115" s="1493"/>
      <c r="AN115" s="1493"/>
      <c r="AO115" s="1493"/>
      <c r="AP115" s="1493"/>
      <c r="AQ115" s="1493"/>
      <c r="AS115" s="1493"/>
      <c r="AT115" s="1493"/>
      <c r="AU115" s="1493"/>
      <c r="AV115" s="1493"/>
      <c r="AW115" s="1493"/>
      <c r="AX115" s="1493"/>
      <c r="AY115" s="1493"/>
      <c r="AZ115" s="1493"/>
      <c r="BA115" s="1493"/>
      <c r="BB115" s="1493"/>
      <c r="BC115" s="1493"/>
      <c r="BD115" s="1493"/>
      <c r="BE115" s="1493"/>
      <c r="BF115" s="1493"/>
      <c r="BG115" s="1493"/>
      <c r="BH115" s="1493"/>
      <c r="BI115" s="1493"/>
      <c r="BJ115" s="1493"/>
      <c r="BK115" s="1493"/>
      <c r="BL115" s="1493"/>
      <c r="BN115" s="1493"/>
      <c r="BO115" s="1493"/>
      <c r="BP115" s="1493"/>
      <c r="BR115" s="1957"/>
      <c r="BS115" s="1493"/>
    </row>
    <row r="116" spans="2:71" ht="24" customHeight="1" x14ac:dyDescent="0.2">
      <c r="G116" s="1493"/>
      <c r="H116" s="1493"/>
      <c r="I116" s="1493"/>
      <c r="J116" s="1493"/>
      <c r="K116" s="1493"/>
      <c r="L116" s="1493"/>
      <c r="M116" s="1493"/>
      <c r="N116" s="1493"/>
      <c r="O116" s="1643"/>
      <c r="P116" s="1493"/>
      <c r="Q116" s="1493"/>
      <c r="R116" s="1493"/>
      <c r="S116" s="1493"/>
      <c r="T116" s="1493"/>
      <c r="U116" s="1493"/>
      <c r="V116" s="1493"/>
      <c r="W116" s="1493"/>
      <c r="Y116" s="1493"/>
      <c r="Z116" s="1493"/>
      <c r="AA116" s="1493"/>
      <c r="AB116" s="1493"/>
      <c r="AC116" s="1493"/>
      <c r="AD116" s="1493"/>
      <c r="AE116" s="1493"/>
      <c r="AF116" s="1493"/>
      <c r="AG116" s="1493"/>
      <c r="AH116" s="1493"/>
      <c r="AI116" s="1493"/>
      <c r="AJ116" s="1493"/>
      <c r="AK116" s="1493"/>
      <c r="AL116" s="1493"/>
      <c r="AM116" s="1493"/>
      <c r="AN116" s="1493"/>
      <c r="AO116" s="1493"/>
      <c r="AP116" s="1493"/>
      <c r="AQ116" s="1493"/>
      <c r="AS116" s="1493"/>
      <c r="AT116" s="1493"/>
      <c r="AU116" s="1493"/>
      <c r="AV116" s="1493"/>
      <c r="AW116" s="1493"/>
      <c r="AX116" s="1493"/>
      <c r="AY116" s="1493"/>
      <c r="AZ116" s="1493"/>
      <c r="BA116" s="1493"/>
      <c r="BB116" s="1493"/>
      <c r="BC116" s="1493"/>
      <c r="BD116" s="1493"/>
      <c r="BE116" s="1493"/>
      <c r="BF116" s="1493"/>
      <c r="BG116" s="1493"/>
      <c r="BH116" s="1493"/>
      <c r="BI116" s="1493"/>
      <c r="BJ116" s="1493"/>
      <c r="BK116" s="1493"/>
      <c r="BL116" s="1493"/>
      <c r="BN116" s="1493"/>
      <c r="BO116" s="1493"/>
      <c r="BP116" s="1493"/>
      <c r="BR116" s="1957"/>
      <c r="BS116" s="1493"/>
    </row>
    <row r="117" spans="2:71" x14ac:dyDescent="0.2">
      <c r="G117" s="1493"/>
      <c r="H117" s="1493"/>
      <c r="I117" s="1493"/>
      <c r="J117" s="1493"/>
      <c r="K117" s="1493"/>
      <c r="L117" s="1493"/>
      <c r="M117" s="1493"/>
      <c r="N117" s="1493"/>
      <c r="O117" s="1643"/>
      <c r="P117" s="1493"/>
      <c r="Q117" s="1493"/>
      <c r="R117" s="1493"/>
      <c r="S117" s="1493"/>
      <c r="T117" s="1493"/>
      <c r="U117" s="1493"/>
      <c r="V117" s="1493"/>
      <c r="W117" s="1493"/>
      <c r="Y117" s="1493"/>
      <c r="Z117" s="1493"/>
      <c r="AA117" s="1493"/>
      <c r="AB117" s="1493"/>
      <c r="AC117" s="1493"/>
      <c r="AD117" s="1493"/>
      <c r="AE117" s="1493"/>
      <c r="AF117" s="1493"/>
      <c r="AG117" s="1493"/>
      <c r="AH117" s="1493"/>
      <c r="AI117" s="1493"/>
      <c r="AJ117" s="1493"/>
      <c r="AK117" s="1493"/>
      <c r="AL117" s="1493"/>
      <c r="AM117" s="1493"/>
      <c r="AN117" s="1493"/>
      <c r="AO117" s="1493"/>
      <c r="AP117" s="1493"/>
      <c r="AQ117" s="1493"/>
      <c r="AS117" s="1493"/>
      <c r="AT117" s="1493"/>
      <c r="AU117" s="1493"/>
      <c r="AV117" s="1493"/>
      <c r="AW117" s="1493"/>
      <c r="AX117" s="1493"/>
      <c r="AY117" s="1493"/>
      <c r="AZ117" s="1493"/>
      <c r="BA117" s="1493"/>
      <c r="BB117" s="1493"/>
      <c r="BC117" s="1493"/>
      <c r="BD117" s="1493"/>
      <c r="BE117" s="1493"/>
      <c r="BF117" s="1493"/>
      <c r="BG117" s="1493"/>
      <c r="BH117" s="1493"/>
      <c r="BI117" s="1493"/>
      <c r="BJ117" s="1493"/>
      <c r="BK117" s="1493"/>
      <c r="BL117" s="1493"/>
      <c r="BN117" s="1493"/>
      <c r="BO117" s="1493"/>
      <c r="BP117" s="1493"/>
      <c r="BR117" s="1957"/>
      <c r="BS117" s="1493"/>
    </row>
    <row r="118" spans="2:71" x14ac:dyDescent="0.2">
      <c r="C118" s="1580"/>
      <c r="D118" s="746"/>
      <c r="G118" s="1493"/>
      <c r="H118" s="1493"/>
      <c r="I118" s="1493"/>
      <c r="J118" s="1493"/>
      <c r="K118" s="1493"/>
      <c r="L118" s="1493"/>
      <c r="M118" s="1493"/>
      <c r="N118" s="1493"/>
      <c r="O118" s="1643"/>
      <c r="P118" s="1493"/>
      <c r="Q118" s="1493"/>
      <c r="R118" s="1493"/>
      <c r="S118" s="1493"/>
      <c r="T118" s="1493"/>
      <c r="U118" s="1493"/>
      <c r="V118" s="1493"/>
      <c r="W118" s="1493"/>
      <c r="Y118" s="1493"/>
      <c r="Z118" s="1493"/>
      <c r="AA118" s="1493"/>
      <c r="AB118" s="1493"/>
      <c r="AC118" s="1493"/>
      <c r="AD118" s="1493"/>
      <c r="AE118" s="1493"/>
      <c r="AF118" s="1493"/>
      <c r="AG118" s="1493"/>
      <c r="AH118" s="1493"/>
      <c r="AI118" s="1493"/>
      <c r="AJ118" s="1493"/>
      <c r="AK118" s="1493"/>
      <c r="AL118" s="1493"/>
      <c r="AM118" s="1493"/>
      <c r="AN118" s="1493"/>
      <c r="AO118" s="1493"/>
      <c r="AP118" s="1493"/>
      <c r="AQ118" s="1493"/>
      <c r="AS118" s="1493"/>
      <c r="AT118" s="1493"/>
      <c r="AU118" s="1493"/>
      <c r="AV118" s="1493"/>
      <c r="AW118" s="1493"/>
      <c r="AX118" s="1493"/>
      <c r="AY118" s="1493"/>
      <c r="AZ118" s="1493"/>
      <c r="BA118" s="1493"/>
      <c r="BB118" s="1493"/>
      <c r="BC118" s="1493"/>
      <c r="BD118" s="1493"/>
      <c r="BE118" s="1493"/>
      <c r="BF118" s="1493"/>
      <c r="BG118" s="1493"/>
      <c r="BH118" s="1493"/>
      <c r="BI118" s="1493"/>
      <c r="BJ118" s="1493"/>
      <c r="BK118" s="1493"/>
      <c r="BL118" s="1493"/>
      <c r="BN118" s="1493"/>
      <c r="BO118" s="1493"/>
      <c r="BP118" s="1493"/>
      <c r="BR118" s="1957"/>
      <c r="BS118" s="1493"/>
    </row>
    <row r="119" spans="2:71" x14ac:dyDescent="0.2">
      <c r="G119" s="1493"/>
      <c r="H119" s="1493"/>
      <c r="I119" s="1493"/>
      <c r="J119" s="1493"/>
      <c r="K119" s="1493"/>
      <c r="L119" s="1493"/>
      <c r="M119" s="1493"/>
      <c r="N119" s="1493"/>
      <c r="O119" s="1643"/>
      <c r="P119" s="1493"/>
      <c r="Q119" s="1493"/>
      <c r="R119" s="1493"/>
      <c r="S119" s="1493"/>
      <c r="T119" s="1493"/>
      <c r="U119" s="1493"/>
      <c r="V119" s="1493"/>
      <c r="W119" s="1493"/>
      <c r="Y119" s="1493"/>
      <c r="Z119" s="1493"/>
      <c r="AA119" s="1493"/>
      <c r="AB119" s="1493"/>
      <c r="AC119" s="1493"/>
      <c r="AD119" s="1493"/>
      <c r="AE119" s="1493"/>
      <c r="AF119" s="1493"/>
      <c r="AG119" s="1493"/>
      <c r="AH119" s="1493"/>
      <c r="AI119" s="1493"/>
      <c r="AJ119" s="1493"/>
      <c r="AK119" s="1493"/>
      <c r="AL119" s="1493"/>
      <c r="AM119" s="1493"/>
      <c r="AN119" s="1493"/>
      <c r="AO119" s="1493"/>
      <c r="AP119" s="1493"/>
      <c r="AQ119" s="1493"/>
      <c r="AS119" s="1493"/>
      <c r="AT119" s="1493"/>
      <c r="AU119" s="1493"/>
      <c r="AV119" s="1493"/>
      <c r="AW119" s="1493"/>
      <c r="AX119" s="1493"/>
      <c r="AY119" s="1493"/>
      <c r="AZ119" s="1493"/>
      <c r="BA119" s="1493"/>
      <c r="BB119" s="1493"/>
      <c r="BC119" s="1493"/>
      <c r="BD119" s="1493"/>
      <c r="BE119" s="1493"/>
      <c r="BF119" s="1493"/>
      <c r="BG119" s="1493"/>
      <c r="BH119" s="1493"/>
      <c r="BI119" s="1493"/>
      <c r="BJ119" s="1493"/>
      <c r="BK119" s="1493"/>
      <c r="BL119" s="1493"/>
      <c r="BN119" s="1493"/>
      <c r="BO119" s="1493"/>
      <c r="BP119" s="1493"/>
      <c r="BR119" s="1957"/>
      <c r="BS119" s="1493"/>
    </row>
    <row r="120" spans="2:71" x14ac:dyDescent="0.2">
      <c r="G120" s="1493"/>
      <c r="H120" s="1493"/>
      <c r="I120" s="1493"/>
      <c r="J120" s="1493"/>
      <c r="K120" s="1493"/>
      <c r="L120" s="1493"/>
      <c r="M120" s="1493"/>
      <c r="N120" s="1493"/>
      <c r="O120" s="1643"/>
      <c r="P120" s="1493"/>
      <c r="Q120" s="1493"/>
      <c r="R120" s="1493"/>
      <c r="S120" s="1493"/>
      <c r="T120" s="1493"/>
      <c r="U120" s="1493"/>
      <c r="V120" s="1493"/>
      <c r="W120" s="1493"/>
      <c r="Y120" s="1493"/>
      <c r="Z120" s="1493"/>
      <c r="AA120" s="1493"/>
      <c r="AB120" s="1493"/>
      <c r="AC120" s="1493"/>
      <c r="AD120" s="1493"/>
      <c r="AE120" s="1493"/>
      <c r="AF120" s="1493"/>
      <c r="AG120" s="1493"/>
      <c r="AH120" s="1493"/>
      <c r="AI120" s="1493"/>
      <c r="AJ120" s="1493"/>
      <c r="AK120" s="1493"/>
      <c r="AL120" s="1493"/>
      <c r="AM120" s="1493"/>
      <c r="AN120" s="1493"/>
      <c r="AO120" s="1493"/>
      <c r="AP120" s="1493"/>
      <c r="AQ120" s="1493"/>
      <c r="AS120" s="1493"/>
      <c r="AT120" s="1493"/>
      <c r="AU120" s="1493"/>
      <c r="AV120" s="1493"/>
      <c r="AW120" s="1493"/>
      <c r="AX120" s="1493"/>
      <c r="AY120" s="1493"/>
      <c r="AZ120" s="1493"/>
      <c r="BA120" s="1493"/>
      <c r="BB120" s="1493"/>
      <c r="BC120" s="1493"/>
      <c r="BD120" s="1493"/>
      <c r="BE120" s="1493"/>
      <c r="BF120" s="1493"/>
      <c r="BG120" s="1493"/>
      <c r="BH120" s="1493"/>
      <c r="BI120" s="1493"/>
      <c r="BJ120" s="1493"/>
      <c r="BK120" s="1493"/>
      <c r="BL120" s="1493"/>
      <c r="BN120" s="1493"/>
      <c r="BO120" s="1493"/>
      <c r="BP120" s="1493"/>
      <c r="BR120" s="1957"/>
      <c r="BS120" s="1493"/>
    </row>
    <row r="121" spans="2:71" x14ac:dyDescent="0.2">
      <c r="G121" s="1493"/>
      <c r="H121" s="1493"/>
      <c r="I121" s="1493"/>
      <c r="J121" s="1493"/>
      <c r="K121" s="1493"/>
      <c r="L121" s="1493"/>
      <c r="M121" s="1493"/>
      <c r="N121" s="1493"/>
      <c r="O121" s="1643"/>
      <c r="P121" s="1493"/>
      <c r="Q121" s="1493"/>
      <c r="R121" s="1493"/>
      <c r="S121" s="1493"/>
      <c r="T121" s="1493"/>
      <c r="U121" s="1493"/>
      <c r="V121" s="1493"/>
      <c r="W121" s="1493"/>
      <c r="Y121" s="1493"/>
      <c r="Z121" s="1493"/>
      <c r="AA121" s="1493"/>
      <c r="AB121" s="1493"/>
      <c r="AC121" s="1493"/>
      <c r="AD121" s="1493"/>
      <c r="AE121" s="1493"/>
      <c r="AF121" s="1493"/>
      <c r="AG121" s="1493"/>
      <c r="AH121" s="1493"/>
      <c r="AI121" s="1493"/>
      <c r="AJ121" s="1493"/>
      <c r="AK121" s="1493"/>
      <c r="AL121" s="1493"/>
      <c r="AM121" s="1493"/>
      <c r="AN121" s="1493"/>
      <c r="AO121" s="1493"/>
      <c r="AP121" s="1493"/>
      <c r="AQ121" s="1493"/>
      <c r="AS121" s="1493"/>
      <c r="AT121" s="1493"/>
      <c r="AU121" s="1493"/>
      <c r="AV121" s="1493"/>
      <c r="AW121" s="1493"/>
      <c r="AX121" s="1493"/>
      <c r="AY121" s="1493"/>
      <c r="AZ121" s="1493"/>
      <c r="BA121" s="1493"/>
      <c r="BB121" s="1493"/>
      <c r="BC121" s="1493"/>
      <c r="BD121" s="1493"/>
      <c r="BE121" s="1493"/>
      <c r="BF121" s="1493"/>
      <c r="BG121" s="1493"/>
      <c r="BH121" s="1493"/>
      <c r="BI121" s="1493"/>
      <c r="BJ121" s="1493"/>
      <c r="BK121" s="1493"/>
      <c r="BL121" s="1493"/>
      <c r="BN121" s="1493"/>
      <c r="BO121" s="1493"/>
      <c r="BP121" s="1493"/>
      <c r="BR121" s="1957"/>
      <c r="BS121" s="1493"/>
    </row>
    <row r="122" spans="2:71" x14ac:dyDescent="0.2">
      <c r="G122" s="1493"/>
      <c r="H122" s="1493"/>
      <c r="I122" s="1493"/>
      <c r="J122" s="1493"/>
      <c r="K122" s="1493"/>
      <c r="L122" s="1493"/>
      <c r="M122" s="1493"/>
      <c r="N122" s="1493"/>
      <c r="O122" s="1643"/>
      <c r="P122" s="1493"/>
      <c r="Q122" s="1493"/>
      <c r="R122" s="1493"/>
      <c r="S122" s="1493"/>
      <c r="T122" s="1493"/>
      <c r="U122" s="1493"/>
      <c r="V122" s="1493"/>
      <c r="W122" s="1493"/>
      <c r="Y122" s="1493"/>
      <c r="Z122" s="1493"/>
      <c r="AA122" s="1493"/>
      <c r="AB122" s="1493"/>
      <c r="AC122" s="1493"/>
      <c r="AD122" s="1493"/>
      <c r="AE122" s="1493"/>
      <c r="AF122" s="1493"/>
      <c r="AG122" s="1493"/>
      <c r="AH122" s="1493"/>
      <c r="AI122" s="1493"/>
      <c r="AJ122" s="1493"/>
      <c r="AK122" s="1493"/>
      <c r="AL122" s="1493"/>
      <c r="AM122" s="1493"/>
      <c r="AN122" s="1493"/>
      <c r="AO122" s="1493"/>
      <c r="AP122" s="1493"/>
      <c r="AQ122" s="1493"/>
      <c r="AS122" s="1493"/>
      <c r="AT122" s="1493"/>
      <c r="AU122" s="1493"/>
      <c r="AV122" s="1493"/>
      <c r="AW122" s="1493"/>
      <c r="AX122" s="1493"/>
      <c r="AY122" s="1493"/>
      <c r="AZ122" s="1493"/>
      <c r="BA122" s="1493"/>
      <c r="BB122" s="1493"/>
      <c r="BC122" s="1493"/>
      <c r="BD122" s="1493"/>
      <c r="BE122" s="1493"/>
      <c r="BF122" s="1493"/>
      <c r="BG122" s="1493"/>
      <c r="BH122" s="1493"/>
      <c r="BI122" s="1493"/>
      <c r="BJ122" s="1493"/>
      <c r="BK122" s="1493"/>
      <c r="BL122" s="1493"/>
      <c r="BN122" s="1493"/>
      <c r="BO122" s="1493"/>
      <c r="BP122" s="1493"/>
      <c r="BR122" s="1957"/>
      <c r="BS122" s="1493"/>
    </row>
    <row r="123" spans="2:71" x14ac:dyDescent="0.2">
      <c r="G123" s="1493"/>
      <c r="H123" s="1493"/>
      <c r="I123" s="1493"/>
      <c r="J123" s="1493"/>
      <c r="K123" s="1493"/>
      <c r="L123" s="1493"/>
      <c r="M123" s="1493"/>
      <c r="N123" s="1493"/>
      <c r="O123" s="1643"/>
      <c r="P123" s="1493"/>
      <c r="Q123" s="1493"/>
      <c r="R123" s="1493"/>
      <c r="S123" s="1493"/>
      <c r="T123" s="1493"/>
      <c r="U123" s="1493"/>
      <c r="V123" s="1493"/>
      <c r="W123" s="1493"/>
      <c r="Y123" s="1493"/>
      <c r="Z123" s="1493"/>
      <c r="AA123" s="1493"/>
      <c r="AB123" s="1493"/>
      <c r="AC123" s="1493"/>
      <c r="AD123" s="1493"/>
      <c r="AE123" s="1493"/>
      <c r="AF123" s="1493"/>
      <c r="AG123" s="1493"/>
      <c r="AH123" s="1493"/>
      <c r="AI123" s="1493"/>
      <c r="AJ123" s="1493"/>
      <c r="AK123" s="1493"/>
      <c r="AL123" s="1493"/>
      <c r="AM123" s="1493"/>
      <c r="AN123" s="1493"/>
      <c r="AO123" s="1493"/>
      <c r="AP123" s="1493"/>
      <c r="AQ123" s="1493"/>
      <c r="AS123" s="1493"/>
      <c r="AT123" s="1493"/>
      <c r="AU123" s="1493"/>
      <c r="AV123" s="1493"/>
      <c r="AW123" s="1493"/>
      <c r="AX123" s="1493"/>
      <c r="AY123" s="1493"/>
      <c r="AZ123" s="1493"/>
      <c r="BA123" s="1493"/>
      <c r="BB123" s="1493"/>
      <c r="BC123" s="1493"/>
      <c r="BD123" s="1493"/>
      <c r="BE123" s="1493"/>
      <c r="BF123" s="1493"/>
      <c r="BG123" s="1493"/>
      <c r="BH123" s="1493"/>
      <c r="BI123" s="1493"/>
      <c r="BJ123" s="1493"/>
      <c r="BK123" s="1493"/>
      <c r="BL123" s="1493"/>
      <c r="BN123" s="1493"/>
      <c r="BO123" s="1493"/>
      <c r="BP123" s="1493"/>
      <c r="BR123" s="1957"/>
      <c r="BS123" s="1493"/>
    </row>
    <row r="124" spans="2:71" x14ac:dyDescent="0.2">
      <c r="G124" s="1493"/>
      <c r="H124" s="1493"/>
      <c r="I124" s="1493"/>
      <c r="J124" s="1493"/>
      <c r="K124" s="1493"/>
      <c r="L124" s="1493"/>
      <c r="M124" s="1493"/>
      <c r="N124" s="1493"/>
      <c r="O124" s="1643"/>
      <c r="P124" s="1493"/>
      <c r="Q124" s="1493"/>
      <c r="R124" s="1493"/>
      <c r="S124" s="1493"/>
      <c r="T124" s="1493"/>
      <c r="U124" s="1493"/>
      <c r="V124" s="1493"/>
      <c r="W124" s="1493"/>
      <c r="Y124" s="1493"/>
      <c r="Z124" s="1493"/>
      <c r="AA124" s="1493"/>
      <c r="AB124" s="1493"/>
      <c r="AC124" s="1493"/>
      <c r="AD124" s="1493"/>
      <c r="AE124" s="1493"/>
      <c r="AF124" s="1493"/>
      <c r="AG124" s="1493"/>
      <c r="AH124" s="1493"/>
      <c r="AI124" s="1493"/>
      <c r="AJ124" s="1493"/>
      <c r="AK124" s="1493"/>
      <c r="AL124" s="1493"/>
      <c r="AM124" s="1493"/>
      <c r="AN124" s="1493"/>
      <c r="AO124" s="1493"/>
      <c r="AP124" s="1493"/>
      <c r="AQ124" s="1493"/>
      <c r="AS124" s="1493"/>
      <c r="AT124" s="1493"/>
      <c r="AU124" s="1493"/>
      <c r="AV124" s="1493"/>
      <c r="AW124" s="1493"/>
      <c r="AX124" s="1493"/>
      <c r="AY124" s="1493"/>
      <c r="AZ124" s="1493"/>
      <c r="BA124" s="1493"/>
      <c r="BB124" s="1493"/>
      <c r="BC124" s="1493"/>
      <c r="BD124" s="1493"/>
      <c r="BE124" s="1493"/>
      <c r="BF124" s="1493"/>
      <c r="BG124" s="1493"/>
      <c r="BH124" s="1493"/>
      <c r="BI124" s="1493"/>
      <c r="BJ124" s="1493"/>
      <c r="BK124" s="1493"/>
      <c r="BL124" s="1493"/>
      <c r="BN124" s="1493"/>
      <c r="BO124" s="1493"/>
      <c r="BP124" s="1493"/>
      <c r="BR124" s="1957"/>
      <c r="BS124" s="1493"/>
    </row>
    <row r="125" spans="2:71" x14ac:dyDescent="0.2">
      <c r="G125" s="1493"/>
      <c r="H125" s="1493"/>
      <c r="I125" s="1493"/>
      <c r="J125" s="1493"/>
      <c r="K125" s="1493"/>
      <c r="L125" s="1493"/>
      <c r="M125" s="1493"/>
      <c r="N125" s="1493"/>
      <c r="O125" s="1643"/>
      <c r="P125" s="1493"/>
      <c r="Q125" s="1493"/>
      <c r="R125" s="1493"/>
      <c r="S125" s="1493"/>
      <c r="T125" s="1493"/>
      <c r="U125" s="1493"/>
      <c r="V125" s="1493"/>
      <c r="W125" s="1493"/>
      <c r="Y125" s="1493"/>
      <c r="Z125" s="1493"/>
      <c r="AA125" s="1493"/>
      <c r="AB125" s="1493"/>
      <c r="AC125" s="1493"/>
      <c r="AD125" s="1493"/>
      <c r="AE125" s="1493"/>
      <c r="AF125" s="1493"/>
      <c r="AG125" s="1493"/>
      <c r="AH125" s="1493"/>
      <c r="AI125" s="1493"/>
      <c r="AJ125" s="1493"/>
      <c r="AK125" s="1493"/>
      <c r="AL125" s="1493"/>
      <c r="AM125" s="1493"/>
      <c r="AN125" s="1493"/>
      <c r="AO125" s="1493"/>
      <c r="AP125" s="1493"/>
      <c r="AQ125" s="1493"/>
      <c r="AS125" s="1493"/>
      <c r="AT125" s="1493"/>
      <c r="AU125" s="1493"/>
      <c r="AV125" s="1493"/>
      <c r="AW125" s="1493"/>
      <c r="AX125" s="1493"/>
      <c r="AY125" s="1493"/>
      <c r="AZ125" s="1493"/>
      <c r="BA125" s="1493"/>
      <c r="BB125" s="1493"/>
      <c r="BC125" s="1493"/>
      <c r="BD125" s="1493"/>
      <c r="BE125" s="1493"/>
      <c r="BF125" s="1493"/>
      <c r="BG125" s="1493"/>
      <c r="BH125" s="1493"/>
      <c r="BI125" s="1493"/>
      <c r="BJ125" s="1493"/>
      <c r="BK125" s="1493"/>
      <c r="BL125" s="1493"/>
      <c r="BN125" s="1493"/>
      <c r="BO125" s="1493"/>
      <c r="BP125" s="1493"/>
      <c r="BR125" s="1957"/>
      <c r="BS125" s="1493"/>
    </row>
    <row r="126" spans="2:71" x14ac:dyDescent="0.2">
      <c r="G126" s="1493"/>
      <c r="H126" s="1493"/>
      <c r="I126" s="1493"/>
      <c r="J126" s="1493"/>
      <c r="K126" s="1493"/>
      <c r="L126" s="1493"/>
      <c r="M126" s="1493"/>
      <c r="N126" s="1493"/>
      <c r="O126" s="1643"/>
      <c r="P126" s="1493"/>
      <c r="Q126" s="1493"/>
      <c r="R126" s="1493"/>
      <c r="S126" s="1493"/>
      <c r="T126" s="1493"/>
      <c r="U126" s="1493"/>
      <c r="V126" s="1493"/>
      <c r="W126" s="1493"/>
      <c r="Y126" s="1493"/>
      <c r="Z126" s="1493"/>
      <c r="AA126" s="1493"/>
      <c r="AB126" s="1493"/>
      <c r="AC126" s="1493"/>
      <c r="AD126" s="1493"/>
      <c r="AE126" s="1493"/>
      <c r="AF126" s="1493"/>
      <c r="AG126" s="1493"/>
      <c r="AH126" s="1493"/>
      <c r="AI126" s="1493"/>
      <c r="AJ126" s="1493"/>
      <c r="AK126" s="1493"/>
      <c r="AL126" s="1493"/>
      <c r="AM126" s="1493"/>
      <c r="AN126" s="1493"/>
      <c r="AO126" s="1493"/>
      <c r="AP126" s="1493"/>
      <c r="AQ126" s="1493"/>
      <c r="AS126" s="1493"/>
      <c r="AT126" s="1493"/>
      <c r="AU126" s="1493"/>
      <c r="AV126" s="1493"/>
      <c r="AW126" s="1493"/>
      <c r="AX126" s="1493"/>
      <c r="AY126" s="1493"/>
      <c r="AZ126" s="1493"/>
      <c r="BA126" s="1493"/>
      <c r="BB126" s="1493"/>
      <c r="BC126" s="1493"/>
      <c r="BD126" s="1493"/>
      <c r="BE126" s="1493"/>
      <c r="BF126" s="1493"/>
      <c r="BG126" s="1493"/>
      <c r="BH126" s="1493"/>
      <c r="BI126" s="1493"/>
      <c r="BJ126" s="1493"/>
      <c r="BK126" s="1493"/>
      <c r="BL126" s="1493"/>
      <c r="BN126" s="1493"/>
      <c r="BO126" s="1493"/>
      <c r="BP126" s="1493"/>
      <c r="BR126" s="1957"/>
      <c r="BS126" s="1493"/>
    </row>
    <row r="127" spans="2:71" x14ac:dyDescent="0.2">
      <c r="G127" s="1493"/>
      <c r="H127" s="1493"/>
      <c r="I127" s="1493"/>
      <c r="J127" s="1493"/>
      <c r="K127" s="1493"/>
      <c r="L127" s="1493"/>
      <c r="M127" s="1493"/>
      <c r="N127" s="1493"/>
      <c r="O127" s="1643"/>
      <c r="P127" s="1493"/>
      <c r="Q127" s="1493"/>
      <c r="R127" s="1493"/>
      <c r="S127" s="1493"/>
      <c r="T127" s="1493"/>
      <c r="U127" s="1493"/>
      <c r="V127" s="1493"/>
      <c r="W127" s="1493"/>
      <c r="Y127" s="1493"/>
      <c r="Z127" s="1493"/>
      <c r="AA127" s="1493"/>
      <c r="AB127" s="1493"/>
      <c r="AC127" s="1493"/>
      <c r="AD127" s="1493"/>
      <c r="AE127" s="1493"/>
      <c r="AF127" s="1493"/>
      <c r="AG127" s="1493"/>
      <c r="AH127" s="1493"/>
      <c r="AI127" s="1493"/>
      <c r="AJ127" s="1493"/>
      <c r="AK127" s="1493"/>
      <c r="AL127" s="1493"/>
      <c r="AM127" s="1493"/>
      <c r="AN127" s="1493"/>
      <c r="AO127" s="1493"/>
      <c r="AP127" s="1493"/>
      <c r="AQ127" s="1493"/>
      <c r="AS127" s="1493"/>
      <c r="AT127" s="1493"/>
      <c r="AU127" s="1493"/>
      <c r="AV127" s="1493"/>
      <c r="AW127" s="1493"/>
      <c r="AX127" s="1493"/>
      <c r="AY127" s="1493"/>
      <c r="AZ127" s="1493"/>
      <c r="BA127" s="1493"/>
      <c r="BB127" s="1493"/>
      <c r="BC127" s="1493"/>
      <c r="BD127" s="1493"/>
      <c r="BE127" s="1493"/>
      <c r="BF127" s="1493"/>
      <c r="BG127" s="1493"/>
      <c r="BH127" s="1493"/>
      <c r="BI127" s="1493"/>
      <c r="BJ127" s="1493"/>
      <c r="BK127" s="1493"/>
      <c r="BL127" s="1493"/>
      <c r="BN127" s="1493"/>
      <c r="BO127" s="1493"/>
      <c r="BP127" s="1493"/>
      <c r="BR127" s="1957"/>
      <c r="BS127" s="1493"/>
    </row>
    <row r="128" spans="2:71" x14ac:dyDescent="0.2">
      <c r="G128" s="1493"/>
      <c r="H128" s="1493"/>
      <c r="I128" s="1493"/>
      <c r="J128" s="1493"/>
      <c r="K128" s="1493"/>
      <c r="L128" s="1493"/>
      <c r="M128" s="1493"/>
      <c r="N128" s="1493"/>
      <c r="O128" s="1643"/>
      <c r="P128" s="1493"/>
      <c r="Q128" s="1493"/>
      <c r="R128" s="1493"/>
      <c r="S128" s="1493"/>
      <c r="T128" s="1493"/>
      <c r="U128" s="1493"/>
      <c r="V128" s="1493"/>
      <c r="W128" s="1493"/>
      <c r="Y128" s="1493"/>
      <c r="Z128" s="1493"/>
      <c r="AA128" s="1493"/>
      <c r="AB128" s="1493"/>
      <c r="AC128" s="1493"/>
      <c r="AD128" s="1493"/>
      <c r="AE128" s="1493"/>
      <c r="AF128" s="1493"/>
      <c r="AG128" s="1493"/>
      <c r="AH128" s="1493"/>
      <c r="AI128" s="1493"/>
      <c r="AJ128" s="1493"/>
      <c r="AK128" s="1493"/>
      <c r="AL128" s="1493"/>
      <c r="AM128" s="1493"/>
      <c r="AN128" s="1493"/>
      <c r="AO128" s="1493"/>
      <c r="AP128" s="1493"/>
      <c r="AQ128" s="1493"/>
      <c r="AS128" s="1493"/>
      <c r="AT128" s="1493"/>
      <c r="AU128" s="1493"/>
      <c r="AV128" s="1493"/>
      <c r="AW128" s="1493"/>
      <c r="AX128" s="1493"/>
      <c r="AY128" s="1493"/>
      <c r="AZ128" s="1493"/>
      <c r="BA128" s="1493"/>
      <c r="BB128" s="1493"/>
      <c r="BC128" s="1493"/>
      <c r="BD128" s="1493"/>
      <c r="BE128" s="1493"/>
      <c r="BF128" s="1493"/>
      <c r="BG128" s="1493"/>
      <c r="BH128" s="1493"/>
      <c r="BI128" s="1493"/>
      <c r="BJ128" s="1493"/>
      <c r="BK128" s="1493"/>
      <c r="BL128" s="1493"/>
      <c r="BN128" s="1493"/>
      <c r="BO128" s="1493"/>
      <c r="BP128" s="1493"/>
      <c r="BR128" s="1957"/>
      <c r="BS128" s="1493"/>
    </row>
    <row r="129" spans="7:71" x14ac:dyDescent="0.2">
      <c r="G129" s="1493"/>
      <c r="H129" s="1493"/>
      <c r="I129" s="1493"/>
      <c r="J129" s="1493"/>
      <c r="K129" s="1493"/>
      <c r="L129" s="1493"/>
      <c r="M129" s="1493"/>
      <c r="N129" s="1493"/>
      <c r="O129" s="1643"/>
      <c r="P129" s="1493"/>
      <c r="Q129" s="1493"/>
      <c r="R129" s="1493"/>
      <c r="S129" s="1493"/>
      <c r="T129" s="1493"/>
      <c r="U129" s="1493"/>
      <c r="V129" s="1493"/>
      <c r="W129" s="1493"/>
      <c r="Y129" s="1493"/>
      <c r="Z129" s="1493"/>
      <c r="AA129" s="1493"/>
      <c r="AB129" s="1493"/>
      <c r="AC129" s="1493"/>
      <c r="AD129" s="1493"/>
      <c r="AE129" s="1493"/>
      <c r="AF129" s="1493"/>
      <c r="AG129" s="1493"/>
      <c r="AH129" s="1493"/>
      <c r="AI129" s="1493"/>
      <c r="AJ129" s="1493"/>
      <c r="AK129" s="1493"/>
      <c r="AL129" s="1493"/>
      <c r="AM129" s="1493"/>
      <c r="AN129" s="1493"/>
      <c r="AO129" s="1493"/>
      <c r="AP129" s="1493"/>
      <c r="AQ129" s="1493"/>
      <c r="AS129" s="1493"/>
      <c r="AT129" s="1493"/>
      <c r="AU129" s="1493"/>
      <c r="AV129" s="1493"/>
      <c r="AW129" s="1493"/>
      <c r="AX129" s="1493"/>
      <c r="AY129" s="1493"/>
      <c r="AZ129" s="1493"/>
      <c r="BA129" s="1493"/>
      <c r="BB129" s="1493"/>
      <c r="BC129" s="1493"/>
      <c r="BD129" s="1493"/>
      <c r="BE129" s="1493"/>
      <c r="BF129" s="1493"/>
      <c r="BG129" s="1493"/>
      <c r="BH129" s="1493"/>
      <c r="BI129" s="1493"/>
      <c r="BJ129" s="1493"/>
      <c r="BK129" s="1493"/>
      <c r="BL129" s="1493"/>
      <c r="BN129" s="1493"/>
      <c r="BO129" s="1493"/>
      <c r="BP129" s="1493"/>
      <c r="BR129" s="1957"/>
      <c r="BS129" s="1493"/>
    </row>
    <row r="130" spans="7:71" x14ac:dyDescent="0.2">
      <c r="G130" s="1493"/>
      <c r="H130" s="1493"/>
      <c r="I130" s="1493"/>
      <c r="J130" s="1493"/>
      <c r="K130" s="1493"/>
      <c r="L130" s="1493"/>
      <c r="M130" s="1493"/>
      <c r="N130" s="1493"/>
      <c r="O130" s="1643"/>
      <c r="P130" s="1493"/>
      <c r="Q130" s="1493"/>
      <c r="R130" s="1493"/>
      <c r="S130" s="1493"/>
      <c r="T130" s="1493"/>
      <c r="U130" s="1493"/>
      <c r="V130" s="1493"/>
      <c r="W130" s="1493"/>
      <c r="Y130" s="1493"/>
      <c r="Z130" s="1493"/>
      <c r="AA130" s="1493"/>
      <c r="AB130" s="1493"/>
      <c r="AC130" s="1493"/>
      <c r="AD130" s="1493"/>
      <c r="AE130" s="1493"/>
      <c r="AF130" s="1493"/>
      <c r="AG130" s="1493"/>
      <c r="AH130" s="1493"/>
      <c r="AI130" s="1493"/>
      <c r="AJ130" s="1493"/>
      <c r="AK130" s="1493"/>
      <c r="AL130" s="1493"/>
      <c r="AM130" s="1493"/>
      <c r="AN130" s="1493"/>
      <c r="AO130" s="1493"/>
      <c r="AP130" s="1493"/>
      <c r="AQ130" s="1493"/>
      <c r="AS130" s="1493"/>
      <c r="AT130" s="1493"/>
      <c r="AU130" s="1493"/>
      <c r="AV130" s="1493"/>
      <c r="AW130" s="1493"/>
      <c r="AX130" s="1493"/>
      <c r="AY130" s="1493"/>
      <c r="AZ130" s="1493"/>
      <c r="BA130" s="1493"/>
      <c r="BB130" s="1493"/>
      <c r="BC130" s="1493"/>
      <c r="BD130" s="1493"/>
      <c r="BE130" s="1493"/>
      <c r="BF130" s="1493"/>
      <c r="BG130" s="1493"/>
      <c r="BH130" s="1493"/>
      <c r="BI130" s="1493"/>
      <c r="BJ130" s="1493"/>
      <c r="BK130" s="1493"/>
      <c r="BL130" s="1493"/>
      <c r="BN130" s="1493"/>
      <c r="BO130" s="1493"/>
      <c r="BP130" s="1493"/>
      <c r="BR130" s="1957"/>
      <c r="BS130" s="1493"/>
    </row>
    <row r="131" spans="7:71" x14ac:dyDescent="0.2">
      <c r="G131" s="1493"/>
      <c r="H131" s="1493"/>
      <c r="I131" s="1493"/>
      <c r="J131" s="1493"/>
      <c r="K131" s="1493"/>
      <c r="L131" s="1493"/>
      <c r="M131" s="1493"/>
      <c r="N131" s="1493"/>
      <c r="O131" s="1643"/>
      <c r="P131" s="1493"/>
      <c r="Q131" s="1493"/>
      <c r="R131" s="1493"/>
      <c r="S131" s="1493"/>
      <c r="T131" s="1493"/>
      <c r="U131" s="1493"/>
      <c r="V131" s="1493"/>
      <c r="W131" s="1493"/>
      <c r="Y131" s="1493"/>
      <c r="Z131" s="1493"/>
      <c r="AA131" s="1493"/>
      <c r="AB131" s="1493"/>
      <c r="AC131" s="1493"/>
      <c r="AD131" s="1493"/>
      <c r="AE131" s="1493"/>
      <c r="AF131" s="1493"/>
      <c r="AG131" s="1493"/>
      <c r="AH131" s="1493"/>
      <c r="AI131" s="1493"/>
      <c r="AJ131" s="1493"/>
      <c r="AK131" s="1493"/>
      <c r="AL131" s="1493"/>
      <c r="AM131" s="1493"/>
      <c r="AN131" s="1493"/>
      <c r="AO131" s="1493"/>
      <c r="AP131" s="1493"/>
      <c r="AQ131" s="1493"/>
      <c r="AS131" s="1493"/>
      <c r="AT131" s="1493"/>
      <c r="AU131" s="1493"/>
      <c r="AV131" s="1493"/>
      <c r="AW131" s="1493"/>
      <c r="AX131" s="1493"/>
      <c r="AY131" s="1493"/>
      <c r="AZ131" s="1493"/>
      <c r="BA131" s="1493"/>
      <c r="BB131" s="1493"/>
      <c r="BC131" s="1493"/>
      <c r="BD131" s="1493"/>
      <c r="BE131" s="1493"/>
      <c r="BF131" s="1493"/>
      <c r="BG131" s="1493"/>
      <c r="BH131" s="1493"/>
      <c r="BI131" s="1493"/>
      <c r="BJ131" s="1493"/>
      <c r="BK131" s="1493"/>
      <c r="BL131" s="1493"/>
      <c r="BN131" s="1493"/>
      <c r="BO131" s="1493"/>
      <c r="BP131" s="1493"/>
      <c r="BR131" s="1957"/>
      <c r="BS131" s="1493"/>
    </row>
    <row r="132" spans="7:71" x14ac:dyDescent="0.2">
      <c r="G132" s="1493"/>
      <c r="H132" s="1493"/>
      <c r="I132" s="1493"/>
      <c r="J132" s="1493"/>
      <c r="K132" s="1493"/>
      <c r="L132" s="1493"/>
      <c r="M132" s="1493"/>
      <c r="N132" s="1493"/>
      <c r="O132" s="1643"/>
      <c r="P132" s="1493"/>
      <c r="Q132" s="1493"/>
      <c r="R132" s="1493"/>
      <c r="S132" s="1493"/>
      <c r="T132" s="1493"/>
      <c r="U132" s="1493"/>
      <c r="V132" s="1493"/>
      <c r="W132" s="1493"/>
      <c r="Y132" s="1493"/>
      <c r="Z132" s="1493"/>
      <c r="AA132" s="1493"/>
      <c r="AB132" s="1493"/>
      <c r="AC132" s="1493"/>
      <c r="AD132" s="1493"/>
      <c r="AE132" s="1493"/>
      <c r="AF132" s="1493"/>
      <c r="AG132" s="1493"/>
      <c r="AH132" s="1493"/>
      <c r="AI132" s="1493"/>
      <c r="AJ132" s="1493"/>
      <c r="AK132" s="1493"/>
      <c r="AL132" s="1493"/>
      <c r="AM132" s="1493"/>
      <c r="AN132" s="1493"/>
      <c r="AO132" s="1493"/>
      <c r="AP132" s="1493"/>
      <c r="AQ132" s="1493"/>
      <c r="AS132" s="1493"/>
      <c r="AT132" s="1493"/>
      <c r="AU132" s="1493"/>
      <c r="AV132" s="1493"/>
      <c r="AW132" s="1493"/>
      <c r="AX132" s="1493"/>
      <c r="AY132" s="1493"/>
      <c r="AZ132" s="1493"/>
      <c r="BA132" s="1493"/>
      <c r="BB132" s="1493"/>
      <c r="BC132" s="1493"/>
      <c r="BD132" s="1493"/>
      <c r="BE132" s="1493"/>
      <c r="BF132" s="1493"/>
      <c r="BG132" s="1493"/>
      <c r="BH132" s="1493"/>
      <c r="BI132" s="1493"/>
      <c r="BJ132" s="1493"/>
      <c r="BK132" s="1493"/>
      <c r="BL132" s="1493"/>
      <c r="BN132" s="1493"/>
      <c r="BO132" s="1493"/>
      <c r="BP132" s="1493"/>
      <c r="BR132" s="1957"/>
      <c r="BS132" s="1493"/>
    </row>
    <row r="133" spans="7:71" x14ac:dyDescent="0.2">
      <c r="G133" s="1493"/>
      <c r="H133" s="1493"/>
      <c r="I133" s="1493"/>
      <c r="J133" s="1493"/>
      <c r="K133" s="1493"/>
      <c r="L133" s="1493"/>
      <c r="M133" s="1493"/>
      <c r="N133" s="1493"/>
      <c r="O133" s="1643"/>
      <c r="P133" s="1493"/>
      <c r="Q133" s="1493"/>
      <c r="R133" s="1493"/>
      <c r="S133" s="1493"/>
      <c r="T133" s="1493"/>
      <c r="U133" s="1493"/>
      <c r="V133" s="1493"/>
      <c r="W133" s="1493"/>
      <c r="Y133" s="1493"/>
      <c r="Z133" s="1493"/>
      <c r="AA133" s="1493"/>
      <c r="AB133" s="1493"/>
      <c r="AC133" s="1493"/>
      <c r="AD133" s="1493"/>
      <c r="AE133" s="1493"/>
      <c r="AF133" s="1493"/>
      <c r="AG133" s="1493"/>
      <c r="AH133" s="1493"/>
      <c r="AI133" s="1493"/>
      <c r="AJ133" s="1493"/>
      <c r="AK133" s="1493"/>
      <c r="AL133" s="1493"/>
      <c r="AM133" s="1493"/>
      <c r="AN133" s="1493"/>
      <c r="AO133" s="1493"/>
      <c r="AP133" s="1493"/>
      <c r="AQ133" s="1493"/>
      <c r="AS133" s="1493"/>
      <c r="AT133" s="1493"/>
      <c r="AU133" s="1493"/>
      <c r="AV133" s="1493"/>
      <c r="AW133" s="1493"/>
      <c r="AX133" s="1493"/>
      <c r="AY133" s="1493"/>
      <c r="AZ133" s="1493"/>
      <c r="BA133" s="1493"/>
      <c r="BB133" s="1493"/>
      <c r="BC133" s="1493"/>
      <c r="BD133" s="1493"/>
      <c r="BE133" s="1493"/>
      <c r="BF133" s="1493"/>
      <c r="BG133" s="1493"/>
      <c r="BH133" s="1493"/>
      <c r="BI133" s="1493"/>
      <c r="BJ133" s="1493"/>
      <c r="BK133" s="1493"/>
      <c r="BL133" s="1493"/>
      <c r="BN133" s="1493"/>
      <c r="BO133" s="1493"/>
      <c r="BP133" s="1493"/>
      <c r="BR133" s="1957"/>
      <c r="BS133" s="1493"/>
    </row>
    <row r="134" spans="7:71" x14ac:dyDescent="0.2">
      <c r="G134" s="1493"/>
      <c r="H134" s="1493"/>
      <c r="I134" s="1493"/>
      <c r="J134" s="1493"/>
      <c r="K134" s="1493"/>
      <c r="L134" s="1493"/>
      <c r="M134" s="1493"/>
      <c r="N134" s="1493"/>
      <c r="O134" s="1643"/>
      <c r="P134" s="1493"/>
      <c r="Q134" s="1493"/>
      <c r="R134" s="1493"/>
      <c r="S134" s="1493"/>
      <c r="T134" s="1493"/>
      <c r="U134" s="1493"/>
      <c r="V134" s="1493"/>
      <c r="W134" s="1493"/>
      <c r="Y134" s="1493"/>
      <c r="Z134" s="1493"/>
      <c r="AA134" s="1493"/>
      <c r="AB134" s="1493"/>
      <c r="AC134" s="1493"/>
      <c r="AD134" s="1493"/>
      <c r="AE134" s="1493"/>
      <c r="AF134" s="1493"/>
      <c r="AG134" s="1493"/>
      <c r="AH134" s="1493"/>
      <c r="AI134" s="1493"/>
      <c r="AJ134" s="1493"/>
      <c r="AK134" s="1493"/>
      <c r="AL134" s="1493"/>
      <c r="AM134" s="1493"/>
      <c r="AN134" s="1493"/>
      <c r="AO134" s="1493"/>
      <c r="AP134" s="1493"/>
      <c r="AQ134" s="1493"/>
      <c r="AS134" s="1493"/>
      <c r="AT134" s="1493"/>
      <c r="AU134" s="1493"/>
      <c r="AV134" s="1493"/>
      <c r="AW134" s="1493"/>
      <c r="AX134" s="1493"/>
      <c r="AY134" s="1493"/>
      <c r="AZ134" s="1493"/>
      <c r="BA134" s="1493"/>
      <c r="BB134" s="1493"/>
      <c r="BC134" s="1493"/>
      <c r="BD134" s="1493"/>
      <c r="BE134" s="1493"/>
      <c r="BF134" s="1493"/>
      <c r="BG134" s="1493"/>
      <c r="BH134" s="1493"/>
      <c r="BI134" s="1493"/>
      <c r="BJ134" s="1493"/>
      <c r="BK134" s="1493"/>
      <c r="BL134" s="1493"/>
      <c r="BN134" s="1493"/>
      <c r="BO134" s="1493"/>
      <c r="BP134" s="1493"/>
      <c r="BR134" s="1957"/>
      <c r="BS134" s="1493"/>
    </row>
    <row r="135" spans="7:71" x14ac:dyDescent="0.2">
      <c r="G135" s="1493"/>
      <c r="H135" s="1493"/>
      <c r="I135" s="1493"/>
      <c r="J135" s="1493"/>
      <c r="K135" s="1493"/>
      <c r="L135" s="1493"/>
      <c r="M135" s="1493"/>
      <c r="N135" s="1493"/>
      <c r="O135" s="1643"/>
      <c r="P135" s="1493"/>
      <c r="Q135" s="1493"/>
      <c r="R135" s="1493"/>
      <c r="S135" s="1493"/>
      <c r="T135" s="1493"/>
      <c r="U135" s="1493"/>
      <c r="V135" s="1493"/>
      <c r="W135" s="1493"/>
      <c r="Y135" s="1493"/>
      <c r="Z135" s="1493"/>
      <c r="AA135" s="1493"/>
      <c r="AB135" s="1493"/>
      <c r="AC135" s="1493"/>
      <c r="AD135" s="1493"/>
      <c r="AE135" s="1493"/>
      <c r="AF135" s="1493"/>
      <c r="AG135" s="1493"/>
      <c r="AH135" s="1493"/>
      <c r="AI135" s="1493"/>
      <c r="AJ135" s="1493"/>
      <c r="AK135" s="1493"/>
      <c r="AL135" s="1493"/>
      <c r="AM135" s="1493"/>
      <c r="AN135" s="1493"/>
      <c r="AO135" s="1493"/>
      <c r="AP135" s="1493"/>
      <c r="AQ135" s="1493"/>
      <c r="AS135" s="1493"/>
      <c r="AT135" s="1493"/>
      <c r="AU135" s="1493"/>
      <c r="AV135" s="1493"/>
      <c r="AW135" s="1493"/>
      <c r="AX135" s="1493"/>
      <c r="AY135" s="1493"/>
      <c r="AZ135" s="1493"/>
      <c r="BA135" s="1493"/>
      <c r="BB135" s="1493"/>
      <c r="BC135" s="1493"/>
      <c r="BD135" s="1493"/>
      <c r="BE135" s="1493"/>
      <c r="BF135" s="1493"/>
      <c r="BG135" s="1493"/>
      <c r="BH135" s="1493"/>
      <c r="BI135" s="1493"/>
      <c r="BJ135" s="1493"/>
      <c r="BK135" s="1493"/>
      <c r="BL135" s="1493"/>
      <c r="BN135" s="1493"/>
      <c r="BO135" s="1493"/>
      <c r="BP135" s="1493"/>
      <c r="BR135" s="1957"/>
      <c r="BS135" s="1493"/>
    </row>
    <row r="136" spans="7:71" x14ac:dyDescent="0.2">
      <c r="G136" s="1493"/>
      <c r="H136" s="1493"/>
      <c r="I136" s="1493"/>
      <c r="J136" s="1493"/>
      <c r="K136" s="1493"/>
      <c r="L136" s="1493"/>
      <c r="M136" s="1493"/>
      <c r="N136" s="1493"/>
      <c r="O136" s="1643"/>
      <c r="P136" s="1493"/>
      <c r="Q136" s="1493"/>
      <c r="R136" s="1493"/>
      <c r="S136" s="1493"/>
      <c r="T136" s="1493"/>
      <c r="U136" s="1493"/>
      <c r="V136" s="1493"/>
      <c r="W136" s="1493"/>
      <c r="Y136" s="1493"/>
      <c r="Z136" s="1493"/>
      <c r="AA136" s="1493"/>
      <c r="AB136" s="1493"/>
      <c r="AC136" s="1493"/>
      <c r="AD136" s="1493"/>
      <c r="AE136" s="1493"/>
      <c r="AF136" s="1493"/>
      <c r="AG136" s="1493"/>
      <c r="AH136" s="1493"/>
      <c r="AI136" s="1493"/>
      <c r="AJ136" s="1493"/>
      <c r="AK136" s="1493"/>
      <c r="AL136" s="1493"/>
      <c r="AM136" s="1493"/>
      <c r="AN136" s="1493"/>
      <c r="AO136" s="1493"/>
      <c r="AP136" s="1493"/>
      <c r="AQ136" s="1493"/>
      <c r="AS136" s="1493"/>
      <c r="AT136" s="1493"/>
      <c r="AU136" s="1493"/>
      <c r="AV136" s="1493"/>
      <c r="AW136" s="1493"/>
      <c r="AX136" s="1493"/>
      <c r="AY136" s="1493"/>
      <c r="AZ136" s="1493"/>
      <c r="BA136" s="1493"/>
      <c r="BB136" s="1493"/>
      <c r="BC136" s="1493"/>
      <c r="BD136" s="1493"/>
      <c r="BE136" s="1493"/>
      <c r="BF136" s="1493"/>
      <c r="BG136" s="1493"/>
      <c r="BH136" s="1493"/>
      <c r="BI136" s="1493"/>
      <c r="BJ136" s="1493"/>
      <c r="BK136" s="1493"/>
      <c r="BL136" s="1493"/>
      <c r="BN136" s="1493"/>
      <c r="BO136" s="1493"/>
      <c r="BP136" s="1493"/>
      <c r="BR136" s="1957"/>
      <c r="BS136" s="1493"/>
    </row>
    <row r="137" spans="7:71" x14ac:dyDescent="0.2">
      <c r="G137" s="1493"/>
      <c r="H137" s="1493"/>
      <c r="I137" s="1493"/>
      <c r="J137" s="1493"/>
      <c r="K137" s="1493"/>
      <c r="L137" s="1493"/>
      <c r="M137" s="1493"/>
      <c r="N137" s="1493"/>
      <c r="O137" s="1643"/>
      <c r="P137" s="1493"/>
      <c r="Q137" s="1493"/>
      <c r="R137" s="1493"/>
      <c r="S137" s="1493"/>
      <c r="T137" s="1493"/>
      <c r="U137" s="1493"/>
      <c r="V137" s="1493"/>
      <c r="W137" s="1493"/>
      <c r="Y137" s="1493"/>
      <c r="Z137" s="1493"/>
      <c r="AA137" s="1493"/>
      <c r="AB137" s="1493"/>
      <c r="AC137" s="1493"/>
      <c r="AD137" s="1493"/>
      <c r="AE137" s="1493"/>
      <c r="AF137" s="1493"/>
      <c r="AG137" s="1493"/>
      <c r="AH137" s="1493"/>
      <c r="AI137" s="1493"/>
      <c r="AJ137" s="1493"/>
      <c r="AK137" s="1493"/>
      <c r="AL137" s="1493"/>
      <c r="AM137" s="1493"/>
      <c r="AN137" s="1493"/>
      <c r="AO137" s="1493"/>
      <c r="AP137" s="1493"/>
      <c r="AQ137" s="1493"/>
      <c r="AS137" s="1493"/>
      <c r="AT137" s="1493"/>
      <c r="AU137" s="1493"/>
      <c r="AV137" s="1493"/>
      <c r="AW137" s="1493"/>
      <c r="AX137" s="1493"/>
      <c r="AY137" s="1493"/>
      <c r="AZ137" s="1493"/>
      <c r="BA137" s="1493"/>
      <c r="BB137" s="1493"/>
      <c r="BC137" s="1493"/>
      <c r="BD137" s="1493"/>
      <c r="BE137" s="1493"/>
      <c r="BF137" s="1493"/>
      <c r="BG137" s="1493"/>
      <c r="BH137" s="1493"/>
      <c r="BI137" s="1493"/>
      <c r="BJ137" s="1493"/>
      <c r="BK137" s="1493"/>
      <c r="BL137" s="1493"/>
      <c r="BN137" s="1493"/>
      <c r="BO137" s="1493"/>
      <c r="BP137" s="1493"/>
      <c r="BR137" s="1957"/>
      <c r="BS137" s="1493"/>
    </row>
    <row r="138" spans="7:71" x14ac:dyDescent="0.2">
      <c r="G138" s="1493"/>
      <c r="H138" s="1493"/>
      <c r="I138" s="1493"/>
      <c r="J138" s="1493"/>
      <c r="K138" s="1493"/>
      <c r="L138" s="1493"/>
      <c r="M138" s="1493"/>
      <c r="N138" s="1493"/>
      <c r="O138" s="1643"/>
      <c r="P138" s="1493"/>
      <c r="Q138" s="1493"/>
      <c r="R138" s="1493"/>
      <c r="S138" s="1493"/>
      <c r="T138" s="1493"/>
      <c r="U138" s="1493"/>
      <c r="V138" s="1493"/>
      <c r="W138" s="1493"/>
      <c r="Y138" s="1493"/>
      <c r="Z138" s="1493"/>
      <c r="AA138" s="1493"/>
      <c r="AB138" s="1493"/>
      <c r="AC138" s="1493"/>
      <c r="AD138" s="1493"/>
      <c r="AE138" s="1493"/>
      <c r="AF138" s="1493"/>
      <c r="AG138" s="1493"/>
      <c r="AH138" s="1493"/>
      <c r="AI138" s="1493"/>
      <c r="AJ138" s="1493"/>
      <c r="AK138" s="1493"/>
      <c r="AL138" s="1493"/>
      <c r="AM138" s="1493"/>
      <c r="AN138" s="1493"/>
      <c r="AO138" s="1493"/>
      <c r="AP138" s="1493"/>
      <c r="AQ138" s="1493"/>
      <c r="AS138" s="1493"/>
      <c r="AT138" s="1493"/>
      <c r="AU138" s="1493"/>
      <c r="AV138" s="1493"/>
      <c r="AW138" s="1493"/>
      <c r="AX138" s="1493"/>
      <c r="AY138" s="1493"/>
      <c r="AZ138" s="1493"/>
      <c r="BA138" s="1493"/>
      <c r="BB138" s="1493"/>
      <c r="BC138" s="1493"/>
      <c r="BD138" s="1493"/>
      <c r="BE138" s="1493"/>
      <c r="BF138" s="1493"/>
      <c r="BG138" s="1493"/>
      <c r="BH138" s="1493"/>
      <c r="BI138" s="1493"/>
      <c r="BJ138" s="1493"/>
      <c r="BK138" s="1493"/>
      <c r="BL138" s="1493"/>
      <c r="BN138" s="1493"/>
      <c r="BO138" s="1493"/>
      <c r="BP138" s="1493"/>
      <c r="BR138" s="1957"/>
      <c r="BS138" s="1493"/>
    </row>
    <row r="139" spans="7:71" x14ac:dyDescent="0.2">
      <c r="G139" s="1493"/>
      <c r="H139" s="1493"/>
      <c r="I139" s="1493"/>
      <c r="J139" s="1493"/>
      <c r="K139" s="1493"/>
      <c r="L139" s="1493"/>
      <c r="M139" s="1493"/>
      <c r="N139" s="1493"/>
      <c r="O139" s="1643"/>
      <c r="P139" s="1493"/>
      <c r="Q139" s="1493"/>
      <c r="R139" s="1493"/>
      <c r="S139" s="1493"/>
      <c r="T139" s="1493"/>
      <c r="U139" s="1493"/>
      <c r="V139" s="1493"/>
      <c r="W139" s="1493"/>
      <c r="Y139" s="1493"/>
      <c r="Z139" s="1493"/>
      <c r="AA139" s="1493"/>
      <c r="AB139" s="1493"/>
      <c r="AC139" s="1493"/>
      <c r="AD139" s="1493"/>
      <c r="AE139" s="1493"/>
      <c r="AF139" s="1493"/>
      <c r="AG139" s="1493"/>
      <c r="AH139" s="1493"/>
      <c r="AI139" s="1493"/>
      <c r="AJ139" s="1493"/>
      <c r="AK139" s="1493"/>
      <c r="AL139" s="1493"/>
      <c r="AM139" s="1493"/>
      <c r="AN139" s="1493"/>
      <c r="AO139" s="1493"/>
      <c r="AP139" s="1493"/>
      <c r="AQ139" s="1493"/>
      <c r="AS139" s="1493"/>
      <c r="AT139" s="1493"/>
      <c r="AU139" s="1493"/>
      <c r="AV139" s="1493"/>
      <c r="AW139" s="1493"/>
      <c r="AX139" s="1493"/>
      <c r="AY139" s="1493"/>
      <c r="AZ139" s="1493"/>
      <c r="BA139" s="1493"/>
      <c r="BB139" s="1493"/>
      <c r="BC139" s="1493"/>
      <c r="BD139" s="1493"/>
      <c r="BE139" s="1493"/>
      <c r="BF139" s="1493"/>
      <c r="BG139" s="1493"/>
      <c r="BH139" s="1493"/>
      <c r="BI139" s="1493"/>
      <c r="BJ139" s="1493"/>
      <c r="BK139" s="1493"/>
      <c r="BL139" s="1493"/>
      <c r="BN139" s="1493"/>
      <c r="BO139" s="1493"/>
      <c r="BP139" s="1493"/>
      <c r="BR139" s="1957"/>
      <c r="BS139" s="1493"/>
    </row>
    <row r="140" spans="7:71" x14ac:dyDescent="0.2">
      <c r="G140" s="1493"/>
      <c r="H140" s="1493"/>
      <c r="I140" s="1493"/>
      <c r="J140" s="1493"/>
      <c r="K140" s="1493"/>
      <c r="L140" s="1493"/>
      <c r="M140" s="1493"/>
      <c r="N140" s="1493"/>
      <c r="O140" s="1643"/>
      <c r="P140" s="1493"/>
      <c r="Q140" s="1493"/>
      <c r="R140" s="1493"/>
      <c r="S140" s="1493"/>
      <c r="T140" s="1493"/>
      <c r="U140" s="1493"/>
      <c r="V140" s="1493"/>
      <c r="W140" s="1493"/>
      <c r="Y140" s="1493"/>
      <c r="Z140" s="1493"/>
      <c r="AA140" s="1493"/>
      <c r="AB140" s="1493"/>
      <c r="AC140" s="1493"/>
      <c r="AD140" s="1493"/>
      <c r="AE140" s="1493"/>
      <c r="AF140" s="1493"/>
      <c r="AG140" s="1493"/>
      <c r="AH140" s="1493"/>
      <c r="AI140" s="1493"/>
      <c r="AJ140" s="1493"/>
      <c r="AK140" s="1493"/>
      <c r="AL140" s="1493"/>
      <c r="AM140" s="1493"/>
      <c r="AN140" s="1493"/>
      <c r="AO140" s="1493"/>
      <c r="AP140" s="1493"/>
      <c r="AQ140" s="1493"/>
      <c r="AS140" s="1493"/>
      <c r="AT140" s="1493"/>
      <c r="AU140" s="1493"/>
      <c r="AV140" s="1493"/>
      <c r="AW140" s="1493"/>
      <c r="AX140" s="1493"/>
      <c r="AY140" s="1493"/>
      <c r="AZ140" s="1493"/>
      <c r="BA140" s="1493"/>
      <c r="BB140" s="1493"/>
      <c r="BC140" s="1493"/>
      <c r="BD140" s="1493"/>
      <c r="BE140" s="1493"/>
      <c r="BF140" s="1493"/>
      <c r="BG140" s="1493"/>
      <c r="BH140" s="1493"/>
      <c r="BI140" s="1493"/>
      <c r="BJ140" s="1493"/>
      <c r="BK140" s="1493"/>
      <c r="BL140" s="1493"/>
      <c r="BN140" s="1493"/>
      <c r="BO140" s="1493"/>
      <c r="BP140" s="1493"/>
      <c r="BR140" s="1957"/>
      <c r="BS140" s="1493"/>
    </row>
    <row r="141" spans="7:71" x14ac:dyDescent="0.2">
      <c r="G141" s="1493"/>
      <c r="H141" s="1493"/>
      <c r="I141" s="1493"/>
      <c r="J141" s="1493"/>
      <c r="K141" s="1493"/>
      <c r="L141" s="1493"/>
      <c r="M141" s="1493"/>
      <c r="N141" s="1493"/>
      <c r="O141" s="1643"/>
      <c r="P141" s="1493"/>
      <c r="Q141" s="1493"/>
      <c r="R141" s="1493"/>
      <c r="S141" s="1493"/>
      <c r="T141" s="1493"/>
      <c r="U141" s="1493"/>
      <c r="V141" s="1493"/>
      <c r="W141" s="1493"/>
      <c r="Y141" s="1493"/>
      <c r="Z141" s="1493"/>
      <c r="AA141" s="1493"/>
      <c r="AB141" s="1493"/>
      <c r="AC141" s="1493"/>
      <c r="AD141" s="1493"/>
      <c r="AE141" s="1493"/>
      <c r="AF141" s="1493"/>
      <c r="AG141" s="1493"/>
      <c r="AH141" s="1493"/>
      <c r="AI141" s="1493"/>
      <c r="AJ141" s="1493"/>
      <c r="AK141" s="1493"/>
      <c r="AL141" s="1493"/>
      <c r="AM141" s="1493"/>
      <c r="AN141" s="1493"/>
      <c r="AO141" s="1493"/>
      <c r="AP141" s="1493"/>
      <c r="AQ141" s="1493"/>
      <c r="AS141" s="1493"/>
      <c r="AT141" s="1493"/>
      <c r="AU141" s="1493"/>
      <c r="AV141" s="1493"/>
      <c r="AW141" s="1493"/>
      <c r="AX141" s="1493"/>
      <c r="AY141" s="1493"/>
      <c r="AZ141" s="1493"/>
      <c r="BA141" s="1493"/>
      <c r="BB141" s="1493"/>
      <c r="BC141" s="1493"/>
      <c r="BD141" s="1493"/>
      <c r="BE141" s="1493"/>
      <c r="BF141" s="1493"/>
      <c r="BG141" s="1493"/>
      <c r="BH141" s="1493"/>
      <c r="BI141" s="1493"/>
      <c r="BJ141" s="1493"/>
      <c r="BK141" s="1493"/>
      <c r="BL141" s="1493"/>
      <c r="BN141" s="1493"/>
      <c r="BO141" s="1493"/>
      <c r="BP141" s="1493"/>
      <c r="BR141" s="1957"/>
      <c r="BS141" s="1493"/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DP151"/>
  <sheetViews>
    <sheetView topLeftCell="A38" zoomScaleNormal="100" workbookViewId="0">
      <selection activeCell="D70" sqref="D70"/>
    </sheetView>
  </sheetViews>
  <sheetFormatPr baseColWidth="10" defaultColWidth="8.85546875" defaultRowHeight="12.75" outlineLevelRow="2" outlineLevelCol="2" x14ac:dyDescent="0.2"/>
  <cols>
    <col min="1" max="1" width="15.5703125" customWidth="1"/>
    <col min="2" max="2" width="1.42578125" customWidth="1"/>
    <col min="3" max="3" width="9.28515625" style="1429" customWidth="1"/>
    <col min="4" max="4" width="28.28515625" style="1430" customWidth="1"/>
    <col min="5" max="5" width="41.7109375" style="1430" customWidth="1"/>
    <col min="6" max="6" width="1.140625" customWidth="1" outlineLevel="1"/>
    <col min="7" max="14" width="13.28515625" style="1430" hidden="1" customWidth="1" outlineLevel="2"/>
    <col min="15" max="15" width="13.28515625" style="1431" hidden="1" customWidth="1" outlineLevel="2"/>
    <col min="16" max="22" width="13.28515625" style="1430" hidden="1" customWidth="1" outlineLevel="2"/>
    <col min="23" max="23" width="13.28515625" style="1430" customWidth="1" outlineLevel="1" collapsed="1"/>
    <col min="24" max="24" width="1.140625" customWidth="1" outlineLevel="1"/>
    <col min="25" max="25" width="14.5703125" style="1430" hidden="1" customWidth="1" outlineLevel="2"/>
    <col min="26" max="26" width="12.5703125" style="1430" hidden="1" customWidth="1" outlineLevel="2"/>
    <col min="27" max="29" width="14.85546875" style="1430" hidden="1" customWidth="1" outlineLevel="2"/>
    <col min="30" max="35" width="10" style="1430" hidden="1" customWidth="1" outlineLevel="2"/>
    <col min="36" max="36" width="11.85546875" style="1430" hidden="1" customWidth="1" outlineLevel="2"/>
    <col min="37" max="42" width="10" style="1430" hidden="1" customWidth="1" outlineLevel="2"/>
    <col min="43" max="43" width="14.140625" style="1430" customWidth="1" outlineLevel="1" collapsed="1"/>
    <col min="44" max="44" width="1.140625" customWidth="1" outlineLevel="1"/>
    <col min="45" max="49" width="10" style="1430" hidden="1" customWidth="1" outlineLevel="2"/>
    <col min="50" max="50" width="10.140625" style="1430" hidden="1" customWidth="1" outlineLevel="2"/>
    <col min="51" max="51" width="10.85546875" style="1430" hidden="1" customWidth="1" outlineLevel="2"/>
    <col min="52" max="52" width="12.7109375" style="1430" hidden="1" customWidth="1" outlineLevel="2"/>
    <col min="53" max="53" width="16.5703125" style="1430" hidden="1" customWidth="1" outlineLevel="2"/>
    <col min="54" max="63" width="10" style="1430" hidden="1" customWidth="1" outlineLevel="2"/>
    <col min="64" max="64" width="11.42578125" style="1430" customWidth="1" outlineLevel="1" collapsed="1"/>
    <col min="65" max="65" width="1.140625" customWidth="1" outlineLevel="1"/>
    <col min="66" max="66" width="10" style="1430" hidden="1" customWidth="1" outlineLevel="2"/>
    <col min="67" max="67" width="13" style="1430" hidden="1" customWidth="1" outlineLevel="2"/>
    <col min="68" max="68" width="10" style="1430" customWidth="1" outlineLevel="1" collapsed="1"/>
    <col min="69" max="69" width="1.140625" customWidth="1" outlineLevel="1"/>
    <col min="70" max="70" width="18.7109375" style="1429" customWidth="1" outlineLevel="1"/>
    <col min="71" max="71" width="5.28515625" style="1430" customWidth="1"/>
    <col min="73" max="116" width="7.42578125" hidden="1" customWidth="1" outlineLevel="1"/>
    <col min="117" max="117" width="2.42578125" hidden="1" customWidth="1" outlineLevel="1"/>
    <col min="118" max="119" width="8.85546875" hidden="1" customWidth="1" outlineLevel="1"/>
    <col min="120" max="120" width="8.85546875" collapsed="1"/>
  </cols>
  <sheetData>
    <row r="1" spans="1:118" ht="6" customHeight="1" x14ac:dyDescent="0.2"/>
    <row r="2" spans="1:118" ht="21" customHeight="1" x14ac:dyDescent="0.2">
      <c r="D2" s="1432"/>
      <c r="E2" s="1433">
        <v>2020</v>
      </c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Y2" s="1434"/>
      <c r="Z2" s="1434"/>
      <c r="AA2" s="1434"/>
      <c r="AB2" s="1434"/>
      <c r="AC2" s="1434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N2"/>
      <c r="BO2"/>
      <c r="BP2"/>
      <c r="BR2" s="74"/>
      <c r="BS2" s="1435"/>
    </row>
    <row r="3" spans="1:118" ht="39" customHeight="1" x14ac:dyDescent="0.2">
      <c r="A3" s="1436"/>
      <c r="B3" s="1436"/>
      <c r="C3" s="1436"/>
      <c r="D3" s="1437"/>
      <c r="E3" s="1438" t="s">
        <v>171</v>
      </c>
      <c r="G3" s="1439" t="s">
        <v>912</v>
      </c>
      <c r="H3" s="1439"/>
      <c r="I3" s="1439"/>
      <c r="J3" s="1439"/>
      <c r="K3" s="1439"/>
      <c r="L3" s="1439"/>
      <c r="M3" s="1439"/>
      <c r="N3" s="1439"/>
      <c r="O3" s="1439"/>
      <c r="P3" s="1439"/>
      <c r="Q3" s="1439"/>
      <c r="R3" s="1439"/>
      <c r="S3" s="1439"/>
      <c r="T3" s="1439"/>
      <c r="U3" s="1439"/>
      <c r="V3" s="1439"/>
      <c r="W3" s="1439"/>
      <c r="Y3" s="1440" t="s">
        <v>913</v>
      </c>
      <c r="Z3" s="1441"/>
      <c r="AA3" s="1441"/>
      <c r="AB3" s="1441"/>
      <c r="AC3" s="1441"/>
      <c r="AD3" s="1442"/>
      <c r="AE3" s="1441"/>
      <c r="AF3" s="1441"/>
      <c r="AG3" s="1441"/>
      <c r="AH3" s="1441"/>
      <c r="AI3" s="1441"/>
      <c r="AJ3" s="1441"/>
      <c r="AK3" s="1441"/>
      <c r="AL3" s="1441"/>
      <c r="AM3" s="1441"/>
      <c r="AN3" s="1441"/>
      <c r="AO3" s="1441"/>
      <c r="AP3" s="1441"/>
      <c r="AQ3" s="1443"/>
      <c r="AS3" s="1444" t="s">
        <v>914</v>
      </c>
      <c r="AT3" s="1445"/>
      <c r="AU3" s="1445"/>
      <c r="AV3" s="1446"/>
      <c r="AW3" s="1445"/>
      <c r="AX3" s="1445"/>
      <c r="AY3" s="1445"/>
      <c r="AZ3" s="1445"/>
      <c r="BA3" s="1445"/>
      <c r="BB3" s="1445"/>
      <c r="BC3" s="1445"/>
      <c r="BD3" s="1445"/>
      <c r="BE3" s="1445"/>
      <c r="BF3" s="1445"/>
      <c r="BG3" s="1445"/>
      <c r="BH3" s="1445"/>
      <c r="BI3" s="1445"/>
      <c r="BJ3" s="1445"/>
      <c r="BK3" s="1445"/>
      <c r="BL3" s="1447"/>
      <c r="BN3" s="1448" t="s">
        <v>915</v>
      </c>
      <c r="BO3" s="1449"/>
      <c r="BP3" s="1449"/>
      <c r="BR3" s="1450"/>
      <c r="BS3" s="1450"/>
      <c r="BT3" s="1436"/>
      <c r="BU3" s="1451" t="s">
        <v>918</v>
      </c>
      <c r="BV3" s="1452"/>
      <c r="BW3" s="1452"/>
      <c r="BX3" s="1452"/>
      <c r="BY3" s="1452"/>
      <c r="BZ3" s="1452"/>
      <c r="CA3" s="1452"/>
      <c r="CB3" s="1452"/>
      <c r="CC3" s="1452"/>
      <c r="CD3" s="1452"/>
      <c r="CE3" s="1452"/>
      <c r="CF3" s="1452"/>
      <c r="CG3" s="1452"/>
      <c r="CH3" s="1452"/>
      <c r="CI3" s="1452"/>
      <c r="CJ3" s="1452"/>
      <c r="CK3" s="1452"/>
      <c r="CL3" s="1452"/>
      <c r="CM3" s="1452"/>
      <c r="CN3" s="1452"/>
      <c r="CO3" s="1452"/>
      <c r="CP3" s="1452"/>
      <c r="CQ3" s="1452"/>
      <c r="CR3" s="1452"/>
      <c r="CS3" s="1452"/>
      <c r="CT3" s="1452"/>
      <c r="CU3" s="1452"/>
      <c r="CV3" s="1452"/>
      <c r="CW3" s="1452"/>
      <c r="CX3" s="1452"/>
      <c r="CY3" s="1452"/>
      <c r="CZ3" s="1452"/>
      <c r="DA3" s="1452"/>
      <c r="DB3" s="1452"/>
      <c r="DC3" s="1452"/>
      <c r="DD3" s="1452"/>
      <c r="DE3" s="1452"/>
      <c r="DF3" s="1452"/>
      <c r="DG3" s="1452"/>
      <c r="DH3" s="1452"/>
      <c r="DI3" s="1453"/>
      <c r="DJ3" s="1453"/>
      <c r="DK3" s="1453"/>
      <c r="DL3" s="1453"/>
    </row>
    <row r="4" spans="1:118" ht="63.75" customHeight="1" x14ac:dyDescent="0.2">
      <c r="C4" s="1454"/>
      <c r="D4" s="1454"/>
      <c r="G4" s="1455" t="str">
        <f>INDEX(Vectors[Descripción], MATCH(G$5,Vectors[Código],FALSE))</f>
        <v>Climatización</v>
      </c>
      <c r="H4" s="1455" t="str">
        <f>INDEX(Vectors[Descripción], MATCH(H$5,Vectors[Código],FALSE))</f>
        <v>Iluminación</v>
      </c>
      <c r="I4" s="1455" t="str">
        <f>INDEX(Vectors[Descripción], MATCH(I$5,Vectors[Código],FALSE))</f>
        <v>Refrigeración</v>
      </c>
      <c r="J4" s="1455" t="str">
        <f>INDEX(Vectors[Descripción], MATCH(J$5,Vectors[Código],FALSE))</f>
        <v>ACS</v>
      </c>
      <c r="K4" s="1455" t="str">
        <f>INDEX(Vectors[Descripción], MATCH(K$5,Vectors[Código],FALSE))</f>
        <v>Cocción</v>
      </c>
      <c r="L4" s="1455" t="str">
        <f>INDEX(Vectors[Descripción], MATCH(L$5,Vectors[Código],FALSE))</f>
        <v>Otros Electrodomésticos</v>
      </c>
      <c r="M4" s="1455" t="str">
        <f>INDEX(Vectors[Descripción], MATCH(M$5,Vectors[Código],FALSE))</f>
        <v>Industria y minería</v>
      </c>
      <c r="N4" s="1455" t="str">
        <f>INDEX(Vectors[Descripción], MATCH(N$5,Vectors[Código],FALSE))</f>
        <v>Transporte pasajeros caminero Urbano</v>
      </c>
      <c r="O4" s="1455" t="str">
        <f>INDEX(Vectors[Descripción], MATCH(O$5,Vectors[Código],FALSE))</f>
        <v>Transporte pasajeros caminero Interurbano</v>
      </c>
      <c r="P4" s="1455" t="str">
        <f>INDEX(Vectors[Descripción], MATCH(P$5,Vectors[Código],FALSE))</f>
        <v>Transporte pasajeros ferroviario Urbano</v>
      </c>
      <c r="Q4" s="1455" t="str">
        <f>INDEX(Vectors[Descripción], MATCH(Q$5,Vectors[Código],FALSE))</f>
        <v>Transporte pasajeros ferroviario Interurbano</v>
      </c>
      <c r="R4" s="1455" t="str">
        <f>INDEX(Vectors[Descripción], MATCH(R$5,Vectors[Código],FALSE))</f>
        <v>Transporte pasajeros Aéreo Interurbano</v>
      </c>
      <c r="S4" s="1455" t="str">
        <f>INDEX(Vectors[Descripción], MATCH(S$5,Vectors[Código],FALSE))</f>
        <v>Transporte de carga caminero Urbano</v>
      </c>
      <c r="T4" s="1455" t="str">
        <f>INDEX(Vectors[Descripción], MATCH(T$5,Vectors[Código],FALSE))</f>
        <v>Transporte de carga caminero Interurbano</v>
      </c>
      <c r="U4" s="1455" t="str">
        <f>INDEX(Vectors[Descripción], MATCH(U$5,Vectors[Código],FALSE))</f>
        <v>Transporte de carga ferroviario</v>
      </c>
      <c r="V4" s="1455" t="str">
        <f>INDEX(Vectors[Descripción], MATCH(V$5,Vectors[Código],FALSE))</f>
        <v>Transporte de carga maritimo</v>
      </c>
      <c r="W4" s="3169" t="s">
        <v>2218</v>
      </c>
      <c r="Y4" s="1456" t="str">
        <f>INDEX(Vectors[Descripción], MATCH(Y$5,Vectors[Código],FALSE))</f>
        <v>Electricidad (consumo final)</v>
      </c>
      <c r="Z4" s="1456" t="str">
        <f>INDEX(Vectors[Descripción], MATCH(Z5,Vectors[Código],FALSE))</f>
        <v>Electricidad (suministrada a la red)</v>
      </c>
      <c r="AA4" s="1456" t="str">
        <f>INDEX(Vectors[Descripción], MATCH(AA5,Vectors[Código],FALSE))</f>
        <v>Hidrocarburo Sólido</v>
      </c>
      <c r="AB4" s="1456" t="str">
        <f>INDEX(Vectors[Descripción], MATCH(AB5,Vectors[Código],FALSE))</f>
        <v>Hidrocarburo Líquido</v>
      </c>
      <c r="AC4" s="1456" t="str">
        <f>INDEX(Vectors[Descripción], MATCH(AC5,Vectors[Código],FALSE))</f>
        <v>Hidrocarburo Gaseoso</v>
      </c>
      <c r="AD4" s="1456" t="str">
        <f>INDEX(Vectors[Descripción], MATCH(AD5,Vectors[Código],FALSE))</f>
        <v>Carbón y  residuos fósiles</v>
      </c>
      <c r="AE4" s="1456" t="str">
        <f>INDEX(Vectors[Descripción], MATCH(AE5,Vectors[Código],FALSE))</f>
        <v>Derivados del petróleo</v>
      </c>
      <c r="AF4" s="1456" t="str">
        <f>INDEX(Vectors[Descripción], MATCH(AF5,Vectors[Código],FALSE))</f>
        <v>Gas Natural</v>
      </c>
      <c r="AG4" s="1456" t="str">
        <f>INDEX(Vectors[Descripción], MATCH(AG5,Vectors[Código],FALSE))</f>
        <v>Blast furnace gas</v>
      </c>
      <c r="AH4" s="1456" t="str">
        <f>INDEX(Vectors[Descripción], MATCH(AH5,Vectors[Código],FALSE))</f>
        <v>Heat transport</v>
      </c>
      <c r="AI4" s="1456" t="str">
        <f>INDEX(Vectors[Descripción], MATCH(AI5,Vectors[Código],FALSE))</f>
        <v>Biomasa comestible</v>
      </c>
      <c r="AJ4" s="1456" t="str">
        <f>INDEX(Vectors[Descripción], MATCH(AJ5,Vectors[Código],FALSE))</f>
        <v>Cultivos para Energía (segunda generación)</v>
      </c>
      <c r="AK4" s="1456" t="str">
        <f>INDEX(Vectors[Descripción], MATCH(AK5,Vectors[Código],FALSE))</f>
        <v>Cultivos para Energía (primera generación)</v>
      </c>
      <c r="AL4" s="1456" t="str">
        <f>INDEX(Vectors[Descripción], MATCH(AL5,Vectors[Código],FALSE))</f>
        <v>Biomasa</v>
      </c>
      <c r="AM4" s="1456" t="str">
        <f>INDEX(Vectors[Descripción], MATCH(AM5,Vectors[Código],FALSE))</f>
        <v>Biomasa seca y residuos</v>
      </c>
      <c r="AN4" s="1456" t="str">
        <f>INDEX(Vectors[Descripción], MATCH(AN5,Vectors[Código],FALSE))</f>
        <v>Residuos gaseosos</v>
      </c>
      <c r="AO4" s="1456" t="str">
        <f>INDEX(Vectors[Descripción], MATCH(AO5,Vectors[Código],FALSE))</f>
        <v>Solar para uso térmico domestico</v>
      </c>
      <c r="AP4" s="1456" t="str">
        <f>INDEX(Vectors[Descripción], MATCH(AP5,Vectors[Código],FALSE))</f>
        <v>H2</v>
      </c>
      <c r="AQ4" s="3170" t="s">
        <v>976</v>
      </c>
      <c r="AS4" s="1457" t="str">
        <f>INDEX(Vectors[Descripción], MATCH(AS5,Vectors[Código],FALSE))</f>
        <v>Reservas de Carbón</v>
      </c>
      <c r="AT4" s="1457" t="str">
        <f>INDEX(Vectors[Descripción], MATCH(AT5,Vectors[Código],FALSE))</f>
        <v>Reservas de Petroleo</v>
      </c>
      <c r="AU4" s="1457" t="str">
        <f>INDEX(Vectors[Descripción], MATCH(AU5,Vectors[Código],FALSE))</f>
        <v>Reservas de Gas</v>
      </c>
      <c r="AV4" s="1457" t="str">
        <f>INDEX(Vectors[Descripción], MATCH(AV5,Vectors[Código],FALSE))</f>
        <v>Biomasa sobreoferta  (importada)</v>
      </c>
      <c r="AW4" s="1457" t="str">
        <f>INDEX(Vectors[Descripción], MATCH(AW5,Vectors[Código],FALSE))</f>
        <v>Electricidad sobreoferta  (importada)</v>
      </c>
      <c r="AX4" s="1457" t="str">
        <f>INDEX(Vectors[Descripción], MATCH(AX5,Vectors[Código],FALSE))</f>
        <v xml:space="preserve">Dervidados del Petroleo sobreoferta </v>
      </c>
      <c r="AY4" s="1457" t="str">
        <f>INDEX(Vectors[Descripción], MATCH(AY5,Vectors[Código],FALSE))</f>
        <v>Carbón sobreoferta  (importada)</v>
      </c>
      <c r="AZ4" s="1457" t="str">
        <f>INDEX(Vectors[Descripción], MATCH(AZ5,Vectors[Código],FALSE))</f>
        <v>Carbón sobreoferta  (importada)</v>
      </c>
      <c r="BA4" s="1457">
        <f>INDEX(Vectors[Descripción], MATCH(BA5,Vectors[Código],FALSE))</f>
        <v>0</v>
      </c>
      <c r="BB4" s="1457" t="str">
        <f>INDEX(Vectors[Descripción], MATCH(BB5,Vectors[Código],FALSE))</f>
        <v>Fisión nuclear</v>
      </c>
      <c r="BC4" s="1457" t="str">
        <f>INDEX(Vectors[Descripción], MATCH(BC5,Vectors[Código],FALSE))</f>
        <v>Solar</v>
      </c>
      <c r="BD4" s="1457" t="str">
        <f>INDEX(Vectors[Descripción], MATCH(BD5,Vectors[Código],FALSE))</f>
        <v>Viento</v>
      </c>
      <c r="BE4" s="1457" t="str">
        <f>INDEX(Vectors[Descripción], MATCH(BE5,Vectors[Código],FALSE))</f>
        <v>Mareomotriz</v>
      </c>
      <c r="BF4" s="1457" t="str">
        <f>INDEX(Vectors[Descripción], MATCH(BF5,Vectors[Código],FALSE))</f>
        <v>Undimotriz</v>
      </c>
      <c r="BG4" s="1457" t="str">
        <f>INDEX(Vectors[Descripción], MATCH(BG5,Vectors[Código],FALSE))</f>
        <v>Geotermia</v>
      </c>
      <c r="BH4" s="1457" t="str">
        <f>INDEX(Vectors[Descripción], MATCH(BH5,Vectors[Código],FALSE))</f>
        <v>Hidro</v>
      </c>
      <c r="BI4" s="1457" t="str">
        <f>INDEX(Vectors[Descripción], MATCH(BI5,Vectors[Código],FALSE))</f>
        <v>Almacenamiento</v>
      </c>
      <c r="BJ4" s="1457" t="str">
        <f>INDEX(Vectors[Descripción], MATCH(BJ5,Vectors[Código],FALSE))</f>
        <v>Agropecuario</v>
      </c>
      <c r="BK4" s="1457" t="str">
        <f>INDEX(Vectors[Descripción], MATCH(BK5,Vectors[Código],FALSE))</f>
        <v>Residuos</v>
      </c>
      <c r="BL4" s="3171" t="s">
        <v>977</v>
      </c>
      <c r="BN4" s="1458" t="str">
        <f>INDEX(Vectors[Descripción], MATCH(BN5,Vectors[Código],FALSE))</f>
        <v>Perdidas por conversión</v>
      </c>
      <c r="BO4" s="1458" t="str">
        <f>INDEX(Vectors[Descripción], MATCH(BO5,Vectors[Código],FALSE))</f>
        <v>Perdidas por distribución y uso propio</v>
      </c>
      <c r="BP4" s="3172" t="s">
        <v>978</v>
      </c>
      <c r="BR4" s="1459"/>
      <c r="BS4" s="1459"/>
      <c r="BU4" s="1460" t="s">
        <v>720</v>
      </c>
      <c r="BV4" s="1461"/>
      <c r="BW4" s="1461"/>
      <c r="BX4" s="1462"/>
      <c r="BY4" s="1460" t="s">
        <v>722</v>
      </c>
      <c r="BZ4" s="1461"/>
      <c r="CA4" s="1461"/>
      <c r="CB4" s="1462"/>
      <c r="CC4" s="1460" t="s">
        <v>723</v>
      </c>
      <c r="CD4" s="1461"/>
      <c r="CE4" s="1461"/>
      <c r="CF4" s="1462"/>
      <c r="CG4" s="1460" t="s">
        <v>724</v>
      </c>
      <c r="CH4" s="1461"/>
      <c r="CI4" s="1461"/>
      <c r="CJ4" s="1462"/>
      <c r="CK4" s="1460" t="s">
        <v>544</v>
      </c>
      <c r="CL4" s="1461"/>
      <c r="CM4" s="1461"/>
      <c r="CN4" s="1462"/>
      <c r="CO4" s="1460" t="s">
        <v>725</v>
      </c>
      <c r="CP4" s="1461"/>
      <c r="CQ4" s="1461"/>
      <c r="CR4" s="1462"/>
      <c r="CS4" s="1460" t="s">
        <v>545</v>
      </c>
      <c r="CT4" s="1461"/>
      <c r="CU4" s="1461"/>
      <c r="CV4" s="1462"/>
      <c r="CW4" s="1460" t="s">
        <v>726</v>
      </c>
      <c r="CX4" s="1461"/>
      <c r="CY4" s="1461"/>
      <c r="CZ4" s="1462"/>
      <c r="DA4" s="1460" t="s">
        <v>728</v>
      </c>
      <c r="DB4" s="1461"/>
      <c r="DC4" s="1461"/>
      <c r="DD4" s="1462"/>
      <c r="DE4" s="1460" t="s">
        <v>730</v>
      </c>
      <c r="DF4" s="1461"/>
      <c r="DG4" s="1461"/>
      <c r="DH4" s="1462"/>
      <c r="DI4" s="1460" t="s">
        <v>732</v>
      </c>
      <c r="DJ4" s="1461"/>
      <c r="DK4" s="1461"/>
      <c r="DL4" s="1462"/>
      <c r="DN4" s="1463" t="s">
        <v>118</v>
      </c>
    </row>
    <row r="5" spans="1:118" x14ac:dyDescent="0.2">
      <c r="D5" s="1464" t="s">
        <v>40</v>
      </c>
      <c r="G5" s="1465" t="s">
        <v>454</v>
      </c>
      <c r="H5" s="1465" t="s">
        <v>1007</v>
      </c>
      <c r="I5" s="1465" t="s">
        <v>1008</v>
      </c>
      <c r="J5" s="1465" t="s">
        <v>1009</v>
      </c>
      <c r="K5" s="1465" t="s">
        <v>1010</v>
      </c>
      <c r="L5" s="1465" t="s">
        <v>1011</v>
      </c>
      <c r="M5" s="1465" t="s">
        <v>453</v>
      </c>
      <c r="N5" s="1465" t="s">
        <v>447</v>
      </c>
      <c r="O5" s="1465" t="s">
        <v>448</v>
      </c>
      <c r="P5" s="1465" t="s">
        <v>449</v>
      </c>
      <c r="Q5" s="1465" t="s">
        <v>450</v>
      </c>
      <c r="R5" s="1465" t="s">
        <v>451</v>
      </c>
      <c r="S5" s="1465" t="s">
        <v>452</v>
      </c>
      <c r="T5" s="1465" t="s">
        <v>984</v>
      </c>
      <c r="U5" s="1465" t="s">
        <v>985</v>
      </c>
      <c r="V5" s="1465" t="s">
        <v>986</v>
      </c>
      <c r="W5" s="1465"/>
      <c r="Y5" s="1466" t="s">
        <v>149</v>
      </c>
      <c r="Z5" s="1466" t="s">
        <v>150</v>
      </c>
      <c r="AA5" s="1466" t="s">
        <v>330</v>
      </c>
      <c r="AB5" s="1466" t="s">
        <v>333</v>
      </c>
      <c r="AC5" s="1466" t="s">
        <v>335</v>
      </c>
      <c r="AD5" s="1466" t="s">
        <v>467</v>
      </c>
      <c r="AE5" s="1466" t="s">
        <v>468</v>
      </c>
      <c r="AF5" s="1466" t="s">
        <v>469</v>
      </c>
      <c r="AG5" s="1466" t="s">
        <v>470</v>
      </c>
      <c r="AH5" s="1466" t="s">
        <v>471</v>
      </c>
      <c r="AI5" s="1466" t="s">
        <v>472</v>
      </c>
      <c r="AJ5" s="1466" t="s">
        <v>709</v>
      </c>
      <c r="AK5" s="1466" t="s">
        <v>804</v>
      </c>
      <c r="AL5" s="1466" t="s">
        <v>473</v>
      </c>
      <c r="AM5" s="1466" t="s">
        <v>474</v>
      </c>
      <c r="AN5" s="1466" t="s">
        <v>805</v>
      </c>
      <c r="AO5" s="1466" t="s">
        <v>475</v>
      </c>
      <c r="AP5" s="1466" t="s">
        <v>630</v>
      </c>
      <c r="AQ5" s="1466"/>
      <c r="AS5" s="1467" t="s">
        <v>464</v>
      </c>
      <c r="AT5" s="1467" t="s">
        <v>465</v>
      </c>
      <c r="AU5" s="1467" t="s">
        <v>466</v>
      </c>
      <c r="AV5" s="1467" t="s">
        <v>458</v>
      </c>
      <c r="AW5" s="1467" t="s">
        <v>459</v>
      </c>
      <c r="AX5" s="1467" t="s">
        <v>460</v>
      </c>
      <c r="AY5" s="1467" t="s">
        <v>461</v>
      </c>
      <c r="AZ5" s="1467" t="s">
        <v>462</v>
      </c>
      <c r="BA5" s="1467" t="s">
        <v>463</v>
      </c>
      <c r="BB5" s="1467" t="s">
        <v>157</v>
      </c>
      <c r="BC5" s="1467" t="s">
        <v>315</v>
      </c>
      <c r="BD5" s="1467" t="s">
        <v>218</v>
      </c>
      <c r="BE5" s="1467" t="s">
        <v>285</v>
      </c>
      <c r="BF5" s="1467" t="s">
        <v>286</v>
      </c>
      <c r="BG5" s="1467" t="s">
        <v>302</v>
      </c>
      <c r="BH5" s="1467" t="s">
        <v>249</v>
      </c>
      <c r="BI5" s="1467" t="s">
        <v>455</v>
      </c>
      <c r="BJ5" s="1467" t="s">
        <v>456</v>
      </c>
      <c r="BK5" s="1467" t="s">
        <v>457</v>
      </c>
      <c r="BL5" s="1467"/>
      <c r="BN5" s="1468" t="s">
        <v>184</v>
      </c>
      <c r="BO5" s="1468" t="s">
        <v>185</v>
      </c>
      <c r="BP5" s="1468"/>
      <c r="BR5" s="3173" t="s">
        <v>1017</v>
      </c>
      <c r="BS5" s="1469"/>
      <c r="BU5" s="1470" t="s">
        <v>399</v>
      </c>
      <c r="BV5" s="1471" t="s">
        <v>399</v>
      </c>
      <c r="BW5" s="1471" t="s">
        <v>399</v>
      </c>
      <c r="BX5" s="1472" t="s">
        <v>399</v>
      </c>
      <c r="BY5" s="1470" t="s">
        <v>721</v>
      </c>
      <c r="BZ5" s="1471" t="s">
        <v>721</v>
      </c>
      <c r="CA5" s="1471" t="s">
        <v>721</v>
      </c>
      <c r="CB5" s="1472" t="s">
        <v>721</v>
      </c>
      <c r="CC5" s="1470">
        <v>2</v>
      </c>
      <c r="CD5" s="1471">
        <v>2</v>
      </c>
      <c r="CE5" s="1471">
        <v>2</v>
      </c>
      <c r="CF5" s="1472">
        <v>2</v>
      </c>
      <c r="CG5" s="1470">
        <v>3</v>
      </c>
      <c r="CH5" s="1471">
        <v>3</v>
      </c>
      <c r="CI5" s="1471">
        <v>3</v>
      </c>
      <c r="CJ5" s="1472">
        <v>3</v>
      </c>
      <c r="CK5" s="1470">
        <v>4</v>
      </c>
      <c r="CL5" s="1471">
        <v>4</v>
      </c>
      <c r="CM5" s="1471">
        <v>4</v>
      </c>
      <c r="CN5" s="1472">
        <v>4</v>
      </c>
      <c r="CO5" s="1470">
        <v>5</v>
      </c>
      <c r="CP5" s="1471">
        <v>5</v>
      </c>
      <c r="CQ5" s="1471">
        <v>5</v>
      </c>
      <c r="CR5" s="1472">
        <v>5</v>
      </c>
      <c r="CS5" s="1470">
        <v>6</v>
      </c>
      <c r="CT5" s="1471">
        <v>6</v>
      </c>
      <c r="CU5" s="1471">
        <v>6</v>
      </c>
      <c r="CV5" s="1472">
        <v>6</v>
      </c>
      <c r="CW5" s="1470">
        <v>7</v>
      </c>
      <c r="CX5" s="1471">
        <v>7</v>
      </c>
      <c r="CY5" s="1471">
        <v>7</v>
      </c>
      <c r="CZ5" s="1472">
        <v>7</v>
      </c>
      <c r="DA5" s="1470" t="s">
        <v>727</v>
      </c>
      <c r="DB5" s="1471" t="s">
        <v>727</v>
      </c>
      <c r="DC5" s="1471" t="s">
        <v>727</v>
      </c>
      <c r="DD5" s="1472" t="s">
        <v>727</v>
      </c>
      <c r="DE5" s="1470" t="s">
        <v>729</v>
      </c>
      <c r="DF5" s="1471" t="s">
        <v>729</v>
      </c>
      <c r="DG5" s="1471" t="s">
        <v>729</v>
      </c>
      <c r="DH5" s="1472" t="s">
        <v>729</v>
      </c>
      <c r="DI5" s="1470" t="s">
        <v>731</v>
      </c>
      <c r="DJ5" s="1471" t="s">
        <v>731</v>
      </c>
      <c r="DK5" s="1471" t="s">
        <v>731</v>
      </c>
      <c r="DL5" s="1472" t="s">
        <v>731</v>
      </c>
    </row>
    <row r="6" spans="1:118" ht="15.75" customHeight="1" x14ac:dyDescent="0.2">
      <c r="G6" s="1473"/>
      <c r="H6" s="1473"/>
      <c r="I6" s="1473"/>
      <c r="J6" s="1473"/>
      <c r="K6" s="1473"/>
      <c r="L6" s="1473"/>
      <c r="M6" s="1473"/>
      <c r="N6" s="1473"/>
      <c r="O6" s="1474"/>
      <c r="P6" s="1473"/>
      <c r="Q6" s="1473"/>
      <c r="R6" s="1473"/>
      <c r="S6" s="1473"/>
      <c r="T6" s="1473"/>
      <c r="U6" s="1473"/>
      <c r="V6" s="1473"/>
      <c r="W6" s="1473"/>
      <c r="Y6" s="1475"/>
      <c r="Z6" s="1475"/>
      <c r="AA6" s="1475"/>
      <c r="AB6" s="1475"/>
      <c r="AC6" s="1475"/>
      <c r="AD6" s="1475"/>
      <c r="AE6" s="1475"/>
      <c r="AF6" s="1475"/>
      <c r="AG6" s="1475"/>
      <c r="AH6" s="1475"/>
      <c r="AI6" s="1475"/>
      <c r="AJ6" s="1475"/>
      <c r="AK6" s="1475"/>
      <c r="AL6" s="1475"/>
      <c r="AM6" s="1475"/>
      <c r="AN6" s="1475"/>
      <c r="AO6" s="1475"/>
      <c r="AP6" s="1475"/>
      <c r="AQ6" s="1475"/>
      <c r="AS6" s="1476"/>
      <c r="AT6" s="1476"/>
      <c r="AU6" s="1476"/>
      <c r="AV6" s="1476"/>
      <c r="AW6" s="1476"/>
      <c r="AX6" s="1476"/>
      <c r="AY6" s="1476"/>
      <c r="AZ6" s="1476"/>
      <c r="BA6" s="1476"/>
      <c r="BB6" s="1476"/>
      <c r="BC6" s="1476"/>
      <c r="BD6" s="1476"/>
      <c r="BE6" s="1476"/>
      <c r="BF6" s="1476"/>
      <c r="BG6" s="1476"/>
      <c r="BH6" s="1476"/>
      <c r="BI6" s="1476"/>
      <c r="BJ6" s="1476"/>
      <c r="BK6" s="1476"/>
      <c r="BL6" s="1476"/>
      <c r="BN6" s="1477"/>
      <c r="BO6" s="1477"/>
      <c r="BP6" s="1477"/>
      <c r="BR6" s="1956"/>
      <c r="BS6" s="1478"/>
      <c r="BU6" s="1479" t="s">
        <v>398</v>
      </c>
      <c r="BV6" s="1479" t="s">
        <v>400</v>
      </c>
      <c r="BW6" s="1479" t="s">
        <v>401</v>
      </c>
      <c r="BX6" s="1479" t="s">
        <v>806</v>
      </c>
      <c r="BY6" s="1479" t="s">
        <v>398</v>
      </c>
      <c r="BZ6" s="1479" t="s">
        <v>400</v>
      </c>
      <c r="CA6" s="1479" t="s">
        <v>401</v>
      </c>
      <c r="CB6" s="1479" t="s">
        <v>806</v>
      </c>
      <c r="CC6" s="1479" t="s">
        <v>398</v>
      </c>
      <c r="CD6" s="1479" t="s">
        <v>400</v>
      </c>
      <c r="CE6" s="1479" t="s">
        <v>401</v>
      </c>
      <c r="CF6" s="1479" t="s">
        <v>806</v>
      </c>
      <c r="CG6" s="1479" t="s">
        <v>398</v>
      </c>
      <c r="CH6" s="1479" t="s">
        <v>400</v>
      </c>
      <c r="CI6" s="1479" t="s">
        <v>401</v>
      </c>
      <c r="CJ6" s="1479" t="s">
        <v>806</v>
      </c>
      <c r="CK6" s="1479" t="s">
        <v>398</v>
      </c>
      <c r="CL6" s="1479" t="s">
        <v>400</v>
      </c>
      <c r="CM6" s="1479" t="s">
        <v>401</v>
      </c>
      <c r="CN6" s="1479" t="s">
        <v>806</v>
      </c>
      <c r="CO6" s="1479" t="s">
        <v>398</v>
      </c>
      <c r="CP6" s="1479" t="s">
        <v>400</v>
      </c>
      <c r="CQ6" s="1479" t="s">
        <v>401</v>
      </c>
      <c r="CR6" s="1479" t="s">
        <v>806</v>
      </c>
      <c r="CS6" s="1479" t="s">
        <v>398</v>
      </c>
      <c r="CT6" s="1479" t="s">
        <v>400</v>
      </c>
      <c r="CU6" s="1479" t="s">
        <v>401</v>
      </c>
      <c r="CV6" s="1479" t="s">
        <v>806</v>
      </c>
      <c r="CW6" s="1479" t="s">
        <v>398</v>
      </c>
      <c r="CX6" s="1479" t="s">
        <v>400</v>
      </c>
      <c r="CY6" s="1479" t="s">
        <v>401</v>
      </c>
      <c r="CZ6" s="1479" t="s">
        <v>806</v>
      </c>
      <c r="DA6" s="1479" t="s">
        <v>398</v>
      </c>
      <c r="DB6" s="1479" t="s">
        <v>400</v>
      </c>
      <c r="DC6" s="1479" t="s">
        <v>401</v>
      </c>
      <c r="DD6" s="1479" t="s">
        <v>806</v>
      </c>
      <c r="DE6" s="1479" t="s">
        <v>398</v>
      </c>
      <c r="DF6" s="1479" t="s">
        <v>400</v>
      </c>
      <c r="DG6" s="1479" t="s">
        <v>401</v>
      </c>
      <c r="DH6" s="1479" t="s">
        <v>806</v>
      </c>
      <c r="DI6" s="1479" t="s">
        <v>398</v>
      </c>
      <c r="DJ6" s="1479" t="s">
        <v>400</v>
      </c>
      <c r="DK6" s="1479" t="s">
        <v>401</v>
      </c>
      <c r="DL6" s="1479" t="s">
        <v>806</v>
      </c>
    </row>
    <row r="7" spans="1:118" ht="18" customHeight="1" x14ac:dyDescent="0.2">
      <c r="C7" s="1480" t="s">
        <v>405</v>
      </c>
      <c r="D7" s="1480"/>
      <c r="E7" s="1481"/>
      <c r="G7" s="1482"/>
      <c r="H7" s="1482"/>
      <c r="I7" s="1482"/>
      <c r="J7" s="1482"/>
      <c r="K7" s="1482"/>
      <c r="L7" s="1482"/>
      <c r="M7" s="1482"/>
      <c r="N7" s="1482"/>
      <c r="O7" s="1482"/>
      <c r="P7" s="1482"/>
      <c r="Q7" s="1482"/>
      <c r="R7" s="1482"/>
      <c r="S7" s="1482"/>
      <c r="T7" s="1482"/>
      <c r="U7" s="1482"/>
      <c r="V7" s="1482"/>
      <c r="W7" s="1482"/>
      <c r="Y7" s="1483"/>
      <c r="Z7" s="1483"/>
      <c r="AA7" s="1483"/>
      <c r="AB7" s="1483"/>
      <c r="AC7" s="1483"/>
      <c r="AD7" s="1483"/>
      <c r="AE7" s="1483"/>
      <c r="AF7" s="1483"/>
      <c r="AG7" s="1483"/>
      <c r="AH7" s="1483"/>
      <c r="AI7" s="1483"/>
      <c r="AJ7" s="1483"/>
      <c r="AK7" s="1483"/>
      <c r="AL7" s="1483"/>
      <c r="AM7" s="1483"/>
      <c r="AN7" s="1483"/>
      <c r="AO7" s="1483"/>
      <c r="AP7" s="1483"/>
      <c r="AQ7" s="1483"/>
      <c r="AS7" s="1484"/>
      <c r="AT7" s="1484"/>
      <c r="AU7" s="1484"/>
      <c r="AV7" s="1484"/>
      <c r="AW7" s="1484"/>
      <c r="AX7" s="1484"/>
      <c r="AY7" s="1484"/>
      <c r="AZ7" s="1484"/>
      <c r="BA7" s="1484"/>
      <c r="BB7" s="1484"/>
      <c r="BC7" s="1484"/>
      <c r="BD7" s="1484"/>
      <c r="BE7" s="1484"/>
      <c r="BF7" s="1484"/>
      <c r="BG7" s="1484"/>
      <c r="BH7" s="1484"/>
      <c r="BI7" s="1484"/>
      <c r="BJ7" s="1484"/>
      <c r="BK7" s="1484"/>
      <c r="BL7" s="1484"/>
      <c r="BN7" s="1485"/>
      <c r="BO7" s="1485"/>
      <c r="BP7" s="1485"/>
      <c r="BR7" s="3168">
        <f t="shared" ref="BR7:BR14" si="0">W7+AQ7+BL7+BP7</f>
        <v>0</v>
      </c>
      <c r="BS7" s="1486"/>
      <c r="BU7" s="1487"/>
      <c r="BV7" s="1487"/>
      <c r="BW7" s="1487"/>
      <c r="BX7" s="1487"/>
      <c r="BY7" s="1487"/>
      <c r="BZ7" s="1487"/>
      <c r="CA7" s="1487"/>
      <c r="CB7" s="1487"/>
      <c r="CC7" s="1487"/>
      <c r="CD7" s="1487"/>
      <c r="CE7" s="1487"/>
      <c r="CF7" s="1487"/>
      <c r="CG7" s="1487"/>
      <c r="CH7" s="1487"/>
      <c r="CI7" s="1487"/>
      <c r="CJ7" s="1487"/>
      <c r="CK7" s="1487"/>
      <c r="CL7" s="1487"/>
      <c r="CM7" s="1487"/>
      <c r="CN7" s="1487"/>
      <c r="CO7" s="1487"/>
      <c r="CP7" s="1487"/>
      <c r="CQ7" s="1487"/>
      <c r="CR7" s="1487"/>
      <c r="CS7" s="1487"/>
      <c r="CT7" s="1487"/>
      <c r="CU7" s="1487"/>
      <c r="CV7" s="1487"/>
      <c r="CW7" s="1487"/>
      <c r="CX7" s="1487"/>
      <c r="CY7" s="1487"/>
      <c r="CZ7" s="1487"/>
      <c r="DA7" s="1487"/>
      <c r="DB7" s="1487"/>
      <c r="DC7" s="1487"/>
      <c r="DD7" s="1487"/>
      <c r="DE7" s="1487"/>
      <c r="DF7" s="1487"/>
      <c r="DG7" s="1487"/>
      <c r="DH7" s="1487"/>
      <c r="DI7" s="1487"/>
      <c r="DJ7" s="1487"/>
      <c r="DK7" s="1487"/>
      <c r="DL7" s="1487"/>
    </row>
    <row r="8" spans="1:118" ht="12.75" hidden="1" customHeight="1" outlineLevel="1" x14ac:dyDescent="0.2">
      <c r="G8" s="1488"/>
      <c r="H8" s="1488"/>
      <c r="I8" s="1488"/>
      <c r="J8" s="1488"/>
      <c r="K8" s="1488"/>
      <c r="L8" s="1488"/>
      <c r="M8" s="1488"/>
      <c r="N8" s="1488"/>
      <c r="O8" s="1489"/>
      <c r="P8" s="1488"/>
      <c r="Q8" s="1488"/>
      <c r="R8" s="1488"/>
      <c r="S8" s="1488"/>
      <c r="T8" s="1488"/>
      <c r="U8" s="1488"/>
      <c r="V8" s="1488"/>
      <c r="W8" s="1488"/>
      <c r="Y8" s="1490"/>
      <c r="Z8" s="1490"/>
      <c r="AA8" s="1490"/>
      <c r="AB8" s="1490"/>
      <c r="AC8" s="1490"/>
      <c r="AD8" s="1490"/>
      <c r="AE8" s="1490"/>
      <c r="AF8" s="1490"/>
      <c r="AG8" s="1490"/>
      <c r="AH8" s="1490"/>
      <c r="AI8" s="1490"/>
      <c r="AJ8" s="1490"/>
      <c r="AK8" s="1490"/>
      <c r="AL8" s="1490"/>
      <c r="AM8" s="1490"/>
      <c r="AN8" s="1490"/>
      <c r="AO8" s="1490"/>
      <c r="AP8" s="1490"/>
      <c r="AQ8" s="1490"/>
      <c r="AS8" s="1491"/>
      <c r="AT8" s="1491"/>
      <c r="AU8" s="1491"/>
      <c r="AV8" s="1491"/>
      <c r="AW8" s="1491"/>
      <c r="AX8" s="1491"/>
      <c r="AY8" s="1491"/>
      <c r="AZ8" s="1491"/>
      <c r="BA8" s="1491"/>
      <c r="BB8" s="1491"/>
      <c r="BC8" s="1491"/>
      <c r="BD8" s="1491"/>
      <c r="BE8" s="1491"/>
      <c r="BF8" s="1491"/>
      <c r="BG8" s="1491"/>
      <c r="BH8" s="1491"/>
      <c r="BI8" s="1491"/>
      <c r="BJ8" s="1491"/>
      <c r="BK8" s="1491"/>
      <c r="BL8" s="1491"/>
      <c r="BN8" s="1492"/>
      <c r="BO8" s="1492"/>
      <c r="BP8" s="1492"/>
      <c r="BR8" s="3168">
        <f t="shared" si="0"/>
        <v>0</v>
      </c>
      <c r="BS8" s="1493"/>
      <c r="BU8" s="1494"/>
      <c r="BV8" s="1494"/>
      <c r="BW8" s="1494"/>
      <c r="BX8" s="1494"/>
      <c r="BY8" s="1494"/>
      <c r="BZ8" s="1494"/>
      <c r="CA8" s="1494"/>
      <c r="CB8" s="1494"/>
      <c r="CC8" s="1494"/>
      <c r="CD8" s="1494"/>
      <c r="CE8" s="1494"/>
      <c r="CF8" s="1494"/>
      <c r="CG8" s="1494"/>
      <c r="CH8" s="1494"/>
      <c r="CI8" s="1494"/>
      <c r="CJ8" s="1494"/>
      <c r="CK8" s="1494"/>
      <c r="CL8" s="1494"/>
      <c r="CM8" s="1494"/>
      <c r="CN8" s="1494"/>
      <c r="CO8" s="1494"/>
      <c r="CP8" s="1494"/>
      <c r="CQ8" s="1494"/>
      <c r="CR8" s="1494"/>
      <c r="CS8" s="1494"/>
      <c r="CT8" s="1494"/>
      <c r="CU8" s="1494"/>
      <c r="CV8" s="1494"/>
      <c r="CW8" s="1494"/>
      <c r="CX8" s="1494"/>
      <c r="CY8" s="1494"/>
      <c r="CZ8" s="1494"/>
      <c r="DA8" s="1494"/>
      <c r="DB8" s="1494"/>
      <c r="DC8" s="1494"/>
      <c r="DD8" s="1494"/>
      <c r="DE8" s="1494"/>
      <c r="DF8" s="1494"/>
      <c r="DG8" s="1494"/>
      <c r="DH8" s="1494"/>
      <c r="DI8" s="1494"/>
      <c r="DJ8" s="1494"/>
      <c r="DK8" s="1494"/>
      <c r="DL8" s="1494"/>
    </row>
    <row r="9" spans="1:118" s="14" customFormat="1" ht="10.5" hidden="1" customHeight="1" outlineLevel="2" x14ac:dyDescent="0.2">
      <c r="A9" s="1495"/>
      <c r="B9" s="1495"/>
      <c r="C9" s="1511" t="s">
        <v>86</v>
      </c>
      <c r="D9" s="14" t="str">
        <f>INDEX(Modulos[Modulos], MATCH($C9, Modulos[Código], 0))</f>
        <v>Residencial</v>
      </c>
      <c r="G9" s="1540">
        <f ca="1">IFERROR(INDEX(INDIRECT($C9&amp;".Outputs["&amp;this.Year&amp;"]"), MATCH(G$5, INDIRECT($C9&amp;".Outputs[Vector]"), 0)), 0)</f>
        <v>31.236849796569835</v>
      </c>
      <c r="H9" s="1540">
        <f t="shared" ref="H9:V9" ca="1" si="1">IFERROR(INDEX(INDIRECT($C9&amp;".Outputs["&amp;this.Year&amp;"]"), MATCH(H$5, INDIRECT($C9&amp;".Outputs[Vector]"), 0)), 0)</f>
        <v>1.5535200609306492</v>
      </c>
      <c r="I9" s="1540">
        <f t="shared" ca="1" si="1"/>
        <v>2.774142965947588</v>
      </c>
      <c r="J9" s="1540">
        <f t="shared" ca="1" si="1"/>
        <v>9.7649832401355106</v>
      </c>
      <c r="K9" s="1540">
        <f t="shared" ca="1" si="1"/>
        <v>4.2166973082403336</v>
      </c>
      <c r="L9" s="1540">
        <f t="shared" ca="1" si="1"/>
        <v>5.9366659471278398</v>
      </c>
      <c r="M9" s="1540">
        <f t="shared" ca="1" si="1"/>
        <v>0</v>
      </c>
      <c r="N9" s="1540">
        <f t="shared" ca="1" si="1"/>
        <v>0</v>
      </c>
      <c r="O9" s="1540">
        <f t="shared" ca="1" si="1"/>
        <v>0</v>
      </c>
      <c r="P9" s="1540">
        <f t="shared" ca="1" si="1"/>
        <v>0</v>
      </c>
      <c r="Q9" s="1540">
        <f t="shared" ca="1" si="1"/>
        <v>0</v>
      </c>
      <c r="R9" s="1540">
        <f t="shared" ca="1" si="1"/>
        <v>0</v>
      </c>
      <c r="S9" s="1540">
        <f t="shared" ca="1" si="1"/>
        <v>0</v>
      </c>
      <c r="T9" s="1540">
        <f t="shared" ca="1" si="1"/>
        <v>0</v>
      </c>
      <c r="U9" s="1540">
        <f t="shared" ca="1" si="1"/>
        <v>0</v>
      </c>
      <c r="V9" s="1540">
        <f t="shared" ca="1" si="1"/>
        <v>0</v>
      </c>
      <c r="W9" s="1539">
        <f ca="1">SUM(G9:V9)</f>
        <v>55.482859318951768</v>
      </c>
      <c r="Y9" s="1500">
        <f ca="1">IFERROR(INDEX(INDIRECT($C9&amp;".Outputs["&amp;this.Year&amp;"]"), MATCH(Y$5, INDIRECT($C9&amp;".Outputs[Vector]"), 0)), 0)</f>
        <v>-13.315784367603435</v>
      </c>
      <c r="Z9" s="1500">
        <f t="shared" ref="Z9:AP9" ca="1" si="2">IFERROR(INDEX(INDIRECT($C9&amp;".Outputs["&amp;this.Year&amp;"]"), MATCH(Z$5, INDIRECT($C9&amp;".Outputs[Vector]"), 0)), 0)</f>
        <v>0</v>
      </c>
      <c r="AA9" s="1500">
        <f t="shared" ca="1" si="2"/>
        <v>0</v>
      </c>
      <c r="AB9" s="1500">
        <f t="shared" ca="1" si="2"/>
        <v>-6.0440831201964089</v>
      </c>
      <c r="AC9" s="1500">
        <f t="shared" ca="1" si="2"/>
        <v>-26.265005409679127</v>
      </c>
      <c r="AD9" s="1500">
        <f t="shared" ca="1" si="2"/>
        <v>0</v>
      </c>
      <c r="AE9" s="1500">
        <f t="shared" ca="1" si="2"/>
        <v>0</v>
      </c>
      <c r="AF9" s="1500">
        <f t="shared" ca="1" si="2"/>
        <v>0</v>
      </c>
      <c r="AG9" s="1500">
        <f t="shared" ca="1" si="2"/>
        <v>0</v>
      </c>
      <c r="AH9" s="1500">
        <f t="shared" ca="1" si="2"/>
        <v>0</v>
      </c>
      <c r="AI9" s="1500">
        <f t="shared" ca="1" si="2"/>
        <v>0</v>
      </c>
      <c r="AJ9" s="1500">
        <f t="shared" ca="1" si="2"/>
        <v>0</v>
      </c>
      <c r="AK9" s="1500">
        <f t="shared" ca="1" si="2"/>
        <v>0</v>
      </c>
      <c r="AL9" s="1500">
        <f ca="1">IFERROR(INDEX(INDIRECT($C9&amp;".Outputs["&amp;this.Year&amp;"]"), MATCH(AL$5, INDIRECT($C9&amp;".Outputs[Vector]"), 0)), 0)</f>
        <v>-9.8579864214727912</v>
      </c>
      <c r="AM9" s="1500">
        <f t="shared" ca="1" si="2"/>
        <v>0</v>
      </c>
      <c r="AN9" s="1500">
        <f t="shared" ca="1" si="2"/>
        <v>0</v>
      </c>
      <c r="AO9" s="1500">
        <f t="shared" ca="1" si="2"/>
        <v>0</v>
      </c>
      <c r="AP9" s="1500">
        <f t="shared" ca="1" si="2"/>
        <v>0</v>
      </c>
      <c r="AQ9" s="1490">
        <f ca="1">SUM(Y9:AP9)</f>
        <v>-55.482859318951753</v>
      </c>
      <c r="AS9" s="1491">
        <f t="shared" ref="AS9:BK9" ca="1" si="3">IFERROR(INDEX(INDIRECT($C9&amp;".Outputs["&amp;this.Year&amp;"]"), MATCH(AS$5, INDIRECT($C9&amp;".Outputs[Vector]"), 0)), 0)</f>
        <v>0</v>
      </c>
      <c r="AT9" s="1491">
        <f t="shared" ca="1" si="3"/>
        <v>0</v>
      </c>
      <c r="AU9" s="1491">
        <f t="shared" ca="1" si="3"/>
        <v>0</v>
      </c>
      <c r="AV9" s="1491">
        <f t="shared" ca="1" si="3"/>
        <v>0</v>
      </c>
      <c r="AW9" s="1491">
        <f t="shared" ca="1" si="3"/>
        <v>0</v>
      </c>
      <c r="AX9" s="1491">
        <f t="shared" ca="1" si="3"/>
        <v>0</v>
      </c>
      <c r="AY9" s="1491">
        <f t="shared" ca="1" si="3"/>
        <v>0</v>
      </c>
      <c r="AZ9" s="1491">
        <f t="shared" ca="1" si="3"/>
        <v>0</v>
      </c>
      <c r="BA9" s="1491">
        <f t="shared" ca="1" si="3"/>
        <v>0</v>
      </c>
      <c r="BB9" s="1491">
        <f t="shared" ca="1" si="3"/>
        <v>0</v>
      </c>
      <c r="BC9" s="1491">
        <f t="shared" ca="1" si="3"/>
        <v>0</v>
      </c>
      <c r="BD9" s="1491">
        <f t="shared" ca="1" si="3"/>
        <v>0</v>
      </c>
      <c r="BE9" s="1491">
        <f t="shared" ca="1" si="3"/>
        <v>0</v>
      </c>
      <c r="BF9" s="1491">
        <f t="shared" ca="1" si="3"/>
        <v>0</v>
      </c>
      <c r="BG9" s="1491">
        <f t="shared" ca="1" si="3"/>
        <v>0</v>
      </c>
      <c r="BH9" s="1491">
        <f t="shared" ca="1" si="3"/>
        <v>0</v>
      </c>
      <c r="BI9" s="1491">
        <f t="shared" ca="1" si="3"/>
        <v>0</v>
      </c>
      <c r="BJ9" s="1491">
        <f t="shared" ca="1" si="3"/>
        <v>0</v>
      </c>
      <c r="BK9" s="1491">
        <f t="shared" ca="1" si="3"/>
        <v>0</v>
      </c>
      <c r="BL9" s="1503">
        <f ca="1">SUM(AS9:BK9)</f>
        <v>0</v>
      </c>
      <c r="BN9" s="1941">
        <f ca="1">IFERROR(INDEX(INDIRECT($C9&amp;".Outputs["&amp;this.Year&amp;"]"), MATCH(BN$5, INDIRECT($C9&amp;".Outputs[Vector]"), 0)), 0)</f>
        <v>0</v>
      </c>
      <c r="BO9" s="1941">
        <f ca="1">IFERROR(INDEX(INDIRECT($C9&amp;".Outputs["&amp;this.Year&amp;"]"), MATCH(BO$5, INDIRECT($C9&amp;".Outputs[Vector]"), 0)), 0)</f>
        <v>0</v>
      </c>
      <c r="BP9" s="1505">
        <f ca="1">BN9+BO9</f>
        <v>0</v>
      </c>
      <c r="BR9" s="3168">
        <f ca="1">W9+AQ9+BL9+BP9</f>
        <v>1.4210854715202004E-14</v>
      </c>
      <c r="BS9" s="1506"/>
      <c r="BT9" s="748"/>
      <c r="BU9" s="1507">
        <v>67.291769164453711</v>
      </c>
      <c r="BV9" s="1508">
        <v>0.13655504882378258</v>
      </c>
      <c r="BW9" s="1508">
        <v>0.22513176941521534</v>
      </c>
      <c r="BX9" s="1508">
        <v>0</v>
      </c>
      <c r="BY9" s="1508">
        <v>0</v>
      </c>
      <c r="BZ9" s="1508">
        <v>0</v>
      </c>
      <c r="CA9" s="1508">
        <v>0</v>
      </c>
      <c r="CB9" s="1508">
        <v>0</v>
      </c>
      <c r="CC9" s="1508">
        <v>0</v>
      </c>
      <c r="CD9" s="1508">
        <v>0</v>
      </c>
      <c r="CE9" s="1508">
        <v>0</v>
      </c>
      <c r="CF9" s="1508">
        <v>0</v>
      </c>
      <c r="CG9" s="1508">
        <v>0</v>
      </c>
      <c r="CH9" s="1508">
        <v>0</v>
      </c>
      <c r="CI9" s="1508">
        <v>0</v>
      </c>
      <c r="CJ9" s="1508">
        <v>0</v>
      </c>
      <c r="CK9" s="1508">
        <v>0</v>
      </c>
      <c r="CL9" s="1508">
        <v>0</v>
      </c>
      <c r="CM9" s="1508">
        <v>0</v>
      </c>
      <c r="CN9" s="1508">
        <v>0</v>
      </c>
      <c r="CO9" s="1508">
        <v>0</v>
      </c>
      <c r="CP9" s="1508">
        <v>0</v>
      </c>
      <c r="CQ9" s="1508">
        <v>0</v>
      </c>
      <c r="CR9" s="1508">
        <v>0</v>
      </c>
      <c r="CS9" s="1508">
        <v>0</v>
      </c>
      <c r="CT9" s="1508">
        <v>0</v>
      </c>
      <c r="CU9" s="1508">
        <v>0</v>
      </c>
      <c r="CV9" s="1508">
        <v>0</v>
      </c>
      <c r="CW9" s="1508">
        <v>0</v>
      </c>
      <c r="CX9" s="1508">
        <v>0</v>
      </c>
      <c r="CY9" s="1508">
        <v>0</v>
      </c>
      <c r="CZ9" s="1508">
        <v>0</v>
      </c>
      <c r="DA9" s="1508">
        <v>0</v>
      </c>
      <c r="DB9" s="1508">
        <v>0</v>
      </c>
      <c r="DC9" s="1508">
        <v>0</v>
      </c>
      <c r="DD9" s="1508">
        <v>0</v>
      </c>
      <c r="DE9" s="1508">
        <v>0</v>
      </c>
      <c r="DF9" s="1508">
        <v>0</v>
      </c>
      <c r="DG9" s="1508">
        <v>0</v>
      </c>
      <c r="DH9" s="1508">
        <v>0</v>
      </c>
      <c r="DI9" s="1508">
        <v>0</v>
      </c>
      <c r="DJ9" s="1508">
        <v>0</v>
      </c>
      <c r="DK9" s="1508">
        <v>0</v>
      </c>
      <c r="DL9" s="1508">
        <v>0</v>
      </c>
      <c r="DN9" s="1509"/>
    </row>
    <row r="10" spans="1:118" s="14" customFormat="1" ht="10.5" hidden="1" customHeight="1" outlineLevel="2" x14ac:dyDescent="0.2">
      <c r="A10" s="1510"/>
      <c r="B10" s="1510"/>
      <c r="C10" s="1511"/>
      <c r="D10" s="1510"/>
      <c r="E10" s="1512"/>
      <c r="G10" s="1513"/>
      <c r="H10" s="1513"/>
      <c r="I10" s="1513"/>
      <c r="J10" s="1513"/>
      <c r="K10" s="1513"/>
      <c r="L10" s="1513"/>
      <c r="M10" s="1513"/>
      <c r="N10" s="1513"/>
      <c r="O10" s="1513"/>
      <c r="P10" s="1513"/>
      <c r="Q10" s="1513"/>
      <c r="R10" s="1513"/>
      <c r="S10" s="1513"/>
      <c r="T10" s="1513"/>
      <c r="U10" s="1513"/>
      <c r="V10" s="1513"/>
      <c r="W10" s="1514"/>
      <c r="Y10" s="1515"/>
      <c r="Z10" s="1515"/>
      <c r="AA10" s="1515"/>
      <c r="AB10" s="1515"/>
      <c r="AC10" s="1515"/>
      <c r="AD10" s="1515"/>
      <c r="AE10" s="1515"/>
      <c r="AF10" s="1515"/>
      <c r="AG10" s="1515"/>
      <c r="AH10" s="1515"/>
      <c r="AI10" s="1515"/>
      <c r="AJ10" s="1515"/>
      <c r="AK10" s="1515"/>
      <c r="AL10" s="1515"/>
      <c r="AM10" s="1515"/>
      <c r="AN10" s="1515"/>
      <c r="AO10" s="1515"/>
      <c r="AP10" s="1515"/>
      <c r="AQ10" s="1516"/>
      <c r="AS10" s="1517"/>
      <c r="AT10" s="1517"/>
      <c r="AU10" s="1517"/>
      <c r="AV10" s="1517"/>
      <c r="AW10" s="1517"/>
      <c r="AX10" s="1517"/>
      <c r="AY10" s="1517"/>
      <c r="AZ10" s="1517"/>
      <c r="BA10" s="1517"/>
      <c r="BB10" s="1517"/>
      <c r="BC10" s="1517"/>
      <c r="BD10" s="1517"/>
      <c r="BE10" s="1517"/>
      <c r="BF10" s="1517"/>
      <c r="BG10" s="1517"/>
      <c r="BH10" s="1517"/>
      <c r="BI10" s="1517"/>
      <c r="BJ10" s="1517"/>
      <c r="BK10" s="1517"/>
      <c r="BL10" s="1518"/>
      <c r="BN10" s="1519"/>
      <c r="BO10" s="1519"/>
      <c r="BP10" s="1520"/>
      <c r="BR10" s="3168">
        <f t="shared" si="0"/>
        <v>0</v>
      </c>
      <c r="BS10" s="1521"/>
      <c r="BT10" s="748"/>
      <c r="BU10" s="1507">
        <v>0</v>
      </c>
      <c r="BV10" s="1508">
        <v>0</v>
      </c>
      <c r="BW10" s="1508">
        <v>0</v>
      </c>
      <c r="BX10" s="1508">
        <v>0</v>
      </c>
      <c r="BY10" s="1508">
        <v>0</v>
      </c>
      <c r="BZ10" s="1508">
        <v>0</v>
      </c>
      <c r="CA10" s="1508">
        <v>0</v>
      </c>
      <c r="CB10" s="1508">
        <v>0</v>
      </c>
      <c r="CC10" s="1508">
        <v>0</v>
      </c>
      <c r="CD10" s="1508">
        <v>0</v>
      </c>
      <c r="CE10" s="1508">
        <v>0</v>
      </c>
      <c r="CF10" s="1508">
        <v>0</v>
      </c>
      <c r="CG10" s="1508">
        <v>0</v>
      </c>
      <c r="CH10" s="1508">
        <v>0</v>
      </c>
      <c r="CI10" s="1508">
        <v>0</v>
      </c>
      <c r="CJ10" s="1508">
        <v>0</v>
      </c>
      <c r="CK10" s="1508">
        <v>0</v>
      </c>
      <c r="CL10" s="1508">
        <v>0</v>
      </c>
      <c r="CM10" s="1508">
        <v>0</v>
      </c>
      <c r="CN10" s="1508">
        <v>0</v>
      </c>
      <c r="CO10" s="1508">
        <v>0</v>
      </c>
      <c r="CP10" s="1508">
        <v>0</v>
      </c>
      <c r="CQ10" s="1508">
        <v>0</v>
      </c>
      <c r="CR10" s="1508">
        <v>0</v>
      </c>
      <c r="CS10" s="1508">
        <v>0</v>
      </c>
      <c r="CT10" s="1508">
        <v>0</v>
      </c>
      <c r="CU10" s="1508">
        <v>0</v>
      </c>
      <c r="CV10" s="1508">
        <v>0</v>
      </c>
      <c r="CW10" s="1508">
        <v>0</v>
      </c>
      <c r="CX10" s="1508">
        <v>0</v>
      </c>
      <c r="CY10" s="1508">
        <v>0</v>
      </c>
      <c r="CZ10" s="1508">
        <v>0</v>
      </c>
      <c r="DA10" s="1508">
        <v>0</v>
      </c>
      <c r="DB10" s="1508">
        <v>0</v>
      </c>
      <c r="DC10" s="1508">
        <v>0</v>
      </c>
      <c r="DD10" s="1508">
        <v>0</v>
      </c>
      <c r="DE10" s="1508">
        <v>0</v>
      </c>
      <c r="DF10" s="1508">
        <v>0</v>
      </c>
      <c r="DG10" s="1508">
        <v>0</v>
      </c>
      <c r="DH10" s="1508">
        <v>0</v>
      </c>
      <c r="DI10" s="1508">
        <v>0</v>
      </c>
      <c r="DJ10" s="1508">
        <v>0</v>
      </c>
      <c r="DK10" s="1508">
        <v>0</v>
      </c>
      <c r="DL10" s="1508">
        <v>0</v>
      </c>
      <c r="DN10" s="1509"/>
    </row>
    <row r="11" spans="1:118" s="14" customFormat="1" ht="12.75" hidden="1" customHeight="1" outlineLevel="1" x14ac:dyDescent="0.2">
      <c r="A11" s="1522"/>
      <c r="B11" s="1522"/>
      <c r="C11" s="1496"/>
      <c r="D11" s="1522"/>
      <c r="E11" s="1497"/>
      <c r="G11" s="1499"/>
      <c r="H11" s="1499"/>
      <c r="I11" s="1499"/>
      <c r="J11" s="1499"/>
      <c r="K11" s="1499"/>
      <c r="L11" s="1499"/>
      <c r="M11" s="1499"/>
      <c r="N11" s="1499"/>
      <c r="O11" s="1499"/>
      <c r="P11" s="1499"/>
      <c r="Q11" s="1499"/>
      <c r="R11" s="1499"/>
      <c r="S11" s="1499"/>
      <c r="T11" s="1499"/>
      <c r="U11" s="1499"/>
      <c r="V11" s="1499"/>
      <c r="W11" s="1499"/>
      <c r="Y11" s="1501"/>
      <c r="Z11" s="1501"/>
      <c r="AA11" s="1501"/>
      <c r="AB11" s="1501"/>
      <c r="AC11" s="1501"/>
      <c r="AD11" s="1501"/>
      <c r="AE11" s="1501"/>
      <c r="AF11" s="1501"/>
      <c r="AG11" s="1501"/>
      <c r="AH11" s="1501"/>
      <c r="AI11" s="1501"/>
      <c r="AJ11" s="1501"/>
      <c r="AK11" s="1501"/>
      <c r="AL11" s="1501"/>
      <c r="AM11" s="1501"/>
      <c r="AN11" s="1501"/>
      <c r="AO11" s="1501"/>
      <c r="AP11" s="1501"/>
      <c r="AQ11" s="1501"/>
      <c r="AS11" s="1523"/>
      <c r="AT11" s="1523"/>
      <c r="AU11" s="1523"/>
      <c r="AV11" s="1523"/>
      <c r="AW11" s="1523"/>
      <c r="AX11" s="1523"/>
      <c r="AY11" s="1523"/>
      <c r="AZ11" s="1523"/>
      <c r="BA11" s="1523"/>
      <c r="BB11" s="1523"/>
      <c r="BC11" s="1523"/>
      <c r="BD11" s="1523"/>
      <c r="BE11" s="1523"/>
      <c r="BF11" s="1523"/>
      <c r="BG11" s="1523"/>
      <c r="BH11" s="1523"/>
      <c r="BI11" s="1523"/>
      <c r="BJ11" s="1523"/>
      <c r="BK11" s="1523"/>
      <c r="BL11" s="1524"/>
      <c r="BN11" s="1505"/>
      <c r="BO11" s="1505"/>
      <c r="BP11" s="1505"/>
      <c r="BR11" s="3168">
        <f t="shared" si="0"/>
        <v>0</v>
      </c>
      <c r="BS11" s="1525"/>
      <c r="BT11" s="748"/>
      <c r="BU11" s="1507">
        <v>67.291769164453711</v>
      </c>
      <c r="BV11" s="1508">
        <v>0.13655504882378258</v>
      </c>
      <c r="BW11" s="1508">
        <v>0.22513176941521534</v>
      </c>
      <c r="BX11" s="1508">
        <v>0</v>
      </c>
      <c r="BY11" s="1508">
        <v>0</v>
      </c>
      <c r="BZ11" s="1508">
        <v>0</v>
      </c>
      <c r="CA11" s="1508">
        <v>0</v>
      </c>
      <c r="CB11" s="1508">
        <v>0</v>
      </c>
      <c r="CC11" s="1508">
        <v>0</v>
      </c>
      <c r="CD11" s="1508">
        <v>0</v>
      </c>
      <c r="CE11" s="1508">
        <v>0</v>
      </c>
      <c r="CF11" s="1508">
        <v>0</v>
      </c>
      <c r="CG11" s="1508">
        <v>0</v>
      </c>
      <c r="CH11" s="1508">
        <v>0</v>
      </c>
      <c r="CI11" s="1508">
        <v>0</v>
      </c>
      <c r="CJ11" s="1508">
        <v>0</v>
      </c>
      <c r="CK11" s="1508">
        <v>0</v>
      </c>
      <c r="CL11" s="1508">
        <v>0</v>
      </c>
      <c r="CM11" s="1508">
        <v>0</v>
      </c>
      <c r="CN11" s="1508">
        <v>0</v>
      </c>
      <c r="CO11" s="1508">
        <v>0</v>
      </c>
      <c r="CP11" s="1508">
        <v>0</v>
      </c>
      <c r="CQ11" s="1508">
        <v>0</v>
      </c>
      <c r="CR11" s="1508">
        <v>0</v>
      </c>
      <c r="CS11" s="1508">
        <v>0</v>
      </c>
      <c r="CT11" s="1508">
        <v>0</v>
      </c>
      <c r="CU11" s="1508">
        <v>0</v>
      </c>
      <c r="CV11" s="1508">
        <v>0</v>
      </c>
      <c r="CW11" s="1508">
        <v>0</v>
      </c>
      <c r="CX11" s="1508">
        <v>0</v>
      </c>
      <c r="CY11" s="1508">
        <v>0</v>
      </c>
      <c r="CZ11" s="1508">
        <v>0</v>
      </c>
      <c r="DA11" s="1508">
        <v>0</v>
      </c>
      <c r="DB11" s="1508">
        <v>0</v>
      </c>
      <c r="DC11" s="1508">
        <v>0</v>
      </c>
      <c r="DD11" s="1508">
        <v>0</v>
      </c>
      <c r="DE11" s="1508">
        <v>0</v>
      </c>
      <c r="DF11" s="1508">
        <v>0</v>
      </c>
      <c r="DG11" s="1508">
        <v>0</v>
      </c>
      <c r="DH11" s="1508">
        <v>0</v>
      </c>
      <c r="DI11" s="1508">
        <v>0</v>
      </c>
      <c r="DJ11" s="1508">
        <v>0</v>
      </c>
      <c r="DK11" s="1508">
        <v>0</v>
      </c>
      <c r="DL11" s="1508">
        <v>0</v>
      </c>
      <c r="DN11" s="1509"/>
    </row>
    <row r="12" spans="1:118" s="14" customFormat="1" ht="10.5" hidden="1" customHeight="1" outlineLevel="2" x14ac:dyDescent="0.2">
      <c r="A12" s="1495"/>
      <c r="B12" s="1495"/>
      <c r="C12" s="1496" t="s">
        <v>554</v>
      </c>
      <c r="D12" s="14" t="str">
        <f>INDEX(Modulos[Modulos], MATCH($C12, Modulos[Código], 0))</f>
        <v>Comercial y Púbico</v>
      </c>
      <c r="G12" s="1498">
        <f t="shared" ref="G12:V12" ca="1" si="4">IFERROR(INDEX(INDIRECT($C12&amp;".Outputs["&amp;this.Year&amp;"]"), MATCH(G$5, INDIRECT($C12&amp;".Outputs[Vector]"), 0)), 0)</f>
        <v>8.3971698572669791</v>
      </c>
      <c r="H12" s="1498">
        <f t="shared" ca="1" si="4"/>
        <v>6.8110179586357322</v>
      </c>
      <c r="I12" s="1498">
        <f t="shared" ca="1" si="4"/>
        <v>0.56752222365208027</v>
      </c>
      <c r="J12" s="1498">
        <f t="shared" ca="1" si="4"/>
        <v>1.4720866873459215</v>
      </c>
      <c r="K12" s="1498">
        <f t="shared" ca="1" si="4"/>
        <v>0.75337074150899574</v>
      </c>
      <c r="L12" s="1498">
        <f t="shared" ca="1" si="4"/>
        <v>4.2954113521328523</v>
      </c>
      <c r="M12" s="1498">
        <f t="shared" ca="1" si="4"/>
        <v>0</v>
      </c>
      <c r="N12" s="1498">
        <f t="shared" ca="1" si="4"/>
        <v>0</v>
      </c>
      <c r="O12" s="1498">
        <f t="shared" ca="1" si="4"/>
        <v>0</v>
      </c>
      <c r="P12" s="1498">
        <f t="shared" ca="1" si="4"/>
        <v>0</v>
      </c>
      <c r="Q12" s="1498">
        <f t="shared" ca="1" si="4"/>
        <v>0</v>
      </c>
      <c r="R12" s="1498">
        <f t="shared" ca="1" si="4"/>
        <v>0</v>
      </c>
      <c r="S12" s="1498">
        <f t="shared" ca="1" si="4"/>
        <v>0</v>
      </c>
      <c r="T12" s="1498">
        <f t="shared" ca="1" si="4"/>
        <v>0</v>
      </c>
      <c r="U12" s="1498">
        <f t="shared" ca="1" si="4"/>
        <v>0</v>
      </c>
      <c r="V12" s="1498">
        <f t="shared" ca="1" si="4"/>
        <v>0</v>
      </c>
      <c r="W12" s="1539">
        <f ca="1">SUM(G12:V12)</f>
        <v>22.29657882054256</v>
      </c>
      <c r="Y12" s="1500">
        <f t="shared" ref="Y12:AP12" ca="1" si="5">IFERROR(INDEX(INDIRECT($C12&amp;".Outputs["&amp;this.Year&amp;"]"), MATCH(Y$5, INDIRECT($C12&amp;".Outputs[Vector]"), 0)), 0)</f>
        <v>-12.490207379090641</v>
      </c>
      <c r="Z12" s="1500">
        <f t="shared" ca="1" si="5"/>
        <v>0</v>
      </c>
      <c r="AA12" s="1500">
        <f t="shared" ca="1" si="5"/>
        <v>0</v>
      </c>
      <c r="AB12" s="1500">
        <f t="shared" ca="1" si="5"/>
        <v>-4.4711149687751082</v>
      </c>
      <c r="AC12" s="1500">
        <f t="shared" ca="1" si="5"/>
        <v>-4.6488317457068904</v>
      </c>
      <c r="AD12" s="1500">
        <f t="shared" ca="1" si="5"/>
        <v>0</v>
      </c>
      <c r="AE12" s="1500">
        <f t="shared" ca="1" si="5"/>
        <v>0</v>
      </c>
      <c r="AF12" s="1500">
        <f t="shared" ca="1" si="5"/>
        <v>0</v>
      </c>
      <c r="AG12" s="1500">
        <f t="shared" ca="1" si="5"/>
        <v>0</v>
      </c>
      <c r="AH12" s="1500">
        <f t="shared" ca="1" si="5"/>
        <v>0</v>
      </c>
      <c r="AI12" s="1500">
        <f t="shared" ca="1" si="5"/>
        <v>0</v>
      </c>
      <c r="AJ12" s="1500">
        <f t="shared" ca="1" si="5"/>
        <v>0</v>
      </c>
      <c r="AK12" s="1500">
        <f t="shared" ca="1" si="5"/>
        <v>0</v>
      </c>
      <c r="AL12" s="1500">
        <f t="shared" ca="1" si="5"/>
        <v>-0.66966976378528054</v>
      </c>
      <c r="AM12" s="1500">
        <f t="shared" ca="1" si="5"/>
        <v>0</v>
      </c>
      <c r="AN12" s="1500">
        <f t="shared" ca="1" si="5"/>
        <v>0</v>
      </c>
      <c r="AO12" s="1500">
        <f t="shared" ca="1" si="5"/>
        <v>0</v>
      </c>
      <c r="AP12" s="1500">
        <f t="shared" ca="1" si="5"/>
        <v>0</v>
      </c>
      <c r="AQ12" s="1490">
        <f ca="1">SUM(Y12:AP12)</f>
        <v>-22.279823857357918</v>
      </c>
      <c r="AS12" s="1491">
        <f t="shared" ref="AS12:BK12" ca="1" si="6">IFERROR(INDEX(INDIRECT($C12&amp;".Outputs["&amp;this.Year&amp;"]"), MATCH(AS$5, INDIRECT($C12&amp;".Outputs[Vector]"), 0)), 0)</f>
        <v>0</v>
      </c>
      <c r="AT12" s="1491">
        <f t="shared" ca="1" si="6"/>
        <v>0</v>
      </c>
      <c r="AU12" s="1491">
        <f t="shared" ca="1" si="6"/>
        <v>0</v>
      </c>
      <c r="AV12" s="1491">
        <f t="shared" ca="1" si="6"/>
        <v>0</v>
      </c>
      <c r="AW12" s="1491">
        <f t="shared" ca="1" si="6"/>
        <v>0</v>
      </c>
      <c r="AX12" s="1491">
        <f t="shared" ca="1" si="6"/>
        <v>0</v>
      </c>
      <c r="AY12" s="1491">
        <f t="shared" ca="1" si="6"/>
        <v>0</v>
      </c>
      <c r="AZ12" s="1491">
        <f t="shared" ca="1" si="6"/>
        <v>0</v>
      </c>
      <c r="BA12" s="1491">
        <f t="shared" ca="1" si="6"/>
        <v>0</v>
      </c>
      <c r="BB12" s="1491">
        <f t="shared" ca="1" si="6"/>
        <v>0</v>
      </c>
      <c r="BC12" s="1491">
        <f t="shared" ca="1" si="6"/>
        <v>-1.6754963184642015E-2</v>
      </c>
      <c r="BD12" s="1491">
        <f t="shared" ca="1" si="6"/>
        <v>0</v>
      </c>
      <c r="BE12" s="1491">
        <f t="shared" ca="1" si="6"/>
        <v>0</v>
      </c>
      <c r="BF12" s="1491">
        <f t="shared" ca="1" si="6"/>
        <v>0</v>
      </c>
      <c r="BG12" s="1491">
        <f t="shared" ca="1" si="6"/>
        <v>0</v>
      </c>
      <c r="BH12" s="1491">
        <f t="shared" ca="1" si="6"/>
        <v>0</v>
      </c>
      <c r="BI12" s="1491">
        <f t="shared" ca="1" si="6"/>
        <v>0</v>
      </c>
      <c r="BJ12" s="1491">
        <f t="shared" ca="1" si="6"/>
        <v>0</v>
      </c>
      <c r="BK12" s="1491">
        <f t="shared" ca="1" si="6"/>
        <v>0</v>
      </c>
      <c r="BL12" s="1503">
        <f ca="1">SUM(AS12:BK12)</f>
        <v>-1.6754963184642015E-2</v>
      </c>
      <c r="BN12" s="1941">
        <f ca="1">IFERROR(INDEX(INDIRECT($C12&amp;".Outputs["&amp;this.Year&amp;"]"), MATCH(BN$5, INDIRECT($C12&amp;".Outputs[Vector]"), 0)), 0)</f>
        <v>0</v>
      </c>
      <c r="BO12" s="1941">
        <f ca="1">IFERROR(INDEX(INDIRECT($C12&amp;".Outputs["&amp;this.Year&amp;"]"), MATCH(BO$5, INDIRECT($C12&amp;".Outputs[Vector]"), 0)), 0)</f>
        <v>0</v>
      </c>
      <c r="BP12" s="1505">
        <f ca="1">BN12+BO12</f>
        <v>0</v>
      </c>
      <c r="BR12" s="3168">
        <f t="shared" ca="1" si="0"/>
        <v>-3.4694469519536142E-17</v>
      </c>
      <c r="BS12" s="1506"/>
      <c r="BT12" s="748"/>
      <c r="BU12" s="1507">
        <v>16.670422935762357</v>
      </c>
      <c r="BV12" s="1508">
        <v>3.1691470049996472E-2</v>
      </c>
      <c r="BW12" s="1508">
        <v>7.1890492881915569E-2</v>
      </c>
      <c r="BX12" s="1508">
        <v>0</v>
      </c>
      <c r="BY12" s="1508">
        <v>0</v>
      </c>
      <c r="BZ12" s="1508">
        <v>0</v>
      </c>
      <c r="CA12" s="1508">
        <v>0</v>
      </c>
      <c r="CB12" s="1508">
        <v>0</v>
      </c>
      <c r="CC12" s="1508">
        <v>0</v>
      </c>
      <c r="CD12" s="1508">
        <v>0</v>
      </c>
      <c r="CE12" s="1508">
        <v>0</v>
      </c>
      <c r="CF12" s="1508">
        <v>0</v>
      </c>
      <c r="CG12" s="1508">
        <v>0</v>
      </c>
      <c r="CH12" s="1508">
        <v>0</v>
      </c>
      <c r="CI12" s="1508">
        <v>0</v>
      </c>
      <c r="CJ12" s="1508">
        <v>0</v>
      </c>
      <c r="CK12" s="1508">
        <v>0</v>
      </c>
      <c r="CL12" s="1508">
        <v>0</v>
      </c>
      <c r="CM12" s="1508">
        <v>0</v>
      </c>
      <c r="CN12" s="1508">
        <v>0</v>
      </c>
      <c r="CO12" s="1508">
        <v>0</v>
      </c>
      <c r="CP12" s="1508">
        <v>0</v>
      </c>
      <c r="CQ12" s="1508">
        <v>0</v>
      </c>
      <c r="CR12" s="1508">
        <v>0</v>
      </c>
      <c r="CS12" s="1508">
        <v>0</v>
      </c>
      <c r="CT12" s="1508">
        <v>0</v>
      </c>
      <c r="CU12" s="1508">
        <v>0</v>
      </c>
      <c r="CV12" s="1508">
        <v>0</v>
      </c>
      <c r="CW12" s="1508">
        <v>0</v>
      </c>
      <c r="CX12" s="1508">
        <v>0</v>
      </c>
      <c r="CY12" s="1508">
        <v>0</v>
      </c>
      <c r="CZ12" s="1508">
        <v>0</v>
      </c>
      <c r="DA12" s="1508">
        <v>0</v>
      </c>
      <c r="DB12" s="1508">
        <v>0</v>
      </c>
      <c r="DC12" s="1508">
        <v>0</v>
      </c>
      <c r="DD12" s="1508">
        <v>0</v>
      </c>
      <c r="DE12" s="1508">
        <v>0</v>
      </c>
      <c r="DF12" s="1508">
        <v>0</v>
      </c>
      <c r="DG12" s="1508">
        <v>0</v>
      </c>
      <c r="DH12" s="1508">
        <v>0</v>
      </c>
      <c r="DI12" s="1508">
        <v>0</v>
      </c>
      <c r="DJ12" s="1508">
        <v>0</v>
      </c>
      <c r="DK12" s="1508">
        <v>0</v>
      </c>
      <c r="DL12" s="1508">
        <v>0</v>
      </c>
      <c r="DN12" s="1509"/>
    </row>
    <row r="13" spans="1:118" s="14" customFormat="1" ht="10.5" hidden="1" customHeight="1" outlineLevel="2" x14ac:dyDescent="0.2">
      <c r="A13" s="1510"/>
      <c r="B13" s="1510"/>
      <c r="C13" s="1511"/>
      <c r="D13" s="1510"/>
      <c r="E13" s="1512"/>
      <c r="G13" s="1513"/>
      <c r="H13" s="1513"/>
      <c r="I13" s="1513"/>
      <c r="J13" s="1513"/>
      <c r="K13" s="1513"/>
      <c r="L13" s="1513"/>
      <c r="M13" s="1513"/>
      <c r="N13" s="1513"/>
      <c r="O13" s="1513"/>
      <c r="P13" s="1513"/>
      <c r="Q13" s="1513"/>
      <c r="R13" s="1513"/>
      <c r="S13" s="1513"/>
      <c r="T13" s="1513"/>
      <c r="U13" s="1513"/>
      <c r="V13" s="1513"/>
      <c r="W13" s="1514"/>
      <c r="Y13" s="1515"/>
      <c r="Z13" s="1515"/>
      <c r="AA13" s="1515"/>
      <c r="AB13" s="1515"/>
      <c r="AC13" s="1515"/>
      <c r="AD13" s="1515"/>
      <c r="AE13" s="1515"/>
      <c r="AF13" s="1515"/>
      <c r="AG13" s="1515"/>
      <c r="AH13" s="1515"/>
      <c r="AI13" s="1515"/>
      <c r="AJ13" s="1515"/>
      <c r="AK13" s="1515"/>
      <c r="AL13" s="1515"/>
      <c r="AM13" s="1515"/>
      <c r="AN13" s="1515"/>
      <c r="AO13" s="1515"/>
      <c r="AP13" s="1515"/>
      <c r="AQ13" s="1516"/>
      <c r="AS13" s="1517"/>
      <c r="AT13" s="1517"/>
      <c r="AU13" s="1517"/>
      <c r="AV13" s="1517"/>
      <c r="AW13" s="1517"/>
      <c r="AX13" s="1517"/>
      <c r="AY13" s="1517"/>
      <c r="AZ13" s="1517"/>
      <c r="BA13" s="1517"/>
      <c r="BB13" s="1517"/>
      <c r="BC13" s="1517"/>
      <c r="BD13" s="1517"/>
      <c r="BE13" s="1517"/>
      <c r="BF13" s="1517"/>
      <c r="BG13" s="1517"/>
      <c r="BH13" s="1517"/>
      <c r="BI13" s="1517"/>
      <c r="BJ13" s="1517"/>
      <c r="BK13" s="1517"/>
      <c r="BL13" s="1518"/>
      <c r="BN13" s="1519"/>
      <c r="BO13" s="1519"/>
      <c r="BP13" s="1520"/>
      <c r="BR13" s="3168">
        <f t="shared" si="0"/>
        <v>0</v>
      </c>
      <c r="BS13" s="1521"/>
      <c r="BT13" s="748"/>
      <c r="BU13" s="1507">
        <v>0</v>
      </c>
      <c r="BV13" s="1508">
        <v>0</v>
      </c>
      <c r="BW13" s="1508">
        <v>0</v>
      </c>
      <c r="BX13" s="1508">
        <v>0</v>
      </c>
      <c r="BY13" s="1508">
        <v>0</v>
      </c>
      <c r="BZ13" s="1508">
        <v>0</v>
      </c>
      <c r="CA13" s="1508">
        <v>0</v>
      </c>
      <c r="CB13" s="1508">
        <v>0</v>
      </c>
      <c r="CC13" s="1508">
        <v>0</v>
      </c>
      <c r="CD13" s="1508">
        <v>0</v>
      </c>
      <c r="CE13" s="1508">
        <v>0</v>
      </c>
      <c r="CF13" s="1508">
        <v>0</v>
      </c>
      <c r="CG13" s="1508">
        <v>0</v>
      </c>
      <c r="CH13" s="1508">
        <v>0</v>
      </c>
      <c r="CI13" s="1508">
        <v>0</v>
      </c>
      <c r="CJ13" s="1508">
        <v>0</v>
      </c>
      <c r="CK13" s="1508">
        <v>0</v>
      </c>
      <c r="CL13" s="1508">
        <v>0</v>
      </c>
      <c r="CM13" s="1508">
        <v>0</v>
      </c>
      <c r="CN13" s="1508">
        <v>0</v>
      </c>
      <c r="CO13" s="1508">
        <v>0</v>
      </c>
      <c r="CP13" s="1508">
        <v>0</v>
      </c>
      <c r="CQ13" s="1508">
        <v>0</v>
      </c>
      <c r="CR13" s="1508">
        <v>0</v>
      </c>
      <c r="CS13" s="1508">
        <v>0</v>
      </c>
      <c r="CT13" s="1508">
        <v>0</v>
      </c>
      <c r="CU13" s="1508">
        <v>0</v>
      </c>
      <c r="CV13" s="1508">
        <v>0</v>
      </c>
      <c r="CW13" s="1508">
        <v>0</v>
      </c>
      <c r="CX13" s="1508">
        <v>0</v>
      </c>
      <c r="CY13" s="1508">
        <v>0</v>
      </c>
      <c r="CZ13" s="1508">
        <v>0</v>
      </c>
      <c r="DA13" s="1508">
        <v>0</v>
      </c>
      <c r="DB13" s="1508">
        <v>0</v>
      </c>
      <c r="DC13" s="1508">
        <v>0</v>
      </c>
      <c r="DD13" s="1508">
        <v>0</v>
      </c>
      <c r="DE13" s="1508">
        <v>0</v>
      </c>
      <c r="DF13" s="1508">
        <v>0</v>
      </c>
      <c r="DG13" s="1508">
        <v>0</v>
      </c>
      <c r="DH13" s="1508">
        <v>0</v>
      </c>
      <c r="DI13" s="1508">
        <v>0</v>
      </c>
      <c r="DJ13" s="1508">
        <v>0</v>
      </c>
      <c r="DK13" s="1508">
        <v>0</v>
      </c>
      <c r="DL13" s="1508">
        <v>0</v>
      </c>
      <c r="DN13" s="1509"/>
    </row>
    <row r="14" spans="1:118" s="14" customFormat="1" ht="12.75" hidden="1" customHeight="1" outlineLevel="1" x14ac:dyDescent="0.2">
      <c r="A14" s="1522"/>
      <c r="B14" s="1522"/>
      <c r="C14" s="1496"/>
      <c r="D14" s="1526"/>
      <c r="E14" s="1526"/>
      <c r="G14" s="1527"/>
      <c r="H14" s="1527"/>
      <c r="I14" s="1527"/>
      <c r="J14" s="1527"/>
      <c r="K14" s="1527"/>
      <c r="L14" s="1527"/>
      <c r="M14" s="1527"/>
      <c r="N14" s="1527"/>
      <c r="O14" s="1527"/>
      <c r="P14" s="1527"/>
      <c r="Q14" s="1527"/>
      <c r="R14" s="1527"/>
      <c r="S14" s="1527"/>
      <c r="T14" s="1527"/>
      <c r="U14" s="1527"/>
      <c r="V14" s="1527"/>
      <c r="W14" s="1527"/>
      <c r="Y14" s="1528"/>
      <c r="Z14" s="1528"/>
      <c r="AA14" s="1528"/>
      <c r="AB14" s="1528"/>
      <c r="AC14" s="1528"/>
      <c r="AD14" s="1528"/>
      <c r="AE14" s="1528"/>
      <c r="AF14" s="1528"/>
      <c r="AG14" s="1528"/>
      <c r="AH14" s="1528"/>
      <c r="AI14" s="1528"/>
      <c r="AJ14" s="1528"/>
      <c r="AK14" s="1528"/>
      <c r="AL14" s="1528"/>
      <c r="AM14" s="1528"/>
      <c r="AN14" s="1528"/>
      <c r="AO14" s="1528"/>
      <c r="AP14" s="1528"/>
      <c r="AQ14" s="1528"/>
      <c r="AS14" s="1529"/>
      <c r="AT14" s="1529"/>
      <c r="AU14" s="1529"/>
      <c r="AV14" s="1529"/>
      <c r="AW14" s="1529"/>
      <c r="AX14" s="1529"/>
      <c r="AY14" s="1529"/>
      <c r="AZ14" s="1529"/>
      <c r="BA14" s="1529"/>
      <c r="BB14" s="1529"/>
      <c r="BC14" s="1529"/>
      <c r="BD14" s="1529"/>
      <c r="BE14" s="1529"/>
      <c r="BF14" s="1529"/>
      <c r="BG14" s="1529"/>
      <c r="BH14" s="1529"/>
      <c r="BI14" s="1529"/>
      <c r="BJ14" s="1529"/>
      <c r="BK14" s="1529"/>
      <c r="BL14" s="1530"/>
      <c r="BN14" s="1531"/>
      <c r="BO14" s="1531"/>
      <c r="BP14" s="1531"/>
      <c r="BR14" s="3168">
        <f t="shared" si="0"/>
        <v>0</v>
      </c>
      <c r="BS14" s="1525"/>
      <c r="BT14" s="748"/>
      <c r="BU14" s="1532">
        <v>16.670422935762357</v>
      </c>
      <c r="BV14" s="1533">
        <v>3.1691470049996472E-2</v>
      </c>
      <c r="BW14" s="1533">
        <v>7.1890492881915569E-2</v>
      </c>
      <c r="BX14" s="1533">
        <v>0</v>
      </c>
      <c r="BY14" s="1533">
        <v>0</v>
      </c>
      <c r="BZ14" s="1533">
        <v>0</v>
      </c>
      <c r="CA14" s="1533">
        <v>0</v>
      </c>
      <c r="CB14" s="1533">
        <v>0</v>
      </c>
      <c r="CC14" s="1533">
        <v>0</v>
      </c>
      <c r="CD14" s="1533">
        <v>0</v>
      </c>
      <c r="CE14" s="1533">
        <v>0</v>
      </c>
      <c r="CF14" s="1533">
        <v>0</v>
      </c>
      <c r="CG14" s="1533">
        <v>0</v>
      </c>
      <c r="CH14" s="1533">
        <v>0</v>
      </c>
      <c r="CI14" s="1533">
        <v>0</v>
      </c>
      <c r="CJ14" s="1533">
        <v>0</v>
      </c>
      <c r="CK14" s="1533">
        <v>0</v>
      </c>
      <c r="CL14" s="1533">
        <v>0</v>
      </c>
      <c r="CM14" s="1533">
        <v>0</v>
      </c>
      <c r="CN14" s="1533">
        <v>0</v>
      </c>
      <c r="CO14" s="1533">
        <v>0</v>
      </c>
      <c r="CP14" s="1533">
        <v>0</v>
      </c>
      <c r="CQ14" s="1533">
        <v>0</v>
      </c>
      <c r="CR14" s="1533">
        <v>0</v>
      </c>
      <c r="CS14" s="1533">
        <v>0</v>
      </c>
      <c r="CT14" s="1533">
        <v>0</v>
      </c>
      <c r="CU14" s="1533">
        <v>0</v>
      </c>
      <c r="CV14" s="1533">
        <v>0</v>
      </c>
      <c r="CW14" s="1533">
        <v>0</v>
      </c>
      <c r="CX14" s="1533">
        <v>0</v>
      </c>
      <c r="CY14" s="1533">
        <v>0</v>
      </c>
      <c r="CZ14" s="1533">
        <v>0</v>
      </c>
      <c r="DA14" s="1533">
        <v>0</v>
      </c>
      <c r="DB14" s="1533">
        <v>0</v>
      </c>
      <c r="DC14" s="1533">
        <v>0</v>
      </c>
      <c r="DD14" s="1533">
        <v>0</v>
      </c>
      <c r="DE14" s="1533">
        <v>0</v>
      </c>
      <c r="DF14" s="1533">
        <v>0</v>
      </c>
      <c r="DG14" s="1533">
        <v>0</v>
      </c>
      <c r="DH14" s="1533">
        <v>0</v>
      </c>
      <c r="DI14" s="1533">
        <v>0</v>
      </c>
      <c r="DJ14" s="1533">
        <v>0</v>
      </c>
      <c r="DK14" s="1533">
        <v>0</v>
      </c>
      <c r="DL14" s="1533">
        <v>0</v>
      </c>
      <c r="DN14" s="1509"/>
    </row>
    <row r="15" spans="1:118" s="14" customFormat="1" ht="15.75" collapsed="1" x14ac:dyDescent="0.2">
      <c r="A15" s="1534"/>
      <c r="B15" s="1535"/>
      <c r="C15" s="1536" t="s">
        <v>478</v>
      </c>
      <c r="D15" s="1537" t="str">
        <f>INDEX(Flujos[Flujos], MATCH($C15, Flujos[Código], 0))</f>
        <v>Comercial, Público y Residencial</v>
      </c>
      <c r="E15" s="1538"/>
      <c r="G15" s="1539">
        <f ca="1">G9+G12</f>
        <v>39.634019653836816</v>
      </c>
      <c r="H15" s="1539">
        <f ca="1">H9+H12</f>
        <v>8.3645380195663819</v>
      </c>
      <c r="I15" s="1539">
        <f t="shared" ref="I15:V15" ca="1" si="7">I9+I12</f>
        <v>3.3416651895996683</v>
      </c>
      <c r="J15" s="1539">
        <f t="shared" ca="1" si="7"/>
        <v>11.237069927481432</v>
      </c>
      <c r="K15" s="1539">
        <f t="shared" ca="1" si="7"/>
        <v>4.9700680497493295</v>
      </c>
      <c r="L15" s="1539">
        <f t="shared" ca="1" si="7"/>
        <v>10.232077299260691</v>
      </c>
      <c r="M15" s="1539">
        <f t="shared" ca="1" si="7"/>
        <v>0</v>
      </c>
      <c r="N15" s="1539">
        <f t="shared" ca="1" si="7"/>
        <v>0</v>
      </c>
      <c r="O15" s="1539">
        <f t="shared" ca="1" si="7"/>
        <v>0</v>
      </c>
      <c r="P15" s="1539">
        <f t="shared" ca="1" si="7"/>
        <v>0</v>
      </c>
      <c r="Q15" s="1539">
        <f t="shared" ca="1" si="7"/>
        <v>0</v>
      </c>
      <c r="R15" s="1539">
        <f t="shared" ca="1" si="7"/>
        <v>0</v>
      </c>
      <c r="S15" s="1539">
        <f t="shared" ca="1" si="7"/>
        <v>0</v>
      </c>
      <c r="T15" s="1539">
        <f t="shared" ca="1" si="7"/>
        <v>0</v>
      </c>
      <c r="U15" s="1539">
        <f t="shared" ca="1" si="7"/>
        <v>0</v>
      </c>
      <c r="V15" s="1539">
        <f t="shared" ca="1" si="7"/>
        <v>0</v>
      </c>
      <c r="W15" s="1539">
        <f ca="1">SUM(G15:V15)</f>
        <v>77.779438139494317</v>
      </c>
      <c r="Y15" s="1490">
        <f ca="1">Y9+Y12</f>
        <v>-25.805991746694076</v>
      </c>
      <c r="Z15" s="1490">
        <f t="shared" ref="Z15:AP15" ca="1" si="8">Z9+Z12</f>
        <v>0</v>
      </c>
      <c r="AA15" s="1490">
        <f t="shared" ca="1" si="8"/>
        <v>0</v>
      </c>
      <c r="AB15" s="1490">
        <f ca="1">AB9+AB12</f>
        <v>-10.515198088971516</v>
      </c>
      <c r="AC15" s="1490">
        <f t="shared" ca="1" si="8"/>
        <v>-30.913837155386016</v>
      </c>
      <c r="AD15" s="1490">
        <f t="shared" ca="1" si="8"/>
        <v>0</v>
      </c>
      <c r="AE15" s="1490">
        <f t="shared" ca="1" si="8"/>
        <v>0</v>
      </c>
      <c r="AF15" s="1490">
        <f t="shared" ca="1" si="8"/>
        <v>0</v>
      </c>
      <c r="AG15" s="1490">
        <f t="shared" ca="1" si="8"/>
        <v>0</v>
      </c>
      <c r="AH15" s="1490">
        <f t="shared" ca="1" si="8"/>
        <v>0</v>
      </c>
      <c r="AI15" s="1490">
        <f t="shared" ca="1" si="8"/>
        <v>0</v>
      </c>
      <c r="AJ15" s="1490">
        <f t="shared" ca="1" si="8"/>
        <v>0</v>
      </c>
      <c r="AK15" s="1490">
        <f t="shared" ca="1" si="8"/>
        <v>0</v>
      </c>
      <c r="AL15" s="1490">
        <f t="shared" ca="1" si="8"/>
        <v>-10.527656185258072</v>
      </c>
      <c r="AM15" s="1490">
        <f t="shared" ca="1" si="8"/>
        <v>0</v>
      </c>
      <c r="AN15" s="1490">
        <f t="shared" ca="1" si="8"/>
        <v>0</v>
      </c>
      <c r="AO15" s="1490">
        <f t="shared" ca="1" si="8"/>
        <v>0</v>
      </c>
      <c r="AP15" s="1490">
        <f t="shared" ca="1" si="8"/>
        <v>0</v>
      </c>
      <c r="AQ15" s="1490">
        <f ca="1">SUM(Y15:AP15)</f>
        <v>-77.762683176309679</v>
      </c>
      <c r="AS15" s="1491">
        <f ca="1">AS9+AS12</f>
        <v>0</v>
      </c>
      <c r="AT15" s="1491">
        <f t="shared" ref="AT15:BJ15" ca="1" si="9">AT9+AT12</f>
        <v>0</v>
      </c>
      <c r="AU15" s="1491">
        <f t="shared" ca="1" si="9"/>
        <v>0</v>
      </c>
      <c r="AV15" s="1491">
        <f t="shared" ca="1" si="9"/>
        <v>0</v>
      </c>
      <c r="AW15" s="1491">
        <f t="shared" ca="1" si="9"/>
        <v>0</v>
      </c>
      <c r="AX15" s="1491">
        <f t="shared" ca="1" si="9"/>
        <v>0</v>
      </c>
      <c r="AY15" s="1491">
        <f t="shared" ca="1" si="9"/>
        <v>0</v>
      </c>
      <c r="AZ15" s="1491">
        <f t="shared" ca="1" si="9"/>
        <v>0</v>
      </c>
      <c r="BA15" s="1491">
        <f t="shared" ca="1" si="9"/>
        <v>0</v>
      </c>
      <c r="BB15" s="1491">
        <f t="shared" ca="1" si="9"/>
        <v>0</v>
      </c>
      <c r="BC15" s="1491">
        <f t="shared" ca="1" si="9"/>
        <v>-1.6754963184642015E-2</v>
      </c>
      <c r="BD15" s="1491">
        <f t="shared" ca="1" si="9"/>
        <v>0</v>
      </c>
      <c r="BE15" s="1491">
        <f t="shared" ca="1" si="9"/>
        <v>0</v>
      </c>
      <c r="BF15" s="1491">
        <f t="shared" ca="1" si="9"/>
        <v>0</v>
      </c>
      <c r="BG15" s="1491">
        <f t="shared" ca="1" si="9"/>
        <v>0</v>
      </c>
      <c r="BH15" s="1491">
        <f t="shared" ca="1" si="9"/>
        <v>0</v>
      </c>
      <c r="BI15" s="1491">
        <f t="shared" ca="1" si="9"/>
        <v>0</v>
      </c>
      <c r="BJ15" s="1491">
        <f t="shared" ca="1" si="9"/>
        <v>0</v>
      </c>
      <c r="BK15" s="1491">
        <f ca="1">BK9+BK12</f>
        <v>0</v>
      </c>
      <c r="BL15" s="1491">
        <f ca="1">SUM(AS15:BK15)</f>
        <v>-1.6754963184642015E-2</v>
      </c>
      <c r="BN15" s="1941">
        <f ca="1">BN9+BN12</f>
        <v>0</v>
      </c>
      <c r="BO15" s="1941">
        <f ca="1">BO9+BO12</f>
        <v>0</v>
      </c>
      <c r="BP15" s="1505">
        <f ca="1">BN15+BO15</f>
        <v>0</v>
      </c>
      <c r="BR15" s="3168">
        <f ca="1">W15+AQ15+BL15+BP15</f>
        <v>-3.5874081483200371E-15</v>
      </c>
      <c r="BS15" s="1493"/>
      <c r="BT15" s="748"/>
      <c r="BU15" s="1508">
        <v>83.962192100216072</v>
      </c>
      <c r="BV15" s="1508">
        <v>0.16824651887377906</v>
      </c>
      <c r="BW15" s="1508">
        <v>0.29702226229713091</v>
      </c>
      <c r="BX15" s="1508">
        <v>0</v>
      </c>
      <c r="BY15" s="1508">
        <v>0</v>
      </c>
      <c r="BZ15" s="1508">
        <v>0</v>
      </c>
      <c r="CA15" s="1508">
        <v>0</v>
      </c>
      <c r="CB15" s="1508">
        <v>0</v>
      </c>
      <c r="CC15" s="1508">
        <v>0</v>
      </c>
      <c r="CD15" s="1508">
        <v>0</v>
      </c>
      <c r="CE15" s="1508">
        <v>0</v>
      </c>
      <c r="CF15" s="1508">
        <v>0</v>
      </c>
      <c r="CG15" s="1508">
        <v>0</v>
      </c>
      <c r="CH15" s="1508">
        <v>0</v>
      </c>
      <c r="CI15" s="1508">
        <v>0</v>
      </c>
      <c r="CJ15" s="1508">
        <v>0</v>
      </c>
      <c r="CK15" s="1508">
        <v>0</v>
      </c>
      <c r="CL15" s="1508">
        <v>0</v>
      </c>
      <c r="CM15" s="1508">
        <v>0</v>
      </c>
      <c r="CN15" s="1508">
        <v>0</v>
      </c>
      <c r="CO15" s="1508">
        <v>0</v>
      </c>
      <c r="CP15" s="1508">
        <v>0</v>
      </c>
      <c r="CQ15" s="1508">
        <v>0</v>
      </c>
      <c r="CR15" s="1508">
        <v>0</v>
      </c>
      <c r="CS15" s="1508">
        <v>0</v>
      </c>
      <c r="CT15" s="1508">
        <v>0</v>
      </c>
      <c r="CU15" s="1508">
        <v>0</v>
      </c>
      <c r="CV15" s="1508">
        <v>0</v>
      </c>
      <c r="CW15" s="1508">
        <v>0</v>
      </c>
      <c r="CX15" s="1508">
        <v>0</v>
      </c>
      <c r="CY15" s="1508">
        <v>0</v>
      </c>
      <c r="CZ15" s="1508">
        <v>0</v>
      </c>
      <c r="DA15" s="1508">
        <v>0</v>
      </c>
      <c r="DB15" s="1508">
        <v>0</v>
      </c>
      <c r="DC15" s="1508">
        <v>0</v>
      </c>
      <c r="DD15" s="1508">
        <v>0</v>
      </c>
      <c r="DE15" s="1508">
        <v>0</v>
      </c>
      <c r="DF15" s="1508">
        <v>0</v>
      </c>
      <c r="DG15" s="1508">
        <v>0</v>
      </c>
      <c r="DH15" s="1508">
        <v>0</v>
      </c>
      <c r="DI15" s="1508">
        <v>0</v>
      </c>
      <c r="DJ15" s="1508">
        <v>0</v>
      </c>
      <c r="DK15" s="1508">
        <v>0</v>
      </c>
      <c r="DL15" s="1508">
        <v>0</v>
      </c>
      <c r="DN15" s="1509">
        <v>84.427460881386978</v>
      </c>
    </row>
    <row r="16" spans="1:118" s="14" customFormat="1" ht="15.75" x14ac:dyDescent="0.2">
      <c r="A16" s="1534"/>
      <c r="B16" s="1535"/>
      <c r="C16" s="1536"/>
      <c r="D16" s="1537"/>
      <c r="E16" s="1538"/>
      <c r="G16" s="1539"/>
      <c r="H16" s="1539"/>
      <c r="I16" s="1539"/>
      <c r="J16" s="1539"/>
      <c r="K16" s="1539"/>
      <c r="L16" s="1539"/>
      <c r="M16" s="1539"/>
      <c r="N16" s="1539"/>
      <c r="O16" s="1539"/>
      <c r="P16" s="1539"/>
      <c r="Q16" s="1539"/>
      <c r="R16" s="1539"/>
      <c r="S16" s="1539"/>
      <c r="T16" s="1539"/>
      <c r="U16" s="1539"/>
      <c r="V16" s="1539"/>
      <c r="W16" s="1539"/>
      <c r="Y16" s="1490"/>
      <c r="Z16" s="1490"/>
      <c r="AA16" s="1490"/>
      <c r="AB16" s="1490"/>
      <c r="AC16" s="1490"/>
      <c r="AD16" s="1490"/>
      <c r="AE16" s="1490"/>
      <c r="AF16" s="1490"/>
      <c r="AG16" s="1490"/>
      <c r="AH16" s="1490"/>
      <c r="AI16" s="1490"/>
      <c r="AJ16" s="1490"/>
      <c r="AK16" s="1490"/>
      <c r="AL16" s="1490"/>
      <c r="AM16" s="1490"/>
      <c r="AN16" s="1490"/>
      <c r="AO16" s="1490"/>
      <c r="AP16" s="1490"/>
      <c r="AQ16" s="1490"/>
      <c r="AS16" s="1491"/>
      <c r="AT16" s="1491"/>
      <c r="AU16" s="1491"/>
      <c r="AV16" s="1491"/>
      <c r="AW16" s="1491"/>
      <c r="AX16" s="1491"/>
      <c r="AY16" s="1491"/>
      <c r="AZ16" s="1491"/>
      <c r="BA16" s="1491"/>
      <c r="BB16" s="1491"/>
      <c r="BC16" s="1491"/>
      <c r="BD16" s="1491"/>
      <c r="BE16" s="1491"/>
      <c r="BF16" s="1491"/>
      <c r="BG16" s="1491"/>
      <c r="BH16" s="1491"/>
      <c r="BI16" s="1491"/>
      <c r="BJ16" s="1491"/>
      <c r="BK16" s="1491"/>
      <c r="BL16" s="1491"/>
      <c r="BN16" s="1492"/>
      <c r="BO16" s="1492"/>
      <c r="BP16" s="1492"/>
      <c r="BR16" s="3168"/>
      <c r="BS16" s="1493"/>
      <c r="BT16" s="748"/>
      <c r="BU16" s="1508"/>
      <c r="BV16" s="1508"/>
      <c r="BW16" s="1508"/>
      <c r="BX16" s="1508"/>
      <c r="BY16" s="1508"/>
      <c r="BZ16" s="1508"/>
      <c r="CA16" s="1508"/>
      <c r="CB16" s="1508"/>
      <c r="CC16" s="1508"/>
      <c r="CD16" s="1508"/>
      <c r="CE16" s="1508"/>
      <c r="CF16" s="1508"/>
      <c r="CG16" s="1508"/>
      <c r="CH16" s="1508"/>
      <c r="CI16" s="1508"/>
      <c r="CJ16" s="1508"/>
      <c r="CK16" s="1508"/>
      <c r="CL16" s="1508"/>
      <c r="CM16" s="1508"/>
      <c r="CN16" s="1508"/>
      <c r="CO16" s="1508"/>
      <c r="CP16" s="1508"/>
      <c r="CQ16" s="1508"/>
      <c r="CR16" s="1508"/>
      <c r="CS16" s="1508"/>
      <c r="CT16" s="1508"/>
      <c r="CU16" s="1508"/>
      <c r="CV16" s="1508"/>
      <c r="CW16" s="1508"/>
      <c r="CX16" s="1508"/>
      <c r="CY16" s="1508"/>
      <c r="CZ16" s="1508"/>
      <c r="DA16" s="1508"/>
      <c r="DB16" s="1508"/>
      <c r="DC16" s="1508"/>
      <c r="DD16" s="1508"/>
      <c r="DE16" s="1508"/>
      <c r="DF16" s="1508"/>
      <c r="DG16" s="1508"/>
      <c r="DH16" s="1508"/>
      <c r="DI16" s="1508"/>
      <c r="DJ16" s="1508"/>
      <c r="DK16" s="1508"/>
      <c r="DL16" s="1508"/>
      <c r="DN16" s="1509"/>
    </row>
    <row r="17" spans="1:118" s="14" customFormat="1" ht="12.75" hidden="1" customHeight="1" outlineLevel="1" x14ac:dyDescent="0.2">
      <c r="A17" s="1522"/>
      <c r="B17" s="1522"/>
      <c r="C17" s="1496"/>
      <c r="D17" s="1497"/>
      <c r="E17" s="1497"/>
      <c r="G17" s="1499"/>
      <c r="H17" s="1499"/>
      <c r="I17" s="1499"/>
      <c r="J17" s="1499"/>
      <c r="K17" s="1499"/>
      <c r="L17" s="1499"/>
      <c r="M17" s="1499"/>
      <c r="N17" s="1499"/>
      <c r="O17" s="1499"/>
      <c r="P17" s="1499"/>
      <c r="Q17" s="1499"/>
      <c r="R17" s="1499"/>
      <c r="S17" s="1499"/>
      <c r="T17" s="1499"/>
      <c r="U17" s="1499"/>
      <c r="V17" s="1499"/>
      <c r="W17" s="1539">
        <f t="shared" ref="W17:W33" si="10">SUM(G17:V17)</f>
        <v>0</v>
      </c>
      <c r="Y17" s="1501"/>
      <c r="Z17" s="1501"/>
      <c r="AA17" s="1501"/>
      <c r="AB17" s="1501"/>
      <c r="AC17" s="1501"/>
      <c r="AD17" s="1501"/>
      <c r="AE17" s="1501"/>
      <c r="AF17" s="1501"/>
      <c r="AG17" s="1501"/>
      <c r="AH17" s="1501"/>
      <c r="AI17" s="1501"/>
      <c r="AJ17" s="1501"/>
      <c r="AK17" s="1501"/>
      <c r="AL17" s="1501"/>
      <c r="AM17" s="1501"/>
      <c r="AN17" s="1501"/>
      <c r="AO17" s="1501"/>
      <c r="AP17" s="1501"/>
      <c r="AQ17" s="1490">
        <f t="shared" ref="AQ17:AQ27" si="11">SUM(Y17:AP17)</f>
        <v>0</v>
      </c>
      <c r="AS17" s="1523"/>
      <c r="AT17" s="1523"/>
      <c r="AU17" s="1523"/>
      <c r="AV17" s="1523"/>
      <c r="AW17" s="1523"/>
      <c r="AX17" s="1523"/>
      <c r="AY17" s="1523"/>
      <c r="AZ17" s="1523"/>
      <c r="BA17" s="1523"/>
      <c r="BB17" s="1523"/>
      <c r="BC17" s="1523"/>
      <c r="BD17" s="1523"/>
      <c r="BE17" s="1523"/>
      <c r="BF17" s="1523"/>
      <c r="BG17" s="1523"/>
      <c r="BH17" s="1523"/>
      <c r="BI17" s="1523"/>
      <c r="BJ17" s="1523"/>
      <c r="BK17" s="1523"/>
      <c r="BL17" s="1524"/>
      <c r="BN17" s="1505"/>
      <c r="BO17" s="1505"/>
      <c r="BP17" s="1505"/>
      <c r="BR17" s="3168">
        <f t="shared" ref="BR17:BR76" si="12">W17+AQ17+BL17+BP17</f>
        <v>0</v>
      </c>
      <c r="BS17" s="1525"/>
      <c r="BT17" s="1522"/>
      <c r="BU17" s="1507"/>
      <c r="BV17" s="1508"/>
      <c r="BW17" s="1508"/>
      <c r="BX17" s="1508"/>
      <c r="BY17" s="1508"/>
      <c r="BZ17" s="1508"/>
      <c r="CA17" s="1508"/>
      <c r="CB17" s="1508"/>
      <c r="CC17" s="1508"/>
      <c r="CD17" s="1508"/>
      <c r="CE17" s="1508"/>
      <c r="CF17" s="1508"/>
      <c r="CG17" s="1508"/>
      <c r="CH17" s="1508"/>
      <c r="CI17" s="1508"/>
      <c r="CJ17" s="1508"/>
      <c r="CK17" s="1508"/>
      <c r="CL17" s="1508"/>
      <c r="CM17" s="1508"/>
      <c r="CN17" s="1508"/>
      <c r="CO17" s="1508"/>
      <c r="CP17" s="1508"/>
      <c r="CQ17" s="1508"/>
      <c r="CR17" s="1508"/>
      <c r="CS17" s="1508"/>
      <c r="CT17" s="1508"/>
      <c r="CU17" s="1508"/>
      <c r="CV17" s="1508"/>
      <c r="CW17" s="1508"/>
      <c r="CX17" s="1508"/>
      <c r="CY17" s="1508"/>
      <c r="CZ17" s="1508"/>
      <c r="DA17" s="1508"/>
      <c r="DB17" s="1508"/>
      <c r="DC17" s="1508"/>
      <c r="DD17" s="1508"/>
      <c r="DE17" s="1508"/>
      <c r="DF17" s="1508"/>
      <c r="DG17" s="1508"/>
      <c r="DH17" s="1508"/>
      <c r="DI17" s="1508"/>
      <c r="DJ17" s="1508"/>
      <c r="DK17" s="1508"/>
      <c r="DL17" s="1508"/>
      <c r="DN17" s="1509">
        <v>0</v>
      </c>
    </row>
    <row r="18" spans="1:118" s="14" customFormat="1" ht="12.75" hidden="1" customHeight="1" outlineLevel="1" x14ac:dyDescent="0.2">
      <c r="A18" s="1522"/>
      <c r="B18" s="1522"/>
      <c r="C18" s="1496" t="s">
        <v>425</v>
      </c>
      <c r="D18" s="14" t="str">
        <f>INDEX(Modulos[Modulos], MATCH($C18, Modulos[Código], 0))</f>
        <v>Procesos Industriales</v>
      </c>
      <c r="E18" s="1526"/>
      <c r="G18" s="1540">
        <f t="shared" ref="G18:V18" ca="1" si="13">IFERROR(INDEX(INDIRECT($C18&amp;".Outputs["&amp;this.Year&amp;"]"), MATCH(G$5, INDIRECT($C18&amp;".Outputs[Vector]"), 0)), 0)</f>
        <v>0</v>
      </c>
      <c r="H18" s="1540"/>
      <c r="I18" s="1540"/>
      <c r="J18" s="1540"/>
      <c r="K18" s="1540"/>
      <c r="L18" s="1540"/>
      <c r="M18" s="1540">
        <f t="shared" ca="1" si="13"/>
        <v>158.67044327209996</v>
      </c>
      <c r="N18" s="1540">
        <f t="shared" ca="1" si="13"/>
        <v>0</v>
      </c>
      <c r="O18" s="1540">
        <f t="shared" ca="1" si="13"/>
        <v>0</v>
      </c>
      <c r="P18" s="1540">
        <f t="shared" ca="1" si="13"/>
        <v>0</v>
      </c>
      <c r="Q18" s="1540">
        <f t="shared" ca="1" si="13"/>
        <v>0</v>
      </c>
      <c r="R18" s="1540">
        <f t="shared" ca="1" si="13"/>
        <v>0</v>
      </c>
      <c r="S18" s="1540">
        <f t="shared" ca="1" si="13"/>
        <v>0</v>
      </c>
      <c r="T18" s="1540">
        <f t="shared" ca="1" si="13"/>
        <v>0</v>
      </c>
      <c r="U18" s="1540">
        <f t="shared" ca="1" si="13"/>
        <v>0</v>
      </c>
      <c r="V18" s="1540">
        <f t="shared" ca="1" si="13"/>
        <v>0</v>
      </c>
      <c r="W18" s="1539">
        <f t="shared" ca="1" si="10"/>
        <v>158.67044327209996</v>
      </c>
      <c r="Y18" s="1541">
        <f t="shared" ref="Y18:AP18" ca="1" si="14">IFERROR(INDEX(INDIRECT($C18&amp;".Outputs["&amp;this.Year&amp;"]"), MATCH(Y$5, INDIRECT($C18&amp;".Outputs[Vector]"), 0)), 0)</f>
        <v>-52.640327008199243</v>
      </c>
      <c r="Z18" s="1541">
        <f t="shared" ca="1" si="14"/>
        <v>0</v>
      </c>
      <c r="AA18" s="1541">
        <f t="shared" ca="1" si="14"/>
        <v>-38.494150091841917</v>
      </c>
      <c r="AB18" s="1541">
        <f t="shared" ca="1" si="14"/>
        <v>-51.708418003891893</v>
      </c>
      <c r="AC18" s="1541">
        <f t="shared" ca="1" si="14"/>
        <v>-15.827548168166917</v>
      </c>
      <c r="AD18" s="1541">
        <f t="shared" ca="1" si="14"/>
        <v>0</v>
      </c>
      <c r="AE18" s="1541">
        <f t="shared" ca="1" si="14"/>
        <v>0</v>
      </c>
      <c r="AF18" s="1541">
        <f t="shared" ca="1" si="14"/>
        <v>0</v>
      </c>
      <c r="AG18" s="1541">
        <f t="shared" ca="1" si="14"/>
        <v>0</v>
      </c>
      <c r="AH18" s="1541">
        <f t="shared" ca="1" si="14"/>
        <v>0</v>
      </c>
      <c r="AI18" s="1541">
        <f t="shared" ca="1" si="14"/>
        <v>0</v>
      </c>
      <c r="AJ18" s="1541">
        <f t="shared" ca="1" si="14"/>
        <v>0</v>
      </c>
      <c r="AK18" s="1541">
        <f t="shared" ca="1" si="14"/>
        <v>0</v>
      </c>
      <c r="AL18" s="1541">
        <f t="shared" ca="1" si="14"/>
        <v>0</v>
      </c>
      <c r="AM18" s="1541">
        <f t="shared" ca="1" si="14"/>
        <v>0</v>
      </c>
      <c r="AN18" s="1541">
        <f t="shared" ca="1" si="14"/>
        <v>0</v>
      </c>
      <c r="AO18" s="1541">
        <f t="shared" ca="1" si="14"/>
        <v>0</v>
      </c>
      <c r="AP18" s="1541">
        <f t="shared" ca="1" si="14"/>
        <v>0</v>
      </c>
      <c r="AQ18" s="1490">
        <f t="shared" ca="1" si="11"/>
        <v>-158.67044327209996</v>
      </c>
      <c r="AS18" s="1542">
        <f t="shared" ref="AS18:BK18" ca="1" si="15">IFERROR(INDEX(INDIRECT($C18&amp;".Outputs["&amp;this.Year&amp;"]"), MATCH(AS$5, INDIRECT($C18&amp;".Outputs[Vector]"), 0)), 0)</f>
        <v>0</v>
      </c>
      <c r="AT18" s="1542">
        <f t="shared" ca="1" si="15"/>
        <v>0</v>
      </c>
      <c r="AU18" s="1542">
        <f t="shared" ca="1" si="15"/>
        <v>0</v>
      </c>
      <c r="AV18" s="1542">
        <f t="shared" ca="1" si="15"/>
        <v>0</v>
      </c>
      <c r="AW18" s="1542">
        <f t="shared" ca="1" si="15"/>
        <v>0</v>
      </c>
      <c r="AX18" s="1542">
        <f t="shared" ca="1" si="15"/>
        <v>0</v>
      </c>
      <c r="AY18" s="1542">
        <f t="shared" ca="1" si="15"/>
        <v>0</v>
      </c>
      <c r="AZ18" s="1542">
        <f t="shared" ca="1" si="15"/>
        <v>0</v>
      </c>
      <c r="BA18" s="1542">
        <f t="shared" ca="1" si="15"/>
        <v>0</v>
      </c>
      <c r="BB18" s="1542">
        <f t="shared" ca="1" si="15"/>
        <v>0</v>
      </c>
      <c r="BC18" s="1542">
        <f t="shared" ca="1" si="15"/>
        <v>0</v>
      </c>
      <c r="BD18" s="1542">
        <f t="shared" ca="1" si="15"/>
        <v>0</v>
      </c>
      <c r="BE18" s="1542">
        <f t="shared" ca="1" si="15"/>
        <v>0</v>
      </c>
      <c r="BF18" s="1542">
        <f t="shared" ca="1" si="15"/>
        <v>0</v>
      </c>
      <c r="BG18" s="1542">
        <f t="shared" ca="1" si="15"/>
        <v>0</v>
      </c>
      <c r="BH18" s="1542">
        <f t="shared" ca="1" si="15"/>
        <v>0</v>
      </c>
      <c r="BI18" s="1542">
        <f t="shared" ca="1" si="15"/>
        <v>0</v>
      </c>
      <c r="BJ18" s="1542">
        <f t="shared" ca="1" si="15"/>
        <v>0</v>
      </c>
      <c r="BK18" s="1542">
        <f t="shared" ca="1" si="15"/>
        <v>0</v>
      </c>
      <c r="BL18" s="1542">
        <f ca="1">SUM(AS18:BK18)</f>
        <v>0</v>
      </c>
      <c r="BN18" s="1941">
        <f ca="1">IFERROR(INDEX(INDIRECT($C18&amp;".Outputs["&amp;this.Year&amp;"]"), MATCH(BN$5, INDIRECT($C18&amp;".Outputs[Vector]"), 0)), 0)</f>
        <v>0</v>
      </c>
      <c r="BO18" s="1941">
        <f ca="1">IFERROR(INDEX(INDIRECT($C18&amp;".Outputs["&amp;this.Year&amp;"]"), MATCH(BO$5, INDIRECT($C18&amp;".Outputs[Vector]"), 0)), 0)</f>
        <v>0</v>
      </c>
      <c r="BP18" s="1505">
        <f ca="1">BN18+BO18</f>
        <v>0</v>
      </c>
      <c r="BR18" s="3168">
        <f t="shared" ca="1" si="12"/>
        <v>0</v>
      </c>
      <c r="BS18" s="1525"/>
      <c r="BT18" s="748"/>
      <c r="BU18" s="1532">
        <v>64.817912804929591</v>
      </c>
      <c r="BV18" s="1533">
        <v>0.13010783216178268</v>
      </c>
      <c r="BW18" s="1533">
        <v>0.57551021650787848</v>
      </c>
      <c r="BX18" s="1533">
        <v>0</v>
      </c>
      <c r="BY18" s="1533">
        <v>0</v>
      </c>
      <c r="BZ18" s="1533">
        <v>0</v>
      </c>
      <c r="CA18" s="1533">
        <v>0</v>
      </c>
      <c r="CB18" s="1533">
        <v>0</v>
      </c>
      <c r="CC18" s="1533">
        <v>14.39565925511863</v>
      </c>
      <c r="CD18" s="1533">
        <v>0.11288744235152412</v>
      </c>
      <c r="CE18" s="1533">
        <v>2.7624692105907238</v>
      </c>
      <c r="CF18" s="1533">
        <v>10.620296151887526</v>
      </c>
      <c r="CG18" s="1533">
        <v>0</v>
      </c>
      <c r="CH18" s="1533">
        <v>0</v>
      </c>
      <c r="CI18" s="1533">
        <v>0</v>
      </c>
      <c r="CJ18" s="1533">
        <v>0</v>
      </c>
      <c r="CK18" s="1533">
        <v>0</v>
      </c>
      <c r="CL18" s="1533">
        <v>0</v>
      </c>
      <c r="CM18" s="1533">
        <v>0</v>
      </c>
      <c r="CN18" s="1533">
        <v>0</v>
      </c>
      <c r="CO18" s="1533">
        <v>0</v>
      </c>
      <c r="CP18" s="1533">
        <v>0</v>
      </c>
      <c r="CQ18" s="1533">
        <v>0</v>
      </c>
      <c r="CR18" s="1533">
        <v>0</v>
      </c>
      <c r="CS18" s="1533">
        <v>0</v>
      </c>
      <c r="CT18" s="1533">
        <v>0</v>
      </c>
      <c r="CU18" s="1533">
        <v>0</v>
      </c>
      <c r="CV18" s="1533">
        <v>0</v>
      </c>
      <c r="CW18" s="1533">
        <v>0</v>
      </c>
      <c r="CX18" s="1533">
        <v>0</v>
      </c>
      <c r="CY18" s="1533">
        <v>0</v>
      </c>
      <c r="CZ18" s="1533">
        <v>0</v>
      </c>
      <c r="DA18" s="1533">
        <v>0</v>
      </c>
      <c r="DB18" s="1533">
        <v>0</v>
      </c>
      <c r="DC18" s="1533">
        <v>0</v>
      </c>
      <c r="DD18" s="1533">
        <v>0</v>
      </c>
      <c r="DE18" s="1533">
        <v>0</v>
      </c>
      <c r="DF18" s="1533">
        <v>0</v>
      </c>
      <c r="DG18" s="1533">
        <v>0</v>
      </c>
      <c r="DH18" s="1533">
        <v>0</v>
      </c>
      <c r="DI18" s="1533">
        <v>0</v>
      </c>
      <c r="DJ18" s="1533">
        <v>0</v>
      </c>
      <c r="DK18" s="1533">
        <v>0</v>
      </c>
      <c r="DL18" s="1533">
        <v>0</v>
      </c>
      <c r="DN18" s="1509">
        <v>93.414842913547659</v>
      </c>
    </row>
    <row r="19" spans="1:118" s="14" customFormat="1" ht="15.75" collapsed="1" x14ac:dyDescent="0.2">
      <c r="A19" s="1534"/>
      <c r="B19" s="1535"/>
      <c r="C19" s="1536" t="s">
        <v>578</v>
      </c>
      <c r="D19" s="1537" t="str">
        <f>INDEX(Flujos[Flujos], MATCH($C19, Flujos[Código], 0))</f>
        <v>Industria y Minería</v>
      </c>
      <c r="E19" s="1538"/>
      <c r="G19" s="1539">
        <f ca="1">G18</f>
        <v>0</v>
      </c>
      <c r="H19" s="1539">
        <f t="shared" ref="H19:V19" si="16">H18</f>
        <v>0</v>
      </c>
      <c r="I19" s="1539">
        <f t="shared" si="16"/>
        <v>0</v>
      </c>
      <c r="J19" s="1539">
        <f t="shared" si="16"/>
        <v>0</v>
      </c>
      <c r="K19" s="1539">
        <f t="shared" si="16"/>
        <v>0</v>
      </c>
      <c r="L19" s="1539">
        <f t="shared" si="16"/>
        <v>0</v>
      </c>
      <c r="M19" s="1539">
        <f t="shared" ca="1" si="16"/>
        <v>158.67044327209996</v>
      </c>
      <c r="N19" s="1539">
        <f t="shared" ca="1" si="16"/>
        <v>0</v>
      </c>
      <c r="O19" s="1539">
        <f t="shared" ca="1" si="16"/>
        <v>0</v>
      </c>
      <c r="P19" s="1539">
        <f t="shared" ca="1" si="16"/>
        <v>0</v>
      </c>
      <c r="Q19" s="1539">
        <f t="shared" ca="1" si="16"/>
        <v>0</v>
      </c>
      <c r="R19" s="1539">
        <f t="shared" ca="1" si="16"/>
        <v>0</v>
      </c>
      <c r="S19" s="1539">
        <f t="shared" ca="1" si="16"/>
        <v>0</v>
      </c>
      <c r="T19" s="1539">
        <f t="shared" ca="1" si="16"/>
        <v>0</v>
      </c>
      <c r="U19" s="1539">
        <f t="shared" ca="1" si="16"/>
        <v>0</v>
      </c>
      <c r="V19" s="1539">
        <f t="shared" ca="1" si="16"/>
        <v>0</v>
      </c>
      <c r="W19" s="1539">
        <f t="shared" ca="1" si="10"/>
        <v>158.67044327209996</v>
      </c>
      <c r="Y19" s="1490">
        <f ca="1">Y18</f>
        <v>-52.640327008199243</v>
      </c>
      <c r="Z19" s="1490">
        <f t="shared" ref="Z19:AP19" ca="1" si="17">Z18</f>
        <v>0</v>
      </c>
      <c r="AA19" s="1490">
        <f t="shared" ca="1" si="17"/>
        <v>-38.494150091841917</v>
      </c>
      <c r="AB19" s="1490">
        <f t="shared" ca="1" si="17"/>
        <v>-51.708418003891893</v>
      </c>
      <c r="AC19" s="1490">
        <f t="shared" ca="1" si="17"/>
        <v>-15.827548168166917</v>
      </c>
      <c r="AD19" s="1490">
        <f t="shared" ca="1" si="17"/>
        <v>0</v>
      </c>
      <c r="AE19" s="1490">
        <f t="shared" ca="1" si="17"/>
        <v>0</v>
      </c>
      <c r="AF19" s="1490">
        <f t="shared" ca="1" si="17"/>
        <v>0</v>
      </c>
      <c r="AG19" s="1490">
        <f t="shared" ca="1" si="17"/>
        <v>0</v>
      </c>
      <c r="AH19" s="1490">
        <f t="shared" ca="1" si="17"/>
        <v>0</v>
      </c>
      <c r="AI19" s="1490">
        <f t="shared" ca="1" si="17"/>
        <v>0</v>
      </c>
      <c r="AJ19" s="1490">
        <f t="shared" ca="1" si="17"/>
        <v>0</v>
      </c>
      <c r="AK19" s="1490">
        <f t="shared" ca="1" si="17"/>
        <v>0</v>
      </c>
      <c r="AL19" s="1490">
        <f t="shared" ca="1" si="17"/>
        <v>0</v>
      </c>
      <c r="AM19" s="1490">
        <f t="shared" ca="1" si="17"/>
        <v>0</v>
      </c>
      <c r="AN19" s="1490">
        <f t="shared" ca="1" si="17"/>
        <v>0</v>
      </c>
      <c r="AO19" s="1490">
        <f t="shared" ca="1" si="17"/>
        <v>0</v>
      </c>
      <c r="AP19" s="1490">
        <f t="shared" ca="1" si="17"/>
        <v>0</v>
      </c>
      <c r="AQ19" s="1490">
        <f t="shared" ca="1" si="11"/>
        <v>-158.67044327209996</v>
      </c>
      <c r="AS19" s="1491">
        <f ca="1">AS18</f>
        <v>0</v>
      </c>
      <c r="AT19" s="1491">
        <f t="shared" ref="AT19:BM19" ca="1" si="18">AT18</f>
        <v>0</v>
      </c>
      <c r="AU19" s="1491">
        <f t="shared" ca="1" si="18"/>
        <v>0</v>
      </c>
      <c r="AV19" s="1491">
        <f t="shared" ca="1" si="18"/>
        <v>0</v>
      </c>
      <c r="AW19" s="1491">
        <f t="shared" ca="1" si="18"/>
        <v>0</v>
      </c>
      <c r="AX19" s="1491">
        <f t="shared" ca="1" si="18"/>
        <v>0</v>
      </c>
      <c r="AY19" s="1491">
        <f t="shared" ca="1" si="18"/>
        <v>0</v>
      </c>
      <c r="AZ19" s="1491">
        <f t="shared" ca="1" si="18"/>
        <v>0</v>
      </c>
      <c r="BA19" s="1491">
        <f t="shared" ca="1" si="18"/>
        <v>0</v>
      </c>
      <c r="BB19" s="1491">
        <f t="shared" ca="1" si="18"/>
        <v>0</v>
      </c>
      <c r="BC19" s="1491">
        <f t="shared" ca="1" si="18"/>
        <v>0</v>
      </c>
      <c r="BD19" s="1491">
        <f t="shared" ca="1" si="18"/>
        <v>0</v>
      </c>
      <c r="BE19" s="1491">
        <f t="shared" ca="1" si="18"/>
        <v>0</v>
      </c>
      <c r="BF19" s="1491">
        <f t="shared" ca="1" si="18"/>
        <v>0</v>
      </c>
      <c r="BG19" s="1491">
        <f t="shared" ca="1" si="18"/>
        <v>0</v>
      </c>
      <c r="BH19" s="1491">
        <f t="shared" ca="1" si="18"/>
        <v>0</v>
      </c>
      <c r="BI19" s="1491">
        <f t="shared" ca="1" si="18"/>
        <v>0</v>
      </c>
      <c r="BJ19" s="1491">
        <f t="shared" ca="1" si="18"/>
        <v>0</v>
      </c>
      <c r="BK19" s="1491">
        <f t="shared" ca="1" si="18"/>
        <v>0</v>
      </c>
      <c r="BL19" s="1491">
        <f ca="1">BL18</f>
        <v>0</v>
      </c>
      <c r="BM19" s="1491">
        <f t="shared" si="18"/>
        <v>0</v>
      </c>
      <c r="BN19" s="1941">
        <f ca="1">BN18</f>
        <v>0</v>
      </c>
      <c r="BO19" s="1941">
        <f ca="1">BO18</f>
        <v>0</v>
      </c>
      <c r="BP19" s="1505">
        <f ca="1">BN19+BO19</f>
        <v>0</v>
      </c>
      <c r="BR19" s="3168">
        <f ca="1">W19+AQ19+BL19+BP19</f>
        <v>0</v>
      </c>
      <c r="BS19" s="1493"/>
      <c r="BT19" s="748"/>
      <c r="BU19" s="1508">
        <v>64.817912804929591</v>
      </c>
      <c r="BV19" s="1508">
        <v>0.13010783216178268</v>
      </c>
      <c r="BW19" s="1508">
        <v>0.57551021650787848</v>
      </c>
      <c r="BX19" s="1508">
        <v>0</v>
      </c>
      <c r="BY19" s="1508">
        <v>0</v>
      </c>
      <c r="BZ19" s="1508">
        <v>0</v>
      </c>
      <c r="CA19" s="1508">
        <v>0</v>
      </c>
      <c r="CB19" s="1508">
        <v>0</v>
      </c>
      <c r="CC19" s="1508">
        <v>14.39565925511863</v>
      </c>
      <c r="CD19" s="1508">
        <v>0.11288744235152412</v>
      </c>
      <c r="CE19" s="1508">
        <v>2.7624692105907238</v>
      </c>
      <c r="CF19" s="1508">
        <v>10.620296151887526</v>
      </c>
      <c r="CG19" s="1508">
        <v>0</v>
      </c>
      <c r="CH19" s="1508">
        <v>0</v>
      </c>
      <c r="CI19" s="1508">
        <v>0</v>
      </c>
      <c r="CJ19" s="1508">
        <v>0</v>
      </c>
      <c r="CK19" s="1508">
        <v>0</v>
      </c>
      <c r="CL19" s="1508">
        <v>0</v>
      </c>
      <c r="CM19" s="1508">
        <v>0</v>
      </c>
      <c r="CN19" s="1508">
        <v>0</v>
      </c>
      <c r="CO19" s="1508">
        <v>0</v>
      </c>
      <c r="CP19" s="1508">
        <v>0</v>
      </c>
      <c r="CQ19" s="1508">
        <v>0</v>
      </c>
      <c r="CR19" s="1508">
        <v>0</v>
      </c>
      <c r="CS19" s="1508">
        <v>0</v>
      </c>
      <c r="CT19" s="1508">
        <v>0</v>
      </c>
      <c r="CU19" s="1508">
        <v>0</v>
      </c>
      <c r="CV19" s="1508">
        <v>0</v>
      </c>
      <c r="CW19" s="1508">
        <v>0</v>
      </c>
      <c r="CX19" s="1508">
        <v>0</v>
      </c>
      <c r="CY19" s="1508">
        <v>0</v>
      </c>
      <c r="CZ19" s="1508">
        <v>0</v>
      </c>
      <c r="DA19" s="1508">
        <v>0</v>
      </c>
      <c r="DB19" s="1508">
        <v>0</v>
      </c>
      <c r="DC19" s="1508">
        <v>0</v>
      </c>
      <c r="DD19" s="1508">
        <v>0</v>
      </c>
      <c r="DE19" s="1508">
        <v>0</v>
      </c>
      <c r="DF19" s="1508">
        <v>0</v>
      </c>
      <c r="DG19" s="1508">
        <v>0</v>
      </c>
      <c r="DH19" s="1508">
        <v>0</v>
      </c>
      <c r="DI19" s="1508">
        <v>0</v>
      </c>
      <c r="DJ19" s="1508">
        <v>0</v>
      </c>
      <c r="DK19" s="1508">
        <v>0</v>
      </c>
      <c r="DL19" s="1508">
        <v>0</v>
      </c>
      <c r="DN19" s="1509">
        <v>93.414842913547659</v>
      </c>
    </row>
    <row r="20" spans="1:118" s="14" customFormat="1" ht="15.75" x14ac:dyDescent="0.2">
      <c r="A20" s="1534"/>
      <c r="B20" s="1535"/>
      <c r="C20" s="1536"/>
      <c r="D20" s="1537"/>
      <c r="E20" s="1538"/>
      <c r="G20" s="1539"/>
      <c r="H20" s="1539"/>
      <c r="I20" s="1539"/>
      <c r="J20" s="1539"/>
      <c r="K20" s="1539"/>
      <c r="L20" s="1539"/>
      <c r="M20" s="1539"/>
      <c r="N20" s="1539"/>
      <c r="O20" s="1539"/>
      <c r="P20" s="1539"/>
      <c r="Q20" s="1539"/>
      <c r="R20" s="1539"/>
      <c r="S20" s="1539"/>
      <c r="T20" s="1539"/>
      <c r="U20" s="1539"/>
      <c r="V20" s="1539"/>
      <c r="W20" s="1539"/>
      <c r="Y20" s="1490"/>
      <c r="Z20" s="1490"/>
      <c r="AA20" s="1490"/>
      <c r="AB20" s="1490"/>
      <c r="AC20" s="1490"/>
      <c r="AD20" s="1490"/>
      <c r="AE20" s="1490"/>
      <c r="AF20" s="1490"/>
      <c r="AG20" s="1490"/>
      <c r="AH20" s="1490"/>
      <c r="AI20" s="1490"/>
      <c r="AJ20" s="1490"/>
      <c r="AK20" s="1490"/>
      <c r="AL20" s="1490"/>
      <c r="AM20" s="1490"/>
      <c r="AN20" s="1490"/>
      <c r="AO20" s="1490"/>
      <c r="AP20" s="1490"/>
      <c r="AQ20" s="1490"/>
      <c r="AS20" s="1491"/>
      <c r="AT20" s="1491"/>
      <c r="AU20" s="1491"/>
      <c r="AV20" s="1491"/>
      <c r="AW20" s="1491"/>
      <c r="AX20" s="1491"/>
      <c r="AY20" s="1491"/>
      <c r="AZ20" s="1491"/>
      <c r="BA20" s="1491"/>
      <c r="BB20" s="1491"/>
      <c r="BC20" s="1491"/>
      <c r="BD20" s="1491"/>
      <c r="BE20" s="1491"/>
      <c r="BF20" s="1491"/>
      <c r="BG20" s="1491"/>
      <c r="BH20" s="1491"/>
      <c r="BI20" s="1491"/>
      <c r="BJ20" s="1491"/>
      <c r="BK20" s="1491"/>
      <c r="BL20" s="1491"/>
      <c r="BN20" s="1492"/>
      <c r="BO20" s="1492"/>
      <c r="BP20" s="1492"/>
      <c r="BR20" s="3168"/>
      <c r="BS20" s="1493"/>
      <c r="BT20" s="748"/>
      <c r="BU20" s="1508"/>
      <c r="BV20" s="1508"/>
      <c r="BW20" s="1508"/>
      <c r="BX20" s="1508"/>
      <c r="BY20" s="1508"/>
      <c r="BZ20" s="1508"/>
      <c r="CA20" s="1508"/>
      <c r="CB20" s="1508"/>
      <c r="CC20" s="1508"/>
      <c r="CD20" s="1508"/>
      <c r="CE20" s="1508"/>
      <c r="CF20" s="1508"/>
      <c r="CG20" s="1508"/>
      <c r="CH20" s="1508"/>
      <c r="CI20" s="1508"/>
      <c r="CJ20" s="1508"/>
      <c r="CK20" s="1508"/>
      <c r="CL20" s="1508"/>
      <c r="CM20" s="1508"/>
      <c r="CN20" s="1508"/>
      <c r="CO20" s="1508"/>
      <c r="CP20" s="1508"/>
      <c r="CQ20" s="1508"/>
      <c r="CR20" s="1508"/>
      <c r="CS20" s="1508"/>
      <c r="CT20" s="1508"/>
      <c r="CU20" s="1508"/>
      <c r="CV20" s="1508"/>
      <c r="CW20" s="1508"/>
      <c r="CX20" s="1508"/>
      <c r="CY20" s="1508"/>
      <c r="CZ20" s="1508"/>
      <c r="DA20" s="1508"/>
      <c r="DB20" s="1508"/>
      <c r="DC20" s="1508"/>
      <c r="DD20" s="1508"/>
      <c r="DE20" s="1508"/>
      <c r="DF20" s="1508"/>
      <c r="DG20" s="1508"/>
      <c r="DH20" s="1508"/>
      <c r="DI20" s="1508"/>
      <c r="DJ20" s="1508"/>
      <c r="DK20" s="1508"/>
      <c r="DL20" s="1508"/>
      <c r="DN20" s="1509"/>
    </row>
    <row r="21" spans="1:118" s="14" customFormat="1" ht="10.5" hidden="1" customHeight="1" outlineLevel="2" x14ac:dyDescent="0.2">
      <c r="A21" s="1495"/>
      <c r="B21" s="1495"/>
      <c r="C21" s="1511" t="s">
        <v>421</v>
      </c>
      <c r="D21" s="14" t="str">
        <f>INDEX(Modulos[Modulos], MATCH($C21, Modulos[Código], 0))</f>
        <v>Transporte de pasajeros</v>
      </c>
      <c r="E21" s="1512"/>
      <c r="G21" s="1889">
        <f t="shared" ref="G21:V21" ca="1" si="19">IFERROR(INDEX(INDIRECT($C21&amp;".Outputs["&amp;this.Year&amp;"]"), MATCH(G$5, INDIRECT($C21&amp;".Outputs[Vector]"), 0)), 0)</f>
        <v>0</v>
      </c>
      <c r="H21" s="1889"/>
      <c r="I21" s="1889"/>
      <c r="J21" s="1889"/>
      <c r="K21" s="1889"/>
      <c r="L21" s="1889"/>
      <c r="M21" s="1889">
        <f t="shared" ca="1" si="19"/>
        <v>0</v>
      </c>
      <c r="N21" s="1889">
        <f t="shared" ca="1" si="19"/>
        <v>53.655135425366886</v>
      </c>
      <c r="O21" s="1889">
        <f t="shared" ca="1" si="19"/>
        <v>15.2583909925431</v>
      </c>
      <c r="P21" s="1889">
        <f t="shared" ca="1" si="19"/>
        <v>0.35637886442017391</v>
      </c>
      <c r="Q21" s="1889">
        <f t="shared" ca="1" si="19"/>
        <v>3.8565328782808703E-2</v>
      </c>
      <c r="R21" s="1888">
        <f t="shared" ca="1" si="19"/>
        <v>15.986954950981243</v>
      </c>
      <c r="S21" s="1889">
        <f t="shared" ca="1" si="19"/>
        <v>0</v>
      </c>
      <c r="T21" s="1889">
        <f t="shared" ca="1" si="19"/>
        <v>0</v>
      </c>
      <c r="U21" s="1889">
        <f t="shared" ca="1" si="19"/>
        <v>0</v>
      </c>
      <c r="V21" s="1889">
        <f t="shared" ca="1" si="19"/>
        <v>0</v>
      </c>
      <c r="W21" s="1539">
        <f t="shared" ca="1" si="10"/>
        <v>85.295425562094223</v>
      </c>
      <c r="Y21" s="1500">
        <f t="shared" ref="Y21:AP21" ca="1" si="20">IFERROR(INDEX(INDIRECT($C21&amp;".Outputs["&amp;this.Year&amp;"]"), MATCH(Y$5, INDIRECT($C21&amp;".Outputs[Vector]"), 0)), 0)</f>
        <v>-0.5331908053367298</v>
      </c>
      <c r="Z21" s="1500">
        <f t="shared" ca="1" si="20"/>
        <v>0</v>
      </c>
      <c r="AA21" s="1500">
        <f t="shared" ca="1" si="20"/>
        <v>0</v>
      </c>
      <c r="AB21" s="1500">
        <f t="shared" ca="1" si="20"/>
        <v>-84.762234756757493</v>
      </c>
      <c r="AC21" s="1500">
        <f t="shared" ca="1" si="20"/>
        <v>0</v>
      </c>
      <c r="AD21" s="1500">
        <f t="shared" ca="1" si="20"/>
        <v>0</v>
      </c>
      <c r="AE21" s="1500">
        <f t="shared" ca="1" si="20"/>
        <v>0</v>
      </c>
      <c r="AF21" s="1500">
        <f t="shared" ca="1" si="20"/>
        <v>0</v>
      </c>
      <c r="AG21" s="1500">
        <f t="shared" ca="1" si="20"/>
        <v>0</v>
      </c>
      <c r="AH21" s="1500">
        <f t="shared" ca="1" si="20"/>
        <v>0</v>
      </c>
      <c r="AI21" s="1500">
        <f t="shared" ca="1" si="20"/>
        <v>0</v>
      </c>
      <c r="AJ21" s="1500">
        <f t="shared" ca="1" si="20"/>
        <v>0</v>
      </c>
      <c r="AK21" s="1500">
        <f t="shared" ca="1" si="20"/>
        <v>0</v>
      </c>
      <c r="AL21" s="1500">
        <f t="shared" ca="1" si="20"/>
        <v>0</v>
      </c>
      <c r="AM21" s="1500">
        <f t="shared" ca="1" si="20"/>
        <v>0</v>
      </c>
      <c r="AN21" s="1500">
        <f t="shared" ca="1" si="20"/>
        <v>0</v>
      </c>
      <c r="AO21" s="1500">
        <f t="shared" ca="1" si="20"/>
        <v>0</v>
      </c>
      <c r="AP21" s="1500">
        <f t="shared" ca="1" si="20"/>
        <v>0</v>
      </c>
      <c r="AQ21" s="1490">
        <f ca="1">SUM(Y21:AP21)</f>
        <v>-85.295425562094223</v>
      </c>
      <c r="AS21" s="1491">
        <f>AS20</f>
        <v>0</v>
      </c>
      <c r="AT21" s="1491">
        <f t="shared" ref="AT21:BK21" si="21">AT20</f>
        <v>0</v>
      </c>
      <c r="AU21" s="1491">
        <f t="shared" si="21"/>
        <v>0</v>
      </c>
      <c r="AV21" s="1491">
        <f t="shared" si="21"/>
        <v>0</v>
      </c>
      <c r="AW21" s="1491">
        <f t="shared" si="21"/>
        <v>0</v>
      </c>
      <c r="AX21" s="1491">
        <f t="shared" si="21"/>
        <v>0</v>
      </c>
      <c r="AY21" s="1491">
        <f t="shared" si="21"/>
        <v>0</v>
      </c>
      <c r="AZ21" s="1491">
        <f t="shared" si="21"/>
        <v>0</v>
      </c>
      <c r="BA21" s="1491">
        <f t="shared" si="21"/>
        <v>0</v>
      </c>
      <c r="BB21" s="1491">
        <f t="shared" si="21"/>
        <v>0</v>
      </c>
      <c r="BC21" s="1491">
        <f t="shared" si="21"/>
        <v>0</v>
      </c>
      <c r="BD21" s="1491">
        <f t="shared" si="21"/>
        <v>0</v>
      </c>
      <c r="BE21" s="1491">
        <f t="shared" si="21"/>
        <v>0</v>
      </c>
      <c r="BF21" s="1491">
        <f t="shared" si="21"/>
        <v>0</v>
      </c>
      <c r="BG21" s="1491">
        <f t="shared" si="21"/>
        <v>0</v>
      </c>
      <c r="BH21" s="1491">
        <f t="shared" si="21"/>
        <v>0</v>
      </c>
      <c r="BI21" s="1491">
        <f t="shared" si="21"/>
        <v>0</v>
      </c>
      <c r="BJ21" s="1491">
        <f t="shared" si="21"/>
        <v>0</v>
      </c>
      <c r="BK21" s="1491">
        <f t="shared" si="21"/>
        <v>0</v>
      </c>
      <c r="BL21" s="1503">
        <f>SUM(AS21:BK21)</f>
        <v>0</v>
      </c>
      <c r="BN21" s="1941">
        <f ca="1">IFERROR(INDEX(INDIRECT($C21&amp;".Outputs["&amp;this.Year&amp;"]"), MATCH(BN$5, INDIRECT($C21&amp;".Outputs[Vector]"), 0)), 0)</f>
        <v>0</v>
      </c>
      <c r="BO21" s="1941">
        <f ca="1">IFERROR(INDEX(INDIRECT($C21&amp;".Outputs["&amp;this.Year&amp;"]"), MATCH(BO$5, INDIRECT($C21&amp;".Outputs[Vector]"), 0)), 0)</f>
        <v>0</v>
      </c>
      <c r="BP21" s="1505">
        <f ca="1">BN21+BO21</f>
        <v>0</v>
      </c>
      <c r="BR21" s="3168">
        <f t="shared" ca="1" si="12"/>
        <v>0</v>
      </c>
      <c r="BS21" s="1506"/>
      <c r="BT21" s="748"/>
      <c r="BU21" s="1507">
        <v>0</v>
      </c>
      <c r="BV21" s="1508">
        <v>0</v>
      </c>
      <c r="BW21" s="1508">
        <v>0</v>
      </c>
      <c r="BX21" s="1508">
        <v>0</v>
      </c>
      <c r="BY21" s="1508">
        <v>0</v>
      </c>
      <c r="BZ21" s="1508">
        <v>0</v>
      </c>
      <c r="CA21" s="1508">
        <v>0</v>
      </c>
      <c r="CB21" s="1508">
        <v>0</v>
      </c>
      <c r="CC21" s="1508">
        <v>0</v>
      </c>
      <c r="CD21" s="1508">
        <v>0</v>
      </c>
      <c r="CE21" s="1508">
        <v>0</v>
      </c>
      <c r="CF21" s="1508">
        <v>0</v>
      </c>
      <c r="CG21" s="1508">
        <v>0</v>
      </c>
      <c r="CH21" s="1508">
        <v>0</v>
      </c>
      <c r="CI21" s="1508">
        <v>0</v>
      </c>
      <c r="CJ21" s="1508">
        <v>0</v>
      </c>
      <c r="CK21" s="1508">
        <v>0</v>
      </c>
      <c r="CL21" s="1508">
        <v>0</v>
      </c>
      <c r="CM21" s="1508">
        <v>0</v>
      </c>
      <c r="CN21" s="1508">
        <v>0</v>
      </c>
      <c r="CO21" s="1508">
        <v>0</v>
      </c>
      <c r="CP21" s="1508">
        <v>0</v>
      </c>
      <c r="CQ21" s="1508">
        <v>0</v>
      </c>
      <c r="CR21" s="1508">
        <v>0</v>
      </c>
      <c r="CS21" s="1508">
        <v>0</v>
      </c>
      <c r="CT21" s="1508">
        <v>0</v>
      </c>
      <c r="CU21" s="1508">
        <v>0</v>
      </c>
      <c r="CV21" s="1508">
        <v>0</v>
      </c>
      <c r="CW21" s="1508">
        <v>0</v>
      </c>
      <c r="CX21" s="1508">
        <v>0</v>
      </c>
      <c r="CY21" s="1508">
        <v>0</v>
      </c>
      <c r="CZ21" s="1508">
        <v>0</v>
      </c>
      <c r="DA21" s="1508">
        <v>38.200000000000003</v>
      </c>
      <c r="DB21" s="1508">
        <v>4.7558849195905424E-2</v>
      </c>
      <c r="DC21" s="1508">
        <v>0.68729627526214465</v>
      </c>
      <c r="DD21" s="1508">
        <v>0</v>
      </c>
      <c r="DE21" s="1508">
        <v>0</v>
      </c>
      <c r="DF21" s="1508">
        <v>0</v>
      </c>
      <c r="DG21" s="1508">
        <v>0</v>
      </c>
      <c r="DH21" s="1508">
        <v>0</v>
      </c>
      <c r="DI21" s="1508">
        <v>0</v>
      </c>
      <c r="DJ21" s="1508">
        <v>0</v>
      </c>
      <c r="DK21" s="1508">
        <v>0</v>
      </c>
      <c r="DL21" s="1508">
        <v>0</v>
      </c>
      <c r="DN21" s="1509">
        <v>38.934855124458053</v>
      </c>
    </row>
    <row r="22" spans="1:118" s="14" customFormat="1" ht="10.5" hidden="1" customHeight="1" outlineLevel="2" x14ac:dyDescent="0.2">
      <c r="A22" s="1510"/>
      <c r="B22" s="1510"/>
      <c r="C22" s="1510"/>
      <c r="D22" s="1546"/>
      <c r="E22" s="1512"/>
      <c r="G22" s="1513"/>
      <c r="H22" s="1513"/>
      <c r="I22" s="1513"/>
      <c r="J22" s="1513"/>
      <c r="K22" s="1513"/>
      <c r="L22" s="1513"/>
      <c r="M22" s="1513"/>
      <c r="N22" s="1513"/>
      <c r="O22" s="1513"/>
      <c r="P22" s="1513"/>
      <c r="Q22" s="1513"/>
      <c r="R22" s="1513"/>
      <c r="S22" s="1513"/>
      <c r="T22" s="1513"/>
      <c r="U22" s="1513"/>
      <c r="V22" s="1513"/>
      <c r="W22" s="1539">
        <f t="shared" si="10"/>
        <v>0</v>
      </c>
      <c r="Y22" s="1515"/>
      <c r="Z22" s="1515"/>
      <c r="AA22" s="1515"/>
      <c r="AB22" s="1515"/>
      <c r="AC22" s="1515"/>
      <c r="AD22" s="1515"/>
      <c r="AE22" s="1515"/>
      <c r="AF22" s="1515"/>
      <c r="AG22" s="1515"/>
      <c r="AH22" s="1515"/>
      <c r="AI22" s="1515"/>
      <c r="AJ22" s="1515"/>
      <c r="AK22" s="1515"/>
      <c r="AL22" s="1515"/>
      <c r="AM22" s="1515"/>
      <c r="AN22" s="1515"/>
      <c r="AO22" s="1515"/>
      <c r="AP22" s="1515"/>
      <c r="AQ22" s="1490">
        <f t="shared" si="11"/>
        <v>0</v>
      </c>
      <c r="AS22" s="1517"/>
      <c r="AT22" s="1517"/>
      <c r="AU22" s="1517"/>
      <c r="AV22" s="1517"/>
      <c r="AW22" s="1517"/>
      <c r="AX22" s="1517"/>
      <c r="AY22" s="1517"/>
      <c r="AZ22" s="1517"/>
      <c r="BA22" s="1517"/>
      <c r="BB22" s="1517"/>
      <c r="BC22" s="1517"/>
      <c r="BD22" s="1517"/>
      <c r="BE22" s="1517"/>
      <c r="BF22" s="1517"/>
      <c r="BG22" s="1517"/>
      <c r="BH22" s="1517"/>
      <c r="BI22" s="1517"/>
      <c r="BJ22" s="1517"/>
      <c r="BK22" s="1517"/>
      <c r="BL22" s="1518"/>
      <c r="BN22" s="1519"/>
      <c r="BO22" s="1519"/>
      <c r="BP22" s="1520"/>
      <c r="BR22" s="3168">
        <f t="shared" si="12"/>
        <v>0</v>
      </c>
      <c r="BS22" s="1521"/>
      <c r="BT22" s="748"/>
      <c r="BU22" s="1507">
        <v>0</v>
      </c>
      <c r="BV22" s="1508">
        <v>0</v>
      </c>
      <c r="BW22" s="1508">
        <v>0</v>
      </c>
      <c r="BX22" s="1508">
        <v>0</v>
      </c>
      <c r="BY22" s="1508">
        <v>0</v>
      </c>
      <c r="BZ22" s="1508">
        <v>0</v>
      </c>
      <c r="CA22" s="1508">
        <v>0</v>
      </c>
      <c r="CB22" s="1508">
        <v>0</v>
      </c>
      <c r="CC22" s="1508">
        <v>0</v>
      </c>
      <c r="CD22" s="1508">
        <v>0</v>
      </c>
      <c r="CE22" s="1508">
        <v>0</v>
      </c>
      <c r="CF22" s="1508">
        <v>0</v>
      </c>
      <c r="CG22" s="1508">
        <v>0</v>
      </c>
      <c r="CH22" s="1508">
        <v>0</v>
      </c>
      <c r="CI22" s="1508">
        <v>0</v>
      </c>
      <c r="CJ22" s="1508">
        <v>0</v>
      </c>
      <c r="CK22" s="1508">
        <v>0</v>
      </c>
      <c r="CL22" s="1508">
        <v>0</v>
      </c>
      <c r="CM22" s="1508">
        <v>0</v>
      </c>
      <c r="CN22" s="1508">
        <v>0</v>
      </c>
      <c r="CO22" s="1508">
        <v>0</v>
      </c>
      <c r="CP22" s="1508">
        <v>0</v>
      </c>
      <c r="CQ22" s="1508">
        <v>0</v>
      </c>
      <c r="CR22" s="1508">
        <v>0</v>
      </c>
      <c r="CS22" s="1508">
        <v>0</v>
      </c>
      <c r="CT22" s="1508">
        <v>0</v>
      </c>
      <c r="CU22" s="1508">
        <v>0</v>
      </c>
      <c r="CV22" s="1508">
        <v>0</v>
      </c>
      <c r="CW22" s="1508">
        <v>0</v>
      </c>
      <c r="CX22" s="1508">
        <v>0</v>
      </c>
      <c r="CY22" s="1508">
        <v>0</v>
      </c>
      <c r="CZ22" s="1508">
        <v>0</v>
      </c>
      <c r="DA22" s="1508">
        <v>0</v>
      </c>
      <c r="DB22" s="1508">
        <v>0</v>
      </c>
      <c r="DC22" s="1508">
        <v>0</v>
      </c>
      <c r="DD22" s="1508">
        <v>0</v>
      </c>
      <c r="DE22" s="1508">
        <v>0</v>
      </c>
      <c r="DF22" s="1508">
        <v>0</v>
      </c>
      <c r="DG22" s="1508">
        <v>0</v>
      </c>
      <c r="DH22" s="1508">
        <v>0</v>
      </c>
      <c r="DI22" s="1508">
        <v>0</v>
      </c>
      <c r="DJ22" s="1508">
        <v>0</v>
      </c>
      <c r="DK22" s="1508">
        <v>0</v>
      </c>
      <c r="DL22" s="1508">
        <v>0</v>
      </c>
      <c r="DN22" s="1509">
        <v>0</v>
      </c>
    </row>
    <row r="23" spans="1:118" s="14" customFormat="1" ht="10.5" hidden="1" customHeight="1" outlineLevel="1" x14ac:dyDescent="0.2">
      <c r="A23" s="1522"/>
      <c r="B23" s="1522"/>
      <c r="C23" s="1522"/>
      <c r="D23" s="1545"/>
      <c r="E23" s="1512"/>
      <c r="G23" s="1499"/>
      <c r="H23" s="1499"/>
      <c r="I23" s="1499"/>
      <c r="J23" s="1499"/>
      <c r="K23" s="1499"/>
      <c r="L23" s="1499"/>
      <c r="M23" s="1499"/>
      <c r="N23" s="1499"/>
      <c r="O23" s="1499"/>
      <c r="P23" s="1499"/>
      <c r="Q23" s="1499"/>
      <c r="R23" s="1499"/>
      <c r="S23" s="1499"/>
      <c r="T23" s="1499"/>
      <c r="U23" s="1499"/>
      <c r="V23" s="1499"/>
      <c r="W23" s="1539">
        <f t="shared" si="10"/>
        <v>0</v>
      </c>
      <c r="Y23" s="1501"/>
      <c r="Z23" s="1501"/>
      <c r="AA23" s="1501"/>
      <c r="AB23" s="1501"/>
      <c r="AC23" s="1501"/>
      <c r="AD23" s="1501"/>
      <c r="AE23" s="1501"/>
      <c r="AF23" s="1501"/>
      <c r="AG23" s="1501"/>
      <c r="AH23" s="1501"/>
      <c r="AI23" s="1501"/>
      <c r="AJ23" s="1501"/>
      <c r="AK23" s="1501"/>
      <c r="AL23" s="1501"/>
      <c r="AM23" s="1501"/>
      <c r="AN23" s="1501"/>
      <c r="AO23" s="1501"/>
      <c r="AP23" s="1501"/>
      <c r="AQ23" s="1490">
        <f t="shared" si="11"/>
        <v>0</v>
      </c>
      <c r="AS23" s="1523"/>
      <c r="AT23" s="1523"/>
      <c r="AU23" s="1523"/>
      <c r="AV23" s="1523"/>
      <c r="AW23" s="1523"/>
      <c r="AX23" s="1523"/>
      <c r="AY23" s="1523"/>
      <c r="AZ23" s="1523"/>
      <c r="BA23" s="1523"/>
      <c r="BB23" s="1523"/>
      <c r="BC23" s="1523"/>
      <c r="BD23" s="1523"/>
      <c r="BE23" s="1523"/>
      <c r="BF23" s="1523"/>
      <c r="BG23" s="1523"/>
      <c r="BH23" s="1523"/>
      <c r="BI23" s="1523"/>
      <c r="BJ23" s="1523"/>
      <c r="BK23" s="1523"/>
      <c r="BL23" s="1503"/>
      <c r="BN23" s="1505"/>
      <c r="BO23" s="1505"/>
      <c r="BP23" s="1505"/>
      <c r="BR23" s="3168">
        <f t="shared" si="12"/>
        <v>0</v>
      </c>
      <c r="BS23" s="1506"/>
      <c r="BT23" s="748"/>
      <c r="BU23" s="1507">
        <v>0</v>
      </c>
      <c r="BV23" s="1508">
        <v>0</v>
      </c>
      <c r="BW23" s="1508">
        <v>0</v>
      </c>
      <c r="BX23" s="1508">
        <v>0</v>
      </c>
      <c r="BY23" s="1508">
        <v>0</v>
      </c>
      <c r="BZ23" s="1508">
        <v>0</v>
      </c>
      <c r="CA23" s="1508">
        <v>0</v>
      </c>
      <c r="CB23" s="1508">
        <v>0</v>
      </c>
      <c r="CC23" s="1508">
        <v>0</v>
      </c>
      <c r="CD23" s="1508">
        <v>0</v>
      </c>
      <c r="CE23" s="1508">
        <v>0</v>
      </c>
      <c r="CF23" s="1508">
        <v>0</v>
      </c>
      <c r="CG23" s="1508">
        <v>0</v>
      </c>
      <c r="CH23" s="1508">
        <v>0</v>
      </c>
      <c r="CI23" s="1508">
        <v>0</v>
      </c>
      <c r="CJ23" s="1508">
        <v>0</v>
      </c>
      <c r="CK23" s="1508">
        <v>0</v>
      </c>
      <c r="CL23" s="1508">
        <v>0</v>
      </c>
      <c r="CM23" s="1508">
        <v>0</v>
      </c>
      <c r="CN23" s="1508">
        <v>0</v>
      </c>
      <c r="CO23" s="1508">
        <v>0</v>
      </c>
      <c r="CP23" s="1508">
        <v>0</v>
      </c>
      <c r="CQ23" s="1508">
        <v>0</v>
      </c>
      <c r="CR23" s="1508">
        <v>0</v>
      </c>
      <c r="CS23" s="1508">
        <v>0</v>
      </c>
      <c r="CT23" s="1508">
        <v>0</v>
      </c>
      <c r="CU23" s="1508">
        <v>0</v>
      </c>
      <c r="CV23" s="1508">
        <v>0</v>
      </c>
      <c r="CW23" s="1508">
        <v>0</v>
      </c>
      <c r="CX23" s="1508">
        <v>0</v>
      </c>
      <c r="CY23" s="1508">
        <v>0</v>
      </c>
      <c r="CZ23" s="1508">
        <v>0</v>
      </c>
      <c r="DA23" s="1508">
        <v>38.200000000000003</v>
      </c>
      <c r="DB23" s="1508">
        <v>4.7558849195905424E-2</v>
      </c>
      <c r="DC23" s="1508">
        <v>0.68729627526214465</v>
      </c>
      <c r="DD23" s="1508">
        <v>0</v>
      </c>
      <c r="DE23" s="1508">
        <v>0</v>
      </c>
      <c r="DF23" s="1508">
        <v>0</v>
      </c>
      <c r="DG23" s="1508">
        <v>0</v>
      </c>
      <c r="DH23" s="1508">
        <v>0</v>
      </c>
      <c r="DI23" s="1508">
        <v>0</v>
      </c>
      <c r="DJ23" s="1508">
        <v>0</v>
      </c>
      <c r="DK23" s="1508">
        <v>0</v>
      </c>
      <c r="DL23" s="1508">
        <v>0</v>
      </c>
      <c r="DN23" s="1509">
        <v>38.934855124458053</v>
      </c>
    </row>
    <row r="24" spans="1:118" s="14" customFormat="1" ht="12.75" hidden="1" customHeight="1" outlineLevel="2" x14ac:dyDescent="0.2">
      <c r="A24" s="1495"/>
      <c r="B24" s="1495"/>
      <c r="C24" s="1496" t="s">
        <v>102</v>
      </c>
      <c r="D24" s="14" t="str">
        <f>INDEX(Modulos[Modulos], MATCH($C24, Modulos[Código], 0))</f>
        <v>Transporte de carga</v>
      </c>
      <c r="E24" s="1512"/>
      <c r="G24" s="1889">
        <f t="shared" ref="G24:V24" ca="1" si="22">IFERROR(INDEX(INDIRECT($C24&amp;".Outputs["&amp;this.Year&amp;"]"), MATCH(G$5, INDIRECT($C24&amp;".Outputs[Vector]"), 0)), 0)</f>
        <v>0</v>
      </c>
      <c r="H24" s="1889"/>
      <c r="I24" s="1889"/>
      <c r="J24" s="1889"/>
      <c r="K24" s="1889"/>
      <c r="L24" s="1889"/>
      <c r="M24" s="1889">
        <f t="shared" ca="1" si="22"/>
        <v>0</v>
      </c>
      <c r="N24" s="1889">
        <f t="shared" ca="1" si="22"/>
        <v>0</v>
      </c>
      <c r="O24" s="1889">
        <f t="shared" ca="1" si="22"/>
        <v>0</v>
      </c>
      <c r="P24" s="1889">
        <f t="shared" ca="1" si="22"/>
        <v>0</v>
      </c>
      <c r="Q24" s="1889">
        <f t="shared" ca="1" si="22"/>
        <v>0</v>
      </c>
      <c r="R24" s="1889">
        <f t="shared" ca="1" si="22"/>
        <v>0</v>
      </c>
      <c r="S24" s="1889">
        <f t="shared" ca="1" si="22"/>
        <v>7.6353108271804588</v>
      </c>
      <c r="T24" s="1889">
        <f t="shared" ca="1" si="22"/>
        <v>8.6551662926454114</v>
      </c>
      <c r="U24" s="1889">
        <f t="shared" ca="1" si="22"/>
        <v>6.3131887756425788E-3</v>
      </c>
      <c r="V24" s="1889">
        <f t="shared" ca="1" si="22"/>
        <v>0.30962578524555734</v>
      </c>
      <c r="W24" s="1539">
        <f t="shared" ca="1" si="10"/>
        <v>16.60641609384707</v>
      </c>
      <c r="Y24" s="1891">
        <f t="shared" ref="Y24:AP24" ca="1" si="23">IFERROR(INDEX(INDIRECT($C24&amp;".Outputs["&amp;this.Year&amp;"]"), MATCH(Y$5, INDIRECT($C24&amp;".Outputs[Vector]"), 0)), 0)</f>
        <v>0</v>
      </c>
      <c r="Z24" s="1891">
        <f t="shared" ca="1" si="23"/>
        <v>0</v>
      </c>
      <c r="AA24" s="1891">
        <f t="shared" ca="1" si="23"/>
        <v>0</v>
      </c>
      <c r="AB24" s="1891">
        <f t="shared" ca="1" si="23"/>
        <v>-16.60641609384707</v>
      </c>
      <c r="AC24" s="1891">
        <f t="shared" ca="1" si="23"/>
        <v>0</v>
      </c>
      <c r="AD24" s="1891">
        <f t="shared" ca="1" si="23"/>
        <v>0</v>
      </c>
      <c r="AE24" s="1891">
        <f t="shared" ca="1" si="23"/>
        <v>0</v>
      </c>
      <c r="AF24" s="1891">
        <f t="shared" ca="1" si="23"/>
        <v>0</v>
      </c>
      <c r="AG24" s="1891">
        <f t="shared" ca="1" si="23"/>
        <v>0</v>
      </c>
      <c r="AH24" s="1891">
        <f t="shared" ca="1" si="23"/>
        <v>0</v>
      </c>
      <c r="AI24" s="1891">
        <f t="shared" ca="1" si="23"/>
        <v>0</v>
      </c>
      <c r="AJ24" s="1891">
        <f t="shared" ca="1" si="23"/>
        <v>0</v>
      </c>
      <c r="AK24" s="1891">
        <f t="shared" ca="1" si="23"/>
        <v>0</v>
      </c>
      <c r="AL24" s="1891">
        <f t="shared" ca="1" si="23"/>
        <v>0</v>
      </c>
      <c r="AM24" s="1891">
        <f t="shared" ca="1" si="23"/>
        <v>0</v>
      </c>
      <c r="AN24" s="1891">
        <f t="shared" ca="1" si="23"/>
        <v>0</v>
      </c>
      <c r="AO24" s="1891">
        <f t="shared" ca="1" si="23"/>
        <v>0</v>
      </c>
      <c r="AP24" s="1891">
        <f t="shared" ca="1" si="23"/>
        <v>0</v>
      </c>
      <c r="AQ24" s="1490">
        <f t="shared" ca="1" si="11"/>
        <v>-16.60641609384707</v>
      </c>
      <c r="AS24" s="1491">
        <f>AS23</f>
        <v>0</v>
      </c>
      <c r="AT24" s="1491">
        <f t="shared" ref="AT24:BK24" si="24">AT23</f>
        <v>0</v>
      </c>
      <c r="AU24" s="1491">
        <f t="shared" si="24"/>
        <v>0</v>
      </c>
      <c r="AV24" s="1491">
        <f t="shared" si="24"/>
        <v>0</v>
      </c>
      <c r="AW24" s="1491">
        <f t="shared" si="24"/>
        <v>0</v>
      </c>
      <c r="AX24" s="1491">
        <f t="shared" si="24"/>
        <v>0</v>
      </c>
      <c r="AY24" s="1491">
        <f t="shared" si="24"/>
        <v>0</v>
      </c>
      <c r="AZ24" s="1491">
        <f t="shared" si="24"/>
        <v>0</v>
      </c>
      <c r="BA24" s="1491">
        <f t="shared" si="24"/>
        <v>0</v>
      </c>
      <c r="BB24" s="1491">
        <f t="shared" si="24"/>
        <v>0</v>
      </c>
      <c r="BC24" s="1491">
        <f t="shared" si="24"/>
        <v>0</v>
      </c>
      <c r="BD24" s="1491">
        <f t="shared" si="24"/>
        <v>0</v>
      </c>
      <c r="BE24" s="1491">
        <f t="shared" si="24"/>
        <v>0</v>
      </c>
      <c r="BF24" s="1491">
        <f t="shared" si="24"/>
        <v>0</v>
      </c>
      <c r="BG24" s="1491">
        <f t="shared" si="24"/>
        <v>0</v>
      </c>
      <c r="BH24" s="1491">
        <f t="shared" si="24"/>
        <v>0</v>
      </c>
      <c r="BI24" s="1491">
        <f t="shared" si="24"/>
        <v>0</v>
      </c>
      <c r="BJ24" s="1491">
        <f t="shared" si="24"/>
        <v>0</v>
      </c>
      <c r="BK24" s="1491">
        <f t="shared" si="24"/>
        <v>0</v>
      </c>
      <c r="BL24" s="1503">
        <f>SUM(AS24:BK24)</f>
        <v>0</v>
      </c>
      <c r="BN24" s="1941">
        <f ca="1">IFERROR(INDEX(INDIRECT($C24&amp;".Outputs["&amp;this.Year&amp;"]"), MATCH(BN$5, INDIRECT($C24&amp;".Outputs[Vector]"), 0)), 0)</f>
        <v>0</v>
      </c>
      <c r="BO24" s="1941">
        <f ca="1">IFERROR(INDEX(INDIRECT($C24&amp;".Outputs["&amp;this.Year&amp;"]"), MATCH(BO$5, INDIRECT($C24&amp;".Outputs[Vector]"), 0)), 0)</f>
        <v>0</v>
      </c>
      <c r="BP24" s="1505">
        <f ca="1">BN24+BO24</f>
        <v>0</v>
      </c>
      <c r="BR24" s="3168">
        <f t="shared" ca="1" si="12"/>
        <v>0</v>
      </c>
      <c r="BS24" s="1525"/>
      <c r="BT24" s="748"/>
      <c r="BU24" s="1507">
        <v>0</v>
      </c>
      <c r="BV24" s="1508">
        <v>0</v>
      </c>
      <c r="BW24" s="1508">
        <v>0</v>
      </c>
      <c r="BX24" s="1508">
        <v>0</v>
      </c>
      <c r="BY24" s="1508">
        <v>0</v>
      </c>
      <c r="BZ24" s="1508">
        <v>0</v>
      </c>
      <c r="CA24" s="1508">
        <v>0</v>
      </c>
      <c r="CB24" s="1508">
        <v>0</v>
      </c>
      <c r="CC24" s="1508">
        <v>0</v>
      </c>
      <c r="CD24" s="1508">
        <v>0</v>
      </c>
      <c r="CE24" s="1508">
        <v>0</v>
      </c>
      <c r="CF24" s="1508">
        <v>0</v>
      </c>
      <c r="CG24" s="1508">
        <v>0</v>
      </c>
      <c r="CH24" s="1508">
        <v>0</v>
      </c>
      <c r="CI24" s="1508">
        <v>0</v>
      </c>
      <c r="CJ24" s="1508">
        <v>0</v>
      </c>
      <c r="CK24" s="1508">
        <v>0</v>
      </c>
      <c r="CL24" s="1508">
        <v>0</v>
      </c>
      <c r="CM24" s="1508">
        <v>0</v>
      </c>
      <c r="CN24" s="1508">
        <v>0</v>
      </c>
      <c r="CO24" s="1508">
        <v>0</v>
      </c>
      <c r="CP24" s="1508">
        <v>0</v>
      </c>
      <c r="CQ24" s="1508">
        <v>0</v>
      </c>
      <c r="CR24" s="1508">
        <v>0</v>
      </c>
      <c r="CS24" s="1508">
        <v>0</v>
      </c>
      <c r="CT24" s="1508">
        <v>0</v>
      </c>
      <c r="CU24" s="1508">
        <v>0</v>
      </c>
      <c r="CV24" s="1508">
        <v>0</v>
      </c>
      <c r="CW24" s="1508">
        <v>0</v>
      </c>
      <c r="CX24" s="1508">
        <v>0</v>
      </c>
      <c r="CY24" s="1508">
        <v>0</v>
      </c>
      <c r="CZ24" s="1508">
        <v>0</v>
      </c>
      <c r="DA24" s="1508">
        <v>13.5395392718143</v>
      </c>
      <c r="DB24" s="1508">
        <v>1.6856672942676842E-2</v>
      </c>
      <c r="DC24" s="1508">
        <v>0.2436040552430235</v>
      </c>
      <c r="DD24" s="1508">
        <v>0</v>
      </c>
      <c r="DE24" s="1508">
        <v>0</v>
      </c>
      <c r="DF24" s="1508">
        <v>0</v>
      </c>
      <c r="DG24" s="1508">
        <v>0</v>
      </c>
      <c r="DH24" s="1508">
        <v>0</v>
      </c>
      <c r="DI24" s="1508">
        <v>0</v>
      </c>
      <c r="DJ24" s="1508">
        <v>0</v>
      </c>
      <c r="DK24" s="1508">
        <v>0</v>
      </c>
      <c r="DL24" s="1508">
        <v>0</v>
      </c>
      <c r="DN24" s="1509">
        <v>13.8</v>
      </c>
    </row>
    <row r="25" spans="1:118" s="14" customFormat="1" ht="10.5" hidden="1" customHeight="1" outlineLevel="2" x14ac:dyDescent="0.2">
      <c r="A25" s="1510"/>
      <c r="B25" s="1510"/>
      <c r="C25" s="1511"/>
      <c r="D25" s="1546"/>
      <c r="E25" s="1512"/>
      <c r="G25" s="1513"/>
      <c r="H25" s="1513"/>
      <c r="I25" s="1513"/>
      <c r="J25" s="1513"/>
      <c r="K25" s="1513"/>
      <c r="L25" s="1513"/>
      <c r="M25" s="1513"/>
      <c r="N25" s="1513"/>
      <c r="O25" s="1513"/>
      <c r="P25" s="1513"/>
      <c r="Q25" s="1513"/>
      <c r="R25" s="1513"/>
      <c r="S25" s="1513"/>
      <c r="T25" s="1513"/>
      <c r="U25" s="1513"/>
      <c r="V25" s="1513"/>
      <c r="W25" s="1539">
        <f t="shared" si="10"/>
        <v>0</v>
      </c>
      <c r="Y25" s="1515"/>
      <c r="Z25" s="1515"/>
      <c r="AA25" s="1515"/>
      <c r="AB25" s="1515"/>
      <c r="AC25" s="1515"/>
      <c r="AD25" s="1515"/>
      <c r="AE25" s="1515"/>
      <c r="AF25" s="1515"/>
      <c r="AG25" s="1515"/>
      <c r="AH25" s="1515"/>
      <c r="AI25" s="1515"/>
      <c r="AJ25" s="1515"/>
      <c r="AK25" s="1515"/>
      <c r="AL25" s="1515"/>
      <c r="AM25" s="1515"/>
      <c r="AN25" s="1515"/>
      <c r="AO25" s="1515"/>
      <c r="AP25" s="1515"/>
      <c r="AQ25" s="1490">
        <f t="shared" si="11"/>
        <v>0</v>
      </c>
      <c r="AS25" s="1517"/>
      <c r="AT25" s="1517"/>
      <c r="AU25" s="1517"/>
      <c r="AV25" s="1517"/>
      <c r="AW25" s="1517"/>
      <c r="AX25" s="1517"/>
      <c r="AY25" s="1517"/>
      <c r="AZ25" s="1517"/>
      <c r="BA25" s="1517"/>
      <c r="BB25" s="1517"/>
      <c r="BC25" s="1517"/>
      <c r="BD25" s="1517"/>
      <c r="BE25" s="1517"/>
      <c r="BF25" s="1517"/>
      <c r="BG25" s="1517"/>
      <c r="BH25" s="1517"/>
      <c r="BI25" s="1517"/>
      <c r="BJ25" s="1517"/>
      <c r="BK25" s="1517"/>
      <c r="BL25" s="1518"/>
      <c r="BN25" s="1519"/>
      <c r="BO25" s="1519"/>
      <c r="BP25" s="1520"/>
      <c r="BR25" s="3168">
        <f t="shared" si="12"/>
        <v>0</v>
      </c>
      <c r="BS25" s="1521"/>
      <c r="BT25" s="748"/>
      <c r="BU25" s="1507">
        <v>0</v>
      </c>
      <c r="BV25" s="1508">
        <v>0</v>
      </c>
      <c r="BW25" s="1508">
        <v>0</v>
      </c>
      <c r="BX25" s="1508">
        <v>0</v>
      </c>
      <c r="BY25" s="1508">
        <v>0</v>
      </c>
      <c r="BZ25" s="1508">
        <v>0</v>
      </c>
      <c r="CA25" s="1508">
        <v>0</v>
      </c>
      <c r="CB25" s="1508">
        <v>0</v>
      </c>
      <c r="CC25" s="1508">
        <v>0</v>
      </c>
      <c r="CD25" s="1508">
        <v>0</v>
      </c>
      <c r="CE25" s="1508">
        <v>0</v>
      </c>
      <c r="CF25" s="1508">
        <v>0</v>
      </c>
      <c r="CG25" s="1508">
        <v>0</v>
      </c>
      <c r="CH25" s="1508">
        <v>0</v>
      </c>
      <c r="CI25" s="1508">
        <v>0</v>
      </c>
      <c r="CJ25" s="1508">
        <v>0</v>
      </c>
      <c r="CK25" s="1508">
        <v>0</v>
      </c>
      <c r="CL25" s="1508">
        <v>0</v>
      </c>
      <c r="CM25" s="1508">
        <v>0</v>
      </c>
      <c r="CN25" s="1508">
        <v>0</v>
      </c>
      <c r="CO25" s="1508">
        <v>0</v>
      </c>
      <c r="CP25" s="1508">
        <v>0</v>
      </c>
      <c r="CQ25" s="1508">
        <v>0</v>
      </c>
      <c r="CR25" s="1508">
        <v>0</v>
      </c>
      <c r="CS25" s="1508">
        <v>0</v>
      </c>
      <c r="CT25" s="1508">
        <v>0</v>
      </c>
      <c r="CU25" s="1508">
        <v>0</v>
      </c>
      <c r="CV25" s="1508">
        <v>0</v>
      </c>
      <c r="CW25" s="1508">
        <v>0</v>
      </c>
      <c r="CX25" s="1508">
        <v>0</v>
      </c>
      <c r="CY25" s="1508">
        <v>0</v>
      </c>
      <c r="CZ25" s="1508">
        <v>0</v>
      </c>
      <c r="DA25" s="1508">
        <v>0</v>
      </c>
      <c r="DB25" s="1508">
        <v>0</v>
      </c>
      <c r="DC25" s="1508">
        <v>0</v>
      </c>
      <c r="DD25" s="1508">
        <v>0</v>
      </c>
      <c r="DE25" s="1508">
        <v>0</v>
      </c>
      <c r="DF25" s="1508">
        <v>0</v>
      </c>
      <c r="DG25" s="1508">
        <v>0</v>
      </c>
      <c r="DH25" s="1508">
        <v>0</v>
      </c>
      <c r="DI25" s="1508">
        <v>0</v>
      </c>
      <c r="DJ25" s="1508">
        <v>0</v>
      </c>
      <c r="DK25" s="1508">
        <v>0</v>
      </c>
      <c r="DL25" s="1508">
        <v>0</v>
      </c>
      <c r="DN25" s="1509">
        <v>0</v>
      </c>
    </row>
    <row r="26" spans="1:118" s="14" customFormat="1" ht="11.25" hidden="1" customHeight="1" outlineLevel="1" x14ac:dyDescent="0.2">
      <c r="A26" s="1522"/>
      <c r="B26" s="1522"/>
      <c r="D26" s="1547"/>
      <c r="E26" s="1526"/>
      <c r="G26" s="1527"/>
      <c r="H26" s="1527"/>
      <c r="I26" s="1527"/>
      <c r="J26" s="1527"/>
      <c r="K26" s="1527"/>
      <c r="L26" s="1527"/>
      <c r="M26" s="1527"/>
      <c r="N26" s="1527"/>
      <c r="O26" s="1527"/>
      <c r="P26" s="1527"/>
      <c r="Q26" s="1527"/>
      <c r="R26" s="1527"/>
      <c r="S26" s="1527"/>
      <c r="T26" s="1527"/>
      <c r="U26" s="1527"/>
      <c r="V26" s="1527"/>
      <c r="W26" s="1539">
        <f t="shared" si="10"/>
        <v>0</v>
      </c>
      <c r="Y26" s="1528"/>
      <c r="Z26" s="1528"/>
      <c r="AA26" s="1528"/>
      <c r="AB26" s="1528"/>
      <c r="AC26" s="1528"/>
      <c r="AD26" s="1548"/>
      <c r="AE26" s="1548"/>
      <c r="AF26" s="1548"/>
      <c r="AG26" s="1528"/>
      <c r="AH26" s="1528"/>
      <c r="AI26" s="1528"/>
      <c r="AJ26" s="1528"/>
      <c r="AK26" s="1528"/>
      <c r="AL26" s="1528"/>
      <c r="AM26" s="1528"/>
      <c r="AN26" s="1528"/>
      <c r="AO26" s="1528"/>
      <c r="AP26" s="1528"/>
      <c r="AQ26" s="1490">
        <f t="shared" si="11"/>
        <v>0</v>
      </c>
      <c r="AS26" s="1549"/>
      <c r="AT26" s="1549"/>
      <c r="AU26" s="1549"/>
      <c r="AV26" s="1549"/>
      <c r="AW26" s="1549"/>
      <c r="AX26" s="1549"/>
      <c r="AY26" s="1549"/>
      <c r="AZ26" s="1549"/>
      <c r="BA26" s="1549"/>
      <c r="BB26" s="1549"/>
      <c r="BC26" s="1549"/>
      <c r="BD26" s="1549"/>
      <c r="BE26" s="1549"/>
      <c r="BF26" s="1549"/>
      <c r="BG26" s="1549"/>
      <c r="BH26" s="1549"/>
      <c r="BI26" s="1549"/>
      <c r="BJ26" s="1549"/>
      <c r="BK26" s="1549"/>
      <c r="BL26" s="1550"/>
      <c r="BN26" s="1551"/>
      <c r="BO26" s="1551"/>
      <c r="BP26" s="1531"/>
      <c r="BR26" s="3168">
        <f t="shared" si="12"/>
        <v>0</v>
      </c>
      <c r="BS26" s="1506"/>
      <c r="BT26" s="1522"/>
      <c r="BU26" s="1532">
        <v>0</v>
      </c>
      <c r="BV26" s="1533">
        <v>0</v>
      </c>
      <c r="BW26" s="1533">
        <v>0</v>
      </c>
      <c r="BX26" s="1533">
        <v>0</v>
      </c>
      <c r="BY26" s="1533">
        <v>0</v>
      </c>
      <c r="BZ26" s="1533">
        <v>0</v>
      </c>
      <c r="CA26" s="1533">
        <v>0</v>
      </c>
      <c r="CB26" s="1533">
        <v>0</v>
      </c>
      <c r="CC26" s="1533">
        <v>0</v>
      </c>
      <c r="CD26" s="1533">
        <v>0</v>
      </c>
      <c r="CE26" s="1533">
        <v>0</v>
      </c>
      <c r="CF26" s="1533">
        <v>0</v>
      </c>
      <c r="CG26" s="1533">
        <v>0</v>
      </c>
      <c r="CH26" s="1533">
        <v>0</v>
      </c>
      <c r="CI26" s="1533">
        <v>0</v>
      </c>
      <c r="CJ26" s="1533">
        <v>0</v>
      </c>
      <c r="CK26" s="1533">
        <v>0</v>
      </c>
      <c r="CL26" s="1533">
        <v>0</v>
      </c>
      <c r="CM26" s="1533">
        <v>0</v>
      </c>
      <c r="CN26" s="1533">
        <v>0</v>
      </c>
      <c r="CO26" s="1533">
        <v>0</v>
      </c>
      <c r="CP26" s="1533">
        <v>0</v>
      </c>
      <c r="CQ26" s="1533">
        <v>0</v>
      </c>
      <c r="CR26" s="1533">
        <v>0</v>
      </c>
      <c r="CS26" s="1533">
        <v>0</v>
      </c>
      <c r="CT26" s="1533">
        <v>0</v>
      </c>
      <c r="CU26" s="1533">
        <v>0</v>
      </c>
      <c r="CV26" s="1533">
        <v>0</v>
      </c>
      <c r="CW26" s="1533">
        <v>0</v>
      </c>
      <c r="CX26" s="1533">
        <v>0</v>
      </c>
      <c r="CY26" s="1533">
        <v>0</v>
      </c>
      <c r="CZ26" s="1533">
        <v>0</v>
      </c>
      <c r="DA26" s="1533">
        <v>13.5395392718143</v>
      </c>
      <c r="DB26" s="1533">
        <v>1.6856672942676842E-2</v>
      </c>
      <c r="DC26" s="1533">
        <v>0.2436040552430235</v>
      </c>
      <c r="DD26" s="1533">
        <v>0</v>
      </c>
      <c r="DE26" s="1533">
        <v>0</v>
      </c>
      <c r="DF26" s="1533">
        <v>0</v>
      </c>
      <c r="DG26" s="1533">
        <v>0</v>
      </c>
      <c r="DH26" s="1533">
        <v>0</v>
      </c>
      <c r="DI26" s="1533">
        <v>0</v>
      </c>
      <c r="DJ26" s="1533">
        <v>0</v>
      </c>
      <c r="DK26" s="1533">
        <v>0</v>
      </c>
      <c r="DL26" s="1533">
        <v>0</v>
      </c>
      <c r="DN26" s="1509">
        <v>13.8</v>
      </c>
    </row>
    <row r="27" spans="1:118" s="14" customFormat="1" ht="15.75" collapsed="1" x14ac:dyDescent="0.2">
      <c r="A27" s="1534"/>
      <c r="B27" s="1535"/>
      <c r="C27" s="1536" t="s">
        <v>579</v>
      </c>
      <c r="D27" s="1537" t="str">
        <f>INDEX(Flujos[Flujos], MATCH($C27, Flujos[Código], 0))</f>
        <v>Transporte</v>
      </c>
      <c r="E27" s="1538"/>
      <c r="G27" s="1539">
        <f ca="1">G21+G24</f>
        <v>0</v>
      </c>
      <c r="H27" s="1539">
        <f t="shared" ref="H27:V27" si="25">H21+H24</f>
        <v>0</v>
      </c>
      <c r="I27" s="1539">
        <f t="shared" si="25"/>
        <v>0</v>
      </c>
      <c r="J27" s="1539">
        <f t="shared" si="25"/>
        <v>0</v>
      </c>
      <c r="K27" s="1539">
        <f t="shared" si="25"/>
        <v>0</v>
      </c>
      <c r="L27" s="1539">
        <f t="shared" si="25"/>
        <v>0</v>
      </c>
      <c r="M27" s="1539">
        <f t="shared" ca="1" si="25"/>
        <v>0</v>
      </c>
      <c r="N27" s="1892">
        <f t="shared" ca="1" si="25"/>
        <v>53.655135425366886</v>
      </c>
      <c r="O27" s="1892">
        <f t="shared" ca="1" si="25"/>
        <v>15.2583909925431</v>
      </c>
      <c r="P27" s="1892">
        <f t="shared" ca="1" si="25"/>
        <v>0.35637886442017391</v>
      </c>
      <c r="Q27" s="1892">
        <f t="shared" ca="1" si="25"/>
        <v>3.8565328782808703E-2</v>
      </c>
      <c r="R27" s="1892">
        <f t="shared" ca="1" si="25"/>
        <v>15.986954950981243</v>
      </c>
      <c r="S27" s="1892">
        <f t="shared" ca="1" si="25"/>
        <v>7.6353108271804588</v>
      </c>
      <c r="T27" s="1892">
        <f t="shared" ca="1" si="25"/>
        <v>8.6551662926454114</v>
      </c>
      <c r="U27" s="1892">
        <f t="shared" ca="1" si="25"/>
        <v>6.3131887756425788E-3</v>
      </c>
      <c r="V27" s="1892">
        <f t="shared" ca="1" si="25"/>
        <v>0.30962578524555734</v>
      </c>
      <c r="W27" s="1539">
        <f t="shared" ca="1" si="10"/>
        <v>101.90184165594128</v>
      </c>
      <c r="Y27" s="1893">
        <f ca="1">Y21+Y24</f>
        <v>-0.5331908053367298</v>
      </c>
      <c r="Z27" s="1893">
        <f t="shared" ref="Z27:AP27" ca="1" si="26">Z21+Z24</f>
        <v>0</v>
      </c>
      <c r="AA27" s="1893">
        <f t="shared" ca="1" si="26"/>
        <v>0</v>
      </c>
      <c r="AB27" s="1893">
        <f ca="1">AB21+AB24</f>
        <v>-101.36865085060457</v>
      </c>
      <c r="AC27" s="1893">
        <f t="shared" ca="1" si="26"/>
        <v>0</v>
      </c>
      <c r="AD27" s="1893">
        <f t="shared" ca="1" si="26"/>
        <v>0</v>
      </c>
      <c r="AE27" s="1893">
        <f t="shared" ca="1" si="26"/>
        <v>0</v>
      </c>
      <c r="AF27" s="1893">
        <f t="shared" ca="1" si="26"/>
        <v>0</v>
      </c>
      <c r="AG27" s="1893">
        <f t="shared" ca="1" si="26"/>
        <v>0</v>
      </c>
      <c r="AH27" s="1893">
        <f t="shared" ca="1" si="26"/>
        <v>0</v>
      </c>
      <c r="AI27" s="1893">
        <f t="shared" ca="1" si="26"/>
        <v>0</v>
      </c>
      <c r="AJ27" s="1893">
        <f t="shared" ca="1" si="26"/>
        <v>0</v>
      </c>
      <c r="AK27" s="1893">
        <f t="shared" ca="1" si="26"/>
        <v>0</v>
      </c>
      <c r="AL27" s="1893">
        <f t="shared" ca="1" si="26"/>
        <v>0</v>
      </c>
      <c r="AM27" s="1893">
        <f t="shared" ca="1" si="26"/>
        <v>0</v>
      </c>
      <c r="AN27" s="1893">
        <f t="shared" ca="1" si="26"/>
        <v>0</v>
      </c>
      <c r="AO27" s="1893">
        <f t="shared" ca="1" si="26"/>
        <v>0</v>
      </c>
      <c r="AP27" s="1893">
        <f t="shared" ca="1" si="26"/>
        <v>0</v>
      </c>
      <c r="AQ27" s="1490">
        <f t="shared" ca="1" si="11"/>
        <v>-101.9018416559413</v>
      </c>
      <c r="AS27" s="1491">
        <f>AS26</f>
        <v>0</v>
      </c>
      <c r="AT27" s="1491">
        <f t="shared" ref="AT27:BK27" si="27">AT26</f>
        <v>0</v>
      </c>
      <c r="AU27" s="1491">
        <f t="shared" si="27"/>
        <v>0</v>
      </c>
      <c r="AV27" s="1491">
        <f t="shared" si="27"/>
        <v>0</v>
      </c>
      <c r="AW27" s="1491">
        <f t="shared" si="27"/>
        <v>0</v>
      </c>
      <c r="AX27" s="1491">
        <f t="shared" si="27"/>
        <v>0</v>
      </c>
      <c r="AY27" s="1491">
        <f t="shared" si="27"/>
        <v>0</v>
      </c>
      <c r="AZ27" s="1491">
        <f t="shared" si="27"/>
        <v>0</v>
      </c>
      <c r="BA27" s="1491">
        <f t="shared" si="27"/>
        <v>0</v>
      </c>
      <c r="BB27" s="1491">
        <f t="shared" si="27"/>
        <v>0</v>
      </c>
      <c r="BC27" s="1491">
        <f t="shared" si="27"/>
        <v>0</v>
      </c>
      <c r="BD27" s="1491">
        <f t="shared" si="27"/>
        <v>0</v>
      </c>
      <c r="BE27" s="1491">
        <f t="shared" si="27"/>
        <v>0</v>
      </c>
      <c r="BF27" s="1491">
        <f t="shared" si="27"/>
        <v>0</v>
      </c>
      <c r="BG27" s="1491">
        <f t="shared" si="27"/>
        <v>0</v>
      </c>
      <c r="BH27" s="1491">
        <f t="shared" si="27"/>
        <v>0</v>
      </c>
      <c r="BI27" s="1491">
        <f t="shared" si="27"/>
        <v>0</v>
      </c>
      <c r="BJ27" s="1491">
        <f t="shared" si="27"/>
        <v>0</v>
      </c>
      <c r="BK27" s="1491">
        <f t="shared" si="27"/>
        <v>0</v>
      </c>
      <c r="BL27" s="1503">
        <f>SUM(AS27:BK27)</f>
        <v>0</v>
      </c>
      <c r="BN27" s="1941">
        <f ca="1">BN24+BN21</f>
        <v>0</v>
      </c>
      <c r="BO27" s="1941">
        <f ca="1">BO24+BO21</f>
        <v>0</v>
      </c>
      <c r="BP27" s="1505">
        <f ca="1">BN27+BO27</f>
        <v>0</v>
      </c>
      <c r="BR27" s="3168">
        <f t="shared" ca="1" si="12"/>
        <v>-1.4210854715202004E-14</v>
      </c>
      <c r="BS27" s="1493"/>
      <c r="BT27" s="748"/>
      <c r="BU27" s="1508">
        <v>131.46551968326995</v>
      </c>
      <c r="BV27" s="1508">
        <v>0.16367405301251234</v>
      </c>
      <c r="BW27" s="1508">
        <v>2.365334083866848</v>
      </c>
      <c r="BX27" s="1508">
        <v>0</v>
      </c>
      <c r="BY27" s="1508">
        <v>0</v>
      </c>
      <c r="BZ27" s="1508">
        <v>0</v>
      </c>
      <c r="CA27" s="1508">
        <v>0</v>
      </c>
      <c r="CB27" s="1508">
        <v>0</v>
      </c>
      <c r="CC27" s="1508">
        <v>0</v>
      </c>
      <c r="CD27" s="1508">
        <v>0</v>
      </c>
      <c r="CE27" s="1508">
        <v>0</v>
      </c>
      <c r="CF27" s="1508">
        <v>0</v>
      </c>
      <c r="CG27" s="1508">
        <v>0</v>
      </c>
      <c r="CH27" s="1508">
        <v>0</v>
      </c>
      <c r="CI27" s="1508">
        <v>0</v>
      </c>
      <c r="CJ27" s="1508">
        <v>0</v>
      </c>
      <c r="CK27" s="1508">
        <v>0</v>
      </c>
      <c r="CL27" s="1508">
        <v>0</v>
      </c>
      <c r="CM27" s="1508">
        <v>0</v>
      </c>
      <c r="CN27" s="1508">
        <v>0</v>
      </c>
      <c r="CO27" s="1508">
        <v>0</v>
      </c>
      <c r="CP27" s="1508">
        <v>0</v>
      </c>
      <c r="CQ27" s="1508">
        <v>0</v>
      </c>
      <c r="CR27" s="1508">
        <v>0</v>
      </c>
      <c r="CS27" s="1508">
        <v>0</v>
      </c>
      <c r="CT27" s="1508">
        <v>0</v>
      </c>
      <c r="CU27" s="1508">
        <v>0</v>
      </c>
      <c r="CV27" s="1508">
        <v>0</v>
      </c>
      <c r="CW27" s="1508">
        <v>0</v>
      </c>
      <c r="CX27" s="1508">
        <v>0</v>
      </c>
      <c r="CY27" s="1508">
        <v>0</v>
      </c>
      <c r="CZ27" s="1508">
        <v>0</v>
      </c>
      <c r="DA27" s="1508">
        <v>51.739539271814301</v>
      </c>
      <c r="DB27" s="1508">
        <v>6.441552213858226E-2</v>
      </c>
      <c r="DC27" s="1508">
        <v>0.93090033050516818</v>
      </c>
      <c r="DD27" s="1508">
        <v>0</v>
      </c>
      <c r="DE27" s="1508">
        <v>0</v>
      </c>
      <c r="DF27" s="1508">
        <v>0</v>
      </c>
      <c r="DG27" s="1508">
        <v>0</v>
      </c>
      <c r="DH27" s="1508">
        <v>0</v>
      </c>
      <c r="DI27" s="1508">
        <v>0</v>
      </c>
      <c r="DJ27" s="1508">
        <v>0</v>
      </c>
      <c r="DK27" s="1508">
        <v>0</v>
      </c>
      <c r="DL27" s="1508">
        <v>0</v>
      </c>
      <c r="DN27" s="1509">
        <v>186.72938294460735</v>
      </c>
    </row>
    <row r="28" spans="1:118" s="14" customFormat="1" ht="15.75" x14ac:dyDescent="0.2">
      <c r="A28" s="1534"/>
      <c r="B28" s="1535"/>
      <c r="C28" s="1536"/>
      <c r="D28" s="1537"/>
      <c r="E28" s="1538"/>
      <c r="G28" s="1539"/>
      <c r="H28" s="1539"/>
      <c r="I28" s="1539"/>
      <c r="J28" s="1539"/>
      <c r="K28" s="1539"/>
      <c r="L28" s="1539"/>
      <c r="M28" s="1539"/>
      <c r="N28" s="1539"/>
      <c r="O28" s="1539"/>
      <c r="P28" s="1539"/>
      <c r="Q28" s="1539"/>
      <c r="R28" s="1539"/>
      <c r="S28" s="1539"/>
      <c r="T28" s="1539"/>
      <c r="U28" s="1539"/>
      <c r="V28" s="1539"/>
      <c r="W28" s="1539"/>
      <c r="Y28" s="1490"/>
      <c r="Z28" s="1490"/>
      <c r="AA28" s="1490"/>
      <c r="AB28" s="1490"/>
      <c r="AC28" s="1490"/>
      <c r="AD28" s="1490"/>
      <c r="AE28" s="1490"/>
      <c r="AF28" s="1490"/>
      <c r="AG28" s="1490"/>
      <c r="AH28" s="1490"/>
      <c r="AI28" s="1490"/>
      <c r="AJ28" s="1490"/>
      <c r="AK28" s="1490"/>
      <c r="AL28" s="1490"/>
      <c r="AM28" s="1490"/>
      <c r="AN28" s="1490"/>
      <c r="AO28" s="1490"/>
      <c r="AP28" s="1490"/>
      <c r="AQ28" s="1490"/>
      <c r="AS28" s="1491"/>
      <c r="AT28" s="1491"/>
      <c r="AU28" s="1491"/>
      <c r="AV28" s="1491"/>
      <c r="AW28" s="1491"/>
      <c r="AX28" s="1491"/>
      <c r="AY28" s="1491"/>
      <c r="AZ28" s="1491"/>
      <c r="BA28" s="1491"/>
      <c r="BB28" s="1491"/>
      <c r="BC28" s="1491"/>
      <c r="BD28" s="1491"/>
      <c r="BE28" s="1491"/>
      <c r="BF28" s="1491"/>
      <c r="BG28" s="1491"/>
      <c r="BH28" s="1491"/>
      <c r="BI28" s="1491"/>
      <c r="BJ28" s="1491"/>
      <c r="BK28" s="1491"/>
      <c r="BL28" s="1491"/>
      <c r="BN28" s="1492"/>
      <c r="BO28" s="1492"/>
      <c r="BP28" s="1492"/>
      <c r="BR28" s="3168"/>
      <c r="BS28" s="1493"/>
      <c r="BT28" s="748"/>
      <c r="BU28" s="1508"/>
      <c r="BV28" s="1508"/>
      <c r="BW28" s="1508"/>
      <c r="BX28" s="1508"/>
      <c r="BY28" s="1508"/>
      <c r="BZ28" s="1508"/>
      <c r="CA28" s="1508"/>
      <c r="CB28" s="1508"/>
      <c r="CC28" s="1508"/>
      <c r="CD28" s="1508"/>
      <c r="CE28" s="1508"/>
      <c r="CF28" s="1508"/>
      <c r="CG28" s="1508"/>
      <c r="CH28" s="1508"/>
      <c r="CI28" s="1508"/>
      <c r="CJ28" s="1508"/>
      <c r="CK28" s="1508"/>
      <c r="CL28" s="1508"/>
      <c r="CM28" s="1508"/>
      <c r="CN28" s="1508"/>
      <c r="CO28" s="1508"/>
      <c r="CP28" s="1508"/>
      <c r="CQ28" s="1508"/>
      <c r="CR28" s="1508"/>
      <c r="CS28" s="1508"/>
      <c r="CT28" s="1508"/>
      <c r="CU28" s="1508"/>
      <c r="CV28" s="1508"/>
      <c r="CW28" s="1508"/>
      <c r="CX28" s="1508"/>
      <c r="CY28" s="1508"/>
      <c r="CZ28" s="1508"/>
      <c r="DA28" s="1508"/>
      <c r="DB28" s="1508"/>
      <c r="DC28" s="1508"/>
      <c r="DD28" s="1508"/>
      <c r="DE28" s="1508"/>
      <c r="DF28" s="1508"/>
      <c r="DG28" s="1508"/>
      <c r="DH28" s="1508"/>
      <c r="DI28" s="1508"/>
      <c r="DJ28" s="1508"/>
      <c r="DK28" s="1508"/>
      <c r="DL28" s="1508"/>
      <c r="DN28" s="1509"/>
    </row>
    <row r="29" spans="1:118" s="14" customFormat="1" ht="12.75" hidden="1" customHeight="1" outlineLevel="1" x14ac:dyDescent="0.2">
      <c r="A29" s="1534"/>
      <c r="B29" s="1534"/>
      <c r="C29" s="1544"/>
      <c r="D29" s="1538"/>
      <c r="E29" s="1538"/>
      <c r="G29" s="1539"/>
      <c r="H29" s="1539"/>
      <c r="I29" s="1539"/>
      <c r="J29" s="1539"/>
      <c r="K29" s="1539"/>
      <c r="L29" s="1539"/>
      <c r="M29" s="1539"/>
      <c r="N29" s="1539"/>
      <c r="O29" s="1539"/>
      <c r="P29" s="1539"/>
      <c r="Q29" s="1539"/>
      <c r="R29" s="1539"/>
      <c r="S29" s="1539"/>
      <c r="T29" s="1539"/>
      <c r="U29" s="1539"/>
      <c r="V29" s="1539"/>
      <c r="W29" s="1539">
        <f t="shared" si="10"/>
        <v>0</v>
      </c>
      <c r="Y29" s="1490"/>
      <c r="Z29" s="1490"/>
      <c r="AA29" s="1490"/>
      <c r="AB29" s="1490"/>
      <c r="AC29" s="1490"/>
      <c r="AD29" s="1490"/>
      <c r="AE29" s="1490"/>
      <c r="AF29" s="1490"/>
      <c r="AG29" s="1490"/>
      <c r="AH29" s="1490"/>
      <c r="AI29" s="1490"/>
      <c r="AJ29" s="1490"/>
      <c r="AK29" s="1490"/>
      <c r="AL29" s="1490"/>
      <c r="AM29" s="1490"/>
      <c r="AN29" s="1490"/>
      <c r="AO29" s="1490"/>
      <c r="AP29" s="1490"/>
      <c r="AQ29" s="1490"/>
      <c r="AS29" s="1491"/>
      <c r="AT29" s="1491"/>
      <c r="AU29" s="1491"/>
      <c r="AV29" s="1491"/>
      <c r="AW29" s="1491"/>
      <c r="AX29" s="1491"/>
      <c r="AY29" s="1491"/>
      <c r="AZ29" s="1491"/>
      <c r="BA29" s="1491"/>
      <c r="BB29" s="1491"/>
      <c r="BC29" s="1491"/>
      <c r="BD29" s="1491"/>
      <c r="BE29" s="1491"/>
      <c r="BF29" s="1491"/>
      <c r="BG29" s="1491"/>
      <c r="BH29" s="1491"/>
      <c r="BI29" s="1491"/>
      <c r="BJ29" s="1491"/>
      <c r="BK29" s="1491"/>
      <c r="BL29" s="1491"/>
      <c r="BN29" s="1492"/>
      <c r="BO29" s="1492"/>
      <c r="BP29" s="1492"/>
      <c r="BR29" s="3168">
        <f t="shared" si="12"/>
        <v>0</v>
      </c>
      <c r="BS29" s="1493"/>
      <c r="BT29" s="1534"/>
      <c r="BU29" s="1508"/>
      <c r="BV29" s="1508"/>
      <c r="BW29" s="1508"/>
      <c r="BX29" s="1508"/>
      <c r="BY29" s="1508"/>
      <c r="BZ29" s="1508"/>
      <c r="CA29" s="1508"/>
      <c r="CB29" s="1508"/>
      <c r="CC29" s="1508"/>
      <c r="CD29" s="1508"/>
      <c r="CE29" s="1508"/>
      <c r="CF29" s="1508"/>
      <c r="CG29" s="1508"/>
      <c r="CH29" s="1508"/>
      <c r="CI29" s="1508"/>
      <c r="CJ29" s="1508"/>
      <c r="CK29" s="1508"/>
      <c r="CL29" s="1508"/>
      <c r="CM29" s="1508"/>
      <c r="CN29" s="1508"/>
      <c r="CO29" s="1508"/>
      <c r="CP29" s="1508"/>
      <c r="CQ29" s="1508"/>
      <c r="CR29" s="1508"/>
      <c r="CS29" s="1508"/>
      <c r="CT29" s="1508"/>
      <c r="CU29" s="1508"/>
      <c r="CV29" s="1508"/>
      <c r="CW29" s="1508"/>
      <c r="CX29" s="1508"/>
      <c r="CY29" s="1508"/>
      <c r="CZ29" s="1508"/>
      <c r="DA29" s="1508"/>
      <c r="DB29" s="1508"/>
      <c r="DC29" s="1508"/>
      <c r="DD29" s="1508"/>
      <c r="DE29" s="1508"/>
      <c r="DF29" s="1508"/>
      <c r="DG29" s="1508"/>
      <c r="DH29" s="1508"/>
      <c r="DI29" s="1508"/>
      <c r="DJ29" s="1508"/>
      <c r="DK29" s="1508"/>
      <c r="DL29" s="1508"/>
      <c r="DN29" s="1509">
        <v>0</v>
      </c>
    </row>
    <row r="30" spans="1:118" s="14" customFormat="1" ht="12.75" hidden="1" customHeight="1" outlineLevel="1" x14ac:dyDescent="0.2">
      <c r="A30" s="1522"/>
      <c r="B30" s="1522"/>
      <c r="C30" s="1496"/>
      <c r="D30" s="1526"/>
      <c r="E30" s="1526"/>
      <c r="G30" s="1540">
        <v>0</v>
      </c>
      <c r="H30" s="1540"/>
      <c r="I30" s="1540"/>
      <c r="J30" s="1540"/>
      <c r="K30" s="1540"/>
      <c r="L30" s="1540"/>
      <c r="M30" s="1540">
        <v>0</v>
      </c>
      <c r="N30" s="1540">
        <v>0</v>
      </c>
      <c r="O30" s="1540">
        <v>0</v>
      </c>
      <c r="P30" s="1540">
        <v>0</v>
      </c>
      <c r="Q30" s="1540">
        <v>0</v>
      </c>
      <c r="R30" s="1540">
        <v>0</v>
      </c>
      <c r="S30" s="1540"/>
      <c r="T30" s="1540"/>
      <c r="U30" s="1540"/>
      <c r="V30" s="1540"/>
      <c r="W30" s="1539">
        <f t="shared" si="10"/>
        <v>0</v>
      </c>
      <c r="Y30" s="1541"/>
      <c r="Z30" s="1541"/>
      <c r="AA30" s="1541"/>
      <c r="AB30" s="1541"/>
      <c r="AC30" s="1541"/>
      <c r="AD30" s="1541"/>
      <c r="AE30" s="1541"/>
      <c r="AF30" s="1541"/>
      <c r="AG30" s="1541"/>
      <c r="AH30" s="1541"/>
      <c r="AI30" s="1541"/>
      <c r="AJ30" s="1541"/>
      <c r="AK30" s="1541"/>
      <c r="AL30" s="1541"/>
      <c r="AM30" s="1541"/>
      <c r="AN30" s="1541"/>
      <c r="AO30" s="1541"/>
      <c r="AP30" s="1541"/>
      <c r="AQ30" s="1528"/>
      <c r="AS30" s="1542"/>
      <c r="AT30" s="1542"/>
      <c r="AU30" s="1542"/>
      <c r="AV30" s="1542"/>
      <c r="AW30" s="1542"/>
      <c r="AX30" s="1542"/>
      <c r="AY30" s="1542"/>
      <c r="AZ30" s="1542"/>
      <c r="BA30" s="1542"/>
      <c r="BB30" s="1542"/>
      <c r="BC30" s="1542"/>
      <c r="BD30" s="1542"/>
      <c r="BE30" s="1542"/>
      <c r="BF30" s="1542"/>
      <c r="BG30" s="1542"/>
      <c r="BH30" s="1542"/>
      <c r="BI30" s="1542"/>
      <c r="BJ30" s="1542"/>
      <c r="BK30" s="1542"/>
      <c r="BL30" s="1530"/>
      <c r="BN30" s="1543">
        <v>0</v>
      </c>
      <c r="BO30" s="1543">
        <v>0</v>
      </c>
      <c r="BP30" s="1531">
        <v>0</v>
      </c>
      <c r="BR30" s="3168">
        <f t="shared" si="12"/>
        <v>0</v>
      </c>
      <c r="BS30" s="1525"/>
      <c r="BT30" s="748"/>
      <c r="BU30" s="1532">
        <v>0</v>
      </c>
      <c r="BV30" s="1533">
        <v>0</v>
      </c>
      <c r="BW30" s="1533">
        <v>0</v>
      </c>
      <c r="BX30" s="1533">
        <v>0</v>
      </c>
      <c r="BY30" s="1533">
        <v>0</v>
      </c>
      <c r="BZ30" s="1533">
        <v>0</v>
      </c>
      <c r="CA30" s="1533">
        <v>0</v>
      </c>
      <c r="CB30" s="1533">
        <v>0</v>
      </c>
      <c r="CC30" s="1533">
        <v>0</v>
      </c>
      <c r="CD30" s="1533">
        <v>0</v>
      </c>
      <c r="CE30" s="1533">
        <v>0</v>
      </c>
      <c r="CF30" s="1533">
        <v>0</v>
      </c>
      <c r="CG30" s="1533">
        <v>0</v>
      </c>
      <c r="CH30" s="1533">
        <v>0</v>
      </c>
      <c r="CI30" s="1533">
        <v>0</v>
      </c>
      <c r="CJ30" s="1533">
        <v>0</v>
      </c>
      <c r="CK30" s="1533">
        <v>0</v>
      </c>
      <c r="CL30" s="1533">
        <v>0</v>
      </c>
      <c r="CM30" s="1533">
        <v>0</v>
      </c>
      <c r="CN30" s="1533">
        <v>0</v>
      </c>
      <c r="CO30" s="1533">
        <v>0</v>
      </c>
      <c r="CP30" s="1533">
        <v>0</v>
      </c>
      <c r="CQ30" s="1533">
        <v>0</v>
      </c>
      <c r="CR30" s="1533">
        <v>0</v>
      </c>
      <c r="CS30" s="1533">
        <v>0</v>
      </c>
      <c r="CT30" s="1533">
        <v>0</v>
      </c>
      <c r="CU30" s="1533">
        <v>0</v>
      </c>
      <c r="CV30" s="1533">
        <v>0</v>
      </c>
      <c r="CW30" s="1533">
        <v>0</v>
      </c>
      <c r="CX30" s="1533">
        <v>0</v>
      </c>
      <c r="CY30" s="1533">
        <v>0</v>
      </c>
      <c r="CZ30" s="1533">
        <v>0</v>
      </c>
      <c r="DA30" s="1533">
        <v>0</v>
      </c>
      <c r="DB30" s="1533">
        <v>0</v>
      </c>
      <c r="DC30" s="1533">
        <v>0</v>
      </c>
      <c r="DD30" s="1533">
        <v>0</v>
      </c>
      <c r="DE30" s="1533">
        <v>0</v>
      </c>
      <c r="DF30" s="1533">
        <v>0</v>
      </c>
      <c r="DG30" s="1533">
        <v>0</v>
      </c>
      <c r="DH30" s="1533">
        <v>0</v>
      </c>
      <c r="DI30" s="1533">
        <v>0</v>
      </c>
      <c r="DJ30" s="1533">
        <v>0</v>
      </c>
      <c r="DK30" s="1533">
        <v>0</v>
      </c>
      <c r="DL30" s="1533">
        <v>0</v>
      </c>
      <c r="DN30" s="1509">
        <v>0</v>
      </c>
    </row>
    <row r="31" spans="1:118" s="14" customFormat="1" ht="15.75" collapsed="1" x14ac:dyDescent="0.2">
      <c r="A31" s="1534"/>
      <c r="B31" s="1535"/>
      <c r="C31" s="1536"/>
      <c r="D31" s="1537"/>
      <c r="E31" s="1538"/>
      <c r="G31" s="1539"/>
      <c r="H31" s="1539"/>
      <c r="I31" s="1539"/>
      <c r="J31" s="1539"/>
      <c r="K31" s="1539"/>
      <c r="L31" s="1539"/>
      <c r="M31" s="1539"/>
      <c r="N31" s="1539"/>
      <c r="O31" s="1539"/>
      <c r="P31" s="1539"/>
      <c r="Q31" s="1539"/>
      <c r="R31" s="1539"/>
      <c r="S31" s="1539"/>
      <c r="T31" s="1539"/>
      <c r="U31" s="1539"/>
      <c r="V31" s="1539"/>
      <c r="W31" s="1539"/>
      <c r="Y31" s="1490"/>
      <c r="Z31" s="1490"/>
      <c r="AA31" s="1490"/>
      <c r="AB31" s="1490"/>
      <c r="AC31" s="1490"/>
      <c r="AD31" s="1490"/>
      <c r="AE31" s="1490"/>
      <c r="AF31" s="1490"/>
      <c r="AG31" s="1490"/>
      <c r="AH31" s="1490"/>
      <c r="AI31" s="1490"/>
      <c r="AJ31" s="1490"/>
      <c r="AK31" s="1490"/>
      <c r="AL31" s="1490"/>
      <c r="AM31" s="1490"/>
      <c r="AN31" s="1490"/>
      <c r="AO31" s="1490"/>
      <c r="AP31" s="1490"/>
      <c r="AQ31" s="1490"/>
      <c r="AS31" s="1491"/>
      <c r="AT31" s="1491"/>
      <c r="AU31" s="1491"/>
      <c r="AV31" s="1491"/>
      <c r="AW31" s="1491"/>
      <c r="AX31" s="1491"/>
      <c r="AY31" s="1491"/>
      <c r="AZ31" s="1491"/>
      <c r="BA31" s="1491"/>
      <c r="BB31" s="1491"/>
      <c r="BC31" s="1491"/>
      <c r="BD31" s="1491"/>
      <c r="BE31" s="1491"/>
      <c r="BF31" s="1491"/>
      <c r="BG31" s="1491"/>
      <c r="BH31" s="1491"/>
      <c r="BI31" s="1491"/>
      <c r="BJ31" s="1491"/>
      <c r="BK31" s="1491"/>
      <c r="BL31" s="1491"/>
      <c r="BN31" s="1492"/>
      <c r="BO31" s="1492"/>
      <c r="BP31" s="1492"/>
      <c r="BR31" s="3168"/>
      <c r="BS31" s="1493"/>
      <c r="BT31" s="748"/>
      <c r="BU31" s="1508"/>
      <c r="BV31" s="1508"/>
      <c r="BW31" s="1508"/>
      <c r="BX31" s="1508"/>
      <c r="BY31" s="1508"/>
      <c r="BZ31" s="1508"/>
      <c r="CA31" s="1508"/>
      <c r="CB31" s="1508"/>
      <c r="CC31" s="1508"/>
      <c r="CD31" s="1508"/>
      <c r="CE31" s="1508"/>
      <c r="CF31" s="1508"/>
      <c r="CG31" s="1508"/>
      <c r="CH31" s="1508"/>
      <c r="CI31" s="1508"/>
      <c r="CJ31" s="1508"/>
      <c r="CK31" s="1508"/>
      <c r="CL31" s="1508"/>
      <c r="CM31" s="1508"/>
      <c r="CN31" s="1508"/>
      <c r="CO31" s="1508"/>
      <c r="CP31" s="1508"/>
      <c r="CQ31" s="1508"/>
      <c r="CR31" s="1508"/>
      <c r="CS31" s="1508"/>
      <c r="CT31" s="1508"/>
      <c r="CU31" s="1508"/>
      <c r="CV31" s="1508"/>
      <c r="CW31" s="1508"/>
      <c r="CX31" s="1508"/>
      <c r="CY31" s="1508"/>
      <c r="CZ31" s="1508"/>
      <c r="DA31" s="1508"/>
      <c r="DB31" s="1508"/>
      <c r="DC31" s="1508"/>
      <c r="DD31" s="1508"/>
      <c r="DE31" s="1508"/>
      <c r="DF31" s="1508"/>
      <c r="DG31" s="1508"/>
      <c r="DH31" s="1508"/>
      <c r="DI31" s="1508"/>
      <c r="DJ31" s="1508"/>
      <c r="DK31" s="1508"/>
      <c r="DL31" s="1508"/>
      <c r="DN31" s="1509"/>
    </row>
    <row r="32" spans="1:118" s="14" customFormat="1" ht="12.75" hidden="1" customHeight="1" outlineLevel="1" x14ac:dyDescent="0.2">
      <c r="A32" s="1534"/>
      <c r="B32" s="1534"/>
      <c r="C32" s="1544"/>
      <c r="D32" s="1538"/>
      <c r="E32" s="1538"/>
      <c r="G32" s="1539"/>
      <c r="H32" s="1539"/>
      <c r="I32" s="1539"/>
      <c r="J32" s="1539"/>
      <c r="K32" s="1539"/>
      <c r="L32" s="1539"/>
      <c r="M32" s="1539"/>
      <c r="N32" s="1539"/>
      <c r="O32" s="1539"/>
      <c r="P32" s="1539"/>
      <c r="Q32" s="1539"/>
      <c r="R32" s="1539"/>
      <c r="S32" s="1539"/>
      <c r="T32" s="1539"/>
      <c r="U32" s="1539"/>
      <c r="V32" s="1539"/>
      <c r="W32" s="1539">
        <f t="shared" si="10"/>
        <v>0</v>
      </c>
      <c r="Y32" s="1490"/>
      <c r="Z32" s="1490"/>
      <c r="AA32" s="1490"/>
      <c r="AB32" s="1490"/>
      <c r="AC32" s="1490"/>
      <c r="AD32" s="1490"/>
      <c r="AE32" s="1490"/>
      <c r="AF32" s="1490"/>
      <c r="AG32" s="1490"/>
      <c r="AH32" s="1490"/>
      <c r="AI32" s="1490"/>
      <c r="AJ32" s="1490"/>
      <c r="AK32" s="1490"/>
      <c r="AL32" s="1490"/>
      <c r="AM32" s="1490"/>
      <c r="AN32" s="1490"/>
      <c r="AO32" s="1490"/>
      <c r="AP32" s="1490"/>
      <c r="AQ32" s="1490"/>
      <c r="AS32" s="1491"/>
      <c r="AT32" s="1491"/>
      <c r="AU32" s="1491"/>
      <c r="AV32" s="1491"/>
      <c r="AW32" s="1491"/>
      <c r="AX32" s="1491"/>
      <c r="AY32" s="1491"/>
      <c r="AZ32" s="1491"/>
      <c r="BA32" s="1491"/>
      <c r="BB32" s="1491"/>
      <c r="BC32" s="1491"/>
      <c r="BD32" s="1491"/>
      <c r="BE32" s="1491"/>
      <c r="BF32" s="1491"/>
      <c r="BG32" s="1491"/>
      <c r="BH32" s="1491"/>
      <c r="BI32" s="1491"/>
      <c r="BJ32" s="1491"/>
      <c r="BK32" s="1491"/>
      <c r="BL32" s="1491"/>
      <c r="BN32" s="1492"/>
      <c r="BO32" s="1492"/>
      <c r="BP32" s="1492"/>
      <c r="BR32" s="3168">
        <f t="shared" si="12"/>
        <v>0</v>
      </c>
      <c r="BS32" s="1493"/>
      <c r="BT32" s="1534"/>
      <c r="BU32" s="1507"/>
      <c r="BV32" s="1508"/>
      <c r="BW32" s="1508"/>
      <c r="BX32" s="1508"/>
      <c r="BY32" s="1508"/>
      <c r="BZ32" s="1508"/>
      <c r="CA32" s="1508"/>
      <c r="CB32" s="1508"/>
      <c r="CC32" s="1508"/>
      <c r="CD32" s="1508"/>
      <c r="CE32" s="1508"/>
      <c r="CF32" s="1508"/>
      <c r="CG32" s="1508"/>
      <c r="CH32" s="1508"/>
      <c r="CI32" s="1508"/>
      <c r="CJ32" s="1508"/>
      <c r="CK32" s="1508"/>
      <c r="CL32" s="1508"/>
      <c r="CM32" s="1508"/>
      <c r="CN32" s="1508"/>
      <c r="CO32" s="1508"/>
      <c r="CP32" s="1508"/>
      <c r="CQ32" s="1508"/>
      <c r="CR32" s="1508"/>
      <c r="CS32" s="1508"/>
      <c r="CT32" s="1508"/>
      <c r="CU32" s="1508"/>
      <c r="CV32" s="1508"/>
      <c r="CW32" s="1508"/>
      <c r="CX32" s="1508"/>
      <c r="CY32" s="1508"/>
      <c r="CZ32" s="1508"/>
      <c r="DA32" s="1508"/>
      <c r="DB32" s="1508"/>
      <c r="DC32" s="1508"/>
      <c r="DD32" s="1508"/>
      <c r="DE32" s="1508"/>
      <c r="DF32" s="1508"/>
      <c r="DG32" s="1508"/>
      <c r="DH32" s="1508"/>
      <c r="DI32" s="1508"/>
      <c r="DJ32" s="1508"/>
      <c r="DK32" s="1508"/>
      <c r="DL32" s="1508"/>
      <c r="DN32" s="1509"/>
    </row>
    <row r="33" spans="1:118" s="14" customFormat="1" ht="12.75" hidden="1" customHeight="1" outlineLevel="1" x14ac:dyDescent="0.2">
      <c r="A33" s="1522"/>
      <c r="B33" s="1522"/>
      <c r="C33" s="1496"/>
      <c r="D33" s="1526"/>
      <c r="E33" s="1526"/>
      <c r="G33" s="1540"/>
      <c r="H33" s="1540"/>
      <c r="I33" s="1540"/>
      <c r="J33" s="1540"/>
      <c r="K33" s="1540"/>
      <c r="L33" s="1540"/>
      <c r="M33" s="1540"/>
      <c r="N33" s="1540"/>
      <c r="O33" s="1540"/>
      <c r="P33" s="1540"/>
      <c r="Q33" s="1540"/>
      <c r="R33" s="1540"/>
      <c r="S33" s="1540"/>
      <c r="T33" s="1540"/>
      <c r="U33" s="1540"/>
      <c r="V33" s="1540"/>
      <c r="W33" s="1539">
        <f t="shared" si="10"/>
        <v>0</v>
      </c>
      <c r="Y33" s="1541"/>
      <c r="Z33" s="1541"/>
      <c r="AA33" s="1541"/>
      <c r="AB33" s="1541"/>
      <c r="AC33" s="1541"/>
      <c r="AD33" s="1541"/>
      <c r="AE33" s="1541"/>
      <c r="AF33" s="1541"/>
      <c r="AG33" s="1541"/>
      <c r="AH33" s="1541"/>
      <c r="AI33" s="1541"/>
      <c r="AJ33" s="1541"/>
      <c r="AK33" s="1541"/>
      <c r="AL33" s="1541"/>
      <c r="AM33" s="1541"/>
      <c r="AN33" s="1541"/>
      <c r="AO33" s="1541"/>
      <c r="AP33" s="1541"/>
      <c r="AQ33" s="1528"/>
      <c r="AS33" s="1542"/>
      <c r="AT33" s="1542"/>
      <c r="AU33" s="1542"/>
      <c r="AV33" s="1542"/>
      <c r="AW33" s="1542"/>
      <c r="AX33" s="1542"/>
      <c r="AY33" s="1542"/>
      <c r="AZ33" s="1542"/>
      <c r="BA33" s="1542"/>
      <c r="BB33" s="1542"/>
      <c r="BC33" s="1542"/>
      <c r="BD33" s="1542"/>
      <c r="BE33" s="1542"/>
      <c r="BF33" s="1542"/>
      <c r="BG33" s="1542"/>
      <c r="BH33" s="1542"/>
      <c r="BI33" s="1542"/>
      <c r="BJ33" s="1542"/>
      <c r="BK33" s="1542"/>
      <c r="BL33" s="1530"/>
      <c r="BN33" s="1543"/>
      <c r="BO33" s="1543"/>
      <c r="BP33" s="1531"/>
      <c r="BR33" s="3168">
        <f t="shared" si="12"/>
        <v>0</v>
      </c>
      <c r="BS33" s="1525"/>
      <c r="BT33" s="748"/>
      <c r="BU33" s="1532"/>
      <c r="BV33" s="1533"/>
      <c r="BW33" s="1533"/>
      <c r="BX33" s="1533"/>
      <c r="BY33" s="1533"/>
      <c r="BZ33" s="1533"/>
      <c r="CA33" s="1533"/>
      <c r="CB33" s="1533"/>
      <c r="CC33" s="1533"/>
      <c r="CD33" s="1533"/>
      <c r="CE33" s="1533"/>
      <c r="CF33" s="1533"/>
      <c r="CG33" s="1533"/>
      <c r="CH33" s="1533"/>
      <c r="CI33" s="1533"/>
      <c r="CJ33" s="1533"/>
      <c r="CK33" s="1533"/>
      <c r="CL33" s="1533"/>
      <c r="CM33" s="1533"/>
      <c r="CN33" s="1533"/>
      <c r="CO33" s="1533"/>
      <c r="CP33" s="1533"/>
      <c r="CQ33" s="1533"/>
      <c r="CR33" s="1533"/>
      <c r="CS33" s="1533"/>
      <c r="CT33" s="1533"/>
      <c r="CU33" s="1533"/>
      <c r="CV33" s="1533"/>
      <c r="CW33" s="1533"/>
      <c r="CX33" s="1533"/>
      <c r="CY33" s="1533"/>
      <c r="CZ33" s="1533"/>
      <c r="DA33" s="1533"/>
      <c r="DB33" s="1533"/>
      <c r="DC33" s="1533"/>
      <c r="DD33" s="1533"/>
      <c r="DE33" s="1533"/>
      <c r="DF33" s="1533"/>
      <c r="DG33" s="1533"/>
      <c r="DH33" s="1533"/>
      <c r="DI33" s="1533"/>
      <c r="DJ33" s="1533"/>
      <c r="DK33" s="1533"/>
      <c r="DL33" s="1533"/>
      <c r="DN33" s="1509"/>
    </row>
    <row r="34" spans="1:118" s="14" customFormat="1" ht="15.75" collapsed="1" x14ac:dyDescent="0.2">
      <c r="A34" s="1534"/>
      <c r="B34" s="1535"/>
      <c r="C34" s="1536"/>
      <c r="D34" s="1537"/>
      <c r="E34" s="1538"/>
      <c r="G34" s="1539"/>
      <c r="H34" s="1539"/>
      <c r="I34" s="1539"/>
      <c r="J34" s="1539"/>
      <c r="K34" s="1539"/>
      <c r="L34" s="1539"/>
      <c r="M34" s="1539"/>
      <c r="N34" s="1539"/>
      <c r="O34" s="1539"/>
      <c r="P34" s="1539"/>
      <c r="Q34" s="1539"/>
      <c r="R34" s="1539"/>
      <c r="S34" s="1539"/>
      <c r="T34" s="1539"/>
      <c r="U34" s="1539"/>
      <c r="V34" s="1539"/>
      <c r="W34" s="1539"/>
      <c r="Y34" s="1490"/>
      <c r="Z34" s="1490"/>
      <c r="AA34" s="1490"/>
      <c r="AB34" s="1490"/>
      <c r="AC34" s="1490"/>
      <c r="AD34" s="1490"/>
      <c r="AE34" s="1490"/>
      <c r="AF34" s="1490"/>
      <c r="AG34" s="1490"/>
      <c r="AH34" s="1490"/>
      <c r="AI34" s="1490"/>
      <c r="AJ34" s="1490"/>
      <c r="AK34" s="1490"/>
      <c r="AL34" s="1490"/>
      <c r="AM34" s="1490"/>
      <c r="AN34" s="1490"/>
      <c r="AO34" s="1490"/>
      <c r="AP34" s="1490"/>
      <c r="AQ34" s="1490"/>
      <c r="AS34" s="1491"/>
      <c r="AT34" s="1491"/>
      <c r="AU34" s="1491"/>
      <c r="AV34" s="1491"/>
      <c r="AW34" s="1491"/>
      <c r="AX34" s="1491"/>
      <c r="AY34" s="1491"/>
      <c r="AZ34" s="1491"/>
      <c r="BA34" s="1491"/>
      <c r="BB34" s="1491"/>
      <c r="BC34" s="1491"/>
      <c r="BD34" s="1491"/>
      <c r="BE34" s="1491"/>
      <c r="BF34" s="1491"/>
      <c r="BG34" s="1491"/>
      <c r="BH34" s="1491"/>
      <c r="BI34" s="1491"/>
      <c r="BJ34" s="1491"/>
      <c r="BK34" s="1491"/>
      <c r="BL34" s="1491"/>
      <c r="BN34" s="1492"/>
      <c r="BO34" s="1492"/>
      <c r="BP34" s="1492"/>
      <c r="BR34" s="3168"/>
      <c r="BS34" s="1493"/>
      <c r="BT34" s="748"/>
      <c r="BU34" s="1508"/>
      <c r="BV34" s="1508"/>
      <c r="BW34" s="1508"/>
      <c r="BX34" s="1508"/>
      <c r="BY34" s="1508"/>
      <c r="BZ34" s="1508"/>
      <c r="CA34" s="1508"/>
      <c r="CB34" s="1508"/>
      <c r="CC34" s="1508"/>
      <c r="CD34" s="1508"/>
      <c r="CE34" s="1508"/>
      <c r="CF34" s="1508"/>
      <c r="CG34" s="1508"/>
      <c r="CH34" s="1508"/>
      <c r="CI34" s="1508"/>
      <c r="CJ34" s="1508"/>
      <c r="CK34" s="1508"/>
      <c r="CL34" s="1508"/>
      <c r="CM34" s="1508"/>
      <c r="CN34" s="1508"/>
      <c r="CO34" s="1508"/>
      <c r="CP34" s="1508"/>
      <c r="CQ34" s="1508"/>
      <c r="CR34" s="1508"/>
      <c r="CS34" s="1508"/>
      <c r="CT34" s="1508"/>
      <c r="CU34" s="1508"/>
      <c r="CV34" s="1508"/>
      <c r="CW34" s="1508"/>
      <c r="CX34" s="1508"/>
      <c r="CY34" s="1508"/>
      <c r="CZ34" s="1508"/>
      <c r="DA34" s="1508"/>
      <c r="DB34" s="1508"/>
      <c r="DC34" s="1508"/>
      <c r="DD34" s="1508"/>
      <c r="DE34" s="1508"/>
      <c r="DF34" s="1508"/>
      <c r="DG34" s="1508"/>
      <c r="DH34" s="1508"/>
      <c r="DI34" s="1508"/>
      <c r="DJ34" s="1508"/>
      <c r="DK34" s="1508"/>
      <c r="DL34" s="1508"/>
      <c r="DN34" s="1509"/>
    </row>
    <row r="35" spans="1:118" s="14" customFormat="1" ht="6" customHeight="1" x14ac:dyDescent="0.2">
      <c r="C35" s="1552"/>
      <c r="D35" s="1537"/>
      <c r="E35" s="1430"/>
      <c r="G35" s="1539"/>
      <c r="H35" s="1539"/>
      <c r="I35" s="1539"/>
      <c r="J35" s="1539"/>
      <c r="K35" s="1539"/>
      <c r="L35" s="1539"/>
      <c r="M35" s="1539"/>
      <c r="N35" s="1539"/>
      <c r="O35" s="1539"/>
      <c r="P35" s="1539"/>
      <c r="Q35" s="1539"/>
      <c r="R35" s="1539"/>
      <c r="S35" s="1539"/>
      <c r="T35" s="1539"/>
      <c r="U35" s="1539"/>
      <c r="V35" s="1539"/>
      <c r="W35" s="1539"/>
      <c r="Y35" s="1490"/>
      <c r="Z35" s="1490"/>
      <c r="AA35" s="1490"/>
      <c r="AB35" s="1490"/>
      <c r="AC35" s="1490"/>
      <c r="AD35" s="1490"/>
      <c r="AE35" s="1490"/>
      <c r="AF35" s="1490"/>
      <c r="AG35" s="1490"/>
      <c r="AH35" s="1490"/>
      <c r="AI35" s="1490"/>
      <c r="AJ35" s="1490"/>
      <c r="AK35" s="1490"/>
      <c r="AL35" s="1490"/>
      <c r="AM35" s="1490"/>
      <c r="AN35" s="1490"/>
      <c r="AO35" s="1490"/>
      <c r="AP35" s="1490"/>
      <c r="AQ35" s="1490"/>
      <c r="AS35" s="1491"/>
      <c r="AT35" s="1491"/>
      <c r="AU35" s="1491"/>
      <c r="AV35" s="1491"/>
      <c r="AW35" s="1491"/>
      <c r="AX35" s="1491"/>
      <c r="AY35" s="1491"/>
      <c r="AZ35" s="1491"/>
      <c r="BA35" s="1491"/>
      <c r="BB35" s="1491"/>
      <c r="BC35" s="1491"/>
      <c r="BD35" s="1491"/>
      <c r="BE35" s="1491"/>
      <c r="BF35" s="1491"/>
      <c r="BG35" s="1491"/>
      <c r="BH35" s="1491"/>
      <c r="BI35" s="1491"/>
      <c r="BJ35" s="1491"/>
      <c r="BK35" s="1491"/>
      <c r="BL35" s="1491"/>
      <c r="BN35" s="1492"/>
      <c r="BO35" s="1492"/>
      <c r="BP35" s="1492"/>
      <c r="BR35" s="3168"/>
      <c r="BS35" s="1493"/>
      <c r="BU35" s="1508"/>
      <c r="BV35" s="1508"/>
      <c r="BW35" s="1508"/>
      <c r="BX35" s="1508"/>
      <c r="BY35" s="1508"/>
      <c r="BZ35" s="1508"/>
      <c r="CA35" s="1508"/>
      <c r="CB35" s="1508"/>
      <c r="CC35" s="1508"/>
      <c r="CD35" s="1508"/>
      <c r="CE35" s="1508"/>
      <c r="CF35" s="1508"/>
      <c r="CG35" s="1508"/>
      <c r="CH35" s="1508"/>
      <c r="CI35" s="1508"/>
      <c r="CJ35" s="1508"/>
      <c r="CK35" s="1508"/>
      <c r="CL35" s="1508"/>
      <c r="CM35" s="1508"/>
      <c r="CN35" s="1508"/>
      <c r="CO35" s="1508"/>
      <c r="CP35" s="1508"/>
      <c r="CQ35" s="1508"/>
      <c r="CR35" s="1508"/>
      <c r="CS35" s="1508"/>
      <c r="CT35" s="1508"/>
      <c r="CU35" s="1508"/>
      <c r="CV35" s="1508"/>
      <c r="CW35" s="1508"/>
      <c r="CX35" s="1508"/>
      <c r="CY35" s="1508"/>
      <c r="CZ35" s="1508"/>
      <c r="DA35" s="1508"/>
      <c r="DB35" s="1508"/>
      <c r="DC35" s="1508"/>
      <c r="DD35" s="1508"/>
      <c r="DE35" s="1508"/>
      <c r="DF35" s="1508"/>
      <c r="DG35" s="1508"/>
      <c r="DH35" s="1508"/>
      <c r="DI35" s="1508"/>
      <c r="DJ35" s="1508"/>
      <c r="DK35" s="1508"/>
      <c r="DL35" s="1508"/>
      <c r="DN35" s="1509"/>
    </row>
    <row r="36" spans="1:118" s="14" customFormat="1" ht="15.75" x14ac:dyDescent="0.2">
      <c r="B36" s="1535"/>
      <c r="C36" s="1553"/>
      <c r="D36" s="1554" t="s">
        <v>916</v>
      </c>
      <c r="E36" s="1555"/>
      <c r="G36" s="1929">
        <f t="shared" ref="G36:V36" ca="1" si="28">G15+G19+G27</f>
        <v>39.634019653836816</v>
      </c>
      <c r="H36" s="1929">
        <f t="shared" ca="1" si="28"/>
        <v>8.3645380195663819</v>
      </c>
      <c r="I36" s="1929">
        <f t="shared" ca="1" si="28"/>
        <v>3.3416651895996683</v>
      </c>
      <c r="J36" s="1929">
        <f t="shared" ca="1" si="28"/>
        <v>11.237069927481432</v>
      </c>
      <c r="K36" s="1929">
        <f t="shared" ca="1" si="28"/>
        <v>4.9700680497493295</v>
      </c>
      <c r="L36" s="1929">
        <f t="shared" ca="1" si="28"/>
        <v>10.232077299260691</v>
      </c>
      <c r="M36" s="1929">
        <f t="shared" ca="1" si="28"/>
        <v>158.67044327209996</v>
      </c>
      <c r="N36" s="1929">
        <f t="shared" ca="1" si="28"/>
        <v>53.655135425366886</v>
      </c>
      <c r="O36" s="1929">
        <f t="shared" ca="1" si="28"/>
        <v>15.2583909925431</v>
      </c>
      <c r="P36" s="1929">
        <f t="shared" ca="1" si="28"/>
        <v>0.35637886442017391</v>
      </c>
      <c r="Q36" s="1929">
        <f t="shared" ca="1" si="28"/>
        <v>3.8565328782808703E-2</v>
      </c>
      <c r="R36" s="1929">
        <f t="shared" ca="1" si="28"/>
        <v>15.986954950981243</v>
      </c>
      <c r="S36" s="1929">
        <f ca="1">S15+S19+S27</f>
        <v>7.6353108271804588</v>
      </c>
      <c r="T36" s="1929">
        <f t="shared" ca="1" si="28"/>
        <v>8.6551662926454114</v>
      </c>
      <c r="U36" s="1929">
        <f t="shared" ca="1" si="28"/>
        <v>6.3131887756425788E-3</v>
      </c>
      <c r="V36" s="1929">
        <f t="shared" ca="1" si="28"/>
        <v>0.30962578524555734</v>
      </c>
      <c r="W36" s="1929">
        <f ca="1">SUM(G36:V36)</f>
        <v>338.35172306753549</v>
      </c>
      <c r="Y36" s="1937">
        <f t="shared" ref="Y36:AP36" ca="1" si="29">Y27+Y19+Y15</f>
        <v>-78.979509560230042</v>
      </c>
      <c r="Z36" s="1937">
        <f t="shared" ca="1" si="29"/>
        <v>0</v>
      </c>
      <c r="AA36" s="1937">
        <f t="shared" ca="1" si="29"/>
        <v>-38.494150091841917</v>
      </c>
      <c r="AB36" s="1937">
        <f t="shared" ca="1" si="29"/>
        <v>-163.59226694346799</v>
      </c>
      <c r="AC36" s="1937">
        <f t="shared" ca="1" si="29"/>
        <v>-46.741385323552933</v>
      </c>
      <c r="AD36" s="1937">
        <f t="shared" ca="1" si="29"/>
        <v>0</v>
      </c>
      <c r="AE36" s="1937">
        <f t="shared" ca="1" si="29"/>
        <v>0</v>
      </c>
      <c r="AF36" s="1937">
        <f t="shared" ca="1" si="29"/>
        <v>0</v>
      </c>
      <c r="AG36" s="1937">
        <f t="shared" ca="1" si="29"/>
        <v>0</v>
      </c>
      <c r="AH36" s="1937">
        <f t="shared" ca="1" si="29"/>
        <v>0</v>
      </c>
      <c r="AI36" s="1937">
        <f t="shared" ca="1" si="29"/>
        <v>0</v>
      </c>
      <c r="AJ36" s="1937">
        <f t="shared" ca="1" si="29"/>
        <v>0</v>
      </c>
      <c r="AK36" s="1937">
        <f t="shared" ca="1" si="29"/>
        <v>0</v>
      </c>
      <c r="AL36" s="1937">
        <f ca="1">AL27+AL19+AL15</f>
        <v>-10.527656185258072</v>
      </c>
      <c r="AM36" s="1937">
        <f t="shared" ca="1" si="29"/>
        <v>0</v>
      </c>
      <c r="AN36" s="1937">
        <f t="shared" ca="1" si="29"/>
        <v>0</v>
      </c>
      <c r="AO36" s="1937">
        <f t="shared" ca="1" si="29"/>
        <v>0</v>
      </c>
      <c r="AP36" s="1937">
        <f t="shared" ca="1" si="29"/>
        <v>0</v>
      </c>
      <c r="AQ36" s="1937">
        <f ca="1">SUM(Y36:AP36)</f>
        <v>-338.33496810435099</v>
      </c>
      <c r="AS36" s="1558">
        <f ca="1">AS15+AS19+AS27</f>
        <v>0</v>
      </c>
      <c r="AT36" s="1558">
        <f t="shared" ref="AT36:BK36" ca="1" si="30">AT15+AT19+AT27</f>
        <v>0</v>
      </c>
      <c r="AU36" s="1558">
        <f t="shared" ca="1" si="30"/>
        <v>0</v>
      </c>
      <c r="AV36" s="1558">
        <f t="shared" ca="1" si="30"/>
        <v>0</v>
      </c>
      <c r="AW36" s="1558">
        <f t="shared" ca="1" si="30"/>
        <v>0</v>
      </c>
      <c r="AX36" s="1558">
        <f t="shared" ca="1" si="30"/>
        <v>0</v>
      </c>
      <c r="AY36" s="1558">
        <f t="shared" ca="1" si="30"/>
        <v>0</v>
      </c>
      <c r="AZ36" s="1558">
        <f t="shared" ca="1" si="30"/>
        <v>0</v>
      </c>
      <c r="BA36" s="1558">
        <f t="shared" ca="1" si="30"/>
        <v>0</v>
      </c>
      <c r="BB36" s="1558">
        <f t="shared" ca="1" si="30"/>
        <v>0</v>
      </c>
      <c r="BC36" s="1558">
        <f t="shared" ca="1" si="30"/>
        <v>-1.6754963184642015E-2</v>
      </c>
      <c r="BD36" s="1558">
        <f t="shared" ca="1" si="30"/>
        <v>0</v>
      </c>
      <c r="BE36" s="1558">
        <f t="shared" ca="1" si="30"/>
        <v>0</v>
      </c>
      <c r="BF36" s="1558">
        <f t="shared" ca="1" si="30"/>
        <v>0</v>
      </c>
      <c r="BG36" s="1558">
        <f t="shared" ca="1" si="30"/>
        <v>0</v>
      </c>
      <c r="BH36" s="1558">
        <f t="shared" ca="1" si="30"/>
        <v>0</v>
      </c>
      <c r="BI36" s="1558">
        <f t="shared" ca="1" si="30"/>
        <v>0</v>
      </c>
      <c r="BJ36" s="1558">
        <f t="shared" ca="1" si="30"/>
        <v>0</v>
      </c>
      <c r="BK36" s="1558">
        <f t="shared" ca="1" si="30"/>
        <v>0</v>
      </c>
      <c r="BL36" s="3166">
        <f ca="1">SUM(AS36:BK36)</f>
        <v>-1.6754963184642015E-2</v>
      </c>
      <c r="BN36" s="1559">
        <f ca="1">BN27+BN19+BN15</f>
        <v>0</v>
      </c>
      <c r="BO36" s="1559">
        <f ca="1">BO27+BO19+BO15</f>
        <v>0</v>
      </c>
      <c r="BP36" s="1505">
        <f ca="1">BN36+BO36</f>
        <v>0</v>
      </c>
      <c r="BR36" s="3168">
        <f ca="1">W36+AQ36+BL36+BP36</f>
        <v>-1.4569595530034007E-13</v>
      </c>
      <c r="BS36" s="1560"/>
      <c r="BU36" s="1561">
        <v>283.37379437292333</v>
      </c>
      <c r="BV36" s="1561">
        <v>0.46829877567433276</v>
      </c>
      <c r="BW36" s="1561">
        <v>3.244610652199623</v>
      </c>
      <c r="BX36" s="1561">
        <v>0</v>
      </c>
      <c r="BY36" s="1561">
        <v>0</v>
      </c>
      <c r="BZ36" s="1561">
        <v>0</v>
      </c>
      <c r="CA36" s="1561">
        <v>0</v>
      </c>
      <c r="CB36" s="1561">
        <v>0</v>
      </c>
      <c r="CC36" s="1561">
        <v>14.39565925511863</v>
      </c>
      <c r="CD36" s="1561">
        <v>0.11288744235152412</v>
      </c>
      <c r="CE36" s="1561">
        <v>2.7624692105907238</v>
      </c>
      <c r="CF36" s="1561">
        <v>10.620296151887526</v>
      </c>
      <c r="CG36" s="1561">
        <v>0</v>
      </c>
      <c r="CH36" s="1561">
        <v>0</v>
      </c>
      <c r="CI36" s="1561">
        <v>0</v>
      </c>
      <c r="CJ36" s="1561">
        <v>0</v>
      </c>
      <c r="CK36" s="1561">
        <v>0</v>
      </c>
      <c r="CL36" s="1561">
        <v>0</v>
      </c>
      <c r="CM36" s="1561">
        <v>0</v>
      </c>
      <c r="CN36" s="1561">
        <v>0</v>
      </c>
      <c r="CO36" s="1561">
        <v>0</v>
      </c>
      <c r="CP36" s="1561">
        <v>0</v>
      </c>
      <c r="CQ36" s="1561">
        <v>0</v>
      </c>
      <c r="CR36" s="1561">
        <v>0</v>
      </c>
      <c r="CS36" s="1561">
        <v>0</v>
      </c>
      <c r="CT36" s="1561">
        <v>0</v>
      </c>
      <c r="CU36" s="1561">
        <v>0</v>
      </c>
      <c r="CV36" s="1561">
        <v>0</v>
      </c>
      <c r="CW36" s="1561">
        <v>0</v>
      </c>
      <c r="CX36" s="1561">
        <v>0</v>
      </c>
      <c r="CY36" s="1561">
        <v>0</v>
      </c>
      <c r="CZ36" s="1561">
        <v>0</v>
      </c>
      <c r="DA36" s="1561">
        <v>51.739539271814301</v>
      </c>
      <c r="DB36" s="1561">
        <v>6.441552213858226E-2</v>
      </c>
      <c r="DC36" s="1561">
        <v>0.93090033050516818</v>
      </c>
      <c r="DD36" s="1561">
        <v>0</v>
      </c>
      <c r="DE36" s="1561">
        <v>0</v>
      </c>
      <c r="DF36" s="1561">
        <v>0</v>
      </c>
      <c r="DG36" s="1561">
        <v>0</v>
      </c>
      <c r="DH36" s="1561">
        <v>0</v>
      </c>
      <c r="DI36" s="1561">
        <v>0</v>
      </c>
      <c r="DJ36" s="1561">
        <v>0</v>
      </c>
      <c r="DK36" s="1561">
        <v>0</v>
      </c>
      <c r="DL36" s="1561">
        <v>0</v>
      </c>
      <c r="DN36" s="1562">
        <v>367.71287098520372</v>
      </c>
    </row>
    <row r="37" spans="1:118" s="14" customFormat="1" ht="6" customHeight="1" x14ac:dyDescent="0.2">
      <c r="C37" s="1430"/>
      <c r="D37" s="1430"/>
      <c r="E37" s="1430"/>
      <c r="G37" s="1488"/>
      <c r="H37" s="1488"/>
      <c r="I37" s="1488"/>
      <c r="J37" s="1488"/>
      <c r="K37" s="1488"/>
      <c r="L37" s="1488"/>
      <c r="M37" s="1488"/>
      <c r="N37" s="1488"/>
      <c r="O37" s="1563"/>
      <c r="P37" s="1488"/>
      <c r="Q37" s="1488"/>
      <c r="R37" s="1488"/>
      <c r="S37" s="1488"/>
      <c r="T37" s="1488"/>
      <c r="U37" s="1488"/>
      <c r="V37" s="1488"/>
      <c r="W37" s="1488"/>
      <c r="Y37" s="1490"/>
      <c r="Z37" s="1490"/>
      <c r="AA37" s="1490"/>
      <c r="AB37" s="1490"/>
      <c r="AC37" s="1490"/>
      <c r="AD37" s="1490"/>
      <c r="AE37" s="1490"/>
      <c r="AF37" s="1490"/>
      <c r="AG37" s="1490"/>
      <c r="AH37" s="1490"/>
      <c r="AI37" s="1490"/>
      <c r="AJ37" s="1490"/>
      <c r="AK37" s="1490"/>
      <c r="AL37" s="1490"/>
      <c r="AM37" s="1490"/>
      <c r="AN37" s="1490"/>
      <c r="AO37" s="1490"/>
      <c r="AP37" s="1490"/>
      <c r="AQ37" s="1490"/>
      <c r="AS37" s="1491"/>
      <c r="AT37" s="1491"/>
      <c r="AU37" s="1491"/>
      <c r="AV37" s="1491"/>
      <c r="AW37" s="1491"/>
      <c r="AX37" s="1491"/>
      <c r="AY37" s="1491"/>
      <c r="AZ37" s="1491"/>
      <c r="BA37" s="1491"/>
      <c r="BB37" s="1491"/>
      <c r="BC37" s="1491"/>
      <c r="BD37" s="1491"/>
      <c r="BE37" s="1491"/>
      <c r="BF37" s="1491"/>
      <c r="BG37" s="1491"/>
      <c r="BH37" s="1491"/>
      <c r="BI37" s="1491"/>
      <c r="BJ37" s="1491"/>
      <c r="BK37" s="1491"/>
      <c r="BL37" s="1491"/>
      <c r="BN37" s="1492"/>
      <c r="BO37" s="1492"/>
      <c r="BP37" s="1492"/>
      <c r="BR37" s="3168"/>
      <c r="BS37" s="1493"/>
      <c r="BU37" s="1508"/>
      <c r="BV37" s="1508"/>
      <c r="BW37" s="1508"/>
      <c r="BX37" s="1508"/>
      <c r="BY37" s="1508"/>
      <c r="BZ37" s="1508"/>
      <c r="CA37" s="1508"/>
      <c r="CB37" s="1508"/>
      <c r="CC37" s="1508"/>
      <c r="CD37" s="1508"/>
      <c r="CE37" s="1508"/>
      <c r="CF37" s="1508"/>
      <c r="CG37" s="1508"/>
      <c r="CH37" s="1508"/>
      <c r="CI37" s="1508"/>
      <c r="CJ37" s="1508"/>
      <c r="CK37" s="1508"/>
      <c r="CL37" s="1508"/>
      <c r="CM37" s="1508"/>
      <c r="CN37" s="1508"/>
      <c r="CO37" s="1508"/>
      <c r="CP37" s="1508"/>
      <c r="CQ37" s="1508"/>
      <c r="CR37" s="1508"/>
      <c r="CS37" s="1508"/>
      <c r="CT37" s="1508"/>
      <c r="CU37" s="1508"/>
      <c r="CV37" s="1508"/>
      <c r="CW37" s="1508"/>
      <c r="CX37" s="1508"/>
      <c r="CY37" s="1508"/>
      <c r="CZ37" s="1508"/>
      <c r="DA37" s="1508"/>
      <c r="DB37" s="1508"/>
      <c r="DC37" s="1508"/>
      <c r="DD37" s="1508"/>
      <c r="DE37" s="1508"/>
      <c r="DF37" s="1508"/>
      <c r="DG37" s="1508"/>
      <c r="DH37" s="1508"/>
      <c r="DI37" s="1508"/>
      <c r="DJ37" s="1508"/>
      <c r="DK37" s="1508"/>
      <c r="DL37" s="1508"/>
      <c r="DN37" s="1509"/>
    </row>
    <row r="38" spans="1:118" s="14" customFormat="1" ht="17.25" customHeight="1" x14ac:dyDescent="0.2">
      <c r="C38" s="1480" t="s">
        <v>404</v>
      </c>
      <c r="D38" s="1430"/>
      <c r="E38" s="1430"/>
      <c r="G38" s="1488"/>
      <c r="H38" s="1488"/>
      <c r="I38" s="1488"/>
      <c r="J38" s="1488"/>
      <c r="K38" s="1488"/>
      <c r="L38" s="1488"/>
      <c r="M38" s="1488"/>
      <c r="N38" s="1488"/>
      <c r="O38" s="1563"/>
      <c r="P38" s="1488"/>
      <c r="Q38" s="1488"/>
      <c r="R38" s="1488"/>
      <c r="S38" s="1488"/>
      <c r="T38" s="1488"/>
      <c r="U38" s="1488"/>
      <c r="V38" s="1488"/>
      <c r="W38" s="1488"/>
      <c r="Y38" s="1490"/>
      <c r="Z38" s="1490"/>
      <c r="AA38" s="1490"/>
      <c r="AB38" s="1490"/>
      <c r="AC38" s="1490"/>
      <c r="AD38" s="1490"/>
      <c r="AE38" s="1490"/>
      <c r="AF38" s="1490"/>
      <c r="AG38" s="1490"/>
      <c r="AH38" s="1490"/>
      <c r="AI38" s="1490"/>
      <c r="AJ38" s="1490"/>
      <c r="AK38" s="1490"/>
      <c r="AL38" s="1490"/>
      <c r="AM38" s="1490"/>
      <c r="AN38" s="1490"/>
      <c r="AO38" s="1490"/>
      <c r="AP38" s="1490"/>
      <c r="AQ38" s="1490"/>
      <c r="AS38" s="1491"/>
      <c r="AT38" s="1491"/>
      <c r="AU38" s="1491"/>
      <c r="AV38" s="1491"/>
      <c r="AW38" s="1491"/>
      <c r="AX38" s="1491"/>
      <c r="AY38" s="1491"/>
      <c r="AZ38" s="1491"/>
      <c r="BA38" s="1491"/>
      <c r="BB38" s="1491"/>
      <c r="BC38" s="1491"/>
      <c r="BD38" s="1491"/>
      <c r="BE38" s="1491"/>
      <c r="BF38" s="1491"/>
      <c r="BG38" s="1491"/>
      <c r="BH38" s="1491"/>
      <c r="BI38" s="1491"/>
      <c r="BJ38" s="1491"/>
      <c r="BK38" s="1491"/>
      <c r="BL38" s="1491"/>
      <c r="BN38" s="1492"/>
      <c r="BO38" s="1492"/>
      <c r="BP38" s="1492"/>
      <c r="BR38" s="3168"/>
      <c r="BS38" s="1493"/>
      <c r="BU38" s="1508"/>
      <c r="BV38" s="1508"/>
      <c r="BW38" s="1508"/>
      <c r="BX38" s="1508"/>
      <c r="BY38" s="1508"/>
      <c r="BZ38" s="1508"/>
      <c r="CA38" s="1508"/>
      <c r="CB38" s="1508"/>
      <c r="CC38" s="1508"/>
      <c r="CD38" s="1508"/>
      <c r="CE38" s="1508"/>
      <c r="CF38" s="1508"/>
      <c r="CG38" s="1508"/>
      <c r="CH38" s="1508"/>
      <c r="CI38" s="1508"/>
      <c r="CJ38" s="1508"/>
      <c r="CK38" s="1508"/>
      <c r="CL38" s="1508"/>
      <c r="CM38" s="1508"/>
      <c r="CN38" s="1508"/>
      <c r="CO38" s="1508"/>
      <c r="CP38" s="1508"/>
      <c r="CQ38" s="1508"/>
      <c r="CR38" s="1508"/>
      <c r="CS38" s="1508"/>
      <c r="CT38" s="1508"/>
      <c r="CU38" s="1508"/>
      <c r="CV38" s="1508"/>
      <c r="CW38" s="1508"/>
      <c r="CX38" s="1508"/>
      <c r="CY38" s="1508"/>
      <c r="CZ38" s="1508"/>
      <c r="DA38" s="1508"/>
      <c r="DB38" s="1508"/>
      <c r="DC38" s="1508"/>
      <c r="DD38" s="1508"/>
      <c r="DE38" s="1508"/>
      <c r="DF38" s="1508"/>
      <c r="DG38" s="1508"/>
      <c r="DH38" s="1508"/>
      <c r="DI38" s="1508"/>
      <c r="DJ38" s="1508"/>
      <c r="DK38" s="1508"/>
      <c r="DL38" s="1508"/>
      <c r="DN38" s="1509"/>
    </row>
    <row r="39" spans="1:118" s="14" customFormat="1" ht="24" hidden="1" customHeight="1" outlineLevel="1" x14ac:dyDescent="0.2">
      <c r="D39" s="1480"/>
      <c r="E39" s="1481"/>
      <c r="G39" s="1482"/>
      <c r="H39" s="1482"/>
      <c r="I39" s="1482"/>
      <c r="J39" s="1482"/>
      <c r="K39" s="1482"/>
      <c r="L39" s="1482"/>
      <c r="M39" s="1482"/>
      <c r="N39" s="1482"/>
      <c r="O39" s="1482"/>
      <c r="P39" s="1482"/>
      <c r="Q39" s="1482"/>
      <c r="R39" s="1482"/>
      <c r="S39" s="1482"/>
      <c r="T39" s="1482"/>
      <c r="U39" s="1482"/>
      <c r="V39" s="1482"/>
      <c r="W39" s="1482"/>
      <c r="Y39" s="1483"/>
      <c r="Z39" s="1483"/>
      <c r="AA39" s="1483"/>
      <c r="AB39" s="1483"/>
      <c r="AC39" s="1483"/>
      <c r="AD39" s="1483"/>
      <c r="AE39" s="1483"/>
      <c r="AF39" s="1483"/>
      <c r="AG39" s="1483"/>
      <c r="AH39" s="1483"/>
      <c r="AI39" s="1483"/>
      <c r="AJ39" s="1483"/>
      <c r="AK39" s="1483"/>
      <c r="AL39" s="1483"/>
      <c r="AM39" s="1483"/>
      <c r="AN39" s="1483"/>
      <c r="AO39" s="1483"/>
      <c r="AP39" s="1483"/>
      <c r="AQ39" s="1483"/>
      <c r="AS39" s="1484"/>
      <c r="AT39" s="1484"/>
      <c r="AU39" s="1484"/>
      <c r="AV39" s="1484"/>
      <c r="AW39" s="1484"/>
      <c r="AX39" s="1484"/>
      <c r="AY39" s="1484"/>
      <c r="AZ39" s="1484"/>
      <c r="BA39" s="1484"/>
      <c r="BB39" s="1484"/>
      <c r="BC39" s="1484"/>
      <c r="BD39" s="1484"/>
      <c r="BE39" s="1484"/>
      <c r="BF39" s="1484"/>
      <c r="BG39" s="1484"/>
      <c r="BH39" s="1484"/>
      <c r="BI39" s="1484"/>
      <c r="BJ39" s="1484"/>
      <c r="BK39" s="1484"/>
      <c r="BL39" s="1484"/>
      <c r="BN39" s="1485"/>
      <c r="BO39" s="1485"/>
      <c r="BP39" s="1485"/>
      <c r="BR39" s="3168">
        <f t="shared" si="12"/>
        <v>0</v>
      </c>
      <c r="BS39" s="1486"/>
      <c r="BU39" s="1508"/>
      <c r="BV39" s="1508"/>
      <c r="BW39" s="1508"/>
      <c r="BX39" s="1508"/>
      <c r="BY39" s="1508"/>
      <c r="BZ39" s="1508"/>
      <c r="CA39" s="1508"/>
      <c r="CB39" s="1508"/>
      <c r="CC39" s="1508"/>
      <c r="CD39" s="1508"/>
      <c r="CE39" s="1508"/>
      <c r="CF39" s="1508"/>
      <c r="CG39" s="1508"/>
      <c r="CH39" s="1508"/>
      <c r="CI39" s="1508"/>
      <c r="CJ39" s="1508"/>
      <c r="CK39" s="1508"/>
      <c r="CL39" s="1508"/>
      <c r="CM39" s="1508"/>
      <c r="CN39" s="1508"/>
      <c r="CO39" s="1508"/>
      <c r="CP39" s="1508"/>
      <c r="CQ39" s="1508"/>
      <c r="CR39" s="1508"/>
      <c r="CS39" s="1508"/>
      <c r="CT39" s="1508"/>
      <c r="CU39" s="1508"/>
      <c r="CV39" s="1508"/>
      <c r="CW39" s="1508"/>
      <c r="CX39" s="1508"/>
      <c r="CY39" s="1508"/>
      <c r="CZ39" s="1508"/>
      <c r="DA39" s="1508"/>
      <c r="DB39" s="1508"/>
      <c r="DC39" s="1508"/>
      <c r="DD39" s="1508"/>
      <c r="DE39" s="1508"/>
      <c r="DF39" s="1508"/>
      <c r="DG39" s="1508"/>
      <c r="DH39" s="1508"/>
      <c r="DI39" s="1508"/>
      <c r="DJ39" s="1508"/>
      <c r="DK39" s="1508"/>
      <c r="DL39" s="1508"/>
      <c r="DN39" s="1509"/>
    </row>
    <row r="40" spans="1:118" s="14" customFormat="1" ht="15.75" hidden="1" customHeight="1" outlineLevel="2" x14ac:dyDescent="0.2">
      <c r="A40" s="1534"/>
      <c r="B40" s="1534"/>
      <c r="C40" s="1544"/>
      <c r="D40" s="1538"/>
      <c r="E40" s="1538"/>
      <c r="G40" s="1488"/>
      <c r="H40" s="1488"/>
      <c r="I40" s="1488"/>
      <c r="J40" s="1488"/>
      <c r="K40" s="1488"/>
      <c r="L40" s="1488"/>
      <c r="M40" s="1488"/>
      <c r="N40" s="1488"/>
      <c r="O40" s="1563"/>
      <c r="P40" s="1488"/>
      <c r="Q40" s="1488"/>
      <c r="R40" s="1488"/>
      <c r="S40" s="1488"/>
      <c r="T40" s="1488"/>
      <c r="U40" s="1488"/>
      <c r="V40" s="1488"/>
      <c r="W40" s="1488"/>
      <c r="Y40" s="1490"/>
      <c r="Z40" s="1490"/>
      <c r="AA40" s="1490"/>
      <c r="AB40" s="1490"/>
      <c r="AC40" s="1490"/>
      <c r="AD40" s="1490"/>
      <c r="AE40" s="1490"/>
      <c r="AF40" s="1490"/>
      <c r="AG40" s="1490"/>
      <c r="AH40" s="1490"/>
      <c r="AI40" s="1490"/>
      <c r="AJ40" s="1490"/>
      <c r="AK40" s="1490"/>
      <c r="AL40" s="1490"/>
      <c r="AM40" s="1490"/>
      <c r="AN40" s="1490"/>
      <c r="AO40" s="1490"/>
      <c r="AP40" s="1490"/>
      <c r="AQ40" s="1490"/>
      <c r="AS40" s="1491"/>
      <c r="AT40" s="1491"/>
      <c r="AU40" s="1491"/>
      <c r="AV40" s="1491"/>
      <c r="AW40" s="1491"/>
      <c r="AX40" s="1491"/>
      <c r="AY40" s="1491"/>
      <c r="AZ40" s="1491"/>
      <c r="BA40" s="1491"/>
      <c r="BB40" s="1491"/>
      <c r="BC40" s="1491"/>
      <c r="BD40" s="1491"/>
      <c r="BE40" s="1491"/>
      <c r="BF40" s="1491"/>
      <c r="BG40" s="1491"/>
      <c r="BH40" s="1491"/>
      <c r="BI40" s="1491"/>
      <c r="BJ40" s="1491"/>
      <c r="BK40" s="1491"/>
      <c r="BL40" s="1491"/>
      <c r="BN40" s="1492"/>
      <c r="BO40" s="1492"/>
      <c r="BP40" s="1492"/>
      <c r="BR40" s="3168">
        <f t="shared" si="12"/>
        <v>0</v>
      </c>
      <c r="BS40" s="1493"/>
      <c r="BT40" s="1534"/>
      <c r="BU40" s="1508"/>
      <c r="BV40" s="1508"/>
      <c r="BW40" s="1508"/>
      <c r="BX40" s="1508"/>
      <c r="BY40" s="1508"/>
      <c r="BZ40" s="1508"/>
      <c r="CA40" s="1508"/>
      <c r="CB40" s="1508"/>
      <c r="CC40" s="1508"/>
      <c r="CD40" s="1508"/>
      <c r="CE40" s="1508"/>
      <c r="CF40" s="1508"/>
      <c r="CG40" s="1508"/>
      <c r="CH40" s="1508"/>
      <c r="CI40" s="1508"/>
      <c r="CJ40" s="1508"/>
      <c r="CK40" s="1508"/>
      <c r="CL40" s="1508"/>
      <c r="CM40" s="1508"/>
      <c r="CN40" s="1508"/>
      <c r="CO40" s="1508"/>
      <c r="CP40" s="1508"/>
      <c r="CQ40" s="1508"/>
      <c r="CR40" s="1508"/>
      <c r="CS40" s="1508"/>
      <c r="CT40" s="1508"/>
      <c r="CU40" s="1508"/>
      <c r="CV40" s="1508"/>
      <c r="CW40" s="1508"/>
      <c r="CX40" s="1508"/>
      <c r="CY40" s="1508"/>
      <c r="CZ40" s="1508"/>
      <c r="DA40" s="1508"/>
      <c r="DB40" s="1508"/>
      <c r="DC40" s="1508"/>
      <c r="DD40" s="1508"/>
      <c r="DE40" s="1508"/>
      <c r="DF40" s="1508"/>
      <c r="DG40" s="1508"/>
      <c r="DH40" s="1508"/>
      <c r="DI40" s="1508"/>
      <c r="DJ40" s="1508"/>
      <c r="DK40" s="1508"/>
      <c r="DL40" s="1508"/>
      <c r="DN40" s="1509"/>
    </row>
    <row r="41" spans="1:118" s="1564" customFormat="1" ht="21" hidden="1" customHeight="1" outlineLevel="2" x14ac:dyDescent="0.2">
      <c r="C41" s="1565" t="s">
        <v>807</v>
      </c>
      <c r="D41" s="1566" t="s">
        <v>808</v>
      </c>
      <c r="E41" s="1566"/>
      <c r="F41" s="1567"/>
      <c r="G41" s="1568"/>
      <c r="H41" s="1568"/>
      <c r="I41" s="1568"/>
      <c r="J41" s="1568"/>
      <c r="K41" s="1568"/>
      <c r="L41" s="1568"/>
      <c r="M41" s="1568"/>
      <c r="N41" s="1568"/>
      <c r="O41" s="1569"/>
      <c r="P41" s="1568"/>
      <c r="Q41" s="1568"/>
      <c r="R41" s="1568"/>
      <c r="S41" s="1568"/>
      <c r="T41" s="1568"/>
      <c r="U41" s="1568"/>
      <c r="V41" s="1568"/>
      <c r="W41" s="1568"/>
      <c r="X41" s="1567"/>
      <c r="Y41" s="1570"/>
      <c r="Z41" s="1570"/>
      <c r="AA41" s="1570"/>
      <c r="AB41" s="1570"/>
      <c r="AC41" s="1570"/>
      <c r="AD41" s="1570"/>
      <c r="AE41" s="1570"/>
      <c r="AF41" s="1570"/>
      <c r="AG41" s="1570"/>
      <c r="AH41" s="1570"/>
      <c r="AI41" s="1570"/>
      <c r="AJ41" s="1570"/>
      <c r="AK41" s="1570"/>
      <c r="AL41" s="1570"/>
      <c r="AM41" s="1570"/>
      <c r="AN41" s="1570"/>
      <c r="AO41" s="1570"/>
      <c r="AP41" s="1570"/>
      <c r="AQ41" s="1570"/>
      <c r="AR41" s="1567"/>
      <c r="AS41" s="1571"/>
      <c r="AT41" s="1571"/>
      <c r="AU41" s="1571"/>
      <c r="AV41" s="1571"/>
      <c r="AW41" s="1571"/>
      <c r="AX41" s="1571"/>
      <c r="AY41" s="1571"/>
      <c r="AZ41" s="1571"/>
      <c r="BA41" s="1571"/>
      <c r="BB41" s="1571"/>
      <c r="BC41" s="1571"/>
      <c r="BD41" s="1571"/>
      <c r="BE41" s="1571"/>
      <c r="BF41" s="1571"/>
      <c r="BG41" s="1571"/>
      <c r="BH41" s="1571"/>
      <c r="BI41" s="1571"/>
      <c r="BJ41" s="1571"/>
      <c r="BK41" s="1571"/>
      <c r="BL41" s="1571"/>
      <c r="BM41" s="1567"/>
      <c r="BN41" s="1572"/>
      <c r="BO41" s="1572"/>
      <c r="BP41" s="1572"/>
      <c r="BQ41" s="1567"/>
      <c r="BR41" s="3168">
        <f t="shared" si="12"/>
        <v>0</v>
      </c>
      <c r="BS41" s="1573"/>
      <c r="BU41" s="1574"/>
      <c r="BV41" s="1574"/>
      <c r="BW41" s="1574"/>
      <c r="BX41" s="1574"/>
      <c r="BY41" s="1574"/>
      <c r="BZ41" s="1574"/>
      <c r="CA41" s="1574"/>
      <c r="CB41" s="1574"/>
      <c r="CC41" s="1574"/>
      <c r="CD41" s="1574"/>
      <c r="CE41" s="1574"/>
      <c r="CF41" s="1574"/>
      <c r="CG41" s="1574"/>
      <c r="CH41" s="1574"/>
      <c r="CI41" s="1574"/>
      <c r="CJ41" s="1574"/>
      <c r="CK41" s="1574"/>
      <c r="CL41" s="1574"/>
      <c r="CM41" s="1574"/>
      <c r="CN41" s="1574"/>
      <c r="CO41" s="1574"/>
      <c r="CP41" s="1574"/>
      <c r="CQ41" s="1574"/>
      <c r="CR41" s="1574"/>
      <c r="CS41" s="1574"/>
      <c r="CT41" s="1574"/>
      <c r="CU41" s="1574"/>
      <c r="CV41" s="1574"/>
      <c r="CW41" s="1574"/>
      <c r="CX41" s="1574"/>
      <c r="CY41" s="1574"/>
      <c r="CZ41" s="1574"/>
      <c r="DA41" s="1574"/>
      <c r="DB41" s="1574"/>
      <c r="DC41" s="1574"/>
      <c r="DD41" s="1574"/>
      <c r="DE41" s="1574"/>
      <c r="DF41" s="1574"/>
      <c r="DG41" s="1574"/>
      <c r="DH41" s="1574"/>
      <c r="DI41" s="1574"/>
      <c r="DJ41" s="1574"/>
      <c r="DK41" s="1574"/>
      <c r="DL41" s="1574"/>
      <c r="DN41" s="1575">
        <v>0</v>
      </c>
    </row>
    <row r="42" spans="1:118" s="14" customFormat="1" ht="25.5" hidden="1" customHeight="1" outlineLevel="2" x14ac:dyDescent="0.2">
      <c r="A42" s="1534"/>
      <c r="B42" s="1534"/>
      <c r="C42" s="1496" t="s">
        <v>78</v>
      </c>
      <c r="D42" s="1526" t="s">
        <v>794</v>
      </c>
      <c r="E42" s="1576"/>
      <c r="G42" s="1540"/>
      <c r="H42" s="1540"/>
      <c r="I42" s="1540"/>
      <c r="J42" s="1540"/>
      <c r="K42" s="1540"/>
      <c r="L42" s="1540"/>
      <c r="M42" s="1540"/>
      <c r="N42" s="1540"/>
      <c r="O42" s="1540"/>
      <c r="P42" s="1540"/>
      <c r="Q42" s="1540"/>
      <c r="R42" s="1540"/>
      <c r="S42" s="1540"/>
      <c r="T42" s="1540"/>
      <c r="U42" s="1540"/>
      <c r="V42" s="1540"/>
      <c r="W42" s="1527"/>
      <c r="Y42" s="1541"/>
      <c r="Z42" s="1541"/>
      <c r="AA42" s="1541"/>
      <c r="AB42" s="1541"/>
      <c r="AC42" s="1541"/>
      <c r="AD42" s="1541"/>
      <c r="AE42" s="1541"/>
      <c r="AF42" s="1541"/>
      <c r="AG42" s="1541"/>
      <c r="AH42" s="1541"/>
      <c r="AI42" s="1541"/>
      <c r="AJ42" s="1541"/>
      <c r="AK42" s="1541"/>
      <c r="AL42" s="1541"/>
      <c r="AM42" s="1541"/>
      <c r="AN42" s="1541"/>
      <c r="AO42" s="1541"/>
      <c r="AP42" s="1541"/>
      <c r="AQ42" s="1528"/>
      <c r="AS42" s="1542"/>
      <c r="AT42" s="1542"/>
      <c r="AU42" s="1542"/>
      <c r="AV42" s="1542"/>
      <c r="AW42" s="1542"/>
      <c r="AX42" s="1542"/>
      <c r="AY42" s="1542"/>
      <c r="AZ42" s="1542"/>
      <c r="BA42" s="1542"/>
      <c r="BB42" s="1542"/>
      <c r="BC42" s="1542"/>
      <c r="BD42" s="1542"/>
      <c r="BE42" s="1542"/>
      <c r="BF42" s="1542"/>
      <c r="BG42" s="1542"/>
      <c r="BH42" s="1542"/>
      <c r="BI42" s="1542"/>
      <c r="BJ42" s="1542"/>
      <c r="BK42" s="1542"/>
      <c r="BL42" s="1530"/>
      <c r="BN42" s="1543"/>
      <c r="BO42" s="1543"/>
      <c r="BP42" s="1531"/>
      <c r="BR42" s="3168">
        <f t="shared" si="12"/>
        <v>0</v>
      </c>
      <c r="BS42" s="1493"/>
      <c r="BT42" s="748"/>
      <c r="BU42" s="1532">
        <v>0</v>
      </c>
      <c r="BV42" s="1533">
        <v>0</v>
      </c>
      <c r="BW42" s="1533">
        <v>0</v>
      </c>
      <c r="BX42" s="1533">
        <v>0</v>
      </c>
      <c r="BY42" s="1533">
        <v>0</v>
      </c>
      <c r="BZ42" s="1533">
        <v>0</v>
      </c>
      <c r="CA42" s="1533">
        <v>0</v>
      </c>
      <c r="CB42" s="1533">
        <v>0</v>
      </c>
      <c r="CC42" s="1533">
        <v>0</v>
      </c>
      <c r="CD42" s="1533">
        <v>0</v>
      </c>
      <c r="CE42" s="1533">
        <v>0</v>
      </c>
      <c r="CF42" s="1533">
        <v>0</v>
      </c>
      <c r="CG42" s="1533">
        <v>0</v>
      </c>
      <c r="CH42" s="1533">
        <v>0</v>
      </c>
      <c r="CI42" s="1533">
        <v>0</v>
      </c>
      <c r="CJ42" s="1533">
        <v>0</v>
      </c>
      <c r="CK42" s="1533">
        <v>0</v>
      </c>
      <c r="CL42" s="1533">
        <v>0</v>
      </c>
      <c r="CM42" s="1533">
        <v>0</v>
      </c>
      <c r="CN42" s="1533">
        <v>0</v>
      </c>
      <c r="CO42" s="1533">
        <v>0</v>
      </c>
      <c r="CP42" s="1533">
        <v>0</v>
      </c>
      <c r="CQ42" s="1533">
        <v>0</v>
      </c>
      <c r="CR42" s="1533">
        <v>0</v>
      </c>
      <c r="CS42" s="1533">
        <v>0</v>
      </c>
      <c r="CT42" s="1533">
        <v>0</v>
      </c>
      <c r="CU42" s="1533">
        <v>0</v>
      </c>
      <c r="CV42" s="1533">
        <v>0</v>
      </c>
      <c r="CW42" s="1533">
        <v>0</v>
      </c>
      <c r="CX42" s="1533">
        <v>0</v>
      </c>
      <c r="CY42" s="1533">
        <v>0</v>
      </c>
      <c r="CZ42" s="1533">
        <v>0</v>
      </c>
      <c r="DA42" s="1533">
        <v>0</v>
      </c>
      <c r="DB42" s="1533">
        <v>0</v>
      </c>
      <c r="DC42" s="1533">
        <v>0</v>
      </c>
      <c r="DD42" s="1533">
        <v>0</v>
      </c>
      <c r="DE42" s="1533">
        <v>0</v>
      </c>
      <c r="DF42" s="1533">
        <v>0</v>
      </c>
      <c r="DG42" s="1533">
        <v>0</v>
      </c>
      <c r="DH42" s="1533">
        <v>0</v>
      </c>
      <c r="DI42" s="1533">
        <v>0</v>
      </c>
      <c r="DJ42" s="1533">
        <v>0</v>
      </c>
      <c r="DK42" s="1533">
        <v>0</v>
      </c>
      <c r="DL42" s="1533">
        <v>0</v>
      </c>
      <c r="DN42" s="1509"/>
    </row>
    <row r="43" spans="1:118" s="14" customFormat="1" ht="15.75" hidden="1" outlineLevel="1" collapsed="1" x14ac:dyDescent="0.2">
      <c r="A43" s="1845"/>
      <c r="B43" s="1846"/>
      <c r="C43" s="1842"/>
      <c r="D43" s="1843"/>
      <c r="E43" s="1844"/>
      <c r="G43" s="1539"/>
      <c r="H43" s="1539"/>
      <c r="I43" s="1539"/>
      <c r="J43" s="1539"/>
      <c r="K43" s="1539"/>
      <c r="L43" s="1539"/>
      <c r="M43" s="1539"/>
      <c r="N43" s="1539"/>
      <c r="O43" s="1539"/>
      <c r="P43" s="1539"/>
      <c r="Q43" s="1539"/>
      <c r="R43" s="1539"/>
      <c r="S43" s="1539"/>
      <c r="T43" s="1539"/>
      <c r="U43" s="1539"/>
      <c r="V43" s="1539"/>
      <c r="W43" s="1539"/>
      <c r="Y43" s="1490"/>
      <c r="Z43" s="1490"/>
      <c r="AA43" s="1490"/>
      <c r="AB43" s="1490"/>
      <c r="AC43" s="1490"/>
      <c r="AD43" s="1490"/>
      <c r="AE43" s="1490"/>
      <c r="AF43" s="1490"/>
      <c r="AG43" s="1490"/>
      <c r="AH43" s="1490"/>
      <c r="AI43" s="1490"/>
      <c r="AJ43" s="1490"/>
      <c r="AK43" s="1490"/>
      <c r="AL43" s="1490"/>
      <c r="AM43" s="1490"/>
      <c r="AN43" s="1490"/>
      <c r="AO43" s="1490"/>
      <c r="AP43" s="1490"/>
      <c r="AQ43" s="1490"/>
      <c r="AS43" s="1491"/>
      <c r="AT43" s="1491"/>
      <c r="AU43" s="1491"/>
      <c r="AV43" s="1491"/>
      <c r="AW43" s="1491"/>
      <c r="AX43" s="1491"/>
      <c r="AY43" s="1491"/>
      <c r="AZ43" s="1491"/>
      <c r="BA43" s="1491"/>
      <c r="BB43" s="1491"/>
      <c r="BC43" s="1491"/>
      <c r="BD43" s="1491"/>
      <c r="BE43" s="1491"/>
      <c r="BF43" s="1491"/>
      <c r="BG43" s="1491"/>
      <c r="BH43" s="1491"/>
      <c r="BI43" s="1491"/>
      <c r="BJ43" s="1491"/>
      <c r="BK43" s="1491"/>
      <c r="BL43" s="1491"/>
      <c r="BN43" s="1492"/>
      <c r="BO43" s="1492"/>
      <c r="BP43" s="1492"/>
      <c r="BR43" s="3168">
        <f t="shared" si="12"/>
        <v>0</v>
      </c>
      <c r="BS43" s="1493"/>
      <c r="BT43" s="748"/>
      <c r="BU43" s="1508"/>
      <c r="BV43" s="1508"/>
      <c r="BW43" s="1508"/>
      <c r="BX43" s="1508"/>
      <c r="BY43" s="1508"/>
      <c r="BZ43" s="1508"/>
      <c r="CA43" s="1508"/>
      <c r="CB43" s="1508"/>
      <c r="CC43" s="1508"/>
      <c r="CD43" s="1508"/>
      <c r="CE43" s="1508"/>
      <c r="CF43" s="1508"/>
      <c r="CG43" s="1508"/>
      <c r="CH43" s="1508"/>
      <c r="CI43" s="1508"/>
      <c r="CJ43" s="1508"/>
      <c r="CK43" s="1508"/>
      <c r="CL43" s="1508"/>
      <c r="CM43" s="1508"/>
      <c r="CN43" s="1508"/>
      <c r="CO43" s="1508"/>
      <c r="CP43" s="1508"/>
      <c r="CQ43" s="1508"/>
      <c r="CR43" s="1508"/>
      <c r="CS43" s="1508"/>
      <c r="CT43" s="1508"/>
      <c r="CU43" s="1508"/>
      <c r="CV43" s="1508"/>
      <c r="CW43" s="1508"/>
      <c r="CX43" s="1508"/>
      <c r="CY43" s="1508"/>
      <c r="CZ43" s="1508"/>
      <c r="DA43" s="1508"/>
      <c r="DB43" s="1508"/>
      <c r="DC43" s="1508"/>
      <c r="DD43" s="1508"/>
      <c r="DE43" s="1508"/>
      <c r="DF43" s="1508"/>
      <c r="DG43" s="1508"/>
      <c r="DH43" s="1508"/>
      <c r="DI43" s="1508"/>
      <c r="DJ43" s="1508"/>
      <c r="DK43" s="1508"/>
      <c r="DL43" s="1508"/>
      <c r="DN43" s="1509"/>
    </row>
    <row r="44" spans="1:118" s="14" customFormat="1" ht="15.75" hidden="1" customHeight="1" outlineLevel="2" x14ac:dyDescent="0.2">
      <c r="A44" s="1534"/>
      <c r="B44" s="1534"/>
      <c r="C44" s="1544"/>
      <c r="D44" s="1538"/>
      <c r="E44" s="1538"/>
      <c r="G44" s="1488"/>
      <c r="H44" s="1488"/>
      <c r="I44" s="1488"/>
      <c r="J44" s="1488"/>
      <c r="K44" s="1488"/>
      <c r="L44" s="1488"/>
      <c r="M44" s="1488"/>
      <c r="N44" s="1488"/>
      <c r="O44" s="1563"/>
      <c r="P44" s="1488"/>
      <c r="Q44" s="1488"/>
      <c r="R44" s="1488"/>
      <c r="S44" s="1488"/>
      <c r="T44" s="1488"/>
      <c r="U44" s="1488"/>
      <c r="V44" s="1488"/>
      <c r="W44" s="1488"/>
      <c r="Y44" s="1490"/>
      <c r="Z44" s="1490"/>
      <c r="AA44" s="1490"/>
      <c r="AB44" s="1490"/>
      <c r="AC44" s="1490"/>
      <c r="AD44" s="1490"/>
      <c r="AE44" s="1490"/>
      <c r="AF44" s="1490"/>
      <c r="AG44" s="1490"/>
      <c r="AH44" s="1490"/>
      <c r="AI44" s="1490"/>
      <c r="AJ44" s="1490"/>
      <c r="AK44" s="1490"/>
      <c r="AL44" s="1490"/>
      <c r="AM44" s="1490"/>
      <c r="AN44" s="1490"/>
      <c r="AO44" s="1490"/>
      <c r="AP44" s="1490"/>
      <c r="AQ44" s="1490"/>
      <c r="AS44" s="1491"/>
      <c r="AT44" s="1491"/>
      <c r="AU44" s="1491"/>
      <c r="AV44" s="1491"/>
      <c r="AW44" s="1491"/>
      <c r="AX44" s="1491"/>
      <c r="AY44" s="1491"/>
      <c r="AZ44" s="1491"/>
      <c r="BA44" s="1491"/>
      <c r="BB44" s="1491"/>
      <c r="BC44" s="1491"/>
      <c r="BD44" s="1491"/>
      <c r="BE44" s="1491"/>
      <c r="BF44" s="1491"/>
      <c r="BG44" s="1491"/>
      <c r="BH44" s="1491"/>
      <c r="BI44" s="1491"/>
      <c r="BJ44" s="1491"/>
      <c r="BK44" s="1491"/>
      <c r="BL44" s="1491"/>
      <c r="BN44" s="1492"/>
      <c r="BO44" s="1492"/>
      <c r="BP44" s="1492"/>
      <c r="BR44" s="3168">
        <f t="shared" si="12"/>
        <v>0</v>
      </c>
      <c r="BS44" s="1493"/>
      <c r="BT44" s="1534"/>
      <c r="BU44" s="1508"/>
      <c r="BV44" s="1508"/>
      <c r="BW44" s="1508"/>
      <c r="BX44" s="1508"/>
      <c r="BY44" s="1508"/>
      <c r="BZ44" s="1508"/>
      <c r="CA44" s="1508"/>
      <c r="CB44" s="1508"/>
      <c r="CC44" s="1508"/>
      <c r="CD44" s="1508"/>
      <c r="CE44" s="1508"/>
      <c r="CF44" s="1508"/>
      <c r="CG44" s="1508"/>
      <c r="CH44" s="1508"/>
      <c r="CI44" s="1508"/>
      <c r="CJ44" s="1508"/>
      <c r="CK44" s="1508"/>
      <c r="CL44" s="1508"/>
      <c r="CM44" s="1508"/>
      <c r="CN44" s="1508"/>
      <c r="CO44" s="1508"/>
      <c r="CP44" s="1508"/>
      <c r="CQ44" s="1508"/>
      <c r="CR44" s="1508"/>
      <c r="CS44" s="1508"/>
      <c r="CT44" s="1508"/>
      <c r="CU44" s="1508"/>
      <c r="CV44" s="1508"/>
      <c r="CW44" s="1508"/>
      <c r="CX44" s="1508"/>
      <c r="CY44" s="1508"/>
      <c r="CZ44" s="1508"/>
      <c r="DA44" s="1508"/>
      <c r="DB44" s="1508"/>
      <c r="DC44" s="1508"/>
      <c r="DD44" s="1508"/>
      <c r="DE44" s="1508"/>
      <c r="DF44" s="1508"/>
      <c r="DG44" s="1508"/>
      <c r="DH44" s="1508"/>
      <c r="DI44" s="1508"/>
      <c r="DJ44" s="1508"/>
      <c r="DK44" s="1508"/>
      <c r="DL44" s="1508"/>
      <c r="DN44" s="1509"/>
    </row>
    <row r="45" spans="1:118" s="14" customFormat="1" ht="11.25" hidden="1" customHeight="1" outlineLevel="2" x14ac:dyDescent="0.2">
      <c r="A45" s="1522"/>
      <c r="B45" s="1522"/>
      <c r="C45" s="1577"/>
      <c r="D45" s="1497"/>
      <c r="E45" s="1497"/>
      <c r="G45" s="1498"/>
      <c r="H45" s="1498"/>
      <c r="I45" s="1498"/>
      <c r="J45" s="1498"/>
      <c r="K45" s="1498"/>
      <c r="L45" s="1498"/>
      <c r="M45" s="1498"/>
      <c r="N45" s="1498"/>
      <c r="O45" s="1498"/>
      <c r="P45" s="1498"/>
      <c r="Q45" s="1498"/>
      <c r="R45" s="1498"/>
      <c r="S45" s="1498"/>
      <c r="T45" s="1498"/>
      <c r="U45" s="1498"/>
      <c r="V45" s="1498"/>
      <c r="W45" s="1499"/>
      <c r="Y45" s="1500"/>
      <c r="Z45" s="1500"/>
      <c r="AA45" s="1500"/>
      <c r="AB45" s="1500"/>
      <c r="AC45" s="1500"/>
      <c r="AD45" s="1500"/>
      <c r="AE45" s="1500"/>
      <c r="AF45" s="1500"/>
      <c r="AG45" s="1500"/>
      <c r="AH45" s="1500"/>
      <c r="AI45" s="1500"/>
      <c r="AJ45" s="1500"/>
      <c r="AK45" s="1500"/>
      <c r="AL45" s="1500"/>
      <c r="AM45" s="1500"/>
      <c r="AN45" s="1500"/>
      <c r="AO45" s="1500"/>
      <c r="AP45" s="1500"/>
      <c r="AQ45" s="1501"/>
      <c r="AS45" s="1502"/>
      <c r="AT45" s="1502"/>
      <c r="AU45" s="1502"/>
      <c r="AV45" s="1502"/>
      <c r="AW45" s="1502"/>
      <c r="AX45" s="1502"/>
      <c r="AY45" s="1502"/>
      <c r="AZ45" s="1502"/>
      <c r="BA45" s="1502"/>
      <c r="BB45" s="1502"/>
      <c r="BC45" s="1502"/>
      <c r="BD45" s="1502"/>
      <c r="BE45" s="1502"/>
      <c r="BF45" s="1502"/>
      <c r="BG45" s="1502"/>
      <c r="BH45" s="1502"/>
      <c r="BI45" s="1502"/>
      <c r="BJ45" s="1502"/>
      <c r="BK45" s="1502"/>
      <c r="BL45" s="1524"/>
      <c r="BN45" s="1504"/>
      <c r="BO45" s="1504"/>
      <c r="BP45" s="1505"/>
      <c r="BR45" s="3168">
        <f t="shared" si="12"/>
        <v>0</v>
      </c>
      <c r="BS45" s="1525"/>
      <c r="BT45" s="748"/>
      <c r="BU45" s="1507"/>
      <c r="BV45" s="1508"/>
      <c r="BW45" s="1508"/>
      <c r="BX45" s="1508"/>
      <c r="BY45" s="1508"/>
      <c r="BZ45" s="1508"/>
      <c r="CA45" s="1508"/>
      <c r="CB45" s="1508"/>
      <c r="CC45" s="1508"/>
      <c r="CD45" s="1508"/>
      <c r="CE45" s="1508"/>
      <c r="CF45" s="1508"/>
      <c r="CG45" s="1508"/>
      <c r="CH45" s="1508"/>
      <c r="CI45" s="1508"/>
      <c r="CJ45" s="1508"/>
      <c r="CK45" s="1508"/>
      <c r="CL45" s="1508"/>
      <c r="CM45" s="1508"/>
      <c r="CN45" s="1508"/>
      <c r="CO45" s="1508"/>
      <c r="CP45" s="1508"/>
      <c r="CQ45" s="1508"/>
      <c r="CR45" s="1508"/>
      <c r="CS45" s="1508"/>
      <c r="CT45" s="1508"/>
      <c r="CU45" s="1508"/>
      <c r="CV45" s="1508"/>
      <c r="CW45" s="1508"/>
      <c r="CX45" s="1508"/>
      <c r="CY45" s="1508"/>
      <c r="CZ45" s="1508"/>
      <c r="DA45" s="1508"/>
      <c r="DB45" s="1508"/>
      <c r="DC45" s="1508"/>
      <c r="DD45" s="1508"/>
      <c r="DE45" s="1508"/>
      <c r="DF45" s="1508"/>
      <c r="DG45" s="1508"/>
      <c r="DH45" s="1508"/>
      <c r="DI45" s="1508"/>
      <c r="DJ45" s="1508"/>
      <c r="DK45" s="1508"/>
      <c r="DL45" s="1508"/>
      <c r="DN45" s="1509"/>
    </row>
    <row r="46" spans="1:118" s="14" customFormat="1" ht="16.5" hidden="1" customHeight="1" outlineLevel="2" x14ac:dyDescent="0.2">
      <c r="A46" s="1522"/>
      <c r="B46" s="1522"/>
      <c r="C46" s="1577"/>
      <c r="D46" s="1526"/>
      <c r="E46" s="1526"/>
      <c r="G46" s="1540"/>
      <c r="H46" s="1540"/>
      <c r="I46" s="1540"/>
      <c r="J46" s="1540"/>
      <c r="K46" s="1540"/>
      <c r="L46" s="1540"/>
      <c r="M46" s="1540"/>
      <c r="N46" s="1540"/>
      <c r="O46" s="1540"/>
      <c r="P46" s="1540"/>
      <c r="Q46" s="1540"/>
      <c r="R46" s="1540"/>
      <c r="S46" s="1540"/>
      <c r="T46" s="1540"/>
      <c r="U46" s="1540"/>
      <c r="V46" s="1540"/>
      <c r="W46" s="1527"/>
      <c r="Y46" s="1541"/>
      <c r="Z46" s="1541"/>
      <c r="AA46" s="1541"/>
      <c r="AB46" s="1541"/>
      <c r="AC46" s="1541"/>
      <c r="AD46" s="1541"/>
      <c r="AE46" s="1541"/>
      <c r="AF46" s="1541"/>
      <c r="AG46" s="1541"/>
      <c r="AH46" s="1541"/>
      <c r="AI46" s="1541"/>
      <c r="AJ46" s="1541"/>
      <c r="AK46" s="1541"/>
      <c r="AL46" s="1541"/>
      <c r="AM46" s="1541"/>
      <c r="AN46" s="1541"/>
      <c r="AO46" s="1541"/>
      <c r="AP46" s="1541"/>
      <c r="AQ46" s="1528"/>
      <c r="AS46" s="1542"/>
      <c r="AT46" s="1542"/>
      <c r="AU46" s="1542"/>
      <c r="AV46" s="1542"/>
      <c r="AW46" s="1542"/>
      <c r="AX46" s="1542"/>
      <c r="AY46" s="1542"/>
      <c r="AZ46" s="1542"/>
      <c r="BA46" s="1542"/>
      <c r="BB46" s="1542"/>
      <c r="BC46" s="1542"/>
      <c r="BD46" s="1542"/>
      <c r="BE46" s="1542"/>
      <c r="BF46" s="1542"/>
      <c r="BG46" s="1542"/>
      <c r="BH46" s="1542"/>
      <c r="BI46" s="1542"/>
      <c r="BJ46" s="1542"/>
      <c r="BK46" s="1542"/>
      <c r="BL46" s="1530"/>
      <c r="BN46" s="1543"/>
      <c r="BO46" s="1543"/>
      <c r="BP46" s="1531"/>
      <c r="BR46" s="3168">
        <f t="shared" si="12"/>
        <v>0</v>
      </c>
      <c r="BS46" s="1525"/>
      <c r="BT46" s="748"/>
      <c r="BU46" s="1532"/>
      <c r="BV46" s="1533"/>
      <c r="BW46" s="1533"/>
      <c r="BX46" s="1533"/>
      <c r="BY46" s="1533"/>
      <c r="BZ46" s="1533"/>
      <c r="CA46" s="1533"/>
      <c r="CB46" s="1533"/>
      <c r="CC46" s="1533"/>
      <c r="CD46" s="1533"/>
      <c r="CE46" s="1533"/>
      <c r="CF46" s="1533"/>
      <c r="CG46" s="1533"/>
      <c r="CH46" s="1533"/>
      <c r="CI46" s="1533"/>
      <c r="CJ46" s="1533"/>
      <c r="CK46" s="1533"/>
      <c r="CL46" s="1533"/>
      <c r="CM46" s="1533"/>
      <c r="CN46" s="1533"/>
      <c r="CO46" s="1533"/>
      <c r="CP46" s="1533"/>
      <c r="CQ46" s="1533"/>
      <c r="CR46" s="1533"/>
      <c r="CS46" s="1533"/>
      <c r="CT46" s="1533"/>
      <c r="CU46" s="1533"/>
      <c r="CV46" s="1533"/>
      <c r="CW46" s="1533"/>
      <c r="CX46" s="1533"/>
      <c r="CY46" s="1533"/>
      <c r="CZ46" s="1533"/>
      <c r="DA46" s="1533"/>
      <c r="DB46" s="1533"/>
      <c r="DC46" s="1533"/>
      <c r="DD46" s="1533"/>
      <c r="DE46" s="1533"/>
      <c r="DF46" s="1533"/>
      <c r="DG46" s="1533"/>
      <c r="DH46" s="1533"/>
      <c r="DI46" s="1533"/>
      <c r="DJ46" s="1533"/>
      <c r="DK46" s="1533"/>
      <c r="DL46" s="1533"/>
      <c r="DN46" s="1509"/>
    </row>
    <row r="47" spans="1:118" s="14" customFormat="1" ht="15.75" hidden="1" outlineLevel="1" collapsed="1" x14ac:dyDescent="0.2">
      <c r="A47" s="1845"/>
      <c r="B47" s="1847"/>
      <c r="C47" s="1842"/>
      <c r="D47" s="1843"/>
      <c r="E47" s="1844"/>
      <c r="G47" s="1539"/>
      <c r="H47" s="1539"/>
      <c r="I47" s="1539"/>
      <c r="J47" s="1539"/>
      <c r="K47" s="1539"/>
      <c r="L47" s="1539"/>
      <c r="M47" s="1539"/>
      <c r="N47" s="1539"/>
      <c r="O47" s="1539"/>
      <c r="P47" s="1539"/>
      <c r="Q47" s="1539"/>
      <c r="R47" s="1539"/>
      <c r="S47" s="1539"/>
      <c r="T47" s="1539"/>
      <c r="U47" s="1539"/>
      <c r="V47" s="1539"/>
      <c r="W47" s="1539"/>
      <c r="Y47" s="1490"/>
      <c r="Z47" s="1490"/>
      <c r="AA47" s="1490"/>
      <c r="AB47" s="1490"/>
      <c r="AC47" s="1490"/>
      <c r="AD47" s="1490"/>
      <c r="AE47" s="1490"/>
      <c r="AF47" s="1490"/>
      <c r="AG47" s="1490"/>
      <c r="AH47" s="1490"/>
      <c r="AI47" s="1490"/>
      <c r="AJ47" s="1490"/>
      <c r="AK47" s="1490"/>
      <c r="AL47" s="1490"/>
      <c r="AM47" s="1490"/>
      <c r="AN47" s="1490"/>
      <c r="AO47" s="1490"/>
      <c r="AP47" s="1490"/>
      <c r="AQ47" s="1490"/>
      <c r="AS47" s="1491"/>
      <c r="AT47" s="1491"/>
      <c r="AU47" s="1491"/>
      <c r="AV47" s="1491"/>
      <c r="AW47" s="1491"/>
      <c r="AX47" s="1491"/>
      <c r="AY47" s="1491"/>
      <c r="AZ47" s="1491"/>
      <c r="BA47" s="1491"/>
      <c r="BB47" s="1491"/>
      <c r="BC47" s="1491"/>
      <c r="BD47" s="1491"/>
      <c r="BE47" s="1491"/>
      <c r="BF47" s="1491"/>
      <c r="BG47" s="1491"/>
      <c r="BH47" s="1491"/>
      <c r="BI47" s="1491"/>
      <c r="BJ47" s="1491"/>
      <c r="BK47" s="1491"/>
      <c r="BL47" s="1491"/>
      <c r="BN47" s="1492"/>
      <c r="BO47" s="1492"/>
      <c r="BP47" s="1492"/>
      <c r="BR47" s="3168">
        <f t="shared" si="12"/>
        <v>0</v>
      </c>
      <c r="BS47" s="1579"/>
      <c r="BT47" s="748"/>
      <c r="BU47" s="1507"/>
      <c r="BV47" s="1508"/>
      <c r="BW47" s="1508"/>
      <c r="BX47" s="1508"/>
      <c r="BY47" s="1508"/>
      <c r="BZ47" s="1508"/>
      <c r="CA47" s="1508"/>
      <c r="CB47" s="1508"/>
      <c r="CC47" s="1508"/>
      <c r="CD47" s="1508"/>
      <c r="CE47" s="1508"/>
      <c r="CF47" s="1508"/>
      <c r="CG47" s="1508"/>
      <c r="CH47" s="1508"/>
      <c r="CI47" s="1508"/>
      <c r="CJ47" s="1508"/>
      <c r="CK47" s="1508"/>
      <c r="CL47" s="1508"/>
      <c r="CM47" s="1508"/>
      <c r="CN47" s="1508"/>
      <c r="CO47" s="1508"/>
      <c r="CP47" s="1508"/>
      <c r="CQ47" s="1508"/>
      <c r="CR47" s="1508"/>
      <c r="CS47" s="1508"/>
      <c r="CT47" s="1508"/>
      <c r="CU47" s="1508"/>
      <c r="CV47" s="1508"/>
      <c r="CW47" s="1508"/>
      <c r="CX47" s="1508"/>
      <c r="CY47" s="1508"/>
      <c r="CZ47" s="1508"/>
      <c r="DA47" s="1508"/>
      <c r="DB47" s="1508"/>
      <c r="DC47" s="1508"/>
      <c r="DD47" s="1508"/>
      <c r="DE47" s="1508"/>
      <c r="DF47" s="1508"/>
      <c r="DG47" s="1508"/>
      <c r="DH47" s="1508"/>
      <c r="DI47" s="1508"/>
      <c r="DJ47" s="1508"/>
      <c r="DK47" s="1508"/>
      <c r="DL47" s="1508"/>
      <c r="DN47" s="1509"/>
    </row>
    <row r="48" spans="1:118" s="14" customFormat="1" ht="15.75" collapsed="1" x14ac:dyDescent="0.2">
      <c r="A48" s="1845"/>
      <c r="B48" s="1847"/>
      <c r="C48" s="1842"/>
      <c r="D48" s="1843"/>
      <c r="E48" s="1844"/>
      <c r="G48" s="1539"/>
      <c r="H48" s="1539"/>
      <c r="I48" s="1539"/>
      <c r="J48" s="1539"/>
      <c r="K48" s="1539"/>
      <c r="L48" s="1539"/>
      <c r="M48" s="1539"/>
      <c r="N48" s="1539"/>
      <c r="O48" s="1539"/>
      <c r="P48" s="1539"/>
      <c r="Q48" s="1539"/>
      <c r="R48" s="1539"/>
      <c r="S48" s="1539"/>
      <c r="T48" s="1539"/>
      <c r="U48" s="1539"/>
      <c r="V48" s="1539"/>
      <c r="W48" s="1539"/>
      <c r="Y48" s="1490"/>
      <c r="Z48" s="1490"/>
      <c r="AA48" s="1490"/>
      <c r="AB48" s="1490"/>
      <c r="AC48" s="1490"/>
      <c r="AD48" s="1490"/>
      <c r="AE48" s="1490"/>
      <c r="AF48" s="1490"/>
      <c r="AG48" s="1490"/>
      <c r="AH48" s="1490"/>
      <c r="AI48" s="1490"/>
      <c r="AJ48" s="1490"/>
      <c r="AK48" s="1490"/>
      <c r="AL48" s="1490"/>
      <c r="AM48" s="1490"/>
      <c r="AN48" s="1490"/>
      <c r="AO48" s="1490"/>
      <c r="AP48" s="1490"/>
      <c r="AQ48" s="1490"/>
      <c r="AS48" s="1491"/>
      <c r="AT48" s="1491"/>
      <c r="AU48" s="1491"/>
      <c r="AV48" s="1491"/>
      <c r="AW48" s="1491"/>
      <c r="AX48" s="1491"/>
      <c r="AY48" s="1491"/>
      <c r="AZ48" s="1491"/>
      <c r="BA48" s="1491"/>
      <c r="BB48" s="1491"/>
      <c r="BC48" s="1491"/>
      <c r="BD48" s="1491"/>
      <c r="BE48" s="1491"/>
      <c r="BF48" s="1491"/>
      <c r="BG48" s="1491"/>
      <c r="BH48" s="1491"/>
      <c r="BI48" s="1491"/>
      <c r="BJ48" s="1491"/>
      <c r="BK48" s="1491"/>
      <c r="BL48" s="1491"/>
      <c r="BN48" s="1492"/>
      <c r="BO48" s="1492"/>
      <c r="BP48" s="1492"/>
      <c r="BR48" s="3168"/>
      <c r="BS48" s="1579"/>
      <c r="BT48" s="748"/>
      <c r="BU48" s="1507"/>
      <c r="BV48" s="1508"/>
      <c r="BW48" s="1508"/>
      <c r="BX48" s="1508"/>
      <c r="BY48" s="1508"/>
      <c r="BZ48" s="1508"/>
      <c r="CA48" s="1508"/>
      <c r="CB48" s="1508"/>
      <c r="CC48" s="1508"/>
      <c r="CD48" s="1508"/>
      <c r="CE48" s="1508"/>
      <c r="CF48" s="1508"/>
      <c r="CG48" s="1508"/>
      <c r="CH48" s="1508"/>
      <c r="CI48" s="1508"/>
      <c r="CJ48" s="1508"/>
      <c r="CK48" s="1508"/>
      <c r="CL48" s="1508"/>
      <c r="CM48" s="1508"/>
      <c r="CN48" s="1508"/>
      <c r="CO48" s="1508"/>
      <c r="CP48" s="1508"/>
      <c r="CQ48" s="1508"/>
      <c r="CR48" s="1508"/>
      <c r="CS48" s="1508"/>
      <c r="CT48" s="1508"/>
      <c r="CU48" s="1508"/>
      <c r="CV48" s="1508"/>
      <c r="CW48" s="1508"/>
      <c r="CX48" s="1508"/>
      <c r="CY48" s="1508"/>
      <c r="CZ48" s="1508"/>
      <c r="DA48" s="1508"/>
      <c r="DB48" s="1508"/>
      <c r="DC48" s="1508"/>
      <c r="DD48" s="1508"/>
      <c r="DE48" s="1508"/>
      <c r="DF48" s="1508"/>
      <c r="DG48" s="1508"/>
      <c r="DH48" s="1508"/>
      <c r="DI48" s="1508"/>
      <c r="DJ48" s="1508"/>
      <c r="DK48" s="1508"/>
      <c r="DL48" s="1508"/>
      <c r="DN48" s="1509"/>
    </row>
    <row r="49" spans="1:118" s="14" customFormat="1" ht="15.75" x14ac:dyDescent="0.2">
      <c r="A49" s="1534"/>
      <c r="B49" s="1535"/>
      <c r="C49" s="1536"/>
      <c r="D49" s="1537"/>
      <c r="E49" s="1538"/>
      <c r="G49" s="1539"/>
      <c r="H49" s="1539"/>
      <c r="I49" s="1539"/>
      <c r="J49" s="1539"/>
      <c r="K49" s="1539"/>
      <c r="L49" s="1539"/>
      <c r="M49" s="1539"/>
      <c r="N49" s="1539"/>
      <c r="O49" s="1539"/>
      <c r="P49" s="1539"/>
      <c r="Q49" s="1539"/>
      <c r="R49" s="1539"/>
      <c r="S49" s="1539"/>
      <c r="T49" s="1539"/>
      <c r="U49" s="1539"/>
      <c r="V49" s="1539"/>
      <c r="W49" s="1539"/>
      <c r="Y49" s="1490"/>
      <c r="Z49" s="1490"/>
      <c r="AA49" s="1490"/>
      <c r="AB49" s="1490"/>
      <c r="AC49" s="1490"/>
      <c r="AD49" s="1490"/>
      <c r="AE49" s="1490"/>
      <c r="AF49" s="1490"/>
      <c r="AG49" s="1490"/>
      <c r="AH49" s="1490"/>
      <c r="AI49" s="1490"/>
      <c r="AJ49" s="1490"/>
      <c r="AK49" s="1490"/>
      <c r="AL49" s="1490"/>
      <c r="AM49" s="1490"/>
      <c r="AN49" s="1490"/>
      <c r="AO49" s="1490"/>
      <c r="AP49" s="1490"/>
      <c r="AQ49" s="1893"/>
      <c r="AS49" s="1491"/>
      <c r="AT49" s="1491"/>
      <c r="AU49" s="1491"/>
      <c r="AV49" s="1491"/>
      <c r="AW49" s="1491"/>
      <c r="AX49" s="1491"/>
      <c r="AY49" s="1491"/>
      <c r="AZ49" s="1491"/>
      <c r="BA49" s="1491"/>
      <c r="BB49" s="1491"/>
      <c r="BC49" s="1491"/>
      <c r="BD49" s="1491"/>
      <c r="BE49" s="1491"/>
      <c r="BF49" s="1491"/>
      <c r="BG49" s="1491"/>
      <c r="BH49" s="1491"/>
      <c r="BI49" s="1491"/>
      <c r="BJ49" s="1491"/>
      <c r="BK49" s="1491"/>
      <c r="BL49" s="1491"/>
      <c r="BN49" s="1492"/>
      <c r="BO49" s="1492"/>
      <c r="BP49" s="1492"/>
      <c r="BR49" s="3168"/>
      <c r="BS49" s="1493"/>
      <c r="BT49" s="748"/>
      <c r="BU49" s="1508"/>
      <c r="BV49" s="1508"/>
      <c r="BW49" s="1508"/>
      <c r="BX49" s="1508"/>
      <c r="BY49" s="1508"/>
      <c r="BZ49" s="1508"/>
      <c r="CA49" s="1508"/>
      <c r="CB49" s="1508"/>
      <c r="CC49" s="1508"/>
      <c r="CD49" s="1508"/>
      <c r="CE49" s="1508"/>
      <c r="CF49" s="1508"/>
      <c r="CG49" s="1508"/>
      <c r="CH49" s="1508"/>
      <c r="CI49" s="1508"/>
      <c r="CJ49" s="1508"/>
      <c r="CK49" s="1508"/>
      <c r="CL49" s="1508"/>
      <c r="CM49" s="1508"/>
      <c r="CN49" s="1508"/>
      <c r="CO49" s="1508"/>
      <c r="CP49" s="1508"/>
      <c r="CQ49" s="1508"/>
      <c r="CR49" s="1508"/>
      <c r="CS49" s="1508"/>
      <c r="CT49" s="1508"/>
      <c r="CU49" s="1508"/>
      <c r="CV49" s="1508"/>
      <c r="CW49" s="1508"/>
      <c r="CX49" s="1508"/>
      <c r="CY49" s="1508"/>
      <c r="CZ49" s="1508"/>
      <c r="DA49" s="1508"/>
      <c r="DB49" s="1508"/>
      <c r="DC49" s="1508"/>
      <c r="DD49" s="1508"/>
      <c r="DE49" s="1508"/>
      <c r="DF49" s="1508"/>
      <c r="DG49" s="1508"/>
      <c r="DH49" s="1508"/>
      <c r="DI49" s="1508"/>
      <c r="DJ49" s="1508"/>
      <c r="DK49" s="1508"/>
      <c r="DL49" s="1508"/>
      <c r="DN49" s="1509"/>
    </row>
    <row r="50" spans="1:118" s="14" customFormat="1" ht="12.75" hidden="1" customHeight="1" outlineLevel="1" x14ac:dyDescent="0.2">
      <c r="A50" s="1534"/>
      <c r="B50" s="1534"/>
      <c r="C50" s="1544"/>
      <c r="D50" s="1538"/>
      <c r="E50" s="1538"/>
      <c r="G50" s="1488"/>
      <c r="H50" s="1488"/>
      <c r="I50" s="1488"/>
      <c r="J50" s="1488"/>
      <c r="K50" s="1488"/>
      <c r="L50" s="1488"/>
      <c r="M50" s="1488"/>
      <c r="N50" s="1488"/>
      <c r="O50" s="1563"/>
      <c r="P50" s="1488"/>
      <c r="Q50" s="1488"/>
      <c r="R50" s="1488"/>
      <c r="S50" s="1488"/>
      <c r="T50" s="1488"/>
      <c r="U50" s="1488"/>
      <c r="V50" s="1488"/>
      <c r="W50" s="1488"/>
      <c r="Y50" s="1490"/>
      <c r="Z50" s="1490"/>
      <c r="AA50" s="1490"/>
      <c r="AB50" s="1490"/>
      <c r="AC50" s="1490"/>
      <c r="AD50" s="1490"/>
      <c r="AE50" s="1490"/>
      <c r="AF50" s="1490"/>
      <c r="AG50" s="1490"/>
      <c r="AH50" s="1490"/>
      <c r="AI50" s="1490"/>
      <c r="AJ50" s="1490"/>
      <c r="AK50" s="1490"/>
      <c r="AL50" s="1490"/>
      <c r="AM50" s="1490"/>
      <c r="AN50" s="1490"/>
      <c r="AO50" s="1490"/>
      <c r="AP50" s="1490"/>
      <c r="AQ50" s="1893"/>
      <c r="AS50" s="1491"/>
      <c r="AT50" s="1491"/>
      <c r="AU50" s="1491"/>
      <c r="AV50" s="1491"/>
      <c r="AW50" s="1491"/>
      <c r="AX50" s="1491"/>
      <c r="AY50" s="1491"/>
      <c r="AZ50" s="1491"/>
      <c r="BA50" s="1491"/>
      <c r="BB50" s="1491"/>
      <c r="BC50" s="1491"/>
      <c r="BD50" s="1491"/>
      <c r="BE50" s="1491"/>
      <c r="BF50" s="1491"/>
      <c r="BG50" s="1491"/>
      <c r="BH50" s="1491"/>
      <c r="BI50" s="1491"/>
      <c r="BJ50" s="1491"/>
      <c r="BK50" s="1491"/>
      <c r="BL50" s="1491"/>
      <c r="BN50" s="1492"/>
      <c r="BO50" s="1492"/>
      <c r="BP50" s="1492"/>
      <c r="BR50" s="3168">
        <f>W50+AQ50+BL50+BP50</f>
        <v>0</v>
      </c>
      <c r="BS50" s="1493"/>
      <c r="BT50" s="1534"/>
      <c r="BU50" s="1508"/>
      <c r="BV50" s="1508"/>
      <c r="BW50" s="1508"/>
      <c r="BX50" s="1508"/>
      <c r="BY50" s="1508"/>
      <c r="BZ50" s="1508"/>
      <c r="CA50" s="1508"/>
      <c r="CB50" s="1508"/>
      <c r="CC50" s="1508"/>
      <c r="CD50" s="1508"/>
      <c r="CE50" s="1508"/>
      <c r="CF50" s="1508"/>
      <c r="CG50" s="1508"/>
      <c r="CH50" s="1508"/>
      <c r="CI50" s="1508"/>
      <c r="CJ50" s="1508"/>
      <c r="CK50" s="1508"/>
      <c r="CL50" s="1508"/>
      <c r="CM50" s="1508"/>
      <c r="CN50" s="1508"/>
      <c r="CO50" s="1508"/>
      <c r="CP50" s="1508"/>
      <c r="CQ50" s="1508"/>
      <c r="CR50" s="1508"/>
      <c r="CS50" s="1508"/>
      <c r="CT50" s="1508"/>
      <c r="CU50" s="1508"/>
      <c r="CV50" s="1508"/>
      <c r="CW50" s="1508"/>
      <c r="CX50" s="1508"/>
      <c r="CY50" s="1508"/>
      <c r="CZ50" s="1508"/>
      <c r="DA50" s="1508"/>
      <c r="DB50" s="1508"/>
      <c r="DC50" s="1508"/>
      <c r="DD50" s="1508"/>
      <c r="DE50" s="1508"/>
      <c r="DF50" s="1508"/>
      <c r="DG50" s="1508"/>
      <c r="DH50" s="1508"/>
      <c r="DI50" s="1508"/>
      <c r="DJ50" s="1508"/>
      <c r="DK50" s="1508"/>
      <c r="DL50" s="1508"/>
      <c r="DN50" s="1509">
        <v>0</v>
      </c>
    </row>
    <row r="51" spans="1:118" s="1564" customFormat="1" ht="12.75" hidden="1" customHeight="1" outlineLevel="1" x14ac:dyDescent="0.2">
      <c r="C51" s="1565"/>
      <c r="D51" s="1592"/>
      <c r="E51" s="1566"/>
      <c r="F51" s="1567"/>
      <c r="G51" s="1568"/>
      <c r="H51" s="1568"/>
      <c r="I51" s="1568"/>
      <c r="J51" s="1568"/>
      <c r="K51" s="1568"/>
      <c r="L51" s="1568"/>
      <c r="M51" s="1568"/>
      <c r="N51" s="1568"/>
      <c r="O51" s="1569"/>
      <c r="P51" s="1568"/>
      <c r="Q51" s="1568"/>
      <c r="R51" s="1568"/>
      <c r="S51" s="1568"/>
      <c r="T51" s="1568"/>
      <c r="U51" s="1568"/>
      <c r="V51" s="1568"/>
      <c r="W51" s="1568"/>
      <c r="X51" s="1567"/>
      <c r="Y51" s="1570"/>
      <c r="Z51" s="1570"/>
      <c r="AA51" s="1570"/>
      <c r="AB51" s="1570"/>
      <c r="AC51" s="1570"/>
      <c r="AD51" s="1570"/>
      <c r="AE51" s="1570"/>
      <c r="AF51" s="1570"/>
      <c r="AG51" s="1570"/>
      <c r="AH51" s="1570"/>
      <c r="AI51" s="1570"/>
      <c r="AJ51" s="1570"/>
      <c r="AK51" s="1570"/>
      <c r="AL51" s="1570"/>
      <c r="AM51" s="1570"/>
      <c r="AN51" s="1570"/>
      <c r="AO51" s="1570"/>
      <c r="AP51" s="1570"/>
      <c r="AQ51" s="1955"/>
      <c r="AR51" s="1567"/>
      <c r="AS51" s="1571"/>
      <c r="AT51" s="1571"/>
      <c r="AU51" s="1571"/>
      <c r="AV51" s="1571"/>
      <c r="AW51" s="1571"/>
      <c r="AX51" s="1571"/>
      <c r="AY51" s="1571"/>
      <c r="AZ51" s="1571"/>
      <c r="BA51" s="1571"/>
      <c r="BB51" s="1571"/>
      <c r="BC51" s="1571"/>
      <c r="BD51" s="1571"/>
      <c r="BE51" s="1571"/>
      <c r="BF51" s="1571"/>
      <c r="BG51" s="1571"/>
      <c r="BH51" s="1571"/>
      <c r="BI51" s="1571"/>
      <c r="BJ51" s="1571"/>
      <c r="BK51" s="1571"/>
      <c r="BL51" s="1571"/>
      <c r="BM51" s="1567"/>
      <c r="BN51" s="1572"/>
      <c r="BO51" s="1572"/>
      <c r="BP51" s="1572"/>
      <c r="BQ51" s="1567"/>
      <c r="BR51" s="3168">
        <f>W51+AQ51+BL51+BP51</f>
        <v>0</v>
      </c>
      <c r="BS51" s="1573"/>
      <c r="BU51" s="1574"/>
      <c r="BV51" s="1574"/>
      <c r="BW51" s="1574"/>
      <c r="BX51" s="1574"/>
      <c r="BY51" s="1574"/>
      <c r="BZ51" s="1574"/>
      <c r="CA51" s="1574"/>
      <c r="CB51" s="1574"/>
      <c r="CC51" s="1574"/>
      <c r="CD51" s="1574"/>
      <c r="CE51" s="1574"/>
      <c r="CF51" s="1574"/>
      <c r="CG51" s="1574"/>
      <c r="CH51" s="1574"/>
      <c r="CI51" s="1574"/>
      <c r="CJ51" s="1574"/>
      <c r="CK51" s="1574"/>
      <c r="CL51" s="1574"/>
      <c r="CM51" s="1574"/>
      <c r="CN51" s="1574"/>
      <c r="CO51" s="1574"/>
      <c r="CP51" s="1574"/>
      <c r="CQ51" s="1574"/>
      <c r="CR51" s="1574"/>
      <c r="CS51" s="1574"/>
      <c r="CT51" s="1574"/>
      <c r="CU51" s="1574"/>
      <c r="CV51" s="1574"/>
      <c r="CW51" s="1574"/>
      <c r="CX51" s="1574"/>
      <c r="CY51" s="1574"/>
      <c r="CZ51" s="1574"/>
      <c r="DA51" s="1574"/>
      <c r="DB51" s="1574"/>
      <c r="DC51" s="1574"/>
      <c r="DD51" s="1574"/>
      <c r="DE51" s="1574"/>
      <c r="DF51" s="1574"/>
      <c r="DG51" s="1574"/>
      <c r="DH51" s="1574"/>
      <c r="DI51" s="1574"/>
      <c r="DJ51" s="1574"/>
      <c r="DK51" s="1574"/>
      <c r="DL51" s="1574"/>
      <c r="DN51" s="1575">
        <v>0</v>
      </c>
    </row>
    <row r="52" spans="1:118" s="1877" customFormat="1" ht="12.75" hidden="1" customHeight="1" outlineLevel="1" x14ac:dyDescent="0.2">
      <c r="C52" s="1496" t="s">
        <v>46</v>
      </c>
      <c r="D52" s="14" t="str">
        <f>INDEX(Modulos[Modulos], MATCH($C52, Modulos[Código], 0))</f>
        <v>Termoelectricidad</v>
      </c>
      <c r="E52" s="1600"/>
      <c r="F52" s="56"/>
      <c r="G52" s="1601"/>
      <c r="H52" s="1601"/>
      <c r="I52" s="1601"/>
      <c r="J52" s="1601"/>
      <c r="K52" s="1601"/>
      <c r="L52" s="1601"/>
      <c r="M52" s="1601"/>
      <c r="N52" s="1601"/>
      <c r="O52" s="1602"/>
      <c r="P52" s="1601"/>
      <c r="Q52" s="1601"/>
      <c r="R52" s="1601"/>
      <c r="S52" s="1601"/>
      <c r="T52" s="1601"/>
      <c r="U52" s="1601"/>
      <c r="V52" s="1601"/>
      <c r="W52" s="1601"/>
      <c r="X52" s="56"/>
      <c r="Y52" s="1490">
        <f t="shared" ref="Y52:AP52" ca="1" si="31">IFERROR(INDEX(INDIRECT($C52&amp;".Outputs["&amp;this.Year&amp;"]"), MATCH(Y$5, INDIRECT($C52&amp;".Outputs[Vector]"), 0)), 0)</f>
        <v>0</v>
      </c>
      <c r="Z52" s="1490">
        <f ca="1">IFERROR(INDEX(INDIRECT($C52&amp;".Outputs["&amp;this.Year&amp;"]"), MATCH(Z$5, INDIRECT($C52&amp;".Outputs[Vector]"), 0)), 0)</f>
        <v>45.628077201078568</v>
      </c>
      <c r="AA52" s="1490">
        <f t="shared" ca="1" si="31"/>
        <v>-62.965143133738984</v>
      </c>
      <c r="AB52" s="1490">
        <f t="shared" ca="1" si="31"/>
        <v>-7.8706428917173739</v>
      </c>
      <c r="AC52" s="1490">
        <f t="shared" ca="1" si="31"/>
        <v>-35.980081790707992</v>
      </c>
      <c r="AD52" s="1490">
        <f t="shared" ca="1" si="31"/>
        <v>0</v>
      </c>
      <c r="AE52" s="1490">
        <f t="shared" ca="1" si="31"/>
        <v>0</v>
      </c>
      <c r="AF52" s="1490">
        <f t="shared" ca="1" si="31"/>
        <v>0</v>
      </c>
      <c r="AG52" s="1490">
        <f t="shared" ca="1" si="31"/>
        <v>0</v>
      </c>
      <c r="AH52" s="1490">
        <f t="shared" ca="1" si="31"/>
        <v>0</v>
      </c>
      <c r="AI52" s="1490">
        <f t="shared" ca="1" si="31"/>
        <v>0</v>
      </c>
      <c r="AJ52" s="1490">
        <f t="shared" ca="1" si="31"/>
        <v>0</v>
      </c>
      <c r="AK52" s="1490">
        <f t="shared" ca="1" si="31"/>
        <v>0</v>
      </c>
      <c r="AL52" s="1490">
        <f t="shared" ca="1" si="31"/>
        <v>-2.9453760000000004</v>
      </c>
      <c r="AM52" s="1490">
        <f t="shared" ca="1" si="31"/>
        <v>0</v>
      </c>
      <c r="AN52" s="1490">
        <f t="shared" ca="1" si="31"/>
        <v>0</v>
      </c>
      <c r="AO52" s="1490">
        <f t="shared" ca="1" si="31"/>
        <v>0</v>
      </c>
      <c r="AP52" s="1490">
        <f t="shared" ca="1" si="31"/>
        <v>0</v>
      </c>
      <c r="AQ52" s="1893">
        <f ca="1">SUM(Y52:AP52)</f>
        <v>-64.133166615085784</v>
      </c>
      <c r="AR52" s="56"/>
      <c r="AS52" s="1940">
        <f t="shared" ref="AS52:BK52" ca="1" si="32">IFERROR(INDEX(INDIRECT($C52&amp;".Outputs["&amp;this.Year&amp;"]"), MATCH(AS$5, INDIRECT($C52&amp;".Outputs[Vector]"), 0)), 0)</f>
        <v>0</v>
      </c>
      <c r="AT52" s="1940">
        <f t="shared" ca="1" si="32"/>
        <v>0</v>
      </c>
      <c r="AU52" s="1940">
        <f t="shared" ca="1" si="32"/>
        <v>0</v>
      </c>
      <c r="AV52" s="1940">
        <f t="shared" ca="1" si="32"/>
        <v>0</v>
      </c>
      <c r="AW52" s="1940">
        <f t="shared" ca="1" si="32"/>
        <v>0</v>
      </c>
      <c r="AX52" s="1940">
        <f t="shared" ca="1" si="32"/>
        <v>0</v>
      </c>
      <c r="AY52" s="1940">
        <f t="shared" ca="1" si="32"/>
        <v>0</v>
      </c>
      <c r="AZ52" s="1940">
        <f t="shared" ca="1" si="32"/>
        <v>0</v>
      </c>
      <c r="BA52" s="1940">
        <f t="shared" ca="1" si="32"/>
        <v>0</v>
      </c>
      <c r="BB52" s="1940">
        <f t="shared" ca="1" si="32"/>
        <v>0</v>
      </c>
      <c r="BC52" s="1940">
        <f t="shared" ca="1" si="32"/>
        <v>0</v>
      </c>
      <c r="BD52" s="1940">
        <f t="shared" ca="1" si="32"/>
        <v>0</v>
      </c>
      <c r="BE52" s="1940">
        <f t="shared" ca="1" si="32"/>
        <v>0</v>
      </c>
      <c r="BF52" s="1940">
        <f t="shared" ca="1" si="32"/>
        <v>0</v>
      </c>
      <c r="BG52" s="1940">
        <f t="shared" ca="1" si="32"/>
        <v>0</v>
      </c>
      <c r="BH52" s="1940">
        <f t="shared" ca="1" si="32"/>
        <v>0</v>
      </c>
      <c r="BI52" s="1940">
        <f t="shared" ca="1" si="32"/>
        <v>0</v>
      </c>
      <c r="BJ52" s="1940">
        <f t="shared" ca="1" si="32"/>
        <v>0</v>
      </c>
      <c r="BK52" s="1940">
        <f t="shared" ca="1" si="32"/>
        <v>0</v>
      </c>
      <c r="BL52" s="1952">
        <f ca="1">SUM(AS52:BK52)</f>
        <v>0</v>
      </c>
      <c r="BM52" s="56"/>
      <c r="BN52" s="1941">
        <f ca="1">IFERROR(INDEX(INDIRECT($C52&amp;".Outputs["&amp;this.Year&amp;"]"), MATCH(BN$5, INDIRECT($C52&amp;".Outputs[Vector]"), 0)), 0)</f>
        <v>61.851762755031856</v>
      </c>
      <c r="BO52" s="1941">
        <f ca="1">IFERROR(INDEX(INDIRECT($C52&amp;".Outputs["&amp;this.Year&amp;"]"), MATCH(BO$5, INDIRECT($C52&amp;".Outputs[Vector]"), 0)), 0)</f>
        <v>2.2814038600539308</v>
      </c>
      <c r="BP52" s="1505">
        <f ca="1">BN52+BO52</f>
        <v>64.133166615085784</v>
      </c>
      <c r="BQ52" s="56"/>
      <c r="BR52" s="3168">
        <f ca="1">W52+AQ52+BL52+BP52</f>
        <v>0</v>
      </c>
      <c r="BS52" s="1579"/>
      <c r="BU52" s="1595"/>
      <c r="BV52" s="1595"/>
      <c r="BW52" s="1595"/>
      <c r="BX52" s="1595"/>
      <c r="BY52" s="1595"/>
      <c r="BZ52" s="1595"/>
      <c r="CA52" s="1595"/>
      <c r="CB52" s="1595"/>
      <c r="CC52" s="1595"/>
      <c r="CD52" s="1595"/>
      <c r="CE52" s="1595"/>
      <c r="CF52" s="1595"/>
      <c r="CG52" s="1595"/>
      <c r="CH52" s="1595"/>
      <c r="CI52" s="1595"/>
      <c r="CJ52" s="1595"/>
      <c r="CK52" s="1595"/>
      <c r="CL52" s="1595"/>
      <c r="CM52" s="1595"/>
      <c r="CN52" s="1595"/>
      <c r="CO52" s="1595"/>
      <c r="CP52" s="1595"/>
      <c r="CQ52" s="1595"/>
      <c r="CR52" s="1595"/>
      <c r="CS52" s="1595"/>
      <c r="CT52" s="1595"/>
      <c r="CU52" s="1595"/>
      <c r="CV52" s="1595"/>
      <c r="CW52" s="1595"/>
      <c r="CX52" s="1595"/>
      <c r="CY52" s="1595"/>
      <c r="CZ52" s="1595"/>
      <c r="DA52" s="1595"/>
      <c r="DB52" s="1595"/>
      <c r="DC52" s="1595"/>
      <c r="DD52" s="1595"/>
      <c r="DE52" s="1595"/>
      <c r="DF52" s="1595"/>
      <c r="DG52" s="1595"/>
      <c r="DH52" s="1595"/>
      <c r="DI52" s="1595"/>
      <c r="DJ52" s="1595"/>
      <c r="DK52" s="1595"/>
      <c r="DL52" s="1595"/>
      <c r="DN52" s="1878"/>
    </row>
    <row r="53" spans="1:118" s="1522" customFormat="1" ht="12.75" hidden="1" customHeight="1" outlineLevel="1" x14ac:dyDescent="0.2">
      <c r="E53" s="1497"/>
      <c r="F53" s="14"/>
      <c r="G53" s="1540"/>
      <c r="H53" s="1540"/>
      <c r="I53" s="1540"/>
      <c r="J53" s="1540"/>
      <c r="K53" s="1540"/>
      <c r="L53" s="1540"/>
      <c r="M53" s="1540"/>
      <c r="N53" s="1540"/>
      <c r="O53" s="1540"/>
      <c r="P53" s="1540"/>
      <c r="Q53" s="1540"/>
      <c r="R53" s="1540"/>
      <c r="S53" s="1540"/>
      <c r="T53" s="1540"/>
      <c r="U53" s="1540"/>
      <c r="V53" s="1540"/>
      <c r="W53" s="1527"/>
      <c r="X53" s="14"/>
      <c r="Y53" s="1541"/>
      <c r="Z53" s="1541"/>
      <c r="AA53" s="1541"/>
      <c r="AB53" s="1541"/>
      <c r="AC53" s="1541"/>
      <c r="AD53" s="1541"/>
      <c r="AE53" s="1541"/>
      <c r="AF53" s="1541"/>
      <c r="AG53" s="1541"/>
      <c r="AH53" s="1541"/>
      <c r="AI53" s="1541"/>
      <c r="AJ53" s="1541"/>
      <c r="AK53" s="1541"/>
      <c r="AL53" s="1541"/>
      <c r="AM53" s="1541"/>
      <c r="AN53" s="1541"/>
      <c r="AO53" s="1541"/>
      <c r="AP53" s="1541"/>
      <c r="AQ53" s="1953"/>
      <c r="AR53" s="14"/>
      <c r="AS53" s="1542"/>
      <c r="AT53" s="1542"/>
      <c r="AU53" s="1542"/>
      <c r="AV53" s="1542"/>
      <c r="AW53" s="1542"/>
      <c r="AX53" s="1542"/>
      <c r="AY53" s="1542"/>
      <c r="AZ53" s="1542"/>
      <c r="BA53" s="1542"/>
      <c r="BB53" s="1542"/>
      <c r="BC53" s="1542"/>
      <c r="BD53" s="1542"/>
      <c r="BE53" s="1542"/>
      <c r="BF53" s="1542"/>
      <c r="BG53" s="1542"/>
      <c r="BH53" s="1542"/>
      <c r="BI53" s="1542"/>
      <c r="BJ53" s="1542"/>
      <c r="BK53" s="1542"/>
      <c r="BL53" s="1530"/>
      <c r="BM53" s="14"/>
      <c r="BN53" s="1543"/>
      <c r="BO53" s="1543"/>
      <c r="BP53" s="1531"/>
      <c r="BQ53" s="14"/>
      <c r="BR53" s="3168">
        <f>W53+AQ53+BL53+BP53</f>
        <v>0</v>
      </c>
      <c r="BS53" s="1525"/>
      <c r="BT53" s="748"/>
      <c r="BU53" s="1532">
        <v>198.26548259420858</v>
      </c>
      <c r="BV53" s="1533">
        <v>0.5182280295123709</v>
      </c>
      <c r="BW53" s="1533">
        <v>1.345630535228558</v>
      </c>
      <c r="BX53" s="1533">
        <v>0</v>
      </c>
      <c r="BY53" s="1533">
        <v>0</v>
      </c>
      <c r="BZ53" s="1533">
        <v>0</v>
      </c>
      <c r="CA53" s="1533">
        <v>0</v>
      </c>
      <c r="CB53" s="1533">
        <v>0</v>
      </c>
      <c r="CC53" s="1533">
        <v>0</v>
      </c>
      <c r="CD53" s="1533">
        <v>0</v>
      </c>
      <c r="CE53" s="1533">
        <v>0</v>
      </c>
      <c r="CF53" s="1533">
        <v>0</v>
      </c>
      <c r="CG53" s="1533">
        <v>0</v>
      </c>
      <c r="CH53" s="1533">
        <v>0</v>
      </c>
      <c r="CI53" s="1533">
        <v>0</v>
      </c>
      <c r="CJ53" s="1533">
        <v>0</v>
      </c>
      <c r="CK53" s="1533">
        <v>0</v>
      </c>
      <c r="CL53" s="1533">
        <v>0</v>
      </c>
      <c r="CM53" s="1533">
        <v>0</v>
      </c>
      <c r="CN53" s="1533">
        <v>0</v>
      </c>
      <c r="CO53" s="1533">
        <v>0</v>
      </c>
      <c r="CP53" s="1533">
        <v>0</v>
      </c>
      <c r="CQ53" s="1533">
        <v>0</v>
      </c>
      <c r="CR53" s="1533">
        <v>0</v>
      </c>
      <c r="CS53" s="1533">
        <v>0</v>
      </c>
      <c r="CT53" s="1533">
        <v>0</v>
      </c>
      <c r="CU53" s="1533">
        <v>0</v>
      </c>
      <c r="CV53" s="1533">
        <v>0</v>
      </c>
      <c r="CW53" s="1533">
        <v>0</v>
      </c>
      <c r="CX53" s="1533">
        <v>0</v>
      </c>
      <c r="CY53" s="1533">
        <v>0</v>
      </c>
      <c r="CZ53" s="1533">
        <v>0</v>
      </c>
      <c r="DA53" s="1533">
        <v>0</v>
      </c>
      <c r="DB53" s="1533">
        <v>0</v>
      </c>
      <c r="DC53" s="1533">
        <v>0</v>
      </c>
      <c r="DD53" s="1533">
        <v>0</v>
      </c>
      <c r="DE53" s="1533">
        <v>0</v>
      </c>
      <c r="DF53" s="1533">
        <v>0</v>
      </c>
      <c r="DG53" s="1533">
        <v>0</v>
      </c>
      <c r="DH53" s="1533">
        <v>0</v>
      </c>
      <c r="DI53" s="1533">
        <v>0</v>
      </c>
      <c r="DJ53" s="1533">
        <v>0</v>
      </c>
      <c r="DK53" s="1533">
        <v>0</v>
      </c>
      <c r="DL53" s="1533">
        <v>0</v>
      </c>
      <c r="DN53" s="1509">
        <v>200.1293411589495</v>
      </c>
    </row>
    <row r="54" spans="1:118" s="14" customFormat="1" ht="15.75" collapsed="1" x14ac:dyDescent="0.2">
      <c r="A54" s="1534"/>
      <c r="B54" s="1535"/>
      <c r="C54" s="1536" t="s">
        <v>322</v>
      </c>
      <c r="D54" s="1537" t="str">
        <f>INDEX(Flujos[Flujos], MATCH($C54, Flujos[Código], 0))</f>
        <v>Generación por Termoelectricidad</v>
      </c>
      <c r="E54" s="1538"/>
      <c r="G54" s="1539"/>
      <c r="H54" s="1539"/>
      <c r="I54" s="1539"/>
      <c r="J54" s="1539"/>
      <c r="K54" s="1539"/>
      <c r="L54" s="1539"/>
      <c r="M54" s="1539"/>
      <c r="N54" s="1539"/>
      <c r="O54" s="1539"/>
      <c r="P54" s="1539"/>
      <c r="Q54" s="1539"/>
      <c r="R54" s="1539"/>
      <c r="S54" s="1539"/>
      <c r="T54" s="1539"/>
      <c r="U54" s="1539"/>
      <c r="V54" s="1539"/>
      <c r="W54" s="1539"/>
      <c r="Y54" s="1490">
        <f ca="1">Y52</f>
        <v>0</v>
      </c>
      <c r="Z54" s="1490">
        <f t="shared" ref="Z54:AP54" ca="1" si="33">Z52</f>
        <v>45.628077201078568</v>
      </c>
      <c r="AA54" s="1490">
        <f t="shared" ca="1" si="33"/>
        <v>-62.965143133738984</v>
      </c>
      <c r="AB54" s="1490">
        <f t="shared" ca="1" si="33"/>
        <v>-7.8706428917173739</v>
      </c>
      <c r="AC54" s="1490">
        <f t="shared" ca="1" si="33"/>
        <v>-35.980081790707992</v>
      </c>
      <c r="AD54" s="1490">
        <f t="shared" ca="1" si="33"/>
        <v>0</v>
      </c>
      <c r="AE54" s="1490">
        <f t="shared" ca="1" si="33"/>
        <v>0</v>
      </c>
      <c r="AF54" s="1490">
        <f t="shared" ca="1" si="33"/>
        <v>0</v>
      </c>
      <c r="AG54" s="1490">
        <f t="shared" ca="1" si="33"/>
        <v>0</v>
      </c>
      <c r="AH54" s="1490">
        <f t="shared" ca="1" si="33"/>
        <v>0</v>
      </c>
      <c r="AI54" s="1490">
        <f t="shared" ca="1" si="33"/>
        <v>0</v>
      </c>
      <c r="AJ54" s="1490">
        <f t="shared" ca="1" si="33"/>
        <v>0</v>
      </c>
      <c r="AK54" s="1490">
        <f t="shared" ca="1" si="33"/>
        <v>0</v>
      </c>
      <c r="AL54" s="1490">
        <f t="shared" ca="1" si="33"/>
        <v>-2.9453760000000004</v>
      </c>
      <c r="AM54" s="1490">
        <f t="shared" ca="1" si="33"/>
        <v>0</v>
      </c>
      <c r="AN54" s="1490">
        <f t="shared" ca="1" si="33"/>
        <v>0</v>
      </c>
      <c r="AO54" s="1490">
        <f t="shared" ca="1" si="33"/>
        <v>0</v>
      </c>
      <c r="AP54" s="1490">
        <f t="shared" ca="1" si="33"/>
        <v>0</v>
      </c>
      <c r="AQ54" s="2608">
        <f ca="1">SUM(Y54:AP54)</f>
        <v>-64.133166615085784</v>
      </c>
      <c r="AS54" s="1491">
        <f ca="1">AS52</f>
        <v>0</v>
      </c>
      <c r="AT54" s="1491">
        <f t="shared" ref="AT54:BK54" ca="1" si="34">AT52</f>
        <v>0</v>
      </c>
      <c r="AU54" s="1491">
        <f t="shared" ca="1" si="34"/>
        <v>0</v>
      </c>
      <c r="AV54" s="1491">
        <f t="shared" ca="1" si="34"/>
        <v>0</v>
      </c>
      <c r="AW54" s="1491">
        <f t="shared" ca="1" si="34"/>
        <v>0</v>
      </c>
      <c r="AX54" s="1491">
        <f t="shared" ca="1" si="34"/>
        <v>0</v>
      </c>
      <c r="AY54" s="1491">
        <f t="shared" ca="1" si="34"/>
        <v>0</v>
      </c>
      <c r="AZ54" s="1491">
        <f t="shared" ca="1" si="34"/>
        <v>0</v>
      </c>
      <c r="BA54" s="1491">
        <f t="shared" ca="1" si="34"/>
        <v>0</v>
      </c>
      <c r="BB54" s="1491">
        <f t="shared" ca="1" si="34"/>
        <v>0</v>
      </c>
      <c r="BC54" s="1491">
        <f t="shared" ca="1" si="34"/>
        <v>0</v>
      </c>
      <c r="BD54" s="1491">
        <f t="shared" ca="1" si="34"/>
        <v>0</v>
      </c>
      <c r="BE54" s="1491">
        <f t="shared" ca="1" si="34"/>
        <v>0</v>
      </c>
      <c r="BF54" s="1491">
        <f t="shared" ca="1" si="34"/>
        <v>0</v>
      </c>
      <c r="BG54" s="1491">
        <f t="shared" ca="1" si="34"/>
        <v>0</v>
      </c>
      <c r="BH54" s="1491">
        <f t="shared" ca="1" si="34"/>
        <v>0</v>
      </c>
      <c r="BI54" s="1491">
        <f t="shared" ca="1" si="34"/>
        <v>0</v>
      </c>
      <c r="BJ54" s="1491">
        <f t="shared" ca="1" si="34"/>
        <v>0</v>
      </c>
      <c r="BK54" s="1491">
        <f t="shared" ca="1" si="34"/>
        <v>0</v>
      </c>
      <c r="BL54" s="1952">
        <f ca="1">SUM(AS54:BK54)</f>
        <v>0</v>
      </c>
      <c r="BN54" s="1492">
        <f ca="1">BN52</f>
        <v>61.851762755031856</v>
      </c>
      <c r="BO54" s="1492">
        <f ca="1">BO52</f>
        <v>2.2814038600539308</v>
      </c>
      <c r="BP54" s="2615">
        <f ca="1">BN54+BO54</f>
        <v>64.133166615085784</v>
      </c>
      <c r="BR54" s="3168">
        <f ca="1">W54+AQ54+BL54+BP54</f>
        <v>0</v>
      </c>
      <c r="BS54" s="1493"/>
      <c r="BT54" s="748"/>
      <c r="BU54" s="1508">
        <v>198.26548259420858</v>
      </c>
      <c r="BV54" s="1508">
        <v>0.5182280295123709</v>
      </c>
      <c r="BW54" s="1508">
        <v>1.345630535228558</v>
      </c>
      <c r="BX54" s="1508">
        <v>0</v>
      </c>
      <c r="BY54" s="1508">
        <v>0</v>
      </c>
      <c r="BZ54" s="1508">
        <v>0</v>
      </c>
      <c r="CA54" s="1508">
        <v>0</v>
      </c>
      <c r="CB54" s="1508">
        <v>0</v>
      </c>
      <c r="CC54" s="1508">
        <v>0</v>
      </c>
      <c r="CD54" s="1508">
        <v>0</v>
      </c>
      <c r="CE54" s="1508">
        <v>0</v>
      </c>
      <c r="CF54" s="1508">
        <v>0</v>
      </c>
      <c r="CG54" s="1508">
        <v>0</v>
      </c>
      <c r="CH54" s="1508">
        <v>0</v>
      </c>
      <c r="CI54" s="1508">
        <v>0</v>
      </c>
      <c r="CJ54" s="1508">
        <v>0</v>
      </c>
      <c r="CK54" s="1508">
        <v>0</v>
      </c>
      <c r="CL54" s="1508">
        <v>0</v>
      </c>
      <c r="CM54" s="1508">
        <v>0</v>
      </c>
      <c r="CN54" s="1508">
        <v>0</v>
      </c>
      <c r="CO54" s="1508">
        <v>0</v>
      </c>
      <c r="CP54" s="1508">
        <v>0</v>
      </c>
      <c r="CQ54" s="1508">
        <v>0</v>
      </c>
      <c r="CR54" s="1508">
        <v>0</v>
      </c>
      <c r="CS54" s="1508">
        <v>0</v>
      </c>
      <c r="CT54" s="1508">
        <v>0</v>
      </c>
      <c r="CU54" s="1508">
        <v>0</v>
      </c>
      <c r="CV54" s="1508">
        <v>0</v>
      </c>
      <c r="CW54" s="1508">
        <v>0</v>
      </c>
      <c r="CX54" s="1508">
        <v>0</v>
      </c>
      <c r="CY54" s="1508">
        <v>0</v>
      </c>
      <c r="CZ54" s="1508">
        <v>0</v>
      </c>
      <c r="DA54" s="1508">
        <v>0</v>
      </c>
      <c r="DB54" s="1508">
        <v>0</v>
      </c>
      <c r="DC54" s="1508">
        <v>0</v>
      </c>
      <c r="DD54" s="1508">
        <v>0</v>
      </c>
      <c r="DE54" s="1508">
        <v>0</v>
      </c>
      <c r="DF54" s="1508">
        <v>0</v>
      </c>
      <c r="DG54" s="1508">
        <v>0</v>
      </c>
      <c r="DH54" s="1508">
        <v>0</v>
      </c>
      <c r="DI54" s="1508">
        <v>0</v>
      </c>
      <c r="DJ54" s="1508">
        <v>0</v>
      </c>
      <c r="DK54" s="1508">
        <v>0</v>
      </c>
      <c r="DL54" s="1508">
        <v>0</v>
      </c>
      <c r="DN54" s="1509">
        <v>200.1293411589495</v>
      </c>
    </row>
    <row r="55" spans="1:118" s="14" customFormat="1" ht="15.75" x14ac:dyDescent="0.2">
      <c r="A55" s="1534"/>
      <c r="B55" s="1535"/>
      <c r="C55" s="1536"/>
      <c r="D55" s="1537"/>
      <c r="E55" s="1538"/>
      <c r="G55" s="1539"/>
      <c r="H55" s="1539"/>
      <c r="I55" s="1539"/>
      <c r="J55" s="1539"/>
      <c r="K55" s="1539"/>
      <c r="L55" s="1539"/>
      <c r="M55" s="1539"/>
      <c r="N55" s="1539"/>
      <c r="O55" s="1539"/>
      <c r="P55" s="1539"/>
      <c r="Q55" s="1539"/>
      <c r="R55" s="1539"/>
      <c r="S55" s="1539"/>
      <c r="T55" s="1539"/>
      <c r="U55" s="1539"/>
      <c r="V55" s="1539"/>
      <c r="W55" s="1539"/>
      <c r="Y55" s="1490"/>
      <c r="Z55" s="1490"/>
      <c r="AA55" s="1490"/>
      <c r="AB55" s="1490"/>
      <c r="AC55" s="1490"/>
      <c r="AD55" s="1490"/>
      <c r="AE55" s="1490"/>
      <c r="AF55" s="1490"/>
      <c r="AG55" s="1490"/>
      <c r="AH55" s="1490"/>
      <c r="AI55" s="1490"/>
      <c r="AJ55" s="1490"/>
      <c r="AK55" s="1490"/>
      <c r="AL55" s="1490"/>
      <c r="AM55" s="1490"/>
      <c r="AN55" s="1490"/>
      <c r="AO55" s="1490"/>
      <c r="AP55" s="1490"/>
      <c r="AQ55" s="1893"/>
      <c r="AS55" s="1491"/>
      <c r="AT55" s="1491"/>
      <c r="AU55" s="1491"/>
      <c r="AV55" s="1491"/>
      <c r="AW55" s="1491"/>
      <c r="AX55" s="1491"/>
      <c r="AY55" s="1491"/>
      <c r="AZ55" s="1491"/>
      <c r="BA55" s="1491"/>
      <c r="BB55" s="1491"/>
      <c r="BC55" s="1491"/>
      <c r="BD55" s="1491"/>
      <c r="BE55" s="1491"/>
      <c r="BF55" s="1491"/>
      <c r="BG55" s="1491"/>
      <c r="BH55" s="1491"/>
      <c r="BI55" s="1491"/>
      <c r="BJ55" s="1491"/>
      <c r="BK55" s="1491"/>
      <c r="BL55" s="1491"/>
      <c r="BN55" s="1492"/>
      <c r="BO55" s="1492"/>
      <c r="BP55" s="1492"/>
      <c r="BR55" s="3168"/>
      <c r="BS55" s="1493"/>
      <c r="BT55" s="748"/>
      <c r="BU55" s="1508"/>
      <c r="BV55" s="1508"/>
      <c r="BW55" s="1508"/>
      <c r="BX55" s="1508"/>
      <c r="BY55" s="1508"/>
      <c r="BZ55" s="1508"/>
      <c r="CA55" s="1508"/>
      <c r="CB55" s="1508"/>
      <c r="CC55" s="1508"/>
      <c r="CD55" s="1508"/>
      <c r="CE55" s="1508"/>
      <c r="CF55" s="1508"/>
      <c r="CG55" s="1508"/>
      <c r="CH55" s="1508"/>
      <c r="CI55" s="1508"/>
      <c r="CJ55" s="1508"/>
      <c r="CK55" s="1508"/>
      <c r="CL55" s="1508"/>
      <c r="CM55" s="1508"/>
      <c r="CN55" s="1508"/>
      <c r="CO55" s="1508"/>
      <c r="CP55" s="1508"/>
      <c r="CQ55" s="1508"/>
      <c r="CR55" s="1508"/>
      <c r="CS55" s="1508"/>
      <c r="CT55" s="1508"/>
      <c r="CU55" s="1508"/>
      <c r="CV55" s="1508"/>
      <c r="CW55" s="1508"/>
      <c r="CX55" s="1508"/>
      <c r="CY55" s="1508"/>
      <c r="CZ55" s="1508"/>
      <c r="DA55" s="1508"/>
      <c r="DB55" s="1508"/>
      <c r="DC55" s="1508"/>
      <c r="DD55" s="1508"/>
      <c r="DE55" s="1508"/>
      <c r="DF55" s="1508"/>
      <c r="DG55" s="1508"/>
      <c r="DH55" s="1508"/>
      <c r="DI55" s="1508"/>
      <c r="DJ55" s="1508"/>
      <c r="DK55" s="1508"/>
      <c r="DL55" s="1508"/>
      <c r="DN55" s="1509"/>
    </row>
    <row r="56" spans="1:118" s="14" customFormat="1" ht="12.75" hidden="1" customHeight="1" outlineLevel="1" x14ac:dyDescent="0.2">
      <c r="A56" s="1534"/>
      <c r="B56" s="1534"/>
      <c r="C56" s="1544"/>
      <c r="D56" s="1538"/>
      <c r="E56" s="1538"/>
      <c r="G56" s="1488"/>
      <c r="H56" s="1488"/>
      <c r="I56" s="1488"/>
      <c r="J56" s="1488"/>
      <c r="K56" s="1488"/>
      <c r="L56" s="1488"/>
      <c r="M56" s="1488"/>
      <c r="N56" s="1488"/>
      <c r="O56" s="1563"/>
      <c r="P56" s="1488"/>
      <c r="Q56" s="1488"/>
      <c r="R56" s="1488"/>
      <c r="S56" s="1488"/>
      <c r="T56" s="1488"/>
      <c r="U56" s="1488"/>
      <c r="V56" s="1488"/>
      <c r="W56" s="1488"/>
      <c r="Y56" s="1490"/>
      <c r="Z56" s="1490"/>
      <c r="AA56" s="1490"/>
      <c r="AB56" s="1490"/>
      <c r="AC56" s="1490"/>
      <c r="AD56" s="1490"/>
      <c r="AE56" s="1490"/>
      <c r="AF56" s="1490"/>
      <c r="AG56" s="1490"/>
      <c r="AH56" s="1490"/>
      <c r="AI56" s="1490"/>
      <c r="AJ56" s="1490"/>
      <c r="AK56" s="1490"/>
      <c r="AL56" s="1490"/>
      <c r="AM56" s="1490"/>
      <c r="AN56" s="1490"/>
      <c r="AO56" s="1490"/>
      <c r="AP56" s="1490"/>
      <c r="AQ56" s="1893"/>
      <c r="AS56" s="1491"/>
      <c r="AT56" s="1491"/>
      <c r="AU56" s="1491"/>
      <c r="AV56" s="1491"/>
      <c r="AW56" s="1491"/>
      <c r="AX56" s="1491"/>
      <c r="AY56" s="1491"/>
      <c r="AZ56" s="1491"/>
      <c r="BA56" s="1491"/>
      <c r="BB56" s="1491"/>
      <c r="BC56" s="1491"/>
      <c r="BD56" s="1491"/>
      <c r="BE56" s="1491"/>
      <c r="BF56" s="1491"/>
      <c r="BG56" s="1491"/>
      <c r="BH56" s="1491"/>
      <c r="BI56" s="1491"/>
      <c r="BJ56" s="1491"/>
      <c r="BK56" s="1491"/>
      <c r="BL56" s="1491"/>
      <c r="BN56" s="1492"/>
      <c r="BO56" s="1492"/>
      <c r="BP56" s="1492"/>
      <c r="BR56" s="3168">
        <f>W56+AQ56+BL56+BP56</f>
        <v>0</v>
      </c>
      <c r="BS56" s="1493"/>
      <c r="BT56" s="1534"/>
      <c r="BU56" s="1508"/>
      <c r="BV56" s="1508"/>
      <c r="BW56" s="1508"/>
      <c r="BX56" s="1508"/>
      <c r="BY56" s="1508"/>
      <c r="BZ56" s="1508"/>
      <c r="CA56" s="1508"/>
      <c r="CB56" s="1508"/>
      <c r="CC56" s="1508"/>
      <c r="CD56" s="1508"/>
      <c r="CE56" s="1508"/>
      <c r="CF56" s="1508"/>
      <c r="CG56" s="1508"/>
      <c r="CH56" s="1508"/>
      <c r="CI56" s="1508"/>
      <c r="CJ56" s="1508"/>
      <c r="CK56" s="1508"/>
      <c r="CL56" s="1508"/>
      <c r="CM56" s="1508"/>
      <c r="CN56" s="1508"/>
      <c r="CO56" s="1508"/>
      <c r="CP56" s="1508"/>
      <c r="CQ56" s="1508"/>
      <c r="CR56" s="1508"/>
      <c r="CS56" s="1508"/>
      <c r="CT56" s="1508"/>
      <c r="CU56" s="1508"/>
      <c r="CV56" s="1508"/>
      <c r="CW56" s="1508"/>
      <c r="CX56" s="1508"/>
      <c r="CY56" s="1508"/>
      <c r="CZ56" s="1508"/>
      <c r="DA56" s="1508"/>
      <c r="DB56" s="1508"/>
      <c r="DC56" s="1508"/>
      <c r="DD56" s="1508"/>
      <c r="DE56" s="1508"/>
      <c r="DF56" s="1508"/>
      <c r="DG56" s="1508"/>
      <c r="DH56" s="1508"/>
      <c r="DI56" s="1508"/>
      <c r="DJ56" s="1508"/>
      <c r="DK56" s="1508"/>
      <c r="DL56" s="1508"/>
      <c r="DN56" s="1509">
        <v>0</v>
      </c>
    </row>
    <row r="57" spans="1:118" s="1578" customFormat="1" ht="12.75" hidden="1" customHeight="1" outlineLevel="1" x14ac:dyDescent="0.2">
      <c r="C57" s="1496"/>
      <c r="D57" s="14"/>
      <c r="E57" s="1592"/>
      <c r="F57" s="14"/>
      <c r="G57" s="1593"/>
      <c r="H57" s="1593"/>
      <c r="I57" s="1593"/>
      <c r="J57" s="1593"/>
      <c r="K57" s="1593"/>
      <c r="L57" s="1593"/>
      <c r="M57" s="1593"/>
      <c r="N57" s="1593"/>
      <c r="O57" s="1594"/>
      <c r="P57" s="1593"/>
      <c r="Q57" s="1593"/>
      <c r="R57" s="1593"/>
      <c r="S57" s="1593"/>
      <c r="T57" s="1593"/>
      <c r="U57" s="1593"/>
      <c r="V57" s="1593"/>
      <c r="W57" s="1593"/>
      <c r="X57" s="14"/>
      <c r="Y57" s="1490">
        <f t="shared" ref="Y57:AP57" ca="1" si="35">IFERROR(INDEX(INDIRECT($C57&amp;".Outputs["&amp;this.Year&amp;"]"), MATCH(Y$5, INDIRECT($C57&amp;".Outputs[Vector]"), 0)), 0)</f>
        <v>0</v>
      </c>
      <c r="Z57" s="1490">
        <f t="shared" ca="1" si="35"/>
        <v>0</v>
      </c>
      <c r="AA57" s="1490">
        <f t="shared" ca="1" si="35"/>
        <v>0</v>
      </c>
      <c r="AB57" s="1490">
        <f t="shared" ca="1" si="35"/>
        <v>0</v>
      </c>
      <c r="AC57" s="1490">
        <f t="shared" ca="1" si="35"/>
        <v>0</v>
      </c>
      <c r="AD57" s="1490">
        <f t="shared" ca="1" si="35"/>
        <v>0</v>
      </c>
      <c r="AE57" s="1490">
        <f t="shared" ca="1" si="35"/>
        <v>0</v>
      </c>
      <c r="AF57" s="1490">
        <f t="shared" ca="1" si="35"/>
        <v>0</v>
      </c>
      <c r="AG57" s="1490">
        <f t="shared" ca="1" si="35"/>
        <v>0</v>
      </c>
      <c r="AH57" s="1490">
        <f t="shared" ca="1" si="35"/>
        <v>0</v>
      </c>
      <c r="AI57" s="1490">
        <f t="shared" ca="1" si="35"/>
        <v>0</v>
      </c>
      <c r="AJ57" s="1490">
        <f t="shared" ca="1" si="35"/>
        <v>0</v>
      </c>
      <c r="AK57" s="1490">
        <f t="shared" ca="1" si="35"/>
        <v>0</v>
      </c>
      <c r="AL57" s="1490">
        <f t="shared" ca="1" si="35"/>
        <v>0</v>
      </c>
      <c r="AM57" s="1490">
        <f t="shared" ca="1" si="35"/>
        <v>0</v>
      </c>
      <c r="AN57" s="1490">
        <f t="shared" ca="1" si="35"/>
        <v>0</v>
      </c>
      <c r="AO57" s="1490">
        <f t="shared" ca="1" si="35"/>
        <v>0</v>
      </c>
      <c r="AP57" s="1490">
        <f t="shared" ca="1" si="35"/>
        <v>0</v>
      </c>
      <c r="AQ57" s="1893">
        <f ca="1">SUM(Y57:AP57)</f>
        <v>0</v>
      </c>
      <c r="AR57" s="14"/>
      <c r="AS57" s="1940">
        <f t="shared" ref="AS57:BK57" ca="1" si="36">IFERROR(INDEX(INDIRECT($C57&amp;".Outputs["&amp;this.Year&amp;"]"), MATCH(AS$5, INDIRECT($C57&amp;".Outputs[Vector]"), 0)), 0)</f>
        <v>0</v>
      </c>
      <c r="AT57" s="1940">
        <f t="shared" ca="1" si="36"/>
        <v>0</v>
      </c>
      <c r="AU57" s="1940">
        <f t="shared" ca="1" si="36"/>
        <v>0</v>
      </c>
      <c r="AV57" s="1940">
        <f t="shared" ca="1" si="36"/>
        <v>0</v>
      </c>
      <c r="AW57" s="1940">
        <f t="shared" ca="1" si="36"/>
        <v>0</v>
      </c>
      <c r="AX57" s="1940">
        <f t="shared" ca="1" si="36"/>
        <v>0</v>
      </c>
      <c r="AY57" s="1940">
        <f t="shared" ca="1" si="36"/>
        <v>0</v>
      </c>
      <c r="AZ57" s="1940">
        <f t="shared" ca="1" si="36"/>
        <v>0</v>
      </c>
      <c r="BA57" s="1940">
        <f t="shared" ca="1" si="36"/>
        <v>0</v>
      </c>
      <c r="BB57" s="1940">
        <f t="shared" ca="1" si="36"/>
        <v>0</v>
      </c>
      <c r="BC57" s="1940">
        <f t="shared" ca="1" si="36"/>
        <v>0</v>
      </c>
      <c r="BD57" s="1940">
        <f t="shared" ca="1" si="36"/>
        <v>0</v>
      </c>
      <c r="BE57" s="1940">
        <f t="shared" ca="1" si="36"/>
        <v>0</v>
      </c>
      <c r="BF57" s="1940">
        <f t="shared" ca="1" si="36"/>
        <v>0</v>
      </c>
      <c r="BG57" s="1940">
        <f t="shared" ca="1" si="36"/>
        <v>0</v>
      </c>
      <c r="BH57" s="1940">
        <f t="shared" ca="1" si="36"/>
        <v>0</v>
      </c>
      <c r="BI57" s="1940">
        <f t="shared" ca="1" si="36"/>
        <v>0</v>
      </c>
      <c r="BJ57" s="1940">
        <f t="shared" ca="1" si="36"/>
        <v>0</v>
      </c>
      <c r="BK57" s="1940">
        <f t="shared" ca="1" si="36"/>
        <v>0</v>
      </c>
      <c r="BL57" s="1952">
        <f ca="1">SUM(AS57:BK57)</f>
        <v>0</v>
      </c>
      <c r="BM57" s="14"/>
      <c r="BN57" s="1941">
        <f ca="1">IFERROR(INDEX(INDIRECT($C57&amp;".Outputs["&amp;this.Year&amp;"]"), MATCH(BN$5, INDIRECT($C57&amp;".Outputs[Vector]"), 0)), 0)</f>
        <v>0</v>
      </c>
      <c r="BO57" s="1941">
        <f ca="1">IFERROR(INDEX(INDIRECT($C57&amp;".Outputs["&amp;this.Year&amp;"]"), MATCH(BO$5, INDIRECT($C57&amp;".Outputs[Vector]"), 0)), 0)</f>
        <v>0</v>
      </c>
      <c r="BP57" s="1505">
        <f ca="1">BN57+BO57</f>
        <v>0</v>
      </c>
      <c r="BQ57" s="14"/>
      <c r="BR57" s="3168">
        <f ca="1">W57+AQ57+BL57+BP57</f>
        <v>0</v>
      </c>
      <c r="BS57" s="1579"/>
      <c r="BU57" s="1595"/>
      <c r="BV57" s="1595"/>
      <c r="BW57" s="1595"/>
      <c r="BX57" s="1595"/>
      <c r="BY57" s="1595"/>
      <c r="BZ57" s="1595"/>
      <c r="CA57" s="1595"/>
      <c r="CB57" s="1595"/>
      <c r="CC57" s="1595"/>
      <c r="CD57" s="1595"/>
      <c r="CE57" s="1595"/>
      <c r="CF57" s="1595"/>
      <c r="CG57" s="1595"/>
      <c r="CH57" s="1595"/>
      <c r="CI57" s="1595"/>
      <c r="CJ57" s="1595"/>
      <c r="CK57" s="1595"/>
      <c r="CL57" s="1595"/>
      <c r="CM57" s="1595"/>
      <c r="CN57" s="1595"/>
      <c r="CO57" s="1595"/>
      <c r="CP57" s="1595"/>
      <c r="CQ57" s="1595"/>
      <c r="CR57" s="1595"/>
      <c r="CS57" s="1595"/>
      <c r="CT57" s="1595"/>
      <c r="CU57" s="1595"/>
      <c r="CV57" s="1595"/>
      <c r="CW57" s="1595"/>
      <c r="CX57" s="1595"/>
      <c r="CY57" s="1595"/>
      <c r="CZ57" s="1595"/>
      <c r="DA57" s="1595"/>
      <c r="DB57" s="1595"/>
      <c r="DC57" s="1595"/>
      <c r="DD57" s="1595"/>
      <c r="DE57" s="1595"/>
      <c r="DF57" s="1595"/>
      <c r="DG57" s="1595"/>
      <c r="DH57" s="1595"/>
      <c r="DI57" s="1595"/>
      <c r="DJ57" s="1595"/>
      <c r="DK57" s="1595"/>
      <c r="DL57" s="1595"/>
      <c r="DN57" s="1509">
        <v>0</v>
      </c>
    </row>
    <row r="58" spans="1:118" s="1522" customFormat="1" ht="12.75" hidden="1" customHeight="1" outlineLevel="1" x14ac:dyDescent="0.2">
      <c r="E58" s="1526"/>
      <c r="F58" s="14"/>
      <c r="G58" s="1540"/>
      <c r="H58" s="1540"/>
      <c r="I58" s="1540"/>
      <c r="J58" s="1540"/>
      <c r="K58" s="1540"/>
      <c r="L58" s="1540"/>
      <c r="M58" s="1540"/>
      <c r="N58" s="1540"/>
      <c r="O58" s="1540"/>
      <c r="P58" s="1540"/>
      <c r="Q58" s="1540"/>
      <c r="R58" s="1540"/>
      <c r="S58" s="1540"/>
      <c r="T58" s="1540"/>
      <c r="U58" s="1540"/>
      <c r="V58" s="1540"/>
      <c r="W58" s="1527"/>
      <c r="X58" s="14"/>
      <c r="Y58" s="1541"/>
      <c r="Z58" s="1541"/>
      <c r="AA58" s="1541"/>
      <c r="AB58" s="1541"/>
      <c r="AC58" s="1541"/>
      <c r="AD58" s="1541"/>
      <c r="AE58" s="1541"/>
      <c r="AF58" s="1541"/>
      <c r="AG58" s="1541"/>
      <c r="AH58" s="1541"/>
      <c r="AI58" s="1541"/>
      <c r="AJ58" s="1541"/>
      <c r="AK58" s="1541"/>
      <c r="AL58" s="1541"/>
      <c r="AM58" s="1541"/>
      <c r="AN58" s="1541"/>
      <c r="AO58" s="1541"/>
      <c r="AP58" s="1541"/>
      <c r="AQ58" s="1953"/>
      <c r="AR58" s="14"/>
      <c r="AS58" s="1542"/>
      <c r="AT58" s="1542"/>
      <c r="AU58" s="1542"/>
      <c r="AV58" s="1542"/>
      <c r="AW58" s="1542"/>
      <c r="AX58" s="1542"/>
      <c r="AY58" s="1542"/>
      <c r="AZ58" s="1542"/>
      <c r="BA58" s="1542"/>
      <c r="BB58" s="1542"/>
      <c r="BC58" s="1542"/>
      <c r="BD58" s="1542"/>
      <c r="BE58" s="1542"/>
      <c r="BF58" s="1542"/>
      <c r="BG58" s="1542"/>
      <c r="BH58" s="1542"/>
      <c r="BI58" s="1542"/>
      <c r="BJ58" s="1542"/>
      <c r="BK58" s="1542"/>
      <c r="BL58" s="1530"/>
      <c r="BM58" s="14"/>
      <c r="BN58" s="1543"/>
      <c r="BO58" s="1543"/>
      <c r="BP58" s="1531"/>
      <c r="BQ58" s="14"/>
      <c r="BR58" s="3168">
        <f>W58+AQ58+BL58+BP58</f>
        <v>0</v>
      </c>
      <c r="BS58" s="1525"/>
      <c r="BT58" s="748"/>
      <c r="BU58" s="1532">
        <v>0</v>
      </c>
      <c r="BV58" s="1533">
        <v>0</v>
      </c>
      <c r="BW58" s="1533">
        <v>0</v>
      </c>
      <c r="BX58" s="1533">
        <v>0</v>
      </c>
      <c r="BY58" s="1533">
        <v>0</v>
      </c>
      <c r="BZ58" s="1533">
        <v>0</v>
      </c>
      <c r="CA58" s="1533">
        <v>0</v>
      </c>
      <c r="CB58" s="1533">
        <v>0</v>
      </c>
      <c r="CC58" s="1533">
        <v>0</v>
      </c>
      <c r="CD58" s="1533">
        <v>0</v>
      </c>
      <c r="CE58" s="1533">
        <v>0</v>
      </c>
      <c r="CF58" s="1533">
        <v>0</v>
      </c>
      <c r="CG58" s="1533">
        <v>0</v>
      </c>
      <c r="CH58" s="1533">
        <v>0</v>
      </c>
      <c r="CI58" s="1533">
        <v>0</v>
      </c>
      <c r="CJ58" s="1533">
        <v>0</v>
      </c>
      <c r="CK58" s="1533">
        <v>0</v>
      </c>
      <c r="CL58" s="1533">
        <v>0</v>
      </c>
      <c r="CM58" s="1533">
        <v>0</v>
      </c>
      <c r="CN58" s="1533">
        <v>0</v>
      </c>
      <c r="CO58" s="1533">
        <v>0</v>
      </c>
      <c r="CP58" s="1533">
        <v>0</v>
      </c>
      <c r="CQ58" s="1533">
        <v>0</v>
      </c>
      <c r="CR58" s="1533">
        <v>0</v>
      </c>
      <c r="CS58" s="1533">
        <v>0</v>
      </c>
      <c r="CT58" s="1533">
        <v>0</v>
      </c>
      <c r="CU58" s="1533">
        <v>0</v>
      </c>
      <c r="CV58" s="1533">
        <v>0</v>
      </c>
      <c r="CW58" s="1533">
        <v>0</v>
      </c>
      <c r="CX58" s="1533">
        <v>0</v>
      </c>
      <c r="CY58" s="1533">
        <v>0</v>
      </c>
      <c r="CZ58" s="1533">
        <v>0</v>
      </c>
      <c r="DA58" s="1533">
        <v>0</v>
      </c>
      <c r="DB58" s="1533">
        <v>0</v>
      </c>
      <c r="DC58" s="1533">
        <v>0</v>
      </c>
      <c r="DD58" s="1533">
        <v>0</v>
      </c>
      <c r="DE58" s="1533">
        <v>0</v>
      </c>
      <c r="DF58" s="1533">
        <v>0</v>
      </c>
      <c r="DG58" s="1533">
        <v>0</v>
      </c>
      <c r="DH58" s="1533">
        <v>0</v>
      </c>
      <c r="DI58" s="1533">
        <v>0</v>
      </c>
      <c r="DJ58" s="1533">
        <v>0</v>
      </c>
      <c r="DK58" s="1533">
        <v>0</v>
      </c>
      <c r="DL58" s="1533">
        <v>0</v>
      </c>
      <c r="DN58" s="1509">
        <v>0</v>
      </c>
    </row>
    <row r="59" spans="1:118" s="14" customFormat="1" ht="15.75" collapsed="1" x14ac:dyDescent="0.2">
      <c r="A59" s="1534"/>
      <c r="B59" s="1535"/>
      <c r="C59" s="1536"/>
      <c r="D59" s="1537"/>
      <c r="E59" s="1538"/>
      <c r="G59" s="1539"/>
      <c r="H59" s="1539"/>
      <c r="I59" s="1539"/>
      <c r="J59" s="1539"/>
      <c r="K59" s="1539"/>
      <c r="L59" s="1539"/>
      <c r="M59" s="1539"/>
      <c r="N59" s="1539"/>
      <c r="O59" s="1539"/>
      <c r="P59" s="1539"/>
      <c r="Q59" s="1539"/>
      <c r="R59" s="1539"/>
      <c r="S59" s="1539"/>
      <c r="T59" s="1539"/>
      <c r="U59" s="1539"/>
      <c r="V59" s="1539"/>
      <c r="W59" s="1539"/>
      <c r="Y59" s="1490">
        <f ca="1">Y57</f>
        <v>0</v>
      </c>
      <c r="Z59" s="1490">
        <f t="shared" ref="Z59:AP59" ca="1" si="37">Z57</f>
        <v>0</v>
      </c>
      <c r="AA59" s="1490">
        <f t="shared" ca="1" si="37"/>
        <v>0</v>
      </c>
      <c r="AB59" s="1490">
        <f t="shared" ca="1" si="37"/>
        <v>0</v>
      </c>
      <c r="AC59" s="1490">
        <f t="shared" ca="1" si="37"/>
        <v>0</v>
      </c>
      <c r="AD59" s="1490">
        <f t="shared" ca="1" si="37"/>
        <v>0</v>
      </c>
      <c r="AE59" s="1490">
        <f t="shared" ca="1" si="37"/>
        <v>0</v>
      </c>
      <c r="AF59" s="1490">
        <f t="shared" ca="1" si="37"/>
        <v>0</v>
      </c>
      <c r="AG59" s="1490">
        <f t="shared" ca="1" si="37"/>
        <v>0</v>
      </c>
      <c r="AH59" s="1490">
        <f t="shared" ca="1" si="37"/>
        <v>0</v>
      </c>
      <c r="AI59" s="1490">
        <f t="shared" ca="1" si="37"/>
        <v>0</v>
      </c>
      <c r="AJ59" s="1490">
        <f t="shared" ca="1" si="37"/>
        <v>0</v>
      </c>
      <c r="AK59" s="1490">
        <f t="shared" ca="1" si="37"/>
        <v>0</v>
      </c>
      <c r="AL59" s="1490">
        <f t="shared" ca="1" si="37"/>
        <v>0</v>
      </c>
      <c r="AM59" s="1490">
        <f t="shared" ca="1" si="37"/>
        <v>0</v>
      </c>
      <c r="AN59" s="1490">
        <f t="shared" ca="1" si="37"/>
        <v>0</v>
      </c>
      <c r="AO59" s="1490">
        <f t="shared" ca="1" si="37"/>
        <v>0</v>
      </c>
      <c r="AP59" s="1490">
        <f t="shared" ca="1" si="37"/>
        <v>0</v>
      </c>
      <c r="AQ59" s="1893">
        <f ca="1">SUM(Y59:AP59)</f>
        <v>0</v>
      </c>
      <c r="AS59" s="1491">
        <f ca="1">AS57</f>
        <v>0</v>
      </c>
      <c r="AT59" s="1491">
        <f t="shared" ref="AT59:BK59" ca="1" si="38">AT57</f>
        <v>0</v>
      </c>
      <c r="AU59" s="1491">
        <f t="shared" ca="1" si="38"/>
        <v>0</v>
      </c>
      <c r="AV59" s="1491">
        <f t="shared" ca="1" si="38"/>
        <v>0</v>
      </c>
      <c r="AW59" s="1491">
        <f t="shared" ca="1" si="38"/>
        <v>0</v>
      </c>
      <c r="AX59" s="1491">
        <f t="shared" ca="1" si="38"/>
        <v>0</v>
      </c>
      <c r="AY59" s="1491">
        <f t="shared" ca="1" si="38"/>
        <v>0</v>
      </c>
      <c r="AZ59" s="1491">
        <f t="shared" ca="1" si="38"/>
        <v>0</v>
      </c>
      <c r="BA59" s="1491">
        <f t="shared" ca="1" si="38"/>
        <v>0</v>
      </c>
      <c r="BB59" s="1491">
        <f t="shared" ca="1" si="38"/>
        <v>0</v>
      </c>
      <c r="BC59" s="1491">
        <f t="shared" ca="1" si="38"/>
        <v>0</v>
      </c>
      <c r="BD59" s="1491">
        <f t="shared" ca="1" si="38"/>
        <v>0</v>
      </c>
      <c r="BE59" s="1491">
        <f t="shared" ca="1" si="38"/>
        <v>0</v>
      </c>
      <c r="BF59" s="1491">
        <f t="shared" ca="1" si="38"/>
        <v>0</v>
      </c>
      <c r="BG59" s="1491">
        <f t="shared" ca="1" si="38"/>
        <v>0</v>
      </c>
      <c r="BH59" s="1491">
        <f t="shared" ca="1" si="38"/>
        <v>0</v>
      </c>
      <c r="BI59" s="1491">
        <f t="shared" ca="1" si="38"/>
        <v>0</v>
      </c>
      <c r="BJ59" s="1491">
        <f t="shared" ca="1" si="38"/>
        <v>0</v>
      </c>
      <c r="BK59" s="1491">
        <f t="shared" ca="1" si="38"/>
        <v>0</v>
      </c>
      <c r="BL59" s="1952">
        <f ca="1">SUM(AS59:BK59)</f>
        <v>0</v>
      </c>
      <c r="BN59" s="1492">
        <f ca="1">BN57</f>
        <v>0</v>
      </c>
      <c r="BO59" s="1492">
        <f ca="1">BO57</f>
        <v>0</v>
      </c>
      <c r="BP59" s="1505">
        <f ca="1">BN59+BO59</f>
        <v>0</v>
      </c>
      <c r="BR59" s="3168">
        <f ca="1">W59+AQ59+BL59+BP59</f>
        <v>0</v>
      </c>
      <c r="BS59" s="1493"/>
      <c r="BT59" s="748"/>
      <c r="BU59" s="1508">
        <v>0</v>
      </c>
      <c r="BV59" s="1508">
        <v>0</v>
      </c>
      <c r="BW59" s="1508">
        <v>0</v>
      </c>
      <c r="BX59" s="1508">
        <v>0</v>
      </c>
      <c r="BY59" s="1508">
        <v>0</v>
      </c>
      <c r="BZ59" s="1508">
        <v>0</v>
      </c>
      <c r="CA59" s="1508">
        <v>0</v>
      </c>
      <c r="CB59" s="1508">
        <v>0</v>
      </c>
      <c r="CC59" s="1508">
        <v>0</v>
      </c>
      <c r="CD59" s="1508">
        <v>0</v>
      </c>
      <c r="CE59" s="1508">
        <v>0</v>
      </c>
      <c r="CF59" s="1508">
        <v>0</v>
      </c>
      <c r="CG59" s="1508">
        <v>0</v>
      </c>
      <c r="CH59" s="1508">
        <v>0</v>
      </c>
      <c r="CI59" s="1508">
        <v>0</v>
      </c>
      <c r="CJ59" s="1508">
        <v>0</v>
      </c>
      <c r="CK59" s="1508">
        <v>0</v>
      </c>
      <c r="CL59" s="1508">
        <v>0</v>
      </c>
      <c r="CM59" s="1508">
        <v>0</v>
      </c>
      <c r="CN59" s="1508">
        <v>0</v>
      </c>
      <c r="CO59" s="1508">
        <v>0</v>
      </c>
      <c r="CP59" s="1508">
        <v>0</v>
      </c>
      <c r="CQ59" s="1508">
        <v>0</v>
      </c>
      <c r="CR59" s="1508">
        <v>0</v>
      </c>
      <c r="CS59" s="1508">
        <v>0</v>
      </c>
      <c r="CT59" s="1508">
        <v>0</v>
      </c>
      <c r="CU59" s="1508">
        <v>0</v>
      </c>
      <c r="CV59" s="1508">
        <v>0</v>
      </c>
      <c r="CW59" s="1508">
        <v>0</v>
      </c>
      <c r="CX59" s="1508">
        <v>0</v>
      </c>
      <c r="CY59" s="1508">
        <v>0</v>
      </c>
      <c r="CZ59" s="1508">
        <v>0</v>
      </c>
      <c r="DA59" s="1508">
        <v>0</v>
      </c>
      <c r="DB59" s="1508">
        <v>0</v>
      </c>
      <c r="DC59" s="1508">
        <v>0</v>
      </c>
      <c r="DD59" s="1508">
        <v>0</v>
      </c>
      <c r="DE59" s="1508">
        <v>0</v>
      </c>
      <c r="DF59" s="1508">
        <v>0</v>
      </c>
      <c r="DG59" s="1508">
        <v>0</v>
      </c>
      <c r="DH59" s="1508">
        <v>0</v>
      </c>
      <c r="DI59" s="1508">
        <v>0</v>
      </c>
      <c r="DJ59" s="1508">
        <v>0</v>
      </c>
      <c r="DK59" s="1508">
        <v>0</v>
      </c>
      <c r="DL59" s="1508">
        <v>0</v>
      </c>
      <c r="DN59" s="1509">
        <v>0</v>
      </c>
    </row>
    <row r="60" spans="1:118" s="14" customFormat="1" ht="15.75" x14ac:dyDescent="0.2">
      <c r="A60" s="1845"/>
      <c r="B60" s="1847"/>
      <c r="C60" s="1842"/>
      <c r="D60" s="1843"/>
      <c r="E60" s="1844"/>
      <c r="G60" s="1539"/>
      <c r="H60" s="1539"/>
      <c r="I60" s="1539"/>
      <c r="J60" s="1539"/>
      <c r="K60" s="1539"/>
      <c r="L60" s="1539"/>
      <c r="M60" s="1539"/>
      <c r="N60" s="1539"/>
      <c r="O60" s="1539"/>
      <c r="P60" s="1539"/>
      <c r="Q60" s="1539"/>
      <c r="R60" s="1539"/>
      <c r="S60" s="1539"/>
      <c r="T60" s="1539"/>
      <c r="U60" s="1539"/>
      <c r="V60" s="1539"/>
      <c r="W60" s="1539"/>
      <c r="Y60" s="1490"/>
      <c r="Z60" s="1490"/>
      <c r="AA60" s="1490"/>
      <c r="AB60" s="1490"/>
      <c r="AC60" s="1490"/>
      <c r="AD60" s="1490"/>
      <c r="AE60" s="1490"/>
      <c r="AF60" s="1490"/>
      <c r="AG60" s="1490"/>
      <c r="AH60" s="1490"/>
      <c r="AI60" s="1490"/>
      <c r="AJ60" s="1490"/>
      <c r="AK60" s="1490"/>
      <c r="AL60" s="1490"/>
      <c r="AM60" s="1490"/>
      <c r="AN60" s="1490"/>
      <c r="AO60" s="1490"/>
      <c r="AP60" s="1490"/>
      <c r="AQ60" s="1490"/>
      <c r="AS60" s="1491"/>
      <c r="AT60" s="1491"/>
      <c r="AU60" s="1491"/>
      <c r="AV60" s="1491"/>
      <c r="AW60" s="1491"/>
      <c r="AX60" s="1491"/>
      <c r="AY60" s="1491"/>
      <c r="AZ60" s="1491"/>
      <c r="BA60" s="1491"/>
      <c r="BB60" s="1491"/>
      <c r="BC60" s="1491"/>
      <c r="BD60" s="1491"/>
      <c r="BE60" s="1491"/>
      <c r="BF60" s="1491"/>
      <c r="BG60" s="1491"/>
      <c r="BH60" s="1491"/>
      <c r="BI60" s="1491"/>
      <c r="BJ60" s="1491"/>
      <c r="BK60" s="1491"/>
      <c r="BL60" s="1491"/>
      <c r="BN60" s="1492"/>
      <c r="BO60" s="1492"/>
      <c r="BP60" s="1492"/>
      <c r="BR60" s="3168"/>
      <c r="BS60" s="1579"/>
      <c r="BT60" s="748"/>
      <c r="BU60" s="1507"/>
      <c r="BV60" s="1508"/>
      <c r="BW60" s="1508"/>
      <c r="BX60" s="1508"/>
      <c r="BY60" s="1508"/>
      <c r="BZ60" s="1508"/>
      <c r="CA60" s="1508"/>
      <c r="CB60" s="1508"/>
      <c r="CC60" s="1508"/>
      <c r="CD60" s="1508"/>
      <c r="CE60" s="1508"/>
      <c r="CF60" s="1508"/>
      <c r="CG60" s="1508"/>
      <c r="CH60" s="1508"/>
      <c r="CI60" s="1508"/>
      <c r="CJ60" s="1508"/>
      <c r="CK60" s="1508"/>
      <c r="CL60" s="1508"/>
      <c r="CM60" s="1508"/>
      <c r="CN60" s="1508"/>
      <c r="CO60" s="1508"/>
      <c r="CP60" s="1508"/>
      <c r="CQ60" s="1508"/>
      <c r="CR60" s="1508"/>
      <c r="CS60" s="1508"/>
      <c r="CT60" s="1508"/>
      <c r="CU60" s="1508"/>
      <c r="CV60" s="1508"/>
      <c r="CW60" s="1508"/>
      <c r="CX60" s="1508"/>
      <c r="CY60" s="1508"/>
      <c r="CZ60" s="1508"/>
      <c r="DA60" s="1508"/>
      <c r="DB60" s="1508"/>
      <c r="DC60" s="1508"/>
      <c r="DD60" s="1508"/>
      <c r="DE60" s="1508"/>
      <c r="DF60" s="1508"/>
      <c r="DG60" s="1508"/>
      <c r="DH60" s="1508"/>
      <c r="DI60" s="1508"/>
      <c r="DJ60" s="1508"/>
      <c r="DK60" s="1508"/>
      <c r="DL60" s="1508"/>
      <c r="DN60" s="1509"/>
    </row>
    <row r="61" spans="1:118" s="14" customFormat="1" outlineLevel="1" x14ac:dyDescent="0.2">
      <c r="C61" s="1580"/>
      <c r="D61" s="746"/>
      <c r="E61" s="1430"/>
      <c r="G61" s="1488"/>
      <c r="H61" s="1488"/>
      <c r="I61" s="1488"/>
      <c r="J61" s="1488"/>
      <c r="K61" s="1488"/>
      <c r="L61" s="1488"/>
      <c r="M61" s="1488"/>
      <c r="N61" s="1488"/>
      <c r="O61" s="1563"/>
      <c r="P61" s="1488"/>
      <c r="Q61" s="1488"/>
      <c r="R61" s="1488"/>
      <c r="S61" s="1488"/>
      <c r="T61" s="1488"/>
      <c r="U61" s="1488"/>
      <c r="V61" s="1488"/>
      <c r="W61" s="1488"/>
      <c r="Y61" s="1490"/>
      <c r="Z61" s="1490"/>
      <c r="AA61" s="1490"/>
      <c r="AB61" s="1490"/>
      <c r="AC61" s="1490"/>
      <c r="AD61" s="1490"/>
      <c r="AE61" s="1490"/>
      <c r="AF61" s="1490"/>
      <c r="AG61" s="1490"/>
      <c r="AH61" s="1490"/>
      <c r="AI61" s="1490"/>
      <c r="AJ61" s="1490"/>
      <c r="AK61" s="1490"/>
      <c r="AL61" s="1490"/>
      <c r="AM61" s="1490"/>
      <c r="AN61" s="1490"/>
      <c r="AO61" s="1490"/>
      <c r="AP61" s="1490"/>
      <c r="AQ61" s="1490"/>
      <c r="AS61" s="1491"/>
      <c r="AT61" s="1491"/>
      <c r="AU61" s="1491"/>
      <c r="AV61" s="1491"/>
      <c r="AW61" s="1491"/>
      <c r="AX61" s="1491"/>
      <c r="AY61" s="1491"/>
      <c r="AZ61" s="1491"/>
      <c r="BA61" s="1491"/>
      <c r="BB61" s="1491"/>
      <c r="BC61" s="1491"/>
      <c r="BD61" s="1491"/>
      <c r="BE61" s="1491"/>
      <c r="BF61" s="1491"/>
      <c r="BG61" s="1491"/>
      <c r="BH61" s="1491"/>
      <c r="BI61" s="1491"/>
      <c r="BJ61" s="1491"/>
      <c r="BK61" s="1491"/>
      <c r="BL61" s="1491"/>
      <c r="BN61" s="1492"/>
      <c r="BO61" s="1492"/>
      <c r="BP61" s="1492"/>
      <c r="BR61" s="3168">
        <f t="shared" si="12"/>
        <v>0</v>
      </c>
      <c r="BS61" s="1493"/>
      <c r="BU61" s="1508"/>
      <c r="BV61" s="1508"/>
      <c r="BW61" s="1508"/>
      <c r="BX61" s="1508"/>
      <c r="BY61" s="1508"/>
      <c r="BZ61" s="1508"/>
      <c r="CA61" s="1508"/>
      <c r="CB61" s="1508"/>
      <c r="CC61" s="1508"/>
      <c r="CD61" s="1508"/>
      <c r="CE61" s="1508"/>
      <c r="CF61" s="1508"/>
      <c r="CG61" s="1508"/>
      <c r="CH61" s="1508"/>
      <c r="CI61" s="1508"/>
      <c r="CJ61" s="1508"/>
      <c r="CK61" s="1508"/>
      <c r="CL61" s="1508"/>
      <c r="CM61" s="1508"/>
      <c r="CN61" s="1508"/>
      <c r="CO61" s="1508"/>
      <c r="CP61" s="1508"/>
      <c r="CQ61" s="1508"/>
      <c r="CR61" s="1508"/>
      <c r="CS61" s="1508"/>
      <c r="CT61" s="1508"/>
      <c r="CU61" s="1508"/>
      <c r="CV61" s="1508"/>
      <c r="CW61" s="1508"/>
      <c r="CX61" s="1508"/>
      <c r="CY61" s="1508"/>
      <c r="CZ61" s="1508"/>
      <c r="DA61" s="1508"/>
      <c r="DB61" s="1508"/>
      <c r="DC61" s="1508"/>
      <c r="DD61" s="1508"/>
      <c r="DE61" s="1508"/>
      <c r="DF61" s="1508"/>
      <c r="DG61" s="1508"/>
      <c r="DH61" s="1508"/>
      <c r="DI61" s="1508"/>
      <c r="DJ61" s="1508"/>
      <c r="DK61" s="1508"/>
      <c r="DL61" s="1508"/>
      <c r="DN61" s="1509"/>
    </row>
    <row r="62" spans="1:118" s="1522" customFormat="1" ht="12.75" customHeight="1" outlineLevel="1" x14ac:dyDescent="0.2">
      <c r="C62" s="1496" t="s">
        <v>208</v>
      </c>
      <c r="D62" s="14" t="str">
        <f>INDEX(Modulos[Modulos], MATCH($C62, Modulos[Código], 0))</f>
        <v>Plantas Eólicas</v>
      </c>
      <c r="E62" s="1497"/>
      <c r="F62" s="14"/>
      <c r="G62" s="1498"/>
      <c r="H62" s="1498"/>
      <c r="I62" s="1498"/>
      <c r="J62" s="1498"/>
      <c r="K62" s="1498"/>
      <c r="L62" s="1498"/>
      <c r="M62" s="1498"/>
      <c r="N62" s="1498"/>
      <c r="O62" s="1498"/>
      <c r="P62" s="1498"/>
      <c r="Q62" s="1498"/>
      <c r="R62" s="1498"/>
      <c r="S62" s="1498"/>
      <c r="T62" s="1498"/>
      <c r="U62" s="1498"/>
      <c r="V62" s="1498"/>
      <c r="W62" s="1499"/>
      <c r="X62" s="14"/>
      <c r="Y62" s="1893">
        <f t="shared" ref="Y62:AN69" ca="1" si="39">IFERROR(INDEX(INDIRECT($C62&amp;".Outputs["&amp;this.Year&amp;"]"), MATCH(Y$5, INDIRECT($C62&amp;".Outputs[Vector]"), 0)), 0)</f>
        <v>0</v>
      </c>
      <c r="Z62" s="1893">
        <f t="shared" ca="1" si="39"/>
        <v>4.6811183999999999</v>
      </c>
      <c r="AA62" s="1893">
        <f t="shared" ca="1" si="39"/>
        <v>0</v>
      </c>
      <c r="AB62" s="1893">
        <f t="shared" ca="1" si="39"/>
        <v>0</v>
      </c>
      <c r="AC62" s="1893">
        <f t="shared" ca="1" si="39"/>
        <v>0</v>
      </c>
      <c r="AD62" s="1893">
        <f t="shared" ca="1" si="39"/>
        <v>0</v>
      </c>
      <c r="AE62" s="1893">
        <f t="shared" ca="1" si="39"/>
        <v>0</v>
      </c>
      <c r="AF62" s="1893">
        <f t="shared" ca="1" si="39"/>
        <v>0</v>
      </c>
      <c r="AG62" s="1893">
        <f t="shared" ca="1" si="39"/>
        <v>0</v>
      </c>
      <c r="AH62" s="1893">
        <f t="shared" ca="1" si="39"/>
        <v>0</v>
      </c>
      <c r="AI62" s="1893">
        <f t="shared" ref="AI62:AP69" ca="1" si="40">IFERROR(INDEX(INDIRECT($C62&amp;".Outputs["&amp;this.Year&amp;"]"), MATCH(AI$5, INDIRECT($C62&amp;".Outputs[Vector]"), 0)), 0)</f>
        <v>0</v>
      </c>
      <c r="AJ62" s="1893">
        <f t="shared" ca="1" si="40"/>
        <v>0</v>
      </c>
      <c r="AK62" s="1893">
        <f t="shared" ca="1" si="40"/>
        <v>0</v>
      </c>
      <c r="AL62" s="1893">
        <f t="shared" ca="1" si="40"/>
        <v>0</v>
      </c>
      <c r="AM62" s="1893">
        <f t="shared" ca="1" si="40"/>
        <v>0</v>
      </c>
      <c r="AN62" s="1893">
        <f t="shared" ca="1" si="40"/>
        <v>0</v>
      </c>
      <c r="AO62" s="1893">
        <f t="shared" ca="1" si="40"/>
        <v>0</v>
      </c>
      <c r="AP62" s="1893">
        <f t="shared" ca="1" si="40"/>
        <v>0</v>
      </c>
      <c r="AQ62" s="1951">
        <f t="shared" ref="AQ62:AQ70" ca="1" si="41">SUM(Y62:AP62)</f>
        <v>4.6811183999999999</v>
      </c>
      <c r="AR62" s="14"/>
      <c r="AS62" s="1948">
        <f t="shared" ref="AS62:BH69" ca="1" si="42">IFERROR(INDEX(INDIRECT($C62&amp;".Outputs["&amp;this.Year&amp;"]"), MATCH(AS$5, INDIRECT($C62&amp;".Outputs[Vector]"), 0)), 0)</f>
        <v>0</v>
      </c>
      <c r="AT62" s="1948">
        <f t="shared" ca="1" si="42"/>
        <v>0</v>
      </c>
      <c r="AU62" s="1948">
        <f t="shared" ca="1" si="42"/>
        <v>0</v>
      </c>
      <c r="AV62" s="1948">
        <f t="shared" ca="1" si="42"/>
        <v>0</v>
      </c>
      <c r="AW62" s="1948">
        <f t="shared" ca="1" si="42"/>
        <v>0</v>
      </c>
      <c r="AX62" s="1948">
        <f t="shared" ca="1" si="42"/>
        <v>0</v>
      </c>
      <c r="AY62" s="1948">
        <f t="shared" ca="1" si="42"/>
        <v>0</v>
      </c>
      <c r="AZ62" s="1948">
        <f t="shared" ca="1" si="42"/>
        <v>0</v>
      </c>
      <c r="BA62" s="1948">
        <f t="shared" ca="1" si="42"/>
        <v>0</v>
      </c>
      <c r="BB62" s="1948">
        <f t="shared" ca="1" si="42"/>
        <v>0</v>
      </c>
      <c r="BC62" s="1948">
        <f t="shared" ref="BC62:BK69" ca="1" si="43">IFERROR(INDEX(INDIRECT($C62&amp;".Outputs["&amp;this.Year&amp;"]"), MATCH(BC$5, INDIRECT($C62&amp;".Outputs[Vector]"), 0)), 0)</f>
        <v>0</v>
      </c>
      <c r="BD62" s="1948">
        <f t="shared" ca="1" si="43"/>
        <v>-4.6811183999999999</v>
      </c>
      <c r="BE62" s="1948">
        <f t="shared" ca="1" si="43"/>
        <v>0</v>
      </c>
      <c r="BF62" s="1948">
        <f t="shared" ca="1" si="43"/>
        <v>0</v>
      </c>
      <c r="BG62" s="1948">
        <f t="shared" ca="1" si="43"/>
        <v>0</v>
      </c>
      <c r="BH62" s="1948">
        <f t="shared" ca="1" si="43"/>
        <v>0</v>
      </c>
      <c r="BI62" s="1948">
        <f t="shared" ca="1" si="43"/>
        <v>0</v>
      </c>
      <c r="BJ62" s="1948">
        <f t="shared" ca="1" si="43"/>
        <v>0</v>
      </c>
      <c r="BK62" s="1948">
        <f t="shared" ca="1" si="43"/>
        <v>0</v>
      </c>
      <c r="BL62" s="1952">
        <f t="shared" ref="BL62:BL70" ca="1" si="44">SUM(AS62:BK62)</f>
        <v>-4.6811183999999999</v>
      </c>
      <c r="BM62" s="14"/>
      <c r="BN62" s="1941">
        <f t="shared" ref="BN62:BO68" ca="1" si="45">IFERROR(INDEX(INDIRECT($C62&amp;".Outputs["&amp;this.Year&amp;"]"), MATCH(BN$5, INDIRECT($C62&amp;".Outputs[Vector]"), 0)), 0)</f>
        <v>0</v>
      </c>
      <c r="BO62" s="1941">
        <f t="shared" ca="1" si="45"/>
        <v>0</v>
      </c>
      <c r="BP62" s="1505">
        <f ca="1">BN62+BO62</f>
        <v>0</v>
      </c>
      <c r="BQ62" s="14"/>
      <c r="BR62" s="3168">
        <f t="shared" ca="1" si="12"/>
        <v>0</v>
      </c>
      <c r="BS62" s="1525"/>
      <c r="BT62" s="748"/>
      <c r="BU62" s="1507">
        <v>0</v>
      </c>
      <c r="BV62" s="1508">
        <v>0</v>
      </c>
      <c r="BW62" s="1508">
        <v>0</v>
      </c>
      <c r="BX62" s="1508">
        <v>0</v>
      </c>
      <c r="BY62" s="1508">
        <v>0</v>
      </c>
      <c r="BZ62" s="1508">
        <v>0</v>
      </c>
      <c r="CA62" s="1508">
        <v>0</v>
      </c>
      <c r="CB62" s="1508">
        <v>0</v>
      </c>
      <c r="CC62" s="1508">
        <v>0</v>
      </c>
      <c r="CD62" s="1508">
        <v>0</v>
      </c>
      <c r="CE62" s="1508">
        <v>0</v>
      </c>
      <c r="CF62" s="1508">
        <v>0</v>
      </c>
      <c r="CG62" s="1508">
        <v>0</v>
      </c>
      <c r="CH62" s="1508">
        <v>0</v>
      </c>
      <c r="CI62" s="1508">
        <v>0</v>
      </c>
      <c r="CJ62" s="1508">
        <v>0</v>
      </c>
      <c r="CK62" s="1508">
        <v>0</v>
      </c>
      <c r="CL62" s="1508">
        <v>0</v>
      </c>
      <c r="CM62" s="1508">
        <v>0</v>
      </c>
      <c r="CN62" s="1508">
        <v>0</v>
      </c>
      <c r="CO62" s="1508">
        <v>0</v>
      </c>
      <c r="CP62" s="1508">
        <v>0</v>
      </c>
      <c r="CQ62" s="1508">
        <v>0</v>
      </c>
      <c r="CR62" s="1508">
        <v>0</v>
      </c>
      <c r="CS62" s="1508">
        <v>0</v>
      </c>
      <c r="CT62" s="1508">
        <v>0</v>
      </c>
      <c r="CU62" s="1508">
        <v>0</v>
      </c>
      <c r="CV62" s="1508">
        <v>0</v>
      </c>
      <c r="CW62" s="1508">
        <v>0</v>
      </c>
      <c r="CX62" s="1508">
        <v>0</v>
      </c>
      <c r="CY62" s="1508">
        <v>0</v>
      </c>
      <c r="CZ62" s="1508">
        <v>0</v>
      </c>
      <c r="DA62" s="1508">
        <v>0</v>
      </c>
      <c r="DB62" s="1508">
        <v>0</v>
      </c>
      <c r="DC62" s="1508">
        <v>0</v>
      </c>
      <c r="DD62" s="1508">
        <v>0</v>
      </c>
      <c r="DE62" s="1508">
        <v>0</v>
      </c>
      <c r="DF62" s="1508">
        <v>0</v>
      </c>
      <c r="DG62" s="1508">
        <v>0</v>
      </c>
      <c r="DH62" s="1508">
        <v>0</v>
      </c>
      <c r="DI62" s="1508">
        <v>0</v>
      </c>
      <c r="DJ62" s="1508">
        <v>0</v>
      </c>
      <c r="DK62" s="1508">
        <v>0</v>
      </c>
      <c r="DL62" s="1508">
        <v>0</v>
      </c>
      <c r="DN62" s="1509">
        <v>0</v>
      </c>
    </row>
    <row r="63" spans="1:118" s="1522" customFormat="1" ht="12.75" customHeight="1" outlineLevel="1" x14ac:dyDescent="0.2">
      <c r="C63" s="1496" t="s">
        <v>246</v>
      </c>
      <c r="D63" s="14" t="str">
        <f>INDEX(Modulos[Modulos], MATCH($C63, Modulos[Código], 0))</f>
        <v>Mini Hidráulica de Pasada</v>
      </c>
      <c r="E63" s="1497"/>
      <c r="F63" s="14"/>
      <c r="G63" s="1498"/>
      <c r="H63" s="1498"/>
      <c r="I63" s="1498"/>
      <c r="J63" s="1498"/>
      <c r="K63" s="1498"/>
      <c r="L63" s="1498"/>
      <c r="M63" s="1498"/>
      <c r="N63" s="1498"/>
      <c r="O63" s="1498"/>
      <c r="P63" s="1498"/>
      <c r="Q63" s="1498"/>
      <c r="R63" s="1498"/>
      <c r="S63" s="1498"/>
      <c r="T63" s="1498"/>
      <c r="U63" s="1498"/>
      <c r="V63" s="1498"/>
      <c r="W63" s="1499"/>
      <c r="X63" s="14"/>
      <c r="Y63" s="1893">
        <f t="shared" ca="1" si="39"/>
        <v>0</v>
      </c>
      <c r="Z63" s="1893">
        <f t="shared" ca="1" si="39"/>
        <v>2.3142240000000003</v>
      </c>
      <c r="AA63" s="1893">
        <f t="shared" ca="1" si="39"/>
        <v>0</v>
      </c>
      <c r="AB63" s="1893">
        <f t="shared" ca="1" si="39"/>
        <v>0</v>
      </c>
      <c r="AC63" s="1893">
        <f t="shared" ca="1" si="39"/>
        <v>0</v>
      </c>
      <c r="AD63" s="1893">
        <f t="shared" ca="1" si="39"/>
        <v>0</v>
      </c>
      <c r="AE63" s="1893">
        <f t="shared" ca="1" si="39"/>
        <v>0</v>
      </c>
      <c r="AF63" s="1893">
        <f t="shared" ca="1" si="39"/>
        <v>0</v>
      </c>
      <c r="AG63" s="1893">
        <f t="shared" ca="1" si="39"/>
        <v>0</v>
      </c>
      <c r="AH63" s="1893">
        <f t="shared" ca="1" si="39"/>
        <v>0</v>
      </c>
      <c r="AI63" s="1893">
        <f t="shared" ca="1" si="40"/>
        <v>0</v>
      </c>
      <c r="AJ63" s="1893">
        <f t="shared" ca="1" si="40"/>
        <v>0</v>
      </c>
      <c r="AK63" s="1893">
        <f t="shared" ca="1" si="40"/>
        <v>0</v>
      </c>
      <c r="AL63" s="1893">
        <f t="shared" ca="1" si="40"/>
        <v>0</v>
      </c>
      <c r="AM63" s="1893">
        <f t="shared" ca="1" si="40"/>
        <v>0</v>
      </c>
      <c r="AN63" s="1893">
        <f t="shared" ca="1" si="40"/>
        <v>0</v>
      </c>
      <c r="AO63" s="1893">
        <f t="shared" ca="1" si="40"/>
        <v>0</v>
      </c>
      <c r="AP63" s="1893">
        <f t="shared" ca="1" si="40"/>
        <v>0</v>
      </c>
      <c r="AQ63" s="1951">
        <f t="shared" ca="1" si="41"/>
        <v>2.3142240000000003</v>
      </c>
      <c r="AR63" s="14"/>
      <c r="AS63" s="1948">
        <f t="shared" ca="1" si="42"/>
        <v>0</v>
      </c>
      <c r="AT63" s="1948">
        <f t="shared" ca="1" si="42"/>
        <v>0</v>
      </c>
      <c r="AU63" s="1948">
        <f t="shared" ca="1" si="42"/>
        <v>0</v>
      </c>
      <c r="AV63" s="1948">
        <f t="shared" ca="1" si="42"/>
        <v>0</v>
      </c>
      <c r="AW63" s="1948">
        <f t="shared" ca="1" si="42"/>
        <v>0</v>
      </c>
      <c r="AX63" s="1948">
        <f t="shared" ca="1" si="42"/>
        <v>0</v>
      </c>
      <c r="AY63" s="1948">
        <f t="shared" ca="1" si="42"/>
        <v>0</v>
      </c>
      <c r="AZ63" s="1948">
        <f t="shared" ca="1" si="42"/>
        <v>0</v>
      </c>
      <c r="BA63" s="1948">
        <f t="shared" ca="1" si="42"/>
        <v>0</v>
      </c>
      <c r="BB63" s="1948">
        <f t="shared" ca="1" si="42"/>
        <v>0</v>
      </c>
      <c r="BC63" s="1948">
        <f t="shared" ca="1" si="43"/>
        <v>0</v>
      </c>
      <c r="BD63" s="1948">
        <f t="shared" ca="1" si="43"/>
        <v>0</v>
      </c>
      <c r="BE63" s="1948">
        <f t="shared" ca="1" si="43"/>
        <v>0</v>
      </c>
      <c r="BF63" s="1948">
        <f t="shared" ca="1" si="43"/>
        <v>0</v>
      </c>
      <c r="BG63" s="1948">
        <f t="shared" ca="1" si="43"/>
        <v>0</v>
      </c>
      <c r="BH63" s="1948">
        <f t="shared" ca="1" si="43"/>
        <v>-2.3142240000000003</v>
      </c>
      <c r="BI63" s="1948">
        <f t="shared" ca="1" si="43"/>
        <v>0</v>
      </c>
      <c r="BJ63" s="1948">
        <f t="shared" ca="1" si="43"/>
        <v>0</v>
      </c>
      <c r="BK63" s="1948">
        <f t="shared" ca="1" si="43"/>
        <v>0</v>
      </c>
      <c r="BL63" s="1952">
        <f t="shared" ca="1" si="44"/>
        <v>-2.3142240000000003</v>
      </c>
      <c r="BM63" s="14"/>
      <c r="BN63" s="1941">
        <f t="shared" ca="1" si="45"/>
        <v>0</v>
      </c>
      <c r="BO63" s="1941">
        <f t="shared" ca="1" si="45"/>
        <v>0</v>
      </c>
      <c r="BP63" s="1505">
        <f t="shared" ref="BP63:BP68" ca="1" si="46">BN63+BO63</f>
        <v>0</v>
      </c>
      <c r="BQ63" s="14"/>
      <c r="BR63" s="3168">
        <f t="shared" ca="1" si="12"/>
        <v>0</v>
      </c>
      <c r="BS63" s="1525"/>
      <c r="BT63" s="748"/>
      <c r="BU63" s="1507">
        <v>0</v>
      </c>
      <c r="BV63" s="1508">
        <v>0</v>
      </c>
      <c r="BW63" s="1508">
        <v>0</v>
      </c>
      <c r="BX63" s="1508">
        <v>0</v>
      </c>
      <c r="BY63" s="1508">
        <v>0</v>
      </c>
      <c r="BZ63" s="1508">
        <v>0</v>
      </c>
      <c r="CA63" s="1508">
        <v>0</v>
      </c>
      <c r="CB63" s="1508">
        <v>0</v>
      </c>
      <c r="CC63" s="1508">
        <v>0</v>
      </c>
      <c r="CD63" s="1508">
        <v>0</v>
      </c>
      <c r="CE63" s="1508">
        <v>0</v>
      </c>
      <c r="CF63" s="1508">
        <v>0</v>
      </c>
      <c r="CG63" s="1508">
        <v>0</v>
      </c>
      <c r="CH63" s="1508">
        <v>0</v>
      </c>
      <c r="CI63" s="1508">
        <v>0</v>
      </c>
      <c r="CJ63" s="1508">
        <v>0</v>
      </c>
      <c r="CK63" s="1508">
        <v>0</v>
      </c>
      <c r="CL63" s="1508">
        <v>0</v>
      </c>
      <c r="CM63" s="1508">
        <v>0</v>
      </c>
      <c r="CN63" s="1508">
        <v>0</v>
      </c>
      <c r="CO63" s="1508">
        <v>0</v>
      </c>
      <c r="CP63" s="1508">
        <v>0</v>
      </c>
      <c r="CQ63" s="1508">
        <v>0</v>
      </c>
      <c r="CR63" s="1508">
        <v>0</v>
      </c>
      <c r="CS63" s="1508">
        <v>0</v>
      </c>
      <c r="CT63" s="1508">
        <v>0</v>
      </c>
      <c r="CU63" s="1508">
        <v>0</v>
      </c>
      <c r="CV63" s="1508">
        <v>0</v>
      </c>
      <c r="CW63" s="1508">
        <v>0</v>
      </c>
      <c r="CX63" s="1508">
        <v>0</v>
      </c>
      <c r="CY63" s="1508">
        <v>0</v>
      </c>
      <c r="CZ63" s="1508">
        <v>0</v>
      </c>
      <c r="DA63" s="1508">
        <v>0</v>
      </c>
      <c r="DB63" s="1508">
        <v>0</v>
      </c>
      <c r="DC63" s="1508">
        <v>0</v>
      </c>
      <c r="DD63" s="1508">
        <v>0</v>
      </c>
      <c r="DE63" s="1508">
        <v>0</v>
      </c>
      <c r="DF63" s="1508">
        <v>0</v>
      </c>
      <c r="DG63" s="1508">
        <v>0</v>
      </c>
      <c r="DH63" s="1508">
        <v>0</v>
      </c>
      <c r="DI63" s="1508">
        <v>0</v>
      </c>
      <c r="DJ63" s="1508">
        <v>0</v>
      </c>
      <c r="DK63" s="1508">
        <v>0</v>
      </c>
      <c r="DL63" s="1508">
        <v>0</v>
      </c>
      <c r="DN63" s="1509">
        <v>0</v>
      </c>
    </row>
    <row r="64" spans="1:118" s="1522" customFormat="1" ht="12.75" customHeight="1" outlineLevel="1" x14ac:dyDescent="0.2">
      <c r="C64" s="1496" t="s">
        <v>258</v>
      </c>
      <c r="D64" s="14" t="str">
        <f>INDEX(Modulos[Modulos], MATCH($C64, Modulos[Código], 0))</f>
        <v>Hidráulica de Pasada</v>
      </c>
      <c r="E64" s="1497"/>
      <c r="F64" s="14"/>
      <c r="G64" s="1498"/>
      <c r="H64" s="1498"/>
      <c r="I64" s="1498"/>
      <c r="J64" s="1498"/>
      <c r="K64" s="1498"/>
      <c r="L64" s="1498"/>
      <c r="M64" s="1498"/>
      <c r="N64" s="1498"/>
      <c r="O64" s="1498"/>
      <c r="P64" s="1498"/>
      <c r="Q64" s="1498"/>
      <c r="R64" s="1498"/>
      <c r="S64" s="1498"/>
      <c r="T64" s="1498"/>
      <c r="U64" s="1498"/>
      <c r="V64" s="1498"/>
      <c r="W64" s="1499"/>
      <c r="X64" s="14"/>
      <c r="Y64" s="1893">
        <f t="shared" ca="1" si="39"/>
        <v>0</v>
      </c>
      <c r="Z64" s="1893">
        <f t="shared" ca="1" si="39"/>
        <v>6.6485727000000008</v>
      </c>
      <c r="AA64" s="1893">
        <f t="shared" ca="1" si="39"/>
        <v>0</v>
      </c>
      <c r="AB64" s="1893">
        <f t="shared" ca="1" si="39"/>
        <v>0</v>
      </c>
      <c r="AC64" s="1893">
        <f t="shared" ca="1" si="39"/>
        <v>0</v>
      </c>
      <c r="AD64" s="1893">
        <f t="shared" ca="1" si="39"/>
        <v>0</v>
      </c>
      <c r="AE64" s="1893">
        <f t="shared" ca="1" si="39"/>
        <v>0</v>
      </c>
      <c r="AF64" s="1893">
        <f t="shared" ca="1" si="39"/>
        <v>0</v>
      </c>
      <c r="AG64" s="1893">
        <f t="shared" ca="1" si="39"/>
        <v>0</v>
      </c>
      <c r="AH64" s="1893">
        <f t="shared" ca="1" si="39"/>
        <v>0</v>
      </c>
      <c r="AI64" s="1893">
        <f t="shared" ca="1" si="40"/>
        <v>0</v>
      </c>
      <c r="AJ64" s="1893">
        <f t="shared" ca="1" si="40"/>
        <v>0</v>
      </c>
      <c r="AK64" s="1893">
        <f t="shared" ca="1" si="40"/>
        <v>0</v>
      </c>
      <c r="AL64" s="1893">
        <f t="shared" ca="1" si="40"/>
        <v>0</v>
      </c>
      <c r="AM64" s="1893">
        <f t="shared" ca="1" si="40"/>
        <v>0</v>
      </c>
      <c r="AN64" s="1893">
        <f t="shared" ca="1" si="40"/>
        <v>0</v>
      </c>
      <c r="AO64" s="1893">
        <f t="shared" ca="1" si="40"/>
        <v>0</v>
      </c>
      <c r="AP64" s="1893">
        <f t="shared" ca="1" si="40"/>
        <v>0</v>
      </c>
      <c r="AQ64" s="1951">
        <f t="shared" ca="1" si="41"/>
        <v>6.6485727000000008</v>
      </c>
      <c r="AR64" s="14"/>
      <c r="AS64" s="1948">
        <f t="shared" ca="1" si="42"/>
        <v>0</v>
      </c>
      <c r="AT64" s="1948">
        <f t="shared" ca="1" si="42"/>
        <v>0</v>
      </c>
      <c r="AU64" s="1948">
        <f t="shared" ca="1" si="42"/>
        <v>0</v>
      </c>
      <c r="AV64" s="1948">
        <f t="shared" ca="1" si="42"/>
        <v>0</v>
      </c>
      <c r="AW64" s="1948">
        <f t="shared" ca="1" si="42"/>
        <v>0</v>
      </c>
      <c r="AX64" s="1948">
        <f t="shared" ca="1" si="42"/>
        <v>0</v>
      </c>
      <c r="AY64" s="1948">
        <f t="shared" ca="1" si="42"/>
        <v>0</v>
      </c>
      <c r="AZ64" s="1948">
        <f t="shared" ca="1" si="42"/>
        <v>0</v>
      </c>
      <c r="BA64" s="1948">
        <f t="shared" ca="1" si="42"/>
        <v>0</v>
      </c>
      <c r="BB64" s="1948">
        <f t="shared" ca="1" si="42"/>
        <v>0</v>
      </c>
      <c r="BC64" s="1948">
        <f t="shared" ca="1" si="43"/>
        <v>0</v>
      </c>
      <c r="BD64" s="1948">
        <f t="shared" ca="1" si="43"/>
        <v>0</v>
      </c>
      <c r="BE64" s="1948">
        <f t="shared" ca="1" si="43"/>
        <v>0</v>
      </c>
      <c r="BF64" s="1948">
        <f t="shared" ca="1" si="43"/>
        <v>0</v>
      </c>
      <c r="BG64" s="1948">
        <f t="shared" ca="1" si="43"/>
        <v>0</v>
      </c>
      <c r="BH64" s="1948">
        <f t="shared" ca="1" si="43"/>
        <v>-6.6485727000000008</v>
      </c>
      <c r="BI64" s="1948">
        <f t="shared" ca="1" si="43"/>
        <v>0</v>
      </c>
      <c r="BJ64" s="1948">
        <f t="shared" ca="1" si="43"/>
        <v>0</v>
      </c>
      <c r="BK64" s="1948">
        <f t="shared" ca="1" si="43"/>
        <v>0</v>
      </c>
      <c r="BL64" s="1952">
        <f t="shared" ca="1" si="44"/>
        <v>-6.6485727000000008</v>
      </c>
      <c r="BM64" s="14"/>
      <c r="BN64" s="1941">
        <f t="shared" ca="1" si="45"/>
        <v>0</v>
      </c>
      <c r="BO64" s="1941">
        <f t="shared" ca="1" si="45"/>
        <v>0</v>
      </c>
      <c r="BP64" s="1505">
        <f t="shared" ca="1" si="46"/>
        <v>0</v>
      </c>
      <c r="BQ64" s="14"/>
      <c r="BR64" s="3168">
        <f t="shared" ca="1" si="12"/>
        <v>0</v>
      </c>
      <c r="BS64" s="1525"/>
      <c r="BT64" s="748"/>
      <c r="BU64" s="1507">
        <v>0</v>
      </c>
      <c r="BV64" s="1508">
        <v>0</v>
      </c>
      <c r="BW64" s="1508">
        <v>0</v>
      </c>
      <c r="BX64" s="1508">
        <v>0</v>
      </c>
      <c r="BY64" s="1508">
        <v>0</v>
      </c>
      <c r="BZ64" s="1508">
        <v>0</v>
      </c>
      <c r="CA64" s="1508">
        <v>0</v>
      </c>
      <c r="CB64" s="1508">
        <v>0</v>
      </c>
      <c r="CC64" s="1508">
        <v>0</v>
      </c>
      <c r="CD64" s="1508">
        <v>0</v>
      </c>
      <c r="CE64" s="1508">
        <v>0</v>
      </c>
      <c r="CF64" s="1508">
        <v>0</v>
      </c>
      <c r="CG64" s="1508">
        <v>0</v>
      </c>
      <c r="CH64" s="1508">
        <v>0</v>
      </c>
      <c r="CI64" s="1508">
        <v>0</v>
      </c>
      <c r="CJ64" s="1508">
        <v>0</v>
      </c>
      <c r="CK64" s="1508">
        <v>0</v>
      </c>
      <c r="CL64" s="1508">
        <v>0</v>
      </c>
      <c r="CM64" s="1508">
        <v>0</v>
      </c>
      <c r="CN64" s="1508">
        <v>0</v>
      </c>
      <c r="CO64" s="1508">
        <v>0</v>
      </c>
      <c r="CP64" s="1508">
        <v>0</v>
      </c>
      <c r="CQ64" s="1508">
        <v>0</v>
      </c>
      <c r="CR64" s="1508">
        <v>0</v>
      </c>
      <c r="CS64" s="1508">
        <v>0</v>
      </c>
      <c r="CT64" s="1508">
        <v>0</v>
      </c>
      <c r="CU64" s="1508">
        <v>0</v>
      </c>
      <c r="CV64" s="1508">
        <v>0</v>
      </c>
      <c r="CW64" s="1508">
        <v>0</v>
      </c>
      <c r="CX64" s="1508">
        <v>0</v>
      </c>
      <c r="CY64" s="1508">
        <v>0</v>
      </c>
      <c r="CZ64" s="1508">
        <v>0</v>
      </c>
      <c r="DA64" s="1508">
        <v>0</v>
      </c>
      <c r="DB64" s="1508">
        <v>0</v>
      </c>
      <c r="DC64" s="1508">
        <v>0</v>
      </c>
      <c r="DD64" s="1508">
        <v>0</v>
      </c>
      <c r="DE64" s="1508">
        <v>0</v>
      </c>
      <c r="DF64" s="1508">
        <v>0</v>
      </c>
      <c r="DG64" s="1508">
        <v>0</v>
      </c>
      <c r="DH64" s="1508">
        <v>0</v>
      </c>
      <c r="DI64" s="1508">
        <v>0</v>
      </c>
      <c r="DJ64" s="1508">
        <v>0</v>
      </c>
      <c r="DK64" s="1508">
        <v>0</v>
      </c>
      <c r="DL64" s="1508">
        <v>0</v>
      </c>
      <c r="DN64" s="1509">
        <v>0</v>
      </c>
    </row>
    <row r="65" spans="1:118" s="1522" customFormat="1" ht="12.75" customHeight="1" outlineLevel="1" x14ac:dyDescent="0.2">
      <c r="C65" s="1496" t="s">
        <v>267</v>
      </c>
      <c r="D65" s="14" t="str">
        <f>INDEX(Modulos[Modulos], MATCH($C65, Modulos[Código], 0))</f>
        <v>Hidráulica de Embalse</v>
      </c>
      <c r="E65" s="1497"/>
      <c r="F65" s="14"/>
      <c r="G65" s="1498"/>
      <c r="H65" s="1498"/>
      <c r="I65" s="1498"/>
      <c r="J65" s="1498"/>
      <c r="K65" s="1498"/>
      <c r="L65" s="1498"/>
      <c r="M65" s="1498"/>
      <c r="N65" s="1498"/>
      <c r="O65" s="1498"/>
      <c r="P65" s="1498"/>
      <c r="Q65" s="1498"/>
      <c r="R65" s="1498"/>
      <c r="S65" s="1498"/>
      <c r="T65" s="1498"/>
      <c r="U65" s="1498"/>
      <c r="V65" s="1498"/>
      <c r="W65" s="1499"/>
      <c r="X65" s="14"/>
      <c r="Y65" s="1893">
        <f t="shared" ca="1" si="39"/>
        <v>0</v>
      </c>
      <c r="Z65" s="1893">
        <f t="shared" ca="1" si="39"/>
        <v>14.190400800000001</v>
      </c>
      <c r="AA65" s="1893">
        <f t="shared" ca="1" si="39"/>
        <v>0</v>
      </c>
      <c r="AB65" s="1893">
        <f t="shared" ca="1" si="39"/>
        <v>0</v>
      </c>
      <c r="AC65" s="1893">
        <f t="shared" ca="1" si="39"/>
        <v>0</v>
      </c>
      <c r="AD65" s="1893">
        <f t="shared" ca="1" si="39"/>
        <v>0</v>
      </c>
      <c r="AE65" s="1893">
        <f t="shared" ca="1" si="39"/>
        <v>0</v>
      </c>
      <c r="AF65" s="1893">
        <f t="shared" ca="1" si="39"/>
        <v>0</v>
      </c>
      <c r="AG65" s="1893">
        <f t="shared" ca="1" si="39"/>
        <v>0</v>
      </c>
      <c r="AH65" s="1893">
        <f t="shared" ca="1" si="39"/>
        <v>0</v>
      </c>
      <c r="AI65" s="1893">
        <f t="shared" ca="1" si="40"/>
        <v>0</v>
      </c>
      <c r="AJ65" s="1893">
        <f t="shared" ca="1" si="40"/>
        <v>0</v>
      </c>
      <c r="AK65" s="1893">
        <f t="shared" ca="1" si="40"/>
        <v>0</v>
      </c>
      <c r="AL65" s="1893">
        <f t="shared" ca="1" si="40"/>
        <v>0</v>
      </c>
      <c r="AM65" s="1893">
        <f t="shared" ca="1" si="40"/>
        <v>0</v>
      </c>
      <c r="AN65" s="1893">
        <f t="shared" ca="1" si="40"/>
        <v>0</v>
      </c>
      <c r="AO65" s="1893">
        <f t="shared" ca="1" si="40"/>
        <v>0</v>
      </c>
      <c r="AP65" s="1893">
        <f t="shared" ca="1" si="40"/>
        <v>0</v>
      </c>
      <c r="AQ65" s="1951">
        <f t="shared" ca="1" si="41"/>
        <v>14.190400800000001</v>
      </c>
      <c r="AR65" s="14"/>
      <c r="AS65" s="1948">
        <f t="shared" ca="1" si="42"/>
        <v>0</v>
      </c>
      <c r="AT65" s="1948">
        <f t="shared" ca="1" si="42"/>
        <v>0</v>
      </c>
      <c r="AU65" s="1948">
        <f t="shared" ca="1" si="42"/>
        <v>0</v>
      </c>
      <c r="AV65" s="1948">
        <f t="shared" ca="1" si="42"/>
        <v>0</v>
      </c>
      <c r="AW65" s="1948">
        <f t="shared" ca="1" si="42"/>
        <v>0</v>
      </c>
      <c r="AX65" s="1948">
        <f t="shared" ca="1" si="42"/>
        <v>0</v>
      </c>
      <c r="AY65" s="1948">
        <f t="shared" ca="1" si="42"/>
        <v>0</v>
      </c>
      <c r="AZ65" s="1948">
        <f t="shared" ca="1" si="42"/>
        <v>0</v>
      </c>
      <c r="BA65" s="1948">
        <f t="shared" ca="1" si="42"/>
        <v>0</v>
      </c>
      <c r="BB65" s="1948">
        <f t="shared" ca="1" si="42"/>
        <v>0</v>
      </c>
      <c r="BC65" s="1948">
        <f t="shared" ca="1" si="43"/>
        <v>0</v>
      </c>
      <c r="BD65" s="1948">
        <f t="shared" ca="1" si="43"/>
        <v>0</v>
      </c>
      <c r="BE65" s="1948">
        <f t="shared" ca="1" si="43"/>
        <v>0</v>
      </c>
      <c r="BF65" s="1948">
        <f t="shared" ca="1" si="43"/>
        <v>0</v>
      </c>
      <c r="BG65" s="1948">
        <f t="shared" ca="1" si="43"/>
        <v>0</v>
      </c>
      <c r="BH65" s="1948">
        <f t="shared" ca="1" si="43"/>
        <v>-14.190400800000001</v>
      </c>
      <c r="BI65" s="1948">
        <f t="shared" ca="1" si="43"/>
        <v>0</v>
      </c>
      <c r="BJ65" s="1948">
        <f t="shared" ca="1" si="43"/>
        <v>0</v>
      </c>
      <c r="BK65" s="1948">
        <f t="shared" ca="1" si="43"/>
        <v>0</v>
      </c>
      <c r="BL65" s="1952">
        <f t="shared" ca="1" si="44"/>
        <v>-14.190400800000001</v>
      </c>
      <c r="BM65" s="14"/>
      <c r="BN65" s="1941">
        <f t="shared" ca="1" si="45"/>
        <v>0</v>
      </c>
      <c r="BO65" s="1941">
        <f t="shared" ca="1" si="45"/>
        <v>0</v>
      </c>
      <c r="BP65" s="1505">
        <f t="shared" ca="1" si="46"/>
        <v>0</v>
      </c>
      <c r="BQ65" s="14"/>
      <c r="BR65" s="3168">
        <f t="shared" ca="1" si="12"/>
        <v>0</v>
      </c>
      <c r="BS65" s="1525"/>
      <c r="BT65" s="748"/>
      <c r="BU65" s="1507">
        <v>0</v>
      </c>
      <c r="BV65" s="1508">
        <v>0</v>
      </c>
      <c r="BW65" s="1508">
        <v>0</v>
      </c>
      <c r="BX65" s="1508">
        <v>0</v>
      </c>
      <c r="BY65" s="1508">
        <v>0</v>
      </c>
      <c r="BZ65" s="1508">
        <v>0</v>
      </c>
      <c r="CA65" s="1508">
        <v>0</v>
      </c>
      <c r="CB65" s="1508">
        <v>0</v>
      </c>
      <c r="CC65" s="1508">
        <v>0</v>
      </c>
      <c r="CD65" s="1508">
        <v>0</v>
      </c>
      <c r="CE65" s="1508">
        <v>0</v>
      </c>
      <c r="CF65" s="1508">
        <v>0</v>
      </c>
      <c r="CG65" s="1508">
        <v>0</v>
      </c>
      <c r="CH65" s="1508">
        <v>0</v>
      </c>
      <c r="CI65" s="1508">
        <v>0</v>
      </c>
      <c r="CJ65" s="1508">
        <v>0</v>
      </c>
      <c r="CK65" s="1508">
        <v>0</v>
      </c>
      <c r="CL65" s="1508">
        <v>0</v>
      </c>
      <c r="CM65" s="1508">
        <v>0</v>
      </c>
      <c r="CN65" s="1508">
        <v>0</v>
      </c>
      <c r="CO65" s="1508">
        <v>0</v>
      </c>
      <c r="CP65" s="1508">
        <v>0</v>
      </c>
      <c r="CQ65" s="1508">
        <v>0</v>
      </c>
      <c r="CR65" s="1508">
        <v>0</v>
      </c>
      <c r="CS65" s="1508">
        <v>0</v>
      </c>
      <c r="CT65" s="1508">
        <v>0</v>
      </c>
      <c r="CU65" s="1508">
        <v>0</v>
      </c>
      <c r="CV65" s="1508">
        <v>0</v>
      </c>
      <c r="CW65" s="1508">
        <v>0</v>
      </c>
      <c r="CX65" s="1508">
        <v>0</v>
      </c>
      <c r="CY65" s="1508">
        <v>0</v>
      </c>
      <c r="CZ65" s="1508">
        <v>0</v>
      </c>
      <c r="DA65" s="1508">
        <v>0</v>
      </c>
      <c r="DB65" s="1508">
        <v>0</v>
      </c>
      <c r="DC65" s="1508">
        <v>0</v>
      </c>
      <c r="DD65" s="1508">
        <v>0</v>
      </c>
      <c r="DE65" s="1508">
        <v>0</v>
      </c>
      <c r="DF65" s="1508">
        <v>0</v>
      </c>
      <c r="DG65" s="1508">
        <v>0</v>
      </c>
      <c r="DH65" s="1508">
        <v>0</v>
      </c>
      <c r="DI65" s="1508">
        <v>0</v>
      </c>
      <c r="DJ65" s="1508">
        <v>0</v>
      </c>
      <c r="DK65" s="1508">
        <v>0</v>
      </c>
      <c r="DL65" s="1508">
        <v>0</v>
      </c>
      <c r="DN65" s="1509">
        <v>0</v>
      </c>
    </row>
    <row r="66" spans="1:118" s="1522" customFormat="1" ht="12.75" customHeight="1" outlineLevel="1" x14ac:dyDescent="0.2">
      <c r="C66" s="1496" t="s">
        <v>58</v>
      </c>
      <c r="D66" s="14" t="str">
        <f>INDEX(Modulos[Modulos], MATCH($C66, Modulos[Código], 0))</f>
        <v>Mareomotriz y Undimotriz</v>
      </c>
      <c r="E66" s="1497"/>
      <c r="F66" s="14"/>
      <c r="G66" s="1498"/>
      <c r="H66" s="1498"/>
      <c r="I66" s="1498"/>
      <c r="J66" s="1498"/>
      <c r="K66" s="1498"/>
      <c r="L66" s="1498"/>
      <c r="M66" s="1498"/>
      <c r="N66" s="1498"/>
      <c r="O66" s="1498"/>
      <c r="P66" s="1498"/>
      <c r="Q66" s="1498"/>
      <c r="R66" s="1498"/>
      <c r="S66" s="1498"/>
      <c r="T66" s="1498"/>
      <c r="U66" s="1498"/>
      <c r="V66" s="1498"/>
      <c r="W66" s="1499"/>
      <c r="X66" s="14"/>
      <c r="Y66" s="1893">
        <f t="shared" ca="1" si="39"/>
        <v>0</v>
      </c>
      <c r="Z66" s="1893">
        <f t="shared" ca="1" si="39"/>
        <v>0</v>
      </c>
      <c r="AA66" s="1893">
        <f t="shared" ca="1" si="39"/>
        <v>0</v>
      </c>
      <c r="AB66" s="1893">
        <f t="shared" ca="1" si="39"/>
        <v>0</v>
      </c>
      <c r="AC66" s="1893">
        <f t="shared" ca="1" si="39"/>
        <v>0</v>
      </c>
      <c r="AD66" s="1893">
        <f t="shared" ca="1" si="39"/>
        <v>0</v>
      </c>
      <c r="AE66" s="1893">
        <f t="shared" ca="1" si="39"/>
        <v>0</v>
      </c>
      <c r="AF66" s="1893">
        <f t="shared" ca="1" si="39"/>
        <v>0</v>
      </c>
      <c r="AG66" s="1893">
        <f t="shared" ca="1" si="39"/>
        <v>0</v>
      </c>
      <c r="AH66" s="1893">
        <f t="shared" ca="1" si="39"/>
        <v>0</v>
      </c>
      <c r="AI66" s="1893">
        <f t="shared" ca="1" si="40"/>
        <v>0</v>
      </c>
      <c r="AJ66" s="1893">
        <f t="shared" ca="1" si="40"/>
        <v>0</v>
      </c>
      <c r="AK66" s="1893">
        <f t="shared" ca="1" si="40"/>
        <v>0</v>
      </c>
      <c r="AL66" s="1893">
        <f t="shared" ca="1" si="40"/>
        <v>0</v>
      </c>
      <c r="AM66" s="1893">
        <f t="shared" ca="1" si="40"/>
        <v>0</v>
      </c>
      <c r="AN66" s="1893">
        <f t="shared" ca="1" si="40"/>
        <v>0</v>
      </c>
      <c r="AO66" s="1893">
        <f t="shared" ca="1" si="40"/>
        <v>0</v>
      </c>
      <c r="AP66" s="1893">
        <f t="shared" ca="1" si="40"/>
        <v>0</v>
      </c>
      <c r="AQ66" s="1951">
        <f t="shared" ca="1" si="41"/>
        <v>0</v>
      </c>
      <c r="AR66" s="14"/>
      <c r="AS66" s="1948">
        <f t="shared" ca="1" si="42"/>
        <v>0</v>
      </c>
      <c r="AT66" s="1948">
        <f t="shared" ca="1" si="42"/>
        <v>0</v>
      </c>
      <c r="AU66" s="1948">
        <f t="shared" ca="1" si="42"/>
        <v>0</v>
      </c>
      <c r="AV66" s="1948">
        <f t="shared" ca="1" si="42"/>
        <v>0</v>
      </c>
      <c r="AW66" s="1948">
        <f t="shared" ca="1" si="42"/>
        <v>0</v>
      </c>
      <c r="AX66" s="1948">
        <f t="shared" ca="1" si="42"/>
        <v>0</v>
      </c>
      <c r="AY66" s="1948">
        <f t="shared" ca="1" si="42"/>
        <v>0</v>
      </c>
      <c r="AZ66" s="1948">
        <f t="shared" ca="1" si="42"/>
        <v>0</v>
      </c>
      <c r="BA66" s="1948">
        <f t="shared" ca="1" si="42"/>
        <v>0</v>
      </c>
      <c r="BB66" s="1948">
        <f t="shared" ca="1" si="42"/>
        <v>0</v>
      </c>
      <c r="BC66" s="1948">
        <f t="shared" ca="1" si="43"/>
        <v>0</v>
      </c>
      <c r="BD66" s="1948">
        <f t="shared" ca="1" si="43"/>
        <v>0</v>
      </c>
      <c r="BE66" s="1948">
        <f t="shared" ca="1" si="43"/>
        <v>0</v>
      </c>
      <c r="BF66" s="1948">
        <f t="shared" ca="1" si="43"/>
        <v>0</v>
      </c>
      <c r="BG66" s="1948">
        <f t="shared" ca="1" si="43"/>
        <v>0</v>
      </c>
      <c r="BH66" s="1948">
        <f t="shared" ca="1" si="43"/>
        <v>0</v>
      </c>
      <c r="BI66" s="1948">
        <f t="shared" ca="1" si="43"/>
        <v>0</v>
      </c>
      <c r="BJ66" s="1948">
        <f t="shared" ca="1" si="43"/>
        <v>0</v>
      </c>
      <c r="BK66" s="1948">
        <f t="shared" ca="1" si="43"/>
        <v>0</v>
      </c>
      <c r="BL66" s="1952">
        <f t="shared" ca="1" si="44"/>
        <v>0</v>
      </c>
      <c r="BM66" s="14"/>
      <c r="BN66" s="1941">
        <f t="shared" ca="1" si="45"/>
        <v>0</v>
      </c>
      <c r="BO66" s="1941">
        <f t="shared" ca="1" si="45"/>
        <v>0</v>
      </c>
      <c r="BP66" s="1505">
        <f t="shared" ca="1" si="46"/>
        <v>0</v>
      </c>
      <c r="BQ66" s="14"/>
      <c r="BR66" s="3168">
        <f t="shared" ca="1" si="12"/>
        <v>0</v>
      </c>
      <c r="BS66" s="1525"/>
      <c r="BT66" s="748"/>
      <c r="BU66" s="1507">
        <v>0</v>
      </c>
      <c r="BV66" s="1508">
        <v>0</v>
      </c>
      <c r="BW66" s="1508">
        <v>0</v>
      </c>
      <c r="BX66" s="1508">
        <v>0</v>
      </c>
      <c r="BY66" s="1508">
        <v>0</v>
      </c>
      <c r="BZ66" s="1508">
        <v>0</v>
      </c>
      <c r="CA66" s="1508">
        <v>0</v>
      </c>
      <c r="CB66" s="1508">
        <v>0</v>
      </c>
      <c r="CC66" s="1508">
        <v>0</v>
      </c>
      <c r="CD66" s="1508">
        <v>0</v>
      </c>
      <c r="CE66" s="1508">
        <v>0</v>
      </c>
      <c r="CF66" s="1508">
        <v>0</v>
      </c>
      <c r="CG66" s="1508">
        <v>0</v>
      </c>
      <c r="CH66" s="1508">
        <v>0</v>
      </c>
      <c r="CI66" s="1508">
        <v>0</v>
      </c>
      <c r="CJ66" s="1508">
        <v>0</v>
      </c>
      <c r="CK66" s="1508">
        <v>0</v>
      </c>
      <c r="CL66" s="1508">
        <v>0</v>
      </c>
      <c r="CM66" s="1508">
        <v>0</v>
      </c>
      <c r="CN66" s="1508">
        <v>0</v>
      </c>
      <c r="CO66" s="1508">
        <v>0</v>
      </c>
      <c r="CP66" s="1508">
        <v>0</v>
      </c>
      <c r="CQ66" s="1508">
        <v>0</v>
      </c>
      <c r="CR66" s="1508">
        <v>0</v>
      </c>
      <c r="CS66" s="1508">
        <v>0</v>
      </c>
      <c r="CT66" s="1508">
        <v>0</v>
      </c>
      <c r="CU66" s="1508">
        <v>0</v>
      </c>
      <c r="CV66" s="1508">
        <v>0</v>
      </c>
      <c r="CW66" s="1508">
        <v>0</v>
      </c>
      <c r="CX66" s="1508">
        <v>0</v>
      </c>
      <c r="CY66" s="1508">
        <v>0</v>
      </c>
      <c r="CZ66" s="1508">
        <v>0</v>
      </c>
      <c r="DA66" s="1508">
        <v>0</v>
      </c>
      <c r="DB66" s="1508">
        <v>0</v>
      </c>
      <c r="DC66" s="1508">
        <v>0</v>
      </c>
      <c r="DD66" s="1508">
        <v>0</v>
      </c>
      <c r="DE66" s="1508">
        <v>0</v>
      </c>
      <c r="DF66" s="1508">
        <v>0</v>
      </c>
      <c r="DG66" s="1508">
        <v>0</v>
      </c>
      <c r="DH66" s="1508">
        <v>0</v>
      </c>
      <c r="DI66" s="1508">
        <v>0</v>
      </c>
      <c r="DJ66" s="1508">
        <v>0</v>
      </c>
      <c r="DK66" s="1508">
        <v>0</v>
      </c>
      <c r="DL66" s="1508">
        <v>0</v>
      </c>
      <c r="DN66" s="1509">
        <v>0</v>
      </c>
    </row>
    <row r="67" spans="1:118" s="1522" customFormat="1" ht="12.75" customHeight="1" outlineLevel="1" x14ac:dyDescent="0.2">
      <c r="C67" s="1496" t="s">
        <v>60</v>
      </c>
      <c r="D67" s="14" t="str">
        <f>INDEX(Modulos[Modulos], MATCH($C67, Modulos[Código], 0))</f>
        <v>Geotérmica</v>
      </c>
      <c r="E67" s="1497"/>
      <c r="F67" s="14"/>
      <c r="G67" s="1498"/>
      <c r="H67" s="1498"/>
      <c r="I67" s="1498"/>
      <c r="J67" s="1498"/>
      <c r="K67" s="1498"/>
      <c r="L67" s="1498"/>
      <c r="M67" s="1498"/>
      <c r="N67" s="1498"/>
      <c r="O67" s="1498"/>
      <c r="P67" s="1498"/>
      <c r="Q67" s="1498"/>
      <c r="R67" s="1498"/>
      <c r="S67" s="1498"/>
      <c r="T67" s="1498"/>
      <c r="U67" s="1498"/>
      <c r="V67" s="1498"/>
      <c r="W67" s="1499"/>
      <c r="X67" s="14"/>
      <c r="Y67" s="1893">
        <f t="shared" ca="1" si="39"/>
        <v>0</v>
      </c>
      <c r="Z67" s="1893">
        <f t="shared" ca="1" si="39"/>
        <v>0.35064000000000006</v>
      </c>
      <c r="AA67" s="1893">
        <f t="shared" ca="1" si="39"/>
        <v>0</v>
      </c>
      <c r="AB67" s="1893">
        <f t="shared" ca="1" si="39"/>
        <v>0</v>
      </c>
      <c r="AC67" s="1893">
        <f t="shared" ca="1" si="39"/>
        <v>0</v>
      </c>
      <c r="AD67" s="1893">
        <f t="shared" ca="1" si="39"/>
        <v>0</v>
      </c>
      <c r="AE67" s="1893">
        <f t="shared" ca="1" si="39"/>
        <v>0</v>
      </c>
      <c r="AF67" s="1893">
        <f t="shared" ca="1" si="39"/>
        <v>0</v>
      </c>
      <c r="AG67" s="1893">
        <f t="shared" ca="1" si="39"/>
        <v>0</v>
      </c>
      <c r="AH67" s="1893">
        <f t="shared" ca="1" si="39"/>
        <v>0</v>
      </c>
      <c r="AI67" s="1893">
        <f t="shared" ca="1" si="40"/>
        <v>0</v>
      </c>
      <c r="AJ67" s="1893">
        <f t="shared" ca="1" si="40"/>
        <v>0</v>
      </c>
      <c r="AK67" s="1893">
        <f t="shared" ca="1" si="40"/>
        <v>0</v>
      </c>
      <c r="AL67" s="1893">
        <f t="shared" ca="1" si="40"/>
        <v>0</v>
      </c>
      <c r="AM67" s="1893">
        <f t="shared" ca="1" si="40"/>
        <v>0</v>
      </c>
      <c r="AN67" s="1893">
        <f t="shared" ca="1" si="40"/>
        <v>0</v>
      </c>
      <c r="AO67" s="1893">
        <f t="shared" ca="1" si="40"/>
        <v>0</v>
      </c>
      <c r="AP67" s="1893">
        <f t="shared" ca="1" si="40"/>
        <v>0</v>
      </c>
      <c r="AQ67" s="1951">
        <f t="shared" ca="1" si="41"/>
        <v>0.35064000000000006</v>
      </c>
      <c r="AR67" s="14"/>
      <c r="AS67" s="1948">
        <f t="shared" ca="1" si="42"/>
        <v>0</v>
      </c>
      <c r="AT67" s="1948">
        <f t="shared" ca="1" si="42"/>
        <v>0</v>
      </c>
      <c r="AU67" s="1948">
        <f t="shared" ca="1" si="42"/>
        <v>0</v>
      </c>
      <c r="AV67" s="1948">
        <f t="shared" ca="1" si="42"/>
        <v>0</v>
      </c>
      <c r="AW67" s="1948">
        <f t="shared" ca="1" si="42"/>
        <v>0</v>
      </c>
      <c r="AX67" s="1948">
        <f t="shared" ca="1" si="42"/>
        <v>0</v>
      </c>
      <c r="AY67" s="1948">
        <f t="shared" ca="1" si="42"/>
        <v>0</v>
      </c>
      <c r="AZ67" s="1948">
        <f t="shared" ca="1" si="42"/>
        <v>0</v>
      </c>
      <c r="BA67" s="1948">
        <f t="shared" ca="1" si="42"/>
        <v>0</v>
      </c>
      <c r="BB67" s="1948">
        <f t="shared" ca="1" si="42"/>
        <v>0</v>
      </c>
      <c r="BC67" s="1948">
        <f t="shared" ca="1" si="43"/>
        <v>0</v>
      </c>
      <c r="BD67" s="1948">
        <f t="shared" ca="1" si="43"/>
        <v>0</v>
      </c>
      <c r="BE67" s="1948">
        <f t="shared" ca="1" si="43"/>
        <v>0</v>
      </c>
      <c r="BF67" s="1948">
        <f t="shared" ca="1" si="43"/>
        <v>0</v>
      </c>
      <c r="BG67" s="1948">
        <f t="shared" ca="1" si="43"/>
        <v>-0.35064000000000006</v>
      </c>
      <c r="BH67" s="1948">
        <f t="shared" ca="1" si="43"/>
        <v>0</v>
      </c>
      <c r="BI67" s="1948">
        <f t="shared" ca="1" si="43"/>
        <v>0</v>
      </c>
      <c r="BJ67" s="1948">
        <f t="shared" ca="1" si="43"/>
        <v>0</v>
      </c>
      <c r="BK67" s="1948">
        <f t="shared" ca="1" si="43"/>
        <v>0</v>
      </c>
      <c r="BL67" s="1952">
        <f t="shared" ca="1" si="44"/>
        <v>-0.35064000000000006</v>
      </c>
      <c r="BM67" s="14"/>
      <c r="BN67" s="1941">
        <f t="shared" ca="1" si="45"/>
        <v>0</v>
      </c>
      <c r="BO67" s="1941">
        <f t="shared" ca="1" si="45"/>
        <v>0</v>
      </c>
      <c r="BP67" s="1505">
        <f t="shared" ca="1" si="46"/>
        <v>0</v>
      </c>
      <c r="BQ67" s="14"/>
      <c r="BR67" s="3168">
        <f t="shared" ca="1" si="12"/>
        <v>0</v>
      </c>
      <c r="BS67" s="1525"/>
      <c r="BT67" s="748"/>
      <c r="BU67" s="1507"/>
      <c r="BV67" s="1508"/>
      <c r="BW67" s="1508"/>
      <c r="BX67" s="1508"/>
      <c r="BY67" s="1508"/>
      <c r="BZ67" s="1508"/>
      <c r="CA67" s="1508"/>
      <c r="CB67" s="1508"/>
      <c r="CC67" s="1508"/>
      <c r="CD67" s="1508"/>
      <c r="CE67" s="1508"/>
      <c r="CF67" s="1508"/>
      <c r="CG67" s="1508"/>
      <c r="CH67" s="1508"/>
      <c r="CI67" s="1508"/>
      <c r="CJ67" s="1508"/>
      <c r="CK67" s="1508"/>
      <c r="CL67" s="1508"/>
      <c r="CM67" s="1508"/>
      <c r="CN67" s="1508"/>
      <c r="CO67" s="1508"/>
      <c r="CP67" s="1508"/>
      <c r="CQ67" s="1508"/>
      <c r="CR67" s="1508"/>
      <c r="CS67" s="1508"/>
      <c r="CT67" s="1508"/>
      <c r="CU67" s="1508"/>
      <c r="CV67" s="1508"/>
      <c r="CW67" s="1508"/>
      <c r="CX67" s="1508"/>
      <c r="CY67" s="1508"/>
      <c r="CZ67" s="1508"/>
      <c r="DA67" s="1508"/>
      <c r="DB67" s="1508"/>
      <c r="DC67" s="1508"/>
      <c r="DD67" s="1508"/>
      <c r="DE67" s="1508"/>
      <c r="DF67" s="1508"/>
      <c r="DG67" s="1508"/>
      <c r="DH67" s="1508"/>
      <c r="DI67" s="1508"/>
      <c r="DJ67" s="1508"/>
      <c r="DK67" s="1508"/>
      <c r="DL67" s="1508"/>
      <c r="DN67" s="1509"/>
    </row>
    <row r="68" spans="1:118" s="1522" customFormat="1" ht="12.75" customHeight="1" outlineLevel="1" x14ac:dyDescent="0.2">
      <c r="C68" s="1496" t="s">
        <v>311</v>
      </c>
      <c r="D68" s="14" t="str">
        <f>INDEX(Modulos[Modulos], MATCH($C68, Modulos[Código], 0))</f>
        <v>Plantas Solares</v>
      </c>
      <c r="E68" s="1497"/>
      <c r="F68" s="14"/>
      <c r="G68" s="1498"/>
      <c r="H68" s="1498"/>
      <c r="I68" s="1498"/>
      <c r="J68" s="1498"/>
      <c r="K68" s="1498"/>
      <c r="L68" s="1498"/>
      <c r="M68" s="1498"/>
      <c r="N68" s="1498"/>
      <c r="O68" s="1498"/>
      <c r="P68" s="1498"/>
      <c r="Q68" s="1498"/>
      <c r="R68" s="1498"/>
      <c r="S68" s="1498"/>
      <c r="T68" s="1498"/>
      <c r="U68" s="1498"/>
      <c r="V68" s="1498"/>
      <c r="W68" s="1499"/>
      <c r="X68" s="14"/>
      <c r="Y68" s="1893">
        <f ca="1">IFERROR(INDEX(INDIRECT($C68&amp;".Outputs["&amp;this.Year&amp;"]"), MATCH(Y$5, INDIRECT($C68&amp;".Outputs[Vector]"), 0)), 0)</f>
        <v>0</v>
      </c>
      <c r="Z68" s="1893">
        <f t="shared" ca="1" si="39"/>
        <v>4.8028037400000008</v>
      </c>
      <c r="AA68" s="1893">
        <f t="shared" ca="1" si="39"/>
        <v>0</v>
      </c>
      <c r="AB68" s="1893">
        <f t="shared" ca="1" si="39"/>
        <v>0</v>
      </c>
      <c r="AC68" s="1893">
        <f t="shared" ca="1" si="39"/>
        <v>0</v>
      </c>
      <c r="AD68" s="1893">
        <f t="shared" ca="1" si="39"/>
        <v>0</v>
      </c>
      <c r="AE68" s="1893">
        <f t="shared" ca="1" si="39"/>
        <v>0</v>
      </c>
      <c r="AF68" s="1893">
        <f t="shared" ca="1" si="39"/>
        <v>0</v>
      </c>
      <c r="AG68" s="1893">
        <f t="shared" ca="1" si="39"/>
        <v>0</v>
      </c>
      <c r="AH68" s="1893">
        <f t="shared" ca="1" si="39"/>
        <v>0</v>
      </c>
      <c r="AI68" s="1893">
        <f t="shared" ca="1" si="40"/>
        <v>0</v>
      </c>
      <c r="AJ68" s="1893">
        <f t="shared" ca="1" si="40"/>
        <v>0</v>
      </c>
      <c r="AK68" s="1893">
        <f t="shared" ca="1" si="40"/>
        <v>0</v>
      </c>
      <c r="AL68" s="1893">
        <f t="shared" ca="1" si="40"/>
        <v>0</v>
      </c>
      <c r="AM68" s="1893">
        <f t="shared" ca="1" si="40"/>
        <v>0</v>
      </c>
      <c r="AN68" s="1893">
        <f t="shared" ca="1" si="40"/>
        <v>0</v>
      </c>
      <c r="AO68" s="1893">
        <f t="shared" ca="1" si="40"/>
        <v>0</v>
      </c>
      <c r="AP68" s="1893">
        <f t="shared" ca="1" si="40"/>
        <v>0</v>
      </c>
      <c r="AQ68" s="1951">
        <f t="shared" ca="1" si="41"/>
        <v>4.8028037400000008</v>
      </c>
      <c r="AR68" s="14"/>
      <c r="AS68" s="1948">
        <f ca="1">IFERROR(INDEX(INDIRECT($C68&amp;".Outputs["&amp;this.Year&amp;"]"), MATCH(AS$5, INDIRECT($C68&amp;".Outputs[Vector]"), 0)), 0)</f>
        <v>0</v>
      </c>
      <c r="AT68" s="1948">
        <f t="shared" ca="1" si="42"/>
        <v>0</v>
      </c>
      <c r="AU68" s="1948">
        <f t="shared" ca="1" si="42"/>
        <v>0</v>
      </c>
      <c r="AV68" s="1948">
        <f t="shared" ca="1" si="42"/>
        <v>0</v>
      </c>
      <c r="AW68" s="1948">
        <f t="shared" ca="1" si="42"/>
        <v>0</v>
      </c>
      <c r="AX68" s="1948">
        <f t="shared" ca="1" si="42"/>
        <v>0</v>
      </c>
      <c r="AY68" s="1948">
        <f t="shared" ca="1" si="42"/>
        <v>0</v>
      </c>
      <c r="AZ68" s="1948">
        <f t="shared" ca="1" si="42"/>
        <v>0</v>
      </c>
      <c r="BA68" s="1948">
        <f t="shared" ca="1" si="42"/>
        <v>0</v>
      </c>
      <c r="BB68" s="1948">
        <f t="shared" ca="1" si="42"/>
        <v>0</v>
      </c>
      <c r="BC68" s="1948">
        <f t="shared" ca="1" si="43"/>
        <v>-4.9966200000000009</v>
      </c>
      <c r="BD68" s="1948">
        <f t="shared" ca="1" si="43"/>
        <v>0</v>
      </c>
      <c r="BE68" s="1948">
        <f t="shared" ca="1" si="43"/>
        <v>0</v>
      </c>
      <c r="BF68" s="1948">
        <f t="shared" ca="1" si="43"/>
        <v>0</v>
      </c>
      <c r="BG68" s="1948">
        <f t="shared" ca="1" si="43"/>
        <v>0</v>
      </c>
      <c r="BH68" s="1948">
        <f t="shared" ca="1" si="43"/>
        <v>0</v>
      </c>
      <c r="BI68" s="1948">
        <f t="shared" ca="1" si="43"/>
        <v>0</v>
      </c>
      <c r="BJ68" s="1948">
        <f t="shared" ca="1" si="43"/>
        <v>0</v>
      </c>
      <c r="BK68" s="1948">
        <f t="shared" ca="1" si="43"/>
        <v>0</v>
      </c>
      <c r="BL68" s="1952">
        <f t="shared" ca="1" si="44"/>
        <v>-4.9966200000000009</v>
      </c>
      <c r="BM68" s="14"/>
      <c r="BN68" s="1941">
        <f t="shared" ca="1" si="45"/>
        <v>0.19381625999999999</v>
      </c>
      <c r="BO68" s="1941">
        <f t="shared" ca="1" si="45"/>
        <v>0</v>
      </c>
      <c r="BP68" s="1505">
        <f t="shared" ca="1" si="46"/>
        <v>0.19381625999999999</v>
      </c>
      <c r="BQ68" s="14"/>
      <c r="BR68" s="3168">
        <f t="shared" ca="1" si="12"/>
        <v>0</v>
      </c>
      <c r="BS68" s="1525"/>
      <c r="BT68" s="748"/>
      <c r="BU68" s="1507"/>
      <c r="BV68" s="1508"/>
      <c r="BW68" s="1508"/>
      <c r="BX68" s="1508"/>
      <c r="BY68" s="1508"/>
      <c r="BZ68" s="1508"/>
      <c r="CA68" s="1508"/>
      <c r="CB68" s="1508"/>
      <c r="CC68" s="1508"/>
      <c r="CD68" s="1508"/>
      <c r="CE68" s="1508"/>
      <c r="CF68" s="1508"/>
      <c r="CG68" s="1508"/>
      <c r="CH68" s="1508"/>
      <c r="CI68" s="1508"/>
      <c r="CJ68" s="1508"/>
      <c r="CK68" s="1508"/>
      <c r="CL68" s="1508"/>
      <c r="CM68" s="1508"/>
      <c r="CN68" s="1508"/>
      <c r="CO68" s="1508"/>
      <c r="CP68" s="1508"/>
      <c r="CQ68" s="1508"/>
      <c r="CR68" s="1508"/>
      <c r="CS68" s="1508"/>
      <c r="CT68" s="1508"/>
      <c r="CU68" s="1508"/>
      <c r="CV68" s="1508"/>
      <c r="CW68" s="1508"/>
      <c r="CX68" s="1508"/>
      <c r="CY68" s="1508"/>
      <c r="CZ68" s="1508"/>
      <c r="DA68" s="1508"/>
      <c r="DB68" s="1508"/>
      <c r="DC68" s="1508"/>
      <c r="DD68" s="1508"/>
      <c r="DE68" s="1508"/>
      <c r="DF68" s="1508"/>
      <c r="DG68" s="1508"/>
      <c r="DH68" s="1508"/>
      <c r="DI68" s="1508"/>
      <c r="DJ68" s="1508"/>
      <c r="DK68" s="1508"/>
      <c r="DL68" s="1508"/>
      <c r="DN68" s="1509"/>
    </row>
    <row r="69" spans="1:118" s="14" customFormat="1" ht="12.75" customHeight="1" outlineLevel="1" x14ac:dyDescent="0.2">
      <c r="A69" s="1522"/>
      <c r="B69" s="1522"/>
      <c r="C69" s="1496"/>
      <c r="E69" s="1526"/>
      <c r="G69" s="1540"/>
      <c r="H69" s="1540"/>
      <c r="I69" s="1540"/>
      <c r="J69" s="1540"/>
      <c r="K69" s="1540"/>
      <c r="L69" s="1540"/>
      <c r="M69" s="1540"/>
      <c r="N69" s="1540"/>
      <c r="O69" s="1540"/>
      <c r="P69" s="1540"/>
      <c r="Q69" s="1540"/>
      <c r="R69" s="1540"/>
      <c r="S69" s="1540"/>
      <c r="T69" s="1540"/>
      <c r="U69" s="1540"/>
      <c r="V69" s="1540"/>
      <c r="W69" s="1527"/>
      <c r="Y69" s="1541">
        <f ca="1">IFERROR(INDEX(INDIRECT($C69&amp;".Outputs["&amp;this.Year&amp;"]"), MATCH(Y$5, INDIRECT($C69&amp;".Outputs[Vector]"), 0)), 0)</f>
        <v>0</v>
      </c>
      <c r="Z69" s="1541">
        <f t="shared" ca="1" si="39"/>
        <v>0</v>
      </c>
      <c r="AA69" s="1541">
        <f t="shared" ca="1" si="39"/>
        <v>0</v>
      </c>
      <c r="AB69" s="1541">
        <f t="shared" ca="1" si="39"/>
        <v>0</v>
      </c>
      <c r="AC69" s="1541">
        <f t="shared" ca="1" si="39"/>
        <v>0</v>
      </c>
      <c r="AD69" s="1541">
        <f t="shared" ca="1" si="39"/>
        <v>0</v>
      </c>
      <c r="AE69" s="1541">
        <f t="shared" ca="1" si="39"/>
        <v>0</v>
      </c>
      <c r="AF69" s="1541">
        <f t="shared" ca="1" si="39"/>
        <v>0</v>
      </c>
      <c r="AG69" s="1541">
        <f t="shared" ca="1" si="39"/>
        <v>0</v>
      </c>
      <c r="AH69" s="1541">
        <f t="shared" ca="1" si="39"/>
        <v>0</v>
      </c>
      <c r="AI69" s="1541">
        <f t="shared" ca="1" si="39"/>
        <v>0</v>
      </c>
      <c r="AJ69" s="1541">
        <f t="shared" ca="1" si="39"/>
        <v>0</v>
      </c>
      <c r="AK69" s="1541">
        <f t="shared" ca="1" si="40"/>
        <v>0</v>
      </c>
      <c r="AL69" s="1541">
        <f t="shared" ca="1" si="39"/>
        <v>0</v>
      </c>
      <c r="AM69" s="1541">
        <f t="shared" ca="1" si="39"/>
        <v>0</v>
      </c>
      <c r="AN69" s="1541">
        <f t="shared" ca="1" si="39"/>
        <v>0</v>
      </c>
      <c r="AO69" s="1541">
        <f t="shared" ca="1" si="40"/>
        <v>0</v>
      </c>
      <c r="AP69" s="1541">
        <f t="shared" ca="1" si="40"/>
        <v>0</v>
      </c>
      <c r="AQ69" s="1951">
        <f t="shared" ca="1" si="41"/>
        <v>0</v>
      </c>
      <c r="AS69" s="1542">
        <f ca="1">IFERROR(INDEX(INDIRECT($C69&amp;".Outputs["&amp;this.Year&amp;"]"), MATCH(AS$5, INDIRECT($C69&amp;".Outputs[Vector]"), 0)), 0)</f>
        <v>0</v>
      </c>
      <c r="AT69" s="1542">
        <f t="shared" ca="1" si="42"/>
        <v>0</v>
      </c>
      <c r="AU69" s="1542">
        <f t="shared" ca="1" si="42"/>
        <v>0</v>
      </c>
      <c r="AV69" s="1542">
        <f t="shared" ca="1" si="42"/>
        <v>0</v>
      </c>
      <c r="AW69" s="1542">
        <f t="shared" ca="1" si="42"/>
        <v>0</v>
      </c>
      <c r="AX69" s="1542">
        <f t="shared" ca="1" si="42"/>
        <v>0</v>
      </c>
      <c r="AY69" s="1542">
        <f t="shared" ca="1" si="42"/>
        <v>0</v>
      </c>
      <c r="AZ69" s="1542">
        <f t="shared" ca="1" si="42"/>
        <v>0</v>
      </c>
      <c r="BA69" s="1542">
        <f t="shared" ca="1" si="42"/>
        <v>0</v>
      </c>
      <c r="BB69" s="1542">
        <f t="shared" ca="1" si="42"/>
        <v>0</v>
      </c>
      <c r="BC69" s="1542">
        <f t="shared" ca="1" si="42"/>
        <v>0</v>
      </c>
      <c r="BD69" s="1542">
        <f t="shared" ca="1" si="42"/>
        <v>0</v>
      </c>
      <c r="BE69" s="1542">
        <f t="shared" ca="1" si="42"/>
        <v>0</v>
      </c>
      <c r="BF69" s="1542">
        <f t="shared" ca="1" si="42"/>
        <v>0</v>
      </c>
      <c r="BG69" s="1542">
        <f t="shared" ca="1" si="42"/>
        <v>0</v>
      </c>
      <c r="BH69" s="1542">
        <f t="shared" ca="1" si="42"/>
        <v>0</v>
      </c>
      <c r="BI69" s="1542">
        <f t="shared" ca="1" si="43"/>
        <v>0</v>
      </c>
      <c r="BJ69" s="1542">
        <f t="shared" ca="1" si="43"/>
        <v>0</v>
      </c>
      <c r="BK69" s="1542">
        <f t="shared" ca="1" si="43"/>
        <v>0</v>
      </c>
      <c r="BL69" s="1952">
        <f t="shared" ca="1" si="44"/>
        <v>0</v>
      </c>
      <c r="BN69" s="1543"/>
      <c r="BO69" s="1543"/>
      <c r="BP69" s="1531"/>
      <c r="BR69" s="3168">
        <f t="shared" ca="1" si="12"/>
        <v>0</v>
      </c>
      <c r="BS69" s="1525"/>
      <c r="BT69" s="748"/>
      <c r="BU69" s="1532">
        <v>0</v>
      </c>
      <c r="BV69" s="1533">
        <v>0</v>
      </c>
      <c r="BW69" s="1533">
        <v>0</v>
      </c>
      <c r="BX69" s="1533">
        <v>0</v>
      </c>
      <c r="BY69" s="1533">
        <v>0</v>
      </c>
      <c r="BZ69" s="1533">
        <v>0</v>
      </c>
      <c r="CA69" s="1533">
        <v>0</v>
      </c>
      <c r="CB69" s="1533">
        <v>0</v>
      </c>
      <c r="CC69" s="1533">
        <v>0</v>
      </c>
      <c r="CD69" s="1533">
        <v>0</v>
      </c>
      <c r="CE69" s="1533">
        <v>0</v>
      </c>
      <c r="CF69" s="1533">
        <v>0</v>
      </c>
      <c r="CG69" s="1533">
        <v>0</v>
      </c>
      <c r="CH69" s="1533">
        <v>0</v>
      </c>
      <c r="CI69" s="1533">
        <v>0</v>
      </c>
      <c r="CJ69" s="1533">
        <v>0</v>
      </c>
      <c r="CK69" s="1533">
        <v>0</v>
      </c>
      <c r="CL69" s="1533">
        <v>0</v>
      </c>
      <c r="CM69" s="1533">
        <v>0</v>
      </c>
      <c r="CN69" s="1533">
        <v>0</v>
      </c>
      <c r="CO69" s="1533">
        <v>0</v>
      </c>
      <c r="CP69" s="1533">
        <v>0</v>
      </c>
      <c r="CQ69" s="1533">
        <v>0</v>
      </c>
      <c r="CR69" s="1533">
        <v>0</v>
      </c>
      <c r="CS69" s="1533">
        <v>0</v>
      </c>
      <c r="CT69" s="1533">
        <v>0</v>
      </c>
      <c r="CU69" s="1533">
        <v>0</v>
      </c>
      <c r="CV69" s="1533">
        <v>0</v>
      </c>
      <c r="CW69" s="1533">
        <v>0</v>
      </c>
      <c r="CX69" s="1533">
        <v>0</v>
      </c>
      <c r="CY69" s="1533">
        <v>0</v>
      </c>
      <c r="CZ69" s="1533">
        <v>0</v>
      </c>
      <c r="DA69" s="1533">
        <v>0</v>
      </c>
      <c r="DB69" s="1533">
        <v>0</v>
      </c>
      <c r="DC69" s="1533">
        <v>0</v>
      </c>
      <c r="DD69" s="1533">
        <v>0</v>
      </c>
      <c r="DE69" s="1533">
        <v>0</v>
      </c>
      <c r="DF69" s="1533">
        <v>0</v>
      </c>
      <c r="DG69" s="1533">
        <v>0</v>
      </c>
      <c r="DH69" s="1533">
        <v>0</v>
      </c>
      <c r="DI69" s="1533">
        <v>0</v>
      </c>
      <c r="DJ69" s="1533">
        <v>0</v>
      </c>
      <c r="DK69" s="1533">
        <v>0</v>
      </c>
      <c r="DL69" s="1533">
        <v>0</v>
      </c>
      <c r="DN69" s="1509">
        <v>0</v>
      </c>
    </row>
    <row r="70" spans="1:118" s="14" customFormat="1" ht="15.75" x14ac:dyDescent="0.2">
      <c r="A70" s="1534"/>
      <c r="B70" s="1535"/>
      <c r="C70" s="1536" t="s">
        <v>206</v>
      </c>
      <c r="D70" s="1537" t="str">
        <f>INDEX(Flujos[Flujos], MATCH($C70, Flujos[Código], 0))</f>
        <v>Energía Renovable</v>
      </c>
      <c r="E70" s="1538"/>
      <c r="G70" s="1488"/>
      <c r="H70" s="1488"/>
      <c r="I70" s="1488"/>
      <c r="J70" s="1488"/>
      <c r="K70" s="1488"/>
      <c r="L70" s="1488"/>
      <c r="M70" s="1488"/>
      <c r="N70" s="1488"/>
      <c r="O70" s="1488"/>
      <c r="P70" s="1488"/>
      <c r="Q70" s="1488"/>
      <c r="R70" s="1488"/>
      <c r="S70" s="1488"/>
      <c r="T70" s="1488"/>
      <c r="U70" s="1488"/>
      <c r="V70" s="1488"/>
      <c r="W70" s="1539"/>
      <c r="Y70" s="1490">
        <f ca="1">SUM(Y62:Y69)</f>
        <v>0</v>
      </c>
      <c r="Z70" s="1490">
        <f t="shared" ref="Z70:AP70" ca="1" si="47">SUM(Z62:Z69)</f>
        <v>32.98775964</v>
      </c>
      <c r="AA70" s="1490">
        <f t="shared" ca="1" si="47"/>
        <v>0</v>
      </c>
      <c r="AB70" s="1490">
        <f t="shared" ca="1" si="47"/>
        <v>0</v>
      </c>
      <c r="AC70" s="1490">
        <f t="shared" ca="1" si="47"/>
        <v>0</v>
      </c>
      <c r="AD70" s="1490">
        <f t="shared" ca="1" si="47"/>
        <v>0</v>
      </c>
      <c r="AE70" s="1490">
        <f t="shared" ca="1" si="47"/>
        <v>0</v>
      </c>
      <c r="AF70" s="1490">
        <f t="shared" ca="1" si="47"/>
        <v>0</v>
      </c>
      <c r="AG70" s="1490">
        <f t="shared" ca="1" si="47"/>
        <v>0</v>
      </c>
      <c r="AH70" s="1490">
        <f t="shared" ca="1" si="47"/>
        <v>0</v>
      </c>
      <c r="AI70" s="1490">
        <f t="shared" ca="1" si="47"/>
        <v>0</v>
      </c>
      <c r="AJ70" s="1490">
        <f t="shared" ca="1" si="47"/>
        <v>0</v>
      </c>
      <c r="AK70" s="1490">
        <f t="shared" ca="1" si="47"/>
        <v>0</v>
      </c>
      <c r="AL70" s="1490">
        <f t="shared" ca="1" si="47"/>
        <v>0</v>
      </c>
      <c r="AM70" s="1490">
        <f t="shared" ca="1" si="47"/>
        <v>0</v>
      </c>
      <c r="AN70" s="1490">
        <f t="shared" ca="1" si="47"/>
        <v>0</v>
      </c>
      <c r="AO70" s="1490">
        <f t="shared" ca="1" si="47"/>
        <v>0</v>
      </c>
      <c r="AP70" s="1490">
        <f t="shared" ca="1" si="47"/>
        <v>0</v>
      </c>
      <c r="AQ70" s="1893">
        <f t="shared" ca="1" si="41"/>
        <v>32.98775964</v>
      </c>
      <c r="AS70" s="1491">
        <f ca="1">SUM(AS62:AS69)</f>
        <v>0</v>
      </c>
      <c r="AT70" s="1491">
        <f t="shared" ref="AT70:BK70" ca="1" si="48">SUM(AT62:AT69)</f>
        <v>0</v>
      </c>
      <c r="AU70" s="1491">
        <f t="shared" ca="1" si="48"/>
        <v>0</v>
      </c>
      <c r="AV70" s="1491">
        <f t="shared" ca="1" si="48"/>
        <v>0</v>
      </c>
      <c r="AW70" s="1491">
        <f t="shared" ca="1" si="48"/>
        <v>0</v>
      </c>
      <c r="AX70" s="1491">
        <f t="shared" ca="1" si="48"/>
        <v>0</v>
      </c>
      <c r="AY70" s="1491">
        <f t="shared" ca="1" si="48"/>
        <v>0</v>
      </c>
      <c r="AZ70" s="1491">
        <f t="shared" ca="1" si="48"/>
        <v>0</v>
      </c>
      <c r="BA70" s="1491">
        <f t="shared" ca="1" si="48"/>
        <v>0</v>
      </c>
      <c r="BB70" s="1491">
        <f t="shared" ca="1" si="48"/>
        <v>0</v>
      </c>
      <c r="BC70" s="1491">
        <f t="shared" ca="1" si="48"/>
        <v>-4.9966200000000009</v>
      </c>
      <c r="BD70" s="1491">
        <f t="shared" ca="1" si="48"/>
        <v>-4.6811183999999999</v>
      </c>
      <c r="BE70" s="1491">
        <f t="shared" ca="1" si="48"/>
        <v>0</v>
      </c>
      <c r="BF70" s="1491">
        <f t="shared" ca="1" si="48"/>
        <v>0</v>
      </c>
      <c r="BG70" s="1491">
        <f t="shared" ca="1" si="48"/>
        <v>-0.35064000000000006</v>
      </c>
      <c r="BH70" s="1491">
        <f t="shared" ca="1" si="48"/>
        <v>-23.153197500000005</v>
      </c>
      <c r="BI70" s="1491">
        <f t="shared" ca="1" si="48"/>
        <v>0</v>
      </c>
      <c r="BJ70" s="1491">
        <f t="shared" ca="1" si="48"/>
        <v>0</v>
      </c>
      <c r="BK70" s="1491">
        <f t="shared" ca="1" si="48"/>
        <v>0</v>
      </c>
      <c r="BL70" s="1952">
        <f t="shared" ca="1" si="44"/>
        <v>-33.181575900000006</v>
      </c>
      <c r="BN70" s="1941">
        <f ca="1">SUM(BN62:BN68)</f>
        <v>0.19381625999999999</v>
      </c>
      <c r="BO70" s="1941">
        <f ca="1">SUM(BO62:BO68)</f>
        <v>0</v>
      </c>
      <c r="BP70" s="1505">
        <f ca="1">BN70+BO70</f>
        <v>0.19381625999999999</v>
      </c>
      <c r="BR70" s="3168">
        <f t="shared" ca="1" si="12"/>
        <v>-5.5233595475101538E-15</v>
      </c>
      <c r="BS70" s="1493"/>
      <c r="BT70" s="748"/>
      <c r="BU70" s="1508">
        <v>0</v>
      </c>
      <c r="BV70" s="1508">
        <v>0</v>
      </c>
      <c r="BW70" s="1508">
        <v>0</v>
      </c>
      <c r="BX70" s="1508">
        <v>0</v>
      </c>
      <c r="BY70" s="1508">
        <v>0</v>
      </c>
      <c r="BZ70" s="1508">
        <v>0</v>
      </c>
      <c r="CA70" s="1508">
        <v>0</v>
      </c>
      <c r="CB70" s="1508">
        <v>0</v>
      </c>
      <c r="CC70" s="1508">
        <v>0</v>
      </c>
      <c r="CD70" s="1508">
        <v>0</v>
      </c>
      <c r="CE70" s="1508">
        <v>0</v>
      </c>
      <c r="CF70" s="1508">
        <v>0</v>
      </c>
      <c r="CG70" s="1508">
        <v>0</v>
      </c>
      <c r="CH70" s="1508">
        <v>0</v>
      </c>
      <c r="CI70" s="1508">
        <v>0</v>
      </c>
      <c r="CJ70" s="1508">
        <v>0</v>
      </c>
      <c r="CK70" s="1508">
        <v>0</v>
      </c>
      <c r="CL70" s="1508">
        <v>0</v>
      </c>
      <c r="CM70" s="1508">
        <v>0</v>
      </c>
      <c r="CN70" s="1508">
        <v>0</v>
      </c>
      <c r="CO70" s="1508">
        <v>0</v>
      </c>
      <c r="CP70" s="1508">
        <v>0</v>
      </c>
      <c r="CQ70" s="1508">
        <v>0</v>
      </c>
      <c r="CR70" s="1508">
        <v>0</v>
      </c>
      <c r="CS70" s="1508">
        <v>0</v>
      </c>
      <c r="CT70" s="1508">
        <v>0</v>
      </c>
      <c r="CU70" s="1508">
        <v>0</v>
      </c>
      <c r="CV70" s="1508">
        <v>0</v>
      </c>
      <c r="CW70" s="1508">
        <v>0</v>
      </c>
      <c r="CX70" s="1508">
        <v>0</v>
      </c>
      <c r="CY70" s="1508">
        <v>0</v>
      </c>
      <c r="CZ70" s="1508">
        <v>0</v>
      </c>
      <c r="DA70" s="1508">
        <v>0</v>
      </c>
      <c r="DB70" s="1508">
        <v>0</v>
      </c>
      <c r="DC70" s="1508">
        <v>0</v>
      </c>
      <c r="DD70" s="1508">
        <v>0</v>
      </c>
      <c r="DE70" s="1508">
        <v>0</v>
      </c>
      <c r="DF70" s="1508">
        <v>0</v>
      </c>
      <c r="DG70" s="1508">
        <v>0</v>
      </c>
      <c r="DH70" s="1508">
        <v>0</v>
      </c>
      <c r="DI70" s="1508">
        <v>0</v>
      </c>
      <c r="DJ70" s="1508">
        <v>0</v>
      </c>
      <c r="DK70" s="1508">
        <v>0</v>
      </c>
      <c r="DL70" s="1508">
        <v>0</v>
      </c>
      <c r="DN70" s="1509">
        <v>0</v>
      </c>
    </row>
    <row r="71" spans="1:118" s="14" customFormat="1" ht="15.75" x14ac:dyDescent="0.2">
      <c r="A71" s="1534"/>
      <c r="B71" s="1535"/>
      <c r="C71" s="1536"/>
      <c r="D71" s="1537"/>
      <c r="E71" s="1538"/>
      <c r="G71" s="1488"/>
      <c r="H71" s="1488"/>
      <c r="I71" s="1488"/>
      <c r="J71" s="1488"/>
      <c r="K71" s="1488"/>
      <c r="L71" s="1488"/>
      <c r="M71" s="1488"/>
      <c r="N71" s="1488"/>
      <c r="O71" s="1488"/>
      <c r="P71" s="1488"/>
      <c r="Q71" s="1488"/>
      <c r="R71" s="1488"/>
      <c r="S71" s="1488"/>
      <c r="T71" s="1488"/>
      <c r="U71" s="1488"/>
      <c r="V71" s="1488"/>
      <c r="W71" s="1539"/>
      <c r="Y71" s="1490"/>
      <c r="Z71" s="1490"/>
      <c r="AA71" s="1490"/>
      <c r="AB71" s="1490"/>
      <c r="AC71" s="1490"/>
      <c r="AD71" s="1490"/>
      <c r="AE71" s="1490"/>
      <c r="AF71" s="1490"/>
      <c r="AG71" s="1490"/>
      <c r="AH71" s="1490"/>
      <c r="AI71" s="1490"/>
      <c r="AJ71" s="1490"/>
      <c r="AK71" s="1490"/>
      <c r="AL71" s="1490"/>
      <c r="AM71" s="1490"/>
      <c r="AN71" s="1490"/>
      <c r="AO71" s="1490"/>
      <c r="AP71" s="1490"/>
      <c r="AQ71" s="1893"/>
      <c r="AS71" s="1491"/>
      <c r="AT71" s="1491"/>
      <c r="AU71" s="1491"/>
      <c r="AV71" s="1491"/>
      <c r="AW71" s="1491"/>
      <c r="AX71" s="1491"/>
      <c r="AY71" s="1491"/>
      <c r="AZ71" s="1491"/>
      <c r="BA71" s="1491"/>
      <c r="BB71" s="1491"/>
      <c r="BC71" s="1491"/>
      <c r="BD71" s="1491"/>
      <c r="BE71" s="1491"/>
      <c r="BF71" s="1491"/>
      <c r="BG71" s="1491"/>
      <c r="BH71" s="1491"/>
      <c r="BI71" s="1491"/>
      <c r="BJ71" s="1491"/>
      <c r="BK71" s="1491"/>
      <c r="BL71" s="1491"/>
      <c r="BN71" s="1492"/>
      <c r="BO71" s="1492"/>
      <c r="BP71" s="1492"/>
      <c r="BR71" s="3168"/>
      <c r="BS71" s="1493"/>
      <c r="BT71" s="748"/>
      <c r="BU71" s="1508"/>
      <c r="BV71" s="1508"/>
      <c r="BW71" s="1508"/>
      <c r="BX71" s="1508"/>
      <c r="BY71" s="1508"/>
      <c r="BZ71" s="1508"/>
      <c r="CA71" s="1508"/>
      <c r="CB71" s="1508"/>
      <c r="CC71" s="1508"/>
      <c r="CD71" s="1508"/>
      <c r="CE71" s="1508"/>
      <c r="CF71" s="1508"/>
      <c r="CG71" s="1508"/>
      <c r="CH71" s="1508"/>
      <c r="CI71" s="1508"/>
      <c r="CJ71" s="1508"/>
      <c r="CK71" s="1508"/>
      <c r="CL71" s="1508"/>
      <c r="CM71" s="1508"/>
      <c r="CN71" s="1508"/>
      <c r="CO71" s="1508"/>
      <c r="CP71" s="1508"/>
      <c r="CQ71" s="1508"/>
      <c r="CR71" s="1508"/>
      <c r="CS71" s="1508"/>
      <c r="CT71" s="1508"/>
      <c r="CU71" s="1508"/>
      <c r="CV71" s="1508"/>
      <c r="CW71" s="1508"/>
      <c r="CX71" s="1508"/>
      <c r="CY71" s="1508"/>
      <c r="CZ71" s="1508"/>
      <c r="DA71" s="1508"/>
      <c r="DB71" s="1508"/>
      <c r="DC71" s="1508"/>
      <c r="DD71" s="1508"/>
      <c r="DE71" s="1508"/>
      <c r="DF71" s="1508"/>
      <c r="DG71" s="1508"/>
      <c r="DH71" s="1508"/>
      <c r="DI71" s="1508"/>
      <c r="DJ71" s="1508"/>
      <c r="DK71" s="1508"/>
      <c r="DL71" s="1508"/>
      <c r="DN71" s="1509"/>
    </row>
    <row r="72" spans="1:118" s="14" customFormat="1" ht="12.75" customHeight="1" outlineLevel="1" x14ac:dyDescent="0.2">
      <c r="A72" s="1534"/>
      <c r="B72" s="1534"/>
      <c r="C72" s="1544"/>
      <c r="D72" s="1538"/>
      <c r="E72" s="1538"/>
      <c r="G72" s="1488"/>
      <c r="H72" s="1488"/>
      <c r="I72" s="1488"/>
      <c r="J72" s="1488"/>
      <c r="K72" s="1488"/>
      <c r="L72" s="1488"/>
      <c r="M72" s="1488"/>
      <c r="N72" s="1488"/>
      <c r="O72" s="1563"/>
      <c r="P72" s="1488"/>
      <c r="Q72" s="1488"/>
      <c r="R72" s="1488"/>
      <c r="S72" s="1488"/>
      <c r="T72" s="1488"/>
      <c r="U72" s="1488"/>
      <c r="V72" s="1488"/>
      <c r="W72" s="1488"/>
      <c r="Y72" s="1490"/>
      <c r="Z72" s="1490"/>
      <c r="AA72" s="1490"/>
      <c r="AB72" s="1490"/>
      <c r="AC72" s="1490"/>
      <c r="AD72" s="1490"/>
      <c r="AE72" s="1490"/>
      <c r="AF72" s="1490"/>
      <c r="AG72" s="1490"/>
      <c r="AH72" s="1490"/>
      <c r="AI72" s="1490"/>
      <c r="AJ72" s="1490"/>
      <c r="AK72" s="1490"/>
      <c r="AL72" s="1490"/>
      <c r="AM72" s="1490"/>
      <c r="AN72" s="1490"/>
      <c r="AO72" s="1490"/>
      <c r="AP72" s="1490"/>
      <c r="AQ72" s="1893"/>
      <c r="AS72" s="1491"/>
      <c r="AT72" s="1491"/>
      <c r="AU72" s="1491"/>
      <c r="AV72" s="1491"/>
      <c r="AW72" s="1491"/>
      <c r="AX72" s="1491"/>
      <c r="AY72" s="1491"/>
      <c r="AZ72" s="1491"/>
      <c r="BA72" s="1491"/>
      <c r="BB72" s="1491"/>
      <c r="BC72" s="1491"/>
      <c r="BD72" s="1491"/>
      <c r="BE72" s="1491"/>
      <c r="BF72" s="1491"/>
      <c r="BG72" s="1491"/>
      <c r="BH72" s="1491"/>
      <c r="BI72" s="1491"/>
      <c r="BJ72" s="1491"/>
      <c r="BK72" s="1491"/>
      <c r="BL72" s="1491"/>
      <c r="BN72" s="1492"/>
      <c r="BO72" s="1492"/>
      <c r="BP72" s="1492"/>
      <c r="BR72" s="3168">
        <f t="shared" si="12"/>
        <v>0</v>
      </c>
      <c r="BS72" s="1493"/>
      <c r="BT72" s="1534"/>
      <c r="BU72" s="1508"/>
      <c r="BV72" s="1508"/>
      <c r="BW72" s="1508"/>
      <c r="BX72" s="1508"/>
      <c r="BY72" s="1508"/>
      <c r="BZ72" s="1508"/>
      <c r="CA72" s="1508"/>
      <c r="CB72" s="1508"/>
      <c r="CC72" s="1508"/>
      <c r="CD72" s="1508"/>
      <c r="CE72" s="1508"/>
      <c r="CF72" s="1508"/>
      <c r="CG72" s="1508"/>
      <c r="CH72" s="1508"/>
      <c r="CI72" s="1508"/>
      <c r="CJ72" s="1508"/>
      <c r="CK72" s="1508"/>
      <c r="CL72" s="1508"/>
      <c r="CM72" s="1508"/>
      <c r="CN72" s="1508"/>
      <c r="CO72" s="1508"/>
      <c r="CP72" s="1508"/>
      <c r="CQ72" s="1508"/>
      <c r="CR72" s="1508"/>
      <c r="CS72" s="1508"/>
      <c r="CT72" s="1508"/>
      <c r="CU72" s="1508"/>
      <c r="CV72" s="1508"/>
      <c r="CW72" s="1508"/>
      <c r="CX72" s="1508"/>
      <c r="CY72" s="1508"/>
      <c r="CZ72" s="1508"/>
      <c r="DA72" s="1508"/>
      <c r="DB72" s="1508"/>
      <c r="DC72" s="1508"/>
      <c r="DD72" s="1508"/>
      <c r="DE72" s="1508"/>
      <c r="DF72" s="1508"/>
      <c r="DG72" s="1508"/>
      <c r="DH72" s="1508"/>
      <c r="DI72" s="1508"/>
      <c r="DJ72" s="1508"/>
      <c r="DK72" s="1508"/>
      <c r="DL72" s="1508"/>
      <c r="DN72" s="1509">
        <v>0</v>
      </c>
    </row>
    <row r="73" spans="1:118" s="1522" customFormat="1" ht="12.75" customHeight="1" outlineLevel="1" x14ac:dyDescent="0.2">
      <c r="C73" s="1496" t="s">
        <v>62</v>
      </c>
      <c r="D73" s="14" t="str">
        <f>INDEX(Modulos[Modulos], MATCH($C73, Modulos[Código], 0))</f>
        <v>Solar de menor escala (GD)</v>
      </c>
      <c r="E73" s="1497"/>
      <c r="G73" s="1581"/>
      <c r="H73" s="1581"/>
      <c r="I73" s="1581"/>
      <c r="J73" s="1581"/>
      <c r="K73" s="1581"/>
      <c r="L73" s="1581"/>
      <c r="M73" s="1581"/>
      <c r="N73" s="1581"/>
      <c r="O73" s="1582"/>
      <c r="P73" s="1581"/>
      <c r="Q73" s="1581"/>
      <c r="R73" s="1581"/>
      <c r="S73" s="1581"/>
      <c r="T73" s="1581"/>
      <c r="U73" s="1581"/>
      <c r="V73" s="1581"/>
      <c r="W73" s="1583"/>
      <c r="Y73" s="1893">
        <f t="shared" ref="Y73:AH74" ca="1" si="49">IFERROR(INDEX(INDIRECT($C73&amp;".Outputs["&amp;this.Year&amp;"]"), MATCH(Y$5, INDIRECT($C73&amp;".Outputs[Vector]"), 0)), 0)</f>
        <v>0</v>
      </c>
      <c r="Z73" s="1893">
        <f t="shared" ca="1" si="49"/>
        <v>9.0334835470117607E-3</v>
      </c>
      <c r="AA73" s="1893">
        <f t="shared" ca="1" si="49"/>
        <v>0</v>
      </c>
      <c r="AB73" s="1893">
        <f t="shared" ca="1" si="49"/>
        <v>0</v>
      </c>
      <c r="AC73" s="1893">
        <f t="shared" ca="1" si="49"/>
        <v>0</v>
      </c>
      <c r="AD73" s="1893">
        <f t="shared" ca="1" si="49"/>
        <v>0</v>
      </c>
      <c r="AE73" s="1893">
        <f t="shared" ca="1" si="49"/>
        <v>0</v>
      </c>
      <c r="AF73" s="1893">
        <f t="shared" ca="1" si="49"/>
        <v>0</v>
      </c>
      <c r="AG73" s="1893">
        <f t="shared" ca="1" si="49"/>
        <v>0</v>
      </c>
      <c r="AH73" s="1893">
        <f t="shared" ca="1" si="49"/>
        <v>0</v>
      </c>
      <c r="AI73" s="1893">
        <f t="shared" ref="AI73:AP74" ca="1" si="50">IFERROR(INDEX(INDIRECT($C73&amp;".Outputs["&amp;this.Year&amp;"]"), MATCH(AI$5, INDIRECT($C73&amp;".Outputs[Vector]"), 0)), 0)</f>
        <v>0</v>
      </c>
      <c r="AJ73" s="1893">
        <f t="shared" ca="1" si="50"/>
        <v>0</v>
      </c>
      <c r="AK73" s="1893">
        <f t="shared" ca="1" si="50"/>
        <v>0</v>
      </c>
      <c r="AL73" s="1893">
        <f t="shared" ca="1" si="50"/>
        <v>0</v>
      </c>
      <c r="AM73" s="1893">
        <f t="shared" ca="1" si="50"/>
        <v>0</v>
      </c>
      <c r="AN73" s="1893">
        <f t="shared" ca="1" si="50"/>
        <v>0</v>
      </c>
      <c r="AO73" s="1893">
        <f t="shared" ca="1" si="50"/>
        <v>0</v>
      </c>
      <c r="AP73" s="1893">
        <f t="shared" ca="1" si="50"/>
        <v>0</v>
      </c>
      <c r="AQ73" s="1893">
        <f ca="1">SUM(Y73:AP73)</f>
        <v>9.0334835470117607E-3</v>
      </c>
      <c r="AS73" s="1948">
        <f t="shared" ref="AS73:BB74" ca="1" si="51">IFERROR(INDEX(INDIRECT($C73&amp;".Outputs["&amp;this.Year&amp;"]"), MATCH(AS$5, INDIRECT($C73&amp;".Outputs[Vector]"), 0)), 0)</f>
        <v>0</v>
      </c>
      <c r="AT73" s="1948">
        <f t="shared" ca="1" si="51"/>
        <v>0</v>
      </c>
      <c r="AU73" s="1948">
        <f t="shared" ca="1" si="51"/>
        <v>0</v>
      </c>
      <c r="AV73" s="1948">
        <f t="shared" ca="1" si="51"/>
        <v>0</v>
      </c>
      <c r="AW73" s="1948">
        <f t="shared" ca="1" si="51"/>
        <v>0</v>
      </c>
      <c r="AX73" s="1948">
        <f t="shared" ca="1" si="51"/>
        <v>0</v>
      </c>
      <c r="AY73" s="1948">
        <f t="shared" ca="1" si="51"/>
        <v>0</v>
      </c>
      <c r="AZ73" s="1948">
        <f t="shared" ca="1" si="51"/>
        <v>0</v>
      </c>
      <c r="BA73" s="1948">
        <f t="shared" ca="1" si="51"/>
        <v>0</v>
      </c>
      <c r="BB73" s="1948">
        <f t="shared" ca="1" si="51"/>
        <v>0</v>
      </c>
      <c r="BC73" s="1948">
        <f t="shared" ref="BC73:BK74" ca="1" si="52">IFERROR(INDEX(INDIRECT($C73&amp;".Outputs["&amp;this.Year&amp;"]"), MATCH(BC$5, INDIRECT($C73&amp;".Outputs[Vector]"), 0)), 0)</f>
        <v>-9.0334835470117607E-3</v>
      </c>
      <c r="BD73" s="1948">
        <f t="shared" ca="1" si="52"/>
        <v>0</v>
      </c>
      <c r="BE73" s="1948">
        <f t="shared" ca="1" si="52"/>
        <v>0</v>
      </c>
      <c r="BF73" s="1948">
        <f t="shared" ca="1" si="52"/>
        <v>0</v>
      </c>
      <c r="BG73" s="1948">
        <f t="shared" ca="1" si="52"/>
        <v>0</v>
      </c>
      <c r="BH73" s="1948">
        <f t="shared" ca="1" si="52"/>
        <v>0</v>
      </c>
      <c r="BI73" s="1948">
        <f t="shared" ca="1" si="52"/>
        <v>0</v>
      </c>
      <c r="BJ73" s="1948">
        <f t="shared" ca="1" si="52"/>
        <v>0</v>
      </c>
      <c r="BK73" s="1948">
        <f t="shared" ca="1" si="52"/>
        <v>0</v>
      </c>
      <c r="BL73" s="1952">
        <f ca="1">SUM(AS73:BK73)</f>
        <v>-9.0334835470117607E-3</v>
      </c>
      <c r="BN73" s="1941">
        <f ca="1">IFERROR(INDEX(INDIRECT($C73&amp;".Outputs["&amp;this.Year&amp;"]"), MATCH(BN$5, INDIRECT($C73&amp;".Outputs[Vector]"), 0)), 0)</f>
        <v>0</v>
      </c>
      <c r="BO73" s="1941">
        <f ca="1">IFERROR(INDEX(INDIRECT($C73&amp;".Outputs["&amp;this.Year&amp;"]"), MATCH(BO$5, INDIRECT($C73&amp;".Outputs[Vector]"), 0)), 0)</f>
        <v>0</v>
      </c>
      <c r="BP73" s="1505">
        <f ca="1">BN73+BO73</f>
        <v>0</v>
      </c>
      <c r="BR73" s="3168">
        <f t="shared" ca="1" si="12"/>
        <v>0</v>
      </c>
      <c r="BS73" s="1525"/>
      <c r="BU73" s="1589">
        <v>0</v>
      </c>
      <c r="BV73" s="1589">
        <v>0</v>
      </c>
      <c r="BW73" s="1589">
        <v>0</v>
      </c>
      <c r="BX73" s="1589">
        <v>0</v>
      </c>
      <c r="BY73" s="1589">
        <v>0</v>
      </c>
      <c r="BZ73" s="1589">
        <v>0</v>
      </c>
      <c r="CA73" s="1589">
        <v>0</v>
      </c>
      <c r="CB73" s="1589">
        <v>0</v>
      </c>
      <c r="CC73" s="1589">
        <v>0</v>
      </c>
      <c r="CD73" s="1589">
        <v>0</v>
      </c>
      <c r="CE73" s="1589">
        <v>0</v>
      </c>
      <c r="CF73" s="1589">
        <v>0</v>
      </c>
      <c r="CG73" s="1589">
        <v>0</v>
      </c>
      <c r="CH73" s="1589">
        <v>0</v>
      </c>
      <c r="CI73" s="1589">
        <v>0</v>
      </c>
      <c r="CJ73" s="1589">
        <v>0</v>
      </c>
      <c r="CK73" s="1589">
        <v>0</v>
      </c>
      <c r="CL73" s="1589">
        <v>0</v>
      </c>
      <c r="CM73" s="1589">
        <v>0</v>
      </c>
      <c r="CN73" s="1589">
        <v>0</v>
      </c>
      <c r="CO73" s="1589">
        <v>0</v>
      </c>
      <c r="CP73" s="1589">
        <v>0</v>
      </c>
      <c r="CQ73" s="1589">
        <v>0</v>
      </c>
      <c r="CR73" s="1589">
        <v>0</v>
      </c>
      <c r="CS73" s="1589">
        <v>0</v>
      </c>
      <c r="CT73" s="1589">
        <v>0</v>
      </c>
      <c r="CU73" s="1589">
        <v>0</v>
      </c>
      <c r="CV73" s="1589">
        <v>0</v>
      </c>
      <c r="CW73" s="1589">
        <v>0</v>
      </c>
      <c r="CX73" s="1589">
        <v>0</v>
      </c>
      <c r="CY73" s="1589">
        <v>0</v>
      </c>
      <c r="CZ73" s="1589">
        <v>0</v>
      </c>
      <c r="DA73" s="1589">
        <v>0</v>
      </c>
      <c r="DB73" s="1589">
        <v>0</v>
      </c>
      <c r="DC73" s="1589">
        <v>0</v>
      </c>
      <c r="DD73" s="1589">
        <v>0</v>
      </c>
      <c r="DE73" s="1589">
        <v>0</v>
      </c>
      <c r="DF73" s="1589">
        <v>0</v>
      </c>
      <c r="DG73" s="1589">
        <v>0</v>
      </c>
      <c r="DH73" s="1589">
        <v>0</v>
      </c>
      <c r="DI73" s="1589">
        <v>0</v>
      </c>
      <c r="DJ73" s="1589">
        <v>0</v>
      </c>
      <c r="DK73" s="1589">
        <v>0</v>
      </c>
      <c r="DL73" s="1589">
        <v>0</v>
      </c>
      <c r="DN73" s="1590">
        <v>0</v>
      </c>
    </row>
    <row r="74" spans="1:118" s="1522" customFormat="1" ht="12.75" customHeight="1" outlineLevel="1" x14ac:dyDescent="0.2">
      <c r="C74" s="1496"/>
      <c r="D74" s="14"/>
      <c r="E74" s="1497"/>
      <c r="G74" s="1581"/>
      <c r="H74" s="1581"/>
      <c r="I74" s="1581"/>
      <c r="J74" s="1581"/>
      <c r="K74" s="1581"/>
      <c r="L74" s="1581"/>
      <c r="M74" s="1581"/>
      <c r="N74" s="1581"/>
      <c r="O74" s="1582"/>
      <c r="P74" s="1581"/>
      <c r="Q74" s="1581"/>
      <c r="R74" s="1581"/>
      <c r="S74" s="1581"/>
      <c r="T74" s="1581"/>
      <c r="U74" s="1581"/>
      <c r="V74" s="1581"/>
      <c r="W74" s="1583"/>
      <c r="Y74" s="1893">
        <f t="shared" ca="1" si="49"/>
        <v>0</v>
      </c>
      <c r="Z74" s="1893">
        <f t="shared" ca="1" si="49"/>
        <v>0</v>
      </c>
      <c r="AA74" s="1893">
        <f t="shared" ca="1" si="49"/>
        <v>0</v>
      </c>
      <c r="AB74" s="1893">
        <f t="shared" ca="1" si="49"/>
        <v>0</v>
      </c>
      <c r="AC74" s="1893">
        <f t="shared" ca="1" si="49"/>
        <v>0</v>
      </c>
      <c r="AD74" s="1893">
        <f t="shared" ca="1" si="49"/>
        <v>0</v>
      </c>
      <c r="AE74" s="1893">
        <f t="shared" ca="1" si="49"/>
        <v>0</v>
      </c>
      <c r="AF74" s="1893">
        <f t="shared" ca="1" si="49"/>
        <v>0</v>
      </c>
      <c r="AG74" s="1893">
        <f t="shared" ca="1" si="49"/>
        <v>0</v>
      </c>
      <c r="AH74" s="1893">
        <f t="shared" ca="1" si="49"/>
        <v>0</v>
      </c>
      <c r="AI74" s="1893">
        <f t="shared" ca="1" si="50"/>
        <v>0</v>
      </c>
      <c r="AJ74" s="1893">
        <f t="shared" ca="1" si="50"/>
        <v>0</v>
      </c>
      <c r="AK74" s="1893">
        <f t="shared" ca="1" si="50"/>
        <v>0</v>
      </c>
      <c r="AL74" s="1893">
        <f t="shared" ca="1" si="50"/>
        <v>0</v>
      </c>
      <c r="AM74" s="1893">
        <f t="shared" ca="1" si="50"/>
        <v>0</v>
      </c>
      <c r="AN74" s="1893">
        <f t="shared" ca="1" si="50"/>
        <v>0</v>
      </c>
      <c r="AO74" s="1893">
        <f t="shared" ca="1" si="50"/>
        <v>0</v>
      </c>
      <c r="AP74" s="1893">
        <f t="shared" ca="1" si="50"/>
        <v>0</v>
      </c>
      <c r="AQ74" s="1893">
        <f ca="1">SUM(Y74:AP74)</f>
        <v>0</v>
      </c>
      <c r="AS74" s="1948">
        <f t="shared" ca="1" si="51"/>
        <v>0</v>
      </c>
      <c r="AT74" s="1948">
        <f t="shared" ca="1" si="51"/>
        <v>0</v>
      </c>
      <c r="AU74" s="1948">
        <f t="shared" ca="1" si="51"/>
        <v>0</v>
      </c>
      <c r="AV74" s="1948">
        <f t="shared" ca="1" si="51"/>
        <v>0</v>
      </c>
      <c r="AW74" s="1948">
        <f t="shared" ca="1" si="51"/>
        <v>0</v>
      </c>
      <c r="AX74" s="1948">
        <f t="shared" ca="1" si="51"/>
        <v>0</v>
      </c>
      <c r="AY74" s="1948">
        <f t="shared" ca="1" si="51"/>
        <v>0</v>
      </c>
      <c r="AZ74" s="1948">
        <f t="shared" ca="1" si="51"/>
        <v>0</v>
      </c>
      <c r="BA74" s="1948">
        <f t="shared" ca="1" si="51"/>
        <v>0</v>
      </c>
      <c r="BB74" s="1948">
        <f t="shared" ca="1" si="51"/>
        <v>0</v>
      </c>
      <c r="BC74" s="1948">
        <f t="shared" ca="1" si="52"/>
        <v>0</v>
      </c>
      <c r="BD74" s="1948">
        <f t="shared" ca="1" si="52"/>
        <v>0</v>
      </c>
      <c r="BE74" s="1948">
        <f t="shared" ca="1" si="52"/>
        <v>0</v>
      </c>
      <c r="BF74" s="1948">
        <f t="shared" ca="1" si="52"/>
        <v>0</v>
      </c>
      <c r="BG74" s="1948">
        <f t="shared" ca="1" si="52"/>
        <v>0</v>
      </c>
      <c r="BH74" s="1948">
        <f t="shared" ca="1" si="52"/>
        <v>0</v>
      </c>
      <c r="BI74" s="1948">
        <f t="shared" ca="1" si="52"/>
        <v>0</v>
      </c>
      <c r="BJ74" s="1948">
        <f t="shared" ca="1" si="52"/>
        <v>0</v>
      </c>
      <c r="BK74" s="1948">
        <f t="shared" ca="1" si="52"/>
        <v>0</v>
      </c>
      <c r="BL74" s="1952">
        <f ca="1">SUM(AS74:BK74)</f>
        <v>0</v>
      </c>
      <c r="BN74" s="1941">
        <f ca="1">IFERROR(INDEX(INDIRECT($C74&amp;".Outputs["&amp;this.Year&amp;"]"), MATCH(BN$5, INDIRECT($C74&amp;".Outputs[Vector]"), 0)), 0)</f>
        <v>0</v>
      </c>
      <c r="BO74" s="1941">
        <f ca="1">IFERROR(INDEX(INDIRECT($C74&amp;".Outputs["&amp;this.Year&amp;"]"), MATCH(BO$5, INDIRECT($C74&amp;".Outputs[Vector]"), 0)), 0)</f>
        <v>0</v>
      </c>
      <c r="BP74" s="1505">
        <f ca="1">BN74+BO74</f>
        <v>0</v>
      </c>
      <c r="BR74" s="3168">
        <f t="shared" ca="1" si="12"/>
        <v>0</v>
      </c>
      <c r="BS74" s="1525"/>
      <c r="BU74" s="1589">
        <v>0</v>
      </c>
      <c r="BV74" s="1589">
        <v>0</v>
      </c>
      <c r="BW74" s="1589">
        <v>0</v>
      </c>
      <c r="BX74" s="1589">
        <v>0</v>
      </c>
      <c r="BY74" s="1589">
        <v>0</v>
      </c>
      <c r="BZ74" s="1589">
        <v>0</v>
      </c>
      <c r="CA74" s="1589">
        <v>0</v>
      </c>
      <c r="CB74" s="1589">
        <v>0</v>
      </c>
      <c r="CC74" s="1589">
        <v>0</v>
      </c>
      <c r="CD74" s="1589">
        <v>0</v>
      </c>
      <c r="CE74" s="1589">
        <v>0</v>
      </c>
      <c r="CF74" s="1589">
        <v>0</v>
      </c>
      <c r="CG74" s="1589">
        <v>0</v>
      </c>
      <c r="CH74" s="1589">
        <v>0</v>
      </c>
      <c r="CI74" s="1589">
        <v>0</v>
      </c>
      <c r="CJ74" s="1589">
        <v>0</v>
      </c>
      <c r="CK74" s="1589">
        <v>0</v>
      </c>
      <c r="CL74" s="1589">
        <v>0</v>
      </c>
      <c r="CM74" s="1589">
        <v>0</v>
      </c>
      <c r="CN74" s="1589">
        <v>0</v>
      </c>
      <c r="CO74" s="1589">
        <v>0</v>
      </c>
      <c r="CP74" s="1589">
        <v>0</v>
      </c>
      <c r="CQ74" s="1589">
        <v>0</v>
      </c>
      <c r="CR74" s="1589">
        <v>0</v>
      </c>
      <c r="CS74" s="1589">
        <v>0</v>
      </c>
      <c r="CT74" s="1589">
        <v>0</v>
      </c>
      <c r="CU74" s="1589">
        <v>0</v>
      </c>
      <c r="CV74" s="1589">
        <v>0</v>
      </c>
      <c r="CW74" s="1589">
        <v>0</v>
      </c>
      <c r="CX74" s="1589">
        <v>0</v>
      </c>
      <c r="CY74" s="1589">
        <v>0</v>
      </c>
      <c r="CZ74" s="1589">
        <v>0</v>
      </c>
      <c r="DA74" s="1589">
        <v>0</v>
      </c>
      <c r="DB74" s="1589">
        <v>0</v>
      </c>
      <c r="DC74" s="1589">
        <v>0</v>
      </c>
      <c r="DD74" s="1589">
        <v>0</v>
      </c>
      <c r="DE74" s="1589">
        <v>0</v>
      </c>
      <c r="DF74" s="1589">
        <v>0</v>
      </c>
      <c r="DG74" s="1589">
        <v>0</v>
      </c>
      <c r="DH74" s="1589">
        <v>0</v>
      </c>
      <c r="DI74" s="1589">
        <v>0</v>
      </c>
      <c r="DJ74" s="1589">
        <v>0</v>
      </c>
      <c r="DK74" s="1589">
        <v>0</v>
      </c>
      <c r="DL74" s="1589">
        <v>0</v>
      </c>
      <c r="DN74" s="1590">
        <v>0</v>
      </c>
    </row>
    <row r="75" spans="1:118" s="1522" customFormat="1" ht="12.75" customHeight="1" outlineLevel="1" x14ac:dyDescent="0.2">
      <c r="C75" s="1496"/>
      <c r="D75" s="1497"/>
      <c r="E75" s="1497"/>
      <c r="G75" s="1581"/>
      <c r="H75" s="1581"/>
      <c r="I75" s="1581"/>
      <c r="J75" s="1581"/>
      <c r="K75" s="1581"/>
      <c r="L75" s="1581"/>
      <c r="M75" s="1581"/>
      <c r="N75" s="1581"/>
      <c r="O75" s="1582"/>
      <c r="P75" s="1581"/>
      <c r="Q75" s="1581"/>
      <c r="R75" s="1581"/>
      <c r="S75" s="1581"/>
      <c r="T75" s="1581"/>
      <c r="U75" s="1581"/>
      <c r="V75" s="1581"/>
      <c r="W75" s="1583"/>
      <c r="Y75" s="1584"/>
      <c r="Z75" s="1584"/>
      <c r="AA75" s="1584"/>
      <c r="AB75" s="1584"/>
      <c r="AC75" s="1584"/>
      <c r="AD75" s="1584"/>
      <c r="AE75" s="1584"/>
      <c r="AF75" s="1584"/>
      <c r="AG75" s="1584"/>
      <c r="AH75" s="1584"/>
      <c r="AI75" s="1584"/>
      <c r="AJ75" s="1584"/>
      <c r="AK75" s="1584"/>
      <c r="AL75" s="1584"/>
      <c r="AM75" s="1584"/>
      <c r="AN75" s="1584"/>
      <c r="AO75" s="1584"/>
      <c r="AP75" s="1584"/>
      <c r="AQ75" s="1954"/>
      <c r="AS75" s="1586"/>
      <c r="AT75" s="1586"/>
      <c r="AU75" s="1586"/>
      <c r="AV75" s="1586"/>
      <c r="AW75" s="1586"/>
      <c r="AX75" s="1586"/>
      <c r="AY75" s="1586"/>
      <c r="AZ75" s="1586"/>
      <c r="BA75" s="1586"/>
      <c r="BB75" s="1586"/>
      <c r="BC75" s="1586"/>
      <c r="BD75" s="1586"/>
      <c r="BE75" s="1586"/>
      <c r="BF75" s="1586"/>
      <c r="BG75" s="1586"/>
      <c r="BH75" s="1586"/>
      <c r="BI75" s="1586"/>
      <c r="BJ75" s="1586"/>
      <c r="BK75" s="1586"/>
      <c r="BL75" s="1524"/>
      <c r="BN75" s="1587"/>
      <c r="BO75" s="1587"/>
      <c r="BP75" s="1588"/>
      <c r="BR75" s="3168">
        <f t="shared" si="12"/>
        <v>0</v>
      </c>
      <c r="BS75" s="1525"/>
      <c r="BU75" s="1589"/>
      <c r="BV75" s="1589"/>
      <c r="BW75" s="1589"/>
      <c r="BX75" s="1589"/>
      <c r="BY75" s="1589"/>
      <c r="BZ75" s="1589"/>
      <c r="CA75" s="1589"/>
      <c r="CB75" s="1589"/>
      <c r="CC75" s="1589"/>
      <c r="CD75" s="1589"/>
      <c r="CE75" s="1589"/>
      <c r="CF75" s="1589"/>
      <c r="CG75" s="1589"/>
      <c r="CH75" s="1589"/>
      <c r="CI75" s="1589"/>
      <c r="CJ75" s="1589"/>
      <c r="CK75" s="1589"/>
      <c r="CL75" s="1589"/>
      <c r="CM75" s="1589"/>
      <c r="CN75" s="1589"/>
      <c r="CO75" s="1589"/>
      <c r="CP75" s="1589"/>
      <c r="CQ75" s="1589"/>
      <c r="CR75" s="1589"/>
      <c r="CS75" s="1589"/>
      <c r="CT75" s="1589"/>
      <c r="CU75" s="1589"/>
      <c r="CV75" s="1589"/>
      <c r="CW75" s="1589"/>
      <c r="CX75" s="1589"/>
      <c r="CY75" s="1589"/>
      <c r="CZ75" s="1589"/>
      <c r="DA75" s="1589"/>
      <c r="DB75" s="1589"/>
      <c r="DC75" s="1589"/>
      <c r="DD75" s="1589"/>
      <c r="DE75" s="1589"/>
      <c r="DF75" s="1589"/>
      <c r="DG75" s="1589"/>
      <c r="DH75" s="1589"/>
      <c r="DI75" s="1589"/>
      <c r="DJ75" s="1589"/>
      <c r="DK75" s="1589"/>
      <c r="DL75" s="1589"/>
      <c r="DN75" s="1590"/>
    </row>
    <row r="76" spans="1:118" s="14" customFormat="1" ht="15.75" x14ac:dyDescent="0.2">
      <c r="A76" s="1534"/>
      <c r="B76" s="1535"/>
      <c r="C76" s="1536" t="s">
        <v>736</v>
      </c>
      <c r="D76" s="1537" t="str">
        <f>INDEX(Flujos[Flujos], MATCH($C76, Flujos[Código], 0))</f>
        <v>Generación Distribuida</v>
      </c>
      <c r="E76" s="1538"/>
      <c r="G76" s="1539"/>
      <c r="H76" s="1539"/>
      <c r="I76" s="1539"/>
      <c r="J76" s="1539"/>
      <c r="K76" s="1539"/>
      <c r="L76" s="1539"/>
      <c r="M76" s="1539"/>
      <c r="N76" s="1539"/>
      <c r="O76" s="1539"/>
      <c r="P76" s="1539"/>
      <c r="Q76" s="1539"/>
      <c r="R76" s="1539"/>
      <c r="S76" s="1539"/>
      <c r="T76" s="1539"/>
      <c r="U76" s="1539"/>
      <c r="V76" s="1539"/>
      <c r="W76" s="1539"/>
      <c r="Y76" s="1490">
        <f ca="1">Y73+Y74</f>
        <v>0</v>
      </c>
      <c r="Z76" s="1490">
        <f t="shared" ref="Z76:AP76" ca="1" si="53">Z73+Z74</f>
        <v>9.0334835470117607E-3</v>
      </c>
      <c r="AA76" s="1490">
        <f t="shared" ca="1" si="53"/>
        <v>0</v>
      </c>
      <c r="AB76" s="1490">
        <f t="shared" ca="1" si="53"/>
        <v>0</v>
      </c>
      <c r="AC76" s="1490">
        <f t="shared" ca="1" si="53"/>
        <v>0</v>
      </c>
      <c r="AD76" s="1490">
        <f t="shared" ca="1" si="53"/>
        <v>0</v>
      </c>
      <c r="AE76" s="1490">
        <f t="shared" ca="1" si="53"/>
        <v>0</v>
      </c>
      <c r="AF76" s="1490">
        <f t="shared" ca="1" si="53"/>
        <v>0</v>
      </c>
      <c r="AG76" s="1490">
        <f t="shared" ca="1" si="53"/>
        <v>0</v>
      </c>
      <c r="AH76" s="1490">
        <f t="shared" ca="1" si="53"/>
        <v>0</v>
      </c>
      <c r="AI76" s="1490">
        <f t="shared" ca="1" si="53"/>
        <v>0</v>
      </c>
      <c r="AJ76" s="1490">
        <f t="shared" ca="1" si="53"/>
        <v>0</v>
      </c>
      <c r="AK76" s="1490">
        <f t="shared" ca="1" si="53"/>
        <v>0</v>
      </c>
      <c r="AL76" s="1490">
        <f t="shared" ca="1" si="53"/>
        <v>0</v>
      </c>
      <c r="AM76" s="1490">
        <f t="shared" ca="1" si="53"/>
        <v>0</v>
      </c>
      <c r="AN76" s="1490">
        <f t="shared" ca="1" si="53"/>
        <v>0</v>
      </c>
      <c r="AO76" s="1490">
        <f t="shared" ca="1" si="53"/>
        <v>0</v>
      </c>
      <c r="AP76" s="1490">
        <f t="shared" ca="1" si="53"/>
        <v>0</v>
      </c>
      <c r="AQ76" s="1893">
        <f ca="1">SUM(Y76:AP76)</f>
        <v>9.0334835470117607E-3</v>
      </c>
      <c r="AS76" s="1491">
        <f ca="1">AS73+AS74</f>
        <v>0</v>
      </c>
      <c r="AT76" s="1491">
        <f t="shared" ref="AT76:BK76" ca="1" si="54">AT73+AT74</f>
        <v>0</v>
      </c>
      <c r="AU76" s="1491">
        <f t="shared" ca="1" si="54"/>
        <v>0</v>
      </c>
      <c r="AV76" s="1491">
        <f t="shared" ca="1" si="54"/>
        <v>0</v>
      </c>
      <c r="AW76" s="1491">
        <f t="shared" ca="1" si="54"/>
        <v>0</v>
      </c>
      <c r="AX76" s="1491">
        <f t="shared" ca="1" si="54"/>
        <v>0</v>
      </c>
      <c r="AY76" s="1491">
        <f t="shared" ca="1" si="54"/>
        <v>0</v>
      </c>
      <c r="AZ76" s="1491">
        <f t="shared" ca="1" si="54"/>
        <v>0</v>
      </c>
      <c r="BA76" s="1491">
        <f t="shared" ca="1" si="54"/>
        <v>0</v>
      </c>
      <c r="BB76" s="1491">
        <f t="shared" ca="1" si="54"/>
        <v>0</v>
      </c>
      <c r="BC76" s="1949">
        <f t="shared" ca="1" si="54"/>
        <v>-9.0334835470117607E-3</v>
      </c>
      <c r="BD76" s="1949">
        <f t="shared" ca="1" si="54"/>
        <v>0</v>
      </c>
      <c r="BE76" s="1491">
        <f t="shared" ca="1" si="54"/>
        <v>0</v>
      </c>
      <c r="BF76" s="1491">
        <f t="shared" ca="1" si="54"/>
        <v>0</v>
      </c>
      <c r="BG76" s="1491">
        <f t="shared" ca="1" si="54"/>
        <v>0</v>
      </c>
      <c r="BH76" s="1491">
        <f t="shared" ca="1" si="54"/>
        <v>0</v>
      </c>
      <c r="BI76" s="1491">
        <f t="shared" ca="1" si="54"/>
        <v>0</v>
      </c>
      <c r="BJ76" s="1491">
        <f t="shared" ca="1" si="54"/>
        <v>0</v>
      </c>
      <c r="BK76" s="1491">
        <f t="shared" ca="1" si="54"/>
        <v>0</v>
      </c>
      <c r="BL76" s="1952">
        <f ca="1">SUM(AS76:BK76)</f>
        <v>-9.0334835470117607E-3</v>
      </c>
      <c r="BN76" s="1492">
        <f ca="1">BN73+BN74</f>
        <v>0</v>
      </c>
      <c r="BO76" s="1492">
        <f ca="1">BO73+BO74</f>
        <v>0</v>
      </c>
      <c r="BP76" s="1505">
        <f ca="1">BN76+BO76</f>
        <v>0</v>
      </c>
      <c r="BR76" s="3168">
        <f t="shared" ca="1" si="12"/>
        <v>0</v>
      </c>
      <c r="BS76" s="1493"/>
      <c r="BT76" s="748"/>
      <c r="BU76" s="1508">
        <v>0</v>
      </c>
      <c r="BV76" s="1508">
        <v>0</v>
      </c>
      <c r="BW76" s="1508">
        <v>0</v>
      </c>
      <c r="BX76" s="1508">
        <v>0</v>
      </c>
      <c r="BY76" s="1508">
        <v>0</v>
      </c>
      <c r="BZ76" s="1508">
        <v>0</v>
      </c>
      <c r="CA76" s="1508">
        <v>0</v>
      </c>
      <c r="CB76" s="1508">
        <v>0</v>
      </c>
      <c r="CC76" s="1508">
        <v>0</v>
      </c>
      <c r="CD76" s="1508">
        <v>0</v>
      </c>
      <c r="CE76" s="1508">
        <v>0</v>
      </c>
      <c r="CF76" s="1508">
        <v>0</v>
      </c>
      <c r="CG76" s="1508">
        <v>0</v>
      </c>
      <c r="CH76" s="1508">
        <v>0</v>
      </c>
      <c r="CI76" s="1508">
        <v>0</v>
      </c>
      <c r="CJ76" s="1508">
        <v>0</v>
      </c>
      <c r="CK76" s="1508">
        <v>0</v>
      </c>
      <c r="CL76" s="1508">
        <v>0</v>
      </c>
      <c r="CM76" s="1508">
        <v>0</v>
      </c>
      <c r="CN76" s="1508">
        <v>0</v>
      </c>
      <c r="CO76" s="1508">
        <v>0</v>
      </c>
      <c r="CP76" s="1508">
        <v>0</v>
      </c>
      <c r="CQ76" s="1508">
        <v>0</v>
      </c>
      <c r="CR76" s="1508">
        <v>0</v>
      </c>
      <c r="CS76" s="1508">
        <v>0</v>
      </c>
      <c r="CT76" s="1508">
        <v>0</v>
      </c>
      <c r="CU76" s="1508">
        <v>0</v>
      </c>
      <c r="CV76" s="1508">
        <v>0</v>
      </c>
      <c r="CW76" s="1508">
        <v>0</v>
      </c>
      <c r="CX76" s="1508">
        <v>0</v>
      </c>
      <c r="CY76" s="1508">
        <v>0</v>
      </c>
      <c r="CZ76" s="1508">
        <v>0</v>
      </c>
      <c r="DA76" s="1508">
        <v>0</v>
      </c>
      <c r="DB76" s="1508">
        <v>0</v>
      </c>
      <c r="DC76" s="1508">
        <v>0</v>
      </c>
      <c r="DD76" s="1508">
        <v>0</v>
      </c>
      <c r="DE76" s="1508">
        <v>0</v>
      </c>
      <c r="DF76" s="1508">
        <v>0</v>
      </c>
      <c r="DG76" s="1508">
        <v>0</v>
      </c>
      <c r="DH76" s="1508">
        <v>0</v>
      </c>
      <c r="DI76" s="1508">
        <v>0</v>
      </c>
      <c r="DJ76" s="1508">
        <v>0</v>
      </c>
      <c r="DK76" s="1508">
        <v>0</v>
      </c>
      <c r="DL76" s="1508">
        <v>0</v>
      </c>
      <c r="DN76" s="1509">
        <v>0</v>
      </c>
    </row>
    <row r="77" spans="1:118" s="14" customFormat="1" ht="15.75" x14ac:dyDescent="0.2">
      <c r="A77" s="1845"/>
      <c r="B77" s="1847"/>
      <c r="C77" s="1842"/>
      <c r="D77" s="1843"/>
      <c r="E77" s="1844"/>
      <c r="G77" s="1539"/>
      <c r="H77" s="1539"/>
      <c r="I77" s="1539"/>
      <c r="J77" s="1539"/>
      <c r="K77" s="1539"/>
      <c r="L77" s="1539"/>
      <c r="M77" s="1539"/>
      <c r="N77" s="1539"/>
      <c r="O77" s="1539"/>
      <c r="P77" s="1539"/>
      <c r="Q77" s="1539"/>
      <c r="R77" s="1539"/>
      <c r="S77" s="1539"/>
      <c r="T77" s="1539"/>
      <c r="U77" s="1539"/>
      <c r="V77" s="1539"/>
      <c r="W77" s="1539"/>
      <c r="Y77" s="1490"/>
      <c r="Z77" s="1490"/>
      <c r="AA77" s="1490"/>
      <c r="AB77" s="1490"/>
      <c r="AC77" s="1490"/>
      <c r="AD77" s="1490"/>
      <c r="AE77" s="1490"/>
      <c r="AF77" s="1490"/>
      <c r="AG77" s="1490"/>
      <c r="AH77" s="1490"/>
      <c r="AI77" s="1490"/>
      <c r="AJ77" s="1490"/>
      <c r="AK77" s="1490"/>
      <c r="AL77" s="1490"/>
      <c r="AM77" s="1490"/>
      <c r="AN77" s="1490"/>
      <c r="AO77" s="1490"/>
      <c r="AP77" s="1490"/>
      <c r="AQ77" s="1490"/>
      <c r="AS77" s="1491"/>
      <c r="AT77" s="1491"/>
      <c r="AU77" s="1491"/>
      <c r="AV77" s="1491"/>
      <c r="AW77" s="1491"/>
      <c r="AX77" s="1491"/>
      <c r="AY77" s="1491"/>
      <c r="AZ77" s="1491"/>
      <c r="BA77" s="1491"/>
      <c r="BB77" s="1491"/>
      <c r="BC77" s="1491"/>
      <c r="BD77" s="1491"/>
      <c r="BE77" s="1491"/>
      <c r="BF77" s="1491"/>
      <c r="BG77" s="1491"/>
      <c r="BH77" s="1491"/>
      <c r="BI77" s="1491"/>
      <c r="BJ77" s="1491"/>
      <c r="BK77" s="1491"/>
      <c r="BL77" s="1491"/>
      <c r="BN77" s="1492"/>
      <c r="BO77" s="1492"/>
      <c r="BP77" s="1492"/>
      <c r="BR77" s="3168"/>
      <c r="BS77" s="1579"/>
      <c r="BT77" s="748"/>
      <c r="BU77" s="1507"/>
      <c r="BV77" s="1508"/>
      <c r="BW77" s="1508"/>
      <c r="BX77" s="1508"/>
      <c r="BY77" s="1508"/>
      <c r="BZ77" s="1508"/>
      <c r="CA77" s="1508"/>
      <c r="CB77" s="1508"/>
      <c r="CC77" s="1508"/>
      <c r="CD77" s="1508"/>
      <c r="CE77" s="1508"/>
      <c r="CF77" s="1508"/>
      <c r="CG77" s="1508"/>
      <c r="CH77" s="1508"/>
      <c r="CI77" s="1508"/>
      <c r="CJ77" s="1508"/>
      <c r="CK77" s="1508"/>
      <c r="CL77" s="1508"/>
      <c r="CM77" s="1508"/>
      <c r="CN77" s="1508"/>
      <c r="CO77" s="1508"/>
      <c r="CP77" s="1508"/>
      <c r="CQ77" s="1508"/>
      <c r="CR77" s="1508"/>
      <c r="CS77" s="1508"/>
      <c r="CT77" s="1508"/>
      <c r="CU77" s="1508"/>
      <c r="CV77" s="1508"/>
      <c r="CW77" s="1508"/>
      <c r="CX77" s="1508"/>
      <c r="CY77" s="1508"/>
      <c r="CZ77" s="1508"/>
      <c r="DA77" s="1508"/>
      <c r="DB77" s="1508"/>
      <c r="DC77" s="1508"/>
      <c r="DD77" s="1508"/>
      <c r="DE77" s="1508"/>
      <c r="DF77" s="1508"/>
      <c r="DG77" s="1508"/>
      <c r="DH77" s="1508"/>
      <c r="DI77" s="1508"/>
      <c r="DJ77" s="1508"/>
      <c r="DK77" s="1508"/>
      <c r="DL77" s="1508"/>
      <c r="DN77" s="1509"/>
    </row>
    <row r="78" spans="1:118" s="14" customFormat="1" outlineLevel="1" x14ac:dyDescent="0.2">
      <c r="A78" s="1522"/>
      <c r="B78" s="1522"/>
      <c r="C78" s="1496" t="s">
        <v>68</v>
      </c>
      <c r="D78" s="1497" t="str">
        <f>INDEX(Modulos[Modulos], MATCH($C78, Modulos[Código], 0))</f>
        <v>Residuos</v>
      </c>
      <c r="E78" s="1497"/>
      <c r="G78" s="1498"/>
      <c r="H78" s="1498"/>
      <c r="I78" s="1498"/>
      <c r="J78" s="1498"/>
      <c r="K78" s="1498"/>
      <c r="L78" s="1498"/>
      <c r="M78" s="1498"/>
      <c r="N78" s="1498"/>
      <c r="O78" s="1498"/>
      <c r="P78" s="1498"/>
      <c r="Q78" s="1498"/>
      <c r="R78" s="1498"/>
      <c r="S78" s="1498"/>
      <c r="T78" s="1498"/>
      <c r="U78" s="1498"/>
      <c r="V78" s="1498"/>
      <c r="W78" s="1499"/>
      <c r="Y78" s="1893">
        <f t="shared" ref="Y78:AH80" ca="1" si="55">IFERROR(INDEX(INDIRECT($C78&amp;".Outputs["&amp;this.Year&amp;"]"), MATCH(Y$5, INDIRECT($C78&amp;".Outputs[Vector]"), 0)), 0)</f>
        <v>0</v>
      </c>
      <c r="Z78" s="1893">
        <f t="shared" ca="1" si="55"/>
        <v>0.35039999999999999</v>
      </c>
      <c r="AA78" s="1893">
        <f t="shared" ca="1" si="55"/>
        <v>0</v>
      </c>
      <c r="AB78" s="1893">
        <f t="shared" ca="1" si="55"/>
        <v>0</v>
      </c>
      <c r="AC78" s="1893">
        <f t="shared" ca="1" si="55"/>
        <v>0</v>
      </c>
      <c r="AD78" s="1893">
        <f t="shared" ca="1" si="55"/>
        <v>0</v>
      </c>
      <c r="AE78" s="1893">
        <f t="shared" ca="1" si="55"/>
        <v>0</v>
      </c>
      <c r="AF78" s="1893">
        <f t="shared" ca="1" si="55"/>
        <v>0</v>
      </c>
      <c r="AG78" s="1893">
        <f t="shared" ca="1" si="55"/>
        <v>0</v>
      </c>
      <c r="AH78" s="1893">
        <f t="shared" ca="1" si="55"/>
        <v>0</v>
      </c>
      <c r="AI78" s="1893">
        <f t="shared" ref="AI78:AP80" ca="1" si="56">IFERROR(INDEX(INDIRECT($C78&amp;".Outputs["&amp;this.Year&amp;"]"), MATCH(AI$5, INDIRECT($C78&amp;".Outputs[Vector]"), 0)), 0)</f>
        <v>0</v>
      </c>
      <c r="AJ78" s="1893">
        <f t="shared" ca="1" si="56"/>
        <v>0</v>
      </c>
      <c r="AK78" s="1893">
        <f t="shared" ca="1" si="56"/>
        <v>0</v>
      </c>
      <c r="AL78" s="1893">
        <f t="shared" ca="1" si="56"/>
        <v>0</v>
      </c>
      <c r="AM78" s="1893">
        <f t="shared" ca="1" si="56"/>
        <v>0</v>
      </c>
      <c r="AN78" s="1893">
        <f t="shared" ca="1" si="56"/>
        <v>0</v>
      </c>
      <c r="AO78" s="1893">
        <f t="shared" ca="1" si="56"/>
        <v>0</v>
      </c>
      <c r="AP78" s="1893">
        <f t="shared" ca="1" si="56"/>
        <v>0</v>
      </c>
      <c r="AQ78" s="1951">
        <f ca="1">SUM(Y78:AP78)</f>
        <v>0.35039999999999999</v>
      </c>
      <c r="AS78" s="1948">
        <f t="shared" ref="AS78:BB80" ca="1" si="57">IFERROR(INDEX(INDIRECT($C78&amp;".Outputs["&amp;this.Year&amp;"]"), MATCH(AS$5, INDIRECT($C78&amp;".Outputs[Vector]"), 0)), 0)</f>
        <v>0</v>
      </c>
      <c r="AT78" s="1948">
        <f t="shared" ca="1" si="57"/>
        <v>0</v>
      </c>
      <c r="AU78" s="1948">
        <f t="shared" ca="1" si="57"/>
        <v>0</v>
      </c>
      <c r="AV78" s="1948">
        <f t="shared" ca="1" si="57"/>
        <v>0</v>
      </c>
      <c r="AW78" s="1948">
        <f t="shared" ca="1" si="57"/>
        <v>0</v>
      </c>
      <c r="AX78" s="1948">
        <f t="shared" ca="1" si="57"/>
        <v>0</v>
      </c>
      <c r="AY78" s="1948">
        <f t="shared" ca="1" si="57"/>
        <v>0</v>
      </c>
      <c r="AZ78" s="1948">
        <f t="shared" ca="1" si="57"/>
        <v>0</v>
      </c>
      <c r="BA78" s="1948">
        <f t="shared" ca="1" si="57"/>
        <v>0</v>
      </c>
      <c r="BB78" s="1948">
        <f t="shared" ca="1" si="57"/>
        <v>0</v>
      </c>
      <c r="BC78" s="1948">
        <f t="shared" ref="BC78:BK80" ca="1" si="58">IFERROR(INDEX(INDIRECT($C78&amp;".Outputs["&amp;this.Year&amp;"]"), MATCH(BC$5, INDIRECT($C78&amp;".Outputs[Vector]"), 0)), 0)</f>
        <v>0</v>
      </c>
      <c r="BD78" s="1948">
        <f t="shared" ca="1" si="58"/>
        <v>0</v>
      </c>
      <c r="BE78" s="1948">
        <f t="shared" ca="1" si="58"/>
        <v>0</v>
      </c>
      <c r="BF78" s="1948">
        <f t="shared" ca="1" si="58"/>
        <v>0</v>
      </c>
      <c r="BG78" s="1948">
        <f t="shared" ca="1" si="58"/>
        <v>0</v>
      </c>
      <c r="BH78" s="1948">
        <f t="shared" ca="1" si="58"/>
        <v>0</v>
      </c>
      <c r="BI78" s="1948">
        <f t="shared" ca="1" si="58"/>
        <v>0</v>
      </c>
      <c r="BJ78" s="1948">
        <f t="shared" ca="1" si="58"/>
        <v>0</v>
      </c>
      <c r="BK78" s="1948">
        <f t="shared" ca="1" si="58"/>
        <v>-0.35039999999999999</v>
      </c>
      <c r="BL78" s="1952">
        <f ca="1">SUM(AS78:BK78)</f>
        <v>-0.35039999999999999</v>
      </c>
      <c r="BN78" s="1941">
        <f t="shared" ref="BN78:BO80" ca="1" si="59">IFERROR(INDEX(INDIRECT($C78&amp;".Outputs["&amp;this.Year&amp;"]"), MATCH(BN$5, INDIRECT($C78&amp;".Outputs[Vector]"), 0)), 0)</f>
        <v>0</v>
      </c>
      <c r="BO78" s="1941">
        <f t="shared" ca="1" si="59"/>
        <v>0</v>
      </c>
      <c r="BP78" s="1505">
        <f ca="1">BN78+BO78</f>
        <v>0</v>
      </c>
      <c r="BR78" s="3168">
        <f ca="1">W78+AQ78+BL78+BP78</f>
        <v>0</v>
      </c>
      <c r="BS78" s="1525"/>
      <c r="BT78" s="748"/>
      <c r="BU78" s="1507"/>
      <c r="BV78" s="1508"/>
      <c r="BW78" s="1508"/>
      <c r="BX78" s="1508"/>
      <c r="BY78" s="1508"/>
      <c r="BZ78" s="1508"/>
      <c r="CA78" s="1508"/>
      <c r="CB78" s="1508"/>
      <c r="CC78" s="1508"/>
      <c r="CD78" s="1508"/>
      <c r="CE78" s="1508"/>
      <c r="CF78" s="1508"/>
      <c r="CG78" s="1508"/>
      <c r="CH78" s="1508"/>
      <c r="CI78" s="1508"/>
      <c r="CJ78" s="1508"/>
      <c r="CK78" s="1508"/>
      <c r="CL78" s="1508"/>
      <c r="CM78" s="1508"/>
      <c r="CN78" s="1508"/>
      <c r="CO78" s="1508"/>
      <c r="CP78" s="1508"/>
      <c r="CQ78" s="1508"/>
      <c r="CR78" s="1508"/>
      <c r="CS78" s="1508"/>
      <c r="CT78" s="1508"/>
      <c r="CU78" s="1508"/>
      <c r="CV78" s="1508"/>
      <c r="CW78" s="1508"/>
      <c r="CX78" s="1508"/>
      <c r="CY78" s="1508"/>
      <c r="CZ78" s="1508"/>
      <c r="DA78" s="1508"/>
      <c r="DB78" s="1508"/>
      <c r="DC78" s="1508"/>
      <c r="DD78" s="1508"/>
      <c r="DE78" s="1508"/>
      <c r="DF78" s="1508"/>
      <c r="DG78" s="1508"/>
      <c r="DH78" s="1508"/>
      <c r="DI78" s="1508"/>
      <c r="DJ78" s="1508"/>
      <c r="DK78" s="1508"/>
      <c r="DL78" s="1508"/>
      <c r="DN78" s="1509"/>
    </row>
    <row r="79" spans="1:118" s="14" customFormat="1" outlineLevel="1" x14ac:dyDescent="0.2">
      <c r="A79" s="1522"/>
      <c r="B79" s="1522"/>
      <c r="C79" s="1496" t="s">
        <v>764</v>
      </c>
      <c r="D79" s="1497" t="str">
        <f>INDEX(Modulos[Modulos], MATCH($C79, Modulos[Código], 0))</f>
        <v>Agropecuario</v>
      </c>
      <c r="E79" s="1497"/>
      <c r="G79" s="1498"/>
      <c r="H79" s="1498"/>
      <c r="I79" s="1498"/>
      <c r="J79" s="1498"/>
      <c r="K79" s="1498"/>
      <c r="L79" s="1498"/>
      <c r="M79" s="1498"/>
      <c r="N79" s="1498"/>
      <c r="O79" s="1498"/>
      <c r="P79" s="1498"/>
      <c r="Q79" s="1498"/>
      <c r="R79" s="1498"/>
      <c r="S79" s="1498"/>
      <c r="T79" s="1498"/>
      <c r="U79" s="1498"/>
      <c r="V79" s="1498"/>
      <c r="W79" s="1499"/>
      <c r="Y79" s="2610">
        <f t="shared" ca="1" si="55"/>
        <v>0</v>
      </c>
      <c r="Z79" s="2610">
        <f t="shared" ca="1" si="55"/>
        <v>4.2392356044495443E-3</v>
      </c>
      <c r="AA79" s="2610">
        <f t="shared" ca="1" si="55"/>
        <v>0</v>
      </c>
      <c r="AB79" s="2610">
        <f t="shared" ca="1" si="55"/>
        <v>0</v>
      </c>
      <c r="AC79" s="2610">
        <f t="shared" ca="1" si="55"/>
        <v>0</v>
      </c>
      <c r="AD79" s="2610">
        <f t="shared" ca="1" si="55"/>
        <v>0</v>
      </c>
      <c r="AE79" s="2610">
        <f t="shared" ca="1" si="55"/>
        <v>0</v>
      </c>
      <c r="AF79" s="2610">
        <f t="shared" ca="1" si="55"/>
        <v>0</v>
      </c>
      <c r="AG79" s="2610">
        <f t="shared" ca="1" si="55"/>
        <v>0</v>
      </c>
      <c r="AH79" s="2610">
        <f t="shared" ca="1" si="55"/>
        <v>0</v>
      </c>
      <c r="AI79" s="2610">
        <f t="shared" ca="1" si="56"/>
        <v>0</v>
      </c>
      <c r="AJ79" s="2610">
        <f t="shared" ca="1" si="56"/>
        <v>0</v>
      </c>
      <c r="AK79" s="2610">
        <f t="shared" ca="1" si="56"/>
        <v>0</v>
      </c>
      <c r="AL79" s="2610">
        <f t="shared" ca="1" si="56"/>
        <v>0</v>
      </c>
      <c r="AM79" s="2610">
        <f t="shared" ca="1" si="56"/>
        <v>0</v>
      </c>
      <c r="AN79" s="2610">
        <f t="shared" ca="1" si="56"/>
        <v>0</v>
      </c>
      <c r="AO79" s="2610">
        <f t="shared" ca="1" si="56"/>
        <v>0</v>
      </c>
      <c r="AP79" s="2610">
        <f t="shared" ca="1" si="56"/>
        <v>0</v>
      </c>
      <c r="AQ79" s="1951">
        <f ca="1">SUM(Y79:AP79)</f>
        <v>4.2392356044495443E-3</v>
      </c>
      <c r="AS79" s="1948">
        <f t="shared" ca="1" si="57"/>
        <v>0</v>
      </c>
      <c r="AT79" s="1948">
        <f t="shared" ca="1" si="57"/>
        <v>0</v>
      </c>
      <c r="AU79" s="1948">
        <f t="shared" ca="1" si="57"/>
        <v>0</v>
      </c>
      <c r="AV79" s="1948">
        <f t="shared" ca="1" si="57"/>
        <v>0</v>
      </c>
      <c r="AW79" s="1948">
        <f t="shared" ca="1" si="57"/>
        <v>0</v>
      </c>
      <c r="AX79" s="1948">
        <f t="shared" ca="1" si="57"/>
        <v>0</v>
      </c>
      <c r="AY79" s="1948">
        <f t="shared" ca="1" si="57"/>
        <v>0</v>
      </c>
      <c r="AZ79" s="1948">
        <f t="shared" ca="1" si="57"/>
        <v>0</v>
      </c>
      <c r="BA79" s="1948">
        <f t="shared" ca="1" si="57"/>
        <v>0</v>
      </c>
      <c r="BB79" s="1948">
        <f t="shared" ca="1" si="57"/>
        <v>0</v>
      </c>
      <c r="BC79" s="1948">
        <f t="shared" ca="1" si="58"/>
        <v>0</v>
      </c>
      <c r="BD79" s="1948">
        <f t="shared" ca="1" si="58"/>
        <v>0</v>
      </c>
      <c r="BE79" s="1948">
        <f t="shared" ca="1" si="58"/>
        <v>0</v>
      </c>
      <c r="BF79" s="1948">
        <f t="shared" ca="1" si="58"/>
        <v>0</v>
      </c>
      <c r="BG79" s="1948">
        <f t="shared" ca="1" si="58"/>
        <v>0</v>
      </c>
      <c r="BH79" s="1948">
        <f t="shared" ca="1" si="58"/>
        <v>0</v>
      </c>
      <c r="BI79" s="1948">
        <f t="shared" ca="1" si="58"/>
        <v>0</v>
      </c>
      <c r="BJ79" s="1948">
        <f t="shared" ca="1" si="58"/>
        <v>0</v>
      </c>
      <c r="BK79" s="1948">
        <f t="shared" ca="1" si="58"/>
        <v>-4.2392356044495443E-3</v>
      </c>
      <c r="BL79" s="1952">
        <f ca="1">SUM(AS79:BK79)</f>
        <v>-4.2392356044495443E-3</v>
      </c>
      <c r="BN79" s="1941">
        <f t="shared" ca="1" si="59"/>
        <v>0</v>
      </c>
      <c r="BO79" s="1941">
        <f t="shared" ca="1" si="59"/>
        <v>0</v>
      </c>
      <c r="BP79" s="1505">
        <f ca="1">BN79+BO79</f>
        <v>0</v>
      </c>
      <c r="BR79" s="3168">
        <f ca="1">W79+AQ79+BL79+BP79</f>
        <v>0</v>
      </c>
      <c r="BS79" s="1525"/>
      <c r="BT79" s="748"/>
      <c r="BU79" s="1507"/>
      <c r="BV79" s="1508"/>
      <c r="BW79" s="1508"/>
      <c r="BX79" s="1508"/>
      <c r="BY79" s="1508"/>
      <c r="BZ79" s="1508"/>
      <c r="CA79" s="1508"/>
      <c r="CB79" s="1508"/>
      <c r="CC79" s="1508"/>
      <c r="CD79" s="1508"/>
      <c r="CE79" s="1508"/>
      <c r="CF79" s="1508"/>
      <c r="CG79" s="1508"/>
      <c r="CH79" s="1508"/>
      <c r="CI79" s="1508"/>
      <c r="CJ79" s="1508"/>
      <c r="CK79" s="1508"/>
      <c r="CL79" s="1508"/>
      <c r="CM79" s="1508"/>
      <c r="CN79" s="1508"/>
      <c r="CO79" s="1508"/>
      <c r="CP79" s="1508"/>
      <c r="CQ79" s="1508"/>
      <c r="CR79" s="1508"/>
      <c r="CS79" s="1508"/>
      <c r="CT79" s="1508"/>
      <c r="CU79" s="1508"/>
      <c r="CV79" s="1508"/>
      <c r="CW79" s="1508"/>
      <c r="CX79" s="1508"/>
      <c r="CY79" s="1508"/>
      <c r="CZ79" s="1508"/>
      <c r="DA79" s="1508"/>
      <c r="DB79" s="1508"/>
      <c r="DC79" s="1508"/>
      <c r="DD79" s="1508"/>
      <c r="DE79" s="1508"/>
      <c r="DF79" s="1508"/>
      <c r="DG79" s="1508"/>
      <c r="DH79" s="1508"/>
      <c r="DI79" s="1508"/>
      <c r="DJ79" s="1508"/>
      <c r="DK79" s="1508"/>
      <c r="DL79" s="1508"/>
      <c r="DN79" s="1509"/>
    </row>
    <row r="80" spans="1:118" s="14" customFormat="1" ht="12.75" customHeight="1" outlineLevel="1" x14ac:dyDescent="0.2">
      <c r="A80" s="1522"/>
      <c r="B80" s="1522"/>
      <c r="C80" s="1496" t="s">
        <v>1620</v>
      </c>
      <c r="D80" s="1497" t="str">
        <f>INDEX(Modulos[Modulos], MATCH($C80, Modulos[Código], 0))</f>
        <v>Forestal</v>
      </c>
      <c r="E80" s="1526"/>
      <c r="G80" s="1540"/>
      <c r="H80" s="1540"/>
      <c r="I80" s="1540"/>
      <c r="J80" s="1540"/>
      <c r="K80" s="1540"/>
      <c r="L80" s="1540"/>
      <c r="M80" s="1540"/>
      <c r="N80" s="1540"/>
      <c r="O80" s="1540"/>
      <c r="P80" s="1540"/>
      <c r="Q80" s="1540"/>
      <c r="R80" s="1540"/>
      <c r="S80" s="1540"/>
      <c r="T80" s="1540"/>
      <c r="U80" s="1540"/>
      <c r="V80" s="1540"/>
      <c r="W80" s="1527"/>
      <c r="Y80" s="2614">
        <f t="shared" ca="1" si="55"/>
        <v>0</v>
      </c>
      <c r="Z80" s="2614">
        <f t="shared" ca="1" si="55"/>
        <v>0</v>
      </c>
      <c r="AA80" s="2614">
        <f t="shared" ca="1" si="55"/>
        <v>0</v>
      </c>
      <c r="AB80" s="2614">
        <f t="shared" ca="1" si="55"/>
        <v>0</v>
      </c>
      <c r="AC80" s="2614">
        <f t="shared" ca="1" si="55"/>
        <v>0</v>
      </c>
      <c r="AD80" s="2614">
        <f t="shared" ca="1" si="55"/>
        <v>0</v>
      </c>
      <c r="AE80" s="2614">
        <f t="shared" ca="1" si="55"/>
        <v>0</v>
      </c>
      <c r="AF80" s="2614">
        <f t="shared" ca="1" si="55"/>
        <v>0</v>
      </c>
      <c r="AG80" s="2614">
        <f t="shared" ca="1" si="55"/>
        <v>0</v>
      </c>
      <c r="AH80" s="2614">
        <f t="shared" ca="1" si="55"/>
        <v>0</v>
      </c>
      <c r="AI80" s="2614">
        <f t="shared" ca="1" si="56"/>
        <v>0</v>
      </c>
      <c r="AJ80" s="2614">
        <f t="shared" ca="1" si="56"/>
        <v>0</v>
      </c>
      <c r="AK80" s="2614">
        <f t="shared" ca="1" si="56"/>
        <v>0</v>
      </c>
      <c r="AL80" s="2614">
        <f t="shared" ca="1" si="56"/>
        <v>0</v>
      </c>
      <c r="AM80" s="2614">
        <f t="shared" ca="1" si="56"/>
        <v>0</v>
      </c>
      <c r="AN80" s="2614">
        <f t="shared" ca="1" si="56"/>
        <v>0</v>
      </c>
      <c r="AO80" s="2614">
        <f t="shared" ca="1" si="56"/>
        <v>0</v>
      </c>
      <c r="AP80" s="2614">
        <f t="shared" ca="1" si="56"/>
        <v>0</v>
      </c>
      <c r="AQ80" s="1951">
        <f ca="1">SUM(Y80:AP80)</f>
        <v>0</v>
      </c>
      <c r="AS80" s="1542">
        <f t="shared" ca="1" si="57"/>
        <v>0</v>
      </c>
      <c r="AT80" s="1542">
        <f t="shared" ca="1" si="57"/>
        <v>0</v>
      </c>
      <c r="AU80" s="1542">
        <f t="shared" ca="1" si="57"/>
        <v>0</v>
      </c>
      <c r="AV80" s="1542">
        <f t="shared" ca="1" si="57"/>
        <v>0</v>
      </c>
      <c r="AW80" s="1542">
        <f t="shared" ca="1" si="57"/>
        <v>0</v>
      </c>
      <c r="AX80" s="1542">
        <f t="shared" ca="1" si="57"/>
        <v>0</v>
      </c>
      <c r="AY80" s="1542">
        <f t="shared" ca="1" si="57"/>
        <v>0</v>
      </c>
      <c r="AZ80" s="1542">
        <f t="shared" ca="1" si="57"/>
        <v>0</v>
      </c>
      <c r="BA80" s="1542">
        <f t="shared" ca="1" si="57"/>
        <v>0</v>
      </c>
      <c r="BB80" s="1542">
        <f t="shared" ca="1" si="57"/>
        <v>0</v>
      </c>
      <c r="BC80" s="1542">
        <f t="shared" ca="1" si="58"/>
        <v>0</v>
      </c>
      <c r="BD80" s="1542">
        <f t="shared" ca="1" si="58"/>
        <v>0</v>
      </c>
      <c r="BE80" s="1542">
        <f t="shared" ca="1" si="58"/>
        <v>0</v>
      </c>
      <c r="BF80" s="1542">
        <f t="shared" ca="1" si="58"/>
        <v>0</v>
      </c>
      <c r="BG80" s="1542">
        <f t="shared" ca="1" si="58"/>
        <v>0</v>
      </c>
      <c r="BH80" s="1542">
        <f t="shared" ca="1" si="58"/>
        <v>0</v>
      </c>
      <c r="BI80" s="1542">
        <f t="shared" ca="1" si="58"/>
        <v>0</v>
      </c>
      <c r="BJ80" s="1542">
        <f t="shared" ca="1" si="58"/>
        <v>0</v>
      </c>
      <c r="BK80" s="1542">
        <f t="shared" ca="1" si="58"/>
        <v>0</v>
      </c>
      <c r="BL80" s="1952">
        <f ca="1">SUM(AS80:BK80)</f>
        <v>0</v>
      </c>
      <c r="BN80" s="1941">
        <f t="shared" ca="1" si="59"/>
        <v>0</v>
      </c>
      <c r="BO80" s="1941">
        <f t="shared" ca="1" si="59"/>
        <v>0</v>
      </c>
      <c r="BP80" s="1505">
        <f ca="1">BN80+BO80</f>
        <v>0</v>
      </c>
      <c r="BR80" s="3168">
        <f ca="1">W80+AQ80+BL80+BP80</f>
        <v>0</v>
      </c>
      <c r="BS80" s="1525"/>
      <c r="BT80" s="748"/>
      <c r="BU80" s="1532"/>
      <c r="BV80" s="1533"/>
      <c r="BW80" s="1533"/>
      <c r="BX80" s="1533"/>
      <c r="BY80" s="1533"/>
      <c r="BZ80" s="1533"/>
      <c r="CA80" s="1533"/>
      <c r="CB80" s="1533"/>
      <c r="CC80" s="1533"/>
      <c r="CD80" s="1533"/>
      <c r="CE80" s="1533"/>
      <c r="CF80" s="1533"/>
      <c r="CG80" s="1533"/>
      <c r="CH80" s="1533"/>
      <c r="CI80" s="1533"/>
      <c r="CJ80" s="1533"/>
      <c r="CK80" s="1533"/>
      <c r="CL80" s="1533"/>
      <c r="CM80" s="1533"/>
      <c r="CN80" s="1533"/>
      <c r="CO80" s="1533"/>
      <c r="CP80" s="1533"/>
      <c r="CQ80" s="1533"/>
      <c r="CR80" s="1533"/>
      <c r="CS80" s="1533"/>
      <c r="CT80" s="1533"/>
      <c r="CU80" s="1533"/>
      <c r="CV80" s="1533"/>
      <c r="CW80" s="1533"/>
      <c r="CX80" s="1533"/>
      <c r="CY80" s="1533"/>
      <c r="CZ80" s="1533"/>
      <c r="DA80" s="1533"/>
      <c r="DB80" s="1533"/>
      <c r="DC80" s="1533"/>
      <c r="DD80" s="1533"/>
      <c r="DE80" s="1533"/>
      <c r="DF80" s="1533"/>
      <c r="DG80" s="1533"/>
      <c r="DH80" s="1533"/>
      <c r="DI80" s="1533"/>
      <c r="DJ80" s="1533"/>
      <c r="DK80" s="1533"/>
      <c r="DL80" s="1533"/>
      <c r="DN80" s="1509"/>
    </row>
    <row r="81" spans="1:118" s="14" customFormat="1" ht="3" customHeight="1" outlineLevel="1" x14ac:dyDescent="0.2">
      <c r="A81" s="1522"/>
      <c r="B81" s="1522"/>
      <c r="C81" s="1496"/>
      <c r="D81" s="1497"/>
      <c r="E81" s="1497"/>
      <c r="G81" s="1498"/>
      <c r="H81" s="1498"/>
      <c r="I81" s="1498"/>
      <c r="J81" s="1498"/>
      <c r="K81" s="1498"/>
      <c r="L81" s="1498"/>
      <c r="M81" s="1498"/>
      <c r="N81" s="1498"/>
      <c r="O81" s="1498"/>
      <c r="P81" s="1498"/>
      <c r="Q81" s="1498"/>
      <c r="R81" s="1498"/>
      <c r="S81" s="1498"/>
      <c r="T81" s="1498"/>
      <c r="U81" s="1498"/>
      <c r="V81" s="1498"/>
      <c r="W81" s="1499"/>
      <c r="Y81" s="1500"/>
      <c r="Z81" s="1500"/>
      <c r="AA81" s="1500"/>
      <c r="AB81" s="1500"/>
      <c r="AC81" s="1500"/>
      <c r="AD81" s="1500"/>
      <c r="AE81" s="1500"/>
      <c r="AF81" s="1500"/>
      <c r="AG81" s="1500"/>
      <c r="AH81" s="1500"/>
      <c r="AI81" s="1500"/>
      <c r="AJ81" s="1500"/>
      <c r="AK81" s="1500"/>
      <c r="AL81" s="1500"/>
      <c r="AM81" s="1500"/>
      <c r="AN81" s="1500"/>
      <c r="AO81" s="1500"/>
      <c r="AP81" s="1500"/>
      <c r="AQ81" s="1501"/>
      <c r="AS81" s="1502"/>
      <c r="AT81" s="1502"/>
      <c r="AU81" s="1502"/>
      <c r="AV81" s="1502"/>
      <c r="AW81" s="1502"/>
      <c r="AX81" s="1502"/>
      <c r="AY81" s="1502"/>
      <c r="AZ81" s="1502"/>
      <c r="BA81" s="1502"/>
      <c r="BB81" s="1502"/>
      <c r="BC81" s="1502"/>
      <c r="BD81" s="1502"/>
      <c r="BE81" s="1502"/>
      <c r="BF81" s="1502"/>
      <c r="BG81" s="1502"/>
      <c r="BH81" s="1502"/>
      <c r="BI81" s="1502"/>
      <c r="BJ81" s="1502"/>
      <c r="BK81" s="1502"/>
      <c r="BL81" s="1524"/>
      <c r="BN81" s="1504"/>
      <c r="BO81" s="1504"/>
      <c r="BP81" s="1505"/>
      <c r="BR81" s="3168"/>
      <c r="BS81" s="1525"/>
      <c r="BT81" s="748"/>
      <c r="BU81" s="1507"/>
      <c r="BV81" s="1508"/>
      <c r="BW81" s="1508"/>
      <c r="BX81" s="1508"/>
      <c r="BY81" s="1508"/>
      <c r="BZ81" s="1508"/>
      <c r="CA81" s="1508"/>
      <c r="CB81" s="1508"/>
      <c r="CC81" s="1508"/>
      <c r="CD81" s="1508"/>
      <c r="CE81" s="1508"/>
      <c r="CF81" s="1508"/>
      <c r="CG81" s="1508"/>
      <c r="CH81" s="1508"/>
      <c r="CI81" s="1508"/>
      <c r="CJ81" s="1508"/>
      <c r="CK81" s="1508"/>
      <c r="CL81" s="1508"/>
      <c r="CM81" s="1508"/>
      <c r="CN81" s="1508"/>
      <c r="CO81" s="1508"/>
      <c r="CP81" s="1508"/>
      <c r="CQ81" s="1508"/>
      <c r="CR81" s="1508"/>
      <c r="CS81" s="1508"/>
      <c r="CT81" s="1508"/>
      <c r="CU81" s="1508"/>
      <c r="CV81" s="1508"/>
      <c r="CW81" s="1508"/>
      <c r="CX81" s="1508"/>
      <c r="CY81" s="1508"/>
      <c r="CZ81" s="1508"/>
      <c r="DA81" s="1508"/>
      <c r="DB81" s="1508"/>
      <c r="DC81" s="1508"/>
      <c r="DD81" s="1508"/>
      <c r="DE81" s="1508"/>
      <c r="DF81" s="1508"/>
      <c r="DG81" s="1508"/>
      <c r="DH81" s="1508"/>
      <c r="DI81" s="1508"/>
      <c r="DJ81" s="1508"/>
      <c r="DK81" s="1508"/>
      <c r="DL81" s="1508"/>
      <c r="DN81" s="1509"/>
    </row>
    <row r="82" spans="1:118" s="14" customFormat="1" ht="20.25" customHeight="1" x14ac:dyDescent="0.2">
      <c r="A82" s="1534"/>
      <c r="B82" s="1535"/>
      <c r="C82" s="1536" t="s">
        <v>737</v>
      </c>
      <c r="D82" s="1537" t="str">
        <f>INDEX(Flujos[Flujos], MATCH($C82, Flujos[Código], 0))</f>
        <v>Otros Sectores</v>
      </c>
      <c r="E82" s="1843"/>
      <c r="G82" s="1539"/>
      <c r="H82" s="1539"/>
      <c r="I82" s="1539"/>
      <c r="J82" s="1539"/>
      <c r="K82" s="1539"/>
      <c r="L82" s="1539"/>
      <c r="M82" s="1539"/>
      <c r="N82" s="1539"/>
      <c r="O82" s="1539"/>
      <c r="P82" s="1539"/>
      <c r="Q82" s="1539"/>
      <c r="R82" s="1539"/>
      <c r="S82" s="1539"/>
      <c r="T82" s="1539"/>
      <c r="U82" s="1539"/>
      <c r="V82" s="1539"/>
      <c r="W82" s="1539"/>
      <c r="Y82" s="2609">
        <f ca="1">Y78+Y79+Y80</f>
        <v>0</v>
      </c>
      <c r="Z82" s="2609">
        <f t="shared" ref="Z82:AQ82" ca="1" si="60">Z78+Z79+Z80</f>
        <v>0.35463923560444954</v>
      </c>
      <c r="AA82" s="2609">
        <f t="shared" ca="1" si="60"/>
        <v>0</v>
      </c>
      <c r="AB82" s="2609">
        <f t="shared" ca="1" si="60"/>
        <v>0</v>
      </c>
      <c r="AC82" s="2609">
        <f t="shared" ca="1" si="60"/>
        <v>0</v>
      </c>
      <c r="AD82" s="2609">
        <f t="shared" ca="1" si="60"/>
        <v>0</v>
      </c>
      <c r="AE82" s="2609">
        <f t="shared" ca="1" si="60"/>
        <v>0</v>
      </c>
      <c r="AF82" s="2609">
        <f t="shared" ca="1" si="60"/>
        <v>0</v>
      </c>
      <c r="AG82" s="2609">
        <f t="shared" ca="1" si="60"/>
        <v>0</v>
      </c>
      <c r="AH82" s="2609">
        <f t="shared" ca="1" si="60"/>
        <v>0</v>
      </c>
      <c r="AI82" s="2609">
        <f t="shared" ca="1" si="60"/>
        <v>0</v>
      </c>
      <c r="AJ82" s="2609">
        <f t="shared" ca="1" si="60"/>
        <v>0</v>
      </c>
      <c r="AK82" s="2609">
        <f t="shared" ca="1" si="60"/>
        <v>0</v>
      </c>
      <c r="AL82" s="2609">
        <f t="shared" ca="1" si="60"/>
        <v>0</v>
      </c>
      <c r="AM82" s="2609">
        <f t="shared" ca="1" si="60"/>
        <v>0</v>
      </c>
      <c r="AN82" s="2609">
        <f t="shared" ca="1" si="60"/>
        <v>0</v>
      </c>
      <c r="AO82" s="2609">
        <f t="shared" ca="1" si="60"/>
        <v>0</v>
      </c>
      <c r="AP82" s="2609">
        <f t="shared" ca="1" si="60"/>
        <v>0</v>
      </c>
      <c r="AQ82" s="2608">
        <f t="shared" ca="1" si="60"/>
        <v>0.35463923560444954</v>
      </c>
      <c r="AS82" s="1491">
        <f ca="1">AS78+AS79+AS80</f>
        <v>0</v>
      </c>
      <c r="AT82" s="1491">
        <f t="shared" ref="AT82:BJ82" ca="1" si="61">AT78+AT79+AT80</f>
        <v>0</v>
      </c>
      <c r="AU82" s="1491">
        <f t="shared" ca="1" si="61"/>
        <v>0</v>
      </c>
      <c r="AV82" s="1491">
        <f t="shared" ca="1" si="61"/>
        <v>0</v>
      </c>
      <c r="AW82" s="1491">
        <f t="shared" ca="1" si="61"/>
        <v>0</v>
      </c>
      <c r="AX82" s="1491">
        <f t="shared" ca="1" si="61"/>
        <v>0</v>
      </c>
      <c r="AY82" s="1491">
        <f t="shared" ca="1" si="61"/>
        <v>0</v>
      </c>
      <c r="AZ82" s="1491">
        <f t="shared" ca="1" si="61"/>
        <v>0</v>
      </c>
      <c r="BA82" s="1491">
        <f t="shared" ca="1" si="61"/>
        <v>0</v>
      </c>
      <c r="BB82" s="1491">
        <f t="shared" ca="1" si="61"/>
        <v>0</v>
      </c>
      <c r="BC82" s="1491">
        <f t="shared" ca="1" si="61"/>
        <v>0</v>
      </c>
      <c r="BD82" s="1491">
        <f t="shared" ca="1" si="61"/>
        <v>0</v>
      </c>
      <c r="BE82" s="1491">
        <f t="shared" ca="1" si="61"/>
        <v>0</v>
      </c>
      <c r="BF82" s="1491">
        <f t="shared" ca="1" si="61"/>
        <v>0</v>
      </c>
      <c r="BG82" s="1491">
        <f t="shared" ca="1" si="61"/>
        <v>0</v>
      </c>
      <c r="BH82" s="1491">
        <f t="shared" ca="1" si="61"/>
        <v>0</v>
      </c>
      <c r="BI82" s="1491">
        <f t="shared" ca="1" si="61"/>
        <v>0</v>
      </c>
      <c r="BJ82" s="1491">
        <f t="shared" ca="1" si="61"/>
        <v>0</v>
      </c>
      <c r="BK82" s="3167">
        <f ca="1">BK78+BK79+BK80</f>
        <v>-0.35463923560444954</v>
      </c>
      <c r="BL82" s="1491">
        <f ca="1">BL78+BL79+BL80</f>
        <v>-0.35463923560444954</v>
      </c>
      <c r="BN82" s="1492">
        <f ca="1">BN78+BN79+BN80</f>
        <v>0</v>
      </c>
      <c r="BO82" s="1492">
        <f ca="1">BO78+BO79+BO80</f>
        <v>0</v>
      </c>
      <c r="BP82" s="1492">
        <f ca="1">BP78+BP79+BP80</f>
        <v>0</v>
      </c>
      <c r="BR82" s="3168">
        <f ca="1">W82+AQ82+BL82+BP82</f>
        <v>0</v>
      </c>
      <c r="BS82" s="1493"/>
      <c r="BT82" s="748"/>
      <c r="BU82" s="1508"/>
      <c r="BV82" s="1508"/>
      <c r="BW82" s="1508"/>
      <c r="BX82" s="1508"/>
      <c r="BY82" s="1508"/>
      <c r="BZ82" s="1508"/>
      <c r="CA82" s="1508"/>
      <c r="CB82" s="1508"/>
      <c r="CC82" s="1508"/>
      <c r="CD82" s="1508"/>
      <c r="CE82" s="1508"/>
      <c r="CF82" s="1508"/>
      <c r="CG82" s="1508"/>
      <c r="CH82" s="1508"/>
      <c r="CI82" s="1508"/>
      <c r="CJ82" s="1508"/>
      <c r="CK82" s="1508"/>
      <c r="CL82" s="1508"/>
      <c r="CM82" s="1508"/>
      <c r="CN82" s="1508"/>
      <c r="CO82" s="1508"/>
      <c r="CP82" s="1508"/>
      <c r="CQ82" s="1508"/>
      <c r="CR82" s="1508"/>
      <c r="CS82" s="1508"/>
      <c r="CT82" s="1508"/>
      <c r="CU82" s="1508"/>
      <c r="CV82" s="1508"/>
      <c r="CW82" s="1508"/>
      <c r="CX82" s="1508"/>
      <c r="CY82" s="1508"/>
      <c r="CZ82" s="1508"/>
      <c r="DA82" s="1508"/>
      <c r="DB82" s="1508"/>
      <c r="DC82" s="1508"/>
      <c r="DD82" s="1508"/>
      <c r="DE82" s="1508"/>
      <c r="DF82" s="1508"/>
      <c r="DG82" s="1508"/>
      <c r="DH82" s="1508"/>
      <c r="DI82" s="1508"/>
      <c r="DJ82" s="1508"/>
      <c r="DK82" s="1508"/>
      <c r="DL82" s="1508"/>
      <c r="DN82" s="1509"/>
    </row>
    <row r="83" spans="1:118" s="14" customFormat="1" ht="15.75" x14ac:dyDescent="0.2">
      <c r="A83" s="1845"/>
      <c r="B83" s="1847"/>
      <c r="C83" s="1842"/>
      <c r="D83" s="1843"/>
      <c r="E83" s="1844"/>
      <c r="G83" s="1539"/>
      <c r="H83" s="1539"/>
      <c r="I83" s="1539"/>
      <c r="J83" s="1539"/>
      <c r="K83" s="1539"/>
      <c r="L83" s="1539"/>
      <c r="M83" s="1539"/>
      <c r="N83" s="1539"/>
      <c r="O83" s="1539"/>
      <c r="P83" s="1539"/>
      <c r="Q83" s="1539"/>
      <c r="R83" s="1539"/>
      <c r="S83" s="1539"/>
      <c r="T83" s="1539"/>
      <c r="U83" s="1539"/>
      <c r="V83" s="1539"/>
      <c r="W83" s="1539"/>
      <c r="Y83" s="1490"/>
      <c r="Z83" s="1490"/>
      <c r="AA83" s="1490"/>
      <c r="AB83" s="1490"/>
      <c r="AC83" s="1490"/>
      <c r="AD83" s="1490"/>
      <c r="AE83" s="1490"/>
      <c r="AF83" s="1490"/>
      <c r="AG83" s="1490"/>
      <c r="AH83" s="1490"/>
      <c r="AI83" s="1490"/>
      <c r="AJ83" s="1490"/>
      <c r="AK83" s="1490"/>
      <c r="AL83" s="1490"/>
      <c r="AM83" s="1490"/>
      <c r="AN83" s="1490"/>
      <c r="AO83" s="1490"/>
      <c r="AP83" s="1490"/>
      <c r="AQ83" s="1490"/>
      <c r="AS83" s="1491"/>
      <c r="AT83" s="1491"/>
      <c r="AU83" s="1491"/>
      <c r="AV83" s="1491"/>
      <c r="AW83" s="1491"/>
      <c r="AX83" s="1491"/>
      <c r="AY83" s="1491"/>
      <c r="AZ83" s="1491"/>
      <c r="BA83" s="1491"/>
      <c r="BB83" s="1491"/>
      <c r="BC83" s="1491"/>
      <c r="BD83" s="1491"/>
      <c r="BE83" s="1491"/>
      <c r="BF83" s="1491"/>
      <c r="BG83" s="1491"/>
      <c r="BH83" s="1491"/>
      <c r="BI83" s="1491"/>
      <c r="BJ83" s="1491"/>
      <c r="BK83" s="1491"/>
      <c r="BL83" s="1491"/>
      <c r="BN83" s="1492"/>
      <c r="BO83" s="1492"/>
      <c r="BP83" s="1492"/>
      <c r="BR83" s="3168"/>
      <c r="BS83" s="1579"/>
      <c r="BT83" s="748"/>
      <c r="BU83" s="1507"/>
      <c r="BV83" s="1508"/>
      <c r="BW83" s="1508"/>
      <c r="BX83" s="1508"/>
      <c r="BY83" s="1508"/>
      <c r="BZ83" s="1508"/>
      <c r="CA83" s="1508"/>
      <c r="CB83" s="1508"/>
      <c r="CC83" s="1508"/>
      <c r="CD83" s="1508"/>
      <c r="CE83" s="1508"/>
      <c r="CF83" s="1508"/>
      <c r="CG83" s="1508"/>
      <c r="CH83" s="1508"/>
      <c r="CI83" s="1508"/>
      <c r="CJ83" s="1508"/>
      <c r="CK83" s="1508"/>
      <c r="CL83" s="1508"/>
      <c r="CM83" s="1508"/>
      <c r="CN83" s="1508"/>
      <c r="CO83" s="1508"/>
      <c r="CP83" s="1508"/>
      <c r="CQ83" s="1508"/>
      <c r="CR83" s="1508"/>
      <c r="CS83" s="1508"/>
      <c r="CT83" s="1508"/>
      <c r="CU83" s="1508"/>
      <c r="CV83" s="1508"/>
      <c r="CW83" s="1508"/>
      <c r="CX83" s="1508"/>
      <c r="CY83" s="1508"/>
      <c r="CZ83" s="1508"/>
      <c r="DA83" s="1508"/>
      <c r="DB83" s="1508"/>
      <c r="DC83" s="1508"/>
      <c r="DD83" s="1508"/>
      <c r="DE83" s="1508"/>
      <c r="DF83" s="1508"/>
      <c r="DG83" s="1508"/>
      <c r="DH83" s="1508"/>
      <c r="DI83" s="1508"/>
      <c r="DJ83" s="1508"/>
      <c r="DK83" s="1508"/>
      <c r="DL83" s="1508"/>
      <c r="DN83" s="1509"/>
    </row>
    <row r="84" spans="1:118" s="14" customFormat="1" ht="15.75" hidden="1" outlineLevel="1" x14ac:dyDescent="0.2">
      <c r="A84" s="1534"/>
      <c r="B84" s="1535"/>
      <c r="C84" s="1536"/>
      <c r="D84" s="1537"/>
      <c r="E84" s="1538"/>
      <c r="G84" s="1539"/>
      <c r="H84" s="1539"/>
      <c r="I84" s="1539"/>
      <c r="J84" s="1539"/>
      <c r="K84" s="1539"/>
      <c r="L84" s="1539"/>
      <c r="M84" s="1539"/>
      <c r="N84" s="1539"/>
      <c r="O84" s="1539"/>
      <c r="P84" s="1539"/>
      <c r="Q84" s="1539"/>
      <c r="R84" s="1539"/>
      <c r="S84" s="1539"/>
      <c r="T84" s="1539"/>
      <c r="U84" s="1539"/>
      <c r="V84" s="1539"/>
      <c r="W84" s="1539"/>
      <c r="Y84" s="1490"/>
      <c r="Z84" s="1490"/>
      <c r="AA84" s="1490"/>
      <c r="AB84" s="1490"/>
      <c r="AC84" s="1490"/>
      <c r="AD84" s="1490"/>
      <c r="AE84" s="1490"/>
      <c r="AF84" s="1490"/>
      <c r="AG84" s="1490"/>
      <c r="AH84" s="1490"/>
      <c r="AI84" s="1490"/>
      <c r="AJ84" s="1490"/>
      <c r="AK84" s="1490"/>
      <c r="AL84" s="1490"/>
      <c r="AM84" s="1490"/>
      <c r="AN84" s="1490"/>
      <c r="AO84" s="1490"/>
      <c r="AP84" s="1490"/>
      <c r="AQ84" s="1490"/>
      <c r="AS84" s="1491"/>
      <c r="AT84" s="1491"/>
      <c r="AU84" s="1491"/>
      <c r="AV84" s="1491"/>
      <c r="AW84" s="1491"/>
      <c r="AX84" s="1491"/>
      <c r="AY84" s="1491"/>
      <c r="AZ84" s="1491"/>
      <c r="BA84" s="1491"/>
      <c r="BB84" s="1491"/>
      <c r="BC84" s="1491"/>
      <c r="BD84" s="1491"/>
      <c r="BE84" s="1491"/>
      <c r="BF84" s="1491"/>
      <c r="BG84" s="1491"/>
      <c r="BH84" s="1491"/>
      <c r="BI84" s="1491"/>
      <c r="BJ84" s="1491"/>
      <c r="BK84" s="1491"/>
      <c r="BL84" s="1491"/>
      <c r="BN84" s="1492"/>
      <c r="BO84" s="1492"/>
      <c r="BP84" s="1492"/>
      <c r="BR84" s="3168">
        <f t="shared" ref="BR84:BR89" si="62">W84+AQ84+BL84+BP84</f>
        <v>0</v>
      </c>
      <c r="BS84" s="1493"/>
      <c r="BT84" s="748"/>
      <c r="BU84" s="1508"/>
      <c r="BV84" s="1508"/>
      <c r="BW84" s="1508"/>
      <c r="BX84" s="1508"/>
      <c r="BY84" s="1508"/>
      <c r="BZ84" s="1508"/>
      <c r="CA84" s="1508"/>
      <c r="CB84" s="1508"/>
      <c r="CC84" s="1508"/>
      <c r="CD84" s="1508"/>
      <c r="CE84" s="1508"/>
      <c r="CF84" s="1508"/>
      <c r="CG84" s="1508"/>
      <c r="CH84" s="1508"/>
      <c r="CI84" s="1508"/>
      <c r="CJ84" s="1508"/>
      <c r="CK84" s="1508"/>
      <c r="CL84" s="1508"/>
      <c r="CM84" s="1508"/>
      <c r="CN84" s="1508"/>
      <c r="CO84" s="1508"/>
      <c r="CP84" s="1508"/>
      <c r="CQ84" s="1508"/>
      <c r="CR84" s="1508"/>
      <c r="CS84" s="1508"/>
      <c r="CT84" s="1508"/>
      <c r="CU84" s="1508"/>
      <c r="CV84" s="1508"/>
      <c r="CW84" s="1508"/>
      <c r="CX84" s="1508"/>
      <c r="CY84" s="1508"/>
      <c r="CZ84" s="1508"/>
      <c r="DA84" s="1508"/>
      <c r="DB84" s="1508"/>
      <c r="DC84" s="1508"/>
      <c r="DD84" s="1508"/>
      <c r="DE84" s="1508"/>
      <c r="DF84" s="1508"/>
      <c r="DG84" s="1508"/>
      <c r="DH84" s="1508"/>
      <c r="DI84" s="1508"/>
      <c r="DJ84" s="1508"/>
      <c r="DK84" s="1508"/>
      <c r="DL84" s="1508"/>
      <c r="DN84" s="1509"/>
    </row>
    <row r="85" spans="1:118" s="14" customFormat="1" ht="12.75" hidden="1" customHeight="1" outlineLevel="2" x14ac:dyDescent="0.2">
      <c r="A85" s="1534"/>
      <c r="B85" s="1534"/>
      <c r="C85" s="1544"/>
      <c r="D85" s="1538"/>
      <c r="E85" s="1538"/>
      <c r="G85" s="1488"/>
      <c r="H85" s="1488"/>
      <c r="I85" s="1488"/>
      <c r="J85" s="1488"/>
      <c r="K85" s="1488"/>
      <c r="L85" s="1488"/>
      <c r="M85" s="1488"/>
      <c r="N85" s="1488"/>
      <c r="O85" s="1563"/>
      <c r="P85" s="1488"/>
      <c r="Q85" s="1488"/>
      <c r="R85" s="1488"/>
      <c r="S85" s="1488"/>
      <c r="T85" s="1488"/>
      <c r="U85" s="1488"/>
      <c r="V85" s="1488"/>
      <c r="W85" s="1488"/>
      <c r="Y85" s="1490"/>
      <c r="Z85" s="1490"/>
      <c r="AA85" s="1490"/>
      <c r="AB85" s="1490"/>
      <c r="AC85" s="1490"/>
      <c r="AD85" s="1490"/>
      <c r="AE85" s="1490"/>
      <c r="AF85" s="1490"/>
      <c r="AG85" s="1490"/>
      <c r="AH85" s="1490"/>
      <c r="AI85" s="1490"/>
      <c r="AJ85" s="1490"/>
      <c r="AK85" s="1490"/>
      <c r="AL85" s="1490"/>
      <c r="AM85" s="1490"/>
      <c r="AN85" s="1490"/>
      <c r="AO85" s="1490"/>
      <c r="AP85" s="1490"/>
      <c r="AQ85" s="1490"/>
      <c r="AS85" s="1491"/>
      <c r="AT85" s="1491"/>
      <c r="AU85" s="1491"/>
      <c r="AV85" s="1491"/>
      <c r="AW85" s="1491"/>
      <c r="AX85" s="1491"/>
      <c r="AY85" s="1491"/>
      <c r="AZ85" s="1491"/>
      <c r="BA85" s="1491"/>
      <c r="BB85" s="1491"/>
      <c r="BC85" s="1491"/>
      <c r="BD85" s="1491"/>
      <c r="BE85" s="1491"/>
      <c r="BF85" s="1491"/>
      <c r="BG85" s="1491"/>
      <c r="BH85" s="1491"/>
      <c r="BI85" s="1491"/>
      <c r="BJ85" s="1491"/>
      <c r="BK85" s="1491"/>
      <c r="BL85" s="1491"/>
      <c r="BN85" s="1492"/>
      <c r="BO85" s="1492"/>
      <c r="BP85" s="1492"/>
      <c r="BR85" s="3168">
        <f t="shared" si="62"/>
        <v>0</v>
      </c>
      <c r="BS85" s="1493"/>
      <c r="BT85" s="1534"/>
      <c r="BU85" s="1508"/>
      <c r="BV85" s="1508"/>
      <c r="BW85" s="1508"/>
      <c r="BX85" s="1508"/>
      <c r="BY85" s="1508"/>
      <c r="BZ85" s="1508"/>
      <c r="CA85" s="1508"/>
      <c r="CB85" s="1508"/>
      <c r="CC85" s="1508"/>
      <c r="CD85" s="1508"/>
      <c r="CE85" s="1508"/>
      <c r="CF85" s="1508"/>
      <c r="CG85" s="1508"/>
      <c r="CH85" s="1508"/>
      <c r="CI85" s="1508"/>
      <c r="CJ85" s="1508"/>
      <c r="CK85" s="1508"/>
      <c r="CL85" s="1508"/>
      <c r="CM85" s="1508"/>
      <c r="CN85" s="1508"/>
      <c r="CO85" s="1508"/>
      <c r="CP85" s="1508"/>
      <c r="CQ85" s="1508"/>
      <c r="CR85" s="1508"/>
      <c r="CS85" s="1508"/>
      <c r="CT85" s="1508"/>
      <c r="CU85" s="1508"/>
      <c r="CV85" s="1508"/>
      <c r="CW85" s="1508"/>
      <c r="CX85" s="1508"/>
      <c r="CY85" s="1508"/>
      <c r="CZ85" s="1508"/>
      <c r="DA85" s="1508"/>
      <c r="DB85" s="1508"/>
      <c r="DC85" s="1508"/>
      <c r="DD85" s="1508"/>
      <c r="DE85" s="1508"/>
      <c r="DF85" s="1508"/>
      <c r="DG85" s="1508"/>
      <c r="DH85" s="1508"/>
      <c r="DI85" s="1508"/>
      <c r="DJ85" s="1508"/>
      <c r="DK85" s="1508"/>
      <c r="DL85" s="1508"/>
      <c r="DN85" s="1509">
        <v>0</v>
      </c>
    </row>
    <row r="86" spans="1:118" s="1564" customFormat="1" ht="12.75" hidden="1" customHeight="1" outlineLevel="2" x14ac:dyDescent="0.2">
      <c r="C86" s="1565" t="s">
        <v>809</v>
      </c>
      <c r="D86" s="1566" t="s">
        <v>810</v>
      </c>
      <c r="E86" s="1566"/>
      <c r="F86" s="1567"/>
      <c r="G86" s="1568"/>
      <c r="H86" s="1568"/>
      <c r="I86" s="1568"/>
      <c r="J86" s="1568"/>
      <c r="K86" s="1568"/>
      <c r="L86" s="1568"/>
      <c r="M86" s="1568"/>
      <c r="N86" s="1568"/>
      <c r="O86" s="1569"/>
      <c r="P86" s="1568"/>
      <c r="Q86" s="1568"/>
      <c r="R86" s="1568"/>
      <c r="S86" s="1568"/>
      <c r="T86" s="1568"/>
      <c r="U86" s="1568"/>
      <c r="V86" s="1568"/>
      <c r="W86" s="1568"/>
      <c r="X86" s="1567"/>
      <c r="Y86" s="1570"/>
      <c r="Z86" s="1570"/>
      <c r="AA86" s="1570"/>
      <c r="AB86" s="1570"/>
      <c r="AC86" s="1570"/>
      <c r="AD86" s="1570"/>
      <c r="AE86" s="1570"/>
      <c r="AF86" s="1570"/>
      <c r="AG86" s="1570"/>
      <c r="AH86" s="1570"/>
      <c r="AI86" s="1570"/>
      <c r="AJ86" s="1570"/>
      <c r="AK86" s="1570"/>
      <c r="AL86" s="1570"/>
      <c r="AM86" s="1570"/>
      <c r="AN86" s="1570"/>
      <c r="AO86" s="1570"/>
      <c r="AP86" s="1570"/>
      <c r="AQ86" s="1570"/>
      <c r="AR86" s="1567"/>
      <c r="AS86" s="1571"/>
      <c r="AT86" s="1571"/>
      <c r="AU86" s="1571"/>
      <c r="AV86" s="1571"/>
      <c r="AW86" s="1571"/>
      <c r="AX86" s="1571"/>
      <c r="AY86" s="1571"/>
      <c r="AZ86" s="1571"/>
      <c r="BA86" s="1571"/>
      <c r="BB86" s="1571"/>
      <c r="BC86" s="1571"/>
      <c r="BD86" s="1571"/>
      <c r="BE86" s="1571"/>
      <c r="BF86" s="1571"/>
      <c r="BG86" s="1571"/>
      <c r="BH86" s="1571"/>
      <c r="BI86" s="1571"/>
      <c r="BJ86" s="1571"/>
      <c r="BK86" s="1571"/>
      <c r="BL86" s="1571"/>
      <c r="BM86" s="1567"/>
      <c r="BN86" s="1572"/>
      <c r="BO86" s="1572"/>
      <c r="BP86" s="1572"/>
      <c r="BQ86" s="1567"/>
      <c r="BR86" s="3168">
        <f t="shared" si="62"/>
        <v>0</v>
      </c>
      <c r="BS86" s="1573"/>
      <c r="BU86" s="1574"/>
      <c r="BV86" s="1574"/>
      <c r="BW86" s="1574"/>
      <c r="BX86" s="1574"/>
      <c r="BY86" s="1574"/>
      <c r="BZ86" s="1574"/>
      <c r="CA86" s="1574"/>
      <c r="CB86" s="1574"/>
      <c r="CC86" s="1574"/>
      <c r="CD86" s="1574"/>
      <c r="CE86" s="1574"/>
      <c r="CF86" s="1574"/>
      <c r="CG86" s="1574"/>
      <c r="CH86" s="1574"/>
      <c r="CI86" s="1574"/>
      <c r="CJ86" s="1574"/>
      <c r="CK86" s="1574"/>
      <c r="CL86" s="1574"/>
      <c r="CM86" s="1574"/>
      <c r="CN86" s="1574"/>
      <c r="CO86" s="1574"/>
      <c r="CP86" s="1574"/>
      <c r="CQ86" s="1574"/>
      <c r="CR86" s="1574"/>
      <c r="CS86" s="1574"/>
      <c r="CT86" s="1574"/>
      <c r="CU86" s="1574"/>
      <c r="CV86" s="1574"/>
      <c r="CW86" s="1574"/>
      <c r="CX86" s="1574"/>
      <c r="CY86" s="1574"/>
      <c r="CZ86" s="1574"/>
      <c r="DA86" s="1574"/>
      <c r="DB86" s="1574"/>
      <c r="DC86" s="1574"/>
      <c r="DD86" s="1574"/>
      <c r="DE86" s="1574"/>
      <c r="DF86" s="1574"/>
      <c r="DG86" s="1574"/>
      <c r="DH86" s="1574"/>
      <c r="DI86" s="1574"/>
      <c r="DJ86" s="1574"/>
      <c r="DK86" s="1574"/>
      <c r="DL86" s="1574"/>
      <c r="DN86" s="1575">
        <v>0</v>
      </c>
    </row>
    <row r="87" spans="1:118" s="1522" customFormat="1" ht="12.75" hidden="1" customHeight="1" outlineLevel="2" x14ac:dyDescent="0.2">
      <c r="C87" s="1496" t="s">
        <v>112</v>
      </c>
      <c r="D87" s="1526" t="s">
        <v>113</v>
      </c>
      <c r="E87" s="1526"/>
      <c r="F87" s="14"/>
      <c r="G87" s="1540"/>
      <c r="H87" s="1540"/>
      <c r="I87" s="1540"/>
      <c r="J87" s="1540"/>
      <c r="K87" s="1540"/>
      <c r="L87" s="1540"/>
      <c r="M87" s="1540"/>
      <c r="N87" s="1540"/>
      <c r="O87" s="1540"/>
      <c r="P87" s="1540"/>
      <c r="Q87" s="1540"/>
      <c r="R87" s="1540"/>
      <c r="S87" s="1540"/>
      <c r="T87" s="1540"/>
      <c r="U87" s="1540"/>
      <c r="V87" s="1540"/>
      <c r="W87" s="1527"/>
      <c r="X87" s="14"/>
      <c r="Y87" s="1541"/>
      <c r="Z87" s="1541"/>
      <c r="AA87" s="1541"/>
      <c r="AB87" s="1541"/>
      <c r="AC87" s="1541"/>
      <c r="AD87" s="1541"/>
      <c r="AE87" s="1541"/>
      <c r="AF87" s="1541"/>
      <c r="AG87" s="1541"/>
      <c r="AH87" s="1541"/>
      <c r="AI87" s="1541"/>
      <c r="AJ87" s="1541"/>
      <c r="AK87" s="1541"/>
      <c r="AL87" s="1541"/>
      <c r="AM87" s="1541"/>
      <c r="AN87" s="1541"/>
      <c r="AO87" s="1541"/>
      <c r="AP87" s="1541"/>
      <c r="AQ87" s="1528"/>
      <c r="AR87" s="14"/>
      <c r="AS87" s="1542"/>
      <c r="AT87" s="1542"/>
      <c r="AU87" s="1542"/>
      <c r="AV87" s="1542"/>
      <c r="AW87" s="1542"/>
      <c r="AX87" s="1542"/>
      <c r="AY87" s="1542"/>
      <c r="AZ87" s="1542"/>
      <c r="BA87" s="1542"/>
      <c r="BB87" s="1542"/>
      <c r="BC87" s="1542"/>
      <c r="BD87" s="1542"/>
      <c r="BE87" s="1542"/>
      <c r="BF87" s="1542"/>
      <c r="BG87" s="1542"/>
      <c r="BH87" s="1542"/>
      <c r="BI87" s="1542"/>
      <c r="BJ87" s="1542"/>
      <c r="BK87" s="1542"/>
      <c r="BL87" s="1530"/>
      <c r="BM87" s="14"/>
      <c r="BN87" s="1543"/>
      <c r="BO87" s="1543"/>
      <c r="BP87" s="1531"/>
      <c r="BQ87" s="14"/>
      <c r="BR87" s="3168">
        <f t="shared" si="62"/>
        <v>0</v>
      </c>
      <c r="BS87" s="1525"/>
      <c r="BT87" s="748"/>
      <c r="BU87" s="1532">
        <v>0</v>
      </c>
      <c r="BV87" s="1533">
        <v>0</v>
      </c>
      <c r="BW87" s="1533">
        <v>0</v>
      </c>
      <c r="BX87" s="1533">
        <v>0</v>
      </c>
      <c r="BY87" s="1533">
        <v>0</v>
      </c>
      <c r="BZ87" s="1533">
        <v>0</v>
      </c>
      <c r="CA87" s="1533">
        <v>0</v>
      </c>
      <c r="CB87" s="1533">
        <v>0</v>
      </c>
      <c r="CC87" s="1533">
        <v>0</v>
      </c>
      <c r="CD87" s="1533">
        <v>0</v>
      </c>
      <c r="CE87" s="1533">
        <v>0</v>
      </c>
      <c r="CF87" s="1533">
        <v>0</v>
      </c>
      <c r="CG87" s="1533">
        <v>0</v>
      </c>
      <c r="CH87" s="1533">
        <v>0</v>
      </c>
      <c r="CI87" s="1533">
        <v>0</v>
      </c>
      <c r="CJ87" s="1533">
        <v>0</v>
      </c>
      <c r="CK87" s="1533">
        <v>0</v>
      </c>
      <c r="CL87" s="1533">
        <v>0</v>
      </c>
      <c r="CM87" s="1533">
        <v>0</v>
      </c>
      <c r="CN87" s="1533">
        <v>0</v>
      </c>
      <c r="CO87" s="1533">
        <v>0</v>
      </c>
      <c r="CP87" s="1533">
        <v>0</v>
      </c>
      <c r="CQ87" s="1533">
        <v>0</v>
      </c>
      <c r="CR87" s="1533">
        <v>0</v>
      </c>
      <c r="CS87" s="1533">
        <v>0</v>
      </c>
      <c r="CT87" s="1533">
        <v>0</v>
      </c>
      <c r="CU87" s="1533">
        <v>0</v>
      </c>
      <c r="CV87" s="1533">
        <v>0</v>
      </c>
      <c r="CW87" s="1533">
        <v>0</v>
      </c>
      <c r="CX87" s="1533">
        <v>0</v>
      </c>
      <c r="CY87" s="1533">
        <v>0</v>
      </c>
      <c r="CZ87" s="1533">
        <v>0</v>
      </c>
      <c r="DA87" s="1533">
        <v>0</v>
      </c>
      <c r="DB87" s="1533">
        <v>0</v>
      </c>
      <c r="DC87" s="1533">
        <v>0</v>
      </c>
      <c r="DD87" s="1533">
        <v>0</v>
      </c>
      <c r="DE87" s="1533">
        <v>0</v>
      </c>
      <c r="DF87" s="1533">
        <v>0</v>
      </c>
      <c r="DG87" s="1533">
        <v>0</v>
      </c>
      <c r="DH87" s="1533">
        <v>0</v>
      </c>
      <c r="DI87" s="1533">
        <v>0</v>
      </c>
      <c r="DJ87" s="1533">
        <v>0</v>
      </c>
      <c r="DK87" s="1533">
        <v>0</v>
      </c>
      <c r="DL87" s="1533">
        <v>0</v>
      </c>
      <c r="DN87" s="1509">
        <v>0</v>
      </c>
    </row>
    <row r="88" spans="1:118" s="14" customFormat="1" ht="15.75" hidden="1" outlineLevel="1" collapsed="1" x14ac:dyDescent="0.2">
      <c r="A88" s="1845"/>
      <c r="B88" s="1846"/>
      <c r="C88" s="1842"/>
      <c r="D88" s="1843"/>
      <c r="E88" s="1844"/>
      <c r="G88" s="1539"/>
      <c r="H88" s="1539"/>
      <c r="I88" s="1539"/>
      <c r="J88" s="1539"/>
      <c r="K88" s="1539"/>
      <c r="L88" s="1539"/>
      <c r="M88" s="1539"/>
      <c r="N88" s="1539"/>
      <c r="O88" s="1539"/>
      <c r="P88" s="1539"/>
      <c r="Q88" s="1539"/>
      <c r="R88" s="1539"/>
      <c r="S88" s="1539"/>
      <c r="T88" s="1539"/>
      <c r="U88" s="1539"/>
      <c r="V88" s="1539"/>
      <c r="W88" s="1539"/>
      <c r="Y88" s="1490"/>
      <c r="Z88" s="1490"/>
      <c r="AA88" s="1490"/>
      <c r="AB88" s="1490"/>
      <c r="AC88" s="1490"/>
      <c r="AD88" s="1490"/>
      <c r="AE88" s="1490"/>
      <c r="AF88" s="1490"/>
      <c r="AG88" s="1490"/>
      <c r="AH88" s="1490"/>
      <c r="AI88" s="1490"/>
      <c r="AJ88" s="1490"/>
      <c r="AK88" s="1490"/>
      <c r="AL88" s="1490"/>
      <c r="AM88" s="1490"/>
      <c r="AN88" s="1490"/>
      <c r="AO88" s="1490"/>
      <c r="AP88" s="1490"/>
      <c r="AQ88" s="1490"/>
      <c r="AS88" s="1491"/>
      <c r="AT88" s="1491"/>
      <c r="AU88" s="1491"/>
      <c r="AV88" s="1491"/>
      <c r="AW88" s="1491"/>
      <c r="AX88" s="1491"/>
      <c r="AY88" s="1491"/>
      <c r="AZ88" s="1491"/>
      <c r="BA88" s="1491"/>
      <c r="BB88" s="1491"/>
      <c r="BC88" s="1491"/>
      <c r="BD88" s="1491"/>
      <c r="BE88" s="1491"/>
      <c r="BF88" s="1491"/>
      <c r="BG88" s="1491"/>
      <c r="BH88" s="1491"/>
      <c r="BI88" s="1491"/>
      <c r="BJ88" s="1491"/>
      <c r="BK88" s="1491"/>
      <c r="BL88" s="1491"/>
      <c r="BN88" s="1492"/>
      <c r="BO88" s="1492"/>
      <c r="BP88" s="1492"/>
      <c r="BR88" s="3168">
        <f t="shared" si="62"/>
        <v>0</v>
      </c>
      <c r="BS88" s="1493"/>
      <c r="BT88" s="748"/>
      <c r="BU88" s="1508">
        <v>0</v>
      </c>
      <c r="BV88" s="1508">
        <v>0</v>
      </c>
      <c r="BW88" s="1508">
        <v>0</v>
      </c>
      <c r="BX88" s="1508">
        <v>0</v>
      </c>
      <c r="BY88" s="1508">
        <v>0</v>
      </c>
      <c r="BZ88" s="1508">
        <v>0</v>
      </c>
      <c r="CA88" s="1508">
        <v>0</v>
      </c>
      <c r="CB88" s="1508">
        <v>0</v>
      </c>
      <c r="CC88" s="1508">
        <v>0</v>
      </c>
      <c r="CD88" s="1508">
        <v>0</v>
      </c>
      <c r="CE88" s="1508">
        <v>0</v>
      </c>
      <c r="CF88" s="1508">
        <v>0</v>
      </c>
      <c r="CG88" s="1508">
        <v>0</v>
      </c>
      <c r="CH88" s="1508">
        <v>0</v>
      </c>
      <c r="CI88" s="1508">
        <v>0</v>
      </c>
      <c r="CJ88" s="1508">
        <v>0</v>
      </c>
      <c r="CK88" s="1508">
        <v>0</v>
      </c>
      <c r="CL88" s="1508">
        <v>0</v>
      </c>
      <c r="CM88" s="1508">
        <v>0</v>
      </c>
      <c r="CN88" s="1508">
        <v>0</v>
      </c>
      <c r="CO88" s="1508">
        <v>0</v>
      </c>
      <c r="CP88" s="1508">
        <v>0</v>
      </c>
      <c r="CQ88" s="1508">
        <v>0</v>
      </c>
      <c r="CR88" s="1508">
        <v>0</v>
      </c>
      <c r="CS88" s="1508">
        <v>0</v>
      </c>
      <c r="CT88" s="1508">
        <v>0</v>
      </c>
      <c r="CU88" s="1508">
        <v>0</v>
      </c>
      <c r="CV88" s="1508">
        <v>0</v>
      </c>
      <c r="CW88" s="1508">
        <v>0</v>
      </c>
      <c r="CX88" s="1508">
        <v>0</v>
      </c>
      <c r="CY88" s="1508">
        <v>0</v>
      </c>
      <c r="CZ88" s="1508">
        <v>0</v>
      </c>
      <c r="DA88" s="1508">
        <v>0</v>
      </c>
      <c r="DB88" s="1508">
        <v>0</v>
      </c>
      <c r="DC88" s="1508">
        <v>0</v>
      </c>
      <c r="DD88" s="1508">
        <v>0</v>
      </c>
      <c r="DE88" s="1508">
        <v>0</v>
      </c>
      <c r="DF88" s="1508">
        <v>0</v>
      </c>
      <c r="DG88" s="1508">
        <v>0</v>
      </c>
      <c r="DH88" s="1508">
        <v>0</v>
      </c>
      <c r="DI88" s="1508">
        <v>0</v>
      </c>
      <c r="DJ88" s="1508">
        <v>0</v>
      </c>
      <c r="DK88" s="1508">
        <v>0</v>
      </c>
      <c r="DL88" s="1508">
        <v>0</v>
      </c>
      <c r="DN88" s="1509">
        <v>0</v>
      </c>
    </row>
    <row r="89" spans="1:118" s="14" customFormat="1" ht="15.75" hidden="1" outlineLevel="1" x14ac:dyDescent="0.2">
      <c r="A89" s="1845"/>
      <c r="B89" s="1846"/>
      <c r="C89" s="1842"/>
      <c r="D89" s="1843"/>
      <c r="E89" s="1844"/>
      <c r="G89" s="1539"/>
      <c r="H89" s="1539"/>
      <c r="I89" s="1539"/>
      <c r="J89" s="1539"/>
      <c r="K89" s="1539"/>
      <c r="L89" s="1539"/>
      <c r="M89" s="1539"/>
      <c r="N89" s="1539"/>
      <c r="O89" s="1539"/>
      <c r="P89" s="1539"/>
      <c r="Q89" s="1539"/>
      <c r="R89" s="1539"/>
      <c r="S89" s="1539"/>
      <c r="T89" s="1539"/>
      <c r="U89" s="1539"/>
      <c r="V89" s="1539"/>
      <c r="W89" s="1539"/>
      <c r="Y89" s="1490"/>
      <c r="Z89" s="1490"/>
      <c r="AA89" s="1490"/>
      <c r="AB89" s="1490"/>
      <c r="AC89" s="1490"/>
      <c r="AD89" s="1490"/>
      <c r="AE89" s="1490"/>
      <c r="AF89" s="1490"/>
      <c r="AG89" s="1490"/>
      <c r="AH89" s="1490"/>
      <c r="AI89" s="1490"/>
      <c r="AJ89" s="1490"/>
      <c r="AK89" s="1490"/>
      <c r="AL89" s="1490"/>
      <c r="AM89" s="1490"/>
      <c r="AN89" s="1490"/>
      <c r="AO89" s="1490"/>
      <c r="AP89" s="1490"/>
      <c r="AQ89" s="1490"/>
      <c r="AS89" s="1491"/>
      <c r="AT89" s="1491"/>
      <c r="AU89" s="1491"/>
      <c r="AV89" s="1491"/>
      <c r="AW89" s="1491"/>
      <c r="AX89" s="1491"/>
      <c r="AY89" s="1491"/>
      <c r="AZ89" s="1491"/>
      <c r="BA89" s="1491"/>
      <c r="BB89" s="1491"/>
      <c r="BC89" s="1491"/>
      <c r="BD89" s="1491"/>
      <c r="BE89" s="1491"/>
      <c r="BF89" s="1491"/>
      <c r="BG89" s="1491"/>
      <c r="BH89" s="1491"/>
      <c r="BI89" s="1491"/>
      <c r="BJ89" s="1491"/>
      <c r="BK89" s="1491"/>
      <c r="BL89" s="1491"/>
      <c r="BN89" s="1492"/>
      <c r="BO89" s="1492"/>
      <c r="BP89" s="1492"/>
      <c r="BR89" s="3168">
        <f t="shared" si="62"/>
        <v>0</v>
      </c>
      <c r="BS89" s="1493"/>
      <c r="BT89" s="748"/>
      <c r="BU89" s="1508"/>
      <c r="BV89" s="1508"/>
      <c r="BW89" s="1508"/>
      <c r="BX89" s="1508"/>
      <c r="BY89" s="1508"/>
      <c r="BZ89" s="1508"/>
      <c r="CA89" s="1508"/>
      <c r="CB89" s="1508"/>
      <c r="CC89" s="1508"/>
      <c r="CD89" s="1508"/>
      <c r="CE89" s="1508"/>
      <c r="CF89" s="1508"/>
      <c r="CG89" s="1508"/>
      <c r="CH89" s="1508"/>
      <c r="CI89" s="1508"/>
      <c r="CJ89" s="1508"/>
      <c r="CK89" s="1508"/>
      <c r="CL89" s="1508"/>
      <c r="CM89" s="1508"/>
      <c r="CN89" s="1508"/>
      <c r="CO89" s="1508"/>
      <c r="CP89" s="1508"/>
      <c r="CQ89" s="1508"/>
      <c r="CR89" s="1508"/>
      <c r="CS89" s="1508"/>
      <c r="CT89" s="1508"/>
      <c r="CU89" s="1508"/>
      <c r="CV89" s="1508"/>
      <c r="CW89" s="1508"/>
      <c r="CX89" s="1508"/>
      <c r="CY89" s="1508"/>
      <c r="CZ89" s="1508"/>
      <c r="DA89" s="1508"/>
      <c r="DB89" s="1508"/>
      <c r="DC89" s="1508"/>
      <c r="DD89" s="1508"/>
      <c r="DE89" s="1508"/>
      <c r="DF89" s="1508"/>
      <c r="DG89" s="1508"/>
      <c r="DH89" s="1508"/>
      <c r="DI89" s="1508"/>
      <c r="DJ89" s="1508"/>
      <c r="DK89" s="1508"/>
      <c r="DL89" s="1508"/>
      <c r="DN89" s="1509"/>
    </row>
    <row r="90" spans="1:118" s="14" customFormat="1" ht="15.75" collapsed="1" x14ac:dyDescent="0.2">
      <c r="A90" s="1845"/>
      <c r="B90" s="1846"/>
      <c r="C90" s="1842"/>
      <c r="D90" s="1843"/>
      <c r="E90" s="1844"/>
      <c r="G90" s="1539"/>
      <c r="H90" s="1539"/>
      <c r="I90" s="1539"/>
      <c r="J90" s="1539"/>
      <c r="K90" s="1539"/>
      <c r="L90" s="1539"/>
      <c r="M90" s="1539"/>
      <c r="N90" s="1539"/>
      <c r="O90" s="1539"/>
      <c r="P90" s="1539"/>
      <c r="Q90" s="1539"/>
      <c r="R90" s="1539"/>
      <c r="S90" s="1539"/>
      <c r="T90" s="1539"/>
      <c r="U90" s="1539"/>
      <c r="V90" s="1539"/>
      <c r="W90" s="1539"/>
      <c r="Y90" s="1490"/>
      <c r="Z90" s="1490"/>
      <c r="AA90" s="1490"/>
      <c r="AB90" s="1490"/>
      <c r="AC90" s="1490"/>
      <c r="AD90" s="1490"/>
      <c r="AE90" s="1490"/>
      <c r="AF90" s="1490"/>
      <c r="AG90" s="1490"/>
      <c r="AH90" s="1490"/>
      <c r="AI90" s="1490"/>
      <c r="AJ90" s="1490"/>
      <c r="AK90" s="1490"/>
      <c r="AL90" s="1490"/>
      <c r="AM90" s="1490"/>
      <c r="AN90" s="1490"/>
      <c r="AO90" s="1490"/>
      <c r="AP90" s="1490"/>
      <c r="AQ90" s="1490"/>
      <c r="AS90" s="1491"/>
      <c r="AT90" s="1491"/>
      <c r="AU90" s="1491"/>
      <c r="AV90" s="1491"/>
      <c r="AW90" s="1491"/>
      <c r="AX90" s="1491"/>
      <c r="AY90" s="1491"/>
      <c r="AZ90" s="1491"/>
      <c r="BA90" s="1491"/>
      <c r="BB90" s="1491"/>
      <c r="BC90" s="1491"/>
      <c r="BD90" s="1491"/>
      <c r="BE90" s="1491"/>
      <c r="BF90" s="1491"/>
      <c r="BG90" s="1491"/>
      <c r="BH90" s="1491"/>
      <c r="BI90" s="1491"/>
      <c r="BJ90" s="1491"/>
      <c r="BK90" s="1491"/>
      <c r="BL90" s="1491"/>
      <c r="BN90" s="1492"/>
      <c r="BO90" s="1492"/>
      <c r="BP90" s="1492"/>
      <c r="BR90" s="3168"/>
      <c r="BS90" s="1493"/>
      <c r="BT90" s="748"/>
      <c r="BU90" s="1508"/>
      <c r="BV90" s="1508"/>
      <c r="BW90" s="1508"/>
      <c r="BX90" s="1508"/>
      <c r="BY90" s="1508"/>
      <c r="BZ90" s="1508"/>
      <c r="CA90" s="1508"/>
      <c r="CB90" s="1508"/>
      <c r="CC90" s="1508"/>
      <c r="CD90" s="1508"/>
      <c r="CE90" s="1508"/>
      <c r="CF90" s="1508"/>
      <c r="CG90" s="1508"/>
      <c r="CH90" s="1508"/>
      <c r="CI90" s="1508"/>
      <c r="CJ90" s="1508"/>
      <c r="CK90" s="1508"/>
      <c r="CL90" s="1508"/>
      <c r="CM90" s="1508"/>
      <c r="CN90" s="1508"/>
      <c r="CO90" s="1508"/>
      <c r="CP90" s="1508"/>
      <c r="CQ90" s="1508"/>
      <c r="CR90" s="1508"/>
      <c r="CS90" s="1508"/>
      <c r="CT90" s="1508"/>
      <c r="CU90" s="1508"/>
      <c r="CV90" s="1508"/>
      <c r="CW90" s="1508"/>
      <c r="CX90" s="1508"/>
      <c r="CY90" s="1508"/>
      <c r="CZ90" s="1508"/>
      <c r="DA90" s="1508"/>
      <c r="DB90" s="1508"/>
      <c r="DC90" s="1508"/>
      <c r="DD90" s="1508"/>
      <c r="DE90" s="1508"/>
      <c r="DF90" s="1508"/>
      <c r="DG90" s="1508"/>
      <c r="DH90" s="1508"/>
      <c r="DI90" s="1508"/>
      <c r="DJ90" s="1508"/>
      <c r="DK90" s="1508"/>
      <c r="DL90" s="1508"/>
      <c r="DN90" s="1509"/>
    </row>
    <row r="91" spans="1:118" s="14" customFormat="1" ht="6" customHeight="1" x14ac:dyDescent="0.2">
      <c r="C91" s="1552"/>
      <c r="D91" s="1537"/>
      <c r="E91" s="1430"/>
      <c r="G91" s="1488"/>
      <c r="H91" s="1488"/>
      <c r="I91" s="1488"/>
      <c r="J91" s="1488"/>
      <c r="K91" s="1488"/>
      <c r="L91" s="1488"/>
      <c r="M91" s="1488"/>
      <c r="N91" s="1488"/>
      <c r="O91" s="1563"/>
      <c r="P91" s="1488"/>
      <c r="Q91" s="1488"/>
      <c r="R91" s="1488"/>
      <c r="S91" s="1488"/>
      <c r="T91" s="1488"/>
      <c r="U91" s="1488"/>
      <c r="V91" s="1488"/>
      <c r="W91" s="1488"/>
      <c r="Y91" s="1490"/>
      <c r="Z91" s="1490"/>
      <c r="AA91" s="1490"/>
      <c r="AB91" s="1490"/>
      <c r="AC91" s="1490"/>
      <c r="AD91" s="1490"/>
      <c r="AE91" s="1490"/>
      <c r="AF91" s="1490"/>
      <c r="AG91" s="1490"/>
      <c r="AH91" s="1490"/>
      <c r="AI91" s="1490"/>
      <c r="AJ91" s="1490"/>
      <c r="AK91" s="1490"/>
      <c r="AL91" s="1490"/>
      <c r="AM91" s="1490"/>
      <c r="AN91" s="1490"/>
      <c r="AO91" s="1490"/>
      <c r="AP91" s="1490"/>
      <c r="AQ91" s="1490"/>
      <c r="AS91" s="1491"/>
      <c r="AT91" s="1491"/>
      <c r="AU91" s="1491"/>
      <c r="AV91" s="1491"/>
      <c r="AW91" s="1491"/>
      <c r="AX91" s="1491"/>
      <c r="AY91" s="1491"/>
      <c r="AZ91" s="1491"/>
      <c r="BA91" s="1491"/>
      <c r="BB91" s="1491"/>
      <c r="BC91" s="1491"/>
      <c r="BD91" s="1491"/>
      <c r="BE91" s="1491"/>
      <c r="BF91" s="1491"/>
      <c r="BG91" s="1491"/>
      <c r="BH91" s="1491"/>
      <c r="BI91" s="1491"/>
      <c r="BJ91" s="1491"/>
      <c r="BK91" s="1491"/>
      <c r="BL91" s="1491"/>
      <c r="BN91" s="1492"/>
      <c r="BO91" s="1492"/>
      <c r="BP91" s="1492"/>
      <c r="BR91" s="3168"/>
      <c r="BS91" s="1493"/>
      <c r="BU91" s="1508"/>
      <c r="BV91" s="1508"/>
      <c r="BW91" s="1508"/>
      <c r="BX91" s="1508"/>
      <c r="BY91" s="1508"/>
      <c r="BZ91" s="1508"/>
      <c r="CA91" s="1508"/>
      <c r="CB91" s="1508"/>
      <c r="CC91" s="1508"/>
      <c r="CD91" s="1508"/>
      <c r="CE91" s="1508"/>
      <c r="CF91" s="1508"/>
      <c r="CG91" s="1508"/>
      <c r="CH91" s="1508"/>
      <c r="CI91" s="1508"/>
      <c r="CJ91" s="1508"/>
      <c r="CK91" s="1508"/>
      <c r="CL91" s="1508"/>
      <c r="CM91" s="1508"/>
      <c r="CN91" s="1508"/>
      <c r="CO91" s="1508"/>
      <c r="CP91" s="1508"/>
      <c r="CQ91" s="1508"/>
      <c r="CR91" s="1508"/>
      <c r="CS91" s="1508"/>
      <c r="CT91" s="1508"/>
      <c r="CU91" s="1508"/>
      <c r="CV91" s="1508"/>
      <c r="CW91" s="1508"/>
      <c r="CX91" s="1508"/>
      <c r="CY91" s="1508"/>
      <c r="CZ91" s="1508"/>
      <c r="DA91" s="1508"/>
      <c r="DB91" s="1508"/>
      <c r="DC91" s="1508"/>
      <c r="DD91" s="1508"/>
      <c r="DE91" s="1508"/>
      <c r="DF91" s="1508"/>
      <c r="DG91" s="1508"/>
      <c r="DH91" s="1508"/>
      <c r="DI91" s="1508"/>
      <c r="DJ91" s="1508"/>
      <c r="DK91" s="1508"/>
      <c r="DL91" s="1508"/>
      <c r="DN91" s="1509"/>
    </row>
    <row r="92" spans="1:118" s="14" customFormat="1" ht="15.75" x14ac:dyDescent="0.2">
      <c r="B92" s="1535"/>
      <c r="C92" s="1553"/>
      <c r="D92" s="1554" t="s">
        <v>917</v>
      </c>
      <c r="E92" s="1555"/>
      <c r="F92" s="1556">
        <f t="shared" ref="F92:V92" si="63">F54+F59+F76+F70+F82</f>
        <v>0</v>
      </c>
      <c r="G92" s="1556">
        <f t="shared" si="63"/>
        <v>0</v>
      </c>
      <c r="H92" s="1556">
        <f t="shared" si="63"/>
        <v>0</v>
      </c>
      <c r="I92" s="1556">
        <f t="shared" si="63"/>
        <v>0</v>
      </c>
      <c r="J92" s="1556">
        <f t="shared" si="63"/>
        <v>0</v>
      </c>
      <c r="K92" s="1556">
        <f t="shared" si="63"/>
        <v>0</v>
      </c>
      <c r="L92" s="1556">
        <f t="shared" si="63"/>
        <v>0</v>
      </c>
      <c r="M92" s="1556">
        <f t="shared" si="63"/>
        <v>0</v>
      </c>
      <c r="N92" s="1556">
        <f t="shared" si="63"/>
        <v>0</v>
      </c>
      <c r="O92" s="1556">
        <f t="shared" si="63"/>
        <v>0</v>
      </c>
      <c r="P92" s="1556">
        <f t="shared" si="63"/>
        <v>0</v>
      </c>
      <c r="Q92" s="1556">
        <f t="shared" si="63"/>
        <v>0</v>
      </c>
      <c r="R92" s="1556">
        <f t="shared" si="63"/>
        <v>0</v>
      </c>
      <c r="S92" s="1556">
        <f t="shared" si="63"/>
        <v>0</v>
      </c>
      <c r="T92" s="1556">
        <f t="shared" si="63"/>
        <v>0</v>
      </c>
      <c r="U92" s="1556">
        <f t="shared" si="63"/>
        <v>0</v>
      </c>
      <c r="V92" s="1556">
        <f t="shared" si="63"/>
        <v>0</v>
      </c>
      <c r="W92" s="1556">
        <f>W54+W59+W76+W70+W82</f>
        <v>0</v>
      </c>
      <c r="Y92" s="1557">
        <f ca="1">Y54+Y59+Y76+Y70+Y82</f>
        <v>0</v>
      </c>
      <c r="Z92" s="1557">
        <f t="shared" ref="Z92:AP92" ca="1" si="64">Z54+Z59+Z76+Z70+Z82</f>
        <v>78.979509560230042</v>
      </c>
      <c r="AA92" s="1557">
        <f t="shared" ca="1" si="64"/>
        <v>-62.965143133738984</v>
      </c>
      <c r="AB92" s="1557">
        <f t="shared" ca="1" si="64"/>
        <v>-7.8706428917173739</v>
      </c>
      <c r="AC92" s="1557">
        <f t="shared" ca="1" si="64"/>
        <v>-35.980081790707992</v>
      </c>
      <c r="AD92" s="1557">
        <f t="shared" ca="1" si="64"/>
        <v>0</v>
      </c>
      <c r="AE92" s="1557">
        <f t="shared" ca="1" si="64"/>
        <v>0</v>
      </c>
      <c r="AF92" s="1557">
        <f t="shared" ca="1" si="64"/>
        <v>0</v>
      </c>
      <c r="AG92" s="1557">
        <f t="shared" ca="1" si="64"/>
        <v>0</v>
      </c>
      <c r="AH92" s="1557">
        <f t="shared" ca="1" si="64"/>
        <v>0</v>
      </c>
      <c r="AI92" s="1557">
        <f t="shared" ca="1" si="64"/>
        <v>0</v>
      </c>
      <c r="AJ92" s="1557">
        <f t="shared" ca="1" si="64"/>
        <v>0</v>
      </c>
      <c r="AK92" s="1557">
        <f t="shared" ca="1" si="64"/>
        <v>0</v>
      </c>
      <c r="AL92" s="1557">
        <f t="shared" ca="1" si="64"/>
        <v>-2.9453760000000004</v>
      </c>
      <c r="AM92" s="1557">
        <f t="shared" ca="1" si="64"/>
        <v>0</v>
      </c>
      <c r="AN92" s="1557">
        <f t="shared" ca="1" si="64"/>
        <v>0</v>
      </c>
      <c r="AO92" s="1557">
        <f t="shared" ca="1" si="64"/>
        <v>0</v>
      </c>
      <c r="AP92" s="1557">
        <f t="shared" ca="1" si="64"/>
        <v>0</v>
      </c>
      <c r="AQ92" s="1557">
        <f ca="1">AQ54+AQ59+AQ76+AQ70+AQ82</f>
        <v>-30.781734255934321</v>
      </c>
      <c r="AS92" s="1558">
        <f ca="1">AS54+AS59+AS76+AS70+AS82</f>
        <v>0</v>
      </c>
      <c r="AT92" s="1558">
        <f t="shared" ref="AT92:BK92" ca="1" si="65">AT54+AT59+AT76+AT70+AT82</f>
        <v>0</v>
      </c>
      <c r="AU92" s="1558">
        <f t="shared" ca="1" si="65"/>
        <v>0</v>
      </c>
      <c r="AV92" s="1558">
        <f t="shared" ca="1" si="65"/>
        <v>0</v>
      </c>
      <c r="AW92" s="1558">
        <f t="shared" ca="1" si="65"/>
        <v>0</v>
      </c>
      <c r="AX92" s="1558">
        <f t="shared" ca="1" si="65"/>
        <v>0</v>
      </c>
      <c r="AY92" s="1558">
        <f t="shared" ca="1" si="65"/>
        <v>0</v>
      </c>
      <c r="AZ92" s="1558">
        <f t="shared" ca="1" si="65"/>
        <v>0</v>
      </c>
      <c r="BA92" s="1558">
        <f t="shared" ca="1" si="65"/>
        <v>0</v>
      </c>
      <c r="BB92" s="1558">
        <f t="shared" ca="1" si="65"/>
        <v>0</v>
      </c>
      <c r="BC92" s="1558">
        <f t="shared" ca="1" si="65"/>
        <v>-5.0056534835470128</v>
      </c>
      <c r="BD92" s="1558">
        <f t="shared" ca="1" si="65"/>
        <v>-4.6811183999999999</v>
      </c>
      <c r="BE92" s="1558">
        <f t="shared" ca="1" si="65"/>
        <v>0</v>
      </c>
      <c r="BF92" s="1558">
        <f t="shared" ca="1" si="65"/>
        <v>0</v>
      </c>
      <c r="BG92" s="1558">
        <f t="shared" ca="1" si="65"/>
        <v>-0.35064000000000006</v>
      </c>
      <c r="BH92" s="1558">
        <f t="shared" ca="1" si="65"/>
        <v>-23.153197500000005</v>
      </c>
      <c r="BI92" s="1558">
        <f t="shared" ca="1" si="65"/>
        <v>0</v>
      </c>
      <c r="BJ92" s="1558">
        <f t="shared" ca="1" si="65"/>
        <v>0</v>
      </c>
      <c r="BK92" s="1558">
        <f t="shared" ca="1" si="65"/>
        <v>-0.35463923560444954</v>
      </c>
      <c r="BL92" s="1558">
        <f ca="1">BL54+BL59+BL76+BL70+BL82</f>
        <v>-33.545248619151472</v>
      </c>
      <c r="BN92" s="1559">
        <f ca="1">BN70+BN76+BN59+BN54+BN82</f>
        <v>62.045579015031855</v>
      </c>
      <c r="BO92" s="1559">
        <f ca="1">BO70+BO76+BO59+BO54+BO82</f>
        <v>2.2814038600539308</v>
      </c>
      <c r="BP92" s="1559">
        <f ca="1">BP54+BP59+BP76+BP70</f>
        <v>64.32698287508579</v>
      </c>
      <c r="BR92" s="3168">
        <f ca="1">W92+AQ92+BL92+BP92</f>
        <v>0</v>
      </c>
      <c r="BS92" s="1560"/>
      <c r="BU92" s="1561">
        <v>226.09341168494953</v>
      </c>
      <c r="BV92" s="1561">
        <v>0.56291143459540849</v>
      </c>
      <c r="BW92" s="1561">
        <v>1.6437392022754262</v>
      </c>
      <c r="BX92" s="1561">
        <v>0</v>
      </c>
      <c r="BY92" s="1561">
        <v>5.0916819860234304</v>
      </c>
      <c r="BZ92" s="1561">
        <v>2.6403129612517775</v>
      </c>
      <c r="CA92" s="1561">
        <v>0</v>
      </c>
      <c r="CB92" s="1561">
        <v>0</v>
      </c>
      <c r="CC92" s="1561">
        <v>0</v>
      </c>
      <c r="CD92" s="1561">
        <v>0</v>
      </c>
      <c r="CE92" s="1561">
        <v>0</v>
      </c>
      <c r="CF92" s="1561">
        <v>0</v>
      </c>
      <c r="CG92" s="1561">
        <v>0</v>
      </c>
      <c r="CH92" s="1561">
        <v>0</v>
      </c>
      <c r="CI92" s="1561">
        <v>0</v>
      </c>
      <c r="CJ92" s="1561">
        <v>0</v>
      </c>
      <c r="CK92" s="1561">
        <v>0</v>
      </c>
      <c r="CL92" s="1561">
        <v>20.026732599999995</v>
      </c>
      <c r="CM92" s="1561">
        <v>23.28</v>
      </c>
      <c r="CN92" s="1561">
        <v>0</v>
      </c>
      <c r="CO92" s="1561">
        <v>-1.8247953999999991</v>
      </c>
      <c r="CP92" s="1561">
        <v>0</v>
      </c>
      <c r="CQ92" s="1561">
        <v>0</v>
      </c>
      <c r="CR92" s="1561">
        <v>0</v>
      </c>
      <c r="CS92" s="1561">
        <v>0</v>
      </c>
      <c r="CT92" s="1561">
        <v>21.652248115789206</v>
      </c>
      <c r="CU92" s="1561">
        <v>1.2204197534285715</v>
      </c>
      <c r="CV92" s="1561">
        <v>0</v>
      </c>
      <c r="CW92" s="1561">
        <v>0</v>
      </c>
      <c r="CX92" s="1561">
        <v>0</v>
      </c>
      <c r="CY92" s="1561">
        <v>0</v>
      </c>
      <c r="CZ92" s="1561">
        <v>0</v>
      </c>
      <c r="DA92" s="1561">
        <v>0</v>
      </c>
      <c r="DB92" s="1561">
        <v>0</v>
      </c>
      <c r="DC92" s="1561">
        <v>0</v>
      </c>
      <c r="DD92" s="1561">
        <v>0</v>
      </c>
      <c r="DE92" s="1561">
        <v>0</v>
      </c>
      <c r="DF92" s="1561">
        <v>0</v>
      </c>
      <c r="DG92" s="1561">
        <v>0</v>
      </c>
      <c r="DH92" s="1561">
        <v>0</v>
      </c>
      <c r="DI92" s="1561">
        <v>0</v>
      </c>
      <c r="DJ92" s="1561">
        <v>0</v>
      </c>
      <c r="DK92" s="1561">
        <v>0</v>
      </c>
      <c r="DL92" s="1561">
        <v>0</v>
      </c>
      <c r="DN92" s="1562">
        <v>300.38666233831339</v>
      </c>
    </row>
    <row r="93" spans="1:118" s="14" customFormat="1" ht="6" customHeight="1" x14ac:dyDescent="0.2">
      <c r="C93" s="1552"/>
      <c r="D93" s="1537"/>
      <c r="E93" s="1430"/>
      <c r="G93" s="1488"/>
      <c r="H93" s="1488"/>
      <c r="I93" s="1488"/>
      <c r="J93" s="1488"/>
      <c r="K93" s="1488"/>
      <c r="L93" s="1488"/>
      <c r="M93" s="1488"/>
      <c r="N93" s="1488"/>
      <c r="O93" s="1563"/>
      <c r="P93" s="1488"/>
      <c r="Q93" s="1488"/>
      <c r="R93" s="1488"/>
      <c r="S93" s="1488"/>
      <c r="T93" s="1488"/>
      <c r="U93" s="1488"/>
      <c r="V93" s="1488"/>
      <c r="W93" s="1488"/>
      <c r="Y93" s="1490"/>
      <c r="Z93" s="1490"/>
      <c r="AA93" s="1490"/>
      <c r="AB93" s="1490"/>
      <c r="AC93" s="1490"/>
      <c r="AD93" s="1490"/>
      <c r="AE93" s="1490"/>
      <c r="AF93" s="1490"/>
      <c r="AG93" s="1490"/>
      <c r="AH93" s="1490"/>
      <c r="AI93" s="1490"/>
      <c r="AJ93" s="1490"/>
      <c r="AK93" s="1490"/>
      <c r="AL93" s="1490"/>
      <c r="AM93" s="1490"/>
      <c r="AN93" s="1490"/>
      <c r="AO93" s="1490"/>
      <c r="AP93" s="1490"/>
      <c r="AQ93" s="1490"/>
      <c r="AS93" s="1491"/>
      <c r="AT93" s="1491"/>
      <c r="AU93" s="1491"/>
      <c r="AV93" s="1491"/>
      <c r="AW93" s="1491"/>
      <c r="AX93" s="1491"/>
      <c r="AY93" s="1491"/>
      <c r="AZ93" s="1491"/>
      <c r="BA93" s="1491"/>
      <c r="BB93" s="1491"/>
      <c r="BC93" s="1491"/>
      <c r="BD93" s="1491"/>
      <c r="BE93" s="1491"/>
      <c r="BF93" s="1491"/>
      <c r="BG93" s="1491"/>
      <c r="BH93" s="1491"/>
      <c r="BI93" s="1491"/>
      <c r="BJ93" s="1491"/>
      <c r="BK93" s="1491"/>
      <c r="BL93" s="1491"/>
      <c r="BN93" s="1492"/>
      <c r="BO93" s="1492"/>
      <c r="BP93" s="1492"/>
      <c r="BR93" s="3168"/>
      <c r="BS93" s="1493"/>
      <c r="BU93" s="1508"/>
      <c r="BV93" s="1508"/>
      <c r="BW93" s="1508"/>
      <c r="BX93" s="1508"/>
      <c r="BY93" s="1508"/>
      <c r="BZ93" s="1508"/>
      <c r="CA93" s="1508"/>
      <c r="CB93" s="1508"/>
      <c r="CC93" s="1508"/>
      <c r="CD93" s="1508"/>
      <c r="CE93" s="1508"/>
      <c r="CF93" s="1508"/>
      <c r="CG93" s="1508"/>
      <c r="CH93" s="1508"/>
      <c r="CI93" s="1508"/>
      <c r="CJ93" s="1508"/>
      <c r="CK93" s="1508"/>
      <c r="CL93" s="1508"/>
      <c r="CM93" s="1508"/>
      <c r="CN93" s="1508"/>
      <c r="CO93" s="1508"/>
      <c r="CP93" s="1508"/>
      <c r="CQ93" s="1508"/>
      <c r="CR93" s="1508"/>
      <c r="CS93" s="1508"/>
      <c r="CT93" s="1508"/>
      <c r="CU93" s="1508"/>
      <c r="CV93" s="1508"/>
      <c r="CW93" s="1508"/>
      <c r="CX93" s="1508"/>
      <c r="CY93" s="1508"/>
      <c r="CZ93" s="1508"/>
      <c r="DA93" s="1508"/>
      <c r="DB93" s="1508"/>
      <c r="DC93" s="1508"/>
      <c r="DD93" s="1508"/>
      <c r="DE93" s="1508"/>
      <c r="DF93" s="1508"/>
      <c r="DG93" s="1508"/>
      <c r="DH93" s="1508"/>
      <c r="DI93" s="1508"/>
      <c r="DJ93" s="1508"/>
      <c r="DK93" s="1508"/>
      <c r="DL93" s="1508"/>
      <c r="DN93" s="1509"/>
    </row>
    <row r="94" spans="1:118" s="14" customFormat="1" ht="24" hidden="1" customHeight="1" outlineLevel="1" x14ac:dyDescent="0.2">
      <c r="C94" s="1480"/>
      <c r="D94" s="1480"/>
      <c r="E94" s="1481"/>
      <c r="G94" s="1482"/>
      <c r="H94" s="1482"/>
      <c r="I94" s="1482"/>
      <c r="J94" s="1482"/>
      <c r="K94" s="1482"/>
      <c r="L94" s="1482"/>
      <c r="M94" s="1482"/>
      <c r="N94" s="1482"/>
      <c r="O94" s="1482"/>
      <c r="P94" s="1482"/>
      <c r="Q94" s="1482"/>
      <c r="R94" s="1482"/>
      <c r="S94" s="1482"/>
      <c r="T94" s="1482"/>
      <c r="U94" s="1482"/>
      <c r="V94" s="1482"/>
      <c r="W94" s="1482"/>
      <c r="Y94" s="1596"/>
      <c r="Z94" s="1596"/>
      <c r="AA94" s="1596"/>
      <c r="AB94" s="1596"/>
      <c r="AC94" s="1596"/>
      <c r="AD94" s="1483"/>
      <c r="AE94" s="1483"/>
      <c r="AF94" s="1483"/>
      <c r="AG94" s="1596"/>
      <c r="AH94" s="1596"/>
      <c r="AI94" s="1596"/>
      <c r="AJ94" s="1596"/>
      <c r="AK94" s="1596"/>
      <c r="AL94" s="1596"/>
      <c r="AM94" s="1596"/>
      <c r="AN94" s="1596"/>
      <c r="AO94" s="1596"/>
      <c r="AP94" s="1596"/>
      <c r="AQ94" s="1596"/>
      <c r="AS94" s="1597"/>
      <c r="AT94" s="1597"/>
      <c r="AU94" s="1597"/>
      <c r="AV94" s="1597"/>
      <c r="AW94" s="1597"/>
      <c r="AX94" s="1597"/>
      <c r="AY94" s="1597"/>
      <c r="AZ94" s="1597"/>
      <c r="BA94" s="1597"/>
      <c r="BB94" s="1597"/>
      <c r="BC94" s="1484"/>
      <c r="BD94" s="1484"/>
      <c r="BE94" s="1484"/>
      <c r="BF94" s="1484"/>
      <c r="BG94" s="1484"/>
      <c r="BH94" s="1484"/>
      <c r="BI94" s="1484"/>
      <c r="BJ94" s="1484"/>
      <c r="BK94" s="1484"/>
      <c r="BL94" s="1597"/>
      <c r="BN94" s="1598"/>
      <c r="BO94" s="1598"/>
      <c r="BP94" s="1598"/>
      <c r="BR94" s="3168"/>
      <c r="BS94" s="1486"/>
      <c r="BU94" s="1508"/>
      <c r="BV94" s="1508"/>
      <c r="BW94" s="1508"/>
      <c r="BX94" s="1508"/>
      <c r="BY94" s="1508"/>
      <c r="BZ94" s="1508"/>
      <c r="CA94" s="1508"/>
      <c r="CB94" s="1508"/>
      <c r="CC94" s="1508"/>
      <c r="CD94" s="1508"/>
      <c r="CE94" s="1508"/>
      <c r="CF94" s="1508"/>
      <c r="CG94" s="1508"/>
      <c r="CH94" s="1508"/>
      <c r="CI94" s="1508"/>
      <c r="CJ94" s="1508"/>
      <c r="CK94" s="1508"/>
      <c r="CL94" s="1508"/>
      <c r="CM94" s="1508"/>
      <c r="CN94" s="1508"/>
      <c r="CO94" s="1508"/>
      <c r="CP94" s="1508"/>
      <c r="CQ94" s="1508"/>
      <c r="CR94" s="1508"/>
      <c r="CS94" s="1508"/>
      <c r="CT94" s="1508"/>
      <c r="CU94" s="1508"/>
      <c r="CV94" s="1508"/>
      <c r="CW94" s="1508"/>
      <c r="CX94" s="1508"/>
      <c r="CY94" s="1508"/>
      <c r="CZ94" s="1508"/>
      <c r="DA94" s="1508"/>
      <c r="DB94" s="1508"/>
      <c r="DC94" s="1508"/>
      <c r="DD94" s="1508"/>
      <c r="DE94" s="1508"/>
      <c r="DF94" s="1508"/>
      <c r="DG94" s="1508"/>
      <c r="DH94" s="1508"/>
      <c r="DI94" s="1508"/>
      <c r="DJ94" s="1508"/>
      <c r="DK94" s="1508"/>
      <c r="DL94" s="1508"/>
      <c r="DN94" s="1509"/>
    </row>
    <row r="95" spans="1:118" s="14" customFormat="1" ht="6" hidden="1" customHeight="1" outlineLevel="1" x14ac:dyDescent="0.2">
      <c r="C95" s="1580"/>
      <c r="D95" s="746"/>
      <c r="E95" s="1430"/>
      <c r="G95" s="1488"/>
      <c r="H95" s="1488"/>
      <c r="I95" s="1488"/>
      <c r="J95" s="1488"/>
      <c r="K95" s="1488"/>
      <c r="L95" s="1488"/>
      <c r="M95" s="1488"/>
      <c r="N95" s="1488"/>
      <c r="O95" s="1563"/>
      <c r="P95" s="1488"/>
      <c r="Q95" s="1488"/>
      <c r="R95" s="1488"/>
      <c r="S95" s="1488"/>
      <c r="T95" s="1488"/>
      <c r="U95" s="1488"/>
      <c r="V95" s="1488"/>
      <c r="W95" s="1488"/>
      <c r="Y95" s="1490"/>
      <c r="Z95" s="1490"/>
      <c r="AA95" s="1490"/>
      <c r="AB95" s="1490"/>
      <c r="AC95" s="1490"/>
      <c r="AD95" s="1490"/>
      <c r="AE95" s="1490"/>
      <c r="AF95" s="1490"/>
      <c r="AG95" s="1490"/>
      <c r="AH95" s="1490"/>
      <c r="AI95" s="1490"/>
      <c r="AJ95" s="1490"/>
      <c r="AK95" s="1490"/>
      <c r="AL95" s="1490"/>
      <c r="AM95" s="1490"/>
      <c r="AN95" s="1490"/>
      <c r="AO95" s="1490"/>
      <c r="AP95" s="1490"/>
      <c r="AQ95" s="1490"/>
      <c r="AS95" s="1491"/>
      <c r="AT95" s="1491"/>
      <c r="AU95" s="1491"/>
      <c r="AV95" s="1491"/>
      <c r="AW95" s="1491"/>
      <c r="AX95" s="1491"/>
      <c r="AY95" s="1491"/>
      <c r="AZ95" s="1491"/>
      <c r="BA95" s="1491"/>
      <c r="BB95" s="1491"/>
      <c r="BC95" s="1491"/>
      <c r="BD95" s="1491"/>
      <c r="BE95" s="1491"/>
      <c r="BF95" s="1491"/>
      <c r="BG95" s="1491"/>
      <c r="BH95" s="1491"/>
      <c r="BI95" s="1491"/>
      <c r="BJ95" s="1491"/>
      <c r="BK95" s="1491"/>
      <c r="BL95" s="1491"/>
      <c r="BN95" s="1492"/>
      <c r="BO95" s="1492"/>
      <c r="BP95" s="1492"/>
      <c r="BR95" s="3168"/>
      <c r="BS95" s="1493"/>
      <c r="BU95" s="1508"/>
      <c r="BV95" s="1508"/>
      <c r="BW95" s="1508"/>
      <c r="BX95" s="1508"/>
      <c r="BY95" s="1508"/>
      <c r="BZ95" s="1508"/>
      <c r="CA95" s="1508"/>
      <c r="CB95" s="1508"/>
      <c r="CC95" s="1508"/>
      <c r="CD95" s="1508"/>
      <c r="CE95" s="1508"/>
      <c r="CF95" s="1508"/>
      <c r="CG95" s="1508"/>
      <c r="CH95" s="1508"/>
      <c r="CI95" s="1508"/>
      <c r="CJ95" s="1508"/>
      <c r="CK95" s="1508"/>
      <c r="CL95" s="1508"/>
      <c r="CM95" s="1508"/>
      <c r="CN95" s="1508"/>
      <c r="CO95" s="1508"/>
      <c r="CP95" s="1508"/>
      <c r="CQ95" s="1508"/>
      <c r="CR95" s="1508"/>
      <c r="CS95" s="1508"/>
      <c r="CT95" s="1508"/>
      <c r="CU95" s="1508"/>
      <c r="CV95" s="1508"/>
      <c r="CW95" s="1508"/>
      <c r="CX95" s="1508"/>
      <c r="CY95" s="1508"/>
      <c r="CZ95" s="1508"/>
      <c r="DA95" s="1508"/>
      <c r="DB95" s="1508"/>
      <c r="DC95" s="1508"/>
      <c r="DD95" s="1508"/>
      <c r="DE95" s="1508"/>
      <c r="DF95" s="1508"/>
      <c r="DG95" s="1508"/>
      <c r="DH95" s="1508"/>
      <c r="DI95" s="1508"/>
      <c r="DJ95" s="1508"/>
      <c r="DK95" s="1508"/>
      <c r="DL95" s="1508"/>
      <c r="DN95" s="1509"/>
    </row>
    <row r="96" spans="1:118" s="14" customFormat="1" hidden="1" outlineLevel="2" x14ac:dyDescent="0.2">
      <c r="A96" s="1578"/>
      <c r="B96" s="1578"/>
      <c r="C96" s="1599"/>
      <c r="D96" s="1600"/>
      <c r="E96" s="1600"/>
      <c r="G96" s="1601"/>
      <c r="H96" s="1601"/>
      <c r="I96" s="1601"/>
      <c r="J96" s="1601"/>
      <c r="K96" s="1601"/>
      <c r="L96" s="1601"/>
      <c r="M96" s="1601"/>
      <c r="N96" s="1601"/>
      <c r="O96" s="1602"/>
      <c r="P96" s="1601"/>
      <c r="Q96" s="1601"/>
      <c r="R96" s="1601"/>
      <c r="S96" s="1601"/>
      <c r="T96" s="1601"/>
      <c r="U96" s="1601"/>
      <c r="V96" s="1601"/>
      <c r="W96" s="1601"/>
      <c r="Y96" s="1603"/>
      <c r="Z96" s="1603"/>
      <c r="AA96" s="1603"/>
      <c r="AB96" s="1603"/>
      <c r="AC96" s="1603"/>
      <c r="AD96" s="1603"/>
      <c r="AE96" s="1603"/>
      <c r="AF96" s="1603"/>
      <c r="AG96" s="1603"/>
      <c r="AH96" s="1603"/>
      <c r="AI96" s="1603"/>
      <c r="AJ96" s="1603"/>
      <c r="AK96" s="1603"/>
      <c r="AL96" s="1603"/>
      <c r="AM96" s="1603"/>
      <c r="AN96" s="1603"/>
      <c r="AO96" s="1603"/>
      <c r="AP96" s="1603"/>
      <c r="AQ96" s="1603"/>
      <c r="AS96" s="1604"/>
      <c r="AT96" s="1604"/>
      <c r="AU96" s="1604"/>
      <c r="AV96" s="1604"/>
      <c r="AW96" s="1604"/>
      <c r="AX96" s="1604"/>
      <c r="AY96" s="1604"/>
      <c r="AZ96" s="1604"/>
      <c r="BA96" s="1604"/>
      <c r="BB96" s="1604"/>
      <c r="BC96" s="1604"/>
      <c r="BD96" s="1604"/>
      <c r="BE96" s="1604"/>
      <c r="BF96" s="1604"/>
      <c r="BG96" s="1604"/>
      <c r="BH96" s="1604"/>
      <c r="BI96" s="1604"/>
      <c r="BJ96" s="1604"/>
      <c r="BK96" s="1604"/>
      <c r="BL96" s="1604"/>
      <c r="BN96" s="1605"/>
      <c r="BO96" s="1605"/>
      <c r="BP96" s="1605"/>
      <c r="BR96" s="3168"/>
      <c r="BS96" s="1579"/>
      <c r="BT96" s="1578"/>
      <c r="BU96" s="1595"/>
      <c r="BV96" s="1508"/>
      <c r="BW96" s="1508"/>
      <c r="BX96" s="1508"/>
      <c r="BY96" s="1508"/>
      <c r="BZ96" s="1508"/>
      <c r="CA96" s="1508"/>
      <c r="CB96" s="1508"/>
      <c r="CC96" s="1508"/>
      <c r="CD96" s="1508"/>
      <c r="CE96" s="1508"/>
      <c r="CF96" s="1508"/>
      <c r="CG96" s="1508"/>
      <c r="CH96" s="1508"/>
      <c r="CI96" s="1508"/>
      <c r="CJ96" s="1508"/>
      <c r="CK96" s="1508"/>
      <c r="CL96" s="1508"/>
      <c r="CM96" s="1508"/>
      <c r="CN96" s="1508"/>
      <c r="CO96" s="1508"/>
      <c r="CP96" s="1508"/>
      <c r="CQ96" s="1508"/>
      <c r="CR96" s="1508"/>
      <c r="CS96" s="1508"/>
      <c r="CT96" s="1508"/>
      <c r="CU96" s="1508"/>
      <c r="CV96" s="1508"/>
      <c r="CW96" s="1508"/>
      <c r="CX96" s="1508"/>
      <c r="CY96" s="1508"/>
      <c r="CZ96" s="1508"/>
      <c r="DA96" s="1508"/>
      <c r="DB96" s="1508"/>
      <c r="DC96" s="1508"/>
      <c r="DD96" s="1508"/>
      <c r="DE96" s="1508"/>
      <c r="DF96" s="1508"/>
      <c r="DG96" s="1508"/>
      <c r="DH96" s="1508"/>
      <c r="DI96" s="1508"/>
      <c r="DJ96" s="1508"/>
      <c r="DK96" s="1508"/>
      <c r="DL96" s="1508"/>
      <c r="DN96" s="1509"/>
    </row>
    <row r="97" spans="1:118" s="1522" customFormat="1" hidden="1" outlineLevel="2" x14ac:dyDescent="0.2">
      <c r="C97" s="1577" t="s">
        <v>716</v>
      </c>
      <c r="D97" s="1497" t="s">
        <v>717</v>
      </c>
      <c r="E97" s="1497"/>
      <c r="F97" s="14"/>
      <c r="G97" s="1498"/>
      <c r="H97" s="1498"/>
      <c r="I97" s="1498"/>
      <c r="J97" s="1498"/>
      <c r="K97" s="1498"/>
      <c r="L97" s="1498"/>
      <c r="M97" s="1498"/>
      <c r="N97" s="1498"/>
      <c r="O97" s="1498"/>
      <c r="P97" s="1498"/>
      <c r="Q97" s="1498"/>
      <c r="R97" s="1498"/>
      <c r="S97" s="1498"/>
      <c r="T97" s="1498"/>
      <c r="U97" s="1498"/>
      <c r="V97" s="1498"/>
      <c r="W97" s="1499"/>
      <c r="X97" s="14"/>
      <c r="Y97" s="1500"/>
      <c r="Z97" s="1500"/>
      <c r="AA97" s="1500"/>
      <c r="AB97" s="1500"/>
      <c r="AC97" s="1500"/>
      <c r="AD97" s="1500"/>
      <c r="AE97" s="1500"/>
      <c r="AF97" s="1500"/>
      <c r="AG97" s="1500"/>
      <c r="AH97" s="1500"/>
      <c r="AI97" s="1500"/>
      <c r="AJ97" s="1500"/>
      <c r="AK97" s="1500"/>
      <c r="AL97" s="1500"/>
      <c r="AM97" s="1500"/>
      <c r="AN97" s="1500"/>
      <c r="AO97" s="1500"/>
      <c r="AP97" s="1500"/>
      <c r="AQ97" s="1501"/>
      <c r="AR97" s="14"/>
      <c r="AS97" s="1502"/>
      <c r="AT97" s="1502"/>
      <c r="AU97" s="1502"/>
      <c r="AV97" s="1502"/>
      <c r="AW97" s="1502"/>
      <c r="AX97" s="1502"/>
      <c r="AY97" s="1502"/>
      <c r="AZ97" s="1502"/>
      <c r="BA97" s="1502"/>
      <c r="BB97" s="1502"/>
      <c r="BC97" s="1502"/>
      <c r="BD97" s="1502"/>
      <c r="BE97" s="1502"/>
      <c r="BF97" s="1502"/>
      <c r="BG97" s="1502"/>
      <c r="BH97" s="1502"/>
      <c r="BI97" s="1502"/>
      <c r="BJ97" s="1502"/>
      <c r="BK97" s="1502"/>
      <c r="BL97" s="1524"/>
      <c r="BM97" s="14"/>
      <c r="BN97" s="1504"/>
      <c r="BO97" s="1504"/>
      <c r="BP97" s="1505"/>
      <c r="BQ97" s="14"/>
      <c r="BR97" s="3168"/>
      <c r="BS97" s="1525"/>
      <c r="BU97" s="1507">
        <v>0</v>
      </c>
      <c r="BV97" s="1508">
        <v>0</v>
      </c>
      <c r="BW97" s="1508">
        <v>0</v>
      </c>
      <c r="BX97" s="1508">
        <v>0</v>
      </c>
      <c r="BY97" s="1508">
        <v>0</v>
      </c>
      <c r="BZ97" s="1508">
        <v>0</v>
      </c>
      <c r="CA97" s="1508">
        <v>0</v>
      </c>
      <c r="CB97" s="1508">
        <v>0</v>
      </c>
      <c r="CC97" s="1508">
        <v>0</v>
      </c>
      <c r="CD97" s="1508">
        <v>0</v>
      </c>
      <c r="CE97" s="1508">
        <v>0</v>
      </c>
      <c r="CF97" s="1508">
        <v>0</v>
      </c>
      <c r="CG97" s="1508">
        <v>0</v>
      </c>
      <c r="CH97" s="1508">
        <v>0</v>
      </c>
      <c r="CI97" s="1508">
        <v>0</v>
      </c>
      <c r="CJ97" s="1508">
        <v>0</v>
      </c>
      <c r="CK97" s="1508">
        <v>0</v>
      </c>
      <c r="CL97" s="1508">
        <v>0</v>
      </c>
      <c r="CM97" s="1508">
        <v>0</v>
      </c>
      <c r="CN97" s="1508">
        <v>0</v>
      </c>
      <c r="CO97" s="1508">
        <v>0</v>
      </c>
      <c r="CP97" s="1508">
        <v>0</v>
      </c>
      <c r="CQ97" s="1508">
        <v>0</v>
      </c>
      <c r="CR97" s="1508">
        <v>0</v>
      </c>
      <c r="CS97" s="1508">
        <v>0</v>
      </c>
      <c r="CT97" s="1508">
        <v>0</v>
      </c>
      <c r="CU97" s="1508">
        <v>0</v>
      </c>
      <c r="CV97" s="1508">
        <v>0</v>
      </c>
      <c r="CW97" s="1508">
        <v>0</v>
      </c>
      <c r="CX97" s="1508">
        <v>0</v>
      </c>
      <c r="CY97" s="1508">
        <v>0</v>
      </c>
      <c r="CZ97" s="1508">
        <v>0</v>
      </c>
      <c r="DA97" s="1508">
        <v>0</v>
      </c>
      <c r="DB97" s="1508">
        <v>0</v>
      </c>
      <c r="DC97" s="1508">
        <v>0</v>
      </c>
      <c r="DD97" s="1508">
        <v>0</v>
      </c>
      <c r="DE97" s="1508">
        <v>0</v>
      </c>
      <c r="DF97" s="1508">
        <v>0</v>
      </c>
      <c r="DG97" s="1508">
        <v>0</v>
      </c>
      <c r="DH97" s="1508">
        <v>0</v>
      </c>
      <c r="DI97" s="1508">
        <v>0</v>
      </c>
      <c r="DJ97" s="1508">
        <v>0</v>
      </c>
      <c r="DK97" s="1508">
        <v>0</v>
      </c>
      <c r="DL97" s="1508">
        <v>0</v>
      </c>
      <c r="DN97" s="1509"/>
    </row>
    <row r="98" spans="1:118" s="1578" customFormat="1" ht="12.75" hidden="1" customHeight="1" outlineLevel="2" x14ac:dyDescent="0.2">
      <c r="C98" s="1591" t="s">
        <v>811</v>
      </c>
      <c r="D98" s="1592" t="s">
        <v>812</v>
      </c>
      <c r="E98" s="1592"/>
      <c r="F98" s="14"/>
      <c r="G98" s="1568"/>
      <c r="H98" s="1568"/>
      <c r="I98" s="1568"/>
      <c r="J98" s="1568"/>
      <c r="K98" s="1568"/>
      <c r="L98" s="1568"/>
      <c r="M98" s="1568"/>
      <c r="N98" s="1568"/>
      <c r="O98" s="1569"/>
      <c r="P98" s="1568"/>
      <c r="Q98" s="1568"/>
      <c r="R98" s="1568"/>
      <c r="S98" s="1568"/>
      <c r="T98" s="1568"/>
      <c r="U98" s="1568"/>
      <c r="V98" s="1568"/>
      <c r="W98" s="1568"/>
      <c r="X98" s="14"/>
      <c r="Y98" s="1570"/>
      <c r="Z98" s="1570"/>
      <c r="AA98" s="1570"/>
      <c r="AB98" s="1570"/>
      <c r="AC98" s="1570"/>
      <c r="AD98" s="1570"/>
      <c r="AE98" s="1570"/>
      <c r="AF98" s="1570"/>
      <c r="AG98" s="1570"/>
      <c r="AH98" s="1570"/>
      <c r="AI98" s="1570"/>
      <c r="AJ98" s="1570"/>
      <c r="AK98" s="1570"/>
      <c r="AL98" s="1570"/>
      <c r="AM98" s="1570"/>
      <c r="AN98" s="1570"/>
      <c r="AO98" s="1570"/>
      <c r="AP98" s="1570"/>
      <c r="AQ98" s="1570"/>
      <c r="AR98" s="14"/>
      <c r="AS98" s="1571"/>
      <c r="AT98" s="1571"/>
      <c r="AU98" s="1571"/>
      <c r="AV98" s="1571"/>
      <c r="AW98" s="1571"/>
      <c r="AX98" s="1571"/>
      <c r="AY98" s="1571"/>
      <c r="AZ98" s="1571"/>
      <c r="BA98" s="1571"/>
      <c r="BB98" s="1571"/>
      <c r="BC98" s="1571"/>
      <c r="BD98" s="1571"/>
      <c r="BE98" s="1571"/>
      <c r="BF98" s="1571"/>
      <c r="BG98" s="1571"/>
      <c r="BH98" s="1571"/>
      <c r="BI98" s="1571"/>
      <c r="BJ98" s="1571"/>
      <c r="BK98" s="1571"/>
      <c r="BL98" s="1571"/>
      <c r="BM98" s="14"/>
      <c r="BN98" s="1572"/>
      <c r="BO98" s="1572"/>
      <c r="BP98" s="1572"/>
      <c r="BQ98" s="14"/>
      <c r="BR98" s="3168"/>
      <c r="BS98" s="1579"/>
      <c r="BU98" s="1595"/>
      <c r="BV98" s="1595"/>
      <c r="BW98" s="1595"/>
      <c r="BX98" s="1595"/>
      <c r="BY98" s="1595"/>
      <c r="BZ98" s="1595"/>
      <c r="CA98" s="1595"/>
      <c r="CB98" s="1595"/>
      <c r="CC98" s="1595"/>
      <c r="CD98" s="1595"/>
      <c r="CE98" s="1595"/>
      <c r="CF98" s="1595"/>
      <c r="CG98" s="1595"/>
      <c r="CH98" s="1595"/>
      <c r="CI98" s="1595"/>
      <c r="CJ98" s="1595"/>
      <c r="CK98" s="1595"/>
      <c r="CL98" s="1595"/>
      <c r="CM98" s="1595"/>
      <c r="CN98" s="1595"/>
      <c r="CO98" s="1595"/>
      <c r="CP98" s="1595"/>
      <c r="CQ98" s="1595"/>
      <c r="CR98" s="1595"/>
      <c r="CS98" s="1595"/>
      <c r="CT98" s="1595"/>
      <c r="CU98" s="1595"/>
      <c r="CV98" s="1595"/>
      <c r="CW98" s="1595"/>
      <c r="CX98" s="1595"/>
      <c r="CY98" s="1595"/>
      <c r="CZ98" s="1595"/>
      <c r="DA98" s="1595"/>
      <c r="DB98" s="1595"/>
      <c r="DC98" s="1595"/>
      <c r="DD98" s="1595"/>
      <c r="DE98" s="1595"/>
      <c r="DF98" s="1595"/>
      <c r="DG98" s="1595"/>
      <c r="DH98" s="1595"/>
      <c r="DI98" s="1595"/>
      <c r="DJ98" s="1595"/>
      <c r="DK98" s="1595"/>
      <c r="DL98" s="1595"/>
      <c r="DN98" s="1509"/>
    </row>
    <row r="99" spans="1:118" s="1522" customFormat="1" hidden="1" outlineLevel="2" x14ac:dyDescent="0.2">
      <c r="C99" s="1577" t="s">
        <v>74</v>
      </c>
      <c r="D99" s="1497" t="s">
        <v>75</v>
      </c>
      <c r="E99" s="1497"/>
      <c r="F99" s="14"/>
      <c r="G99" s="1498"/>
      <c r="H99" s="1498"/>
      <c r="I99" s="1498"/>
      <c r="J99" s="1498"/>
      <c r="K99" s="1498"/>
      <c r="L99" s="1498"/>
      <c r="M99" s="1498"/>
      <c r="N99" s="1498"/>
      <c r="O99" s="1498"/>
      <c r="P99" s="1498"/>
      <c r="Q99" s="1498"/>
      <c r="R99" s="1498"/>
      <c r="S99" s="1498"/>
      <c r="T99" s="1498"/>
      <c r="U99" s="1498"/>
      <c r="V99" s="1498"/>
      <c r="W99" s="1499"/>
      <c r="X99" s="14"/>
      <c r="Y99" s="1500"/>
      <c r="Z99" s="1500"/>
      <c r="AA99" s="1500"/>
      <c r="AB99" s="1500"/>
      <c r="AC99" s="1500"/>
      <c r="AD99" s="1500"/>
      <c r="AE99" s="1500"/>
      <c r="AF99" s="1500"/>
      <c r="AG99" s="1500"/>
      <c r="AH99" s="1500"/>
      <c r="AI99" s="1500"/>
      <c r="AJ99" s="1500"/>
      <c r="AK99" s="1500"/>
      <c r="AL99" s="1500"/>
      <c r="AM99" s="1500"/>
      <c r="AN99" s="1500"/>
      <c r="AO99" s="1500"/>
      <c r="AP99" s="1500"/>
      <c r="AQ99" s="1501"/>
      <c r="AR99" s="14"/>
      <c r="AS99" s="1502"/>
      <c r="AT99" s="1502"/>
      <c r="AU99" s="1502"/>
      <c r="AV99" s="1502"/>
      <c r="AW99" s="1502"/>
      <c r="AX99" s="1502"/>
      <c r="AY99" s="1502"/>
      <c r="AZ99" s="1502"/>
      <c r="BA99" s="1502"/>
      <c r="BB99" s="1502"/>
      <c r="BC99" s="1502"/>
      <c r="BD99" s="1502"/>
      <c r="BE99" s="1502"/>
      <c r="BF99" s="1502"/>
      <c r="BG99" s="1502"/>
      <c r="BH99" s="1502"/>
      <c r="BI99" s="1502"/>
      <c r="BJ99" s="1502"/>
      <c r="BK99" s="1502"/>
      <c r="BL99" s="1524"/>
      <c r="BM99" s="14"/>
      <c r="BN99" s="1504"/>
      <c r="BO99" s="1504"/>
      <c r="BP99" s="1505"/>
      <c r="BQ99" s="14"/>
      <c r="BR99" s="3168"/>
      <c r="BS99" s="1525"/>
      <c r="BU99" s="1507">
        <v>0</v>
      </c>
      <c r="BV99" s="1508">
        <v>0</v>
      </c>
      <c r="BW99" s="1508">
        <v>0</v>
      </c>
      <c r="BX99" s="1508">
        <v>0</v>
      </c>
      <c r="BY99" s="1508">
        <v>0</v>
      </c>
      <c r="BZ99" s="1508">
        <v>0</v>
      </c>
      <c r="CA99" s="1508">
        <v>0</v>
      </c>
      <c r="CB99" s="1508">
        <v>0</v>
      </c>
      <c r="CC99" s="1508">
        <v>0</v>
      </c>
      <c r="CD99" s="1508">
        <v>0</v>
      </c>
      <c r="CE99" s="1508">
        <v>0</v>
      </c>
      <c r="CF99" s="1508">
        <v>0</v>
      </c>
      <c r="CG99" s="1508">
        <v>0</v>
      </c>
      <c r="CH99" s="1508">
        <v>0</v>
      </c>
      <c r="CI99" s="1508">
        <v>0</v>
      </c>
      <c r="CJ99" s="1508">
        <v>0</v>
      </c>
      <c r="CK99" s="1508">
        <v>0</v>
      </c>
      <c r="CL99" s="1508">
        <v>0</v>
      </c>
      <c r="CM99" s="1508">
        <v>0</v>
      </c>
      <c r="CN99" s="1508">
        <v>0</v>
      </c>
      <c r="CO99" s="1508">
        <v>0</v>
      </c>
      <c r="CP99" s="1508">
        <v>0</v>
      </c>
      <c r="CQ99" s="1508">
        <v>0</v>
      </c>
      <c r="CR99" s="1508">
        <v>0</v>
      </c>
      <c r="CS99" s="1508">
        <v>0</v>
      </c>
      <c r="CT99" s="1508">
        <v>0</v>
      </c>
      <c r="CU99" s="1508">
        <v>0</v>
      </c>
      <c r="CV99" s="1508">
        <v>0</v>
      </c>
      <c r="CW99" s="1508">
        <v>0</v>
      </c>
      <c r="CX99" s="1508">
        <v>0</v>
      </c>
      <c r="CY99" s="1508">
        <v>0</v>
      </c>
      <c r="CZ99" s="1508">
        <v>0</v>
      </c>
      <c r="DA99" s="1508">
        <v>0</v>
      </c>
      <c r="DB99" s="1508">
        <v>0</v>
      </c>
      <c r="DC99" s="1508">
        <v>0</v>
      </c>
      <c r="DD99" s="1508">
        <v>0</v>
      </c>
      <c r="DE99" s="1508">
        <v>0</v>
      </c>
      <c r="DF99" s="1508">
        <v>0</v>
      </c>
      <c r="DG99" s="1508">
        <v>0</v>
      </c>
      <c r="DH99" s="1508">
        <v>0</v>
      </c>
      <c r="DI99" s="1508">
        <v>0</v>
      </c>
      <c r="DJ99" s="1508">
        <v>0</v>
      </c>
      <c r="DK99" s="1508">
        <v>0</v>
      </c>
      <c r="DL99" s="1508">
        <v>0</v>
      </c>
      <c r="DN99" s="1509"/>
    </row>
    <row r="100" spans="1:118" s="1522" customFormat="1" hidden="1" outlineLevel="2" x14ac:dyDescent="0.2">
      <c r="C100" s="1577" t="s">
        <v>76</v>
      </c>
      <c r="D100" s="1526" t="s">
        <v>813</v>
      </c>
      <c r="E100" s="1526"/>
      <c r="F100" s="14"/>
      <c r="G100" s="1540"/>
      <c r="H100" s="1540"/>
      <c r="I100" s="1540"/>
      <c r="J100" s="1540"/>
      <c r="K100" s="1540"/>
      <c r="L100" s="1540"/>
      <c r="M100" s="1540"/>
      <c r="N100" s="1540"/>
      <c r="O100" s="1540"/>
      <c r="P100" s="1540"/>
      <c r="Q100" s="1540"/>
      <c r="R100" s="1540"/>
      <c r="S100" s="1540"/>
      <c r="T100" s="1540"/>
      <c r="U100" s="1540"/>
      <c r="V100" s="1540"/>
      <c r="W100" s="1527"/>
      <c r="X100" s="14"/>
      <c r="Y100" s="1541"/>
      <c r="Z100" s="1541"/>
      <c r="AA100" s="1541"/>
      <c r="AB100" s="1541"/>
      <c r="AC100" s="1541"/>
      <c r="AD100" s="1541"/>
      <c r="AE100" s="1541"/>
      <c r="AF100" s="1541"/>
      <c r="AG100" s="1541"/>
      <c r="AH100" s="1541"/>
      <c r="AI100" s="1541"/>
      <c r="AJ100" s="1541"/>
      <c r="AK100" s="1541"/>
      <c r="AL100" s="1541"/>
      <c r="AM100" s="1541"/>
      <c r="AN100" s="1541"/>
      <c r="AO100" s="1541"/>
      <c r="AP100" s="1541"/>
      <c r="AQ100" s="1528"/>
      <c r="AR100" s="14"/>
      <c r="AS100" s="1542"/>
      <c r="AT100" s="1542"/>
      <c r="AU100" s="1542"/>
      <c r="AV100" s="1542"/>
      <c r="AW100" s="1542"/>
      <c r="AX100" s="1542"/>
      <c r="AY100" s="1542"/>
      <c r="AZ100" s="1542"/>
      <c r="BA100" s="1542"/>
      <c r="BB100" s="1542"/>
      <c r="BC100" s="1542"/>
      <c r="BD100" s="1542"/>
      <c r="BE100" s="1542"/>
      <c r="BF100" s="1542"/>
      <c r="BG100" s="1542"/>
      <c r="BH100" s="1542"/>
      <c r="BI100" s="1542"/>
      <c r="BJ100" s="1542"/>
      <c r="BK100" s="1542"/>
      <c r="BL100" s="1530"/>
      <c r="BM100" s="14"/>
      <c r="BN100" s="1543"/>
      <c r="BO100" s="1543"/>
      <c r="BP100" s="1531"/>
      <c r="BQ100" s="14"/>
      <c r="BR100" s="3168"/>
      <c r="BS100" s="1525"/>
      <c r="BU100" s="1532">
        <v>0</v>
      </c>
      <c r="BV100" s="1533">
        <v>0</v>
      </c>
      <c r="BW100" s="1533">
        <v>0</v>
      </c>
      <c r="BX100" s="1533">
        <v>0</v>
      </c>
      <c r="BY100" s="1533">
        <v>0</v>
      </c>
      <c r="BZ100" s="1533">
        <v>0</v>
      </c>
      <c r="CA100" s="1533">
        <v>0</v>
      </c>
      <c r="CB100" s="1533">
        <v>0</v>
      </c>
      <c r="CC100" s="1533">
        <v>0</v>
      </c>
      <c r="CD100" s="1533">
        <v>0</v>
      </c>
      <c r="CE100" s="1533">
        <v>0</v>
      </c>
      <c r="CF100" s="1533">
        <v>0</v>
      </c>
      <c r="CG100" s="1533">
        <v>0</v>
      </c>
      <c r="CH100" s="1533">
        <v>0</v>
      </c>
      <c r="CI100" s="1533">
        <v>0</v>
      </c>
      <c r="CJ100" s="1533">
        <v>0</v>
      </c>
      <c r="CK100" s="1533">
        <v>0</v>
      </c>
      <c r="CL100" s="1533">
        <v>0</v>
      </c>
      <c r="CM100" s="1533">
        <v>0</v>
      </c>
      <c r="CN100" s="1533">
        <v>0</v>
      </c>
      <c r="CO100" s="1533">
        <v>0</v>
      </c>
      <c r="CP100" s="1533">
        <v>0</v>
      </c>
      <c r="CQ100" s="1533">
        <v>0</v>
      </c>
      <c r="CR100" s="1533">
        <v>0</v>
      </c>
      <c r="CS100" s="1533">
        <v>0</v>
      </c>
      <c r="CT100" s="1533">
        <v>0</v>
      </c>
      <c r="CU100" s="1533">
        <v>0</v>
      </c>
      <c r="CV100" s="1533">
        <v>0</v>
      </c>
      <c r="CW100" s="1533">
        <v>0</v>
      </c>
      <c r="CX100" s="1533">
        <v>0</v>
      </c>
      <c r="CY100" s="1533">
        <v>0</v>
      </c>
      <c r="CZ100" s="1533">
        <v>0</v>
      </c>
      <c r="DA100" s="1533">
        <v>0</v>
      </c>
      <c r="DB100" s="1533">
        <v>0</v>
      </c>
      <c r="DC100" s="1533">
        <v>0</v>
      </c>
      <c r="DD100" s="1533">
        <v>0</v>
      </c>
      <c r="DE100" s="1533">
        <v>0</v>
      </c>
      <c r="DF100" s="1533">
        <v>0</v>
      </c>
      <c r="DG100" s="1533">
        <v>0</v>
      </c>
      <c r="DH100" s="1533">
        <v>0</v>
      </c>
      <c r="DI100" s="1533">
        <v>0</v>
      </c>
      <c r="DJ100" s="1533">
        <v>0</v>
      </c>
      <c r="DK100" s="1533">
        <v>0</v>
      </c>
      <c r="DL100" s="1533">
        <v>0</v>
      </c>
      <c r="DN100" s="1509"/>
    </row>
    <row r="101" spans="1:118" s="1534" customFormat="1" ht="12.75" hidden="1" customHeight="1" outlineLevel="1" x14ac:dyDescent="0.2">
      <c r="B101" s="1535"/>
      <c r="C101" s="1536"/>
      <c r="D101" s="1537"/>
      <c r="E101" s="1538"/>
      <c r="F101" s="14"/>
      <c r="G101" s="1488"/>
      <c r="H101" s="1488"/>
      <c r="I101" s="1488"/>
      <c r="J101" s="1488"/>
      <c r="K101" s="1488"/>
      <c r="L101" s="1488"/>
      <c r="M101" s="1488"/>
      <c r="N101" s="1488"/>
      <c r="O101" s="1563"/>
      <c r="P101" s="1488"/>
      <c r="Q101" s="1488"/>
      <c r="R101" s="1488"/>
      <c r="S101" s="1488"/>
      <c r="T101" s="1488"/>
      <c r="U101" s="1488"/>
      <c r="V101" s="1488"/>
      <c r="W101" s="1539"/>
      <c r="X101" s="14"/>
      <c r="Y101" s="1490"/>
      <c r="Z101" s="1490"/>
      <c r="AA101" s="1490"/>
      <c r="AB101" s="1490"/>
      <c r="AC101" s="1490"/>
      <c r="AD101" s="1490"/>
      <c r="AE101" s="1490"/>
      <c r="AF101" s="1490"/>
      <c r="AG101" s="1490"/>
      <c r="AH101" s="1490"/>
      <c r="AI101" s="1490"/>
      <c r="AJ101" s="1490"/>
      <c r="AK101" s="1490"/>
      <c r="AL101" s="1490"/>
      <c r="AM101" s="1490"/>
      <c r="AN101" s="1490"/>
      <c r="AO101" s="1490"/>
      <c r="AP101" s="1490"/>
      <c r="AQ101" s="1490"/>
      <c r="AR101" s="14"/>
      <c r="AS101" s="1491"/>
      <c r="AT101" s="1491"/>
      <c r="AU101" s="1491"/>
      <c r="AV101" s="1491"/>
      <c r="AW101" s="1491"/>
      <c r="AX101" s="1491"/>
      <c r="AY101" s="1491"/>
      <c r="AZ101" s="1491"/>
      <c r="BA101" s="1491"/>
      <c r="BB101" s="1491"/>
      <c r="BC101" s="1491"/>
      <c r="BD101" s="1491"/>
      <c r="BE101" s="1491"/>
      <c r="BF101" s="1491"/>
      <c r="BG101" s="1491"/>
      <c r="BH101" s="1491"/>
      <c r="BI101" s="1491"/>
      <c r="BJ101" s="1491"/>
      <c r="BK101" s="1491"/>
      <c r="BL101" s="1491"/>
      <c r="BM101" s="14"/>
      <c r="BN101" s="1492"/>
      <c r="BO101" s="1492"/>
      <c r="BP101" s="1492"/>
      <c r="BQ101" s="14"/>
      <c r="BR101" s="3168"/>
      <c r="BS101" s="1493"/>
      <c r="BT101" s="748"/>
      <c r="BU101" s="1508">
        <v>0</v>
      </c>
      <c r="BV101" s="1508">
        <v>0</v>
      </c>
      <c r="BW101" s="1508">
        <v>0</v>
      </c>
      <c r="BX101" s="1508">
        <v>0</v>
      </c>
      <c r="BY101" s="1508">
        <v>0</v>
      </c>
      <c r="BZ101" s="1508">
        <v>0</v>
      </c>
      <c r="CA101" s="1508">
        <v>0</v>
      </c>
      <c r="CB101" s="1508">
        <v>0</v>
      </c>
      <c r="CC101" s="1508">
        <v>0</v>
      </c>
      <c r="CD101" s="1508">
        <v>0</v>
      </c>
      <c r="CE101" s="1508">
        <v>0</v>
      </c>
      <c r="CF101" s="1508">
        <v>0</v>
      </c>
      <c r="CG101" s="1508">
        <v>0</v>
      </c>
      <c r="CH101" s="1508">
        <v>0</v>
      </c>
      <c r="CI101" s="1508">
        <v>0</v>
      </c>
      <c r="CJ101" s="1508">
        <v>0</v>
      </c>
      <c r="CK101" s="1508">
        <v>0</v>
      </c>
      <c r="CL101" s="1508">
        <v>0</v>
      </c>
      <c r="CM101" s="1508">
        <v>0</v>
      </c>
      <c r="CN101" s="1508">
        <v>0</v>
      </c>
      <c r="CO101" s="1508">
        <v>0</v>
      </c>
      <c r="CP101" s="1508">
        <v>0</v>
      </c>
      <c r="CQ101" s="1508">
        <v>0</v>
      </c>
      <c r="CR101" s="1508">
        <v>0</v>
      </c>
      <c r="CS101" s="1508">
        <v>0</v>
      </c>
      <c r="CT101" s="1508">
        <v>0</v>
      </c>
      <c r="CU101" s="1508">
        <v>0</v>
      </c>
      <c r="CV101" s="1508">
        <v>0</v>
      </c>
      <c r="CW101" s="1508">
        <v>0</v>
      </c>
      <c r="CX101" s="1508">
        <v>0</v>
      </c>
      <c r="CY101" s="1508">
        <v>0</v>
      </c>
      <c r="CZ101" s="1508">
        <v>0</v>
      </c>
      <c r="DA101" s="1508">
        <v>0</v>
      </c>
      <c r="DB101" s="1508">
        <v>0</v>
      </c>
      <c r="DC101" s="1508">
        <v>0</v>
      </c>
      <c r="DD101" s="1508">
        <v>0</v>
      </c>
      <c r="DE101" s="1508">
        <v>0</v>
      </c>
      <c r="DF101" s="1508">
        <v>0</v>
      </c>
      <c r="DG101" s="1508">
        <v>0</v>
      </c>
      <c r="DH101" s="1508">
        <v>0</v>
      </c>
      <c r="DI101" s="1508">
        <v>0</v>
      </c>
      <c r="DJ101" s="1508">
        <v>0</v>
      </c>
      <c r="DK101" s="1508">
        <v>0</v>
      </c>
      <c r="DL101" s="1508">
        <v>0</v>
      </c>
      <c r="DN101" s="1509">
        <v>0</v>
      </c>
    </row>
    <row r="102" spans="1:118" s="14" customFormat="1" ht="12.75" hidden="1" customHeight="1" outlineLevel="2" x14ac:dyDescent="0.2">
      <c r="A102" s="1534"/>
      <c r="B102" s="1534"/>
      <c r="C102" s="1544"/>
      <c r="D102" s="1538"/>
      <c r="E102" s="1538"/>
      <c r="G102" s="1488"/>
      <c r="H102" s="1488"/>
      <c r="I102" s="1488"/>
      <c r="J102" s="1488"/>
      <c r="K102" s="1488"/>
      <c r="L102" s="1488"/>
      <c r="M102" s="1488"/>
      <c r="N102" s="1488"/>
      <c r="O102" s="1563"/>
      <c r="P102" s="1488"/>
      <c r="Q102" s="1488"/>
      <c r="R102" s="1488"/>
      <c r="S102" s="1488"/>
      <c r="T102" s="1488"/>
      <c r="U102" s="1488"/>
      <c r="V102" s="1488"/>
      <c r="W102" s="1488"/>
      <c r="Y102" s="1490"/>
      <c r="Z102" s="1490"/>
      <c r="AA102" s="1490"/>
      <c r="AB102" s="1490"/>
      <c r="AC102" s="1490"/>
      <c r="AD102" s="1490"/>
      <c r="AE102" s="1490"/>
      <c r="AF102" s="1490"/>
      <c r="AG102" s="1490"/>
      <c r="AH102" s="1490"/>
      <c r="AI102" s="1490"/>
      <c r="AJ102" s="1490"/>
      <c r="AK102" s="1490"/>
      <c r="AL102" s="1490"/>
      <c r="AM102" s="1490"/>
      <c r="AN102" s="1490"/>
      <c r="AO102" s="1490"/>
      <c r="AP102" s="1490"/>
      <c r="AQ102" s="1490"/>
      <c r="AS102" s="1491"/>
      <c r="AT102" s="1491"/>
      <c r="AU102" s="1491"/>
      <c r="AV102" s="1491"/>
      <c r="AW102" s="1491"/>
      <c r="AX102" s="1491"/>
      <c r="AY102" s="1491"/>
      <c r="AZ102" s="1491"/>
      <c r="BA102" s="1491"/>
      <c r="BB102" s="1491"/>
      <c r="BC102" s="1491"/>
      <c r="BD102" s="1491"/>
      <c r="BE102" s="1491"/>
      <c r="BF102" s="1491"/>
      <c r="BG102" s="1491"/>
      <c r="BH102" s="1491"/>
      <c r="BI102" s="1491"/>
      <c r="BJ102" s="1491"/>
      <c r="BK102" s="1491"/>
      <c r="BL102" s="1491"/>
      <c r="BN102" s="1492"/>
      <c r="BO102" s="1492"/>
      <c r="BP102" s="1492"/>
      <c r="BR102" s="3168"/>
      <c r="BS102" s="1493"/>
      <c r="BT102" s="748"/>
      <c r="BU102" s="1508"/>
      <c r="BV102" s="1508"/>
      <c r="BW102" s="1508"/>
      <c r="BX102" s="1508"/>
      <c r="BY102" s="1508"/>
      <c r="BZ102" s="1508"/>
      <c r="CA102" s="1508"/>
      <c r="CB102" s="1508"/>
      <c r="CC102" s="1508"/>
      <c r="CD102" s="1508"/>
      <c r="CE102" s="1508"/>
      <c r="CF102" s="1508"/>
      <c r="CG102" s="1508"/>
      <c r="CH102" s="1508"/>
      <c r="CI102" s="1508"/>
      <c r="CJ102" s="1508"/>
      <c r="CK102" s="1508"/>
      <c r="CL102" s="1508"/>
      <c r="CM102" s="1508"/>
      <c r="CN102" s="1508"/>
      <c r="CO102" s="1508"/>
      <c r="CP102" s="1508"/>
      <c r="CQ102" s="1508"/>
      <c r="CR102" s="1508"/>
      <c r="CS102" s="1508"/>
      <c r="CT102" s="1508"/>
      <c r="CU102" s="1508"/>
      <c r="CV102" s="1508"/>
      <c r="CW102" s="1508"/>
      <c r="CX102" s="1508"/>
      <c r="CY102" s="1508"/>
      <c r="CZ102" s="1508"/>
      <c r="DA102" s="1508"/>
      <c r="DB102" s="1508"/>
      <c r="DC102" s="1508"/>
      <c r="DD102" s="1508"/>
      <c r="DE102" s="1508"/>
      <c r="DF102" s="1508"/>
      <c r="DG102" s="1508"/>
      <c r="DH102" s="1508"/>
      <c r="DI102" s="1508"/>
      <c r="DJ102" s="1508"/>
      <c r="DK102" s="1508"/>
      <c r="DL102" s="1508"/>
      <c r="DN102" s="1509">
        <v>0</v>
      </c>
    </row>
    <row r="103" spans="1:118" s="1564" customFormat="1" ht="12.75" hidden="1" customHeight="1" outlineLevel="2" x14ac:dyDescent="0.2">
      <c r="C103" s="1565"/>
      <c r="D103" s="1566"/>
      <c r="E103" s="1566"/>
      <c r="G103" s="1568"/>
      <c r="H103" s="1568"/>
      <c r="I103" s="1568"/>
      <c r="J103" s="1568"/>
      <c r="K103" s="1568"/>
      <c r="L103" s="1568"/>
      <c r="M103" s="1568"/>
      <c r="N103" s="1568"/>
      <c r="O103" s="1569"/>
      <c r="P103" s="1568"/>
      <c r="Q103" s="1568"/>
      <c r="R103" s="1568"/>
      <c r="S103" s="1568"/>
      <c r="T103" s="1568"/>
      <c r="U103" s="1568"/>
      <c r="V103" s="1568"/>
      <c r="W103" s="1568"/>
      <c r="Y103" s="1570"/>
      <c r="Z103" s="1570"/>
      <c r="AA103" s="1570"/>
      <c r="AB103" s="1570"/>
      <c r="AC103" s="1570"/>
      <c r="AD103" s="1570"/>
      <c r="AE103" s="1570"/>
      <c r="AF103" s="1570"/>
      <c r="AG103" s="1570"/>
      <c r="AH103" s="1570"/>
      <c r="AI103" s="1570"/>
      <c r="AJ103" s="1570"/>
      <c r="AK103" s="1570"/>
      <c r="AL103" s="1570"/>
      <c r="AM103" s="1570"/>
      <c r="AN103" s="1570"/>
      <c r="AO103" s="1570"/>
      <c r="AP103" s="1570"/>
      <c r="AQ103" s="1570"/>
      <c r="AS103" s="1571"/>
      <c r="AT103" s="1571"/>
      <c r="AU103" s="1571"/>
      <c r="AV103" s="1571"/>
      <c r="AW103" s="1571"/>
      <c r="AX103" s="1571"/>
      <c r="AY103" s="1571"/>
      <c r="AZ103" s="1571"/>
      <c r="BA103" s="1571"/>
      <c r="BB103" s="1571"/>
      <c r="BC103" s="1571"/>
      <c r="BD103" s="1571"/>
      <c r="BE103" s="1571"/>
      <c r="BF103" s="1571"/>
      <c r="BG103" s="1571"/>
      <c r="BH103" s="1571"/>
      <c r="BI103" s="1571"/>
      <c r="BJ103" s="1571"/>
      <c r="BK103" s="1571"/>
      <c r="BL103" s="1571"/>
      <c r="BN103" s="1572"/>
      <c r="BO103" s="1572"/>
      <c r="BP103" s="1572"/>
      <c r="BR103" s="3168"/>
      <c r="BS103" s="1573"/>
      <c r="BT103" s="1606"/>
      <c r="BU103" s="1607"/>
      <c r="BV103" s="1607"/>
      <c r="BW103" s="1607"/>
      <c r="BX103" s="1607"/>
      <c r="BY103" s="1607"/>
      <c r="BZ103" s="1607"/>
      <c r="CA103" s="1607"/>
      <c r="CB103" s="1607"/>
      <c r="CC103" s="1607"/>
      <c r="CD103" s="1607"/>
      <c r="CE103" s="1607"/>
      <c r="CF103" s="1607"/>
      <c r="CG103" s="1607"/>
      <c r="CH103" s="1607"/>
      <c r="CI103" s="1607"/>
      <c r="CJ103" s="1607"/>
      <c r="CK103" s="1607"/>
      <c r="CL103" s="1607"/>
      <c r="CM103" s="1607"/>
      <c r="CN103" s="1607"/>
      <c r="CO103" s="1607"/>
      <c r="CP103" s="1607"/>
      <c r="CQ103" s="1607"/>
      <c r="CR103" s="1607"/>
      <c r="CS103" s="1607"/>
      <c r="CT103" s="1607"/>
      <c r="CU103" s="1607"/>
      <c r="CV103" s="1607"/>
      <c r="CW103" s="1607"/>
      <c r="CX103" s="1607"/>
      <c r="CY103" s="1607"/>
      <c r="CZ103" s="1607"/>
      <c r="DA103" s="1607"/>
      <c r="DB103" s="1607"/>
      <c r="DC103" s="1607"/>
      <c r="DD103" s="1607"/>
      <c r="DE103" s="1607"/>
      <c r="DF103" s="1607"/>
      <c r="DG103" s="1607"/>
      <c r="DH103" s="1607"/>
      <c r="DI103" s="1607"/>
      <c r="DJ103" s="1607"/>
      <c r="DK103" s="1607"/>
      <c r="DL103" s="1607"/>
      <c r="DN103" s="1606">
        <v>0</v>
      </c>
    </row>
    <row r="104" spans="1:118" s="1567" customFormat="1" ht="12.75" hidden="1" customHeight="1" outlineLevel="2" x14ac:dyDescent="0.2">
      <c r="A104" s="1608"/>
      <c r="B104" s="1608"/>
      <c r="D104" s="1609"/>
      <c r="E104" s="1609"/>
      <c r="G104" s="1610"/>
      <c r="H104" s="1610"/>
      <c r="I104" s="1610"/>
      <c r="J104" s="1610"/>
      <c r="K104" s="1610"/>
      <c r="L104" s="1610"/>
      <c r="M104" s="1610"/>
      <c r="N104" s="1610"/>
      <c r="O104" s="1610"/>
      <c r="P104" s="1610"/>
      <c r="Q104" s="1610"/>
      <c r="R104" s="1610"/>
      <c r="S104" s="1610"/>
      <c r="T104" s="1610"/>
      <c r="U104" s="1610"/>
      <c r="V104" s="1610"/>
      <c r="W104" s="1611"/>
      <c r="Y104" s="1612"/>
      <c r="Z104" s="1612"/>
      <c r="AA104" s="1612"/>
      <c r="AB104" s="1612"/>
      <c r="AC104" s="1612"/>
      <c r="AD104" s="1612"/>
      <c r="AE104" s="1612"/>
      <c r="AF104" s="1612"/>
      <c r="AG104" s="1612"/>
      <c r="AH104" s="1612"/>
      <c r="AI104" s="1612"/>
      <c r="AJ104" s="1612"/>
      <c r="AK104" s="1612"/>
      <c r="AL104" s="1612"/>
      <c r="AM104" s="1612"/>
      <c r="AN104" s="1612"/>
      <c r="AO104" s="1612"/>
      <c r="AP104" s="1612"/>
      <c r="AQ104" s="1613"/>
      <c r="AS104" s="1614"/>
      <c r="AT104" s="1614"/>
      <c r="AU104" s="1614"/>
      <c r="AV104" s="1614"/>
      <c r="AW104" s="1614"/>
      <c r="AX104" s="1614"/>
      <c r="AY104" s="1614"/>
      <c r="AZ104" s="1614"/>
      <c r="BA104" s="1614"/>
      <c r="BB104" s="1614"/>
      <c r="BC104" s="1614"/>
      <c r="BD104" s="1614"/>
      <c r="BE104" s="1614"/>
      <c r="BF104" s="1614"/>
      <c r="BG104" s="1614"/>
      <c r="BH104" s="1614"/>
      <c r="BI104" s="1614"/>
      <c r="BJ104" s="1614"/>
      <c r="BK104" s="1614"/>
      <c r="BL104" s="1615"/>
      <c r="BN104" s="1616"/>
      <c r="BO104" s="1616"/>
      <c r="BP104" s="1617"/>
      <c r="BR104" s="3168"/>
      <c r="BS104" s="1618"/>
      <c r="BT104" s="1619"/>
      <c r="BU104" s="1620">
        <v>0</v>
      </c>
      <c r="BV104" s="1621">
        <v>0</v>
      </c>
      <c r="BW104" s="1621">
        <v>0</v>
      </c>
      <c r="BX104" s="1621">
        <v>0</v>
      </c>
      <c r="BY104" s="1621">
        <v>0</v>
      </c>
      <c r="BZ104" s="1621">
        <v>0</v>
      </c>
      <c r="CA104" s="1621">
        <v>0</v>
      </c>
      <c r="CB104" s="1621">
        <v>0</v>
      </c>
      <c r="CC104" s="1621">
        <v>0</v>
      </c>
      <c r="CD104" s="1621">
        <v>0</v>
      </c>
      <c r="CE104" s="1621">
        <v>0</v>
      </c>
      <c r="CF104" s="1621">
        <v>0</v>
      </c>
      <c r="CG104" s="1621">
        <v>0</v>
      </c>
      <c r="CH104" s="1621">
        <v>0</v>
      </c>
      <c r="CI104" s="1621">
        <v>0</v>
      </c>
      <c r="CJ104" s="1621">
        <v>0</v>
      </c>
      <c r="CK104" s="1621">
        <v>0</v>
      </c>
      <c r="CL104" s="1621">
        <v>0</v>
      </c>
      <c r="CM104" s="1621">
        <v>0</v>
      </c>
      <c r="CN104" s="1621">
        <v>0</v>
      </c>
      <c r="CO104" s="1621">
        <v>0</v>
      </c>
      <c r="CP104" s="1621">
        <v>0</v>
      </c>
      <c r="CQ104" s="1621">
        <v>0</v>
      </c>
      <c r="CR104" s="1621">
        <v>0</v>
      </c>
      <c r="CS104" s="1621">
        <v>0</v>
      </c>
      <c r="CT104" s="1621">
        <v>0</v>
      </c>
      <c r="CU104" s="1621">
        <v>0</v>
      </c>
      <c r="CV104" s="1621">
        <v>0</v>
      </c>
      <c r="CW104" s="1621">
        <v>0</v>
      </c>
      <c r="CX104" s="1621">
        <v>0</v>
      </c>
      <c r="CY104" s="1621">
        <v>0</v>
      </c>
      <c r="CZ104" s="1621">
        <v>0</v>
      </c>
      <c r="DA104" s="1621">
        <v>0</v>
      </c>
      <c r="DB104" s="1621">
        <v>0</v>
      </c>
      <c r="DC104" s="1621">
        <v>0</v>
      </c>
      <c r="DD104" s="1621">
        <v>0</v>
      </c>
      <c r="DE104" s="1621">
        <v>-5.5600542212492146</v>
      </c>
      <c r="DF104" s="1621">
        <v>0</v>
      </c>
      <c r="DG104" s="1621">
        <v>0</v>
      </c>
      <c r="DH104" s="1621">
        <v>0</v>
      </c>
      <c r="DI104" s="1621">
        <v>0</v>
      </c>
      <c r="DJ104" s="1621">
        <v>0</v>
      </c>
      <c r="DK104" s="1621">
        <v>0</v>
      </c>
      <c r="DL104" s="1621">
        <v>0</v>
      </c>
      <c r="DN104" s="1575">
        <v>-5.5600542212492146</v>
      </c>
    </row>
    <row r="105" spans="1:118" s="1564" customFormat="1" ht="12.75" hidden="1" customHeight="1" outlineLevel="2" x14ac:dyDescent="0.2">
      <c r="D105" s="1566"/>
      <c r="E105" s="1566"/>
      <c r="G105" s="1568"/>
      <c r="H105" s="1568"/>
      <c r="I105" s="1568"/>
      <c r="J105" s="1568"/>
      <c r="K105" s="1568"/>
      <c r="L105" s="1568"/>
      <c r="M105" s="1568"/>
      <c r="N105" s="1568"/>
      <c r="O105" s="1569"/>
      <c r="P105" s="1568"/>
      <c r="Q105" s="1568"/>
      <c r="R105" s="1568"/>
      <c r="S105" s="1568"/>
      <c r="T105" s="1568"/>
      <c r="U105" s="1568"/>
      <c r="V105" s="1568"/>
      <c r="W105" s="1568"/>
      <c r="Y105" s="1570"/>
      <c r="Z105" s="1570"/>
      <c r="AA105" s="1570"/>
      <c r="AB105" s="1570"/>
      <c r="AC105" s="1570"/>
      <c r="AD105" s="1570"/>
      <c r="AE105" s="1570"/>
      <c r="AF105" s="1570"/>
      <c r="AG105" s="1570"/>
      <c r="AH105" s="1570"/>
      <c r="AI105" s="1570"/>
      <c r="AJ105" s="1570"/>
      <c r="AK105" s="1570"/>
      <c r="AL105" s="1570"/>
      <c r="AM105" s="1570"/>
      <c r="AN105" s="1570"/>
      <c r="AO105" s="1570"/>
      <c r="AP105" s="1570"/>
      <c r="AQ105" s="1570"/>
      <c r="AS105" s="1571"/>
      <c r="AT105" s="1571"/>
      <c r="AU105" s="1571"/>
      <c r="AV105" s="1571"/>
      <c r="AW105" s="1571"/>
      <c r="AX105" s="1571"/>
      <c r="AY105" s="1571"/>
      <c r="AZ105" s="1571"/>
      <c r="BA105" s="1571"/>
      <c r="BB105" s="1571"/>
      <c r="BC105" s="1571"/>
      <c r="BD105" s="1571"/>
      <c r="BE105" s="1571"/>
      <c r="BF105" s="1571"/>
      <c r="BG105" s="1571"/>
      <c r="BH105" s="1571"/>
      <c r="BI105" s="1571"/>
      <c r="BJ105" s="1571"/>
      <c r="BK105" s="1571"/>
      <c r="BL105" s="1571"/>
      <c r="BN105" s="1572"/>
      <c r="BO105" s="1572"/>
      <c r="BP105" s="1572"/>
      <c r="BR105" s="3168"/>
      <c r="BS105" s="1573"/>
      <c r="BT105" s="1606"/>
      <c r="BU105" s="1607"/>
      <c r="BV105" s="1607"/>
      <c r="BW105" s="1607"/>
      <c r="BX105" s="1607"/>
      <c r="BY105" s="1607"/>
      <c r="BZ105" s="1607"/>
      <c r="CA105" s="1607"/>
      <c r="CB105" s="1607"/>
      <c r="CC105" s="1607"/>
      <c r="CD105" s="1607"/>
      <c r="CE105" s="1607"/>
      <c r="CF105" s="1607"/>
      <c r="CG105" s="1607"/>
      <c r="CH105" s="1607"/>
      <c r="CI105" s="1607"/>
      <c r="CJ105" s="1607"/>
      <c r="CK105" s="1607"/>
      <c r="CL105" s="1607"/>
      <c r="CM105" s="1607"/>
      <c r="CN105" s="1607"/>
      <c r="CO105" s="1607"/>
      <c r="CP105" s="1607"/>
      <c r="CQ105" s="1607"/>
      <c r="CR105" s="1607"/>
      <c r="CS105" s="1607"/>
      <c r="CT105" s="1607"/>
      <c r="CU105" s="1607"/>
      <c r="CV105" s="1607"/>
      <c r="CW105" s="1607"/>
      <c r="CX105" s="1607"/>
      <c r="CY105" s="1607"/>
      <c r="CZ105" s="1607"/>
      <c r="DA105" s="1607"/>
      <c r="DB105" s="1607"/>
      <c r="DC105" s="1607"/>
      <c r="DD105" s="1607"/>
      <c r="DE105" s="1607"/>
      <c r="DF105" s="1607"/>
      <c r="DG105" s="1607"/>
      <c r="DH105" s="1607"/>
      <c r="DI105" s="1607"/>
      <c r="DJ105" s="1607"/>
      <c r="DK105" s="1607"/>
      <c r="DL105" s="1607"/>
      <c r="DN105" s="1606">
        <v>0</v>
      </c>
    </row>
    <row r="106" spans="1:118" s="14" customFormat="1" ht="12.75" hidden="1" customHeight="1" outlineLevel="2" x14ac:dyDescent="0.2">
      <c r="A106" s="1522"/>
      <c r="B106" s="1522"/>
      <c r="C106" s="1577" t="s">
        <v>801</v>
      </c>
      <c r="D106" s="1526" t="str">
        <f>INDEX(Modulos[Modulos], MATCH($C106, Modulos[Código], 0))</f>
        <v>Producción nacional combustibles fósiles</v>
      </c>
      <c r="E106" s="1526"/>
      <c r="G106" s="1540"/>
      <c r="H106" s="1540"/>
      <c r="I106" s="1540"/>
      <c r="J106" s="1540"/>
      <c r="K106" s="1540"/>
      <c r="L106" s="1540"/>
      <c r="M106" s="1540"/>
      <c r="N106" s="1540"/>
      <c r="O106" s="1540"/>
      <c r="P106" s="1540"/>
      <c r="Q106" s="1540"/>
      <c r="R106" s="1540"/>
      <c r="S106" s="1540"/>
      <c r="T106" s="1540"/>
      <c r="U106" s="1540"/>
      <c r="V106" s="1540"/>
      <c r="W106" s="1527"/>
      <c r="Y106" s="1541">
        <f t="shared" ref="Y106:AP106" ca="1" si="66">IFERROR(INDEX(INDIRECT($C106&amp;".Outputs["&amp;this.Year&amp;"]"), MATCH(Y$5, INDIRECT($C106&amp;".Outputs[Vector]"), 0)), 0)</f>
        <v>0</v>
      </c>
      <c r="Z106" s="1541">
        <f t="shared" ca="1" si="66"/>
        <v>0</v>
      </c>
      <c r="AA106" s="1541">
        <f t="shared" ca="1" si="66"/>
        <v>0</v>
      </c>
      <c r="AB106" s="1541">
        <f t="shared" ca="1" si="66"/>
        <v>0</v>
      </c>
      <c r="AC106" s="1541">
        <f t="shared" ca="1" si="66"/>
        <v>0</v>
      </c>
      <c r="AD106" s="1541">
        <f t="shared" ca="1" si="66"/>
        <v>25.584695004942699</v>
      </c>
      <c r="AE106" s="1541">
        <f t="shared" ca="1" si="66"/>
        <v>3.0761179275455</v>
      </c>
      <c r="AF106" s="1541">
        <f t="shared" ca="1" si="66"/>
        <v>10.934465313717508</v>
      </c>
      <c r="AG106" s="1541">
        <f t="shared" ca="1" si="66"/>
        <v>0</v>
      </c>
      <c r="AH106" s="1541">
        <f t="shared" ca="1" si="66"/>
        <v>0</v>
      </c>
      <c r="AI106" s="1541">
        <f t="shared" ca="1" si="66"/>
        <v>0</v>
      </c>
      <c r="AJ106" s="1541">
        <f t="shared" ca="1" si="66"/>
        <v>0</v>
      </c>
      <c r="AK106" s="1541">
        <f t="shared" ca="1" si="66"/>
        <v>0</v>
      </c>
      <c r="AL106" s="1541">
        <f t="shared" ca="1" si="66"/>
        <v>0</v>
      </c>
      <c r="AM106" s="1541">
        <f t="shared" ca="1" si="66"/>
        <v>0</v>
      </c>
      <c r="AN106" s="1541">
        <f t="shared" ca="1" si="66"/>
        <v>0</v>
      </c>
      <c r="AO106" s="1541">
        <f t="shared" ca="1" si="66"/>
        <v>0</v>
      </c>
      <c r="AP106" s="1541">
        <f t="shared" ca="1" si="66"/>
        <v>0</v>
      </c>
      <c r="AQ106" s="1528">
        <f ca="1">SUM(Y106:AP106)</f>
        <v>39.595278246205709</v>
      </c>
      <c r="AS106" s="1542">
        <f t="shared" ref="AS106:BK106" ca="1" si="67">IFERROR(INDEX(INDIRECT($C106&amp;".Outputs["&amp;this.Year&amp;"]"), MATCH(AS$5, INDIRECT($C106&amp;".Outputs[Vector]"), 0)), 0)</f>
        <v>-25.584695004942699</v>
      </c>
      <c r="AT106" s="1542">
        <f t="shared" ca="1" si="67"/>
        <v>-3.0761179275455</v>
      </c>
      <c r="AU106" s="1542">
        <f t="shared" ca="1" si="67"/>
        <v>-10.934465313717508</v>
      </c>
      <c r="AV106" s="1542">
        <f t="shared" ca="1" si="67"/>
        <v>0</v>
      </c>
      <c r="AW106" s="1542">
        <f t="shared" ca="1" si="67"/>
        <v>0</v>
      </c>
      <c r="AX106" s="1542">
        <f t="shared" ca="1" si="67"/>
        <v>0</v>
      </c>
      <c r="AY106" s="1542">
        <f t="shared" ca="1" si="67"/>
        <v>0</v>
      </c>
      <c r="AZ106" s="1542">
        <f t="shared" ca="1" si="67"/>
        <v>0</v>
      </c>
      <c r="BA106" s="1542">
        <f t="shared" ca="1" si="67"/>
        <v>0</v>
      </c>
      <c r="BB106" s="1542">
        <f t="shared" ca="1" si="67"/>
        <v>0</v>
      </c>
      <c r="BC106" s="1542">
        <f t="shared" ca="1" si="67"/>
        <v>0</v>
      </c>
      <c r="BD106" s="1542">
        <f t="shared" ca="1" si="67"/>
        <v>0</v>
      </c>
      <c r="BE106" s="1542">
        <f t="shared" ca="1" si="67"/>
        <v>0</v>
      </c>
      <c r="BF106" s="1542">
        <f t="shared" ca="1" si="67"/>
        <v>0</v>
      </c>
      <c r="BG106" s="1542">
        <f t="shared" ca="1" si="67"/>
        <v>0</v>
      </c>
      <c r="BH106" s="1542">
        <f t="shared" ca="1" si="67"/>
        <v>0</v>
      </c>
      <c r="BI106" s="1542">
        <f t="shared" ca="1" si="67"/>
        <v>0</v>
      </c>
      <c r="BJ106" s="1542">
        <f t="shared" ca="1" si="67"/>
        <v>0</v>
      </c>
      <c r="BK106" s="1542">
        <f t="shared" ca="1" si="67"/>
        <v>0</v>
      </c>
      <c r="BL106" s="1542">
        <f ca="1">SUM(AS106:BK106)</f>
        <v>-39.595278246205709</v>
      </c>
      <c r="BN106" s="1543"/>
      <c r="BO106" s="1543"/>
      <c r="BP106" s="1531"/>
      <c r="BR106" s="3168">
        <f ca="1">W106+AQ106+BL106+BP106</f>
        <v>0</v>
      </c>
      <c r="BS106" s="1525"/>
      <c r="BT106" s="748"/>
      <c r="BU106" s="1532">
        <v>0</v>
      </c>
      <c r="BV106" s="1533">
        <v>0</v>
      </c>
      <c r="BW106" s="1533">
        <v>0</v>
      </c>
      <c r="BX106" s="1533">
        <v>0</v>
      </c>
      <c r="BY106" s="1533">
        <v>0</v>
      </c>
      <c r="BZ106" s="1533">
        <v>0</v>
      </c>
      <c r="CA106" s="1533">
        <v>0</v>
      </c>
      <c r="CB106" s="1533">
        <v>0</v>
      </c>
      <c r="CC106" s="1533">
        <v>0</v>
      </c>
      <c r="CD106" s="1533">
        <v>0</v>
      </c>
      <c r="CE106" s="1533">
        <v>0</v>
      </c>
      <c r="CF106" s="1533">
        <v>0</v>
      </c>
      <c r="CG106" s="1533">
        <v>0</v>
      </c>
      <c r="CH106" s="1533">
        <v>0</v>
      </c>
      <c r="CI106" s="1533">
        <v>0</v>
      </c>
      <c r="CJ106" s="1533">
        <v>0</v>
      </c>
      <c r="CK106" s="1533">
        <v>0</v>
      </c>
      <c r="CL106" s="1533">
        <v>0</v>
      </c>
      <c r="CM106" s="1533">
        <v>0</v>
      </c>
      <c r="CN106" s="1533">
        <v>0</v>
      </c>
      <c r="CO106" s="1533">
        <v>0</v>
      </c>
      <c r="CP106" s="1533">
        <v>0</v>
      </c>
      <c r="CQ106" s="1533">
        <v>0</v>
      </c>
      <c r="CR106" s="1533">
        <v>0</v>
      </c>
      <c r="CS106" s="1533">
        <v>0</v>
      </c>
      <c r="CT106" s="1533">
        <v>0</v>
      </c>
      <c r="CU106" s="1533">
        <v>0</v>
      </c>
      <c r="CV106" s="1533">
        <v>0</v>
      </c>
      <c r="CW106" s="1533">
        <v>0</v>
      </c>
      <c r="CX106" s="1533">
        <v>0</v>
      </c>
      <c r="CY106" s="1533">
        <v>0</v>
      </c>
      <c r="CZ106" s="1533">
        <v>0</v>
      </c>
      <c r="DA106" s="1533">
        <v>0</v>
      </c>
      <c r="DB106" s="1533">
        <v>0</v>
      </c>
      <c r="DC106" s="1533">
        <v>0</v>
      </c>
      <c r="DD106" s="1533">
        <v>0</v>
      </c>
      <c r="DE106" s="1533">
        <v>-1.3540111199999998</v>
      </c>
      <c r="DF106" s="1533">
        <v>0</v>
      </c>
      <c r="DG106" s="1533">
        <v>0</v>
      </c>
      <c r="DH106" s="1533">
        <v>0</v>
      </c>
      <c r="DI106" s="1533">
        <v>0</v>
      </c>
      <c r="DJ106" s="1533">
        <v>0</v>
      </c>
      <c r="DK106" s="1533">
        <v>0</v>
      </c>
      <c r="DL106" s="1533">
        <v>0</v>
      </c>
      <c r="DN106" s="1509">
        <v>-1.3540111199999998</v>
      </c>
    </row>
    <row r="107" spans="1:118" s="14" customFormat="1" ht="15.75" hidden="1" outlineLevel="1" x14ac:dyDescent="0.2">
      <c r="A107" s="1534"/>
      <c r="B107" s="1535"/>
      <c r="C107" s="1552"/>
      <c r="D107" s="1526"/>
      <c r="E107" s="1538"/>
      <c r="G107" s="1539"/>
      <c r="H107" s="1539"/>
      <c r="I107" s="1539"/>
      <c r="J107" s="1539"/>
      <c r="K107" s="1539"/>
      <c r="L107" s="1539"/>
      <c r="M107" s="1539"/>
      <c r="N107" s="1539"/>
      <c r="O107" s="1539"/>
      <c r="P107" s="1539"/>
      <c r="Q107" s="1539"/>
      <c r="R107" s="1539"/>
      <c r="S107" s="1539"/>
      <c r="T107" s="1539"/>
      <c r="U107" s="1539"/>
      <c r="V107" s="1539"/>
      <c r="W107" s="1539"/>
      <c r="Y107" s="1490">
        <f ca="1">Y106</f>
        <v>0</v>
      </c>
      <c r="Z107" s="1490">
        <f t="shared" ref="Z107:AQ107" ca="1" si="68">Z106</f>
        <v>0</v>
      </c>
      <c r="AA107" s="1490">
        <f t="shared" ca="1" si="68"/>
        <v>0</v>
      </c>
      <c r="AB107" s="1490">
        <f t="shared" ca="1" si="68"/>
        <v>0</v>
      </c>
      <c r="AC107" s="1490">
        <f t="shared" ca="1" si="68"/>
        <v>0</v>
      </c>
      <c r="AD107" s="1490">
        <f t="shared" ca="1" si="68"/>
        <v>25.584695004942699</v>
      </c>
      <c r="AE107" s="1490">
        <f t="shared" ca="1" si="68"/>
        <v>3.0761179275455</v>
      </c>
      <c r="AF107" s="1490">
        <f t="shared" ca="1" si="68"/>
        <v>10.934465313717508</v>
      </c>
      <c r="AG107" s="1490">
        <f t="shared" ca="1" si="68"/>
        <v>0</v>
      </c>
      <c r="AH107" s="1490">
        <f t="shared" ca="1" si="68"/>
        <v>0</v>
      </c>
      <c r="AI107" s="1490">
        <f t="shared" ca="1" si="68"/>
        <v>0</v>
      </c>
      <c r="AJ107" s="1490">
        <f t="shared" ca="1" si="68"/>
        <v>0</v>
      </c>
      <c r="AK107" s="1490">
        <f t="shared" ca="1" si="68"/>
        <v>0</v>
      </c>
      <c r="AL107" s="1490">
        <f t="shared" ca="1" si="68"/>
        <v>0</v>
      </c>
      <c r="AM107" s="1490">
        <f t="shared" ca="1" si="68"/>
        <v>0</v>
      </c>
      <c r="AN107" s="1490">
        <f t="shared" ca="1" si="68"/>
        <v>0</v>
      </c>
      <c r="AO107" s="1490">
        <f t="shared" ca="1" si="68"/>
        <v>0</v>
      </c>
      <c r="AP107" s="1490">
        <f t="shared" ca="1" si="68"/>
        <v>0</v>
      </c>
      <c r="AQ107" s="1490">
        <f t="shared" ca="1" si="68"/>
        <v>39.595278246205709</v>
      </c>
      <c r="AS107" s="1491">
        <f ca="1">AS106</f>
        <v>-25.584695004942699</v>
      </c>
      <c r="AT107" s="1491">
        <f t="shared" ref="AT107:BD107" ca="1" si="69">AT106</f>
        <v>-3.0761179275455</v>
      </c>
      <c r="AU107" s="1491">
        <f t="shared" ca="1" si="69"/>
        <v>-10.934465313717508</v>
      </c>
      <c r="AV107" s="1491">
        <f t="shared" ca="1" si="69"/>
        <v>0</v>
      </c>
      <c r="AW107" s="1491">
        <f t="shared" ca="1" si="69"/>
        <v>0</v>
      </c>
      <c r="AX107" s="1491">
        <f t="shared" ca="1" si="69"/>
        <v>0</v>
      </c>
      <c r="AY107" s="1491">
        <f t="shared" ca="1" si="69"/>
        <v>0</v>
      </c>
      <c r="AZ107" s="1491">
        <f t="shared" ca="1" si="69"/>
        <v>0</v>
      </c>
      <c r="BA107" s="1491">
        <f t="shared" ca="1" si="69"/>
        <v>0</v>
      </c>
      <c r="BB107" s="1491">
        <f t="shared" ca="1" si="69"/>
        <v>0</v>
      </c>
      <c r="BC107" s="1491">
        <f t="shared" ca="1" si="69"/>
        <v>0</v>
      </c>
      <c r="BD107" s="1491">
        <f t="shared" ca="1" si="69"/>
        <v>0</v>
      </c>
      <c r="BE107" s="1491">
        <f ca="1">BE106</f>
        <v>0</v>
      </c>
      <c r="BF107" s="1491">
        <f t="shared" ref="BF107:BL107" ca="1" si="70">BF106</f>
        <v>0</v>
      </c>
      <c r="BG107" s="1491">
        <f t="shared" ca="1" si="70"/>
        <v>0</v>
      </c>
      <c r="BH107" s="1491">
        <f t="shared" ca="1" si="70"/>
        <v>0</v>
      </c>
      <c r="BI107" s="1491">
        <f t="shared" ca="1" si="70"/>
        <v>0</v>
      </c>
      <c r="BJ107" s="1491">
        <f t="shared" ca="1" si="70"/>
        <v>0</v>
      </c>
      <c r="BK107" s="1491">
        <f t="shared" ca="1" si="70"/>
        <v>0</v>
      </c>
      <c r="BL107" s="1491">
        <f t="shared" ca="1" si="70"/>
        <v>-39.595278246205709</v>
      </c>
      <c r="BN107" s="1492"/>
      <c r="BO107" s="1492"/>
      <c r="BP107" s="1492"/>
      <c r="BR107" s="3168">
        <f ca="1">W107+AQ107+BL107+BP107</f>
        <v>0</v>
      </c>
      <c r="BS107" s="1493"/>
      <c r="BT107" s="748"/>
      <c r="BU107" s="1508">
        <v>0</v>
      </c>
      <c r="BV107" s="1508">
        <v>0</v>
      </c>
      <c r="BW107" s="1508">
        <v>0</v>
      </c>
      <c r="BX107" s="1508">
        <v>0</v>
      </c>
      <c r="BY107" s="1508">
        <v>0</v>
      </c>
      <c r="BZ107" s="1508">
        <v>0</v>
      </c>
      <c r="CA107" s="1508">
        <v>0</v>
      </c>
      <c r="CB107" s="1508">
        <v>0</v>
      </c>
      <c r="CC107" s="1508">
        <v>0</v>
      </c>
      <c r="CD107" s="1508">
        <v>0</v>
      </c>
      <c r="CE107" s="1508">
        <v>0</v>
      </c>
      <c r="CF107" s="1508">
        <v>0</v>
      </c>
      <c r="CG107" s="1508">
        <v>0</v>
      </c>
      <c r="CH107" s="1508">
        <v>0</v>
      </c>
      <c r="CI107" s="1508">
        <v>0</v>
      </c>
      <c r="CJ107" s="1508">
        <v>0</v>
      </c>
      <c r="CK107" s="1508">
        <v>0</v>
      </c>
      <c r="CL107" s="1508">
        <v>0</v>
      </c>
      <c r="CM107" s="1508">
        <v>0</v>
      </c>
      <c r="CN107" s="1508">
        <v>0</v>
      </c>
      <c r="CO107" s="1508">
        <v>0</v>
      </c>
      <c r="CP107" s="1508">
        <v>0</v>
      </c>
      <c r="CQ107" s="1508">
        <v>0</v>
      </c>
      <c r="CR107" s="1508">
        <v>0</v>
      </c>
      <c r="CS107" s="1508">
        <v>0</v>
      </c>
      <c r="CT107" s="1508">
        <v>0</v>
      </c>
      <c r="CU107" s="1508">
        <v>0</v>
      </c>
      <c r="CV107" s="1508">
        <v>0</v>
      </c>
      <c r="CW107" s="1508">
        <v>0</v>
      </c>
      <c r="CX107" s="1508">
        <v>0</v>
      </c>
      <c r="CY107" s="1508">
        <v>0</v>
      </c>
      <c r="CZ107" s="1508">
        <v>0</v>
      </c>
      <c r="DA107" s="1508">
        <v>0</v>
      </c>
      <c r="DB107" s="1508">
        <v>0</v>
      </c>
      <c r="DC107" s="1508">
        <v>0</v>
      </c>
      <c r="DD107" s="1508">
        <v>0</v>
      </c>
      <c r="DE107" s="1508">
        <v>-6.9140653412492146</v>
      </c>
      <c r="DF107" s="1508">
        <v>0</v>
      </c>
      <c r="DG107" s="1508">
        <v>0</v>
      </c>
      <c r="DH107" s="1508">
        <v>0</v>
      </c>
      <c r="DI107" s="1508">
        <v>0</v>
      </c>
      <c r="DJ107" s="1508">
        <v>0</v>
      </c>
      <c r="DK107" s="1508">
        <v>0</v>
      </c>
      <c r="DL107" s="1508">
        <v>0</v>
      </c>
      <c r="DN107" s="1509">
        <v>-6.9140653412492146</v>
      </c>
    </row>
    <row r="108" spans="1:118" s="1534" customFormat="1" ht="12.75" hidden="1" customHeight="1" outlineLevel="2" x14ac:dyDescent="0.2">
      <c r="B108" s="1535"/>
      <c r="C108" s="1536"/>
      <c r="D108" s="1537"/>
      <c r="E108" s="1538"/>
      <c r="F108" s="14"/>
      <c r="G108" s="1488"/>
      <c r="H108" s="1488"/>
      <c r="I108" s="1488"/>
      <c r="J108" s="1488"/>
      <c r="K108" s="1488"/>
      <c r="L108" s="1488"/>
      <c r="M108" s="1488"/>
      <c r="N108" s="1488"/>
      <c r="O108" s="1563"/>
      <c r="P108" s="1488"/>
      <c r="Q108" s="1488"/>
      <c r="R108" s="1488"/>
      <c r="S108" s="1488"/>
      <c r="T108" s="1488"/>
      <c r="U108" s="1488"/>
      <c r="V108" s="1488"/>
      <c r="W108" s="1539"/>
      <c r="X108" s="14"/>
      <c r="Y108" s="1490"/>
      <c r="Z108" s="1490"/>
      <c r="AA108" s="1490"/>
      <c r="AB108" s="1490"/>
      <c r="AC108" s="1490"/>
      <c r="AD108" s="1490"/>
      <c r="AE108" s="1490"/>
      <c r="AF108" s="1490"/>
      <c r="AG108" s="1490"/>
      <c r="AH108" s="1490"/>
      <c r="AI108" s="1490"/>
      <c r="AJ108" s="1490"/>
      <c r="AK108" s="1490"/>
      <c r="AL108" s="1490"/>
      <c r="AM108" s="1490"/>
      <c r="AN108" s="1490"/>
      <c r="AO108" s="1490"/>
      <c r="AP108" s="1490"/>
      <c r="AQ108" s="1490"/>
      <c r="AR108" s="14"/>
      <c r="AS108" s="1491"/>
      <c r="AT108" s="1491"/>
      <c r="AU108" s="1491"/>
      <c r="AV108" s="1491"/>
      <c r="AW108" s="1491"/>
      <c r="AX108" s="1491"/>
      <c r="AY108" s="1491"/>
      <c r="AZ108" s="1491"/>
      <c r="BA108" s="1491"/>
      <c r="BB108" s="1491"/>
      <c r="BC108" s="1491"/>
      <c r="BD108" s="1491"/>
      <c r="BE108" s="1491"/>
      <c r="BF108" s="1491"/>
      <c r="BG108" s="1491"/>
      <c r="BH108" s="1491"/>
      <c r="BI108" s="1491"/>
      <c r="BJ108" s="1491"/>
      <c r="BK108" s="1491"/>
      <c r="BL108" s="1491"/>
      <c r="BM108" s="14"/>
      <c r="BN108" s="1492"/>
      <c r="BO108" s="1492"/>
      <c r="BP108" s="1492"/>
      <c r="BQ108" s="14"/>
      <c r="BR108" s="3168"/>
      <c r="BS108" s="1493"/>
      <c r="BU108" s="1508"/>
      <c r="BV108" s="1508"/>
      <c r="BW108" s="1508"/>
      <c r="BX108" s="1508"/>
      <c r="BY108" s="1508"/>
      <c r="BZ108" s="1508"/>
      <c r="CA108" s="1508"/>
      <c r="CB108" s="1508"/>
      <c r="CC108" s="1508"/>
      <c r="CD108" s="1508"/>
      <c r="CE108" s="1508"/>
      <c r="CF108" s="1508"/>
      <c r="CG108" s="1508"/>
      <c r="CH108" s="1508"/>
      <c r="CI108" s="1508"/>
      <c r="CJ108" s="1508"/>
      <c r="CK108" s="1508"/>
      <c r="CL108" s="1508"/>
      <c r="CM108" s="1508"/>
      <c r="CN108" s="1508"/>
      <c r="CO108" s="1508"/>
      <c r="CP108" s="1508"/>
      <c r="CQ108" s="1508"/>
      <c r="CR108" s="1508"/>
      <c r="CS108" s="1508"/>
      <c r="CT108" s="1508"/>
      <c r="CU108" s="1508"/>
      <c r="CV108" s="1508"/>
      <c r="CW108" s="1508"/>
      <c r="CX108" s="1508"/>
      <c r="CY108" s="1508"/>
      <c r="CZ108" s="1508"/>
      <c r="DA108" s="1508"/>
      <c r="DB108" s="1508"/>
      <c r="DC108" s="1508"/>
      <c r="DD108" s="1508"/>
      <c r="DE108" s="1508"/>
      <c r="DF108" s="1508"/>
      <c r="DG108" s="1508"/>
      <c r="DH108" s="1508"/>
      <c r="DI108" s="1508"/>
      <c r="DJ108" s="1508"/>
      <c r="DK108" s="1508"/>
      <c r="DL108" s="1508"/>
      <c r="DN108" s="1509">
        <v>0</v>
      </c>
    </row>
    <row r="109" spans="1:118" s="1578" customFormat="1" ht="12.75" hidden="1" customHeight="1" outlineLevel="2" x14ac:dyDescent="0.2">
      <c r="C109" s="1591" t="s">
        <v>815</v>
      </c>
      <c r="D109" s="1566" t="s">
        <v>814</v>
      </c>
      <c r="E109" s="1600"/>
      <c r="G109" s="1568"/>
      <c r="H109" s="1568"/>
      <c r="I109" s="1568"/>
      <c r="J109" s="1568"/>
      <c r="K109" s="1568"/>
      <c r="L109" s="1568"/>
      <c r="M109" s="1568"/>
      <c r="N109" s="1568"/>
      <c r="O109" s="1569"/>
      <c r="P109" s="1568"/>
      <c r="Q109" s="1568"/>
      <c r="R109" s="1568"/>
      <c r="S109" s="1568"/>
      <c r="T109" s="1568"/>
      <c r="U109" s="1568"/>
      <c r="V109" s="1568"/>
      <c r="W109" s="1622"/>
      <c r="X109" s="1564"/>
      <c r="Y109" s="1570"/>
      <c r="Z109" s="1570"/>
      <c r="AA109" s="1570"/>
      <c r="AB109" s="1570"/>
      <c r="AC109" s="1570"/>
      <c r="AD109" s="1570"/>
      <c r="AE109" s="1570"/>
      <c r="AF109" s="1570"/>
      <c r="AG109" s="1570"/>
      <c r="AH109" s="1570"/>
      <c r="AI109" s="1570"/>
      <c r="AJ109" s="1570"/>
      <c r="AK109" s="1570"/>
      <c r="AL109" s="1570"/>
      <c r="AM109" s="1570"/>
      <c r="AN109" s="1570"/>
      <c r="AO109" s="1570"/>
      <c r="AP109" s="1570"/>
      <c r="AQ109" s="1570"/>
      <c r="AR109" s="1564"/>
      <c r="AS109" s="1571"/>
      <c r="AT109" s="1571"/>
      <c r="AU109" s="1571"/>
      <c r="AV109" s="1571"/>
      <c r="AW109" s="1571"/>
      <c r="AX109" s="1571"/>
      <c r="AY109" s="1571"/>
      <c r="AZ109" s="1571"/>
      <c r="BA109" s="1571"/>
      <c r="BB109" s="1571"/>
      <c r="BC109" s="1571"/>
      <c r="BD109" s="1571"/>
      <c r="BE109" s="1571"/>
      <c r="BF109" s="1571"/>
      <c r="BG109" s="1571"/>
      <c r="BH109" s="1571"/>
      <c r="BI109" s="1571"/>
      <c r="BJ109" s="1571"/>
      <c r="BK109" s="1571"/>
      <c r="BL109" s="1571"/>
      <c r="BM109" s="1564"/>
      <c r="BN109" s="1572"/>
      <c r="BO109" s="1572"/>
      <c r="BP109" s="1572"/>
      <c r="BR109" s="3168"/>
      <c r="BS109" s="1579"/>
      <c r="BU109" s="1595"/>
      <c r="BV109" s="1595"/>
      <c r="BW109" s="1595"/>
      <c r="BX109" s="1595"/>
      <c r="BY109" s="1595"/>
      <c r="BZ109" s="1595"/>
      <c r="CA109" s="1595"/>
      <c r="CB109" s="1595"/>
      <c r="CC109" s="1595"/>
      <c r="CD109" s="1595"/>
      <c r="CE109" s="1595"/>
      <c r="CF109" s="1595"/>
      <c r="CG109" s="1595"/>
      <c r="CH109" s="1595"/>
      <c r="CI109" s="1595"/>
      <c r="CJ109" s="1595"/>
      <c r="CK109" s="1595"/>
      <c r="CL109" s="1595"/>
      <c r="CM109" s="1595"/>
      <c r="CN109" s="1595"/>
      <c r="CO109" s="1595"/>
      <c r="CP109" s="1595"/>
      <c r="CQ109" s="1595"/>
      <c r="CR109" s="1595"/>
      <c r="CS109" s="1595"/>
      <c r="CT109" s="1595"/>
      <c r="CU109" s="1595"/>
      <c r="CV109" s="1595"/>
      <c r="CW109" s="1595"/>
      <c r="CX109" s="1595"/>
      <c r="CY109" s="1595"/>
      <c r="CZ109" s="1595"/>
      <c r="DA109" s="1595"/>
      <c r="DB109" s="1595"/>
      <c r="DC109" s="1595"/>
      <c r="DD109" s="1595"/>
      <c r="DE109" s="1595"/>
      <c r="DF109" s="1595"/>
      <c r="DG109" s="1595"/>
      <c r="DH109" s="1595"/>
      <c r="DI109" s="1595"/>
      <c r="DJ109" s="1595"/>
      <c r="DK109" s="1595"/>
      <c r="DL109" s="1595"/>
      <c r="DN109" s="1509">
        <v>0</v>
      </c>
    </row>
    <row r="110" spans="1:118" s="1522" customFormat="1" ht="12.75" hidden="1" customHeight="1" outlineLevel="2" x14ac:dyDescent="0.2">
      <c r="B110" s="1623"/>
      <c r="C110" s="1577">
        <v>0</v>
      </c>
      <c r="D110" s="1497" t="s">
        <v>111</v>
      </c>
      <c r="E110" s="1497"/>
      <c r="F110" s="14"/>
      <c r="G110" s="1583"/>
      <c r="H110" s="1583"/>
      <c r="I110" s="1583"/>
      <c r="J110" s="1583"/>
      <c r="K110" s="1583"/>
      <c r="L110" s="1583"/>
      <c r="M110" s="1583"/>
      <c r="N110" s="1583"/>
      <c r="O110" s="1624"/>
      <c r="P110" s="1583"/>
      <c r="Q110" s="1583"/>
      <c r="R110" s="1583"/>
      <c r="S110" s="1583"/>
      <c r="T110" s="1583"/>
      <c r="U110" s="1583"/>
      <c r="V110" s="1583"/>
      <c r="W110" s="1625"/>
      <c r="X110" s="14"/>
      <c r="Y110" s="1585"/>
      <c r="Z110" s="1585"/>
      <c r="AA110" s="1585"/>
      <c r="AB110" s="1585"/>
      <c r="AC110" s="1585"/>
      <c r="AD110" s="1585"/>
      <c r="AE110" s="1585"/>
      <c r="AF110" s="1585"/>
      <c r="AG110" s="1585"/>
      <c r="AH110" s="1585"/>
      <c r="AI110" s="1585"/>
      <c r="AJ110" s="1585"/>
      <c r="AK110" s="1585"/>
      <c r="AL110" s="1585"/>
      <c r="AM110" s="1585"/>
      <c r="AN110" s="1585"/>
      <c r="AO110" s="1585"/>
      <c r="AP110" s="1585"/>
      <c r="AQ110" s="1585"/>
      <c r="AR110" s="14"/>
      <c r="AS110" s="1524"/>
      <c r="AT110" s="1524"/>
      <c r="AU110" s="1524"/>
      <c r="AV110" s="1524"/>
      <c r="AW110" s="1524"/>
      <c r="AX110" s="1524"/>
      <c r="AY110" s="1524"/>
      <c r="AZ110" s="1524"/>
      <c r="BA110" s="1524"/>
      <c r="BB110" s="1524"/>
      <c r="BC110" s="1524"/>
      <c r="BD110" s="1524"/>
      <c r="BE110" s="1524"/>
      <c r="BF110" s="1524"/>
      <c r="BG110" s="1524"/>
      <c r="BH110" s="1524"/>
      <c r="BI110" s="1524"/>
      <c r="BJ110" s="1524"/>
      <c r="BK110" s="1524"/>
      <c r="BL110" s="1524"/>
      <c r="BM110" s="14"/>
      <c r="BN110" s="1588"/>
      <c r="BO110" s="1588"/>
      <c r="BP110" s="1588"/>
      <c r="BQ110" s="14"/>
      <c r="BR110" s="3168"/>
      <c r="BS110" s="1525"/>
      <c r="BU110" s="1507">
        <v>0</v>
      </c>
      <c r="BV110" s="1508">
        <v>0</v>
      </c>
      <c r="BW110" s="1508">
        <v>0</v>
      </c>
      <c r="BX110" s="1508">
        <v>0</v>
      </c>
      <c r="BY110" s="1508">
        <v>0</v>
      </c>
      <c r="BZ110" s="1508">
        <v>4.3706513640884639</v>
      </c>
      <c r="CA110" s="1508">
        <v>0</v>
      </c>
      <c r="CB110" s="1508">
        <v>0</v>
      </c>
      <c r="CC110" s="1508">
        <v>0</v>
      </c>
      <c r="CD110" s="1508">
        <v>0</v>
      </c>
      <c r="CE110" s="1508">
        <v>0</v>
      </c>
      <c r="CF110" s="1508">
        <v>0</v>
      </c>
      <c r="CG110" s="1508">
        <v>0</v>
      </c>
      <c r="CH110" s="1508">
        <v>0</v>
      </c>
      <c r="CI110" s="1508">
        <v>0</v>
      </c>
      <c r="CJ110" s="1508">
        <v>0</v>
      </c>
      <c r="CK110" s="1508">
        <v>0</v>
      </c>
      <c r="CL110" s="1508">
        <v>0</v>
      </c>
      <c r="CM110" s="1508">
        <v>0</v>
      </c>
      <c r="CN110" s="1508">
        <v>0</v>
      </c>
      <c r="CO110" s="1508">
        <v>0</v>
      </c>
      <c r="CP110" s="1508">
        <v>0</v>
      </c>
      <c r="CQ110" s="1508">
        <v>0</v>
      </c>
      <c r="CR110" s="1508">
        <v>0</v>
      </c>
      <c r="CS110" s="1508">
        <v>0</v>
      </c>
      <c r="CT110" s="1508">
        <v>0</v>
      </c>
      <c r="CU110" s="1508">
        <v>0</v>
      </c>
      <c r="CV110" s="1508">
        <v>0</v>
      </c>
      <c r="CW110" s="1508">
        <v>0</v>
      </c>
      <c r="CX110" s="1508">
        <v>0</v>
      </c>
      <c r="CY110" s="1508">
        <v>0</v>
      </c>
      <c r="CZ110" s="1508">
        <v>0</v>
      </c>
      <c r="DA110" s="1508">
        <v>0</v>
      </c>
      <c r="DB110" s="1508">
        <v>0</v>
      </c>
      <c r="DC110" s="1508">
        <v>0</v>
      </c>
      <c r="DD110" s="1508">
        <v>0</v>
      </c>
      <c r="DE110" s="1508">
        <v>0</v>
      </c>
      <c r="DF110" s="1508">
        <v>0</v>
      </c>
      <c r="DG110" s="1508">
        <v>0</v>
      </c>
      <c r="DH110" s="1508">
        <v>0</v>
      </c>
      <c r="DI110" s="1508">
        <v>0</v>
      </c>
      <c r="DJ110" s="1508">
        <v>0</v>
      </c>
      <c r="DK110" s="1508">
        <v>0</v>
      </c>
      <c r="DL110" s="1508">
        <v>0</v>
      </c>
      <c r="DN110" s="1509">
        <v>4.3706513640884639</v>
      </c>
    </row>
    <row r="111" spans="1:118" s="1522" customFormat="1" ht="12.75" hidden="1" customHeight="1" outlineLevel="2" x14ac:dyDescent="0.2">
      <c r="B111" s="1623" t="s">
        <v>816</v>
      </c>
      <c r="C111" s="1577" t="s">
        <v>817</v>
      </c>
      <c r="D111" s="1526" t="s">
        <v>818</v>
      </c>
      <c r="E111" s="1526"/>
      <c r="F111" s="14"/>
      <c r="G111" s="1626"/>
      <c r="H111" s="1626"/>
      <c r="I111" s="1626"/>
      <c r="J111" s="1626"/>
      <c r="K111" s="1626"/>
      <c r="L111" s="1626"/>
      <c r="M111" s="1626"/>
      <c r="N111" s="1626"/>
      <c r="O111" s="1627"/>
      <c r="P111" s="1626"/>
      <c r="Q111" s="1626"/>
      <c r="R111" s="1626"/>
      <c r="S111" s="1626"/>
      <c r="T111" s="1626"/>
      <c r="U111" s="1626"/>
      <c r="V111" s="1626"/>
      <c r="W111" s="1628"/>
      <c r="X111" s="14"/>
      <c r="Y111" s="1629"/>
      <c r="Z111" s="1629"/>
      <c r="AA111" s="1629"/>
      <c r="AB111" s="1629"/>
      <c r="AC111" s="1629"/>
      <c r="AD111" s="1629"/>
      <c r="AE111" s="1629"/>
      <c r="AF111" s="1629"/>
      <c r="AG111" s="1629"/>
      <c r="AH111" s="1629"/>
      <c r="AI111" s="1629"/>
      <c r="AJ111" s="1629"/>
      <c r="AK111" s="1629"/>
      <c r="AL111" s="1629"/>
      <c r="AM111" s="1629"/>
      <c r="AN111" s="1629"/>
      <c r="AO111" s="1629"/>
      <c r="AP111" s="1629"/>
      <c r="AQ111" s="1629"/>
      <c r="AR111" s="14"/>
      <c r="AS111" s="1530"/>
      <c r="AT111" s="1530"/>
      <c r="AU111" s="1530"/>
      <c r="AV111" s="1530"/>
      <c r="AW111" s="1530"/>
      <c r="AX111" s="1530"/>
      <c r="AY111" s="1530"/>
      <c r="AZ111" s="1530"/>
      <c r="BA111" s="1530"/>
      <c r="BB111" s="1530"/>
      <c r="BC111" s="1530"/>
      <c r="BD111" s="1530"/>
      <c r="BE111" s="1530"/>
      <c r="BF111" s="1530"/>
      <c r="BG111" s="1530"/>
      <c r="BH111" s="1530"/>
      <c r="BI111" s="1530"/>
      <c r="BJ111" s="1530"/>
      <c r="BK111" s="1530"/>
      <c r="BL111" s="1530"/>
      <c r="BM111" s="14"/>
      <c r="BN111" s="1630"/>
      <c r="BO111" s="1630"/>
      <c r="BP111" s="1630"/>
      <c r="BQ111" s="14"/>
      <c r="BR111" s="3168"/>
      <c r="BS111" s="1525"/>
      <c r="BU111" s="1532">
        <v>0</v>
      </c>
      <c r="BV111" s="1533">
        <v>0</v>
      </c>
      <c r="BW111" s="1533">
        <v>0</v>
      </c>
      <c r="BX111" s="1533">
        <v>0</v>
      </c>
      <c r="BY111" s="1533">
        <v>0</v>
      </c>
      <c r="BZ111" s="1533">
        <v>0</v>
      </c>
      <c r="CA111" s="1533">
        <v>0</v>
      </c>
      <c r="CB111" s="1533">
        <v>0</v>
      </c>
      <c r="CC111" s="1533">
        <v>0</v>
      </c>
      <c r="CD111" s="1533">
        <v>0</v>
      </c>
      <c r="CE111" s="1533">
        <v>0</v>
      </c>
      <c r="CF111" s="1533">
        <v>0</v>
      </c>
      <c r="CG111" s="1533">
        <v>0</v>
      </c>
      <c r="CH111" s="1533">
        <v>0</v>
      </c>
      <c r="CI111" s="1533">
        <v>0</v>
      </c>
      <c r="CJ111" s="1533">
        <v>0</v>
      </c>
      <c r="CK111" s="1533">
        <v>0</v>
      </c>
      <c r="CL111" s="1533">
        <v>0</v>
      </c>
      <c r="CM111" s="1533">
        <v>0</v>
      </c>
      <c r="CN111" s="1533">
        <v>0</v>
      </c>
      <c r="CO111" s="1533">
        <v>0</v>
      </c>
      <c r="CP111" s="1533">
        <v>0</v>
      </c>
      <c r="CQ111" s="1533">
        <v>0</v>
      </c>
      <c r="CR111" s="1533">
        <v>0</v>
      </c>
      <c r="CS111" s="1533">
        <v>0</v>
      </c>
      <c r="CT111" s="1533">
        <v>0</v>
      </c>
      <c r="CU111" s="1533">
        <v>0</v>
      </c>
      <c r="CV111" s="1533">
        <v>0</v>
      </c>
      <c r="CW111" s="1533">
        <v>0</v>
      </c>
      <c r="CX111" s="1533">
        <v>0</v>
      </c>
      <c r="CY111" s="1533">
        <v>0</v>
      </c>
      <c r="CZ111" s="1533">
        <v>0</v>
      </c>
      <c r="DA111" s="1533">
        <v>0</v>
      </c>
      <c r="DB111" s="1533">
        <v>0</v>
      </c>
      <c r="DC111" s="1533">
        <v>0</v>
      </c>
      <c r="DD111" s="1533">
        <v>0</v>
      </c>
      <c r="DE111" s="1533">
        <v>0</v>
      </c>
      <c r="DF111" s="1533">
        <v>0</v>
      </c>
      <c r="DG111" s="1533">
        <v>0</v>
      </c>
      <c r="DH111" s="1533">
        <v>0</v>
      </c>
      <c r="DI111" s="1533">
        <v>0</v>
      </c>
      <c r="DJ111" s="1533">
        <v>0</v>
      </c>
      <c r="DK111" s="1533">
        <v>0</v>
      </c>
      <c r="DL111" s="1533">
        <v>0</v>
      </c>
      <c r="DN111" s="1509">
        <v>0</v>
      </c>
    </row>
    <row r="112" spans="1:118" s="14" customFormat="1" ht="15.75" hidden="1" outlineLevel="1" x14ac:dyDescent="0.2">
      <c r="B112" s="1535" t="s">
        <v>816</v>
      </c>
      <c r="C112" s="1552"/>
      <c r="D112" s="1537"/>
      <c r="E112" s="1430"/>
      <c r="G112" s="1539"/>
      <c r="H112" s="1539"/>
      <c r="I112" s="1539"/>
      <c r="J112" s="1539"/>
      <c r="K112" s="1539"/>
      <c r="L112" s="1539"/>
      <c r="M112" s="1539"/>
      <c r="N112" s="1539"/>
      <c r="O112" s="1539"/>
      <c r="P112" s="1539"/>
      <c r="Q112" s="1539"/>
      <c r="R112" s="1539"/>
      <c r="S112" s="1539"/>
      <c r="T112" s="1539"/>
      <c r="U112" s="1539"/>
      <c r="V112" s="1539"/>
      <c r="W112" s="1539"/>
      <c r="Y112" s="1490"/>
      <c r="Z112" s="1490"/>
      <c r="AA112" s="1490"/>
      <c r="AB112" s="1490"/>
      <c r="AC112" s="1490"/>
      <c r="AD112" s="1490"/>
      <c r="AE112" s="1490"/>
      <c r="AF112" s="1490"/>
      <c r="AG112" s="1490"/>
      <c r="AH112" s="1490"/>
      <c r="AI112" s="1490"/>
      <c r="AJ112" s="1490"/>
      <c r="AK112" s="1490"/>
      <c r="AL112" s="1490"/>
      <c r="AM112" s="1490"/>
      <c r="AN112" s="1490"/>
      <c r="AO112" s="1490"/>
      <c r="AP112" s="1490"/>
      <c r="AQ112" s="1490"/>
      <c r="AS112" s="1491"/>
      <c r="AT112" s="1491"/>
      <c r="AU112" s="1491"/>
      <c r="AV112" s="1491"/>
      <c r="AW112" s="1491"/>
      <c r="AX112" s="1491"/>
      <c r="AY112" s="1491"/>
      <c r="AZ112" s="1491"/>
      <c r="BA112" s="1491"/>
      <c r="BB112" s="1491"/>
      <c r="BC112" s="1491"/>
      <c r="BD112" s="1491"/>
      <c r="BE112" s="1491"/>
      <c r="BF112" s="1491"/>
      <c r="BG112" s="1491"/>
      <c r="BH112" s="1491"/>
      <c r="BI112" s="1491"/>
      <c r="BJ112" s="1491"/>
      <c r="BK112" s="1491"/>
      <c r="BL112" s="1491"/>
      <c r="BN112" s="1492"/>
      <c r="BO112" s="1492"/>
      <c r="BP112" s="1492"/>
      <c r="BR112" s="3168"/>
      <c r="BS112" s="1493"/>
      <c r="BT112" s="748"/>
      <c r="BU112" s="1508">
        <v>0</v>
      </c>
      <c r="BV112" s="1508">
        <v>0</v>
      </c>
      <c r="BW112" s="1508">
        <v>0</v>
      </c>
      <c r="BX112" s="1508">
        <v>0</v>
      </c>
      <c r="BY112" s="1508">
        <v>0</v>
      </c>
      <c r="BZ112" s="1508">
        <v>4.3706513640884639</v>
      </c>
      <c r="CA112" s="1508">
        <v>0</v>
      </c>
      <c r="CB112" s="1508">
        <v>0</v>
      </c>
      <c r="CC112" s="1508">
        <v>0</v>
      </c>
      <c r="CD112" s="1508">
        <v>0</v>
      </c>
      <c r="CE112" s="1508">
        <v>0</v>
      </c>
      <c r="CF112" s="1508">
        <v>0</v>
      </c>
      <c r="CG112" s="1508">
        <v>0</v>
      </c>
      <c r="CH112" s="1508">
        <v>0</v>
      </c>
      <c r="CI112" s="1508">
        <v>0</v>
      </c>
      <c r="CJ112" s="1508">
        <v>0</v>
      </c>
      <c r="CK112" s="1508">
        <v>0</v>
      </c>
      <c r="CL112" s="1508">
        <v>0</v>
      </c>
      <c r="CM112" s="1508">
        <v>0</v>
      </c>
      <c r="CN112" s="1508">
        <v>0</v>
      </c>
      <c r="CO112" s="1508">
        <v>0</v>
      </c>
      <c r="CP112" s="1508">
        <v>0</v>
      </c>
      <c r="CQ112" s="1508">
        <v>0</v>
      </c>
      <c r="CR112" s="1508">
        <v>0</v>
      </c>
      <c r="CS112" s="1508">
        <v>0</v>
      </c>
      <c r="CT112" s="1508">
        <v>0</v>
      </c>
      <c r="CU112" s="1508">
        <v>0</v>
      </c>
      <c r="CV112" s="1508">
        <v>0</v>
      </c>
      <c r="CW112" s="1508">
        <v>0</v>
      </c>
      <c r="CX112" s="1508">
        <v>0</v>
      </c>
      <c r="CY112" s="1508">
        <v>0</v>
      </c>
      <c r="CZ112" s="1508">
        <v>0</v>
      </c>
      <c r="DA112" s="1508">
        <v>0</v>
      </c>
      <c r="DB112" s="1508">
        <v>0</v>
      </c>
      <c r="DC112" s="1508">
        <v>0</v>
      </c>
      <c r="DD112" s="1508">
        <v>0</v>
      </c>
      <c r="DE112" s="1508">
        <v>0</v>
      </c>
      <c r="DF112" s="1508">
        <v>0</v>
      </c>
      <c r="DG112" s="1508">
        <v>0</v>
      </c>
      <c r="DH112" s="1508">
        <v>0</v>
      </c>
      <c r="DI112" s="1508">
        <v>0</v>
      </c>
      <c r="DJ112" s="1508">
        <v>0</v>
      </c>
      <c r="DK112" s="1508">
        <v>0</v>
      </c>
      <c r="DL112" s="1508">
        <v>0</v>
      </c>
      <c r="DN112" s="1509">
        <v>4.3706513640884639</v>
      </c>
    </row>
    <row r="113" spans="2:118" s="14" customFormat="1" ht="6" hidden="1" customHeight="1" outlineLevel="1" x14ac:dyDescent="0.2">
      <c r="C113" s="1429"/>
      <c r="D113" s="1430"/>
      <c r="E113" s="1430"/>
      <c r="G113" s="1488"/>
      <c r="H113" s="1488"/>
      <c r="I113" s="1488"/>
      <c r="J113" s="1488"/>
      <c r="K113" s="1488"/>
      <c r="L113" s="1488"/>
      <c r="M113" s="1488"/>
      <c r="N113" s="1488"/>
      <c r="O113" s="1563"/>
      <c r="P113" s="1488"/>
      <c r="Q113" s="1488"/>
      <c r="R113" s="1488"/>
      <c r="S113" s="1488"/>
      <c r="T113" s="1488"/>
      <c r="U113" s="1488"/>
      <c r="V113" s="1488"/>
      <c r="W113" s="1488"/>
      <c r="Y113" s="1490"/>
      <c r="Z113" s="1490"/>
      <c r="AA113" s="1490"/>
      <c r="AB113" s="1490"/>
      <c r="AC113" s="1490"/>
      <c r="AD113" s="1490"/>
      <c r="AE113" s="1490"/>
      <c r="AF113" s="1490"/>
      <c r="AG113" s="1490"/>
      <c r="AH113" s="1490"/>
      <c r="AI113" s="1490"/>
      <c r="AJ113" s="1490"/>
      <c r="AK113" s="1490"/>
      <c r="AL113" s="1490"/>
      <c r="AM113" s="1490"/>
      <c r="AN113" s="1490"/>
      <c r="AO113" s="1490"/>
      <c r="AP113" s="1490"/>
      <c r="AQ113" s="1490"/>
      <c r="AS113" s="1491"/>
      <c r="AT113" s="1491"/>
      <c r="AU113" s="1491"/>
      <c r="AV113" s="1491"/>
      <c r="AW113" s="1491"/>
      <c r="AX113" s="1491"/>
      <c r="AY113" s="1491"/>
      <c r="AZ113" s="1491"/>
      <c r="BA113" s="1491"/>
      <c r="BB113" s="1491"/>
      <c r="BC113" s="1491"/>
      <c r="BD113" s="1491"/>
      <c r="BE113" s="1491"/>
      <c r="BF113" s="1491"/>
      <c r="BG113" s="1491"/>
      <c r="BH113" s="1491"/>
      <c r="BI113" s="1491"/>
      <c r="BJ113" s="1491"/>
      <c r="BK113" s="1491"/>
      <c r="BL113" s="1491"/>
      <c r="BN113" s="1492"/>
      <c r="BO113" s="1492"/>
      <c r="BP113" s="1492"/>
      <c r="BR113" s="3168"/>
      <c r="BS113" s="1493"/>
      <c r="BU113" s="1508"/>
      <c r="BV113" s="1508"/>
      <c r="BW113" s="1508"/>
      <c r="BX113" s="1508"/>
      <c r="BY113" s="1508"/>
      <c r="BZ113" s="1508"/>
      <c r="CA113" s="1508"/>
      <c r="CB113" s="1508"/>
      <c r="CC113" s="1508"/>
      <c r="CD113" s="1508"/>
      <c r="CE113" s="1508"/>
      <c r="CF113" s="1508"/>
      <c r="CG113" s="1508"/>
      <c r="CH113" s="1508"/>
      <c r="CI113" s="1508"/>
      <c r="CJ113" s="1508"/>
      <c r="CK113" s="1508"/>
      <c r="CL113" s="1508"/>
      <c r="CM113" s="1508"/>
      <c r="CN113" s="1508"/>
      <c r="CO113" s="1508"/>
      <c r="CP113" s="1508"/>
      <c r="CQ113" s="1508"/>
      <c r="CR113" s="1508"/>
      <c r="CS113" s="1508"/>
      <c r="CT113" s="1508"/>
      <c r="CU113" s="1508"/>
      <c r="CV113" s="1508"/>
      <c r="CW113" s="1508"/>
      <c r="CX113" s="1508"/>
      <c r="CY113" s="1508"/>
      <c r="CZ113" s="1508"/>
      <c r="DA113" s="1508"/>
      <c r="DB113" s="1508"/>
      <c r="DC113" s="1508"/>
      <c r="DD113" s="1508"/>
      <c r="DE113" s="1508"/>
      <c r="DF113" s="1508"/>
      <c r="DG113" s="1508"/>
      <c r="DH113" s="1508"/>
      <c r="DI113" s="1508"/>
      <c r="DJ113" s="1508"/>
      <c r="DK113" s="1508"/>
      <c r="DL113" s="1508"/>
      <c r="DN113" s="1509"/>
    </row>
    <row r="114" spans="2:118" s="14" customFormat="1" ht="13.5" collapsed="1" thickBot="1" x14ac:dyDescent="0.25">
      <c r="C114" s="1429"/>
      <c r="D114" s="1430"/>
      <c r="E114" s="1430"/>
      <c r="G114" s="1488"/>
      <c r="H114" s="1488"/>
      <c r="I114" s="1488"/>
      <c r="J114" s="1488"/>
      <c r="K114" s="1488"/>
      <c r="L114" s="1488"/>
      <c r="M114" s="1488"/>
      <c r="N114" s="1488"/>
      <c r="O114" s="1563"/>
      <c r="P114" s="1488"/>
      <c r="Q114" s="1488"/>
      <c r="R114" s="1488"/>
      <c r="S114" s="1488"/>
      <c r="T114" s="1488"/>
      <c r="U114" s="1488"/>
      <c r="V114" s="1488"/>
      <c r="W114" s="1488"/>
      <c r="Y114" s="1490"/>
      <c r="Z114" s="1490"/>
      <c r="AA114" s="1490"/>
      <c r="AB114" s="1490"/>
      <c r="AC114" s="1490"/>
      <c r="AD114" s="1490"/>
      <c r="AE114" s="1490"/>
      <c r="AF114" s="1490"/>
      <c r="AG114" s="1490"/>
      <c r="AH114" s="1490"/>
      <c r="AI114" s="1490"/>
      <c r="AJ114" s="1490"/>
      <c r="AK114" s="1490"/>
      <c r="AL114" s="1490"/>
      <c r="AM114" s="1490"/>
      <c r="AN114" s="1490"/>
      <c r="AO114" s="1490"/>
      <c r="AP114" s="1490"/>
      <c r="AQ114" s="1490"/>
      <c r="AS114" s="1491"/>
      <c r="AT114" s="1491"/>
      <c r="AU114" s="1491"/>
      <c r="AV114" s="1491"/>
      <c r="AW114" s="1491"/>
      <c r="AX114" s="1491"/>
      <c r="AY114" s="1491"/>
      <c r="AZ114" s="1491"/>
      <c r="BA114" s="1491"/>
      <c r="BB114" s="1491"/>
      <c r="BC114" s="1491"/>
      <c r="BD114" s="1491"/>
      <c r="BE114" s="1491"/>
      <c r="BF114" s="1491"/>
      <c r="BG114" s="1491"/>
      <c r="BH114" s="1491"/>
      <c r="BI114" s="1491"/>
      <c r="BJ114" s="1491"/>
      <c r="BK114" s="1491"/>
      <c r="BL114" s="1491"/>
      <c r="BN114" s="1492"/>
      <c r="BO114" s="1492"/>
      <c r="BP114" s="1492"/>
      <c r="BR114" s="3168"/>
      <c r="BS114" s="1493"/>
      <c r="BU114" s="1508"/>
      <c r="BV114" s="1508"/>
      <c r="BW114" s="1508"/>
      <c r="BX114" s="1508"/>
      <c r="BY114" s="1508"/>
      <c r="BZ114" s="1508"/>
      <c r="CA114" s="1508"/>
      <c r="CB114" s="1508"/>
      <c r="CC114" s="1508"/>
      <c r="CD114" s="1508"/>
      <c r="CE114" s="1508"/>
      <c r="CF114" s="1508"/>
      <c r="CG114" s="1508"/>
      <c r="CH114" s="1508"/>
      <c r="CI114" s="1508"/>
      <c r="CJ114" s="1508"/>
      <c r="CK114" s="1508"/>
      <c r="CL114" s="1508"/>
      <c r="CM114" s="1508"/>
      <c r="CN114" s="1508"/>
      <c r="CO114" s="1508"/>
      <c r="CP114" s="1508"/>
      <c r="CQ114" s="1508"/>
      <c r="CR114" s="1508"/>
      <c r="CS114" s="1508"/>
      <c r="CT114" s="1508"/>
      <c r="CU114" s="1508"/>
      <c r="CV114" s="1508"/>
      <c r="CW114" s="1508"/>
      <c r="CX114" s="1508"/>
      <c r="CY114" s="1508"/>
      <c r="CZ114" s="1508"/>
      <c r="DA114" s="1508"/>
      <c r="DB114" s="1508"/>
      <c r="DC114" s="1508"/>
      <c r="DD114" s="1508"/>
      <c r="DE114" s="1508"/>
      <c r="DF114" s="1508"/>
      <c r="DG114" s="1508"/>
      <c r="DH114" s="1508"/>
      <c r="DI114" s="1508"/>
      <c r="DJ114" s="1508"/>
      <c r="DK114" s="1508"/>
      <c r="DL114" s="1508"/>
      <c r="DN114" s="1509"/>
    </row>
    <row r="115" spans="2:118" s="14" customFormat="1" ht="24" customHeight="1" thickBot="1" x14ac:dyDescent="0.25">
      <c r="C115" s="1631" t="s">
        <v>869</v>
      </c>
      <c r="D115" s="1631"/>
      <c r="E115" s="1631"/>
      <c r="G115" s="1632">
        <f t="shared" ref="G115:V115" ca="1" si="71">G36+G92</f>
        <v>39.634019653836816</v>
      </c>
      <c r="H115" s="1632">
        <f t="shared" ca="1" si="71"/>
        <v>8.3645380195663819</v>
      </c>
      <c r="I115" s="1632">
        <f t="shared" ca="1" si="71"/>
        <v>3.3416651895996683</v>
      </c>
      <c r="J115" s="1632">
        <f t="shared" ca="1" si="71"/>
        <v>11.237069927481432</v>
      </c>
      <c r="K115" s="1632">
        <f t="shared" ca="1" si="71"/>
        <v>4.9700680497493295</v>
      </c>
      <c r="L115" s="1632">
        <f t="shared" ca="1" si="71"/>
        <v>10.232077299260691</v>
      </c>
      <c r="M115" s="1632">
        <f t="shared" ca="1" si="71"/>
        <v>158.67044327209996</v>
      </c>
      <c r="N115" s="1632">
        <f t="shared" ca="1" si="71"/>
        <v>53.655135425366886</v>
      </c>
      <c r="O115" s="1632">
        <f t="shared" ca="1" si="71"/>
        <v>15.2583909925431</v>
      </c>
      <c r="P115" s="1632">
        <f t="shared" ca="1" si="71"/>
        <v>0.35637886442017391</v>
      </c>
      <c r="Q115" s="1632">
        <f t="shared" ca="1" si="71"/>
        <v>3.8565328782808703E-2</v>
      </c>
      <c r="R115" s="1632">
        <f t="shared" ca="1" si="71"/>
        <v>15.986954950981243</v>
      </c>
      <c r="S115" s="1632">
        <f t="shared" ca="1" si="71"/>
        <v>7.6353108271804588</v>
      </c>
      <c r="T115" s="1632">
        <f t="shared" ca="1" si="71"/>
        <v>8.6551662926454114</v>
      </c>
      <c r="U115" s="1632">
        <f t="shared" ca="1" si="71"/>
        <v>6.3131887756425788E-3</v>
      </c>
      <c r="V115" s="1632">
        <f t="shared" ca="1" si="71"/>
        <v>0.30962578524555734</v>
      </c>
      <c r="W115" s="1632">
        <f ca="1">W36+W92+W107</f>
        <v>338.35172306753549</v>
      </c>
      <c r="Y115" s="1633">
        <f t="shared" ref="Y115:AQ115" ca="1" si="72">Y92+Y36+Y107</f>
        <v>-78.979509560230042</v>
      </c>
      <c r="Z115" s="1633">
        <f t="shared" ca="1" si="72"/>
        <v>78.979509560230042</v>
      </c>
      <c r="AA115" s="1633">
        <f t="shared" ca="1" si="72"/>
        <v>-101.45929322558089</v>
      </c>
      <c r="AB115" s="1633">
        <f t="shared" ca="1" si="72"/>
        <v>-171.46290983518537</v>
      </c>
      <c r="AC115" s="1633">
        <f t="shared" ca="1" si="72"/>
        <v>-82.721467114260918</v>
      </c>
      <c r="AD115" s="1633">
        <f t="shared" ca="1" si="72"/>
        <v>25.584695004942699</v>
      </c>
      <c r="AE115" s="1633">
        <f t="shared" ca="1" si="72"/>
        <v>3.0761179275455</v>
      </c>
      <c r="AF115" s="1633">
        <f t="shared" ca="1" si="72"/>
        <v>10.934465313717508</v>
      </c>
      <c r="AG115" s="1633">
        <f t="shared" ca="1" si="72"/>
        <v>0</v>
      </c>
      <c r="AH115" s="1633">
        <f t="shared" ca="1" si="72"/>
        <v>0</v>
      </c>
      <c r="AI115" s="1633">
        <f t="shared" ca="1" si="72"/>
        <v>0</v>
      </c>
      <c r="AJ115" s="1633">
        <f t="shared" ca="1" si="72"/>
        <v>0</v>
      </c>
      <c r="AK115" s="1633">
        <f t="shared" ca="1" si="72"/>
        <v>0</v>
      </c>
      <c r="AL115" s="1633">
        <f t="shared" ca="1" si="72"/>
        <v>-13.473032185258074</v>
      </c>
      <c r="AM115" s="1633">
        <f t="shared" ca="1" si="72"/>
        <v>0</v>
      </c>
      <c r="AN115" s="1633">
        <f t="shared" ca="1" si="72"/>
        <v>0</v>
      </c>
      <c r="AO115" s="1633">
        <f t="shared" ca="1" si="72"/>
        <v>0</v>
      </c>
      <c r="AP115" s="1633">
        <f t="shared" ca="1" si="72"/>
        <v>0</v>
      </c>
      <c r="AQ115" s="1633">
        <f t="shared" ca="1" si="72"/>
        <v>-329.52142411407965</v>
      </c>
      <c r="AS115" s="1634">
        <f t="shared" ref="AS115:BL115" ca="1" si="73">AS92+AS36+AS107</f>
        <v>-25.584695004942699</v>
      </c>
      <c r="AT115" s="1634">
        <f t="shared" ca="1" si="73"/>
        <v>-3.0761179275455</v>
      </c>
      <c r="AU115" s="1634">
        <f t="shared" ca="1" si="73"/>
        <v>-10.934465313717508</v>
      </c>
      <c r="AV115" s="1634">
        <f t="shared" ca="1" si="73"/>
        <v>0</v>
      </c>
      <c r="AW115" s="1634">
        <f t="shared" ca="1" si="73"/>
        <v>0</v>
      </c>
      <c r="AX115" s="1634">
        <f t="shared" ca="1" si="73"/>
        <v>0</v>
      </c>
      <c r="AY115" s="1634">
        <f t="shared" ca="1" si="73"/>
        <v>0</v>
      </c>
      <c r="AZ115" s="1634">
        <f t="shared" ca="1" si="73"/>
        <v>0</v>
      </c>
      <c r="BA115" s="1634">
        <f t="shared" ca="1" si="73"/>
        <v>0</v>
      </c>
      <c r="BB115" s="1634">
        <f t="shared" ca="1" si="73"/>
        <v>0</v>
      </c>
      <c r="BC115" s="1634">
        <f t="shared" ca="1" si="73"/>
        <v>-5.0224084467316548</v>
      </c>
      <c r="BD115" s="1634">
        <f t="shared" ca="1" si="73"/>
        <v>-4.6811183999999999</v>
      </c>
      <c r="BE115" s="1634">
        <f t="shared" ca="1" si="73"/>
        <v>0</v>
      </c>
      <c r="BF115" s="1634">
        <f t="shared" ca="1" si="73"/>
        <v>0</v>
      </c>
      <c r="BG115" s="1634">
        <f t="shared" ca="1" si="73"/>
        <v>-0.35064000000000006</v>
      </c>
      <c r="BH115" s="1634">
        <f t="shared" ca="1" si="73"/>
        <v>-23.153197500000005</v>
      </c>
      <c r="BI115" s="1634">
        <f t="shared" ca="1" si="73"/>
        <v>0</v>
      </c>
      <c r="BJ115" s="1634">
        <f t="shared" ca="1" si="73"/>
        <v>0</v>
      </c>
      <c r="BK115" s="1634">
        <f t="shared" ca="1" si="73"/>
        <v>-0.35463923560444954</v>
      </c>
      <c r="BL115" s="1634">
        <f t="shared" ca="1" si="73"/>
        <v>-73.157281828541826</v>
      </c>
      <c r="BN115" s="1635">
        <f ca="1">BN92+BN36+BN107</f>
        <v>62.045579015031855</v>
      </c>
      <c r="BO115" s="1635">
        <f ca="1">BO92+BO36+BO107</f>
        <v>2.2814038600539308</v>
      </c>
      <c r="BP115" s="1635">
        <f ca="1">BP92+BP36+BP107</f>
        <v>64.32698287508579</v>
      </c>
      <c r="BR115" s="3434">
        <f ca="1">BR92+BR36+BR107</f>
        <v>-1.4569595530034007E-13</v>
      </c>
      <c r="BS115" s="1486"/>
      <c r="BU115" s="1636">
        <v>509.46720605787289</v>
      </c>
      <c r="BV115" s="1636">
        <v>1.0312102102697414</v>
      </c>
      <c r="BW115" s="1636">
        <v>4.8883498544750488</v>
      </c>
      <c r="BX115" s="1636">
        <v>0</v>
      </c>
      <c r="BY115" s="1636">
        <v>5.0916819860234304</v>
      </c>
      <c r="BZ115" s="1636">
        <v>7.0109643253402414</v>
      </c>
      <c r="CA115" s="1636">
        <v>0</v>
      </c>
      <c r="CB115" s="1636">
        <v>0</v>
      </c>
      <c r="CC115" s="1636">
        <v>14.39565925511863</v>
      </c>
      <c r="CD115" s="1636">
        <v>0.11288744235152412</v>
      </c>
      <c r="CE115" s="1636">
        <v>2.7624692105907238</v>
      </c>
      <c r="CF115" s="1636">
        <v>10.620296151887526</v>
      </c>
      <c r="CG115" s="1636">
        <v>0</v>
      </c>
      <c r="CH115" s="1636">
        <v>0</v>
      </c>
      <c r="CI115" s="1636">
        <v>0</v>
      </c>
      <c r="CJ115" s="1636">
        <v>0</v>
      </c>
      <c r="CK115" s="1636">
        <v>0</v>
      </c>
      <c r="CL115" s="1636">
        <v>20.026732599999995</v>
      </c>
      <c r="CM115" s="1636">
        <v>23.28</v>
      </c>
      <c r="CN115" s="1636">
        <v>0</v>
      </c>
      <c r="CO115" s="1636">
        <v>-1.8247953999999991</v>
      </c>
      <c r="CP115" s="1636">
        <v>0</v>
      </c>
      <c r="CQ115" s="1636">
        <v>0</v>
      </c>
      <c r="CR115" s="1636">
        <v>0</v>
      </c>
      <c r="CS115" s="1636">
        <v>0</v>
      </c>
      <c r="CT115" s="1636">
        <v>21.652248115789206</v>
      </c>
      <c r="CU115" s="1636">
        <v>1.2204197534285715</v>
      </c>
      <c r="CV115" s="1636">
        <v>0</v>
      </c>
      <c r="CW115" s="1636">
        <v>0</v>
      </c>
      <c r="CX115" s="1636">
        <v>0</v>
      </c>
      <c r="CY115" s="1636">
        <v>0</v>
      </c>
      <c r="CZ115" s="1636">
        <v>0</v>
      </c>
      <c r="DA115" s="1636">
        <v>51.739539271814301</v>
      </c>
      <c r="DB115" s="1636">
        <v>6.441552213858226E-2</v>
      </c>
      <c r="DC115" s="1636">
        <v>0.93090033050516818</v>
      </c>
      <c r="DD115" s="1636">
        <v>0</v>
      </c>
      <c r="DE115" s="1636">
        <v>-6.9140653412492146</v>
      </c>
      <c r="DF115" s="1636">
        <v>0</v>
      </c>
      <c r="DG115" s="1636">
        <v>0</v>
      </c>
      <c r="DH115" s="1636">
        <v>0</v>
      </c>
      <c r="DI115" s="1636">
        <v>0</v>
      </c>
      <c r="DJ115" s="1636">
        <v>0</v>
      </c>
      <c r="DK115" s="1636">
        <v>0</v>
      </c>
      <c r="DL115" s="1636">
        <v>0</v>
      </c>
      <c r="DN115" s="1562">
        <v>665.55611934635658</v>
      </c>
    </row>
    <row r="116" spans="2:118" s="14" customFormat="1" x14ac:dyDescent="0.2">
      <c r="C116" s="1429"/>
      <c r="D116" s="1430"/>
      <c r="E116" s="1430"/>
      <c r="G116" s="1637"/>
      <c r="H116" s="1637"/>
      <c r="I116" s="1637"/>
      <c r="J116" s="1637"/>
      <c r="K116" s="1637"/>
      <c r="L116" s="1637"/>
      <c r="M116" s="1637"/>
      <c r="N116" s="1637"/>
      <c r="O116" s="1638"/>
      <c r="P116" s="1637"/>
      <c r="Q116" s="1637"/>
      <c r="R116" s="1637"/>
      <c r="S116" s="1637"/>
      <c r="T116" s="1637"/>
      <c r="U116" s="1637"/>
      <c r="V116" s="1637"/>
      <c r="W116" s="1637"/>
      <c r="Y116" s="1639"/>
      <c r="Z116" s="1639"/>
      <c r="AA116" s="1639"/>
      <c r="AB116" s="1639"/>
      <c r="AC116" s="1639"/>
      <c r="AD116" s="1639"/>
      <c r="AE116" s="1639"/>
      <c r="AF116" s="1639"/>
      <c r="AG116" s="1639"/>
      <c r="AH116" s="1639"/>
      <c r="AI116" s="1639"/>
      <c r="AJ116" s="1639"/>
      <c r="AK116" s="1639"/>
      <c r="AL116" s="1639"/>
      <c r="AM116" s="1639"/>
      <c r="AN116" s="1639"/>
      <c r="AO116" s="1639"/>
      <c r="AP116" s="1639"/>
      <c r="AQ116" s="1639"/>
      <c r="AS116" s="1640"/>
      <c r="AT116" s="1640"/>
      <c r="AU116" s="1640"/>
      <c r="AV116" s="1640"/>
      <c r="AW116" s="1640"/>
      <c r="AX116" s="1640"/>
      <c r="AY116" s="1640"/>
      <c r="AZ116" s="1640"/>
      <c r="BA116" s="1640"/>
      <c r="BB116" s="1640"/>
      <c r="BC116" s="1640"/>
      <c r="BD116" s="1640"/>
      <c r="BE116" s="1640"/>
      <c r="BF116" s="1640"/>
      <c r="BG116" s="1640"/>
      <c r="BH116" s="1640"/>
      <c r="BI116" s="1640"/>
      <c r="BJ116" s="1640"/>
      <c r="BK116" s="1640"/>
      <c r="BL116" s="1640"/>
      <c r="BN116" s="1641"/>
      <c r="BO116" s="1641"/>
      <c r="BP116" s="1641"/>
      <c r="BR116" s="1957"/>
      <c r="BS116" s="1493"/>
      <c r="BU116" s="1642"/>
      <c r="BV116" s="1642"/>
      <c r="BW116" s="1642"/>
      <c r="BX116" s="1642"/>
      <c r="BY116" s="1642"/>
      <c r="BZ116" s="1642"/>
      <c r="CA116" s="1642"/>
      <c r="CB116" s="1642"/>
      <c r="CC116" s="1642"/>
      <c r="CD116" s="1642"/>
      <c r="CE116" s="1642"/>
      <c r="CF116" s="1642"/>
      <c r="CG116" s="1642"/>
      <c r="CH116" s="1642"/>
      <c r="CI116" s="1642"/>
      <c r="CJ116" s="1642"/>
      <c r="CK116" s="1642"/>
      <c r="CL116" s="1642"/>
      <c r="CM116" s="1642"/>
      <c r="CN116" s="1642"/>
      <c r="CO116" s="1642"/>
      <c r="CP116" s="1642"/>
      <c r="CQ116" s="1642"/>
      <c r="CR116" s="1642"/>
      <c r="CS116" s="1642"/>
      <c r="CT116" s="1642"/>
      <c r="CU116" s="1642"/>
      <c r="CV116" s="1642"/>
      <c r="CW116" s="1642"/>
      <c r="CX116" s="1642"/>
      <c r="CY116" s="1642"/>
      <c r="CZ116" s="1642"/>
      <c r="DA116" s="1642"/>
      <c r="DB116" s="1642"/>
      <c r="DC116" s="1642"/>
      <c r="DD116" s="1642"/>
      <c r="DE116" s="1642"/>
      <c r="DF116" s="1642"/>
      <c r="DG116" s="1642"/>
      <c r="DH116" s="1642"/>
      <c r="DI116" s="1642"/>
      <c r="DJ116" s="1642"/>
      <c r="DK116" s="1642"/>
      <c r="DL116" s="1642"/>
    </row>
    <row r="117" spans="2:118" x14ac:dyDescent="0.2">
      <c r="G117" s="1493"/>
      <c r="H117" s="1493"/>
      <c r="I117" s="1493"/>
      <c r="J117" s="1493"/>
      <c r="K117" s="1493"/>
      <c r="L117" s="1493"/>
      <c r="M117" s="1493"/>
      <c r="N117" s="1493"/>
      <c r="O117" s="1643"/>
      <c r="P117" s="1493"/>
      <c r="Q117" s="1493"/>
      <c r="R117" s="1493"/>
      <c r="S117" s="1493"/>
      <c r="T117" s="1493"/>
      <c r="U117" s="1493"/>
      <c r="V117" s="1493"/>
      <c r="W117" s="1493"/>
      <c r="Y117" s="1493"/>
      <c r="Z117" s="1493"/>
      <c r="AA117" s="1493"/>
      <c r="AB117" s="1493"/>
      <c r="AC117" s="1493"/>
      <c r="AD117" s="1493"/>
      <c r="AE117" s="1493"/>
      <c r="AF117" s="1493"/>
      <c r="AG117" s="1493"/>
      <c r="AH117" s="1493"/>
      <c r="AI117" s="1493"/>
      <c r="AJ117" s="1493"/>
      <c r="AK117" s="1493"/>
      <c r="AL117" s="1493"/>
      <c r="AM117" s="1493"/>
      <c r="AN117" s="1493"/>
      <c r="AO117" s="1493"/>
      <c r="AP117" s="1493"/>
      <c r="AQ117" s="1493"/>
      <c r="AS117" s="1493"/>
      <c r="AT117" s="1493"/>
      <c r="AU117" s="1493"/>
      <c r="AV117" s="1493"/>
      <c r="AW117" s="1493"/>
      <c r="AX117" s="1493"/>
      <c r="AY117" s="1493"/>
      <c r="AZ117" s="1493"/>
      <c r="BA117" s="1493"/>
      <c r="BB117" s="1493"/>
      <c r="BC117" s="1493"/>
      <c r="BD117" s="1493"/>
      <c r="BE117" s="1493"/>
      <c r="BF117" s="1493"/>
      <c r="BG117" s="1493"/>
      <c r="BH117" s="1493"/>
      <c r="BI117" s="1493"/>
      <c r="BJ117" s="1493"/>
      <c r="BK117" s="1493"/>
      <c r="BL117" s="1493"/>
      <c r="BN117" s="1493"/>
      <c r="BO117" s="1493"/>
      <c r="BP117" s="1493"/>
      <c r="BR117" s="1957"/>
      <c r="BS117" s="1493"/>
    </row>
    <row r="118" spans="2:118" x14ac:dyDescent="0.2">
      <c r="G118" s="1493"/>
      <c r="H118" s="1493"/>
      <c r="I118" s="1493"/>
      <c r="J118" s="1493"/>
      <c r="K118" s="1493"/>
      <c r="L118" s="1493"/>
      <c r="M118" s="1493"/>
      <c r="N118" s="1493"/>
      <c r="O118" s="1643"/>
      <c r="P118" s="1493"/>
      <c r="Q118" s="1493"/>
      <c r="R118" s="1493"/>
      <c r="S118" s="1493"/>
      <c r="T118" s="1493"/>
      <c r="U118" s="1493"/>
      <c r="V118" s="1493"/>
      <c r="W118" s="1493"/>
      <c r="Y118" s="1493"/>
      <c r="Z118" s="1493"/>
      <c r="AA118" s="1493"/>
      <c r="AB118" s="1493"/>
      <c r="AC118" s="1493"/>
      <c r="AD118" s="1493"/>
      <c r="AE118" s="1493"/>
      <c r="AF118" s="1493"/>
      <c r="AG118" s="1493"/>
      <c r="AH118" s="1493"/>
      <c r="AI118" s="1493"/>
      <c r="AJ118" s="1493"/>
      <c r="AK118" s="1493"/>
      <c r="AL118" s="1493"/>
      <c r="AM118" s="1493"/>
      <c r="AN118" s="1493"/>
      <c r="AO118" s="1493"/>
      <c r="AP118" s="1493"/>
      <c r="AQ118" s="1493"/>
      <c r="AS118" s="1493"/>
      <c r="AT118" s="1493"/>
      <c r="AU118" s="1493"/>
      <c r="AV118" s="1493"/>
      <c r="AW118" s="1493"/>
      <c r="AX118" s="1493"/>
      <c r="AY118" s="1493"/>
      <c r="AZ118" s="1493"/>
      <c r="BA118" s="1493"/>
      <c r="BB118" s="1493"/>
      <c r="BC118" s="1493"/>
      <c r="BD118" s="1493"/>
      <c r="BE118" s="1493"/>
      <c r="BF118" s="1493"/>
      <c r="BG118" s="1493"/>
      <c r="BH118" s="1493"/>
      <c r="BI118" s="1493"/>
      <c r="BJ118" s="1493"/>
      <c r="BK118" s="1493"/>
      <c r="BL118" s="1493"/>
      <c r="BN118" s="1493"/>
      <c r="BO118" s="1493"/>
      <c r="BP118" s="1493"/>
      <c r="BR118" s="1957"/>
      <c r="BS118" s="1493"/>
    </row>
    <row r="119" spans="2:118" ht="15.75" x14ac:dyDescent="0.25">
      <c r="B119" s="456"/>
      <c r="G119" s="1493"/>
      <c r="H119" s="1493"/>
      <c r="I119" s="1493"/>
      <c r="J119" s="1493"/>
      <c r="K119" s="1493"/>
      <c r="L119" s="1493"/>
      <c r="M119" s="1493"/>
      <c r="N119" s="1493"/>
      <c r="O119" s="1643"/>
      <c r="P119" s="1493"/>
      <c r="Q119" s="1493"/>
      <c r="R119" s="1493"/>
      <c r="S119" s="1493"/>
      <c r="T119" s="1493"/>
      <c r="U119" s="1493"/>
      <c r="V119" s="1493"/>
      <c r="W119" s="1493"/>
      <c r="Y119" s="1493"/>
      <c r="Z119" s="1493"/>
      <c r="AA119" s="1493"/>
      <c r="AB119" s="1493"/>
      <c r="AC119" s="1493"/>
      <c r="AD119" s="1493"/>
      <c r="AE119" s="1493"/>
      <c r="AF119" s="1493"/>
      <c r="AG119" s="1493"/>
      <c r="AH119" s="1493"/>
      <c r="AI119" s="1493"/>
      <c r="AJ119" s="1493"/>
      <c r="AK119" s="1493"/>
      <c r="AL119" s="1493"/>
      <c r="AM119" s="1493"/>
      <c r="AN119" s="1493"/>
      <c r="AO119" s="1493"/>
      <c r="AP119" s="1493"/>
      <c r="AQ119" s="1493"/>
      <c r="AS119" s="1493"/>
      <c r="AT119" s="1493"/>
      <c r="AU119" s="1493"/>
      <c r="AV119" s="1493"/>
      <c r="AW119" s="1493"/>
      <c r="AX119" s="1493"/>
      <c r="AY119" s="1493"/>
      <c r="AZ119" s="1493"/>
      <c r="BA119" s="1493"/>
      <c r="BB119" s="1493"/>
      <c r="BC119" s="1493"/>
      <c r="BD119" s="1493"/>
      <c r="BE119" s="1493"/>
      <c r="BF119" s="1493"/>
      <c r="BG119" s="1493"/>
      <c r="BH119" s="1493"/>
      <c r="BI119" s="1493"/>
      <c r="BJ119" s="1493"/>
      <c r="BK119" s="1493"/>
      <c r="BL119" s="1493"/>
      <c r="BN119" s="1493"/>
      <c r="BO119" s="1493"/>
      <c r="BP119" s="1493"/>
      <c r="BR119" s="1957"/>
      <c r="BS119" s="1493"/>
    </row>
    <row r="120" spans="2:118" ht="15.75" x14ac:dyDescent="0.25">
      <c r="B120" s="456"/>
      <c r="G120" s="1493"/>
      <c r="H120" s="1493"/>
      <c r="I120" s="1493"/>
      <c r="J120" s="1493"/>
      <c r="K120" s="1493"/>
      <c r="L120" s="1493"/>
      <c r="M120" s="1493"/>
      <c r="N120" s="1493"/>
      <c r="O120" s="1643"/>
      <c r="P120" s="1493"/>
      <c r="Q120" s="1493"/>
      <c r="R120" s="1493"/>
      <c r="S120" s="1493"/>
      <c r="T120" s="1493"/>
      <c r="U120" s="1493"/>
      <c r="V120" s="1493"/>
      <c r="W120" s="1493"/>
      <c r="Y120" s="1493"/>
      <c r="Z120" s="1493"/>
      <c r="AA120" s="1493"/>
      <c r="AB120" s="1493"/>
      <c r="AC120" s="1493"/>
      <c r="AD120" s="1493"/>
      <c r="AE120" s="1493"/>
      <c r="AF120" s="1493"/>
      <c r="AG120" s="1493"/>
      <c r="AH120" s="1493"/>
      <c r="AI120" s="1493"/>
      <c r="AJ120" s="1493"/>
      <c r="AK120" s="1493"/>
      <c r="AL120" s="1493"/>
      <c r="AM120" s="1493"/>
      <c r="AN120" s="1493"/>
      <c r="AO120" s="1493"/>
      <c r="AP120" s="1493"/>
      <c r="AQ120" s="1493"/>
      <c r="AS120" s="1493"/>
      <c r="AT120" s="1493"/>
      <c r="AU120" s="1493"/>
      <c r="AV120" s="1493"/>
      <c r="AW120" s="1493"/>
      <c r="AX120" s="1493"/>
      <c r="AY120" s="1493"/>
      <c r="AZ120" s="1493"/>
      <c r="BA120" s="1493"/>
      <c r="BB120" s="1493"/>
      <c r="BC120" s="1493"/>
      <c r="BD120" s="1493"/>
      <c r="BE120" s="1493"/>
      <c r="BF120" s="1493"/>
      <c r="BG120" s="1493"/>
      <c r="BH120" s="1493"/>
      <c r="BI120" s="1493"/>
      <c r="BJ120" s="1493"/>
      <c r="BK120" s="1493"/>
      <c r="BL120" s="1493"/>
      <c r="BN120" s="1493"/>
      <c r="BO120" s="1493"/>
      <c r="BP120" s="1493"/>
      <c r="BR120" s="1957"/>
      <c r="BS120" s="1493"/>
    </row>
    <row r="121" spans="2:118" ht="15.75" x14ac:dyDescent="0.25">
      <c r="B121" s="456"/>
      <c r="G121" s="1493"/>
      <c r="H121" s="1493"/>
      <c r="I121" s="1493"/>
      <c r="J121" s="1493"/>
      <c r="K121" s="1493"/>
      <c r="L121" s="1493"/>
      <c r="M121" s="1493"/>
      <c r="N121" s="1493"/>
      <c r="O121" s="1643"/>
      <c r="P121" s="1493"/>
      <c r="Q121" s="1493"/>
      <c r="R121" s="1493"/>
      <c r="S121" s="1493"/>
      <c r="T121" s="1493"/>
      <c r="U121" s="1493"/>
      <c r="V121" s="1493"/>
      <c r="W121" s="1493"/>
      <c r="Y121" s="1493"/>
      <c r="Z121" s="1493"/>
      <c r="AA121" s="1493"/>
      <c r="AB121" s="1493"/>
      <c r="AC121" s="1493"/>
      <c r="AD121" s="1493"/>
      <c r="AE121" s="1493"/>
      <c r="AF121" s="1493"/>
      <c r="AG121" s="1493"/>
      <c r="AH121" s="1493"/>
      <c r="AI121" s="1493"/>
      <c r="AJ121" s="1493"/>
      <c r="AK121" s="1493"/>
      <c r="AL121" s="1493"/>
      <c r="AM121" s="1493"/>
      <c r="AN121" s="1493"/>
      <c r="AO121" s="1493"/>
      <c r="AP121" s="1493"/>
      <c r="AQ121" s="1493"/>
      <c r="AS121" s="1493"/>
      <c r="AT121" s="1493"/>
      <c r="AU121" s="1493"/>
      <c r="AV121" s="1493"/>
      <c r="AW121" s="1493"/>
      <c r="AX121" s="1493"/>
      <c r="AY121" s="1493"/>
      <c r="AZ121" s="1493"/>
      <c r="BA121" s="1493"/>
      <c r="BB121" s="1493"/>
      <c r="BC121" s="1493"/>
      <c r="BD121" s="1493"/>
      <c r="BE121" s="1493"/>
      <c r="BF121" s="1493"/>
      <c r="BG121" s="1493"/>
      <c r="BH121" s="1493"/>
      <c r="BI121" s="1493"/>
      <c r="BJ121" s="1493"/>
      <c r="BK121" s="1493"/>
      <c r="BL121" s="1493"/>
      <c r="BN121" s="1493"/>
      <c r="BO121" s="1493"/>
      <c r="BP121" s="1493"/>
      <c r="BR121" s="1957"/>
      <c r="BS121" s="1493"/>
    </row>
    <row r="122" spans="2:118" ht="15.75" x14ac:dyDescent="0.25">
      <c r="B122" s="456"/>
      <c r="G122" s="1493"/>
      <c r="H122" s="1493"/>
      <c r="I122" s="1493"/>
      <c r="J122" s="1493"/>
      <c r="K122" s="1493"/>
      <c r="L122" s="1493"/>
      <c r="M122" s="1493"/>
      <c r="N122" s="1493"/>
      <c r="O122" s="1643"/>
      <c r="P122" s="1493"/>
      <c r="Q122" s="1493"/>
      <c r="R122" s="1493"/>
      <c r="S122" s="1493"/>
      <c r="T122" s="1493"/>
      <c r="U122" s="1493"/>
      <c r="V122" s="1493"/>
      <c r="W122" s="1493"/>
      <c r="Y122" s="1493"/>
      <c r="Z122" s="1493"/>
      <c r="AA122" s="1493"/>
      <c r="AB122" s="1493"/>
      <c r="AC122" s="1493"/>
      <c r="AD122" s="1493"/>
      <c r="AE122" s="1493"/>
      <c r="AF122" s="1493"/>
      <c r="AG122" s="1493"/>
      <c r="AH122" s="1493"/>
      <c r="AI122" s="1493"/>
      <c r="AJ122" s="1493"/>
      <c r="AK122" s="1493"/>
      <c r="AL122" s="1493"/>
      <c r="AM122" s="1493"/>
      <c r="AN122" s="1493"/>
      <c r="AO122" s="1493"/>
      <c r="AP122" s="1493"/>
      <c r="AQ122" s="1493"/>
      <c r="AS122" s="1493"/>
      <c r="AT122" s="1493"/>
      <c r="AU122" s="1493"/>
      <c r="AV122" s="1493"/>
      <c r="AW122" s="1493"/>
      <c r="AX122" s="1493"/>
      <c r="AY122" s="1493"/>
      <c r="AZ122" s="1493"/>
      <c r="BA122" s="1493"/>
      <c r="BB122" s="1493"/>
      <c r="BC122" s="1493"/>
      <c r="BD122" s="1493"/>
      <c r="BE122" s="1493"/>
      <c r="BF122" s="1493"/>
      <c r="BG122" s="1493"/>
      <c r="BH122" s="1493"/>
      <c r="BI122" s="1493"/>
      <c r="BJ122" s="1493"/>
      <c r="BK122" s="1493"/>
      <c r="BL122" s="1493"/>
      <c r="BN122" s="1493"/>
      <c r="BO122" s="1493"/>
      <c r="BP122" s="1493"/>
      <c r="BR122" s="1957"/>
      <c r="BS122" s="1493"/>
    </row>
    <row r="123" spans="2:118" ht="15.75" x14ac:dyDescent="0.25">
      <c r="B123" s="456"/>
      <c r="G123" s="1493"/>
      <c r="H123" s="1493"/>
      <c r="I123" s="1493"/>
      <c r="J123" s="1493"/>
      <c r="K123" s="1493"/>
      <c r="L123" s="1493"/>
      <c r="M123" s="1493"/>
      <c r="N123" s="1493"/>
      <c r="O123" s="1643"/>
      <c r="P123" s="1493"/>
      <c r="Q123" s="1493"/>
      <c r="R123" s="1493"/>
      <c r="S123" s="1493"/>
      <c r="T123" s="1493"/>
      <c r="U123" s="1493"/>
      <c r="V123" s="1493"/>
      <c r="W123" s="1493"/>
      <c r="Y123" s="1493"/>
      <c r="Z123" s="1493"/>
      <c r="AA123" s="1493"/>
      <c r="AB123" s="1493"/>
      <c r="AC123" s="1493"/>
      <c r="AD123" s="1493"/>
      <c r="AE123" s="1493"/>
      <c r="AF123" s="1493"/>
      <c r="AG123" s="1493"/>
      <c r="AH123" s="1493"/>
      <c r="AI123" s="1493"/>
      <c r="AJ123" s="1493"/>
      <c r="AK123" s="1493"/>
      <c r="AL123" s="1493"/>
      <c r="AM123" s="1493"/>
      <c r="AN123" s="1493"/>
      <c r="AO123" s="1493"/>
      <c r="AP123" s="1493"/>
      <c r="AQ123" s="1493"/>
      <c r="AS123" s="1493"/>
      <c r="AT123" s="1493"/>
      <c r="AU123" s="1493"/>
      <c r="AV123" s="1493"/>
      <c r="AW123" s="1493"/>
      <c r="AX123" s="1493"/>
      <c r="AY123" s="1493"/>
      <c r="AZ123" s="1493"/>
      <c r="BA123" s="1493"/>
      <c r="BB123" s="1493"/>
      <c r="BC123" s="1493"/>
      <c r="BD123" s="1493"/>
      <c r="BE123" s="1493"/>
      <c r="BF123" s="1493"/>
      <c r="BG123" s="1493"/>
      <c r="BH123" s="1493"/>
      <c r="BI123" s="1493"/>
      <c r="BJ123" s="1493"/>
      <c r="BK123" s="1493"/>
      <c r="BL123" s="1493"/>
      <c r="BN123" s="1493"/>
      <c r="BO123" s="1493"/>
      <c r="BP123" s="1493"/>
      <c r="BR123" s="1957"/>
      <c r="BS123" s="1493"/>
    </row>
    <row r="124" spans="2:118" ht="15.75" x14ac:dyDescent="0.25">
      <c r="B124" s="456"/>
      <c r="G124" s="1493"/>
      <c r="H124" s="1493"/>
      <c r="I124" s="1493"/>
      <c r="J124" s="1493"/>
      <c r="K124" s="1493"/>
      <c r="L124" s="1493"/>
      <c r="M124" s="1493"/>
      <c r="N124" s="1493"/>
      <c r="O124" s="1643"/>
      <c r="P124" s="1493"/>
      <c r="Q124" s="1493"/>
      <c r="R124" s="1493"/>
      <c r="S124" s="1493"/>
      <c r="T124" s="1493"/>
      <c r="U124" s="1493"/>
      <c r="V124" s="1493"/>
      <c r="W124" s="1493"/>
      <c r="Y124" s="1493"/>
      <c r="Z124" s="1493"/>
      <c r="AA124" s="1493"/>
      <c r="AB124" s="1493"/>
      <c r="AC124" s="1493"/>
      <c r="AD124" s="1493"/>
      <c r="AE124" s="1493"/>
      <c r="AF124" s="1493"/>
      <c r="AG124" s="1493"/>
      <c r="AH124" s="1493"/>
      <c r="AI124" s="1493"/>
      <c r="AJ124" s="1493"/>
      <c r="AK124" s="1493"/>
      <c r="AL124" s="1493"/>
      <c r="AM124" s="1493"/>
      <c r="AN124" s="1493"/>
      <c r="AO124" s="1493"/>
      <c r="AP124" s="1493"/>
      <c r="AQ124" s="1493"/>
      <c r="AS124" s="1493"/>
      <c r="AT124" s="1493"/>
      <c r="AU124" s="1493"/>
      <c r="AV124" s="1493"/>
      <c r="AW124" s="1493"/>
      <c r="AX124" s="1493"/>
      <c r="AY124" s="1493"/>
      <c r="AZ124" s="1493"/>
      <c r="BA124" s="1493"/>
      <c r="BB124" s="1493"/>
      <c r="BC124" s="1493"/>
      <c r="BD124" s="1493"/>
      <c r="BE124" s="1493"/>
      <c r="BF124" s="1493"/>
      <c r="BG124" s="1493"/>
      <c r="BH124" s="1493"/>
      <c r="BI124" s="1493"/>
      <c r="BJ124" s="1493"/>
      <c r="BK124" s="1493"/>
      <c r="BL124" s="1493"/>
      <c r="BN124" s="1493"/>
      <c r="BO124" s="1493"/>
      <c r="BP124" s="1493"/>
      <c r="BR124" s="1957"/>
      <c r="BS124" s="1493"/>
    </row>
    <row r="125" spans="2:118" x14ac:dyDescent="0.2">
      <c r="G125" s="1493"/>
      <c r="H125" s="1493"/>
      <c r="I125" s="1493"/>
      <c r="J125" s="1493"/>
      <c r="K125" s="1493"/>
      <c r="L125" s="1493"/>
      <c r="M125" s="1493"/>
      <c r="N125" s="1493"/>
      <c r="O125" s="1643"/>
      <c r="P125" s="1493"/>
      <c r="Q125" s="1493"/>
      <c r="R125" s="1493"/>
      <c r="S125" s="1493"/>
      <c r="T125" s="1493"/>
      <c r="U125" s="1493"/>
      <c r="V125" s="1493"/>
      <c r="W125" s="1493"/>
      <c r="Y125" s="1493"/>
      <c r="Z125" s="1493"/>
      <c r="AA125" s="1493"/>
      <c r="AB125" s="1493"/>
      <c r="AC125" s="1493"/>
      <c r="AD125" s="1493"/>
      <c r="AE125" s="1493"/>
      <c r="AF125" s="1493"/>
      <c r="AG125" s="1493"/>
      <c r="AH125" s="1493"/>
      <c r="AI125" s="1493"/>
      <c r="AJ125" s="1493"/>
      <c r="AK125" s="1493"/>
      <c r="AL125" s="1493"/>
      <c r="AM125" s="1493"/>
      <c r="AN125" s="1493"/>
      <c r="AO125" s="1493"/>
      <c r="AP125" s="1493"/>
      <c r="AQ125" s="1493"/>
      <c r="AS125" s="1493"/>
      <c r="AT125" s="1493"/>
      <c r="AU125" s="1493"/>
      <c r="AV125" s="1493"/>
      <c r="AW125" s="1493"/>
      <c r="AX125" s="1493"/>
      <c r="AY125" s="1493"/>
      <c r="AZ125" s="1493"/>
      <c r="BA125" s="1493"/>
      <c r="BB125" s="1493"/>
      <c r="BC125" s="1493"/>
      <c r="BD125" s="1493"/>
      <c r="BE125" s="1493"/>
      <c r="BF125" s="1493"/>
      <c r="BG125" s="1493"/>
      <c r="BH125" s="1493"/>
      <c r="BI125" s="1493"/>
      <c r="BJ125" s="1493"/>
      <c r="BK125" s="1493"/>
      <c r="BL125" s="1493"/>
      <c r="BN125" s="1493"/>
      <c r="BO125" s="1493"/>
      <c r="BP125" s="1493"/>
      <c r="BR125" s="1957"/>
      <c r="BS125" s="1493"/>
    </row>
    <row r="126" spans="2:118" ht="24" customHeight="1" x14ac:dyDescent="0.2">
      <c r="G126" s="1493"/>
      <c r="H126" s="1493"/>
      <c r="I126" s="1493"/>
      <c r="J126" s="1493"/>
      <c r="K126" s="1493"/>
      <c r="L126" s="1493"/>
      <c r="M126" s="1493"/>
      <c r="N126" s="1493"/>
      <c r="O126" s="1643"/>
      <c r="P126" s="1493"/>
      <c r="Q126" s="1493"/>
      <c r="R126" s="1493"/>
      <c r="S126" s="1493"/>
      <c r="T126" s="1493"/>
      <c r="U126" s="1493"/>
      <c r="V126" s="1493"/>
      <c r="W126" s="1493"/>
      <c r="Y126" s="1493"/>
      <c r="Z126" s="1493"/>
      <c r="AA126" s="1493"/>
      <c r="AB126" s="1493"/>
      <c r="AC126" s="1493"/>
      <c r="AD126" s="1493"/>
      <c r="AE126" s="1493"/>
      <c r="AF126" s="1493"/>
      <c r="AG126" s="1493"/>
      <c r="AH126" s="1493"/>
      <c r="AI126" s="1493"/>
      <c r="AJ126" s="1493"/>
      <c r="AK126" s="1493"/>
      <c r="AL126" s="1493"/>
      <c r="AM126" s="1493"/>
      <c r="AN126" s="1493"/>
      <c r="AO126" s="1493"/>
      <c r="AP126" s="1493"/>
      <c r="AQ126" s="1493"/>
      <c r="AS126" s="1493"/>
      <c r="AT126" s="1493"/>
      <c r="AU126" s="1493"/>
      <c r="AV126" s="1493"/>
      <c r="AW126" s="1493"/>
      <c r="AX126" s="1493"/>
      <c r="AY126" s="1493"/>
      <c r="AZ126" s="1493"/>
      <c r="BA126" s="1493"/>
      <c r="BB126" s="1493"/>
      <c r="BC126" s="1493"/>
      <c r="BD126" s="1493"/>
      <c r="BE126" s="1493"/>
      <c r="BF126" s="1493"/>
      <c r="BG126" s="1493"/>
      <c r="BH126" s="1493"/>
      <c r="BI126" s="1493"/>
      <c r="BJ126" s="1493"/>
      <c r="BK126" s="1493"/>
      <c r="BL126" s="1493"/>
      <c r="BN126" s="1493"/>
      <c r="BO126" s="1493"/>
      <c r="BP126" s="1493"/>
      <c r="BR126" s="1957"/>
      <c r="BS126" s="1493"/>
    </row>
    <row r="127" spans="2:118" x14ac:dyDescent="0.2">
      <c r="G127" s="1493"/>
      <c r="H127" s="1493"/>
      <c r="I127" s="1493"/>
      <c r="J127" s="1493"/>
      <c r="K127" s="1493"/>
      <c r="L127" s="1493"/>
      <c r="M127" s="1493"/>
      <c r="N127" s="1493"/>
      <c r="O127" s="1643"/>
      <c r="P127" s="1493"/>
      <c r="Q127" s="1493"/>
      <c r="R127" s="1493"/>
      <c r="S127" s="1493"/>
      <c r="T127" s="1493"/>
      <c r="U127" s="1493"/>
      <c r="V127" s="1493"/>
      <c r="W127" s="1493"/>
      <c r="Y127" s="1493"/>
      <c r="Z127" s="1493"/>
      <c r="AA127" s="1493"/>
      <c r="AB127" s="1493"/>
      <c r="AC127" s="1493"/>
      <c r="AD127" s="1493"/>
      <c r="AE127" s="1493"/>
      <c r="AF127" s="1493"/>
      <c r="AG127" s="1493"/>
      <c r="AH127" s="1493"/>
      <c r="AI127" s="1493"/>
      <c r="AJ127" s="1493"/>
      <c r="AK127" s="1493"/>
      <c r="AL127" s="1493"/>
      <c r="AM127" s="1493"/>
      <c r="AN127" s="1493"/>
      <c r="AO127" s="1493"/>
      <c r="AP127" s="1493"/>
      <c r="AQ127" s="1493"/>
      <c r="AS127" s="1493"/>
      <c r="AT127" s="1493"/>
      <c r="AU127" s="1493"/>
      <c r="AV127" s="1493"/>
      <c r="AW127" s="1493"/>
      <c r="AX127" s="1493"/>
      <c r="AY127" s="1493"/>
      <c r="AZ127" s="1493"/>
      <c r="BA127" s="1493"/>
      <c r="BB127" s="1493"/>
      <c r="BC127" s="1493"/>
      <c r="BD127" s="1493"/>
      <c r="BE127" s="1493"/>
      <c r="BF127" s="1493"/>
      <c r="BG127" s="1493"/>
      <c r="BH127" s="1493"/>
      <c r="BI127" s="1493"/>
      <c r="BJ127" s="1493"/>
      <c r="BK127" s="1493"/>
      <c r="BL127" s="1493"/>
      <c r="BN127" s="1493"/>
      <c r="BO127" s="1493"/>
      <c r="BP127" s="1493"/>
      <c r="BR127" s="1957"/>
      <c r="BS127" s="1493"/>
    </row>
    <row r="128" spans="2:118" x14ac:dyDescent="0.2">
      <c r="C128" s="1580"/>
      <c r="D128" s="746"/>
      <c r="G128" s="1493"/>
      <c r="H128" s="1493"/>
      <c r="I128" s="1493"/>
      <c r="J128" s="1493"/>
      <c r="K128" s="1493"/>
      <c r="L128" s="1493"/>
      <c r="M128" s="1493"/>
      <c r="N128" s="1493"/>
      <c r="O128" s="1643"/>
      <c r="P128" s="1493"/>
      <c r="Q128" s="1493"/>
      <c r="R128" s="1493"/>
      <c r="S128" s="1493"/>
      <c r="T128" s="1493"/>
      <c r="U128" s="1493"/>
      <c r="V128" s="1493"/>
      <c r="W128" s="1493"/>
      <c r="Y128" s="1493"/>
      <c r="Z128" s="1493"/>
      <c r="AA128" s="1493"/>
      <c r="AB128" s="1493"/>
      <c r="AC128" s="1493"/>
      <c r="AD128" s="1493"/>
      <c r="AE128" s="1493"/>
      <c r="AF128" s="1493"/>
      <c r="AG128" s="1493"/>
      <c r="AH128" s="1493"/>
      <c r="AI128" s="1493"/>
      <c r="AJ128" s="1493"/>
      <c r="AK128" s="1493"/>
      <c r="AL128" s="1493"/>
      <c r="AM128" s="1493"/>
      <c r="AN128" s="1493"/>
      <c r="AO128" s="1493"/>
      <c r="AP128" s="1493"/>
      <c r="AQ128" s="1493"/>
      <c r="AS128" s="1493"/>
      <c r="AT128" s="1493"/>
      <c r="AU128" s="1493"/>
      <c r="AV128" s="1493"/>
      <c r="AW128" s="1493"/>
      <c r="AX128" s="1493"/>
      <c r="AY128" s="1493"/>
      <c r="AZ128" s="1493"/>
      <c r="BA128" s="1493"/>
      <c r="BB128" s="1493"/>
      <c r="BC128" s="1493"/>
      <c r="BD128" s="1493"/>
      <c r="BE128" s="1493"/>
      <c r="BF128" s="1493"/>
      <c r="BG128" s="1493"/>
      <c r="BH128" s="1493"/>
      <c r="BI128" s="1493"/>
      <c r="BJ128" s="1493"/>
      <c r="BK128" s="1493"/>
      <c r="BL128" s="1493"/>
      <c r="BN128" s="1493"/>
      <c r="BO128" s="1493"/>
      <c r="BP128" s="1493"/>
      <c r="BR128" s="1957"/>
      <c r="BS128" s="1493"/>
    </row>
    <row r="129" spans="7:71" x14ac:dyDescent="0.2">
      <c r="G129" s="1493"/>
      <c r="H129" s="1493"/>
      <c r="I129" s="1493"/>
      <c r="J129" s="1493"/>
      <c r="K129" s="1493"/>
      <c r="L129" s="1493"/>
      <c r="M129" s="1493"/>
      <c r="N129" s="1493"/>
      <c r="O129" s="1643"/>
      <c r="P129" s="1493"/>
      <c r="Q129" s="1493"/>
      <c r="R129" s="1493"/>
      <c r="S129" s="1493"/>
      <c r="T129" s="1493"/>
      <c r="U129" s="1493"/>
      <c r="V129" s="1493"/>
      <c r="W129" s="1493"/>
      <c r="Y129" s="1493"/>
      <c r="Z129" s="1493"/>
      <c r="AA129" s="1493"/>
      <c r="AB129" s="1493"/>
      <c r="AC129" s="1493"/>
      <c r="AD129" s="1493"/>
      <c r="AE129" s="1493"/>
      <c r="AF129" s="1493"/>
      <c r="AG129" s="1493"/>
      <c r="AH129" s="1493"/>
      <c r="AI129" s="1493"/>
      <c r="AJ129" s="1493"/>
      <c r="AK129" s="1493"/>
      <c r="AL129" s="1493"/>
      <c r="AM129" s="1493"/>
      <c r="AN129" s="1493"/>
      <c r="AO129" s="1493"/>
      <c r="AP129" s="1493"/>
      <c r="AQ129" s="1493"/>
      <c r="AS129" s="1493"/>
      <c r="AT129" s="1493"/>
      <c r="AU129" s="1493"/>
      <c r="AV129" s="1493"/>
      <c r="AW129" s="1493"/>
      <c r="AX129" s="1493"/>
      <c r="AY129" s="1493"/>
      <c r="AZ129" s="1493"/>
      <c r="BA129" s="1493"/>
      <c r="BB129" s="1493"/>
      <c r="BC129" s="1493"/>
      <c r="BD129" s="1493"/>
      <c r="BE129" s="1493"/>
      <c r="BF129" s="1493"/>
      <c r="BG129" s="1493"/>
      <c r="BH129" s="1493"/>
      <c r="BI129" s="1493"/>
      <c r="BJ129" s="1493"/>
      <c r="BK129" s="1493"/>
      <c r="BL129" s="1493"/>
      <c r="BN129" s="1493"/>
      <c r="BO129" s="1493"/>
      <c r="BP129" s="1493"/>
      <c r="BR129" s="1957"/>
      <c r="BS129" s="1493"/>
    </row>
    <row r="130" spans="7:71" x14ac:dyDescent="0.2">
      <c r="G130" s="1493"/>
      <c r="H130" s="1493"/>
      <c r="I130" s="1493"/>
      <c r="J130" s="1493"/>
      <c r="K130" s="1493"/>
      <c r="L130" s="1493"/>
      <c r="M130" s="1493"/>
      <c r="N130" s="1493"/>
      <c r="O130" s="1643"/>
      <c r="P130" s="1493"/>
      <c r="Q130" s="1493"/>
      <c r="R130" s="1493"/>
      <c r="S130" s="1493"/>
      <c r="T130" s="1493"/>
      <c r="U130" s="1493"/>
      <c r="V130" s="1493"/>
      <c r="W130" s="1493"/>
      <c r="Y130" s="1493"/>
      <c r="Z130" s="1493"/>
      <c r="AA130" s="1493"/>
      <c r="AB130" s="1493"/>
      <c r="AC130" s="1493"/>
      <c r="AD130" s="1493"/>
      <c r="AE130" s="1493"/>
      <c r="AF130" s="1493"/>
      <c r="AG130" s="1493"/>
      <c r="AH130" s="1493"/>
      <c r="AI130" s="1493"/>
      <c r="AJ130" s="1493"/>
      <c r="AK130" s="1493"/>
      <c r="AL130" s="1493"/>
      <c r="AM130" s="1493"/>
      <c r="AN130" s="1493"/>
      <c r="AO130" s="1493"/>
      <c r="AP130" s="1493"/>
      <c r="AQ130" s="1493"/>
      <c r="AS130" s="1493"/>
      <c r="AT130" s="1493"/>
      <c r="AU130" s="1493"/>
      <c r="AV130" s="1493"/>
      <c r="AW130" s="1493"/>
      <c r="AX130" s="1493"/>
      <c r="AY130" s="1493"/>
      <c r="AZ130" s="1493"/>
      <c r="BA130" s="1493"/>
      <c r="BB130" s="1493"/>
      <c r="BC130" s="1493"/>
      <c r="BD130" s="1493"/>
      <c r="BE130" s="1493"/>
      <c r="BF130" s="1493"/>
      <c r="BG130" s="1493"/>
      <c r="BH130" s="1493"/>
      <c r="BI130" s="1493"/>
      <c r="BJ130" s="1493"/>
      <c r="BK130" s="1493"/>
      <c r="BL130" s="1493"/>
      <c r="BN130" s="1493"/>
      <c r="BO130" s="1493"/>
      <c r="BP130" s="1493"/>
      <c r="BR130" s="1957"/>
      <c r="BS130" s="1493"/>
    </row>
    <row r="131" spans="7:71" x14ac:dyDescent="0.2">
      <c r="G131" s="1493"/>
      <c r="H131" s="1493"/>
      <c r="I131" s="1493"/>
      <c r="J131" s="1493"/>
      <c r="K131" s="1493"/>
      <c r="L131" s="1493"/>
      <c r="M131" s="1493"/>
      <c r="N131" s="1493"/>
      <c r="O131" s="1643"/>
      <c r="P131" s="1493"/>
      <c r="Q131" s="1493"/>
      <c r="R131" s="1493"/>
      <c r="S131" s="1493"/>
      <c r="T131" s="1493"/>
      <c r="U131" s="1493"/>
      <c r="V131" s="1493"/>
      <c r="W131" s="1493"/>
      <c r="Y131" s="1493"/>
      <c r="Z131" s="1493"/>
      <c r="AA131" s="1493"/>
      <c r="AB131" s="1493"/>
      <c r="AC131" s="1493"/>
      <c r="AD131" s="1493"/>
      <c r="AE131" s="1493"/>
      <c r="AF131" s="1493"/>
      <c r="AG131" s="1493"/>
      <c r="AH131" s="1493"/>
      <c r="AI131" s="1493"/>
      <c r="AJ131" s="1493"/>
      <c r="AK131" s="1493"/>
      <c r="AL131" s="1493"/>
      <c r="AM131" s="1493"/>
      <c r="AN131" s="1493"/>
      <c r="AO131" s="1493"/>
      <c r="AP131" s="1493"/>
      <c r="AQ131" s="1493"/>
      <c r="AS131" s="1493"/>
      <c r="AT131" s="1493"/>
      <c r="AU131" s="1493"/>
      <c r="AV131" s="1493"/>
      <c r="AW131" s="1493"/>
      <c r="AX131" s="1493"/>
      <c r="AY131" s="1493"/>
      <c r="AZ131" s="1493"/>
      <c r="BA131" s="1493"/>
      <c r="BB131" s="1493"/>
      <c r="BC131" s="1493"/>
      <c r="BD131" s="1493"/>
      <c r="BE131" s="1493"/>
      <c r="BF131" s="1493"/>
      <c r="BG131" s="1493"/>
      <c r="BH131" s="1493"/>
      <c r="BI131" s="1493"/>
      <c r="BJ131" s="1493"/>
      <c r="BK131" s="1493"/>
      <c r="BL131" s="1493"/>
      <c r="BN131" s="1493"/>
      <c r="BO131" s="1493"/>
      <c r="BP131" s="1493"/>
      <c r="BR131" s="1957"/>
      <c r="BS131" s="1493"/>
    </row>
    <row r="132" spans="7:71" x14ac:dyDescent="0.2">
      <c r="G132" s="1493"/>
      <c r="H132" s="1493"/>
      <c r="I132" s="1493"/>
      <c r="J132" s="1493"/>
      <c r="K132" s="1493"/>
      <c r="L132" s="1493"/>
      <c r="M132" s="1493"/>
      <c r="N132" s="1493"/>
      <c r="O132" s="1643"/>
      <c r="P132" s="1493"/>
      <c r="Q132" s="1493"/>
      <c r="R132" s="1493"/>
      <c r="S132" s="1493"/>
      <c r="T132" s="1493"/>
      <c r="U132" s="1493"/>
      <c r="V132" s="1493"/>
      <c r="W132" s="1493"/>
      <c r="Y132" s="1493"/>
      <c r="Z132" s="1493"/>
      <c r="AA132" s="1493"/>
      <c r="AB132" s="1493"/>
      <c r="AC132" s="1493"/>
      <c r="AD132" s="1493"/>
      <c r="AE132" s="1493"/>
      <c r="AF132" s="1493"/>
      <c r="AG132" s="1493"/>
      <c r="AH132" s="1493"/>
      <c r="AI132" s="1493"/>
      <c r="AJ132" s="1493"/>
      <c r="AK132" s="1493"/>
      <c r="AL132" s="1493"/>
      <c r="AM132" s="1493"/>
      <c r="AN132" s="1493"/>
      <c r="AO132" s="1493"/>
      <c r="AP132" s="1493"/>
      <c r="AQ132" s="1493"/>
      <c r="AS132" s="1493"/>
      <c r="AT132" s="1493"/>
      <c r="AU132" s="1493"/>
      <c r="AV132" s="1493"/>
      <c r="AW132" s="1493"/>
      <c r="AX132" s="1493"/>
      <c r="AY132" s="1493"/>
      <c r="AZ132" s="1493"/>
      <c r="BA132" s="1493"/>
      <c r="BB132" s="1493"/>
      <c r="BC132" s="1493"/>
      <c r="BD132" s="1493"/>
      <c r="BE132" s="1493"/>
      <c r="BF132" s="1493"/>
      <c r="BG132" s="1493"/>
      <c r="BH132" s="1493"/>
      <c r="BI132" s="1493"/>
      <c r="BJ132" s="1493"/>
      <c r="BK132" s="1493"/>
      <c r="BL132" s="1493"/>
      <c r="BN132" s="1493"/>
      <c r="BO132" s="1493"/>
      <c r="BP132" s="1493"/>
      <c r="BR132" s="1957"/>
      <c r="BS132" s="1493"/>
    </row>
    <row r="133" spans="7:71" x14ac:dyDescent="0.2">
      <c r="G133" s="1493"/>
      <c r="H133" s="1493"/>
      <c r="I133" s="1493"/>
      <c r="J133" s="1493"/>
      <c r="K133" s="1493"/>
      <c r="L133" s="1493"/>
      <c r="M133" s="1493"/>
      <c r="N133" s="1493"/>
      <c r="O133" s="1643"/>
      <c r="P133" s="1493"/>
      <c r="Q133" s="1493"/>
      <c r="R133" s="1493"/>
      <c r="S133" s="1493"/>
      <c r="T133" s="1493"/>
      <c r="U133" s="1493"/>
      <c r="V133" s="1493"/>
      <c r="W133" s="1493"/>
      <c r="Y133" s="1493"/>
      <c r="Z133" s="1493"/>
      <c r="AA133" s="1493"/>
      <c r="AB133" s="1493"/>
      <c r="AC133" s="1493"/>
      <c r="AD133" s="1493"/>
      <c r="AE133" s="1493"/>
      <c r="AF133" s="1493"/>
      <c r="AG133" s="1493"/>
      <c r="AH133" s="1493"/>
      <c r="AI133" s="1493"/>
      <c r="AJ133" s="1493"/>
      <c r="AK133" s="1493"/>
      <c r="AL133" s="1493"/>
      <c r="AM133" s="1493"/>
      <c r="AN133" s="1493"/>
      <c r="AO133" s="1493"/>
      <c r="AP133" s="1493"/>
      <c r="AQ133" s="1493"/>
      <c r="AS133" s="1493"/>
      <c r="AT133" s="1493"/>
      <c r="AU133" s="1493"/>
      <c r="AV133" s="1493"/>
      <c r="AW133" s="1493"/>
      <c r="AX133" s="1493"/>
      <c r="AY133" s="1493"/>
      <c r="AZ133" s="1493"/>
      <c r="BA133" s="1493"/>
      <c r="BB133" s="1493"/>
      <c r="BC133" s="1493"/>
      <c r="BD133" s="1493"/>
      <c r="BE133" s="1493"/>
      <c r="BF133" s="1493"/>
      <c r="BG133" s="1493"/>
      <c r="BH133" s="1493"/>
      <c r="BI133" s="1493"/>
      <c r="BJ133" s="1493"/>
      <c r="BK133" s="1493"/>
      <c r="BL133" s="1493"/>
      <c r="BN133" s="1493"/>
      <c r="BO133" s="1493"/>
      <c r="BP133" s="1493"/>
      <c r="BR133" s="1957"/>
      <c r="BS133" s="1493"/>
    </row>
    <row r="134" spans="7:71" x14ac:dyDescent="0.2">
      <c r="G134" s="1493"/>
      <c r="H134" s="1493"/>
      <c r="I134" s="1493"/>
      <c r="J134" s="1493"/>
      <c r="K134" s="1493"/>
      <c r="L134" s="1493"/>
      <c r="M134" s="1493"/>
      <c r="N134" s="1493"/>
      <c r="O134" s="1643"/>
      <c r="P134" s="1493"/>
      <c r="Q134" s="1493"/>
      <c r="R134" s="1493"/>
      <c r="S134" s="1493"/>
      <c r="T134" s="1493"/>
      <c r="U134" s="1493"/>
      <c r="V134" s="1493"/>
      <c r="W134" s="1493"/>
      <c r="Y134" s="1493"/>
      <c r="Z134" s="1493"/>
      <c r="AA134" s="1493"/>
      <c r="AB134" s="1493"/>
      <c r="AC134" s="1493"/>
      <c r="AD134" s="1493"/>
      <c r="AE134" s="1493"/>
      <c r="AF134" s="1493"/>
      <c r="AG134" s="1493"/>
      <c r="AH134" s="1493"/>
      <c r="AI134" s="1493"/>
      <c r="AJ134" s="1493"/>
      <c r="AK134" s="1493"/>
      <c r="AL134" s="1493"/>
      <c r="AM134" s="1493"/>
      <c r="AN134" s="1493"/>
      <c r="AO134" s="1493"/>
      <c r="AP134" s="1493"/>
      <c r="AQ134" s="1493"/>
      <c r="AS134" s="1493"/>
      <c r="AT134" s="1493"/>
      <c r="AU134" s="1493"/>
      <c r="AV134" s="1493"/>
      <c r="AW134" s="1493"/>
      <c r="AX134" s="1493"/>
      <c r="AY134" s="1493"/>
      <c r="AZ134" s="1493"/>
      <c r="BA134" s="1493"/>
      <c r="BB134" s="1493"/>
      <c r="BC134" s="1493"/>
      <c r="BD134" s="1493"/>
      <c r="BE134" s="1493"/>
      <c r="BF134" s="1493"/>
      <c r="BG134" s="1493"/>
      <c r="BH134" s="1493"/>
      <c r="BI134" s="1493"/>
      <c r="BJ134" s="1493"/>
      <c r="BK134" s="1493"/>
      <c r="BL134" s="1493"/>
      <c r="BN134" s="1493"/>
      <c r="BO134" s="1493"/>
      <c r="BP134" s="1493"/>
      <c r="BR134" s="1957"/>
      <c r="BS134" s="1493"/>
    </row>
    <row r="135" spans="7:71" x14ac:dyDescent="0.2">
      <c r="G135" s="1493"/>
      <c r="H135" s="1493"/>
      <c r="I135" s="1493"/>
      <c r="J135" s="1493"/>
      <c r="K135" s="1493"/>
      <c r="L135" s="1493"/>
      <c r="M135" s="1493"/>
      <c r="N135" s="1493"/>
      <c r="O135" s="1643"/>
      <c r="P135" s="1493"/>
      <c r="Q135" s="1493"/>
      <c r="R135" s="1493"/>
      <c r="S135" s="1493"/>
      <c r="T135" s="1493"/>
      <c r="U135" s="1493"/>
      <c r="V135" s="1493"/>
      <c r="W135" s="1493"/>
      <c r="Y135" s="1493"/>
      <c r="Z135" s="1493"/>
      <c r="AA135" s="1493"/>
      <c r="AB135" s="1493"/>
      <c r="AC135" s="1493"/>
      <c r="AD135" s="1493"/>
      <c r="AE135" s="1493"/>
      <c r="AF135" s="1493"/>
      <c r="AG135" s="1493"/>
      <c r="AH135" s="1493"/>
      <c r="AI135" s="1493"/>
      <c r="AJ135" s="1493"/>
      <c r="AK135" s="1493"/>
      <c r="AL135" s="1493"/>
      <c r="AM135" s="1493"/>
      <c r="AN135" s="1493"/>
      <c r="AO135" s="1493"/>
      <c r="AP135" s="1493"/>
      <c r="AQ135" s="1493"/>
      <c r="AS135" s="1493"/>
      <c r="AT135" s="1493"/>
      <c r="AU135" s="1493"/>
      <c r="AV135" s="1493"/>
      <c r="AW135" s="1493"/>
      <c r="AX135" s="1493"/>
      <c r="AY135" s="1493"/>
      <c r="AZ135" s="1493"/>
      <c r="BA135" s="1493"/>
      <c r="BB135" s="1493"/>
      <c r="BC135" s="1493"/>
      <c r="BD135" s="1493"/>
      <c r="BE135" s="1493"/>
      <c r="BF135" s="1493"/>
      <c r="BG135" s="1493"/>
      <c r="BH135" s="1493"/>
      <c r="BI135" s="1493"/>
      <c r="BJ135" s="1493"/>
      <c r="BK135" s="1493"/>
      <c r="BL135" s="1493"/>
      <c r="BN135" s="1493"/>
      <c r="BO135" s="1493"/>
      <c r="BP135" s="1493"/>
      <c r="BR135" s="1957"/>
      <c r="BS135" s="1493"/>
    </row>
    <row r="136" spans="7:71" x14ac:dyDescent="0.2">
      <c r="G136" s="1493"/>
      <c r="H136" s="1493"/>
      <c r="I136" s="1493"/>
      <c r="J136" s="1493"/>
      <c r="K136" s="1493"/>
      <c r="L136" s="1493"/>
      <c r="M136" s="1493"/>
      <c r="N136" s="1493"/>
      <c r="O136" s="1643"/>
      <c r="P136" s="1493"/>
      <c r="Q136" s="1493"/>
      <c r="R136" s="1493"/>
      <c r="S136" s="1493"/>
      <c r="T136" s="1493"/>
      <c r="U136" s="1493"/>
      <c r="V136" s="1493"/>
      <c r="W136" s="1493"/>
      <c r="Y136" s="1493"/>
      <c r="Z136" s="1493"/>
      <c r="AA136" s="1493"/>
      <c r="AB136" s="1493"/>
      <c r="AC136" s="1493"/>
      <c r="AD136" s="1493"/>
      <c r="AE136" s="1493"/>
      <c r="AF136" s="1493"/>
      <c r="AG136" s="1493"/>
      <c r="AH136" s="1493"/>
      <c r="AI136" s="1493"/>
      <c r="AJ136" s="1493"/>
      <c r="AK136" s="1493"/>
      <c r="AL136" s="1493"/>
      <c r="AM136" s="1493"/>
      <c r="AN136" s="1493"/>
      <c r="AO136" s="1493"/>
      <c r="AP136" s="1493"/>
      <c r="AQ136" s="1493"/>
      <c r="AS136" s="1493"/>
      <c r="AT136" s="1493"/>
      <c r="AU136" s="1493"/>
      <c r="AV136" s="1493"/>
      <c r="AW136" s="1493"/>
      <c r="AX136" s="1493"/>
      <c r="AY136" s="1493"/>
      <c r="AZ136" s="1493"/>
      <c r="BA136" s="1493"/>
      <c r="BB136" s="1493"/>
      <c r="BC136" s="1493"/>
      <c r="BD136" s="1493"/>
      <c r="BE136" s="1493"/>
      <c r="BF136" s="1493"/>
      <c r="BG136" s="1493"/>
      <c r="BH136" s="1493"/>
      <c r="BI136" s="1493"/>
      <c r="BJ136" s="1493"/>
      <c r="BK136" s="1493"/>
      <c r="BL136" s="1493"/>
      <c r="BN136" s="1493"/>
      <c r="BO136" s="1493"/>
      <c r="BP136" s="1493"/>
      <c r="BR136" s="1957"/>
      <c r="BS136" s="1493"/>
    </row>
    <row r="137" spans="7:71" x14ac:dyDescent="0.2">
      <c r="G137" s="1493"/>
      <c r="H137" s="1493"/>
      <c r="I137" s="1493"/>
      <c r="J137" s="1493"/>
      <c r="K137" s="1493"/>
      <c r="L137" s="1493"/>
      <c r="M137" s="1493"/>
      <c r="N137" s="1493"/>
      <c r="O137" s="1643"/>
      <c r="P137" s="1493"/>
      <c r="Q137" s="1493"/>
      <c r="R137" s="1493"/>
      <c r="S137" s="1493"/>
      <c r="T137" s="1493"/>
      <c r="U137" s="1493"/>
      <c r="V137" s="1493"/>
      <c r="W137" s="1493"/>
      <c r="Y137" s="1493"/>
      <c r="Z137" s="1493"/>
      <c r="AA137" s="1493"/>
      <c r="AB137" s="1493"/>
      <c r="AC137" s="1493"/>
      <c r="AD137" s="1493"/>
      <c r="AE137" s="1493"/>
      <c r="AF137" s="1493"/>
      <c r="AG137" s="1493"/>
      <c r="AH137" s="1493"/>
      <c r="AI137" s="1493"/>
      <c r="AJ137" s="1493"/>
      <c r="AK137" s="1493"/>
      <c r="AL137" s="1493"/>
      <c r="AM137" s="1493"/>
      <c r="AN137" s="1493"/>
      <c r="AO137" s="1493"/>
      <c r="AP137" s="1493"/>
      <c r="AQ137" s="1493"/>
      <c r="AS137" s="1493"/>
      <c r="AT137" s="1493"/>
      <c r="AU137" s="1493"/>
      <c r="AV137" s="1493"/>
      <c r="AW137" s="1493"/>
      <c r="AX137" s="1493"/>
      <c r="AY137" s="1493"/>
      <c r="AZ137" s="1493"/>
      <c r="BA137" s="1493"/>
      <c r="BB137" s="1493"/>
      <c r="BC137" s="1493"/>
      <c r="BD137" s="1493"/>
      <c r="BE137" s="1493"/>
      <c r="BF137" s="1493"/>
      <c r="BG137" s="1493"/>
      <c r="BH137" s="1493"/>
      <c r="BI137" s="1493"/>
      <c r="BJ137" s="1493"/>
      <c r="BK137" s="1493"/>
      <c r="BL137" s="1493"/>
      <c r="BN137" s="1493"/>
      <c r="BO137" s="1493"/>
      <c r="BP137" s="1493"/>
      <c r="BR137" s="1957"/>
      <c r="BS137" s="1493"/>
    </row>
    <row r="138" spans="7:71" x14ac:dyDescent="0.2">
      <c r="G138" s="1493"/>
      <c r="H138" s="1493"/>
      <c r="I138" s="1493"/>
      <c r="J138" s="1493"/>
      <c r="K138" s="1493"/>
      <c r="L138" s="1493"/>
      <c r="M138" s="1493"/>
      <c r="N138" s="1493"/>
      <c r="O138" s="1643"/>
      <c r="P138" s="1493"/>
      <c r="Q138" s="1493"/>
      <c r="R138" s="1493"/>
      <c r="S138" s="1493"/>
      <c r="T138" s="1493"/>
      <c r="U138" s="1493"/>
      <c r="V138" s="1493"/>
      <c r="W138" s="1493"/>
      <c r="Y138" s="1493"/>
      <c r="Z138" s="1493"/>
      <c r="AA138" s="1493"/>
      <c r="AB138" s="1493"/>
      <c r="AC138" s="1493"/>
      <c r="AD138" s="1493"/>
      <c r="AE138" s="1493"/>
      <c r="AF138" s="1493"/>
      <c r="AG138" s="1493"/>
      <c r="AH138" s="1493"/>
      <c r="AI138" s="1493"/>
      <c r="AJ138" s="1493"/>
      <c r="AK138" s="1493"/>
      <c r="AL138" s="1493"/>
      <c r="AM138" s="1493"/>
      <c r="AN138" s="1493"/>
      <c r="AO138" s="1493"/>
      <c r="AP138" s="1493"/>
      <c r="AQ138" s="1493"/>
      <c r="AS138" s="1493"/>
      <c r="AT138" s="1493"/>
      <c r="AU138" s="1493"/>
      <c r="AV138" s="1493"/>
      <c r="AW138" s="1493"/>
      <c r="AX138" s="1493"/>
      <c r="AY138" s="1493"/>
      <c r="AZ138" s="1493"/>
      <c r="BA138" s="1493"/>
      <c r="BB138" s="1493"/>
      <c r="BC138" s="1493"/>
      <c r="BD138" s="1493"/>
      <c r="BE138" s="1493"/>
      <c r="BF138" s="1493"/>
      <c r="BG138" s="1493"/>
      <c r="BH138" s="1493"/>
      <c r="BI138" s="1493"/>
      <c r="BJ138" s="1493"/>
      <c r="BK138" s="1493"/>
      <c r="BL138" s="1493"/>
      <c r="BN138" s="1493"/>
      <c r="BO138" s="1493"/>
      <c r="BP138" s="1493"/>
      <c r="BR138" s="1957"/>
      <c r="BS138" s="1493"/>
    </row>
    <row r="139" spans="7:71" x14ac:dyDescent="0.2">
      <c r="G139" s="1493"/>
      <c r="H139" s="1493"/>
      <c r="I139" s="1493"/>
      <c r="J139" s="1493"/>
      <c r="K139" s="1493"/>
      <c r="L139" s="1493"/>
      <c r="M139" s="1493"/>
      <c r="N139" s="1493"/>
      <c r="O139" s="1643"/>
      <c r="P139" s="1493"/>
      <c r="Q139" s="1493"/>
      <c r="R139" s="1493"/>
      <c r="S139" s="1493"/>
      <c r="T139" s="1493"/>
      <c r="U139" s="1493"/>
      <c r="V139" s="1493"/>
      <c r="W139" s="1493"/>
      <c r="Y139" s="1493"/>
      <c r="Z139" s="1493"/>
      <c r="AA139" s="1493"/>
      <c r="AB139" s="1493"/>
      <c r="AC139" s="1493"/>
      <c r="AD139" s="1493"/>
      <c r="AE139" s="1493"/>
      <c r="AF139" s="1493"/>
      <c r="AG139" s="1493"/>
      <c r="AH139" s="1493"/>
      <c r="AI139" s="1493"/>
      <c r="AJ139" s="1493"/>
      <c r="AK139" s="1493"/>
      <c r="AL139" s="1493"/>
      <c r="AM139" s="1493"/>
      <c r="AN139" s="1493"/>
      <c r="AO139" s="1493"/>
      <c r="AP139" s="1493"/>
      <c r="AQ139" s="1493"/>
      <c r="AS139" s="1493"/>
      <c r="AT139" s="1493"/>
      <c r="AU139" s="1493"/>
      <c r="AV139" s="1493"/>
      <c r="AW139" s="1493"/>
      <c r="AX139" s="1493"/>
      <c r="AY139" s="1493"/>
      <c r="AZ139" s="1493"/>
      <c r="BA139" s="1493"/>
      <c r="BB139" s="1493"/>
      <c r="BC139" s="1493"/>
      <c r="BD139" s="1493"/>
      <c r="BE139" s="1493"/>
      <c r="BF139" s="1493"/>
      <c r="BG139" s="1493"/>
      <c r="BH139" s="1493"/>
      <c r="BI139" s="1493"/>
      <c r="BJ139" s="1493"/>
      <c r="BK139" s="1493"/>
      <c r="BL139" s="1493"/>
      <c r="BN139" s="1493"/>
      <c r="BO139" s="1493"/>
      <c r="BP139" s="1493"/>
      <c r="BR139" s="1957"/>
      <c r="BS139" s="1493"/>
    </row>
    <row r="140" spans="7:71" x14ac:dyDescent="0.2">
      <c r="G140" s="1493"/>
      <c r="H140" s="1493"/>
      <c r="I140" s="1493"/>
      <c r="J140" s="1493"/>
      <c r="K140" s="1493"/>
      <c r="L140" s="1493"/>
      <c r="M140" s="1493"/>
      <c r="N140" s="1493"/>
      <c r="O140" s="1643"/>
      <c r="P140" s="1493"/>
      <c r="Q140" s="1493"/>
      <c r="R140" s="1493"/>
      <c r="S140" s="1493"/>
      <c r="T140" s="1493"/>
      <c r="U140" s="1493"/>
      <c r="V140" s="1493"/>
      <c r="W140" s="1493"/>
      <c r="Y140" s="1493"/>
      <c r="Z140" s="1493"/>
      <c r="AA140" s="1493"/>
      <c r="AB140" s="1493"/>
      <c r="AC140" s="1493"/>
      <c r="AD140" s="1493"/>
      <c r="AE140" s="1493"/>
      <c r="AF140" s="1493"/>
      <c r="AG140" s="1493"/>
      <c r="AH140" s="1493"/>
      <c r="AI140" s="1493"/>
      <c r="AJ140" s="1493"/>
      <c r="AK140" s="1493"/>
      <c r="AL140" s="1493"/>
      <c r="AM140" s="1493"/>
      <c r="AN140" s="1493"/>
      <c r="AO140" s="1493"/>
      <c r="AP140" s="1493"/>
      <c r="AQ140" s="1493"/>
      <c r="AS140" s="1493"/>
      <c r="AT140" s="1493"/>
      <c r="AU140" s="1493"/>
      <c r="AV140" s="1493"/>
      <c r="AW140" s="1493"/>
      <c r="AX140" s="1493"/>
      <c r="AY140" s="1493"/>
      <c r="AZ140" s="1493"/>
      <c r="BA140" s="1493"/>
      <c r="BB140" s="1493"/>
      <c r="BC140" s="1493"/>
      <c r="BD140" s="1493"/>
      <c r="BE140" s="1493"/>
      <c r="BF140" s="1493"/>
      <c r="BG140" s="1493"/>
      <c r="BH140" s="1493"/>
      <c r="BI140" s="1493"/>
      <c r="BJ140" s="1493"/>
      <c r="BK140" s="1493"/>
      <c r="BL140" s="1493"/>
      <c r="BN140" s="1493"/>
      <c r="BO140" s="1493"/>
      <c r="BP140" s="1493"/>
      <c r="BR140" s="1957"/>
      <c r="BS140" s="1493"/>
    </row>
    <row r="141" spans="7:71" x14ac:dyDescent="0.2">
      <c r="G141" s="1493"/>
      <c r="H141" s="1493"/>
      <c r="I141" s="1493"/>
      <c r="J141" s="1493"/>
      <c r="K141" s="1493"/>
      <c r="L141" s="1493"/>
      <c r="M141" s="1493"/>
      <c r="N141" s="1493"/>
      <c r="O141" s="1643"/>
      <c r="P141" s="1493"/>
      <c r="Q141" s="1493"/>
      <c r="R141" s="1493"/>
      <c r="S141" s="1493"/>
      <c r="T141" s="1493"/>
      <c r="U141" s="1493"/>
      <c r="V141" s="1493"/>
      <c r="W141" s="1493"/>
      <c r="Y141" s="1493"/>
      <c r="Z141" s="1493"/>
      <c r="AA141" s="1493"/>
      <c r="AB141" s="1493"/>
      <c r="AC141" s="1493"/>
      <c r="AD141" s="1493"/>
      <c r="AE141" s="1493"/>
      <c r="AF141" s="1493"/>
      <c r="AG141" s="1493"/>
      <c r="AH141" s="1493"/>
      <c r="AI141" s="1493"/>
      <c r="AJ141" s="1493"/>
      <c r="AK141" s="1493"/>
      <c r="AL141" s="1493"/>
      <c r="AM141" s="1493"/>
      <c r="AN141" s="1493"/>
      <c r="AO141" s="1493"/>
      <c r="AP141" s="1493"/>
      <c r="AQ141" s="1493"/>
      <c r="AS141" s="1493"/>
      <c r="AT141" s="1493"/>
      <c r="AU141" s="1493"/>
      <c r="AV141" s="1493"/>
      <c r="AW141" s="1493"/>
      <c r="AX141" s="1493"/>
      <c r="AY141" s="1493"/>
      <c r="AZ141" s="1493"/>
      <c r="BA141" s="1493"/>
      <c r="BB141" s="1493"/>
      <c r="BC141" s="1493"/>
      <c r="BD141" s="1493"/>
      <c r="BE141" s="1493"/>
      <c r="BF141" s="1493"/>
      <c r="BG141" s="1493"/>
      <c r="BH141" s="1493"/>
      <c r="BI141" s="1493"/>
      <c r="BJ141" s="1493"/>
      <c r="BK141" s="1493"/>
      <c r="BL141" s="1493"/>
      <c r="BN141" s="1493"/>
      <c r="BO141" s="1493"/>
      <c r="BP141" s="1493"/>
      <c r="BR141" s="1957"/>
      <c r="BS141" s="1493"/>
    </row>
    <row r="142" spans="7:71" x14ac:dyDescent="0.2">
      <c r="G142" s="1493"/>
      <c r="H142" s="1493"/>
      <c r="I142" s="1493"/>
      <c r="J142" s="1493"/>
      <c r="K142" s="1493"/>
      <c r="L142" s="1493"/>
      <c r="M142" s="1493"/>
      <c r="N142" s="1493"/>
      <c r="O142" s="1643"/>
      <c r="P142" s="1493"/>
      <c r="Q142" s="1493"/>
      <c r="R142" s="1493"/>
      <c r="S142" s="1493"/>
      <c r="T142" s="1493"/>
      <c r="U142" s="1493"/>
      <c r="V142" s="1493"/>
      <c r="W142" s="1493"/>
      <c r="Y142" s="1493"/>
      <c r="Z142" s="1493"/>
      <c r="AA142" s="1493"/>
      <c r="AB142" s="1493"/>
      <c r="AC142" s="1493"/>
      <c r="AD142" s="1493"/>
      <c r="AE142" s="1493"/>
      <c r="AF142" s="1493"/>
      <c r="AG142" s="1493"/>
      <c r="AH142" s="1493"/>
      <c r="AI142" s="1493"/>
      <c r="AJ142" s="1493"/>
      <c r="AK142" s="1493"/>
      <c r="AL142" s="1493"/>
      <c r="AM142" s="1493"/>
      <c r="AN142" s="1493"/>
      <c r="AO142" s="1493"/>
      <c r="AP142" s="1493"/>
      <c r="AQ142" s="1493"/>
      <c r="AS142" s="1493"/>
      <c r="AT142" s="1493"/>
      <c r="AU142" s="1493"/>
      <c r="AV142" s="1493"/>
      <c r="AW142" s="1493"/>
      <c r="AX142" s="1493"/>
      <c r="AY142" s="1493"/>
      <c r="AZ142" s="1493"/>
      <c r="BA142" s="1493"/>
      <c r="BB142" s="1493"/>
      <c r="BC142" s="1493"/>
      <c r="BD142" s="1493"/>
      <c r="BE142" s="1493"/>
      <c r="BF142" s="1493"/>
      <c r="BG142" s="1493"/>
      <c r="BH142" s="1493"/>
      <c r="BI142" s="1493"/>
      <c r="BJ142" s="1493"/>
      <c r="BK142" s="1493"/>
      <c r="BL142" s="1493"/>
      <c r="BN142" s="1493"/>
      <c r="BO142" s="1493"/>
      <c r="BP142" s="1493"/>
      <c r="BR142" s="1957"/>
      <c r="BS142" s="1493"/>
    </row>
    <row r="143" spans="7:71" x14ac:dyDescent="0.2">
      <c r="G143" s="1493"/>
      <c r="H143" s="1493"/>
      <c r="I143" s="1493"/>
      <c r="J143" s="1493"/>
      <c r="K143" s="1493"/>
      <c r="L143" s="1493"/>
      <c r="M143" s="1493"/>
      <c r="N143" s="1493"/>
      <c r="O143" s="1643"/>
      <c r="P143" s="1493"/>
      <c r="Q143" s="1493"/>
      <c r="R143" s="1493"/>
      <c r="S143" s="1493"/>
      <c r="T143" s="1493"/>
      <c r="U143" s="1493"/>
      <c r="V143" s="1493"/>
      <c r="W143" s="1493"/>
      <c r="Y143" s="1493"/>
      <c r="Z143" s="1493"/>
      <c r="AA143" s="1493"/>
      <c r="AB143" s="1493"/>
      <c r="AC143" s="1493"/>
      <c r="AD143" s="1493"/>
      <c r="AE143" s="1493"/>
      <c r="AF143" s="1493"/>
      <c r="AG143" s="1493"/>
      <c r="AH143" s="1493"/>
      <c r="AI143" s="1493"/>
      <c r="AJ143" s="1493"/>
      <c r="AK143" s="1493"/>
      <c r="AL143" s="1493"/>
      <c r="AM143" s="1493"/>
      <c r="AN143" s="1493"/>
      <c r="AO143" s="1493"/>
      <c r="AP143" s="1493"/>
      <c r="AQ143" s="1493"/>
      <c r="AS143" s="1493"/>
      <c r="AT143" s="1493"/>
      <c r="AU143" s="1493"/>
      <c r="AV143" s="1493"/>
      <c r="AW143" s="1493"/>
      <c r="AX143" s="1493"/>
      <c r="AY143" s="1493"/>
      <c r="AZ143" s="1493"/>
      <c r="BA143" s="1493"/>
      <c r="BB143" s="1493"/>
      <c r="BC143" s="1493"/>
      <c r="BD143" s="1493"/>
      <c r="BE143" s="1493"/>
      <c r="BF143" s="1493"/>
      <c r="BG143" s="1493"/>
      <c r="BH143" s="1493"/>
      <c r="BI143" s="1493"/>
      <c r="BJ143" s="1493"/>
      <c r="BK143" s="1493"/>
      <c r="BL143" s="1493"/>
      <c r="BN143" s="1493"/>
      <c r="BO143" s="1493"/>
      <c r="BP143" s="1493"/>
      <c r="BR143" s="1957"/>
      <c r="BS143" s="1493"/>
    </row>
    <row r="144" spans="7:71" x14ac:dyDescent="0.2">
      <c r="G144" s="1493"/>
      <c r="H144" s="1493"/>
      <c r="I144" s="1493"/>
      <c r="J144" s="1493"/>
      <c r="K144" s="1493"/>
      <c r="L144" s="1493"/>
      <c r="M144" s="1493"/>
      <c r="N144" s="1493"/>
      <c r="O144" s="1643"/>
      <c r="P144" s="1493"/>
      <c r="Q144" s="1493"/>
      <c r="R144" s="1493"/>
      <c r="S144" s="1493"/>
      <c r="T144" s="1493"/>
      <c r="U144" s="1493"/>
      <c r="V144" s="1493"/>
      <c r="W144" s="1493"/>
      <c r="Y144" s="1493"/>
      <c r="Z144" s="1493"/>
      <c r="AA144" s="1493"/>
      <c r="AB144" s="1493"/>
      <c r="AC144" s="1493"/>
      <c r="AD144" s="1493"/>
      <c r="AE144" s="1493"/>
      <c r="AF144" s="1493"/>
      <c r="AG144" s="1493"/>
      <c r="AH144" s="1493"/>
      <c r="AI144" s="1493"/>
      <c r="AJ144" s="1493"/>
      <c r="AK144" s="1493"/>
      <c r="AL144" s="1493"/>
      <c r="AM144" s="1493"/>
      <c r="AN144" s="1493"/>
      <c r="AO144" s="1493"/>
      <c r="AP144" s="1493"/>
      <c r="AQ144" s="1493"/>
      <c r="AS144" s="1493"/>
      <c r="AT144" s="1493"/>
      <c r="AU144" s="1493"/>
      <c r="AV144" s="1493"/>
      <c r="AW144" s="1493"/>
      <c r="AX144" s="1493"/>
      <c r="AY144" s="1493"/>
      <c r="AZ144" s="1493"/>
      <c r="BA144" s="1493"/>
      <c r="BB144" s="1493"/>
      <c r="BC144" s="1493"/>
      <c r="BD144" s="1493"/>
      <c r="BE144" s="1493"/>
      <c r="BF144" s="1493"/>
      <c r="BG144" s="1493"/>
      <c r="BH144" s="1493"/>
      <c r="BI144" s="1493"/>
      <c r="BJ144" s="1493"/>
      <c r="BK144" s="1493"/>
      <c r="BL144" s="1493"/>
      <c r="BN144" s="1493"/>
      <c r="BO144" s="1493"/>
      <c r="BP144" s="1493"/>
      <c r="BR144" s="1957"/>
      <c r="BS144" s="1493"/>
    </row>
    <row r="145" spans="7:71" x14ac:dyDescent="0.2">
      <c r="G145" s="1493"/>
      <c r="H145" s="1493"/>
      <c r="I145" s="1493"/>
      <c r="J145" s="1493"/>
      <c r="K145" s="1493"/>
      <c r="L145" s="1493"/>
      <c r="M145" s="1493"/>
      <c r="N145" s="1493"/>
      <c r="O145" s="1643"/>
      <c r="P145" s="1493"/>
      <c r="Q145" s="1493"/>
      <c r="R145" s="1493"/>
      <c r="S145" s="1493"/>
      <c r="T145" s="1493"/>
      <c r="U145" s="1493"/>
      <c r="V145" s="1493"/>
      <c r="W145" s="1493"/>
      <c r="Y145" s="1493"/>
      <c r="Z145" s="1493"/>
      <c r="AA145" s="1493"/>
      <c r="AB145" s="1493"/>
      <c r="AC145" s="1493"/>
      <c r="AD145" s="1493"/>
      <c r="AE145" s="1493"/>
      <c r="AF145" s="1493"/>
      <c r="AG145" s="1493"/>
      <c r="AH145" s="1493"/>
      <c r="AI145" s="1493"/>
      <c r="AJ145" s="1493"/>
      <c r="AK145" s="1493"/>
      <c r="AL145" s="1493"/>
      <c r="AM145" s="1493"/>
      <c r="AN145" s="1493"/>
      <c r="AO145" s="1493"/>
      <c r="AP145" s="1493"/>
      <c r="AQ145" s="1493"/>
      <c r="AS145" s="1493"/>
      <c r="AT145" s="1493"/>
      <c r="AU145" s="1493"/>
      <c r="AV145" s="1493"/>
      <c r="AW145" s="1493"/>
      <c r="AX145" s="1493"/>
      <c r="AY145" s="1493"/>
      <c r="AZ145" s="1493"/>
      <c r="BA145" s="1493"/>
      <c r="BB145" s="1493"/>
      <c r="BC145" s="1493"/>
      <c r="BD145" s="1493"/>
      <c r="BE145" s="1493"/>
      <c r="BF145" s="1493"/>
      <c r="BG145" s="1493"/>
      <c r="BH145" s="1493"/>
      <c r="BI145" s="1493"/>
      <c r="BJ145" s="1493"/>
      <c r="BK145" s="1493"/>
      <c r="BL145" s="1493"/>
      <c r="BN145" s="1493"/>
      <c r="BO145" s="1493"/>
      <c r="BP145" s="1493"/>
      <c r="BR145" s="1957"/>
      <c r="BS145" s="1493"/>
    </row>
    <row r="146" spans="7:71" x14ac:dyDescent="0.2">
      <c r="G146" s="1493"/>
      <c r="H146" s="1493"/>
      <c r="I146" s="1493"/>
      <c r="J146" s="1493"/>
      <c r="K146" s="1493"/>
      <c r="L146" s="1493"/>
      <c r="M146" s="1493"/>
      <c r="N146" s="1493"/>
      <c r="O146" s="1643"/>
      <c r="P146" s="1493"/>
      <c r="Q146" s="1493"/>
      <c r="R146" s="1493"/>
      <c r="S146" s="1493"/>
      <c r="T146" s="1493"/>
      <c r="U146" s="1493"/>
      <c r="V146" s="1493"/>
      <c r="W146" s="1493"/>
      <c r="Y146" s="1493"/>
      <c r="Z146" s="1493"/>
      <c r="AA146" s="1493"/>
      <c r="AB146" s="1493"/>
      <c r="AC146" s="1493"/>
      <c r="AD146" s="1493"/>
      <c r="AE146" s="1493"/>
      <c r="AF146" s="1493"/>
      <c r="AG146" s="1493"/>
      <c r="AH146" s="1493"/>
      <c r="AI146" s="1493"/>
      <c r="AJ146" s="1493"/>
      <c r="AK146" s="1493"/>
      <c r="AL146" s="1493"/>
      <c r="AM146" s="1493"/>
      <c r="AN146" s="1493"/>
      <c r="AO146" s="1493"/>
      <c r="AP146" s="1493"/>
      <c r="AQ146" s="1493"/>
      <c r="AS146" s="1493"/>
      <c r="AT146" s="1493"/>
      <c r="AU146" s="1493"/>
      <c r="AV146" s="1493"/>
      <c r="AW146" s="1493"/>
      <c r="AX146" s="1493"/>
      <c r="AY146" s="1493"/>
      <c r="AZ146" s="1493"/>
      <c r="BA146" s="1493"/>
      <c r="BB146" s="1493"/>
      <c r="BC146" s="1493"/>
      <c r="BD146" s="1493"/>
      <c r="BE146" s="1493"/>
      <c r="BF146" s="1493"/>
      <c r="BG146" s="1493"/>
      <c r="BH146" s="1493"/>
      <c r="BI146" s="1493"/>
      <c r="BJ146" s="1493"/>
      <c r="BK146" s="1493"/>
      <c r="BL146" s="1493"/>
      <c r="BN146" s="1493"/>
      <c r="BO146" s="1493"/>
      <c r="BP146" s="1493"/>
      <c r="BR146" s="1957"/>
      <c r="BS146" s="1493"/>
    </row>
    <row r="147" spans="7:71" x14ac:dyDescent="0.2">
      <c r="G147" s="1493"/>
      <c r="H147" s="1493"/>
      <c r="I147" s="1493"/>
      <c r="J147" s="1493"/>
      <c r="K147" s="1493"/>
      <c r="L147" s="1493"/>
      <c r="M147" s="1493"/>
      <c r="N147" s="1493"/>
      <c r="O147" s="1643"/>
      <c r="P147" s="1493"/>
      <c r="Q147" s="1493"/>
      <c r="R147" s="1493"/>
      <c r="S147" s="1493"/>
      <c r="T147" s="1493"/>
      <c r="U147" s="1493"/>
      <c r="V147" s="1493"/>
      <c r="W147" s="1493"/>
      <c r="Y147" s="1493"/>
      <c r="Z147" s="1493"/>
      <c r="AA147" s="1493"/>
      <c r="AB147" s="1493"/>
      <c r="AC147" s="1493"/>
      <c r="AD147" s="1493"/>
      <c r="AE147" s="1493"/>
      <c r="AF147" s="1493"/>
      <c r="AG147" s="1493"/>
      <c r="AH147" s="1493"/>
      <c r="AI147" s="1493"/>
      <c r="AJ147" s="1493"/>
      <c r="AK147" s="1493"/>
      <c r="AL147" s="1493"/>
      <c r="AM147" s="1493"/>
      <c r="AN147" s="1493"/>
      <c r="AO147" s="1493"/>
      <c r="AP147" s="1493"/>
      <c r="AQ147" s="1493"/>
      <c r="AS147" s="1493"/>
      <c r="AT147" s="1493"/>
      <c r="AU147" s="1493"/>
      <c r="AV147" s="1493"/>
      <c r="AW147" s="1493"/>
      <c r="AX147" s="1493"/>
      <c r="AY147" s="1493"/>
      <c r="AZ147" s="1493"/>
      <c r="BA147" s="1493"/>
      <c r="BB147" s="1493"/>
      <c r="BC147" s="1493"/>
      <c r="BD147" s="1493"/>
      <c r="BE147" s="1493"/>
      <c r="BF147" s="1493"/>
      <c r="BG147" s="1493"/>
      <c r="BH147" s="1493"/>
      <c r="BI147" s="1493"/>
      <c r="BJ147" s="1493"/>
      <c r="BK147" s="1493"/>
      <c r="BL147" s="1493"/>
      <c r="BN147" s="1493"/>
      <c r="BO147" s="1493"/>
      <c r="BP147" s="1493"/>
      <c r="BR147" s="1957"/>
      <c r="BS147" s="1493"/>
    </row>
    <row r="148" spans="7:71" x14ac:dyDescent="0.2">
      <c r="G148" s="1493"/>
      <c r="H148" s="1493"/>
      <c r="I148" s="1493"/>
      <c r="J148" s="1493"/>
      <c r="K148" s="1493"/>
      <c r="L148" s="1493"/>
      <c r="M148" s="1493"/>
      <c r="N148" s="1493"/>
      <c r="O148" s="1643"/>
      <c r="P148" s="1493"/>
      <c r="Q148" s="1493"/>
      <c r="R148" s="1493"/>
      <c r="S148" s="1493"/>
      <c r="T148" s="1493"/>
      <c r="U148" s="1493"/>
      <c r="V148" s="1493"/>
      <c r="W148" s="1493"/>
      <c r="Y148" s="1493"/>
      <c r="Z148" s="1493"/>
      <c r="AA148" s="1493"/>
      <c r="AB148" s="1493"/>
      <c r="AC148" s="1493"/>
      <c r="AD148" s="1493"/>
      <c r="AE148" s="1493"/>
      <c r="AF148" s="1493"/>
      <c r="AG148" s="1493"/>
      <c r="AH148" s="1493"/>
      <c r="AI148" s="1493"/>
      <c r="AJ148" s="1493"/>
      <c r="AK148" s="1493"/>
      <c r="AL148" s="1493"/>
      <c r="AM148" s="1493"/>
      <c r="AN148" s="1493"/>
      <c r="AO148" s="1493"/>
      <c r="AP148" s="1493"/>
      <c r="AQ148" s="1493"/>
      <c r="AS148" s="1493"/>
      <c r="AT148" s="1493"/>
      <c r="AU148" s="1493"/>
      <c r="AV148" s="1493"/>
      <c r="AW148" s="1493"/>
      <c r="AX148" s="1493"/>
      <c r="AY148" s="1493"/>
      <c r="AZ148" s="1493"/>
      <c r="BA148" s="1493"/>
      <c r="BB148" s="1493"/>
      <c r="BC148" s="1493"/>
      <c r="BD148" s="1493"/>
      <c r="BE148" s="1493"/>
      <c r="BF148" s="1493"/>
      <c r="BG148" s="1493"/>
      <c r="BH148" s="1493"/>
      <c r="BI148" s="1493"/>
      <c r="BJ148" s="1493"/>
      <c r="BK148" s="1493"/>
      <c r="BL148" s="1493"/>
      <c r="BN148" s="1493"/>
      <c r="BO148" s="1493"/>
      <c r="BP148" s="1493"/>
      <c r="BR148" s="1957"/>
      <c r="BS148" s="1493"/>
    </row>
    <row r="149" spans="7:71" x14ac:dyDescent="0.2">
      <c r="G149" s="1493"/>
      <c r="H149" s="1493"/>
      <c r="I149" s="1493"/>
      <c r="J149" s="1493"/>
      <c r="K149" s="1493"/>
      <c r="L149" s="1493"/>
      <c r="M149" s="1493"/>
      <c r="N149" s="1493"/>
      <c r="O149" s="1643"/>
      <c r="P149" s="1493"/>
      <c r="Q149" s="1493"/>
      <c r="R149" s="1493"/>
      <c r="S149" s="1493"/>
      <c r="T149" s="1493"/>
      <c r="U149" s="1493"/>
      <c r="V149" s="1493"/>
      <c r="W149" s="1493"/>
      <c r="Y149" s="1493"/>
      <c r="Z149" s="1493"/>
      <c r="AA149" s="1493"/>
      <c r="AB149" s="1493"/>
      <c r="AC149" s="1493"/>
      <c r="AD149" s="1493"/>
      <c r="AE149" s="1493"/>
      <c r="AF149" s="1493"/>
      <c r="AG149" s="1493"/>
      <c r="AH149" s="1493"/>
      <c r="AI149" s="1493"/>
      <c r="AJ149" s="1493"/>
      <c r="AK149" s="1493"/>
      <c r="AL149" s="1493"/>
      <c r="AM149" s="1493"/>
      <c r="AN149" s="1493"/>
      <c r="AO149" s="1493"/>
      <c r="AP149" s="1493"/>
      <c r="AQ149" s="1493"/>
      <c r="AS149" s="1493"/>
      <c r="AT149" s="1493"/>
      <c r="AU149" s="1493"/>
      <c r="AV149" s="1493"/>
      <c r="AW149" s="1493"/>
      <c r="AX149" s="1493"/>
      <c r="AY149" s="1493"/>
      <c r="AZ149" s="1493"/>
      <c r="BA149" s="1493"/>
      <c r="BB149" s="1493"/>
      <c r="BC149" s="1493"/>
      <c r="BD149" s="1493"/>
      <c r="BE149" s="1493"/>
      <c r="BF149" s="1493"/>
      <c r="BG149" s="1493"/>
      <c r="BH149" s="1493"/>
      <c r="BI149" s="1493"/>
      <c r="BJ149" s="1493"/>
      <c r="BK149" s="1493"/>
      <c r="BL149" s="1493"/>
      <c r="BN149" s="1493"/>
      <c r="BO149" s="1493"/>
      <c r="BP149" s="1493"/>
      <c r="BR149" s="1957"/>
      <c r="BS149" s="1493"/>
    </row>
    <row r="150" spans="7:71" x14ac:dyDescent="0.2">
      <c r="G150" s="1493"/>
      <c r="H150" s="1493"/>
      <c r="I150" s="1493"/>
      <c r="J150" s="1493"/>
      <c r="K150" s="1493"/>
      <c r="L150" s="1493"/>
      <c r="M150" s="1493"/>
      <c r="N150" s="1493"/>
      <c r="O150" s="1643"/>
      <c r="P150" s="1493"/>
      <c r="Q150" s="1493"/>
      <c r="R150" s="1493"/>
      <c r="S150" s="1493"/>
      <c r="T150" s="1493"/>
      <c r="U150" s="1493"/>
      <c r="V150" s="1493"/>
      <c r="W150" s="1493"/>
      <c r="Y150" s="1493"/>
      <c r="Z150" s="1493"/>
      <c r="AA150" s="1493"/>
      <c r="AB150" s="1493"/>
      <c r="AC150" s="1493"/>
      <c r="AD150" s="1493"/>
      <c r="AE150" s="1493"/>
      <c r="AF150" s="1493"/>
      <c r="AG150" s="1493"/>
      <c r="AH150" s="1493"/>
      <c r="AI150" s="1493"/>
      <c r="AJ150" s="1493"/>
      <c r="AK150" s="1493"/>
      <c r="AL150" s="1493"/>
      <c r="AM150" s="1493"/>
      <c r="AN150" s="1493"/>
      <c r="AO150" s="1493"/>
      <c r="AP150" s="1493"/>
      <c r="AQ150" s="1493"/>
      <c r="AS150" s="1493"/>
      <c r="AT150" s="1493"/>
      <c r="AU150" s="1493"/>
      <c r="AV150" s="1493"/>
      <c r="AW150" s="1493"/>
      <c r="AX150" s="1493"/>
      <c r="AY150" s="1493"/>
      <c r="AZ150" s="1493"/>
      <c r="BA150" s="1493"/>
      <c r="BB150" s="1493"/>
      <c r="BC150" s="1493"/>
      <c r="BD150" s="1493"/>
      <c r="BE150" s="1493"/>
      <c r="BF150" s="1493"/>
      <c r="BG150" s="1493"/>
      <c r="BH150" s="1493"/>
      <c r="BI150" s="1493"/>
      <c r="BJ150" s="1493"/>
      <c r="BK150" s="1493"/>
      <c r="BL150" s="1493"/>
      <c r="BN150" s="1493"/>
      <c r="BO150" s="1493"/>
      <c r="BP150" s="1493"/>
      <c r="BR150" s="1957"/>
      <c r="BS150" s="1493"/>
    </row>
    <row r="151" spans="7:71" x14ac:dyDescent="0.2">
      <c r="G151" s="1493"/>
      <c r="H151" s="1493"/>
      <c r="I151" s="1493"/>
      <c r="J151" s="1493"/>
      <c r="K151" s="1493"/>
      <c r="L151" s="1493"/>
      <c r="M151" s="1493"/>
      <c r="N151" s="1493"/>
      <c r="O151" s="1643"/>
      <c r="P151" s="1493"/>
      <c r="Q151" s="1493"/>
      <c r="R151" s="1493"/>
      <c r="S151" s="1493"/>
      <c r="T151" s="1493"/>
      <c r="U151" s="1493"/>
      <c r="V151" s="1493"/>
      <c r="W151" s="1493"/>
      <c r="Y151" s="1493"/>
      <c r="Z151" s="1493"/>
      <c r="AA151" s="1493"/>
      <c r="AB151" s="1493"/>
      <c r="AC151" s="1493"/>
      <c r="AD151" s="1493"/>
      <c r="AE151" s="1493"/>
      <c r="AF151" s="1493"/>
      <c r="AG151" s="1493"/>
      <c r="AH151" s="1493"/>
      <c r="AI151" s="1493"/>
      <c r="AJ151" s="1493"/>
      <c r="AK151" s="1493"/>
      <c r="AL151" s="1493"/>
      <c r="AM151" s="1493"/>
      <c r="AN151" s="1493"/>
      <c r="AO151" s="1493"/>
      <c r="AP151" s="1493"/>
      <c r="AQ151" s="1493"/>
      <c r="AS151" s="1493"/>
      <c r="AT151" s="1493"/>
      <c r="AU151" s="1493"/>
      <c r="AV151" s="1493"/>
      <c r="AW151" s="1493"/>
      <c r="AX151" s="1493"/>
      <c r="AY151" s="1493"/>
      <c r="AZ151" s="1493"/>
      <c r="BA151" s="1493"/>
      <c r="BB151" s="1493"/>
      <c r="BC151" s="1493"/>
      <c r="BD151" s="1493"/>
      <c r="BE151" s="1493"/>
      <c r="BF151" s="1493"/>
      <c r="BG151" s="1493"/>
      <c r="BH151" s="1493"/>
      <c r="BI151" s="1493"/>
      <c r="BJ151" s="1493"/>
      <c r="BK151" s="1493"/>
      <c r="BL151" s="1493"/>
      <c r="BN151" s="1493"/>
      <c r="BO151" s="1493"/>
      <c r="BP151" s="1493"/>
      <c r="BR151" s="1957"/>
      <c r="BS151" s="1493"/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DP151"/>
  <sheetViews>
    <sheetView topLeftCell="A27" zoomScale="70" zoomScaleNormal="70" workbookViewId="0">
      <selection activeCell="AV67" sqref="AV67"/>
    </sheetView>
  </sheetViews>
  <sheetFormatPr baseColWidth="10" defaultColWidth="8.85546875" defaultRowHeight="12.75" outlineLevelRow="2" outlineLevelCol="2" x14ac:dyDescent="0.2"/>
  <cols>
    <col min="1" max="1" width="15.5703125" customWidth="1"/>
    <col min="2" max="2" width="1.42578125" customWidth="1"/>
    <col min="3" max="3" width="9.28515625" style="1429" customWidth="1"/>
    <col min="4" max="4" width="28.28515625" style="1430" customWidth="1"/>
    <col min="5" max="5" width="41.7109375" style="1430" customWidth="1"/>
    <col min="6" max="6" width="1.140625" customWidth="1" outlineLevel="1"/>
    <col min="7" max="14" width="13.28515625" style="1430" hidden="1" customWidth="1" outlineLevel="2"/>
    <col min="15" max="15" width="13.28515625" style="1431" hidden="1" customWidth="1" outlineLevel="2"/>
    <col min="16" max="22" width="13.28515625" style="1430" hidden="1" customWidth="1" outlineLevel="2"/>
    <col min="23" max="23" width="13.28515625" style="1430" customWidth="1" outlineLevel="1" collapsed="1"/>
    <col min="24" max="24" width="1.140625" customWidth="1" outlineLevel="1"/>
    <col min="25" max="25" width="14.5703125" style="1430" hidden="1" customWidth="1" outlineLevel="2"/>
    <col min="26" max="26" width="12.5703125" style="1430" hidden="1" customWidth="1" outlineLevel="2"/>
    <col min="27" max="29" width="14.85546875" style="1430" hidden="1" customWidth="1" outlineLevel="2"/>
    <col min="30" max="35" width="10" style="1430" hidden="1" customWidth="1" outlineLevel="2"/>
    <col min="36" max="36" width="11.85546875" style="1430" hidden="1" customWidth="1" outlineLevel="2"/>
    <col min="37" max="42" width="10" style="1430" hidden="1" customWidth="1" outlineLevel="2"/>
    <col min="43" max="43" width="14.140625" style="1430" customWidth="1" outlineLevel="1" collapsed="1"/>
    <col min="44" max="44" width="1.140625" customWidth="1" outlineLevel="1"/>
    <col min="45" max="49" width="10" style="1430" customWidth="1" outlineLevel="2"/>
    <col min="50" max="50" width="10.140625" style="1430" customWidth="1" outlineLevel="2"/>
    <col min="51" max="51" width="10.85546875" style="1430" customWidth="1" outlineLevel="2"/>
    <col min="52" max="52" width="12.7109375" style="1430" customWidth="1" outlineLevel="2"/>
    <col min="53" max="53" width="16.5703125" style="1430" customWidth="1" outlineLevel="2"/>
    <col min="54" max="63" width="10" style="1430" customWidth="1" outlineLevel="2"/>
    <col min="64" max="64" width="11.42578125" style="1430" customWidth="1" outlineLevel="1"/>
    <col min="65" max="65" width="1.140625" customWidth="1" outlineLevel="1"/>
    <col min="66" max="66" width="10" style="1430" hidden="1" customWidth="1" outlineLevel="2"/>
    <col min="67" max="67" width="13" style="1430" hidden="1" customWidth="1" outlineLevel="2"/>
    <col min="68" max="68" width="10" style="1430" customWidth="1" outlineLevel="1" collapsed="1"/>
    <col min="69" max="69" width="1.140625" customWidth="1" outlineLevel="1"/>
    <col min="70" max="70" width="18.7109375" style="1429" customWidth="1" outlineLevel="1"/>
    <col min="71" max="71" width="5.28515625" style="1430" customWidth="1"/>
    <col min="73" max="116" width="7.42578125" hidden="1" customWidth="1" outlineLevel="1"/>
    <col min="117" max="117" width="2.42578125" hidden="1" customWidth="1" outlineLevel="1"/>
    <col min="118" max="119" width="8.85546875" hidden="1" customWidth="1" outlineLevel="1"/>
    <col min="120" max="120" width="8.85546875" collapsed="1"/>
  </cols>
  <sheetData>
    <row r="1" spans="1:118" ht="6" customHeight="1" x14ac:dyDescent="0.2"/>
    <row r="2" spans="1:118" ht="21" customHeight="1" x14ac:dyDescent="0.2">
      <c r="D2" s="1432"/>
      <c r="E2" s="1433">
        <v>2025</v>
      </c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Y2" s="1434"/>
      <c r="Z2" s="1434"/>
      <c r="AA2" s="1434"/>
      <c r="AB2" s="1434"/>
      <c r="AC2" s="1434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N2"/>
      <c r="BO2"/>
      <c r="BP2"/>
      <c r="BR2" s="74"/>
      <c r="BS2" s="1435"/>
    </row>
    <row r="3" spans="1:118" ht="39" customHeight="1" x14ac:dyDescent="0.2">
      <c r="A3" s="1436"/>
      <c r="B3" s="1436"/>
      <c r="C3" s="1436"/>
      <c r="D3" s="1437"/>
      <c r="E3" s="1438" t="s">
        <v>171</v>
      </c>
      <c r="G3" s="1439" t="s">
        <v>912</v>
      </c>
      <c r="H3" s="1439"/>
      <c r="I3" s="1439"/>
      <c r="J3" s="1439"/>
      <c r="K3" s="1439"/>
      <c r="L3" s="1439"/>
      <c r="M3" s="1439"/>
      <c r="N3" s="1439"/>
      <c r="O3" s="1439"/>
      <c r="P3" s="1439"/>
      <c r="Q3" s="1439"/>
      <c r="R3" s="1439"/>
      <c r="S3" s="1439"/>
      <c r="T3" s="1439"/>
      <c r="U3" s="1439"/>
      <c r="V3" s="1439"/>
      <c r="W3" s="1439"/>
      <c r="Y3" s="1440" t="s">
        <v>913</v>
      </c>
      <c r="Z3" s="1441"/>
      <c r="AA3" s="1441"/>
      <c r="AB3" s="1441"/>
      <c r="AC3" s="1441"/>
      <c r="AD3" s="1442"/>
      <c r="AE3" s="1441"/>
      <c r="AF3" s="1441"/>
      <c r="AG3" s="1441"/>
      <c r="AH3" s="1441"/>
      <c r="AI3" s="1441"/>
      <c r="AJ3" s="1441"/>
      <c r="AK3" s="1441"/>
      <c r="AL3" s="1441"/>
      <c r="AM3" s="1441"/>
      <c r="AN3" s="1441"/>
      <c r="AO3" s="1441"/>
      <c r="AP3" s="1441"/>
      <c r="AQ3" s="1443"/>
      <c r="AS3" s="1444" t="s">
        <v>914</v>
      </c>
      <c r="AT3" s="1445"/>
      <c r="AU3" s="1445"/>
      <c r="AV3" s="1446"/>
      <c r="AW3" s="1445"/>
      <c r="AX3" s="1445"/>
      <c r="AY3" s="1445"/>
      <c r="AZ3" s="1445"/>
      <c r="BA3" s="1445"/>
      <c r="BB3" s="1445"/>
      <c r="BC3" s="1445"/>
      <c r="BD3" s="1445"/>
      <c r="BE3" s="1445"/>
      <c r="BF3" s="1445"/>
      <c r="BG3" s="1445"/>
      <c r="BH3" s="1445"/>
      <c r="BI3" s="1445"/>
      <c r="BJ3" s="1445"/>
      <c r="BK3" s="1445"/>
      <c r="BL3" s="1447"/>
      <c r="BN3" s="1448" t="s">
        <v>915</v>
      </c>
      <c r="BO3" s="1449"/>
      <c r="BP3" s="1449"/>
      <c r="BR3" s="1450"/>
      <c r="BS3" s="1450"/>
      <c r="BT3" s="1436"/>
      <c r="BU3" s="1451" t="s">
        <v>918</v>
      </c>
      <c r="BV3" s="1452"/>
      <c r="BW3" s="1452"/>
      <c r="BX3" s="1452"/>
      <c r="BY3" s="1452"/>
      <c r="BZ3" s="1452"/>
      <c r="CA3" s="1452"/>
      <c r="CB3" s="1452"/>
      <c r="CC3" s="1452"/>
      <c r="CD3" s="1452"/>
      <c r="CE3" s="1452"/>
      <c r="CF3" s="1452"/>
      <c r="CG3" s="1452"/>
      <c r="CH3" s="1452"/>
      <c r="CI3" s="1452"/>
      <c r="CJ3" s="1452"/>
      <c r="CK3" s="1452"/>
      <c r="CL3" s="1452"/>
      <c r="CM3" s="1452"/>
      <c r="CN3" s="1452"/>
      <c r="CO3" s="1452"/>
      <c r="CP3" s="1452"/>
      <c r="CQ3" s="1452"/>
      <c r="CR3" s="1452"/>
      <c r="CS3" s="1452"/>
      <c r="CT3" s="1452"/>
      <c r="CU3" s="1452"/>
      <c r="CV3" s="1452"/>
      <c r="CW3" s="1452"/>
      <c r="CX3" s="1452"/>
      <c r="CY3" s="1452"/>
      <c r="CZ3" s="1452"/>
      <c r="DA3" s="1452"/>
      <c r="DB3" s="1452"/>
      <c r="DC3" s="1452"/>
      <c r="DD3" s="1452"/>
      <c r="DE3" s="1452"/>
      <c r="DF3" s="1452"/>
      <c r="DG3" s="1452"/>
      <c r="DH3" s="1452"/>
      <c r="DI3" s="1453"/>
      <c r="DJ3" s="1453"/>
      <c r="DK3" s="1453"/>
      <c r="DL3" s="1453"/>
    </row>
    <row r="4" spans="1:118" ht="63.75" customHeight="1" x14ac:dyDescent="0.2">
      <c r="C4" s="1454"/>
      <c r="D4" s="1454"/>
      <c r="G4" s="1455" t="str">
        <f>INDEX(Vectors[Descripción], MATCH(G$5,Vectors[Código],FALSE))</f>
        <v>Climatización</v>
      </c>
      <c r="H4" s="1455" t="str">
        <f>INDEX(Vectors[Descripción], MATCH(H$5,Vectors[Código],FALSE))</f>
        <v>Iluminación</v>
      </c>
      <c r="I4" s="1455" t="str">
        <f>INDEX(Vectors[Descripción], MATCH(I$5,Vectors[Código],FALSE))</f>
        <v>Refrigeración</v>
      </c>
      <c r="J4" s="1455" t="str">
        <f>INDEX(Vectors[Descripción], MATCH(J$5,Vectors[Código],FALSE))</f>
        <v>ACS</v>
      </c>
      <c r="K4" s="1455" t="str">
        <f>INDEX(Vectors[Descripción], MATCH(K$5,Vectors[Código],FALSE))</f>
        <v>Cocción</v>
      </c>
      <c r="L4" s="1455" t="str">
        <f>INDEX(Vectors[Descripción], MATCH(L$5,Vectors[Código],FALSE))</f>
        <v>Otros Electrodomésticos</v>
      </c>
      <c r="M4" s="1455" t="str">
        <f>INDEX(Vectors[Descripción], MATCH(M$5,Vectors[Código],FALSE))</f>
        <v>Industria y minería</v>
      </c>
      <c r="N4" s="1455" t="str">
        <f>INDEX(Vectors[Descripción], MATCH(N$5,Vectors[Código],FALSE))</f>
        <v>Transporte pasajeros caminero Urbano</v>
      </c>
      <c r="O4" s="1455" t="str">
        <f>INDEX(Vectors[Descripción], MATCH(O$5,Vectors[Código],FALSE))</f>
        <v>Transporte pasajeros caminero Interurbano</v>
      </c>
      <c r="P4" s="1455" t="str">
        <f>INDEX(Vectors[Descripción], MATCH(P$5,Vectors[Código],FALSE))</f>
        <v>Transporte pasajeros ferroviario Urbano</v>
      </c>
      <c r="Q4" s="1455" t="str">
        <f>INDEX(Vectors[Descripción], MATCH(Q$5,Vectors[Código],FALSE))</f>
        <v>Transporte pasajeros ferroviario Interurbano</v>
      </c>
      <c r="R4" s="1455" t="str">
        <f>INDEX(Vectors[Descripción], MATCH(R$5,Vectors[Código],FALSE))</f>
        <v>Transporte pasajeros Aéreo Interurbano</v>
      </c>
      <c r="S4" s="1455" t="str">
        <f>INDEX(Vectors[Descripción], MATCH(S$5,Vectors[Código],FALSE))</f>
        <v>Transporte de carga caminero Urbano</v>
      </c>
      <c r="T4" s="1455" t="str">
        <f>INDEX(Vectors[Descripción], MATCH(T$5,Vectors[Código],FALSE))</f>
        <v>Transporte de carga caminero Interurbano</v>
      </c>
      <c r="U4" s="1455" t="str">
        <f>INDEX(Vectors[Descripción], MATCH(U$5,Vectors[Código],FALSE))</f>
        <v>Transporte de carga ferroviario</v>
      </c>
      <c r="V4" s="1455" t="str">
        <f>INDEX(Vectors[Descripción], MATCH(V$5,Vectors[Código],FALSE))</f>
        <v>Transporte de carga maritimo</v>
      </c>
      <c r="W4" s="3169" t="s">
        <v>2218</v>
      </c>
      <c r="Y4" s="1456" t="str">
        <f>INDEX(Vectors[Descripción], MATCH(Y$5,Vectors[Código],FALSE))</f>
        <v>Electricidad (consumo final)</v>
      </c>
      <c r="Z4" s="1456" t="str">
        <f>INDEX(Vectors[Descripción], MATCH(Z5,Vectors[Código],FALSE))</f>
        <v>Electricidad (suministrada a la red)</v>
      </c>
      <c r="AA4" s="1456" t="str">
        <f>INDEX(Vectors[Descripción], MATCH(AA5,Vectors[Código],FALSE))</f>
        <v>Hidrocarburo Sólido</v>
      </c>
      <c r="AB4" s="1456" t="str">
        <f>INDEX(Vectors[Descripción], MATCH(AB5,Vectors[Código],FALSE))</f>
        <v>Hidrocarburo Líquido</v>
      </c>
      <c r="AC4" s="1456" t="str">
        <f>INDEX(Vectors[Descripción], MATCH(AC5,Vectors[Código],FALSE))</f>
        <v>Hidrocarburo Gaseoso</v>
      </c>
      <c r="AD4" s="1456" t="str">
        <f>INDEX(Vectors[Descripción], MATCH(AD5,Vectors[Código],FALSE))</f>
        <v>Carbón y  residuos fósiles</v>
      </c>
      <c r="AE4" s="1456" t="str">
        <f>INDEX(Vectors[Descripción], MATCH(AE5,Vectors[Código],FALSE))</f>
        <v>Derivados del petróleo</v>
      </c>
      <c r="AF4" s="1456" t="str">
        <f>INDEX(Vectors[Descripción], MATCH(AF5,Vectors[Código],FALSE))</f>
        <v>Gas Natural</v>
      </c>
      <c r="AG4" s="1456" t="str">
        <f>INDEX(Vectors[Descripción], MATCH(AG5,Vectors[Código],FALSE))</f>
        <v>Blast furnace gas</v>
      </c>
      <c r="AH4" s="1456" t="str">
        <f>INDEX(Vectors[Descripción], MATCH(AH5,Vectors[Código],FALSE))</f>
        <v>Heat transport</v>
      </c>
      <c r="AI4" s="1456" t="str">
        <f>INDEX(Vectors[Descripción], MATCH(AI5,Vectors[Código],FALSE))</f>
        <v>Biomasa comestible</v>
      </c>
      <c r="AJ4" s="1456" t="str">
        <f>INDEX(Vectors[Descripción], MATCH(AJ5,Vectors[Código],FALSE))</f>
        <v>Cultivos para Energía (segunda generación)</v>
      </c>
      <c r="AK4" s="1456" t="str">
        <f>INDEX(Vectors[Descripción], MATCH(AK5,Vectors[Código],FALSE))</f>
        <v>Cultivos para Energía (primera generación)</v>
      </c>
      <c r="AL4" s="1456" t="str">
        <f>INDEX(Vectors[Descripción], MATCH(AL5,Vectors[Código],FALSE))</f>
        <v>Biomasa</v>
      </c>
      <c r="AM4" s="1456" t="str">
        <f>INDEX(Vectors[Descripción], MATCH(AM5,Vectors[Código],FALSE))</f>
        <v>Biomasa seca y residuos</v>
      </c>
      <c r="AN4" s="1456" t="str">
        <f>INDEX(Vectors[Descripción], MATCH(AN5,Vectors[Código],FALSE))</f>
        <v>Residuos gaseosos</v>
      </c>
      <c r="AO4" s="1456" t="str">
        <f>INDEX(Vectors[Descripción], MATCH(AO5,Vectors[Código],FALSE))</f>
        <v>Solar para uso térmico domestico</v>
      </c>
      <c r="AP4" s="1456" t="str">
        <f>INDEX(Vectors[Descripción], MATCH(AP5,Vectors[Código],FALSE))</f>
        <v>H2</v>
      </c>
      <c r="AQ4" s="3170" t="s">
        <v>976</v>
      </c>
      <c r="AS4" s="1457" t="str">
        <f>INDEX(Vectors[Descripción], MATCH(AS5,Vectors[Código],FALSE))</f>
        <v>Reservas de Carbón</v>
      </c>
      <c r="AT4" s="1457" t="str">
        <f>INDEX(Vectors[Descripción], MATCH(AT5,Vectors[Código],FALSE))</f>
        <v>Reservas de Petroleo</v>
      </c>
      <c r="AU4" s="1457" t="str">
        <f>INDEX(Vectors[Descripción], MATCH(AU5,Vectors[Código],FALSE))</f>
        <v>Reservas de Gas</v>
      </c>
      <c r="AV4" s="1457" t="str">
        <f>INDEX(Vectors[Descripción], MATCH(AV5,Vectors[Código],FALSE))</f>
        <v>Biomasa sobreoferta  (importada)</v>
      </c>
      <c r="AW4" s="1457" t="str">
        <f>INDEX(Vectors[Descripción], MATCH(AW5,Vectors[Código],FALSE))</f>
        <v>Electricidad sobreoferta  (importada)</v>
      </c>
      <c r="AX4" s="1457" t="str">
        <f>INDEX(Vectors[Descripción], MATCH(AX5,Vectors[Código],FALSE))</f>
        <v xml:space="preserve">Dervidados del Petroleo sobreoferta </v>
      </c>
      <c r="AY4" s="1457" t="str">
        <f>INDEX(Vectors[Descripción], MATCH(AY5,Vectors[Código],FALSE))</f>
        <v>Carbón sobreoferta  (importada)</v>
      </c>
      <c r="AZ4" s="1457" t="str">
        <f>INDEX(Vectors[Descripción], MATCH(AZ5,Vectors[Código],FALSE))</f>
        <v>Carbón sobreoferta  (importada)</v>
      </c>
      <c r="BA4" s="1457">
        <f>INDEX(Vectors[Descripción], MATCH(BA5,Vectors[Código],FALSE))</f>
        <v>0</v>
      </c>
      <c r="BB4" s="1457" t="str">
        <f>INDEX(Vectors[Descripción], MATCH(BB5,Vectors[Código],FALSE))</f>
        <v>Fisión nuclear</v>
      </c>
      <c r="BC4" s="1457" t="str">
        <f>INDEX(Vectors[Descripción], MATCH(BC5,Vectors[Código],FALSE))</f>
        <v>Solar</v>
      </c>
      <c r="BD4" s="1457" t="str">
        <f>INDEX(Vectors[Descripción], MATCH(BD5,Vectors[Código],FALSE))</f>
        <v>Viento</v>
      </c>
      <c r="BE4" s="1457" t="str">
        <f>INDEX(Vectors[Descripción], MATCH(BE5,Vectors[Código],FALSE))</f>
        <v>Mareomotriz</v>
      </c>
      <c r="BF4" s="1457" t="str">
        <f>INDEX(Vectors[Descripción], MATCH(BF5,Vectors[Código],FALSE))</f>
        <v>Undimotriz</v>
      </c>
      <c r="BG4" s="1457" t="str">
        <f>INDEX(Vectors[Descripción], MATCH(BG5,Vectors[Código],FALSE))</f>
        <v>Geotermia</v>
      </c>
      <c r="BH4" s="1457" t="str">
        <f>INDEX(Vectors[Descripción], MATCH(BH5,Vectors[Código],FALSE))</f>
        <v>Hidro</v>
      </c>
      <c r="BI4" s="1457" t="str">
        <f>INDEX(Vectors[Descripción], MATCH(BI5,Vectors[Código],FALSE))</f>
        <v>Almacenamiento</v>
      </c>
      <c r="BJ4" s="1457" t="str">
        <f>INDEX(Vectors[Descripción], MATCH(BJ5,Vectors[Código],FALSE))</f>
        <v>Agropecuario</v>
      </c>
      <c r="BK4" s="1457" t="str">
        <f>INDEX(Vectors[Descripción], MATCH(BK5,Vectors[Código],FALSE))</f>
        <v>Residuos</v>
      </c>
      <c r="BL4" s="3171" t="s">
        <v>977</v>
      </c>
      <c r="BN4" s="1458" t="str">
        <f>INDEX(Vectors[Descripción], MATCH(BN5,Vectors[Código],FALSE))</f>
        <v>Perdidas por conversión</v>
      </c>
      <c r="BO4" s="1458" t="str">
        <f>INDEX(Vectors[Descripción], MATCH(BO5,Vectors[Código],FALSE))</f>
        <v>Perdidas por distribución y uso propio</v>
      </c>
      <c r="BP4" s="3172" t="s">
        <v>978</v>
      </c>
      <c r="BR4" s="1459"/>
      <c r="BS4" s="1459"/>
      <c r="BU4" s="1460" t="s">
        <v>720</v>
      </c>
      <c r="BV4" s="1461"/>
      <c r="BW4" s="1461"/>
      <c r="BX4" s="1462"/>
      <c r="BY4" s="1460" t="s">
        <v>722</v>
      </c>
      <c r="BZ4" s="1461"/>
      <c r="CA4" s="1461"/>
      <c r="CB4" s="1462"/>
      <c r="CC4" s="1460" t="s">
        <v>723</v>
      </c>
      <c r="CD4" s="1461"/>
      <c r="CE4" s="1461"/>
      <c r="CF4" s="1462"/>
      <c r="CG4" s="1460" t="s">
        <v>724</v>
      </c>
      <c r="CH4" s="1461"/>
      <c r="CI4" s="1461"/>
      <c r="CJ4" s="1462"/>
      <c r="CK4" s="1460" t="s">
        <v>544</v>
      </c>
      <c r="CL4" s="1461"/>
      <c r="CM4" s="1461"/>
      <c r="CN4" s="1462"/>
      <c r="CO4" s="1460" t="s">
        <v>725</v>
      </c>
      <c r="CP4" s="1461"/>
      <c r="CQ4" s="1461"/>
      <c r="CR4" s="1462"/>
      <c r="CS4" s="1460" t="s">
        <v>545</v>
      </c>
      <c r="CT4" s="1461"/>
      <c r="CU4" s="1461"/>
      <c r="CV4" s="1462"/>
      <c r="CW4" s="1460" t="s">
        <v>726</v>
      </c>
      <c r="CX4" s="1461"/>
      <c r="CY4" s="1461"/>
      <c r="CZ4" s="1462"/>
      <c r="DA4" s="1460" t="s">
        <v>728</v>
      </c>
      <c r="DB4" s="1461"/>
      <c r="DC4" s="1461"/>
      <c r="DD4" s="1462"/>
      <c r="DE4" s="1460" t="s">
        <v>730</v>
      </c>
      <c r="DF4" s="1461"/>
      <c r="DG4" s="1461"/>
      <c r="DH4" s="1462"/>
      <c r="DI4" s="1460" t="s">
        <v>732</v>
      </c>
      <c r="DJ4" s="1461"/>
      <c r="DK4" s="1461"/>
      <c r="DL4" s="1462"/>
      <c r="DN4" s="1463" t="s">
        <v>118</v>
      </c>
    </row>
    <row r="5" spans="1:118" x14ac:dyDescent="0.2">
      <c r="D5" s="1464" t="s">
        <v>40</v>
      </c>
      <c r="G5" s="1465" t="s">
        <v>454</v>
      </c>
      <c r="H5" s="1465" t="s">
        <v>1007</v>
      </c>
      <c r="I5" s="1465" t="s">
        <v>1008</v>
      </c>
      <c r="J5" s="1465" t="s">
        <v>1009</v>
      </c>
      <c r="K5" s="1465" t="s">
        <v>1010</v>
      </c>
      <c r="L5" s="1465" t="s">
        <v>1011</v>
      </c>
      <c r="M5" s="1465" t="s">
        <v>453</v>
      </c>
      <c r="N5" s="1465" t="s">
        <v>447</v>
      </c>
      <c r="O5" s="1465" t="s">
        <v>448</v>
      </c>
      <c r="P5" s="1465" t="s">
        <v>449</v>
      </c>
      <c r="Q5" s="1465" t="s">
        <v>450</v>
      </c>
      <c r="R5" s="1465" t="s">
        <v>451</v>
      </c>
      <c r="S5" s="1465" t="s">
        <v>452</v>
      </c>
      <c r="T5" s="1465" t="s">
        <v>984</v>
      </c>
      <c r="U5" s="1465" t="s">
        <v>985</v>
      </c>
      <c r="V5" s="1465" t="s">
        <v>986</v>
      </c>
      <c r="W5" s="1465"/>
      <c r="Y5" s="1466" t="s">
        <v>149</v>
      </c>
      <c r="Z5" s="1466" t="s">
        <v>150</v>
      </c>
      <c r="AA5" s="1466" t="s">
        <v>330</v>
      </c>
      <c r="AB5" s="1466" t="s">
        <v>333</v>
      </c>
      <c r="AC5" s="1466" t="s">
        <v>335</v>
      </c>
      <c r="AD5" s="1466" t="s">
        <v>467</v>
      </c>
      <c r="AE5" s="1466" t="s">
        <v>468</v>
      </c>
      <c r="AF5" s="1466" t="s">
        <v>469</v>
      </c>
      <c r="AG5" s="1466" t="s">
        <v>470</v>
      </c>
      <c r="AH5" s="1466" t="s">
        <v>471</v>
      </c>
      <c r="AI5" s="1466" t="s">
        <v>472</v>
      </c>
      <c r="AJ5" s="1466" t="s">
        <v>709</v>
      </c>
      <c r="AK5" s="1466" t="s">
        <v>804</v>
      </c>
      <c r="AL5" s="1466" t="s">
        <v>473</v>
      </c>
      <c r="AM5" s="1466" t="s">
        <v>474</v>
      </c>
      <c r="AN5" s="1466" t="s">
        <v>805</v>
      </c>
      <c r="AO5" s="1466" t="s">
        <v>475</v>
      </c>
      <c r="AP5" s="1466" t="s">
        <v>630</v>
      </c>
      <c r="AQ5" s="1466"/>
      <c r="AS5" s="1467" t="s">
        <v>464</v>
      </c>
      <c r="AT5" s="1467" t="s">
        <v>465</v>
      </c>
      <c r="AU5" s="1467" t="s">
        <v>466</v>
      </c>
      <c r="AV5" s="1467" t="s">
        <v>458</v>
      </c>
      <c r="AW5" s="1467" t="s">
        <v>459</v>
      </c>
      <c r="AX5" s="1467" t="s">
        <v>460</v>
      </c>
      <c r="AY5" s="1467" t="s">
        <v>461</v>
      </c>
      <c r="AZ5" s="1467" t="s">
        <v>462</v>
      </c>
      <c r="BA5" s="1467" t="s">
        <v>463</v>
      </c>
      <c r="BB5" s="1467" t="s">
        <v>157</v>
      </c>
      <c r="BC5" s="1467" t="s">
        <v>315</v>
      </c>
      <c r="BD5" s="1467" t="s">
        <v>218</v>
      </c>
      <c r="BE5" s="1467" t="s">
        <v>285</v>
      </c>
      <c r="BF5" s="1467" t="s">
        <v>286</v>
      </c>
      <c r="BG5" s="1467" t="s">
        <v>302</v>
      </c>
      <c r="BH5" s="1467" t="s">
        <v>249</v>
      </c>
      <c r="BI5" s="1467" t="s">
        <v>455</v>
      </c>
      <c r="BJ5" s="1467" t="s">
        <v>456</v>
      </c>
      <c r="BK5" s="1467" t="s">
        <v>457</v>
      </c>
      <c r="BL5" s="1467"/>
      <c r="BN5" s="1468" t="s">
        <v>184</v>
      </c>
      <c r="BO5" s="1468" t="s">
        <v>185</v>
      </c>
      <c r="BP5" s="1468"/>
      <c r="BR5" s="3173" t="s">
        <v>1017</v>
      </c>
      <c r="BS5" s="1469"/>
      <c r="BU5" s="1470" t="s">
        <v>399</v>
      </c>
      <c r="BV5" s="1471" t="s">
        <v>399</v>
      </c>
      <c r="BW5" s="1471" t="s">
        <v>399</v>
      </c>
      <c r="BX5" s="1472" t="s">
        <v>399</v>
      </c>
      <c r="BY5" s="1470" t="s">
        <v>721</v>
      </c>
      <c r="BZ5" s="1471" t="s">
        <v>721</v>
      </c>
      <c r="CA5" s="1471" t="s">
        <v>721</v>
      </c>
      <c r="CB5" s="1472" t="s">
        <v>721</v>
      </c>
      <c r="CC5" s="1470">
        <v>2</v>
      </c>
      <c r="CD5" s="1471">
        <v>2</v>
      </c>
      <c r="CE5" s="1471">
        <v>2</v>
      </c>
      <c r="CF5" s="1472">
        <v>2</v>
      </c>
      <c r="CG5" s="1470">
        <v>3</v>
      </c>
      <c r="CH5" s="1471">
        <v>3</v>
      </c>
      <c r="CI5" s="1471">
        <v>3</v>
      </c>
      <c r="CJ5" s="1472">
        <v>3</v>
      </c>
      <c r="CK5" s="1470">
        <v>4</v>
      </c>
      <c r="CL5" s="1471">
        <v>4</v>
      </c>
      <c r="CM5" s="1471">
        <v>4</v>
      </c>
      <c r="CN5" s="1472">
        <v>4</v>
      </c>
      <c r="CO5" s="1470">
        <v>5</v>
      </c>
      <c r="CP5" s="1471">
        <v>5</v>
      </c>
      <c r="CQ5" s="1471">
        <v>5</v>
      </c>
      <c r="CR5" s="1472">
        <v>5</v>
      </c>
      <c r="CS5" s="1470">
        <v>6</v>
      </c>
      <c r="CT5" s="1471">
        <v>6</v>
      </c>
      <c r="CU5" s="1471">
        <v>6</v>
      </c>
      <c r="CV5" s="1472">
        <v>6</v>
      </c>
      <c r="CW5" s="1470">
        <v>7</v>
      </c>
      <c r="CX5" s="1471">
        <v>7</v>
      </c>
      <c r="CY5" s="1471">
        <v>7</v>
      </c>
      <c r="CZ5" s="1472">
        <v>7</v>
      </c>
      <c r="DA5" s="1470" t="s">
        <v>727</v>
      </c>
      <c r="DB5" s="1471" t="s">
        <v>727</v>
      </c>
      <c r="DC5" s="1471" t="s">
        <v>727</v>
      </c>
      <c r="DD5" s="1472" t="s">
        <v>727</v>
      </c>
      <c r="DE5" s="1470" t="s">
        <v>729</v>
      </c>
      <c r="DF5" s="1471" t="s">
        <v>729</v>
      </c>
      <c r="DG5" s="1471" t="s">
        <v>729</v>
      </c>
      <c r="DH5" s="1472" t="s">
        <v>729</v>
      </c>
      <c r="DI5" s="1470" t="s">
        <v>731</v>
      </c>
      <c r="DJ5" s="1471" t="s">
        <v>731</v>
      </c>
      <c r="DK5" s="1471" t="s">
        <v>731</v>
      </c>
      <c r="DL5" s="1472" t="s">
        <v>731</v>
      </c>
    </row>
    <row r="6" spans="1:118" ht="15.75" customHeight="1" x14ac:dyDescent="0.2">
      <c r="G6" s="1473"/>
      <c r="H6" s="1473"/>
      <c r="I6" s="1473"/>
      <c r="J6" s="1473"/>
      <c r="K6" s="1473"/>
      <c r="L6" s="1473"/>
      <c r="M6" s="1473"/>
      <c r="N6" s="1473"/>
      <c r="O6" s="1474"/>
      <c r="P6" s="1473"/>
      <c r="Q6" s="1473"/>
      <c r="R6" s="1473"/>
      <c r="S6" s="1473"/>
      <c r="T6" s="1473"/>
      <c r="U6" s="1473"/>
      <c r="V6" s="1473"/>
      <c r="W6" s="1473"/>
      <c r="Y6" s="1475"/>
      <c r="Z6" s="1475"/>
      <c r="AA6" s="1475"/>
      <c r="AB6" s="1475"/>
      <c r="AC6" s="1475"/>
      <c r="AD6" s="1475"/>
      <c r="AE6" s="1475"/>
      <c r="AF6" s="1475"/>
      <c r="AG6" s="1475"/>
      <c r="AH6" s="1475"/>
      <c r="AI6" s="1475"/>
      <c r="AJ6" s="1475"/>
      <c r="AK6" s="1475"/>
      <c r="AL6" s="1475"/>
      <c r="AM6" s="1475"/>
      <c r="AN6" s="1475"/>
      <c r="AO6" s="1475"/>
      <c r="AP6" s="1475"/>
      <c r="AQ6" s="1475"/>
      <c r="AS6" s="1476"/>
      <c r="AT6" s="1476"/>
      <c r="AU6" s="1476"/>
      <c r="AV6" s="1476"/>
      <c r="AW6" s="1476"/>
      <c r="AX6" s="1476"/>
      <c r="AY6" s="1476"/>
      <c r="AZ6" s="1476"/>
      <c r="BA6" s="1476"/>
      <c r="BB6" s="1476"/>
      <c r="BC6" s="1476"/>
      <c r="BD6" s="1476"/>
      <c r="BE6" s="1476"/>
      <c r="BF6" s="1476"/>
      <c r="BG6" s="1476"/>
      <c r="BH6" s="1476"/>
      <c r="BI6" s="1476"/>
      <c r="BJ6" s="1476"/>
      <c r="BK6" s="1476"/>
      <c r="BL6" s="1476"/>
      <c r="BN6" s="1477"/>
      <c r="BO6" s="1477"/>
      <c r="BP6" s="1477"/>
      <c r="BR6" s="1956"/>
      <c r="BS6" s="1478"/>
      <c r="BU6" s="1479" t="s">
        <v>398</v>
      </c>
      <c r="BV6" s="1479" t="s">
        <v>400</v>
      </c>
      <c r="BW6" s="1479" t="s">
        <v>401</v>
      </c>
      <c r="BX6" s="1479" t="s">
        <v>806</v>
      </c>
      <c r="BY6" s="1479" t="s">
        <v>398</v>
      </c>
      <c r="BZ6" s="1479" t="s">
        <v>400</v>
      </c>
      <c r="CA6" s="1479" t="s">
        <v>401</v>
      </c>
      <c r="CB6" s="1479" t="s">
        <v>806</v>
      </c>
      <c r="CC6" s="1479" t="s">
        <v>398</v>
      </c>
      <c r="CD6" s="1479" t="s">
        <v>400</v>
      </c>
      <c r="CE6" s="1479" t="s">
        <v>401</v>
      </c>
      <c r="CF6" s="1479" t="s">
        <v>806</v>
      </c>
      <c r="CG6" s="1479" t="s">
        <v>398</v>
      </c>
      <c r="CH6" s="1479" t="s">
        <v>400</v>
      </c>
      <c r="CI6" s="1479" t="s">
        <v>401</v>
      </c>
      <c r="CJ6" s="1479" t="s">
        <v>806</v>
      </c>
      <c r="CK6" s="1479" t="s">
        <v>398</v>
      </c>
      <c r="CL6" s="1479" t="s">
        <v>400</v>
      </c>
      <c r="CM6" s="1479" t="s">
        <v>401</v>
      </c>
      <c r="CN6" s="1479" t="s">
        <v>806</v>
      </c>
      <c r="CO6" s="1479" t="s">
        <v>398</v>
      </c>
      <c r="CP6" s="1479" t="s">
        <v>400</v>
      </c>
      <c r="CQ6" s="1479" t="s">
        <v>401</v>
      </c>
      <c r="CR6" s="1479" t="s">
        <v>806</v>
      </c>
      <c r="CS6" s="1479" t="s">
        <v>398</v>
      </c>
      <c r="CT6" s="1479" t="s">
        <v>400</v>
      </c>
      <c r="CU6" s="1479" t="s">
        <v>401</v>
      </c>
      <c r="CV6" s="1479" t="s">
        <v>806</v>
      </c>
      <c r="CW6" s="1479" t="s">
        <v>398</v>
      </c>
      <c r="CX6" s="1479" t="s">
        <v>400</v>
      </c>
      <c r="CY6" s="1479" t="s">
        <v>401</v>
      </c>
      <c r="CZ6" s="1479" t="s">
        <v>806</v>
      </c>
      <c r="DA6" s="1479" t="s">
        <v>398</v>
      </c>
      <c r="DB6" s="1479" t="s">
        <v>400</v>
      </c>
      <c r="DC6" s="1479" t="s">
        <v>401</v>
      </c>
      <c r="DD6" s="1479" t="s">
        <v>806</v>
      </c>
      <c r="DE6" s="1479" t="s">
        <v>398</v>
      </c>
      <c r="DF6" s="1479" t="s">
        <v>400</v>
      </c>
      <c r="DG6" s="1479" t="s">
        <v>401</v>
      </c>
      <c r="DH6" s="1479" t="s">
        <v>806</v>
      </c>
      <c r="DI6" s="1479" t="s">
        <v>398</v>
      </c>
      <c r="DJ6" s="1479" t="s">
        <v>400</v>
      </c>
      <c r="DK6" s="1479" t="s">
        <v>401</v>
      </c>
      <c r="DL6" s="1479" t="s">
        <v>806</v>
      </c>
    </row>
    <row r="7" spans="1:118" ht="18" customHeight="1" x14ac:dyDescent="0.2">
      <c r="C7" s="1480" t="s">
        <v>405</v>
      </c>
      <c r="D7" s="1480"/>
      <c r="E7" s="1481"/>
      <c r="G7" s="1482"/>
      <c r="H7" s="1482"/>
      <c r="I7" s="1482"/>
      <c r="J7" s="1482"/>
      <c r="K7" s="1482"/>
      <c r="L7" s="1482"/>
      <c r="M7" s="1482"/>
      <c r="N7" s="1482"/>
      <c r="O7" s="1482"/>
      <c r="P7" s="1482"/>
      <c r="Q7" s="1482"/>
      <c r="R7" s="1482"/>
      <c r="S7" s="1482"/>
      <c r="T7" s="1482"/>
      <c r="U7" s="1482"/>
      <c r="V7" s="1482"/>
      <c r="W7" s="1482"/>
      <c r="Y7" s="1483"/>
      <c r="Z7" s="1483"/>
      <c r="AA7" s="1483"/>
      <c r="AB7" s="1483"/>
      <c r="AC7" s="1483"/>
      <c r="AD7" s="1483"/>
      <c r="AE7" s="1483"/>
      <c r="AF7" s="1483"/>
      <c r="AG7" s="1483"/>
      <c r="AH7" s="1483"/>
      <c r="AI7" s="1483"/>
      <c r="AJ7" s="1483"/>
      <c r="AK7" s="1483"/>
      <c r="AL7" s="1483"/>
      <c r="AM7" s="1483"/>
      <c r="AN7" s="1483"/>
      <c r="AO7" s="1483"/>
      <c r="AP7" s="1483"/>
      <c r="AQ7" s="1483"/>
      <c r="AS7" s="1484"/>
      <c r="AT7" s="1484"/>
      <c r="AU7" s="1484"/>
      <c r="AV7" s="1484"/>
      <c r="AW7" s="1484"/>
      <c r="AX7" s="1484"/>
      <c r="AY7" s="1484"/>
      <c r="AZ7" s="1484"/>
      <c r="BA7" s="1484"/>
      <c r="BB7" s="1484"/>
      <c r="BC7" s="1484"/>
      <c r="BD7" s="1484"/>
      <c r="BE7" s="1484"/>
      <c r="BF7" s="1484"/>
      <c r="BG7" s="1484"/>
      <c r="BH7" s="1484"/>
      <c r="BI7" s="1484"/>
      <c r="BJ7" s="1484"/>
      <c r="BK7" s="1484"/>
      <c r="BL7" s="1484"/>
      <c r="BN7" s="1485"/>
      <c r="BO7" s="1485"/>
      <c r="BP7" s="1485"/>
      <c r="BR7" s="3168">
        <f t="shared" ref="BR7:BR14" si="0">W7+AQ7+BL7+BP7</f>
        <v>0</v>
      </c>
      <c r="BS7" s="1486"/>
      <c r="BU7" s="1487"/>
      <c r="BV7" s="1487"/>
      <c r="BW7" s="1487"/>
      <c r="BX7" s="1487"/>
      <c r="BY7" s="1487"/>
      <c r="BZ7" s="1487"/>
      <c r="CA7" s="1487"/>
      <c r="CB7" s="1487"/>
      <c r="CC7" s="1487"/>
      <c r="CD7" s="1487"/>
      <c r="CE7" s="1487"/>
      <c r="CF7" s="1487"/>
      <c r="CG7" s="1487"/>
      <c r="CH7" s="1487"/>
      <c r="CI7" s="1487"/>
      <c r="CJ7" s="1487"/>
      <c r="CK7" s="1487"/>
      <c r="CL7" s="1487"/>
      <c r="CM7" s="1487"/>
      <c r="CN7" s="1487"/>
      <c r="CO7" s="1487"/>
      <c r="CP7" s="1487"/>
      <c r="CQ7" s="1487"/>
      <c r="CR7" s="1487"/>
      <c r="CS7" s="1487"/>
      <c r="CT7" s="1487"/>
      <c r="CU7" s="1487"/>
      <c r="CV7" s="1487"/>
      <c r="CW7" s="1487"/>
      <c r="CX7" s="1487"/>
      <c r="CY7" s="1487"/>
      <c r="CZ7" s="1487"/>
      <c r="DA7" s="1487"/>
      <c r="DB7" s="1487"/>
      <c r="DC7" s="1487"/>
      <c r="DD7" s="1487"/>
      <c r="DE7" s="1487"/>
      <c r="DF7" s="1487"/>
      <c r="DG7" s="1487"/>
      <c r="DH7" s="1487"/>
      <c r="DI7" s="1487"/>
      <c r="DJ7" s="1487"/>
      <c r="DK7" s="1487"/>
      <c r="DL7" s="1487"/>
    </row>
    <row r="8" spans="1:118" ht="12.75" customHeight="1" outlineLevel="1" x14ac:dyDescent="0.2">
      <c r="G8" s="1488"/>
      <c r="H8" s="1488"/>
      <c r="I8" s="1488"/>
      <c r="J8" s="1488"/>
      <c r="K8" s="1488"/>
      <c r="L8" s="1488"/>
      <c r="M8" s="1488"/>
      <c r="N8" s="1488"/>
      <c r="O8" s="1489"/>
      <c r="P8" s="1488"/>
      <c r="Q8" s="1488"/>
      <c r="R8" s="1488"/>
      <c r="S8" s="1488"/>
      <c r="T8" s="1488"/>
      <c r="U8" s="1488"/>
      <c r="V8" s="1488"/>
      <c r="W8" s="1488"/>
      <c r="Y8" s="1490"/>
      <c r="Z8" s="1490"/>
      <c r="AA8" s="1490"/>
      <c r="AB8" s="1490"/>
      <c r="AC8" s="1490"/>
      <c r="AD8" s="1490"/>
      <c r="AE8" s="1490"/>
      <c r="AF8" s="1490"/>
      <c r="AG8" s="1490"/>
      <c r="AH8" s="1490"/>
      <c r="AI8" s="1490"/>
      <c r="AJ8" s="1490"/>
      <c r="AK8" s="1490"/>
      <c r="AL8" s="1490"/>
      <c r="AM8" s="1490"/>
      <c r="AN8" s="1490"/>
      <c r="AO8" s="1490"/>
      <c r="AP8" s="1490"/>
      <c r="AQ8" s="1490"/>
      <c r="AS8" s="1491"/>
      <c r="AT8" s="1491"/>
      <c r="AU8" s="1491"/>
      <c r="AV8" s="1491"/>
      <c r="AW8" s="1491"/>
      <c r="AX8" s="1491"/>
      <c r="AY8" s="1491"/>
      <c r="AZ8" s="1491"/>
      <c r="BA8" s="1491"/>
      <c r="BB8" s="1491"/>
      <c r="BC8" s="1491"/>
      <c r="BD8" s="1491"/>
      <c r="BE8" s="1491"/>
      <c r="BF8" s="1491"/>
      <c r="BG8" s="1491"/>
      <c r="BH8" s="1491"/>
      <c r="BI8" s="1491"/>
      <c r="BJ8" s="1491"/>
      <c r="BK8" s="1491"/>
      <c r="BL8" s="1491"/>
      <c r="BN8" s="1492"/>
      <c r="BO8" s="1492"/>
      <c r="BP8" s="1492"/>
      <c r="BR8" s="3168">
        <f t="shared" si="0"/>
        <v>0</v>
      </c>
      <c r="BS8" s="1493"/>
      <c r="BU8" s="1494"/>
      <c r="BV8" s="1494"/>
      <c r="BW8" s="1494"/>
      <c r="BX8" s="1494"/>
      <c r="BY8" s="1494"/>
      <c r="BZ8" s="1494"/>
      <c r="CA8" s="1494"/>
      <c r="CB8" s="1494"/>
      <c r="CC8" s="1494"/>
      <c r="CD8" s="1494"/>
      <c r="CE8" s="1494"/>
      <c r="CF8" s="1494"/>
      <c r="CG8" s="1494"/>
      <c r="CH8" s="1494"/>
      <c r="CI8" s="1494"/>
      <c r="CJ8" s="1494"/>
      <c r="CK8" s="1494"/>
      <c r="CL8" s="1494"/>
      <c r="CM8" s="1494"/>
      <c r="CN8" s="1494"/>
      <c r="CO8" s="1494"/>
      <c r="CP8" s="1494"/>
      <c r="CQ8" s="1494"/>
      <c r="CR8" s="1494"/>
      <c r="CS8" s="1494"/>
      <c r="CT8" s="1494"/>
      <c r="CU8" s="1494"/>
      <c r="CV8" s="1494"/>
      <c r="CW8" s="1494"/>
      <c r="CX8" s="1494"/>
      <c r="CY8" s="1494"/>
      <c r="CZ8" s="1494"/>
      <c r="DA8" s="1494"/>
      <c r="DB8" s="1494"/>
      <c r="DC8" s="1494"/>
      <c r="DD8" s="1494"/>
      <c r="DE8" s="1494"/>
      <c r="DF8" s="1494"/>
      <c r="DG8" s="1494"/>
      <c r="DH8" s="1494"/>
      <c r="DI8" s="1494"/>
      <c r="DJ8" s="1494"/>
      <c r="DK8" s="1494"/>
      <c r="DL8" s="1494"/>
    </row>
    <row r="9" spans="1:118" s="14" customFormat="1" ht="10.5" customHeight="1" outlineLevel="2" x14ac:dyDescent="0.2">
      <c r="A9" s="1495"/>
      <c r="B9" s="1495"/>
      <c r="C9" s="1511" t="s">
        <v>86</v>
      </c>
      <c r="D9" s="14" t="str">
        <f>INDEX(Modulos[Modulos], MATCH($C9, Modulos[Código], 0))</f>
        <v>Residencial</v>
      </c>
      <c r="G9" s="1540">
        <f ca="1">IFERROR(INDEX(INDIRECT($C9&amp;".Outputs["&amp;this.Year&amp;"]"), MATCH(G$5, INDIRECT($C9&amp;".Outputs[Vector]"), 0)), 0)</f>
        <v>35.879568949924447</v>
      </c>
      <c r="H9" s="1540">
        <f t="shared" ref="H9:V9" ca="1" si="1">IFERROR(INDEX(INDIRECT($C9&amp;".Outputs["&amp;this.Year&amp;"]"), MATCH(H$5, INDIRECT($C9&amp;".Outputs[Vector]"), 0)), 0)</f>
        <v>1.784419059676527</v>
      </c>
      <c r="I9" s="1540">
        <f t="shared" ca="1" si="1"/>
        <v>3.1864626065652271</v>
      </c>
      <c r="J9" s="1540">
        <f t="shared" ca="1" si="1"/>
        <v>11.2163483751096</v>
      </c>
      <c r="K9" s="1540">
        <f t="shared" ca="1" si="1"/>
        <v>4.8434231619791444</v>
      </c>
      <c r="L9" s="1540">
        <f t="shared" ca="1" si="1"/>
        <v>6.8190299780495875</v>
      </c>
      <c r="M9" s="1540">
        <f t="shared" ca="1" si="1"/>
        <v>0</v>
      </c>
      <c r="N9" s="1540">
        <f t="shared" ca="1" si="1"/>
        <v>0</v>
      </c>
      <c r="O9" s="1540">
        <f t="shared" ca="1" si="1"/>
        <v>0</v>
      </c>
      <c r="P9" s="1540">
        <f t="shared" ca="1" si="1"/>
        <v>0</v>
      </c>
      <c r="Q9" s="1540">
        <f t="shared" ca="1" si="1"/>
        <v>0</v>
      </c>
      <c r="R9" s="1540">
        <f t="shared" ca="1" si="1"/>
        <v>0</v>
      </c>
      <c r="S9" s="1540">
        <f t="shared" ca="1" si="1"/>
        <v>0</v>
      </c>
      <c r="T9" s="1540">
        <f t="shared" ca="1" si="1"/>
        <v>0</v>
      </c>
      <c r="U9" s="1540">
        <f t="shared" ca="1" si="1"/>
        <v>0</v>
      </c>
      <c r="V9" s="1540">
        <f t="shared" ca="1" si="1"/>
        <v>0</v>
      </c>
      <c r="W9" s="1539">
        <f ca="1">SUM(G9:V9)</f>
        <v>63.729252131304534</v>
      </c>
      <c r="Y9" s="1500">
        <f ca="1">IFERROR(INDEX(INDIRECT($C9&amp;".Outputs["&amp;this.Year&amp;"]"), MATCH(Y$5, INDIRECT($C9&amp;".Outputs[Vector]"), 0)), 0)</f>
        <v>-16.565707919951492</v>
      </c>
      <c r="Z9" s="1500">
        <f t="shared" ref="Z9:AP9" ca="1" si="2">IFERROR(INDEX(INDIRECT($C9&amp;".Outputs["&amp;this.Year&amp;"]"), MATCH(Z$5, INDIRECT($C9&amp;".Outputs[Vector]"), 0)), 0)</f>
        <v>0</v>
      </c>
      <c r="AA9" s="1500">
        <f t="shared" ca="1" si="2"/>
        <v>0</v>
      </c>
      <c r="AB9" s="1500">
        <f t="shared" ca="1" si="2"/>
        <v>-7.4953903387401244</v>
      </c>
      <c r="AC9" s="1500">
        <f t="shared" ca="1" si="2"/>
        <v>-30.917653543244892</v>
      </c>
      <c r="AD9" s="1500">
        <f t="shared" ca="1" si="2"/>
        <v>0</v>
      </c>
      <c r="AE9" s="1500">
        <f t="shared" ca="1" si="2"/>
        <v>0</v>
      </c>
      <c r="AF9" s="1500">
        <f t="shared" ca="1" si="2"/>
        <v>0</v>
      </c>
      <c r="AG9" s="1500">
        <f t="shared" ca="1" si="2"/>
        <v>0</v>
      </c>
      <c r="AH9" s="1500">
        <f t="shared" ca="1" si="2"/>
        <v>0</v>
      </c>
      <c r="AI9" s="1500">
        <f t="shared" ca="1" si="2"/>
        <v>0</v>
      </c>
      <c r="AJ9" s="1500">
        <f t="shared" ca="1" si="2"/>
        <v>0</v>
      </c>
      <c r="AK9" s="1500">
        <f t="shared" ca="1" si="2"/>
        <v>0</v>
      </c>
      <c r="AL9" s="1500">
        <f ca="1">IFERROR(INDEX(INDIRECT($C9&amp;".Outputs["&amp;this.Year&amp;"]"), MATCH(AL$5, INDIRECT($C9&amp;".Outputs[Vector]"), 0)), 0)</f>
        <v>-8.7505003293680321</v>
      </c>
      <c r="AM9" s="1500">
        <f t="shared" ca="1" si="2"/>
        <v>0</v>
      </c>
      <c r="AN9" s="1500">
        <f t="shared" ca="1" si="2"/>
        <v>0</v>
      </c>
      <c r="AO9" s="1500">
        <f t="shared" ca="1" si="2"/>
        <v>0</v>
      </c>
      <c r="AP9" s="1500">
        <f t="shared" ca="1" si="2"/>
        <v>0</v>
      </c>
      <c r="AQ9" s="1490">
        <f ca="1">SUM(Y9:AP9)</f>
        <v>-63.729252131304541</v>
      </c>
      <c r="AS9" s="1491">
        <f t="shared" ref="AS9:BK9" ca="1" si="3">IFERROR(INDEX(INDIRECT($C9&amp;".Outputs["&amp;this.Year&amp;"]"), MATCH(AS$5, INDIRECT($C9&amp;".Outputs[Vector]"), 0)), 0)</f>
        <v>0</v>
      </c>
      <c r="AT9" s="1491">
        <f t="shared" ca="1" si="3"/>
        <v>0</v>
      </c>
      <c r="AU9" s="1491">
        <f t="shared" ca="1" si="3"/>
        <v>0</v>
      </c>
      <c r="AV9" s="1491">
        <f t="shared" ca="1" si="3"/>
        <v>0</v>
      </c>
      <c r="AW9" s="1491">
        <f t="shared" ca="1" si="3"/>
        <v>0</v>
      </c>
      <c r="AX9" s="1491">
        <f t="shared" ca="1" si="3"/>
        <v>0</v>
      </c>
      <c r="AY9" s="1491">
        <f t="shared" ca="1" si="3"/>
        <v>0</v>
      </c>
      <c r="AZ9" s="1491">
        <f t="shared" ca="1" si="3"/>
        <v>0</v>
      </c>
      <c r="BA9" s="1491">
        <f t="shared" ca="1" si="3"/>
        <v>0</v>
      </c>
      <c r="BB9" s="1491">
        <f t="shared" ca="1" si="3"/>
        <v>0</v>
      </c>
      <c r="BC9" s="1491">
        <f t="shared" ca="1" si="3"/>
        <v>0</v>
      </c>
      <c r="BD9" s="1491">
        <f t="shared" ca="1" si="3"/>
        <v>0</v>
      </c>
      <c r="BE9" s="1491">
        <f t="shared" ca="1" si="3"/>
        <v>0</v>
      </c>
      <c r="BF9" s="1491">
        <f t="shared" ca="1" si="3"/>
        <v>0</v>
      </c>
      <c r="BG9" s="1491">
        <f t="shared" ca="1" si="3"/>
        <v>0</v>
      </c>
      <c r="BH9" s="1491">
        <f t="shared" ca="1" si="3"/>
        <v>0</v>
      </c>
      <c r="BI9" s="1491">
        <f t="shared" ca="1" si="3"/>
        <v>0</v>
      </c>
      <c r="BJ9" s="1491">
        <f t="shared" ca="1" si="3"/>
        <v>0</v>
      </c>
      <c r="BK9" s="1491">
        <f t="shared" ca="1" si="3"/>
        <v>0</v>
      </c>
      <c r="BL9" s="1503">
        <f ca="1">SUM(AS9:BK9)</f>
        <v>0</v>
      </c>
      <c r="BN9" s="1941">
        <f ca="1">IFERROR(INDEX(INDIRECT($C9&amp;".Outputs["&amp;this.Year&amp;"]"), MATCH(BN$5, INDIRECT($C9&amp;".Outputs[Vector]"), 0)), 0)</f>
        <v>0</v>
      </c>
      <c r="BO9" s="1941">
        <f ca="1">IFERROR(INDEX(INDIRECT($C9&amp;".Outputs["&amp;this.Year&amp;"]"), MATCH(BO$5, INDIRECT($C9&amp;".Outputs[Vector]"), 0)), 0)</f>
        <v>0</v>
      </c>
      <c r="BP9" s="1505">
        <f ca="1">BN9+BO9</f>
        <v>0</v>
      </c>
      <c r="BR9" s="3168">
        <f ca="1">W9+AQ9+BL9+BP9</f>
        <v>-7.1054273576010019E-15</v>
      </c>
      <c r="BS9" s="1506"/>
      <c r="BT9" s="748"/>
      <c r="BU9" s="1507">
        <v>67.291769164453711</v>
      </c>
      <c r="BV9" s="1508">
        <v>0.13655504882378258</v>
      </c>
      <c r="BW9" s="1508">
        <v>0.22513176941521534</v>
      </c>
      <c r="BX9" s="1508">
        <v>0</v>
      </c>
      <c r="BY9" s="1508">
        <v>0</v>
      </c>
      <c r="BZ9" s="1508">
        <v>0</v>
      </c>
      <c r="CA9" s="1508">
        <v>0</v>
      </c>
      <c r="CB9" s="1508">
        <v>0</v>
      </c>
      <c r="CC9" s="1508">
        <v>0</v>
      </c>
      <c r="CD9" s="1508">
        <v>0</v>
      </c>
      <c r="CE9" s="1508">
        <v>0</v>
      </c>
      <c r="CF9" s="1508">
        <v>0</v>
      </c>
      <c r="CG9" s="1508">
        <v>0</v>
      </c>
      <c r="CH9" s="1508">
        <v>0</v>
      </c>
      <c r="CI9" s="1508">
        <v>0</v>
      </c>
      <c r="CJ9" s="1508">
        <v>0</v>
      </c>
      <c r="CK9" s="1508">
        <v>0</v>
      </c>
      <c r="CL9" s="1508">
        <v>0</v>
      </c>
      <c r="CM9" s="1508">
        <v>0</v>
      </c>
      <c r="CN9" s="1508">
        <v>0</v>
      </c>
      <c r="CO9" s="1508">
        <v>0</v>
      </c>
      <c r="CP9" s="1508">
        <v>0</v>
      </c>
      <c r="CQ9" s="1508">
        <v>0</v>
      </c>
      <c r="CR9" s="1508">
        <v>0</v>
      </c>
      <c r="CS9" s="1508">
        <v>0</v>
      </c>
      <c r="CT9" s="1508">
        <v>0</v>
      </c>
      <c r="CU9" s="1508">
        <v>0</v>
      </c>
      <c r="CV9" s="1508">
        <v>0</v>
      </c>
      <c r="CW9" s="1508">
        <v>0</v>
      </c>
      <c r="CX9" s="1508">
        <v>0</v>
      </c>
      <c r="CY9" s="1508">
        <v>0</v>
      </c>
      <c r="CZ9" s="1508">
        <v>0</v>
      </c>
      <c r="DA9" s="1508">
        <v>0</v>
      </c>
      <c r="DB9" s="1508">
        <v>0</v>
      </c>
      <c r="DC9" s="1508">
        <v>0</v>
      </c>
      <c r="DD9" s="1508">
        <v>0</v>
      </c>
      <c r="DE9" s="1508">
        <v>0</v>
      </c>
      <c r="DF9" s="1508">
        <v>0</v>
      </c>
      <c r="DG9" s="1508">
        <v>0</v>
      </c>
      <c r="DH9" s="1508">
        <v>0</v>
      </c>
      <c r="DI9" s="1508">
        <v>0</v>
      </c>
      <c r="DJ9" s="1508">
        <v>0</v>
      </c>
      <c r="DK9" s="1508">
        <v>0</v>
      </c>
      <c r="DL9" s="1508">
        <v>0</v>
      </c>
      <c r="DN9" s="1509"/>
    </row>
    <row r="10" spans="1:118" s="14" customFormat="1" ht="10.5" customHeight="1" outlineLevel="2" x14ac:dyDescent="0.2">
      <c r="A10" s="1510"/>
      <c r="B10" s="1510"/>
      <c r="C10" s="1511"/>
      <c r="D10" s="1510"/>
      <c r="E10" s="1512"/>
      <c r="G10" s="1513"/>
      <c r="H10" s="1513"/>
      <c r="I10" s="1513"/>
      <c r="J10" s="1513"/>
      <c r="K10" s="1513"/>
      <c r="L10" s="1513"/>
      <c r="M10" s="1513"/>
      <c r="N10" s="1513"/>
      <c r="O10" s="1513"/>
      <c r="P10" s="1513"/>
      <c r="Q10" s="1513"/>
      <c r="R10" s="1513"/>
      <c r="S10" s="1513"/>
      <c r="T10" s="1513"/>
      <c r="U10" s="1513"/>
      <c r="V10" s="1513"/>
      <c r="W10" s="1514"/>
      <c r="Y10" s="1515"/>
      <c r="Z10" s="1515"/>
      <c r="AA10" s="1515"/>
      <c r="AB10" s="1515"/>
      <c r="AC10" s="1515"/>
      <c r="AD10" s="1515"/>
      <c r="AE10" s="1515"/>
      <c r="AF10" s="1515"/>
      <c r="AG10" s="1515"/>
      <c r="AH10" s="1515"/>
      <c r="AI10" s="1515"/>
      <c r="AJ10" s="1515"/>
      <c r="AK10" s="1515"/>
      <c r="AL10" s="1515"/>
      <c r="AM10" s="1515"/>
      <c r="AN10" s="1515"/>
      <c r="AO10" s="1515"/>
      <c r="AP10" s="1515"/>
      <c r="AQ10" s="1516"/>
      <c r="AS10" s="1517"/>
      <c r="AT10" s="1517"/>
      <c r="AU10" s="1517"/>
      <c r="AV10" s="1517"/>
      <c r="AW10" s="1517"/>
      <c r="AX10" s="1517"/>
      <c r="AY10" s="1517"/>
      <c r="AZ10" s="1517"/>
      <c r="BA10" s="1517"/>
      <c r="BB10" s="1517"/>
      <c r="BC10" s="1517"/>
      <c r="BD10" s="1517"/>
      <c r="BE10" s="1517"/>
      <c r="BF10" s="1517"/>
      <c r="BG10" s="1517"/>
      <c r="BH10" s="1517"/>
      <c r="BI10" s="1517"/>
      <c r="BJ10" s="1517"/>
      <c r="BK10" s="1517"/>
      <c r="BL10" s="1518"/>
      <c r="BN10" s="1519"/>
      <c r="BO10" s="1519"/>
      <c r="BP10" s="1520"/>
      <c r="BR10" s="3168">
        <f t="shared" si="0"/>
        <v>0</v>
      </c>
      <c r="BS10" s="1521"/>
      <c r="BT10" s="748"/>
      <c r="BU10" s="1507">
        <v>0</v>
      </c>
      <c r="BV10" s="1508">
        <v>0</v>
      </c>
      <c r="BW10" s="1508">
        <v>0</v>
      </c>
      <c r="BX10" s="1508">
        <v>0</v>
      </c>
      <c r="BY10" s="1508">
        <v>0</v>
      </c>
      <c r="BZ10" s="1508">
        <v>0</v>
      </c>
      <c r="CA10" s="1508">
        <v>0</v>
      </c>
      <c r="CB10" s="1508">
        <v>0</v>
      </c>
      <c r="CC10" s="1508">
        <v>0</v>
      </c>
      <c r="CD10" s="1508">
        <v>0</v>
      </c>
      <c r="CE10" s="1508">
        <v>0</v>
      </c>
      <c r="CF10" s="1508">
        <v>0</v>
      </c>
      <c r="CG10" s="1508">
        <v>0</v>
      </c>
      <c r="CH10" s="1508">
        <v>0</v>
      </c>
      <c r="CI10" s="1508">
        <v>0</v>
      </c>
      <c r="CJ10" s="1508">
        <v>0</v>
      </c>
      <c r="CK10" s="1508">
        <v>0</v>
      </c>
      <c r="CL10" s="1508">
        <v>0</v>
      </c>
      <c r="CM10" s="1508">
        <v>0</v>
      </c>
      <c r="CN10" s="1508">
        <v>0</v>
      </c>
      <c r="CO10" s="1508">
        <v>0</v>
      </c>
      <c r="CP10" s="1508">
        <v>0</v>
      </c>
      <c r="CQ10" s="1508">
        <v>0</v>
      </c>
      <c r="CR10" s="1508">
        <v>0</v>
      </c>
      <c r="CS10" s="1508">
        <v>0</v>
      </c>
      <c r="CT10" s="1508">
        <v>0</v>
      </c>
      <c r="CU10" s="1508">
        <v>0</v>
      </c>
      <c r="CV10" s="1508">
        <v>0</v>
      </c>
      <c r="CW10" s="1508">
        <v>0</v>
      </c>
      <c r="CX10" s="1508">
        <v>0</v>
      </c>
      <c r="CY10" s="1508">
        <v>0</v>
      </c>
      <c r="CZ10" s="1508">
        <v>0</v>
      </c>
      <c r="DA10" s="1508">
        <v>0</v>
      </c>
      <c r="DB10" s="1508">
        <v>0</v>
      </c>
      <c r="DC10" s="1508">
        <v>0</v>
      </c>
      <c r="DD10" s="1508">
        <v>0</v>
      </c>
      <c r="DE10" s="1508">
        <v>0</v>
      </c>
      <c r="DF10" s="1508">
        <v>0</v>
      </c>
      <c r="DG10" s="1508">
        <v>0</v>
      </c>
      <c r="DH10" s="1508">
        <v>0</v>
      </c>
      <c r="DI10" s="1508">
        <v>0</v>
      </c>
      <c r="DJ10" s="1508">
        <v>0</v>
      </c>
      <c r="DK10" s="1508">
        <v>0</v>
      </c>
      <c r="DL10" s="1508">
        <v>0</v>
      </c>
      <c r="DN10" s="1509"/>
    </row>
    <row r="11" spans="1:118" s="14" customFormat="1" ht="12.75" customHeight="1" outlineLevel="1" x14ac:dyDescent="0.2">
      <c r="A11" s="1522"/>
      <c r="B11" s="1522"/>
      <c r="C11" s="1496"/>
      <c r="D11" s="1522"/>
      <c r="E11" s="1497"/>
      <c r="G11" s="1499"/>
      <c r="H11" s="1499"/>
      <c r="I11" s="1499"/>
      <c r="J11" s="1499"/>
      <c r="K11" s="1499"/>
      <c r="L11" s="1499"/>
      <c r="M11" s="1499"/>
      <c r="N11" s="1499"/>
      <c r="O11" s="1499"/>
      <c r="P11" s="1499"/>
      <c r="Q11" s="1499"/>
      <c r="R11" s="1499"/>
      <c r="S11" s="1499"/>
      <c r="T11" s="1499"/>
      <c r="U11" s="1499"/>
      <c r="V11" s="1499"/>
      <c r="W11" s="1499"/>
      <c r="Y11" s="1501"/>
      <c r="Z11" s="1501"/>
      <c r="AA11" s="1501"/>
      <c r="AB11" s="1501"/>
      <c r="AC11" s="1501"/>
      <c r="AD11" s="1501"/>
      <c r="AE11" s="1501"/>
      <c r="AF11" s="1501"/>
      <c r="AG11" s="1501"/>
      <c r="AH11" s="1501"/>
      <c r="AI11" s="1501"/>
      <c r="AJ11" s="1501"/>
      <c r="AK11" s="1501"/>
      <c r="AL11" s="1501"/>
      <c r="AM11" s="1501"/>
      <c r="AN11" s="1501"/>
      <c r="AO11" s="1501"/>
      <c r="AP11" s="1501"/>
      <c r="AQ11" s="1501"/>
      <c r="AS11" s="1523"/>
      <c r="AT11" s="1523"/>
      <c r="AU11" s="1523"/>
      <c r="AV11" s="1523"/>
      <c r="AW11" s="1523"/>
      <c r="AX11" s="1523"/>
      <c r="AY11" s="1523"/>
      <c r="AZ11" s="1523"/>
      <c r="BA11" s="1523"/>
      <c r="BB11" s="1523"/>
      <c r="BC11" s="1523"/>
      <c r="BD11" s="1523"/>
      <c r="BE11" s="1523"/>
      <c r="BF11" s="1523"/>
      <c r="BG11" s="1523"/>
      <c r="BH11" s="1523"/>
      <c r="BI11" s="1523"/>
      <c r="BJ11" s="1523"/>
      <c r="BK11" s="1523"/>
      <c r="BL11" s="1524"/>
      <c r="BN11" s="1505"/>
      <c r="BO11" s="1505"/>
      <c r="BP11" s="1505"/>
      <c r="BR11" s="3168">
        <f t="shared" si="0"/>
        <v>0</v>
      </c>
      <c r="BS11" s="1525"/>
      <c r="BT11" s="748"/>
      <c r="BU11" s="1507">
        <v>67.291769164453711</v>
      </c>
      <c r="BV11" s="1508">
        <v>0.13655504882378258</v>
      </c>
      <c r="BW11" s="1508">
        <v>0.22513176941521534</v>
      </c>
      <c r="BX11" s="1508">
        <v>0</v>
      </c>
      <c r="BY11" s="1508">
        <v>0</v>
      </c>
      <c r="BZ11" s="1508">
        <v>0</v>
      </c>
      <c r="CA11" s="1508">
        <v>0</v>
      </c>
      <c r="CB11" s="1508">
        <v>0</v>
      </c>
      <c r="CC11" s="1508">
        <v>0</v>
      </c>
      <c r="CD11" s="1508">
        <v>0</v>
      </c>
      <c r="CE11" s="1508">
        <v>0</v>
      </c>
      <c r="CF11" s="1508">
        <v>0</v>
      </c>
      <c r="CG11" s="1508">
        <v>0</v>
      </c>
      <c r="CH11" s="1508">
        <v>0</v>
      </c>
      <c r="CI11" s="1508">
        <v>0</v>
      </c>
      <c r="CJ11" s="1508">
        <v>0</v>
      </c>
      <c r="CK11" s="1508">
        <v>0</v>
      </c>
      <c r="CL11" s="1508">
        <v>0</v>
      </c>
      <c r="CM11" s="1508">
        <v>0</v>
      </c>
      <c r="CN11" s="1508">
        <v>0</v>
      </c>
      <c r="CO11" s="1508">
        <v>0</v>
      </c>
      <c r="CP11" s="1508">
        <v>0</v>
      </c>
      <c r="CQ11" s="1508">
        <v>0</v>
      </c>
      <c r="CR11" s="1508">
        <v>0</v>
      </c>
      <c r="CS11" s="1508">
        <v>0</v>
      </c>
      <c r="CT11" s="1508">
        <v>0</v>
      </c>
      <c r="CU11" s="1508">
        <v>0</v>
      </c>
      <c r="CV11" s="1508">
        <v>0</v>
      </c>
      <c r="CW11" s="1508">
        <v>0</v>
      </c>
      <c r="CX11" s="1508">
        <v>0</v>
      </c>
      <c r="CY11" s="1508">
        <v>0</v>
      </c>
      <c r="CZ11" s="1508">
        <v>0</v>
      </c>
      <c r="DA11" s="1508">
        <v>0</v>
      </c>
      <c r="DB11" s="1508">
        <v>0</v>
      </c>
      <c r="DC11" s="1508">
        <v>0</v>
      </c>
      <c r="DD11" s="1508">
        <v>0</v>
      </c>
      <c r="DE11" s="1508">
        <v>0</v>
      </c>
      <c r="DF11" s="1508">
        <v>0</v>
      </c>
      <c r="DG11" s="1508">
        <v>0</v>
      </c>
      <c r="DH11" s="1508">
        <v>0</v>
      </c>
      <c r="DI11" s="1508">
        <v>0</v>
      </c>
      <c r="DJ11" s="1508">
        <v>0</v>
      </c>
      <c r="DK11" s="1508">
        <v>0</v>
      </c>
      <c r="DL11" s="1508">
        <v>0</v>
      </c>
      <c r="DN11" s="1509"/>
    </row>
    <row r="12" spans="1:118" s="14" customFormat="1" ht="10.5" customHeight="1" outlineLevel="2" x14ac:dyDescent="0.2">
      <c r="A12" s="1495"/>
      <c r="B12" s="1495"/>
      <c r="C12" s="1496" t="s">
        <v>554</v>
      </c>
      <c r="D12" s="14" t="str">
        <f>INDEX(Modulos[Modulos], MATCH($C12, Modulos[Código], 0))</f>
        <v>Comercial y Púbico</v>
      </c>
      <c r="G12" s="1498">
        <f t="shared" ref="G12:V12" ca="1" si="4">IFERROR(INDEX(INDIRECT($C12&amp;".Outputs["&amp;this.Year&amp;"]"), MATCH(G$5, INDIRECT($C12&amp;".Outputs[Vector]"), 0)), 0)</f>
        <v>9.7286796842853445</v>
      </c>
      <c r="H12" s="1498">
        <f t="shared" ca="1" si="4"/>
        <v>7.9233383342976058</v>
      </c>
      <c r="I12" s="1498">
        <f t="shared" ca="1" si="4"/>
        <v>0.65846217395316775</v>
      </c>
      <c r="J12" s="1498">
        <f t="shared" ca="1" si="4"/>
        <v>1.6573860095857387</v>
      </c>
      <c r="K12" s="1498">
        <f t="shared" ca="1" si="4"/>
        <v>0.85842762114198679</v>
      </c>
      <c r="L12" s="1498">
        <f t="shared" ca="1" si="4"/>
        <v>4.9048013539975912</v>
      </c>
      <c r="M12" s="1498">
        <f t="shared" ca="1" si="4"/>
        <v>0</v>
      </c>
      <c r="N12" s="1498">
        <f t="shared" ca="1" si="4"/>
        <v>0</v>
      </c>
      <c r="O12" s="1498">
        <f t="shared" ca="1" si="4"/>
        <v>0</v>
      </c>
      <c r="P12" s="1498">
        <f t="shared" ca="1" si="4"/>
        <v>0</v>
      </c>
      <c r="Q12" s="1498">
        <f t="shared" ca="1" si="4"/>
        <v>0</v>
      </c>
      <c r="R12" s="1498">
        <f t="shared" ca="1" si="4"/>
        <v>0</v>
      </c>
      <c r="S12" s="1498">
        <f t="shared" ca="1" si="4"/>
        <v>0</v>
      </c>
      <c r="T12" s="1498">
        <f t="shared" ca="1" si="4"/>
        <v>0</v>
      </c>
      <c r="U12" s="1498">
        <f t="shared" ca="1" si="4"/>
        <v>0</v>
      </c>
      <c r="V12" s="1498">
        <f t="shared" ca="1" si="4"/>
        <v>0</v>
      </c>
      <c r="W12" s="1539">
        <f ca="1">SUM(G12:V12)</f>
        <v>25.731095177261437</v>
      </c>
      <c r="Y12" s="1500">
        <f t="shared" ref="Y12:AP12" ca="1" si="5">IFERROR(INDEX(INDIRECT($C12&amp;".Outputs["&amp;this.Year&amp;"]"), MATCH(Y$5, INDIRECT($C12&amp;".Outputs[Vector]"), 0)), 0)</f>
        <v>-14.458323869284641</v>
      </c>
      <c r="Z12" s="1500">
        <f t="shared" ca="1" si="5"/>
        <v>0</v>
      </c>
      <c r="AA12" s="1500">
        <f t="shared" ca="1" si="5"/>
        <v>0</v>
      </c>
      <c r="AB12" s="1500">
        <f t="shared" ca="1" si="5"/>
        <v>-5.2467395575756139</v>
      </c>
      <c r="AC12" s="1500">
        <f t="shared" ca="1" si="5"/>
        <v>-5.3662231839470103</v>
      </c>
      <c r="AD12" s="1500">
        <f t="shared" ca="1" si="5"/>
        <v>0</v>
      </c>
      <c r="AE12" s="1500">
        <f t="shared" ca="1" si="5"/>
        <v>0</v>
      </c>
      <c r="AF12" s="1500">
        <f t="shared" ca="1" si="5"/>
        <v>0</v>
      </c>
      <c r="AG12" s="1500">
        <f t="shared" ca="1" si="5"/>
        <v>0</v>
      </c>
      <c r="AH12" s="1500">
        <f t="shared" ca="1" si="5"/>
        <v>0</v>
      </c>
      <c r="AI12" s="1500">
        <f t="shared" ca="1" si="5"/>
        <v>0</v>
      </c>
      <c r="AJ12" s="1500">
        <f t="shared" ca="1" si="5"/>
        <v>0</v>
      </c>
      <c r="AK12" s="1500">
        <f t="shared" ca="1" si="5"/>
        <v>0</v>
      </c>
      <c r="AL12" s="1500">
        <f t="shared" ca="1" si="5"/>
        <v>-0.64197481880835283</v>
      </c>
      <c r="AM12" s="1500">
        <f t="shared" ca="1" si="5"/>
        <v>0</v>
      </c>
      <c r="AN12" s="1500">
        <f t="shared" ca="1" si="5"/>
        <v>0</v>
      </c>
      <c r="AO12" s="1500">
        <f t="shared" ca="1" si="5"/>
        <v>0</v>
      </c>
      <c r="AP12" s="1500">
        <f t="shared" ca="1" si="5"/>
        <v>0</v>
      </c>
      <c r="AQ12" s="1490">
        <f ca="1">SUM(Y12:AP12)</f>
        <v>-25.713261429615621</v>
      </c>
      <c r="AS12" s="1491">
        <f t="shared" ref="AS12:BK12" ca="1" si="6">IFERROR(INDEX(INDIRECT($C12&amp;".Outputs["&amp;this.Year&amp;"]"), MATCH(AS$5, INDIRECT($C12&amp;".Outputs[Vector]"), 0)), 0)</f>
        <v>0</v>
      </c>
      <c r="AT12" s="1491">
        <f t="shared" ca="1" si="6"/>
        <v>0</v>
      </c>
      <c r="AU12" s="1491">
        <f t="shared" ca="1" si="6"/>
        <v>0</v>
      </c>
      <c r="AV12" s="1491">
        <f t="shared" ca="1" si="6"/>
        <v>0</v>
      </c>
      <c r="AW12" s="1491">
        <f t="shared" ca="1" si="6"/>
        <v>0</v>
      </c>
      <c r="AX12" s="1491">
        <f t="shared" ca="1" si="6"/>
        <v>0</v>
      </c>
      <c r="AY12" s="1491">
        <f t="shared" ca="1" si="6"/>
        <v>0</v>
      </c>
      <c r="AZ12" s="1491">
        <f t="shared" ca="1" si="6"/>
        <v>0</v>
      </c>
      <c r="BA12" s="1491">
        <f t="shared" ca="1" si="6"/>
        <v>0</v>
      </c>
      <c r="BB12" s="1491">
        <f t="shared" ca="1" si="6"/>
        <v>0</v>
      </c>
      <c r="BC12" s="1491">
        <f t="shared" ca="1" si="6"/>
        <v>-1.7833747645815943E-2</v>
      </c>
      <c r="BD12" s="1491">
        <f t="shared" ca="1" si="6"/>
        <v>0</v>
      </c>
      <c r="BE12" s="1491">
        <f t="shared" ca="1" si="6"/>
        <v>0</v>
      </c>
      <c r="BF12" s="1491">
        <f t="shared" ca="1" si="6"/>
        <v>0</v>
      </c>
      <c r="BG12" s="1491">
        <f t="shared" ca="1" si="6"/>
        <v>0</v>
      </c>
      <c r="BH12" s="1491">
        <f t="shared" ca="1" si="6"/>
        <v>0</v>
      </c>
      <c r="BI12" s="1491">
        <f t="shared" ca="1" si="6"/>
        <v>0</v>
      </c>
      <c r="BJ12" s="1491">
        <f t="shared" ca="1" si="6"/>
        <v>0</v>
      </c>
      <c r="BK12" s="1491">
        <f t="shared" ca="1" si="6"/>
        <v>0</v>
      </c>
      <c r="BL12" s="1503">
        <f ca="1">SUM(AS12:BK12)</f>
        <v>-1.7833747645815943E-2</v>
      </c>
      <c r="BN12" s="1941">
        <f ca="1">IFERROR(INDEX(INDIRECT($C12&amp;".Outputs["&amp;this.Year&amp;"]"), MATCH(BN$5, INDIRECT($C12&amp;".Outputs[Vector]"), 0)), 0)</f>
        <v>0</v>
      </c>
      <c r="BO12" s="1941">
        <f ca="1">IFERROR(INDEX(INDIRECT($C12&amp;".Outputs["&amp;this.Year&amp;"]"), MATCH(BO$5, INDIRECT($C12&amp;".Outputs[Vector]"), 0)), 0)</f>
        <v>0</v>
      </c>
      <c r="BP12" s="1505">
        <f ca="1">BN12+BO12</f>
        <v>0</v>
      </c>
      <c r="BR12" s="3168">
        <f t="shared" ca="1" si="0"/>
        <v>8.569533971325427E-16</v>
      </c>
      <c r="BS12" s="1506"/>
      <c r="BT12" s="748"/>
      <c r="BU12" s="1507">
        <v>16.670422935762357</v>
      </c>
      <c r="BV12" s="1508">
        <v>3.1691470049996472E-2</v>
      </c>
      <c r="BW12" s="1508">
        <v>7.1890492881915569E-2</v>
      </c>
      <c r="BX12" s="1508">
        <v>0</v>
      </c>
      <c r="BY12" s="1508">
        <v>0</v>
      </c>
      <c r="BZ12" s="1508">
        <v>0</v>
      </c>
      <c r="CA12" s="1508">
        <v>0</v>
      </c>
      <c r="CB12" s="1508">
        <v>0</v>
      </c>
      <c r="CC12" s="1508">
        <v>0</v>
      </c>
      <c r="CD12" s="1508">
        <v>0</v>
      </c>
      <c r="CE12" s="1508">
        <v>0</v>
      </c>
      <c r="CF12" s="1508">
        <v>0</v>
      </c>
      <c r="CG12" s="1508">
        <v>0</v>
      </c>
      <c r="CH12" s="1508">
        <v>0</v>
      </c>
      <c r="CI12" s="1508">
        <v>0</v>
      </c>
      <c r="CJ12" s="1508">
        <v>0</v>
      </c>
      <c r="CK12" s="1508">
        <v>0</v>
      </c>
      <c r="CL12" s="1508">
        <v>0</v>
      </c>
      <c r="CM12" s="1508">
        <v>0</v>
      </c>
      <c r="CN12" s="1508">
        <v>0</v>
      </c>
      <c r="CO12" s="1508">
        <v>0</v>
      </c>
      <c r="CP12" s="1508">
        <v>0</v>
      </c>
      <c r="CQ12" s="1508">
        <v>0</v>
      </c>
      <c r="CR12" s="1508">
        <v>0</v>
      </c>
      <c r="CS12" s="1508">
        <v>0</v>
      </c>
      <c r="CT12" s="1508">
        <v>0</v>
      </c>
      <c r="CU12" s="1508">
        <v>0</v>
      </c>
      <c r="CV12" s="1508">
        <v>0</v>
      </c>
      <c r="CW12" s="1508">
        <v>0</v>
      </c>
      <c r="CX12" s="1508">
        <v>0</v>
      </c>
      <c r="CY12" s="1508">
        <v>0</v>
      </c>
      <c r="CZ12" s="1508">
        <v>0</v>
      </c>
      <c r="DA12" s="1508">
        <v>0</v>
      </c>
      <c r="DB12" s="1508">
        <v>0</v>
      </c>
      <c r="DC12" s="1508">
        <v>0</v>
      </c>
      <c r="DD12" s="1508">
        <v>0</v>
      </c>
      <c r="DE12" s="1508">
        <v>0</v>
      </c>
      <c r="DF12" s="1508">
        <v>0</v>
      </c>
      <c r="DG12" s="1508">
        <v>0</v>
      </c>
      <c r="DH12" s="1508">
        <v>0</v>
      </c>
      <c r="DI12" s="1508">
        <v>0</v>
      </c>
      <c r="DJ12" s="1508">
        <v>0</v>
      </c>
      <c r="DK12" s="1508">
        <v>0</v>
      </c>
      <c r="DL12" s="1508">
        <v>0</v>
      </c>
      <c r="DN12" s="1509"/>
    </row>
    <row r="13" spans="1:118" s="14" customFormat="1" ht="10.5" customHeight="1" outlineLevel="2" x14ac:dyDescent="0.2">
      <c r="A13" s="1510"/>
      <c r="B13" s="1510"/>
      <c r="C13" s="1511"/>
      <c r="D13" s="1510"/>
      <c r="E13" s="1512"/>
      <c r="G13" s="1513"/>
      <c r="H13" s="1513"/>
      <c r="I13" s="1513"/>
      <c r="J13" s="1513"/>
      <c r="K13" s="1513"/>
      <c r="L13" s="1513"/>
      <c r="M13" s="1513"/>
      <c r="N13" s="1513"/>
      <c r="O13" s="1513"/>
      <c r="P13" s="1513"/>
      <c r="Q13" s="1513"/>
      <c r="R13" s="1513"/>
      <c r="S13" s="1513"/>
      <c r="T13" s="1513"/>
      <c r="U13" s="1513"/>
      <c r="V13" s="1513"/>
      <c r="W13" s="1514"/>
      <c r="Y13" s="1515"/>
      <c r="Z13" s="1515"/>
      <c r="AA13" s="1515"/>
      <c r="AB13" s="1515"/>
      <c r="AC13" s="1515"/>
      <c r="AD13" s="1515"/>
      <c r="AE13" s="1515"/>
      <c r="AF13" s="1515"/>
      <c r="AG13" s="1515"/>
      <c r="AH13" s="1515"/>
      <c r="AI13" s="1515"/>
      <c r="AJ13" s="1515"/>
      <c r="AK13" s="1515"/>
      <c r="AL13" s="1515"/>
      <c r="AM13" s="1515"/>
      <c r="AN13" s="1515"/>
      <c r="AO13" s="1515"/>
      <c r="AP13" s="1515"/>
      <c r="AQ13" s="1516"/>
      <c r="AS13" s="1517"/>
      <c r="AT13" s="1517"/>
      <c r="AU13" s="1517"/>
      <c r="AV13" s="1517"/>
      <c r="AW13" s="1517"/>
      <c r="AX13" s="1517"/>
      <c r="AY13" s="1517"/>
      <c r="AZ13" s="1517"/>
      <c r="BA13" s="1517"/>
      <c r="BB13" s="1517"/>
      <c r="BC13" s="1517"/>
      <c r="BD13" s="1517"/>
      <c r="BE13" s="1517"/>
      <c r="BF13" s="1517"/>
      <c r="BG13" s="1517"/>
      <c r="BH13" s="1517"/>
      <c r="BI13" s="1517"/>
      <c r="BJ13" s="1517"/>
      <c r="BK13" s="1517"/>
      <c r="BL13" s="1518"/>
      <c r="BN13" s="1519"/>
      <c r="BO13" s="1519"/>
      <c r="BP13" s="1520"/>
      <c r="BR13" s="3168">
        <f t="shared" si="0"/>
        <v>0</v>
      </c>
      <c r="BS13" s="1521"/>
      <c r="BT13" s="748"/>
      <c r="BU13" s="1507">
        <v>0</v>
      </c>
      <c r="BV13" s="1508">
        <v>0</v>
      </c>
      <c r="BW13" s="1508">
        <v>0</v>
      </c>
      <c r="BX13" s="1508">
        <v>0</v>
      </c>
      <c r="BY13" s="1508">
        <v>0</v>
      </c>
      <c r="BZ13" s="1508">
        <v>0</v>
      </c>
      <c r="CA13" s="1508">
        <v>0</v>
      </c>
      <c r="CB13" s="1508">
        <v>0</v>
      </c>
      <c r="CC13" s="1508">
        <v>0</v>
      </c>
      <c r="CD13" s="1508">
        <v>0</v>
      </c>
      <c r="CE13" s="1508">
        <v>0</v>
      </c>
      <c r="CF13" s="1508">
        <v>0</v>
      </c>
      <c r="CG13" s="1508">
        <v>0</v>
      </c>
      <c r="CH13" s="1508">
        <v>0</v>
      </c>
      <c r="CI13" s="1508">
        <v>0</v>
      </c>
      <c r="CJ13" s="1508">
        <v>0</v>
      </c>
      <c r="CK13" s="1508">
        <v>0</v>
      </c>
      <c r="CL13" s="1508">
        <v>0</v>
      </c>
      <c r="CM13" s="1508">
        <v>0</v>
      </c>
      <c r="CN13" s="1508">
        <v>0</v>
      </c>
      <c r="CO13" s="1508">
        <v>0</v>
      </c>
      <c r="CP13" s="1508">
        <v>0</v>
      </c>
      <c r="CQ13" s="1508">
        <v>0</v>
      </c>
      <c r="CR13" s="1508">
        <v>0</v>
      </c>
      <c r="CS13" s="1508">
        <v>0</v>
      </c>
      <c r="CT13" s="1508">
        <v>0</v>
      </c>
      <c r="CU13" s="1508">
        <v>0</v>
      </c>
      <c r="CV13" s="1508">
        <v>0</v>
      </c>
      <c r="CW13" s="1508">
        <v>0</v>
      </c>
      <c r="CX13" s="1508">
        <v>0</v>
      </c>
      <c r="CY13" s="1508">
        <v>0</v>
      </c>
      <c r="CZ13" s="1508">
        <v>0</v>
      </c>
      <c r="DA13" s="1508">
        <v>0</v>
      </c>
      <c r="DB13" s="1508">
        <v>0</v>
      </c>
      <c r="DC13" s="1508">
        <v>0</v>
      </c>
      <c r="DD13" s="1508">
        <v>0</v>
      </c>
      <c r="DE13" s="1508">
        <v>0</v>
      </c>
      <c r="DF13" s="1508">
        <v>0</v>
      </c>
      <c r="DG13" s="1508">
        <v>0</v>
      </c>
      <c r="DH13" s="1508">
        <v>0</v>
      </c>
      <c r="DI13" s="1508">
        <v>0</v>
      </c>
      <c r="DJ13" s="1508">
        <v>0</v>
      </c>
      <c r="DK13" s="1508">
        <v>0</v>
      </c>
      <c r="DL13" s="1508">
        <v>0</v>
      </c>
      <c r="DN13" s="1509"/>
    </row>
    <row r="14" spans="1:118" s="14" customFormat="1" ht="12.75" customHeight="1" outlineLevel="1" x14ac:dyDescent="0.2">
      <c r="A14" s="1522"/>
      <c r="B14" s="1522"/>
      <c r="C14" s="1496"/>
      <c r="D14" s="1526"/>
      <c r="E14" s="1526"/>
      <c r="G14" s="1527"/>
      <c r="H14" s="1527"/>
      <c r="I14" s="1527"/>
      <c r="J14" s="1527"/>
      <c r="K14" s="1527"/>
      <c r="L14" s="1527"/>
      <c r="M14" s="1527"/>
      <c r="N14" s="1527"/>
      <c r="O14" s="1527"/>
      <c r="P14" s="1527"/>
      <c r="Q14" s="1527"/>
      <c r="R14" s="1527"/>
      <c r="S14" s="1527"/>
      <c r="T14" s="1527"/>
      <c r="U14" s="1527"/>
      <c r="V14" s="1527"/>
      <c r="W14" s="1527"/>
      <c r="Y14" s="1528"/>
      <c r="Z14" s="1528"/>
      <c r="AA14" s="1528"/>
      <c r="AB14" s="1528"/>
      <c r="AC14" s="1528"/>
      <c r="AD14" s="1528"/>
      <c r="AE14" s="1528"/>
      <c r="AF14" s="1528"/>
      <c r="AG14" s="1528"/>
      <c r="AH14" s="1528"/>
      <c r="AI14" s="1528"/>
      <c r="AJ14" s="1528"/>
      <c r="AK14" s="1528"/>
      <c r="AL14" s="1528"/>
      <c r="AM14" s="1528"/>
      <c r="AN14" s="1528"/>
      <c r="AO14" s="1528"/>
      <c r="AP14" s="1528"/>
      <c r="AQ14" s="1528"/>
      <c r="AS14" s="1529"/>
      <c r="AT14" s="1529"/>
      <c r="AU14" s="1529"/>
      <c r="AV14" s="1529"/>
      <c r="AW14" s="1529"/>
      <c r="AX14" s="1529"/>
      <c r="AY14" s="1529"/>
      <c r="AZ14" s="1529"/>
      <c r="BA14" s="1529"/>
      <c r="BB14" s="1529"/>
      <c r="BC14" s="1529"/>
      <c r="BD14" s="1529"/>
      <c r="BE14" s="1529"/>
      <c r="BF14" s="1529"/>
      <c r="BG14" s="1529"/>
      <c r="BH14" s="1529"/>
      <c r="BI14" s="1529"/>
      <c r="BJ14" s="1529"/>
      <c r="BK14" s="1529"/>
      <c r="BL14" s="1530"/>
      <c r="BN14" s="1531"/>
      <c r="BO14" s="1531"/>
      <c r="BP14" s="1531"/>
      <c r="BR14" s="3168">
        <f t="shared" si="0"/>
        <v>0</v>
      </c>
      <c r="BS14" s="1525"/>
      <c r="BT14" s="748"/>
      <c r="BU14" s="1532">
        <v>16.670422935762357</v>
      </c>
      <c r="BV14" s="1533">
        <v>3.1691470049996472E-2</v>
      </c>
      <c r="BW14" s="1533">
        <v>7.1890492881915569E-2</v>
      </c>
      <c r="BX14" s="1533">
        <v>0</v>
      </c>
      <c r="BY14" s="1533">
        <v>0</v>
      </c>
      <c r="BZ14" s="1533">
        <v>0</v>
      </c>
      <c r="CA14" s="1533">
        <v>0</v>
      </c>
      <c r="CB14" s="1533">
        <v>0</v>
      </c>
      <c r="CC14" s="1533">
        <v>0</v>
      </c>
      <c r="CD14" s="1533">
        <v>0</v>
      </c>
      <c r="CE14" s="1533">
        <v>0</v>
      </c>
      <c r="CF14" s="1533">
        <v>0</v>
      </c>
      <c r="CG14" s="1533">
        <v>0</v>
      </c>
      <c r="CH14" s="1533">
        <v>0</v>
      </c>
      <c r="CI14" s="1533">
        <v>0</v>
      </c>
      <c r="CJ14" s="1533">
        <v>0</v>
      </c>
      <c r="CK14" s="1533">
        <v>0</v>
      </c>
      <c r="CL14" s="1533">
        <v>0</v>
      </c>
      <c r="CM14" s="1533">
        <v>0</v>
      </c>
      <c r="CN14" s="1533">
        <v>0</v>
      </c>
      <c r="CO14" s="1533">
        <v>0</v>
      </c>
      <c r="CP14" s="1533">
        <v>0</v>
      </c>
      <c r="CQ14" s="1533">
        <v>0</v>
      </c>
      <c r="CR14" s="1533">
        <v>0</v>
      </c>
      <c r="CS14" s="1533">
        <v>0</v>
      </c>
      <c r="CT14" s="1533">
        <v>0</v>
      </c>
      <c r="CU14" s="1533">
        <v>0</v>
      </c>
      <c r="CV14" s="1533">
        <v>0</v>
      </c>
      <c r="CW14" s="1533">
        <v>0</v>
      </c>
      <c r="CX14" s="1533">
        <v>0</v>
      </c>
      <c r="CY14" s="1533">
        <v>0</v>
      </c>
      <c r="CZ14" s="1533">
        <v>0</v>
      </c>
      <c r="DA14" s="1533">
        <v>0</v>
      </c>
      <c r="DB14" s="1533">
        <v>0</v>
      </c>
      <c r="DC14" s="1533">
        <v>0</v>
      </c>
      <c r="DD14" s="1533">
        <v>0</v>
      </c>
      <c r="DE14" s="1533">
        <v>0</v>
      </c>
      <c r="DF14" s="1533">
        <v>0</v>
      </c>
      <c r="DG14" s="1533">
        <v>0</v>
      </c>
      <c r="DH14" s="1533">
        <v>0</v>
      </c>
      <c r="DI14" s="1533">
        <v>0</v>
      </c>
      <c r="DJ14" s="1533">
        <v>0</v>
      </c>
      <c r="DK14" s="1533">
        <v>0</v>
      </c>
      <c r="DL14" s="1533">
        <v>0</v>
      </c>
      <c r="DN14" s="1509"/>
    </row>
    <row r="15" spans="1:118" s="14" customFormat="1" ht="15.75" x14ac:dyDescent="0.2">
      <c r="A15" s="1534"/>
      <c r="B15" s="1535"/>
      <c r="C15" s="1536" t="s">
        <v>478</v>
      </c>
      <c r="D15" s="1537" t="str">
        <f>INDEX(Flujos[Flujos], MATCH($C15, Flujos[Código], 0))</f>
        <v>Comercial, Público y Residencial</v>
      </c>
      <c r="E15" s="1538"/>
      <c r="G15" s="1539">
        <f ca="1">G9+G12</f>
        <v>45.608248634209794</v>
      </c>
      <c r="H15" s="1539">
        <f ca="1">H9+H12</f>
        <v>9.7077573939741324</v>
      </c>
      <c r="I15" s="1539">
        <f t="shared" ref="I15:V15" ca="1" si="7">I9+I12</f>
        <v>3.8449247805183946</v>
      </c>
      <c r="J15" s="1539">
        <f t="shared" ca="1" si="7"/>
        <v>12.873734384695339</v>
      </c>
      <c r="K15" s="1539">
        <f t="shared" ca="1" si="7"/>
        <v>5.7018507831211309</v>
      </c>
      <c r="L15" s="1539">
        <f t="shared" ca="1" si="7"/>
        <v>11.72383133204718</v>
      </c>
      <c r="M15" s="1539">
        <f t="shared" ca="1" si="7"/>
        <v>0</v>
      </c>
      <c r="N15" s="1539">
        <f t="shared" ca="1" si="7"/>
        <v>0</v>
      </c>
      <c r="O15" s="1539">
        <f t="shared" ca="1" si="7"/>
        <v>0</v>
      </c>
      <c r="P15" s="1539">
        <f t="shared" ca="1" si="7"/>
        <v>0</v>
      </c>
      <c r="Q15" s="1539">
        <f t="shared" ca="1" si="7"/>
        <v>0</v>
      </c>
      <c r="R15" s="1539">
        <f t="shared" ca="1" si="7"/>
        <v>0</v>
      </c>
      <c r="S15" s="1539">
        <f t="shared" ca="1" si="7"/>
        <v>0</v>
      </c>
      <c r="T15" s="1539">
        <f t="shared" ca="1" si="7"/>
        <v>0</v>
      </c>
      <c r="U15" s="1539">
        <f t="shared" ca="1" si="7"/>
        <v>0</v>
      </c>
      <c r="V15" s="1539">
        <f t="shared" ca="1" si="7"/>
        <v>0</v>
      </c>
      <c r="W15" s="1539">
        <f ca="1">SUM(G15:V15)</f>
        <v>89.460347308565986</v>
      </c>
      <c r="Y15" s="1490">
        <f ca="1">Y9+Y12</f>
        <v>-31.024031789236133</v>
      </c>
      <c r="Z15" s="1490">
        <f t="shared" ref="Z15:AP15" ca="1" si="8">Z9+Z12</f>
        <v>0</v>
      </c>
      <c r="AA15" s="1490">
        <f t="shared" ca="1" si="8"/>
        <v>0</v>
      </c>
      <c r="AB15" s="1490">
        <f ca="1">AB9+AB12</f>
        <v>-12.742129896315738</v>
      </c>
      <c r="AC15" s="1490">
        <f t="shared" ca="1" si="8"/>
        <v>-36.283876727191902</v>
      </c>
      <c r="AD15" s="1490">
        <f t="shared" ca="1" si="8"/>
        <v>0</v>
      </c>
      <c r="AE15" s="1490">
        <f t="shared" ca="1" si="8"/>
        <v>0</v>
      </c>
      <c r="AF15" s="1490">
        <f t="shared" ca="1" si="8"/>
        <v>0</v>
      </c>
      <c r="AG15" s="1490">
        <f t="shared" ca="1" si="8"/>
        <v>0</v>
      </c>
      <c r="AH15" s="1490">
        <f t="shared" ca="1" si="8"/>
        <v>0</v>
      </c>
      <c r="AI15" s="1490">
        <f t="shared" ca="1" si="8"/>
        <v>0</v>
      </c>
      <c r="AJ15" s="1490">
        <f t="shared" ca="1" si="8"/>
        <v>0</v>
      </c>
      <c r="AK15" s="1490">
        <f t="shared" ca="1" si="8"/>
        <v>0</v>
      </c>
      <c r="AL15" s="1490">
        <f t="shared" ca="1" si="8"/>
        <v>-9.3924751481763842</v>
      </c>
      <c r="AM15" s="1490">
        <f t="shared" ca="1" si="8"/>
        <v>0</v>
      </c>
      <c r="AN15" s="1490">
        <f t="shared" ca="1" si="8"/>
        <v>0</v>
      </c>
      <c r="AO15" s="1490">
        <f t="shared" ca="1" si="8"/>
        <v>0</v>
      </c>
      <c r="AP15" s="1490">
        <f t="shared" ca="1" si="8"/>
        <v>0</v>
      </c>
      <c r="AQ15" s="1490">
        <f ca="1">SUM(Y15:AP15)</f>
        <v>-89.442513560920162</v>
      </c>
      <c r="AS15" s="1491">
        <f ca="1">AS9+AS12</f>
        <v>0</v>
      </c>
      <c r="AT15" s="1491">
        <f t="shared" ref="AT15:BJ15" ca="1" si="9">AT9+AT12</f>
        <v>0</v>
      </c>
      <c r="AU15" s="1491">
        <f t="shared" ca="1" si="9"/>
        <v>0</v>
      </c>
      <c r="AV15" s="1491">
        <f t="shared" ca="1" si="9"/>
        <v>0</v>
      </c>
      <c r="AW15" s="1491">
        <f t="shared" ca="1" si="9"/>
        <v>0</v>
      </c>
      <c r="AX15" s="1491">
        <f t="shared" ca="1" si="9"/>
        <v>0</v>
      </c>
      <c r="AY15" s="1491">
        <f t="shared" ca="1" si="9"/>
        <v>0</v>
      </c>
      <c r="AZ15" s="1491">
        <f t="shared" ca="1" si="9"/>
        <v>0</v>
      </c>
      <c r="BA15" s="1491">
        <f t="shared" ca="1" si="9"/>
        <v>0</v>
      </c>
      <c r="BB15" s="1491">
        <f t="shared" ca="1" si="9"/>
        <v>0</v>
      </c>
      <c r="BC15" s="1491">
        <f t="shared" ca="1" si="9"/>
        <v>-1.7833747645815943E-2</v>
      </c>
      <c r="BD15" s="1491">
        <f t="shared" ca="1" si="9"/>
        <v>0</v>
      </c>
      <c r="BE15" s="1491">
        <f t="shared" ca="1" si="9"/>
        <v>0</v>
      </c>
      <c r="BF15" s="1491">
        <f t="shared" ca="1" si="9"/>
        <v>0</v>
      </c>
      <c r="BG15" s="1491">
        <f t="shared" ca="1" si="9"/>
        <v>0</v>
      </c>
      <c r="BH15" s="1491">
        <f t="shared" ca="1" si="9"/>
        <v>0</v>
      </c>
      <c r="BI15" s="1491">
        <f t="shared" ca="1" si="9"/>
        <v>0</v>
      </c>
      <c r="BJ15" s="1491">
        <f t="shared" ca="1" si="9"/>
        <v>0</v>
      </c>
      <c r="BK15" s="1491">
        <f ca="1">BK9+BK12</f>
        <v>0</v>
      </c>
      <c r="BL15" s="1491">
        <f ca="1">SUM(AS15:BK15)</f>
        <v>-1.7833747645815943E-2</v>
      </c>
      <c r="BN15" s="1941">
        <f ca="1">BN9+BN12</f>
        <v>0</v>
      </c>
      <c r="BO15" s="1941">
        <f ca="1">BO9+BO12</f>
        <v>0</v>
      </c>
      <c r="BP15" s="1505">
        <f ca="1">BN15+BO15</f>
        <v>0</v>
      </c>
      <c r="BR15" s="3168">
        <f ca="1">W15+AQ15+BL15+BP15</f>
        <v>7.9623807547335446E-15</v>
      </c>
      <c r="BS15" s="1493"/>
      <c r="BT15" s="748"/>
      <c r="BU15" s="1508">
        <v>83.962192100216072</v>
      </c>
      <c r="BV15" s="1508">
        <v>0.16824651887377906</v>
      </c>
      <c r="BW15" s="1508">
        <v>0.29702226229713091</v>
      </c>
      <c r="BX15" s="1508">
        <v>0</v>
      </c>
      <c r="BY15" s="1508">
        <v>0</v>
      </c>
      <c r="BZ15" s="1508">
        <v>0</v>
      </c>
      <c r="CA15" s="1508">
        <v>0</v>
      </c>
      <c r="CB15" s="1508">
        <v>0</v>
      </c>
      <c r="CC15" s="1508">
        <v>0</v>
      </c>
      <c r="CD15" s="1508">
        <v>0</v>
      </c>
      <c r="CE15" s="1508">
        <v>0</v>
      </c>
      <c r="CF15" s="1508">
        <v>0</v>
      </c>
      <c r="CG15" s="1508">
        <v>0</v>
      </c>
      <c r="CH15" s="1508">
        <v>0</v>
      </c>
      <c r="CI15" s="1508">
        <v>0</v>
      </c>
      <c r="CJ15" s="1508">
        <v>0</v>
      </c>
      <c r="CK15" s="1508">
        <v>0</v>
      </c>
      <c r="CL15" s="1508">
        <v>0</v>
      </c>
      <c r="CM15" s="1508">
        <v>0</v>
      </c>
      <c r="CN15" s="1508">
        <v>0</v>
      </c>
      <c r="CO15" s="1508">
        <v>0</v>
      </c>
      <c r="CP15" s="1508">
        <v>0</v>
      </c>
      <c r="CQ15" s="1508">
        <v>0</v>
      </c>
      <c r="CR15" s="1508">
        <v>0</v>
      </c>
      <c r="CS15" s="1508">
        <v>0</v>
      </c>
      <c r="CT15" s="1508">
        <v>0</v>
      </c>
      <c r="CU15" s="1508">
        <v>0</v>
      </c>
      <c r="CV15" s="1508">
        <v>0</v>
      </c>
      <c r="CW15" s="1508">
        <v>0</v>
      </c>
      <c r="CX15" s="1508">
        <v>0</v>
      </c>
      <c r="CY15" s="1508">
        <v>0</v>
      </c>
      <c r="CZ15" s="1508">
        <v>0</v>
      </c>
      <c r="DA15" s="1508">
        <v>0</v>
      </c>
      <c r="DB15" s="1508">
        <v>0</v>
      </c>
      <c r="DC15" s="1508">
        <v>0</v>
      </c>
      <c r="DD15" s="1508">
        <v>0</v>
      </c>
      <c r="DE15" s="1508">
        <v>0</v>
      </c>
      <c r="DF15" s="1508">
        <v>0</v>
      </c>
      <c r="DG15" s="1508">
        <v>0</v>
      </c>
      <c r="DH15" s="1508">
        <v>0</v>
      </c>
      <c r="DI15" s="1508">
        <v>0</v>
      </c>
      <c r="DJ15" s="1508">
        <v>0</v>
      </c>
      <c r="DK15" s="1508">
        <v>0</v>
      </c>
      <c r="DL15" s="1508">
        <v>0</v>
      </c>
      <c r="DN15" s="1509">
        <v>84.427460881386978</v>
      </c>
    </row>
    <row r="16" spans="1:118" s="14" customFormat="1" ht="15.75" x14ac:dyDescent="0.2">
      <c r="A16" s="1534"/>
      <c r="B16" s="1535"/>
      <c r="C16" s="1536"/>
      <c r="D16" s="1537"/>
      <c r="E16" s="1538"/>
      <c r="G16" s="1539"/>
      <c r="H16" s="1539"/>
      <c r="I16" s="1539"/>
      <c r="J16" s="1539"/>
      <c r="K16" s="1539"/>
      <c r="L16" s="1539"/>
      <c r="M16" s="1539"/>
      <c r="N16" s="1539"/>
      <c r="O16" s="1539"/>
      <c r="P16" s="1539"/>
      <c r="Q16" s="1539"/>
      <c r="R16" s="1539"/>
      <c r="S16" s="1539"/>
      <c r="T16" s="1539"/>
      <c r="U16" s="1539"/>
      <c r="V16" s="1539"/>
      <c r="W16" s="1539"/>
      <c r="Y16" s="1490"/>
      <c r="Z16" s="1490"/>
      <c r="AA16" s="1490"/>
      <c r="AB16" s="1490"/>
      <c r="AC16" s="1490"/>
      <c r="AD16" s="1490"/>
      <c r="AE16" s="1490"/>
      <c r="AF16" s="1490"/>
      <c r="AG16" s="1490"/>
      <c r="AH16" s="1490"/>
      <c r="AI16" s="1490"/>
      <c r="AJ16" s="1490"/>
      <c r="AK16" s="1490"/>
      <c r="AL16" s="1490"/>
      <c r="AM16" s="1490"/>
      <c r="AN16" s="1490"/>
      <c r="AO16" s="1490"/>
      <c r="AP16" s="1490"/>
      <c r="AQ16" s="1490"/>
      <c r="AS16" s="1491"/>
      <c r="AT16" s="1491"/>
      <c r="AU16" s="1491"/>
      <c r="AV16" s="1491"/>
      <c r="AW16" s="1491"/>
      <c r="AX16" s="1491"/>
      <c r="AY16" s="1491"/>
      <c r="AZ16" s="1491"/>
      <c r="BA16" s="1491"/>
      <c r="BB16" s="1491"/>
      <c r="BC16" s="1491"/>
      <c r="BD16" s="1491"/>
      <c r="BE16" s="1491"/>
      <c r="BF16" s="1491"/>
      <c r="BG16" s="1491"/>
      <c r="BH16" s="1491"/>
      <c r="BI16" s="1491"/>
      <c r="BJ16" s="1491"/>
      <c r="BK16" s="1491"/>
      <c r="BL16" s="1491"/>
      <c r="BN16" s="1492"/>
      <c r="BO16" s="1492"/>
      <c r="BP16" s="1492"/>
      <c r="BR16" s="3168"/>
      <c r="BS16" s="1493"/>
      <c r="BT16" s="748"/>
      <c r="BU16" s="1508"/>
      <c r="BV16" s="1508"/>
      <c r="BW16" s="1508"/>
      <c r="BX16" s="1508"/>
      <c r="BY16" s="1508"/>
      <c r="BZ16" s="1508"/>
      <c r="CA16" s="1508"/>
      <c r="CB16" s="1508"/>
      <c r="CC16" s="1508"/>
      <c r="CD16" s="1508"/>
      <c r="CE16" s="1508"/>
      <c r="CF16" s="1508"/>
      <c r="CG16" s="1508"/>
      <c r="CH16" s="1508"/>
      <c r="CI16" s="1508"/>
      <c r="CJ16" s="1508"/>
      <c r="CK16" s="1508"/>
      <c r="CL16" s="1508"/>
      <c r="CM16" s="1508"/>
      <c r="CN16" s="1508"/>
      <c r="CO16" s="1508"/>
      <c r="CP16" s="1508"/>
      <c r="CQ16" s="1508"/>
      <c r="CR16" s="1508"/>
      <c r="CS16" s="1508"/>
      <c r="CT16" s="1508"/>
      <c r="CU16" s="1508"/>
      <c r="CV16" s="1508"/>
      <c r="CW16" s="1508"/>
      <c r="CX16" s="1508"/>
      <c r="CY16" s="1508"/>
      <c r="CZ16" s="1508"/>
      <c r="DA16" s="1508"/>
      <c r="DB16" s="1508"/>
      <c r="DC16" s="1508"/>
      <c r="DD16" s="1508"/>
      <c r="DE16" s="1508"/>
      <c r="DF16" s="1508"/>
      <c r="DG16" s="1508"/>
      <c r="DH16" s="1508"/>
      <c r="DI16" s="1508"/>
      <c r="DJ16" s="1508"/>
      <c r="DK16" s="1508"/>
      <c r="DL16" s="1508"/>
      <c r="DN16" s="1509"/>
    </row>
    <row r="17" spans="1:118" s="14" customFormat="1" ht="12.75" hidden="1" customHeight="1" outlineLevel="1" x14ac:dyDescent="0.2">
      <c r="A17" s="1522"/>
      <c r="B17" s="1522"/>
      <c r="C17" s="1496"/>
      <c r="D17" s="1497"/>
      <c r="E17" s="1497"/>
      <c r="G17" s="1499"/>
      <c r="H17" s="1499"/>
      <c r="I17" s="1499"/>
      <c r="J17" s="1499"/>
      <c r="K17" s="1499"/>
      <c r="L17" s="1499"/>
      <c r="M17" s="1499"/>
      <c r="N17" s="1499"/>
      <c r="O17" s="1499"/>
      <c r="P17" s="1499"/>
      <c r="Q17" s="1499"/>
      <c r="R17" s="1499"/>
      <c r="S17" s="1499"/>
      <c r="T17" s="1499"/>
      <c r="U17" s="1499"/>
      <c r="V17" s="1499"/>
      <c r="W17" s="1539">
        <f t="shared" ref="W17:W33" si="10">SUM(G17:V17)</f>
        <v>0</v>
      </c>
      <c r="Y17" s="1501"/>
      <c r="Z17" s="1501"/>
      <c r="AA17" s="1501"/>
      <c r="AB17" s="1501"/>
      <c r="AC17" s="1501"/>
      <c r="AD17" s="1501"/>
      <c r="AE17" s="1501"/>
      <c r="AF17" s="1501"/>
      <c r="AG17" s="1501"/>
      <c r="AH17" s="1501"/>
      <c r="AI17" s="1501"/>
      <c r="AJ17" s="1501"/>
      <c r="AK17" s="1501"/>
      <c r="AL17" s="1501"/>
      <c r="AM17" s="1501"/>
      <c r="AN17" s="1501"/>
      <c r="AO17" s="1501"/>
      <c r="AP17" s="1501"/>
      <c r="AQ17" s="1490">
        <f t="shared" ref="AQ17:AQ27" si="11">SUM(Y17:AP17)</f>
        <v>0</v>
      </c>
      <c r="AS17" s="1523"/>
      <c r="AT17" s="1523"/>
      <c r="AU17" s="1523"/>
      <c r="AV17" s="1523"/>
      <c r="AW17" s="1523"/>
      <c r="AX17" s="1523"/>
      <c r="AY17" s="1523"/>
      <c r="AZ17" s="1523"/>
      <c r="BA17" s="1523"/>
      <c r="BB17" s="1523"/>
      <c r="BC17" s="1523"/>
      <c r="BD17" s="1523"/>
      <c r="BE17" s="1523"/>
      <c r="BF17" s="1523"/>
      <c r="BG17" s="1523"/>
      <c r="BH17" s="1523"/>
      <c r="BI17" s="1523"/>
      <c r="BJ17" s="1523"/>
      <c r="BK17" s="1523"/>
      <c r="BL17" s="1524"/>
      <c r="BN17" s="1505"/>
      <c r="BO17" s="1505"/>
      <c r="BP17" s="1505"/>
      <c r="BR17" s="3168">
        <f t="shared" ref="BR17:BR76" si="12">W17+AQ17+BL17+BP17</f>
        <v>0</v>
      </c>
      <c r="BS17" s="1525"/>
      <c r="BT17" s="1522"/>
      <c r="BU17" s="1507"/>
      <c r="BV17" s="1508"/>
      <c r="BW17" s="1508"/>
      <c r="BX17" s="1508"/>
      <c r="BY17" s="1508"/>
      <c r="BZ17" s="1508"/>
      <c r="CA17" s="1508"/>
      <c r="CB17" s="1508"/>
      <c r="CC17" s="1508"/>
      <c r="CD17" s="1508"/>
      <c r="CE17" s="1508"/>
      <c r="CF17" s="1508"/>
      <c r="CG17" s="1508"/>
      <c r="CH17" s="1508"/>
      <c r="CI17" s="1508"/>
      <c r="CJ17" s="1508"/>
      <c r="CK17" s="1508"/>
      <c r="CL17" s="1508"/>
      <c r="CM17" s="1508"/>
      <c r="CN17" s="1508"/>
      <c r="CO17" s="1508"/>
      <c r="CP17" s="1508"/>
      <c r="CQ17" s="1508"/>
      <c r="CR17" s="1508"/>
      <c r="CS17" s="1508"/>
      <c r="CT17" s="1508"/>
      <c r="CU17" s="1508"/>
      <c r="CV17" s="1508"/>
      <c r="CW17" s="1508"/>
      <c r="CX17" s="1508"/>
      <c r="CY17" s="1508"/>
      <c r="CZ17" s="1508"/>
      <c r="DA17" s="1508"/>
      <c r="DB17" s="1508"/>
      <c r="DC17" s="1508"/>
      <c r="DD17" s="1508"/>
      <c r="DE17" s="1508"/>
      <c r="DF17" s="1508"/>
      <c r="DG17" s="1508"/>
      <c r="DH17" s="1508"/>
      <c r="DI17" s="1508"/>
      <c r="DJ17" s="1508"/>
      <c r="DK17" s="1508"/>
      <c r="DL17" s="1508"/>
      <c r="DN17" s="1509">
        <v>0</v>
      </c>
    </row>
    <row r="18" spans="1:118" s="14" customFormat="1" ht="12.75" hidden="1" customHeight="1" outlineLevel="1" x14ac:dyDescent="0.2">
      <c r="A18" s="1522"/>
      <c r="B18" s="1522"/>
      <c r="C18" s="1496" t="s">
        <v>425</v>
      </c>
      <c r="D18" s="14" t="str">
        <f>INDEX(Modulos[Modulos], MATCH($C18, Modulos[Código], 0))</f>
        <v>Procesos Industriales</v>
      </c>
      <c r="E18" s="1526"/>
      <c r="G18" s="1540">
        <f t="shared" ref="G18:V18" ca="1" si="13">IFERROR(INDEX(INDIRECT($C18&amp;".Outputs["&amp;this.Year&amp;"]"), MATCH(G$5, INDIRECT($C18&amp;".Outputs[Vector]"), 0)), 0)</f>
        <v>0</v>
      </c>
      <c r="H18" s="1540"/>
      <c r="I18" s="1540"/>
      <c r="J18" s="1540"/>
      <c r="K18" s="1540"/>
      <c r="L18" s="1540"/>
      <c r="M18" s="1540">
        <f t="shared" ca="1" si="13"/>
        <v>180.06416398976444</v>
      </c>
      <c r="N18" s="1540">
        <f t="shared" ca="1" si="13"/>
        <v>0</v>
      </c>
      <c r="O18" s="1540">
        <f t="shared" ca="1" si="13"/>
        <v>0</v>
      </c>
      <c r="P18" s="1540">
        <f t="shared" ca="1" si="13"/>
        <v>0</v>
      </c>
      <c r="Q18" s="1540">
        <f t="shared" ca="1" si="13"/>
        <v>0</v>
      </c>
      <c r="R18" s="1540">
        <f t="shared" ca="1" si="13"/>
        <v>0</v>
      </c>
      <c r="S18" s="1540">
        <f t="shared" ca="1" si="13"/>
        <v>0</v>
      </c>
      <c r="T18" s="1540">
        <f t="shared" ca="1" si="13"/>
        <v>0</v>
      </c>
      <c r="U18" s="1540">
        <f t="shared" ca="1" si="13"/>
        <v>0</v>
      </c>
      <c r="V18" s="1540">
        <f t="shared" ca="1" si="13"/>
        <v>0</v>
      </c>
      <c r="W18" s="1539">
        <f t="shared" ca="1" si="10"/>
        <v>180.06416398976444</v>
      </c>
      <c r="Y18" s="1541">
        <f t="shared" ref="Y18:AP18" ca="1" si="14">IFERROR(INDEX(INDIRECT($C18&amp;".Outputs["&amp;this.Year&amp;"]"), MATCH(Y$5, INDIRECT($C18&amp;".Outputs[Vector]"), 0)), 0)</f>
        <v>-59.737883624768969</v>
      </c>
      <c r="Z18" s="1541">
        <f t="shared" ca="1" si="14"/>
        <v>0</v>
      </c>
      <c r="AA18" s="1541">
        <f t="shared" ca="1" si="14"/>
        <v>-43.684361194463385</v>
      </c>
      <c r="AB18" s="1541">
        <f t="shared" ca="1" si="14"/>
        <v>-58.680324243735562</v>
      </c>
      <c r="AC18" s="1541">
        <f t="shared" ca="1" si="14"/>
        <v>-17.961594926796501</v>
      </c>
      <c r="AD18" s="1541">
        <f t="shared" ca="1" si="14"/>
        <v>0</v>
      </c>
      <c r="AE18" s="1541">
        <f t="shared" ca="1" si="14"/>
        <v>0</v>
      </c>
      <c r="AF18" s="1541">
        <f t="shared" ca="1" si="14"/>
        <v>0</v>
      </c>
      <c r="AG18" s="1541">
        <f t="shared" ca="1" si="14"/>
        <v>0</v>
      </c>
      <c r="AH18" s="1541">
        <f t="shared" ca="1" si="14"/>
        <v>0</v>
      </c>
      <c r="AI18" s="1541">
        <f t="shared" ca="1" si="14"/>
        <v>0</v>
      </c>
      <c r="AJ18" s="1541">
        <f t="shared" ca="1" si="14"/>
        <v>0</v>
      </c>
      <c r="AK18" s="1541">
        <f t="shared" ca="1" si="14"/>
        <v>0</v>
      </c>
      <c r="AL18" s="1541">
        <f t="shared" ca="1" si="14"/>
        <v>0</v>
      </c>
      <c r="AM18" s="1541">
        <f t="shared" ca="1" si="14"/>
        <v>0</v>
      </c>
      <c r="AN18" s="1541">
        <f t="shared" ca="1" si="14"/>
        <v>0</v>
      </c>
      <c r="AO18" s="1541">
        <f t="shared" ca="1" si="14"/>
        <v>0</v>
      </c>
      <c r="AP18" s="1541">
        <f t="shared" ca="1" si="14"/>
        <v>0</v>
      </c>
      <c r="AQ18" s="1490">
        <f t="shared" ca="1" si="11"/>
        <v>-180.06416398976441</v>
      </c>
      <c r="AS18" s="1542">
        <f t="shared" ref="AS18:BK18" ca="1" si="15">IFERROR(INDEX(INDIRECT($C18&amp;".Outputs["&amp;this.Year&amp;"]"), MATCH(AS$5, INDIRECT($C18&amp;".Outputs[Vector]"), 0)), 0)</f>
        <v>0</v>
      </c>
      <c r="AT18" s="1542">
        <f t="shared" ca="1" si="15"/>
        <v>0</v>
      </c>
      <c r="AU18" s="1542">
        <f t="shared" ca="1" si="15"/>
        <v>0</v>
      </c>
      <c r="AV18" s="1542">
        <f t="shared" ca="1" si="15"/>
        <v>0</v>
      </c>
      <c r="AW18" s="1542">
        <f t="shared" ca="1" si="15"/>
        <v>0</v>
      </c>
      <c r="AX18" s="1542">
        <f t="shared" ca="1" si="15"/>
        <v>0</v>
      </c>
      <c r="AY18" s="1542">
        <f t="shared" ca="1" si="15"/>
        <v>0</v>
      </c>
      <c r="AZ18" s="1542">
        <f t="shared" ca="1" si="15"/>
        <v>0</v>
      </c>
      <c r="BA18" s="1542">
        <f t="shared" ca="1" si="15"/>
        <v>0</v>
      </c>
      <c r="BB18" s="1542">
        <f t="shared" ca="1" si="15"/>
        <v>0</v>
      </c>
      <c r="BC18" s="1542">
        <f t="shared" ca="1" si="15"/>
        <v>0</v>
      </c>
      <c r="BD18" s="1542">
        <f t="shared" ca="1" si="15"/>
        <v>0</v>
      </c>
      <c r="BE18" s="1542">
        <f t="shared" ca="1" si="15"/>
        <v>0</v>
      </c>
      <c r="BF18" s="1542">
        <f t="shared" ca="1" si="15"/>
        <v>0</v>
      </c>
      <c r="BG18" s="1542">
        <f t="shared" ca="1" si="15"/>
        <v>0</v>
      </c>
      <c r="BH18" s="1542">
        <f t="shared" ca="1" si="15"/>
        <v>0</v>
      </c>
      <c r="BI18" s="1542">
        <f t="shared" ca="1" si="15"/>
        <v>0</v>
      </c>
      <c r="BJ18" s="1542">
        <f t="shared" ca="1" si="15"/>
        <v>0</v>
      </c>
      <c r="BK18" s="1542">
        <f t="shared" ca="1" si="15"/>
        <v>0</v>
      </c>
      <c r="BL18" s="1542">
        <f ca="1">SUM(AS18:BK18)</f>
        <v>0</v>
      </c>
      <c r="BN18" s="1941">
        <f ca="1">IFERROR(INDEX(INDIRECT($C18&amp;".Outputs["&amp;this.Year&amp;"]"), MATCH(BN$5, INDIRECT($C18&amp;".Outputs[Vector]"), 0)), 0)</f>
        <v>0</v>
      </c>
      <c r="BO18" s="1941">
        <f ca="1">IFERROR(INDEX(INDIRECT($C18&amp;".Outputs["&amp;this.Year&amp;"]"), MATCH(BO$5, INDIRECT($C18&amp;".Outputs[Vector]"), 0)), 0)</f>
        <v>0</v>
      </c>
      <c r="BP18" s="1505">
        <f ca="1">BN18+BO18</f>
        <v>0</v>
      </c>
      <c r="BR18" s="3168">
        <f t="shared" ca="1" si="12"/>
        <v>2.8421709430404007E-14</v>
      </c>
      <c r="BS18" s="1525"/>
      <c r="BT18" s="748"/>
      <c r="BU18" s="1532">
        <v>64.817912804929591</v>
      </c>
      <c r="BV18" s="1533">
        <v>0.13010783216178268</v>
      </c>
      <c r="BW18" s="1533">
        <v>0.57551021650787848</v>
      </c>
      <c r="BX18" s="1533">
        <v>0</v>
      </c>
      <c r="BY18" s="1533">
        <v>0</v>
      </c>
      <c r="BZ18" s="1533">
        <v>0</v>
      </c>
      <c r="CA18" s="1533">
        <v>0</v>
      </c>
      <c r="CB18" s="1533">
        <v>0</v>
      </c>
      <c r="CC18" s="1533">
        <v>14.39565925511863</v>
      </c>
      <c r="CD18" s="1533">
        <v>0.11288744235152412</v>
      </c>
      <c r="CE18" s="1533">
        <v>2.7624692105907238</v>
      </c>
      <c r="CF18" s="1533">
        <v>10.620296151887526</v>
      </c>
      <c r="CG18" s="1533">
        <v>0</v>
      </c>
      <c r="CH18" s="1533">
        <v>0</v>
      </c>
      <c r="CI18" s="1533">
        <v>0</v>
      </c>
      <c r="CJ18" s="1533">
        <v>0</v>
      </c>
      <c r="CK18" s="1533">
        <v>0</v>
      </c>
      <c r="CL18" s="1533">
        <v>0</v>
      </c>
      <c r="CM18" s="1533">
        <v>0</v>
      </c>
      <c r="CN18" s="1533">
        <v>0</v>
      </c>
      <c r="CO18" s="1533">
        <v>0</v>
      </c>
      <c r="CP18" s="1533">
        <v>0</v>
      </c>
      <c r="CQ18" s="1533">
        <v>0</v>
      </c>
      <c r="CR18" s="1533">
        <v>0</v>
      </c>
      <c r="CS18" s="1533">
        <v>0</v>
      </c>
      <c r="CT18" s="1533">
        <v>0</v>
      </c>
      <c r="CU18" s="1533">
        <v>0</v>
      </c>
      <c r="CV18" s="1533">
        <v>0</v>
      </c>
      <c r="CW18" s="1533">
        <v>0</v>
      </c>
      <c r="CX18" s="1533">
        <v>0</v>
      </c>
      <c r="CY18" s="1533">
        <v>0</v>
      </c>
      <c r="CZ18" s="1533">
        <v>0</v>
      </c>
      <c r="DA18" s="1533">
        <v>0</v>
      </c>
      <c r="DB18" s="1533">
        <v>0</v>
      </c>
      <c r="DC18" s="1533">
        <v>0</v>
      </c>
      <c r="DD18" s="1533">
        <v>0</v>
      </c>
      <c r="DE18" s="1533">
        <v>0</v>
      </c>
      <c r="DF18" s="1533">
        <v>0</v>
      </c>
      <c r="DG18" s="1533">
        <v>0</v>
      </c>
      <c r="DH18" s="1533">
        <v>0</v>
      </c>
      <c r="DI18" s="1533">
        <v>0</v>
      </c>
      <c r="DJ18" s="1533">
        <v>0</v>
      </c>
      <c r="DK18" s="1533">
        <v>0</v>
      </c>
      <c r="DL18" s="1533">
        <v>0</v>
      </c>
      <c r="DN18" s="1509">
        <v>93.414842913547659</v>
      </c>
    </row>
    <row r="19" spans="1:118" s="14" customFormat="1" ht="15.75" collapsed="1" x14ac:dyDescent="0.2">
      <c r="A19" s="1534"/>
      <c r="B19" s="1535"/>
      <c r="C19" s="1536" t="s">
        <v>578</v>
      </c>
      <c r="D19" s="1537" t="str">
        <f>INDEX(Flujos[Flujos], MATCH($C19, Flujos[Código], 0))</f>
        <v>Industria y Minería</v>
      </c>
      <c r="E19" s="1538"/>
      <c r="G19" s="1539">
        <f ca="1">G18</f>
        <v>0</v>
      </c>
      <c r="H19" s="1539">
        <f t="shared" ref="H19:V19" si="16">H18</f>
        <v>0</v>
      </c>
      <c r="I19" s="1539">
        <f t="shared" si="16"/>
        <v>0</v>
      </c>
      <c r="J19" s="1539">
        <f t="shared" si="16"/>
        <v>0</v>
      </c>
      <c r="K19" s="1539">
        <f t="shared" si="16"/>
        <v>0</v>
      </c>
      <c r="L19" s="1539">
        <f t="shared" si="16"/>
        <v>0</v>
      </c>
      <c r="M19" s="1539">
        <f t="shared" ca="1" si="16"/>
        <v>180.06416398976444</v>
      </c>
      <c r="N19" s="1539">
        <f t="shared" ca="1" si="16"/>
        <v>0</v>
      </c>
      <c r="O19" s="1539">
        <f t="shared" ca="1" si="16"/>
        <v>0</v>
      </c>
      <c r="P19" s="1539">
        <f t="shared" ca="1" si="16"/>
        <v>0</v>
      </c>
      <c r="Q19" s="1539">
        <f t="shared" ca="1" si="16"/>
        <v>0</v>
      </c>
      <c r="R19" s="1539">
        <f t="shared" ca="1" si="16"/>
        <v>0</v>
      </c>
      <c r="S19" s="1539">
        <f t="shared" ca="1" si="16"/>
        <v>0</v>
      </c>
      <c r="T19" s="1539">
        <f t="shared" ca="1" si="16"/>
        <v>0</v>
      </c>
      <c r="U19" s="1539">
        <f t="shared" ca="1" si="16"/>
        <v>0</v>
      </c>
      <c r="V19" s="1539">
        <f t="shared" ca="1" si="16"/>
        <v>0</v>
      </c>
      <c r="W19" s="1539">
        <f t="shared" ca="1" si="10"/>
        <v>180.06416398976444</v>
      </c>
      <c r="Y19" s="1490">
        <f ca="1">Y18</f>
        <v>-59.737883624768969</v>
      </c>
      <c r="Z19" s="1490">
        <f t="shared" ref="Z19:AP19" ca="1" si="17">Z18</f>
        <v>0</v>
      </c>
      <c r="AA19" s="1490">
        <f t="shared" ca="1" si="17"/>
        <v>-43.684361194463385</v>
      </c>
      <c r="AB19" s="1490">
        <f t="shared" ca="1" si="17"/>
        <v>-58.680324243735562</v>
      </c>
      <c r="AC19" s="1490">
        <f t="shared" ca="1" si="17"/>
        <v>-17.961594926796501</v>
      </c>
      <c r="AD19" s="1490">
        <f t="shared" ca="1" si="17"/>
        <v>0</v>
      </c>
      <c r="AE19" s="1490">
        <f t="shared" ca="1" si="17"/>
        <v>0</v>
      </c>
      <c r="AF19" s="1490">
        <f t="shared" ca="1" si="17"/>
        <v>0</v>
      </c>
      <c r="AG19" s="1490">
        <f t="shared" ca="1" si="17"/>
        <v>0</v>
      </c>
      <c r="AH19" s="1490">
        <f t="shared" ca="1" si="17"/>
        <v>0</v>
      </c>
      <c r="AI19" s="1490">
        <f t="shared" ca="1" si="17"/>
        <v>0</v>
      </c>
      <c r="AJ19" s="1490">
        <f t="shared" ca="1" si="17"/>
        <v>0</v>
      </c>
      <c r="AK19" s="1490">
        <f t="shared" ca="1" si="17"/>
        <v>0</v>
      </c>
      <c r="AL19" s="1490">
        <f t="shared" ca="1" si="17"/>
        <v>0</v>
      </c>
      <c r="AM19" s="1490">
        <f t="shared" ca="1" si="17"/>
        <v>0</v>
      </c>
      <c r="AN19" s="1490">
        <f t="shared" ca="1" si="17"/>
        <v>0</v>
      </c>
      <c r="AO19" s="1490">
        <f t="shared" ca="1" si="17"/>
        <v>0</v>
      </c>
      <c r="AP19" s="1490">
        <f t="shared" ca="1" si="17"/>
        <v>0</v>
      </c>
      <c r="AQ19" s="1490">
        <f t="shared" ca="1" si="11"/>
        <v>-180.06416398976441</v>
      </c>
      <c r="AS19" s="1491">
        <f ca="1">AS18</f>
        <v>0</v>
      </c>
      <c r="AT19" s="1491">
        <f t="shared" ref="AT19:BM19" ca="1" si="18">AT18</f>
        <v>0</v>
      </c>
      <c r="AU19" s="1491">
        <f t="shared" ca="1" si="18"/>
        <v>0</v>
      </c>
      <c r="AV19" s="1491">
        <f t="shared" ca="1" si="18"/>
        <v>0</v>
      </c>
      <c r="AW19" s="1491">
        <f t="shared" ca="1" si="18"/>
        <v>0</v>
      </c>
      <c r="AX19" s="1491">
        <f t="shared" ca="1" si="18"/>
        <v>0</v>
      </c>
      <c r="AY19" s="1491">
        <f t="shared" ca="1" si="18"/>
        <v>0</v>
      </c>
      <c r="AZ19" s="1491">
        <f t="shared" ca="1" si="18"/>
        <v>0</v>
      </c>
      <c r="BA19" s="1491">
        <f t="shared" ca="1" si="18"/>
        <v>0</v>
      </c>
      <c r="BB19" s="1491">
        <f t="shared" ca="1" si="18"/>
        <v>0</v>
      </c>
      <c r="BC19" s="1491">
        <f t="shared" ca="1" si="18"/>
        <v>0</v>
      </c>
      <c r="BD19" s="1491">
        <f t="shared" ca="1" si="18"/>
        <v>0</v>
      </c>
      <c r="BE19" s="1491">
        <f t="shared" ca="1" si="18"/>
        <v>0</v>
      </c>
      <c r="BF19" s="1491">
        <f t="shared" ca="1" si="18"/>
        <v>0</v>
      </c>
      <c r="BG19" s="1491">
        <f t="shared" ca="1" si="18"/>
        <v>0</v>
      </c>
      <c r="BH19" s="1491">
        <f t="shared" ca="1" si="18"/>
        <v>0</v>
      </c>
      <c r="BI19" s="1491">
        <f t="shared" ca="1" si="18"/>
        <v>0</v>
      </c>
      <c r="BJ19" s="1491">
        <f t="shared" ca="1" si="18"/>
        <v>0</v>
      </c>
      <c r="BK19" s="1491">
        <f t="shared" ca="1" si="18"/>
        <v>0</v>
      </c>
      <c r="BL19" s="1491">
        <f ca="1">BL18</f>
        <v>0</v>
      </c>
      <c r="BM19" s="1491">
        <f t="shared" si="18"/>
        <v>0</v>
      </c>
      <c r="BN19" s="1941">
        <f ca="1">BN18</f>
        <v>0</v>
      </c>
      <c r="BO19" s="1941">
        <f ca="1">BO18</f>
        <v>0</v>
      </c>
      <c r="BP19" s="1505">
        <f ca="1">BN19+BO19</f>
        <v>0</v>
      </c>
      <c r="BR19" s="3168">
        <f ca="1">W19+AQ19+BL19+BP19</f>
        <v>2.8421709430404007E-14</v>
      </c>
      <c r="BS19" s="1493"/>
      <c r="BT19" s="748"/>
      <c r="BU19" s="1508">
        <v>64.817912804929591</v>
      </c>
      <c r="BV19" s="1508">
        <v>0.13010783216178268</v>
      </c>
      <c r="BW19" s="1508">
        <v>0.57551021650787848</v>
      </c>
      <c r="BX19" s="1508">
        <v>0</v>
      </c>
      <c r="BY19" s="1508">
        <v>0</v>
      </c>
      <c r="BZ19" s="1508">
        <v>0</v>
      </c>
      <c r="CA19" s="1508">
        <v>0</v>
      </c>
      <c r="CB19" s="1508">
        <v>0</v>
      </c>
      <c r="CC19" s="1508">
        <v>14.39565925511863</v>
      </c>
      <c r="CD19" s="1508">
        <v>0.11288744235152412</v>
      </c>
      <c r="CE19" s="1508">
        <v>2.7624692105907238</v>
      </c>
      <c r="CF19" s="1508">
        <v>10.620296151887526</v>
      </c>
      <c r="CG19" s="1508">
        <v>0</v>
      </c>
      <c r="CH19" s="1508">
        <v>0</v>
      </c>
      <c r="CI19" s="1508">
        <v>0</v>
      </c>
      <c r="CJ19" s="1508">
        <v>0</v>
      </c>
      <c r="CK19" s="1508">
        <v>0</v>
      </c>
      <c r="CL19" s="1508">
        <v>0</v>
      </c>
      <c r="CM19" s="1508">
        <v>0</v>
      </c>
      <c r="CN19" s="1508">
        <v>0</v>
      </c>
      <c r="CO19" s="1508">
        <v>0</v>
      </c>
      <c r="CP19" s="1508">
        <v>0</v>
      </c>
      <c r="CQ19" s="1508">
        <v>0</v>
      </c>
      <c r="CR19" s="1508">
        <v>0</v>
      </c>
      <c r="CS19" s="1508">
        <v>0</v>
      </c>
      <c r="CT19" s="1508">
        <v>0</v>
      </c>
      <c r="CU19" s="1508">
        <v>0</v>
      </c>
      <c r="CV19" s="1508">
        <v>0</v>
      </c>
      <c r="CW19" s="1508">
        <v>0</v>
      </c>
      <c r="CX19" s="1508">
        <v>0</v>
      </c>
      <c r="CY19" s="1508">
        <v>0</v>
      </c>
      <c r="CZ19" s="1508">
        <v>0</v>
      </c>
      <c r="DA19" s="1508">
        <v>0</v>
      </c>
      <c r="DB19" s="1508">
        <v>0</v>
      </c>
      <c r="DC19" s="1508">
        <v>0</v>
      </c>
      <c r="DD19" s="1508">
        <v>0</v>
      </c>
      <c r="DE19" s="1508">
        <v>0</v>
      </c>
      <c r="DF19" s="1508">
        <v>0</v>
      </c>
      <c r="DG19" s="1508">
        <v>0</v>
      </c>
      <c r="DH19" s="1508">
        <v>0</v>
      </c>
      <c r="DI19" s="1508">
        <v>0</v>
      </c>
      <c r="DJ19" s="1508">
        <v>0</v>
      </c>
      <c r="DK19" s="1508">
        <v>0</v>
      </c>
      <c r="DL19" s="1508">
        <v>0</v>
      </c>
      <c r="DN19" s="1509">
        <v>93.414842913547659</v>
      </c>
    </row>
    <row r="20" spans="1:118" s="14" customFormat="1" ht="15.75" x14ac:dyDescent="0.2">
      <c r="A20" s="1534"/>
      <c r="B20" s="1535"/>
      <c r="C20" s="1536"/>
      <c r="D20" s="1537"/>
      <c r="E20" s="1538"/>
      <c r="G20" s="1539"/>
      <c r="H20" s="1539"/>
      <c r="I20" s="1539"/>
      <c r="J20" s="1539"/>
      <c r="K20" s="1539"/>
      <c r="L20" s="1539"/>
      <c r="M20" s="1539"/>
      <c r="N20" s="1539"/>
      <c r="O20" s="1539"/>
      <c r="P20" s="1539"/>
      <c r="Q20" s="1539"/>
      <c r="R20" s="1539"/>
      <c r="S20" s="1539"/>
      <c r="T20" s="1539"/>
      <c r="U20" s="1539"/>
      <c r="V20" s="1539"/>
      <c r="W20" s="1539"/>
      <c r="Y20" s="1490"/>
      <c r="Z20" s="1490"/>
      <c r="AA20" s="1490"/>
      <c r="AB20" s="1490"/>
      <c r="AC20" s="1490"/>
      <c r="AD20" s="1490"/>
      <c r="AE20" s="1490"/>
      <c r="AF20" s="1490"/>
      <c r="AG20" s="1490"/>
      <c r="AH20" s="1490"/>
      <c r="AI20" s="1490"/>
      <c r="AJ20" s="1490"/>
      <c r="AK20" s="1490"/>
      <c r="AL20" s="1490"/>
      <c r="AM20" s="1490"/>
      <c r="AN20" s="1490"/>
      <c r="AO20" s="1490"/>
      <c r="AP20" s="1490"/>
      <c r="AQ20" s="1490"/>
      <c r="AS20" s="1491"/>
      <c r="AT20" s="1491"/>
      <c r="AU20" s="1491"/>
      <c r="AV20" s="1491"/>
      <c r="AW20" s="1491"/>
      <c r="AX20" s="1491"/>
      <c r="AY20" s="1491"/>
      <c r="AZ20" s="1491"/>
      <c r="BA20" s="1491"/>
      <c r="BB20" s="1491"/>
      <c r="BC20" s="1491"/>
      <c r="BD20" s="1491"/>
      <c r="BE20" s="1491"/>
      <c r="BF20" s="1491"/>
      <c r="BG20" s="1491"/>
      <c r="BH20" s="1491"/>
      <c r="BI20" s="1491"/>
      <c r="BJ20" s="1491"/>
      <c r="BK20" s="1491"/>
      <c r="BL20" s="1491"/>
      <c r="BN20" s="1492"/>
      <c r="BO20" s="1492"/>
      <c r="BP20" s="1492"/>
      <c r="BR20" s="3168"/>
      <c r="BS20" s="1493"/>
      <c r="BT20" s="748"/>
      <c r="BU20" s="1508"/>
      <c r="BV20" s="1508"/>
      <c r="BW20" s="1508"/>
      <c r="BX20" s="1508"/>
      <c r="BY20" s="1508"/>
      <c r="BZ20" s="1508"/>
      <c r="CA20" s="1508"/>
      <c r="CB20" s="1508"/>
      <c r="CC20" s="1508"/>
      <c r="CD20" s="1508"/>
      <c r="CE20" s="1508"/>
      <c r="CF20" s="1508"/>
      <c r="CG20" s="1508"/>
      <c r="CH20" s="1508"/>
      <c r="CI20" s="1508"/>
      <c r="CJ20" s="1508"/>
      <c r="CK20" s="1508"/>
      <c r="CL20" s="1508"/>
      <c r="CM20" s="1508"/>
      <c r="CN20" s="1508"/>
      <c r="CO20" s="1508"/>
      <c r="CP20" s="1508"/>
      <c r="CQ20" s="1508"/>
      <c r="CR20" s="1508"/>
      <c r="CS20" s="1508"/>
      <c r="CT20" s="1508"/>
      <c r="CU20" s="1508"/>
      <c r="CV20" s="1508"/>
      <c r="CW20" s="1508"/>
      <c r="CX20" s="1508"/>
      <c r="CY20" s="1508"/>
      <c r="CZ20" s="1508"/>
      <c r="DA20" s="1508"/>
      <c r="DB20" s="1508"/>
      <c r="DC20" s="1508"/>
      <c r="DD20" s="1508"/>
      <c r="DE20" s="1508"/>
      <c r="DF20" s="1508"/>
      <c r="DG20" s="1508"/>
      <c r="DH20" s="1508"/>
      <c r="DI20" s="1508"/>
      <c r="DJ20" s="1508"/>
      <c r="DK20" s="1508"/>
      <c r="DL20" s="1508"/>
      <c r="DN20" s="1509"/>
    </row>
    <row r="21" spans="1:118" s="14" customFormat="1" ht="10.5" hidden="1" customHeight="1" outlineLevel="2" x14ac:dyDescent="0.2">
      <c r="A21" s="1495"/>
      <c r="B21" s="1495"/>
      <c r="C21" s="1511" t="s">
        <v>421</v>
      </c>
      <c r="D21" s="14" t="str">
        <f>INDEX(Modulos[Modulos], MATCH($C21, Modulos[Código], 0))</f>
        <v>Transporte de pasajeros</v>
      </c>
      <c r="E21" s="1512"/>
      <c r="G21" s="1889">
        <f t="shared" ref="G21:V21" ca="1" si="19">IFERROR(INDEX(INDIRECT($C21&amp;".Outputs["&amp;this.Year&amp;"]"), MATCH(G$5, INDIRECT($C21&amp;".Outputs[Vector]"), 0)), 0)</f>
        <v>0</v>
      </c>
      <c r="H21" s="1889"/>
      <c r="I21" s="1889"/>
      <c r="J21" s="1889"/>
      <c r="K21" s="1889"/>
      <c r="L21" s="1889"/>
      <c r="M21" s="1889">
        <f t="shared" ca="1" si="19"/>
        <v>0</v>
      </c>
      <c r="N21" s="1889">
        <f t="shared" ca="1" si="19"/>
        <v>57.799860517853276</v>
      </c>
      <c r="O21" s="1889">
        <f t="shared" ca="1" si="19"/>
        <v>18.884279144014918</v>
      </c>
      <c r="P21" s="1889">
        <f t="shared" ca="1" si="19"/>
        <v>0.45450745671867954</v>
      </c>
      <c r="Q21" s="1889">
        <f t="shared" ca="1" si="19"/>
        <v>5.04411731104858E-2</v>
      </c>
      <c r="R21" s="1888">
        <f t="shared" ca="1" si="19"/>
        <v>24.28394824198671</v>
      </c>
      <c r="S21" s="1889">
        <f t="shared" ca="1" si="19"/>
        <v>0</v>
      </c>
      <c r="T21" s="1889">
        <f t="shared" ca="1" si="19"/>
        <v>0</v>
      </c>
      <c r="U21" s="1889">
        <f t="shared" ca="1" si="19"/>
        <v>0</v>
      </c>
      <c r="V21" s="1889">
        <f t="shared" ca="1" si="19"/>
        <v>0</v>
      </c>
      <c r="W21" s="1539">
        <f t="shared" ca="1" si="10"/>
        <v>101.47303653368405</v>
      </c>
      <c r="Y21" s="1500">
        <f t="shared" ref="Y21:AP21" ca="1" si="20">IFERROR(INDEX(INDIRECT($C21&amp;".Outputs["&amp;this.Year&amp;"]"), MATCH(Y$5, INDIRECT($C21&amp;".Outputs[Vector]"), 0)), 0)</f>
        <v>-0.75832903212194247</v>
      </c>
      <c r="Z21" s="1500">
        <f t="shared" ca="1" si="20"/>
        <v>0</v>
      </c>
      <c r="AA21" s="1500">
        <f t="shared" ca="1" si="20"/>
        <v>0</v>
      </c>
      <c r="AB21" s="1500">
        <f t="shared" ca="1" si="20"/>
        <v>-100.71470750156212</v>
      </c>
      <c r="AC21" s="1500">
        <f t="shared" ca="1" si="20"/>
        <v>0</v>
      </c>
      <c r="AD21" s="1500">
        <f t="shared" ca="1" si="20"/>
        <v>0</v>
      </c>
      <c r="AE21" s="1500">
        <f t="shared" ca="1" si="20"/>
        <v>0</v>
      </c>
      <c r="AF21" s="1500">
        <f t="shared" ca="1" si="20"/>
        <v>0</v>
      </c>
      <c r="AG21" s="1500">
        <f t="shared" ca="1" si="20"/>
        <v>0</v>
      </c>
      <c r="AH21" s="1500">
        <f t="shared" ca="1" si="20"/>
        <v>0</v>
      </c>
      <c r="AI21" s="1500">
        <f t="shared" ca="1" si="20"/>
        <v>0</v>
      </c>
      <c r="AJ21" s="1500">
        <f t="shared" ca="1" si="20"/>
        <v>0</v>
      </c>
      <c r="AK21" s="1500">
        <f t="shared" ca="1" si="20"/>
        <v>0</v>
      </c>
      <c r="AL21" s="1500">
        <f t="shared" ca="1" si="20"/>
        <v>0</v>
      </c>
      <c r="AM21" s="1500">
        <f t="shared" ca="1" si="20"/>
        <v>0</v>
      </c>
      <c r="AN21" s="1500">
        <f t="shared" ca="1" si="20"/>
        <v>0</v>
      </c>
      <c r="AO21" s="1500">
        <f t="shared" ca="1" si="20"/>
        <v>0</v>
      </c>
      <c r="AP21" s="1500">
        <f t="shared" ca="1" si="20"/>
        <v>0</v>
      </c>
      <c r="AQ21" s="1490">
        <f ca="1">SUM(Y21:AP21)</f>
        <v>-101.47303653368407</v>
      </c>
      <c r="AS21" s="1491">
        <f>AS20</f>
        <v>0</v>
      </c>
      <c r="AT21" s="1491">
        <f t="shared" ref="AT21:BK21" si="21">AT20</f>
        <v>0</v>
      </c>
      <c r="AU21" s="1491">
        <f t="shared" si="21"/>
        <v>0</v>
      </c>
      <c r="AV21" s="1491">
        <f t="shared" si="21"/>
        <v>0</v>
      </c>
      <c r="AW21" s="1491">
        <f t="shared" si="21"/>
        <v>0</v>
      </c>
      <c r="AX21" s="1491">
        <f t="shared" si="21"/>
        <v>0</v>
      </c>
      <c r="AY21" s="1491">
        <f t="shared" si="21"/>
        <v>0</v>
      </c>
      <c r="AZ21" s="1491">
        <f t="shared" si="21"/>
        <v>0</v>
      </c>
      <c r="BA21" s="1491">
        <f t="shared" si="21"/>
        <v>0</v>
      </c>
      <c r="BB21" s="1491">
        <f t="shared" si="21"/>
        <v>0</v>
      </c>
      <c r="BC21" s="1491">
        <f t="shared" si="21"/>
        <v>0</v>
      </c>
      <c r="BD21" s="1491">
        <f t="shared" si="21"/>
        <v>0</v>
      </c>
      <c r="BE21" s="1491">
        <f t="shared" si="21"/>
        <v>0</v>
      </c>
      <c r="BF21" s="1491">
        <f t="shared" si="21"/>
        <v>0</v>
      </c>
      <c r="BG21" s="1491">
        <f t="shared" si="21"/>
        <v>0</v>
      </c>
      <c r="BH21" s="1491">
        <f t="shared" si="21"/>
        <v>0</v>
      </c>
      <c r="BI21" s="1491">
        <f t="shared" si="21"/>
        <v>0</v>
      </c>
      <c r="BJ21" s="1491">
        <f t="shared" si="21"/>
        <v>0</v>
      </c>
      <c r="BK21" s="1491">
        <f t="shared" si="21"/>
        <v>0</v>
      </c>
      <c r="BL21" s="1503">
        <f>SUM(AS21:BK21)</f>
        <v>0</v>
      </c>
      <c r="BN21" s="1941">
        <f ca="1">IFERROR(INDEX(INDIRECT($C21&amp;".Outputs["&amp;this.Year&amp;"]"), MATCH(BN$5, INDIRECT($C21&amp;".Outputs[Vector]"), 0)), 0)</f>
        <v>0</v>
      </c>
      <c r="BO21" s="1941">
        <f ca="1">IFERROR(INDEX(INDIRECT($C21&amp;".Outputs["&amp;this.Year&amp;"]"), MATCH(BO$5, INDIRECT($C21&amp;".Outputs[Vector]"), 0)), 0)</f>
        <v>0</v>
      </c>
      <c r="BP21" s="1505">
        <f ca="1">BN21+BO21</f>
        <v>0</v>
      </c>
      <c r="BR21" s="3168">
        <f t="shared" ca="1" si="12"/>
        <v>-1.4210854715202004E-14</v>
      </c>
      <c r="BS21" s="1506"/>
      <c r="BT21" s="748"/>
      <c r="BU21" s="1507">
        <v>0</v>
      </c>
      <c r="BV21" s="1508">
        <v>0</v>
      </c>
      <c r="BW21" s="1508">
        <v>0</v>
      </c>
      <c r="BX21" s="1508">
        <v>0</v>
      </c>
      <c r="BY21" s="1508">
        <v>0</v>
      </c>
      <c r="BZ21" s="1508">
        <v>0</v>
      </c>
      <c r="CA21" s="1508">
        <v>0</v>
      </c>
      <c r="CB21" s="1508">
        <v>0</v>
      </c>
      <c r="CC21" s="1508">
        <v>0</v>
      </c>
      <c r="CD21" s="1508">
        <v>0</v>
      </c>
      <c r="CE21" s="1508">
        <v>0</v>
      </c>
      <c r="CF21" s="1508">
        <v>0</v>
      </c>
      <c r="CG21" s="1508">
        <v>0</v>
      </c>
      <c r="CH21" s="1508">
        <v>0</v>
      </c>
      <c r="CI21" s="1508">
        <v>0</v>
      </c>
      <c r="CJ21" s="1508">
        <v>0</v>
      </c>
      <c r="CK21" s="1508">
        <v>0</v>
      </c>
      <c r="CL21" s="1508">
        <v>0</v>
      </c>
      <c r="CM21" s="1508">
        <v>0</v>
      </c>
      <c r="CN21" s="1508">
        <v>0</v>
      </c>
      <c r="CO21" s="1508">
        <v>0</v>
      </c>
      <c r="CP21" s="1508">
        <v>0</v>
      </c>
      <c r="CQ21" s="1508">
        <v>0</v>
      </c>
      <c r="CR21" s="1508">
        <v>0</v>
      </c>
      <c r="CS21" s="1508">
        <v>0</v>
      </c>
      <c r="CT21" s="1508">
        <v>0</v>
      </c>
      <c r="CU21" s="1508">
        <v>0</v>
      </c>
      <c r="CV21" s="1508">
        <v>0</v>
      </c>
      <c r="CW21" s="1508">
        <v>0</v>
      </c>
      <c r="CX21" s="1508">
        <v>0</v>
      </c>
      <c r="CY21" s="1508">
        <v>0</v>
      </c>
      <c r="CZ21" s="1508">
        <v>0</v>
      </c>
      <c r="DA21" s="1508">
        <v>38.200000000000003</v>
      </c>
      <c r="DB21" s="1508">
        <v>4.7558849195905424E-2</v>
      </c>
      <c r="DC21" s="1508">
        <v>0.68729627526214465</v>
      </c>
      <c r="DD21" s="1508">
        <v>0</v>
      </c>
      <c r="DE21" s="1508">
        <v>0</v>
      </c>
      <c r="DF21" s="1508">
        <v>0</v>
      </c>
      <c r="DG21" s="1508">
        <v>0</v>
      </c>
      <c r="DH21" s="1508">
        <v>0</v>
      </c>
      <c r="DI21" s="1508">
        <v>0</v>
      </c>
      <c r="DJ21" s="1508">
        <v>0</v>
      </c>
      <c r="DK21" s="1508">
        <v>0</v>
      </c>
      <c r="DL21" s="1508">
        <v>0</v>
      </c>
      <c r="DN21" s="1509">
        <v>38.934855124458053</v>
      </c>
    </row>
    <row r="22" spans="1:118" s="14" customFormat="1" ht="10.5" hidden="1" customHeight="1" outlineLevel="2" x14ac:dyDescent="0.2">
      <c r="A22" s="1510"/>
      <c r="B22" s="1510"/>
      <c r="C22" s="1510"/>
      <c r="D22" s="1546"/>
      <c r="E22" s="1512"/>
      <c r="G22" s="1513"/>
      <c r="H22" s="1513"/>
      <c r="I22" s="1513"/>
      <c r="J22" s="1513"/>
      <c r="K22" s="1513"/>
      <c r="L22" s="1513"/>
      <c r="M22" s="1513"/>
      <c r="N22" s="1513"/>
      <c r="O22" s="1513"/>
      <c r="P22" s="1513"/>
      <c r="Q22" s="1513"/>
      <c r="R22" s="1513"/>
      <c r="S22" s="1513"/>
      <c r="T22" s="1513"/>
      <c r="U22" s="1513"/>
      <c r="V22" s="1513"/>
      <c r="W22" s="1539">
        <f t="shared" si="10"/>
        <v>0</v>
      </c>
      <c r="Y22" s="1515"/>
      <c r="Z22" s="1515"/>
      <c r="AA22" s="1515"/>
      <c r="AB22" s="1515"/>
      <c r="AC22" s="1515"/>
      <c r="AD22" s="1515"/>
      <c r="AE22" s="1515"/>
      <c r="AF22" s="1515"/>
      <c r="AG22" s="1515"/>
      <c r="AH22" s="1515"/>
      <c r="AI22" s="1515"/>
      <c r="AJ22" s="1515"/>
      <c r="AK22" s="1515"/>
      <c r="AL22" s="1515"/>
      <c r="AM22" s="1515"/>
      <c r="AN22" s="1515"/>
      <c r="AO22" s="1515"/>
      <c r="AP22" s="1515"/>
      <c r="AQ22" s="1490">
        <f t="shared" si="11"/>
        <v>0</v>
      </c>
      <c r="AS22" s="1517"/>
      <c r="AT22" s="1517"/>
      <c r="AU22" s="1517"/>
      <c r="AV22" s="1517"/>
      <c r="AW22" s="1517"/>
      <c r="AX22" s="1517"/>
      <c r="AY22" s="1517"/>
      <c r="AZ22" s="1517"/>
      <c r="BA22" s="1517"/>
      <c r="BB22" s="1517"/>
      <c r="BC22" s="1517"/>
      <c r="BD22" s="1517"/>
      <c r="BE22" s="1517"/>
      <c r="BF22" s="1517"/>
      <c r="BG22" s="1517"/>
      <c r="BH22" s="1517"/>
      <c r="BI22" s="1517"/>
      <c r="BJ22" s="1517"/>
      <c r="BK22" s="1517"/>
      <c r="BL22" s="1518"/>
      <c r="BN22" s="1519"/>
      <c r="BO22" s="1519"/>
      <c r="BP22" s="1520"/>
      <c r="BR22" s="3168">
        <f t="shared" si="12"/>
        <v>0</v>
      </c>
      <c r="BS22" s="1521"/>
      <c r="BT22" s="748"/>
      <c r="BU22" s="1507">
        <v>0</v>
      </c>
      <c r="BV22" s="1508">
        <v>0</v>
      </c>
      <c r="BW22" s="1508">
        <v>0</v>
      </c>
      <c r="BX22" s="1508">
        <v>0</v>
      </c>
      <c r="BY22" s="1508">
        <v>0</v>
      </c>
      <c r="BZ22" s="1508">
        <v>0</v>
      </c>
      <c r="CA22" s="1508">
        <v>0</v>
      </c>
      <c r="CB22" s="1508">
        <v>0</v>
      </c>
      <c r="CC22" s="1508">
        <v>0</v>
      </c>
      <c r="CD22" s="1508">
        <v>0</v>
      </c>
      <c r="CE22" s="1508">
        <v>0</v>
      </c>
      <c r="CF22" s="1508">
        <v>0</v>
      </c>
      <c r="CG22" s="1508">
        <v>0</v>
      </c>
      <c r="CH22" s="1508">
        <v>0</v>
      </c>
      <c r="CI22" s="1508">
        <v>0</v>
      </c>
      <c r="CJ22" s="1508">
        <v>0</v>
      </c>
      <c r="CK22" s="1508">
        <v>0</v>
      </c>
      <c r="CL22" s="1508">
        <v>0</v>
      </c>
      <c r="CM22" s="1508">
        <v>0</v>
      </c>
      <c r="CN22" s="1508">
        <v>0</v>
      </c>
      <c r="CO22" s="1508">
        <v>0</v>
      </c>
      <c r="CP22" s="1508">
        <v>0</v>
      </c>
      <c r="CQ22" s="1508">
        <v>0</v>
      </c>
      <c r="CR22" s="1508">
        <v>0</v>
      </c>
      <c r="CS22" s="1508">
        <v>0</v>
      </c>
      <c r="CT22" s="1508">
        <v>0</v>
      </c>
      <c r="CU22" s="1508">
        <v>0</v>
      </c>
      <c r="CV22" s="1508">
        <v>0</v>
      </c>
      <c r="CW22" s="1508">
        <v>0</v>
      </c>
      <c r="CX22" s="1508">
        <v>0</v>
      </c>
      <c r="CY22" s="1508">
        <v>0</v>
      </c>
      <c r="CZ22" s="1508">
        <v>0</v>
      </c>
      <c r="DA22" s="1508">
        <v>0</v>
      </c>
      <c r="DB22" s="1508">
        <v>0</v>
      </c>
      <c r="DC22" s="1508">
        <v>0</v>
      </c>
      <c r="DD22" s="1508">
        <v>0</v>
      </c>
      <c r="DE22" s="1508">
        <v>0</v>
      </c>
      <c r="DF22" s="1508">
        <v>0</v>
      </c>
      <c r="DG22" s="1508">
        <v>0</v>
      </c>
      <c r="DH22" s="1508">
        <v>0</v>
      </c>
      <c r="DI22" s="1508">
        <v>0</v>
      </c>
      <c r="DJ22" s="1508">
        <v>0</v>
      </c>
      <c r="DK22" s="1508">
        <v>0</v>
      </c>
      <c r="DL22" s="1508">
        <v>0</v>
      </c>
      <c r="DN22" s="1509">
        <v>0</v>
      </c>
    </row>
    <row r="23" spans="1:118" s="14" customFormat="1" ht="10.5" hidden="1" customHeight="1" outlineLevel="1" x14ac:dyDescent="0.2">
      <c r="A23" s="1522"/>
      <c r="B23" s="1522"/>
      <c r="C23" s="1522"/>
      <c r="D23" s="1545"/>
      <c r="E23" s="1512"/>
      <c r="G23" s="1499"/>
      <c r="H23" s="1499"/>
      <c r="I23" s="1499"/>
      <c r="J23" s="1499"/>
      <c r="K23" s="1499"/>
      <c r="L23" s="1499"/>
      <c r="M23" s="1499"/>
      <c r="N23" s="1499"/>
      <c r="O23" s="1499"/>
      <c r="P23" s="1499"/>
      <c r="Q23" s="1499"/>
      <c r="R23" s="1499"/>
      <c r="S23" s="1499"/>
      <c r="T23" s="1499"/>
      <c r="U23" s="1499"/>
      <c r="V23" s="1499"/>
      <c r="W23" s="1539">
        <f t="shared" si="10"/>
        <v>0</v>
      </c>
      <c r="Y23" s="1501"/>
      <c r="Z23" s="1501"/>
      <c r="AA23" s="1501"/>
      <c r="AB23" s="1501"/>
      <c r="AC23" s="1501"/>
      <c r="AD23" s="1501"/>
      <c r="AE23" s="1501"/>
      <c r="AF23" s="1501"/>
      <c r="AG23" s="1501"/>
      <c r="AH23" s="1501"/>
      <c r="AI23" s="1501"/>
      <c r="AJ23" s="1501"/>
      <c r="AK23" s="1501"/>
      <c r="AL23" s="1501"/>
      <c r="AM23" s="1501"/>
      <c r="AN23" s="1501"/>
      <c r="AO23" s="1501"/>
      <c r="AP23" s="1501"/>
      <c r="AQ23" s="1490">
        <f t="shared" si="11"/>
        <v>0</v>
      </c>
      <c r="AS23" s="1523"/>
      <c r="AT23" s="1523"/>
      <c r="AU23" s="1523"/>
      <c r="AV23" s="1523"/>
      <c r="AW23" s="1523"/>
      <c r="AX23" s="1523"/>
      <c r="AY23" s="1523"/>
      <c r="AZ23" s="1523"/>
      <c r="BA23" s="1523"/>
      <c r="BB23" s="1523"/>
      <c r="BC23" s="1523"/>
      <c r="BD23" s="1523"/>
      <c r="BE23" s="1523"/>
      <c r="BF23" s="1523"/>
      <c r="BG23" s="1523"/>
      <c r="BH23" s="1523"/>
      <c r="BI23" s="1523"/>
      <c r="BJ23" s="1523"/>
      <c r="BK23" s="1523"/>
      <c r="BL23" s="1503"/>
      <c r="BN23" s="1505"/>
      <c r="BO23" s="1505"/>
      <c r="BP23" s="1505"/>
      <c r="BR23" s="3168">
        <f t="shared" si="12"/>
        <v>0</v>
      </c>
      <c r="BS23" s="1506"/>
      <c r="BT23" s="748"/>
      <c r="BU23" s="1507">
        <v>0</v>
      </c>
      <c r="BV23" s="1508">
        <v>0</v>
      </c>
      <c r="BW23" s="1508">
        <v>0</v>
      </c>
      <c r="BX23" s="1508">
        <v>0</v>
      </c>
      <c r="BY23" s="1508">
        <v>0</v>
      </c>
      <c r="BZ23" s="1508">
        <v>0</v>
      </c>
      <c r="CA23" s="1508">
        <v>0</v>
      </c>
      <c r="CB23" s="1508">
        <v>0</v>
      </c>
      <c r="CC23" s="1508">
        <v>0</v>
      </c>
      <c r="CD23" s="1508">
        <v>0</v>
      </c>
      <c r="CE23" s="1508">
        <v>0</v>
      </c>
      <c r="CF23" s="1508">
        <v>0</v>
      </c>
      <c r="CG23" s="1508">
        <v>0</v>
      </c>
      <c r="CH23" s="1508">
        <v>0</v>
      </c>
      <c r="CI23" s="1508">
        <v>0</v>
      </c>
      <c r="CJ23" s="1508">
        <v>0</v>
      </c>
      <c r="CK23" s="1508">
        <v>0</v>
      </c>
      <c r="CL23" s="1508">
        <v>0</v>
      </c>
      <c r="CM23" s="1508">
        <v>0</v>
      </c>
      <c r="CN23" s="1508">
        <v>0</v>
      </c>
      <c r="CO23" s="1508">
        <v>0</v>
      </c>
      <c r="CP23" s="1508">
        <v>0</v>
      </c>
      <c r="CQ23" s="1508">
        <v>0</v>
      </c>
      <c r="CR23" s="1508">
        <v>0</v>
      </c>
      <c r="CS23" s="1508">
        <v>0</v>
      </c>
      <c r="CT23" s="1508">
        <v>0</v>
      </c>
      <c r="CU23" s="1508">
        <v>0</v>
      </c>
      <c r="CV23" s="1508">
        <v>0</v>
      </c>
      <c r="CW23" s="1508">
        <v>0</v>
      </c>
      <c r="CX23" s="1508">
        <v>0</v>
      </c>
      <c r="CY23" s="1508">
        <v>0</v>
      </c>
      <c r="CZ23" s="1508">
        <v>0</v>
      </c>
      <c r="DA23" s="1508">
        <v>38.200000000000003</v>
      </c>
      <c r="DB23" s="1508">
        <v>4.7558849195905424E-2</v>
      </c>
      <c r="DC23" s="1508">
        <v>0.68729627526214465</v>
      </c>
      <c r="DD23" s="1508">
        <v>0</v>
      </c>
      <c r="DE23" s="1508">
        <v>0</v>
      </c>
      <c r="DF23" s="1508">
        <v>0</v>
      </c>
      <c r="DG23" s="1508">
        <v>0</v>
      </c>
      <c r="DH23" s="1508">
        <v>0</v>
      </c>
      <c r="DI23" s="1508">
        <v>0</v>
      </c>
      <c r="DJ23" s="1508">
        <v>0</v>
      </c>
      <c r="DK23" s="1508">
        <v>0</v>
      </c>
      <c r="DL23" s="1508">
        <v>0</v>
      </c>
      <c r="DN23" s="1509">
        <v>38.934855124458053</v>
      </c>
    </row>
    <row r="24" spans="1:118" s="14" customFormat="1" ht="12.75" hidden="1" customHeight="1" outlineLevel="2" x14ac:dyDescent="0.2">
      <c r="A24" s="1495"/>
      <c r="B24" s="1495"/>
      <c r="C24" s="1496" t="s">
        <v>102</v>
      </c>
      <c r="D24" s="14" t="str">
        <f>INDEX(Modulos[Modulos], MATCH($C24, Modulos[Código], 0))</f>
        <v>Transporte de carga</v>
      </c>
      <c r="E24" s="1512"/>
      <c r="G24" s="1889">
        <f t="shared" ref="G24:V24" ca="1" si="22">IFERROR(INDEX(INDIRECT($C24&amp;".Outputs["&amp;this.Year&amp;"]"), MATCH(G$5, INDIRECT($C24&amp;".Outputs[Vector]"), 0)), 0)</f>
        <v>0</v>
      </c>
      <c r="H24" s="1889"/>
      <c r="I24" s="1889"/>
      <c r="J24" s="1889"/>
      <c r="K24" s="1889"/>
      <c r="L24" s="1889"/>
      <c r="M24" s="1889">
        <f t="shared" ca="1" si="22"/>
        <v>0</v>
      </c>
      <c r="N24" s="1889">
        <f t="shared" ca="1" si="22"/>
        <v>0</v>
      </c>
      <c r="O24" s="1889">
        <f t="shared" ca="1" si="22"/>
        <v>0</v>
      </c>
      <c r="P24" s="1889">
        <f t="shared" ca="1" si="22"/>
        <v>0</v>
      </c>
      <c r="Q24" s="1889">
        <f t="shared" ca="1" si="22"/>
        <v>0</v>
      </c>
      <c r="R24" s="1889">
        <f t="shared" ca="1" si="22"/>
        <v>0</v>
      </c>
      <c r="S24" s="1889">
        <f t="shared" ca="1" si="22"/>
        <v>8.3202556134247665</v>
      </c>
      <c r="T24" s="1889">
        <f t="shared" ca="1" si="22"/>
        <v>9.4315997817865629</v>
      </c>
      <c r="U24" s="1889">
        <f t="shared" ca="1" si="22"/>
        <v>6.6669002863886983E-3</v>
      </c>
      <c r="V24" s="1889">
        <f t="shared" ca="1" si="22"/>
        <v>0.34078908460303153</v>
      </c>
      <c r="W24" s="1539">
        <f t="shared" ca="1" si="10"/>
        <v>18.099311380100751</v>
      </c>
      <c r="Y24" s="1891">
        <f t="shared" ref="Y24:AP24" ca="1" si="23">IFERROR(INDEX(INDIRECT($C24&amp;".Outputs["&amp;this.Year&amp;"]"), MATCH(Y$5, INDIRECT($C24&amp;".Outputs[Vector]"), 0)), 0)</f>
        <v>0</v>
      </c>
      <c r="Z24" s="1891">
        <f t="shared" ca="1" si="23"/>
        <v>0</v>
      </c>
      <c r="AA24" s="1891">
        <f t="shared" ca="1" si="23"/>
        <v>0</v>
      </c>
      <c r="AB24" s="1891">
        <f t="shared" ca="1" si="23"/>
        <v>-18.099311380100751</v>
      </c>
      <c r="AC24" s="1891">
        <f t="shared" ca="1" si="23"/>
        <v>0</v>
      </c>
      <c r="AD24" s="1891">
        <f t="shared" ca="1" si="23"/>
        <v>0</v>
      </c>
      <c r="AE24" s="1891">
        <f t="shared" ca="1" si="23"/>
        <v>0</v>
      </c>
      <c r="AF24" s="1891">
        <f t="shared" ca="1" si="23"/>
        <v>0</v>
      </c>
      <c r="AG24" s="1891">
        <f t="shared" ca="1" si="23"/>
        <v>0</v>
      </c>
      <c r="AH24" s="1891">
        <f t="shared" ca="1" si="23"/>
        <v>0</v>
      </c>
      <c r="AI24" s="1891">
        <f t="shared" ca="1" si="23"/>
        <v>0</v>
      </c>
      <c r="AJ24" s="1891">
        <f t="shared" ca="1" si="23"/>
        <v>0</v>
      </c>
      <c r="AK24" s="1891">
        <f t="shared" ca="1" si="23"/>
        <v>0</v>
      </c>
      <c r="AL24" s="1891">
        <f t="shared" ca="1" si="23"/>
        <v>0</v>
      </c>
      <c r="AM24" s="1891">
        <f t="shared" ca="1" si="23"/>
        <v>0</v>
      </c>
      <c r="AN24" s="1891">
        <f t="shared" ca="1" si="23"/>
        <v>0</v>
      </c>
      <c r="AO24" s="1891">
        <f t="shared" ca="1" si="23"/>
        <v>0</v>
      </c>
      <c r="AP24" s="1891">
        <f t="shared" ca="1" si="23"/>
        <v>0</v>
      </c>
      <c r="AQ24" s="1490">
        <f t="shared" ca="1" si="11"/>
        <v>-18.099311380100751</v>
      </c>
      <c r="AS24" s="1491">
        <f>AS23</f>
        <v>0</v>
      </c>
      <c r="AT24" s="1491">
        <f t="shared" ref="AT24:BK24" si="24">AT23</f>
        <v>0</v>
      </c>
      <c r="AU24" s="1491">
        <f t="shared" si="24"/>
        <v>0</v>
      </c>
      <c r="AV24" s="1491">
        <f t="shared" si="24"/>
        <v>0</v>
      </c>
      <c r="AW24" s="1491">
        <f t="shared" si="24"/>
        <v>0</v>
      </c>
      <c r="AX24" s="1491">
        <f t="shared" si="24"/>
        <v>0</v>
      </c>
      <c r="AY24" s="1491">
        <f t="shared" si="24"/>
        <v>0</v>
      </c>
      <c r="AZ24" s="1491">
        <f t="shared" si="24"/>
        <v>0</v>
      </c>
      <c r="BA24" s="1491">
        <f t="shared" si="24"/>
        <v>0</v>
      </c>
      <c r="BB24" s="1491">
        <f t="shared" si="24"/>
        <v>0</v>
      </c>
      <c r="BC24" s="1491">
        <f t="shared" si="24"/>
        <v>0</v>
      </c>
      <c r="BD24" s="1491">
        <f t="shared" si="24"/>
        <v>0</v>
      </c>
      <c r="BE24" s="1491">
        <f t="shared" si="24"/>
        <v>0</v>
      </c>
      <c r="BF24" s="1491">
        <f t="shared" si="24"/>
        <v>0</v>
      </c>
      <c r="BG24" s="1491">
        <f t="shared" si="24"/>
        <v>0</v>
      </c>
      <c r="BH24" s="1491">
        <f t="shared" si="24"/>
        <v>0</v>
      </c>
      <c r="BI24" s="1491">
        <f t="shared" si="24"/>
        <v>0</v>
      </c>
      <c r="BJ24" s="1491">
        <f t="shared" si="24"/>
        <v>0</v>
      </c>
      <c r="BK24" s="1491">
        <f t="shared" si="24"/>
        <v>0</v>
      </c>
      <c r="BL24" s="1503">
        <f>SUM(AS24:BK24)</f>
        <v>0</v>
      </c>
      <c r="BN24" s="1941">
        <f ca="1">IFERROR(INDEX(INDIRECT($C24&amp;".Outputs["&amp;this.Year&amp;"]"), MATCH(BN$5, INDIRECT($C24&amp;".Outputs[Vector]"), 0)), 0)</f>
        <v>0</v>
      </c>
      <c r="BO24" s="1941">
        <f ca="1">IFERROR(INDEX(INDIRECT($C24&amp;".Outputs["&amp;this.Year&amp;"]"), MATCH(BO$5, INDIRECT($C24&amp;".Outputs[Vector]"), 0)), 0)</f>
        <v>0</v>
      </c>
      <c r="BP24" s="1505">
        <f ca="1">BN24+BO24</f>
        <v>0</v>
      </c>
      <c r="BR24" s="3168">
        <f t="shared" ca="1" si="12"/>
        <v>0</v>
      </c>
      <c r="BS24" s="1525"/>
      <c r="BT24" s="748"/>
      <c r="BU24" s="1507">
        <v>0</v>
      </c>
      <c r="BV24" s="1508">
        <v>0</v>
      </c>
      <c r="BW24" s="1508">
        <v>0</v>
      </c>
      <c r="BX24" s="1508">
        <v>0</v>
      </c>
      <c r="BY24" s="1508">
        <v>0</v>
      </c>
      <c r="BZ24" s="1508">
        <v>0</v>
      </c>
      <c r="CA24" s="1508">
        <v>0</v>
      </c>
      <c r="CB24" s="1508">
        <v>0</v>
      </c>
      <c r="CC24" s="1508">
        <v>0</v>
      </c>
      <c r="CD24" s="1508">
        <v>0</v>
      </c>
      <c r="CE24" s="1508">
        <v>0</v>
      </c>
      <c r="CF24" s="1508">
        <v>0</v>
      </c>
      <c r="CG24" s="1508">
        <v>0</v>
      </c>
      <c r="CH24" s="1508">
        <v>0</v>
      </c>
      <c r="CI24" s="1508">
        <v>0</v>
      </c>
      <c r="CJ24" s="1508">
        <v>0</v>
      </c>
      <c r="CK24" s="1508">
        <v>0</v>
      </c>
      <c r="CL24" s="1508">
        <v>0</v>
      </c>
      <c r="CM24" s="1508">
        <v>0</v>
      </c>
      <c r="CN24" s="1508">
        <v>0</v>
      </c>
      <c r="CO24" s="1508">
        <v>0</v>
      </c>
      <c r="CP24" s="1508">
        <v>0</v>
      </c>
      <c r="CQ24" s="1508">
        <v>0</v>
      </c>
      <c r="CR24" s="1508">
        <v>0</v>
      </c>
      <c r="CS24" s="1508">
        <v>0</v>
      </c>
      <c r="CT24" s="1508">
        <v>0</v>
      </c>
      <c r="CU24" s="1508">
        <v>0</v>
      </c>
      <c r="CV24" s="1508">
        <v>0</v>
      </c>
      <c r="CW24" s="1508">
        <v>0</v>
      </c>
      <c r="CX24" s="1508">
        <v>0</v>
      </c>
      <c r="CY24" s="1508">
        <v>0</v>
      </c>
      <c r="CZ24" s="1508">
        <v>0</v>
      </c>
      <c r="DA24" s="1508">
        <v>13.5395392718143</v>
      </c>
      <c r="DB24" s="1508">
        <v>1.6856672942676842E-2</v>
      </c>
      <c r="DC24" s="1508">
        <v>0.2436040552430235</v>
      </c>
      <c r="DD24" s="1508">
        <v>0</v>
      </c>
      <c r="DE24" s="1508">
        <v>0</v>
      </c>
      <c r="DF24" s="1508">
        <v>0</v>
      </c>
      <c r="DG24" s="1508">
        <v>0</v>
      </c>
      <c r="DH24" s="1508">
        <v>0</v>
      </c>
      <c r="DI24" s="1508">
        <v>0</v>
      </c>
      <c r="DJ24" s="1508">
        <v>0</v>
      </c>
      <c r="DK24" s="1508">
        <v>0</v>
      </c>
      <c r="DL24" s="1508">
        <v>0</v>
      </c>
      <c r="DN24" s="1509">
        <v>13.8</v>
      </c>
    </row>
    <row r="25" spans="1:118" s="14" customFormat="1" ht="10.5" hidden="1" customHeight="1" outlineLevel="2" x14ac:dyDescent="0.2">
      <c r="A25" s="1510"/>
      <c r="B25" s="1510"/>
      <c r="C25" s="1511"/>
      <c r="D25" s="1546"/>
      <c r="E25" s="1512"/>
      <c r="G25" s="1513"/>
      <c r="H25" s="1513"/>
      <c r="I25" s="1513"/>
      <c r="J25" s="1513"/>
      <c r="K25" s="1513"/>
      <c r="L25" s="1513"/>
      <c r="M25" s="1513"/>
      <c r="N25" s="1513"/>
      <c r="O25" s="1513"/>
      <c r="P25" s="1513"/>
      <c r="Q25" s="1513"/>
      <c r="R25" s="1513"/>
      <c r="S25" s="1513"/>
      <c r="T25" s="1513"/>
      <c r="U25" s="1513"/>
      <c r="V25" s="1513"/>
      <c r="W25" s="1539">
        <f t="shared" si="10"/>
        <v>0</v>
      </c>
      <c r="Y25" s="1515"/>
      <c r="Z25" s="1515"/>
      <c r="AA25" s="1515"/>
      <c r="AB25" s="1515"/>
      <c r="AC25" s="1515"/>
      <c r="AD25" s="1515"/>
      <c r="AE25" s="1515"/>
      <c r="AF25" s="1515"/>
      <c r="AG25" s="1515"/>
      <c r="AH25" s="1515"/>
      <c r="AI25" s="1515"/>
      <c r="AJ25" s="1515"/>
      <c r="AK25" s="1515"/>
      <c r="AL25" s="1515"/>
      <c r="AM25" s="1515"/>
      <c r="AN25" s="1515"/>
      <c r="AO25" s="1515"/>
      <c r="AP25" s="1515"/>
      <c r="AQ25" s="1490">
        <f t="shared" si="11"/>
        <v>0</v>
      </c>
      <c r="AS25" s="1517"/>
      <c r="AT25" s="1517"/>
      <c r="AU25" s="1517"/>
      <c r="AV25" s="1517"/>
      <c r="AW25" s="1517"/>
      <c r="AX25" s="1517"/>
      <c r="AY25" s="1517"/>
      <c r="AZ25" s="1517"/>
      <c r="BA25" s="1517"/>
      <c r="BB25" s="1517"/>
      <c r="BC25" s="1517"/>
      <c r="BD25" s="1517"/>
      <c r="BE25" s="1517"/>
      <c r="BF25" s="1517"/>
      <c r="BG25" s="1517"/>
      <c r="BH25" s="1517"/>
      <c r="BI25" s="1517"/>
      <c r="BJ25" s="1517"/>
      <c r="BK25" s="1517"/>
      <c r="BL25" s="1518"/>
      <c r="BN25" s="1519"/>
      <c r="BO25" s="1519"/>
      <c r="BP25" s="1520"/>
      <c r="BR25" s="3168">
        <f t="shared" si="12"/>
        <v>0</v>
      </c>
      <c r="BS25" s="1521"/>
      <c r="BT25" s="748"/>
      <c r="BU25" s="1507">
        <v>0</v>
      </c>
      <c r="BV25" s="1508">
        <v>0</v>
      </c>
      <c r="BW25" s="1508">
        <v>0</v>
      </c>
      <c r="BX25" s="1508">
        <v>0</v>
      </c>
      <c r="BY25" s="1508">
        <v>0</v>
      </c>
      <c r="BZ25" s="1508">
        <v>0</v>
      </c>
      <c r="CA25" s="1508">
        <v>0</v>
      </c>
      <c r="CB25" s="1508">
        <v>0</v>
      </c>
      <c r="CC25" s="1508">
        <v>0</v>
      </c>
      <c r="CD25" s="1508">
        <v>0</v>
      </c>
      <c r="CE25" s="1508">
        <v>0</v>
      </c>
      <c r="CF25" s="1508">
        <v>0</v>
      </c>
      <c r="CG25" s="1508">
        <v>0</v>
      </c>
      <c r="CH25" s="1508">
        <v>0</v>
      </c>
      <c r="CI25" s="1508">
        <v>0</v>
      </c>
      <c r="CJ25" s="1508">
        <v>0</v>
      </c>
      <c r="CK25" s="1508">
        <v>0</v>
      </c>
      <c r="CL25" s="1508">
        <v>0</v>
      </c>
      <c r="CM25" s="1508">
        <v>0</v>
      </c>
      <c r="CN25" s="1508">
        <v>0</v>
      </c>
      <c r="CO25" s="1508">
        <v>0</v>
      </c>
      <c r="CP25" s="1508">
        <v>0</v>
      </c>
      <c r="CQ25" s="1508">
        <v>0</v>
      </c>
      <c r="CR25" s="1508">
        <v>0</v>
      </c>
      <c r="CS25" s="1508">
        <v>0</v>
      </c>
      <c r="CT25" s="1508">
        <v>0</v>
      </c>
      <c r="CU25" s="1508">
        <v>0</v>
      </c>
      <c r="CV25" s="1508">
        <v>0</v>
      </c>
      <c r="CW25" s="1508">
        <v>0</v>
      </c>
      <c r="CX25" s="1508">
        <v>0</v>
      </c>
      <c r="CY25" s="1508">
        <v>0</v>
      </c>
      <c r="CZ25" s="1508">
        <v>0</v>
      </c>
      <c r="DA25" s="1508">
        <v>0</v>
      </c>
      <c r="DB25" s="1508">
        <v>0</v>
      </c>
      <c r="DC25" s="1508">
        <v>0</v>
      </c>
      <c r="DD25" s="1508">
        <v>0</v>
      </c>
      <c r="DE25" s="1508">
        <v>0</v>
      </c>
      <c r="DF25" s="1508">
        <v>0</v>
      </c>
      <c r="DG25" s="1508">
        <v>0</v>
      </c>
      <c r="DH25" s="1508">
        <v>0</v>
      </c>
      <c r="DI25" s="1508">
        <v>0</v>
      </c>
      <c r="DJ25" s="1508">
        <v>0</v>
      </c>
      <c r="DK25" s="1508">
        <v>0</v>
      </c>
      <c r="DL25" s="1508">
        <v>0</v>
      </c>
      <c r="DN25" s="1509">
        <v>0</v>
      </c>
    </row>
    <row r="26" spans="1:118" s="14" customFormat="1" ht="11.25" hidden="1" customHeight="1" outlineLevel="1" x14ac:dyDescent="0.2">
      <c r="A26" s="1522"/>
      <c r="B26" s="1522"/>
      <c r="D26" s="1547"/>
      <c r="E26" s="1526"/>
      <c r="G26" s="1527"/>
      <c r="H26" s="1527"/>
      <c r="I26" s="1527"/>
      <c r="J26" s="1527"/>
      <c r="K26" s="1527"/>
      <c r="L26" s="1527"/>
      <c r="M26" s="1527"/>
      <c r="N26" s="1527"/>
      <c r="O26" s="1527"/>
      <c r="P26" s="1527"/>
      <c r="Q26" s="1527"/>
      <c r="R26" s="1527"/>
      <c r="S26" s="1527"/>
      <c r="T26" s="1527"/>
      <c r="U26" s="1527"/>
      <c r="V26" s="1527"/>
      <c r="W26" s="1539">
        <f t="shared" si="10"/>
        <v>0</v>
      </c>
      <c r="Y26" s="1528"/>
      <c r="Z26" s="1528"/>
      <c r="AA26" s="1528"/>
      <c r="AB26" s="1528"/>
      <c r="AC26" s="1528"/>
      <c r="AD26" s="1548"/>
      <c r="AE26" s="1548"/>
      <c r="AF26" s="1548"/>
      <c r="AG26" s="1528"/>
      <c r="AH26" s="1528"/>
      <c r="AI26" s="1528"/>
      <c r="AJ26" s="1528"/>
      <c r="AK26" s="1528"/>
      <c r="AL26" s="1528"/>
      <c r="AM26" s="1528"/>
      <c r="AN26" s="1528"/>
      <c r="AO26" s="1528"/>
      <c r="AP26" s="1528"/>
      <c r="AQ26" s="1490">
        <f t="shared" si="11"/>
        <v>0</v>
      </c>
      <c r="AS26" s="1549"/>
      <c r="AT26" s="1549"/>
      <c r="AU26" s="1549"/>
      <c r="AV26" s="1549"/>
      <c r="AW26" s="1549"/>
      <c r="AX26" s="1549"/>
      <c r="AY26" s="1549"/>
      <c r="AZ26" s="1549"/>
      <c r="BA26" s="1549"/>
      <c r="BB26" s="1549"/>
      <c r="BC26" s="1549"/>
      <c r="BD26" s="1549"/>
      <c r="BE26" s="1549"/>
      <c r="BF26" s="1549"/>
      <c r="BG26" s="1549"/>
      <c r="BH26" s="1549"/>
      <c r="BI26" s="1549"/>
      <c r="BJ26" s="1549"/>
      <c r="BK26" s="1549"/>
      <c r="BL26" s="1550"/>
      <c r="BN26" s="1551"/>
      <c r="BO26" s="1551"/>
      <c r="BP26" s="1531"/>
      <c r="BR26" s="3168">
        <f t="shared" si="12"/>
        <v>0</v>
      </c>
      <c r="BS26" s="1506"/>
      <c r="BT26" s="1522"/>
      <c r="BU26" s="1532">
        <v>0</v>
      </c>
      <c r="BV26" s="1533">
        <v>0</v>
      </c>
      <c r="BW26" s="1533">
        <v>0</v>
      </c>
      <c r="BX26" s="1533">
        <v>0</v>
      </c>
      <c r="BY26" s="1533">
        <v>0</v>
      </c>
      <c r="BZ26" s="1533">
        <v>0</v>
      </c>
      <c r="CA26" s="1533">
        <v>0</v>
      </c>
      <c r="CB26" s="1533">
        <v>0</v>
      </c>
      <c r="CC26" s="1533">
        <v>0</v>
      </c>
      <c r="CD26" s="1533">
        <v>0</v>
      </c>
      <c r="CE26" s="1533">
        <v>0</v>
      </c>
      <c r="CF26" s="1533">
        <v>0</v>
      </c>
      <c r="CG26" s="1533">
        <v>0</v>
      </c>
      <c r="CH26" s="1533">
        <v>0</v>
      </c>
      <c r="CI26" s="1533">
        <v>0</v>
      </c>
      <c r="CJ26" s="1533">
        <v>0</v>
      </c>
      <c r="CK26" s="1533">
        <v>0</v>
      </c>
      <c r="CL26" s="1533">
        <v>0</v>
      </c>
      <c r="CM26" s="1533">
        <v>0</v>
      </c>
      <c r="CN26" s="1533">
        <v>0</v>
      </c>
      <c r="CO26" s="1533">
        <v>0</v>
      </c>
      <c r="CP26" s="1533">
        <v>0</v>
      </c>
      <c r="CQ26" s="1533">
        <v>0</v>
      </c>
      <c r="CR26" s="1533">
        <v>0</v>
      </c>
      <c r="CS26" s="1533">
        <v>0</v>
      </c>
      <c r="CT26" s="1533">
        <v>0</v>
      </c>
      <c r="CU26" s="1533">
        <v>0</v>
      </c>
      <c r="CV26" s="1533">
        <v>0</v>
      </c>
      <c r="CW26" s="1533">
        <v>0</v>
      </c>
      <c r="CX26" s="1533">
        <v>0</v>
      </c>
      <c r="CY26" s="1533">
        <v>0</v>
      </c>
      <c r="CZ26" s="1533">
        <v>0</v>
      </c>
      <c r="DA26" s="1533">
        <v>13.5395392718143</v>
      </c>
      <c r="DB26" s="1533">
        <v>1.6856672942676842E-2</v>
      </c>
      <c r="DC26" s="1533">
        <v>0.2436040552430235</v>
      </c>
      <c r="DD26" s="1533">
        <v>0</v>
      </c>
      <c r="DE26" s="1533">
        <v>0</v>
      </c>
      <c r="DF26" s="1533">
        <v>0</v>
      </c>
      <c r="DG26" s="1533">
        <v>0</v>
      </c>
      <c r="DH26" s="1533">
        <v>0</v>
      </c>
      <c r="DI26" s="1533">
        <v>0</v>
      </c>
      <c r="DJ26" s="1533">
        <v>0</v>
      </c>
      <c r="DK26" s="1533">
        <v>0</v>
      </c>
      <c r="DL26" s="1533">
        <v>0</v>
      </c>
      <c r="DN26" s="1509">
        <v>13.8</v>
      </c>
    </row>
    <row r="27" spans="1:118" s="14" customFormat="1" ht="15.75" collapsed="1" x14ac:dyDescent="0.2">
      <c r="A27" s="1534"/>
      <c r="B27" s="1535"/>
      <c r="C27" s="1536" t="s">
        <v>579</v>
      </c>
      <c r="D27" s="1537" t="str">
        <f>INDEX(Flujos[Flujos], MATCH($C27, Flujos[Código], 0))</f>
        <v>Transporte</v>
      </c>
      <c r="E27" s="1538"/>
      <c r="G27" s="1539">
        <f ca="1">G21+G24</f>
        <v>0</v>
      </c>
      <c r="H27" s="1539">
        <f t="shared" ref="H27:V27" si="25">H21+H24</f>
        <v>0</v>
      </c>
      <c r="I27" s="1539">
        <f t="shared" si="25"/>
        <v>0</v>
      </c>
      <c r="J27" s="1539">
        <f t="shared" si="25"/>
        <v>0</v>
      </c>
      <c r="K27" s="1539">
        <f t="shared" si="25"/>
        <v>0</v>
      </c>
      <c r="L27" s="1539">
        <f t="shared" si="25"/>
        <v>0</v>
      </c>
      <c r="M27" s="1539">
        <f t="shared" ca="1" si="25"/>
        <v>0</v>
      </c>
      <c r="N27" s="1892">
        <f t="shared" ca="1" si="25"/>
        <v>57.799860517853276</v>
      </c>
      <c r="O27" s="1892">
        <f t="shared" ca="1" si="25"/>
        <v>18.884279144014918</v>
      </c>
      <c r="P27" s="1892">
        <f t="shared" ca="1" si="25"/>
        <v>0.45450745671867954</v>
      </c>
      <c r="Q27" s="1892">
        <f t="shared" ca="1" si="25"/>
        <v>5.04411731104858E-2</v>
      </c>
      <c r="R27" s="1892">
        <f t="shared" ca="1" si="25"/>
        <v>24.28394824198671</v>
      </c>
      <c r="S27" s="1892">
        <f t="shared" ca="1" si="25"/>
        <v>8.3202556134247665</v>
      </c>
      <c r="T27" s="1892">
        <f t="shared" ca="1" si="25"/>
        <v>9.4315997817865629</v>
      </c>
      <c r="U27" s="1892">
        <f t="shared" ca="1" si="25"/>
        <v>6.6669002863886983E-3</v>
      </c>
      <c r="V27" s="1892">
        <f t="shared" ca="1" si="25"/>
        <v>0.34078908460303153</v>
      </c>
      <c r="W27" s="1539">
        <f t="shared" ca="1" si="10"/>
        <v>119.5723479137848</v>
      </c>
      <c r="Y27" s="1893">
        <f ca="1">Y21+Y24</f>
        <v>-0.75832903212194247</v>
      </c>
      <c r="Z27" s="1893">
        <f t="shared" ref="Z27:AP27" ca="1" si="26">Z21+Z24</f>
        <v>0</v>
      </c>
      <c r="AA27" s="1893">
        <f t="shared" ca="1" si="26"/>
        <v>0</v>
      </c>
      <c r="AB27" s="1893">
        <f ca="1">AB21+AB24</f>
        <v>-118.81401888166286</v>
      </c>
      <c r="AC27" s="1893">
        <f t="shared" ca="1" si="26"/>
        <v>0</v>
      </c>
      <c r="AD27" s="1893">
        <f t="shared" ca="1" si="26"/>
        <v>0</v>
      </c>
      <c r="AE27" s="1893">
        <f t="shared" ca="1" si="26"/>
        <v>0</v>
      </c>
      <c r="AF27" s="1893">
        <f t="shared" ca="1" si="26"/>
        <v>0</v>
      </c>
      <c r="AG27" s="1893">
        <f t="shared" ca="1" si="26"/>
        <v>0</v>
      </c>
      <c r="AH27" s="1893">
        <f t="shared" ca="1" si="26"/>
        <v>0</v>
      </c>
      <c r="AI27" s="1893">
        <f t="shared" ca="1" si="26"/>
        <v>0</v>
      </c>
      <c r="AJ27" s="1893">
        <f t="shared" ca="1" si="26"/>
        <v>0</v>
      </c>
      <c r="AK27" s="1893">
        <f t="shared" ca="1" si="26"/>
        <v>0</v>
      </c>
      <c r="AL27" s="1893">
        <f t="shared" ca="1" si="26"/>
        <v>0</v>
      </c>
      <c r="AM27" s="1893">
        <f t="shared" ca="1" si="26"/>
        <v>0</v>
      </c>
      <c r="AN27" s="1893">
        <f t="shared" ca="1" si="26"/>
        <v>0</v>
      </c>
      <c r="AO27" s="1893">
        <f t="shared" ca="1" si="26"/>
        <v>0</v>
      </c>
      <c r="AP27" s="1893">
        <f t="shared" ca="1" si="26"/>
        <v>0</v>
      </c>
      <c r="AQ27" s="1490">
        <f t="shared" ca="1" si="11"/>
        <v>-119.57234791378481</v>
      </c>
      <c r="AS27" s="1491">
        <f>AS26</f>
        <v>0</v>
      </c>
      <c r="AT27" s="1491">
        <f t="shared" ref="AT27:BK27" si="27">AT26</f>
        <v>0</v>
      </c>
      <c r="AU27" s="1491">
        <f t="shared" si="27"/>
        <v>0</v>
      </c>
      <c r="AV27" s="1491">
        <f t="shared" si="27"/>
        <v>0</v>
      </c>
      <c r="AW27" s="1491">
        <f t="shared" si="27"/>
        <v>0</v>
      </c>
      <c r="AX27" s="1491">
        <f t="shared" si="27"/>
        <v>0</v>
      </c>
      <c r="AY27" s="1491">
        <f t="shared" si="27"/>
        <v>0</v>
      </c>
      <c r="AZ27" s="1491">
        <f t="shared" si="27"/>
        <v>0</v>
      </c>
      <c r="BA27" s="1491">
        <f t="shared" si="27"/>
        <v>0</v>
      </c>
      <c r="BB27" s="1491">
        <f t="shared" si="27"/>
        <v>0</v>
      </c>
      <c r="BC27" s="1491">
        <f t="shared" si="27"/>
        <v>0</v>
      </c>
      <c r="BD27" s="1491">
        <f t="shared" si="27"/>
        <v>0</v>
      </c>
      <c r="BE27" s="1491">
        <f t="shared" si="27"/>
        <v>0</v>
      </c>
      <c r="BF27" s="1491">
        <f t="shared" si="27"/>
        <v>0</v>
      </c>
      <c r="BG27" s="1491">
        <f t="shared" si="27"/>
        <v>0</v>
      </c>
      <c r="BH27" s="1491">
        <f t="shared" si="27"/>
        <v>0</v>
      </c>
      <c r="BI27" s="1491">
        <f t="shared" si="27"/>
        <v>0</v>
      </c>
      <c r="BJ27" s="1491">
        <f t="shared" si="27"/>
        <v>0</v>
      </c>
      <c r="BK27" s="1491">
        <f t="shared" si="27"/>
        <v>0</v>
      </c>
      <c r="BL27" s="1503">
        <f>SUM(AS27:BK27)</f>
        <v>0</v>
      </c>
      <c r="BN27" s="1941">
        <f ca="1">BN24+BN21</f>
        <v>0</v>
      </c>
      <c r="BO27" s="1941">
        <f ca="1">BO24+BO21</f>
        <v>0</v>
      </c>
      <c r="BP27" s="1505">
        <f ca="1">BN27+BO27</f>
        <v>0</v>
      </c>
      <c r="BR27" s="3168">
        <f t="shared" ca="1" si="12"/>
        <v>-1.4210854715202004E-14</v>
      </c>
      <c r="BS27" s="1493"/>
      <c r="BT27" s="748"/>
      <c r="BU27" s="1508">
        <v>131.46551968326995</v>
      </c>
      <c r="BV27" s="1508">
        <v>0.16367405301251234</v>
      </c>
      <c r="BW27" s="1508">
        <v>2.365334083866848</v>
      </c>
      <c r="BX27" s="1508">
        <v>0</v>
      </c>
      <c r="BY27" s="1508">
        <v>0</v>
      </c>
      <c r="BZ27" s="1508">
        <v>0</v>
      </c>
      <c r="CA27" s="1508">
        <v>0</v>
      </c>
      <c r="CB27" s="1508">
        <v>0</v>
      </c>
      <c r="CC27" s="1508">
        <v>0</v>
      </c>
      <c r="CD27" s="1508">
        <v>0</v>
      </c>
      <c r="CE27" s="1508">
        <v>0</v>
      </c>
      <c r="CF27" s="1508">
        <v>0</v>
      </c>
      <c r="CG27" s="1508">
        <v>0</v>
      </c>
      <c r="CH27" s="1508">
        <v>0</v>
      </c>
      <c r="CI27" s="1508">
        <v>0</v>
      </c>
      <c r="CJ27" s="1508">
        <v>0</v>
      </c>
      <c r="CK27" s="1508">
        <v>0</v>
      </c>
      <c r="CL27" s="1508">
        <v>0</v>
      </c>
      <c r="CM27" s="1508">
        <v>0</v>
      </c>
      <c r="CN27" s="1508">
        <v>0</v>
      </c>
      <c r="CO27" s="1508">
        <v>0</v>
      </c>
      <c r="CP27" s="1508">
        <v>0</v>
      </c>
      <c r="CQ27" s="1508">
        <v>0</v>
      </c>
      <c r="CR27" s="1508">
        <v>0</v>
      </c>
      <c r="CS27" s="1508">
        <v>0</v>
      </c>
      <c r="CT27" s="1508">
        <v>0</v>
      </c>
      <c r="CU27" s="1508">
        <v>0</v>
      </c>
      <c r="CV27" s="1508">
        <v>0</v>
      </c>
      <c r="CW27" s="1508">
        <v>0</v>
      </c>
      <c r="CX27" s="1508">
        <v>0</v>
      </c>
      <c r="CY27" s="1508">
        <v>0</v>
      </c>
      <c r="CZ27" s="1508">
        <v>0</v>
      </c>
      <c r="DA27" s="1508">
        <v>51.739539271814301</v>
      </c>
      <c r="DB27" s="1508">
        <v>6.441552213858226E-2</v>
      </c>
      <c r="DC27" s="1508">
        <v>0.93090033050516818</v>
      </c>
      <c r="DD27" s="1508">
        <v>0</v>
      </c>
      <c r="DE27" s="1508">
        <v>0</v>
      </c>
      <c r="DF27" s="1508">
        <v>0</v>
      </c>
      <c r="DG27" s="1508">
        <v>0</v>
      </c>
      <c r="DH27" s="1508">
        <v>0</v>
      </c>
      <c r="DI27" s="1508">
        <v>0</v>
      </c>
      <c r="DJ27" s="1508">
        <v>0</v>
      </c>
      <c r="DK27" s="1508">
        <v>0</v>
      </c>
      <c r="DL27" s="1508">
        <v>0</v>
      </c>
      <c r="DN27" s="1509">
        <v>186.72938294460735</v>
      </c>
    </row>
    <row r="28" spans="1:118" s="14" customFormat="1" ht="15.75" x14ac:dyDescent="0.2">
      <c r="A28" s="1534"/>
      <c r="B28" s="1535"/>
      <c r="C28" s="1536"/>
      <c r="D28" s="1537"/>
      <c r="E28" s="1538"/>
      <c r="G28" s="1539"/>
      <c r="H28" s="1539"/>
      <c r="I28" s="1539"/>
      <c r="J28" s="1539"/>
      <c r="K28" s="1539"/>
      <c r="L28" s="1539"/>
      <c r="M28" s="1539"/>
      <c r="N28" s="1539"/>
      <c r="O28" s="1539"/>
      <c r="P28" s="1539"/>
      <c r="Q28" s="1539"/>
      <c r="R28" s="1539"/>
      <c r="S28" s="1539"/>
      <c r="T28" s="1539"/>
      <c r="U28" s="1539"/>
      <c r="V28" s="1539"/>
      <c r="W28" s="1539"/>
      <c r="Y28" s="1490"/>
      <c r="Z28" s="1490"/>
      <c r="AA28" s="1490"/>
      <c r="AB28" s="1490"/>
      <c r="AC28" s="1490"/>
      <c r="AD28" s="1490"/>
      <c r="AE28" s="1490"/>
      <c r="AF28" s="1490"/>
      <c r="AG28" s="1490"/>
      <c r="AH28" s="1490"/>
      <c r="AI28" s="1490"/>
      <c r="AJ28" s="1490"/>
      <c r="AK28" s="1490"/>
      <c r="AL28" s="1490"/>
      <c r="AM28" s="1490"/>
      <c r="AN28" s="1490"/>
      <c r="AO28" s="1490"/>
      <c r="AP28" s="1490"/>
      <c r="AQ28" s="1490"/>
      <c r="AS28" s="1491"/>
      <c r="AT28" s="1491"/>
      <c r="AU28" s="1491"/>
      <c r="AV28" s="1491"/>
      <c r="AW28" s="1491"/>
      <c r="AX28" s="1491"/>
      <c r="AY28" s="1491"/>
      <c r="AZ28" s="1491"/>
      <c r="BA28" s="1491"/>
      <c r="BB28" s="1491"/>
      <c r="BC28" s="1491"/>
      <c r="BD28" s="1491"/>
      <c r="BE28" s="1491"/>
      <c r="BF28" s="1491"/>
      <c r="BG28" s="1491"/>
      <c r="BH28" s="1491"/>
      <c r="BI28" s="1491"/>
      <c r="BJ28" s="1491"/>
      <c r="BK28" s="1491"/>
      <c r="BL28" s="1491"/>
      <c r="BN28" s="1492"/>
      <c r="BO28" s="1492"/>
      <c r="BP28" s="1492"/>
      <c r="BR28" s="3168"/>
      <c r="BS28" s="1493"/>
      <c r="BT28" s="748"/>
      <c r="BU28" s="1508"/>
      <c r="BV28" s="1508"/>
      <c r="BW28" s="1508"/>
      <c r="BX28" s="1508"/>
      <c r="BY28" s="1508"/>
      <c r="BZ28" s="1508"/>
      <c r="CA28" s="1508"/>
      <c r="CB28" s="1508"/>
      <c r="CC28" s="1508"/>
      <c r="CD28" s="1508"/>
      <c r="CE28" s="1508"/>
      <c r="CF28" s="1508"/>
      <c r="CG28" s="1508"/>
      <c r="CH28" s="1508"/>
      <c r="CI28" s="1508"/>
      <c r="CJ28" s="1508"/>
      <c r="CK28" s="1508"/>
      <c r="CL28" s="1508"/>
      <c r="CM28" s="1508"/>
      <c r="CN28" s="1508"/>
      <c r="CO28" s="1508"/>
      <c r="CP28" s="1508"/>
      <c r="CQ28" s="1508"/>
      <c r="CR28" s="1508"/>
      <c r="CS28" s="1508"/>
      <c r="CT28" s="1508"/>
      <c r="CU28" s="1508"/>
      <c r="CV28" s="1508"/>
      <c r="CW28" s="1508"/>
      <c r="CX28" s="1508"/>
      <c r="CY28" s="1508"/>
      <c r="CZ28" s="1508"/>
      <c r="DA28" s="1508"/>
      <c r="DB28" s="1508"/>
      <c r="DC28" s="1508"/>
      <c r="DD28" s="1508"/>
      <c r="DE28" s="1508"/>
      <c r="DF28" s="1508"/>
      <c r="DG28" s="1508"/>
      <c r="DH28" s="1508"/>
      <c r="DI28" s="1508"/>
      <c r="DJ28" s="1508"/>
      <c r="DK28" s="1508"/>
      <c r="DL28" s="1508"/>
      <c r="DN28" s="1509"/>
    </row>
    <row r="29" spans="1:118" s="14" customFormat="1" ht="12.75" hidden="1" customHeight="1" outlineLevel="1" x14ac:dyDescent="0.2">
      <c r="A29" s="1534"/>
      <c r="B29" s="1534"/>
      <c r="C29" s="1544"/>
      <c r="D29" s="1538"/>
      <c r="E29" s="1538"/>
      <c r="G29" s="1539"/>
      <c r="H29" s="1539"/>
      <c r="I29" s="1539"/>
      <c r="J29" s="1539"/>
      <c r="K29" s="1539"/>
      <c r="L29" s="1539"/>
      <c r="M29" s="1539"/>
      <c r="N29" s="1539"/>
      <c r="O29" s="1539"/>
      <c r="P29" s="1539"/>
      <c r="Q29" s="1539"/>
      <c r="R29" s="1539"/>
      <c r="S29" s="1539"/>
      <c r="T29" s="1539"/>
      <c r="U29" s="1539"/>
      <c r="V29" s="1539"/>
      <c r="W29" s="1539">
        <f t="shared" si="10"/>
        <v>0</v>
      </c>
      <c r="Y29" s="1490"/>
      <c r="Z29" s="1490"/>
      <c r="AA29" s="1490"/>
      <c r="AB29" s="1490"/>
      <c r="AC29" s="1490"/>
      <c r="AD29" s="1490"/>
      <c r="AE29" s="1490"/>
      <c r="AF29" s="1490"/>
      <c r="AG29" s="1490"/>
      <c r="AH29" s="1490"/>
      <c r="AI29" s="1490"/>
      <c r="AJ29" s="1490"/>
      <c r="AK29" s="1490"/>
      <c r="AL29" s="1490"/>
      <c r="AM29" s="1490"/>
      <c r="AN29" s="1490"/>
      <c r="AO29" s="1490"/>
      <c r="AP29" s="1490"/>
      <c r="AQ29" s="1490"/>
      <c r="AS29" s="1491"/>
      <c r="AT29" s="1491"/>
      <c r="AU29" s="1491"/>
      <c r="AV29" s="1491"/>
      <c r="AW29" s="1491"/>
      <c r="AX29" s="1491"/>
      <c r="AY29" s="1491"/>
      <c r="AZ29" s="1491"/>
      <c r="BA29" s="1491"/>
      <c r="BB29" s="1491"/>
      <c r="BC29" s="1491"/>
      <c r="BD29" s="1491"/>
      <c r="BE29" s="1491"/>
      <c r="BF29" s="1491"/>
      <c r="BG29" s="1491"/>
      <c r="BH29" s="1491"/>
      <c r="BI29" s="1491"/>
      <c r="BJ29" s="1491"/>
      <c r="BK29" s="1491"/>
      <c r="BL29" s="1491"/>
      <c r="BN29" s="1492"/>
      <c r="BO29" s="1492"/>
      <c r="BP29" s="1492"/>
      <c r="BR29" s="3168">
        <f t="shared" si="12"/>
        <v>0</v>
      </c>
      <c r="BS29" s="1493"/>
      <c r="BT29" s="1534"/>
      <c r="BU29" s="1508"/>
      <c r="BV29" s="1508"/>
      <c r="BW29" s="1508"/>
      <c r="BX29" s="1508"/>
      <c r="BY29" s="1508"/>
      <c r="BZ29" s="1508"/>
      <c r="CA29" s="1508"/>
      <c r="CB29" s="1508"/>
      <c r="CC29" s="1508"/>
      <c r="CD29" s="1508"/>
      <c r="CE29" s="1508"/>
      <c r="CF29" s="1508"/>
      <c r="CG29" s="1508"/>
      <c r="CH29" s="1508"/>
      <c r="CI29" s="1508"/>
      <c r="CJ29" s="1508"/>
      <c r="CK29" s="1508"/>
      <c r="CL29" s="1508"/>
      <c r="CM29" s="1508"/>
      <c r="CN29" s="1508"/>
      <c r="CO29" s="1508"/>
      <c r="CP29" s="1508"/>
      <c r="CQ29" s="1508"/>
      <c r="CR29" s="1508"/>
      <c r="CS29" s="1508"/>
      <c r="CT29" s="1508"/>
      <c r="CU29" s="1508"/>
      <c r="CV29" s="1508"/>
      <c r="CW29" s="1508"/>
      <c r="CX29" s="1508"/>
      <c r="CY29" s="1508"/>
      <c r="CZ29" s="1508"/>
      <c r="DA29" s="1508"/>
      <c r="DB29" s="1508"/>
      <c r="DC29" s="1508"/>
      <c r="DD29" s="1508"/>
      <c r="DE29" s="1508"/>
      <c r="DF29" s="1508"/>
      <c r="DG29" s="1508"/>
      <c r="DH29" s="1508"/>
      <c r="DI29" s="1508"/>
      <c r="DJ29" s="1508"/>
      <c r="DK29" s="1508"/>
      <c r="DL29" s="1508"/>
      <c r="DN29" s="1509">
        <v>0</v>
      </c>
    </row>
    <row r="30" spans="1:118" s="14" customFormat="1" ht="12.75" hidden="1" customHeight="1" outlineLevel="1" x14ac:dyDescent="0.2">
      <c r="A30" s="1522"/>
      <c r="B30" s="1522"/>
      <c r="C30" s="1496"/>
      <c r="D30" s="1526"/>
      <c r="E30" s="1526"/>
      <c r="G30" s="1540">
        <v>0</v>
      </c>
      <c r="H30" s="1540"/>
      <c r="I30" s="1540"/>
      <c r="J30" s="1540"/>
      <c r="K30" s="1540"/>
      <c r="L30" s="1540"/>
      <c r="M30" s="1540">
        <v>0</v>
      </c>
      <c r="N30" s="1540">
        <v>0</v>
      </c>
      <c r="O30" s="1540">
        <v>0</v>
      </c>
      <c r="P30" s="1540">
        <v>0</v>
      </c>
      <c r="Q30" s="1540">
        <v>0</v>
      </c>
      <c r="R30" s="1540">
        <v>0</v>
      </c>
      <c r="S30" s="1540"/>
      <c r="T30" s="1540"/>
      <c r="U30" s="1540"/>
      <c r="V30" s="1540"/>
      <c r="W30" s="1539">
        <f t="shared" si="10"/>
        <v>0</v>
      </c>
      <c r="Y30" s="1541"/>
      <c r="Z30" s="1541"/>
      <c r="AA30" s="1541"/>
      <c r="AB30" s="1541"/>
      <c r="AC30" s="1541"/>
      <c r="AD30" s="1541"/>
      <c r="AE30" s="1541"/>
      <c r="AF30" s="1541"/>
      <c r="AG30" s="1541"/>
      <c r="AH30" s="1541"/>
      <c r="AI30" s="1541"/>
      <c r="AJ30" s="1541"/>
      <c r="AK30" s="1541"/>
      <c r="AL30" s="1541"/>
      <c r="AM30" s="1541"/>
      <c r="AN30" s="1541"/>
      <c r="AO30" s="1541"/>
      <c r="AP30" s="1541"/>
      <c r="AQ30" s="1528"/>
      <c r="AS30" s="1542"/>
      <c r="AT30" s="1542"/>
      <c r="AU30" s="1542"/>
      <c r="AV30" s="1542"/>
      <c r="AW30" s="1542"/>
      <c r="AX30" s="1542"/>
      <c r="AY30" s="1542"/>
      <c r="AZ30" s="1542"/>
      <c r="BA30" s="1542"/>
      <c r="BB30" s="1542"/>
      <c r="BC30" s="1542"/>
      <c r="BD30" s="1542"/>
      <c r="BE30" s="1542"/>
      <c r="BF30" s="1542"/>
      <c r="BG30" s="1542"/>
      <c r="BH30" s="1542"/>
      <c r="BI30" s="1542"/>
      <c r="BJ30" s="1542"/>
      <c r="BK30" s="1542"/>
      <c r="BL30" s="1530"/>
      <c r="BN30" s="1543">
        <v>0</v>
      </c>
      <c r="BO30" s="1543">
        <v>0</v>
      </c>
      <c r="BP30" s="1531">
        <v>0</v>
      </c>
      <c r="BR30" s="3168">
        <f t="shared" si="12"/>
        <v>0</v>
      </c>
      <c r="BS30" s="1525"/>
      <c r="BT30" s="748"/>
      <c r="BU30" s="1532">
        <v>0</v>
      </c>
      <c r="BV30" s="1533">
        <v>0</v>
      </c>
      <c r="BW30" s="1533">
        <v>0</v>
      </c>
      <c r="BX30" s="1533">
        <v>0</v>
      </c>
      <c r="BY30" s="1533">
        <v>0</v>
      </c>
      <c r="BZ30" s="1533">
        <v>0</v>
      </c>
      <c r="CA30" s="1533">
        <v>0</v>
      </c>
      <c r="CB30" s="1533">
        <v>0</v>
      </c>
      <c r="CC30" s="1533">
        <v>0</v>
      </c>
      <c r="CD30" s="1533">
        <v>0</v>
      </c>
      <c r="CE30" s="1533">
        <v>0</v>
      </c>
      <c r="CF30" s="1533">
        <v>0</v>
      </c>
      <c r="CG30" s="1533">
        <v>0</v>
      </c>
      <c r="CH30" s="1533">
        <v>0</v>
      </c>
      <c r="CI30" s="1533">
        <v>0</v>
      </c>
      <c r="CJ30" s="1533">
        <v>0</v>
      </c>
      <c r="CK30" s="1533">
        <v>0</v>
      </c>
      <c r="CL30" s="1533">
        <v>0</v>
      </c>
      <c r="CM30" s="1533">
        <v>0</v>
      </c>
      <c r="CN30" s="1533">
        <v>0</v>
      </c>
      <c r="CO30" s="1533">
        <v>0</v>
      </c>
      <c r="CP30" s="1533">
        <v>0</v>
      </c>
      <c r="CQ30" s="1533">
        <v>0</v>
      </c>
      <c r="CR30" s="1533">
        <v>0</v>
      </c>
      <c r="CS30" s="1533">
        <v>0</v>
      </c>
      <c r="CT30" s="1533">
        <v>0</v>
      </c>
      <c r="CU30" s="1533">
        <v>0</v>
      </c>
      <c r="CV30" s="1533">
        <v>0</v>
      </c>
      <c r="CW30" s="1533">
        <v>0</v>
      </c>
      <c r="CX30" s="1533">
        <v>0</v>
      </c>
      <c r="CY30" s="1533">
        <v>0</v>
      </c>
      <c r="CZ30" s="1533">
        <v>0</v>
      </c>
      <c r="DA30" s="1533">
        <v>0</v>
      </c>
      <c r="DB30" s="1533">
        <v>0</v>
      </c>
      <c r="DC30" s="1533">
        <v>0</v>
      </c>
      <c r="DD30" s="1533">
        <v>0</v>
      </c>
      <c r="DE30" s="1533">
        <v>0</v>
      </c>
      <c r="DF30" s="1533">
        <v>0</v>
      </c>
      <c r="DG30" s="1533">
        <v>0</v>
      </c>
      <c r="DH30" s="1533">
        <v>0</v>
      </c>
      <c r="DI30" s="1533">
        <v>0</v>
      </c>
      <c r="DJ30" s="1533">
        <v>0</v>
      </c>
      <c r="DK30" s="1533">
        <v>0</v>
      </c>
      <c r="DL30" s="1533">
        <v>0</v>
      </c>
      <c r="DN30" s="1509">
        <v>0</v>
      </c>
    </row>
    <row r="31" spans="1:118" s="14" customFormat="1" ht="15.75" collapsed="1" x14ac:dyDescent="0.2">
      <c r="A31" s="1534"/>
      <c r="B31" s="1535"/>
      <c r="C31" s="1536"/>
      <c r="D31" s="1537"/>
      <c r="E31" s="1538"/>
      <c r="G31" s="1539"/>
      <c r="H31" s="1539"/>
      <c r="I31" s="1539"/>
      <c r="J31" s="1539"/>
      <c r="K31" s="1539"/>
      <c r="L31" s="1539"/>
      <c r="M31" s="1539"/>
      <c r="N31" s="1539"/>
      <c r="O31" s="1539"/>
      <c r="P31" s="1539"/>
      <c r="Q31" s="1539"/>
      <c r="R31" s="1539"/>
      <c r="S31" s="1539"/>
      <c r="T31" s="1539"/>
      <c r="U31" s="1539"/>
      <c r="V31" s="1539"/>
      <c r="W31" s="1539"/>
      <c r="Y31" s="1490"/>
      <c r="Z31" s="1490"/>
      <c r="AA31" s="1490"/>
      <c r="AB31" s="1490"/>
      <c r="AC31" s="1490"/>
      <c r="AD31" s="1490"/>
      <c r="AE31" s="1490"/>
      <c r="AF31" s="1490"/>
      <c r="AG31" s="1490"/>
      <c r="AH31" s="1490"/>
      <c r="AI31" s="1490"/>
      <c r="AJ31" s="1490"/>
      <c r="AK31" s="1490"/>
      <c r="AL31" s="1490"/>
      <c r="AM31" s="1490"/>
      <c r="AN31" s="1490"/>
      <c r="AO31" s="1490"/>
      <c r="AP31" s="1490"/>
      <c r="AQ31" s="1490"/>
      <c r="AS31" s="1491"/>
      <c r="AT31" s="1491"/>
      <c r="AU31" s="1491"/>
      <c r="AV31" s="1491"/>
      <c r="AW31" s="1491"/>
      <c r="AX31" s="1491"/>
      <c r="AY31" s="1491"/>
      <c r="AZ31" s="1491"/>
      <c r="BA31" s="1491"/>
      <c r="BB31" s="1491"/>
      <c r="BC31" s="1491"/>
      <c r="BD31" s="1491"/>
      <c r="BE31" s="1491"/>
      <c r="BF31" s="1491"/>
      <c r="BG31" s="1491"/>
      <c r="BH31" s="1491"/>
      <c r="BI31" s="1491"/>
      <c r="BJ31" s="1491"/>
      <c r="BK31" s="1491"/>
      <c r="BL31" s="1491"/>
      <c r="BN31" s="1492"/>
      <c r="BO31" s="1492"/>
      <c r="BP31" s="1492"/>
      <c r="BR31" s="3168"/>
      <c r="BS31" s="1493"/>
      <c r="BT31" s="748"/>
      <c r="BU31" s="1508"/>
      <c r="BV31" s="1508"/>
      <c r="BW31" s="1508"/>
      <c r="BX31" s="1508"/>
      <c r="BY31" s="1508"/>
      <c r="BZ31" s="1508"/>
      <c r="CA31" s="1508"/>
      <c r="CB31" s="1508"/>
      <c r="CC31" s="1508"/>
      <c r="CD31" s="1508"/>
      <c r="CE31" s="1508"/>
      <c r="CF31" s="1508"/>
      <c r="CG31" s="1508"/>
      <c r="CH31" s="1508"/>
      <c r="CI31" s="1508"/>
      <c r="CJ31" s="1508"/>
      <c r="CK31" s="1508"/>
      <c r="CL31" s="1508"/>
      <c r="CM31" s="1508"/>
      <c r="CN31" s="1508"/>
      <c r="CO31" s="1508"/>
      <c r="CP31" s="1508"/>
      <c r="CQ31" s="1508"/>
      <c r="CR31" s="1508"/>
      <c r="CS31" s="1508"/>
      <c r="CT31" s="1508"/>
      <c r="CU31" s="1508"/>
      <c r="CV31" s="1508"/>
      <c r="CW31" s="1508"/>
      <c r="CX31" s="1508"/>
      <c r="CY31" s="1508"/>
      <c r="CZ31" s="1508"/>
      <c r="DA31" s="1508"/>
      <c r="DB31" s="1508"/>
      <c r="DC31" s="1508"/>
      <c r="DD31" s="1508"/>
      <c r="DE31" s="1508"/>
      <c r="DF31" s="1508"/>
      <c r="DG31" s="1508"/>
      <c r="DH31" s="1508"/>
      <c r="DI31" s="1508"/>
      <c r="DJ31" s="1508"/>
      <c r="DK31" s="1508"/>
      <c r="DL31" s="1508"/>
      <c r="DN31" s="1509"/>
    </row>
    <row r="32" spans="1:118" s="14" customFormat="1" ht="12.75" hidden="1" customHeight="1" outlineLevel="1" x14ac:dyDescent="0.2">
      <c r="A32" s="1534"/>
      <c r="B32" s="1534"/>
      <c r="C32" s="1544"/>
      <c r="D32" s="1538"/>
      <c r="E32" s="1538"/>
      <c r="G32" s="1539"/>
      <c r="H32" s="1539"/>
      <c r="I32" s="1539"/>
      <c r="J32" s="1539"/>
      <c r="K32" s="1539"/>
      <c r="L32" s="1539"/>
      <c r="M32" s="1539"/>
      <c r="N32" s="1539"/>
      <c r="O32" s="1539"/>
      <c r="P32" s="1539"/>
      <c r="Q32" s="1539"/>
      <c r="R32" s="1539"/>
      <c r="S32" s="1539"/>
      <c r="T32" s="1539"/>
      <c r="U32" s="1539"/>
      <c r="V32" s="1539"/>
      <c r="W32" s="1539">
        <f t="shared" si="10"/>
        <v>0</v>
      </c>
      <c r="Y32" s="1490"/>
      <c r="Z32" s="1490"/>
      <c r="AA32" s="1490"/>
      <c r="AB32" s="1490"/>
      <c r="AC32" s="1490"/>
      <c r="AD32" s="1490"/>
      <c r="AE32" s="1490"/>
      <c r="AF32" s="1490"/>
      <c r="AG32" s="1490"/>
      <c r="AH32" s="1490"/>
      <c r="AI32" s="1490"/>
      <c r="AJ32" s="1490"/>
      <c r="AK32" s="1490"/>
      <c r="AL32" s="1490"/>
      <c r="AM32" s="1490"/>
      <c r="AN32" s="1490"/>
      <c r="AO32" s="1490"/>
      <c r="AP32" s="1490"/>
      <c r="AQ32" s="1490"/>
      <c r="AS32" s="1491"/>
      <c r="AT32" s="1491"/>
      <c r="AU32" s="1491"/>
      <c r="AV32" s="1491"/>
      <c r="AW32" s="1491"/>
      <c r="AX32" s="1491"/>
      <c r="AY32" s="1491"/>
      <c r="AZ32" s="1491"/>
      <c r="BA32" s="1491"/>
      <c r="BB32" s="1491"/>
      <c r="BC32" s="1491"/>
      <c r="BD32" s="1491"/>
      <c r="BE32" s="1491"/>
      <c r="BF32" s="1491"/>
      <c r="BG32" s="1491"/>
      <c r="BH32" s="1491"/>
      <c r="BI32" s="1491"/>
      <c r="BJ32" s="1491"/>
      <c r="BK32" s="1491"/>
      <c r="BL32" s="1491"/>
      <c r="BN32" s="1492"/>
      <c r="BO32" s="1492"/>
      <c r="BP32" s="1492"/>
      <c r="BR32" s="3168">
        <f t="shared" si="12"/>
        <v>0</v>
      </c>
      <c r="BS32" s="1493"/>
      <c r="BT32" s="1534"/>
      <c r="BU32" s="1507"/>
      <c r="BV32" s="1508"/>
      <c r="BW32" s="1508"/>
      <c r="BX32" s="1508"/>
      <c r="BY32" s="1508"/>
      <c r="BZ32" s="1508"/>
      <c r="CA32" s="1508"/>
      <c r="CB32" s="1508"/>
      <c r="CC32" s="1508"/>
      <c r="CD32" s="1508"/>
      <c r="CE32" s="1508"/>
      <c r="CF32" s="1508"/>
      <c r="CG32" s="1508"/>
      <c r="CH32" s="1508"/>
      <c r="CI32" s="1508"/>
      <c r="CJ32" s="1508"/>
      <c r="CK32" s="1508"/>
      <c r="CL32" s="1508"/>
      <c r="CM32" s="1508"/>
      <c r="CN32" s="1508"/>
      <c r="CO32" s="1508"/>
      <c r="CP32" s="1508"/>
      <c r="CQ32" s="1508"/>
      <c r="CR32" s="1508"/>
      <c r="CS32" s="1508"/>
      <c r="CT32" s="1508"/>
      <c r="CU32" s="1508"/>
      <c r="CV32" s="1508"/>
      <c r="CW32" s="1508"/>
      <c r="CX32" s="1508"/>
      <c r="CY32" s="1508"/>
      <c r="CZ32" s="1508"/>
      <c r="DA32" s="1508"/>
      <c r="DB32" s="1508"/>
      <c r="DC32" s="1508"/>
      <c r="DD32" s="1508"/>
      <c r="DE32" s="1508"/>
      <c r="DF32" s="1508"/>
      <c r="DG32" s="1508"/>
      <c r="DH32" s="1508"/>
      <c r="DI32" s="1508"/>
      <c r="DJ32" s="1508"/>
      <c r="DK32" s="1508"/>
      <c r="DL32" s="1508"/>
      <c r="DN32" s="1509"/>
    </row>
    <row r="33" spans="1:118" s="14" customFormat="1" ht="12.75" hidden="1" customHeight="1" outlineLevel="1" x14ac:dyDescent="0.2">
      <c r="A33" s="1522"/>
      <c r="B33" s="1522"/>
      <c r="C33" s="1496"/>
      <c r="D33" s="1526"/>
      <c r="E33" s="1526"/>
      <c r="G33" s="1540"/>
      <c r="H33" s="1540"/>
      <c r="I33" s="1540"/>
      <c r="J33" s="1540"/>
      <c r="K33" s="1540"/>
      <c r="L33" s="1540"/>
      <c r="M33" s="1540"/>
      <c r="N33" s="1540"/>
      <c r="O33" s="1540"/>
      <c r="P33" s="1540"/>
      <c r="Q33" s="1540"/>
      <c r="R33" s="1540"/>
      <c r="S33" s="1540"/>
      <c r="T33" s="1540"/>
      <c r="U33" s="1540"/>
      <c r="V33" s="1540"/>
      <c r="W33" s="1539">
        <f t="shared" si="10"/>
        <v>0</v>
      </c>
      <c r="Y33" s="1541"/>
      <c r="Z33" s="1541"/>
      <c r="AA33" s="1541"/>
      <c r="AB33" s="1541"/>
      <c r="AC33" s="1541"/>
      <c r="AD33" s="1541"/>
      <c r="AE33" s="1541"/>
      <c r="AF33" s="1541"/>
      <c r="AG33" s="1541"/>
      <c r="AH33" s="1541"/>
      <c r="AI33" s="1541"/>
      <c r="AJ33" s="1541"/>
      <c r="AK33" s="1541"/>
      <c r="AL33" s="1541"/>
      <c r="AM33" s="1541"/>
      <c r="AN33" s="1541"/>
      <c r="AO33" s="1541"/>
      <c r="AP33" s="1541"/>
      <c r="AQ33" s="1528"/>
      <c r="AS33" s="1542"/>
      <c r="AT33" s="1542"/>
      <c r="AU33" s="1542"/>
      <c r="AV33" s="1542"/>
      <c r="AW33" s="1542"/>
      <c r="AX33" s="1542"/>
      <c r="AY33" s="1542"/>
      <c r="AZ33" s="1542"/>
      <c r="BA33" s="1542"/>
      <c r="BB33" s="1542"/>
      <c r="BC33" s="1542"/>
      <c r="BD33" s="1542"/>
      <c r="BE33" s="1542"/>
      <c r="BF33" s="1542"/>
      <c r="BG33" s="1542"/>
      <c r="BH33" s="1542"/>
      <c r="BI33" s="1542"/>
      <c r="BJ33" s="1542"/>
      <c r="BK33" s="1542"/>
      <c r="BL33" s="1530"/>
      <c r="BN33" s="1543"/>
      <c r="BO33" s="1543"/>
      <c r="BP33" s="1531"/>
      <c r="BR33" s="3168">
        <f t="shared" si="12"/>
        <v>0</v>
      </c>
      <c r="BS33" s="1525"/>
      <c r="BT33" s="748"/>
      <c r="BU33" s="1532"/>
      <c r="BV33" s="1533"/>
      <c r="BW33" s="1533"/>
      <c r="BX33" s="1533"/>
      <c r="BY33" s="1533"/>
      <c r="BZ33" s="1533"/>
      <c r="CA33" s="1533"/>
      <c r="CB33" s="1533"/>
      <c r="CC33" s="1533"/>
      <c r="CD33" s="1533"/>
      <c r="CE33" s="1533"/>
      <c r="CF33" s="1533"/>
      <c r="CG33" s="1533"/>
      <c r="CH33" s="1533"/>
      <c r="CI33" s="1533"/>
      <c r="CJ33" s="1533"/>
      <c r="CK33" s="1533"/>
      <c r="CL33" s="1533"/>
      <c r="CM33" s="1533"/>
      <c r="CN33" s="1533"/>
      <c r="CO33" s="1533"/>
      <c r="CP33" s="1533"/>
      <c r="CQ33" s="1533"/>
      <c r="CR33" s="1533"/>
      <c r="CS33" s="1533"/>
      <c r="CT33" s="1533"/>
      <c r="CU33" s="1533"/>
      <c r="CV33" s="1533"/>
      <c r="CW33" s="1533"/>
      <c r="CX33" s="1533"/>
      <c r="CY33" s="1533"/>
      <c r="CZ33" s="1533"/>
      <c r="DA33" s="1533"/>
      <c r="DB33" s="1533"/>
      <c r="DC33" s="1533"/>
      <c r="DD33" s="1533"/>
      <c r="DE33" s="1533"/>
      <c r="DF33" s="1533"/>
      <c r="DG33" s="1533"/>
      <c r="DH33" s="1533"/>
      <c r="DI33" s="1533"/>
      <c r="DJ33" s="1533"/>
      <c r="DK33" s="1533"/>
      <c r="DL33" s="1533"/>
      <c r="DN33" s="1509"/>
    </row>
    <row r="34" spans="1:118" s="14" customFormat="1" ht="15.75" collapsed="1" x14ac:dyDescent="0.2">
      <c r="A34" s="1534"/>
      <c r="B34" s="1535"/>
      <c r="C34" s="1536"/>
      <c r="D34" s="1537"/>
      <c r="E34" s="1538"/>
      <c r="G34" s="1539"/>
      <c r="H34" s="1539"/>
      <c r="I34" s="1539"/>
      <c r="J34" s="1539"/>
      <c r="K34" s="1539"/>
      <c r="L34" s="1539"/>
      <c r="M34" s="1539"/>
      <c r="N34" s="1539"/>
      <c r="O34" s="1539"/>
      <c r="P34" s="1539"/>
      <c r="Q34" s="1539"/>
      <c r="R34" s="1539"/>
      <c r="S34" s="1539"/>
      <c r="T34" s="1539"/>
      <c r="U34" s="1539"/>
      <c r="V34" s="1539"/>
      <c r="W34" s="1539"/>
      <c r="Y34" s="1490"/>
      <c r="Z34" s="1490"/>
      <c r="AA34" s="1490"/>
      <c r="AB34" s="1490"/>
      <c r="AC34" s="1490"/>
      <c r="AD34" s="1490"/>
      <c r="AE34" s="1490"/>
      <c r="AF34" s="1490"/>
      <c r="AG34" s="1490"/>
      <c r="AH34" s="1490"/>
      <c r="AI34" s="1490"/>
      <c r="AJ34" s="1490"/>
      <c r="AK34" s="1490"/>
      <c r="AL34" s="1490"/>
      <c r="AM34" s="1490"/>
      <c r="AN34" s="1490"/>
      <c r="AO34" s="1490"/>
      <c r="AP34" s="1490"/>
      <c r="AQ34" s="1490"/>
      <c r="AS34" s="1491"/>
      <c r="AT34" s="1491"/>
      <c r="AU34" s="1491"/>
      <c r="AV34" s="1491"/>
      <c r="AW34" s="1491"/>
      <c r="AX34" s="1491"/>
      <c r="AY34" s="1491"/>
      <c r="AZ34" s="1491"/>
      <c r="BA34" s="1491"/>
      <c r="BB34" s="1491"/>
      <c r="BC34" s="1491"/>
      <c r="BD34" s="1491"/>
      <c r="BE34" s="1491"/>
      <c r="BF34" s="1491"/>
      <c r="BG34" s="1491"/>
      <c r="BH34" s="1491"/>
      <c r="BI34" s="1491"/>
      <c r="BJ34" s="1491"/>
      <c r="BK34" s="1491"/>
      <c r="BL34" s="1491"/>
      <c r="BN34" s="1492"/>
      <c r="BO34" s="1492"/>
      <c r="BP34" s="1492"/>
      <c r="BR34" s="3168"/>
      <c r="BS34" s="1493"/>
      <c r="BT34" s="748"/>
      <c r="BU34" s="1508"/>
      <c r="BV34" s="1508"/>
      <c r="BW34" s="1508"/>
      <c r="BX34" s="1508"/>
      <c r="BY34" s="1508"/>
      <c r="BZ34" s="1508"/>
      <c r="CA34" s="1508"/>
      <c r="CB34" s="1508"/>
      <c r="CC34" s="1508"/>
      <c r="CD34" s="1508"/>
      <c r="CE34" s="1508"/>
      <c r="CF34" s="1508"/>
      <c r="CG34" s="1508"/>
      <c r="CH34" s="1508"/>
      <c r="CI34" s="1508"/>
      <c r="CJ34" s="1508"/>
      <c r="CK34" s="1508"/>
      <c r="CL34" s="1508"/>
      <c r="CM34" s="1508"/>
      <c r="CN34" s="1508"/>
      <c r="CO34" s="1508"/>
      <c r="CP34" s="1508"/>
      <c r="CQ34" s="1508"/>
      <c r="CR34" s="1508"/>
      <c r="CS34" s="1508"/>
      <c r="CT34" s="1508"/>
      <c r="CU34" s="1508"/>
      <c r="CV34" s="1508"/>
      <c r="CW34" s="1508"/>
      <c r="CX34" s="1508"/>
      <c r="CY34" s="1508"/>
      <c r="CZ34" s="1508"/>
      <c r="DA34" s="1508"/>
      <c r="DB34" s="1508"/>
      <c r="DC34" s="1508"/>
      <c r="DD34" s="1508"/>
      <c r="DE34" s="1508"/>
      <c r="DF34" s="1508"/>
      <c r="DG34" s="1508"/>
      <c r="DH34" s="1508"/>
      <c r="DI34" s="1508"/>
      <c r="DJ34" s="1508"/>
      <c r="DK34" s="1508"/>
      <c r="DL34" s="1508"/>
      <c r="DN34" s="1509"/>
    </row>
    <row r="35" spans="1:118" s="14" customFormat="1" ht="6" customHeight="1" x14ac:dyDescent="0.2">
      <c r="C35" s="1552"/>
      <c r="D35" s="1537"/>
      <c r="E35" s="1430"/>
      <c r="G35" s="1539"/>
      <c r="H35" s="1539"/>
      <c r="I35" s="1539"/>
      <c r="J35" s="1539"/>
      <c r="K35" s="1539"/>
      <c r="L35" s="1539"/>
      <c r="M35" s="1539"/>
      <c r="N35" s="1539"/>
      <c r="O35" s="1539"/>
      <c r="P35" s="1539"/>
      <c r="Q35" s="1539"/>
      <c r="R35" s="1539"/>
      <c r="S35" s="1539"/>
      <c r="T35" s="1539"/>
      <c r="U35" s="1539"/>
      <c r="V35" s="1539"/>
      <c r="W35" s="1539"/>
      <c r="Y35" s="1490"/>
      <c r="Z35" s="1490"/>
      <c r="AA35" s="1490"/>
      <c r="AB35" s="1490"/>
      <c r="AC35" s="1490"/>
      <c r="AD35" s="1490"/>
      <c r="AE35" s="1490"/>
      <c r="AF35" s="1490"/>
      <c r="AG35" s="1490"/>
      <c r="AH35" s="1490"/>
      <c r="AI35" s="1490"/>
      <c r="AJ35" s="1490"/>
      <c r="AK35" s="1490"/>
      <c r="AL35" s="1490"/>
      <c r="AM35" s="1490"/>
      <c r="AN35" s="1490"/>
      <c r="AO35" s="1490"/>
      <c r="AP35" s="1490"/>
      <c r="AQ35" s="1490"/>
      <c r="AS35" s="1491"/>
      <c r="AT35" s="1491"/>
      <c r="AU35" s="1491"/>
      <c r="AV35" s="1491"/>
      <c r="AW35" s="1491"/>
      <c r="AX35" s="1491"/>
      <c r="AY35" s="1491"/>
      <c r="AZ35" s="1491"/>
      <c r="BA35" s="1491"/>
      <c r="BB35" s="1491"/>
      <c r="BC35" s="1491"/>
      <c r="BD35" s="1491"/>
      <c r="BE35" s="1491"/>
      <c r="BF35" s="1491"/>
      <c r="BG35" s="1491"/>
      <c r="BH35" s="1491"/>
      <c r="BI35" s="1491"/>
      <c r="BJ35" s="1491"/>
      <c r="BK35" s="1491"/>
      <c r="BL35" s="1491"/>
      <c r="BN35" s="1492"/>
      <c r="BO35" s="1492"/>
      <c r="BP35" s="1492"/>
      <c r="BR35" s="3168"/>
      <c r="BS35" s="1493"/>
      <c r="BU35" s="1508"/>
      <c r="BV35" s="1508"/>
      <c r="BW35" s="1508"/>
      <c r="BX35" s="1508"/>
      <c r="BY35" s="1508"/>
      <c r="BZ35" s="1508"/>
      <c r="CA35" s="1508"/>
      <c r="CB35" s="1508"/>
      <c r="CC35" s="1508"/>
      <c r="CD35" s="1508"/>
      <c r="CE35" s="1508"/>
      <c r="CF35" s="1508"/>
      <c r="CG35" s="1508"/>
      <c r="CH35" s="1508"/>
      <c r="CI35" s="1508"/>
      <c r="CJ35" s="1508"/>
      <c r="CK35" s="1508"/>
      <c r="CL35" s="1508"/>
      <c r="CM35" s="1508"/>
      <c r="CN35" s="1508"/>
      <c r="CO35" s="1508"/>
      <c r="CP35" s="1508"/>
      <c r="CQ35" s="1508"/>
      <c r="CR35" s="1508"/>
      <c r="CS35" s="1508"/>
      <c r="CT35" s="1508"/>
      <c r="CU35" s="1508"/>
      <c r="CV35" s="1508"/>
      <c r="CW35" s="1508"/>
      <c r="CX35" s="1508"/>
      <c r="CY35" s="1508"/>
      <c r="CZ35" s="1508"/>
      <c r="DA35" s="1508"/>
      <c r="DB35" s="1508"/>
      <c r="DC35" s="1508"/>
      <c r="DD35" s="1508"/>
      <c r="DE35" s="1508"/>
      <c r="DF35" s="1508"/>
      <c r="DG35" s="1508"/>
      <c r="DH35" s="1508"/>
      <c r="DI35" s="1508"/>
      <c r="DJ35" s="1508"/>
      <c r="DK35" s="1508"/>
      <c r="DL35" s="1508"/>
      <c r="DN35" s="1509"/>
    </row>
    <row r="36" spans="1:118" s="14" customFormat="1" ht="15.75" x14ac:dyDescent="0.2">
      <c r="B36" s="1535"/>
      <c r="C36" s="1553"/>
      <c r="D36" s="1554" t="s">
        <v>916</v>
      </c>
      <c r="E36" s="1555"/>
      <c r="G36" s="1929">
        <f t="shared" ref="G36:V36" ca="1" si="28">G15+G19+G27</f>
        <v>45.608248634209794</v>
      </c>
      <c r="H36" s="1929">
        <f t="shared" ca="1" si="28"/>
        <v>9.7077573939741324</v>
      </c>
      <c r="I36" s="1929">
        <f t="shared" ca="1" si="28"/>
        <v>3.8449247805183946</v>
      </c>
      <c r="J36" s="1929">
        <f t="shared" ca="1" si="28"/>
        <v>12.873734384695339</v>
      </c>
      <c r="K36" s="1929">
        <f t="shared" ca="1" si="28"/>
        <v>5.7018507831211309</v>
      </c>
      <c r="L36" s="1929">
        <f t="shared" ca="1" si="28"/>
        <v>11.72383133204718</v>
      </c>
      <c r="M36" s="1929">
        <f t="shared" ca="1" si="28"/>
        <v>180.06416398976444</v>
      </c>
      <c r="N36" s="1929">
        <f t="shared" ca="1" si="28"/>
        <v>57.799860517853276</v>
      </c>
      <c r="O36" s="1929">
        <f t="shared" ca="1" si="28"/>
        <v>18.884279144014918</v>
      </c>
      <c r="P36" s="1929">
        <f t="shared" ca="1" si="28"/>
        <v>0.45450745671867954</v>
      </c>
      <c r="Q36" s="1929">
        <f t="shared" ca="1" si="28"/>
        <v>5.04411731104858E-2</v>
      </c>
      <c r="R36" s="1929">
        <f t="shared" ca="1" si="28"/>
        <v>24.28394824198671</v>
      </c>
      <c r="S36" s="1929">
        <f ca="1">S15+S19+S27</f>
        <v>8.3202556134247665</v>
      </c>
      <c r="T36" s="1929">
        <f t="shared" ca="1" si="28"/>
        <v>9.4315997817865629</v>
      </c>
      <c r="U36" s="1929">
        <f t="shared" ca="1" si="28"/>
        <v>6.6669002863886983E-3</v>
      </c>
      <c r="V36" s="1929">
        <f t="shared" ca="1" si="28"/>
        <v>0.34078908460303153</v>
      </c>
      <c r="W36" s="1929">
        <f ca="1">SUM(G36:V36)</f>
        <v>389.09685921211525</v>
      </c>
      <c r="Y36" s="1937">
        <f t="shared" ref="Y36:AP36" ca="1" si="29">Y27+Y19+Y15</f>
        <v>-91.520244446127037</v>
      </c>
      <c r="Z36" s="1937">
        <f t="shared" ca="1" si="29"/>
        <v>0</v>
      </c>
      <c r="AA36" s="1937">
        <f t="shared" ca="1" si="29"/>
        <v>-43.684361194463385</v>
      </c>
      <c r="AB36" s="1937">
        <f t="shared" ca="1" si="29"/>
        <v>-190.23647302171415</v>
      </c>
      <c r="AC36" s="1937">
        <f t="shared" ca="1" si="29"/>
        <v>-54.245471653988403</v>
      </c>
      <c r="AD36" s="1937">
        <f t="shared" ca="1" si="29"/>
        <v>0</v>
      </c>
      <c r="AE36" s="1937">
        <f t="shared" ca="1" si="29"/>
        <v>0</v>
      </c>
      <c r="AF36" s="1937">
        <f t="shared" ca="1" si="29"/>
        <v>0</v>
      </c>
      <c r="AG36" s="1937">
        <f t="shared" ca="1" si="29"/>
        <v>0</v>
      </c>
      <c r="AH36" s="1937">
        <f t="shared" ca="1" si="29"/>
        <v>0</v>
      </c>
      <c r="AI36" s="1937">
        <f t="shared" ca="1" si="29"/>
        <v>0</v>
      </c>
      <c r="AJ36" s="1937">
        <f t="shared" ca="1" si="29"/>
        <v>0</v>
      </c>
      <c r="AK36" s="1937">
        <f t="shared" ca="1" si="29"/>
        <v>0</v>
      </c>
      <c r="AL36" s="1937">
        <f ca="1">AL27+AL19+AL15</f>
        <v>-9.3924751481763842</v>
      </c>
      <c r="AM36" s="1937">
        <f t="shared" ca="1" si="29"/>
        <v>0</v>
      </c>
      <c r="AN36" s="1937">
        <f t="shared" ca="1" si="29"/>
        <v>0</v>
      </c>
      <c r="AO36" s="1937">
        <f t="shared" ca="1" si="29"/>
        <v>0</v>
      </c>
      <c r="AP36" s="1937">
        <f t="shared" ca="1" si="29"/>
        <v>0</v>
      </c>
      <c r="AQ36" s="1937">
        <f ca="1">SUM(Y36:AP36)</f>
        <v>-389.07902546446934</v>
      </c>
      <c r="AS36" s="1558">
        <f ca="1">AS15+AS19+AS27</f>
        <v>0</v>
      </c>
      <c r="AT36" s="1558">
        <f t="shared" ref="AT36:BK36" ca="1" si="30">AT15+AT19+AT27</f>
        <v>0</v>
      </c>
      <c r="AU36" s="1558">
        <f t="shared" ca="1" si="30"/>
        <v>0</v>
      </c>
      <c r="AV36" s="1558">
        <f t="shared" ca="1" si="30"/>
        <v>0</v>
      </c>
      <c r="AW36" s="1558">
        <f t="shared" ca="1" si="30"/>
        <v>0</v>
      </c>
      <c r="AX36" s="1558">
        <f t="shared" ca="1" si="30"/>
        <v>0</v>
      </c>
      <c r="AY36" s="1558">
        <f t="shared" ca="1" si="30"/>
        <v>0</v>
      </c>
      <c r="AZ36" s="1558">
        <f t="shared" ca="1" si="30"/>
        <v>0</v>
      </c>
      <c r="BA36" s="1558">
        <f t="shared" ca="1" si="30"/>
        <v>0</v>
      </c>
      <c r="BB36" s="1558">
        <f t="shared" ca="1" si="30"/>
        <v>0</v>
      </c>
      <c r="BC36" s="1558">
        <f t="shared" ca="1" si="30"/>
        <v>-1.7833747645815943E-2</v>
      </c>
      <c r="BD36" s="1558">
        <f t="shared" ca="1" si="30"/>
        <v>0</v>
      </c>
      <c r="BE36" s="1558">
        <f t="shared" ca="1" si="30"/>
        <v>0</v>
      </c>
      <c r="BF36" s="1558">
        <f t="shared" ca="1" si="30"/>
        <v>0</v>
      </c>
      <c r="BG36" s="1558">
        <f t="shared" ca="1" si="30"/>
        <v>0</v>
      </c>
      <c r="BH36" s="1558">
        <f t="shared" ca="1" si="30"/>
        <v>0</v>
      </c>
      <c r="BI36" s="1558">
        <f t="shared" ca="1" si="30"/>
        <v>0</v>
      </c>
      <c r="BJ36" s="1558">
        <f t="shared" ca="1" si="30"/>
        <v>0</v>
      </c>
      <c r="BK36" s="1558">
        <f t="shared" ca="1" si="30"/>
        <v>0</v>
      </c>
      <c r="BL36" s="3166">
        <f ca="1">SUM(AS36:BK36)</f>
        <v>-1.7833747645815943E-2</v>
      </c>
      <c r="BN36" s="1559">
        <f ca="1">BN27+BN19+BN15</f>
        <v>0</v>
      </c>
      <c r="BO36" s="1559">
        <f ca="1">BO27+BO19+BO15</f>
        <v>0</v>
      </c>
      <c r="BP36" s="1505">
        <f ca="1">BN36+BO36</f>
        <v>0</v>
      </c>
      <c r="BR36" s="3168">
        <f ca="1">W36+AQ36+BL36+BP36</f>
        <v>9.3227509045945567E-14</v>
      </c>
      <c r="BS36" s="1560"/>
      <c r="BU36" s="1561">
        <v>283.37379437292333</v>
      </c>
      <c r="BV36" s="1561">
        <v>0.46829877567433276</v>
      </c>
      <c r="BW36" s="1561">
        <v>3.244610652199623</v>
      </c>
      <c r="BX36" s="1561">
        <v>0</v>
      </c>
      <c r="BY36" s="1561">
        <v>0</v>
      </c>
      <c r="BZ36" s="1561">
        <v>0</v>
      </c>
      <c r="CA36" s="1561">
        <v>0</v>
      </c>
      <c r="CB36" s="1561">
        <v>0</v>
      </c>
      <c r="CC36" s="1561">
        <v>14.39565925511863</v>
      </c>
      <c r="CD36" s="1561">
        <v>0.11288744235152412</v>
      </c>
      <c r="CE36" s="1561">
        <v>2.7624692105907238</v>
      </c>
      <c r="CF36" s="1561">
        <v>10.620296151887526</v>
      </c>
      <c r="CG36" s="1561">
        <v>0</v>
      </c>
      <c r="CH36" s="1561">
        <v>0</v>
      </c>
      <c r="CI36" s="1561">
        <v>0</v>
      </c>
      <c r="CJ36" s="1561">
        <v>0</v>
      </c>
      <c r="CK36" s="1561">
        <v>0</v>
      </c>
      <c r="CL36" s="1561">
        <v>0</v>
      </c>
      <c r="CM36" s="1561">
        <v>0</v>
      </c>
      <c r="CN36" s="1561">
        <v>0</v>
      </c>
      <c r="CO36" s="1561">
        <v>0</v>
      </c>
      <c r="CP36" s="1561">
        <v>0</v>
      </c>
      <c r="CQ36" s="1561">
        <v>0</v>
      </c>
      <c r="CR36" s="1561">
        <v>0</v>
      </c>
      <c r="CS36" s="1561">
        <v>0</v>
      </c>
      <c r="CT36" s="1561">
        <v>0</v>
      </c>
      <c r="CU36" s="1561">
        <v>0</v>
      </c>
      <c r="CV36" s="1561">
        <v>0</v>
      </c>
      <c r="CW36" s="1561">
        <v>0</v>
      </c>
      <c r="CX36" s="1561">
        <v>0</v>
      </c>
      <c r="CY36" s="1561">
        <v>0</v>
      </c>
      <c r="CZ36" s="1561">
        <v>0</v>
      </c>
      <c r="DA36" s="1561">
        <v>51.739539271814301</v>
      </c>
      <c r="DB36" s="1561">
        <v>6.441552213858226E-2</v>
      </c>
      <c r="DC36" s="1561">
        <v>0.93090033050516818</v>
      </c>
      <c r="DD36" s="1561">
        <v>0</v>
      </c>
      <c r="DE36" s="1561">
        <v>0</v>
      </c>
      <c r="DF36" s="1561">
        <v>0</v>
      </c>
      <c r="DG36" s="1561">
        <v>0</v>
      </c>
      <c r="DH36" s="1561">
        <v>0</v>
      </c>
      <c r="DI36" s="1561">
        <v>0</v>
      </c>
      <c r="DJ36" s="1561">
        <v>0</v>
      </c>
      <c r="DK36" s="1561">
        <v>0</v>
      </c>
      <c r="DL36" s="1561">
        <v>0</v>
      </c>
      <c r="DN36" s="1562">
        <v>367.71287098520372</v>
      </c>
    </row>
    <row r="37" spans="1:118" s="14" customFormat="1" ht="6" customHeight="1" x14ac:dyDescent="0.2">
      <c r="C37" s="1430"/>
      <c r="D37" s="1430"/>
      <c r="E37" s="1430"/>
      <c r="G37" s="1488"/>
      <c r="H37" s="1488"/>
      <c r="I37" s="1488"/>
      <c r="J37" s="1488"/>
      <c r="K37" s="1488"/>
      <c r="L37" s="1488"/>
      <c r="M37" s="1488"/>
      <c r="N37" s="1488"/>
      <c r="O37" s="1563"/>
      <c r="P37" s="1488"/>
      <c r="Q37" s="1488"/>
      <c r="R37" s="1488"/>
      <c r="S37" s="1488"/>
      <c r="T37" s="1488"/>
      <c r="U37" s="1488"/>
      <c r="V37" s="1488"/>
      <c r="W37" s="1488"/>
      <c r="Y37" s="1490"/>
      <c r="Z37" s="1490"/>
      <c r="AA37" s="1490"/>
      <c r="AB37" s="1490"/>
      <c r="AC37" s="1490"/>
      <c r="AD37" s="1490"/>
      <c r="AE37" s="1490"/>
      <c r="AF37" s="1490"/>
      <c r="AG37" s="1490"/>
      <c r="AH37" s="1490"/>
      <c r="AI37" s="1490"/>
      <c r="AJ37" s="1490"/>
      <c r="AK37" s="1490"/>
      <c r="AL37" s="1490"/>
      <c r="AM37" s="1490"/>
      <c r="AN37" s="1490"/>
      <c r="AO37" s="1490"/>
      <c r="AP37" s="1490"/>
      <c r="AQ37" s="1490"/>
      <c r="AS37" s="1491"/>
      <c r="AT37" s="1491"/>
      <c r="AU37" s="1491"/>
      <c r="AV37" s="1491"/>
      <c r="AW37" s="1491"/>
      <c r="AX37" s="1491"/>
      <c r="AY37" s="1491"/>
      <c r="AZ37" s="1491"/>
      <c r="BA37" s="1491"/>
      <c r="BB37" s="1491"/>
      <c r="BC37" s="1491"/>
      <c r="BD37" s="1491"/>
      <c r="BE37" s="1491"/>
      <c r="BF37" s="1491"/>
      <c r="BG37" s="1491"/>
      <c r="BH37" s="1491"/>
      <c r="BI37" s="1491"/>
      <c r="BJ37" s="1491"/>
      <c r="BK37" s="1491"/>
      <c r="BL37" s="1491"/>
      <c r="BN37" s="1492"/>
      <c r="BO37" s="1492"/>
      <c r="BP37" s="1492"/>
      <c r="BR37" s="3168"/>
      <c r="BS37" s="1493"/>
      <c r="BU37" s="1508"/>
      <c r="BV37" s="1508"/>
      <c r="BW37" s="1508"/>
      <c r="BX37" s="1508"/>
      <c r="BY37" s="1508"/>
      <c r="BZ37" s="1508"/>
      <c r="CA37" s="1508"/>
      <c r="CB37" s="1508"/>
      <c r="CC37" s="1508"/>
      <c r="CD37" s="1508"/>
      <c r="CE37" s="1508"/>
      <c r="CF37" s="1508"/>
      <c r="CG37" s="1508"/>
      <c r="CH37" s="1508"/>
      <c r="CI37" s="1508"/>
      <c r="CJ37" s="1508"/>
      <c r="CK37" s="1508"/>
      <c r="CL37" s="1508"/>
      <c r="CM37" s="1508"/>
      <c r="CN37" s="1508"/>
      <c r="CO37" s="1508"/>
      <c r="CP37" s="1508"/>
      <c r="CQ37" s="1508"/>
      <c r="CR37" s="1508"/>
      <c r="CS37" s="1508"/>
      <c r="CT37" s="1508"/>
      <c r="CU37" s="1508"/>
      <c r="CV37" s="1508"/>
      <c r="CW37" s="1508"/>
      <c r="CX37" s="1508"/>
      <c r="CY37" s="1508"/>
      <c r="CZ37" s="1508"/>
      <c r="DA37" s="1508"/>
      <c r="DB37" s="1508"/>
      <c r="DC37" s="1508"/>
      <c r="DD37" s="1508"/>
      <c r="DE37" s="1508"/>
      <c r="DF37" s="1508"/>
      <c r="DG37" s="1508"/>
      <c r="DH37" s="1508"/>
      <c r="DI37" s="1508"/>
      <c r="DJ37" s="1508"/>
      <c r="DK37" s="1508"/>
      <c r="DL37" s="1508"/>
      <c r="DN37" s="1509"/>
    </row>
    <row r="38" spans="1:118" s="14" customFormat="1" ht="17.25" customHeight="1" x14ac:dyDescent="0.2">
      <c r="C38" s="1480" t="s">
        <v>404</v>
      </c>
      <c r="D38" s="1430"/>
      <c r="E38" s="1430"/>
      <c r="G38" s="1488"/>
      <c r="H38" s="1488"/>
      <c r="I38" s="1488"/>
      <c r="J38" s="1488"/>
      <c r="K38" s="1488"/>
      <c r="L38" s="1488"/>
      <c r="M38" s="1488"/>
      <c r="N38" s="1488"/>
      <c r="O38" s="1563"/>
      <c r="P38" s="1488"/>
      <c r="Q38" s="1488"/>
      <c r="R38" s="1488"/>
      <c r="S38" s="1488"/>
      <c r="T38" s="1488"/>
      <c r="U38" s="1488"/>
      <c r="V38" s="1488"/>
      <c r="W38" s="1488"/>
      <c r="Y38" s="1490"/>
      <c r="Z38" s="1490"/>
      <c r="AA38" s="1490"/>
      <c r="AB38" s="1490"/>
      <c r="AC38" s="1490"/>
      <c r="AD38" s="1490"/>
      <c r="AE38" s="1490"/>
      <c r="AF38" s="1490"/>
      <c r="AG38" s="1490"/>
      <c r="AH38" s="1490"/>
      <c r="AI38" s="1490"/>
      <c r="AJ38" s="1490"/>
      <c r="AK38" s="1490"/>
      <c r="AL38" s="1490"/>
      <c r="AM38" s="1490"/>
      <c r="AN38" s="1490"/>
      <c r="AO38" s="1490"/>
      <c r="AP38" s="1490"/>
      <c r="AQ38" s="1490"/>
      <c r="AS38" s="1491"/>
      <c r="AT38" s="1491"/>
      <c r="AU38" s="1491"/>
      <c r="AV38" s="1491"/>
      <c r="AW38" s="1491"/>
      <c r="AX38" s="1491"/>
      <c r="AY38" s="1491"/>
      <c r="AZ38" s="1491"/>
      <c r="BA38" s="1491"/>
      <c r="BB38" s="1491"/>
      <c r="BC38" s="1491"/>
      <c r="BD38" s="1491"/>
      <c r="BE38" s="1491"/>
      <c r="BF38" s="1491"/>
      <c r="BG38" s="1491"/>
      <c r="BH38" s="1491"/>
      <c r="BI38" s="1491"/>
      <c r="BJ38" s="1491"/>
      <c r="BK38" s="1491"/>
      <c r="BL38" s="1491"/>
      <c r="BN38" s="1492"/>
      <c r="BO38" s="1492"/>
      <c r="BP38" s="1492"/>
      <c r="BR38" s="3168"/>
      <c r="BS38" s="1493"/>
      <c r="BU38" s="1508"/>
      <c r="BV38" s="1508"/>
      <c r="BW38" s="1508"/>
      <c r="BX38" s="1508"/>
      <c r="BY38" s="1508"/>
      <c r="BZ38" s="1508"/>
      <c r="CA38" s="1508"/>
      <c r="CB38" s="1508"/>
      <c r="CC38" s="1508"/>
      <c r="CD38" s="1508"/>
      <c r="CE38" s="1508"/>
      <c r="CF38" s="1508"/>
      <c r="CG38" s="1508"/>
      <c r="CH38" s="1508"/>
      <c r="CI38" s="1508"/>
      <c r="CJ38" s="1508"/>
      <c r="CK38" s="1508"/>
      <c r="CL38" s="1508"/>
      <c r="CM38" s="1508"/>
      <c r="CN38" s="1508"/>
      <c r="CO38" s="1508"/>
      <c r="CP38" s="1508"/>
      <c r="CQ38" s="1508"/>
      <c r="CR38" s="1508"/>
      <c r="CS38" s="1508"/>
      <c r="CT38" s="1508"/>
      <c r="CU38" s="1508"/>
      <c r="CV38" s="1508"/>
      <c r="CW38" s="1508"/>
      <c r="CX38" s="1508"/>
      <c r="CY38" s="1508"/>
      <c r="CZ38" s="1508"/>
      <c r="DA38" s="1508"/>
      <c r="DB38" s="1508"/>
      <c r="DC38" s="1508"/>
      <c r="DD38" s="1508"/>
      <c r="DE38" s="1508"/>
      <c r="DF38" s="1508"/>
      <c r="DG38" s="1508"/>
      <c r="DH38" s="1508"/>
      <c r="DI38" s="1508"/>
      <c r="DJ38" s="1508"/>
      <c r="DK38" s="1508"/>
      <c r="DL38" s="1508"/>
      <c r="DN38" s="1509"/>
    </row>
    <row r="39" spans="1:118" s="14" customFormat="1" ht="24" hidden="1" customHeight="1" outlineLevel="1" x14ac:dyDescent="0.2">
      <c r="D39" s="1480"/>
      <c r="E39" s="1481"/>
      <c r="G39" s="1482"/>
      <c r="H39" s="1482"/>
      <c r="I39" s="1482"/>
      <c r="J39" s="1482"/>
      <c r="K39" s="1482"/>
      <c r="L39" s="1482"/>
      <c r="M39" s="1482"/>
      <c r="N39" s="1482"/>
      <c r="O39" s="1482"/>
      <c r="P39" s="1482"/>
      <c r="Q39" s="1482"/>
      <c r="R39" s="1482"/>
      <c r="S39" s="1482"/>
      <c r="T39" s="1482"/>
      <c r="U39" s="1482"/>
      <c r="V39" s="1482"/>
      <c r="W39" s="1482"/>
      <c r="Y39" s="1483"/>
      <c r="Z39" s="1483"/>
      <c r="AA39" s="1483"/>
      <c r="AB39" s="1483"/>
      <c r="AC39" s="1483"/>
      <c r="AD39" s="1483"/>
      <c r="AE39" s="1483"/>
      <c r="AF39" s="1483"/>
      <c r="AG39" s="1483"/>
      <c r="AH39" s="1483"/>
      <c r="AI39" s="1483"/>
      <c r="AJ39" s="1483"/>
      <c r="AK39" s="1483"/>
      <c r="AL39" s="1483"/>
      <c r="AM39" s="1483"/>
      <c r="AN39" s="1483"/>
      <c r="AO39" s="1483"/>
      <c r="AP39" s="1483"/>
      <c r="AQ39" s="1483"/>
      <c r="AS39" s="1484"/>
      <c r="AT39" s="1484"/>
      <c r="AU39" s="1484"/>
      <c r="AV39" s="1484"/>
      <c r="AW39" s="1484"/>
      <c r="AX39" s="1484"/>
      <c r="AY39" s="1484"/>
      <c r="AZ39" s="1484"/>
      <c r="BA39" s="1484"/>
      <c r="BB39" s="1484"/>
      <c r="BC39" s="1484"/>
      <c r="BD39" s="1484"/>
      <c r="BE39" s="1484"/>
      <c r="BF39" s="1484"/>
      <c r="BG39" s="1484"/>
      <c r="BH39" s="1484"/>
      <c r="BI39" s="1484"/>
      <c r="BJ39" s="1484"/>
      <c r="BK39" s="1484"/>
      <c r="BL39" s="1484"/>
      <c r="BN39" s="1485"/>
      <c r="BO39" s="1485"/>
      <c r="BP39" s="1485"/>
      <c r="BR39" s="3168">
        <f t="shared" si="12"/>
        <v>0</v>
      </c>
      <c r="BS39" s="1486"/>
      <c r="BU39" s="1508"/>
      <c r="BV39" s="1508"/>
      <c r="BW39" s="1508"/>
      <c r="BX39" s="1508"/>
      <c r="BY39" s="1508"/>
      <c r="BZ39" s="1508"/>
      <c r="CA39" s="1508"/>
      <c r="CB39" s="1508"/>
      <c r="CC39" s="1508"/>
      <c r="CD39" s="1508"/>
      <c r="CE39" s="1508"/>
      <c r="CF39" s="1508"/>
      <c r="CG39" s="1508"/>
      <c r="CH39" s="1508"/>
      <c r="CI39" s="1508"/>
      <c r="CJ39" s="1508"/>
      <c r="CK39" s="1508"/>
      <c r="CL39" s="1508"/>
      <c r="CM39" s="1508"/>
      <c r="CN39" s="1508"/>
      <c r="CO39" s="1508"/>
      <c r="CP39" s="1508"/>
      <c r="CQ39" s="1508"/>
      <c r="CR39" s="1508"/>
      <c r="CS39" s="1508"/>
      <c r="CT39" s="1508"/>
      <c r="CU39" s="1508"/>
      <c r="CV39" s="1508"/>
      <c r="CW39" s="1508"/>
      <c r="CX39" s="1508"/>
      <c r="CY39" s="1508"/>
      <c r="CZ39" s="1508"/>
      <c r="DA39" s="1508"/>
      <c r="DB39" s="1508"/>
      <c r="DC39" s="1508"/>
      <c r="DD39" s="1508"/>
      <c r="DE39" s="1508"/>
      <c r="DF39" s="1508"/>
      <c r="DG39" s="1508"/>
      <c r="DH39" s="1508"/>
      <c r="DI39" s="1508"/>
      <c r="DJ39" s="1508"/>
      <c r="DK39" s="1508"/>
      <c r="DL39" s="1508"/>
      <c r="DN39" s="1509"/>
    </row>
    <row r="40" spans="1:118" s="14" customFormat="1" ht="15.75" hidden="1" customHeight="1" outlineLevel="2" x14ac:dyDescent="0.2">
      <c r="A40" s="1534"/>
      <c r="B40" s="1534"/>
      <c r="C40" s="1544"/>
      <c r="D40" s="1538"/>
      <c r="E40" s="1538"/>
      <c r="G40" s="1488"/>
      <c r="H40" s="1488"/>
      <c r="I40" s="1488"/>
      <c r="J40" s="1488"/>
      <c r="K40" s="1488"/>
      <c r="L40" s="1488"/>
      <c r="M40" s="1488"/>
      <c r="N40" s="1488"/>
      <c r="O40" s="1563"/>
      <c r="P40" s="1488"/>
      <c r="Q40" s="1488"/>
      <c r="R40" s="1488"/>
      <c r="S40" s="1488"/>
      <c r="T40" s="1488"/>
      <c r="U40" s="1488"/>
      <c r="V40" s="1488"/>
      <c r="W40" s="1488"/>
      <c r="Y40" s="1490"/>
      <c r="Z40" s="1490"/>
      <c r="AA40" s="1490"/>
      <c r="AB40" s="1490"/>
      <c r="AC40" s="1490"/>
      <c r="AD40" s="1490"/>
      <c r="AE40" s="1490"/>
      <c r="AF40" s="1490"/>
      <c r="AG40" s="1490"/>
      <c r="AH40" s="1490"/>
      <c r="AI40" s="1490"/>
      <c r="AJ40" s="1490"/>
      <c r="AK40" s="1490"/>
      <c r="AL40" s="1490"/>
      <c r="AM40" s="1490"/>
      <c r="AN40" s="1490"/>
      <c r="AO40" s="1490"/>
      <c r="AP40" s="1490"/>
      <c r="AQ40" s="1490"/>
      <c r="AS40" s="1491"/>
      <c r="AT40" s="1491"/>
      <c r="AU40" s="1491"/>
      <c r="AV40" s="1491"/>
      <c r="AW40" s="1491"/>
      <c r="AX40" s="1491"/>
      <c r="AY40" s="1491"/>
      <c r="AZ40" s="1491"/>
      <c r="BA40" s="1491"/>
      <c r="BB40" s="1491"/>
      <c r="BC40" s="1491"/>
      <c r="BD40" s="1491"/>
      <c r="BE40" s="1491"/>
      <c r="BF40" s="1491"/>
      <c r="BG40" s="1491"/>
      <c r="BH40" s="1491"/>
      <c r="BI40" s="1491"/>
      <c r="BJ40" s="1491"/>
      <c r="BK40" s="1491"/>
      <c r="BL40" s="1491"/>
      <c r="BN40" s="1492"/>
      <c r="BO40" s="1492"/>
      <c r="BP40" s="1492"/>
      <c r="BR40" s="3168">
        <f t="shared" si="12"/>
        <v>0</v>
      </c>
      <c r="BS40" s="1493"/>
      <c r="BT40" s="1534"/>
      <c r="BU40" s="1508"/>
      <c r="BV40" s="1508"/>
      <c r="BW40" s="1508"/>
      <c r="BX40" s="1508"/>
      <c r="BY40" s="1508"/>
      <c r="BZ40" s="1508"/>
      <c r="CA40" s="1508"/>
      <c r="CB40" s="1508"/>
      <c r="CC40" s="1508"/>
      <c r="CD40" s="1508"/>
      <c r="CE40" s="1508"/>
      <c r="CF40" s="1508"/>
      <c r="CG40" s="1508"/>
      <c r="CH40" s="1508"/>
      <c r="CI40" s="1508"/>
      <c r="CJ40" s="1508"/>
      <c r="CK40" s="1508"/>
      <c r="CL40" s="1508"/>
      <c r="CM40" s="1508"/>
      <c r="CN40" s="1508"/>
      <c r="CO40" s="1508"/>
      <c r="CP40" s="1508"/>
      <c r="CQ40" s="1508"/>
      <c r="CR40" s="1508"/>
      <c r="CS40" s="1508"/>
      <c r="CT40" s="1508"/>
      <c r="CU40" s="1508"/>
      <c r="CV40" s="1508"/>
      <c r="CW40" s="1508"/>
      <c r="CX40" s="1508"/>
      <c r="CY40" s="1508"/>
      <c r="CZ40" s="1508"/>
      <c r="DA40" s="1508"/>
      <c r="DB40" s="1508"/>
      <c r="DC40" s="1508"/>
      <c r="DD40" s="1508"/>
      <c r="DE40" s="1508"/>
      <c r="DF40" s="1508"/>
      <c r="DG40" s="1508"/>
      <c r="DH40" s="1508"/>
      <c r="DI40" s="1508"/>
      <c r="DJ40" s="1508"/>
      <c r="DK40" s="1508"/>
      <c r="DL40" s="1508"/>
      <c r="DN40" s="1509"/>
    </row>
    <row r="41" spans="1:118" s="1564" customFormat="1" ht="21" hidden="1" customHeight="1" outlineLevel="2" x14ac:dyDescent="0.2">
      <c r="C41" s="1565" t="s">
        <v>807</v>
      </c>
      <c r="D41" s="1566" t="s">
        <v>808</v>
      </c>
      <c r="E41" s="1566"/>
      <c r="F41" s="1567"/>
      <c r="G41" s="1568"/>
      <c r="H41" s="1568"/>
      <c r="I41" s="1568"/>
      <c r="J41" s="1568"/>
      <c r="K41" s="1568"/>
      <c r="L41" s="1568"/>
      <c r="M41" s="1568"/>
      <c r="N41" s="1568"/>
      <c r="O41" s="1569"/>
      <c r="P41" s="1568"/>
      <c r="Q41" s="1568"/>
      <c r="R41" s="1568"/>
      <c r="S41" s="1568"/>
      <c r="T41" s="1568"/>
      <c r="U41" s="1568"/>
      <c r="V41" s="1568"/>
      <c r="W41" s="1568"/>
      <c r="X41" s="1567"/>
      <c r="Y41" s="1570"/>
      <c r="Z41" s="1570"/>
      <c r="AA41" s="1570"/>
      <c r="AB41" s="1570"/>
      <c r="AC41" s="1570"/>
      <c r="AD41" s="1570"/>
      <c r="AE41" s="1570"/>
      <c r="AF41" s="1570"/>
      <c r="AG41" s="1570"/>
      <c r="AH41" s="1570"/>
      <c r="AI41" s="1570"/>
      <c r="AJ41" s="1570"/>
      <c r="AK41" s="1570"/>
      <c r="AL41" s="1570"/>
      <c r="AM41" s="1570"/>
      <c r="AN41" s="1570"/>
      <c r="AO41" s="1570"/>
      <c r="AP41" s="1570"/>
      <c r="AQ41" s="1570"/>
      <c r="AR41" s="1567"/>
      <c r="AS41" s="1571"/>
      <c r="AT41" s="1571"/>
      <c r="AU41" s="1571"/>
      <c r="AV41" s="1571"/>
      <c r="AW41" s="1571"/>
      <c r="AX41" s="1571"/>
      <c r="AY41" s="1571"/>
      <c r="AZ41" s="1571"/>
      <c r="BA41" s="1571"/>
      <c r="BB41" s="1571"/>
      <c r="BC41" s="1571"/>
      <c r="BD41" s="1571"/>
      <c r="BE41" s="1571"/>
      <c r="BF41" s="1571"/>
      <c r="BG41" s="1571"/>
      <c r="BH41" s="1571"/>
      <c r="BI41" s="1571"/>
      <c r="BJ41" s="1571"/>
      <c r="BK41" s="1571"/>
      <c r="BL41" s="1571"/>
      <c r="BM41" s="1567"/>
      <c r="BN41" s="1572"/>
      <c r="BO41" s="1572"/>
      <c r="BP41" s="1572"/>
      <c r="BQ41" s="1567"/>
      <c r="BR41" s="3168">
        <f t="shared" si="12"/>
        <v>0</v>
      </c>
      <c r="BS41" s="1573"/>
      <c r="BU41" s="1574"/>
      <c r="BV41" s="1574"/>
      <c r="BW41" s="1574"/>
      <c r="BX41" s="1574"/>
      <c r="BY41" s="1574"/>
      <c r="BZ41" s="1574"/>
      <c r="CA41" s="1574"/>
      <c r="CB41" s="1574"/>
      <c r="CC41" s="1574"/>
      <c r="CD41" s="1574"/>
      <c r="CE41" s="1574"/>
      <c r="CF41" s="1574"/>
      <c r="CG41" s="1574"/>
      <c r="CH41" s="1574"/>
      <c r="CI41" s="1574"/>
      <c r="CJ41" s="1574"/>
      <c r="CK41" s="1574"/>
      <c r="CL41" s="1574"/>
      <c r="CM41" s="1574"/>
      <c r="CN41" s="1574"/>
      <c r="CO41" s="1574"/>
      <c r="CP41" s="1574"/>
      <c r="CQ41" s="1574"/>
      <c r="CR41" s="1574"/>
      <c r="CS41" s="1574"/>
      <c r="CT41" s="1574"/>
      <c r="CU41" s="1574"/>
      <c r="CV41" s="1574"/>
      <c r="CW41" s="1574"/>
      <c r="CX41" s="1574"/>
      <c r="CY41" s="1574"/>
      <c r="CZ41" s="1574"/>
      <c r="DA41" s="1574"/>
      <c r="DB41" s="1574"/>
      <c r="DC41" s="1574"/>
      <c r="DD41" s="1574"/>
      <c r="DE41" s="1574"/>
      <c r="DF41" s="1574"/>
      <c r="DG41" s="1574"/>
      <c r="DH41" s="1574"/>
      <c r="DI41" s="1574"/>
      <c r="DJ41" s="1574"/>
      <c r="DK41" s="1574"/>
      <c r="DL41" s="1574"/>
      <c r="DN41" s="1575">
        <v>0</v>
      </c>
    </row>
    <row r="42" spans="1:118" s="14" customFormat="1" ht="25.5" hidden="1" customHeight="1" outlineLevel="2" x14ac:dyDescent="0.2">
      <c r="A42" s="1534"/>
      <c r="B42" s="1534"/>
      <c r="C42" s="1496" t="s">
        <v>78</v>
      </c>
      <c r="D42" s="1526" t="s">
        <v>794</v>
      </c>
      <c r="E42" s="1576"/>
      <c r="G42" s="1540"/>
      <c r="H42" s="1540"/>
      <c r="I42" s="1540"/>
      <c r="J42" s="1540"/>
      <c r="K42" s="1540"/>
      <c r="L42" s="1540"/>
      <c r="M42" s="1540"/>
      <c r="N42" s="1540"/>
      <c r="O42" s="1540"/>
      <c r="P42" s="1540"/>
      <c r="Q42" s="1540"/>
      <c r="R42" s="1540"/>
      <c r="S42" s="1540"/>
      <c r="T42" s="1540"/>
      <c r="U42" s="1540"/>
      <c r="V42" s="1540"/>
      <c r="W42" s="1527"/>
      <c r="Y42" s="1541"/>
      <c r="Z42" s="1541"/>
      <c r="AA42" s="1541"/>
      <c r="AB42" s="1541"/>
      <c r="AC42" s="1541"/>
      <c r="AD42" s="1541"/>
      <c r="AE42" s="1541"/>
      <c r="AF42" s="1541"/>
      <c r="AG42" s="1541"/>
      <c r="AH42" s="1541"/>
      <c r="AI42" s="1541"/>
      <c r="AJ42" s="1541"/>
      <c r="AK42" s="1541"/>
      <c r="AL42" s="1541"/>
      <c r="AM42" s="1541"/>
      <c r="AN42" s="1541"/>
      <c r="AO42" s="1541"/>
      <c r="AP42" s="1541"/>
      <c r="AQ42" s="1528"/>
      <c r="AS42" s="1542"/>
      <c r="AT42" s="1542"/>
      <c r="AU42" s="1542"/>
      <c r="AV42" s="1542"/>
      <c r="AW42" s="1542"/>
      <c r="AX42" s="1542"/>
      <c r="AY42" s="1542"/>
      <c r="AZ42" s="1542"/>
      <c r="BA42" s="1542"/>
      <c r="BB42" s="1542"/>
      <c r="BC42" s="1542"/>
      <c r="BD42" s="1542"/>
      <c r="BE42" s="1542"/>
      <c r="BF42" s="1542"/>
      <c r="BG42" s="1542"/>
      <c r="BH42" s="1542"/>
      <c r="BI42" s="1542"/>
      <c r="BJ42" s="1542"/>
      <c r="BK42" s="1542"/>
      <c r="BL42" s="1530"/>
      <c r="BN42" s="1543"/>
      <c r="BO42" s="1543"/>
      <c r="BP42" s="1531"/>
      <c r="BR42" s="3168">
        <f t="shared" si="12"/>
        <v>0</v>
      </c>
      <c r="BS42" s="1493"/>
      <c r="BT42" s="748"/>
      <c r="BU42" s="1532">
        <v>0</v>
      </c>
      <c r="BV42" s="1533">
        <v>0</v>
      </c>
      <c r="BW42" s="1533">
        <v>0</v>
      </c>
      <c r="BX42" s="1533">
        <v>0</v>
      </c>
      <c r="BY42" s="1533">
        <v>0</v>
      </c>
      <c r="BZ42" s="1533">
        <v>0</v>
      </c>
      <c r="CA42" s="1533">
        <v>0</v>
      </c>
      <c r="CB42" s="1533">
        <v>0</v>
      </c>
      <c r="CC42" s="1533">
        <v>0</v>
      </c>
      <c r="CD42" s="1533">
        <v>0</v>
      </c>
      <c r="CE42" s="1533">
        <v>0</v>
      </c>
      <c r="CF42" s="1533">
        <v>0</v>
      </c>
      <c r="CG42" s="1533">
        <v>0</v>
      </c>
      <c r="CH42" s="1533">
        <v>0</v>
      </c>
      <c r="CI42" s="1533">
        <v>0</v>
      </c>
      <c r="CJ42" s="1533">
        <v>0</v>
      </c>
      <c r="CK42" s="1533">
        <v>0</v>
      </c>
      <c r="CL42" s="1533">
        <v>0</v>
      </c>
      <c r="CM42" s="1533">
        <v>0</v>
      </c>
      <c r="CN42" s="1533">
        <v>0</v>
      </c>
      <c r="CO42" s="1533">
        <v>0</v>
      </c>
      <c r="CP42" s="1533">
        <v>0</v>
      </c>
      <c r="CQ42" s="1533">
        <v>0</v>
      </c>
      <c r="CR42" s="1533">
        <v>0</v>
      </c>
      <c r="CS42" s="1533">
        <v>0</v>
      </c>
      <c r="CT42" s="1533">
        <v>0</v>
      </c>
      <c r="CU42" s="1533">
        <v>0</v>
      </c>
      <c r="CV42" s="1533">
        <v>0</v>
      </c>
      <c r="CW42" s="1533">
        <v>0</v>
      </c>
      <c r="CX42" s="1533">
        <v>0</v>
      </c>
      <c r="CY42" s="1533">
        <v>0</v>
      </c>
      <c r="CZ42" s="1533">
        <v>0</v>
      </c>
      <c r="DA42" s="1533">
        <v>0</v>
      </c>
      <c r="DB42" s="1533">
        <v>0</v>
      </c>
      <c r="DC42" s="1533">
        <v>0</v>
      </c>
      <c r="DD42" s="1533">
        <v>0</v>
      </c>
      <c r="DE42" s="1533">
        <v>0</v>
      </c>
      <c r="DF42" s="1533">
        <v>0</v>
      </c>
      <c r="DG42" s="1533">
        <v>0</v>
      </c>
      <c r="DH42" s="1533">
        <v>0</v>
      </c>
      <c r="DI42" s="1533">
        <v>0</v>
      </c>
      <c r="DJ42" s="1533">
        <v>0</v>
      </c>
      <c r="DK42" s="1533">
        <v>0</v>
      </c>
      <c r="DL42" s="1533">
        <v>0</v>
      </c>
      <c r="DN42" s="1509"/>
    </row>
    <row r="43" spans="1:118" s="14" customFormat="1" ht="15.75" hidden="1" outlineLevel="1" collapsed="1" x14ac:dyDescent="0.2">
      <c r="A43" s="1845" t="s">
        <v>816</v>
      </c>
      <c r="B43" s="1846"/>
      <c r="C43" s="1842" t="s">
        <v>740</v>
      </c>
      <c r="D43" s="1843" t="s">
        <v>862</v>
      </c>
      <c r="E43" s="1844"/>
      <c r="G43" s="1539"/>
      <c r="H43" s="1539"/>
      <c r="I43" s="1539"/>
      <c r="J43" s="1539"/>
      <c r="K43" s="1539"/>
      <c r="L43" s="1539"/>
      <c r="M43" s="1539"/>
      <c r="N43" s="1539"/>
      <c r="O43" s="1539"/>
      <c r="P43" s="1539"/>
      <c r="Q43" s="1539"/>
      <c r="R43" s="1539"/>
      <c r="S43" s="1539"/>
      <c r="T43" s="1539"/>
      <c r="U43" s="1539"/>
      <c r="V43" s="1539"/>
      <c r="W43" s="1539"/>
      <c r="Y43" s="1490"/>
      <c r="Z43" s="1490"/>
      <c r="AA43" s="1490"/>
      <c r="AB43" s="1490"/>
      <c r="AC43" s="1490"/>
      <c r="AD43" s="1490"/>
      <c r="AE43" s="1490"/>
      <c r="AF43" s="1490"/>
      <c r="AG43" s="1490"/>
      <c r="AH43" s="1490"/>
      <c r="AI43" s="1490"/>
      <c r="AJ43" s="1490"/>
      <c r="AK43" s="1490"/>
      <c r="AL43" s="1490"/>
      <c r="AM43" s="1490"/>
      <c r="AN43" s="1490"/>
      <c r="AO43" s="1490"/>
      <c r="AP43" s="1490"/>
      <c r="AQ43" s="1490"/>
      <c r="AS43" s="1491"/>
      <c r="AT43" s="1491"/>
      <c r="AU43" s="1491"/>
      <c r="AV43" s="1491"/>
      <c r="AW43" s="1491"/>
      <c r="AX43" s="1491"/>
      <c r="AY43" s="1491"/>
      <c r="AZ43" s="1491"/>
      <c r="BA43" s="1491"/>
      <c r="BB43" s="1491"/>
      <c r="BC43" s="1491"/>
      <c r="BD43" s="1491"/>
      <c r="BE43" s="1491"/>
      <c r="BF43" s="1491"/>
      <c r="BG43" s="1491"/>
      <c r="BH43" s="1491"/>
      <c r="BI43" s="1491"/>
      <c r="BJ43" s="1491"/>
      <c r="BK43" s="1491"/>
      <c r="BL43" s="1491"/>
      <c r="BN43" s="1492"/>
      <c r="BO43" s="1492"/>
      <c r="BP43" s="1492"/>
      <c r="BR43" s="3168">
        <f t="shared" si="12"/>
        <v>0</v>
      </c>
      <c r="BS43" s="1493"/>
      <c r="BT43" s="748"/>
      <c r="BU43" s="1508"/>
      <c r="BV43" s="1508"/>
      <c r="BW43" s="1508"/>
      <c r="BX43" s="1508"/>
      <c r="BY43" s="1508"/>
      <c r="BZ43" s="1508"/>
      <c r="CA43" s="1508"/>
      <c r="CB43" s="1508"/>
      <c r="CC43" s="1508"/>
      <c r="CD43" s="1508"/>
      <c r="CE43" s="1508"/>
      <c r="CF43" s="1508"/>
      <c r="CG43" s="1508"/>
      <c r="CH43" s="1508"/>
      <c r="CI43" s="1508"/>
      <c r="CJ43" s="1508"/>
      <c r="CK43" s="1508"/>
      <c r="CL43" s="1508"/>
      <c r="CM43" s="1508"/>
      <c r="CN43" s="1508"/>
      <c r="CO43" s="1508"/>
      <c r="CP43" s="1508"/>
      <c r="CQ43" s="1508"/>
      <c r="CR43" s="1508"/>
      <c r="CS43" s="1508"/>
      <c r="CT43" s="1508"/>
      <c r="CU43" s="1508"/>
      <c r="CV43" s="1508"/>
      <c r="CW43" s="1508"/>
      <c r="CX43" s="1508"/>
      <c r="CY43" s="1508"/>
      <c r="CZ43" s="1508"/>
      <c r="DA43" s="1508"/>
      <c r="DB43" s="1508"/>
      <c r="DC43" s="1508"/>
      <c r="DD43" s="1508"/>
      <c r="DE43" s="1508"/>
      <c r="DF43" s="1508"/>
      <c r="DG43" s="1508"/>
      <c r="DH43" s="1508"/>
      <c r="DI43" s="1508"/>
      <c r="DJ43" s="1508"/>
      <c r="DK43" s="1508"/>
      <c r="DL43" s="1508"/>
      <c r="DN43" s="1509"/>
    </row>
    <row r="44" spans="1:118" s="14" customFormat="1" ht="15.75" hidden="1" customHeight="1" outlineLevel="2" x14ac:dyDescent="0.2">
      <c r="A44" s="1534"/>
      <c r="B44" s="1534"/>
      <c r="C44" s="1544"/>
      <c r="D44" s="1538"/>
      <c r="E44" s="1538"/>
      <c r="G44" s="1488"/>
      <c r="H44" s="1488"/>
      <c r="I44" s="1488"/>
      <c r="J44" s="1488"/>
      <c r="K44" s="1488"/>
      <c r="L44" s="1488"/>
      <c r="M44" s="1488"/>
      <c r="N44" s="1488"/>
      <c r="O44" s="1563"/>
      <c r="P44" s="1488"/>
      <c r="Q44" s="1488"/>
      <c r="R44" s="1488"/>
      <c r="S44" s="1488"/>
      <c r="T44" s="1488"/>
      <c r="U44" s="1488"/>
      <c r="V44" s="1488"/>
      <c r="W44" s="1488"/>
      <c r="Y44" s="1490"/>
      <c r="Z44" s="1490"/>
      <c r="AA44" s="1490"/>
      <c r="AB44" s="1490"/>
      <c r="AC44" s="1490"/>
      <c r="AD44" s="1490"/>
      <c r="AE44" s="1490"/>
      <c r="AF44" s="1490"/>
      <c r="AG44" s="1490"/>
      <c r="AH44" s="1490"/>
      <c r="AI44" s="1490"/>
      <c r="AJ44" s="1490"/>
      <c r="AK44" s="1490"/>
      <c r="AL44" s="1490"/>
      <c r="AM44" s="1490"/>
      <c r="AN44" s="1490"/>
      <c r="AO44" s="1490"/>
      <c r="AP44" s="1490"/>
      <c r="AQ44" s="1490"/>
      <c r="AS44" s="1491"/>
      <c r="AT44" s="1491"/>
      <c r="AU44" s="1491"/>
      <c r="AV44" s="1491"/>
      <c r="AW44" s="1491"/>
      <c r="AX44" s="1491"/>
      <c r="AY44" s="1491"/>
      <c r="AZ44" s="1491"/>
      <c r="BA44" s="1491"/>
      <c r="BB44" s="1491"/>
      <c r="BC44" s="1491"/>
      <c r="BD44" s="1491"/>
      <c r="BE44" s="1491"/>
      <c r="BF44" s="1491"/>
      <c r="BG44" s="1491"/>
      <c r="BH44" s="1491"/>
      <c r="BI44" s="1491"/>
      <c r="BJ44" s="1491"/>
      <c r="BK44" s="1491"/>
      <c r="BL44" s="1491"/>
      <c r="BN44" s="1492"/>
      <c r="BO44" s="1492"/>
      <c r="BP44" s="1492"/>
      <c r="BR44" s="3168">
        <f t="shared" si="12"/>
        <v>0</v>
      </c>
      <c r="BS44" s="1493"/>
      <c r="BT44" s="1534"/>
      <c r="BU44" s="1508"/>
      <c r="BV44" s="1508"/>
      <c r="BW44" s="1508"/>
      <c r="BX44" s="1508"/>
      <c r="BY44" s="1508"/>
      <c r="BZ44" s="1508"/>
      <c r="CA44" s="1508"/>
      <c r="CB44" s="1508"/>
      <c r="CC44" s="1508"/>
      <c r="CD44" s="1508"/>
      <c r="CE44" s="1508"/>
      <c r="CF44" s="1508"/>
      <c r="CG44" s="1508"/>
      <c r="CH44" s="1508"/>
      <c r="CI44" s="1508"/>
      <c r="CJ44" s="1508"/>
      <c r="CK44" s="1508"/>
      <c r="CL44" s="1508"/>
      <c r="CM44" s="1508"/>
      <c r="CN44" s="1508"/>
      <c r="CO44" s="1508"/>
      <c r="CP44" s="1508"/>
      <c r="CQ44" s="1508"/>
      <c r="CR44" s="1508"/>
      <c r="CS44" s="1508"/>
      <c r="CT44" s="1508"/>
      <c r="CU44" s="1508"/>
      <c r="CV44" s="1508"/>
      <c r="CW44" s="1508"/>
      <c r="CX44" s="1508"/>
      <c r="CY44" s="1508"/>
      <c r="CZ44" s="1508"/>
      <c r="DA44" s="1508"/>
      <c r="DB44" s="1508"/>
      <c r="DC44" s="1508"/>
      <c r="DD44" s="1508"/>
      <c r="DE44" s="1508"/>
      <c r="DF44" s="1508"/>
      <c r="DG44" s="1508"/>
      <c r="DH44" s="1508"/>
      <c r="DI44" s="1508"/>
      <c r="DJ44" s="1508"/>
      <c r="DK44" s="1508"/>
      <c r="DL44" s="1508"/>
      <c r="DN44" s="1509"/>
    </row>
    <row r="45" spans="1:118" s="14" customFormat="1" ht="11.25" hidden="1" customHeight="1" outlineLevel="2" x14ac:dyDescent="0.2">
      <c r="A45" s="1522"/>
      <c r="B45" s="1522"/>
      <c r="C45" s="1577" t="s">
        <v>108</v>
      </c>
      <c r="D45" s="1497" t="s">
        <v>109</v>
      </c>
      <c r="E45" s="1497"/>
      <c r="G45" s="1498"/>
      <c r="H45" s="1498"/>
      <c r="I45" s="1498"/>
      <c r="J45" s="1498"/>
      <c r="K45" s="1498"/>
      <c r="L45" s="1498"/>
      <c r="M45" s="1498"/>
      <c r="N45" s="1498"/>
      <c r="O45" s="1498"/>
      <c r="P45" s="1498"/>
      <c r="Q45" s="1498"/>
      <c r="R45" s="1498"/>
      <c r="S45" s="1498"/>
      <c r="T45" s="1498"/>
      <c r="U45" s="1498"/>
      <c r="V45" s="1498"/>
      <c r="W45" s="1499"/>
      <c r="Y45" s="1500"/>
      <c r="Z45" s="1500"/>
      <c r="AA45" s="1500"/>
      <c r="AB45" s="1500"/>
      <c r="AC45" s="1500"/>
      <c r="AD45" s="1500"/>
      <c r="AE45" s="1500"/>
      <c r="AF45" s="1500"/>
      <c r="AG45" s="1500"/>
      <c r="AH45" s="1500"/>
      <c r="AI45" s="1500"/>
      <c r="AJ45" s="1500"/>
      <c r="AK45" s="1500"/>
      <c r="AL45" s="1500"/>
      <c r="AM45" s="1500"/>
      <c r="AN45" s="1500"/>
      <c r="AO45" s="1500"/>
      <c r="AP45" s="1500"/>
      <c r="AQ45" s="1501"/>
      <c r="AS45" s="1502"/>
      <c r="AT45" s="1502"/>
      <c r="AU45" s="1502"/>
      <c r="AV45" s="1502"/>
      <c r="AW45" s="1502"/>
      <c r="AX45" s="1502"/>
      <c r="AY45" s="1502"/>
      <c r="AZ45" s="1502"/>
      <c r="BA45" s="1502"/>
      <c r="BB45" s="1502"/>
      <c r="BC45" s="1502"/>
      <c r="BD45" s="1502"/>
      <c r="BE45" s="1502"/>
      <c r="BF45" s="1502"/>
      <c r="BG45" s="1502"/>
      <c r="BH45" s="1502"/>
      <c r="BI45" s="1502"/>
      <c r="BJ45" s="1502"/>
      <c r="BK45" s="1502"/>
      <c r="BL45" s="1524"/>
      <c r="BN45" s="1504"/>
      <c r="BO45" s="1504"/>
      <c r="BP45" s="1505"/>
      <c r="BR45" s="3168">
        <f t="shared" si="12"/>
        <v>0</v>
      </c>
      <c r="BS45" s="1525"/>
      <c r="BT45" s="748"/>
      <c r="BU45" s="1507"/>
      <c r="BV45" s="1508"/>
      <c r="BW45" s="1508"/>
      <c r="BX45" s="1508"/>
      <c r="BY45" s="1508"/>
      <c r="BZ45" s="1508"/>
      <c r="CA45" s="1508"/>
      <c r="CB45" s="1508"/>
      <c r="CC45" s="1508"/>
      <c r="CD45" s="1508"/>
      <c r="CE45" s="1508"/>
      <c r="CF45" s="1508"/>
      <c r="CG45" s="1508"/>
      <c r="CH45" s="1508"/>
      <c r="CI45" s="1508"/>
      <c r="CJ45" s="1508"/>
      <c r="CK45" s="1508"/>
      <c r="CL45" s="1508"/>
      <c r="CM45" s="1508"/>
      <c r="CN45" s="1508"/>
      <c r="CO45" s="1508"/>
      <c r="CP45" s="1508"/>
      <c r="CQ45" s="1508"/>
      <c r="CR45" s="1508"/>
      <c r="CS45" s="1508"/>
      <c r="CT45" s="1508"/>
      <c r="CU45" s="1508"/>
      <c r="CV45" s="1508"/>
      <c r="CW45" s="1508"/>
      <c r="CX45" s="1508"/>
      <c r="CY45" s="1508"/>
      <c r="CZ45" s="1508"/>
      <c r="DA45" s="1508"/>
      <c r="DB45" s="1508"/>
      <c r="DC45" s="1508"/>
      <c r="DD45" s="1508"/>
      <c r="DE45" s="1508"/>
      <c r="DF45" s="1508"/>
      <c r="DG45" s="1508"/>
      <c r="DH45" s="1508"/>
      <c r="DI45" s="1508"/>
      <c r="DJ45" s="1508"/>
      <c r="DK45" s="1508"/>
      <c r="DL45" s="1508"/>
      <c r="DN45" s="1509"/>
    </row>
    <row r="46" spans="1:118" s="14" customFormat="1" ht="16.5" hidden="1" customHeight="1" outlineLevel="2" x14ac:dyDescent="0.2">
      <c r="A46" s="1522"/>
      <c r="B46" s="1522"/>
      <c r="C46" s="1577" t="s">
        <v>801</v>
      </c>
      <c r="D46" s="1526" t="s">
        <v>802</v>
      </c>
      <c r="E46" s="1526"/>
      <c r="G46" s="1540"/>
      <c r="H46" s="1540"/>
      <c r="I46" s="1540"/>
      <c r="J46" s="1540"/>
      <c r="K46" s="1540"/>
      <c r="L46" s="1540"/>
      <c r="M46" s="1540"/>
      <c r="N46" s="1540"/>
      <c r="O46" s="1540"/>
      <c r="P46" s="1540"/>
      <c r="Q46" s="1540"/>
      <c r="R46" s="1540"/>
      <c r="S46" s="1540"/>
      <c r="T46" s="1540"/>
      <c r="U46" s="1540"/>
      <c r="V46" s="1540"/>
      <c r="W46" s="1527"/>
      <c r="Y46" s="1541"/>
      <c r="Z46" s="1541"/>
      <c r="AA46" s="1541"/>
      <c r="AB46" s="1541"/>
      <c r="AC46" s="1541"/>
      <c r="AD46" s="1541"/>
      <c r="AE46" s="1541"/>
      <c r="AF46" s="1541"/>
      <c r="AG46" s="1541"/>
      <c r="AH46" s="1541"/>
      <c r="AI46" s="1541"/>
      <c r="AJ46" s="1541"/>
      <c r="AK46" s="1541"/>
      <c r="AL46" s="1541"/>
      <c r="AM46" s="1541"/>
      <c r="AN46" s="1541"/>
      <c r="AO46" s="1541"/>
      <c r="AP46" s="1541"/>
      <c r="AQ46" s="1528"/>
      <c r="AS46" s="1542"/>
      <c r="AT46" s="1542"/>
      <c r="AU46" s="1542"/>
      <c r="AV46" s="1542"/>
      <c r="AW46" s="1542"/>
      <c r="AX46" s="1542"/>
      <c r="AY46" s="1542"/>
      <c r="AZ46" s="1542"/>
      <c r="BA46" s="1542"/>
      <c r="BB46" s="1542"/>
      <c r="BC46" s="1542"/>
      <c r="BD46" s="1542"/>
      <c r="BE46" s="1542"/>
      <c r="BF46" s="1542"/>
      <c r="BG46" s="1542"/>
      <c r="BH46" s="1542"/>
      <c r="BI46" s="1542"/>
      <c r="BJ46" s="1542"/>
      <c r="BK46" s="1542"/>
      <c r="BL46" s="1530"/>
      <c r="BN46" s="1543"/>
      <c r="BO46" s="1543"/>
      <c r="BP46" s="1531"/>
      <c r="BR46" s="3168">
        <f t="shared" si="12"/>
        <v>0</v>
      </c>
      <c r="BS46" s="1525"/>
      <c r="BT46" s="748"/>
      <c r="BU46" s="1532"/>
      <c r="BV46" s="1533"/>
      <c r="BW46" s="1533"/>
      <c r="BX46" s="1533"/>
      <c r="BY46" s="1533"/>
      <c r="BZ46" s="1533"/>
      <c r="CA46" s="1533"/>
      <c r="CB46" s="1533"/>
      <c r="CC46" s="1533"/>
      <c r="CD46" s="1533"/>
      <c r="CE46" s="1533"/>
      <c r="CF46" s="1533"/>
      <c r="CG46" s="1533"/>
      <c r="CH46" s="1533"/>
      <c r="CI46" s="1533"/>
      <c r="CJ46" s="1533"/>
      <c r="CK46" s="1533"/>
      <c r="CL46" s="1533"/>
      <c r="CM46" s="1533"/>
      <c r="CN46" s="1533"/>
      <c r="CO46" s="1533"/>
      <c r="CP46" s="1533"/>
      <c r="CQ46" s="1533"/>
      <c r="CR46" s="1533"/>
      <c r="CS46" s="1533"/>
      <c r="CT46" s="1533"/>
      <c r="CU46" s="1533"/>
      <c r="CV46" s="1533"/>
      <c r="CW46" s="1533"/>
      <c r="CX46" s="1533"/>
      <c r="CY46" s="1533"/>
      <c r="CZ46" s="1533"/>
      <c r="DA46" s="1533"/>
      <c r="DB46" s="1533"/>
      <c r="DC46" s="1533"/>
      <c r="DD46" s="1533"/>
      <c r="DE46" s="1533"/>
      <c r="DF46" s="1533"/>
      <c r="DG46" s="1533"/>
      <c r="DH46" s="1533"/>
      <c r="DI46" s="1533"/>
      <c r="DJ46" s="1533"/>
      <c r="DK46" s="1533"/>
      <c r="DL46" s="1533"/>
      <c r="DN46" s="1509"/>
    </row>
    <row r="47" spans="1:118" s="14" customFormat="1" ht="15.75" hidden="1" outlineLevel="1" collapsed="1" x14ac:dyDescent="0.2">
      <c r="A47" s="1845" t="s">
        <v>816</v>
      </c>
      <c r="B47" s="1847"/>
      <c r="C47" s="1842" t="s">
        <v>745</v>
      </c>
      <c r="D47" s="1843" t="s">
        <v>863</v>
      </c>
      <c r="E47" s="1844"/>
      <c r="G47" s="1539"/>
      <c r="H47" s="1539"/>
      <c r="I47" s="1539"/>
      <c r="J47" s="1539"/>
      <c r="K47" s="1539"/>
      <c r="L47" s="1539"/>
      <c r="M47" s="1539"/>
      <c r="N47" s="1539"/>
      <c r="O47" s="1539"/>
      <c r="P47" s="1539"/>
      <c r="Q47" s="1539"/>
      <c r="R47" s="1539"/>
      <c r="S47" s="1539"/>
      <c r="T47" s="1539"/>
      <c r="U47" s="1539"/>
      <c r="V47" s="1539"/>
      <c r="W47" s="1539"/>
      <c r="Y47" s="1490"/>
      <c r="Z47" s="1490"/>
      <c r="AA47" s="1490"/>
      <c r="AB47" s="1490"/>
      <c r="AC47" s="1490"/>
      <c r="AD47" s="1490"/>
      <c r="AE47" s="1490"/>
      <c r="AF47" s="1490"/>
      <c r="AG47" s="1490"/>
      <c r="AH47" s="1490"/>
      <c r="AI47" s="1490"/>
      <c r="AJ47" s="1490"/>
      <c r="AK47" s="1490"/>
      <c r="AL47" s="1490"/>
      <c r="AM47" s="1490"/>
      <c r="AN47" s="1490"/>
      <c r="AO47" s="1490"/>
      <c r="AP47" s="1490"/>
      <c r="AQ47" s="1490"/>
      <c r="AS47" s="1491"/>
      <c r="AT47" s="1491"/>
      <c r="AU47" s="1491"/>
      <c r="AV47" s="1491"/>
      <c r="AW47" s="1491"/>
      <c r="AX47" s="1491"/>
      <c r="AY47" s="1491"/>
      <c r="AZ47" s="1491"/>
      <c r="BA47" s="1491"/>
      <c r="BB47" s="1491"/>
      <c r="BC47" s="1491"/>
      <c r="BD47" s="1491"/>
      <c r="BE47" s="1491"/>
      <c r="BF47" s="1491"/>
      <c r="BG47" s="1491"/>
      <c r="BH47" s="1491"/>
      <c r="BI47" s="1491"/>
      <c r="BJ47" s="1491"/>
      <c r="BK47" s="1491"/>
      <c r="BL47" s="1491"/>
      <c r="BN47" s="1492"/>
      <c r="BO47" s="1492"/>
      <c r="BP47" s="1492"/>
      <c r="BR47" s="3168">
        <f t="shared" si="12"/>
        <v>0</v>
      </c>
      <c r="BS47" s="1579"/>
      <c r="BT47" s="748"/>
      <c r="BU47" s="1507"/>
      <c r="BV47" s="1508"/>
      <c r="BW47" s="1508"/>
      <c r="BX47" s="1508"/>
      <c r="BY47" s="1508"/>
      <c r="BZ47" s="1508"/>
      <c r="CA47" s="1508"/>
      <c r="CB47" s="1508"/>
      <c r="CC47" s="1508"/>
      <c r="CD47" s="1508"/>
      <c r="CE47" s="1508"/>
      <c r="CF47" s="1508"/>
      <c r="CG47" s="1508"/>
      <c r="CH47" s="1508"/>
      <c r="CI47" s="1508"/>
      <c r="CJ47" s="1508"/>
      <c r="CK47" s="1508"/>
      <c r="CL47" s="1508"/>
      <c r="CM47" s="1508"/>
      <c r="CN47" s="1508"/>
      <c r="CO47" s="1508"/>
      <c r="CP47" s="1508"/>
      <c r="CQ47" s="1508"/>
      <c r="CR47" s="1508"/>
      <c r="CS47" s="1508"/>
      <c r="CT47" s="1508"/>
      <c r="CU47" s="1508"/>
      <c r="CV47" s="1508"/>
      <c r="CW47" s="1508"/>
      <c r="CX47" s="1508"/>
      <c r="CY47" s="1508"/>
      <c r="CZ47" s="1508"/>
      <c r="DA47" s="1508"/>
      <c r="DB47" s="1508"/>
      <c r="DC47" s="1508"/>
      <c r="DD47" s="1508"/>
      <c r="DE47" s="1508"/>
      <c r="DF47" s="1508"/>
      <c r="DG47" s="1508"/>
      <c r="DH47" s="1508"/>
      <c r="DI47" s="1508"/>
      <c r="DJ47" s="1508"/>
      <c r="DK47" s="1508"/>
      <c r="DL47" s="1508"/>
      <c r="DN47" s="1509"/>
    </row>
    <row r="48" spans="1:118" s="14" customFormat="1" ht="15.75" collapsed="1" x14ac:dyDescent="0.2">
      <c r="A48" s="1845"/>
      <c r="B48" s="1847"/>
      <c r="C48" s="1842"/>
      <c r="D48" s="1843"/>
      <c r="E48" s="1844"/>
      <c r="G48" s="1539"/>
      <c r="H48" s="1539"/>
      <c r="I48" s="1539"/>
      <c r="J48" s="1539"/>
      <c r="K48" s="1539"/>
      <c r="L48" s="1539"/>
      <c r="M48" s="1539"/>
      <c r="N48" s="1539"/>
      <c r="O48" s="1539"/>
      <c r="P48" s="1539"/>
      <c r="Q48" s="1539"/>
      <c r="R48" s="1539"/>
      <c r="S48" s="1539"/>
      <c r="T48" s="1539"/>
      <c r="U48" s="1539"/>
      <c r="V48" s="1539"/>
      <c r="W48" s="1539"/>
      <c r="Y48" s="1490"/>
      <c r="Z48" s="1490"/>
      <c r="AA48" s="1490"/>
      <c r="AB48" s="1490"/>
      <c r="AC48" s="1490"/>
      <c r="AD48" s="1490"/>
      <c r="AE48" s="1490"/>
      <c r="AF48" s="1490"/>
      <c r="AG48" s="1490"/>
      <c r="AH48" s="1490"/>
      <c r="AI48" s="1490"/>
      <c r="AJ48" s="1490"/>
      <c r="AK48" s="1490"/>
      <c r="AL48" s="1490"/>
      <c r="AM48" s="1490"/>
      <c r="AN48" s="1490"/>
      <c r="AO48" s="1490"/>
      <c r="AP48" s="1490"/>
      <c r="AQ48" s="1490"/>
      <c r="AS48" s="1491"/>
      <c r="AT48" s="1491"/>
      <c r="AU48" s="1491"/>
      <c r="AV48" s="1491"/>
      <c r="AW48" s="1491"/>
      <c r="AX48" s="1491"/>
      <c r="AY48" s="1491"/>
      <c r="AZ48" s="1491"/>
      <c r="BA48" s="1491"/>
      <c r="BB48" s="1491"/>
      <c r="BC48" s="1491"/>
      <c r="BD48" s="1491"/>
      <c r="BE48" s="1491"/>
      <c r="BF48" s="1491"/>
      <c r="BG48" s="1491"/>
      <c r="BH48" s="1491"/>
      <c r="BI48" s="1491"/>
      <c r="BJ48" s="1491"/>
      <c r="BK48" s="1491"/>
      <c r="BL48" s="1491"/>
      <c r="BN48" s="1492"/>
      <c r="BO48" s="1492"/>
      <c r="BP48" s="1492"/>
      <c r="BR48" s="3168"/>
      <c r="BS48" s="1579"/>
      <c r="BT48" s="748"/>
      <c r="BU48" s="1507"/>
      <c r="BV48" s="1508"/>
      <c r="BW48" s="1508"/>
      <c r="BX48" s="1508"/>
      <c r="BY48" s="1508"/>
      <c r="BZ48" s="1508"/>
      <c r="CA48" s="1508"/>
      <c r="CB48" s="1508"/>
      <c r="CC48" s="1508"/>
      <c r="CD48" s="1508"/>
      <c r="CE48" s="1508"/>
      <c r="CF48" s="1508"/>
      <c r="CG48" s="1508"/>
      <c r="CH48" s="1508"/>
      <c r="CI48" s="1508"/>
      <c r="CJ48" s="1508"/>
      <c r="CK48" s="1508"/>
      <c r="CL48" s="1508"/>
      <c r="CM48" s="1508"/>
      <c r="CN48" s="1508"/>
      <c r="CO48" s="1508"/>
      <c r="CP48" s="1508"/>
      <c r="CQ48" s="1508"/>
      <c r="CR48" s="1508"/>
      <c r="CS48" s="1508"/>
      <c r="CT48" s="1508"/>
      <c r="CU48" s="1508"/>
      <c r="CV48" s="1508"/>
      <c r="CW48" s="1508"/>
      <c r="CX48" s="1508"/>
      <c r="CY48" s="1508"/>
      <c r="CZ48" s="1508"/>
      <c r="DA48" s="1508"/>
      <c r="DB48" s="1508"/>
      <c r="DC48" s="1508"/>
      <c r="DD48" s="1508"/>
      <c r="DE48" s="1508"/>
      <c r="DF48" s="1508"/>
      <c r="DG48" s="1508"/>
      <c r="DH48" s="1508"/>
      <c r="DI48" s="1508"/>
      <c r="DJ48" s="1508"/>
      <c r="DK48" s="1508"/>
      <c r="DL48" s="1508"/>
      <c r="DN48" s="1509"/>
    </row>
    <row r="49" spans="1:118" s="14" customFormat="1" ht="15.75" x14ac:dyDescent="0.2">
      <c r="A49" s="1534"/>
      <c r="B49" s="1535"/>
      <c r="C49" s="1536"/>
      <c r="D49" s="1537"/>
      <c r="E49" s="1538"/>
      <c r="G49" s="1539"/>
      <c r="H49" s="1539"/>
      <c r="I49" s="1539"/>
      <c r="J49" s="1539"/>
      <c r="K49" s="1539"/>
      <c r="L49" s="1539"/>
      <c r="M49" s="1539"/>
      <c r="N49" s="1539"/>
      <c r="O49" s="1539"/>
      <c r="P49" s="1539"/>
      <c r="Q49" s="1539"/>
      <c r="R49" s="1539"/>
      <c r="S49" s="1539"/>
      <c r="T49" s="1539"/>
      <c r="U49" s="1539"/>
      <c r="V49" s="1539"/>
      <c r="W49" s="1539"/>
      <c r="Y49" s="1490"/>
      <c r="Z49" s="1490"/>
      <c r="AA49" s="1490"/>
      <c r="AB49" s="1490"/>
      <c r="AC49" s="1490"/>
      <c r="AD49" s="1490"/>
      <c r="AE49" s="1490"/>
      <c r="AF49" s="1490"/>
      <c r="AG49" s="1490"/>
      <c r="AH49" s="1490"/>
      <c r="AI49" s="1490"/>
      <c r="AJ49" s="1490"/>
      <c r="AK49" s="1490"/>
      <c r="AL49" s="1490"/>
      <c r="AM49" s="1490"/>
      <c r="AN49" s="1490"/>
      <c r="AO49" s="1490"/>
      <c r="AP49" s="1490"/>
      <c r="AQ49" s="1893"/>
      <c r="AS49" s="1491"/>
      <c r="AT49" s="1491"/>
      <c r="AU49" s="1491"/>
      <c r="AV49" s="1491"/>
      <c r="AW49" s="1491"/>
      <c r="AX49" s="1491"/>
      <c r="AY49" s="1491"/>
      <c r="AZ49" s="1491"/>
      <c r="BA49" s="1491"/>
      <c r="BB49" s="1491"/>
      <c r="BC49" s="1491"/>
      <c r="BD49" s="1491"/>
      <c r="BE49" s="1491"/>
      <c r="BF49" s="1491"/>
      <c r="BG49" s="1491"/>
      <c r="BH49" s="1491"/>
      <c r="BI49" s="1491"/>
      <c r="BJ49" s="1491"/>
      <c r="BK49" s="1491"/>
      <c r="BL49" s="1491"/>
      <c r="BN49" s="1492"/>
      <c r="BO49" s="1492"/>
      <c r="BP49" s="1492"/>
      <c r="BR49" s="3168"/>
      <c r="BS49" s="1493"/>
      <c r="BT49" s="748"/>
      <c r="BU49" s="1508"/>
      <c r="BV49" s="1508"/>
      <c r="BW49" s="1508"/>
      <c r="BX49" s="1508"/>
      <c r="BY49" s="1508"/>
      <c r="BZ49" s="1508"/>
      <c r="CA49" s="1508"/>
      <c r="CB49" s="1508"/>
      <c r="CC49" s="1508"/>
      <c r="CD49" s="1508"/>
      <c r="CE49" s="1508"/>
      <c r="CF49" s="1508"/>
      <c r="CG49" s="1508"/>
      <c r="CH49" s="1508"/>
      <c r="CI49" s="1508"/>
      <c r="CJ49" s="1508"/>
      <c r="CK49" s="1508"/>
      <c r="CL49" s="1508"/>
      <c r="CM49" s="1508"/>
      <c r="CN49" s="1508"/>
      <c r="CO49" s="1508"/>
      <c r="CP49" s="1508"/>
      <c r="CQ49" s="1508"/>
      <c r="CR49" s="1508"/>
      <c r="CS49" s="1508"/>
      <c r="CT49" s="1508"/>
      <c r="CU49" s="1508"/>
      <c r="CV49" s="1508"/>
      <c r="CW49" s="1508"/>
      <c r="CX49" s="1508"/>
      <c r="CY49" s="1508"/>
      <c r="CZ49" s="1508"/>
      <c r="DA49" s="1508"/>
      <c r="DB49" s="1508"/>
      <c r="DC49" s="1508"/>
      <c r="DD49" s="1508"/>
      <c r="DE49" s="1508"/>
      <c r="DF49" s="1508"/>
      <c r="DG49" s="1508"/>
      <c r="DH49" s="1508"/>
      <c r="DI49" s="1508"/>
      <c r="DJ49" s="1508"/>
      <c r="DK49" s="1508"/>
      <c r="DL49" s="1508"/>
      <c r="DN49" s="1509"/>
    </row>
    <row r="50" spans="1:118" s="14" customFormat="1" ht="12.75" hidden="1" customHeight="1" outlineLevel="1" x14ac:dyDescent="0.2">
      <c r="A50" s="1534"/>
      <c r="B50" s="1534"/>
      <c r="C50" s="1544"/>
      <c r="D50" s="1538"/>
      <c r="E50" s="1538"/>
      <c r="G50" s="1488"/>
      <c r="H50" s="1488"/>
      <c r="I50" s="1488"/>
      <c r="J50" s="1488"/>
      <c r="K50" s="1488"/>
      <c r="L50" s="1488"/>
      <c r="M50" s="1488"/>
      <c r="N50" s="1488"/>
      <c r="O50" s="1563"/>
      <c r="P50" s="1488"/>
      <c r="Q50" s="1488"/>
      <c r="R50" s="1488"/>
      <c r="S50" s="1488"/>
      <c r="T50" s="1488"/>
      <c r="U50" s="1488"/>
      <c r="V50" s="1488"/>
      <c r="W50" s="1488"/>
      <c r="Y50" s="1490"/>
      <c r="Z50" s="1490"/>
      <c r="AA50" s="1490"/>
      <c r="AB50" s="1490"/>
      <c r="AC50" s="1490"/>
      <c r="AD50" s="1490"/>
      <c r="AE50" s="1490"/>
      <c r="AF50" s="1490"/>
      <c r="AG50" s="1490"/>
      <c r="AH50" s="1490"/>
      <c r="AI50" s="1490"/>
      <c r="AJ50" s="1490"/>
      <c r="AK50" s="1490"/>
      <c r="AL50" s="1490"/>
      <c r="AM50" s="1490"/>
      <c r="AN50" s="1490"/>
      <c r="AO50" s="1490"/>
      <c r="AP50" s="1490"/>
      <c r="AQ50" s="1893"/>
      <c r="AS50" s="1491"/>
      <c r="AT50" s="1491"/>
      <c r="AU50" s="1491"/>
      <c r="AV50" s="1491"/>
      <c r="AW50" s="1491"/>
      <c r="AX50" s="1491"/>
      <c r="AY50" s="1491"/>
      <c r="AZ50" s="1491"/>
      <c r="BA50" s="1491"/>
      <c r="BB50" s="1491"/>
      <c r="BC50" s="1491"/>
      <c r="BD50" s="1491"/>
      <c r="BE50" s="1491"/>
      <c r="BF50" s="1491"/>
      <c r="BG50" s="1491"/>
      <c r="BH50" s="1491"/>
      <c r="BI50" s="1491"/>
      <c r="BJ50" s="1491"/>
      <c r="BK50" s="1491"/>
      <c r="BL50" s="1491"/>
      <c r="BN50" s="1492"/>
      <c r="BO50" s="1492"/>
      <c r="BP50" s="1492"/>
      <c r="BR50" s="3168">
        <f>W50+AQ50+BL50+BP50</f>
        <v>0</v>
      </c>
      <c r="BS50" s="1493"/>
      <c r="BT50" s="1534"/>
      <c r="BU50" s="1508"/>
      <c r="BV50" s="1508"/>
      <c r="BW50" s="1508"/>
      <c r="BX50" s="1508"/>
      <c r="BY50" s="1508"/>
      <c r="BZ50" s="1508"/>
      <c r="CA50" s="1508"/>
      <c r="CB50" s="1508"/>
      <c r="CC50" s="1508"/>
      <c r="CD50" s="1508"/>
      <c r="CE50" s="1508"/>
      <c r="CF50" s="1508"/>
      <c r="CG50" s="1508"/>
      <c r="CH50" s="1508"/>
      <c r="CI50" s="1508"/>
      <c r="CJ50" s="1508"/>
      <c r="CK50" s="1508"/>
      <c r="CL50" s="1508"/>
      <c r="CM50" s="1508"/>
      <c r="CN50" s="1508"/>
      <c r="CO50" s="1508"/>
      <c r="CP50" s="1508"/>
      <c r="CQ50" s="1508"/>
      <c r="CR50" s="1508"/>
      <c r="CS50" s="1508"/>
      <c r="CT50" s="1508"/>
      <c r="CU50" s="1508"/>
      <c r="CV50" s="1508"/>
      <c r="CW50" s="1508"/>
      <c r="CX50" s="1508"/>
      <c r="CY50" s="1508"/>
      <c r="CZ50" s="1508"/>
      <c r="DA50" s="1508"/>
      <c r="DB50" s="1508"/>
      <c r="DC50" s="1508"/>
      <c r="DD50" s="1508"/>
      <c r="DE50" s="1508"/>
      <c r="DF50" s="1508"/>
      <c r="DG50" s="1508"/>
      <c r="DH50" s="1508"/>
      <c r="DI50" s="1508"/>
      <c r="DJ50" s="1508"/>
      <c r="DK50" s="1508"/>
      <c r="DL50" s="1508"/>
      <c r="DN50" s="1509">
        <v>0</v>
      </c>
    </row>
    <row r="51" spans="1:118" s="1564" customFormat="1" ht="12.75" hidden="1" customHeight="1" outlineLevel="1" x14ac:dyDescent="0.2">
      <c r="C51" s="1565"/>
      <c r="D51" s="1592"/>
      <c r="E51" s="1566"/>
      <c r="F51" s="1567"/>
      <c r="G51" s="1568"/>
      <c r="H51" s="1568"/>
      <c r="I51" s="1568"/>
      <c r="J51" s="1568"/>
      <c r="K51" s="1568"/>
      <c r="L51" s="1568"/>
      <c r="M51" s="1568"/>
      <c r="N51" s="1568"/>
      <c r="O51" s="1569"/>
      <c r="P51" s="1568"/>
      <c r="Q51" s="1568"/>
      <c r="R51" s="1568"/>
      <c r="S51" s="1568"/>
      <c r="T51" s="1568"/>
      <c r="U51" s="1568"/>
      <c r="V51" s="1568"/>
      <c r="W51" s="1568"/>
      <c r="X51" s="1567"/>
      <c r="Y51" s="1570"/>
      <c r="Z51" s="1570"/>
      <c r="AA51" s="1570"/>
      <c r="AB51" s="1570"/>
      <c r="AC51" s="1570"/>
      <c r="AD51" s="1570"/>
      <c r="AE51" s="1570"/>
      <c r="AF51" s="1570"/>
      <c r="AG51" s="1570"/>
      <c r="AH51" s="1570"/>
      <c r="AI51" s="1570"/>
      <c r="AJ51" s="1570"/>
      <c r="AK51" s="1570"/>
      <c r="AL51" s="1570"/>
      <c r="AM51" s="1570"/>
      <c r="AN51" s="1570"/>
      <c r="AO51" s="1570"/>
      <c r="AP51" s="1570"/>
      <c r="AQ51" s="1955"/>
      <c r="AR51" s="1567"/>
      <c r="AS51" s="1571"/>
      <c r="AT51" s="1571"/>
      <c r="AU51" s="1571"/>
      <c r="AV51" s="1571"/>
      <c r="AW51" s="1571"/>
      <c r="AX51" s="1571"/>
      <c r="AY51" s="1571"/>
      <c r="AZ51" s="1571"/>
      <c r="BA51" s="1571"/>
      <c r="BB51" s="1571"/>
      <c r="BC51" s="1571"/>
      <c r="BD51" s="1571"/>
      <c r="BE51" s="1571"/>
      <c r="BF51" s="1571"/>
      <c r="BG51" s="1571"/>
      <c r="BH51" s="1571"/>
      <c r="BI51" s="1571"/>
      <c r="BJ51" s="1571"/>
      <c r="BK51" s="1571"/>
      <c r="BL51" s="1571"/>
      <c r="BM51" s="1567"/>
      <c r="BN51" s="1572"/>
      <c r="BO51" s="1572"/>
      <c r="BP51" s="1572"/>
      <c r="BQ51" s="1567"/>
      <c r="BR51" s="3168">
        <f>W51+AQ51+BL51+BP51</f>
        <v>0</v>
      </c>
      <c r="BS51" s="1573"/>
      <c r="BU51" s="1574"/>
      <c r="BV51" s="1574"/>
      <c r="BW51" s="1574"/>
      <c r="BX51" s="1574"/>
      <c r="BY51" s="1574"/>
      <c r="BZ51" s="1574"/>
      <c r="CA51" s="1574"/>
      <c r="CB51" s="1574"/>
      <c r="CC51" s="1574"/>
      <c r="CD51" s="1574"/>
      <c r="CE51" s="1574"/>
      <c r="CF51" s="1574"/>
      <c r="CG51" s="1574"/>
      <c r="CH51" s="1574"/>
      <c r="CI51" s="1574"/>
      <c r="CJ51" s="1574"/>
      <c r="CK51" s="1574"/>
      <c r="CL51" s="1574"/>
      <c r="CM51" s="1574"/>
      <c r="CN51" s="1574"/>
      <c r="CO51" s="1574"/>
      <c r="CP51" s="1574"/>
      <c r="CQ51" s="1574"/>
      <c r="CR51" s="1574"/>
      <c r="CS51" s="1574"/>
      <c r="CT51" s="1574"/>
      <c r="CU51" s="1574"/>
      <c r="CV51" s="1574"/>
      <c r="CW51" s="1574"/>
      <c r="CX51" s="1574"/>
      <c r="CY51" s="1574"/>
      <c r="CZ51" s="1574"/>
      <c r="DA51" s="1574"/>
      <c r="DB51" s="1574"/>
      <c r="DC51" s="1574"/>
      <c r="DD51" s="1574"/>
      <c r="DE51" s="1574"/>
      <c r="DF51" s="1574"/>
      <c r="DG51" s="1574"/>
      <c r="DH51" s="1574"/>
      <c r="DI51" s="1574"/>
      <c r="DJ51" s="1574"/>
      <c r="DK51" s="1574"/>
      <c r="DL51" s="1574"/>
      <c r="DN51" s="1575">
        <v>0</v>
      </c>
    </row>
    <row r="52" spans="1:118" s="1877" customFormat="1" ht="12.75" hidden="1" customHeight="1" outlineLevel="1" x14ac:dyDescent="0.2">
      <c r="C52" s="1496" t="s">
        <v>46</v>
      </c>
      <c r="D52" s="14" t="str">
        <f>INDEX(Modulos[Modulos], MATCH($C52, Modulos[Código], 0))</f>
        <v>Termoelectricidad</v>
      </c>
      <c r="E52" s="1600"/>
      <c r="F52" s="56"/>
      <c r="G52" s="1601"/>
      <c r="H52" s="1601"/>
      <c r="I52" s="1601"/>
      <c r="J52" s="1601"/>
      <c r="K52" s="1601"/>
      <c r="L52" s="1601"/>
      <c r="M52" s="1601"/>
      <c r="N52" s="1601"/>
      <c r="O52" s="1602"/>
      <c r="P52" s="1601"/>
      <c r="Q52" s="1601"/>
      <c r="R52" s="1601"/>
      <c r="S52" s="1601"/>
      <c r="T52" s="1601"/>
      <c r="U52" s="1601"/>
      <c r="V52" s="1601"/>
      <c r="W52" s="1601"/>
      <c r="X52" s="56"/>
      <c r="Y52" s="1490">
        <f t="shared" ref="Y52:AP52" ca="1" si="31">IFERROR(INDEX(INDIRECT($C52&amp;".Outputs["&amp;this.Year&amp;"]"), MATCH(Y$5, INDIRECT($C52&amp;".Outputs[Vector]"), 0)), 0)</f>
        <v>0</v>
      </c>
      <c r="Z52" s="1490">
        <f ca="1">IFERROR(INDEX(INDIRECT($C52&amp;".Outputs["&amp;this.Year&amp;"]"), MATCH(Z$5, INDIRECT($C52&amp;".Outputs[Vector]"), 0)), 0)</f>
        <v>54.628902270184639</v>
      </c>
      <c r="AA52" s="1490">
        <f t="shared" ca="1" si="31"/>
        <v>-75.779877130432368</v>
      </c>
      <c r="AB52" s="1490">
        <f t="shared" ca="1" si="31"/>
        <v>-9.4724846413040478</v>
      </c>
      <c r="AC52" s="1490">
        <f t="shared" ca="1" si="31"/>
        <v>-43.302786931675641</v>
      </c>
      <c r="AD52" s="1490">
        <f t="shared" ca="1" si="31"/>
        <v>0</v>
      </c>
      <c r="AE52" s="1490">
        <f t="shared" ca="1" si="31"/>
        <v>0</v>
      </c>
      <c r="AF52" s="1490">
        <f t="shared" ca="1" si="31"/>
        <v>0</v>
      </c>
      <c r="AG52" s="1490">
        <f t="shared" ca="1" si="31"/>
        <v>0</v>
      </c>
      <c r="AH52" s="1490">
        <f t="shared" ca="1" si="31"/>
        <v>0</v>
      </c>
      <c r="AI52" s="1490">
        <f t="shared" ca="1" si="31"/>
        <v>0</v>
      </c>
      <c r="AJ52" s="1490">
        <f t="shared" ca="1" si="31"/>
        <v>0</v>
      </c>
      <c r="AK52" s="1490">
        <f t="shared" ca="1" si="31"/>
        <v>0</v>
      </c>
      <c r="AL52" s="1490">
        <f t="shared" ca="1" si="31"/>
        <v>-2.9453760000000004</v>
      </c>
      <c r="AM52" s="1490">
        <f t="shared" ca="1" si="31"/>
        <v>0</v>
      </c>
      <c r="AN52" s="1490">
        <f t="shared" ca="1" si="31"/>
        <v>0</v>
      </c>
      <c r="AO52" s="1490">
        <f t="shared" ca="1" si="31"/>
        <v>0</v>
      </c>
      <c r="AP52" s="1490">
        <f t="shared" ca="1" si="31"/>
        <v>0</v>
      </c>
      <c r="AQ52" s="1893">
        <f ca="1">SUM(Y52:AP52)</f>
        <v>-76.871622433227415</v>
      </c>
      <c r="AR52" s="56"/>
      <c r="AS52" s="1940">
        <f t="shared" ref="AS52:BK52" ca="1" si="32">IFERROR(INDEX(INDIRECT($C52&amp;".Outputs["&amp;this.Year&amp;"]"), MATCH(AS$5, INDIRECT($C52&amp;".Outputs[Vector]"), 0)), 0)</f>
        <v>0</v>
      </c>
      <c r="AT52" s="1940">
        <f t="shared" ca="1" si="32"/>
        <v>0</v>
      </c>
      <c r="AU52" s="1940">
        <f t="shared" ca="1" si="32"/>
        <v>0</v>
      </c>
      <c r="AV52" s="1940">
        <f t="shared" ca="1" si="32"/>
        <v>0</v>
      </c>
      <c r="AW52" s="1940">
        <f t="shared" ca="1" si="32"/>
        <v>0</v>
      </c>
      <c r="AX52" s="1940">
        <f t="shared" ca="1" si="32"/>
        <v>0</v>
      </c>
      <c r="AY52" s="1940">
        <f t="shared" ca="1" si="32"/>
        <v>0</v>
      </c>
      <c r="AZ52" s="1940">
        <f t="shared" ca="1" si="32"/>
        <v>0</v>
      </c>
      <c r="BA52" s="1940">
        <f t="shared" ca="1" si="32"/>
        <v>0</v>
      </c>
      <c r="BB52" s="1940">
        <f t="shared" ca="1" si="32"/>
        <v>0</v>
      </c>
      <c r="BC52" s="1940">
        <f t="shared" ca="1" si="32"/>
        <v>0</v>
      </c>
      <c r="BD52" s="1940">
        <f t="shared" ca="1" si="32"/>
        <v>0</v>
      </c>
      <c r="BE52" s="1940">
        <f t="shared" ca="1" si="32"/>
        <v>0</v>
      </c>
      <c r="BF52" s="1940">
        <f t="shared" ca="1" si="32"/>
        <v>0</v>
      </c>
      <c r="BG52" s="1940">
        <f t="shared" ca="1" si="32"/>
        <v>0</v>
      </c>
      <c r="BH52" s="1940">
        <f t="shared" ca="1" si="32"/>
        <v>0</v>
      </c>
      <c r="BI52" s="1940">
        <f t="shared" ca="1" si="32"/>
        <v>0</v>
      </c>
      <c r="BJ52" s="1940">
        <f t="shared" ca="1" si="32"/>
        <v>0</v>
      </c>
      <c r="BK52" s="1940">
        <f t="shared" ca="1" si="32"/>
        <v>0</v>
      </c>
      <c r="BL52" s="1952">
        <f ca="1">SUM(AS52:BK52)</f>
        <v>0</v>
      </c>
      <c r="BM52" s="56"/>
      <c r="BN52" s="1941">
        <f ca="1">IFERROR(INDEX(INDIRECT($C52&amp;".Outputs["&amp;this.Year&amp;"]"), MATCH(BN$5, INDIRECT($C52&amp;".Outputs[Vector]"), 0)), 0)</f>
        <v>74.140177319718191</v>
      </c>
      <c r="BO52" s="1941">
        <f ca="1">IFERROR(INDEX(INDIRECT($C52&amp;".Outputs["&amp;this.Year&amp;"]"), MATCH(BO$5, INDIRECT($C52&amp;".Outputs[Vector]"), 0)), 0)</f>
        <v>2.7314451135092335</v>
      </c>
      <c r="BP52" s="1505">
        <f ca="1">BN52+BO52</f>
        <v>76.871622433227429</v>
      </c>
      <c r="BQ52" s="56"/>
      <c r="BR52" s="3168">
        <f ca="1">W52+AQ52+BL52+BP52</f>
        <v>0</v>
      </c>
      <c r="BS52" s="1579"/>
      <c r="BU52" s="1595"/>
      <c r="BV52" s="1595"/>
      <c r="BW52" s="1595"/>
      <c r="BX52" s="1595"/>
      <c r="BY52" s="1595"/>
      <c r="BZ52" s="1595"/>
      <c r="CA52" s="1595"/>
      <c r="CB52" s="1595"/>
      <c r="CC52" s="1595"/>
      <c r="CD52" s="1595"/>
      <c r="CE52" s="1595"/>
      <c r="CF52" s="1595"/>
      <c r="CG52" s="1595"/>
      <c r="CH52" s="1595"/>
      <c r="CI52" s="1595"/>
      <c r="CJ52" s="1595"/>
      <c r="CK52" s="1595"/>
      <c r="CL52" s="1595"/>
      <c r="CM52" s="1595"/>
      <c r="CN52" s="1595"/>
      <c r="CO52" s="1595"/>
      <c r="CP52" s="1595"/>
      <c r="CQ52" s="1595"/>
      <c r="CR52" s="1595"/>
      <c r="CS52" s="1595"/>
      <c r="CT52" s="1595"/>
      <c r="CU52" s="1595"/>
      <c r="CV52" s="1595"/>
      <c r="CW52" s="1595"/>
      <c r="CX52" s="1595"/>
      <c r="CY52" s="1595"/>
      <c r="CZ52" s="1595"/>
      <c r="DA52" s="1595"/>
      <c r="DB52" s="1595"/>
      <c r="DC52" s="1595"/>
      <c r="DD52" s="1595"/>
      <c r="DE52" s="1595"/>
      <c r="DF52" s="1595"/>
      <c r="DG52" s="1595"/>
      <c r="DH52" s="1595"/>
      <c r="DI52" s="1595"/>
      <c r="DJ52" s="1595"/>
      <c r="DK52" s="1595"/>
      <c r="DL52" s="1595"/>
      <c r="DN52" s="1878"/>
    </row>
    <row r="53" spans="1:118" s="1522" customFormat="1" ht="12.75" hidden="1" customHeight="1" outlineLevel="1" x14ac:dyDescent="0.2">
      <c r="E53" s="1497"/>
      <c r="F53" s="14"/>
      <c r="G53" s="1540"/>
      <c r="H53" s="1540"/>
      <c r="I53" s="1540"/>
      <c r="J53" s="1540"/>
      <c r="K53" s="1540"/>
      <c r="L53" s="1540"/>
      <c r="M53" s="1540"/>
      <c r="N53" s="1540"/>
      <c r="O53" s="1540"/>
      <c r="P53" s="1540"/>
      <c r="Q53" s="1540"/>
      <c r="R53" s="1540"/>
      <c r="S53" s="1540"/>
      <c r="T53" s="1540"/>
      <c r="U53" s="1540"/>
      <c r="V53" s="1540"/>
      <c r="W53" s="1527"/>
      <c r="X53" s="14"/>
      <c r="Y53" s="1541"/>
      <c r="Z53" s="1541"/>
      <c r="AA53" s="1541"/>
      <c r="AB53" s="1541"/>
      <c r="AC53" s="1541"/>
      <c r="AD53" s="1541"/>
      <c r="AE53" s="1541"/>
      <c r="AF53" s="1541"/>
      <c r="AG53" s="1541"/>
      <c r="AH53" s="1541"/>
      <c r="AI53" s="1541"/>
      <c r="AJ53" s="1541"/>
      <c r="AK53" s="1541"/>
      <c r="AL53" s="1541"/>
      <c r="AM53" s="1541"/>
      <c r="AN53" s="1541"/>
      <c r="AO53" s="1541"/>
      <c r="AP53" s="1541"/>
      <c r="AQ53" s="1953"/>
      <c r="AR53" s="14"/>
      <c r="AS53" s="1542"/>
      <c r="AT53" s="1542"/>
      <c r="AU53" s="1542"/>
      <c r="AV53" s="1542"/>
      <c r="AW53" s="1542"/>
      <c r="AX53" s="1542"/>
      <c r="AY53" s="1542"/>
      <c r="AZ53" s="1542"/>
      <c r="BA53" s="1542"/>
      <c r="BB53" s="1542"/>
      <c r="BC53" s="1542"/>
      <c r="BD53" s="1542"/>
      <c r="BE53" s="1542"/>
      <c r="BF53" s="1542"/>
      <c r="BG53" s="1542"/>
      <c r="BH53" s="1542"/>
      <c r="BI53" s="1542"/>
      <c r="BJ53" s="1542"/>
      <c r="BK53" s="1542"/>
      <c r="BL53" s="1530"/>
      <c r="BM53" s="14"/>
      <c r="BN53" s="1543"/>
      <c r="BO53" s="1543"/>
      <c r="BP53" s="1531"/>
      <c r="BQ53" s="14"/>
      <c r="BR53" s="3168">
        <f>W53+AQ53+BL53+BP53</f>
        <v>0</v>
      </c>
      <c r="BS53" s="1525"/>
      <c r="BT53" s="748"/>
      <c r="BU53" s="1532">
        <v>198.26548259420858</v>
      </c>
      <c r="BV53" s="1533">
        <v>0.5182280295123709</v>
      </c>
      <c r="BW53" s="1533">
        <v>1.345630535228558</v>
      </c>
      <c r="BX53" s="1533">
        <v>0</v>
      </c>
      <c r="BY53" s="1533">
        <v>0</v>
      </c>
      <c r="BZ53" s="1533">
        <v>0</v>
      </c>
      <c r="CA53" s="1533">
        <v>0</v>
      </c>
      <c r="CB53" s="1533">
        <v>0</v>
      </c>
      <c r="CC53" s="1533">
        <v>0</v>
      </c>
      <c r="CD53" s="1533">
        <v>0</v>
      </c>
      <c r="CE53" s="1533">
        <v>0</v>
      </c>
      <c r="CF53" s="1533">
        <v>0</v>
      </c>
      <c r="CG53" s="1533">
        <v>0</v>
      </c>
      <c r="CH53" s="1533">
        <v>0</v>
      </c>
      <c r="CI53" s="1533">
        <v>0</v>
      </c>
      <c r="CJ53" s="1533">
        <v>0</v>
      </c>
      <c r="CK53" s="1533">
        <v>0</v>
      </c>
      <c r="CL53" s="1533">
        <v>0</v>
      </c>
      <c r="CM53" s="1533">
        <v>0</v>
      </c>
      <c r="CN53" s="1533">
        <v>0</v>
      </c>
      <c r="CO53" s="1533">
        <v>0</v>
      </c>
      <c r="CP53" s="1533">
        <v>0</v>
      </c>
      <c r="CQ53" s="1533">
        <v>0</v>
      </c>
      <c r="CR53" s="1533">
        <v>0</v>
      </c>
      <c r="CS53" s="1533">
        <v>0</v>
      </c>
      <c r="CT53" s="1533">
        <v>0</v>
      </c>
      <c r="CU53" s="1533">
        <v>0</v>
      </c>
      <c r="CV53" s="1533">
        <v>0</v>
      </c>
      <c r="CW53" s="1533">
        <v>0</v>
      </c>
      <c r="CX53" s="1533">
        <v>0</v>
      </c>
      <c r="CY53" s="1533">
        <v>0</v>
      </c>
      <c r="CZ53" s="1533">
        <v>0</v>
      </c>
      <c r="DA53" s="1533">
        <v>0</v>
      </c>
      <c r="DB53" s="1533">
        <v>0</v>
      </c>
      <c r="DC53" s="1533">
        <v>0</v>
      </c>
      <c r="DD53" s="1533">
        <v>0</v>
      </c>
      <c r="DE53" s="1533">
        <v>0</v>
      </c>
      <c r="DF53" s="1533">
        <v>0</v>
      </c>
      <c r="DG53" s="1533">
        <v>0</v>
      </c>
      <c r="DH53" s="1533">
        <v>0</v>
      </c>
      <c r="DI53" s="1533">
        <v>0</v>
      </c>
      <c r="DJ53" s="1533">
        <v>0</v>
      </c>
      <c r="DK53" s="1533">
        <v>0</v>
      </c>
      <c r="DL53" s="1533">
        <v>0</v>
      </c>
      <c r="DN53" s="1509">
        <v>200.1293411589495</v>
      </c>
    </row>
    <row r="54" spans="1:118" s="14" customFormat="1" ht="15.75" collapsed="1" x14ac:dyDescent="0.2">
      <c r="A54" s="1534"/>
      <c r="B54" s="1535"/>
      <c r="C54" s="1536" t="s">
        <v>322</v>
      </c>
      <c r="D54" s="1537" t="str">
        <f>INDEX(Flujos[Flujos], MATCH($C54, Flujos[Código], 0))</f>
        <v>Generación por Termoelectricidad</v>
      </c>
      <c r="E54" s="1538"/>
      <c r="G54" s="1539"/>
      <c r="H54" s="1539"/>
      <c r="I54" s="1539"/>
      <c r="J54" s="1539"/>
      <c r="K54" s="1539"/>
      <c r="L54" s="1539"/>
      <c r="M54" s="1539"/>
      <c r="N54" s="1539"/>
      <c r="O54" s="1539"/>
      <c r="P54" s="1539"/>
      <c r="Q54" s="1539"/>
      <c r="R54" s="1539"/>
      <c r="S54" s="1539"/>
      <c r="T54" s="1539"/>
      <c r="U54" s="1539"/>
      <c r="V54" s="1539"/>
      <c r="W54" s="1539"/>
      <c r="Y54" s="1490">
        <f ca="1">Y52</f>
        <v>0</v>
      </c>
      <c r="Z54" s="1490">
        <f t="shared" ref="Z54:AP54" ca="1" si="33">Z52</f>
        <v>54.628902270184639</v>
      </c>
      <c r="AA54" s="1490">
        <f t="shared" ca="1" si="33"/>
        <v>-75.779877130432368</v>
      </c>
      <c r="AB54" s="1490">
        <f t="shared" ca="1" si="33"/>
        <v>-9.4724846413040478</v>
      </c>
      <c r="AC54" s="1490">
        <f t="shared" ca="1" si="33"/>
        <v>-43.302786931675641</v>
      </c>
      <c r="AD54" s="1490">
        <f t="shared" ca="1" si="33"/>
        <v>0</v>
      </c>
      <c r="AE54" s="1490">
        <f t="shared" ca="1" si="33"/>
        <v>0</v>
      </c>
      <c r="AF54" s="1490">
        <f t="shared" ca="1" si="33"/>
        <v>0</v>
      </c>
      <c r="AG54" s="1490">
        <f t="shared" ca="1" si="33"/>
        <v>0</v>
      </c>
      <c r="AH54" s="1490">
        <f t="shared" ca="1" si="33"/>
        <v>0</v>
      </c>
      <c r="AI54" s="1490">
        <f t="shared" ca="1" si="33"/>
        <v>0</v>
      </c>
      <c r="AJ54" s="1490">
        <f t="shared" ca="1" si="33"/>
        <v>0</v>
      </c>
      <c r="AK54" s="1490">
        <f t="shared" ca="1" si="33"/>
        <v>0</v>
      </c>
      <c r="AL54" s="1490">
        <f t="shared" ca="1" si="33"/>
        <v>-2.9453760000000004</v>
      </c>
      <c r="AM54" s="1490">
        <f t="shared" ca="1" si="33"/>
        <v>0</v>
      </c>
      <c r="AN54" s="1490">
        <f t="shared" ca="1" si="33"/>
        <v>0</v>
      </c>
      <c r="AO54" s="1490">
        <f t="shared" ca="1" si="33"/>
        <v>0</v>
      </c>
      <c r="AP54" s="1490">
        <f t="shared" ca="1" si="33"/>
        <v>0</v>
      </c>
      <c r="AQ54" s="2608">
        <f ca="1">SUM(Y54:AP54)</f>
        <v>-76.871622433227415</v>
      </c>
      <c r="AS54" s="1491">
        <f ca="1">AS52</f>
        <v>0</v>
      </c>
      <c r="AT54" s="1491">
        <f t="shared" ref="AT54:BK54" ca="1" si="34">AT52</f>
        <v>0</v>
      </c>
      <c r="AU54" s="1491">
        <f t="shared" ca="1" si="34"/>
        <v>0</v>
      </c>
      <c r="AV54" s="1491">
        <f t="shared" ca="1" si="34"/>
        <v>0</v>
      </c>
      <c r="AW54" s="1491">
        <f t="shared" ca="1" si="34"/>
        <v>0</v>
      </c>
      <c r="AX54" s="1491">
        <f t="shared" ca="1" si="34"/>
        <v>0</v>
      </c>
      <c r="AY54" s="1491">
        <f t="shared" ca="1" si="34"/>
        <v>0</v>
      </c>
      <c r="AZ54" s="1491">
        <f t="shared" ca="1" si="34"/>
        <v>0</v>
      </c>
      <c r="BA54" s="1491">
        <f t="shared" ca="1" si="34"/>
        <v>0</v>
      </c>
      <c r="BB54" s="1491">
        <f t="shared" ca="1" si="34"/>
        <v>0</v>
      </c>
      <c r="BC54" s="1491">
        <f t="shared" ca="1" si="34"/>
        <v>0</v>
      </c>
      <c r="BD54" s="1491">
        <f t="shared" ca="1" si="34"/>
        <v>0</v>
      </c>
      <c r="BE54" s="1491">
        <f t="shared" ca="1" si="34"/>
        <v>0</v>
      </c>
      <c r="BF54" s="1491">
        <f t="shared" ca="1" si="34"/>
        <v>0</v>
      </c>
      <c r="BG54" s="1491">
        <f t="shared" ca="1" si="34"/>
        <v>0</v>
      </c>
      <c r="BH54" s="1491">
        <f t="shared" ca="1" si="34"/>
        <v>0</v>
      </c>
      <c r="BI54" s="1491">
        <f t="shared" ca="1" si="34"/>
        <v>0</v>
      </c>
      <c r="BJ54" s="1491">
        <f t="shared" ca="1" si="34"/>
        <v>0</v>
      </c>
      <c r="BK54" s="1491">
        <f t="shared" ca="1" si="34"/>
        <v>0</v>
      </c>
      <c r="BL54" s="1952">
        <f ca="1">SUM(AS54:BK54)</f>
        <v>0</v>
      </c>
      <c r="BN54" s="1492">
        <f ca="1">BN52</f>
        <v>74.140177319718191</v>
      </c>
      <c r="BO54" s="1492">
        <f ca="1">BO52</f>
        <v>2.7314451135092335</v>
      </c>
      <c r="BP54" s="2615">
        <f ca="1">BN54+BO54</f>
        <v>76.871622433227429</v>
      </c>
      <c r="BR54" s="3168">
        <f ca="1">W54+AQ54+BL54+BP54</f>
        <v>0</v>
      </c>
      <c r="BS54" s="1493"/>
      <c r="BT54" s="748"/>
      <c r="BU54" s="1508">
        <v>198.26548259420858</v>
      </c>
      <c r="BV54" s="1508">
        <v>0.5182280295123709</v>
      </c>
      <c r="BW54" s="1508">
        <v>1.345630535228558</v>
      </c>
      <c r="BX54" s="1508">
        <v>0</v>
      </c>
      <c r="BY54" s="1508">
        <v>0</v>
      </c>
      <c r="BZ54" s="1508">
        <v>0</v>
      </c>
      <c r="CA54" s="1508">
        <v>0</v>
      </c>
      <c r="CB54" s="1508">
        <v>0</v>
      </c>
      <c r="CC54" s="1508">
        <v>0</v>
      </c>
      <c r="CD54" s="1508">
        <v>0</v>
      </c>
      <c r="CE54" s="1508">
        <v>0</v>
      </c>
      <c r="CF54" s="1508">
        <v>0</v>
      </c>
      <c r="CG54" s="1508">
        <v>0</v>
      </c>
      <c r="CH54" s="1508">
        <v>0</v>
      </c>
      <c r="CI54" s="1508">
        <v>0</v>
      </c>
      <c r="CJ54" s="1508">
        <v>0</v>
      </c>
      <c r="CK54" s="1508">
        <v>0</v>
      </c>
      <c r="CL54" s="1508">
        <v>0</v>
      </c>
      <c r="CM54" s="1508">
        <v>0</v>
      </c>
      <c r="CN54" s="1508">
        <v>0</v>
      </c>
      <c r="CO54" s="1508">
        <v>0</v>
      </c>
      <c r="CP54" s="1508">
        <v>0</v>
      </c>
      <c r="CQ54" s="1508">
        <v>0</v>
      </c>
      <c r="CR54" s="1508">
        <v>0</v>
      </c>
      <c r="CS54" s="1508">
        <v>0</v>
      </c>
      <c r="CT54" s="1508">
        <v>0</v>
      </c>
      <c r="CU54" s="1508">
        <v>0</v>
      </c>
      <c r="CV54" s="1508">
        <v>0</v>
      </c>
      <c r="CW54" s="1508">
        <v>0</v>
      </c>
      <c r="CX54" s="1508">
        <v>0</v>
      </c>
      <c r="CY54" s="1508">
        <v>0</v>
      </c>
      <c r="CZ54" s="1508">
        <v>0</v>
      </c>
      <c r="DA54" s="1508">
        <v>0</v>
      </c>
      <c r="DB54" s="1508">
        <v>0</v>
      </c>
      <c r="DC54" s="1508">
        <v>0</v>
      </c>
      <c r="DD54" s="1508">
        <v>0</v>
      </c>
      <c r="DE54" s="1508">
        <v>0</v>
      </c>
      <c r="DF54" s="1508">
        <v>0</v>
      </c>
      <c r="DG54" s="1508">
        <v>0</v>
      </c>
      <c r="DH54" s="1508">
        <v>0</v>
      </c>
      <c r="DI54" s="1508">
        <v>0</v>
      </c>
      <c r="DJ54" s="1508">
        <v>0</v>
      </c>
      <c r="DK54" s="1508">
        <v>0</v>
      </c>
      <c r="DL54" s="1508">
        <v>0</v>
      </c>
      <c r="DN54" s="1509">
        <v>200.1293411589495</v>
      </c>
    </row>
    <row r="55" spans="1:118" s="14" customFormat="1" ht="15.75" x14ac:dyDescent="0.2">
      <c r="A55" s="1534"/>
      <c r="B55" s="1535"/>
      <c r="C55" s="1536"/>
      <c r="D55" s="1537"/>
      <c r="E55" s="1538"/>
      <c r="G55" s="1539"/>
      <c r="H55" s="1539"/>
      <c r="I55" s="1539"/>
      <c r="J55" s="1539"/>
      <c r="K55" s="1539"/>
      <c r="L55" s="1539"/>
      <c r="M55" s="1539"/>
      <c r="N55" s="1539"/>
      <c r="O55" s="1539"/>
      <c r="P55" s="1539"/>
      <c r="Q55" s="1539"/>
      <c r="R55" s="1539"/>
      <c r="S55" s="1539"/>
      <c r="T55" s="1539"/>
      <c r="U55" s="1539"/>
      <c r="V55" s="1539"/>
      <c r="W55" s="1539"/>
      <c r="Y55" s="1490"/>
      <c r="Z55" s="1490"/>
      <c r="AA55" s="1490"/>
      <c r="AB55" s="1490"/>
      <c r="AC55" s="1490"/>
      <c r="AD55" s="1490"/>
      <c r="AE55" s="1490"/>
      <c r="AF55" s="1490"/>
      <c r="AG55" s="1490"/>
      <c r="AH55" s="1490"/>
      <c r="AI55" s="1490"/>
      <c r="AJ55" s="1490"/>
      <c r="AK55" s="1490"/>
      <c r="AL55" s="1490"/>
      <c r="AM55" s="1490"/>
      <c r="AN55" s="1490"/>
      <c r="AO55" s="1490"/>
      <c r="AP55" s="1490"/>
      <c r="AQ55" s="1893"/>
      <c r="AS55" s="1491"/>
      <c r="AT55" s="1491"/>
      <c r="AU55" s="1491"/>
      <c r="AV55" s="1491"/>
      <c r="AW55" s="1491"/>
      <c r="AX55" s="1491"/>
      <c r="AY55" s="1491"/>
      <c r="AZ55" s="1491"/>
      <c r="BA55" s="1491"/>
      <c r="BB55" s="1491"/>
      <c r="BC55" s="1491"/>
      <c r="BD55" s="1491"/>
      <c r="BE55" s="1491"/>
      <c r="BF55" s="1491"/>
      <c r="BG55" s="1491"/>
      <c r="BH55" s="1491"/>
      <c r="BI55" s="1491"/>
      <c r="BJ55" s="1491"/>
      <c r="BK55" s="1491"/>
      <c r="BL55" s="1491"/>
      <c r="BN55" s="1492"/>
      <c r="BO55" s="1492"/>
      <c r="BP55" s="1492"/>
      <c r="BR55" s="3168"/>
      <c r="BS55" s="1493"/>
      <c r="BT55" s="748"/>
      <c r="BU55" s="1508"/>
      <c r="BV55" s="1508"/>
      <c r="BW55" s="1508"/>
      <c r="BX55" s="1508"/>
      <c r="BY55" s="1508"/>
      <c r="BZ55" s="1508"/>
      <c r="CA55" s="1508"/>
      <c r="CB55" s="1508"/>
      <c r="CC55" s="1508"/>
      <c r="CD55" s="1508"/>
      <c r="CE55" s="1508"/>
      <c r="CF55" s="1508"/>
      <c r="CG55" s="1508"/>
      <c r="CH55" s="1508"/>
      <c r="CI55" s="1508"/>
      <c r="CJ55" s="1508"/>
      <c r="CK55" s="1508"/>
      <c r="CL55" s="1508"/>
      <c r="CM55" s="1508"/>
      <c r="CN55" s="1508"/>
      <c r="CO55" s="1508"/>
      <c r="CP55" s="1508"/>
      <c r="CQ55" s="1508"/>
      <c r="CR55" s="1508"/>
      <c r="CS55" s="1508"/>
      <c r="CT55" s="1508"/>
      <c r="CU55" s="1508"/>
      <c r="CV55" s="1508"/>
      <c r="CW55" s="1508"/>
      <c r="CX55" s="1508"/>
      <c r="CY55" s="1508"/>
      <c r="CZ55" s="1508"/>
      <c r="DA55" s="1508"/>
      <c r="DB55" s="1508"/>
      <c r="DC55" s="1508"/>
      <c r="DD55" s="1508"/>
      <c r="DE55" s="1508"/>
      <c r="DF55" s="1508"/>
      <c r="DG55" s="1508"/>
      <c r="DH55" s="1508"/>
      <c r="DI55" s="1508"/>
      <c r="DJ55" s="1508"/>
      <c r="DK55" s="1508"/>
      <c r="DL55" s="1508"/>
      <c r="DN55" s="1509"/>
    </row>
    <row r="56" spans="1:118" s="14" customFormat="1" ht="12.75" hidden="1" customHeight="1" outlineLevel="1" x14ac:dyDescent="0.2">
      <c r="A56" s="1534"/>
      <c r="B56" s="1534"/>
      <c r="C56" s="1544"/>
      <c r="D56" s="1538"/>
      <c r="E56" s="1538"/>
      <c r="G56" s="1488"/>
      <c r="H56" s="1488"/>
      <c r="I56" s="1488"/>
      <c r="J56" s="1488"/>
      <c r="K56" s="1488"/>
      <c r="L56" s="1488"/>
      <c r="M56" s="1488"/>
      <c r="N56" s="1488"/>
      <c r="O56" s="1563"/>
      <c r="P56" s="1488"/>
      <c r="Q56" s="1488"/>
      <c r="R56" s="1488"/>
      <c r="S56" s="1488"/>
      <c r="T56" s="1488"/>
      <c r="U56" s="1488"/>
      <c r="V56" s="1488"/>
      <c r="W56" s="1488"/>
      <c r="Y56" s="1490"/>
      <c r="Z56" s="1490"/>
      <c r="AA56" s="1490"/>
      <c r="AB56" s="1490"/>
      <c r="AC56" s="1490"/>
      <c r="AD56" s="1490"/>
      <c r="AE56" s="1490"/>
      <c r="AF56" s="1490"/>
      <c r="AG56" s="1490"/>
      <c r="AH56" s="1490"/>
      <c r="AI56" s="1490"/>
      <c r="AJ56" s="1490"/>
      <c r="AK56" s="1490"/>
      <c r="AL56" s="1490"/>
      <c r="AM56" s="1490"/>
      <c r="AN56" s="1490"/>
      <c r="AO56" s="1490"/>
      <c r="AP56" s="1490"/>
      <c r="AQ56" s="1893"/>
      <c r="AS56" s="1491"/>
      <c r="AT56" s="1491"/>
      <c r="AU56" s="1491"/>
      <c r="AV56" s="1491"/>
      <c r="AW56" s="1491"/>
      <c r="AX56" s="1491"/>
      <c r="AY56" s="1491"/>
      <c r="AZ56" s="1491"/>
      <c r="BA56" s="1491"/>
      <c r="BB56" s="1491"/>
      <c r="BC56" s="1491"/>
      <c r="BD56" s="1491"/>
      <c r="BE56" s="1491"/>
      <c r="BF56" s="1491"/>
      <c r="BG56" s="1491"/>
      <c r="BH56" s="1491"/>
      <c r="BI56" s="1491"/>
      <c r="BJ56" s="1491"/>
      <c r="BK56" s="1491"/>
      <c r="BL56" s="1491"/>
      <c r="BN56" s="1492"/>
      <c r="BO56" s="1492"/>
      <c r="BP56" s="1492"/>
      <c r="BR56" s="3168">
        <f>W56+AQ56+BL56+BP56</f>
        <v>0</v>
      </c>
      <c r="BS56" s="1493"/>
      <c r="BT56" s="1534"/>
      <c r="BU56" s="1508"/>
      <c r="BV56" s="1508"/>
      <c r="BW56" s="1508"/>
      <c r="BX56" s="1508"/>
      <c r="BY56" s="1508"/>
      <c r="BZ56" s="1508"/>
      <c r="CA56" s="1508"/>
      <c r="CB56" s="1508"/>
      <c r="CC56" s="1508"/>
      <c r="CD56" s="1508"/>
      <c r="CE56" s="1508"/>
      <c r="CF56" s="1508"/>
      <c r="CG56" s="1508"/>
      <c r="CH56" s="1508"/>
      <c r="CI56" s="1508"/>
      <c r="CJ56" s="1508"/>
      <c r="CK56" s="1508"/>
      <c r="CL56" s="1508"/>
      <c r="CM56" s="1508"/>
      <c r="CN56" s="1508"/>
      <c r="CO56" s="1508"/>
      <c r="CP56" s="1508"/>
      <c r="CQ56" s="1508"/>
      <c r="CR56" s="1508"/>
      <c r="CS56" s="1508"/>
      <c r="CT56" s="1508"/>
      <c r="CU56" s="1508"/>
      <c r="CV56" s="1508"/>
      <c r="CW56" s="1508"/>
      <c r="CX56" s="1508"/>
      <c r="CY56" s="1508"/>
      <c r="CZ56" s="1508"/>
      <c r="DA56" s="1508"/>
      <c r="DB56" s="1508"/>
      <c r="DC56" s="1508"/>
      <c r="DD56" s="1508"/>
      <c r="DE56" s="1508"/>
      <c r="DF56" s="1508"/>
      <c r="DG56" s="1508"/>
      <c r="DH56" s="1508"/>
      <c r="DI56" s="1508"/>
      <c r="DJ56" s="1508"/>
      <c r="DK56" s="1508"/>
      <c r="DL56" s="1508"/>
      <c r="DN56" s="1509">
        <v>0</v>
      </c>
    </row>
    <row r="57" spans="1:118" s="1578" customFormat="1" ht="12.75" hidden="1" customHeight="1" outlineLevel="1" x14ac:dyDescent="0.2">
      <c r="C57" s="1496" t="s">
        <v>50</v>
      </c>
      <c r="D57" s="14" t="e">
        <f>INDEX(Modulos[Modulos], MATCH($C57, Modulos[Código], 0))</f>
        <v>#N/A</v>
      </c>
      <c r="E57" s="1592"/>
      <c r="F57" s="14"/>
      <c r="G57" s="1593"/>
      <c r="H57" s="1593"/>
      <c r="I57" s="1593"/>
      <c r="J57" s="1593"/>
      <c r="K57" s="1593"/>
      <c r="L57" s="1593"/>
      <c r="M57" s="1593"/>
      <c r="N57" s="1593"/>
      <c r="O57" s="1594"/>
      <c r="P57" s="1593"/>
      <c r="Q57" s="1593"/>
      <c r="R57" s="1593"/>
      <c r="S57" s="1593"/>
      <c r="T57" s="1593"/>
      <c r="U57" s="1593"/>
      <c r="V57" s="1593"/>
      <c r="W57" s="1593"/>
      <c r="X57" s="14"/>
      <c r="Y57" s="1490">
        <f t="shared" ref="Y57:AP57" ca="1" si="35">IFERROR(INDEX(INDIRECT($C57&amp;".Outputs["&amp;this.Year&amp;"]"), MATCH(Y$5, INDIRECT($C57&amp;".Outputs[Vector]"), 0)), 0)</f>
        <v>0</v>
      </c>
      <c r="Z57" s="1490">
        <f t="shared" ca="1" si="35"/>
        <v>0</v>
      </c>
      <c r="AA57" s="1490">
        <f t="shared" ca="1" si="35"/>
        <v>0</v>
      </c>
      <c r="AB57" s="1490">
        <f t="shared" ca="1" si="35"/>
        <v>0</v>
      </c>
      <c r="AC57" s="1490">
        <f t="shared" ca="1" si="35"/>
        <v>0</v>
      </c>
      <c r="AD57" s="1490">
        <f t="shared" ca="1" si="35"/>
        <v>0</v>
      </c>
      <c r="AE57" s="1490">
        <f t="shared" ca="1" si="35"/>
        <v>0</v>
      </c>
      <c r="AF57" s="1490">
        <f t="shared" ca="1" si="35"/>
        <v>0</v>
      </c>
      <c r="AG57" s="1490">
        <f t="shared" ca="1" si="35"/>
        <v>0</v>
      </c>
      <c r="AH57" s="1490">
        <f t="shared" ca="1" si="35"/>
        <v>0</v>
      </c>
      <c r="AI57" s="1490">
        <f t="shared" ca="1" si="35"/>
        <v>0</v>
      </c>
      <c r="AJ57" s="1490">
        <f t="shared" ca="1" si="35"/>
        <v>0</v>
      </c>
      <c r="AK57" s="1490">
        <f t="shared" ca="1" si="35"/>
        <v>0</v>
      </c>
      <c r="AL57" s="1490">
        <f t="shared" ca="1" si="35"/>
        <v>0</v>
      </c>
      <c r="AM57" s="1490">
        <f t="shared" ca="1" si="35"/>
        <v>0</v>
      </c>
      <c r="AN57" s="1490">
        <f t="shared" ca="1" si="35"/>
        <v>0</v>
      </c>
      <c r="AO57" s="1490">
        <f t="shared" ca="1" si="35"/>
        <v>0</v>
      </c>
      <c r="AP57" s="1490">
        <f t="shared" ca="1" si="35"/>
        <v>0</v>
      </c>
      <c r="AQ57" s="1893">
        <f ca="1">SUM(Y57:AP57)</f>
        <v>0</v>
      </c>
      <c r="AR57" s="14"/>
      <c r="AS57" s="1940">
        <f t="shared" ref="AS57:BK57" ca="1" si="36">IFERROR(INDEX(INDIRECT($C57&amp;".Outputs["&amp;this.Year&amp;"]"), MATCH(AS$5, INDIRECT($C57&amp;".Outputs[Vector]"), 0)), 0)</f>
        <v>0</v>
      </c>
      <c r="AT57" s="1940">
        <f t="shared" ca="1" si="36"/>
        <v>0</v>
      </c>
      <c r="AU57" s="1940">
        <f t="shared" ca="1" si="36"/>
        <v>0</v>
      </c>
      <c r="AV57" s="1940">
        <f t="shared" ca="1" si="36"/>
        <v>0</v>
      </c>
      <c r="AW57" s="1940">
        <f t="shared" ca="1" si="36"/>
        <v>0</v>
      </c>
      <c r="AX57" s="1940">
        <f t="shared" ca="1" si="36"/>
        <v>0</v>
      </c>
      <c r="AY57" s="1940">
        <f t="shared" ca="1" si="36"/>
        <v>0</v>
      </c>
      <c r="AZ57" s="1940">
        <f t="shared" ca="1" si="36"/>
        <v>0</v>
      </c>
      <c r="BA57" s="1940">
        <f t="shared" ca="1" si="36"/>
        <v>0</v>
      </c>
      <c r="BB57" s="1940">
        <f t="shared" ca="1" si="36"/>
        <v>0</v>
      </c>
      <c r="BC57" s="1940">
        <f t="shared" ca="1" si="36"/>
        <v>0</v>
      </c>
      <c r="BD57" s="1940">
        <f t="shared" ca="1" si="36"/>
        <v>0</v>
      </c>
      <c r="BE57" s="1940">
        <f t="shared" ca="1" si="36"/>
        <v>0</v>
      </c>
      <c r="BF57" s="1940">
        <f t="shared" ca="1" si="36"/>
        <v>0</v>
      </c>
      <c r="BG57" s="1940">
        <f t="shared" ca="1" si="36"/>
        <v>0</v>
      </c>
      <c r="BH57" s="1940">
        <f t="shared" ca="1" si="36"/>
        <v>0</v>
      </c>
      <c r="BI57" s="1940">
        <f t="shared" ca="1" si="36"/>
        <v>0</v>
      </c>
      <c r="BJ57" s="1940">
        <f t="shared" ca="1" si="36"/>
        <v>0</v>
      </c>
      <c r="BK57" s="1940">
        <f t="shared" ca="1" si="36"/>
        <v>0</v>
      </c>
      <c r="BL57" s="1952">
        <f ca="1">SUM(AS57:BK57)</f>
        <v>0</v>
      </c>
      <c r="BM57" s="14"/>
      <c r="BN57" s="1941">
        <f ca="1">IFERROR(INDEX(INDIRECT($C57&amp;".Outputs["&amp;this.Year&amp;"]"), MATCH(BN$5, INDIRECT($C57&amp;".Outputs[Vector]"), 0)), 0)</f>
        <v>0</v>
      </c>
      <c r="BO57" s="1941">
        <f ca="1">IFERROR(INDEX(INDIRECT($C57&amp;".Outputs["&amp;this.Year&amp;"]"), MATCH(BO$5, INDIRECT($C57&amp;".Outputs[Vector]"), 0)), 0)</f>
        <v>0</v>
      </c>
      <c r="BP57" s="1505">
        <f ca="1">BN57+BO57</f>
        <v>0</v>
      </c>
      <c r="BQ57" s="14"/>
      <c r="BR57" s="3168">
        <f ca="1">W57+AQ57+BL57+BP57</f>
        <v>0</v>
      </c>
      <c r="BS57" s="1579"/>
      <c r="BU57" s="1595"/>
      <c r="BV57" s="1595"/>
      <c r="BW57" s="1595"/>
      <c r="BX57" s="1595"/>
      <c r="BY57" s="1595"/>
      <c r="BZ57" s="1595"/>
      <c r="CA57" s="1595"/>
      <c r="CB57" s="1595"/>
      <c r="CC57" s="1595"/>
      <c r="CD57" s="1595"/>
      <c r="CE57" s="1595"/>
      <c r="CF57" s="1595"/>
      <c r="CG57" s="1595"/>
      <c r="CH57" s="1595"/>
      <c r="CI57" s="1595"/>
      <c r="CJ57" s="1595"/>
      <c r="CK57" s="1595"/>
      <c r="CL57" s="1595"/>
      <c r="CM57" s="1595"/>
      <c r="CN57" s="1595"/>
      <c r="CO57" s="1595"/>
      <c r="CP57" s="1595"/>
      <c r="CQ57" s="1595"/>
      <c r="CR57" s="1595"/>
      <c r="CS57" s="1595"/>
      <c r="CT57" s="1595"/>
      <c r="CU57" s="1595"/>
      <c r="CV57" s="1595"/>
      <c r="CW57" s="1595"/>
      <c r="CX57" s="1595"/>
      <c r="CY57" s="1595"/>
      <c r="CZ57" s="1595"/>
      <c r="DA57" s="1595"/>
      <c r="DB57" s="1595"/>
      <c r="DC57" s="1595"/>
      <c r="DD57" s="1595"/>
      <c r="DE57" s="1595"/>
      <c r="DF57" s="1595"/>
      <c r="DG57" s="1595"/>
      <c r="DH57" s="1595"/>
      <c r="DI57" s="1595"/>
      <c r="DJ57" s="1595"/>
      <c r="DK57" s="1595"/>
      <c r="DL57" s="1595"/>
      <c r="DN57" s="1509">
        <v>0</v>
      </c>
    </row>
    <row r="58" spans="1:118" s="1522" customFormat="1" ht="12.75" hidden="1" customHeight="1" outlineLevel="1" x14ac:dyDescent="0.2">
      <c r="E58" s="1526"/>
      <c r="F58" s="14"/>
      <c r="G58" s="1540"/>
      <c r="H58" s="1540"/>
      <c r="I58" s="1540"/>
      <c r="J58" s="1540"/>
      <c r="K58" s="1540"/>
      <c r="L58" s="1540"/>
      <c r="M58" s="1540"/>
      <c r="N58" s="1540"/>
      <c r="O58" s="1540"/>
      <c r="P58" s="1540"/>
      <c r="Q58" s="1540"/>
      <c r="R58" s="1540"/>
      <c r="S58" s="1540"/>
      <c r="T58" s="1540"/>
      <c r="U58" s="1540"/>
      <c r="V58" s="1540"/>
      <c r="W58" s="1527"/>
      <c r="X58" s="14"/>
      <c r="Y58" s="1541"/>
      <c r="Z58" s="1541"/>
      <c r="AA58" s="1541"/>
      <c r="AB58" s="1541"/>
      <c r="AC58" s="1541"/>
      <c r="AD58" s="1541"/>
      <c r="AE58" s="1541"/>
      <c r="AF58" s="1541"/>
      <c r="AG58" s="1541"/>
      <c r="AH58" s="1541"/>
      <c r="AI58" s="1541"/>
      <c r="AJ58" s="1541"/>
      <c r="AK58" s="1541"/>
      <c r="AL58" s="1541"/>
      <c r="AM58" s="1541"/>
      <c r="AN58" s="1541"/>
      <c r="AO58" s="1541"/>
      <c r="AP58" s="1541"/>
      <c r="AQ58" s="1953"/>
      <c r="AR58" s="14"/>
      <c r="AS58" s="1542"/>
      <c r="AT58" s="1542"/>
      <c r="AU58" s="1542"/>
      <c r="AV58" s="1542"/>
      <c r="AW58" s="1542"/>
      <c r="AX58" s="1542"/>
      <c r="AY58" s="1542"/>
      <c r="AZ58" s="1542"/>
      <c r="BA58" s="1542"/>
      <c r="BB58" s="1542"/>
      <c r="BC58" s="1542"/>
      <c r="BD58" s="1542"/>
      <c r="BE58" s="1542"/>
      <c r="BF58" s="1542"/>
      <c r="BG58" s="1542"/>
      <c r="BH58" s="1542"/>
      <c r="BI58" s="1542"/>
      <c r="BJ58" s="1542"/>
      <c r="BK58" s="1542"/>
      <c r="BL58" s="1530"/>
      <c r="BM58" s="14"/>
      <c r="BN58" s="1543"/>
      <c r="BO58" s="1543"/>
      <c r="BP58" s="1531"/>
      <c r="BQ58" s="14"/>
      <c r="BR58" s="3168">
        <f>W58+AQ58+BL58+BP58</f>
        <v>0</v>
      </c>
      <c r="BS58" s="1525"/>
      <c r="BT58" s="748"/>
      <c r="BU58" s="1532">
        <v>0</v>
      </c>
      <c r="BV58" s="1533">
        <v>0</v>
      </c>
      <c r="BW58" s="1533">
        <v>0</v>
      </c>
      <c r="BX58" s="1533">
        <v>0</v>
      </c>
      <c r="BY58" s="1533">
        <v>0</v>
      </c>
      <c r="BZ58" s="1533">
        <v>0</v>
      </c>
      <c r="CA58" s="1533">
        <v>0</v>
      </c>
      <c r="CB58" s="1533">
        <v>0</v>
      </c>
      <c r="CC58" s="1533">
        <v>0</v>
      </c>
      <c r="CD58" s="1533">
        <v>0</v>
      </c>
      <c r="CE58" s="1533">
        <v>0</v>
      </c>
      <c r="CF58" s="1533">
        <v>0</v>
      </c>
      <c r="CG58" s="1533">
        <v>0</v>
      </c>
      <c r="CH58" s="1533">
        <v>0</v>
      </c>
      <c r="CI58" s="1533">
        <v>0</v>
      </c>
      <c r="CJ58" s="1533">
        <v>0</v>
      </c>
      <c r="CK58" s="1533">
        <v>0</v>
      </c>
      <c r="CL58" s="1533">
        <v>0</v>
      </c>
      <c r="CM58" s="1533">
        <v>0</v>
      </c>
      <c r="CN58" s="1533">
        <v>0</v>
      </c>
      <c r="CO58" s="1533">
        <v>0</v>
      </c>
      <c r="CP58" s="1533">
        <v>0</v>
      </c>
      <c r="CQ58" s="1533">
        <v>0</v>
      </c>
      <c r="CR58" s="1533">
        <v>0</v>
      </c>
      <c r="CS58" s="1533">
        <v>0</v>
      </c>
      <c r="CT58" s="1533">
        <v>0</v>
      </c>
      <c r="CU58" s="1533">
        <v>0</v>
      </c>
      <c r="CV58" s="1533">
        <v>0</v>
      </c>
      <c r="CW58" s="1533">
        <v>0</v>
      </c>
      <c r="CX58" s="1533">
        <v>0</v>
      </c>
      <c r="CY58" s="1533">
        <v>0</v>
      </c>
      <c r="CZ58" s="1533">
        <v>0</v>
      </c>
      <c r="DA58" s="1533">
        <v>0</v>
      </c>
      <c r="DB58" s="1533">
        <v>0</v>
      </c>
      <c r="DC58" s="1533">
        <v>0</v>
      </c>
      <c r="DD58" s="1533">
        <v>0</v>
      </c>
      <c r="DE58" s="1533">
        <v>0</v>
      </c>
      <c r="DF58" s="1533">
        <v>0</v>
      </c>
      <c r="DG58" s="1533">
        <v>0</v>
      </c>
      <c r="DH58" s="1533">
        <v>0</v>
      </c>
      <c r="DI58" s="1533">
        <v>0</v>
      </c>
      <c r="DJ58" s="1533">
        <v>0</v>
      </c>
      <c r="DK58" s="1533">
        <v>0</v>
      </c>
      <c r="DL58" s="1533">
        <v>0</v>
      </c>
      <c r="DN58" s="1509">
        <v>0</v>
      </c>
    </row>
    <row r="59" spans="1:118" s="14" customFormat="1" ht="15.75" collapsed="1" x14ac:dyDescent="0.2">
      <c r="A59" s="1534"/>
      <c r="B59" s="1535"/>
      <c r="C59" s="1536"/>
      <c r="D59" s="1537"/>
      <c r="E59" s="1538"/>
      <c r="G59" s="1539"/>
      <c r="H59" s="1539"/>
      <c r="I59" s="1539"/>
      <c r="J59" s="1539"/>
      <c r="K59" s="1539"/>
      <c r="L59" s="1539"/>
      <c r="M59" s="1539"/>
      <c r="N59" s="1539"/>
      <c r="O59" s="1539"/>
      <c r="P59" s="1539"/>
      <c r="Q59" s="1539"/>
      <c r="R59" s="1539"/>
      <c r="S59" s="1539"/>
      <c r="T59" s="1539"/>
      <c r="U59" s="1539"/>
      <c r="V59" s="1539"/>
      <c r="W59" s="1539"/>
      <c r="Y59" s="1490">
        <f ca="1">Y57</f>
        <v>0</v>
      </c>
      <c r="Z59" s="1490">
        <f t="shared" ref="Z59:AP59" ca="1" si="37">Z57</f>
        <v>0</v>
      </c>
      <c r="AA59" s="1490">
        <f t="shared" ca="1" si="37"/>
        <v>0</v>
      </c>
      <c r="AB59" s="1490">
        <f t="shared" ca="1" si="37"/>
        <v>0</v>
      </c>
      <c r="AC59" s="1490">
        <f t="shared" ca="1" si="37"/>
        <v>0</v>
      </c>
      <c r="AD59" s="1490">
        <f t="shared" ca="1" si="37"/>
        <v>0</v>
      </c>
      <c r="AE59" s="1490">
        <f t="shared" ca="1" si="37"/>
        <v>0</v>
      </c>
      <c r="AF59" s="1490">
        <f t="shared" ca="1" si="37"/>
        <v>0</v>
      </c>
      <c r="AG59" s="1490">
        <f t="shared" ca="1" si="37"/>
        <v>0</v>
      </c>
      <c r="AH59" s="1490">
        <f t="shared" ca="1" si="37"/>
        <v>0</v>
      </c>
      <c r="AI59" s="1490">
        <f t="shared" ca="1" si="37"/>
        <v>0</v>
      </c>
      <c r="AJ59" s="1490">
        <f t="shared" ca="1" si="37"/>
        <v>0</v>
      </c>
      <c r="AK59" s="1490">
        <f t="shared" ca="1" si="37"/>
        <v>0</v>
      </c>
      <c r="AL59" s="1490">
        <f t="shared" ca="1" si="37"/>
        <v>0</v>
      </c>
      <c r="AM59" s="1490">
        <f t="shared" ca="1" si="37"/>
        <v>0</v>
      </c>
      <c r="AN59" s="1490">
        <f t="shared" ca="1" si="37"/>
        <v>0</v>
      </c>
      <c r="AO59" s="1490">
        <f t="shared" ca="1" si="37"/>
        <v>0</v>
      </c>
      <c r="AP59" s="1490">
        <f t="shared" ca="1" si="37"/>
        <v>0</v>
      </c>
      <c r="AQ59" s="1893">
        <f ca="1">SUM(Y59:AP59)</f>
        <v>0</v>
      </c>
      <c r="AS59" s="1491">
        <f ca="1">AS57</f>
        <v>0</v>
      </c>
      <c r="AT59" s="1491">
        <f t="shared" ref="AT59:BK59" ca="1" si="38">AT57</f>
        <v>0</v>
      </c>
      <c r="AU59" s="1491">
        <f t="shared" ca="1" si="38"/>
        <v>0</v>
      </c>
      <c r="AV59" s="1491">
        <f t="shared" ca="1" si="38"/>
        <v>0</v>
      </c>
      <c r="AW59" s="1491">
        <f t="shared" ca="1" si="38"/>
        <v>0</v>
      </c>
      <c r="AX59" s="1491">
        <f t="shared" ca="1" si="38"/>
        <v>0</v>
      </c>
      <c r="AY59" s="1491">
        <f t="shared" ca="1" si="38"/>
        <v>0</v>
      </c>
      <c r="AZ59" s="1491">
        <f t="shared" ca="1" si="38"/>
        <v>0</v>
      </c>
      <c r="BA59" s="1491">
        <f t="shared" ca="1" si="38"/>
        <v>0</v>
      </c>
      <c r="BB59" s="1491">
        <f t="shared" ca="1" si="38"/>
        <v>0</v>
      </c>
      <c r="BC59" s="1491">
        <f t="shared" ca="1" si="38"/>
        <v>0</v>
      </c>
      <c r="BD59" s="1491">
        <f t="shared" ca="1" si="38"/>
        <v>0</v>
      </c>
      <c r="BE59" s="1491">
        <f t="shared" ca="1" si="38"/>
        <v>0</v>
      </c>
      <c r="BF59" s="1491">
        <f t="shared" ca="1" si="38"/>
        <v>0</v>
      </c>
      <c r="BG59" s="1491">
        <f t="shared" ca="1" si="38"/>
        <v>0</v>
      </c>
      <c r="BH59" s="1491">
        <f t="shared" ca="1" si="38"/>
        <v>0</v>
      </c>
      <c r="BI59" s="1491">
        <f t="shared" ca="1" si="38"/>
        <v>0</v>
      </c>
      <c r="BJ59" s="1491">
        <f t="shared" ca="1" si="38"/>
        <v>0</v>
      </c>
      <c r="BK59" s="1491">
        <f t="shared" ca="1" si="38"/>
        <v>0</v>
      </c>
      <c r="BL59" s="1952">
        <f ca="1">SUM(AS59:BK59)</f>
        <v>0</v>
      </c>
      <c r="BN59" s="1492">
        <f ca="1">BN57</f>
        <v>0</v>
      </c>
      <c r="BO59" s="1492">
        <f ca="1">BO57</f>
        <v>0</v>
      </c>
      <c r="BP59" s="1505">
        <f ca="1">BN59+BO59</f>
        <v>0</v>
      </c>
      <c r="BR59" s="3168">
        <f ca="1">W59+AQ59+BL59+BP59</f>
        <v>0</v>
      </c>
      <c r="BS59" s="1493"/>
      <c r="BT59" s="748"/>
      <c r="BU59" s="1508">
        <v>0</v>
      </c>
      <c r="BV59" s="1508">
        <v>0</v>
      </c>
      <c r="BW59" s="1508">
        <v>0</v>
      </c>
      <c r="BX59" s="1508">
        <v>0</v>
      </c>
      <c r="BY59" s="1508">
        <v>0</v>
      </c>
      <c r="BZ59" s="1508">
        <v>0</v>
      </c>
      <c r="CA59" s="1508">
        <v>0</v>
      </c>
      <c r="CB59" s="1508">
        <v>0</v>
      </c>
      <c r="CC59" s="1508">
        <v>0</v>
      </c>
      <c r="CD59" s="1508">
        <v>0</v>
      </c>
      <c r="CE59" s="1508">
        <v>0</v>
      </c>
      <c r="CF59" s="1508">
        <v>0</v>
      </c>
      <c r="CG59" s="1508">
        <v>0</v>
      </c>
      <c r="CH59" s="1508">
        <v>0</v>
      </c>
      <c r="CI59" s="1508">
        <v>0</v>
      </c>
      <c r="CJ59" s="1508">
        <v>0</v>
      </c>
      <c r="CK59" s="1508">
        <v>0</v>
      </c>
      <c r="CL59" s="1508">
        <v>0</v>
      </c>
      <c r="CM59" s="1508">
        <v>0</v>
      </c>
      <c r="CN59" s="1508">
        <v>0</v>
      </c>
      <c r="CO59" s="1508">
        <v>0</v>
      </c>
      <c r="CP59" s="1508">
        <v>0</v>
      </c>
      <c r="CQ59" s="1508">
        <v>0</v>
      </c>
      <c r="CR59" s="1508">
        <v>0</v>
      </c>
      <c r="CS59" s="1508">
        <v>0</v>
      </c>
      <c r="CT59" s="1508">
        <v>0</v>
      </c>
      <c r="CU59" s="1508">
        <v>0</v>
      </c>
      <c r="CV59" s="1508">
        <v>0</v>
      </c>
      <c r="CW59" s="1508">
        <v>0</v>
      </c>
      <c r="CX59" s="1508">
        <v>0</v>
      </c>
      <c r="CY59" s="1508">
        <v>0</v>
      </c>
      <c r="CZ59" s="1508">
        <v>0</v>
      </c>
      <c r="DA59" s="1508">
        <v>0</v>
      </c>
      <c r="DB59" s="1508">
        <v>0</v>
      </c>
      <c r="DC59" s="1508">
        <v>0</v>
      </c>
      <c r="DD59" s="1508">
        <v>0</v>
      </c>
      <c r="DE59" s="1508">
        <v>0</v>
      </c>
      <c r="DF59" s="1508">
        <v>0</v>
      </c>
      <c r="DG59" s="1508">
        <v>0</v>
      </c>
      <c r="DH59" s="1508">
        <v>0</v>
      </c>
      <c r="DI59" s="1508">
        <v>0</v>
      </c>
      <c r="DJ59" s="1508">
        <v>0</v>
      </c>
      <c r="DK59" s="1508">
        <v>0</v>
      </c>
      <c r="DL59" s="1508">
        <v>0</v>
      </c>
      <c r="DN59" s="1509">
        <v>0</v>
      </c>
    </row>
    <row r="60" spans="1:118" s="14" customFormat="1" ht="15.75" x14ac:dyDescent="0.2">
      <c r="A60" s="1845"/>
      <c r="B60" s="1847"/>
      <c r="C60" s="1842"/>
      <c r="D60" s="1843"/>
      <c r="E60" s="1844"/>
      <c r="G60" s="1539"/>
      <c r="H60" s="1539"/>
      <c r="I60" s="1539"/>
      <c r="J60" s="1539"/>
      <c r="K60" s="1539"/>
      <c r="L60" s="1539"/>
      <c r="M60" s="1539"/>
      <c r="N60" s="1539"/>
      <c r="O60" s="1539"/>
      <c r="P60" s="1539"/>
      <c r="Q60" s="1539"/>
      <c r="R60" s="1539"/>
      <c r="S60" s="1539"/>
      <c r="T60" s="1539"/>
      <c r="U60" s="1539"/>
      <c r="V60" s="1539"/>
      <c r="W60" s="1539"/>
      <c r="Y60" s="1490"/>
      <c r="Z60" s="1490"/>
      <c r="AA60" s="1490"/>
      <c r="AB60" s="1490"/>
      <c r="AC60" s="1490"/>
      <c r="AD60" s="1490"/>
      <c r="AE60" s="1490"/>
      <c r="AF60" s="1490"/>
      <c r="AG60" s="1490"/>
      <c r="AH60" s="1490"/>
      <c r="AI60" s="1490"/>
      <c r="AJ60" s="1490"/>
      <c r="AK60" s="1490"/>
      <c r="AL60" s="1490"/>
      <c r="AM60" s="1490"/>
      <c r="AN60" s="1490"/>
      <c r="AO60" s="1490"/>
      <c r="AP60" s="1490"/>
      <c r="AQ60" s="1490"/>
      <c r="AS60" s="1491"/>
      <c r="AT60" s="1491"/>
      <c r="AU60" s="1491"/>
      <c r="AV60" s="1491"/>
      <c r="AW60" s="1491"/>
      <c r="AX60" s="1491"/>
      <c r="AY60" s="1491"/>
      <c r="AZ60" s="1491"/>
      <c r="BA60" s="1491"/>
      <c r="BB60" s="1491"/>
      <c r="BC60" s="1491"/>
      <c r="BD60" s="1491"/>
      <c r="BE60" s="1491"/>
      <c r="BF60" s="1491"/>
      <c r="BG60" s="1491"/>
      <c r="BH60" s="1491"/>
      <c r="BI60" s="1491"/>
      <c r="BJ60" s="1491"/>
      <c r="BK60" s="1491"/>
      <c r="BL60" s="1491"/>
      <c r="BN60" s="1492"/>
      <c r="BO60" s="1492"/>
      <c r="BP60" s="1492"/>
      <c r="BR60" s="3168"/>
      <c r="BS60" s="1579"/>
      <c r="BT60" s="748"/>
      <c r="BU60" s="1507"/>
      <c r="BV60" s="1508"/>
      <c r="BW60" s="1508"/>
      <c r="BX60" s="1508"/>
      <c r="BY60" s="1508"/>
      <c r="BZ60" s="1508"/>
      <c r="CA60" s="1508"/>
      <c r="CB60" s="1508"/>
      <c r="CC60" s="1508"/>
      <c r="CD60" s="1508"/>
      <c r="CE60" s="1508"/>
      <c r="CF60" s="1508"/>
      <c r="CG60" s="1508"/>
      <c r="CH60" s="1508"/>
      <c r="CI60" s="1508"/>
      <c r="CJ60" s="1508"/>
      <c r="CK60" s="1508"/>
      <c r="CL60" s="1508"/>
      <c r="CM60" s="1508"/>
      <c r="CN60" s="1508"/>
      <c r="CO60" s="1508"/>
      <c r="CP60" s="1508"/>
      <c r="CQ60" s="1508"/>
      <c r="CR60" s="1508"/>
      <c r="CS60" s="1508"/>
      <c r="CT60" s="1508"/>
      <c r="CU60" s="1508"/>
      <c r="CV60" s="1508"/>
      <c r="CW60" s="1508"/>
      <c r="CX60" s="1508"/>
      <c r="CY60" s="1508"/>
      <c r="CZ60" s="1508"/>
      <c r="DA60" s="1508"/>
      <c r="DB60" s="1508"/>
      <c r="DC60" s="1508"/>
      <c r="DD60" s="1508"/>
      <c r="DE60" s="1508"/>
      <c r="DF60" s="1508"/>
      <c r="DG60" s="1508"/>
      <c r="DH60" s="1508"/>
      <c r="DI60" s="1508"/>
      <c r="DJ60" s="1508"/>
      <c r="DK60" s="1508"/>
      <c r="DL60" s="1508"/>
      <c r="DN60" s="1509"/>
    </row>
    <row r="61" spans="1:118" s="14" customFormat="1" outlineLevel="1" x14ac:dyDescent="0.2">
      <c r="C61" s="1580"/>
      <c r="D61" s="746"/>
      <c r="E61" s="1430"/>
      <c r="G61" s="1488"/>
      <c r="H61" s="1488"/>
      <c r="I61" s="1488"/>
      <c r="J61" s="1488"/>
      <c r="K61" s="1488"/>
      <c r="L61" s="1488"/>
      <c r="M61" s="1488"/>
      <c r="N61" s="1488"/>
      <c r="O61" s="1563"/>
      <c r="P61" s="1488"/>
      <c r="Q61" s="1488"/>
      <c r="R61" s="1488"/>
      <c r="S61" s="1488"/>
      <c r="T61" s="1488"/>
      <c r="U61" s="1488"/>
      <c r="V61" s="1488"/>
      <c r="W61" s="1488"/>
      <c r="Y61" s="1490"/>
      <c r="Z61" s="1490"/>
      <c r="AA61" s="1490"/>
      <c r="AB61" s="1490"/>
      <c r="AC61" s="1490"/>
      <c r="AD61" s="1490"/>
      <c r="AE61" s="1490"/>
      <c r="AF61" s="1490"/>
      <c r="AG61" s="1490"/>
      <c r="AH61" s="1490"/>
      <c r="AI61" s="1490"/>
      <c r="AJ61" s="1490"/>
      <c r="AK61" s="1490"/>
      <c r="AL61" s="1490"/>
      <c r="AM61" s="1490"/>
      <c r="AN61" s="1490"/>
      <c r="AO61" s="1490"/>
      <c r="AP61" s="1490"/>
      <c r="AQ61" s="1490"/>
      <c r="AS61" s="1491"/>
      <c r="AT61" s="1491"/>
      <c r="AU61" s="1491"/>
      <c r="AV61" s="1491"/>
      <c r="AW61" s="1491"/>
      <c r="AX61" s="1491"/>
      <c r="AY61" s="1491"/>
      <c r="AZ61" s="1491"/>
      <c r="BA61" s="1491"/>
      <c r="BB61" s="1491"/>
      <c r="BC61" s="1491"/>
      <c r="BD61" s="1491"/>
      <c r="BE61" s="1491"/>
      <c r="BF61" s="1491"/>
      <c r="BG61" s="1491"/>
      <c r="BH61" s="1491"/>
      <c r="BI61" s="1491"/>
      <c r="BJ61" s="1491"/>
      <c r="BK61" s="1491"/>
      <c r="BL61" s="1491"/>
      <c r="BN61" s="1492"/>
      <c r="BO61" s="1492"/>
      <c r="BP61" s="1492"/>
      <c r="BR61" s="3168">
        <f t="shared" si="12"/>
        <v>0</v>
      </c>
      <c r="BS61" s="1493"/>
      <c r="BU61" s="1508"/>
      <c r="BV61" s="1508"/>
      <c r="BW61" s="1508"/>
      <c r="BX61" s="1508"/>
      <c r="BY61" s="1508"/>
      <c r="BZ61" s="1508"/>
      <c r="CA61" s="1508"/>
      <c r="CB61" s="1508"/>
      <c r="CC61" s="1508"/>
      <c r="CD61" s="1508"/>
      <c r="CE61" s="1508"/>
      <c r="CF61" s="1508"/>
      <c r="CG61" s="1508"/>
      <c r="CH61" s="1508"/>
      <c r="CI61" s="1508"/>
      <c r="CJ61" s="1508"/>
      <c r="CK61" s="1508"/>
      <c r="CL61" s="1508"/>
      <c r="CM61" s="1508"/>
      <c r="CN61" s="1508"/>
      <c r="CO61" s="1508"/>
      <c r="CP61" s="1508"/>
      <c r="CQ61" s="1508"/>
      <c r="CR61" s="1508"/>
      <c r="CS61" s="1508"/>
      <c r="CT61" s="1508"/>
      <c r="CU61" s="1508"/>
      <c r="CV61" s="1508"/>
      <c r="CW61" s="1508"/>
      <c r="CX61" s="1508"/>
      <c r="CY61" s="1508"/>
      <c r="CZ61" s="1508"/>
      <c r="DA61" s="1508"/>
      <c r="DB61" s="1508"/>
      <c r="DC61" s="1508"/>
      <c r="DD61" s="1508"/>
      <c r="DE61" s="1508"/>
      <c r="DF61" s="1508"/>
      <c r="DG61" s="1508"/>
      <c r="DH61" s="1508"/>
      <c r="DI61" s="1508"/>
      <c r="DJ61" s="1508"/>
      <c r="DK61" s="1508"/>
      <c r="DL61" s="1508"/>
      <c r="DN61" s="1509"/>
    </row>
    <row r="62" spans="1:118" s="1522" customFormat="1" ht="12.75" customHeight="1" outlineLevel="1" x14ac:dyDescent="0.2">
      <c r="C62" s="1496" t="s">
        <v>208</v>
      </c>
      <c r="D62" s="14" t="str">
        <f>INDEX(Modulos[Modulos], MATCH($C62, Modulos[Código], 0))</f>
        <v>Plantas Eólicas</v>
      </c>
      <c r="E62" s="1497"/>
      <c r="F62" s="14"/>
      <c r="G62" s="1498"/>
      <c r="H62" s="1498"/>
      <c r="I62" s="1498"/>
      <c r="J62" s="1498"/>
      <c r="K62" s="1498"/>
      <c r="L62" s="1498"/>
      <c r="M62" s="1498"/>
      <c r="N62" s="1498"/>
      <c r="O62" s="1498"/>
      <c r="P62" s="1498"/>
      <c r="Q62" s="1498"/>
      <c r="R62" s="1498"/>
      <c r="S62" s="1498"/>
      <c r="T62" s="1498"/>
      <c r="U62" s="1498"/>
      <c r="V62" s="1498"/>
      <c r="W62" s="1499"/>
      <c r="X62" s="14"/>
      <c r="Y62" s="1893">
        <f t="shared" ref="Y62:AN69" ca="1" si="39">IFERROR(INDEX(INDIRECT($C62&amp;".Outputs["&amp;this.Year&amp;"]"), MATCH(Y$5, INDIRECT($C62&amp;".Outputs[Vector]"), 0)), 0)</f>
        <v>0</v>
      </c>
      <c r="Z62" s="1893">
        <f t="shared" ca="1" si="39"/>
        <v>4.9601951999999994</v>
      </c>
      <c r="AA62" s="1893">
        <f t="shared" ca="1" si="39"/>
        <v>0</v>
      </c>
      <c r="AB62" s="1893">
        <f t="shared" ca="1" si="39"/>
        <v>0</v>
      </c>
      <c r="AC62" s="1893">
        <f t="shared" ca="1" si="39"/>
        <v>0</v>
      </c>
      <c r="AD62" s="1893">
        <f t="shared" ca="1" si="39"/>
        <v>0</v>
      </c>
      <c r="AE62" s="1893">
        <f t="shared" ca="1" si="39"/>
        <v>0</v>
      </c>
      <c r="AF62" s="1893">
        <f t="shared" ca="1" si="39"/>
        <v>0</v>
      </c>
      <c r="AG62" s="1893">
        <f t="shared" ca="1" si="39"/>
        <v>0</v>
      </c>
      <c r="AH62" s="1893">
        <f t="shared" ca="1" si="39"/>
        <v>0</v>
      </c>
      <c r="AI62" s="1893">
        <f t="shared" ref="AI62:AP69" ca="1" si="40">IFERROR(INDEX(INDIRECT($C62&amp;".Outputs["&amp;this.Year&amp;"]"), MATCH(AI$5, INDIRECT($C62&amp;".Outputs[Vector]"), 0)), 0)</f>
        <v>0</v>
      </c>
      <c r="AJ62" s="1893">
        <f t="shared" ca="1" si="40"/>
        <v>0</v>
      </c>
      <c r="AK62" s="1893">
        <f t="shared" ca="1" si="40"/>
        <v>0</v>
      </c>
      <c r="AL62" s="1893">
        <f t="shared" ca="1" si="40"/>
        <v>0</v>
      </c>
      <c r="AM62" s="1893">
        <f t="shared" ca="1" si="40"/>
        <v>0</v>
      </c>
      <c r="AN62" s="1893">
        <f t="shared" ca="1" si="40"/>
        <v>0</v>
      </c>
      <c r="AO62" s="1893">
        <f t="shared" ca="1" si="40"/>
        <v>0</v>
      </c>
      <c r="AP62" s="1893">
        <f t="shared" ca="1" si="40"/>
        <v>0</v>
      </c>
      <c r="AQ62" s="1951">
        <f t="shared" ref="AQ62:AQ70" ca="1" si="41">SUM(Y62:AP62)</f>
        <v>4.9601951999999994</v>
      </c>
      <c r="AR62" s="14"/>
      <c r="AS62" s="1948">
        <f t="shared" ref="AS62:BH69" ca="1" si="42">IFERROR(INDEX(INDIRECT($C62&amp;".Outputs["&amp;this.Year&amp;"]"), MATCH(AS$5, INDIRECT($C62&amp;".Outputs[Vector]"), 0)), 0)</f>
        <v>0</v>
      </c>
      <c r="AT62" s="1948">
        <f t="shared" ca="1" si="42"/>
        <v>0</v>
      </c>
      <c r="AU62" s="1948">
        <f t="shared" ca="1" si="42"/>
        <v>0</v>
      </c>
      <c r="AV62" s="1948">
        <f t="shared" ca="1" si="42"/>
        <v>0</v>
      </c>
      <c r="AW62" s="1948">
        <f t="shared" ca="1" si="42"/>
        <v>0</v>
      </c>
      <c r="AX62" s="1948">
        <f t="shared" ca="1" si="42"/>
        <v>0</v>
      </c>
      <c r="AY62" s="1948">
        <f t="shared" ca="1" si="42"/>
        <v>0</v>
      </c>
      <c r="AZ62" s="1948">
        <f t="shared" ca="1" si="42"/>
        <v>0</v>
      </c>
      <c r="BA62" s="1948">
        <f t="shared" ca="1" si="42"/>
        <v>0</v>
      </c>
      <c r="BB62" s="1948">
        <f t="shared" ca="1" si="42"/>
        <v>0</v>
      </c>
      <c r="BC62" s="1948">
        <f t="shared" ref="BC62:BK69" ca="1" si="43">IFERROR(INDEX(INDIRECT($C62&amp;".Outputs["&amp;this.Year&amp;"]"), MATCH(BC$5, INDIRECT($C62&amp;".Outputs[Vector]"), 0)), 0)</f>
        <v>0</v>
      </c>
      <c r="BD62" s="1948">
        <f t="shared" ca="1" si="43"/>
        <v>-4.9601951999999994</v>
      </c>
      <c r="BE62" s="1948">
        <f t="shared" ca="1" si="43"/>
        <v>0</v>
      </c>
      <c r="BF62" s="1948">
        <f t="shared" ca="1" si="43"/>
        <v>0</v>
      </c>
      <c r="BG62" s="1948">
        <f t="shared" ca="1" si="43"/>
        <v>0</v>
      </c>
      <c r="BH62" s="1948">
        <f t="shared" ca="1" si="43"/>
        <v>0</v>
      </c>
      <c r="BI62" s="1948">
        <f t="shared" ca="1" si="43"/>
        <v>0</v>
      </c>
      <c r="BJ62" s="1948">
        <f t="shared" ca="1" si="43"/>
        <v>0</v>
      </c>
      <c r="BK62" s="1948">
        <f t="shared" ca="1" si="43"/>
        <v>0</v>
      </c>
      <c r="BL62" s="1952">
        <f t="shared" ref="BL62:BL70" ca="1" si="44">SUM(AS62:BK62)</f>
        <v>-4.9601951999999994</v>
      </c>
      <c r="BM62" s="14"/>
      <c r="BN62" s="1941">
        <f t="shared" ref="BN62:BO68" ca="1" si="45">IFERROR(INDEX(INDIRECT($C62&amp;".Outputs["&amp;this.Year&amp;"]"), MATCH(BN$5, INDIRECT($C62&amp;".Outputs[Vector]"), 0)), 0)</f>
        <v>0</v>
      </c>
      <c r="BO62" s="1941">
        <f t="shared" ca="1" si="45"/>
        <v>0</v>
      </c>
      <c r="BP62" s="1505">
        <f ca="1">BN62+BO62</f>
        <v>0</v>
      </c>
      <c r="BQ62" s="14"/>
      <c r="BR62" s="3168">
        <f t="shared" ca="1" si="12"/>
        <v>0</v>
      </c>
      <c r="BS62" s="1525"/>
      <c r="BT62" s="748"/>
      <c r="BU62" s="1507">
        <v>0</v>
      </c>
      <c r="BV62" s="1508">
        <v>0</v>
      </c>
      <c r="BW62" s="1508">
        <v>0</v>
      </c>
      <c r="BX62" s="1508">
        <v>0</v>
      </c>
      <c r="BY62" s="1508">
        <v>0</v>
      </c>
      <c r="BZ62" s="1508">
        <v>0</v>
      </c>
      <c r="CA62" s="1508">
        <v>0</v>
      </c>
      <c r="CB62" s="1508">
        <v>0</v>
      </c>
      <c r="CC62" s="1508">
        <v>0</v>
      </c>
      <c r="CD62" s="1508">
        <v>0</v>
      </c>
      <c r="CE62" s="1508">
        <v>0</v>
      </c>
      <c r="CF62" s="1508">
        <v>0</v>
      </c>
      <c r="CG62" s="1508">
        <v>0</v>
      </c>
      <c r="CH62" s="1508">
        <v>0</v>
      </c>
      <c r="CI62" s="1508">
        <v>0</v>
      </c>
      <c r="CJ62" s="1508">
        <v>0</v>
      </c>
      <c r="CK62" s="1508">
        <v>0</v>
      </c>
      <c r="CL62" s="1508">
        <v>0</v>
      </c>
      <c r="CM62" s="1508">
        <v>0</v>
      </c>
      <c r="CN62" s="1508">
        <v>0</v>
      </c>
      <c r="CO62" s="1508">
        <v>0</v>
      </c>
      <c r="CP62" s="1508">
        <v>0</v>
      </c>
      <c r="CQ62" s="1508">
        <v>0</v>
      </c>
      <c r="CR62" s="1508">
        <v>0</v>
      </c>
      <c r="CS62" s="1508">
        <v>0</v>
      </c>
      <c r="CT62" s="1508">
        <v>0</v>
      </c>
      <c r="CU62" s="1508">
        <v>0</v>
      </c>
      <c r="CV62" s="1508">
        <v>0</v>
      </c>
      <c r="CW62" s="1508">
        <v>0</v>
      </c>
      <c r="CX62" s="1508">
        <v>0</v>
      </c>
      <c r="CY62" s="1508">
        <v>0</v>
      </c>
      <c r="CZ62" s="1508">
        <v>0</v>
      </c>
      <c r="DA62" s="1508">
        <v>0</v>
      </c>
      <c r="DB62" s="1508">
        <v>0</v>
      </c>
      <c r="DC62" s="1508">
        <v>0</v>
      </c>
      <c r="DD62" s="1508">
        <v>0</v>
      </c>
      <c r="DE62" s="1508">
        <v>0</v>
      </c>
      <c r="DF62" s="1508">
        <v>0</v>
      </c>
      <c r="DG62" s="1508">
        <v>0</v>
      </c>
      <c r="DH62" s="1508">
        <v>0</v>
      </c>
      <c r="DI62" s="1508">
        <v>0</v>
      </c>
      <c r="DJ62" s="1508">
        <v>0</v>
      </c>
      <c r="DK62" s="1508">
        <v>0</v>
      </c>
      <c r="DL62" s="1508">
        <v>0</v>
      </c>
      <c r="DN62" s="1509">
        <v>0</v>
      </c>
    </row>
    <row r="63" spans="1:118" s="1522" customFormat="1" ht="12.75" customHeight="1" outlineLevel="1" x14ac:dyDescent="0.2">
      <c r="C63" s="1496" t="s">
        <v>246</v>
      </c>
      <c r="D63" s="14" t="str">
        <f>INDEX(Modulos[Modulos], MATCH($C63, Modulos[Código], 0))</f>
        <v>Mini Hidráulica de Pasada</v>
      </c>
      <c r="E63" s="1497"/>
      <c r="F63" s="14"/>
      <c r="G63" s="1498"/>
      <c r="H63" s="1498"/>
      <c r="I63" s="1498"/>
      <c r="J63" s="1498"/>
      <c r="K63" s="1498"/>
      <c r="L63" s="1498"/>
      <c r="M63" s="1498"/>
      <c r="N63" s="1498"/>
      <c r="O63" s="1498"/>
      <c r="P63" s="1498"/>
      <c r="Q63" s="1498"/>
      <c r="R63" s="1498"/>
      <c r="S63" s="1498"/>
      <c r="T63" s="1498"/>
      <c r="U63" s="1498"/>
      <c r="V63" s="1498"/>
      <c r="W63" s="1499"/>
      <c r="X63" s="14"/>
      <c r="Y63" s="1893">
        <f t="shared" ca="1" si="39"/>
        <v>0</v>
      </c>
      <c r="Z63" s="1893">
        <f t="shared" ca="1" si="39"/>
        <v>2.7481409999999999</v>
      </c>
      <c r="AA63" s="1893">
        <f t="shared" ca="1" si="39"/>
        <v>0</v>
      </c>
      <c r="AB63" s="1893">
        <f t="shared" ca="1" si="39"/>
        <v>0</v>
      </c>
      <c r="AC63" s="1893">
        <f t="shared" ca="1" si="39"/>
        <v>0</v>
      </c>
      <c r="AD63" s="1893">
        <f t="shared" ca="1" si="39"/>
        <v>0</v>
      </c>
      <c r="AE63" s="1893">
        <f t="shared" ca="1" si="39"/>
        <v>0</v>
      </c>
      <c r="AF63" s="1893">
        <f t="shared" ca="1" si="39"/>
        <v>0</v>
      </c>
      <c r="AG63" s="1893">
        <f t="shared" ca="1" si="39"/>
        <v>0</v>
      </c>
      <c r="AH63" s="1893">
        <f t="shared" ca="1" si="39"/>
        <v>0</v>
      </c>
      <c r="AI63" s="1893">
        <f t="shared" ca="1" si="40"/>
        <v>0</v>
      </c>
      <c r="AJ63" s="1893">
        <f t="shared" ca="1" si="40"/>
        <v>0</v>
      </c>
      <c r="AK63" s="1893">
        <f t="shared" ca="1" si="40"/>
        <v>0</v>
      </c>
      <c r="AL63" s="1893">
        <f t="shared" ca="1" si="40"/>
        <v>0</v>
      </c>
      <c r="AM63" s="1893">
        <f t="shared" ca="1" si="40"/>
        <v>0</v>
      </c>
      <c r="AN63" s="1893">
        <f t="shared" ca="1" si="40"/>
        <v>0</v>
      </c>
      <c r="AO63" s="1893">
        <f t="shared" ca="1" si="40"/>
        <v>0</v>
      </c>
      <c r="AP63" s="1893">
        <f t="shared" ca="1" si="40"/>
        <v>0</v>
      </c>
      <c r="AQ63" s="1951">
        <f t="shared" ca="1" si="41"/>
        <v>2.7481409999999999</v>
      </c>
      <c r="AR63" s="14"/>
      <c r="AS63" s="1948">
        <f t="shared" ca="1" si="42"/>
        <v>0</v>
      </c>
      <c r="AT63" s="1948">
        <f t="shared" ca="1" si="42"/>
        <v>0</v>
      </c>
      <c r="AU63" s="1948">
        <f t="shared" ca="1" si="42"/>
        <v>0</v>
      </c>
      <c r="AV63" s="1948">
        <f t="shared" ca="1" si="42"/>
        <v>0</v>
      </c>
      <c r="AW63" s="1948">
        <f t="shared" ca="1" si="42"/>
        <v>0</v>
      </c>
      <c r="AX63" s="1948">
        <f t="shared" ca="1" si="42"/>
        <v>0</v>
      </c>
      <c r="AY63" s="1948">
        <f t="shared" ca="1" si="42"/>
        <v>0</v>
      </c>
      <c r="AZ63" s="1948">
        <f t="shared" ca="1" si="42"/>
        <v>0</v>
      </c>
      <c r="BA63" s="1948">
        <f t="shared" ca="1" si="42"/>
        <v>0</v>
      </c>
      <c r="BB63" s="1948">
        <f t="shared" ca="1" si="42"/>
        <v>0</v>
      </c>
      <c r="BC63" s="1948">
        <f t="shared" ca="1" si="43"/>
        <v>0</v>
      </c>
      <c r="BD63" s="1948">
        <f t="shared" ca="1" si="43"/>
        <v>0</v>
      </c>
      <c r="BE63" s="1948">
        <f t="shared" ca="1" si="43"/>
        <v>0</v>
      </c>
      <c r="BF63" s="1948">
        <f t="shared" ca="1" si="43"/>
        <v>0</v>
      </c>
      <c r="BG63" s="1948">
        <f t="shared" ca="1" si="43"/>
        <v>0</v>
      </c>
      <c r="BH63" s="1948">
        <f t="shared" ca="1" si="43"/>
        <v>-2.7481409999999999</v>
      </c>
      <c r="BI63" s="1948">
        <f t="shared" ca="1" si="43"/>
        <v>0</v>
      </c>
      <c r="BJ63" s="1948">
        <f t="shared" ca="1" si="43"/>
        <v>0</v>
      </c>
      <c r="BK63" s="1948">
        <f t="shared" ca="1" si="43"/>
        <v>0</v>
      </c>
      <c r="BL63" s="1952">
        <f t="shared" ca="1" si="44"/>
        <v>-2.7481409999999999</v>
      </c>
      <c r="BM63" s="14"/>
      <c r="BN63" s="1941">
        <f t="shared" ca="1" si="45"/>
        <v>0</v>
      </c>
      <c r="BO63" s="1941">
        <f t="shared" ca="1" si="45"/>
        <v>0</v>
      </c>
      <c r="BP63" s="1505">
        <f t="shared" ref="BP63:BP68" ca="1" si="46">BN63+BO63</f>
        <v>0</v>
      </c>
      <c r="BQ63" s="14"/>
      <c r="BR63" s="3168">
        <f t="shared" ca="1" si="12"/>
        <v>0</v>
      </c>
      <c r="BS63" s="1525"/>
      <c r="BT63" s="748"/>
      <c r="BU63" s="1507">
        <v>0</v>
      </c>
      <c r="BV63" s="1508">
        <v>0</v>
      </c>
      <c r="BW63" s="1508">
        <v>0</v>
      </c>
      <c r="BX63" s="1508">
        <v>0</v>
      </c>
      <c r="BY63" s="1508">
        <v>0</v>
      </c>
      <c r="BZ63" s="1508">
        <v>0</v>
      </c>
      <c r="CA63" s="1508">
        <v>0</v>
      </c>
      <c r="CB63" s="1508">
        <v>0</v>
      </c>
      <c r="CC63" s="1508">
        <v>0</v>
      </c>
      <c r="CD63" s="1508">
        <v>0</v>
      </c>
      <c r="CE63" s="1508">
        <v>0</v>
      </c>
      <c r="CF63" s="1508">
        <v>0</v>
      </c>
      <c r="CG63" s="1508">
        <v>0</v>
      </c>
      <c r="CH63" s="1508">
        <v>0</v>
      </c>
      <c r="CI63" s="1508">
        <v>0</v>
      </c>
      <c r="CJ63" s="1508">
        <v>0</v>
      </c>
      <c r="CK63" s="1508">
        <v>0</v>
      </c>
      <c r="CL63" s="1508">
        <v>0</v>
      </c>
      <c r="CM63" s="1508">
        <v>0</v>
      </c>
      <c r="CN63" s="1508">
        <v>0</v>
      </c>
      <c r="CO63" s="1508">
        <v>0</v>
      </c>
      <c r="CP63" s="1508">
        <v>0</v>
      </c>
      <c r="CQ63" s="1508">
        <v>0</v>
      </c>
      <c r="CR63" s="1508">
        <v>0</v>
      </c>
      <c r="CS63" s="1508">
        <v>0</v>
      </c>
      <c r="CT63" s="1508">
        <v>0</v>
      </c>
      <c r="CU63" s="1508">
        <v>0</v>
      </c>
      <c r="CV63" s="1508">
        <v>0</v>
      </c>
      <c r="CW63" s="1508">
        <v>0</v>
      </c>
      <c r="CX63" s="1508">
        <v>0</v>
      </c>
      <c r="CY63" s="1508">
        <v>0</v>
      </c>
      <c r="CZ63" s="1508">
        <v>0</v>
      </c>
      <c r="DA63" s="1508">
        <v>0</v>
      </c>
      <c r="DB63" s="1508">
        <v>0</v>
      </c>
      <c r="DC63" s="1508">
        <v>0</v>
      </c>
      <c r="DD63" s="1508">
        <v>0</v>
      </c>
      <c r="DE63" s="1508">
        <v>0</v>
      </c>
      <c r="DF63" s="1508">
        <v>0</v>
      </c>
      <c r="DG63" s="1508">
        <v>0</v>
      </c>
      <c r="DH63" s="1508">
        <v>0</v>
      </c>
      <c r="DI63" s="1508">
        <v>0</v>
      </c>
      <c r="DJ63" s="1508">
        <v>0</v>
      </c>
      <c r="DK63" s="1508">
        <v>0</v>
      </c>
      <c r="DL63" s="1508">
        <v>0</v>
      </c>
      <c r="DN63" s="1509">
        <v>0</v>
      </c>
    </row>
    <row r="64" spans="1:118" s="1522" customFormat="1" ht="12.75" customHeight="1" outlineLevel="1" x14ac:dyDescent="0.2">
      <c r="C64" s="1496" t="s">
        <v>258</v>
      </c>
      <c r="D64" s="14" t="str">
        <f>INDEX(Modulos[Modulos], MATCH($C64, Modulos[Código], 0))</f>
        <v>Hidráulica de Pasada</v>
      </c>
      <c r="E64" s="1497"/>
      <c r="F64" s="14"/>
      <c r="G64" s="1498"/>
      <c r="H64" s="1498"/>
      <c r="I64" s="1498"/>
      <c r="J64" s="1498"/>
      <c r="K64" s="1498"/>
      <c r="L64" s="1498"/>
      <c r="M64" s="1498"/>
      <c r="N64" s="1498"/>
      <c r="O64" s="1498"/>
      <c r="P64" s="1498"/>
      <c r="Q64" s="1498"/>
      <c r="R64" s="1498"/>
      <c r="S64" s="1498"/>
      <c r="T64" s="1498"/>
      <c r="U64" s="1498"/>
      <c r="V64" s="1498"/>
      <c r="W64" s="1499"/>
      <c r="X64" s="14"/>
      <c r="Y64" s="1893">
        <f t="shared" ca="1" si="39"/>
        <v>0</v>
      </c>
      <c r="Z64" s="1893">
        <f t="shared" ca="1" si="39"/>
        <v>6.9154974000000013</v>
      </c>
      <c r="AA64" s="1893">
        <f t="shared" ca="1" si="39"/>
        <v>0</v>
      </c>
      <c r="AB64" s="1893">
        <f t="shared" ca="1" si="39"/>
        <v>0</v>
      </c>
      <c r="AC64" s="1893">
        <f t="shared" ca="1" si="39"/>
        <v>0</v>
      </c>
      <c r="AD64" s="1893">
        <f t="shared" ca="1" si="39"/>
        <v>0</v>
      </c>
      <c r="AE64" s="1893">
        <f t="shared" ca="1" si="39"/>
        <v>0</v>
      </c>
      <c r="AF64" s="1893">
        <f t="shared" ca="1" si="39"/>
        <v>0</v>
      </c>
      <c r="AG64" s="1893">
        <f t="shared" ca="1" si="39"/>
        <v>0</v>
      </c>
      <c r="AH64" s="1893">
        <f t="shared" ca="1" si="39"/>
        <v>0</v>
      </c>
      <c r="AI64" s="1893">
        <f t="shared" ca="1" si="40"/>
        <v>0</v>
      </c>
      <c r="AJ64" s="1893">
        <f t="shared" ca="1" si="40"/>
        <v>0</v>
      </c>
      <c r="AK64" s="1893">
        <f t="shared" ca="1" si="40"/>
        <v>0</v>
      </c>
      <c r="AL64" s="1893">
        <f t="shared" ca="1" si="40"/>
        <v>0</v>
      </c>
      <c r="AM64" s="1893">
        <f t="shared" ca="1" si="40"/>
        <v>0</v>
      </c>
      <c r="AN64" s="1893">
        <f t="shared" ca="1" si="40"/>
        <v>0</v>
      </c>
      <c r="AO64" s="1893">
        <f t="shared" ca="1" si="40"/>
        <v>0</v>
      </c>
      <c r="AP64" s="1893">
        <f t="shared" ca="1" si="40"/>
        <v>0</v>
      </c>
      <c r="AQ64" s="1951">
        <f t="shared" ca="1" si="41"/>
        <v>6.9154974000000013</v>
      </c>
      <c r="AR64" s="14"/>
      <c r="AS64" s="1948">
        <f t="shared" ca="1" si="42"/>
        <v>0</v>
      </c>
      <c r="AT64" s="1948">
        <f t="shared" ca="1" si="42"/>
        <v>0</v>
      </c>
      <c r="AU64" s="1948">
        <f t="shared" ca="1" si="42"/>
        <v>0</v>
      </c>
      <c r="AV64" s="1948">
        <f t="shared" ca="1" si="42"/>
        <v>0</v>
      </c>
      <c r="AW64" s="1948">
        <f t="shared" ca="1" si="42"/>
        <v>0</v>
      </c>
      <c r="AX64" s="1948">
        <f t="shared" ca="1" si="42"/>
        <v>0</v>
      </c>
      <c r="AY64" s="1948">
        <f t="shared" ca="1" si="42"/>
        <v>0</v>
      </c>
      <c r="AZ64" s="1948">
        <f t="shared" ca="1" si="42"/>
        <v>0</v>
      </c>
      <c r="BA64" s="1948">
        <f t="shared" ca="1" si="42"/>
        <v>0</v>
      </c>
      <c r="BB64" s="1948">
        <f t="shared" ca="1" si="42"/>
        <v>0</v>
      </c>
      <c r="BC64" s="1948">
        <f t="shared" ca="1" si="43"/>
        <v>0</v>
      </c>
      <c r="BD64" s="1948">
        <f t="shared" ca="1" si="43"/>
        <v>0</v>
      </c>
      <c r="BE64" s="1948">
        <f t="shared" ca="1" si="43"/>
        <v>0</v>
      </c>
      <c r="BF64" s="1948">
        <f t="shared" ca="1" si="43"/>
        <v>0</v>
      </c>
      <c r="BG64" s="1948">
        <f t="shared" ca="1" si="43"/>
        <v>0</v>
      </c>
      <c r="BH64" s="1948">
        <f t="shared" ca="1" si="43"/>
        <v>-6.9154974000000013</v>
      </c>
      <c r="BI64" s="1948">
        <f t="shared" ca="1" si="43"/>
        <v>0</v>
      </c>
      <c r="BJ64" s="1948">
        <f t="shared" ca="1" si="43"/>
        <v>0</v>
      </c>
      <c r="BK64" s="1948">
        <f t="shared" ca="1" si="43"/>
        <v>0</v>
      </c>
      <c r="BL64" s="1952">
        <f t="shared" ca="1" si="44"/>
        <v>-6.9154974000000013</v>
      </c>
      <c r="BM64" s="14"/>
      <c r="BN64" s="1941">
        <f t="shared" ca="1" si="45"/>
        <v>0</v>
      </c>
      <c r="BO64" s="1941">
        <f t="shared" ca="1" si="45"/>
        <v>0</v>
      </c>
      <c r="BP64" s="1505">
        <f t="shared" ca="1" si="46"/>
        <v>0</v>
      </c>
      <c r="BQ64" s="14"/>
      <c r="BR64" s="3168">
        <f t="shared" ca="1" si="12"/>
        <v>0</v>
      </c>
      <c r="BS64" s="1525"/>
      <c r="BT64" s="748"/>
      <c r="BU64" s="1507">
        <v>0</v>
      </c>
      <c r="BV64" s="1508">
        <v>0</v>
      </c>
      <c r="BW64" s="1508">
        <v>0</v>
      </c>
      <c r="BX64" s="1508">
        <v>0</v>
      </c>
      <c r="BY64" s="1508">
        <v>0</v>
      </c>
      <c r="BZ64" s="1508">
        <v>0</v>
      </c>
      <c r="CA64" s="1508">
        <v>0</v>
      </c>
      <c r="CB64" s="1508">
        <v>0</v>
      </c>
      <c r="CC64" s="1508">
        <v>0</v>
      </c>
      <c r="CD64" s="1508">
        <v>0</v>
      </c>
      <c r="CE64" s="1508">
        <v>0</v>
      </c>
      <c r="CF64" s="1508">
        <v>0</v>
      </c>
      <c r="CG64" s="1508">
        <v>0</v>
      </c>
      <c r="CH64" s="1508">
        <v>0</v>
      </c>
      <c r="CI64" s="1508">
        <v>0</v>
      </c>
      <c r="CJ64" s="1508">
        <v>0</v>
      </c>
      <c r="CK64" s="1508">
        <v>0</v>
      </c>
      <c r="CL64" s="1508">
        <v>0</v>
      </c>
      <c r="CM64" s="1508">
        <v>0</v>
      </c>
      <c r="CN64" s="1508">
        <v>0</v>
      </c>
      <c r="CO64" s="1508">
        <v>0</v>
      </c>
      <c r="CP64" s="1508">
        <v>0</v>
      </c>
      <c r="CQ64" s="1508">
        <v>0</v>
      </c>
      <c r="CR64" s="1508">
        <v>0</v>
      </c>
      <c r="CS64" s="1508">
        <v>0</v>
      </c>
      <c r="CT64" s="1508">
        <v>0</v>
      </c>
      <c r="CU64" s="1508">
        <v>0</v>
      </c>
      <c r="CV64" s="1508">
        <v>0</v>
      </c>
      <c r="CW64" s="1508">
        <v>0</v>
      </c>
      <c r="CX64" s="1508">
        <v>0</v>
      </c>
      <c r="CY64" s="1508">
        <v>0</v>
      </c>
      <c r="CZ64" s="1508">
        <v>0</v>
      </c>
      <c r="DA64" s="1508">
        <v>0</v>
      </c>
      <c r="DB64" s="1508">
        <v>0</v>
      </c>
      <c r="DC64" s="1508">
        <v>0</v>
      </c>
      <c r="DD64" s="1508">
        <v>0</v>
      </c>
      <c r="DE64" s="1508">
        <v>0</v>
      </c>
      <c r="DF64" s="1508">
        <v>0</v>
      </c>
      <c r="DG64" s="1508">
        <v>0</v>
      </c>
      <c r="DH64" s="1508">
        <v>0</v>
      </c>
      <c r="DI64" s="1508">
        <v>0</v>
      </c>
      <c r="DJ64" s="1508">
        <v>0</v>
      </c>
      <c r="DK64" s="1508">
        <v>0</v>
      </c>
      <c r="DL64" s="1508">
        <v>0</v>
      </c>
      <c r="DN64" s="1509">
        <v>0</v>
      </c>
    </row>
    <row r="65" spans="1:118" s="1522" customFormat="1" ht="12.75" customHeight="1" outlineLevel="1" x14ac:dyDescent="0.2">
      <c r="C65" s="1496" t="s">
        <v>267</v>
      </c>
      <c r="D65" s="14" t="str">
        <f>INDEX(Modulos[Modulos], MATCH($C65, Modulos[Código], 0))</f>
        <v>Hidráulica de Embalse</v>
      </c>
      <c r="E65" s="1497"/>
      <c r="F65" s="14"/>
      <c r="G65" s="1498"/>
      <c r="H65" s="1498"/>
      <c r="I65" s="1498"/>
      <c r="J65" s="1498"/>
      <c r="K65" s="1498"/>
      <c r="L65" s="1498"/>
      <c r="M65" s="1498"/>
      <c r="N65" s="1498"/>
      <c r="O65" s="1498"/>
      <c r="P65" s="1498"/>
      <c r="Q65" s="1498"/>
      <c r="R65" s="1498"/>
      <c r="S65" s="1498"/>
      <c r="T65" s="1498"/>
      <c r="U65" s="1498"/>
      <c r="V65" s="1498"/>
      <c r="W65" s="1499"/>
      <c r="X65" s="14"/>
      <c r="Y65" s="1893">
        <f t="shared" ca="1" si="39"/>
        <v>0</v>
      </c>
      <c r="Z65" s="1893">
        <f t="shared" ca="1" si="39"/>
        <v>14.4954576</v>
      </c>
      <c r="AA65" s="1893">
        <f t="shared" ca="1" si="39"/>
        <v>0</v>
      </c>
      <c r="AB65" s="1893">
        <f t="shared" ca="1" si="39"/>
        <v>0</v>
      </c>
      <c r="AC65" s="1893">
        <f t="shared" ca="1" si="39"/>
        <v>0</v>
      </c>
      <c r="AD65" s="1893">
        <f t="shared" ca="1" si="39"/>
        <v>0</v>
      </c>
      <c r="AE65" s="1893">
        <f t="shared" ca="1" si="39"/>
        <v>0</v>
      </c>
      <c r="AF65" s="1893">
        <f t="shared" ca="1" si="39"/>
        <v>0</v>
      </c>
      <c r="AG65" s="1893">
        <f t="shared" ca="1" si="39"/>
        <v>0</v>
      </c>
      <c r="AH65" s="1893">
        <f t="shared" ca="1" si="39"/>
        <v>0</v>
      </c>
      <c r="AI65" s="1893">
        <f t="shared" ca="1" si="40"/>
        <v>0</v>
      </c>
      <c r="AJ65" s="1893">
        <f t="shared" ca="1" si="40"/>
        <v>0</v>
      </c>
      <c r="AK65" s="1893">
        <f t="shared" ca="1" si="40"/>
        <v>0</v>
      </c>
      <c r="AL65" s="1893">
        <f t="shared" ca="1" si="40"/>
        <v>0</v>
      </c>
      <c r="AM65" s="1893">
        <f t="shared" ca="1" si="40"/>
        <v>0</v>
      </c>
      <c r="AN65" s="1893">
        <f t="shared" ca="1" si="40"/>
        <v>0</v>
      </c>
      <c r="AO65" s="1893">
        <f t="shared" ca="1" si="40"/>
        <v>0</v>
      </c>
      <c r="AP65" s="1893">
        <f t="shared" ca="1" si="40"/>
        <v>0</v>
      </c>
      <c r="AQ65" s="1951">
        <f t="shared" ca="1" si="41"/>
        <v>14.4954576</v>
      </c>
      <c r="AR65" s="14"/>
      <c r="AS65" s="1948">
        <f t="shared" ca="1" si="42"/>
        <v>0</v>
      </c>
      <c r="AT65" s="1948">
        <f t="shared" ca="1" si="42"/>
        <v>0</v>
      </c>
      <c r="AU65" s="1948">
        <f t="shared" ca="1" si="42"/>
        <v>0</v>
      </c>
      <c r="AV65" s="1948">
        <f t="shared" ca="1" si="42"/>
        <v>0</v>
      </c>
      <c r="AW65" s="1948">
        <f t="shared" ca="1" si="42"/>
        <v>0</v>
      </c>
      <c r="AX65" s="1948">
        <f t="shared" ca="1" si="42"/>
        <v>0</v>
      </c>
      <c r="AY65" s="1948">
        <f t="shared" ca="1" si="42"/>
        <v>0</v>
      </c>
      <c r="AZ65" s="1948">
        <f t="shared" ca="1" si="42"/>
        <v>0</v>
      </c>
      <c r="BA65" s="1948">
        <f t="shared" ca="1" si="42"/>
        <v>0</v>
      </c>
      <c r="BB65" s="1948">
        <f t="shared" ca="1" si="42"/>
        <v>0</v>
      </c>
      <c r="BC65" s="1948">
        <f t="shared" ca="1" si="43"/>
        <v>0</v>
      </c>
      <c r="BD65" s="1948">
        <f t="shared" ca="1" si="43"/>
        <v>0</v>
      </c>
      <c r="BE65" s="1948">
        <f t="shared" ca="1" si="43"/>
        <v>0</v>
      </c>
      <c r="BF65" s="1948">
        <f t="shared" ca="1" si="43"/>
        <v>0</v>
      </c>
      <c r="BG65" s="1948">
        <f t="shared" ca="1" si="43"/>
        <v>0</v>
      </c>
      <c r="BH65" s="1948">
        <f t="shared" ca="1" si="43"/>
        <v>-14.4954576</v>
      </c>
      <c r="BI65" s="1948">
        <f t="shared" ca="1" si="43"/>
        <v>0</v>
      </c>
      <c r="BJ65" s="1948">
        <f t="shared" ca="1" si="43"/>
        <v>0</v>
      </c>
      <c r="BK65" s="1948">
        <f t="shared" ca="1" si="43"/>
        <v>0</v>
      </c>
      <c r="BL65" s="1952">
        <f t="shared" ca="1" si="44"/>
        <v>-14.4954576</v>
      </c>
      <c r="BM65" s="14"/>
      <c r="BN65" s="1941">
        <f t="shared" ca="1" si="45"/>
        <v>0</v>
      </c>
      <c r="BO65" s="1941">
        <f t="shared" ca="1" si="45"/>
        <v>0</v>
      </c>
      <c r="BP65" s="1505">
        <f t="shared" ca="1" si="46"/>
        <v>0</v>
      </c>
      <c r="BQ65" s="14"/>
      <c r="BR65" s="3168">
        <f t="shared" ca="1" si="12"/>
        <v>0</v>
      </c>
      <c r="BS65" s="1525"/>
      <c r="BT65" s="748"/>
      <c r="BU65" s="1507">
        <v>0</v>
      </c>
      <c r="BV65" s="1508">
        <v>0</v>
      </c>
      <c r="BW65" s="1508">
        <v>0</v>
      </c>
      <c r="BX65" s="1508">
        <v>0</v>
      </c>
      <c r="BY65" s="1508">
        <v>0</v>
      </c>
      <c r="BZ65" s="1508">
        <v>0</v>
      </c>
      <c r="CA65" s="1508">
        <v>0</v>
      </c>
      <c r="CB65" s="1508">
        <v>0</v>
      </c>
      <c r="CC65" s="1508">
        <v>0</v>
      </c>
      <c r="CD65" s="1508">
        <v>0</v>
      </c>
      <c r="CE65" s="1508">
        <v>0</v>
      </c>
      <c r="CF65" s="1508">
        <v>0</v>
      </c>
      <c r="CG65" s="1508">
        <v>0</v>
      </c>
      <c r="CH65" s="1508">
        <v>0</v>
      </c>
      <c r="CI65" s="1508">
        <v>0</v>
      </c>
      <c r="CJ65" s="1508">
        <v>0</v>
      </c>
      <c r="CK65" s="1508">
        <v>0</v>
      </c>
      <c r="CL65" s="1508">
        <v>0</v>
      </c>
      <c r="CM65" s="1508">
        <v>0</v>
      </c>
      <c r="CN65" s="1508">
        <v>0</v>
      </c>
      <c r="CO65" s="1508">
        <v>0</v>
      </c>
      <c r="CP65" s="1508">
        <v>0</v>
      </c>
      <c r="CQ65" s="1508">
        <v>0</v>
      </c>
      <c r="CR65" s="1508">
        <v>0</v>
      </c>
      <c r="CS65" s="1508">
        <v>0</v>
      </c>
      <c r="CT65" s="1508">
        <v>0</v>
      </c>
      <c r="CU65" s="1508">
        <v>0</v>
      </c>
      <c r="CV65" s="1508">
        <v>0</v>
      </c>
      <c r="CW65" s="1508">
        <v>0</v>
      </c>
      <c r="CX65" s="1508">
        <v>0</v>
      </c>
      <c r="CY65" s="1508">
        <v>0</v>
      </c>
      <c r="CZ65" s="1508">
        <v>0</v>
      </c>
      <c r="DA65" s="1508">
        <v>0</v>
      </c>
      <c r="DB65" s="1508">
        <v>0</v>
      </c>
      <c r="DC65" s="1508">
        <v>0</v>
      </c>
      <c r="DD65" s="1508">
        <v>0</v>
      </c>
      <c r="DE65" s="1508">
        <v>0</v>
      </c>
      <c r="DF65" s="1508">
        <v>0</v>
      </c>
      <c r="DG65" s="1508">
        <v>0</v>
      </c>
      <c r="DH65" s="1508">
        <v>0</v>
      </c>
      <c r="DI65" s="1508">
        <v>0</v>
      </c>
      <c r="DJ65" s="1508">
        <v>0</v>
      </c>
      <c r="DK65" s="1508">
        <v>0</v>
      </c>
      <c r="DL65" s="1508">
        <v>0</v>
      </c>
      <c r="DN65" s="1509">
        <v>0</v>
      </c>
    </row>
    <row r="66" spans="1:118" s="1522" customFormat="1" ht="12.75" customHeight="1" outlineLevel="1" x14ac:dyDescent="0.2">
      <c r="C66" s="1496" t="s">
        <v>58</v>
      </c>
      <c r="D66" s="14" t="str">
        <f>INDEX(Modulos[Modulos], MATCH($C66, Modulos[Código], 0))</f>
        <v>Mareomotriz y Undimotriz</v>
      </c>
      <c r="E66" s="1497"/>
      <c r="F66" s="14"/>
      <c r="G66" s="1498"/>
      <c r="H66" s="1498"/>
      <c r="I66" s="1498"/>
      <c r="J66" s="1498"/>
      <c r="K66" s="1498"/>
      <c r="L66" s="1498"/>
      <c r="M66" s="1498"/>
      <c r="N66" s="1498"/>
      <c r="O66" s="1498"/>
      <c r="P66" s="1498"/>
      <c r="Q66" s="1498"/>
      <c r="R66" s="1498"/>
      <c r="S66" s="1498"/>
      <c r="T66" s="1498"/>
      <c r="U66" s="1498"/>
      <c r="V66" s="1498"/>
      <c r="W66" s="1499"/>
      <c r="X66" s="14"/>
      <c r="Y66" s="1893">
        <f t="shared" ca="1" si="39"/>
        <v>0</v>
      </c>
      <c r="Z66" s="1893">
        <f t="shared" ca="1" si="39"/>
        <v>1.341198E-2</v>
      </c>
      <c r="AA66" s="1893">
        <f t="shared" ca="1" si="39"/>
        <v>0</v>
      </c>
      <c r="AB66" s="1893">
        <f t="shared" ca="1" si="39"/>
        <v>0</v>
      </c>
      <c r="AC66" s="1893">
        <f t="shared" ca="1" si="39"/>
        <v>0</v>
      </c>
      <c r="AD66" s="1893">
        <f t="shared" ca="1" si="39"/>
        <v>0</v>
      </c>
      <c r="AE66" s="1893">
        <f t="shared" ca="1" si="39"/>
        <v>0</v>
      </c>
      <c r="AF66" s="1893">
        <f t="shared" ca="1" si="39"/>
        <v>0</v>
      </c>
      <c r="AG66" s="1893">
        <f t="shared" ca="1" si="39"/>
        <v>0</v>
      </c>
      <c r="AH66" s="1893">
        <f t="shared" ca="1" si="39"/>
        <v>0</v>
      </c>
      <c r="AI66" s="1893">
        <f t="shared" ca="1" si="40"/>
        <v>0</v>
      </c>
      <c r="AJ66" s="1893">
        <f t="shared" ca="1" si="40"/>
        <v>0</v>
      </c>
      <c r="AK66" s="1893">
        <f t="shared" ca="1" si="40"/>
        <v>0</v>
      </c>
      <c r="AL66" s="1893">
        <f t="shared" ca="1" si="40"/>
        <v>0</v>
      </c>
      <c r="AM66" s="1893">
        <f t="shared" ca="1" si="40"/>
        <v>0</v>
      </c>
      <c r="AN66" s="1893">
        <f t="shared" ca="1" si="40"/>
        <v>0</v>
      </c>
      <c r="AO66" s="1893">
        <f t="shared" ca="1" si="40"/>
        <v>0</v>
      </c>
      <c r="AP66" s="1893">
        <f t="shared" ca="1" si="40"/>
        <v>0</v>
      </c>
      <c r="AQ66" s="1951">
        <f t="shared" ca="1" si="41"/>
        <v>1.341198E-2</v>
      </c>
      <c r="AR66" s="14"/>
      <c r="AS66" s="1948">
        <f t="shared" ca="1" si="42"/>
        <v>0</v>
      </c>
      <c r="AT66" s="1948">
        <f t="shared" ca="1" si="42"/>
        <v>0</v>
      </c>
      <c r="AU66" s="1948">
        <f t="shared" ca="1" si="42"/>
        <v>0</v>
      </c>
      <c r="AV66" s="1948">
        <f t="shared" ca="1" si="42"/>
        <v>0</v>
      </c>
      <c r="AW66" s="1948">
        <f t="shared" ca="1" si="42"/>
        <v>0</v>
      </c>
      <c r="AX66" s="1948">
        <f t="shared" ca="1" si="42"/>
        <v>0</v>
      </c>
      <c r="AY66" s="1948">
        <f t="shared" ca="1" si="42"/>
        <v>0</v>
      </c>
      <c r="AZ66" s="1948">
        <f t="shared" ca="1" si="42"/>
        <v>0</v>
      </c>
      <c r="BA66" s="1948">
        <f t="shared" ca="1" si="42"/>
        <v>0</v>
      </c>
      <c r="BB66" s="1948">
        <f t="shared" ca="1" si="42"/>
        <v>0</v>
      </c>
      <c r="BC66" s="1948">
        <f t="shared" ca="1" si="43"/>
        <v>0</v>
      </c>
      <c r="BD66" s="1948">
        <f t="shared" ca="1" si="43"/>
        <v>0</v>
      </c>
      <c r="BE66" s="1948">
        <f t="shared" ca="1" si="43"/>
        <v>-9.4672799999999998E-3</v>
      </c>
      <c r="BF66" s="1948">
        <f t="shared" ca="1" si="43"/>
        <v>-3.9447000000000006E-3</v>
      </c>
      <c r="BG66" s="1948">
        <f t="shared" ca="1" si="43"/>
        <v>0</v>
      </c>
      <c r="BH66" s="1948">
        <f t="shared" ca="1" si="43"/>
        <v>0</v>
      </c>
      <c r="BI66" s="1948">
        <f t="shared" ca="1" si="43"/>
        <v>0</v>
      </c>
      <c r="BJ66" s="1948">
        <f t="shared" ca="1" si="43"/>
        <v>0</v>
      </c>
      <c r="BK66" s="1948">
        <f t="shared" ca="1" si="43"/>
        <v>0</v>
      </c>
      <c r="BL66" s="1952">
        <f t="shared" ca="1" si="44"/>
        <v>-1.341198E-2</v>
      </c>
      <c r="BM66" s="14"/>
      <c r="BN66" s="1941">
        <f t="shared" ca="1" si="45"/>
        <v>0</v>
      </c>
      <c r="BO66" s="1941">
        <f t="shared" ca="1" si="45"/>
        <v>0</v>
      </c>
      <c r="BP66" s="1505">
        <f t="shared" ca="1" si="46"/>
        <v>0</v>
      </c>
      <c r="BQ66" s="14"/>
      <c r="BR66" s="3168">
        <f t="shared" ca="1" si="12"/>
        <v>0</v>
      </c>
      <c r="BS66" s="1525"/>
      <c r="BT66" s="748"/>
      <c r="BU66" s="1507">
        <v>0</v>
      </c>
      <c r="BV66" s="1508">
        <v>0</v>
      </c>
      <c r="BW66" s="1508">
        <v>0</v>
      </c>
      <c r="BX66" s="1508">
        <v>0</v>
      </c>
      <c r="BY66" s="1508">
        <v>0</v>
      </c>
      <c r="BZ66" s="1508">
        <v>0</v>
      </c>
      <c r="CA66" s="1508">
        <v>0</v>
      </c>
      <c r="CB66" s="1508">
        <v>0</v>
      </c>
      <c r="CC66" s="1508">
        <v>0</v>
      </c>
      <c r="CD66" s="1508">
        <v>0</v>
      </c>
      <c r="CE66" s="1508">
        <v>0</v>
      </c>
      <c r="CF66" s="1508">
        <v>0</v>
      </c>
      <c r="CG66" s="1508">
        <v>0</v>
      </c>
      <c r="CH66" s="1508">
        <v>0</v>
      </c>
      <c r="CI66" s="1508">
        <v>0</v>
      </c>
      <c r="CJ66" s="1508">
        <v>0</v>
      </c>
      <c r="CK66" s="1508">
        <v>0</v>
      </c>
      <c r="CL66" s="1508">
        <v>0</v>
      </c>
      <c r="CM66" s="1508">
        <v>0</v>
      </c>
      <c r="CN66" s="1508">
        <v>0</v>
      </c>
      <c r="CO66" s="1508">
        <v>0</v>
      </c>
      <c r="CP66" s="1508">
        <v>0</v>
      </c>
      <c r="CQ66" s="1508">
        <v>0</v>
      </c>
      <c r="CR66" s="1508">
        <v>0</v>
      </c>
      <c r="CS66" s="1508">
        <v>0</v>
      </c>
      <c r="CT66" s="1508">
        <v>0</v>
      </c>
      <c r="CU66" s="1508">
        <v>0</v>
      </c>
      <c r="CV66" s="1508">
        <v>0</v>
      </c>
      <c r="CW66" s="1508">
        <v>0</v>
      </c>
      <c r="CX66" s="1508">
        <v>0</v>
      </c>
      <c r="CY66" s="1508">
        <v>0</v>
      </c>
      <c r="CZ66" s="1508">
        <v>0</v>
      </c>
      <c r="DA66" s="1508">
        <v>0</v>
      </c>
      <c r="DB66" s="1508">
        <v>0</v>
      </c>
      <c r="DC66" s="1508">
        <v>0</v>
      </c>
      <c r="DD66" s="1508">
        <v>0</v>
      </c>
      <c r="DE66" s="1508">
        <v>0</v>
      </c>
      <c r="DF66" s="1508">
        <v>0</v>
      </c>
      <c r="DG66" s="1508">
        <v>0</v>
      </c>
      <c r="DH66" s="1508">
        <v>0</v>
      </c>
      <c r="DI66" s="1508">
        <v>0</v>
      </c>
      <c r="DJ66" s="1508">
        <v>0</v>
      </c>
      <c r="DK66" s="1508">
        <v>0</v>
      </c>
      <c r="DL66" s="1508">
        <v>0</v>
      </c>
      <c r="DN66" s="1509">
        <v>0</v>
      </c>
    </row>
    <row r="67" spans="1:118" s="1522" customFormat="1" ht="12.75" customHeight="1" outlineLevel="1" x14ac:dyDescent="0.2">
      <c r="C67" s="1496" t="s">
        <v>60</v>
      </c>
      <c r="D67" s="14" t="str">
        <f>INDEX(Modulos[Modulos], MATCH($C67, Modulos[Código], 0))</f>
        <v>Geotérmica</v>
      </c>
      <c r="E67" s="1497"/>
      <c r="F67" s="14"/>
      <c r="G67" s="1498"/>
      <c r="H67" s="1498"/>
      <c r="I67" s="1498"/>
      <c r="J67" s="1498"/>
      <c r="K67" s="1498"/>
      <c r="L67" s="1498"/>
      <c r="M67" s="1498"/>
      <c r="N67" s="1498"/>
      <c r="O67" s="1498"/>
      <c r="P67" s="1498"/>
      <c r="Q67" s="1498"/>
      <c r="R67" s="1498"/>
      <c r="S67" s="1498"/>
      <c r="T67" s="1498"/>
      <c r="U67" s="1498"/>
      <c r="V67" s="1498"/>
      <c r="W67" s="1499"/>
      <c r="X67" s="14"/>
      <c r="Y67" s="1893">
        <f t="shared" ca="1" si="39"/>
        <v>0</v>
      </c>
      <c r="Z67" s="1893">
        <f t="shared" ca="1" si="39"/>
        <v>0.35064000000000006</v>
      </c>
      <c r="AA67" s="1893">
        <f t="shared" ca="1" si="39"/>
        <v>0</v>
      </c>
      <c r="AB67" s="1893">
        <f t="shared" ca="1" si="39"/>
        <v>0</v>
      </c>
      <c r="AC67" s="1893">
        <f t="shared" ca="1" si="39"/>
        <v>0</v>
      </c>
      <c r="AD67" s="1893">
        <f t="shared" ca="1" si="39"/>
        <v>0</v>
      </c>
      <c r="AE67" s="1893">
        <f t="shared" ca="1" si="39"/>
        <v>0</v>
      </c>
      <c r="AF67" s="1893">
        <f t="shared" ca="1" si="39"/>
        <v>0</v>
      </c>
      <c r="AG67" s="1893">
        <f t="shared" ca="1" si="39"/>
        <v>0</v>
      </c>
      <c r="AH67" s="1893">
        <f t="shared" ca="1" si="39"/>
        <v>0</v>
      </c>
      <c r="AI67" s="1893">
        <f t="shared" ca="1" si="40"/>
        <v>0</v>
      </c>
      <c r="AJ67" s="1893">
        <f t="shared" ca="1" si="40"/>
        <v>0</v>
      </c>
      <c r="AK67" s="1893">
        <f t="shared" ca="1" si="40"/>
        <v>0</v>
      </c>
      <c r="AL67" s="1893">
        <f t="shared" ca="1" si="40"/>
        <v>0</v>
      </c>
      <c r="AM67" s="1893">
        <f t="shared" ca="1" si="40"/>
        <v>0</v>
      </c>
      <c r="AN67" s="1893">
        <f t="shared" ca="1" si="40"/>
        <v>0</v>
      </c>
      <c r="AO67" s="1893">
        <f t="shared" ca="1" si="40"/>
        <v>0</v>
      </c>
      <c r="AP67" s="1893">
        <f t="shared" ca="1" si="40"/>
        <v>0</v>
      </c>
      <c r="AQ67" s="1951">
        <f t="shared" ca="1" si="41"/>
        <v>0.35064000000000006</v>
      </c>
      <c r="AR67" s="14"/>
      <c r="AS67" s="1948">
        <f t="shared" ca="1" si="42"/>
        <v>0</v>
      </c>
      <c r="AT67" s="1948">
        <f t="shared" ca="1" si="42"/>
        <v>0</v>
      </c>
      <c r="AU67" s="1948">
        <f t="shared" ca="1" si="42"/>
        <v>0</v>
      </c>
      <c r="AV67" s="1948">
        <f t="shared" ca="1" si="42"/>
        <v>0</v>
      </c>
      <c r="AW67" s="1948">
        <f t="shared" ca="1" si="42"/>
        <v>0</v>
      </c>
      <c r="AX67" s="1948">
        <f t="shared" ca="1" si="42"/>
        <v>0</v>
      </c>
      <c r="AY67" s="1948">
        <f t="shared" ca="1" si="42"/>
        <v>0</v>
      </c>
      <c r="AZ67" s="1948">
        <f t="shared" ca="1" si="42"/>
        <v>0</v>
      </c>
      <c r="BA67" s="1948">
        <f t="shared" ca="1" si="42"/>
        <v>0</v>
      </c>
      <c r="BB67" s="1948">
        <f t="shared" ca="1" si="42"/>
        <v>0</v>
      </c>
      <c r="BC67" s="1948">
        <f t="shared" ca="1" si="43"/>
        <v>0</v>
      </c>
      <c r="BD67" s="1948">
        <f t="shared" ca="1" si="43"/>
        <v>0</v>
      </c>
      <c r="BE67" s="1948">
        <f t="shared" ca="1" si="43"/>
        <v>0</v>
      </c>
      <c r="BF67" s="1948">
        <f t="shared" ca="1" si="43"/>
        <v>0</v>
      </c>
      <c r="BG67" s="1948">
        <f t="shared" ca="1" si="43"/>
        <v>-0.35064000000000006</v>
      </c>
      <c r="BH67" s="1948">
        <f t="shared" ca="1" si="43"/>
        <v>0</v>
      </c>
      <c r="BI67" s="1948">
        <f t="shared" ca="1" si="43"/>
        <v>0</v>
      </c>
      <c r="BJ67" s="1948">
        <f t="shared" ca="1" si="43"/>
        <v>0</v>
      </c>
      <c r="BK67" s="1948">
        <f t="shared" ca="1" si="43"/>
        <v>0</v>
      </c>
      <c r="BL67" s="1952">
        <f t="shared" ca="1" si="44"/>
        <v>-0.35064000000000006</v>
      </c>
      <c r="BM67" s="14"/>
      <c r="BN67" s="1941">
        <f t="shared" ca="1" si="45"/>
        <v>0</v>
      </c>
      <c r="BO67" s="1941">
        <f t="shared" ca="1" si="45"/>
        <v>0</v>
      </c>
      <c r="BP67" s="1505">
        <f t="shared" ca="1" si="46"/>
        <v>0</v>
      </c>
      <c r="BQ67" s="14"/>
      <c r="BR67" s="3168">
        <f t="shared" ca="1" si="12"/>
        <v>0</v>
      </c>
      <c r="BS67" s="1525"/>
      <c r="BT67" s="748"/>
      <c r="BU67" s="1507"/>
      <c r="BV67" s="1508"/>
      <c r="BW67" s="1508"/>
      <c r="BX67" s="1508"/>
      <c r="BY67" s="1508"/>
      <c r="BZ67" s="1508"/>
      <c r="CA67" s="1508"/>
      <c r="CB67" s="1508"/>
      <c r="CC67" s="1508"/>
      <c r="CD67" s="1508"/>
      <c r="CE67" s="1508"/>
      <c r="CF67" s="1508"/>
      <c r="CG67" s="1508"/>
      <c r="CH67" s="1508"/>
      <c r="CI67" s="1508"/>
      <c r="CJ67" s="1508"/>
      <c r="CK67" s="1508"/>
      <c r="CL67" s="1508"/>
      <c r="CM67" s="1508"/>
      <c r="CN67" s="1508"/>
      <c r="CO67" s="1508"/>
      <c r="CP67" s="1508"/>
      <c r="CQ67" s="1508"/>
      <c r="CR67" s="1508"/>
      <c r="CS67" s="1508"/>
      <c r="CT67" s="1508"/>
      <c r="CU67" s="1508"/>
      <c r="CV67" s="1508"/>
      <c r="CW67" s="1508"/>
      <c r="CX67" s="1508"/>
      <c r="CY67" s="1508"/>
      <c r="CZ67" s="1508"/>
      <c r="DA67" s="1508"/>
      <c r="DB67" s="1508"/>
      <c r="DC67" s="1508"/>
      <c r="DD67" s="1508"/>
      <c r="DE67" s="1508"/>
      <c r="DF67" s="1508"/>
      <c r="DG67" s="1508"/>
      <c r="DH67" s="1508"/>
      <c r="DI67" s="1508"/>
      <c r="DJ67" s="1508"/>
      <c r="DK67" s="1508"/>
      <c r="DL67" s="1508"/>
      <c r="DN67" s="1509"/>
    </row>
    <row r="68" spans="1:118" s="1522" customFormat="1" ht="12.75" customHeight="1" outlineLevel="1" x14ac:dyDescent="0.2">
      <c r="C68" s="1496" t="s">
        <v>311</v>
      </c>
      <c r="D68" s="14" t="str">
        <f>INDEX(Modulos[Modulos], MATCH($C68, Modulos[Código], 0))</f>
        <v>Plantas Solares</v>
      </c>
      <c r="E68" s="1497"/>
      <c r="F68" s="14"/>
      <c r="G68" s="1498"/>
      <c r="H68" s="1498"/>
      <c r="I68" s="1498"/>
      <c r="J68" s="1498"/>
      <c r="K68" s="1498"/>
      <c r="L68" s="1498"/>
      <c r="M68" s="1498"/>
      <c r="N68" s="1498"/>
      <c r="O68" s="1498"/>
      <c r="P68" s="1498"/>
      <c r="Q68" s="1498"/>
      <c r="R68" s="1498"/>
      <c r="S68" s="1498"/>
      <c r="T68" s="1498"/>
      <c r="U68" s="1498"/>
      <c r="V68" s="1498"/>
      <c r="W68" s="1499"/>
      <c r="X68" s="14"/>
      <c r="Y68" s="1893">
        <f ca="1">IFERROR(INDEX(INDIRECT($C68&amp;".Outputs["&amp;this.Year&amp;"]"), MATCH(Y$5, INDIRECT($C68&amp;".Outputs[Vector]"), 0)), 0)</f>
        <v>0</v>
      </c>
      <c r="Z68" s="1893">
        <f t="shared" ca="1" si="39"/>
        <v>6.9066437399999998</v>
      </c>
      <c r="AA68" s="1893">
        <f t="shared" ca="1" si="39"/>
        <v>0</v>
      </c>
      <c r="AB68" s="1893">
        <f t="shared" ca="1" si="39"/>
        <v>0</v>
      </c>
      <c r="AC68" s="1893">
        <f t="shared" ca="1" si="39"/>
        <v>0</v>
      </c>
      <c r="AD68" s="1893">
        <f t="shared" ca="1" si="39"/>
        <v>0</v>
      </c>
      <c r="AE68" s="1893">
        <f t="shared" ca="1" si="39"/>
        <v>0</v>
      </c>
      <c r="AF68" s="1893">
        <f t="shared" ca="1" si="39"/>
        <v>0</v>
      </c>
      <c r="AG68" s="1893">
        <f t="shared" ca="1" si="39"/>
        <v>0</v>
      </c>
      <c r="AH68" s="1893">
        <f t="shared" ca="1" si="39"/>
        <v>0</v>
      </c>
      <c r="AI68" s="1893">
        <f t="shared" ca="1" si="40"/>
        <v>0</v>
      </c>
      <c r="AJ68" s="1893">
        <f t="shared" ca="1" si="40"/>
        <v>0</v>
      </c>
      <c r="AK68" s="1893">
        <f t="shared" ca="1" si="40"/>
        <v>0</v>
      </c>
      <c r="AL68" s="1893">
        <f t="shared" ca="1" si="40"/>
        <v>0</v>
      </c>
      <c r="AM68" s="1893">
        <f t="shared" ca="1" si="40"/>
        <v>0</v>
      </c>
      <c r="AN68" s="1893">
        <f t="shared" ca="1" si="40"/>
        <v>0</v>
      </c>
      <c r="AO68" s="1893">
        <f t="shared" ca="1" si="40"/>
        <v>0</v>
      </c>
      <c r="AP68" s="1893">
        <f t="shared" ca="1" si="40"/>
        <v>0</v>
      </c>
      <c r="AQ68" s="1951">
        <f t="shared" ca="1" si="41"/>
        <v>6.9066437399999998</v>
      </c>
      <c r="AR68" s="14"/>
      <c r="AS68" s="1948">
        <f ca="1">IFERROR(INDEX(INDIRECT($C68&amp;".Outputs["&amp;this.Year&amp;"]"), MATCH(AS$5, INDIRECT($C68&amp;".Outputs[Vector]"), 0)), 0)</f>
        <v>0</v>
      </c>
      <c r="AT68" s="1948">
        <f t="shared" ca="1" si="42"/>
        <v>0</v>
      </c>
      <c r="AU68" s="1948">
        <f t="shared" ca="1" si="42"/>
        <v>0</v>
      </c>
      <c r="AV68" s="1948">
        <f t="shared" ca="1" si="42"/>
        <v>0</v>
      </c>
      <c r="AW68" s="1948">
        <f t="shared" ca="1" si="42"/>
        <v>0</v>
      </c>
      <c r="AX68" s="1948">
        <f t="shared" ca="1" si="42"/>
        <v>0</v>
      </c>
      <c r="AY68" s="1948">
        <f t="shared" ca="1" si="42"/>
        <v>0</v>
      </c>
      <c r="AZ68" s="1948">
        <f t="shared" ca="1" si="42"/>
        <v>0</v>
      </c>
      <c r="BA68" s="1948">
        <f t="shared" ca="1" si="42"/>
        <v>0</v>
      </c>
      <c r="BB68" s="1948">
        <f t="shared" ca="1" si="42"/>
        <v>0</v>
      </c>
      <c r="BC68" s="1948">
        <f t="shared" ca="1" si="43"/>
        <v>-7.10046</v>
      </c>
      <c r="BD68" s="1948">
        <f t="shared" ca="1" si="43"/>
        <v>0</v>
      </c>
      <c r="BE68" s="1948">
        <f t="shared" ca="1" si="43"/>
        <v>0</v>
      </c>
      <c r="BF68" s="1948">
        <f t="shared" ca="1" si="43"/>
        <v>0</v>
      </c>
      <c r="BG68" s="1948">
        <f t="shared" ca="1" si="43"/>
        <v>0</v>
      </c>
      <c r="BH68" s="1948">
        <f t="shared" ca="1" si="43"/>
        <v>0</v>
      </c>
      <c r="BI68" s="1948">
        <f t="shared" ca="1" si="43"/>
        <v>0</v>
      </c>
      <c r="BJ68" s="1948">
        <f t="shared" ca="1" si="43"/>
        <v>0</v>
      </c>
      <c r="BK68" s="1948">
        <f t="shared" ca="1" si="43"/>
        <v>0</v>
      </c>
      <c r="BL68" s="1952">
        <f t="shared" ca="1" si="44"/>
        <v>-7.10046</v>
      </c>
      <c r="BM68" s="14"/>
      <c r="BN68" s="1941">
        <f t="shared" ca="1" si="45"/>
        <v>0.19381625999999999</v>
      </c>
      <c r="BO68" s="1941">
        <f t="shared" ca="1" si="45"/>
        <v>0</v>
      </c>
      <c r="BP68" s="1505">
        <f t="shared" ca="1" si="46"/>
        <v>0.19381625999999999</v>
      </c>
      <c r="BQ68" s="14"/>
      <c r="BR68" s="3168">
        <f t="shared" ca="1" si="12"/>
        <v>0</v>
      </c>
      <c r="BS68" s="1525"/>
      <c r="BT68" s="748"/>
      <c r="BU68" s="1507"/>
      <c r="BV68" s="1508"/>
      <c r="BW68" s="1508"/>
      <c r="BX68" s="1508"/>
      <c r="BY68" s="1508"/>
      <c r="BZ68" s="1508"/>
      <c r="CA68" s="1508"/>
      <c r="CB68" s="1508"/>
      <c r="CC68" s="1508"/>
      <c r="CD68" s="1508"/>
      <c r="CE68" s="1508"/>
      <c r="CF68" s="1508"/>
      <c r="CG68" s="1508"/>
      <c r="CH68" s="1508"/>
      <c r="CI68" s="1508"/>
      <c r="CJ68" s="1508"/>
      <c r="CK68" s="1508"/>
      <c r="CL68" s="1508"/>
      <c r="CM68" s="1508"/>
      <c r="CN68" s="1508"/>
      <c r="CO68" s="1508"/>
      <c r="CP68" s="1508"/>
      <c r="CQ68" s="1508"/>
      <c r="CR68" s="1508"/>
      <c r="CS68" s="1508"/>
      <c r="CT68" s="1508"/>
      <c r="CU68" s="1508"/>
      <c r="CV68" s="1508"/>
      <c r="CW68" s="1508"/>
      <c r="CX68" s="1508"/>
      <c r="CY68" s="1508"/>
      <c r="CZ68" s="1508"/>
      <c r="DA68" s="1508"/>
      <c r="DB68" s="1508"/>
      <c r="DC68" s="1508"/>
      <c r="DD68" s="1508"/>
      <c r="DE68" s="1508"/>
      <c r="DF68" s="1508"/>
      <c r="DG68" s="1508"/>
      <c r="DH68" s="1508"/>
      <c r="DI68" s="1508"/>
      <c r="DJ68" s="1508"/>
      <c r="DK68" s="1508"/>
      <c r="DL68" s="1508"/>
      <c r="DN68" s="1509"/>
    </row>
    <row r="69" spans="1:118" s="14" customFormat="1" ht="12.75" customHeight="1" outlineLevel="1" x14ac:dyDescent="0.2">
      <c r="A69" s="1522"/>
      <c r="B69" s="1522"/>
      <c r="C69" s="1496"/>
      <c r="E69" s="1526"/>
      <c r="G69" s="1540"/>
      <c r="H69" s="1540"/>
      <c r="I69" s="1540"/>
      <c r="J69" s="1540"/>
      <c r="K69" s="1540"/>
      <c r="L69" s="1540"/>
      <c r="M69" s="1540"/>
      <c r="N69" s="1540"/>
      <c r="O69" s="1540"/>
      <c r="P69" s="1540"/>
      <c r="Q69" s="1540"/>
      <c r="R69" s="1540"/>
      <c r="S69" s="1540"/>
      <c r="T69" s="1540"/>
      <c r="U69" s="1540"/>
      <c r="V69" s="1540"/>
      <c r="W69" s="1527"/>
      <c r="Y69" s="1541">
        <f ca="1">IFERROR(INDEX(INDIRECT($C69&amp;".Outputs["&amp;this.Year&amp;"]"), MATCH(Y$5, INDIRECT($C69&amp;".Outputs[Vector]"), 0)), 0)</f>
        <v>0</v>
      </c>
      <c r="Z69" s="1541">
        <f t="shared" ca="1" si="39"/>
        <v>0</v>
      </c>
      <c r="AA69" s="1541">
        <f t="shared" ca="1" si="39"/>
        <v>0</v>
      </c>
      <c r="AB69" s="1541">
        <f t="shared" ca="1" si="39"/>
        <v>0</v>
      </c>
      <c r="AC69" s="1541">
        <f t="shared" ca="1" si="39"/>
        <v>0</v>
      </c>
      <c r="AD69" s="1541">
        <f t="shared" ca="1" si="39"/>
        <v>0</v>
      </c>
      <c r="AE69" s="1541">
        <f t="shared" ca="1" si="39"/>
        <v>0</v>
      </c>
      <c r="AF69" s="1541">
        <f t="shared" ca="1" si="39"/>
        <v>0</v>
      </c>
      <c r="AG69" s="1541">
        <f t="shared" ca="1" si="39"/>
        <v>0</v>
      </c>
      <c r="AH69" s="1541">
        <f t="shared" ca="1" si="39"/>
        <v>0</v>
      </c>
      <c r="AI69" s="1541">
        <f t="shared" ca="1" si="39"/>
        <v>0</v>
      </c>
      <c r="AJ69" s="1541">
        <f t="shared" ca="1" si="39"/>
        <v>0</v>
      </c>
      <c r="AK69" s="1541">
        <f t="shared" ca="1" si="40"/>
        <v>0</v>
      </c>
      <c r="AL69" s="1541">
        <f t="shared" ca="1" si="39"/>
        <v>0</v>
      </c>
      <c r="AM69" s="1541">
        <f t="shared" ca="1" si="39"/>
        <v>0</v>
      </c>
      <c r="AN69" s="1541">
        <f t="shared" ca="1" si="39"/>
        <v>0</v>
      </c>
      <c r="AO69" s="1541">
        <f t="shared" ca="1" si="40"/>
        <v>0</v>
      </c>
      <c r="AP69" s="1541">
        <f t="shared" ca="1" si="40"/>
        <v>0</v>
      </c>
      <c r="AQ69" s="1951">
        <f t="shared" ca="1" si="41"/>
        <v>0</v>
      </c>
      <c r="AS69" s="1542">
        <f ca="1">IFERROR(INDEX(INDIRECT($C69&amp;".Outputs["&amp;this.Year&amp;"]"), MATCH(AS$5, INDIRECT($C69&amp;".Outputs[Vector]"), 0)), 0)</f>
        <v>0</v>
      </c>
      <c r="AT69" s="1542">
        <f t="shared" ca="1" si="42"/>
        <v>0</v>
      </c>
      <c r="AU69" s="1542">
        <f t="shared" ca="1" si="42"/>
        <v>0</v>
      </c>
      <c r="AV69" s="1542">
        <f t="shared" ca="1" si="42"/>
        <v>0</v>
      </c>
      <c r="AW69" s="1542">
        <f t="shared" ca="1" si="42"/>
        <v>0</v>
      </c>
      <c r="AX69" s="1542">
        <f t="shared" ca="1" si="42"/>
        <v>0</v>
      </c>
      <c r="AY69" s="1542">
        <f t="shared" ca="1" si="42"/>
        <v>0</v>
      </c>
      <c r="AZ69" s="1542">
        <f t="shared" ca="1" si="42"/>
        <v>0</v>
      </c>
      <c r="BA69" s="1542">
        <f t="shared" ca="1" si="42"/>
        <v>0</v>
      </c>
      <c r="BB69" s="1542">
        <f t="shared" ca="1" si="42"/>
        <v>0</v>
      </c>
      <c r="BC69" s="1542">
        <f t="shared" ca="1" si="42"/>
        <v>0</v>
      </c>
      <c r="BD69" s="1542">
        <f t="shared" ca="1" si="42"/>
        <v>0</v>
      </c>
      <c r="BE69" s="1542">
        <f t="shared" ca="1" si="42"/>
        <v>0</v>
      </c>
      <c r="BF69" s="1542">
        <f t="shared" ca="1" si="42"/>
        <v>0</v>
      </c>
      <c r="BG69" s="1542">
        <f t="shared" ca="1" si="42"/>
        <v>0</v>
      </c>
      <c r="BH69" s="1542">
        <f t="shared" ca="1" si="42"/>
        <v>0</v>
      </c>
      <c r="BI69" s="1542">
        <f t="shared" ca="1" si="43"/>
        <v>0</v>
      </c>
      <c r="BJ69" s="1542">
        <f t="shared" ca="1" si="43"/>
        <v>0</v>
      </c>
      <c r="BK69" s="1542">
        <f t="shared" ca="1" si="43"/>
        <v>0</v>
      </c>
      <c r="BL69" s="1952">
        <f t="shared" ca="1" si="44"/>
        <v>0</v>
      </c>
      <c r="BN69" s="1543"/>
      <c r="BO69" s="1543"/>
      <c r="BP69" s="1531"/>
      <c r="BR69" s="3168">
        <f t="shared" ca="1" si="12"/>
        <v>0</v>
      </c>
      <c r="BS69" s="1525"/>
      <c r="BT69" s="748"/>
      <c r="BU69" s="1532">
        <v>0</v>
      </c>
      <c r="BV69" s="1533">
        <v>0</v>
      </c>
      <c r="BW69" s="1533">
        <v>0</v>
      </c>
      <c r="BX69" s="1533">
        <v>0</v>
      </c>
      <c r="BY69" s="1533">
        <v>0</v>
      </c>
      <c r="BZ69" s="1533">
        <v>0</v>
      </c>
      <c r="CA69" s="1533">
        <v>0</v>
      </c>
      <c r="CB69" s="1533">
        <v>0</v>
      </c>
      <c r="CC69" s="1533">
        <v>0</v>
      </c>
      <c r="CD69" s="1533">
        <v>0</v>
      </c>
      <c r="CE69" s="1533">
        <v>0</v>
      </c>
      <c r="CF69" s="1533">
        <v>0</v>
      </c>
      <c r="CG69" s="1533">
        <v>0</v>
      </c>
      <c r="CH69" s="1533">
        <v>0</v>
      </c>
      <c r="CI69" s="1533">
        <v>0</v>
      </c>
      <c r="CJ69" s="1533">
        <v>0</v>
      </c>
      <c r="CK69" s="1533">
        <v>0</v>
      </c>
      <c r="CL69" s="1533">
        <v>0</v>
      </c>
      <c r="CM69" s="1533">
        <v>0</v>
      </c>
      <c r="CN69" s="1533">
        <v>0</v>
      </c>
      <c r="CO69" s="1533">
        <v>0</v>
      </c>
      <c r="CP69" s="1533">
        <v>0</v>
      </c>
      <c r="CQ69" s="1533">
        <v>0</v>
      </c>
      <c r="CR69" s="1533">
        <v>0</v>
      </c>
      <c r="CS69" s="1533">
        <v>0</v>
      </c>
      <c r="CT69" s="1533">
        <v>0</v>
      </c>
      <c r="CU69" s="1533">
        <v>0</v>
      </c>
      <c r="CV69" s="1533">
        <v>0</v>
      </c>
      <c r="CW69" s="1533">
        <v>0</v>
      </c>
      <c r="CX69" s="1533">
        <v>0</v>
      </c>
      <c r="CY69" s="1533">
        <v>0</v>
      </c>
      <c r="CZ69" s="1533">
        <v>0</v>
      </c>
      <c r="DA69" s="1533">
        <v>0</v>
      </c>
      <c r="DB69" s="1533">
        <v>0</v>
      </c>
      <c r="DC69" s="1533">
        <v>0</v>
      </c>
      <c r="DD69" s="1533">
        <v>0</v>
      </c>
      <c r="DE69" s="1533">
        <v>0</v>
      </c>
      <c r="DF69" s="1533">
        <v>0</v>
      </c>
      <c r="DG69" s="1533">
        <v>0</v>
      </c>
      <c r="DH69" s="1533">
        <v>0</v>
      </c>
      <c r="DI69" s="1533">
        <v>0</v>
      </c>
      <c r="DJ69" s="1533">
        <v>0</v>
      </c>
      <c r="DK69" s="1533">
        <v>0</v>
      </c>
      <c r="DL69" s="1533">
        <v>0</v>
      </c>
      <c r="DN69" s="1509">
        <v>0</v>
      </c>
    </row>
    <row r="70" spans="1:118" s="14" customFormat="1" ht="15.75" x14ac:dyDescent="0.2">
      <c r="A70" s="1534"/>
      <c r="B70" s="1535"/>
      <c r="C70" s="1536" t="s">
        <v>206</v>
      </c>
      <c r="D70" s="1537" t="str">
        <f>INDEX(Flujos[Flujos], MATCH($C70, Flujos[Código], 0))</f>
        <v>Energía Renovable</v>
      </c>
      <c r="E70" s="1538"/>
      <c r="G70" s="1488"/>
      <c r="H70" s="1488"/>
      <c r="I70" s="1488"/>
      <c r="J70" s="1488"/>
      <c r="K70" s="1488"/>
      <c r="L70" s="1488"/>
      <c r="M70" s="1488"/>
      <c r="N70" s="1488"/>
      <c r="O70" s="1488"/>
      <c r="P70" s="1488"/>
      <c r="Q70" s="1488"/>
      <c r="R70" s="1488"/>
      <c r="S70" s="1488"/>
      <c r="T70" s="1488"/>
      <c r="U70" s="1488"/>
      <c r="V70" s="1488"/>
      <c r="W70" s="1539"/>
      <c r="Y70" s="1490">
        <f ca="1">SUM(Y62:Y69)</f>
        <v>0</v>
      </c>
      <c r="Z70" s="1490">
        <f t="shared" ref="Z70:AP70" ca="1" si="47">SUM(Z62:Z69)</f>
        <v>36.389986919999998</v>
      </c>
      <c r="AA70" s="1490">
        <f t="shared" ca="1" si="47"/>
        <v>0</v>
      </c>
      <c r="AB70" s="1490">
        <f t="shared" ca="1" si="47"/>
        <v>0</v>
      </c>
      <c r="AC70" s="1490">
        <f t="shared" ca="1" si="47"/>
        <v>0</v>
      </c>
      <c r="AD70" s="1490">
        <f t="shared" ca="1" si="47"/>
        <v>0</v>
      </c>
      <c r="AE70" s="1490">
        <f t="shared" ca="1" si="47"/>
        <v>0</v>
      </c>
      <c r="AF70" s="1490">
        <f t="shared" ca="1" si="47"/>
        <v>0</v>
      </c>
      <c r="AG70" s="1490">
        <f t="shared" ca="1" si="47"/>
        <v>0</v>
      </c>
      <c r="AH70" s="1490">
        <f t="shared" ca="1" si="47"/>
        <v>0</v>
      </c>
      <c r="AI70" s="1490">
        <f t="shared" ca="1" si="47"/>
        <v>0</v>
      </c>
      <c r="AJ70" s="1490">
        <f t="shared" ca="1" si="47"/>
        <v>0</v>
      </c>
      <c r="AK70" s="1490">
        <f t="shared" ca="1" si="47"/>
        <v>0</v>
      </c>
      <c r="AL70" s="1490">
        <f t="shared" ca="1" si="47"/>
        <v>0</v>
      </c>
      <c r="AM70" s="1490">
        <f t="shared" ca="1" si="47"/>
        <v>0</v>
      </c>
      <c r="AN70" s="1490">
        <f t="shared" ca="1" si="47"/>
        <v>0</v>
      </c>
      <c r="AO70" s="1490">
        <f t="shared" ca="1" si="47"/>
        <v>0</v>
      </c>
      <c r="AP70" s="1490">
        <f t="shared" ca="1" si="47"/>
        <v>0</v>
      </c>
      <c r="AQ70" s="1893">
        <f t="shared" ca="1" si="41"/>
        <v>36.389986919999998</v>
      </c>
      <c r="AS70" s="1491">
        <f ca="1">SUM(AS62:AS69)</f>
        <v>0</v>
      </c>
      <c r="AT70" s="1491">
        <f t="shared" ref="AT70:BK70" ca="1" si="48">SUM(AT62:AT69)</f>
        <v>0</v>
      </c>
      <c r="AU70" s="1491">
        <f t="shared" ca="1" si="48"/>
        <v>0</v>
      </c>
      <c r="AV70" s="1491">
        <f t="shared" ca="1" si="48"/>
        <v>0</v>
      </c>
      <c r="AW70" s="1491">
        <f t="shared" ca="1" si="48"/>
        <v>0</v>
      </c>
      <c r="AX70" s="1491">
        <f t="shared" ca="1" si="48"/>
        <v>0</v>
      </c>
      <c r="AY70" s="1491">
        <f t="shared" ca="1" si="48"/>
        <v>0</v>
      </c>
      <c r="AZ70" s="1491">
        <f t="shared" ca="1" si="48"/>
        <v>0</v>
      </c>
      <c r="BA70" s="1491">
        <f t="shared" ca="1" si="48"/>
        <v>0</v>
      </c>
      <c r="BB70" s="1491">
        <f t="shared" ca="1" si="48"/>
        <v>0</v>
      </c>
      <c r="BC70" s="1491">
        <f t="shared" ca="1" si="48"/>
        <v>-7.10046</v>
      </c>
      <c r="BD70" s="1491">
        <f t="shared" ca="1" si="48"/>
        <v>-4.9601951999999994</v>
      </c>
      <c r="BE70" s="1491">
        <f t="shared" ca="1" si="48"/>
        <v>-9.4672799999999998E-3</v>
      </c>
      <c r="BF70" s="1491">
        <f t="shared" ca="1" si="48"/>
        <v>-3.9447000000000006E-3</v>
      </c>
      <c r="BG70" s="1491">
        <f t="shared" ca="1" si="48"/>
        <v>-0.35064000000000006</v>
      </c>
      <c r="BH70" s="1491">
        <f t="shared" ca="1" si="48"/>
        <v>-24.159096000000002</v>
      </c>
      <c r="BI70" s="1491">
        <f t="shared" ca="1" si="48"/>
        <v>0</v>
      </c>
      <c r="BJ70" s="1491">
        <f t="shared" ca="1" si="48"/>
        <v>0</v>
      </c>
      <c r="BK70" s="1491">
        <f t="shared" ca="1" si="48"/>
        <v>0</v>
      </c>
      <c r="BL70" s="1952">
        <f t="shared" ca="1" si="44"/>
        <v>-36.583803180000004</v>
      </c>
      <c r="BN70" s="1941">
        <f ca="1">SUM(BN62:BN68)</f>
        <v>0.19381625999999999</v>
      </c>
      <c r="BO70" s="1941">
        <f ca="1">SUM(BO62:BO68)</f>
        <v>0</v>
      </c>
      <c r="BP70" s="1505">
        <f ca="1">BN70+BO70</f>
        <v>0.19381625999999999</v>
      </c>
      <c r="BR70" s="3168">
        <f t="shared" ca="1" si="12"/>
        <v>-5.5233595475101538E-15</v>
      </c>
      <c r="BS70" s="1493"/>
      <c r="BT70" s="748"/>
      <c r="BU70" s="1508">
        <v>0</v>
      </c>
      <c r="BV70" s="1508">
        <v>0</v>
      </c>
      <c r="BW70" s="1508">
        <v>0</v>
      </c>
      <c r="BX70" s="1508">
        <v>0</v>
      </c>
      <c r="BY70" s="1508">
        <v>0</v>
      </c>
      <c r="BZ70" s="1508">
        <v>0</v>
      </c>
      <c r="CA70" s="1508">
        <v>0</v>
      </c>
      <c r="CB70" s="1508">
        <v>0</v>
      </c>
      <c r="CC70" s="1508">
        <v>0</v>
      </c>
      <c r="CD70" s="1508">
        <v>0</v>
      </c>
      <c r="CE70" s="1508">
        <v>0</v>
      </c>
      <c r="CF70" s="1508">
        <v>0</v>
      </c>
      <c r="CG70" s="1508">
        <v>0</v>
      </c>
      <c r="CH70" s="1508">
        <v>0</v>
      </c>
      <c r="CI70" s="1508">
        <v>0</v>
      </c>
      <c r="CJ70" s="1508">
        <v>0</v>
      </c>
      <c r="CK70" s="1508">
        <v>0</v>
      </c>
      <c r="CL70" s="1508">
        <v>0</v>
      </c>
      <c r="CM70" s="1508">
        <v>0</v>
      </c>
      <c r="CN70" s="1508">
        <v>0</v>
      </c>
      <c r="CO70" s="1508">
        <v>0</v>
      </c>
      <c r="CP70" s="1508">
        <v>0</v>
      </c>
      <c r="CQ70" s="1508">
        <v>0</v>
      </c>
      <c r="CR70" s="1508">
        <v>0</v>
      </c>
      <c r="CS70" s="1508">
        <v>0</v>
      </c>
      <c r="CT70" s="1508">
        <v>0</v>
      </c>
      <c r="CU70" s="1508">
        <v>0</v>
      </c>
      <c r="CV70" s="1508">
        <v>0</v>
      </c>
      <c r="CW70" s="1508">
        <v>0</v>
      </c>
      <c r="CX70" s="1508">
        <v>0</v>
      </c>
      <c r="CY70" s="1508">
        <v>0</v>
      </c>
      <c r="CZ70" s="1508">
        <v>0</v>
      </c>
      <c r="DA70" s="1508">
        <v>0</v>
      </c>
      <c r="DB70" s="1508">
        <v>0</v>
      </c>
      <c r="DC70" s="1508">
        <v>0</v>
      </c>
      <c r="DD70" s="1508">
        <v>0</v>
      </c>
      <c r="DE70" s="1508">
        <v>0</v>
      </c>
      <c r="DF70" s="1508">
        <v>0</v>
      </c>
      <c r="DG70" s="1508">
        <v>0</v>
      </c>
      <c r="DH70" s="1508">
        <v>0</v>
      </c>
      <c r="DI70" s="1508">
        <v>0</v>
      </c>
      <c r="DJ70" s="1508">
        <v>0</v>
      </c>
      <c r="DK70" s="1508">
        <v>0</v>
      </c>
      <c r="DL70" s="1508">
        <v>0</v>
      </c>
      <c r="DN70" s="1509">
        <v>0</v>
      </c>
    </row>
    <row r="71" spans="1:118" s="14" customFormat="1" ht="15.75" x14ac:dyDescent="0.2">
      <c r="A71" s="1534"/>
      <c r="B71" s="1535"/>
      <c r="C71" s="1536"/>
      <c r="D71" s="1537"/>
      <c r="E71" s="1538"/>
      <c r="G71" s="1488"/>
      <c r="H71" s="1488"/>
      <c r="I71" s="1488"/>
      <c r="J71" s="1488"/>
      <c r="K71" s="1488"/>
      <c r="L71" s="1488"/>
      <c r="M71" s="1488"/>
      <c r="N71" s="1488"/>
      <c r="O71" s="1488"/>
      <c r="P71" s="1488"/>
      <c r="Q71" s="1488"/>
      <c r="R71" s="1488"/>
      <c r="S71" s="1488"/>
      <c r="T71" s="1488"/>
      <c r="U71" s="1488"/>
      <c r="V71" s="1488"/>
      <c r="W71" s="1539"/>
      <c r="Y71" s="1490"/>
      <c r="Z71" s="1490"/>
      <c r="AA71" s="1490"/>
      <c r="AB71" s="1490"/>
      <c r="AC71" s="1490"/>
      <c r="AD71" s="1490"/>
      <c r="AE71" s="1490"/>
      <c r="AF71" s="1490"/>
      <c r="AG71" s="1490"/>
      <c r="AH71" s="1490"/>
      <c r="AI71" s="1490"/>
      <c r="AJ71" s="1490"/>
      <c r="AK71" s="1490"/>
      <c r="AL71" s="1490"/>
      <c r="AM71" s="1490"/>
      <c r="AN71" s="1490"/>
      <c r="AO71" s="1490"/>
      <c r="AP71" s="1490"/>
      <c r="AQ71" s="1893"/>
      <c r="AS71" s="1491"/>
      <c r="AT71" s="1491"/>
      <c r="AU71" s="1491"/>
      <c r="AV71" s="1491"/>
      <c r="AW71" s="1491"/>
      <c r="AX71" s="1491"/>
      <c r="AY71" s="1491"/>
      <c r="AZ71" s="1491"/>
      <c r="BA71" s="1491"/>
      <c r="BB71" s="1491"/>
      <c r="BC71" s="1491"/>
      <c r="BD71" s="1491"/>
      <c r="BE71" s="1491"/>
      <c r="BF71" s="1491"/>
      <c r="BG71" s="1491"/>
      <c r="BH71" s="1491"/>
      <c r="BI71" s="1491"/>
      <c r="BJ71" s="1491"/>
      <c r="BK71" s="1491"/>
      <c r="BL71" s="1491"/>
      <c r="BN71" s="1492"/>
      <c r="BO71" s="1492"/>
      <c r="BP71" s="1492"/>
      <c r="BR71" s="3168"/>
      <c r="BS71" s="1493"/>
      <c r="BT71" s="748"/>
      <c r="BU71" s="1508"/>
      <c r="BV71" s="1508"/>
      <c r="BW71" s="1508"/>
      <c r="BX71" s="1508"/>
      <c r="BY71" s="1508"/>
      <c r="BZ71" s="1508"/>
      <c r="CA71" s="1508"/>
      <c r="CB71" s="1508"/>
      <c r="CC71" s="1508"/>
      <c r="CD71" s="1508"/>
      <c r="CE71" s="1508"/>
      <c r="CF71" s="1508"/>
      <c r="CG71" s="1508"/>
      <c r="CH71" s="1508"/>
      <c r="CI71" s="1508"/>
      <c r="CJ71" s="1508"/>
      <c r="CK71" s="1508"/>
      <c r="CL71" s="1508"/>
      <c r="CM71" s="1508"/>
      <c r="CN71" s="1508"/>
      <c r="CO71" s="1508"/>
      <c r="CP71" s="1508"/>
      <c r="CQ71" s="1508"/>
      <c r="CR71" s="1508"/>
      <c r="CS71" s="1508"/>
      <c r="CT71" s="1508"/>
      <c r="CU71" s="1508"/>
      <c r="CV71" s="1508"/>
      <c r="CW71" s="1508"/>
      <c r="CX71" s="1508"/>
      <c r="CY71" s="1508"/>
      <c r="CZ71" s="1508"/>
      <c r="DA71" s="1508"/>
      <c r="DB71" s="1508"/>
      <c r="DC71" s="1508"/>
      <c r="DD71" s="1508"/>
      <c r="DE71" s="1508"/>
      <c r="DF71" s="1508"/>
      <c r="DG71" s="1508"/>
      <c r="DH71" s="1508"/>
      <c r="DI71" s="1508"/>
      <c r="DJ71" s="1508"/>
      <c r="DK71" s="1508"/>
      <c r="DL71" s="1508"/>
      <c r="DN71" s="1509"/>
    </row>
    <row r="72" spans="1:118" s="14" customFormat="1" ht="12.75" customHeight="1" outlineLevel="1" x14ac:dyDescent="0.2">
      <c r="A72" s="1534"/>
      <c r="B72" s="1534"/>
      <c r="C72" s="1544"/>
      <c r="D72" s="1538"/>
      <c r="E72" s="1538"/>
      <c r="G72" s="1488"/>
      <c r="H72" s="1488"/>
      <c r="I72" s="1488"/>
      <c r="J72" s="1488"/>
      <c r="K72" s="1488"/>
      <c r="L72" s="1488"/>
      <c r="M72" s="1488"/>
      <c r="N72" s="1488"/>
      <c r="O72" s="1563"/>
      <c r="P72" s="1488"/>
      <c r="Q72" s="1488"/>
      <c r="R72" s="1488"/>
      <c r="S72" s="1488"/>
      <c r="T72" s="1488"/>
      <c r="U72" s="1488"/>
      <c r="V72" s="1488"/>
      <c r="W72" s="1488"/>
      <c r="Y72" s="1490"/>
      <c r="Z72" s="1490"/>
      <c r="AA72" s="1490"/>
      <c r="AB72" s="1490"/>
      <c r="AC72" s="1490"/>
      <c r="AD72" s="1490"/>
      <c r="AE72" s="1490"/>
      <c r="AF72" s="1490"/>
      <c r="AG72" s="1490"/>
      <c r="AH72" s="1490"/>
      <c r="AI72" s="1490"/>
      <c r="AJ72" s="1490"/>
      <c r="AK72" s="1490"/>
      <c r="AL72" s="1490"/>
      <c r="AM72" s="1490"/>
      <c r="AN72" s="1490"/>
      <c r="AO72" s="1490"/>
      <c r="AP72" s="1490"/>
      <c r="AQ72" s="1893"/>
      <c r="AS72" s="1491"/>
      <c r="AT72" s="1491"/>
      <c r="AU72" s="1491"/>
      <c r="AV72" s="1491"/>
      <c r="AW72" s="1491"/>
      <c r="AX72" s="1491"/>
      <c r="AY72" s="1491"/>
      <c r="AZ72" s="1491"/>
      <c r="BA72" s="1491"/>
      <c r="BB72" s="1491"/>
      <c r="BC72" s="1491"/>
      <c r="BD72" s="1491"/>
      <c r="BE72" s="1491"/>
      <c r="BF72" s="1491"/>
      <c r="BG72" s="1491"/>
      <c r="BH72" s="1491"/>
      <c r="BI72" s="1491"/>
      <c r="BJ72" s="1491"/>
      <c r="BK72" s="1491"/>
      <c r="BL72" s="1491"/>
      <c r="BN72" s="1492"/>
      <c r="BO72" s="1492"/>
      <c r="BP72" s="1492"/>
      <c r="BR72" s="3168">
        <f t="shared" si="12"/>
        <v>0</v>
      </c>
      <c r="BS72" s="1493"/>
      <c r="BT72" s="1534"/>
      <c r="BU72" s="1508"/>
      <c r="BV72" s="1508"/>
      <c r="BW72" s="1508"/>
      <c r="BX72" s="1508"/>
      <c r="BY72" s="1508"/>
      <c r="BZ72" s="1508"/>
      <c r="CA72" s="1508"/>
      <c r="CB72" s="1508"/>
      <c r="CC72" s="1508"/>
      <c r="CD72" s="1508"/>
      <c r="CE72" s="1508"/>
      <c r="CF72" s="1508"/>
      <c r="CG72" s="1508"/>
      <c r="CH72" s="1508"/>
      <c r="CI72" s="1508"/>
      <c r="CJ72" s="1508"/>
      <c r="CK72" s="1508"/>
      <c r="CL72" s="1508"/>
      <c r="CM72" s="1508"/>
      <c r="CN72" s="1508"/>
      <c r="CO72" s="1508"/>
      <c r="CP72" s="1508"/>
      <c r="CQ72" s="1508"/>
      <c r="CR72" s="1508"/>
      <c r="CS72" s="1508"/>
      <c r="CT72" s="1508"/>
      <c r="CU72" s="1508"/>
      <c r="CV72" s="1508"/>
      <c r="CW72" s="1508"/>
      <c r="CX72" s="1508"/>
      <c r="CY72" s="1508"/>
      <c r="CZ72" s="1508"/>
      <c r="DA72" s="1508"/>
      <c r="DB72" s="1508"/>
      <c r="DC72" s="1508"/>
      <c r="DD72" s="1508"/>
      <c r="DE72" s="1508"/>
      <c r="DF72" s="1508"/>
      <c r="DG72" s="1508"/>
      <c r="DH72" s="1508"/>
      <c r="DI72" s="1508"/>
      <c r="DJ72" s="1508"/>
      <c r="DK72" s="1508"/>
      <c r="DL72" s="1508"/>
      <c r="DN72" s="1509">
        <v>0</v>
      </c>
    </row>
    <row r="73" spans="1:118" s="1522" customFormat="1" ht="12.75" customHeight="1" outlineLevel="1" x14ac:dyDescent="0.2">
      <c r="C73" s="1496" t="s">
        <v>62</v>
      </c>
      <c r="D73" s="14" t="str">
        <f>INDEX(Modulos[Modulos], MATCH($C73, Modulos[Código], 0))</f>
        <v>Solar de menor escala (GD)</v>
      </c>
      <c r="E73" s="1497"/>
      <c r="G73" s="1581"/>
      <c r="H73" s="1581"/>
      <c r="I73" s="1581"/>
      <c r="J73" s="1581"/>
      <c r="K73" s="1581"/>
      <c r="L73" s="1581"/>
      <c r="M73" s="1581"/>
      <c r="N73" s="1581"/>
      <c r="O73" s="1582"/>
      <c r="P73" s="1581"/>
      <c r="Q73" s="1581"/>
      <c r="R73" s="1581"/>
      <c r="S73" s="1581"/>
      <c r="T73" s="1581"/>
      <c r="U73" s="1581"/>
      <c r="V73" s="1581"/>
      <c r="W73" s="1583"/>
      <c r="Y73" s="1893">
        <f t="shared" ref="Y73:AH74" ca="1" si="49">IFERROR(INDEX(INDIRECT($C73&amp;".Outputs["&amp;this.Year&amp;"]"), MATCH(Y$5, INDIRECT($C73&amp;".Outputs[Vector]"), 0)), 0)</f>
        <v>0</v>
      </c>
      <c r="Z73" s="1893">
        <f t="shared" ca="1" si="49"/>
        <v>8.4682342872358943E-2</v>
      </c>
      <c r="AA73" s="1893">
        <f t="shared" ca="1" si="49"/>
        <v>0</v>
      </c>
      <c r="AB73" s="1893">
        <f t="shared" ca="1" si="49"/>
        <v>0</v>
      </c>
      <c r="AC73" s="1893">
        <f t="shared" ca="1" si="49"/>
        <v>0</v>
      </c>
      <c r="AD73" s="1893">
        <f t="shared" ca="1" si="49"/>
        <v>0</v>
      </c>
      <c r="AE73" s="1893">
        <f t="shared" ca="1" si="49"/>
        <v>0</v>
      </c>
      <c r="AF73" s="1893">
        <f t="shared" ca="1" si="49"/>
        <v>0</v>
      </c>
      <c r="AG73" s="1893">
        <f t="shared" ca="1" si="49"/>
        <v>0</v>
      </c>
      <c r="AH73" s="1893">
        <f t="shared" ca="1" si="49"/>
        <v>0</v>
      </c>
      <c r="AI73" s="1893">
        <f t="shared" ref="AI73:AP74" ca="1" si="50">IFERROR(INDEX(INDIRECT($C73&amp;".Outputs["&amp;this.Year&amp;"]"), MATCH(AI$5, INDIRECT($C73&amp;".Outputs[Vector]"), 0)), 0)</f>
        <v>0</v>
      </c>
      <c r="AJ73" s="1893">
        <f t="shared" ca="1" si="50"/>
        <v>0</v>
      </c>
      <c r="AK73" s="1893">
        <f t="shared" ca="1" si="50"/>
        <v>0</v>
      </c>
      <c r="AL73" s="1893">
        <f t="shared" ca="1" si="50"/>
        <v>0</v>
      </c>
      <c r="AM73" s="1893">
        <f t="shared" ca="1" si="50"/>
        <v>0</v>
      </c>
      <c r="AN73" s="1893">
        <f t="shared" ca="1" si="50"/>
        <v>0</v>
      </c>
      <c r="AO73" s="1893">
        <f t="shared" ca="1" si="50"/>
        <v>0</v>
      </c>
      <c r="AP73" s="1893">
        <f t="shared" ca="1" si="50"/>
        <v>0</v>
      </c>
      <c r="AQ73" s="1893">
        <f ca="1">SUM(Y73:AP73)</f>
        <v>8.4682342872358943E-2</v>
      </c>
      <c r="AS73" s="1948">
        <f t="shared" ref="AS73:BB74" ca="1" si="51">IFERROR(INDEX(INDIRECT($C73&amp;".Outputs["&amp;this.Year&amp;"]"), MATCH(AS$5, INDIRECT($C73&amp;".Outputs[Vector]"), 0)), 0)</f>
        <v>0</v>
      </c>
      <c r="AT73" s="1948">
        <f t="shared" ca="1" si="51"/>
        <v>0</v>
      </c>
      <c r="AU73" s="1948">
        <f t="shared" ca="1" si="51"/>
        <v>0</v>
      </c>
      <c r="AV73" s="1948">
        <f t="shared" ca="1" si="51"/>
        <v>0</v>
      </c>
      <c r="AW73" s="1948">
        <f t="shared" ca="1" si="51"/>
        <v>0</v>
      </c>
      <c r="AX73" s="1948">
        <f t="shared" ca="1" si="51"/>
        <v>0</v>
      </c>
      <c r="AY73" s="1948">
        <f t="shared" ca="1" si="51"/>
        <v>0</v>
      </c>
      <c r="AZ73" s="1948">
        <f t="shared" ca="1" si="51"/>
        <v>0</v>
      </c>
      <c r="BA73" s="1948">
        <f t="shared" ca="1" si="51"/>
        <v>0</v>
      </c>
      <c r="BB73" s="1948">
        <f t="shared" ca="1" si="51"/>
        <v>0</v>
      </c>
      <c r="BC73" s="1948">
        <f t="shared" ref="BC73:BK74" ca="1" si="52">IFERROR(INDEX(INDIRECT($C73&amp;".Outputs["&amp;this.Year&amp;"]"), MATCH(BC$5, INDIRECT($C73&amp;".Outputs[Vector]"), 0)), 0)</f>
        <v>-8.4682342872358943E-2</v>
      </c>
      <c r="BD73" s="1948">
        <f t="shared" ca="1" si="52"/>
        <v>0</v>
      </c>
      <c r="BE73" s="1948">
        <f t="shared" ca="1" si="52"/>
        <v>0</v>
      </c>
      <c r="BF73" s="1948">
        <f t="shared" ca="1" si="52"/>
        <v>0</v>
      </c>
      <c r="BG73" s="1948">
        <f t="shared" ca="1" si="52"/>
        <v>0</v>
      </c>
      <c r="BH73" s="1948">
        <f t="shared" ca="1" si="52"/>
        <v>0</v>
      </c>
      <c r="BI73" s="1948">
        <f t="shared" ca="1" si="52"/>
        <v>0</v>
      </c>
      <c r="BJ73" s="1948">
        <f t="shared" ca="1" si="52"/>
        <v>0</v>
      </c>
      <c r="BK73" s="1948">
        <f t="shared" ca="1" si="52"/>
        <v>0</v>
      </c>
      <c r="BL73" s="1952">
        <f ca="1">SUM(AS73:BK73)</f>
        <v>-8.4682342872358943E-2</v>
      </c>
      <c r="BN73" s="1941">
        <f ca="1">IFERROR(INDEX(INDIRECT($C73&amp;".Outputs["&amp;this.Year&amp;"]"), MATCH(BN$5, INDIRECT($C73&amp;".Outputs[Vector]"), 0)), 0)</f>
        <v>0</v>
      </c>
      <c r="BO73" s="1941">
        <f ca="1">IFERROR(INDEX(INDIRECT($C73&amp;".Outputs["&amp;this.Year&amp;"]"), MATCH(BO$5, INDIRECT($C73&amp;".Outputs[Vector]"), 0)), 0)</f>
        <v>0</v>
      </c>
      <c r="BP73" s="1505">
        <f ca="1">BN73+BO73</f>
        <v>0</v>
      </c>
      <c r="BR73" s="3168">
        <f t="shared" ca="1" si="12"/>
        <v>0</v>
      </c>
      <c r="BS73" s="1525"/>
      <c r="BU73" s="1589">
        <v>0</v>
      </c>
      <c r="BV73" s="1589">
        <v>0</v>
      </c>
      <c r="BW73" s="1589">
        <v>0</v>
      </c>
      <c r="BX73" s="1589">
        <v>0</v>
      </c>
      <c r="BY73" s="1589">
        <v>0</v>
      </c>
      <c r="BZ73" s="1589">
        <v>0</v>
      </c>
      <c r="CA73" s="1589">
        <v>0</v>
      </c>
      <c r="CB73" s="1589">
        <v>0</v>
      </c>
      <c r="CC73" s="1589">
        <v>0</v>
      </c>
      <c r="CD73" s="1589">
        <v>0</v>
      </c>
      <c r="CE73" s="1589">
        <v>0</v>
      </c>
      <c r="CF73" s="1589">
        <v>0</v>
      </c>
      <c r="CG73" s="1589">
        <v>0</v>
      </c>
      <c r="CH73" s="1589">
        <v>0</v>
      </c>
      <c r="CI73" s="1589">
        <v>0</v>
      </c>
      <c r="CJ73" s="1589">
        <v>0</v>
      </c>
      <c r="CK73" s="1589">
        <v>0</v>
      </c>
      <c r="CL73" s="1589">
        <v>0</v>
      </c>
      <c r="CM73" s="1589">
        <v>0</v>
      </c>
      <c r="CN73" s="1589">
        <v>0</v>
      </c>
      <c r="CO73" s="1589">
        <v>0</v>
      </c>
      <c r="CP73" s="1589">
        <v>0</v>
      </c>
      <c r="CQ73" s="1589">
        <v>0</v>
      </c>
      <c r="CR73" s="1589">
        <v>0</v>
      </c>
      <c r="CS73" s="1589">
        <v>0</v>
      </c>
      <c r="CT73" s="1589">
        <v>0</v>
      </c>
      <c r="CU73" s="1589">
        <v>0</v>
      </c>
      <c r="CV73" s="1589">
        <v>0</v>
      </c>
      <c r="CW73" s="1589">
        <v>0</v>
      </c>
      <c r="CX73" s="1589">
        <v>0</v>
      </c>
      <c r="CY73" s="1589">
        <v>0</v>
      </c>
      <c r="CZ73" s="1589">
        <v>0</v>
      </c>
      <c r="DA73" s="1589">
        <v>0</v>
      </c>
      <c r="DB73" s="1589">
        <v>0</v>
      </c>
      <c r="DC73" s="1589">
        <v>0</v>
      </c>
      <c r="DD73" s="1589">
        <v>0</v>
      </c>
      <c r="DE73" s="1589">
        <v>0</v>
      </c>
      <c r="DF73" s="1589">
        <v>0</v>
      </c>
      <c r="DG73" s="1589">
        <v>0</v>
      </c>
      <c r="DH73" s="1589">
        <v>0</v>
      </c>
      <c r="DI73" s="1589">
        <v>0</v>
      </c>
      <c r="DJ73" s="1589">
        <v>0</v>
      </c>
      <c r="DK73" s="1589">
        <v>0</v>
      </c>
      <c r="DL73" s="1589">
        <v>0</v>
      </c>
      <c r="DN73" s="1590">
        <v>0</v>
      </c>
    </row>
    <row r="74" spans="1:118" s="1522" customFormat="1" ht="12.75" customHeight="1" outlineLevel="1" x14ac:dyDescent="0.2">
      <c r="C74" s="1496"/>
      <c r="D74" s="14"/>
      <c r="E74" s="1497"/>
      <c r="G74" s="1581"/>
      <c r="H74" s="1581"/>
      <c r="I74" s="1581"/>
      <c r="J74" s="1581"/>
      <c r="K74" s="1581"/>
      <c r="L74" s="1581"/>
      <c r="M74" s="1581"/>
      <c r="N74" s="1581"/>
      <c r="O74" s="1582"/>
      <c r="P74" s="1581"/>
      <c r="Q74" s="1581"/>
      <c r="R74" s="1581"/>
      <c r="S74" s="1581"/>
      <c r="T74" s="1581"/>
      <c r="U74" s="1581"/>
      <c r="V74" s="1581"/>
      <c r="W74" s="1583"/>
      <c r="Y74" s="1893">
        <f t="shared" ca="1" si="49"/>
        <v>0</v>
      </c>
      <c r="Z74" s="1893">
        <f t="shared" ca="1" si="49"/>
        <v>0</v>
      </c>
      <c r="AA74" s="1893">
        <f t="shared" ca="1" si="49"/>
        <v>0</v>
      </c>
      <c r="AB74" s="1893">
        <f t="shared" ca="1" si="49"/>
        <v>0</v>
      </c>
      <c r="AC74" s="1893">
        <f t="shared" ca="1" si="49"/>
        <v>0</v>
      </c>
      <c r="AD74" s="1893">
        <f t="shared" ca="1" si="49"/>
        <v>0</v>
      </c>
      <c r="AE74" s="1893">
        <f t="shared" ca="1" si="49"/>
        <v>0</v>
      </c>
      <c r="AF74" s="1893">
        <f t="shared" ca="1" si="49"/>
        <v>0</v>
      </c>
      <c r="AG74" s="1893">
        <f t="shared" ca="1" si="49"/>
        <v>0</v>
      </c>
      <c r="AH74" s="1893">
        <f t="shared" ca="1" si="49"/>
        <v>0</v>
      </c>
      <c r="AI74" s="1893">
        <f t="shared" ca="1" si="50"/>
        <v>0</v>
      </c>
      <c r="AJ74" s="1893">
        <f t="shared" ca="1" si="50"/>
        <v>0</v>
      </c>
      <c r="AK74" s="1893">
        <f t="shared" ca="1" si="50"/>
        <v>0</v>
      </c>
      <c r="AL74" s="1893">
        <f t="shared" ca="1" si="50"/>
        <v>0</v>
      </c>
      <c r="AM74" s="1893">
        <f t="shared" ca="1" si="50"/>
        <v>0</v>
      </c>
      <c r="AN74" s="1893">
        <f t="shared" ca="1" si="50"/>
        <v>0</v>
      </c>
      <c r="AO74" s="1893">
        <f t="shared" ca="1" si="50"/>
        <v>0</v>
      </c>
      <c r="AP74" s="1893">
        <f t="shared" ca="1" si="50"/>
        <v>0</v>
      </c>
      <c r="AQ74" s="1893">
        <f ca="1">SUM(Y74:AP74)</f>
        <v>0</v>
      </c>
      <c r="AS74" s="1948">
        <f t="shared" ca="1" si="51"/>
        <v>0</v>
      </c>
      <c r="AT74" s="1948">
        <f t="shared" ca="1" si="51"/>
        <v>0</v>
      </c>
      <c r="AU74" s="1948">
        <f t="shared" ca="1" si="51"/>
        <v>0</v>
      </c>
      <c r="AV74" s="1948">
        <f t="shared" ca="1" si="51"/>
        <v>0</v>
      </c>
      <c r="AW74" s="1948">
        <f t="shared" ca="1" si="51"/>
        <v>0</v>
      </c>
      <c r="AX74" s="1948">
        <f t="shared" ca="1" si="51"/>
        <v>0</v>
      </c>
      <c r="AY74" s="1948">
        <f t="shared" ca="1" si="51"/>
        <v>0</v>
      </c>
      <c r="AZ74" s="1948">
        <f t="shared" ca="1" si="51"/>
        <v>0</v>
      </c>
      <c r="BA74" s="1948">
        <f t="shared" ca="1" si="51"/>
        <v>0</v>
      </c>
      <c r="BB74" s="1948">
        <f t="shared" ca="1" si="51"/>
        <v>0</v>
      </c>
      <c r="BC74" s="1948">
        <f t="shared" ca="1" si="52"/>
        <v>0</v>
      </c>
      <c r="BD74" s="1948">
        <f t="shared" ca="1" si="52"/>
        <v>0</v>
      </c>
      <c r="BE74" s="1948">
        <f t="shared" ca="1" si="52"/>
        <v>0</v>
      </c>
      <c r="BF74" s="1948">
        <f t="shared" ca="1" si="52"/>
        <v>0</v>
      </c>
      <c r="BG74" s="1948">
        <f t="shared" ca="1" si="52"/>
        <v>0</v>
      </c>
      <c r="BH74" s="1948">
        <f t="shared" ca="1" si="52"/>
        <v>0</v>
      </c>
      <c r="BI74" s="1948">
        <f t="shared" ca="1" si="52"/>
        <v>0</v>
      </c>
      <c r="BJ74" s="1948">
        <f t="shared" ca="1" si="52"/>
        <v>0</v>
      </c>
      <c r="BK74" s="1948">
        <f t="shared" ca="1" si="52"/>
        <v>0</v>
      </c>
      <c r="BL74" s="1952">
        <f ca="1">SUM(AS74:BK74)</f>
        <v>0</v>
      </c>
      <c r="BN74" s="1941">
        <f ca="1">IFERROR(INDEX(INDIRECT($C74&amp;".Outputs["&amp;this.Year&amp;"]"), MATCH(BN$5, INDIRECT($C74&amp;".Outputs[Vector]"), 0)), 0)</f>
        <v>0</v>
      </c>
      <c r="BO74" s="1941">
        <f ca="1">IFERROR(INDEX(INDIRECT($C74&amp;".Outputs["&amp;this.Year&amp;"]"), MATCH(BO$5, INDIRECT($C74&amp;".Outputs[Vector]"), 0)), 0)</f>
        <v>0</v>
      </c>
      <c r="BP74" s="1505">
        <f ca="1">BN74+BO74</f>
        <v>0</v>
      </c>
      <c r="BR74" s="3168">
        <f t="shared" ca="1" si="12"/>
        <v>0</v>
      </c>
      <c r="BS74" s="1525"/>
      <c r="BU74" s="1589">
        <v>0</v>
      </c>
      <c r="BV74" s="1589">
        <v>0</v>
      </c>
      <c r="BW74" s="1589">
        <v>0</v>
      </c>
      <c r="BX74" s="1589">
        <v>0</v>
      </c>
      <c r="BY74" s="1589">
        <v>0</v>
      </c>
      <c r="BZ74" s="1589">
        <v>0</v>
      </c>
      <c r="CA74" s="1589">
        <v>0</v>
      </c>
      <c r="CB74" s="1589">
        <v>0</v>
      </c>
      <c r="CC74" s="1589">
        <v>0</v>
      </c>
      <c r="CD74" s="1589">
        <v>0</v>
      </c>
      <c r="CE74" s="1589">
        <v>0</v>
      </c>
      <c r="CF74" s="1589">
        <v>0</v>
      </c>
      <c r="CG74" s="1589">
        <v>0</v>
      </c>
      <c r="CH74" s="1589">
        <v>0</v>
      </c>
      <c r="CI74" s="1589">
        <v>0</v>
      </c>
      <c r="CJ74" s="1589">
        <v>0</v>
      </c>
      <c r="CK74" s="1589">
        <v>0</v>
      </c>
      <c r="CL74" s="1589">
        <v>0</v>
      </c>
      <c r="CM74" s="1589">
        <v>0</v>
      </c>
      <c r="CN74" s="1589">
        <v>0</v>
      </c>
      <c r="CO74" s="1589">
        <v>0</v>
      </c>
      <c r="CP74" s="1589">
        <v>0</v>
      </c>
      <c r="CQ74" s="1589">
        <v>0</v>
      </c>
      <c r="CR74" s="1589">
        <v>0</v>
      </c>
      <c r="CS74" s="1589">
        <v>0</v>
      </c>
      <c r="CT74" s="1589">
        <v>0</v>
      </c>
      <c r="CU74" s="1589">
        <v>0</v>
      </c>
      <c r="CV74" s="1589">
        <v>0</v>
      </c>
      <c r="CW74" s="1589">
        <v>0</v>
      </c>
      <c r="CX74" s="1589">
        <v>0</v>
      </c>
      <c r="CY74" s="1589">
        <v>0</v>
      </c>
      <c r="CZ74" s="1589">
        <v>0</v>
      </c>
      <c r="DA74" s="1589">
        <v>0</v>
      </c>
      <c r="DB74" s="1589">
        <v>0</v>
      </c>
      <c r="DC74" s="1589">
        <v>0</v>
      </c>
      <c r="DD74" s="1589">
        <v>0</v>
      </c>
      <c r="DE74" s="1589">
        <v>0</v>
      </c>
      <c r="DF74" s="1589">
        <v>0</v>
      </c>
      <c r="DG74" s="1589">
        <v>0</v>
      </c>
      <c r="DH74" s="1589">
        <v>0</v>
      </c>
      <c r="DI74" s="1589">
        <v>0</v>
      </c>
      <c r="DJ74" s="1589">
        <v>0</v>
      </c>
      <c r="DK74" s="1589">
        <v>0</v>
      </c>
      <c r="DL74" s="1589">
        <v>0</v>
      </c>
      <c r="DN74" s="1590">
        <v>0</v>
      </c>
    </row>
    <row r="75" spans="1:118" s="1522" customFormat="1" ht="12.75" customHeight="1" outlineLevel="1" x14ac:dyDescent="0.2">
      <c r="C75" s="1496"/>
      <c r="D75" s="1497"/>
      <c r="E75" s="1497"/>
      <c r="G75" s="1581"/>
      <c r="H75" s="1581"/>
      <c r="I75" s="1581"/>
      <c r="J75" s="1581"/>
      <c r="K75" s="1581"/>
      <c r="L75" s="1581"/>
      <c r="M75" s="1581"/>
      <c r="N75" s="1581"/>
      <c r="O75" s="1582"/>
      <c r="P75" s="1581"/>
      <c r="Q75" s="1581"/>
      <c r="R75" s="1581"/>
      <c r="S75" s="1581"/>
      <c r="T75" s="1581"/>
      <c r="U75" s="1581"/>
      <c r="V75" s="1581"/>
      <c r="W75" s="1583"/>
      <c r="Y75" s="1584"/>
      <c r="Z75" s="1584"/>
      <c r="AA75" s="1584"/>
      <c r="AB75" s="1584"/>
      <c r="AC75" s="1584"/>
      <c r="AD75" s="1584"/>
      <c r="AE75" s="1584"/>
      <c r="AF75" s="1584"/>
      <c r="AG75" s="1584"/>
      <c r="AH75" s="1584"/>
      <c r="AI75" s="1584"/>
      <c r="AJ75" s="1584"/>
      <c r="AK75" s="1584"/>
      <c r="AL75" s="1584"/>
      <c r="AM75" s="1584"/>
      <c r="AN75" s="1584"/>
      <c r="AO75" s="1584"/>
      <c r="AP75" s="1584"/>
      <c r="AQ75" s="1954"/>
      <c r="AS75" s="1586"/>
      <c r="AT75" s="1586"/>
      <c r="AU75" s="1586"/>
      <c r="AV75" s="1586"/>
      <c r="AW75" s="1586"/>
      <c r="AX75" s="1586"/>
      <c r="AY75" s="1586"/>
      <c r="AZ75" s="1586"/>
      <c r="BA75" s="1586"/>
      <c r="BB75" s="1586"/>
      <c r="BC75" s="1586"/>
      <c r="BD75" s="1586"/>
      <c r="BE75" s="1586"/>
      <c r="BF75" s="1586"/>
      <c r="BG75" s="1586"/>
      <c r="BH75" s="1586"/>
      <c r="BI75" s="1586"/>
      <c r="BJ75" s="1586"/>
      <c r="BK75" s="1586"/>
      <c r="BL75" s="1524"/>
      <c r="BN75" s="1587"/>
      <c r="BO75" s="1587"/>
      <c r="BP75" s="1588"/>
      <c r="BR75" s="3168">
        <f t="shared" si="12"/>
        <v>0</v>
      </c>
      <c r="BS75" s="1525"/>
      <c r="BU75" s="1589"/>
      <c r="BV75" s="1589"/>
      <c r="BW75" s="1589"/>
      <c r="BX75" s="1589"/>
      <c r="BY75" s="1589"/>
      <c r="BZ75" s="1589"/>
      <c r="CA75" s="1589"/>
      <c r="CB75" s="1589"/>
      <c r="CC75" s="1589"/>
      <c r="CD75" s="1589"/>
      <c r="CE75" s="1589"/>
      <c r="CF75" s="1589"/>
      <c r="CG75" s="1589"/>
      <c r="CH75" s="1589"/>
      <c r="CI75" s="1589"/>
      <c r="CJ75" s="1589"/>
      <c r="CK75" s="1589"/>
      <c r="CL75" s="1589"/>
      <c r="CM75" s="1589"/>
      <c r="CN75" s="1589"/>
      <c r="CO75" s="1589"/>
      <c r="CP75" s="1589"/>
      <c r="CQ75" s="1589"/>
      <c r="CR75" s="1589"/>
      <c r="CS75" s="1589"/>
      <c r="CT75" s="1589"/>
      <c r="CU75" s="1589"/>
      <c r="CV75" s="1589"/>
      <c r="CW75" s="1589"/>
      <c r="CX75" s="1589"/>
      <c r="CY75" s="1589"/>
      <c r="CZ75" s="1589"/>
      <c r="DA75" s="1589"/>
      <c r="DB75" s="1589"/>
      <c r="DC75" s="1589"/>
      <c r="DD75" s="1589"/>
      <c r="DE75" s="1589"/>
      <c r="DF75" s="1589"/>
      <c r="DG75" s="1589"/>
      <c r="DH75" s="1589"/>
      <c r="DI75" s="1589"/>
      <c r="DJ75" s="1589"/>
      <c r="DK75" s="1589"/>
      <c r="DL75" s="1589"/>
      <c r="DN75" s="1590"/>
    </row>
    <row r="76" spans="1:118" s="14" customFormat="1" ht="15.75" x14ac:dyDescent="0.2">
      <c r="A76" s="1534"/>
      <c r="B76" s="1535"/>
      <c r="C76" s="1536" t="s">
        <v>736</v>
      </c>
      <c r="D76" s="1537" t="str">
        <f>INDEX(Flujos[Flujos], MATCH($C76, Flujos[Código], 0))</f>
        <v>Generación Distribuida</v>
      </c>
      <c r="E76" s="1538"/>
      <c r="G76" s="1539"/>
      <c r="H76" s="1539"/>
      <c r="I76" s="1539"/>
      <c r="J76" s="1539"/>
      <c r="K76" s="1539"/>
      <c r="L76" s="1539"/>
      <c r="M76" s="1539"/>
      <c r="N76" s="1539"/>
      <c r="O76" s="1539"/>
      <c r="P76" s="1539"/>
      <c r="Q76" s="1539"/>
      <c r="R76" s="1539"/>
      <c r="S76" s="1539"/>
      <c r="T76" s="1539"/>
      <c r="U76" s="1539"/>
      <c r="V76" s="1539"/>
      <c r="W76" s="1539"/>
      <c r="Y76" s="1490">
        <f ca="1">Y73+Y74</f>
        <v>0</v>
      </c>
      <c r="Z76" s="1490">
        <f t="shared" ref="Z76:AP76" ca="1" si="53">Z73+Z74</f>
        <v>8.4682342872358943E-2</v>
      </c>
      <c r="AA76" s="1490">
        <f t="shared" ca="1" si="53"/>
        <v>0</v>
      </c>
      <c r="AB76" s="1490">
        <f t="shared" ca="1" si="53"/>
        <v>0</v>
      </c>
      <c r="AC76" s="1490">
        <f t="shared" ca="1" si="53"/>
        <v>0</v>
      </c>
      <c r="AD76" s="1490">
        <f t="shared" ca="1" si="53"/>
        <v>0</v>
      </c>
      <c r="AE76" s="1490">
        <f t="shared" ca="1" si="53"/>
        <v>0</v>
      </c>
      <c r="AF76" s="1490">
        <f t="shared" ca="1" si="53"/>
        <v>0</v>
      </c>
      <c r="AG76" s="1490">
        <f t="shared" ca="1" si="53"/>
        <v>0</v>
      </c>
      <c r="AH76" s="1490">
        <f t="shared" ca="1" si="53"/>
        <v>0</v>
      </c>
      <c r="AI76" s="1490">
        <f t="shared" ca="1" si="53"/>
        <v>0</v>
      </c>
      <c r="AJ76" s="1490">
        <f t="shared" ca="1" si="53"/>
        <v>0</v>
      </c>
      <c r="AK76" s="1490">
        <f t="shared" ca="1" si="53"/>
        <v>0</v>
      </c>
      <c r="AL76" s="1490">
        <f t="shared" ca="1" si="53"/>
        <v>0</v>
      </c>
      <c r="AM76" s="1490">
        <f t="shared" ca="1" si="53"/>
        <v>0</v>
      </c>
      <c r="AN76" s="1490">
        <f t="shared" ca="1" si="53"/>
        <v>0</v>
      </c>
      <c r="AO76" s="1490">
        <f t="shared" ca="1" si="53"/>
        <v>0</v>
      </c>
      <c r="AP76" s="1490">
        <f t="shared" ca="1" si="53"/>
        <v>0</v>
      </c>
      <c r="AQ76" s="1893">
        <f ca="1">SUM(Y76:AP76)</f>
        <v>8.4682342872358943E-2</v>
      </c>
      <c r="AS76" s="1491">
        <f ca="1">AS73+AS74</f>
        <v>0</v>
      </c>
      <c r="AT76" s="1491">
        <f t="shared" ref="AT76:BK76" ca="1" si="54">AT73+AT74</f>
        <v>0</v>
      </c>
      <c r="AU76" s="1491">
        <f t="shared" ca="1" si="54"/>
        <v>0</v>
      </c>
      <c r="AV76" s="1491">
        <f t="shared" ca="1" si="54"/>
        <v>0</v>
      </c>
      <c r="AW76" s="1491">
        <f t="shared" ca="1" si="54"/>
        <v>0</v>
      </c>
      <c r="AX76" s="1491">
        <f t="shared" ca="1" si="54"/>
        <v>0</v>
      </c>
      <c r="AY76" s="1491">
        <f t="shared" ca="1" si="54"/>
        <v>0</v>
      </c>
      <c r="AZ76" s="1491">
        <f t="shared" ca="1" si="54"/>
        <v>0</v>
      </c>
      <c r="BA76" s="1491">
        <f t="shared" ca="1" si="54"/>
        <v>0</v>
      </c>
      <c r="BB76" s="1491">
        <f t="shared" ca="1" si="54"/>
        <v>0</v>
      </c>
      <c r="BC76" s="1949">
        <f t="shared" ca="1" si="54"/>
        <v>-8.4682342872358943E-2</v>
      </c>
      <c r="BD76" s="1949">
        <f t="shared" ca="1" si="54"/>
        <v>0</v>
      </c>
      <c r="BE76" s="1491">
        <f t="shared" ca="1" si="54"/>
        <v>0</v>
      </c>
      <c r="BF76" s="1491">
        <f t="shared" ca="1" si="54"/>
        <v>0</v>
      </c>
      <c r="BG76" s="1491">
        <f t="shared" ca="1" si="54"/>
        <v>0</v>
      </c>
      <c r="BH76" s="1491">
        <f t="shared" ca="1" si="54"/>
        <v>0</v>
      </c>
      <c r="BI76" s="1491">
        <f t="shared" ca="1" si="54"/>
        <v>0</v>
      </c>
      <c r="BJ76" s="1491">
        <f t="shared" ca="1" si="54"/>
        <v>0</v>
      </c>
      <c r="BK76" s="1491">
        <f t="shared" ca="1" si="54"/>
        <v>0</v>
      </c>
      <c r="BL76" s="1952">
        <f ca="1">SUM(AS76:BK76)</f>
        <v>-8.4682342872358943E-2</v>
      </c>
      <c r="BN76" s="1492">
        <f ca="1">BN73+BN74</f>
        <v>0</v>
      </c>
      <c r="BO76" s="1492">
        <f ca="1">BO73+BO74</f>
        <v>0</v>
      </c>
      <c r="BP76" s="1505">
        <f ca="1">BN76+BO76</f>
        <v>0</v>
      </c>
      <c r="BR76" s="3168">
        <f t="shared" ca="1" si="12"/>
        <v>0</v>
      </c>
      <c r="BS76" s="1493"/>
      <c r="BT76" s="748"/>
      <c r="BU76" s="1508">
        <v>0</v>
      </c>
      <c r="BV76" s="1508">
        <v>0</v>
      </c>
      <c r="BW76" s="1508">
        <v>0</v>
      </c>
      <c r="BX76" s="1508">
        <v>0</v>
      </c>
      <c r="BY76" s="1508">
        <v>0</v>
      </c>
      <c r="BZ76" s="1508">
        <v>0</v>
      </c>
      <c r="CA76" s="1508">
        <v>0</v>
      </c>
      <c r="CB76" s="1508">
        <v>0</v>
      </c>
      <c r="CC76" s="1508">
        <v>0</v>
      </c>
      <c r="CD76" s="1508">
        <v>0</v>
      </c>
      <c r="CE76" s="1508">
        <v>0</v>
      </c>
      <c r="CF76" s="1508">
        <v>0</v>
      </c>
      <c r="CG76" s="1508">
        <v>0</v>
      </c>
      <c r="CH76" s="1508">
        <v>0</v>
      </c>
      <c r="CI76" s="1508">
        <v>0</v>
      </c>
      <c r="CJ76" s="1508">
        <v>0</v>
      </c>
      <c r="CK76" s="1508">
        <v>0</v>
      </c>
      <c r="CL76" s="1508">
        <v>0</v>
      </c>
      <c r="CM76" s="1508">
        <v>0</v>
      </c>
      <c r="CN76" s="1508">
        <v>0</v>
      </c>
      <c r="CO76" s="1508">
        <v>0</v>
      </c>
      <c r="CP76" s="1508">
        <v>0</v>
      </c>
      <c r="CQ76" s="1508">
        <v>0</v>
      </c>
      <c r="CR76" s="1508">
        <v>0</v>
      </c>
      <c r="CS76" s="1508">
        <v>0</v>
      </c>
      <c r="CT76" s="1508">
        <v>0</v>
      </c>
      <c r="CU76" s="1508">
        <v>0</v>
      </c>
      <c r="CV76" s="1508">
        <v>0</v>
      </c>
      <c r="CW76" s="1508">
        <v>0</v>
      </c>
      <c r="CX76" s="1508">
        <v>0</v>
      </c>
      <c r="CY76" s="1508">
        <v>0</v>
      </c>
      <c r="CZ76" s="1508">
        <v>0</v>
      </c>
      <c r="DA76" s="1508">
        <v>0</v>
      </c>
      <c r="DB76" s="1508">
        <v>0</v>
      </c>
      <c r="DC76" s="1508">
        <v>0</v>
      </c>
      <c r="DD76" s="1508">
        <v>0</v>
      </c>
      <c r="DE76" s="1508">
        <v>0</v>
      </c>
      <c r="DF76" s="1508">
        <v>0</v>
      </c>
      <c r="DG76" s="1508">
        <v>0</v>
      </c>
      <c r="DH76" s="1508">
        <v>0</v>
      </c>
      <c r="DI76" s="1508">
        <v>0</v>
      </c>
      <c r="DJ76" s="1508">
        <v>0</v>
      </c>
      <c r="DK76" s="1508">
        <v>0</v>
      </c>
      <c r="DL76" s="1508">
        <v>0</v>
      </c>
      <c r="DN76" s="1509">
        <v>0</v>
      </c>
    </row>
    <row r="77" spans="1:118" s="14" customFormat="1" ht="15.75" x14ac:dyDescent="0.2">
      <c r="A77" s="1845"/>
      <c r="B77" s="1847"/>
      <c r="C77" s="1842"/>
      <c r="D77" s="1843"/>
      <c r="E77" s="1844"/>
      <c r="G77" s="1539"/>
      <c r="H77" s="1539"/>
      <c r="I77" s="1539"/>
      <c r="J77" s="1539"/>
      <c r="K77" s="1539"/>
      <c r="L77" s="1539"/>
      <c r="M77" s="1539"/>
      <c r="N77" s="1539"/>
      <c r="O77" s="1539"/>
      <c r="P77" s="1539"/>
      <c r="Q77" s="1539"/>
      <c r="R77" s="1539"/>
      <c r="S77" s="1539"/>
      <c r="T77" s="1539"/>
      <c r="U77" s="1539"/>
      <c r="V77" s="1539"/>
      <c r="W77" s="1539"/>
      <c r="Y77" s="1490"/>
      <c r="Z77" s="1490"/>
      <c r="AA77" s="1490"/>
      <c r="AB77" s="1490"/>
      <c r="AC77" s="1490"/>
      <c r="AD77" s="1490"/>
      <c r="AE77" s="1490"/>
      <c r="AF77" s="1490"/>
      <c r="AG77" s="1490"/>
      <c r="AH77" s="1490"/>
      <c r="AI77" s="1490"/>
      <c r="AJ77" s="1490"/>
      <c r="AK77" s="1490"/>
      <c r="AL77" s="1490"/>
      <c r="AM77" s="1490"/>
      <c r="AN77" s="1490"/>
      <c r="AO77" s="1490"/>
      <c r="AP77" s="1490"/>
      <c r="AQ77" s="1490"/>
      <c r="AS77" s="1491"/>
      <c r="AT77" s="1491"/>
      <c r="AU77" s="1491"/>
      <c r="AV77" s="1491"/>
      <c r="AW77" s="1491"/>
      <c r="AX77" s="1491"/>
      <c r="AY77" s="1491"/>
      <c r="AZ77" s="1491"/>
      <c r="BA77" s="1491"/>
      <c r="BB77" s="1491"/>
      <c r="BC77" s="1491"/>
      <c r="BD77" s="1491"/>
      <c r="BE77" s="1491"/>
      <c r="BF77" s="1491"/>
      <c r="BG77" s="1491"/>
      <c r="BH77" s="1491"/>
      <c r="BI77" s="1491"/>
      <c r="BJ77" s="1491"/>
      <c r="BK77" s="1491"/>
      <c r="BL77" s="1491"/>
      <c r="BN77" s="1492"/>
      <c r="BO77" s="1492"/>
      <c r="BP77" s="1492"/>
      <c r="BR77" s="3168"/>
      <c r="BS77" s="1579"/>
      <c r="BT77" s="748"/>
      <c r="BU77" s="1507"/>
      <c r="BV77" s="1508"/>
      <c r="BW77" s="1508"/>
      <c r="BX77" s="1508"/>
      <c r="BY77" s="1508"/>
      <c r="BZ77" s="1508"/>
      <c r="CA77" s="1508"/>
      <c r="CB77" s="1508"/>
      <c r="CC77" s="1508"/>
      <c r="CD77" s="1508"/>
      <c r="CE77" s="1508"/>
      <c r="CF77" s="1508"/>
      <c r="CG77" s="1508"/>
      <c r="CH77" s="1508"/>
      <c r="CI77" s="1508"/>
      <c r="CJ77" s="1508"/>
      <c r="CK77" s="1508"/>
      <c r="CL77" s="1508"/>
      <c r="CM77" s="1508"/>
      <c r="CN77" s="1508"/>
      <c r="CO77" s="1508"/>
      <c r="CP77" s="1508"/>
      <c r="CQ77" s="1508"/>
      <c r="CR77" s="1508"/>
      <c r="CS77" s="1508"/>
      <c r="CT77" s="1508"/>
      <c r="CU77" s="1508"/>
      <c r="CV77" s="1508"/>
      <c r="CW77" s="1508"/>
      <c r="CX77" s="1508"/>
      <c r="CY77" s="1508"/>
      <c r="CZ77" s="1508"/>
      <c r="DA77" s="1508"/>
      <c r="DB77" s="1508"/>
      <c r="DC77" s="1508"/>
      <c r="DD77" s="1508"/>
      <c r="DE77" s="1508"/>
      <c r="DF77" s="1508"/>
      <c r="DG77" s="1508"/>
      <c r="DH77" s="1508"/>
      <c r="DI77" s="1508"/>
      <c r="DJ77" s="1508"/>
      <c r="DK77" s="1508"/>
      <c r="DL77" s="1508"/>
      <c r="DN77" s="1509"/>
    </row>
    <row r="78" spans="1:118" s="14" customFormat="1" hidden="1" outlineLevel="1" x14ac:dyDescent="0.2">
      <c r="A78" s="1522"/>
      <c r="B78" s="1522"/>
      <c r="C78" s="1496" t="s">
        <v>68</v>
      </c>
      <c r="D78" s="1497" t="str">
        <f>INDEX(Modulos[Modulos], MATCH($C78, Modulos[Código], 0))</f>
        <v>Residuos</v>
      </c>
      <c r="E78" s="1497"/>
      <c r="G78" s="1498"/>
      <c r="H78" s="1498"/>
      <c r="I78" s="1498"/>
      <c r="J78" s="1498"/>
      <c r="K78" s="1498"/>
      <c r="L78" s="1498"/>
      <c r="M78" s="1498"/>
      <c r="N78" s="1498"/>
      <c r="O78" s="1498"/>
      <c r="P78" s="1498"/>
      <c r="Q78" s="1498"/>
      <c r="R78" s="1498"/>
      <c r="S78" s="1498"/>
      <c r="T78" s="1498"/>
      <c r="U78" s="1498"/>
      <c r="V78" s="1498"/>
      <c r="W78" s="1499"/>
      <c r="Y78" s="1893">
        <f t="shared" ref="Y78:AH80" ca="1" si="55">IFERROR(INDEX(INDIRECT($C78&amp;".Outputs["&amp;this.Year&amp;"]"), MATCH(Y$5, INDIRECT($C78&amp;".Outputs[Vector]"), 0)), 0)</f>
        <v>0</v>
      </c>
      <c r="Z78" s="1893">
        <f t="shared" ca="1" si="55"/>
        <v>0.41172000000000003</v>
      </c>
      <c r="AA78" s="1893">
        <f t="shared" ca="1" si="55"/>
        <v>0</v>
      </c>
      <c r="AB78" s="1893">
        <f t="shared" ca="1" si="55"/>
        <v>0</v>
      </c>
      <c r="AC78" s="1893">
        <f t="shared" ca="1" si="55"/>
        <v>0</v>
      </c>
      <c r="AD78" s="1893">
        <f t="shared" ca="1" si="55"/>
        <v>0</v>
      </c>
      <c r="AE78" s="1893">
        <f t="shared" ca="1" si="55"/>
        <v>0</v>
      </c>
      <c r="AF78" s="1893">
        <f t="shared" ca="1" si="55"/>
        <v>0</v>
      </c>
      <c r="AG78" s="1893">
        <f t="shared" ca="1" si="55"/>
        <v>0</v>
      </c>
      <c r="AH78" s="1893">
        <f t="shared" ca="1" si="55"/>
        <v>0</v>
      </c>
      <c r="AI78" s="1893">
        <f t="shared" ref="AI78:AP80" ca="1" si="56">IFERROR(INDEX(INDIRECT($C78&amp;".Outputs["&amp;this.Year&amp;"]"), MATCH(AI$5, INDIRECT($C78&amp;".Outputs[Vector]"), 0)), 0)</f>
        <v>0</v>
      </c>
      <c r="AJ78" s="1893">
        <f t="shared" ca="1" si="56"/>
        <v>0</v>
      </c>
      <c r="AK78" s="1893">
        <f t="shared" ca="1" si="56"/>
        <v>0</v>
      </c>
      <c r="AL78" s="1893">
        <f t="shared" ca="1" si="56"/>
        <v>0</v>
      </c>
      <c r="AM78" s="1893">
        <f t="shared" ca="1" si="56"/>
        <v>0</v>
      </c>
      <c r="AN78" s="1893">
        <f t="shared" ca="1" si="56"/>
        <v>0</v>
      </c>
      <c r="AO78" s="1893">
        <f t="shared" ca="1" si="56"/>
        <v>0</v>
      </c>
      <c r="AP78" s="1893">
        <f t="shared" ca="1" si="56"/>
        <v>0</v>
      </c>
      <c r="AQ78" s="1951">
        <f ca="1">SUM(Y78:AP78)</f>
        <v>0.41172000000000003</v>
      </c>
      <c r="AS78" s="1948">
        <f t="shared" ref="AS78:BB80" ca="1" si="57">IFERROR(INDEX(INDIRECT($C78&amp;".Outputs["&amp;this.Year&amp;"]"), MATCH(AS$5, INDIRECT($C78&amp;".Outputs[Vector]"), 0)), 0)</f>
        <v>0</v>
      </c>
      <c r="AT78" s="1948">
        <f t="shared" ca="1" si="57"/>
        <v>0</v>
      </c>
      <c r="AU78" s="1948">
        <f t="shared" ca="1" si="57"/>
        <v>0</v>
      </c>
      <c r="AV78" s="1948">
        <f t="shared" ca="1" si="57"/>
        <v>0</v>
      </c>
      <c r="AW78" s="1948">
        <f t="shared" ca="1" si="57"/>
        <v>0</v>
      </c>
      <c r="AX78" s="1948">
        <f t="shared" ca="1" si="57"/>
        <v>0</v>
      </c>
      <c r="AY78" s="1948">
        <f t="shared" ca="1" si="57"/>
        <v>0</v>
      </c>
      <c r="AZ78" s="1948">
        <f t="shared" ca="1" si="57"/>
        <v>0</v>
      </c>
      <c r="BA78" s="1948">
        <f t="shared" ca="1" si="57"/>
        <v>0</v>
      </c>
      <c r="BB78" s="1948">
        <f t="shared" ca="1" si="57"/>
        <v>0</v>
      </c>
      <c r="BC78" s="1948">
        <f t="shared" ref="BC78:BK80" ca="1" si="58">IFERROR(INDEX(INDIRECT($C78&amp;".Outputs["&amp;this.Year&amp;"]"), MATCH(BC$5, INDIRECT($C78&amp;".Outputs[Vector]"), 0)), 0)</f>
        <v>0</v>
      </c>
      <c r="BD78" s="1948">
        <f t="shared" ca="1" si="58"/>
        <v>0</v>
      </c>
      <c r="BE78" s="1948">
        <f t="shared" ca="1" si="58"/>
        <v>0</v>
      </c>
      <c r="BF78" s="1948">
        <f t="shared" ca="1" si="58"/>
        <v>0</v>
      </c>
      <c r="BG78" s="1948">
        <f t="shared" ca="1" si="58"/>
        <v>0</v>
      </c>
      <c r="BH78" s="1948">
        <f t="shared" ca="1" si="58"/>
        <v>0</v>
      </c>
      <c r="BI78" s="1948">
        <f t="shared" ca="1" si="58"/>
        <v>0</v>
      </c>
      <c r="BJ78" s="1948">
        <f t="shared" ca="1" si="58"/>
        <v>0</v>
      </c>
      <c r="BK78" s="1948">
        <f t="shared" ca="1" si="58"/>
        <v>-0.41172000000000003</v>
      </c>
      <c r="BL78" s="1952">
        <f ca="1">SUM(AS78:BK78)</f>
        <v>-0.41172000000000003</v>
      </c>
      <c r="BN78" s="1941">
        <f t="shared" ref="BN78:BO80" ca="1" si="59">IFERROR(INDEX(INDIRECT($C78&amp;".Outputs["&amp;this.Year&amp;"]"), MATCH(BN$5, INDIRECT($C78&amp;".Outputs[Vector]"), 0)), 0)</f>
        <v>0</v>
      </c>
      <c r="BO78" s="1941">
        <f t="shared" ca="1" si="59"/>
        <v>0</v>
      </c>
      <c r="BP78" s="1505">
        <f ca="1">BN78+BO78</f>
        <v>0</v>
      </c>
      <c r="BR78" s="3168">
        <f ca="1">W78+AQ78+BL78+BP78</f>
        <v>0</v>
      </c>
      <c r="BS78" s="1525"/>
      <c r="BT78" s="748"/>
      <c r="BU78" s="1507"/>
      <c r="BV78" s="1508"/>
      <c r="BW78" s="1508"/>
      <c r="BX78" s="1508"/>
      <c r="BY78" s="1508"/>
      <c r="BZ78" s="1508"/>
      <c r="CA78" s="1508"/>
      <c r="CB78" s="1508"/>
      <c r="CC78" s="1508"/>
      <c r="CD78" s="1508"/>
      <c r="CE78" s="1508"/>
      <c r="CF78" s="1508"/>
      <c r="CG78" s="1508"/>
      <c r="CH78" s="1508"/>
      <c r="CI78" s="1508"/>
      <c r="CJ78" s="1508"/>
      <c r="CK78" s="1508"/>
      <c r="CL78" s="1508"/>
      <c r="CM78" s="1508"/>
      <c r="CN78" s="1508"/>
      <c r="CO78" s="1508"/>
      <c r="CP78" s="1508"/>
      <c r="CQ78" s="1508"/>
      <c r="CR78" s="1508"/>
      <c r="CS78" s="1508"/>
      <c r="CT78" s="1508"/>
      <c r="CU78" s="1508"/>
      <c r="CV78" s="1508"/>
      <c r="CW78" s="1508"/>
      <c r="CX78" s="1508"/>
      <c r="CY78" s="1508"/>
      <c r="CZ78" s="1508"/>
      <c r="DA78" s="1508"/>
      <c r="DB78" s="1508"/>
      <c r="DC78" s="1508"/>
      <c r="DD78" s="1508"/>
      <c r="DE78" s="1508"/>
      <c r="DF78" s="1508"/>
      <c r="DG78" s="1508"/>
      <c r="DH78" s="1508"/>
      <c r="DI78" s="1508"/>
      <c r="DJ78" s="1508"/>
      <c r="DK78" s="1508"/>
      <c r="DL78" s="1508"/>
      <c r="DN78" s="1509"/>
    </row>
    <row r="79" spans="1:118" s="14" customFormat="1" hidden="1" outlineLevel="1" x14ac:dyDescent="0.2">
      <c r="A79" s="1522"/>
      <c r="B79" s="1522"/>
      <c r="C79" s="1496" t="s">
        <v>764</v>
      </c>
      <c r="D79" s="1497" t="str">
        <f>INDEX(Modulos[Modulos], MATCH($C79, Modulos[Código], 0))</f>
        <v>Agropecuario</v>
      </c>
      <c r="E79" s="1497"/>
      <c r="G79" s="1498"/>
      <c r="H79" s="1498"/>
      <c r="I79" s="1498"/>
      <c r="J79" s="1498"/>
      <c r="K79" s="1498"/>
      <c r="L79" s="1498"/>
      <c r="M79" s="1498"/>
      <c r="N79" s="1498"/>
      <c r="O79" s="1498"/>
      <c r="P79" s="1498"/>
      <c r="Q79" s="1498"/>
      <c r="R79" s="1498"/>
      <c r="S79" s="1498"/>
      <c r="T79" s="1498"/>
      <c r="U79" s="1498"/>
      <c r="V79" s="1498"/>
      <c r="W79" s="1499"/>
      <c r="Y79" s="2610">
        <f t="shared" ca="1" si="55"/>
        <v>0</v>
      </c>
      <c r="Z79" s="2610">
        <f t="shared" ca="1" si="55"/>
        <v>4.9529130700314613E-3</v>
      </c>
      <c r="AA79" s="2610">
        <f t="shared" ca="1" si="55"/>
        <v>0</v>
      </c>
      <c r="AB79" s="2610">
        <f t="shared" ca="1" si="55"/>
        <v>0</v>
      </c>
      <c r="AC79" s="2610">
        <f t="shared" ca="1" si="55"/>
        <v>0</v>
      </c>
      <c r="AD79" s="2610">
        <f t="shared" ca="1" si="55"/>
        <v>0</v>
      </c>
      <c r="AE79" s="2610">
        <f t="shared" ca="1" si="55"/>
        <v>0</v>
      </c>
      <c r="AF79" s="2610">
        <f t="shared" ca="1" si="55"/>
        <v>0</v>
      </c>
      <c r="AG79" s="2610">
        <f t="shared" ca="1" si="55"/>
        <v>0</v>
      </c>
      <c r="AH79" s="2610">
        <f t="shared" ca="1" si="55"/>
        <v>0</v>
      </c>
      <c r="AI79" s="2610">
        <f t="shared" ca="1" si="56"/>
        <v>0</v>
      </c>
      <c r="AJ79" s="2610">
        <f t="shared" ca="1" si="56"/>
        <v>0</v>
      </c>
      <c r="AK79" s="2610">
        <f t="shared" ca="1" si="56"/>
        <v>0</v>
      </c>
      <c r="AL79" s="2610">
        <f t="shared" ca="1" si="56"/>
        <v>0</v>
      </c>
      <c r="AM79" s="2610">
        <f t="shared" ca="1" si="56"/>
        <v>0</v>
      </c>
      <c r="AN79" s="2610">
        <f t="shared" ca="1" si="56"/>
        <v>0</v>
      </c>
      <c r="AO79" s="2610">
        <f t="shared" ca="1" si="56"/>
        <v>0</v>
      </c>
      <c r="AP79" s="2610">
        <f t="shared" ca="1" si="56"/>
        <v>0</v>
      </c>
      <c r="AQ79" s="1951">
        <f ca="1">SUM(Y79:AP79)</f>
        <v>4.9529130700314613E-3</v>
      </c>
      <c r="AS79" s="1948">
        <f t="shared" ca="1" si="57"/>
        <v>0</v>
      </c>
      <c r="AT79" s="1948">
        <f t="shared" ca="1" si="57"/>
        <v>0</v>
      </c>
      <c r="AU79" s="1948">
        <f t="shared" ca="1" si="57"/>
        <v>0</v>
      </c>
      <c r="AV79" s="1948">
        <f t="shared" ca="1" si="57"/>
        <v>0</v>
      </c>
      <c r="AW79" s="1948">
        <f t="shared" ca="1" si="57"/>
        <v>0</v>
      </c>
      <c r="AX79" s="1948">
        <f t="shared" ca="1" si="57"/>
        <v>0</v>
      </c>
      <c r="AY79" s="1948">
        <f t="shared" ca="1" si="57"/>
        <v>0</v>
      </c>
      <c r="AZ79" s="1948">
        <f t="shared" ca="1" si="57"/>
        <v>0</v>
      </c>
      <c r="BA79" s="1948">
        <f t="shared" ca="1" si="57"/>
        <v>0</v>
      </c>
      <c r="BB79" s="1948">
        <f t="shared" ca="1" si="57"/>
        <v>0</v>
      </c>
      <c r="BC79" s="1948">
        <f t="shared" ca="1" si="58"/>
        <v>0</v>
      </c>
      <c r="BD79" s="1948">
        <f t="shared" ca="1" si="58"/>
        <v>0</v>
      </c>
      <c r="BE79" s="1948">
        <f t="shared" ca="1" si="58"/>
        <v>0</v>
      </c>
      <c r="BF79" s="1948">
        <f t="shared" ca="1" si="58"/>
        <v>0</v>
      </c>
      <c r="BG79" s="1948">
        <f t="shared" ca="1" si="58"/>
        <v>0</v>
      </c>
      <c r="BH79" s="1948">
        <f t="shared" ca="1" si="58"/>
        <v>0</v>
      </c>
      <c r="BI79" s="1948">
        <f t="shared" ca="1" si="58"/>
        <v>0</v>
      </c>
      <c r="BJ79" s="1948">
        <f t="shared" ca="1" si="58"/>
        <v>0</v>
      </c>
      <c r="BK79" s="1948">
        <f t="shared" ca="1" si="58"/>
        <v>-4.9529130700314613E-3</v>
      </c>
      <c r="BL79" s="1952">
        <f ca="1">SUM(AS79:BK79)</f>
        <v>-4.9529130700314613E-3</v>
      </c>
      <c r="BN79" s="1941">
        <f t="shared" ca="1" si="59"/>
        <v>0</v>
      </c>
      <c r="BO79" s="1941">
        <f t="shared" ca="1" si="59"/>
        <v>0</v>
      </c>
      <c r="BP79" s="1505">
        <f ca="1">BN79+BO79</f>
        <v>0</v>
      </c>
      <c r="BR79" s="3168">
        <f ca="1">W79+AQ79+BL79+BP79</f>
        <v>0</v>
      </c>
      <c r="BS79" s="1525"/>
      <c r="BT79" s="748"/>
      <c r="BU79" s="1507"/>
      <c r="BV79" s="1508"/>
      <c r="BW79" s="1508"/>
      <c r="BX79" s="1508"/>
      <c r="BY79" s="1508"/>
      <c r="BZ79" s="1508"/>
      <c r="CA79" s="1508"/>
      <c r="CB79" s="1508"/>
      <c r="CC79" s="1508"/>
      <c r="CD79" s="1508"/>
      <c r="CE79" s="1508"/>
      <c r="CF79" s="1508"/>
      <c r="CG79" s="1508"/>
      <c r="CH79" s="1508"/>
      <c r="CI79" s="1508"/>
      <c r="CJ79" s="1508"/>
      <c r="CK79" s="1508"/>
      <c r="CL79" s="1508"/>
      <c r="CM79" s="1508"/>
      <c r="CN79" s="1508"/>
      <c r="CO79" s="1508"/>
      <c r="CP79" s="1508"/>
      <c r="CQ79" s="1508"/>
      <c r="CR79" s="1508"/>
      <c r="CS79" s="1508"/>
      <c r="CT79" s="1508"/>
      <c r="CU79" s="1508"/>
      <c r="CV79" s="1508"/>
      <c r="CW79" s="1508"/>
      <c r="CX79" s="1508"/>
      <c r="CY79" s="1508"/>
      <c r="CZ79" s="1508"/>
      <c r="DA79" s="1508"/>
      <c r="DB79" s="1508"/>
      <c r="DC79" s="1508"/>
      <c r="DD79" s="1508"/>
      <c r="DE79" s="1508"/>
      <c r="DF79" s="1508"/>
      <c r="DG79" s="1508"/>
      <c r="DH79" s="1508"/>
      <c r="DI79" s="1508"/>
      <c r="DJ79" s="1508"/>
      <c r="DK79" s="1508"/>
      <c r="DL79" s="1508"/>
      <c r="DN79" s="1509"/>
    </row>
    <row r="80" spans="1:118" s="14" customFormat="1" ht="12.75" hidden="1" customHeight="1" outlineLevel="1" x14ac:dyDescent="0.2">
      <c r="A80" s="1522"/>
      <c r="B80" s="1522"/>
      <c r="C80" s="1496" t="s">
        <v>1620</v>
      </c>
      <c r="D80" s="1497" t="str">
        <f>INDEX(Modulos[Modulos], MATCH($C80, Modulos[Código], 0))</f>
        <v>Forestal</v>
      </c>
      <c r="E80" s="1526"/>
      <c r="G80" s="1540"/>
      <c r="H80" s="1540"/>
      <c r="I80" s="1540"/>
      <c r="J80" s="1540"/>
      <c r="K80" s="1540"/>
      <c r="L80" s="1540"/>
      <c r="M80" s="1540"/>
      <c r="N80" s="1540"/>
      <c r="O80" s="1540"/>
      <c r="P80" s="1540"/>
      <c r="Q80" s="1540"/>
      <c r="R80" s="1540"/>
      <c r="S80" s="1540"/>
      <c r="T80" s="1540"/>
      <c r="U80" s="1540"/>
      <c r="V80" s="1540"/>
      <c r="W80" s="1527"/>
      <c r="Y80" s="2614">
        <f t="shared" ca="1" si="55"/>
        <v>0</v>
      </c>
      <c r="Z80" s="2614">
        <f t="shared" ca="1" si="55"/>
        <v>0</v>
      </c>
      <c r="AA80" s="2614">
        <f t="shared" ca="1" si="55"/>
        <v>0</v>
      </c>
      <c r="AB80" s="2614">
        <f t="shared" ca="1" si="55"/>
        <v>0</v>
      </c>
      <c r="AC80" s="2614">
        <f t="shared" ca="1" si="55"/>
        <v>0</v>
      </c>
      <c r="AD80" s="2614">
        <f t="shared" ca="1" si="55"/>
        <v>0</v>
      </c>
      <c r="AE80" s="2614">
        <f t="shared" ca="1" si="55"/>
        <v>0</v>
      </c>
      <c r="AF80" s="2614">
        <f t="shared" ca="1" si="55"/>
        <v>0</v>
      </c>
      <c r="AG80" s="2614">
        <f t="shared" ca="1" si="55"/>
        <v>0</v>
      </c>
      <c r="AH80" s="2614">
        <f t="shared" ca="1" si="55"/>
        <v>0</v>
      </c>
      <c r="AI80" s="2614">
        <f t="shared" ca="1" si="56"/>
        <v>0</v>
      </c>
      <c r="AJ80" s="2614">
        <f t="shared" ca="1" si="56"/>
        <v>0</v>
      </c>
      <c r="AK80" s="2614">
        <f t="shared" ca="1" si="56"/>
        <v>0</v>
      </c>
      <c r="AL80" s="2614">
        <f t="shared" ca="1" si="56"/>
        <v>0</v>
      </c>
      <c r="AM80" s="2614">
        <f t="shared" ca="1" si="56"/>
        <v>0</v>
      </c>
      <c r="AN80" s="2614">
        <f t="shared" ca="1" si="56"/>
        <v>0</v>
      </c>
      <c r="AO80" s="2614">
        <f t="shared" ca="1" si="56"/>
        <v>0</v>
      </c>
      <c r="AP80" s="2614">
        <f t="shared" ca="1" si="56"/>
        <v>0</v>
      </c>
      <c r="AQ80" s="1951">
        <f ca="1">SUM(Y80:AP80)</f>
        <v>0</v>
      </c>
      <c r="AS80" s="1542">
        <f t="shared" ca="1" si="57"/>
        <v>0</v>
      </c>
      <c r="AT80" s="1542">
        <f t="shared" ca="1" si="57"/>
        <v>0</v>
      </c>
      <c r="AU80" s="1542">
        <f t="shared" ca="1" si="57"/>
        <v>0</v>
      </c>
      <c r="AV80" s="1542">
        <f t="shared" ca="1" si="57"/>
        <v>0</v>
      </c>
      <c r="AW80" s="1542">
        <f t="shared" ca="1" si="57"/>
        <v>0</v>
      </c>
      <c r="AX80" s="1542">
        <f t="shared" ca="1" si="57"/>
        <v>0</v>
      </c>
      <c r="AY80" s="1542">
        <f t="shared" ca="1" si="57"/>
        <v>0</v>
      </c>
      <c r="AZ80" s="1542">
        <f t="shared" ca="1" si="57"/>
        <v>0</v>
      </c>
      <c r="BA80" s="1542">
        <f t="shared" ca="1" si="57"/>
        <v>0</v>
      </c>
      <c r="BB80" s="1542">
        <f t="shared" ca="1" si="57"/>
        <v>0</v>
      </c>
      <c r="BC80" s="1542">
        <f t="shared" ca="1" si="58"/>
        <v>0</v>
      </c>
      <c r="BD80" s="1542">
        <f t="shared" ca="1" si="58"/>
        <v>0</v>
      </c>
      <c r="BE80" s="1542">
        <f t="shared" ca="1" si="58"/>
        <v>0</v>
      </c>
      <c r="BF80" s="1542">
        <f t="shared" ca="1" si="58"/>
        <v>0</v>
      </c>
      <c r="BG80" s="1542">
        <f t="shared" ca="1" si="58"/>
        <v>0</v>
      </c>
      <c r="BH80" s="1542">
        <f t="shared" ca="1" si="58"/>
        <v>0</v>
      </c>
      <c r="BI80" s="1542">
        <f t="shared" ca="1" si="58"/>
        <v>0</v>
      </c>
      <c r="BJ80" s="1542">
        <f t="shared" ca="1" si="58"/>
        <v>0</v>
      </c>
      <c r="BK80" s="1542">
        <f t="shared" ca="1" si="58"/>
        <v>0</v>
      </c>
      <c r="BL80" s="1952">
        <f ca="1">SUM(AS80:BK80)</f>
        <v>0</v>
      </c>
      <c r="BN80" s="1941">
        <f t="shared" ca="1" si="59"/>
        <v>0</v>
      </c>
      <c r="BO80" s="1941">
        <f t="shared" ca="1" si="59"/>
        <v>0</v>
      </c>
      <c r="BP80" s="1505">
        <f ca="1">BN80+BO80</f>
        <v>0</v>
      </c>
      <c r="BR80" s="3168">
        <f ca="1">W80+AQ80+BL80+BP80</f>
        <v>0</v>
      </c>
      <c r="BS80" s="1525"/>
      <c r="BT80" s="748"/>
      <c r="BU80" s="1532"/>
      <c r="BV80" s="1533"/>
      <c r="BW80" s="1533"/>
      <c r="BX80" s="1533"/>
      <c r="BY80" s="1533"/>
      <c r="BZ80" s="1533"/>
      <c r="CA80" s="1533"/>
      <c r="CB80" s="1533"/>
      <c r="CC80" s="1533"/>
      <c r="CD80" s="1533"/>
      <c r="CE80" s="1533"/>
      <c r="CF80" s="1533"/>
      <c r="CG80" s="1533"/>
      <c r="CH80" s="1533"/>
      <c r="CI80" s="1533"/>
      <c r="CJ80" s="1533"/>
      <c r="CK80" s="1533"/>
      <c r="CL80" s="1533"/>
      <c r="CM80" s="1533"/>
      <c r="CN80" s="1533"/>
      <c r="CO80" s="1533"/>
      <c r="CP80" s="1533"/>
      <c r="CQ80" s="1533"/>
      <c r="CR80" s="1533"/>
      <c r="CS80" s="1533"/>
      <c r="CT80" s="1533"/>
      <c r="CU80" s="1533"/>
      <c r="CV80" s="1533"/>
      <c r="CW80" s="1533"/>
      <c r="CX80" s="1533"/>
      <c r="CY80" s="1533"/>
      <c r="CZ80" s="1533"/>
      <c r="DA80" s="1533"/>
      <c r="DB80" s="1533"/>
      <c r="DC80" s="1533"/>
      <c r="DD80" s="1533"/>
      <c r="DE80" s="1533"/>
      <c r="DF80" s="1533"/>
      <c r="DG80" s="1533"/>
      <c r="DH80" s="1533"/>
      <c r="DI80" s="1533"/>
      <c r="DJ80" s="1533"/>
      <c r="DK80" s="1533"/>
      <c r="DL80" s="1533"/>
      <c r="DN80" s="1509"/>
    </row>
    <row r="81" spans="1:118" s="14" customFormat="1" ht="3" hidden="1" customHeight="1" outlineLevel="1" x14ac:dyDescent="0.2">
      <c r="A81" s="1522"/>
      <c r="B81" s="1522"/>
      <c r="C81" s="1496"/>
      <c r="D81" s="1497"/>
      <c r="E81" s="1497"/>
      <c r="G81" s="1498"/>
      <c r="H81" s="1498"/>
      <c r="I81" s="1498"/>
      <c r="J81" s="1498"/>
      <c r="K81" s="1498"/>
      <c r="L81" s="1498"/>
      <c r="M81" s="1498"/>
      <c r="N81" s="1498"/>
      <c r="O81" s="1498"/>
      <c r="P81" s="1498"/>
      <c r="Q81" s="1498"/>
      <c r="R81" s="1498"/>
      <c r="S81" s="1498"/>
      <c r="T81" s="1498"/>
      <c r="U81" s="1498"/>
      <c r="V81" s="1498"/>
      <c r="W81" s="1499"/>
      <c r="Y81" s="1500"/>
      <c r="Z81" s="1500"/>
      <c r="AA81" s="1500"/>
      <c r="AB81" s="1500"/>
      <c r="AC81" s="1500"/>
      <c r="AD81" s="1500"/>
      <c r="AE81" s="1500"/>
      <c r="AF81" s="1500"/>
      <c r="AG81" s="1500"/>
      <c r="AH81" s="1500"/>
      <c r="AI81" s="1500"/>
      <c r="AJ81" s="1500"/>
      <c r="AK81" s="1500"/>
      <c r="AL81" s="1500"/>
      <c r="AM81" s="1500"/>
      <c r="AN81" s="1500"/>
      <c r="AO81" s="1500"/>
      <c r="AP81" s="1500"/>
      <c r="AQ81" s="1501"/>
      <c r="AS81" s="1502"/>
      <c r="AT81" s="1502"/>
      <c r="AU81" s="1502"/>
      <c r="AV81" s="1502"/>
      <c r="AW81" s="1502"/>
      <c r="AX81" s="1502"/>
      <c r="AY81" s="1502"/>
      <c r="AZ81" s="1502"/>
      <c r="BA81" s="1502"/>
      <c r="BB81" s="1502"/>
      <c r="BC81" s="1502"/>
      <c r="BD81" s="1502"/>
      <c r="BE81" s="1502"/>
      <c r="BF81" s="1502"/>
      <c r="BG81" s="1502"/>
      <c r="BH81" s="1502"/>
      <c r="BI81" s="1502"/>
      <c r="BJ81" s="1502"/>
      <c r="BK81" s="1502"/>
      <c r="BL81" s="1524"/>
      <c r="BN81" s="1504"/>
      <c r="BO81" s="1504"/>
      <c r="BP81" s="1505"/>
      <c r="BR81" s="3168"/>
      <c r="BS81" s="1525"/>
      <c r="BT81" s="748"/>
      <c r="BU81" s="1507"/>
      <c r="BV81" s="1508"/>
      <c r="BW81" s="1508"/>
      <c r="BX81" s="1508"/>
      <c r="BY81" s="1508"/>
      <c r="BZ81" s="1508"/>
      <c r="CA81" s="1508"/>
      <c r="CB81" s="1508"/>
      <c r="CC81" s="1508"/>
      <c r="CD81" s="1508"/>
      <c r="CE81" s="1508"/>
      <c r="CF81" s="1508"/>
      <c r="CG81" s="1508"/>
      <c r="CH81" s="1508"/>
      <c r="CI81" s="1508"/>
      <c r="CJ81" s="1508"/>
      <c r="CK81" s="1508"/>
      <c r="CL81" s="1508"/>
      <c r="CM81" s="1508"/>
      <c r="CN81" s="1508"/>
      <c r="CO81" s="1508"/>
      <c r="CP81" s="1508"/>
      <c r="CQ81" s="1508"/>
      <c r="CR81" s="1508"/>
      <c r="CS81" s="1508"/>
      <c r="CT81" s="1508"/>
      <c r="CU81" s="1508"/>
      <c r="CV81" s="1508"/>
      <c r="CW81" s="1508"/>
      <c r="CX81" s="1508"/>
      <c r="CY81" s="1508"/>
      <c r="CZ81" s="1508"/>
      <c r="DA81" s="1508"/>
      <c r="DB81" s="1508"/>
      <c r="DC81" s="1508"/>
      <c r="DD81" s="1508"/>
      <c r="DE81" s="1508"/>
      <c r="DF81" s="1508"/>
      <c r="DG81" s="1508"/>
      <c r="DH81" s="1508"/>
      <c r="DI81" s="1508"/>
      <c r="DJ81" s="1508"/>
      <c r="DK81" s="1508"/>
      <c r="DL81" s="1508"/>
      <c r="DN81" s="1509"/>
    </row>
    <row r="82" spans="1:118" s="14" customFormat="1" ht="20.25" customHeight="1" collapsed="1" x14ac:dyDescent="0.2">
      <c r="A82" s="1534"/>
      <c r="B82" s="1535"/>
      <c r="C82" s="1536" t="s">
        <v>737</v>
      </c>
      <c r="D82" s="1537" t="str">
        <f>INDEX(Flujos[Flujos], MATCH($C82, Flujos[Código], 0))</f>
        <v>Otros Sectores</v>
      </c>
      <c r="E82" s="1843"/>
      <c r="G82" s="1539"/>
      <c r="H82" s="1539"/>
      <c r="I82" s="1539"/>
      <c r="J82" s="1539"/>
      <c r="K82" s="1539"/>
      <c r="L82" s="1539"/>
      <c r="M82" s="1539"/>
      <c r="N82" s="1539"/>
      <c r="O82" s="1539"/>
      <c r="P82" s="1539"/>
      <c r="Q82" s="1539"/>
      <c r="R82" s="1539"/>
      <c r="S82" s="1539"/>
      <c r="T82" s="1539"/>
      <c r="U82" s="1539"/>
      <c r="V82" s="1539"/>
      <c r="W82" s="1539"/>
      <c r="Y82" s="2609">
        <f ca="1">Y78+Y79+Y80</f>
        <v>0</v>
      </c>
      <c r="Z82" s="2609">
        <f t="shared" ref="Z82:AQ82" ca="1" si="60">Z78+Z79+Z80</f>
        <v>0.41667291307003151</v>
      </c>
      <c r="AA82" s="2609">
        <f t="shared" ca="1" si="60"/>
        <v>0</v>
      </c>
      <c r="AB82" s="2609">
        <f t="shared" ca="1" si="60"/>
        <v>0</v>
      </c>
      <c r="AC82" s="2609">
        <f t="shared" ca="1" si="60"/>
        <v>0</v>
      </c>
      <c r="AD82" s="2609">
        <f t="shared" ca="1" si="60"/>
        <v>0</v>
      </c>
      <c r="AE82" s="2609">
        <f t="shared" ca="1" si="60"/>
        <v>0</v>
      </c>
      <c r="AF82" s="2609">
        <f t="shared" ca="1" si="60"/>
        <v>0</v>
      </c>
      <c r="AG82" s="2609">
        <f t="shared" ca="1" si="60"/>
        <v>0</v>
      </c>
      <c r="AH82" s="2609">
        <f t="shared" ca="1" si="60"/>
        <v>0</v>
      </c>
      <c r="AI82" s="2609">
        <f t="shared" ca="1" si="60"/>
        <v>0</v>
      </c>
      <c r="AJ82" s="2609">
        <f t="shared" ca="1" si="60"/>
        <v>0</v>
      </c>
      <c r="AK82" s="2609">
        <f t="shared" ca="1" si="60"/>
        <v>0</v>
      </c>
      <c r="AL82" s="2609">
        <f t="shared" ca="1" si="60"/>
        <v>0</v>
      </c>
      <c r="AM82" s="2609">
        <f t="shared" ca="1" si="60"/>
        <v>0</v>
      </c>
      <c r="AN82" s="2609">
        <f t="shared" ca="1" si="60"/>
        <v>0</v>
      </c>
      <c r="AO82" s="2609">
        <f t="shared" ca="1" si="60"/>
        <v>0</v>
      </c>
      <c r="AP82" s="2609">
        <f t="shared" ca="1" si="60"/>
        <v>0</v>
      </c>
      <c r="AQ82" s="2608">
        <f t="shared" ca="1" si="60"/>
        <v>0.41667291307003151</v>
      </c>
      <c r="AS82" s="1491">
        <f ca="1">AS78+AS79+AS80</f>
        <v>0</v>
      </c>
      <c r="AT82" s="1491">
        <f t="shared" ref="AT82:BJ82" ca="1" si="61">AT78+AT79+AT80</f>
        <v>0</v>
      </c>
      <c r="AU82" s="1491">
        <f t="shared" ca="1" si="61"/>
        <v>0</v>
      </c>
      <c r="AV82" s="1491">
        <f t="shared" ca="1" si="61"/>
        <v>0</v>
      </c>
      <c r="AW82" s="1491">
        <f t="shared" ca="1" si="61"/>
        <v>0</v>
      </c>
      <c r="AX82" s="1491">
        <f t="shared" ca="1" si="61"/>
        <v>0</v>
      </c>
      <c r="AY82" s="1491">
        <f t="shared" ca="1" si="61"/>
        <v>0</v>
      </c>
      <c r="AZ82" s="1491">
        <f t="shared" ca="1" si="61"/>
        <v>0</v>
      </c>
      <c r="BA82" s="1491">
        <f t="shared" ca="1" si="61"/>
        <v>0</v>
      </c>
      <c r="BB82" s="1491">
        <f t="shared" ca="1" si="61"/>
        <v>0</v>
      </c>
      <c r="BC82" s="1491">
        <f t="shared" ca="1" si="61"/>
        <v>0</v>
      </c>
      <c r="BD82" s="1491">
        <f t="shared" ca="1" si="61"/>
        <v>0</v>
      </c>
      <c r="BE82" s="1491">
        <f t="shared" ca="1" si="61"/>
        <v>0</v>
      </c>
      <c r="BF82" s="1491">
        <f t="shared" ca="1" si="61"/>
        <v>0</v>
      </c>
      <c r="BG82" s="1491">
        <f t="shared" ca="1" si="61"/>
        <v>0</v>
      </c>
      <c r="BH82" s="1491">
        <f t="shared" ca="1" si="61"/>
        <v>0</v>
      </c>
      <c r="BI82" s="1491">
        <f t="shared" ca="1" si="61"/>
        <v>0</v>
      </c>
      <c r="BJ82" s="1491">
        <f t="shared" ca="1" si="61"/>
        <v>0</v>
      </c>
      <c r="BK82" s="3167">
        <f ca="1">BK78+BK79+BK80</f>
        <v>-0.41667291307003151</v>
      </c>
      <c r="BL82" s="1491">
        <f ca="1">BL78+BL79+BL80</f>
        <v>-0.41667291307003151</v>
      </c>
      <c r="BN82" s="1492">
        <f ca="1">BN78+BN79+BN80</f>
        <v>0</v>
      </c>
      <c r="BO82" s="1492">
        <f ca="1">BO78+BO79+BO80</f>
        <v>0</v>
      </c>
      <c r="BP82" s="1492">
        <f ca="1">BP78+BP79+BP80</f>
        <v>0</v>
      </c>
      <c r="BR82" s="3168">
        <f ca="1">W82+AQ82+BL82+BP82</f>
        <v>0</v>
      </c>
      <c r="BS82" s="1493"/>
      <c r="BT82" s="748"/>
      <c r="BU82" s="1508"/>
      <c r="BV82" s="1508"/>
      <c r="BW82" s="1508"/>
      <c r="BX82" s="1508"/>
      <c r="BY82" s="1508"/>
      <c r="BZ82" s="1508"/>
      <c r="CA82" s="1508"/>
      <c r="CB82" s="1508"/>
      <c r="CC82" s="1508"/>
      <c r="CD82" s="1508"/>
      <c r="CE82" s="1508"/>
      <c r="CF82" s="1508"/>
      <c r="CG82" s="1508"/>
      <c r="CH82" s="1508"/>
      <c r="CI82" s="1508"/>
      <c r="CJ82" s="1508"/>
      <c r="CK82" s="1508"/>
      <c r="CL82" s="1508"/>
      <c r="CM82" s="1508"/>
      <c r="CN82" s="1508"/>
      <c r="CO82" s="1508"/>
      <c r="CP82" s="1508"/>
      <c r="CQ82" s="1508"/>
      <c r="CR82" s="1508"/>
      <c r="CS82" s="1508"/>
      <c r="CT82" s="1508"/>
      <c r="CU82" s="1508"/>
      <c r="CV82" s="1508"/>
      <c r="CW82" s="1508"/>
      <c r="CX82" s="1508"/>
      <c r="CY82" s="1508"/>
      <c r="CZ82" s="1508"/>
      <c r="DA82" s="1508"/>
      <c r="DB82" s="1508"/>
      <c r="DC82" s="1508"/>
      <c r="DD82" s="1508"/>
      <c r="DE82" s="1508"/>
      <c r="DF82" s="1508"/>
      <c r="DG82" s="1508"/>
      <c r="DH82" s="1508"/>
      <c r="DI82" s="1508"/>
      <c r="DJ82" s="1508"/>
      <c r="DK82" s="1508"/>
      <c r="DL82" s="1508"/>
      <c r="DN82" s="1509"/>
    </row>
    <row r="83" spans="1:118" s="14" customFormat="1" ht="15.75" x14ac:dyDescent="0.2">
      <c r="A83" s="1845"/>
      <c r="B83" s="1847"/>
      <c r="C83" s="1842"/>
      <c r="D83" s="1843"/>
      <c r="E83" s="1844"/>
      <c r="G83" s="1539"/>
      <c r="H83" s="1539"/>
      <c r="I83" s="1539"/>
      <c r="J83" s="1539"/>
      <c r="K83" s="1539"/>
      <c r="L83" s="1539"/>
      <c r="M83" s="1539"/>
      <c r="N83" s="1539"/>
      <c r="O83" s="1539"/>
      <c r="P83" s="1539"/>
      <c r="Q83" s="1539"/>
      <c r="R83" s="1539"/>
      <c r="S83" s="1539"/>
      <c r="T83" s="1539"/>
      <c r="U83" s="1539"/>
      <c r="V83" s="1539"/>
      <c r="W83" s="1539"/>
      <c r="Y83" s="1490"/>
      <c r="Z83" s="1490"/>
      <c r="AA83" s="1490"/>
      <c r="AB83" s="1490"/>
      <c r="AC83" s="1490"/>
      <c r="AD83" s="1490"/>
      <c r="AE83" s="1490"/>
      <c r="AF83" s="1490"/>
      <c r="AG83" s="1490"/>
      <c r="AH83" s="1490"/>
      <c r="AI83" s="1490"/>
      <c r="AJ83" s="1490"/>
      <c r="AK83" s="1490"/>
      <c r="AL83" s="1490"/>
      <c r="AM83" s="1490"/>
      <c r="AN83" s="1490"/>
      <c r="AO83" s="1490"/>
      <c r="AP83" s="1490"/>
      <c r="AQ83" s="1490"/>
      <c r="AS83" s="1491"/>
      <c r="AT83" s="1491"/>
      <c r="AU83" s="1491"/>
      <c r="AV83" s="1491"/>
      <c r="AW83" s="1491"/>
      <c r="AX83" s="1491"/>
      <c r="AY83" s="1491"/>
      <c r="AZ83" s="1491"/>
      <c r="BA83" s="1491"/>
      <c r="BB83" s="1491"/>
      <c r="BC83" s="1491"/>
      <c r="BD83" s="1491"/>
      <c r="BE83" s="1491"/>
      <c r="BF83" s="1491"/>
      <c r="BG83" s="1491"/>
      <c r="BH83" s="1491"/>
      <c r="BI83" s="1491"/>
      <c r="BJ83" s="1491"/>
      <c r="BK83" s="1491"/>
      <c r="BL83" s="1491"/>
      <c r="BN83" s="1492"/>
      <c r="BO83" s="1492"/>
      <c r="BP83" s="1492"/>
      <c r="BR83" s="3168"/>
      <c r="BS83" s="1579"/>
      <c r="BT83" s="748"/>
      <c r="BU83" s="1507"/>
      <c r="BV83" s="1508"/>
      <c r="BW83" s="1508"/>
      <c r="BX83" s="1508"/>
      <c r="BY83" s="1508"/>
      <c r="BZ83" s="1508"/>
      <c r="CA83" s="1508"/>
      <c r="CB83" s="1508"/>
      <c r="CC83" s="1508"/>
      <c r="CD83" s="1508"/>
      <c r="CE83" s="1508"/>
      <c r="CF83" s="1508"/>
      <c r="CG83" s="1508"/>
      <c r="CH83" s="1508"/>
      <c r="CI83" s="1508"/>
      <c r="CJ83" s="1508"/>
      <c r="CK83" s="1508"/>
      <c r="CL83" s="1508"/>
      <c r="CM83" s="1508"/>
      <c r="CN83" s="1508"/>
      <c r="CO83" s="1508"/>
      <c r="CP83" s="1508"/>
      <c r="CQ83" s="1508"/>
      <c r="CR83" s="1508"/>
      <c r="CS83" s="1508"/>
      <c r="CT83" s="1508"/>
      <c r="CU83" s="1508"/>
      <c r="CV83" s="1508"/>
      <c r="CW83" s="1508"/>
      <c r="CX83" s="1508"/>
      <c r="CY83" s="1508"/>
      <c r="CZ83" s="1508"/>
      <c r="DA83" s="1508"/>
      <c r="DB83" s="1508"/>
      <c r="DC83" s="1508"/>
      <c r="DD83" s="1508"/>
      <c r="DE83" s="1508"/>
      <c r="DF83" s="1508"/>
      <c r="DG83" s="1508"/>
      <c r="DH83" s="1508"/>
      <c r="DI83" s="1508"/>
      <c r="DJ83" s="1508"/>
      <c r="DK83" s="1508"/>
      <c r="DL83" s="1508"/>
      <c r="DN83" s="1509"/>
    </row>
    <row r="84" spans="1:118" s="14" customFormat="1" ht="15.75" hidden="1" outlineLevel="1" x14ac:dyDescent="0.2">
      <c r="A84" s="1534"/>
      <c r="B84" s="1535"/>
      <c r="C84" s="1536"/>
      <c r="D84" s="1537"/>
      <c r="E84" s="1538"/>
      <c r="G84" s="1539"/>
      <c r="H84" s="1539"/>
      <c r="I84" s="1539"/>
      <c r="J84" s="1539"/>
      <c r="K84" s="1539"/>
      <c r="L84" s="1539"/>
      <c r="M84" s="1539"/>
      <c r="N84" s="1539"/>
      <c r="O84" s="1539"/>
      <c r="P84" s="1539"/>
      <c r="Q84" s="1539"/>
      <c r="R84" s="1539"/>
      <c r="S84" s="1539"/>
      <c r="T84" s="1539"/>
      <c r="U84" s="1539"/>
      <c r="V84" s="1539"/>
      <c r="W84" s="1539"/>
      <c r="Y84" s="1490"/>
      <c r="Z84" s="1490"/>
      <c r="AA84" s="1490"/>
      <c r="AB84" s="1490"/>
      <c r="AC84" s="1490"/>
      <c r="AD84" s="1490"/>
      <c r="AE84" s="1490"/>
      <c r="AF84" s="1490"/>
      <c r="AG84" s="1490"/>
      <c r="AH84" s="1490"/>
      <c r="AI84" s="1490"/>
      <c r="AJ84" s="1490"/>
      <c r="AK84" s="1490"/>
      <c r="AL84" s="1490"/>
      <c r="AM84" s="1490"/>
      <c r="AN84" s="1490"/>
      <c r="AO84" s="1490"/>
      <c r="AP84" s="1490"/>
      <c r="AQ84" s="1490"/>
      <c r="AS84" s="1491"/>
      <c r="AT84" s="1491"/>
      <c r="AU84" s="1491"/>
      <c r="AV84" s="1491"/>
      <c r="AW84" s="1491"/>
      <c r="AX84" s="1491"/>
      <c r="AY84" s="1491"/>
      <c r="AZ84" s="1491"/>
      <c r="BA84" s="1491"/>
      <c r="BB84" s="1491"/>
      <c r="BC84" s="1491"/>
      <c r="BD84" s="1491"/>
      <c r="BE84" s="1491"/>
      <c r="BF84" s="1491"/>
      <c r="BG84" s="1491"/>
      <c r="BH84" s="1491"/>
      <c r="BI84" s="1491"/>
      <c r="BJ84" s="1491"/>
      <c r="BK84" s="1491"/>
      <c r="BL84" s="1491"/>
      <c r="BN84" s="1492"/>
      <c r="BO84" s="1492"/>
      <c r="BP84" s="1492"/>
      <c r="BR84" s="3168">
        <f t="shared" ref="BR84:BR89" si="62">W84+AQ84+BL84+BP84</f>
        <v>0</v>
      </c>
      <c r="BS84" s="1493"/>
      <c r="BT84" s="748"/>
      <c r="BU84" s="1508"/>
      <c r="BV84" s="1508"/>
      <c r="BW84" s="1508"/>
      <c r="BX84" s="1508"/>
      <c r="BY84" s="1508"/>
      <c r="BZ84" s="1508"/>
      <c r="CA84" s="1508"/>
      <c r="CB84" s="1508"/>
      <c r="CC84" s="1508"/>
      <c r="CD84" s="1508"/>
      <c r="CE84" s="1508"/>
      <c r="CF84" s="1508"/>
      <c r="CG84" s="1508"/>
      <c r="CH84" s="1508"/>
      <c r="CI84" s="1508"/>
      <c r="CJ84" s="1508"/>
      <c r="CK84" s="1508"/>
      <c r="CL84" s="1508"/>
      <c r="CM84" s="1508"/>
      <c r="CN84" s="1508"/>
      <c r="CO84" s="1508"/>
      <c r="CP84" s="1508"/>
      <c r="CQ84" s="1508"/>
      <c r="CR84" s="1508"/>
      <c r="CS84" s="1508"/>
      <c r="CT84" s="1508"/>
      <c r="CU84" s="1508"/>
      <c r="CV84" s="1508"/>
      <c r="CW84" s="1508"/>
      <c r="CX84" s="1508"/>
      <c r="CY84" s="1508"/>
      <c r="CZ84" s="1508"/>
      <c r="DA84" s="1508"/>
      <c r="DB84" s="1508"/>
      <c r="DC84" s="1508"/>
      <c r="DD84" s="1508"/>
      <c r="DE84" s="1508"/>
      <c r="DF84" s="1508"/>
      <c r="DG84" s="1508"/>
      <c r="DH84" s="1508"/>
      <c r="DI84" s="1508"/>
      <c r="DJ84" s="1508"/>
      <c r="DK84" s="1508"/>
      <c r="DL84" s="1508"/>
      <c r="DN84" s="1509"/>
    </row>
    <row r="85" spans="1:118" s="14" customFormat="1" ht="12.75" hidden="1" customHeight="1" outlineLevel="2" x14ac:dyDescent="0.2">
      <c r="A85" s="1534"/>
      <c r="B85" s="1534"/>
      <c r="C85" s="1544"/>
      <c r="D85" s="1538"/>
      <c r="E85" s="1538"/>
      <c r="G85" s="1488"/>
      <c r="H85" s="1488"/>
      <c r="I85" s="1488"/>
      <c r="J85" s="1488"/>
      <c r="K85" s="1488"/>
      <c r="L85" s="1488"/>
      <c r="M85" s="1488"/>
      <c r="N85" s="1488"/>
      <c r="O85" s="1563"/>
      <c r="P85" s="1488"/>
      <c r="Q85" s="1488"/>
      <c r="R85" s="1488"/>
      <c r="S85" s="1488"/>
      <c r="T85" s="1488"/>
      <c r="U85" s="1488"/>
      <c r="V85" s="1488"/>
      <c r="W85" s="1488"/>
      <c r="Y85" s="1490"/>
      <c r="Z85" s="1490"/>
      <c r="AA85" s="1490"/>
      <c r="AB85" s="1490"/>
      <c r="AC85" s="1490"/>
      <c r="AD85" s="1490"/>
      <c r="AE85" s="1490"/>
      <c r="AF85" s="1490"/>
      <c r="AG85" s="1490"/>
      <c r="AH85" s="1490"/>
      <c r="AI85" s="1490"/>
      <c r="AJ85" s="1490"/>
      <c r="AK85" s="1490"/>
      <c r="AL85" s="1490"/>
      <c r="AM85" s="1490"/>
      <c r="AN85" s="1490"/>
      <c r="AO85" s="1490"/>
      <c r="AP85" s="1490"/>
      <c r="AQ85" s="1490"/>
      <c r="AS85" s="1491"/>
      <c r="AT85" s="1491"/>
      <c r="AU85" s="1491"/>
      <c r="AV85" s="1491"/>
      <c r="AW85" s="1491"/>
      <c r="AX85" s="1491"/>
      <c r="AY85" s="1491"/>
      <c r="AZ85" s="1491"/>
      <c r="BA85" s="1491"/>
      <c r="BB85" s="1491"/>
      <c r="BC85" s="1491"/>
      <c r="BD85" s="1491"/>
      <c r="BE85" s="1491"/>
      <c r="BF85" s="1491"/>
      <c r="BG85" s="1491"/>
      <c r="BH85" s="1491"/>
      <c r="BI85" s="1491"/>
      <c r="BJ85" s="1491"/>
      <c r="BK85" s="1491"/>
      <c r="BL85" s="1491"/>
      <c r="BN85" s="1492"/>
      <c r="BO85" s="1492"/>
      <c r="BP85" s="1492"/>
      <c r="BR85" s="3168">
        <f t="shared" si="62"/>
        <v>0</v>
      </c>
      <c r="BS85" s="1493"/>
      <c r="BT85" s="1534"/>
      <c r="BU85" s="1508"/>
      <c r="BV85" s="1508"/>
      <c r="BW85" s="1508"/>
      <c r="BX85" s="1508"/>
      <c r="BY85" s="1508"/>
      <c r="BZ85" s="1508"/>
      <c r="CA85" s="1508"/>
      <c r="CB85" s="1508"/>
      <c r="CC85" s="1508"/>
      <c r="CD85" s="1508"/>
      <c r="CE85" s="1508"/>
      <c r="CF85" s="1508"/>
      <c r="CG85" s="1508"/>
      <c r="CH85" s="1508"/>
      <c r="CI85" s="1508"/>
      <c r="CJ85" s="1508"/>
      <c r="CK85" s="1508"/>
      <c r="CL85" s="1508"/>
      <c r="CM85" s="1508"/>
      <c r="CN85" s="1508"/>
      <c r="CO85" s="1508"/>
      <c r="CP85" s="1508"/>
      <c r="CQ85" s="1508"/>
      <c r="CR85" s="1508"/>
      <c r="CS85" s="1508"/>
      <c r="CT85" s="1508"/>
      <c r="CU85" s="1508"/>
      <c r="CV85" s="1508"/>
      <c r="CW85" s="1508"/>
      <c r="CX85" s="1508"/>
      <c r="CY85" s="1508"/>
      <c r="CZ85" s="1508"/>
      <c r="DA85" s="1508"/>
      <c r="DB85" s="1508"/>
      <c r="DC85" s="1508"/>
      <c r="DD85" s="1508"/>
      <c r="DE85" s="1508"/>
      <c r="DF85" s="1508"/>
      <c r="DG85" s="1508"/>
      <c r="DH85" s="1508"/>
      <c r="DI85" s="1508"/>
      <c r="DJ85" s="1508"/>
      <c r="DK85" s="1508"/>
      <c r="DL85" s="1508"/>
      <c r="DN85" s="1509">
        <v>0</v>
      </c>
    </row>
    <row r="86" spans="1:118" s="1564" customFormat="1" ht="12.75" hidden="1" customHeight="1" outlineLevel="2" x14ac:dyDescent="0.2">
      <c r="C86" s="1565" t="s">
        <v>809</v>
      </c>
      <c r="D86" s="1566" t="s">
        <v>810</v>
      </c>
      <c r="E86" s="1566"/>
      <c r="F86" s="1567"/>
      <c r="G86" s="1568"/>
      <c r="H86" s="1568"/>
      <c r="I86" s="1568"/>
      <c r="J86" s="1568"/>
      <c r="K86" s="1568"/>
      <c r="L86" s="1568"/>
      <c r="M86" s="1568"/>
      <c r="N86" s="1568"/>
      <c r="O86" s="1569"/>
      <c r="P86" s="1568"/>
      <c r="Q86" s="1568"/>
      <c r="R86" s="1568"/>
      <c r="S86" s="1568"/>
      <c r="T86" s="1568"/>
      <c r="U86" s="1568"/>
      <c r="V86" s="1568"/>
      <c r="W86" s="1568"/>
      <c r="X86" s="1567"/>
      <c r="Y86" s="1570"/>
      <c r="Z86" s="1570"/>
      <c r="AA86" s="1570"/>
      <c r="AB86" s="1570"/>
      <c r="AC86" s="1570"/>
      <c r="AD86" s="1570"/>
      <c r="AE86" s="1570"/>
      <c r="AF86" s="1570"/>
      <c r="AG86" s="1570"/>
      <c r="AH86" s="1570"/>
      <c r="AI86" s="1570"/>
      <c r="AJ86" s="1570"/>
      <c r="AK86" s="1570"/>
      <c r="AL86" s="1570"/>
      <c r="AM86" s="1570"/>
      <c r="AN86" s="1570"/>
      <c r="AO86" s="1570"/>
      <c r="AP86" s="1570"/>
      <c r="AQ86" s="1570"/>
      <c r="AR86" s="1567"/>
      <c r="AS86" s="1571"/>
      <c r="AT86" s="1571"/>
      <c r="AU86" s="1571"/>
      <c r="AV86" s="1571"/>
      <c r="AW86" s="1571"/>
      <c r="AX86" s="1571"/>
      <c r="AY86" s="1571"/>
      <c r="AZ86" s="1571"/>
      <c r="BA86" s="1571"/>
      <c r="BB86" s="1571"/>
      <c r="BC86" s="1571"/>
      <c r="BD86" s="1571"/>
      <c r="BE86" s="1571"/>
      <c r="BF86" s="1571"/>
      <c r="BG86" s="1571"/>
      <c r="BH86" s="1571"/>
      <c r="BI86" s="1571"/>
      <c r="BJ86" s="1571"/>
      <c r="BK86" s="1571"/>
      <c r="BL86" s="1571"/>
      <c r="BM86" s="1567"/>
      <c r="BN86" s="1572"/>
      <c r="BO86" s="1572"/>
      <c r="BP86" s="1572"/>
      <c r="BQ86" s="1567"/>
      <c r="BR86" s="3168">
        <f t="shared" si="62"/>
        <v>0</v>
      </c>
      <c r="BS86" s="1573"/>
      <c r="BU86" s="1574"/>
      <c r="BV86" s="1574"/>
      <c r="BW86" s="1574"/>
      <c r="BX86" s="1574"/>
      <c r="BY86" s="1574"/>
      <c r="BZ86" s="1574"/>
      <c r="CA86" s="1574"/>
      <c r="CB86" s="1574"/>
      <c r="CC86" s="1574"/>
      <c r="CD86" s="1574"/>
      <c r="CE86" s="1574"/>
      <c r="CF86" s="1574"/>
      <c r="CG86" s="1574"/>
      <c r="CH86" s="1574"/>
      <c r="CI86" s="1574"/>
      <c r="CJ86" s="1574"/>
      <c r="CK86" s="1574"/>
      <c r="CL86" s="1574"/>
      <c r="CM86" s="1574"/>
      <c r="CN86" s="1574"/>
      <c r="CO86" s="1574"/>
      <c r="CP86" s="1574"/>
      <c r="CQ86" s="1574"/>
      <c r="CR86" s="1574"/>
      <c r="CS86" s="1574"/>
      <c r="CT86" s="1574"/>
      <c r="CU86" s="1574"/>
      <c r="CV86" s="1574"/>
      <c r="CW86" s="1574"/>
      <c r="CX86" s="1574"/>
      <c r="CY86" s="1574"/>
      <c r="CZ86" s="1574"/>
      <c r="DA86" s="1574"/>
      <c r="DB86" s="1574"/>
      <c r="DC86" s="1574"/>
      <c r="DD86" s="1574"/>
      <c r="DE86" s="1574"/>
      <c r="DF86" s="1574"/>
      <c r="DG86" s="1574"/>
      <c r="DH86" s="1574"/>
      <c r="DI86" s="1574"/>
      <c r="DJ86" s="1574"/>
      <c r="DK86" s="1574"/>
      <c r="DL86" s="1574"/>
      <c r="DN86" s="1575">
        <v>0</v>
      </c>
    </row>
    <row r="87" spans="1:118" s="1522" customFormat="1" ht="12.75" hidden="1" customHeight="1" outlineLevel="2" x14ac:dyDescent="0.2">
      <c r="C87" s="1496" t="s">
        <v>112</v>
      </c>
      <c r="D87" s="1526" t="s">
        <v>113</v>
      </c>
      <c r="E87" s="1526"/>
      <c r="F87" s="14"/>
      <c r="G87" s="1540"/>
      <c r="H87" s="1540"/>
      <c r="I87" s="1540"/>
      <c r="J87" s="1540"/>
      <c r="K87" s="1540"/>
      <c r="L87" s="1540"/>
      <c r="M87" s="1540"/>
      <c r="N87" s="1540"/>
      <c r="O87" s="1540"/>
      <c r="P87" s="1540"/>
      <c r="Q87" s="1540"/>
      <c r="R87" s="1540"/>
      <c r="S87" s="1540"/>
      <c r="T87" s="1540"/>
      <c r="U87" s="1540"/>
      <c r="V87" s="1540"/>
      <c r="W87" s="1527"/>
      <c r="X87" s="14"/>
      <c r="Y87" s="1541"/>
      <c r="Z87" s="1541"/>
      <c r="AA87" s="1541"/>
      <c r="AB87" s="1541"/>
      <c r="AC87" s="1541"/>
      <c r="AD87" s="1541"/>
      <c r="AE87" s="1541"/>
      <c r="AF87" s="1541"/>
      <c r="AG87" s="1541"/>
      <c r="AH87" s="1541"/>
      <c r="AI87" s="1541"/>
      <c r="AJ87" s="1541"/>
      <c r="AK87" s="1541"/>
      <c r="AL87" s="1541"/>
      <c r="AM87" s="1541"/>
      <c r="AN87" s="1541"/>
      <c r="AO87" s="1541"/>
      <c r="AP87" s="1541"/>
      <c r="AQ87" s="1528"/>
      <c r="AR87" s="14"/>
      <c r="AS87" s="1542"/>
      <c r="AT87" s="1542"/>
      <c r="AU87" s="1542"/>
      <c r="AV87" s="1542"/>
      <c r="AW87" s="1542"/>
      <c r="AX87" s="1542"/>
      <c r="AY87" s="1542"/>
      <c r="AZ87" s="1542"/>
      <c r="BA87" s="1542"/>
      <c r="BB87" s="1542"/>
      <c r="BC87" s="1542"/>
      <c r="BD87" s="1542"/>
      <c r="BE87" s="1542"/>
      <c r="BF87" s="1542"/>
      <c r="BG87" s="1542"/>
      <c r="BH87" s="1542"/>
      <c r="BI87" s="1542"/>
      <c r="BJ87" s="1542"/>
      <c r="BK87" s="1542"/>
      <c r="BL87" s="1530"/>
      <c r="BM87" s="14"/>
      <c r="BN87" s="1543"/>
      <c r="BO87" s="1543"/>
      <c r="BP87" s="1531"/>
      <c r="BQ87" s="14"/>
      <c r="BR87" s="3168">
        <f t="shared" si="62"/>
        <v>0</v>
      </c>
      <c r="BS87" s="1525"/>
      <c r="BT87" s="748"/>
      <c r="BU87" s="1532">
        <v>0</v>
      </c>
      <c r="BV87" s="1533">
        <v>0</v>
      </c>
      <c r="BW87" s="1533">
        <v>0</v>
      </c>
      <c r="BX87" s="1533">
        <v>0</v>
      </c>
      <c r="BY87" s="1533">
        <v>0</v>
      </c>
      <c r="BZ87" s="1533">
        <v>0</v>
      </c>
      <c r="CA87" s="1533">
        <v>0</v>
      </c>
      <c r="CB87" s="1533">
        <v>0</v>
      </c>
      <c r="CC87" s="1533">
        <v>0</v>
      </c>
      <c r="CD87" s="1533">
        <v>0</v>
      </c>
      <c r="CE87" s="1533">
        <v>0</v>
      </c>
      <c r="CF87" s="1533">
        <v>0</v>
      </c>
      <c r="CG87" s="1533">
        <v>0</v>
      </c>
      <c r="CH87" s="1533">
        <v>0</v>
      </c>
      <c r="CI87" s="1533">
        <v>0</v>
      </c>
      <c r="CJ87" s="1533">
        <v>0</v>
      </c>
      <c r="CK87" s="1533">
        <v>0</v>
      </c>
      <c r="CL87" s="1533">
        <v>0</v>
      </c>
      <c r="CM87" s="1533">
        <v>0</v>
      </c>
      <c r="CN87" s="1533">
        <v>0</v>
      </c>
      <c r="CO87" s="1533">
        <v>0</v>
      </c>
      <c r="CP87" s="1533">
        <v>0</v>
      </c>
      <c r="CQ87" s="1533">
        <v>0</v>
      </c>
      <c r="CR87" s="1533">
        <v>0</v>
      </c>
      <c r="CS87" s="1533">
        <v>0</v>
      </c>
      <c r="CT87" s="1533">
        <v>0</v>
      </c>
      <c r="CU87" s="1533">
        <v>0</v>
      </c>
      <c r="CV87" s="1533">
        <v>0</v>
      </c>
      <c r="CW87" s="1533">
        <v>0</v>
      </c>
      <c r="CX87" s="1533">
        <v>0</v>
      </c>
      <c r="CY87" s="1533">
        <v>0</v>
      </c>
      <c r="CZ87" s="1533">
        <v>0</v>
      </c>
      <c r="DA87" s="1533">
        <v>0</v>
      </c>
      <c r="DB87" s="1533">
        <v>0</v>
      </c>
      <c r="DC87" s="1533">
        <v>0</v>
      </c>
      <c r="DD87" s="1533">
        <v>0</v>
      </c>
      <c r="DE87" s="1533">
        <v>0</v>
      </c>
      <c r="DF87" s="1533">
        <v>0</v>
      </c>
      <c r="DG87" s="1533">
        <v>0</v>
      </c>
      <c r="DH87" s="1533">
        <v>0</v>
      </c>
      <c r="DI87" s="1533">
        <v>0</v>
      </c>
      <c r="DJ87" s="1533">
        <v>0</v>
      </c>
      <c r="DK87" s="1533">
        <v>0</v>
      </c>
      <c r="DL87" s="1533">
        <v>0</v>
      </c>
      <c r="DN87" s="1509">
        <v>0</v>
      </c>
    </row>
    <row r="88" spans="1:118" s="14" customFormat="1" ht="15.75" hidden="1" outlineLevel="1" collapsed="1" x14ac:dyDescent="0.2">
      <c r="A88" s="1845"/>
      <c r="B88" s="1846"/>
      <c r="C88" s="1842" t="s">
        <v>746</v>
      </c>
      <c r="D88" s="1843" t="s">
        <v>2283</v>
      </c>
      <c r="E88" s="1844"/>
      <c r="G88" s="1539"/>
      <c r="H88" s="1539"/>
      <c r="I88" s="1539"/>
      <c r="J88" s="1539"/>
      <c r="K88" s="1539"/>
      <c r="L88" s="1539"/>
      <c r="M88" s="1539"/>
      <c r="N88" s="1539"/>
      <c r="O88" s="1539"/>
      <c r="P88" s="1539"/>
      <c r="Q88" s="1539"/>
      <c r="R88" s="1539"/>
      <c r="S88" s="1539"/>
      <c r="T88" s="1539"/>
      <c r="U88" s="1539"/>
      <c r="V88" s="1539"/>
      <c r="W88" s="1539"/>
      <c r="Y88" s="1490"/>
      <c r="Z88" s="1490"/>
      <c r="AA88" s="1490"/>
      <c r="AB88" s="1490"/>
      <c r="AC88" s="1490"/>
      <c r="AD88" s="1490"/>
      <c r="AE88" s="1490"/>
      <c r="AF88" s="1490"/>
      <c r="AG88" s="1490"/>
      <c r="AH88" s="1490"/>
      <c r="AI88" s="1490"/>
      <c r="AJ88" s="1490"/>
      <c r="AK88" s="1490"/>
      <c r="AL88" s="1490"/>
      <c r="AM88" s="1490"/>
      <c r="AN88" s="1490"/>
      <c r="AO88" s="1490"/>
      <c r="AP88" s="1490"/>
      <c r="AQ88" s="1490"/>
      <c r="AS88" s="1491"/>
      <c r="AT88" s="1491"/>
      <c r="AU88" s="1491"/>
      <c r="AV88" s="1491"/>
      <c r="AW88" s="1491"/>
      <c r="AX88" s="1491"/>
      <c r="AY88" s="1491"/>
      <c r="AZ88" s="1491"/>
      <c r="BA88" s="1491"/>
      <c r="BB88" s="1491"/>
      <c r="BC88" s="1491"/>
      <c r="BD88" s="1491"/>
      <c r="BE88" s="1491"/>
      <c r="BF88" s="1491"/>
      <c r="BG88" s="1491"/>
      <c r="BH88" s="1491"/>
      <c r="BI88" s="1491"/>
      <c r="BJ88" s="1491"/>
      <c r="BK88" s="1491"/>
      <c r="BL88" s="1491"/>
      <c r="BN88" s="1492"/>
      <c r="BO88" s="1492"/>
      <c r="BP88" s="1492"/>
      <c r="BR88" s="3168">
        <f t="shared" si="62"/>
        <v>0</v>
      </c>
      <c r="BS88" s="1493"/>
      <c r="BT88" s="748"/>
      <c r="BU88" s="1508">
        <v>0</v>
      </c>
      <c r="BV88" s="1508">
        <v>0</v>
      </c>
      <c r="BW88" s="1508">
        <v>0</v>
      </c>
      <c r="BX88" s="1508">
        <v>0</v>
      </c>
      <c r="BY88" s="1508">
        <v>0</v>
      </c>
      <c r="BZ88" s="1508">
        <v>0</v>
      </c>
      <c r="CA88" s="1508">
        <v>0</v>
      </c>
      <c r="CB88" s="1508">
        <v>0</v>
      </c>
      <c r="CC88" s="1508">
        <v>0</v>
      </c>
      <c r="CD88" s="1508">
        <v>0</v>
      </c>
      <c r="CE88" s="1508">
        <v>0</v>
      </c>
      <c r="CF88" s="1508">
        <v>0</v>
      </c>
      <c r="CG88" s="1508">
        <v>0</v>
      </c>
      <c r="CH88" s="1508">
        <v>0</v>
      </c>
      <c r="CI88" s="1508">
        <v>0</v>
      </c>
      <c r="CJ88" s="1508">
        <v>0</v>
      </c>
      <c r="CK88" s="1508">
        <v>0</v>
      </c>
      <c r="CL88" s="1508">
        <v>0</v>
      </c>
      <c r="CM88" s="1508">
        <v>0</v>
      </c>
      <c r="CN88" s="1508">
        <v>0</v>
      </c>
      <c r="CO88" s="1508">
        <v>0</v>
      </c>
      <c r="CP88" s="1508">
        <v>0</v>
      </c>
      <c r="CQ88" s="1508">
        <v>0</v>
      </c>
      <c r="CR88" s="1508">
        <v>0</v>
      </c>
      <c r="CS88" s="1508">
        <v>0</v>
      </c>
      <c r="CT88" s="1508">
        <v>0</v>
      </c>
      <c r="CU88" s="1508">
        <v>0</v>
      </c>
      <c r="CV88" s="1508">
        <v>0</v>
      </c>
      <c r="CW88" s="1508">
        <v>0</v>
      </c>
      <c r="CX88" s="1508">
        <v>0</v>
      </c>
      <c r="CY88" s="1508">
        <v>0</v>
      </c>
      <c r="CZ88" s="1508">
        <v>0</v>
      </c>
      <c r="DA88" s="1508">
        <v>0</v>
      </c>
      <c r="DB88" s="1508">
        <v>0</v>
      </c>
      <c r="DC88" s="1508">
        <v>0</v>
      </c>
      <c r="DD88" s="1508">
        <v>0</v>
      </c>
      <c r="DE88" s="1508">
        <v>0</v>
      </c>
      <c r="DF88" s="1508">
        <v>0</v>
      </c>
      <c r="DG88" s="1508">
        <v>0</v>
      </c>
      <c r="DH88" s="1508">
        <v>0</v>
      </c>
      <c r="DI88" s="1508">
        <v>0</v>
      </c>
      <c r="DJ88" s="1508">
        <v>0</v>
      </c>
      <c r="DK88" s="1508">
        <v>0</v>
      </c>
      <c r="DL88" s="1508">
        <v>0</v>
      </c>
      <c r="DN88" s="1509">
        <v>0</v>
      </c>
    </row>
    <row r="89" spans="1:118" s="14" customFormat="1" ht="15.75" hidden="1" outlineLevel="1" x14ac:dyDescent="0.2">
      <c r="A89" s="1845"/>
      <c r="B89" s="1846"/>
      <c r="C89" s="1842"/>
      <c r="D89" s="1843"/>
      <c r="E89" s="1844"/>
      <c r="G89" s="1539"/>
      <c r="H89" s="1539"/>
      <c r="I89" s="1539"/>
      <c r="J89" s="1539"/>
      <c r="K89" s="1539"/>
      <c r="L89" s="1539"/>
      <c r="M89" s="1539"/>
      <c r="N89" s="1539"/>
      <c r="O89" s="1539"/>
      <c r="P89" s="1539"/>
      <c r="Q89" s="1539"/>
      <c r="R89" s="1539"/>
      <c r="S89" s="1539"/>
      <c r="T89" s="1539"/>
      <c r="U89" s="1539"/>
      <c r="V89" s="1539"/>
      <c r="W89" s="1539"/>
      <c r="Y89" s="1490"/>
      <c r="Z89" s="1490"/>
      <c r="AA89" s="1490"/>
      <c r="AB89" s="1490"/>
      <c r="AC89" s="1490"/>
      <c r="AD89" s="1490"/>
      <c r="AE89" s="1490"/>
      <c r="AF89" s="1490"/>
      <c r="AG89" s="1490"/>
      <c r="AH89" s="1490"/>
      <c r="AI89" s="1490"/>
      <c r="AJ89" s="1490"/>
      <c r="AK89" s="1490"/>
      <c r="AL89" s="1490"/>
      <c r="AM89" s="1490"/>
      <c r="AN89" s="1490"/>
      <c r="AO89" s="1490"/>
      <c r="AP89" s="1490"/>
      <c r="AQ89" s="1490"/>
      <c r="AS89" s="1491"/>
      <c r="AT89" s="1491"/>
      <c r="AU89" s="1491"/>
      <c r="AV89" s="1491"/>
      <c r="AW89" s="1491"/>
      <c r="AX89" s="1491"/>
      <c r="AY89" s="1491"/>
      <c r="AZ89" s="1491"/>
      <c r="BA89" s="1491"/>
      <c r="BB89" s="1491"/>
      <c r="BC89" s="1491"/>
      <c r="BD89" s="1491"/>
      <c r="BE89" s="1491"/>
      <c r="BF89" s="1491"/>
      <c r="BG89" s="1491"/>
      <c r="BH89" s="1491"/>
      <c r="BI89" s="1491"/>
      <c r="BJ89" s="1491"/>
      <c r="BK89" s="1491"/>
      <c r="BL89" s="1491"/>
      <c r="BN89" s="1492"/>
      <c r="BO89" s="1492"/>
      <c r="BP89" s="1492"/>
      <c r="BR89" s="3168">
        <f t="shared" si="62"/>
        <v>0</v>
      </c>
      <c r="BS89" s="1493"/>
      <c r="BT89" s="748"/>
      <c r="BU89" s="1508"/>
      <c r="BV89" s="1508"/>
      <c r="BW89" s="1508"/>
      <c r="BX89" s="1508"/>
      <c r="BY89" s="1508"/>
      <c r="BZ89" s="1508"/>
      <c r="CA89" s="1508"/>
      <c r="CB89" s="1508"/>
      <c r="CC89" s="1508"/>
      <c r="CD89" s="1508"/>
      <c r="CE89" s="1508"/>
      <c r="CF89" s="1508"/>
      <c r="CG89" s="1508"/>
      <c r="CH89" s="1508"/>
      <c r="CI89" s="1508"/>
      <c r="CJ89" s="1508"/>
      <c r="CK89" s="1508"/>
      <c r="CL89" s="1508"/>
      <c r="CM89" s="1508"/>
      <c r="CN89" s="1508"/>
      <c r="CO89" s="1508"/>
      <c r="CP89" s="1508"/>
      <c r="CQ89" s="1508"/>
      <c r="CR89" s="1508"/>
      <c r="CS89" s="1508"/>
      <c r="CT89" s="1508"/>
      <c r="CU89" s="1508"/>
      <c r="CV89" s="1508"/>
      <c r="CW89" s="1508"/>
      <c r="CX89" s="1508"/>
      <c r="CY89" s="1508"/>
      <c r="CZ89" s="1508"/>
      <c r="DA89" s="1508"/>
      <c r="DB89" s="1508"/>
      <c r="DC89" s="1508"/>
      <c r="DD89" s="1508"/>
      <c r="DE89" s="1508"/>
      <c r="DF89" s="1508"/>
      <c r="DG89" s="1508"/>
      <c r="DH89" s="1508"/>
      <c r="DI89" s="1508"/>
      <c r="DJ89" s="1508"/>
      <c r="DK89" s="1508"/>
      <c r="DL89" s="1508"/>
      <c r="DN89" s="1509"/>
    </row>
    <row r="90" spans="1:118" s="14" customFormat="1" ht="15.75" collapsed="1" x14ac:dyDescent="0.2">
      <c r="A90" s="1845"/>
      <c r="B90" s="1846"/>
      <c r="C90" s="1842"/>
      <c r="D90" s="1843"/>
      <c r="E90" s="1844"/>
      <c r="G90" s="1539"/>
      <c r="H90" s="1539"/>
      <c r="I90" s="1539"/>
      <c r="J90" s="1539"/>
      <c r="K90" s="1539"/>
      <c r="L90" s="1539"/>
      <c r="M90" s="1539"/>
      <c r="N90" s="1539"/>
      <c r="O90" s="1539"/>
      <c r="P90" s="1539"/>
      <c r="Q90" s="1539"/>
      <c r="R90" s="1539"/>
      <c r="S90" s="1539"/>
      <c r="T90" s="1539"/>
      <c r="U90" s="1539"/>
      <c r="V90" s="1539"/>
      <c r="W90" s="1539"/>
      <c r="Y90" s="1490"/>
      <c r="Z90" s="1490"/>
      <c r="AA90" s="1490"/>
      <c r="AB90" s="1490"/>
      <c r="AC90" s="1490"/>
      <c r="AD90" s="1490"/>
      <c r="AE90" s="1490"/>
      <c r="AF90" s="1490"/>
      <c r="AG90" s="1490"/>
      <c r="AH90" s="1490"/>
      <c r="AI90" s="1490"/>
      <c r="AJ90" s="1490"/>
      <c r="AK90" s="1490"/>
      <c r="AL90" s="1490"/>
      <c r="AM90" s="1490"/>
      <c r="AN90" s="1490"/>
      <c r="AO90" s="1490"/>
      <c r="AP90" s="1490"/>
      <c r="AQ90" s="1490"/>
      <c r="AS90" s="1491"/>
      <c r="AT90" s="1491"/>
      <c r="AU90" s="1491"/>
      <c r="AV90" s="1491"/>
      <c r="AW90" s="1491"/>
      <c r="AX90" s="1491"/>
      <c r="AY90" s="1491"/>
      <c r="AZ90" s="1491"/>
      <c r="BA90" s="1491"/>
      <c r="BB90" s="1491"/>
      <c r="BC90" s="1491"/>
      <c r="BD90" s="1491"/>
      <c r="BE90" s="1491"/>
      <c r="BF90" s="1491"/>
      <c r="BG90" s="1491"/>
      <c r="BH90" s="1491"/>
      <c r="BI90" s="1491"/>
      <c r="BJ90" s="1491"/>
      <c r="BK90" s="1491"/>
      <c r="BL90" s="1491"/>
      <c r="BN90" s="1492"/>
      <c r="BO90" s="1492"/>
      <c r="BP90" s="1492"/>
      <c r="BR90" s="3168"/>
      <c r="BS90" s="1493"/>
      <c r="BT90" s="748"/>
      <c r="BU90" s="1508"/>
      <c r="BV90" s="1508"/>
      <c r="BW90" s="1508"/>
      <c r="BX90" s="1508"/>
      <c r="BY90" s="1508"/>
      <c r="BZ90" s="1508"/>
      <c r="CA90" s="1508"/>
      <c r="CB90" s="1508"/>
      <c r="CC90" s="1508"/>
      <c r="CD90" s="1508"/>
      <c r="CE90" s="1508"/>
      <c r="CF90" s="1508"/>
      <c r="CG90" s="1508"/>
      <c r="CH90" s="1508"/>
      <c r="CI90" s="1508"/>
      <c r="CJ90" s="1508"/>
      <c r="CK90" s="1508"/>
      <c r="CL90" s="1508"/>
      <c r="CM90" s="1508"/>
      <c r="CN90" s="1508"/>
      <c r="CO90" s="1508"/>
      <c r="CP90" s="1508"/>
      <c r="CQ90" s="1508"/>
      <c r="CR90" s="1508"/>
      <c r="CS90" s="1508"/>
      <c r="CT90" s="1508"/>
      <c r="CU90" s="1508"/>
      <c r="CV90" s="1508"/>
      <c r="CW90" s="1508"/>
      <c r="CX90" s="1508"/>
      <c r="CY90" s="1508"/>
      <c r="CZ90" s="1508"/>
      <c r="DA90" s="1508"/>
      <c r="DB90" s="1508"/>
      <c r="DC90" s="1508"/>
      <c r="DD90" s="1508"/>
      <c r="DE90" s="1508"/>
      <c r="DF90" s="1508"/>
      <c r="DG90" s="1508"/>
      <c r="DH90" s="1508"/>
      <c r="DI90" s="1508"/>
      <c r="DJ90" s="1508"/>
      <c r="DK90" s="1508"/>
      <c r="DL90" s="1508"/>
      <c r="DN90" s="1509"/>
    </row>
    <row r="91" spans="1:118" s="14" customFormat="1" ht="6" customHeight="1" x14ac:dyDescent="0.2">
      <c r="C91" s="1552"/>
      <c r="D91" s="1537"/>
      <c r="E91" s="1430"/>
      <c r="G91" s="1488"/>
      <c r="H91" s="1488"/>
      <c r="I91" s="1488"/>
      <c r="J91" s="1488"/>
      <c r="K91" s="1488"/>
      <c r="L91" s="1488"/>
      <c r="M91" s="1488"/>
      <c r="N91" s="1488"/>
      <c r="O91" s="1563"/>
      <c r="P91" s="1488"/>
      <c r="Q91" s="1488"/>
      <c r="R91" s="1488"/>
      <c r="S91" s="1488"/>
      <c r="T91" s="1488"/>
      <c r="U91" s="1488"/>
      <c r="V91" s="1488"/>
      <c r="W91" s="1488"/>
      <c r="Y91" s="1490"/>
      <c r="Z91" s="1490"/>
      <c r="AA91" s="1490"/>
      <c r="AB91" s="1490"/>
      <c r="AC91" s="1490"/>
      <c r="AD91" s="1490"/>
      <c r="AE91" s="1490"/>
      <c r="AF91" s="1490"/>
      <c r="AG91" s="1490"/>
      <c r="AH91" s="1490"/>
      <c r="AI91" s="1490"/>
      <c r="AJ91" s="1490"/>
      <c r="AK91" s="1490"/>
      <c r="AL91" s="1490"/>
      <c r="AM91" s="1490"/>
      <c r="AN91" s="1490"/>
      <c r="AO91" s="1490"/>
      <c r="AP91" s="1490"/>
      <c r="AQ91" s="1490"/>
      <c r="AS91" s="1491"/>
      <c r="AT91" s="1491"/>
      <c r="AU91" s="1491"/>
      <c r="AV91" s="1491"/>
      <c r="AW91" s="1491"/>
      <c r="AX91" s="1491"/>
      <c r="AY91" s="1491"/>
      <c r="AZ91" s="1491"/>
      <c r="BA91" s="1491"/>
      <c r="BB91" s="1491"/>
      <c r="BC91" s="1491"/>
      <c r="BD91" s="1491"/>
      <c r="BE91" s="1491"/>
      <c r="BF91" s="1491"/>
      <c r="BG91" s="1491"/>
      <c r="BH91" s="1491"/>
      <c r="BI91" s="1491"/>
      <c r="BJ91" s="1491"/>
      <c r="BK91" s="1491"/>
      <c r="BL91" s="1491"/>
      <c r="BN91" s="1492"/>
      <c r="BO91" s="1492"/>
      <c r="BP91" s="1492"/>
      <c r="BR91" s="3168"/>
      <c r="BS91" s="1493"/>
      <c r="BU91" s="1508"/>
      <c r="BV91" s="1508"/>
      <c r="BW91" s="1508"/>
      <c r="BX91" s="1508"/>
      <c r="BY91" s="1508"/>
      <c r="BZ91" s="1508"/>
      <c r="CA91" s="1508"/>
      <c r="CB91" s="1508"/>
      <c r="CC91" s="1508"/>
      <c r="CD91" s="1508"/>
      <c r="CE91" s="1508"/>
      <c r="CF91" s="1508"/>
      <c r="CG91" s="1508"/>
      <c r="CH91" s="1508"/>
      <c r="CI91" s="1508"/>
      <c r="CJ91" s="1508"/>
      <c r="CK91" s="1508"/>
      <c r="CL91" s="1508"/>
      <c r="CM91" s="1508"/>
      <c r="CN91" s="1508"/>
      <c r="CO91" s="1508"/>
      <c r="CP91" s="1508"/>
      <c r="CQ91" s="1508"/>
      <c r="CR91" s="1508"/>
      <c r="CS91" s="1508"/>
      <c r="CT91" s="1508"/>
      <c r="CU91" s="1508"/>
      <c r="CV91" s="1508"/>
      <c r="CW91" s="1508"/>
      <c r="CX91" s="1508"/>
      <c r="CY91" s="1508"/>
      <c r="CZ91" s="1508"/>
      <c r="DA91" s="1508"/>
      <c r="DB91" s="1508"/>
      <c r="DC91" s="1508"/>
      <c r="DD91" s="1508"/>
      <c r="DE91" s="1508"/>
      <c r="DF91" s="1508"/>
      <c r="DG91" s="1508"/>
      <c r="DH91" s="1508"/>
      <c r="DI91" s="1508"/>
      <c r="DJ91" s="1508"/>
      <c r="DK91" s="1508"/>
      <c r="DL91" s="1508"/>
      <c r="DN91" s="1509"/>
    </row>
    <row r="92" spans="1:118" s="14" customFormat="1" ht="15.75" x14ac:dyDescent="0.2">
      <c r="B92" s="1535"/>
      <c r="C92" s="1553"/>
      <c r="D92" s="1554" t="s">
        <v>917</v>
      </c>
      <c r="E92" s="1555"/>
      <c r="F92" s="1556">
        <f t="shared" ref="F92:V92" si="63">F54+F59+F76+F70+F82</f>
        <v>0</v>
      </c>
      <c r="G92" s="1556">
        <f t="shared" si="63"/>
        <v>0</v>
      </c>
      <c r="H92" s="1556">
        <f t="shared" si="63"/>
        <v>0</v>
      </c>
      <c r="I92" s="1556">
        <f t="shared" si="63"/>
        <v>0</v>
      </c>
      <c r="J92" s="1556">
        <f t="shared" si="63"/>
        <v>0</v>
      </c>
      <c r="K92" s="1556">
        <f t="shared" si="63"/>
        <v>0</v>
      </c>
      <c r="L92" s="1556">
        <f t="shared" si="63"/>
        <v>0</v>
      </c>
      <c r="M92" s="1556">
        <f t="shared" si="63"/>
        <v>0</v>
      </c>
      <c r="N92" s="1556">
        <f t="shared" si="63"/>
        <v>0</v>
      </c>
      <c r="O92" s="1556">
        <f t="shared" si="63"/>
        <v>0</v>
      </c>
      <c r="P92" s="1556">
        <f t="shared" si="63"/>
        <v>0</v>
      </c>
      <c r="Q92" s="1556">
        <f t="shared" si="63"/>
        <v>0</v>
      </c>
      <c r="R92" s="1556">
        <f t="shared" si="63"/>
        <v>0</v>
      </c>
      <c r="S92" s="1556">
        <f t="shared" si="63"/>
        <v>0</v>
      </c>
      <c r="T92" s="1556">
        <f t="shared" si="63"/>
        <v>0</v>
      </c>
      <c r="U92" s="1556">
        <f t="shared" si="63"/>
        <v>0</v>
      </c>
      <c r="V92" s="1556">
        <f t="shared" si="63"/>
        <v>0</v>
      </c>
      <c r="W92" s="1556">
        <f>W54+W59+W76+W70+W82</f>
        <v>0</v>
      </c>
      <c r="Y92" s="1557">
        <f ca="1">Y54+Y59+Y76+Y70+Y82</f>
        <v>0</v>
      </c>
      <c r="Z92" s="1557">
        <f t="shared" ref="Z92:AP92" ca="1" si="64">Z54+Z59+Z76+Z70+Z82</f>
        <v>91.520244446127023</v>
      </c>
      <c r="AA92" s="1557">
        <f t="shared" ca="1" si="64"/>
        <v>-75.779877130432368</v>
      </c>
      <c r="AB92" s="1557">
        <f t="shared" ca="1" si="64"/>
        <v>-9.4724846413040478</v>
      </c>
      <c r="AC92" s="1557">
        <f t="shared" ca="1" si="64"/>
        <v>-43.302786931675641</v>
      </c>
      <c r="AD92" s="1557">
        <f t="shared" ca="1" si="64"/>
        <v>0</v>
      </c>
      <c r="AE92" s="1557">
        <f t="shared" ca="1" si="64"/>
        <v>0</v>
      </c>
      <c r="AF92" s="1557">
        <f t="shared" ca="1" si="64"/>
        <v>0</v>
      </c>
      <c r="AG92" s="1557">
        <f t="shared" ca="1" si="64"/>
        <v>0</v>
      </c>
      <c r="AH92" s="1557">
        <f t="shared" ca="1" si="64"/>
        <v>0</v>
      </c>
      <c r="AI92" s="1557">
        <f t="shared" ca="1" si="64"/>
        <v>0</v>
      </c>
      <c r="AJ92" s="1557">
        <f t="shared" ca="1" si="64"/>
        <v>0</v>
      </c>
      <c r="AK92" s="1557">
        <f t="shared" ca="1" si="64"/>
        <v>0</v>
      </c>
      <c r="AL92" s="1557">
        <f t="shared" ca="1" si="64"/>
        <v>-2.9453760000000004</v>
      </c>
      <c r="AM92" s="1557">
        <f t="shared" ca="1" si="64"/>
        <v>0</v>
      </c>
      <c r="AN92" s="1557">
        <f t="shared" ca="1" si="64"/>
        <v>0</v>
      </c>
      <c r="AO92" s="1557">
        <f t="shared" ca="1" si="64"/>
        <v>0</v>
      </c>
      <c r="AP92" s="1557">
        <f t="shared" ca="1" si="64"/>
        <v>0</v>
      </c>
      <c r="AQ92" s="1557">
        <f ca="1">AQ54+AQ59+AQ76+AQ70+AQ82</f>
        <v>-39.980280257285031</v>
      </c>
      <c r="AS92" s="1558">
        <f ca="1">AS54+AS59+AS76+AS70+AS82</f>
        <v>0</v>
      </c>
      <c r="AT92" s="1558">
        <f t="shared" ref="AT92:BK92" ca="1" si="65">AT54+AT59+AT76+AT70+AT82</f>
        <v>0</v>
      </c>
      <c r="AU92" s="1558">
        <f t="shared" ca="1" si="65"/>
        <v>0</v>
      </c>
      <c r="AV92" s="1558">
        <f t="shared" ca="1" si="65"/>
        <v>0</v>
      </c>
      <c r="AW92" s="1558">
        <f t="shared" ca="1" si="65"/>
        <v>0</v>
      </c>
      <c r="AX92" s="1558">
        <f t="shared" ca="1" si="65"/>
        <v>0</v>
      </c>
      <c r="AY92" s="1558">
        <f t="shared" ca="1" si="65"/>
        <v>0</v>
      </c>
      <c r="AZ92" s="1558">
        <f t="shared" ca="1" si="65"/>
        <v>0</v>
      </c>
      <c r="BA92" s="1558">
        <f t="shared" ca="1" si="65"/>
        <v>0</v>
      </c>
      <c r="BB92" s="1558">
        <f t="shared" ca="1" si="65"/>
        <v>0</v>
      </c>
      <c r="BC92" s="1558">
        <f t="shared" ca="1" si="65"/>
        <v>-7.1851423428723589</v>
      </c>
      <c r="BD92" s="1558">
        <f t="shared" ca="1" si="65"/>
        <v>-4.9601951999999994</v>
      </c>
      <c r="BE92" s="1558">
        <f t="shared" ca="1" si="65"/>
        <v>-9.4672799999999998E-3</v>
      </c>
      <c r="BF92" s="1558">
        <f t="shared" ca="1" si="65"/>
        <v>-3.9447000000000006E-3</v>
      </c>
      <c r="BG92" s="1558">
        <f t="shared" ca="1" si="65"/>
        <v>-0.35064000000000006</v>
      </c>
      <c r="BH92" s="1558">
        <f t="shared" ca="1" si="65"/>
        <v>-24.159096000000002</v>
      </c>
      <c r="BI92" s="1558">
        <f t="shared" ca="1" si="65"/>
        <v>0</v>
      </c>
      <c r="BJ92" s="1558">
        <f t="shared" ca="1" si="65"/>
        <v>0</v>
      </c>
      <c r="BK92" s="1558">
        <f t="shared" ca="1" si="65"/>
        <v>-0.41667291307003151</v>
      </c>
      <c r="BL92" s="1558">
        <f ca="1">BL54+BL59+BL76+BL70+BL82</f>
        <v>-37.085158435942397</v>
      </c>
      <c r="BN92" s="1559">
        <f ca="1">BN70+BN76+BN59+BN54+BN82</f>
        <v>74.333993579718197</v>
      </c>
      <c r="BO92" s="1559">
        <f ca="1">BO70+BO76+BO59+BO54+BO82</f>
        <v>2.7314451135092335</v>
      </c>
      <c r="BP92" s="1559">
        <f ca="1">BP54+BP59+BP76+BP70</f>
        <v>77.065438693227435</v>
      </c>
      <c r="BR92" s="3168">
        <f ca="1">W92+AQ92+BL92+BP92</f>
        <v>0</v>
      </c>
      <c r="BS92" s="1560"/>
      <c r="BU92" s="1561">
        <v>226.09341168494953</v>
      </c>
      <c r="BV92" s="1561">
        <v>0.56291143459540849</v>
      </c>
      <c r="BW92" s="1561">
        <v>1.6437392022754262</v>
      </c>
      <c r="BX92" s="1561">
        <v>0</v>
      </c>
      <c r="BY92" s="1561">
        <v>5.0916819860234304</v>
      </c>
      <c r="BZ92" s="1561">
        <v>2.6403129612517775</v>
      </c>
      <c r="CA92" s="1561">
        <v>0</v>
      </c>
      <c r="CB92" s="1561">
        <v>0</v>
      </c>
      <c r="CC92" s="1561">
        <v>0</v>
      </c>
      <c r="CD92" s="1561">
        <v>0</v>
      </c>
      <c r="CE92" s="1561">
        <v>0</v>
      </c>
      <c r="CF92" s="1561">
        <v>0</v>
      </c>
      <c r="CG92" s="1561">
        <v>0</v>
      </c>
      <c r="CH92" s="1561">
        <v>0</v>
      </c>
      <c r="CI92" s="1561">
        <v>0</v>
      </c>
      <c r="CJ92" s="1561">
        <v>0</v>
      </c>
      <c r="CK92" s="1561">
        <v>0</v>
      </c>
      <c r="CL92" s="1561">
        <v>20.026732599999995</v>
      </c>
      <c r="CM92" s="1561">
        <v>23.28</v>
      </c>
      <c r="CN92" s="1561">
        <v>0</v>
      </c>
      <c r="CO92" s="1561">
        <v>-1.8247953999999991</v>
      </c>
      <c r="CP92" s="1561">
        <v>0</v>
      </c>
      <c r="CQ92" s="1561">
        <v>0</v>
      </c>
      <c r="CR92" s="1561">
        <v>0</v>
      </c>
      <c r="CS92" s="1561">
        <v>0</v>
      </c>
      <c r="CT92" s="1561">
        <v>21.652248115789206</v>
      </c>
      <c r="CU92" s="1561">
        <v>1.2204197534285715</v>
      </c>
      <c r="CV92" s="1561">
        <v>0</v>
      </c>
      <c r="CW92" s="1561">
        <v>0</v>
      </c>
      <c r="CX92" s="1561">
        <v>0</v>
      </c>
      <c r="CY92" s="1561">
        <v>0</v>
      </c>
      <c r="CZ92" s="1561">
        <v>0</v>
      </c>
      <c r="DA92" s="1561">
        <v>0</v>
      </c>
      <c r="DB92" s="1561">
        <v>0</v>
      </c>
      <c r="DC92" s="1561">
        <v>0</v>
      </c>
      <c r="DD92" s="1561">
        <v>0</v>
      </c>
      <c r="DE92" s="1561">
        <v>0</v>
      </c>
      <c r="DF92" s="1561">
        <v>0</v>
      </c>
      <c r="DG92" s="1561">
        <v>0</v>
      </c>
      <c r="DH92" s="1561">
        <v>0</v>
      </c>
      <c r="DI92" s="1561">
        <v>0</v>
      </c>
      <c r="DJ92" s="1561">
        <v>0</v>
      </c>
      <c r="DK92" s="1561">
        <v>0</v>
      </c>
      <c r="DL92" s="1561">
        <v>0</v>
      </c>
      <c r="DN92" s="1562">
        <v>300.38666233831339</v>
      </c>
    </row>
    <row r="93" spans="1:118" s="14" customFormat="1" ht="6" customHeight="1" x14ac:dyDescent="0.2">
      <c r="C93" s="1552"/>
      <c r="D93" s="1537"/>
      <c r="E93" s="1430"/>
      <c r="G93" s="1488"/>
      <c r="H93" s="1488"/>
      <c r="I93" s="1488"/>
      <c r="J93" s="1488"/>
      <c r="K93" s="1488"/>
      <c r="L93" s="1488"/>
      <c r="M93" s="1488"/>
      <c r="N93" s="1488"/>
      <c r="O93" s="1563"/>
      <c r="P93" s="1488"/>
      <c r="Q93" s="1488"/>
      <c r="R93" s="1488"/>
      <c r="S93" s="1488"/>
      <c r="T93" s="1488"/>
      <c r="U93" s="1488"/>
      <c r="V93" s="1488"/>
      <c r="W93" s="1488"/>
      <c r="Y93" s="1490"/>
      <c r="Z93" s="1490"/>
      <c r="AA93" s="1490"/>
      <c r="AB93" s="1490"/>
      <c r="AC93" s="1490"/>
      <c r="AD93" s="1490"/>
      <c r="AE93" s="1490"/>
      <c r="AF93" s="1490"/>
      <c r="AG93" s="1490"/>
      <c r="AH93" s="1490"/>
      <c r="AI93" s="1490"/>
      <c r="AJ93" s="1490"/>
      <c r="AK93" s="1490"/>
      <c r="AL93" s="1490"/>
      <c r="AM93" s="1490"/>
      <c r="AN93" s="1490"/>
      <c r="AO93" s="1490"/>
      <c r="AP93" s="1490"/>
      <c r="AQ93" s="1490"/>
      <c r="AS93" s="1491"/>
      <c r="AT93" s="1491"/>
      <c r="AU93" s="1491"/>
      <c r="AV93" s="1491"/>
      <c r="AW93" s="1491"/>
      <c r="AX93" s="1491"/>
      <c r="AY93" s="1491"/>
      <c r="AZ93" s="1491"/>
      <c r="BA93" s="1491"/>
      <c r="BB93" s="1491"/>
      <c r="BC93" s="1491"/>
      <c r="BD93" s="1491"/>
      <c r="BE93" s="1491"/>
      <c r="BF93" s="1491"/>
      <c r="BG93" s="1491"/>
      <c r="BH93" s="1491"/>
      <c r="BI93" s="1491"/>
      <c r="BJ93" s="1491"/>
      <c r="BK93" s="1491"/>
      <c r="BL93" s="1491"/>
      <c r="BN93" s="1492"/>
      <c r="BO93" s="1492"/>
      <c r="BP93" s="1492"/>
      <c r="BR93" s="3168"/>
      <c r="BS93" s="1493"/>
      <c r="BU93" s="1508"/>
      <c r="BV93" s="1508"/>
      <c r="BW93" s="1508"/>
      <c r="BX93" s="1508"/>
      <c r="BY93" s="1508"/>
      <c r="BZ93" s="1508"/>
      <c r="CA93" s="1508"/>
      <c r="CB93" s="1508"/>
      <c r="CC93" s="1508"/>
      <c r="CD93" s="1508"/>
      <c r="CE93" s="1508"/>
      <c r="CF93" s="1508"/>
      <c r="CG93" s="1508"/>
      <c r="CH93" s="1508"/>
      <c r="CI93" s="1508"/>
      <c r="CJ93" s="1508"/>
      <c r="CK93" s="1508"/>
      <c r="CL93" s="1508"/>
      <c r="CM93" s="1508"/>
      <c r="CN93" s="1508"/>
      <c r="CO93" s="1508"/>
      <c r="CP93" s="1508"/>
      <c r="CQ93" s="1508"/>
      <c r="CR93" s="1508"/>
      <c r="CS93" s="1508"/>
      <c r="CT93" s="1508"/>
      <c r="CU93" s="1508"/>
      <c r="CV93" s="1508"/>
      <c r="CW93" s="1508"/>
      <c r="CX93" s="1508"/>
      <c r="CY93" s="1508"/>
      <c r="CZ93" s="1508"/>
      <c r="DA93" s="1508"/>
      <c r="DB93" s="1508"/>
      <c r="DC93" s="1508"/>
      <c r="DD93" s="1508"/>
      <c r="DE93" s="1508"/>
      <c r="DF93" s="1508"/>
      <c r="DG93" s="1508"/>
      <c r="DH93" s="1508"/>
      <c r="DI93" s="1508"/>
      <c r="DJ93" s="1508"/>
      <c r="DK93" s="1508"/>
      <c r="DL93" s="1508"/>
      <c r="DN93" s="1509"/>
    </row>
    <row r="94" spans="1:118" s="14" customFormat="1" ht="24" hidden="1" customHeight="1" outlineLevel="1" x14ac:dyDescent="0.2">
      <c r="C94" s="1480"/>
      <c r="D94" s="1480"/>
      <c r="E94" s="1481"/>
      <c r="G94" s="1482"/>
      <c r="H94" s="1482"/>
      <c r="I94" s="1482"/>
      <c r="J94" s="1482"/>
      <c r="K94" s="1482"/>
      <c r="L94" s="1482"/>
      <c r="M94" s="1482"/>
      <c r="N94" s="1482"/>
      <c r="O94" s="1482"/>
      <c r="P94" s="1482"/>
      <c r="Q94" s="1482"/>
      <c r="R94" s="1482"/>
      <c r="S94" s="1482"/>
      <c r="T94" s="1482"/>
      <c r="U94" s="1482"/>
      <c r="V94" s="1482"/>
      <c r="W94" s="1482"/>
      <c r="Y94" s="1596"/>
      <c r="Z94" s="1596"/>
      <c r="AA94" s="1596"/>
      <c r="AB94" s="1596"/>
      <c r="AC94" s="1596"/>
      <c r="AD94" s="1483"/>
      <c r="AE94" s="1483"/>
      <c r="AF94" s="1483"/>
      <c r="AG94" s="1596"/>
      <c r="AH94" s="1596"/>
      <c r="AI94" s="1596"/>
      <c r="AJ94" s="1596"/>
      <c r="AK94" s="1596"/>
      <c r="AL94" s="1596"/>
      <c r="AM94" s="1596"/>
      <c r="AN94" s="1596"/>
      <c r="AO94" s="1596"/>
      <c r="AP94" s="1596"/>
      <c r="AQ94" s="1596"/>
      <c r="AS94" s="1597"/>
      <c r="AT94" s="1597"/>
      <c r="AU94" s="1597"/>
      <c r="AV94" s="1597"/>
      <c r="AW94" s="1597"/>
      <c r="AX94" s="1597"/>
      <c r="AY94" s="1597"/>
      <c r="AZ94" s="1597"/>
      <c r="BA94" s="1597"/>
      <c r="BB94" s="1597"/>
      <c r="BC94" s="1484"/>
      <c r="BD94" s="1484"/>
      <c r="BE94" s="1484"/>
      <c r="BF94" s="1484"/>
      <c r="BG94" s="1484"/>
      <c r="BH94" s="1484"/>
      <c r="BI94" s="1484"/>
      <c r="BJ94" s="1484"/>
      <c r="BK94" s="1484"/>
      <c r="BL94" s="1597"/>
      <c r="BN94" s="1598"/>
      <c r="BO94" s="1598"/>
      <c r="BP94" s="1598"/>
      <c r="BR94" s="3168"/>
      <c r="BS94" s="1486"/>
      <c r="BU94" s="1508"/>
      <c r="BV94" s="1508"/>
      <c r="BW94" s="1508"/>
      <c r="BX94" s="1508"/>
      <c r="BY94" s="1508"/>
      <c r="BZ94" s="1508"/>
      <c r="CA94" s="1508"/>
      <c r="CB94" s="1508"/>
      <c r="CC94" s="1508"/>
      <c r="CD94" s="1508"/>
      <c r="CE94" s="1508"/>
      <c r="CF94" s="1508"/>
      <c r="CG94" s="1508"/>
      <c r="CH94" s="1508"/>
      <c r="CI94" s="1508"/>
      <c r="CJ94" s="1508"/>
      <c r="CK94" s="1508"/>
      <c r="CL94" s="1508"/>
      <c r="CM94" s="1508"/>
      <c r="CN94" s="1508"/>
      <c r="CO94" s="1508"/>
      <c r="CP94" s="1508"/>
      <c r="CQ94" s="1508"/>
      <c r="CR94" s="1508"/>
      <c r="CS94" s="1508"/>
      <c r="CT94" s="1508"/>
      <c r="CU94" s="1508"/>
      <c r="CV94" s="1508"/>
      <c r="CW94" s="1508"/>
      <c r="CX94" s="1508"/>
      <c r="CY94" s="1508"/>
      <c r="CZ94" s="1508"/>
      <c r="DA94" s="1508"/>
      <c r="DB94" s="1508"/>
      <c r="DC94" s="1508"/>
      <c r="DD94" s="1508"/>
      <c r="DE94" s="1508"/>
      <c r="DF94" s="1508"/>
      <c r="DG94" s="1508"/>
      <c r="DH94" s="1508"/>
      <c r="DI94" s="1508"/>
      <c r="DJ94" s="1508"/>
      <c r="DK94" s="1508"/>
      <c r="DL94" s="1508"/>
      <c r="DN94" s="1509"/>
    </row>
    <row r="95" spans="1:118" s="14" customFormat="1" ht="6" hidden="1" customHeight="1" outlineLevel="1" x14ac:dyDescent="0.2">
      <c r="C95" s="1580"/>
      <c r="D95" s="746"/>
      <c r="E95" s="1430"/>
      <c r="G95" s="1488"/>
      <c r="H95" s="1488"/>
      <c r="I95" s="1488"/>
      <c r="J95" s="1488"/>
      <c r="K95" s="1488"/>
      <c r="L95" s="1488"/>
      <c r="M95" s="1488"/>
      <c r="N95" s="1488"/>
      <c r="O95" s="1563"/>
      <c r="P95" s="1488"/>
      <c r="Q95" s="1488"/>
      <c r="R95" s="1488"/>
      <c r="S95" s="1488"/>
      <c r="T95" s="1488"/>
      <c r="U95" s="1488"/>
      <c r="V95" s="1488"/>
      <c r="W95" s="1488"/>
      <c r="Y95" s="1490"/>
      <c r="Z95" s="1490"/>
      <c r="AA95" s="1490"/>
      <c r="AB95" s="1490"/>
      <c r="AC95" s="1490"/>
      <c r="AD95" s="1490"/>
      <c r="AE95" s="1490"/>
      <c r="AF95" s="1490"/>
      <c r="AG95" s="1490"/>
      <c r="AH95" s="1490"/>
      <c r="AI95" s="1490"/>
      <c r="AJ95" s="1490"/>
      <c r="AK95" s="1490"/>
      <c r="AL95" s="1490"/>
      <c r="AM95" s="1490"/>
      <c r="AN95" s="1490"/>
      <c r="AO95" s="1490"/>
      <c r="AP95" s="1490"/>
      <c r="AQ95" s="1490"/>
      <c r="AS95" s="1491"/>
      <c r="AT95" s="1491"/>
      <c r="AU95" s="1491"/>
      <c r="AV95" s="1491"/>
      <c r="AW95" s="1491"/>
      <c r="AX95" s="1491"/>
      <c r="AY95" s="1491"/>
      <c r="AZ95" s="1491"/>
      <c r="BA95" s="1491"/>
      <c r="BB95" s="1491"/>
      <c r="BC95" s="1491"/>
      <c r="BD95" s="1491"/>
      <c r="BE95" s="1491"/>
      <c r="BF95" s="1491"/>
      <c r="BG95" s="1491"/>
      <c r="BH95" s="1491"/>
      <c r="BI95" s="1491"/>
      <c r="BJ95" s="1491"/>
      <c r="BK95" s="1491"/>
      <c r="BL95" s="1491"/>
      <c r="BN95" s="1492"/>
      <c r="BO95" s="1492"/>
      <c r="BP95" s="1492"/>
      <c r="BR95" s="3168"/>
      <c r="BS95" s="1493"/>
      <c r="BU95" s="1508"/>
      <c r="BV95" s="1508"/>
      <c r="BW95" s="1508"/>
      <c r="BX95" s="1508"/>
      <c r="BY95" s="1508"/>
      <c r="BZ95" s="1508"/>
      <c r="CA95" s="1508"/>
      <c r="CB95" s="1508"/>
      <c r="CC95" s="1508"/>
      <c r="CD95" s="1508"/>
      <c r="CE95" s="1508"/>
      <c r="CF95" s="1508"/>
      <c r="CG95" s="1508"/>
      <c r="CH95" s="1508"/>
      <c r="CI95" s="1508"/>
      <c r="CJ95" s="1508"/>
      <c r="CK95" s="1508"/>
      <c r="CL95" s="1508"/>
      <c r="CM95" s="1508"/>
      <c r="CN95" s="1508"/>
      <c r="CO95" s="1508"/>
      <c r="CP95" s="1508"/>
      <c r="CQ95" s="1508"/>
      <c r="CR95" s="1508"/>
      <c r="CS95" s="1508"/>
      <c r="CT95" s="1508"/>
      <c r="CU95" s="1508"/>
      <c r="CV95" s="1508"/>
      <c r="CW95" s="1508"/>
      <c r="CX95" s="1508"/>
      <c r="CY95" s="1508"/>
      <c r="CZ95" s="1508"/>
      <c r="DA95" s="1508"/>
      <c r="DB95" s="1508"/>
      <c r="DC95" s="1508"/>
      <c r="DD95" s="1508"/>
      <c r="DE95" s="1508"/>
      <c r="DF95" s="1508"/>
      <c r="DG95" s="1508"/>
      <c r="DH95" s="1508"/>
      <c r="DI95" s="1508"/>
      <c r="DJ95" s="1508"/>
      <c r="DK95" s="1508"/>
      <c r="DL95" s="1508"/>
      <c r="DN95" s="1509"/>
    </row>
    <row r="96" spans="1:118" s="14" customFormat="1" hidden="1" outlineLevel="2" x14ac:dyDescent="0.2">
      <c r="A96" s="1578"/>
      <c r="B96" s="1578"/>
      <c r="C96" s="1599"/>
      <c r="D96" s="1600"/>
      <c r="E96" s="1600"/>
      <c r="G96" s="1601"/>
      <c r="H96" s="1601"/>
      <c r="I96" s="1601"/>
      <c r="J96" s="1601"/>
      <c r="K96" s="1601"/>
      <c r="L96" s="1601"/>
      <c r="M96" s="1601"/>
      <c r="N96" s="1601"/>
      <c r="O96" s="1602"/>
      <c r="P96" s="1601"/>
      <c r="Q96" s="1601"/>
      <c r="R96" s="1601"/>
      <c r="S96" s="1601"/>
      <c r="T96" s="1601"/>
      <c r="U96" s="1601"/>
      <c r="V96" s="1601"/>
      <c r="W96" s="1601"/>
      <c r="Y96" s="1603"/>
      <c r="Z96" s="1603"/>
      <c r="AA96" s="1603"/>
      <c r="AB96" s="1603"/>
      <c r="AC96" s="1603"/>
      <c r="AD96" s="1603"/>
      <c r="AE96" s="1603"/>
      <c r="AF96" s="1603"/>
      <c r="AG96" s="1603"/>
      <c r="AH96" s="1603"/>
      <c r="AI96" s="1603"/>
      <c r="AJ96" s="1603"/>
      <c r="AK96" s="1603"/>
      <c r="AL96" s="1603"/>
      <c r="AM96" s="1603"/>
      <c r="AN96" s="1603"/>
      <c r="AO96" s="1603"/>
      <c r="AP96" s="1603"/>
      <c r="AQ96" s="1603"/>
      <c r="AS96" s="1604"/>
      <c r="AT96" s="1604"/>
      <c r="AU96" s="1604"/>
      <c r="AV96" s="1604"/>
      <c r="AW96" s="1604"/>
      <c r="AX96" s="1604"/>
      <c r="AY96" s="1604"/>
      <c r="AZ96" s="1604"/>
      <c r="BA96" s="1604"/>
      <c r="BB96" s="1604"/>
      <c r="BC96" s="1604"/>
      <c r="BD96" s="1604"/>
      <c r="BE96" s="1604"/>
      <c r="BF96" s="1604"/>
      <c r="BG96" s="1604"/>
      <c r="BH96" s="1604"/>
      <c r="BI96" s="1604"/>
      <c r="BJ96" s="1604"/>
      <c r="BK96" s="1604"/>
      <c r="BL96" s="1604"/>
      <c r="BN96" s="1605"/>
      <c r="BO96" s="1605"/>
      <c r="BP96" s="1605"/>
      <c r="BR96" s="3168"/>
      <c r="BS96" s="1579"/>
      <c r="BT96" s="1578"/>
      <c r="BU96" s="1595"/>
      <c r="BV96" s="1508"/>
      <c r="BW96" s="1508"/>
      <c r="BX96" s="1508"/>
      <c r="BY96" s="1508"/>
      <c r="BZ96" s="1508"/>
      <c r="CA96" s="1508"/>
      <c r="CB96" s="1508"/>
      <c r="CC96" s="1508"/>
      <c r="CD96" s="1508"/>
      <c r="CE96" s="1508"/>
      <c r="CF96" s="1508"/>
      <c r="CG96" s="1508"/>
      <c r="CH96" s="1508"/>
      <c r="CI96" s="1508"/>
      <c r="CJ96" s="1508"/>
      <c r="CK96" s="1508"/>
      <c r="CL96" s="1508"/>
      <c r="CM96" s="1508"/>
      <c r="CN96" s="1508"/>
      <c r="CO96" s="1508"/>
      <c r="CP96" s="1508"/>
      <c r="CQ96" s="1508"/>
      <c r="CR96" s="1508"/>
      <c r="CS96" s="1508"/>
      <c r="CT96" s="1508"/>
      <c r="CU96" s="1508"/>
      <c r="CV96" s="1508"/>
      <c r="CW96" s="1508"/>
      <c r="CX96" s="1508"/>
      <c r="CY96" s="1508"/>
      <c r="CZ96" s="1508"/>
      <c r="DA96" s="1508"/>
      <c r="DB96" s="1508"/>
      <c r="DC96" s="1508"/>
      <c r="DD96" s="1508"/>
      <c r="DE96" s="1508"/>
      <c r="DF96" s="1508"/>
      <c r="DG96" s="1508"/>
      <c r="DH96" s="1508"/>
      <c r="DI96" s="1508"/>
      <c r="DJ96" s="1508"/>
      <c r="DK96" s="1508"/>
      <c r="DL96" s="1508"/>
      <c r="DN96" s="1509"/>
    </row>
    <row r="97" spans="1:118" s="1522" customFormat="1" hidden="1" outlineLevel="2" x14ac:dyDescent="0.2">
      <c r="C97" s="1577" t="s">
        <v>716</v>
      </c>
      <c r="D97" s="1497" t="s">
        <v>717</v>
      </c>
      <c r="E97" s="1497"/>
      <c r="F97" s="14"/>
      <c r="G97" s="1498"/>
      <c r="H97" s="1498"/>
      <c r="I97" s="1498"/>
      <c r="J97" s="1498"/>
      <c r="K97" s="1498"/>
      <c r="L97" s="1498"/>
      <c r="M97" s="1498"/>
      <c r="N97" s="1498"/>
      <c r="O97" s="1498"/>
      <c r="P97" s="1498"/>
      <c r="Q97" s="1498"/>
      <c r="R97" s="1498"/>
      <c r="S97" s="1498"/>
      <c r="T97" s="1498"/>
      <c r="U97" s="1498"/>
      <c r="V97" s="1498"/>
      <c r="W97" s="1499"/>
      <c r="X97" s="14"/>
      <c r="Y97" s="1500"/>
      <c r="Z97" s="1500"/>
      <c r="AA97" s="1500"/>
      <c r="AB97" s="1500"/>
      <c r="AC97" s="1500"/>
      <c r="AD97" s="1500"/>
      <c r="AE97" s="1500"/>
      <c r="AF97" s="1500"/>
      <c r="AG97" s="1500"/>
      <c r="AH97" s="1500"/>
      <c r="AI97" s="1500"/>
      <c r="AJ97" s="1500"/>
      <c r="AK97" s="1500"/>
      <c r="AL97" s="1500"/>
      <c r="AM97" s="1500"/>
      <c r="AN97" s="1500"/>
      <c r="AO97" s="1500"/>
      <c r="AP97" s="1500"/>
      <c r="AQ97" s="1501"/>
      <c r="AR97" s="14"/>
      <c r="AS97" s="1502"/>
      <c r="AT97" s="1502"/>
      <c r="AU97" s="1502"/>
      <c r="AV97" s="1502"/>
      <c r="AW97" s="1502"/>
      <c r="AX97" s="1502"/>
      <c r="AY97" s="1502"/>
      <c r="AZ97" s="1502"/>
      <c r="BA97" s="1502"/>
      <c r="BB97" s="1502"/>
      <c r="BC97" s="1502"/>
      <c r="BD97" s="1502"/>
      <c r="BE97" s="1502"/>
      <c r="BF97" s="1502"/>
      <c r="BG97" s="1502"/>
      <c r="BH97" s="1502"/>
      <c r="BI97" s="1502"/>
      <c r="BJ97" s="1502"/>
      <c r="BK97" s="1502"/>
      <c r="BL97" s="1524"/>
      <c r="BM97" s="14"/>
      <c r="BN97" s="1504"/>
      <c r="BO97" s="1504"/>
      <c r="BP97" s="1505"/>
      <c r="BQ97" s="14"/>
      <c r="BR97" s="3168"/>
      <c r="BS97" s="1525"/>
      <c r="BU97" s="1507">
        <v>0</v>
      </c>
      <c r="BV97" s="1508">
        <v>0</v>
      </c>
      <c r="BW97" s="1508">
        <v>0</v>
      </c>
      <c r="BX97" s="1508">
        <v>0</v>
      </c>
      <c r="BY97" s="1508">
        <v>0</v>
      </c>
      <c r="BZ97" s="1508">
        <v>0</v>
      </c>
      <c r="CA97" s="1508">
        <v>0</v>
      </c>
      <c r="CB97" s="1508">
        <v>0</v>
      </c>
      <c r="CC97" s="1508">
        <v>0</v>
      </c>
      <c r="CD97" s="1508">
        <v>0</v>
      </c>
      <c r="CE97" s="1508">
        <v>0</v>
      </c>
      <c r="CF97" s="1508">
        <v>0</v>
      </c>
      <c r="CG97" s="1508">
        <v>0</v>
      </c>
      <c r="CH97" s="1508">
        <v>0</v>
      </c>
      <c r="CI97" s="1508">
        <v>0</v>
      </c>
      <c r="CJ97" s="1508">
        <v>0</v>
      </c>
      <c r="CK97" s="1508">
        <v>0</v>
      </c>
      <c r="CL97" s="1508">
        <v>0</v>
      </c>
      <c r="CM97" s="1508">
        <v>0</v>
      </c>
      <c r="CN97" s="1508">
        <v>0</v>
      </c>
      <c r="CO97" s="1508">
        <v>0</v>
      </c>
      <c r="CP97" s="1508">
        <v>0</v>
      </c>
      <c r="CQ97" s="1508">
        <v>0</v>
      </c>
      <c r="CR97" s="1508">
        <v>0</v>
      </c>
      <c r="CS97" s="1508">
        <v>0</v>
      </c>
      <c r="CT97" s="1508">
        <v>0</v>
      </c>
      <c r="CU97" s="1508">
        <v>0</v>
      </c>
      <c r="CV97" s="1508">
        <v>0</v>
      </c>
      <c r="CW97" s="1508">
        <v>0</v>
      </c>
      <c r="CX97" s="1508">
        <v>0</v>
      </c>
      <c r="CY97" s="1508">
        <v>0</v>
      </c>
      <c r="CZ97" s="1508">
        <v>0</v>
      </c>
      <c r="DA97" s="1508">
        <v>0</v>
      </c>
      <c r="DB97" s="1508">
        <v>0</v>
      </c>
      <c r="DC97" s="1508">
        <v>0</v>
      </c>
      <c r="DD97" s="1508">
        <v>0</v>
      </c>
      <c r="DE97" s="1508">
        <v>0</v>
      </c>
      <c r="DF97" s="1508">
        <v>0</v>
      </c>
      <c r="DG97" s="1508">
        <v>0</v>
      </c>
      <c r="DH97" s="1508">
        <v>0</v>
      </c>
      <c r="DI97" s="1508">
        <v>0</v>
      </c>
      <c r="DJ97" s="1508">
        <v>0</v>
      </c>
      <c r="DK97" s="1508">
        <v>0</v>
      </c>
      <c r="DL97" s="1508">
        <v>0</v>
      </c>
      <c r="DN97" s="1509"/>
    </row>
    <row r="98" spans="1:118" s="1578" customFormat="1" ht="12.75" hidden="1" customHeight="1" outlineLevel="2" x14ac:dyDescent="0.2">
      <c r="C98" s="1591" t="s">
        <v>811</v>
      </c>
      <c r="D98" s="1592" t="s">
        <v>812</v>
      </c>
      <c r="E98" s="1592"/>
      <c r="F98" s="14"/>
      <c r="G98" s="1568"/>
      <c r="H98" s="1568"/>
      <c r="I98" s="1568"/>
      <c r="J98" s="1568"/>
      <c r="K98" s="1568"/>
      <c r="L98" s="1568"/>
      <c r="M98" s="1568"/>
      <c r="N98" s="1568"/>
      <c r="O98" s="1569"/>
      <c r="P98" s="1568"/>
      <c r="Q98" s="1568"/>
      <c r="R98" s="1568"/>
      <c r="S98" s="1568"/>
      <c r="T98" s="1568"/>
      <c r="U98" s="1568"/>
      <c r="V98" s="1568"/>
      <c r="W98" s="1568"/>
      <c r="X98" s="14"/>
      <c r="Y98" s="1570"/>
      <c r="Z98" s="1570"/>
      <c r="AA98" s="1570"/>
      <c r="AB98" s="1570"/>
      <c r="AC98" s="1570"/>
      <c r="AD98" s="1570"/>
      <c r="AE98" s="1570"/>
      <c r="AF98" s="1570"/>
      <c r="AG98" s="1570"/>
      <c r="AH98" s="1570"/>
      <c r="AI98" s="1570"/>
      <c r="AJ98" s="1570"/>
      <c r="AK98" s="1570"/>
      <c r="AL98" s="1570"/>
      <c r="AM98" s="1570"/>
      <c r="AN98" s="1570"/>
      <c r="AO98" s="1570"/>
      <c r="AP98" s="1570"/>
      <c r="AQ98" s="1570"/>
      <c r="AR98" s="14"/>
      <c r="AS98" s="1571"/>
      <c r="AT98" s="1571"/>
      <c r="AU98" s="1571"/>
      <c r="AV98" s="1571"/>
      <c r="AW98" s="1571"/>
      <c r="AX98" s="1571"/>
      <c r="AY98" s="1571"/>
      <c r="AZ98" s="1571"/>
      <c r="BA98" s="1571"/>
      <c r="BB98" s="1571"/>
      <c r="BC98" s="1571"/>
      <c r="BD98" s="1571"/>
      <c r="BE98" s="1571"/>
      <c r="BF98" s="1571"/>
      <c r="BG98" s="1571"/>
      <c r="BH98" s="1571"/>
      <c r="BI98" s="1571"/>
      <c r="BJ98" s="1571"/>
      <c r="BK98" s="1571"/>
      <c r="BL98" s="1571"/>
      <c r="BM98" s="14"/>
      <c r="BN98" s="1572"/>
      <c r="BO98" s="1572"/>
      <c r="BP98" s="1572"/>
      <c r="BQ98" s="14"/>
      <c r="BR98" s="3168"/>
      <c r="BS98" s="1579"/>
      <c r="BU98" s="1595"/>
      <c r="BV98" s="1595"/>
      <c r="BW98" s="1595"/>
      <c r="BX98" s="1595"/>
      <c r="BY98" s="1595"/>
      <c r="BZ98" s="1595"/>
      <c r="CA98" s="1595"/>
      <c r="CB98" s="1595"/>
      <c r="CC98" s="1595"/>
      <c r="CD98" s="1595"/>
      <c r="CE98" s="1595"/>
      <c r="CF98" s="1595"/>
      <c r="CG98" s="1595"/>
      <c r="CH98" s="1595"/>
      <c r="CI98" s="1595"/>
      <c r="CJ98" s="1595"/>
      <c r="CK98" s="1595"/>
      <c r="CL98" s="1595"/>
      <c r="CM98" s="1595"/>
      <c r="CN98" s="1595"/>
      <c r="CO98" s="1595"/>
      <c r="CP98" s="1595"/>
      <c r="CQ98" s="1595"/>
      <c r="CR98" s="1595"/>
      <c r="CS98" s="1595"/>
      <c r="CT98" s="1595"/>
      <c r="CU98" s="1595"/>
      <c r="CV98" s="1595"/>
      <c r="CW98" s="1595"/>
      <c r="CX98" s="1595"/>
      <c r="CY98" s="1595"/>
      <c r="CZ98" s="1595"/>
      <c r="DA98" s="1595"/>
      <c r="DB98" s="1595"/>
      <c r="DC98" s="1595"/>
      <c r="DD98" s="1595"/>
      <c r="DE98" s="1595"/>
      <c r="DF98" s="1595"/>
      <c r="DG98" s="1595"/>
      <c r="DH98" s="1595"/>
      <c r="DI98" s="1595"/>
      <c r="DJ98" s="1595"/>
      <c r="DK98" s="1595"/>
      <c r="DL98" s="1595"/>
      <c r="DN98" s="1509"/>
    </row>
    <row r="99" spans="1:118" s="1522" customFormat="1" hidden="1" outlineLevel="2" x14ac:dyDescent="0.2">
      <c r="C99" s="1577" t="s">
        <v>74</v>
      </c>
      <c r="D99" s="1497" t="s">
        <v>75</v>
      </c>
      <c r="E99" s="1497"/>
      <c r="F99" s="14"/>
      <c r="G99" s="1498"/>
      <c r="H99" s="1498"/>
      <c r="I99" s="1498"/>
      <c r="J99" s="1498"/>
      <c r="K99" s="1498"/>
      <c r="L99" s="1498"/>
      <c r="M99" s="1498"/>
      <c r="N99" s="1498"/>
      <c r="O99" s="1498"/>
      <c r="P99" s="1498"/>
      <c r="Q99" s="1498"/>
      <c r="R99" s="1498"/>
      <c r="S99" s="1498"/>
      <c r="T99" s="1498"/>
      <c r="U99" s="1498"/>
      <c r="V99" s="1498"/>
      <c r="W99" s="1499"/>
      <c r="X99" s="14"/>
      <c r="Y99" s="1500"/>
      <c r="Z99" s="1500"/>
      <c r="AA99" s="1500"/>
      <c r="AB99" s="1500"/>
      <c r="AC99" s="1500"/>
      <c r="AD99" s="1500"/>
      <c r="AE99" s="1500"/>
      <c r="AF99" s="1500"/>
      <c r="AG99" s="1500"/>
      <c r="AH99" s="1500"/>
      <c r="AI99" s="1500"/>
      <c r="AJ99" s="1500"/>
      <c r="AK99" s="1500"/>
      <c r="AL99" s="1500"/>
      <c r="AM99" s="1500"/>
      <c r="AN99" s="1500"/>
      <c r="AO99" s="1500"/>
      <c r="AP99" s="1500"/>
      <c r="AQ99" s="1501"/>
      <c r="AR99" s="14"/>
      <c r="AS99" s="1502"/>
      <c r="AT99" s="1502"/>
      <c r="AU99" s="1502"/>
      <c r="AV99" s="1502"/>
      <c r="AW99" s="1502"/>
      <c r="AX99" s="1502"/>
      <c r="AY99" s="1502"/>
      <c r="AZ99" s="1502"/>
      <c r="BA99" s="1502"/>
      <c r="BB99" s="1502"/>
      <c r="BC99" s="1502"/>
      <c r="BD99" s="1502"/>
      <c r="BE99" s="1502"/>
      <c r="BF99" s="1502"/>
      <c r="BG99" s="1502"/>
      <c r="BH99" s="1502"/>
      <c r="BI99" s="1502"/>
      <c r="BJ99" s="1502"/>
      <c r="BK99" s="1502"/>
      <c r="BL99" s="1524"/>
      <c r="BM99" s="14"/>
      <c r="BN99" s="1504"/>
      <c r="BO99" s="1504"/>
      <c r="BP99" s="1505"/>
      <c r="BQ99" s="14"/>
      <c r="BR99" s="3168"/>
      <c r="BS99" s="1525"/>
      <c r="BU99" s="1507">
        <v>0</v>
      </c>
      <c r="BV99" s="1508">
        <v>0</v>
      </c>
      <c r="BW99" s="1508">
        <v>0</v>
      </c>
      <c r="BX99" s="1508">
        <v>0</v>
      </c>
      <c r="BY99" s="1508">
        <v>0</v>
      </c>
      <c r="BZ99" s="1508">
        <v>0</v>
      </c>
      <c r="CA99" s="1508">
        <v>0</v>
      </c>
      <c r="CB99" s="1508">
        <v>0</v>
      </c>
      <c r="CC99" s="1508">
        <v>0</v>
      </c>
      <c r="CD99" s="1508">
        <v>0</v>
      </c>
      <c r="CE99" s="1508">
        <v>0</v>
      </c>
      <c r="CF99" s="1508">
        <v>0</v>
      </c>
      <c r="CG99" s="1508">
        <v>0</v>
      </c>
      <c r="CH99" s="1508">
        <v>0</v>
      </c>
      <c r="CI99" s="1508">
        <v>0</v>
      </c>
      <c r="CJ99" s="1508">
        <v>0</v>
      </c>
      <c r="CK99" s="1508">
        <v>0</v>
      </c>
      <c r="CL99" s="1508">
        <v>0</v>
      </c>
      <c r="CM99" s="1508">
        <v>0</v>
      </c>
      <c r="CN99" s="1508">
        <v>0</v>
      </c>
      <c r="CO99" s="1508">
        <v>0</v>
      </c>
      <c r="CP99" s="1508">
        <v>0</v>
      </c>
      <c r="CQ99" s="1508">
        <v>0</v>
      </c>
      <c r="CR99" s="1508">
        <v>0</v>
      </c>
      <c r="CS99" s="1508">
        <v>0</v>
      </c>
      <c r="CT99" s="1508">
        <v>0</v>
      </c>
      <c r="CU99" s="1508">
        <v>0</v>
      </c>
      <c r="CV99" s="1508">
        <v>0</v>
      </c>
      <c r="CW99" s="1508">
        <v>0</v>
      </c>
      <c r="CX99" s="1508">
        <v>0</v>
      </c>
      <c r="CY99" s="1508">
        <v>0</v>
      </c>
      <c r="CZ99" s="1508">
        <v>0</v>
      </c>
      <c r="DA99" s="1508">
        <v>0</v>
      </c>
      <c r="DB99" s="1508">
        <v>0</v>
      </c>
      <c r="DC99" s="1508">
        <v>0</v>
      </c>
      <c r="DD99" s="1508">
        <v>0</v>
      </c>
      <c r="DE99" s="1508">
        <v>0</v>
      </c>
      <c r="DF99" s="1508">
        <v>0</v>
      </c>
      <c r="DG99" s="1508">
        <v>0</v>
      </c>
      <c r="DH99" s="1508">
        <v>0</v>
      </c>
      <c r="DI99" s="1508">
        <v>0</v>
      </c>
      <c r="DJ99" s="1508">
        <v>0</v>
      </c>
      <c r="DK99" s="1508">
        <v>0</v>
      </c>
      <c r="DL99" s="1508">
        <v>0</v>
      </c>
      <c r="DN99" s="1509"/>
    </row>
    <row r="100" spans="1:118" s="1522" customFormat="1" hidden="1" outlineLevel="2" x14ac:dyDescent="0.2">
      <c r="C100" s="1577" t="s">
        <v>76</v>
      </c>
      <c r="D100" s="1526" t="s">
        <v>813</v>
      </c>
      <c r="E100" s="1526"/>
      <c r="F100" s="14"/>
      <c r="G100" s="1540"/>
      <c r="H100" s="1540"/>
      <c r="I100" s="1540"/>
      <c r="J100" s="1540"/>
      <c r="K100" s="1540"/>
      <c r="L100" s="1540"/>
      <c r="M100" s="1540"/>
      <c r="N100" s="1540"/>
      <c r="O100" s="1540"/>
      <c r="P100" s="1540"/>
      <c r="Q100" s="1540"/>
      <c r="R100" s="1540"/>
      <c r="S100" s="1540"/>
      <c r="T100" s="1540"/>
      <c r="U100" s="1540"/>
      <c r="V100" s="1540"/>
      <c r="W100" s="1527"/>
      <c r="X100" s="14"/>
      <c r="Y100" s="1541"/>
      <c r="Z100" s="1541"/>
      <c r="AA100" s="1541"/>
      <c r="AB100" s="1541"/>
      <c r="AC100" s="1541"/>
      <c r="AD100" s="1541"/>
      <c r="AE100" s="1541"/>
      <c r="AF100" s="1541"/>
      <c r="AG100" s="1541"/>
      <c r="AH100" s="1541"/>
      <c r="AI100" s="1541"/>
      <c r="AJ100" s="1541"/>
      <c r="AK100" s="1541"/>
      <c r="AL100" s="1541"/>
      <c r="AM100" s="1541"/>
      <c r="AN100" s="1541"/>
      <c r="AO100" s="1541"/>
      <c r="AP100" s="1541"/>
      <c r="AQ100" s="1528"/>
      <c r="AR100" s="14"/>
      <c r="AS100" s="1542"/>
      <c r="AT100" s="1542"/>
      <c r="AU100" s="1542"/>
      <c r="AV100" s="1542"/>
      <c r="AW100" s="1542"/>
      <c r="AX100" s="1542"/>
      <c r="AY100" s="1542"/>
      <c r="AZ100" s="1542"/>
      <c r="BA100" s="1542"/>
      <c r="BB100" s="1542"/>
      <c r="BC100" s="1542"/>
      <c r="BD100" s="1542"/>
      <c r="BE100" s="1542"/>
      <c r="BF100" s="1542"/>
      <c r="BG100" s="1542"/>
      <c r="BH100" s="1542"/>
      <c r="BI100" s="1542"/>
      <c r="BJ100" s="1542"/>
      <c r="BK100" s="1542"/>
      <c r="BL100" s="1530"/>
      <c r="BM100" s="14"/>
      <c r="BN100" s="1543"/>
      <c r="BO100" s="1543"/>
      <c r="BP100" s="1531"/>
      <c r="BQ100" s="14"/>
      <c r="BR100" s="3168"/>
      <c r="BS100" s="1525"/>
      <c r="BU100" s="1532">
        <v>0</v>
      </c>
      <c r="BV100" s="1533">
        <v>0</v>
      </c>
      <c r="BW100" s="1533">
        <v>0</v>
      </c>
      <c r="BX100" s="1533">
        <v>0</v>
      </c>
      <c r="BY100" s="1533">
        <v>0</v>
      </c>
      <c r="BZ100" s="1533">
        <v>0</v>
      </c>
      <c r="CA100" s="1533">
        <v>0</v>
      </c>
      <c r="CB100" s="1533">
        <v>0</v>
      </c>
      <c r="CC100" s="1533">
        <v>0</v>
      </c>
      <c r="CD100" s="1533">
        <v>0</v>
      </c>
      <c r="CE100" s="1533">
        <v>0</v>
      </c>
      <c r="CF100" s="1533">
        <v>0</v>
      </c>
      <c r="CG100" s="1533">
        <v>0</v>
      </c>
      <c r="CH100" s="1533">
        <v>0</v>
      </c>
      <c r="CI100" s="1533">
        <v>0</v>
      </c>
      <c r="CJ100" s="1533">
        <v>0</v>
      </c>
      <c r="CK100" s="1533">
        <v>0</v>
      </c>
      <c r="CL100" s="1533">
        <v>0</v>
      </c>
      <c r="CM100" s="1533">
        <v>0</v>
      </c>
      <c r="CN100" s="1533">
        <v>0</v>
      </c>
      <c r="CO100" s="1533">
        <v>0</v>
      </c>
      <c r="CP100" s="1533">
        <v>0</v>
      </c>
      <c r="CQ100" s="1533">
        <v>0</v>
      </c>
      <c r="CR100" s="1533">
        <v>0</v>
      </c>
      <c r="CS100" s="1533">
        <v>0</v>
      </c>
      <c r="CT100" s="1533">
        <v>0</v>
      </c>
      <c r="CU100" s="1533">
        <v>0</v>
      </c>
      <c r="CV100" s="1533">
        <v>0</v>
      </c>
      <c r="CW100" s="1533">
        <v>0</v>
      </c>
      <c r="CX100" s="1533">
        <v>0</v>
      </c>
      <c r="CY100" s="1533">
        <v>0</v>
      </c>
      <c r="CZ100" s="1533">
        <v>0</v>
      </c>
      <c r="DA100" s="1533">
        <v>0</v>
      </c>
      <c r="DB100" s="1533">
        <v>0</v>
      </c>
      <c r="DC100" s="1533">
        <v>0</v>
      </c>
      <c r="DD100" s="1533">
        <v>0</v>
      </c>
      <c r="DE100" s="1533">
        <v>0</v>
      </c>
      <c r="DF100" s="1533">
        <v>0</v>
      </c>
      <c r="DG100" s="1533">
        <v>0</v>
      </c>
      <c r="DH100" s="1533">
        <v>0</v>
      </c>
      <c r="DI100" s="1533">
        <v>0</v>
      </c>
      <c r="DJ100" s="1533">
        <v>0</v>
      </c>
      <c r="DK100" s="1533">
        <v>0</v>
      </c>
      <c r="DL100" s="1533">
        <v>0</v>
      </c>
      <c r="DN100" s="1509"/>
    </row>
    <row r="101" spans="1:118" s="1534" customFormat="1" ht="12.75" hidden="1" customHeight="1" outlineLevel="1" collapsed="1" x14ac:dyDescent="0.2">
      <c r="B101" s="1535"/>
      <c r="C101" s="1536"/>
      <c r="D101" s="1537"/>
      <c r="E101" s="1538"/>
      <c r="F101" s="14"/>
      <c r="G101" s="1488"/>
      <c r="H101" s="1488"/>
      <c r="I101" s="1488"/>
      <c r="J101" s="1488"/>
      <c r="K101" s="1488"/>
      <c r="L101" s="1488"/>
      <c r="M101" s="1488"/>
      <c r="N101" s="1488"/>
      <c r="O101" s="1563"/>
      <c r="P101" s="1488"/>
      <c r="Q101" s="1488"/>
      <c r="R101" s="1488"/>
      <c r="S101" s="1488"/>
      <c r="T101" s="1488"/>
      <c r="U101" s="1488"/>
      <c r="V101" s="1488"/>
      <c r="W101" s="1539"/>
      <c r="X101" s="14"/>
      <c r="Y101" s="1490"/>
      <c r="Z101" s="1490"/>
      <c r="AA101" s="1490"/>
      <c r="AB101" s="1490"/>
      <c r="AC101" s="1490"/>
      <c r="AD101" s="1490"/>
      <c r="AE101" s="1490"/>
      <c r="AF101" s="1490"/>
      <c r="AG101" s="1490"/>
      <c r="AH101" s="1490"/>
      <c r="AI101" s="1490"/>
      <c r="AJ101" s="1490"/>
      <c r="AK101" s="1490"/>
      <c r="AL101" s="1490"/>
      <c r="AM101" s="1490"/>
      <c r="AN101" s="1490"/>
      <c r="AO101" s="1490"/>
      <c r="AP101" s="1490"/>
      <c r="AQ101" s="1490"/>
      <c r="AR101" s="14"/>
      <c r="AS101" s="1491"/>
      <c r="AT101" s="1491"/>
      <c r="AU101" s="1491"/>
      <c r="AV101" s="1491"/>
      <c r="AW101" s="1491"/>
      <c r="AX101" s="1491"/>
      <c r="AY101" s="1491"/>
      <c r="AZ101" s="1491"/>
      <c r="BA101" s="1491"/>
      <c r="BB101" s="1491"/>
      <c r="BC101" s="1491"/>
      <c r="BD101" s="1491"/>
      <c r="BE101" s="1491"/>
      <c r="BF101" s="1491"/>
      <c r="BG101" s="1491"/>
      <c r="BH101" s="1491"/>
      <c r="BI101" s="1491"/>
      <c r="BJ101" s="1491"/>
      <c r="BK101" s="1491"/>
      <c r="BL101" s="1491"/>
      <c r="BM101" s="14"/>
      <c r="BN101" s="1492"/>
      <c r="BO101" s="1492"/>
      <c r="BP101" s="1492"/>
      <c r="BQ101" s="14"/>
      <c r="BR101" s="3168"/>
      <c r="BS101" s="1493"/>
      <c r="BT101" s="748"/>
      <c r="BU101" s="1508">
        <v>0</v>
      </c>
      <c r="BV101" s="1508">
        <v>0</v>
      </c>
      <c r="BW101" s="1508">
        <v>0</v>
      </c>
      <c r="BX101" s="1508">
        <v>0</v>
      </c>
      <c r="BY101" s="1508">
        <v>0</v>
      </c>
      <c r="BZ101" s="1508">
        <v>0</v>
      </c>
      <c r="CA101" s="1508">
        <v>0</v>
      </c>
      <c r="CB101" s="1508">
        <v>0</v>
      </c>
      <c r="CC101" s="1508">
        <v>0</v>
      </c>
      <c r="CD101" s="1508">
        <v>0</v>
      </c>
      <c r="CE101" s="1508">
        <v>0</v>
      </c>
      <c r="CF101" s="1508">
        <v>0</v>
      </c>
      <c r="CG101" s="1508">
        <v>0</v>
      </c>
      <c r="CH101" s="1508">
        <v>0</v>
      </c>
      <c r="CI101" s="1508">
        <v>0</v>
      </c>
      <c r="CJ101" s="1508">
        <v>0</v>
      </c>
      <c r="CK101" s="1508">
        <v>0</v>
      </c>
      <c r="CL101" s="1508">
        <v>0</v>
      </c>
      <c r="CM101" s="1508">
        <v>0</v>
      </c>
      <c r="CN101" s="1508">
        <v>0</v>
      </c>
      <c r="CO101" s="1508">
        <v>0</v>
      </c>
      <c r="CP101" s="1508">
        <v>0</v>
      </c>
      <c r="CQ101" s="1508">
        <v>0</v>
      </c>
      <c r="CR101" s="1508">
        <v>0</v>
      </c>
      <c r="CS101" s="1508">
        <v>0</v>
      </c>
      <c r="CT101" s="1508">
        <v>0</v>
      </c>
      <c r="CU101" s="1508">
        <v>0</v>
      </c>
      <c r="CV101" s="1508">
        <v>0</v>
      </c>
      <c r="CW101" s="1508">
        <v>0</v>
      </c>
      <c r="CX101" s="1508">
        <v>0</v>
      </c>
      <c r="CY101" s="1508">
        <v>0</v>
      </c>
      <c r="CZ101" s="1508">
        <v>0</v>
      </c>
      <c r="DA101" s="1508">
        <v>0</v>
      </c>
      <c r="DB101" s="1508">
        <v>0</v>
      </c>
      <c r="DC101" s="1508">
        <v>0</v>
      </c>
      <c r="DD101" s="1508">
        <v>0</v>
      </c>
      <c r="DE101" s="1508">
        <v>0</v>
      </c>
      <c r="DF101" s="1508">
        <v>0</v>
      </c>
      <c r="DG101" s="1508">
        <v>0</v>
      </c>
      <c r="DH101" s="1508">
        <v>0</v>
      </c>
      <c r="DI101" s="1508">
        <v>0</v>
      </c>
      <c r="DJ101" s="1508">
        <v>0</v>
      </c>
      <c r="DK101" s="1508">
        <v>0</v>
      </c>
      <c r="DL101" s="1508">
        <v>0</v>
      </c>
      <c r="DN101" s="1509">
        <v>0</v>
      </c>
    </row>
    <row r="102" spans="1:118" s="14" customFormat="1" ht="12.75" hidden="1" customHeight="1" outlineLevel="2" x14ac:dyDescent="0.2">
      <c r="A102" s="1534"/>
      <c r="B102" s="1534"/>
      <c r="C102" s="1544"/>
      <c r="D102" s="1538"/>
      <c r="E102" s="1538"/>
      <c r="G102" s="1488"/>
      <c r="H102" s="1488"/>
      <c r="I102" s="1488"/>
      <c r="J102" s="1488"/>
      <c r="K102" s="1488"/>
      <c r="L102" s="1488"/>
      <c r="M102" s="1488"/>
      <c r="N102" s="1488"/>
      <c r="O102" s="1563"/>
      <c r="P102" s="1488"/>
      <c r="Q102" s="1488"/>
      <c r="R102" s="1488"/>
      <c r="S102" s="1488"/>
      <c r="T102" s="1488"/>
      <c r="U102" s="1488"/>
      <c r="V102" s="1488"/>
      <c r="W102" s="1488"/>
      <c r="Y102" s="1490"/>
      <c r="Z102" s="1490"/>
      <c r="AA102" s="1490"/>
      <c r="AB102" s="1490"/>
      <c r="AC102" s="1490"/>
      <c r="AD102" s="1490"/>
      <c r="AE102" s="1490"/>
      <c r="AF102" s="1490"/>
      <c r="AG102" s="1490"/>
      <c r="AH102" s="1490"/>
      <c r="AI102" s="1490"/>
      <c r="AJ102" s="1490"/>
      <c r="AK102" s="1490"/>
      <c r="AL102" s="1490"/>
      <c r="AM102" s="1490"/>
      <c r="AN102" s="1490"/>
      <c r="AO102" s="1490"/>
      <c r="AP102" s="1490"/>
      <c r="AQ102" s="1490"/>
      <c r="AS102" s="1491"/>
      <c r="AT102" s="1491"/>
      <c r="AU102" s="1491"/>
      <c r="AV102" s="1491"/>
      <c r="AW102" s="1491"/>
      <c r="AX102" s="1491"/>
      <c r="AY102" s="1491"/>
      <c r="AZ102" s="1491"/>
      <c r="BA102" s="1491"/>
      <c r="BB102" s="1491"/>
      <c r="BC102" s="1491"/>
      <c r="BD102" s="1491"/>
      <c r="BE102" s="1491"/>
      <c r="BF102" s="1491"/>
      <c r="BG102" s="1491"/>
      <c r="BH102" s="1491"/>
      <c r="BI102" s="1491"/>
      <c r="BJ102" s="1491"/>
      <c r="BK102" s="1491"/>
      <c r="BL102" s="1491"/>
      <c r="BN102" s="1492"/>
      <c r="BO102" s="1492"/>
      <c r="BP102" s="1492"/>
      <c r="BR102" s="3168"/>
      <c r="BS102" s="1493"/>
      <c r="BT102" s="748"/>
      <c r="BU102" s="1508"/>
      <c r="BV102" s="1508"/>
      <c r="BW102" s="1508"/>
      <c r="BX102" s="1508"/>
      <c r="BY102" s="1508"/>
      <c r="BZ102" s="1508"/>
      <c r="CA102" s="1508"/>
      <c r="CB102" s="1508"/>
      <c r="CC102" s="1508"/>
      <c r="CD102" s="1508"/>
      <c r="CE102" s="1508"/>
      <c r="CF102" s="1508"/>
      <c r="CG102" s="1508"/>
      <c r="CH102" s="1508"/>
      <c r="CI102" s="1508"/>
      <c r="CJ102" s="1508"/>
      <c r="CK102" s="1508"/>
      <c r="CL102" s="1508"/>
      <c r="CM102" s="1508"/>
      <c r="CN102" s="1508"/>
      <c r="CO102" s="1508"/>
      <c r="CP102" s="1508"/>
      <c r="CQ102" s="1508"/>
      <c r="CR102" s="1508"/>
      <c r="CS102" s="1508"/>
      <c r="CT102" s="1508"/>
      <c r="CU102" s="1508"/>
      <c r="CV102" s="1508"/>
      <c r="CW102" s="1508"/>
      <c r="CX102" s="1508"/>
      <c r="CY102" s="1508"/>
      <c r="CZ102" s="1508"/>
      <c r="DA102" s="1508"/>
      <c r="DB102" s="1508"/>
      <c r="DC102" s="1508"/>
      <c r="DD102" s="1508"/>
      <c r="DE102" s="1508"/>
      <c r="DF102" s="1508"/>
      <c r="DG102" s="1508"/>
      <c r="DH102" s="1508"/>
      <c r="DI102" s="1508"/>
      <c r="DJ102" s="1508"/>
      <c r="DK102" s="1508"/>
      <c r="DL102" s="1508"/>
      <c r="DN102" s="1509">
        <v>0</v>
      </c>
    </row>
    <row r="103" spans="1:118" s="1564" customFormat="1" ht="12.75" hidden="1" customHeight="1" outlineLevel="2" x14ac:dyDescent="0.2">
      <c r="C103" s="1565"/>
      <c r="D103" s="1566"/>
      <c r="E103" s="1566"/>
      <c r="G103" s="1568"/>
      <c r="H103" s="1568"/>
      <c r="I103" s="1568"/>
      <c r="J103" s="1568"/>
      <c r="K103" s="1568"/>
      <c r="L103" s="1568"/>
      <c r="M103" s="1568"/>
      <c r="N103" s="1568"/>
      <c r="O103" s="1569"/>
      <c r="P103" s="1568"/>
      <c r="Q103" s="1568"/>
      <c r="R103" s="1568"/>
      <c r="S103" s="1568"/>
      <c r="T103" s="1568"/>
      <c r="U103" s="1568"/>
      <c r="V103" s="1568"/>
      <c r="W103" s="1568"/>
      <c r="Y103" s="1570"/>
      <c r="Z103" s="1570"/>
      <c r="AA103" s="1570"/>
      <c r="AB103" s="1570"/>
      <c r="AC103" s="1570"/>
      <c r="AD103" s="1570"/>
      <c r="AE103" s="1570"/>
      <c r="AF103" s="1570"/>
      <c r="AG103" s="1570"/>
      <c r="AH103" s="1570"/>
      <c r="AI103" s="1570"/>
      <c r="AJ103" s="1570"/>
      <c r="AK103" s="1570"/>
      <c r="AL103" s="1570"/>
      <c r="AM103" s="1570"/>
      <c r="AN103" s="1570"/>
      <c r="AO103" s="1570"/>
      <c r="AP103" s="1570"/>
      <c r="AQ103" s="1570"/>
      <c r="AS103" s="1571"/>
      <c r="AT103" s="1571"/>
      <c r="AU103" s="1571"/>
      <c r="AV103" s="1571"/>
      <c r="AW103" s="1571"/>
      <c r="AX103" s="1571"/>
      <c r="AY103" s="1571"/>
      <c r="AZ103" s="1571"/>
      <c r="BA103" s="1571"/>
      <c r="BB103" s="1571"/>
      <c r="BC103" s="1571"/>
      <c r="BD103" s="1571"/>
      <c r="BE103" s="1571"/>
      <c r="BF103" s="1571"/>
      <c r="BG103" s="1571"/>
      <c r="BH103" s="1571"/>
      <c r="BI103" s="1571"/>
      <c r="BJ103" s="1571"/>
      <c r="BK103" s="1571"/>
      <c r="BL103" s="1571"/>
      <c r="BN103" s="1572"/>
      <c r="BO103" s="1572"/>
      <c r="BP103" s="1572"/>
      <c r="BR103" s="3168"/>
      <c r="BS103" s="1573"/>
      <c r="BT103" s="1606"/>
      <c r="BU103" s="1607"/>
      <c r="BV103" s="1607"/>
      <c r="BW103" s="1607"/>
      <c r="BX103" s="1607"/>
      <c r="BY103" s="1607"/>
      <c r="BZ103" s="1607"/>
      <c r="CA103" s="1607"/>
      <c r="CB103" s="1607"/>
      <c r="CC103" s="1607"/>
      <c r="CD103" s="1607"/>
      <c r="CE103" s="1607"/>
      <c r="CF103" s="1607"/>
      <c r="CG103" s="1607"/>
      <c r="CH103" s="1607"/>
      <c r="CI103" s="1607"/>
      <c r="CJ103" s="1607"/>
      <c r="CK103" s="1607"/>
      <c r="CL103" s="1607"/>
      <c r="CM103" s="1607"/>
      <c r="CN103" s="1607"/>
      <c r="CO103" s="1607"/>
      <c r="CP103" s="1607"/>
      <c r="CQ103" s="1607"/>
      <c r="CR103" s="1607"/>
      <c r="CS103" s="1607"/>
      <c r="CT103" s="1607"/>
      <c r="CU103" s="1607"/>
      <c r="CV103" s="1607"/>
      <c r="CW103" s="1607"/>
      <c r="CX103" s="1607"/>
      <c r="CY103" s="1607"/>
      <c r="CZ103" s="1607"/>
      <c r="DA103" s="1607"/>
      <c r="DB103" s="1607"/>
      <c r="DC103" s="1607"/>
      <c r="DD103" s="1607"/>
      <c r="DE103" s="1607"/>
      <c r="DF103" s="1607"/>
      <c r="DG103" s="1607"/>
      <c r="DH103" s="1607"/>
      <c r="DI103" s="1607"/>
      <c r="DJ103" s="1607"/>
      <c r="DK103" s="1607"/>
      <c r="DL103" s="1607"/>
      <c r="DN103" s="1606">
        <v>0</v>
      </c>
    </row>
    <row r="104" spans="1:118" s="1567" customFormat="1" ht="12.75" hidden="1" customHeight="1" outlineLevel="2" x14ac:dyDescent="0.2">
      <c r="A104" s="1608"/>
      <c r="B104" s="1608"/>
      <c r="D104" s="1609"/>
      <c r="E104" s="1609"/>
      <c r="G104" s="1610"/>
      <c r="H104" s="1610"/>
      <c r="I104" s="1610"/>
      <c r="J104" s="1610"/>
      <c r="K104" s="1610"/>
      <c r="L104" s="1610"/>
      <c r="M104" s="1610"/>
      <c r="N104" s="1610"/>
      <c r="O104" s="1610"/>
      <c r="P104" s="1610"/>
      <c r="Q104" s="1610"/>
      <c r="R104" s="1610"/>
      <c r="S104" s="1610"/>
      <c r="T104" s="1610"/>
      <c r="U104" s="1610"/>
      <c r="V104" s="1610"/>
      <c r="W104" s="1611"/>
      <c r="Y104" s="1612"/>
      <c r="Z104" s="1612"/>
      <c r="AA104" s="1612"/>
      <c r="AB104" s="1612"/>
      <c r="AC104" s="1612"/>
      <c r="AD104" s="1612"/>
      <c r="AE104" s="1612"/>
      <c r="AF104" s="1612"/>
      <c r="AG104" s="1612"/>
      <c r="AH104" s="1612"/>
      <c r="AI104" s="1612"/>
      <c r="AJ104" s="1612"/>
      <c r="AK104" s="1612"/>
      <c r="AL104" s="1612"/>
      <c r="AM104" s="1612"/>
      <c r="AN104" s="1612"/>
      <c r="AO104" s="1612"/>
      <c r="AP104" s="1612"/>
      <c r="AQ104" s="1613"/>
      <c r="AS104" s="1614"/>
      <c r="AT104" s="1614"/>
      <c r="AU104" s="1614"/>
      <c r="AV104" s="1614"/>
      <c r="AW104" s="1614"/>
      <c r="AX104" s="1614"/>
      <c r="AY104" s="1614"/>
      <c r="AZ104" s="1614"/>
      <c r="BA104" s="1614"/>
      <c r="BB104" s="1614"/>
      <c r="BC104" s="1614"/>
      <c r="BD104" s="1614"/>
      <c r="BE104" s="1614"/>
      <c r="BF104" s="1614"/>
      <c r="BG104" s="1614"/>
      <c r="BH104" s="1614"/>
      <c r="BI104" s="1614"/>
      <c r="BJ104" s="1614"/>
      <c r="BK104" s="1614"/>
      <c r="BL104" s="1615"/>
      <c r="BN104" s="1616"/>
      <c r="BO104" s="1616"/>
      <c r="BP104" s="1617"/>
      <c r="BR104" s="3168"/>
      <c r="BS104" s="1618"/>
      <c r="BT104" s="1619"/>
      <c r="BU104" s="1620">
        <v>0</v>
      </c>
      <c r="BV104" s="1621">
        <v>0</v>
      </c>
      <c r="BW104" s="1621">
        <v>0</v>
      </c>
      <c r="BX104" s="1621">
        <v>0</v>
      </c>
      <c r="BY104" s="1621">
        <v>0</v>
      </c>
      <c r="BZ104" s="1621">
        <v>0</v>
      </c>
      <c r="CA104" s="1621">
        <v>0</v>
      </c>
      <c r="CB104" s="1621">
        <v>0</v>
      </c>
      <c r="CC104" s="1621">
        <v>0</v>
      </c>
      <c r="CD104" s="1621">
        <v>0</v>
      </c>
      <c r="CE104" s="1621">
        <v>0</v>
      </c>
      <c r="CF104" s="1621">
        <v>0</v>
      </c>
      <c r="CG104" s="1621">
        <v>0</v>
      </c>
      <c r="CH104" s="1621">
        <v>0</v>
      </c>
      <c r="CI104" s="1621">
        <v>0</v>
      </c>
      <c r="CJ104" s="1621">
        <v>0</v>
      </c>
      <c r="CK104" s="1621">
        <v>0</v>
      </c>
      <c r="CL104" s="1621">
        <v>0</v>
      </c>
      <c r="CM104" s="1621">
        <v>0</v>
      </c>
      <c r="CN104" s="1621">
        <v>0</v>
      </c>
      <c r="CO104" s="1621">
        <v>0</v>
      </c>
      <c r="CP104" s="1621">
        <v>0</v>
      </c>
      <c r="CQ104" s="1621">
        <v>0</v>
      </c>
      <c r="CR104" s="1621">
        <v>0</v>
      </c>
      <c r="CS104" s="1621">
        <v>0</v>
      </c>
      <c r="CT104" s="1621">
        <v>0</v>
      </c>
      <c r="CU104" s="1621">
        <v>0</v>
      </c>
      <c r="CV104" s="1621">
        <v>0</v>
      </c>
      <c r="CW104" s="1621">
        <v>0</v>
      </c>
      <c r="CX104" s="1621">
        <v>0</v>
      </c>
      <c r="CY104" s="1621">
        <v>0</v>
      </c>
      <c r="CZ104" s="1621">
        <v>0</v>
      </c>
      <c r="DA104" s="1621">
        <v>0</v>
      </c>
      <c r="DB104" s="1621">
        <v>0</v>
      </c>
      <c r="DC104" s="1621">
        <v>0</v>
      </c>
      <c r="DD104" s="1621">
        <v>0</v>
      </c>
      <c r="DE104" s="1621">
        <v>-5.5600542212492146</v>
      </c>
      <c r="DF104" s="1621">
        <v>0</v>
      </c>
      <c r="DG104" s="1621">
        <v>0</v>
      </c>
      <c r="DH104" s="1621">
        <v>0</v>
      </c>
      <c r="DI104" s="1621">
        <v>0</v>
      </c>
      <c r="DJ104" s="1621">
        <v>0</v>
      </c>
      <c r="DK104" s="1621">
        <v>0</v>
      </c>
      <c r="DL104" s="1621">
        <v>0</v>
      </c>
      <c r="DN104" s="1575">
        <v>-5.5600542212492146</v>
      </c>
    </row>
    <row r="105" spans="1:118" s="1564" customFormat="1" ht="12.75" hidden="1" customHeight="1" outlineLevel="2" x14ac:dyDescent="0.2">
      <c r="D105" s="1566"/>
      <c r="E105" s="1566"/>
      <c r="G105" s="1568"/>
      <c r="H105" s="1568"/>
      <c r="I105" s="1568"/>
      <c r="J105" s="1568"/>
      <c r="K105" s="1568"/>
      <c r="L105" s="1568"/>
      <c r="M105" s="1568"/>
      <c r="N105" s="1568"/>
      <c r="O105" s="1569"/>
      <c r="P105" s="1568"/>
      <c r="Q105" s="1568"/>
      <c r="R105" s="1568"/>
      <c r="S105" s="1568"/>
      <c r="T105" s="1568"/>
      <c r="U105" s="1568"/>
      <c r="V105" s="1568"/>
      <c r="W105" s="1568"/>
      <c r="Y105" s="1570"/>
      <c r="Z105" s="1570"/>
      <c r="AA105" s="1570"/>
      <c r="AB105" s="1570"/>
      <c r="AC105" s="1570"/>
      <c r="AD105" s="1570"/>
      <c r="AE105" s="1570"/>
      <c r="AF105" s="1570"/>
      <c r="AG105" s="1570"/>
      <c r="AH105" s="1570"/>
      <c r="AI105" s="1570"/>
      <c r="AJ105" s="1570"/>
      <c r="AK105" s="1570"/>
      <c r="AL105" s="1570"/>
      <c r="AM105" s="1570"/>
      <c r="AN105" s="1570"/>
      <c r="AO105" s="1570"/>
      <c r="AP105" s="1570"/>
      <c r="AQ105" s="1570"/>
      <c r="AS105" s="1571"/>
      <c r="AT105" s="1571"/>
      <c r="AU105" s="1571"/>
      <c r="AV105" s="1571"/>
      <c r="AW105" s="1571"/>
      <c r="AX105" s="1571"/>
      <c r="AY105" s="1571"/>
      <c r="AZ105" s="1571"/>
      <c r="BA105" s="1571"/>
      <c r="BB105" s="1571"/>
      <c r="BC105" s="1571"/>
      <c r="BD105" s="1571"/>
      <c r="BE105" s="1571"/>
      <c r="BF105" s="1571"/>
      <c r="BG105" s="1571"/>
      <c r="BH105" s="1571"/>
      <c r="BI105" s="1571"/>
      <c r="BJ105" s="1571"/>
      <c r="BK105" s="1571"/>
      <c r="BL105" s="1571"/>
      <c r="BN105" s="1572"/>
      <c r="BO105" s="1572"/>
      <c r="BP105" s="1572"/>
      <c r="BR105" s="3168"/>
      <c r="BS105" s="1573"/>
      <c r="BT105" s="1606"/>
      <c r="BU105" s="1607"/>
      <c r="BV105" s="1607"/>
      <c r="BW105" s="1607"/>
      <c r="BX105" s="1607"/>
      <c r="BY105" s="1607"/>
      <c r="BZ105" s="1607"/>
      <c r="CA105" s="1607"/>
      <c r="CB105" s="1607"/>
      <c r="CC105" s="1607"/>
      <c r="CD105" s="1607"/>
      <c r="CE105" s="1607"/>
      <c r="CF105" s="1607"/>
      <c r="CG105" s="1607"/>
      <c r="CH105" s="1607"/>
      <c r="CI105" s="1607"/>
      <c r="CJ105" s="1607"/>
      <c r="CK105" s="1607"/>
      <c r="CL105" s="1607"/>
      <c r="CM105" s="1607"/>
      <c r="CN105" s="1607"/>
      <c r="CO105" s="1607"/>
      <c r="CP105" s="1607"/>
      <c r="CQ105" s="1607"/>
      <c r="CR105" s="1607"/>
      <c r="CS105" s="1607"/>
      <c r="CT105" s="1607"/>
      <c r="CU105" s="1607"/>
      <c r="CV105" s="1607"/>
      <c r="CW105" s="1607"/>
      <c r="CX105" s="1607"/>
      <c r="CY105" s="1607"/>
      <c r="CZ105" s="1607"/>
      <c r="DA105" s="1607"/>
      <c r="DB105" s="1607"/>
      <c r="DC105" s="1607"/>
      <c r="DD105" s="1607"/>
      <c r="DE105" s="1607"/>
      <c r="DF105" s="1607"/>
      <c r="DG105" s="1607"/>
      <c r="DH105" s="1607"/>
      <c r="DI105" s="1607"/>
      <c r="DJ105" s="1607"/>
      <c r="DK105" s="1607"/>
      <c r="DL105" s="1607"/>
      <c r="DN105" s="1606">
        <v>0</v>
      </c>
    </row>
    <row r="106" spans="1:118" s="14" customFormat="1" ht="12.75" hidden="1" customHeight="1" outlineLevel="2" x14ac:dyDescent="0.2">
      <c r="A106" s="1522"/>
      <c r="B106" s="1522"/>
      <c r="C106" s="1577" t="s">
        <v>801</v>
      </c>
      <c r="D106" s="1526" t="str">
        <f>INDEX(Modulos[Modulos], MATCH($C106, Modulos[Código], 0))</f>
        <v>Producción nacional combustibles fósiles</v>
      </c>
      <c r="E106" s="1526"/>
      <c r="G106" s="1540"/>
      <c r="H106" s="1540"/>
      <c r="I106" s="1540"/>
      <c r="J106" s="1540"/>
      <c r="K106" s="1540"/>
      <c r="L106" s="1540"/>
      <c r="M106" s="1540"/>
      <c r="N106" s="1540"/>
      <c r="O106" s="1540"/>
      <c r="P106" s="1540"/>
      <c r="Q106" s="1540"/>
      <c r="R106" s="1540"/>
      <c r="S106" s="1540"/>
      <c r="T106" s="1540"/>
      <c r="U106" s="1540"/>
      <c r="V106" s="1540"/>
      <c r="W106" s="1527"/>
      <c r="Y106" s="1541">
        <f t="shared" ref="Y106:AP106" ca="1" si="66">IFERROR(INDEX(INDIRECT($C106&amp;".Outputs["&amp;this.Year&amp;"]"), MATCH(Y$5, INDIRECT($C106&amp;".Outputs[Vector]"), 0)), 0)</f>
        <v>0</v>
      </c>
      <c r="Z106" s="1541">
        <f t="shared" ca="1" si="66"/>
        <v>0</v>
      </c>
      <c r="AA106" s="1541">
        <f t="shared" ca="1" si="66"/>
        <v>0</v>
      </c>
      <c r="AB106" s="1541">
        <f t="shared" ca="1" si="66"/>
        <v>0</v>
      </c>
      <c r="AC106" s="1541">
        <f t="shared" ca="1" si="66"/>
        <v>0</v>
      </c>
      <c r="AD106" s="1541">
        <f t="shared" ca="1" si="66"/>
        <v>25.584695004942699</v>
      </c>
      <c r="AE106" s="1541">
        <f t="shared" ca="1" si="66"/>
        <v>3.0761179275455</v>
      </c>
      <c r="AF106" s="1541">
        <f t="shared" ca="1" si="66"/>
        <v>10.934465313717508</v>
      </c>
      <c r="AG106" s="1541">
        <f t="shared" ca="1" si="66"/>
        <v>0</v>
      </c>
      <c r="AH106" s="1541">
        <f t="shared" ca="1" si="66"/>
        <v>0</v>
      </c>
      <c r="AI106" s="1541">
        <f t="shared" ca="1" si="66"/>
        <v>0</v>
      </c>
      <c r="AJ106" s="1541">
        <f t="shared" ca="1" si="66"/>
        <v>0</v>
      </c>
      <c r="AK106" s="1541">
        <f t="shared" ca="1" si="66"/>
        <v>0</v>
      </c>
      <c r="AL106" s="1541">
        <f t="shared" ca="1" si="66"/>
        <v>0</v>
      </c>
      <c r="AM106" s="1541">
        <f t="shared" ca="1" si="66"/>
        <v>0</v>
      </c>
      <c r="AN106" s="1541">
        <f t="shared" ca="1" si="66"/>
        <v>0</v>
      </c>
      <c r="AO106" s="1541">
        <f t="shared" ca="1" si="66"/>
        <v>0</v>
      </c>
      <c r="AP106" s="1541">
        <f t="shared" ca="1" si="66"/>
        <v>0</v>
      </c>
      <c r="AQ106" s="1528">
        <f ca="1">SUM(Y106:AP106)</f>
        <v>39.595278246205709</v>
      </c>
      <c r="AS106" s="1542">
        <f t="shared" ref="AS106:BK106" ca="1" si="67">IFERROR(INDEX(INDIRECT($C106&amp;".Outputs["&amp;this.Year&amp;"]"), MATCH(AS$5, INDIRECT($C106&amp;".Outputs[Vector]"), 0)), 0)</f>
        <v>-25.584695004942699</v>
      </c>
      <c r="AT106" s="1542">
        <f t="shared" ca="1" si="67"/>
        <v>-3.0761179275455</v>
      </c>
      <c r="AU106" s="1542">
        <f t="shared" ca="1" si="67"/>
        <v>-10.934465313717508</v>
      </c>
      <c r="AV106" s="1542">
        <f t="shared" ca="1" si="67"/>
        <v>0</v>
      </c>
      <c r="AW106" s="1542">
        <f t="shared" ca="1" si="67"/>
        <v>0</v>
      </c>
      <c r="AX106" s="1542">
        <f t="shared" ca="1" si="67"/>
        <v>0</v>
      </c>
      <c r="AY106" s="1542">
        <f t="shared" ca="1" si="67"/>
        <v>0</v>
      </c>
      <c r="AZ106" s="1542">
        <f t="shared" ca="1" si="67"/>
        <v>0</v>
      </c>
      <c r="BA106" s="1542">
        <f t="shared" ca="1" si="67"/>
        <v>0</v>
      </c>
      <c r="BB106" s="1542">
        <f t="shared" ca="1" si="67"/>
        <v>0</v>
      </c>
      <c r="BC106" s="1542">
        <f t="shared" ca="1" si="67"/>
        <v>0</v>
      </c>
      <c r="BD106" s="1542">
        <f t="shared" ca="1" si="67"/>
        <v>0</v>
      </c>
      <c r="BE106" s="1542">
        <f t="shared" ca="1" si="67"/>
        <v>0</v>
      </c>
      <c r="BF106" s="1542">
        <f t="shared" ca="1" si="67"/>
        <v>0</v>
      </c>
      <c r="BG106" s="1542">
        <f t="shared" ca="1" si="67"/>
        <v>0</v>
      </c>
      <c r="BH106" s="1542">
        <f t="shared" ca="1" si="67"/>
        <v>0</v>
      </c>
      <c r="BI106" s="1542">
        <f t="shared" ca="1" si="67"/>
        <v>0</v>
      </c>
      <c r="BJ106" s="1542">
        <f t="shared" ca="1" si="67"/>
        <v>0</v>
      </c>
      <c r="BK106" s="1542">
        <f t="shared" ca="1" si="67"/>
        <v>0</v>
      </c>
      <c r="BL106" s="1542">
        <f ca="1">SUM(AS106:BK106)</f>
        <v>-39.595278246205709</v>
      </c>
      <c r="BN106" s="1543"/>
      <c r="BO106" s="1543"/>
      <c r="BP106" s="1531"/>
      <c r="BR106" s="3168">
        <f ca="1">W106+AQ106+BL106+BP106</f>
        <v>0</v>
      </c>
      <c r="BS106" s="1525"/>
      <c r="BT106" s="748"/>
      <c r="BU106" s="1532">
        <v>0</v>
      </c>
      <c r="BV106" s="1533">
        <v>0</v>
      </c>
      <c r="BW106" s="1533">
        <v>0</v>
      </c>
      <c r="BX106" s="1533">
        <v>0</v>
      </c>
      <c r="BY106" s="1533">
        <v>0</v>
      </c>
      <c r="BZ106" s="1533">
        <v>0</v>
      </c>
      <c r="CA106" s="1533">
        <v>0</v>
      </c>
      <c r="CB106" s="1533">
        <v>0</v>
      </c>
      <c r="CC106" s="1533">
        <v>0</v>
      </c>
      <c r="CD106" s="1533">
        <v>0</v>
      </c>
      <c r="CE106" s="1533">
        <v>0</v>
      </c>
      <c r="CF106" s="1533">
        <v>0</v>
      </c>
      <c r="CG106" s="1533">
        <v>0</v>
      </c>
      <c r="CH106" s="1533">
        <v>0</v>
      </c>
      <c r="CI106" s="1533">
        <v>0</v>
      </c>
      <c r="CJ106" s="1533">
        <v>0</v>
      </c>
      <c r="CK106" s="1533">
        <v>0</v>
      </c>
      <c r="CL106" s="1533">
        <v>0</v>
      </c>
      <c r="CM106" s="1533">
        <v>0</v>
      </c>
      <c r="CN106" s="1533">
        <v>0</v>
      </c>
      <c r="CO106" s="1533">
        <v>0</v>
      </c>
      <c r="CP106" s="1533">
        <v>0</v>
      </c>
      <c r="CQ106" s="1533">
        <v>0</v>
      </c>
      <c r="CR106" s="1533">
        <v>0</v>
      </c>
      <c r="CS106" s="1533">
        <v>0</v>
      </c>
      <c r="CT106" s="1533">
        <v>0</v>
      </c>
      <c r="CU106" s="1533">
        <v>0</v>
      </c>
      <c r="CV106" s="1533">
        <v>0</v>
      </c>
      <c r="CW106" s="1533">
        <v>0</v>
      </c>
      <c r="CX106" s="1533">
        <v>0</v>
      </c>
      <c r="CY106" s="1533">
        <v>0</v>
      </c>
      <c r="CZ106" s="1533">
        <v>0</v>
      </c>
      <c r="DA106" s="1533">
        <v>0</v>
      </c>
      <c r="DB106" s="1533">
        <v>0</v>
      </c>
      <c r="DC106" s="1533">
        <v>0</v>
      </c>
      <c r="DD106" s="1533">
        <v>0</v>
      </c>
      <c r="DE106" s="1533">
        <v>-1.3540111199999998</v>
      </c>
      <c r="DF106" s="1533">
        <v>0</v>
      </c>
      <c r="DG106" s="1533">
        <v>0</v>
      </c>
      <c r="DH106" s="1533">
        <v>0</v>
      </c>
      <c r="DI106" s="1533">
        <v>0</v>
      </c>
      <c r="DJ106" s="1533">
        <v>0</v>
      </c>
      <c r="DK106" s="1533">
        <v>0</v>
      </c>
      <c r="DL106" s="1533">
        <v>0</v>
      </c>
      <c r="DN106" s="1509">
        <v>-1.3540111199999998</v>
      </c>
    </row>
    <row r="107" spans="1:118" s="14" customFormat="1" ht="15.75" hidden="1" outlineLevel="1" collapsed="1" x14ac:dyDescent="0.2">
      <c r="A107" s="1534"/>
      <c r="B107" s="1535"/>
      <c r="C107" s="1552"/>
      <c r="D107" s="1526"/>
      <c r="E107" s="1538"/>
      <c r="G107" s="1539"/>
      <c r="H107" s="1539"/>
      <c r="I107" s="1539"/>
      <c r="J107" s="1539"/>
      <c r="K107" s="1539"/>
      <c r="L107" s="1539"/>
      <c r="M107" s="1539"/>
      <c r="N107" s="1539"/>
      <c r="O107" s="1539"/>
      <c r="P107" s="1539"/>
      <c r="Q107" s="1539"/>
      <c r="R107" s="1539"/>
      <c r="S107" s="1539"/>
      <c r="T107" s="1539"/>
      <c r="U107" s="1539"/>
      <c r="V107" s="1539"/>
      <c r="W107" s="1539"/>
      <c r="Y107" s="1490">
        <f ca="1">Y106</f>
        <v>0</v>
      </c>
      <c r="Z107" s="1490">
        <f t="shared" ref="Z107:AQ107" ca="1" si="68">Z106</f>
        <v>0</v>
      </c>
      <c r="AA107" s="1490">
        <f t="shared" ca="1" si="68"/>
        <v>0</v>
      </c>
      <c r="AB107" s="1490">
        <f t="shared" ca="1" si="68"/>
        <v>0</v>
      </c>
      <c r="AC107" s="1490">
        <f t="shared" ca="1" si="68"/>
        <v>0</v>
      </c>
      <c r="AD107" s="1490">
        <f t="shared" ca="1" si="68"/>
        <v>25.584695004942699</v>
      </c>
      <c r="AE107" s="1490">
        <f t="shared" ca="1" si="68"/>
        <v>3.0761179275455</v>
      </c>
      <c r="AF107" s="1490">
        <f t="shared" ca="1" si="68"/>
        <v>10.934465313717508</v>
      </c>
      <c r="AG107" s="1490">
        <f t="shared" ca="1" si="68"/>
        <v>0</v>
      </c>
      <c r="AH107" s="1490">
        <f t="shared" ca="1" si="68"/>
        <v>0</v>
      </c>
      <c r="AI107" s="1490">
        <f t="shared" ca="1" si="68"/>
        <v>0</v>
      </c>
      <c r="AJ107" s="1490">
        <f t="shared" ca="1" si="68"/>
        <v>0</v>
      </c>
      <c r="AK107" s="1490">
        <f t="shared" ca="1" si="68"/>
        <v>0</v>
      </c>
      <c r="AL107" s="1490">
        <f t="shared" ca="1" si="68"/>
        <v>0</v>
      </c>
      <c r="AM107" s="1490">
        <f t="shared" ca="1" si="68"/>
        <v>0</v>
      </c>
      <c r="AN107" s="1490">
        <f t="shared" ca="1" si="68"/>
        <v>0</v>
      </c>
      <c r="AO107" s="1490">
        <f t="shared" ca="1" si="68"/>
        <v>0</v>
      </c>
      <c r="AP107" s="1490">
        <f t="shared" ca="1" si="68"/>
        <v>0</v>
      </c>
      <c r="AQ107" s="1490">
        <f t="shared" ca="1" si="68"/>
        <v>39.595278246205709</v>
      </c>
      <c r="AS107" s="1491">
        <f ca="1">AS106</f>
        <v>-25.584695004942699</v>
      </c>
      <c r="AT107" s="1491">
        <f t="shared" ref="AT107:BD107" ca="1" si="69">AT106</f>
        <v>-3.0761179275455</v>
      </c>
      <c r="AU107" s="1491">
        <f t="shared" ca="1" si="69"/>
        <v>-10.934465313717508</v>
      </c>
      <c r="AV107" s="1491">
        <f t="shared" ca="1" si="69"/>
        <v>0</v>
      </c>
      <c r="AW107" s="1491">
        <f t="shared" ca="1" si="69"/>
        <v>0</v>
      </c>
      <c r="AX107" s="1491">
        <f t="shared" ca="1" si="69"/>
        <v>0</v>
      </c>
      <c r="AY107" s="1491">
        <f t="shared" ca="1" si="69"/>
        <v>0</v>
      </c>
      <c r="AZ107" s="1491">
        <f t="shared" ca="1" si="69"/>
        <v>0</v>
      </c>
      <c r="BA107" s="1491">
        <f t="shared" ca="1" si="69"/>
        <v>0</v>
      </c>
      <c r="BB107" s="1491">
        <f t="shared" ca="1" si="69"/>
        <v>0</v>
      </c>
      <c r="BC107" s="1491">
        <f t="shared" ca="1" si="69"/>
        <v>0</v>
      </c>
      <c r="BD107" s="1491">
        <f t="shared" ca="1" si="69"/>
        <v>0</v>
      </c>
      <c r="BE107" s="1491">
        <f ca="1">BE106</f>
        <v>0</v>
      </c>
      <c r="BF107" s="1491">
        <f t="shared" ref="BF107:BL107" ca="1" si="70">BF106</f>
        <v>0</v>
      </c>
      <c r="BG107" s="1491">
        <f t="shared" ca="1" si="70"/>
        <v>0</v>
      </c>
      <c r="BH107" s="1491">
        <f t="shared" ca="1" si="70"/>
        <v>0</v>
      </c>
      <c r="BI107" s="1491">
        <f t="shared" ca="1" si="70"/>
        <v>0</v>
      </c>
      <c r="BJ107" s="1491">
        <f t="shared" ca="1" si="70"/>
        <v>0</v>
      </c>
      <c r="BK107" s="1491">
        <f t="shared" ca="1" si="70"/>
        <v>0</v>
      </c>
      <c r="BL107" s="1491">
        <f t="shared" ca="1" si="70"/>
        <v>-39.595278246205709</v>
      </c>
      <c r="BN107" s="1492"/>
      <c r="BO107" s="1492"/>
      <c r="BP107" s="1492"/>
      <c r="BR107" s="3168">
        <f ca="1">W107+AQ107+BL107+BP107</f>
        <v>0</v>
      </c>
      <c r="BS107" s="1493"/>
      <c r="BT107" s="748"/>
      <c r="BU107" s="1508">
        <v>0</v>
      </c>
      <c r="BV107" s="1508">
        <v>0</v>
      </c>
      <c r="BW107" s="1508">
        <v>0</v>
      </c>
      <c r="BX107" s="1508">
        <v>0</v>
      </c>
      <c r="BY107" s="1508">
        <v>0</v>
      </c>
      <c r="BZ107" s="1508">
        <v>0</v>
      </c>
      <c r="CA107" s="1508">
        <v>0</v>
      </c>
      <c r="CB107" s="1508">
        <v>0</v>
      </c>
      <c r="CC107" s="1508">
        <v>0</v>
      </c>
      <c r="CD107" s="1508">
        <v>0</v>
      </c>
      <c r="CE107" s="1508">
        <v>0</v>
      </c>
      <c r="CF107" s="1508">
        <v>0</v>
      </c>
      <c r="CG107" s="1508">
        <v>0</v>
      </c>
      <c r="CH107" s="1508">
        <v>0</v>
      </c>
      <c r="CI107" s="1508">
        <v>0</v>
      </c>
      <c r="CJ107" s="1508">
        <v>0</v>
      </c>
      <c r="CK107" s="1508">
        <v>0</v>
      </c>
      <c r="CL107" s="1508">
        <v>0</v>
      </c>
      <c r="CM107" s="1508">
        <v>0</v>
      </c>
      <c r="CN107" s="1508">
        <v>0</v>
      </c>
      <c r="CO107" s="1508">
        <v>0</v>
      </c>
      <c r="CP107" s="1508">
        <v>0</v>
      </c>
      <c r="CQ107" s="1508">
        <v>0</v>
      </c>
      <c r="CR107" s="1508">
        <v>0</v>
      </c>
      <c r="CS107" s="1508">
        <v>0</v>
      </c>
      <c r="CT107" s="1508">
        <v>0</v>
      </c>
      <c r="CU107" s="1508">
        <v>0</v>
      </c>
      <c r="CV107" s="1508">
        <v>0</v>
      </c>
      <c r="CW107" s="1508">
        <v>0</v>
      </c>
      <c r="CX107" s="1508">
        <v>0</v>
      </c>
      <c r="CY107" s="1508">
        <v>0</v>
      </c>
      <c r="CZ107" s="1508">
        <v>0</v>
      </c>
      <c r="DA107" s="1508">
        <v>0</v>
      </c>
      <c r="DB107" s="1508">
        <v>0</v>
      </c>
      <c r="DC107" s="1508">
        <v>0</v>
      </c>
      <c r="DD107" s="1508">
        <v>0</v>
      </c>
      <c r="DE107" s="1508">
        <v>-6.9140653412492146</v>
      </c>
      <c r="DF107" s="1508">
        <v>0</v>
      </c>
      <c r="DG107" s="1508">
        <v>0</v>
      </c>
      <c r="DH107" s="1508">
        <v>0</v>
      </c>
      <c r="DI107" s="1508">
        <v>0</v>
      </c>
      <c r="DJ107" s="1508">
        <v>0</v>
      </c>
      <c r="DK107" s="1508">
        <v>0</v>
      </c>
      <c r="DL107" s="1508">
        <v>0</v>
      </c>
      <c r="DN107" s="1509">
        <v>-6.9140653412492146</v>
      </c>
    </row>
    <row r="108" spans="1:118" s="1534" customFormat="1" ht="12.75" hidden="1" customHeight="1" outlineLevel="2" x14ac:dyDescent="0.2">
      <c r="B108" s="1535"/>
      <c r="C108" s="1536"/>
      <c r="D108" s="1537"/>
      <c r="E108" s="1538"/>
      <c r="F108" s="14"/>
      <c r="G108" s="1488"/>
      <c r="H108" s="1488"/>
      <c r="I108" s="1488"/>
      <c r="J108" s="1488"/>
      <c r="K108" s="1488"/>
      <c r="L108" s="1488"/>
      <c r="M108" s="1488"/>
      <c r="N108" s="1488"/>
      <c r="O108" s="1563"/>
      <c r="P108" s="1488"/>
      <c r="Q108" s="1488"/>
      <c r="R108" s="1488"/>
      <c r="S108" s="1488"/>
      <c r="T108" s="1488"/>
      <c r="U108" s="1488"/>
      <c r="V108" s="1488"/>
      <c r="W108" s="1539"/>
      <c r="X108" s="14"/>
      <c r="Y108" s="1490"/>
      <c r="Z108" s="1490"/>
      <c r="AA108" s="1490"/>
      <c r="AB108" s="1490"/>
      <c r="AC108" s="1490"/>
      <c r="AD108" s="1490"/>
      <c r="AE108" s="1490"/>
      <c r="AF108" s="1490"/>
      <c r="AG108" s="1490"/>
      <c r="AH108" s="1490"/>
      <c r="AI108" s="1490"/>
      <c r="AJ108" s="1490"/>
      <c r="AK108" s="1490"/>
      <c r="AL108" s="1490"/>
      <c r="AM108" s="1490"/>
      <c r="AN108" s="1490"/>
      <c r="AO108" s="1490"/>
      <c r="AP108" s="1490"/>
      <c r="AQ108" s="1490"/>
      <c r="AR108" s="14"/>
      <c r="AS108" s="1491"/>
      <c r="AT108" s="1491"/>
      <c r="AU108" s="1491"/>
      <c r="AV108" s="1491"/>
      <c r="AW108" s="1491"/>
      <c r="AX108" s="1491"/>
      <c r="AY108" s="1491"/>
      <c r="AZ108" s="1491"/>
      <c r="BA108" s="1491"/>
      <c r="BB108" s="1491"/>
      <c r="BC108" s="1491"/>
      <c r="BD108" s="1491"/>
      <c r="BE108" s="1491"/>
      <c r="BF108" s="1491"/>
      <c r="BG108" s="1491"/>
      <c r="BH108" s="1491"/>
      <c r="BI108" s="1491"/>
      <c r="BJ108" s="1491"/>
      <c r="BK108" s="1491"/>
      <c r="BL108" s="1491"/>
      <c r="BM108" s="14"/>
      <c r="BN108" s="1492"/>
      <c r="BO108" s="1492"/>
      <c r="BP108" s="1492"/>
      <c r="BQ108" s="14"/>
      <c r="BR108" s="3168"/>
      <c r="BS108" s="1493"/>
      <c r="BU108" s="1508"/>
      <c r="BV108" s="1508"/>
      <c r="BW108" s="1508"/>
      <c r="BX108" s="1508"/>
      <c r="BY108" s="1508"/>
      <c r="BZ108" s="1508"/>
      <c r="CA108" s="1508"/>
      <c r="CB108" s="1508"/>
      <c r="CC108" s="1508"/>
      <c r="CD108" s="1508"/>
      <c r="CE108" s="1508"/>
      <c r="CF108" s="1508"/>
      <c r="CG108" s="1508"/>
      <c r="CH108" s="1508"/>
      <c r="CI108" s="1508"/>
      <c r="CJ108" s="1508"/>
      <c r="CK108" s="1508"/>
      <c r="CL108" s="1508"/>
      <c r="CM108" s="1508"/>
      <c r="CN108" s="1508"/>
      <c r="CO108" s="1508"/>
      <c r="CP108" s="1508"/>
      <c r="CQ108" s="1508"/>
      <c r="CR108" s="1508"/>
      <c r="CS108" s="1508"/>
      <c r="CT108" s="1508"/>
      <c r="CU108" s="1508"/>
      <c r="CV108" s="1508"/>
      <c r="CW108" s="1508"/>
      <c r="CX108" s="1508"/>
      <c r="CY108" s="1508"/>
      <c r="CZ108" s="1508"/>
      <c r="DA108" s="1508"/>
      <c r="DB108" s="1508"/>
      <c r="DC108" s="1508"/>
      <c r="DD108" s="1508"/>
      <c r="DE108" s="1508"/>
      <c r="DF108" s="1508"/>
      <c r="DG108" s="1508"/>
      <c r="DH108" s="1508"/>
      <c r="DI108" s="1508"/>
      <c r="DJ108" s="1508"/>
      <c r="DK108" s="1508"/>
      <c r="DL108" s="1508"/>
      <c r="DN108" s="1509">
        <v>0</v>
      </c>
    </row>
    <row r="109" spans="1:118" s="1578" customFormat="1" ht="12.75" hidden="1" customHeight="1" outlineLevel="2" x14ac:dyDescent="0.2">
      <c r="C109" s="1591" t="s">
        <v>815</v>
      </c>
      <c r="D109" s="1566" t="s">
        <v>814</v>
      </c>
      <c r="E109" s="1600"/>
      <c r="G109" s="1568"/>
      <c r="H109" s="1568"/>
      <c r="I109" s="1568"/>
      <c r="J109" s="1568"/>
      <c r="K109" s="1568"/>
      <c r="L109" s="1568"/>
      <c r="M109" s="1568"/>
      <c r="N109" s="1568"/>
      <c r="O109" s="1569"/>
      <c r="P109" s="1568"/>
      <c r="Q109" s="1568"/>
      <c r="R109" s="1568"/>
      <c r="S109" s="1568"/>
      <c r="T109" s="1568"/>
      <c r="U109" s="1568"/>
      <c r="V109" s="1568"/>
      <c r="W109" s="1622"/>
      <c r="X109" s="1564"/>
      <c r="Y109" s="1570"/>
      <c r="Z109" s="1570"/>
      <c r="AA109" s="1570"/>
      <c r="AB109" s="1570"/>
      <c r="AC109" s="1570"/>
      <c r="AD109" s="1570"/>
      <c r="AE109" s="1570"/>
      <c r="AF109" s="1570"/>
      <c r="AG109" s="1570"/>
      <c r="AH109" s="1570"/>
      <c r="AI109" s="1570"/>
      <c r="AJ109" s="1570"/>
      <c r="AK109" s="1570"/>
      <c r="AL109" s="1570"/>
      <c r="AM109" s="1570"/>
      <c r="AN109" s="1570"/>
      <c r="AO109" s="1570"/>
      <c r="AP109" s="1570"/>
      <c r="AQ109" s="1570"/>
      <c r="AR109" s="1564"/>
      <c r="AS109" s="1571"/>
      <c r="AT109" s="1571"/>
      <c r="AU109" s="1571"/>
      <c r="AV109" s="1571"/>
      <c r="AW109" s="1571"/>
      <c r="AX109" s="1571"/>
      <c r="AY109" s="1571"/>
      <c r="AZ109" s="1571"/>
      <c r="BA109" s="1571"/>
      <c r="BB109" s="1571"/>
      <c r="BC109" s="1571"/>
      <c r="BD109" s="1571"/>
      <c r="BE109" s="1571"/>
      <c r="BF109" s="1571"/>
      <c r="BG109" s="1571"/>
      <c r="BH109" s="1571"/>
      <c r="BI109" s="1571"/>
      <c r="BJ109" s="1571"/>
      <c r="BK109" s="1571"/>
      <c r="BL109" s="1571"/>
      <c r="BM109" s="1564"/>
      <c r="BN109" s="1572"/>
      <c r="BO109" s="1572"/>
      <c r="BP109" s="1572"/>
      <c r="BR109" s="3168"/>
      <c r="BS109" s="1579"/>
      <c r="BU109" s="1595"/>
      <c r="BV109" s="1595"/>
      <c r="BW109" s="1595"/>
      <c r="BX109" s="1595"/>
      <c r="BY109" s="1595"/>
      <c r="BZ109" s="1595"/>
      <c r="CA109" s="1595"/>
      <c r="CB109" s="1595"/>
      <c r="CC109" s="1595"/>
      <c r="CD109" s="1595"/>
      <c r="CE109" s="1595"/>
      <c r="CF109" s="1595"/>
      <c r="CG109" s="1595"/>
      <c r="CH109" s="1595"/>
      <c r="CI109" s="1595"/>
      <c r="CJ109" s="1595"/>
      <c r="CK109" s="1595"/>
      <c r="CL109" s="1595"/>
      <c r="CM109" s="1595"/>
      <c r="CN109" s="1595"/>
      <c r="CO109" s="1595"/>
      <c r="CP109" s="1595"/>
      <c r="CQ109" s="1595"/>
      <c r="CR109" s="1595"/>
      <c r="CS109" s="1595"/>
      <c r="CT109" s="1595"/>
      <c r="CU109" s="1595"/>
      <c r="CV109" s="1595"/>
      <c r="CW109" s="1595"/>
      <c r="CX109" s="1595"/>
      <c r="CY109" s="1595"/>
      <c r="CZ109" s="1595"/>
      <c r="DA109" s="1595"/>
      <c r="DB109" s="1595"/>
      <c r="DC109" s="1595"/>
      <c r="DD109" s="1595"/>
      <c r="DE109" s="1595"/>
      <c r="DF109" s="1595"/>
      <c r="DG109" s="1595"/>
      <c r="DH109" s="1595"/>
      <c r="DI109" s="1595"/>
      <c r="DJ109" s="1595"/>
      <c r="DK109" s="1595"/>
      <c r="DL109" s="1595"/>
      <c r="DN109" s="1509">
        <v>0</v>
      </c>
    </row>
    <row r="110" spans="1:118" s="1522" customFormat="1" ht="12.75" hidden="1" customHeight="1" outlineLevel="2" x14ac:dyDescent="0.2">
      <c r="B110" s="1623"/>
      <c r="C110" s="1577">
        <v>0</v>
      </c>
      <c r="D110" s="1497" t="s">
        <v>111</v>
      </c>
      <c r="E110" s="1497"/>
      <c r="F110" s="14"/>
      <c r="G110" s="1583"/>
      <c r="H110" s="1583"/>
      <c r="I110" s="1583"/>
      <c r="J110" s="1583"/>
      <c r="K110" s="1583"/>
      <c r="L110" s="1583"/>
      <c r="M110" s="1583"/>
      <c r="N110" s="1583"/>
      <c r="O110" s="1624"/>
      <c r="P110" s="1583"/>
      <c r="Q110" s="1583"/>
      <c r="R110" s="1583"/>
      <c r="S110" s="1583"/>
      <c r="T110" s="1583"/>
      <c r="U110" s="1583"/>
      <c r="V110" s="1583"/>
      <c r="W110" s="1625"/>
      <c r="X110" s="14"/>
      <c r="Y110" s="1585"/>
      <c r="Z110" s="1585"/>
      <c r="AA110" s="1585"/>
      <c r="AB110" s="1585"/>
      <c r="AC110" s="1585"/>
      <c r="AD110" s="1585"/>
      <c r="AE110" s="1585"/>
      <c r="AF110" s="1585"/>
      <c r="AG110" s="1585"/>
      <c r="AH110" s="1585"/>
      <c r="AI110" s="1585"/>
      <c r="AJ110" s="1585"/>
      <c r="AK110" s="1585"/>
      <c r="AL110" s="1585"/>
      <c r="AM110" s="1585"/>
      <c r="AN110" s="1585"/>
      <c r="AO110" s="1585"/>
      <c r="AP110" s="1585"/>
      <c r="AQ110" s="1585"/>
      <c r="AR110" s="14"/>
      <c r="AS110" s="1524"/>
      <c r="AT110" s="1524"/>
      <c r="AU110" s="1524"/>
      <c r="AV110" s="1524"/>
      <c r="AW110" s="1524"/>
      <c r="AX110" s="1524"/>
      <c r="AY110" s="1524"/>
      <c r="AZ110" s="1524"/>
      <c r="BA110" s="1524"/>
      <c r="BB110" s="1524"/>
      <c r="BC110" s="1524"/>
      <c r="BD110" s="1524"/>
      <c r="BE110" s="1524"/>
      <c r="BF110" s="1524"/>
      <c r="BG110" s="1524"/>
      <c r="BH110" s="1524"/>
      <c r="BI110" s="1524"/>
      <c r="BJ110" s="1524"/>
      <c r="BK110" s="1524"/>
      <c r="BL110" s="1524"/>
      <c r="BM110" s="14"/>
      <c r="BN110" s="1588"/>
      <c r="BO110" s="1588"/>
      <c r="BP110" s="1588"/>
      <c r="BQ110" s="14"/>
      <c r="BR110" s="3168"/>
      <c r="BS110" s="1525"/>
      <c r="BU110" s="1507">
        <v>0</v>
      </c>
      <c r="BV110" s="1508">
        <v>0</v>
      </c>
      <c r="BW110" s="1508">
        <v>0</v>
      </c>
      <c r="BX110" s="1508">
        <v>0</v>
      </c>
      <c r="BY110" s="1508">
        <v>0</v>
      </c>
      <c r="BZ110" s="1508">
        <v>4.3706513640884639</v>
      </c>
      <c r="CA110" s="1508">
        <v>0</v>
      </c>
      <c r="CB110" s="1508">
        <v>0</v>
      </c>
      <c r="CC110" s="1508">
        <v>0</v>
      </c>
      <c r="CD110" s="1508">
        <v>0</v>
      </c>
      <c r="CE110" s="1508">
        <v>0</v>
      </c>
      <c r="CF110" s="1508">
        <v>0</v>
      </c>
      <c r="CG110" s="1508">
        <v>0</v>
      </c>
      <c r="CH110" s="1508">
        <v>0</v>
      </c>
      <c r="CI110" s="1508">
        <v>0</v>
      </c>
      <c r="CJ110" s="1508">
        <v>0</v>
      </c>
      <c r="CK110" s="1508">
        <v>0</v>
      </c>
      <c r="CL110" s="1508">
        <v>0</v>
      </c>
      <c r="CM110" s="1508">
        <v>0</v>
      </c>
      <c r="CN110" s="1508">
        <v>0</v>
      </c>
      <c r="CO110" s="1508">
        <v>0</v>
      </c>
      <c r="CP110" s="1508">
        <v>0</v>
      </c>
      <c r="CQ110" s="1508">
        <v>0</v>
      </c>
      <c r="CR110" s="1508">
        <v>0</v>
      </c>
      <c r="CS110" s="1508">
        <v>0</v>
      </c>
      <c r="CT110" s="1508">
        <v>0</v>
      </c>
      <c r="CU110" s="1508">
        <v>0</v>
      </c>
      <c r="CV110" s="1508">
        <v>0</v>
      </c>
      <c r="CW110" s="1508">
        <v>0</v>
      </c>
      <c r="CX110" s="1508">
        <v>0</v>
      </c>
      <c r="CY110" s="1508">
        <v>0</v>
      </c>
      <c r="CZ110" s="1508">
        <v>0</v>
      </c>
      <c r="DA110" s="1508">
        <v>0</v>
      </c>
      <c r="DB110" s="1508">
        <v>0</v>
      </c>
      <c r="DC110" s="1508">
        <v>0</v>
      </c>
      <c r="DD110" s="1508">
        <v>0</v>
      </c>
      <c r="DE110" s="1508">
        <v>0</v>
      </c>
      <c r="DF110" s="1508">
        <v>0</v>
      </c>
      <c r="DG110" s="1508">
        <v>0</v>
      </c>
      <c r="DH110" s="1508">
        <v>0</v>
      </c>
      <c r="DI110" s="1508">
        <v>0</v>
      </c>
      <c r="DJ110" s="1508">
        <v>0</v>
      </c>
      <c r="DK110" s="1508">
        <v>0</v>
      </c>
      <c r="DL110" s="1508">
        <v>0</v>
      </c>
      <c r="DN110" s="1509">
        <v>4.3706513640884639</v>
      </c>
    </row>
    <row r="111" spans="1:118" s="1522" customFormat="1" ht="12.75" hidden="1" customHeight="1" outlineLevel="2" x14ac:dyDescent="0.2">
      <c r="B111" s="1623" t="s">
        <v>816</v>
      </c>
      <c r="C111" s="1577" t="s">
        <v>817</v>
      </c>
      <c r="D111" s="1526" t="s">
        <v>818</v>
      </c>
      <c r="E111" s="1526"/>
      <c r="F111" s="14"/>
      <c r="G111" s="1626"/>
      <c r="H111" s="1626"/>
      <c r="I111" s="1626"/>
      <c r="J111" s="1626"/>
      <c r="K111" s="1626"/>
      <c r="L111" s="1626"/>
      <c r="M111" s="1626"/>
      <c r="N111" s="1626"/>
      <c r="O111" s="1627"/>
      <c r="P111" s="1626"/>
      <c r="Q111" s="1626"/>
      <c r="R111" s="1626"/>
      <c r="S111" s="1626"/>
      <c r="T111" s="1626"/>
      <c r="U111" s="1626"/>
      <c r="V111" s="1626"/>
      <c r="W111" s="1628"/>
      <c r="X111" s="14"/>
      <c r="Y111" s="1629"/>
      <c r="Z111" s="1629"/>
      <c r="AA111" s="1629"/>
      <c r="AB111" s="1629"/>
      <c r="AC111" s="1629"/>
      <c r="AD111" s="1629"/>
      <c r="AE111" s="1629"/>
      <c r="AF111" s="1629"/>
      <c r="AG111" s="1629"/>
      <c r="AH111" s="1629"/>
      <c r="AI111" s="1629"/>
      <c r="AJ111" s="1629"/>
      <c r="AK111" s="1629"/>
      <c r="AL111" s="1629"/>
      <c r="AM111" s="1629"/>
      <c r="AN111" s="1629"/>
      <c r="AO111" s="1629"/>
      <c r="AP111" s="1629"/>
      <c r="AQ111" s="1629"/>
      <c r="AR111" s="14"/>
      <c r="AS111" s="1530"/>
      <c r="AT111" s="1530"/>
      <c r="AU111" s="1530"/>
      <c r="AV111" s="1530"/>
      <c r="AW111" s="1530"/>
      <c r="AX111" s="1530"/>
      <c r="AY111" s="1530"/>
      <c r="AZ111" s="1530"/>
      <c r="BA111" s="1530"/>
      <c r="BB111" s="1530"/>
      <c r="BC111" s="1530"/>
      <c r="BD111" s="1530"/>
      <c r="BE111" s="1530"/>
      <c r="BF111" s="1530"/>
      <c r="BG111" s="1530"/>
      <c r="BH111" s="1530"/>
      <c r="BI111" s="1530"/>
      <c r="BJ111" s="1530"/>
      <c r="BK111" s="1530"/>
      <c r="BL111" s="1530"/>
      <c r="BM111" s="14"/>
      <c r="BN111" s="1630"/>
      <c r="BO111" s="1630"/>
      <c r="BP111" s="1630"/>
      <c r="BQ111" s="14"/>
      <c r="BR111" s="3168"/>
      <c r="BS111" s="1525"/>
      <c r="BU111" s="1532">
        <v>0</v>
      </c>
      <c r="BV111" s="1533">
        <v>0</v>
      </c>
      <c r="BW111" s="1533">
        <v>0</v>
      </c>
      <c r="BX111" s="1533">
        <v>0</v>
      </c>
      <c r="BY111" s="1533">
        <v>0</v>
      </c>
      <c r="BZ111" s="1533">
        <v>0</v>
      </c>
      <c r="CA111" s="1533">
        <v>0</v>
      </c>
      <c r="CB111" s="1533">
        <v>0</v>
      </c>
      <c r="CC111" s="1533">
        <v>0</v>
      </c>
      <c r="CD111" s="1533">
        <v>0</v>
      </c>
      <c r="CE111" s="1533">
        <v>0</v>
      </c>
      <c r="CF111" s="1533">
        <v>0</v>
      </c>
      <c r="CG111" s="1533">
        <v>0</v>
      </c>
      <c r="CH111" s="1533">
        <v>0</v>
      </c>
      <c r="CI111" s="1533">
        <v>0</v>
      </c>
      <c r="CJ111" s="1533">
        <v>0</v>
      </c>
      <c r="CK111" s="1533">
        <v>0</v>
      </c>
      <c r="CL111" s="1533">
        <v>0</v>
      </c>
      <c r="CM111" s="1533">
        <v>0</v>
      </c>
      <c r="CN111" s="1533">
        <v>0</v>
      </c>
      <c r="CO111" s="1533">
        <v>0</v>
      </c>
      <c r="CP111" s="1533">
        <v>0</v>
      </c>
      <c r="CQ111" s="1533">
        <v>0</v>
      </c>
      <c r="CR111" s="1533">
        <v>0</v>
      </c>
      <c r="CS111" s="1533">
        <v>0</v>
      </c>
      <c r="CT111" s="1533">
        <v>0</v>
      </c>
      <c r="CU111" s="1533">
        <v>0</v>
      </c>
      <c r="CV111" s="1533">
        <v>0</v>
      </c>
      <c r="CW111" s="1533">
        <v>0</v>
      </c>
      <c r="CX111" s="1533">
        <v>0</v>
      </c>
      <c r="CY111" s="1533">
        <v>0</v>
      </c>
      <c r="CZ111" s="1533">
        <v>0</v>
      </c>
      <c r="DA111" s="1533">
        <v>0</v>
      </c>
      <c r="DB111" s="1533">
        <v>0</v>
      </c>
      <c r="DC111" s="1533">
        <v>0</v>
      </c>
      <c r="DD111" s="1533">
        <v>0</v>
      </c>
      <c r="DE111" s="1533">
        <v>0</v>
      </c>
      <c r="DF111" s="1533">
        <v>0</v>
      </c>
      <c r="DG111" s="1533">
        <v>0</v>
      </c>
      <c r="DH111" s="1533">
        <v>0</v>
      </c>
      <c r="DI111" s="1533">
        <v>0</v>
      </c>
      <c r="DJ111" s="1533">
        <v>0</v>
      </c>
      <c r="DK111" s="1533">
        <v>0</v>
      </c>
      <c r="DL111" s="1533">
        <v>0</v>
      </c>
      <c r="DN111" s="1509">
        <v>0</v>
      </c>
    </row>
    <row r="112" spans="1:118" s="14" customFormat="1" ht="15.75" hidden="1" outlineLevel="1" collapsed="1" x14ac:dyDescent="0.2">
      <c r="B112" s="1535"/>
      <c r="C112" s="1552"/>
      <c r="D112" s="1537"/>
      <c r="E112" s="1430"/>
      <c r="G112" s="1539"/>
      <c r="H112" s="1539"/>
      <c r="I112" s="1539"/>
      <c r="J112" s="1539"/>
      <c r="K112" s="1539"/>
      <c r="L112" s="1539"/>
      <c r="M112" s="1539"/>
      <c r="N112" s="1539"/>
      <c r="O112" s="1539"/>
      <c r="P112" s="1539"/>
      <c r="Q112" s="1539"/>
      <c r="R112" s="1539"/>
      <c r="S112" s="1539"/>
      <c r="T112" s="1539"/>
      <c r="U112" s="1539"/>
      <c r="V112" s="1539"/>
      <c r="W112" s="1539"/>
      <c r="Y112" s="1490"/>
      <c r="Z112" s="1490"/>
      <c r="AA112" s="1490"/>
      <c r="AB112" s="1490"/>
      <c r="AC112" s="1490"/>
      <c r="AD112" s="1490"/>
      <c r="AE112" s="1490"/>
      <c r="AF112" s="1490"/>
      <c r="AG112" s="1490"/>
      <c r="AH112" s="1490"/>
      <c r="AI112" s="1490"/>
      <c r="AJ112" s="1490"/>
      <c r="AK112" s="1490"/>
      <c r="AL112" s="1490"/>
      <c r="AM112" s="1490"/>
      <c r="AN112" s="1490"/>
      <c r="AO112" s="1490"/>
      <c r="AP112" s="1490"/>
      <c r="AQ112" s="1490"/>
      <c r="AS112" s="1491"/>
      <c r="AT112" s="1491"/>
      <c r="AU112" s="1491"/>
      <c r="AV112" s="1491"/>
      <c r="AW112" s="1491"/>
      <c r="AX112" s="1491"/>
      <c r="AY112" s="1491"/>
      <c r="AZ112" s="1491"/>
      <c r="BA112" s="1491"/>
      <c r="BB112" s="1491"/>
      <c r="BC112" s="1491"/>
      <c r="BD112" s="1491"/>
      <c r="BE112" s="1491"/>
      <c r="BF112" s="1491"/>
      <c r="BG112" s="1491"/>
      <c r="BH112" s="1491"/>
      <c r="BI112" s="1491"/>
      <c r="BJ112" s="1491"/>
      <c r="BK112" s="1491"/>
      <c r="BL112" s="1491"/>
      <c r="BN112" s="1492"/>
      <c r="BO112" s="1492"/>
      <c r="BP112" s="1492"/>
      <c r="BR112" s="3168"/>
      <c r="BS112" s="1493"/>
      <c r="BT112" s="748"/>
      <c r="BU112" s="1508">
        <v>0</v>
      </c>
      <c r="BV112" s="1508">
        <v>0</v>
      </c>
      <c r="BW112" s="1508">
        <v>0</v>
      </c>
      <c r="BX112" s="1508">
        <v>0</v>
      </c>
      <c r="BY112" s="1508">
        <v>0</v>
      </c>
      <c r="BZ112" s="1508">
        <v>4.3706513640884639</v>
      </c>
      <c r="CA112" s="1508">
        <v>0</v>
      </c>
      <c r="CB112" s="1508">
        <v>0</v>
      </c>
      <c r="CC112" s="1508">
        <v>0</v>
      </c>
      <c r="CD112" s="1508">
        <v>0</v>
      </c>
      <c r="CE112" s="1508">
        <v>0</v>
      </c>
      <c r="CF112" s="1508">
        <v>0</v>
      </c>
      <c r="CG112" s="1508">
        <v>0</v>
      </c>
      <c r="CH112" s="1508">
        <v>0</v>
      </c>
      <c r="CI112" s="1508">
        <v>0</v>
      </c>
      <c r="CJ112" s="1508">
        <v>0</v>
      </c>
      <c r="CK112" s="1508">
        <v>0</v>
      </c>
      <c r="CL112" s="1508">
        <v>0</v>
      </c>
      <c r="CM112" s="1508">
        <v>0</v>
      </c>
      <c r="CN112" s="1508">
        <v>0</v>
      </c>
      <c r="CO112" s="1508">
        <v>0</v>
      </c>
      <c r="CP112" s="1508">
        <v>0</v>
      </c>
      <c r="CQ112" s="1508">
        <v>0</v>
      </c>
      <c r="CR112" s="1508">
        <v>0</v>
      </c>
      <c r="CS112" s="1508">
        <v>0</v>
      </c>
      <c r="CT112" s="1508">
        <v>0</v>
      </c>
      <c r="CU112" s="1508">
        <v>0</v>
      </c>
      <c r="CV112" s="1508">
        <v>0</v>
      </c>
      <c r="CW112" s="1508">
        <v>0</v>
      </c>
      <c r="CX112" s="1508">
        <v>0</v>
      </c>
      <c r="CY112" s="1508">
        <v>0</v>
      </c>
      <c r="CZ112" s="1508">
        <v>0</v>
      </c>
      <c r="DA112" s="1508">
        <v>0</v>
      </c>
      <c r="DB112" s="1508">
        <v>0</v>
      </c>
      <c r="DC112" s="1508">
        <v>0</v>
      </c>
      <c r="DD112" s="1508">
        <v>0</v>
      </c>
      <c r="DE112" s="1508">
        <v>0</v>
      </c>
      <c r="DF112" s="1508">
        <v>0</v>
      </c>
      <c r="DG112" s="1508">
        <v>0</v>
      </c>
      <c r="DH112" s="1508">
        <v>0</v>
      </c>
      <c r="DI112" s="1508">
        <v>0</v>
      </c>
      <c r="DJ112" s="1508">
        <v>0</v>
      </c>
      <c r="DK112" s="1508">
        <v>0</v>
      </c>
      <c r="DL112" s="1508">
        <v>0</v>
      </c>
      <c r="DN112" s="1509">
        <v>4.3706513640884639</v>
      </c>
    </row>
    <row r="113" spans="2:118" s="14" customFormat="1" ht="6" hidden="1" customHeight="1" outlineLevel="1" x14ac:dyDescent="0.2">
      <c r="C113" s="1429"/>
      <c r="D113" s="1430"/>
      <c r="E113" s="1430"/>
      <c r="G113" s="1488"/>
      <c r="H113" s="1488"/>
      <c r="I113" s="1488"/>
      <c r="J113" s="1488"/>
      <c r="K113" s="1488"/>
      <c r="L113" s="1488"/>
      <c r="M113" s="1488"/>
      <c r="N113" s="1488"/>
      <c r="O113" s="1563"/>
      <c r="P113" s="1488"/>
      <c r="Q113" s="1488"/>
      <c r="R113" s="1488"/>
      <c r="S113" s="1488"/>
      <c r="T113" s="1488"/>
      <c r="U113" s="1488"/>
      <c r="V113" s="1488"/>
      <c r="W113" s="1488"/>
      <c r="Y113" s="1490"/>
      <c r="Z113" s="1490"/>
      <c r="AA113" s="1490"/>
      <c r="AB113" s="1490"/>
      <c r="AC113" s="1490"/>
      <c r="AD113" s="1490"/>
      <c r="AE113" s="1490"/>
      <c r="AF113" s="1490"/>
      <c r="AG113" s="1490"/>
      <c r="AH113" s="1490"/>
      <c r="AI113" s="1490"/>
      <c r="AJ113" s="1490"/>
      <c r="AK113" s="1490"/>
      <c r="AL113" s="1490"/>
      <c r="AM113" s="1490"/>
      <c r="AN113" s="1490"/>
      <c r="AO113" s="1490"/>
      <c r="AP113" s="1490"/>
      <c r="AQ113" s="1490"/>
      <c r="AS113" s="1491"/>
      <c r="AT113" s="1491"/>
      <c r="AU113" s="1491"/>
      <c r="AV113" s="1491"/>
      <c r="AW113" s="1491"/>
      <c r="AX113" s="1491"/>
      <c r="AY113" s="1491"/>
      <c r="AZ113" s="1491"/>
      <c r="BA113" s="1491"/>
      <c r="BB113" s="1491"/>
      <c r="BC113" s="1491"/>
      <c r="BD113" s="1491"/>
      <c r="BE113" s="1491"/>
      <c r="BF113" s="1491"/>
      <c r="BG113" s="1491"/>
      <c r="BH113" s="1491"/>
      <c r="BI113" s="1491"/>
      <c r="BJ113" s="1491"/>
      <c r="BK113" s="1491"/>
      <c r="BL113" s="1491"/>
      <c r="BN113" s="1492"/>
      <c r="BO113" s="1492"/>
      <c r="BP113" s="1492"/>
      <c r="BR113" s="3168"/>
      <c r="BS113" s="1493"/>
      <c r="BU113" s="1508"/>
      <c r="BV113" s="1508"/>
      <c r="BW113" s="1508"/>
      <c r="BX113" s="1508"/>
      <c r="BY113" s="1508"/>
      <c r="BZ113" s="1508"/>
      <c r="CA113" s="1508"/>
      <c r="CB113" s="1508"/>
      <c r="CC113" s="1508"/>
      <c r="CD113" s="1508"/>
      <c r="CE113" s="1508"/>
      <c r="CF113" s="1508"/>
      <c r="CG113" s="1508"/>
      <c r="CH113" s="1508"/>
      <c r="CI113" s="1508"/>
      <c r="CJ113" s="1508"/>
      <c r="CK113" s="1508"/>
      <c r="CL113" s="1508"/>
      <c r="CM113" s="1508"/>
      <c r="CN113" s="1508"/>
      <c r="CO113" s="1508"/>
      <c r="CP113" s="1508"/>
      <c r="CQ113" s="1508"/>
      <c r="CR113" s="1508"/>
      <c r="CS113" s="1508"/>
      <c r="CT113" s="1508"/>
      <c r="CU113" s="1508"/>
      <c r="CV113" s="1508"/>
      <c r="CW113" s="1508"/>
      <c r="CX113" s="1508"/>
      <c r="CY113" s="1508"/>
      <c r="CZ113" s="1508"/>
      <c r="DA113" s="1508"/>
      <c r="DB113" s="1508"/>
      <c r="DC113" s="1508"/>
      <c r="DD113" s="1508"/>
      <c r="DE113" s="1508"/>
      <c r="DF113" s="1508"/>
      <c r="DG113" s="1508"/>
      <c r="DH113" s="1508"/>
      <c r="DI113" s="1508"/>
      <c r="DJ113" s="1508"/>
      <c r="DK113" s="1508"/>
      <c r="DL113" s="1508"/>
      <c r="DN113" s="1509"/>
    </row>
    <row r="114" spans="2:118" s="14" customFormat="1" ht="13.5" collapsed="1" thickBot="1" x14ac:dyDescent="0.25">
      <c r="C114" s="1429"/>
      <c r="D114" s="1430"/>
      <c r="E114" s="1430"/>
      <c r="G114" s="1488"/>
      <c r="H114" s="1488"/>
      <c r="I114" s="1488"/>
      <c r="J114" s="1488"/>
      <c r="K114" s="1488"/>
      <c r="L114" s="1488"/>
      <c r="M114" s="1488"/>
      <c r="N114" s="1488"/>
      <c r="O114" s="1563"/>
      <c r="P114" s="1488"/>
      <c r="Q114" s="1488"/>
      <c r="R114" s="1488"/>
      <c r="S114" s="1488"/>
      <c r="T114" s="1488"/>
      <c r="U114" s="1488"/>
      <c r="V114" s="1488"/>
      <c r="W114" s="1488"/>
      <c r="Y114" s="1490"/>
      <c r="Z114" s="1490"/>
      <c r="AA114" s="1490"/>
      <c r="AB114" s="1490"/>
      <c r="AC114" s="1490"/>
      <c r="AD114" s="1490"/>
      <c r="AE114" s="1490"/>
      <c r="AF114" s="1490"/>
      <c r="AG114" s="1490"/>
      <c r="AH114" s="1490"/>
      <c r="AI114" s="1490"/>
      <c r="AJ114" s="1490"/>
      <c r="AK114" s="1490"/>
      <c r="AL114" s="1490"/>
      <c r="AM114" s="1490"/>
      <c r="AN114" s="1490"/>
      <c r="AO114" s="1490"/>
      <c r="AP114" s="1490"/>
      <c r="AQ114" s="1490"/>
      <c r="AS114" s="1491"/>
      <c r="AT114" s="1491"/>
      <c r="AU114" s="1491"/>
      <c r="AV114" s="1491"/>
      <c r="AW114" s="1491"/>
      <c r="AX114" s="1491"/>
      <c r="AY114" s="1491"/>
      <c r="AZ114" s="1491"/>
      <c r="BA114" s="1491"/>
      <c r="BB114" s="1491"/>
      <c r="BC114" s="1491"/>
      <c r="BD114" s="1491"/>
      <c r="BE114" s="1491"/>
      <c r="BF114" s="1491"/>
      <c r="BG114" s="1491"/>
      <c r="BH114" s="1491"/>
      <c r="BI114" s="1491"/>
      <c r="BJ114" s="1491"/>
      <c r="BK114" s="1491"/>
      <c r="BL114" s="1491"/>
      <c r="BN114" s="1492"/>
      <c r="BO114" s="1492"/>
      <c r="BP114" s="1492"/>
      <c r="BR114" s="3168"/>
      <c r="BS114" s="1493"/>
      <c r="BU114" s="1508"/>
      <c r="BV114" s="1508"/>
      <c r="BW114" s="1508"/>
      <c r="BX114" s="1508"/>
      <c r="BY114" s="1508"/>
      <c r="BZ114" s="1508"/>
      <c r="CA114" s="1508"/>
      <c r="CB114" s="1508"/>
      <c r="CC114" s="1508"/>
      <c r="CD114" s="1508"/>
      <c r="CE114" s="1508"/>
      <c r="CF114" s="1508"/>
      <c r="CG114" s="1508"/>
      <c r="CH114" s="1508"/>
      <c r="CI114" s="1508"/>
      <c r="CJ114" s="1508"/>
      <c r="CK114" s="1508"/>
      <c r="CL114" s="1508"/>
      <c r="CM114" s="1508"/>
      <c r="CN114" s="1508"/>
      <c r="CO114" s="1508"/>
      <c r="CP114" s="1508"/>
      <c r="CQ114" s="1508"/>
      <c r="CR114" s="1508"/>
      <c r="CS114" s="1508"/>
      <c r="CT114" s="1508"/>
      <c r="CU114" s="1508"/>
      <c r="CV114" s="1508"/>
      <c r="CW114" s="1508"/>
      <c r="CX114" s="1508"/>
      <c r="CY114" s="1508"/>
      <c r="CZ114" s="1508"/>
      <c r="DA114" s="1508"/>
      <c r="DB114" s="1508"/>
      <c r="DC114" s="1508"/>
      <c r="DD114" s="1508"/>
      <c r="DE114" s="1508"/>
      <c r="DF114" s="1508"/>
      <c r="DG114" s="1508"/>
      <c r="DH114" s="1508"/>
      <c r="DI114" s="1508"/>
      <c r="DJ114" s="1508"/>
      <c r="DK114" s="1508"/>
      <c r="DL114" s="1508"/>
      <c r="DN114" s="1509"/>
    </row>
    <row r="115" spans="2:118" s="14" customFormat="1" ht="24" customHeight="1" thickBot="1" x14ac:dyDescent="0.25">
      <c r="C115" s="1631" t="s">
        <v>869</v>
      </c>
      <c r="D115" s="1631"/>
      <c r="E115" s="1631"/>
      <c r="G115" s="1632">
        <f t="shared" ref="G115:V115" ca="1" si="71">G36+G92</f>
        <v>45.608248634209794</v>
      </c>
      <c r="H115" s="1632">
        <f t="shared" ca="1" si="71"/>
        <v>9.7077573939741324</v>
      </c>
      <c r="I115" s="1632">
        <f t="shared" ca="1" si="71"/>
        <v>3.8449247805183946</v>
      </c>
      <c r="J115" s="1632">
        <f t="shared" ca="1" si="71"/>
        <v>12.873734384695339</v>
      </c>
      <c r="K115" s="1632">
        <f t="shared" ca="1" si="71"/>
        <v>5.7018507831211309</v>
      </c>
      <c r="L115" s="1632">
        <f t="shared" ca="1" si="71"/>
        <v>11.72383133204718</v>
      </c>
      <c r="M115" s="1632">
        <f t="shared" ca="1" si="71"/>
        <v>180.06416398976444</v>
      </c>
      <c r="N115" s="1632">
        <f t="shared" ca="1" si="71"/>
        <v>57.799860517853276</v>
      </c>
      <c r="O115" s="1632">
        <f t="shared" ca="1" si="71"/>
        <v>18.884279144014918</v>
      </c>
      <c r="P115" s="1632">
        <f t="shared" ca="1" si="71"/>
        <v>0.45450745671867954</v>
      </c>
      <c r="Q115" s="1632">
        <f t="shared" ca="1" si="71"/>
        <v>5.04411731104858E-2</v>
      </c>
      <c r="R115" s="1632">
        <f t="shared" ca="1" si="71"/>
        <v>24.28394824198671</v>
      </c>
      <c r="S115" s="1632">
        <f t="shared" ca="1" si="71"/>
        <v>8.3202556134247665</v>
      </c>
      <c r="T115" s="1632">
        <f t="shared" ca="1" si="71"/>
        <v>9.4315997817865629</v>
      </c>
      <c r="U115" s="1632">
        <f t="shared" ca="1" si="71"/>
        <v>6.6669002863886983E-3</v>
      </c>
      <c r="V115" s="1632">
        <f t="shared" ca="1" si="71"/>
        <v>0.34078908460303153</v>
      </c>
      <c r="W115" s="1632">
        <f ca="1">W36+W92+W107</f>
        <v>389.09685921211525</v>
      </c>
      <c r="Y115" s="1633">
        <f t="shared" ref="Y115:AQ115" ca="1" si="72">Y92+Y36+Y107</f>
        <v>-91.520244446127037</v>
      </c>
      <c r="Z115" s="1633">
        <f t="shared" ca="1" si="72"/>
        <v>91.520244446127023</v>
      </c>
      <c r="AA115" s="1633">
        <f t="shared" ca="1" si="72"/>
        <v>-119.46423832489575</v>
      </c>
      <c r="AB115" s="1633">
        <f t="shared" ca="1" si="72"/>
        <v>-199.7089576630182</v>
      </c>
      <c r="AC115" s="1633">
        <f t="shared" ca="1" si="72"/>
        <v>-97.548258585664044</v>
      </c>
      <c r="AD115" s="1633">
        <f t="shared" ca="1" si="72"/>
        <v>25.584695004942699</v>
      </c>
      <c r="AE115" s="1633">
        <f t="shared" ca="1" si="72"/>
        <v>3.0761179275455</v>
      </c>
      <c r="AF115" s="1633">
        <f t="shared" ca="1" si="72"/>
        <v>10.934465313717508</v>
      </c>
      <c r="AG115" s="1633">
        <f t="shared" ca="1" si="72"/>
        <v>0</v>
      </c>
      <c r="AH115" s="1633">
        <f t="shared" ca="1" si="72"/>
        <v>0</v>
      </c>
      <c r="AI115" s="1633">
        <f t="shared" ca="1" si="72"/>
        <v>0</v>
      </c>
      <c r="AJ115" s="1633">
        <f t="shared" ca="1" si="72"/>
        <v>0</v>
      </c>
      <c r="AK115" s="1633">
        <f t="shared" ca="1" si="72"/>
        <v>0</v>
      </c>
      <c r="AL115" s="1633">
        <f t="shared" ca="1" si="72"/>
        <v>-12.337851148176384</v>
      </c>
      <c r="AM115" s="1633">
        <f t="shared" ca="1" si="72"/>
        <v>0</v>
      </c>
      <c r="AN115" s="1633">
        <f t="shared" ca="1" si="72"/>
        <v>0</v>
      </c>
      <c r="AO115" s="1633">
        <f t="shared" ca="1" si="72"/>
        <v>0</v>
      </c>
      <c r="AP115" s="1633">
        <f t="shared" ca="1" si="72"/>
        <v>0</v>
      </c>
      <c r="AQ115" s="1633">
        <f t="shared" ca="1" si="72"/>
        <v>-389.46402747554862</v>
      </c>
      <c r="AS115" s="1634">
        <f t="shared" ref="AS115:BL115" ca="1" si="73">AS92+AS36+AS107</f>
        <v>-25.584695004942699</v>
      </c>
      <c r="AT115" s="1634">
        <f t="shared" ca="1" si="73"/>
        <v>-3.0761179275455</v>
      </c>
      <c r="AU115" s="1634">
        <f t="shared" ca="1" si="73"/>
        <v>-10.934465313717508</v>
      </c>
      <c r="AV115" s="1634">
        <f t="shared" ca="1" si="73"/>
        <v>0</v>
      </c>
      <c r="AW115" s="1634">
        <f t="shared" ca="1" si="73"/>
        <v>0</v>
      </c>
      <c r="AX115" s="1634">
        <f t="shared" ca="1" si="73"/>
        <v>0</v>
      </c>
      <c r="AY115" s="1634">
        <f t="shared" ca="1" si="73"/>
        <v>0</v>
      </c>
      <c r="AZ115" s="1634">
        <f t="shared" ca="1" si="73"/>
        <v>0</v>
      </c>
      <c r="BA115" s="1634">
        <f t="shared" ca="1" si="73"/>
        <v>0</v>
      </c>
      <c r="BB115" s="1634">
        <f t="shared" ca="1" si="73"/>
        <v>0</v>
      </c>
      <c r="BC115" s="1634">
        <f t="shared" ca="1" si="73"/>
        <v>-7.2029760905181748</v>
      </c>
      <c r="BD115" s="1634">
        <f t="shared" ca="1" si="73"/>
        <v>-4.9601951999999994</v>
      </c>
      <c r="BE115" s="1634">
        <f t="shared" ca="1" si="73"/>
        <v>-9.4672799999999998E-3</v>
      </c>
      <c r="BF115" s="1634">
        <f t="shared" ca="1" si="73"/>
        <v>-3.9447000000000006E-3</v>
      </c>
      <c r="BG115" s="1634">
        <f t="shared" ca="1" si="73"/>
        <v>-0.35064000000000006</v>
      </c>
      <c r="BH115" s="1634">
        <f t="shared" ca="1" si="73"/>
        <v>-24.159096000000002</v>
      </c>
      <c r="BI115" s="1634">
        <f t="shared" ca="1" si="73"/>
        <v>0</v>
      </c>
      <c r="BJ115" s="1634">
        <f t="shared" ca="1" si="73"/>
        <v>0</v>
      </c>
      <c r="BK115" s="1634">
        <f t="shared" ca="1" si="73"/>
        <v>-0.41667291307003151</v>
      </c>
      <c r="BL115" s="1634">
        <f t="shared" ca="1" si="73"/>
        <v>-76.698270429793922</v>
      </c>
      <c r="BN115" s="1635">
        <f ca="1">BN92+BN36+BN107</f>
        <v>74.333993579718197</v>
      </c>
      <c r="BO115" s="1635">
        <f ca="1">BO92+BO36+BO107</f>
        <v>2.7314451135092335</v>
      </c>
      <c r="BP115" s="1635">
        <f ca="1">BP92+BP36+BP107</f>
        <v>77.065438693227435</v>
      </c>
      <c r="BR115" s="3434">
        <f ca="1">BR92+BR36+BR107</f>
        <v>9.3227509045945567E-14</v>
      </c>
      <c r="BS115" s="1486"/>
      <c r="BU115" s="1636">
        <v>509.46720605787289</v>
      </c>
      <c r="BV115" s="1636">
        <v>1.0312102102697414</v>
      </c>
      <c r="BW115" s="1636">
        <v>4.8883498544750488</v>
      </c>
      <c r="BX115" s="1636">
        <v>0</v>
      </c>
      <c r="BY115" s="1636">
        <v>5.0916819860234304</v>
      </c>
      <c r="BZ115" s="1636">
        <v>7.0109643253402414</v>
      </c>
      <c r="CA115" s="1636">
        <v>0</v>
      </c>
      <c r="CB115" s="1636">
        <v>0</v>
      </c>
      <c r="CC115" s="1636">
        <v>14.39565925511863</v>
      </c>
      <c r="CD115" s="1636">
        <v>0.11288744235152412</v>
      </c>
      <c r="CE115" s="1636">
        <v>2.7624692105907238</v>
      </c>
      <c r="CF115" s="1636">
        <v>10.620296151887526</v>
      </c>
      <c r="CG115" s="1636">
        <v>0</v>
      </c>
      <c r="CH115" s="1636">
        <v>0</v>
      </c>
      <c r="CI115" s="1636">
        <v>0</v>
      </c>
      <c r="CJ115" s="1636">
        <v>0</v>
      </c>
      <c r="CK115" s="1636">
        <v>0</v>
      </c>
      <c r="CL115" s="1636">
        <v>20.026732599999995</v>
      </c>
      <c r="CM115" s="1636">
        <v>23.28</v>
      </c>
      <c r="CN115" s="1636">
        <v>0</v>
      </c>
      <c r="CO115" s="1636">
        <v>-1.8247953999999991</v>
      </c>
      <c r="CP115" s="1636">
        <v>0</v>
      </c>
      <c r="CQ115" s="1636">
        <v>0</v>
      </c>
      <c r="CR115" s="1636">
        <v>0</v>
      </c>
      <c r="CS115" s="1636">
        <v>0</v>
      </c>
      <c r="CT115" s="1636">
        <v>21.652248115789206</v>
      </c>
      <c r="CU115" s="1636">
        <v>1.2204197534285715</v>
      </c>
      <c r="CV115" s="1636">
        <v>0</v>
      </c>
      <c r="CW115" s="1636">
        <v>0</v>
      </c>
      <c r="CX115" s="1636">
        <v>0</v>
      </c>
      <c r="CY115" s="1636">
        <v>0</v>
      </c>
      <c r="CZ115" s="1636">
        <v>0</v>
      </c>
      <c r="DA115" s="1636">
        <v>51.739539271814301</v>
      </c>
      <c r="DB115" s="1636">
        <v>6.441552213858226E-2</v>
      </c>
      <c r="DC115" s="1636">
        <v>0.93090033050516818</v>
      </c>
      <c r="DD115" s="1636">
        <v>0</v>
      </c>
      <c r="DE115" s="1636">
        <v>-6.9140653412492146</v>
      </c>
      <c r="DF115" s="1636">
        <v>0</v>
      </c>
      <c r="DG115" s="1636">
        <v>0</v>
      </c>
      <c r="DH115" s="1636">
        <v>0</v>
      </c>
      <c r="DI115" s="1636">
        <v>0</v>
      </c>
      <c r="DJ115" s="1636">
        <v>0</v>
      </c>
      <c r="DK115" s="1636">
        <v>0</v>
      </c>
      <c r="DL115" s="1636">
        <v>0</v>
      </c>
      <c r="DN115" s="1562">
        <v>665.55611934635658</v>
      </c>
    </row>
    <row r="116" spans="2:118" s="14" customFormat="1" x14ac:dyDescent="0.2">
      <c r="C116" s="1429"/>
      <c r="D116" s="1430"/>
      <c r="E116" s="1430"/>
      <c r="G116" s="1637"/>
      <c r="H116" s="1637"/>
      <c r="I116" s="1637"/>
      <c r="J116" s="1637"/>
      <c r="K116" s="1637"/>
      <c r="L116" s="1637"/>
      <c r="M116" s="1637"/>
      <c r="N116" s="1637"/>
      <c r="O116" s="1638"/>
      <c r="P116" s="1637"/>
      <c r="Q116" s="1637"/>
      <c r="R116" s="1637"/>
      <c r="S116" s="1637"/>
      <c r="T116" s="1637"/>
      <c r="U116" s="1637"/>
      <c r="V116" s="1637"/>
      <c r="W116" s="1637"/>
      <c r="Y116" s="1639"/>
      <c r="Z116" s="1639"/>
      <c r="AA116" s="1639"/>
      <c r="AB116" s="1639"/>
      <c r="AC116" s="1639"/>
      <c r="AD116" s="1639"/>
      <c r="AE116" s="1639"/>
      <c r="AF116" s="1639"/>
      <c r="AG116" s="1639"/>
      <c r="AH116" s="1639"/>
      <c r="AI116" s="1639"/>
      <c r="AJ116" s="1639"/>
      <c r="AK116" s="1639"/>
      <c r="AL116" s="1639"/>
      <c r="AM116" s="1639"/>
      <c r="AN116" s="1639"/>
      <c r="AO116" s="1639"/>
      <c r="AP116" s="1639"/>
      <c r="AQ116" s="1639"/>
      <c r="AS116" s="1640"/>
      <c r="AT116" s="1640"/>
      <c r="AU116" s="1640"/>
      <c r="AV116" s="1640"/>
      <c r="AW116" s="1640"/>
      <c r="AX116" s="1640"/>
      <c r="AY116" s="1640"/>
      <c r="AZ116" s="1640"/>
      <c r="BA116" s="1640"/>
      <c r="BB116" s="1640"/>
      <c r="BC116" s="1640"/>
      <c r="BD116" s="1640"/>
      <c r="BE116" s="1640"/>
      <c r="BF116" s="1640"/>
      <c r="BG116" s="1640"/>
      <c r="BH116" s="1640"/>
      <c r="BI116" s="1640"/>
      <c r="BJ116" s="1640"/>
      <c r="BK116" s="1640"/>
      <c r="BL116" s="1640"/>
      <c r="BN116" s="1641"/>
      <c r="BO116" s="1641"/>
      <c r="BP116" s="1641"/>
      <c r="BR116" s="1957"/>
      <c r="BS116" s="1493"/>
      <c r="BU116" s="1642"/>
      <c r="BV116" s="1642"/>
      <c r="BW116" s="1642"/>
      <c r="BX116" s="1642"/>
      <c r="BY116" s="1642"/>
      <c r="BZ116" s="1642"/>
      <c r="CA116" s="1642"/>
      <c r="CB116" s="1642"/>
      <c r="CC116" s="1642"/>
      <c r="CD116" s="1642"/>
      <c r="CE116" s="1642"/>
      <c r="CF116" s="1642"/>
      <c r="CG116" s="1642"/>
      <c r="CH116" s="1642"/>
      <c r="CI116" s="1642"/>
      <c r="CJ116" s="1642"/>
      <c r="CK116" s="1642"/>
      <c r="CL116" s="1642"/>
      <c r="CM116" s="1642"/>
      <c r="CN116" s="1642"/>
      <c r="CO116" s="1642"/>
      <c r="CP116" s="1642"/>
      <c r="CQ116" s="1642"/>
      <c r="CR116" s="1642"/>
      <c r="CS116" s="1642"/>
      <c r="CT116" s="1642"/>
      <c r="CU116" s="1642"/>
      <c r="CV116" s="1642"/>
      <c r="CW116" s="1642"/>
      <c r="CX116" s="1642"/>
      <c r="CY116" s="1642"/>
      <c r="CZ116" s="1642"/>
      <c r="DA116" s="1642"/>
      <c r="DB116" s="1642"/>
      <c r="DC116" s="1642"/>
      <c r="DD116" s="1642"/>
      <c r="DE116" s="1642"/>
      <c r="DF116" s="1642"/>
      <c r="DG116" s="1642"/>
      <c r="DH116" s="1642"/>
      <c r="DI116" s="1642"/>
      <c r="DJ116" s="1642"/>
      <c r="DK116" s="1642"/>
      <c r="DL116" s="1642"/>
    </row>
    <row r="117" spans="2:118" x14ac:dyDescent="0.2">
      <c r="G117" s="1493"/>
      <c r="H117" s="1493"/>
      <c r="I117" s="1493"/>
      <c r="J117" s="1493"/>
      <c r="K117" s="1493"/>
      <c r="L117" s="1493"/>
      <c r="M117" s="1493"/>
      <c r="N117" s="1493"/>
      <c r="O117" s="1643"/>
      <c r="P117" s="1493"/>
      <c r="Q117" s="1493"/>
      <c r="R117" s="1493"/>
      <c r="S117" s="1493"/>
      <c r="T117" s="1493"/>
      <c r="U117" s="1493"/>
      <c r="V117" s="1493"/>
      <c r="W117" s="1493"/>
      <c r="Y117" s="1493"/>
      <c r="Z117" s="1493"/>
      <c r="AA117" s="1493"/>
      <c r="AB117" s="1493"/>
      <c r="AC117" s="1493"/>
      <c r="AD117" s="1493"/>
      <c r="AE117" s="1493"/>
      <c r="AF117" s="1493"/>
      <c r="AG117" s="1493"/>
      <c r="AH117" s="1493"/>
      <c r="AI117" s="1493"/>
      <c r="AJ117" s="1493"/>
      <c r="AK117" s="1493"/>
      <c r="AL117" s="1493"/>
      <c r="AM117" s="1493"/>
      <c r="AN117" s="1493"/>
      <c r="AO117" s="1493"/>
      <c r="AP117" s="1493"/>
      <c r="AQ117" s="1493"/>
      <c r="AS117" s="1493"/>
      <c r="AT117" s="1493"/>
      <c r="AU117" s="1493"/>
      <c r="AV117" s="1493"/>
      <c r="AW117" s="1493"/>
      <c r="AX117" s="1493"/>
      <c r="AY117" s="1493"/>
      <c r="AZ117" s="1493"/>
      <c r="BA117" s="1493"/>
      <c r="BB117" s="1493"/>
      <c r="BC117" s="1493"/>
      <c r="BD117" s="1493"/>
      <c r="BE117" s="1493"/>
      <c r="BF117" s="1493"/>
      <c r="BG117" s="1493"/>
      <c r="BH117" s="1493"/>
      <c r="BI117" s="1493"/>
      <c r="BJ117" s="1493"/>
      <c r="BK117" s="1493"/>
      <c r="BL117" s="1493"/>
      <c r="BN117" s="1493"/>
      <c r="BO117" s="1493"/>
      <c r="BP117" s="1493"/>
      <c r="BR117" s="1957"/>
      <c r="BS117" s="1493"/>
    </row>
    <row r="118" spans="2:118" x14ac:dyDescent="0.2">
      <c r="G118" s="1493"/>
      <c r="H118" s="1493"/>
      <c r="I118" s="1493"/>
      <c r="J118" s="1493"/>
      <c r="K118" s="1493"/>
      <c r="L118" s="1493"/>
      <c r="M118" s="1493"/>
      <c r="N118" s="1493"/>
      <c r="O118" s="1643"/>
      <c r="P118" s="1493"/>
      <c r="Q118" s="1493"/>
      <c r="R118" s="1493"/>
      <c r="S118" s="1493"/>
      <c r="T118" s="1493"/>
      <c r="U118" s="1493"/>
      <c r="V118" s="1493"/>
      <c r="W118" s="1493"/>
      <c r="Y118" s="1493"/>
      <c r="Z118" s="1493"/>
      <c r="AA118" s="1493"/>
      <c r="AB118" s="1493"/>
      <c r="AC118" s="1493"/>
      <c r="AD118" s="1493"/>
      <c r="AE118" s="1493"/>
      <c r="AF118" s="1493"/>
      <c r="AG118" s="1493"/>
      <c r="AH118" s="1493"/>
      <c r="AI118" s="1493"/>
      <c r="AJ118" s="1493"/>
      <c r="AK118" s="1493"/>
      <c r="AL118" s="1493"/>
      <c r="AM118" s="1493"/>
      <c r="AN118" s="1493"/>
      <c r="AO118" s="1493"/>
      <c r="AP118" s="1493"/>
      <c r="AQ118" s="1493"/>
      <c r="AS118" s="1493"/>
      <c r="AT118" s="1493"/>
      <c r="AU118" s="1493"/>
      <c r="AV118" s="1493"/>
      <c r="AW118" s="1493"/>
      <c r="AX118" s="1493"/>
      <c r="AY118" s="1493"/>
      <c r="AZ118" s="1493"/>
      <c r="BA118" s="1493"/>
      <c r="BB118" s="1493"/>
      <c r="BC118" s="1493"/>
      <c r="BD118" s="1493"/>
      <c r="BE118" s="1493"/>
      <c r="BF118" s="1493"/>
      <c r="BG118" s="1493"/>
      <c r="BH118" s="1493"/>
      <c r="BI118" s="1493"/>
      <c r="BJ118" s="1493"/>
      <c r="BK118" s="1493"/>
      <c r="BL118" s="1493"/>
      <c r="BN118" s="1493"/>
      <c r="BO118" s="1493"/>
      <c r="BP118" s="1493"/>
      <c r="BR118" s="1957"/>
      <c r="BS118" s="1493"/>
    </row>
    <row r="119" spans="2:118" ht="15.75" x14ac:dyDescent="0.25">
      <c r="B119" s="456"/>
      <c r="G119" s="1493"/>
      <c r="H119" s="1493"/>
      <c r="I119" s="1493"/>
      <c r="J119" s="1493"/>
      <c r="K119" s="1493"/>
      <c r="L119" s="1493"/>
      <c r="M119" s="1493"/>
      <c r="N119" s="1493"/>
      <c r="O119" s="1643"/>
      <c r="P119" s="1493"/>
      <c r="Q119" s="1493"/>
      <c r="R119" s="1493"/>
      <c r="S119" s="1493"/>
      <c r="T119" s="1493"/>
      <c r="U119" s="1493"/>
      <c r="V119" s="1493"/>
      <c r="W119" s="1493"/>
      <c r="Y119" s="1493"/>
      <c r="Z119" s="1493"/>
      <c r="AA119" s="1493"/>
      <c r="AB119" s="1493"/>
      <c r="AC119" s="1493"/>
      <c r="AD119" s="1493"/>
      <c r="AE119" s="1493"/>
      <c r="AF119" s="1493"/>
      <c r="AG119" s="1493"/>
      <c r="AH119" s="1493"/>
      <c r="AI119" s="1493"/>
      <c r="AJ119" s="1493"/>
      <c r="AK119" s="1493"/>
      <c r="AL119" s="1493"/>
      <c r="AM119" s="1493"/>
      <c r="AN119" s="1493"/>
      <c r="AO119" s="1493"/>
      <c r="AP119" s="1493"/>
      <c r="AQ119" s="1493"/>
      <c r="AS119" s="1493"/>
      <c r="AT119" s="1493"/>
      <c r="AU119" s="1493"/>
      <c r="AV119" s="1493"/>
      <c r="AW119" s="1493"/>
      <c r="AX119" s="1493"/>
      <c r="AY119" s="1493"/>
      <c r="AZ119" s="1493"/>
      <c r="BA119" s="1493"/>
      <c r="BB119" s="1493"/>
      <c r="BC119" s="1493"/>
      <c r="BD119" s="1493"/>
      <c r="BE119" s="1493"/>
      <c r="BF119" s="1493"/>
      <c r="BG119" s="1493"/>
      <c r="BH119" s="1493"/>
      <c r="BI119" s="1493"/>
      <c r="BJ119" s="1493"/>
      <c r="BK119" s="1493"/>
      <c r="BL119" s="1493"/>
      <c r="BN119" s="1493"/>
      <c r="BO119" s="1493"/>
      <c r="BP119" s="1493"/>
      <c r="BR119" s="1957"/>
      <c r="BS119" s="1493"/>
    </row>
    <row r="120" spans="2:118" ht="15.75" x14ac:dyDescent="0.25">
      <c r="B120" s="456"/>
      <c r="G120" s="1493"/>
      <c r="H120" s="1493"/>
      <c r="I120" s="1493"/>
      <c r="J120" s="1493"/>
      <c r="K120" s="1493"/>
      <c r="L120" s="1493"/>
      <c r="M120" s="1493"/>
      <c r="N120" s="1493"/>
      <c r="O120" s="1643"/>
      <c r="P120" s="1493"/>
      <c r="Q120" s="1493"/>
      <c r="R120" s="1493"/>
      <c r="S120" s="1493"/>
      <c r="T120" s="1493"/>
      <c r="U120" s="1493"/>
      <c r="V120" s="1493"/>
      <c r="W120" s="1493"/>
      <c r="Y120" s="1493"/>
      <c r="Z120" s="1493"/>
      <c r="AA120" s="1493"/>
      <c r="AB120" s="1493"/>
      <c r="AC120" s="1493"/>
      <c r="AD120" s="1493"/>
      <c r="AE120" s="1493"/>
      <c r="AF120" s="1493"/>
      <c r="AG120" s="1493"/>
      <c r="AH120" s="1493"/>
      <c r="AI120" s="1493"/>
      <c r="AJ120" s="1493"/>
      <c r="AK120" s="1493"/>
      <c r="AL120" s="1493"/>
      <c r="AM120" s="1493"/>
      <c r="AN120" s="1493"/>
      <c r="AO120" s="1493"/>
      <c r="AP120" s="1493"/>
      <c r="AQ120" s="1493"/>
      <c r="AS120" s="1493"/>
      <c r="AT120" s="1493"/>
      <c r="AU120" s="1493"/>
      <c r="AV120" s="1493"/>
      <c r="AW120" s="1493"/>
      <c r="AX120" s="1493"/>
      <c r="AY120" s="1493"/>
      <c r="AZ120" s="1493"/>
      <c r="BA120" s="1493"/>
      <c r="BB120" s="1493"/>
      <c r="BC120" s="1493"/>
      <c r="BD120" s="1493"/>
      <c r="BE120" s="1493"/>
      <c r="BF120" s="1493"/>
      <c r="BG120" s="1493"/>
      <c r="BH120" s="1493"/>
      <c r="BI120" s="1493"/>
      <c r="BJ120" s="1493"/>
      <c r="BK120" s="1493"/>
      <c r="BL120" s="1493"/>
      <c r="BN120" s="1493"/>
      <c r="BO120" s="1493"/>
      <c r="BP120" s="1493"/>
      <c r="BR120" s="1957"/>
      <c r="BS120" s="1493"/>
    </row>
    <row r="121" spans="2:118" ht="15.75" x14ac:dyDescent="0.25">
      <c r="B121" s="456"/>
      <c r="G121" s="1493"/>
      <c r="H121" s="1493"/>
      <c r="I121" s="1493"/>
      <c r="J121" s="1493"/>
      <c r="K121" s="1493"/>
      <c r="L121" s="1493"/>
      <c r="M121" s="1493"/>
      <c r="N121" s="1493"/>
      <c r="O121" s="1643"/>
      <c r="P121" s="1493"/>
      <c r="Q121" s="1493"/>
      <c r="R121" s="1493"/>
      <c r="S121" s="1493"/>
      <c r="T121" s="1493"/>
      <c r="U121" s="1493"/>
      <c r="V121" s="1493"/>
      <c r="W121" s="1493"/>
      <c r="Y121" s="1493"/>
      <c r="Z121" s="1493"/>
      <c r="AA121" s="1493"/>
      <c r="AB121" s="1493"/>
      <c r="AC121" s="1493"/>
      <c r="AD121" s="1493"/>
      <c r="AE121" s="1493"/>
      <c r="AF121" s="1493"/>
      <c r="AG121" s="1493"/>
      <c r="AH121" s="1493"/>
      <c r="AI121" s="1493"/>
      <c r="AJ121" s="1493"/>
      <c r="AK121" s="1493"/>
      <c r="AL121" s="1493"/>
      <c r="AM121" s="1493"/>
      <c r="AN121" s="1493"/>
      <c r="AO121" s="1493"/>
      <c r="AP121" s="1493"/>
      <c r="AQ121" s="1493"/>
      <c r="AS121" s="1493"/>
      <c r="AT121" s="1493"/>
      <c r="AU121" s="1493"/>
      <c r="AV121" s="1493"/>
      <c r="AW121" s="1493"/>
      <c r="AX121" s="1493"/>
      <c r="AY121" s="1493"/>
      <c r="AZ121" s="1493"/>
      <c r="BA121" s="1493"/>
      <c r="BB121" s="1493"/>
      <c r="BC121" s="1493"/>
      <c r="BD121" s="1493"/>
      <c r="BE121" s="1493"/>
      <c r="BF121" s="1493"/>
      <c r="BG121" s="1493"/>
      <c r="BH121" s="1493"/>
      <c r="BI121" s="1493"/>
      <c r="BJ121" s="1493"/>
      <c r="BK121" s="1493"/>
      <c r="BL121" s="1493"/>
      <c r="BN121" s="1493"/>
      <c r="BO121" s="1493"/>
      <c r="BP121" s="1493"/>
      <c r="BR121" s="1957"/>
      <c r="BS121" s="1493"/>
    </row>
    <row r="122" spans="2:118" ht="15.75" x14ac:dyDescent="0.25">
      <c r="B122" s="456"/>
      <c r="G122" s="1493"/>
      <c r="H122" s="1493"/>
      <c r="I122" s="1493"/>
      <c r="J122" s="1493"/>
      <c r="K122" s="1493"/>
      <c r="L122" s="1493"/>
      <c r="M122" s="1493"/>
      <c r="N122" s="1493"/>
      <c r="O122" s="1643"/>
      <c r="P122" s="1493"/>
      <c r="Q122" s="1493"/>
      <c r="R122" s="1493"/>
      <c r="S122" s="1493"/>
      <c r="T122" s="1493"/>
      <c r="U122" s="1493"/>
      <c r="V122" s="1493"/>
      <c r="W122" s="1493"/>
      <c r="Y122" s="1493"/>
      <c r="Z122" s="1493"/>
      <c r="AA122" s="1493"/>
      <c r="AB122" s="1493"/>
      <c r="AC122" s="1493"/>
      <c r="AD122" s="1493"/>
      <c r="AE122" s="1493"/>
      <c r="AF122" s="1493"/>
      <c r="AG122" s="1493"/>
      <c r="AH122" s="1493"/>
      <c r="AI122" s="1493"/>
      <c r="AJ122" s="1493"/>
      <c r="AK122" s="1493"/>
      <c r="AL122" s="1493"/>
      <c r="AM122" s="1493"/>
      <c r="AN122" s="1493"/>
      <c r="AO122" s="1493"/>
      <c r="AP122" s="1493"/>
      <c r="AQ122" s="1493"/>
      <c r="AS122" s="1493"/>
      <c r="AT122" s="1493"/>
      <c r="AU122" s="1493"/>
      <c r="AV122" s="1493"/>
      <c r="AW122" s="1493"/>
      <c r="AX122" s="1493"/>
      <c r="AY122" s="1493"/>
      <c r="AZ122" s="1493"/>
      <c r="BA122" s="1493"/>
      <c r="BB122" s="1493"/>
      <c r="BC122" s="1493"/>
      <c r="BD122" s="1493"/>
      <c r="BE122" s="1493"/>
      <c r="BF122" s="1493"/>
      <c r="BG122" s="1493"/>
      <c r="BH122" s="1493"/>
      <c r="BI122" s="1493"/>
      <c r="BJ122" s="1493"/>
      <c r="BK122" s="1493"/>
      <c r="BL122" s="1493"/>
      <c r="BN122" s="1493"/>
      <c r="BO122" s="1493"/>
      <c r="BP122" s="1493"/>
      <c r="BR122" s="1957"/>
      <c r="BS122" s="1493"/>
    </row>
    <row r="123" spans="2:118" ht="15.75" x14ac:dyDescent="0.25">
      <c r="B123" s="456"/>
      <c r="G123" s="1493"/>
      <c r="H123" s="1493"/>
      <c r="I123" s="1493"/>
      <c r="J123" s="1493"/>
      <c r="K123" s="1493"/>
      <c r="L123" s="1493"/>
      <c r="M123" s="1493"/>
      <c r="N123" s="1493"/>
      <c r="O123" s="1643"/>
      <c r="P123" s="1493"/>
      <c r="Q123" s="1493"/>
      <c r="R123" s="1493"/>
      <c r="S123" s="1493"/>
      <c r="T123" s="1493"/>
      <c r="U123" s="1493"/>
      <c r="V123" s="1493"/>
      <c r="W123" s="1493"/>
      <c r="Y123" s="1493"/>
      <c r="Z123" s="1493"/>
      <c r="AA123" s="1493"/>
      <c r="AB123" s="1493"/>
      <c r="AC123" s="1493"/>
      <c r="AD123" s="1493"/>
      <c r="AE123" s="1493"/>
      <c r="AF123" s="1493"/>
      <c r="AG123" s="1493"/>
      <c r="AH123" s="1493"/>
      <c r="AI123" s="1493"/>
      <c r="AJ123" s="1493"/>
      <c r="AK123" s="1493"/>
      <c r="AL123" s="1493"/>
      <c r="AM123" s="1493"/>
      <c r="AN123" s="1493"/>
      <c r="AO123" s="1493"/>
      <c r="AP123" s="1493"/>
      <c r="AQ123" s="1493"/>
      <c r="AS123" s="1493"/>
      <c r="AT123" s="1493"/>
      <c r="AU123" s="1493"/>
      <c r="AV123" s="1493"/>
      <c r="AW123" s="1493"/>
      <c r="AX123" s="1493"/>
      <c r="AY123" s="1493"/>
      <c r="AZ123" s="1493"/>
      <c r="BA123" s="1493"/>
      <c r="BB123" s="1493"/>
      <c r="BC123" s="1493"/>
      <c r="BD123" s="1493"/>
      <c r="BE123" s="1493"/>
      <c r="BF123" s="1493"/>
      <c r="BG123" s="1493"/>
      <c r="BH123" s="1493"/>
      <c r="BI123" s="1493"/>
      <c r="BJ123" s="1493"/>
      <c r="BK123" s="1493"/>
      <c r="BL123" s="1493"/>
      <c r="BN123" s="1493"/>
      <c r="BO123" s="1493"/>
      <c r="BP123" s="1493"/>
      <c r="BR123" s="1957"/>
      <c r="BS123" s="1493"/>
    </row>
    <row r="124" spans="2:118" ht="15.75" x14ac:dyDescent="0.25">
      <c r="B124" s="456"/>
      <c r="G124" s="1493"/>
      <c r="H124" s="1493"/>
      <c r="I124" s="1493"/>
      <c r="J124" s="1493"/>
      <c r="K124" s="1493"/>
      <c r="L124" s="1493"/>
      <c r="M124" s="1493"/>
      <c r="N124" s="1493"/>
      <c r="O124" s="1643"/>
      <c r="P124" s="1493"/>
      <c r="Q124" s="1493"/>
      <c r="R124" s="1493"/>
      <c r="S124" s="1493"/>
      <c r="T124" s="1493"/>
      <c r="U124" s="1493"/>
      <c r="V124" s="1493"/>
      <c r="W124" s="1493"/>
      <c r="Y124" s="1493"/>
      <c r="Z124" s="1493"/>
      <c r="AA124" s="1493"/>
      <c r="AB124" s="1493"/>
      <c r="AC124" s="1493"/>
      <c r="AD124" s="1493"/>
      <c r="AE124" s="1493"/>
      <c r="AF124" s="1493"/>
      <c r="AG124" s="1493"/>
      <c r="AH124" s="1493"/>
      <c r="AI124" s="1493"/>
      <c r="AJ124" s="1493"/>
      <c r="AK124" s="1493"/>
      <c r="AL124" s="1493"/>
      <c r="AM124" s="1493"/>
      <c r="AN124" s="1493"/>
      <c r="AO124" s="1493"/>
      <c r="AP124" s="1493"/>
      <c r="AQ124" s="1493"/>
      <c r="AS124" s="1493"/>
      <c r="AT124" s="1493"/>
      <c r="AU124" s="1493"/>
      <c r="AV124" s="1493"/>
      <c r="AW124" s="1493"/>
      <c r="AX124" s="1493"/>
      <c r="AY124" s="1493"/>
      <c r="AZ124" s="1493"/>
      <c r="BA124" s="1493"/>
      <c r="BB124" s="1493"/>
      <c r="BC124" s="1493"/>
      <c r="BD124" s="1493"/>
      <c r="BE124" s="1493"/>
      <c r="BF124" s="1493"/>
      <c r="BG124" s="1493"/>
      <c r="BH124" s="1493"/>
      <c r="BI124" s="1493"/>
      <c r="BJ124" s="1493"/>
      <c r="BK124" s="1493"/>
      <c r="BL124" s="1493"/>
      <c r="BN124" s="1493"/>
      <c r="BO124" s="1493"/>
      <c r="BP124" s="1493"/>
      <c r="BR124" s="1957"/>
      <c r="BS124" s="1493"/>
    </row>
    <row r="125" spans="2:118" x14ac:dyDescent="0.2">
      <c r="G125" s="1493"/>
      <c r="H125" s="1493"/>
      <c r="I125" s="1493"/>
      <c r="J125" s="1493"/>
      <c r="K125" s="1493"/>
      <c r="L125" s="1493"/>
      <c r="M125" s="1493"/>
      <c r="N125" s="1493"/>
      <c r="O125" s="1643"/>
      <c r="P125" s="1493"/>
      <c r="Q125" s="1493"/>
      <c r="R125" s="1493"/>
      <c r="S125" s="1493"/>
      <c r="T125" s="1493"/>
      <c r="U125" s="1493"/>
      <c r="V125" s="1493"/>
      <c r="W125" s="1493"/>
      <c r="Y125" s="1493"/>
      <c r="Z125" s="1493"/>
      <c r="AA125" s="1493"/>
      <c r="AB125" s="1493"/>
      <c r="AC125" s="1493"/>
      <c r="AD125" s="1493"/>
      <c r="AE125" s="1493"/>
      <c r="AF125" s="1493"/>
      <c r="AG125" s="1493"/>
      <c r="AH125" s="1493"/>
      <c r="AI125" s="1493"/>
      <c r="AJ125" s="1493"/>
      <c r="AK125" s="1493"/>
      <c r="AL125" s="1493"/>
      <c r="AM125" s="1493"/>
      <c r="AN125" s="1493"/>
      <c r="AO125" s="1493"/>
      <c r="AP125" s="1493"/>
      <c r="AQ125" s="1493"/>
      <c r="AS125" s="1493"/>
      <c r="AT125" s="1493"/>
      <c r="AU125" s="1493"/>
      <c r="AV125" s="1493"/>
      <c r="AW125" s="1493"/>
      <c r="AX125" s="1493"/>
      <c r="AY125" s="1493"/>
      <c r="AZ125" s="1493"/>
      <c r="BA125" s="1493"/>
      <c r="BB125" s="1493"/>
      <c r="BC125" s="1493"/>
      <c r="BD125" s="1493"/>
      <c r="BE125" s="1493"/>
      <c r="BF125" s="1493"/>
      <c r="BG125" s="1493"/>
      <c r="BH125" s="1493"/>
      <c r="BI125" s="1493"/>
      <c r="BJ125" s="1493"/>
      <c r="BK125" s="1493"/>
      <c r="BL125" s="1493"/>
      <c r="BN125" s="1493"/>
      <c r="BO125" s="1493"/>
      <c r="BP125" s="1493"/>
      <c r="BR125" s="1957"/>
      <c r="BS125" s="1493"/>
    </row>
    <row r="126" spans="2:118" ht="24" customHeight="1" x14ac:dyDescent="0.2">
      <c r="G126" s="1493"/>
      <c r="H126" s="1493"/>
      <c r="I126" s="1493"/>
      <c r="J126" s="1493"/>
      <c r="K126" s="1493"/>
      <c r="L126" s="1493"/>
      <c r="M126" s="1493"/>
      <c r="N126" s="1493"/>
      <c r="O126" s="1643"/>
      <c r="P126" s="1493"/>
      <c r="Q126" s="1493"/>
      <c r="R126" s="1493"/>
      <c r="S126" s="1493"/>
      <c r="T126" s="1493"/>
      <c r="U126" s="1493"/>
      <c r="V126" s="1493"/>
      <c r="W126" s="1493"/>
      <c r="Y126" s="1493"/>
      <c r="Z126" s="1493"/>
      <c r="AA126" s="1493"/>
      <c r="AB126" s="1493"/>
      <c r="AC126" s="1493"/>
      <c r="AD126" s="1493"/>
      <c r="AE126" s="1493"/>
      <c r="AF126" s="1493"/>
      <c r="AG126" s="1493"/>
      <c r="AH126" s="1493"/>
      <c r="AI126" s="1493"/>
      <c r="AJ126" s="1493"/>
      <c r="AK126" s="1493"/>
      <c r="AL126" s="1493"/>
      <c r="AM126" s="1493"/>
      <c r="AN126" s="1493"/>
      <c r="AO126" s="1493"/>
      <c r="AP126" s="1493"/>
      <c r="AQ126" s="1493"/>
      <c r="AS126" s="1493"/>
      <c r="AT126" s="1493"/>
      <c r="AU126" s="1493"/>
      <c r="AV126" s="1493"/>
      <c r="AW126" s="1493"/>
      <c r="AX126" s="1493"/>
      <c r="AY126" s="1493"/>
      <c r="AZ126" s="1493"/>
      <c r="BA126" s="1493"/>
      <c r="BB126" s="1493"/>
      <c r="BC126" s="1493"/>
      <c r="BD126" s="1493"/>
      <c r="BE126" s="1493"/>
      <c r="BF126" s="1493"/>
      <c r="BG126" s="1493"/>
      <c r="BH126" s="1493"/>
      <c r="BI126" s="1493"/>
      <c r="BJ126" s="1493"/>
      <c r="BK126" s="1493"/>
      <c r="BL126" s="1493"/>
      <c r="BN126" s="1493"/>
      <c r="BO126" s="1493"/>
      <c r="BP126" s="1493"/>
      <c r="BR126" s="1957"/>
      <c r="BS126" s="1493"/>
    </row>
    <row r="127" spans="2:118" x14ac:dyDescent="0.2">
      <c r="G127" s="1493"/>
      <c r="H127" s="1493"/>
      <c r="I127" s="1493"/>
      <c r="J127" s="1493"/>
      <c r="K127" s="1493"/>
      <c r="L127" s="1493"/>
      <c r="M127" s="1493"/>
      <c r="N127" s="1493"/>
      <c r="O127" s="1643"/>
      <c r="P127" s="1493"/>
      <c r="Q127" s="1493"/>
      <c r="R127" s="1493"/>
      <c r="S127" s="1493"/>
      <c r="T127" s="1493"/>
      <c r="U127" s="1493"/>
      <c r="V127" s="1493"/>
      <c r="W127" s="1493"/>
      <c r="Y127" s="1493"/>
      <c r="Z127" s="1493"/>
      <c r="AA127" s="1493"/>
      <c r="AB127" s="1493"/>
      <c r="AC127" s="1493"/>
      <c r="AD127" s="1493"/>
      <c r="AE127" s="1493"/>
      <c r="AF127" s="1493"/>
      <c r="AG127" s="1493"/>
      <c r="AH127" s="1493"/>
      <c r="AI127" s="1493"/>
      <c r="AJ127" s="1493"/>
      <c r="AK127" s="1493"/>
      <c r="AL127" s="1493"/>
      <c r="AM127" s="1493"/>
      <c r="AN127" s="1493"/>
      <c r="AO127" s="1493"/>
      <c r="AP127" s="1493"/>
      <c r="AQ127" s="1493"/>
      <c r="AS127" s="1493"/>
      <c r="AT127" s="1493"/>
      <c r="AU127" s="1493"/>
      <c r="AV127" s="1493"/>
      <c r="AW127" s="1493"/>
      <c r="AX127" s="1493"/>
      <c r="AY127" s="1493"/>
      <c r="AZ127" s="1493"/>
      <c r="BA127" s="1493"/>
      <c r="BB127" s="1493"/>
      <c r="BC127" s="1493"/>
      <c r="BD127" s="1493"/>
      <c r="BE127" s="1493"/>
      <c r="BF127" s="1493"/>
      <c r="BG127" s="1493"/>
      <c r="BH127" s="1493"/>
      <c r="BI127" s="1493"/>
      <c r="BJ127" s="1493"/>
      <c r="BK127" s="1493"/>
      <c r="BL127" s="1493"/>
      <c r="BN127" s="1493"/>
      <c r="BO127" s="1493"/>
      <c r="BP127" s="1493"/>
      <c r="BR127" s="1957"/>
      <c r="BS127" s="1493"/>
    </row>
    <row r="128" spans="2:118" x14ac:dyDescent="0.2">
      <c r="C128" s="1580"/>
      <c r="D128" s="746"/>
      <c r="G128" s="1493"/>
      <c r="H128" s="1493"/>
      <c r="I128" s="1493"/>
      <c r="J128" s="1493"/>
      <c r="K128" s="1493"/>
      <c r="L128" s="1493"/>
      <c r="M128" s="1493"/>
      <c r="N128" s="1493"/>
      <c r="O128" s="1643"/>
      <c r="P128" s="1493"/>
      <c r="Q128" s="1493"/>
      <c r="R128" s="1493"/>
      <c r="S128" s="1493"/>
      <c r="T128" s="1493"/>
      <c r="U128" s="1493"/>
      <c r="V128" s="1493"/>
      <c r="W128" s="1493"/>
      <c r="Y128" s="1493"/>
      <c r="Z128" s="1493"/>
      <c r="AA128" s="1493"/>
      <c r="AB128" s="1493"/>
      <c r="AC128" s="1493"/>
      <c r="AD128" s="1493"/>
      <c r="AE128" s="1493"/>
      <c r="AF128" s="1493"/>
      <c r="AG128" s="1493"/>
      <c r="AH128" s="1493"/>
      <c r="AI128" s="1493"/>
      <c r="AJ128" s="1493"/>
      <c r="AK128" s="1493"/>
      <c r="AL128" s="1493"/>
      <c r="AM128" s="1493"/>
      <c r="AN128" s="1493"/>
      <c r="AO128" s="1493"/>
      <c r="AP128" s="1493"/>
      <c r="AQ128" s="1493"/>
      <c r="AS128" s="1493"/>
      <c r="AT128" s="1493"/>
      <c r="AU128" s="1493"/>
      <c r="AV128" s="1493"/>
      <c r="AW128" s="1493"/>
      <c r="AX128" s="1493"/>
      <c r="AY128" s="1493"/>
      <c r="AZ128" s="1493"/>
      <c r="BA128" s="1493"/>
      <c r="BB128" s="1493"/>
      <c r="BC128" s="1493"/>
      <c r="BD128" s="1493"/>
      <c r="BE128" s="1493"/>
      <c r="BF128" s="1493"/>
      <c r="BG128" s="1493"/>
      <c r="BH128" s="1493"/>
      <c r="BI128" s="1493"/>
      <c r="BJ128" s="1493"/>
      <c r="BK128" s="1493"/>
      <c r="BL128" s="1493"/>
      <c r="BN128" s="1493"/>
      <c r="BO128" s="1493"/>
      <c r="BP128" s="1493"/>
      <c r="BR128" s="1957"/>
      <c r="BS128" s="1493"/>
    </row>
    <row r="129" spans="7:71" x14ac:dyDescent="0.2">
      <c r="G129" s="1493"/>
      <c r="H129" s="1493"/>
      <c r="I129" s="1493"/>
      <c r="J129" s="1493"/>
      <c r="K129" s="1493"/>
      <c r="L129" s="1493"/>
      <c r="M129" s="1493"/>
      <c r="N129" s="1493"/>
      <c r="O129" s="1643"/>
      <c r="P129" s="1493"/>
      <c r="Q129" s="1493"/>
      <c r="R129" s="1493"/>
      <c r="S129" s="1493"/>
      <c r="T129" s="1493"/>
      <c r="U129" s="1493"/>
      <c r="V129" s="1493"/>
      <c r="W129" s="1493"/>
      <c r="Y129" s="1493"/>
      <c r="Z129" s="1493"/>
      <c r="AA129" s="1493"/>
      <c r="AB129" s="1493"/>
      <c r="AC129" s="1493"/>
      <c r="AD129" s="1493"/>
      <c r="AE129" s="1493"/>
      <c r="AF129" s="1493"/>
      <c r="AG129" s="1493"/>
      <c r="AH129" s="1493"/>
      <c r="AI129" s="1493"/>
      <c r="AJ129" s="1493"/>
      <c r="AK129" s="1493"/>
      <c r="AL129" s="1493"/>
      <c r="AM129" s="1493"/>
      <c r="AN129" s="1493"/>
      <c r="AO129" s="1493"/>
      <c r="AP129" s="1493"/>
      <c r="AQ129" s="1493"/>
      <c r="AS129" s="1493"/>
      <c r="AT129" s="1493"/>
      <c r="AU129" s="1493"/>
      <c r="AV129" s="1493"/>
      <c r="AW129" s="1493"/>
      <c r="AX129" s="1493"/>
      <c r="AY129" s="1493"/>
      <c r="AZ129" s="1493"/>
      <c r="BA129" s="1493"/>
      <c r="BB129" s="1493"/>
      <c r="BC129" s="1493"/>
      <c r="BD129" s="1493"/>
      <c r="BE129" s="1493"/>
      <c r="BF129" s="1493"/>
      <c r="BG129" s="1493"/>
      <c r="BH129" s="1493"/>
      <c r="BI129" s="1493"/>
      <c r="BJ129" s="1493"/>
      <c r="BK129" s="1493"/>
      <c r="BL129" s="1493"/>
      <c r="BN129" s="1493"/>
      <c r="BO129" s="1493"/>
      <c r="BP129" s="1493"/>
      <c r="BR129" s="1957"/>
      <c r="BS129" s="1493"/>
    </row>
    <row r="130" spans="7:71" x14ac:dyDescent="0.2">
      <c r="G130" s="1493"/>
      <c r="H130" s="1493"/>
      <c r="I130" s="1493"/>
      <c r="J130" s="1493"/>
      <c r="K130" s="1493"/>
      <c r="L130" s="1493"/>
      <c r="M130" s="1493"/>
      <c r="N130" s="1493"/>
      <c r="O130" s="1643"/>
      <c r="P130" s="1493"/>
      <c r="Q130" s="1493"/>
      <c r="R130" s="1493"/>
      <c r="S130" s="1493"/>
      <c r="T130" s="1493"/>
      <c r="U130" s="1493"/>
      <c r="V130" s="1493"/>
      <c r="W130" s="1493"/>
      <c r="Y130" s="1493"/>
      <c r="Z130" s="1493"/>
      <c r="AA130" s="1493"/>
      <c r="AB130" s="1493"/>
      <c r="AC130" s="1493"/>
      <c r="AD130" s="1493"/>
      <c r="AE130" s="1493"/>
      <c r="AF130" s="1493"/>
      <c r="AG130" s="1493"/>
      <c r="AH130" s="1493"/>
      <c r="AI130" s="1493"/>
      <c r="AJ130" s="1493"/>
      <c r="AK130" s="1493"/>
      <c r="AL130" s="1493"/>
      <c r="AM130" s="1493"/>
      <c r="AN130" s="1493"/>
      <c r="AO130" s="1493"/>
      <c r="AP130" s="1493"/>
      <c r="AQ130" s="1493"/>
      <c r="AS130" s="1493"/>
      <c r="AT130" s="1493"/>
      <c r="AU130" s="1493"/>
      <c r="AV130" s="1493"/>
      <c r="AW130" s="1493"/>
      <c r="AX130" s="1493"/>
      <c r="AY130" s="1493"/>
      <c r="AZ130" s="1493"/>
      <c r="BA130" s="1493"/>
      <c r="BB130" s="1493"/>
      <c r="BC130" s="1493"/>
      <c r="BD130" s="1493"/>
      <c r="BE130" s="1493"/>
      <c r="BF130" s="1493"/>
      <c r="BG130" s="1493"/>
      <c r="BH130" s="1493"/>
      <c r="BI130" s="1493"/>
      <c r="BJ130" s="1493"/>
      <c r="BK130" s="1493"/>
      <c r="BL130" s="1493"/>
      <c r="BN130" s="1493"/>
      <c r="BO130" s="1493"/>
      <c r="BP130" s="1493"/>
      <c r="BR130" s="1957"/>
      <c r="BS130" s="1493"/>
    </row>
    <row r="131" spans="7:71" x14ac:dyDescent="0.2">
      <c r="G131" s="1493"/>
      <c r="H131" s="1493"/>
      <c r="I131" s="1493"/>
      <c r="J131" s="1493"/>
      <c r="K131" s="1493"/>
      <c r="L131" s="1493"/>
      <c r="M131" s="1493"/>
      <c r="N131" s="1493"/>
      <c r="O131" s="1643"/>
      <c r="P131" s="1493"/>
      <c r="Q131" s="1493"/>
      <c r="R131" s="1493"/>
      <c r="S131" s="1493"/>
      <c r="T131" s="1493"/>
      <c r="U131" s="1493"/>
      <c r="V131" s="1493"/>
      <c r="W131" s="1493"/>
      <c r="Y131" s="1493"/>
      <c r="Z131" s="1493"/>
      <c r="AA131" s="1493"/>
      <c r="AB131" s="1493"/>
      <c r="AC131" s="1493"/>
      <c r="AD131" s="1493"/>
      <c r="AE131" s="1493"/>
      <c r="AF131" s="1493"/>
      <c r="AG131" s="1493"/>
      <c r="AH131" s="1493"/>
      <c r="AI131" s="1493"/>
      <c r="AJ131" s="1493"/>
      <c r="AK131" s="1493"/>
      <c r="AL131" s="1493"/>
      <c r="AM131" s="1493"/>
      <c r="AN131" s="1493"/>
      <c r="AO131" s="1493"/>
      <c r="AP131" s="1493"/>
      <c r="AQ131" s="1493"/>
      <c r="AS131" s="1493"/>
      <c r="AT131" s="1493"/>
      <c r="AU131" s="1493"/>
      <c r="AV131" s="1493"/>
      <c r="AW131" s="1493"/>
      <c r="AX131" s="1493"/>
      <c r="AY131" s="1493"/>
      <c r="AZ131" s="1493"/>
      <c r="BA131" s="1493"/>
      <c r="BB131" s="1493"/>
      <c r="BC131" s="1493"/>
      <c r="BD131" s="1493"/>
      <c r="BE131" s="1493"/>
      <c r="BF131" s="1493"/>
      <c r="BG131" s="1493"/>
      <c r="BH131" s="1493"/>
      <c r="BI131" s="1493"/>
      <c r="BJ131" s="1493"/>
      <c r="BK131" s="1493"/>
      <c r="BL131" s="1493"/>
      <c r="BN131" s="1493"/>
      <c r="BO131" s="1493"/>
      <c r="BP131" s="1493"/>
      <c r="BR131" s="1957"/>
      <c r="BS131" s="1493"/>
    </row>
    <row r="132" spans="7:71" x14ac:dyDescent="0.2">
      <c r="G132" s="1493"/>
      <c r="H132" s="1493"/>
      <c r="I132" s="1493"/>
      <c r="J132" s="1493"/>
      <c r="K132" s="1493"/>
      <c r="L132" s="1493"/>
      <c r="M132" s="1493"/>
      <c r="N132" s="1493"/>
      <c r="O132" s="1643"/>
      <c r="P132" s="1493"/>
      <c r="Q132" s="1493"/>
      <c r="R132" s="1493"/>
      <c r="S132" s="1493"/>
      <c r="T132" s="1493"/>
      <c r="U132" s="1493"/>
      <c r="V132" s="1493"/>
      <c r="W132" s="1493"/>
      <c r="Y132" s="1493"/>
      <c r="Z132" s="1493"/>
      <c r="AA132" s="1493"/>
      <c r="AB132" s="1493"/>
      <c r="AC132" s="1493"/>
      <c r="AD132" s="1493"/>
      <c r="AE132" s="1493"/>
      <c r="AF132" s="1493"/>
      <c r="AG132" s="1493"/>
      <c r="AH132" s="1493"/>
      <c r="AI132" s="1493"/>
      <c r="AJ132" s="1493"/>
      <c r="AK132" s="1493"/>
      <c r="AL132" s="1493"/>
      <c r="AM132" s="1493"/>
      <c r="AN132" s="1493"/>
      <c r="AO132" s="1493"/>
      <c r="AP132" s="1493"/>
      <c r="AQ132" s="1493"/>
      <c r="AS132" s="1493"/>
      <c r="AT132" s="1493"/>
      <c r="AU132" s="1493"/>
      <c r="AV132" s="1493"/>
      <c r="AW132" s="1493"/>
      <c r="AX132" s="1493"/>
      <c r="AY132" s="1493"/>
      <c r="AZ132" s="1493"/>
      <c r="BA132" s="1493"/>
      <c r="BB132" s="1493"/>
      <c r="BC132" s="1493"/>
      <c r="BD132" s="1493"/>
      <c r="BE132" s="1493"/>
      <c r="BF132" s="1493"/>
      <c r="BG132" s="1493"/>
      <c r="BH132" s="1493"/>
      <c r="BI132" s="1493"/>
      <c r="BJ132" s="1493"/>
      <c r="BK132" s="1493"/>
      <c r="BL132" s="1493"/>
      <c r="BN132" s="1493"/>
      <c r="BO132" s="1493"/>
      <c r="BP132" s="1493"/>
      <c r="BR132" s="1957"/>
      <c r="BS132" s="1493"/>
    </row>
    <row r="133" spans="7:71" x14ac:dyDescent="0.2">
      <c r="G133" s="1493"/>
      <c r="H133" s="1493"/>
      <c r="I133" s="1493"/>
      <c r="J133" s="1493"/>
      <c r="K133" s="1493"/>
      <c r="L133" s="1493"/>
      <c r="M133" s="1493"/>
      <c r="N133" s="1493"/>
      <c r="O133" s="1643"/>
      <c r="P133" s="1493"/>
      <c r="Q133" s="1493"/>
      <c r="R133" s="1493"/>
      <c r="S133" s="1493"/>
      <c r="T133" s="1493"/>
      <c r="U133" s="1493"/>
      <c r="V133" s="1493"/>
      <c r="W133" s="1493"/>
      <c r="Y133" s="1493"/>
      <c r="Z133" s="1493"/>
      <c r="AA133" s="1493"/>
      <c r="AB133" s="1493"/>
      <c r="AC133" s="1493"/>
      <c r="AD133" s="1493"/>
      <c r="AE133" s="1493"/>
      <c r="AF133" s="1493"/>
      <c r="AG133" s="1493"/>
      <c r="AH133" s="1493"/>
      <c r="AI133" s="1493"/>
      <c r="AJ133" s="1493"/>
      <c r="AK133" s="1493"/>
      <c r="AL133" s="1493"/>
      <c r="AM133" s="1493"/>
      <c r="AN133" s="1493"/>
      <c r="AO133" s="1493"/>
      <c r="AP133" s="1493"/>
      <c r="AQ133" s="1493"/>
      <c r="AS133" s="1493"/>
      <c r="AT133" s="1493"/>
      <c r="AU133" s="1493"/>
      <c r="AV133" s="1493"/>
      <c r="AW133" s="1493"/>
      <c r="AX133" s="1493"/>
      <c r="AY133" s="1493"/>
      <c r="AZ133" s="1493"/>
      <c r="BA133" s="1493"/>
      <c r="BB133" s="1493"/>
      <c r="BC133" s="1493"/>
      <c r="BD133" s="1493"/>
      <c r="BE133" s="1493"/>
      <c r="BF133" s="1493"/>
      <c r="BG133" s="1493"/>
      <c r="BH133" s="1493"/>
      <c r="BI133" s="1493"/>
      <c r="BJ133" s="1493"/>
      <c r="BK133" s="1493"/>
      <c r="BL133" s="1493"/>
      <c r="BN133" s="1493"/>
      <c r="BO133" s="1493"/>
      <c r="BP133" s="1493"/>
      <c r="BR133" s="1957"/>
      <c r="BS133" s="1493"/>
    </row>
    <row r="134" spans="7:71" x14ac:dyDescent="0.2">
      <c r="G134" s="1493"/>
      <c r="H134" s="1493"/>
      <c r="I134" s="1493"/>
      <c r="J134" s="1493"/>
      <c r="K134" s="1493"/>
      <c r="L134" s="1493"/>
      <c r="M134" s="1493"/>
      <c r="N134" s="1493"/>
      <c r="O134" s="1643"/>
      <c r="P134" s="1493"/>
      <c r="Q134" s="1493"/>
      <c r="R134" s="1493"/>
      <c r="S134" s="1493"/>
      <c r="T134" s="1493"/>
      <c r="U134" s="1493"/>
      <c r="V134" s="1493"/>
      <c r="W134" s="1493"/>
      <c r="Y134" s="1493"/>
      <c r="Z134" s="1493"/>
      <c r="AA134" s="1493"/>
      <c r="AB134" s="1493"/>
      <c r="AC134" s="1493"/>
      <c r="AD134" s="1493"/>
      <c r="AE134" s="1493"/>
      <c r="AF134" s="1493"/>
      <c r="AG134" s="1493"/>
      <c r="AH134" s="1493"/>
      <c r="AI134" s="1493"/>
      <c r="AJ134" s="1493"/>
      <c r="AK134" s="1493"/>
      <c r="AL134" s="1493"/>
      <c r="AM134" s="1493"/>
      <c r="AN134" s="1493"/>
      <c r="AO134" s="1493"/>
      <c r="AP134" s="1493"/>
      <c r="AQ134" s="1493"/>
      <c r="AS134" s="1493"/>
      <c r="AT134" s="1493"/>
      <c r="AU134" s="1493"/>
      <c r="AV134" s="1493"/>
      <c r="AW134" s="1493"/>
      <c r="AX134" s="1493"/>
      <c r="AY134" s="1493"/>
      <c r="AZ134" s="1493"/>
      <c r="BA134" s="1493"/>
      <c r="BB134" s="1493"/>
      <c r="BC134" s="1493"/>
      <c r="BD134" s="1493"/>
      <c r="BE134" s="1493"/>
      <c r="BF134" s="1493"/>
      <c r="BG134" s="1493"/>
      <c r="BH134" s="1493"/>
      <c r="BI134" s="1493"/>
      <c r="BJ134" s="1493"/>
      <c r="BK134" s="1493"/>
      <c r="BL134" s="1493"/>
      <c r="BN134" s="1493"/>
      <c r="BO134" s="1493"/>
      <c r="BP134" s="1493"/>
      <c r="BR134" s="1957"/>
      <c r="BS134" s="1493"/>
    </row>
    <row r="135" spans="7:71" x14ac:dyDescent="0.2">
      <c r="G135" s="1493"/>
      <c r="H135" s="1493"/>
      <c r="I135" s="1493"/>
      <c r="J135" s="1493"/>
      <c r="K135" s="1493"/>
      <c r="L135" s="1493"/>
      <c r="M135" s="1493"/>
      <c r="N135" s="1493"/>
      <c r="O135" s="1643"/>
      <c r="P135" s="1493"/>
      <c r="Q135" s="1493"/>
      <c r="R135" s="1493"/>
      <c r="S135" s="1493"/>
      <c r="T135" s="1493"/>
      <c r="U135" s="1493"/>
      <c r="V135" s="1493"/>
      <c r="W135" s="1493"/>
      <c r="Y135" s="1493"/>
      <c r="Z135" s="1493"/>
      <c r="AA135" s="1493"/>
      <c r="AB135" s="1493"/>
      <c r="AC135" s="1493"/>
      <c r="AD135" s="1493"/>
      <c r="AE135" s="1493"/>
      <c r="AF135" s="1493"/>
      <c r="AG135" s="1493"/>
      <c r="AH135" s="1493"/>
      <c r="AI135" s="1493"/>
      <c r="AJ135" s="1493"/>
      <c r="AK135" s="1493"/>
      <c r="AL135" s="1493"/>
      <c r="AM135" s="1493"/>
      <c r="AN135" s="1493"/>
      <c r="AO135" s="1493"/>
      <c r="AP135" s="1493"/>
      <c r="AQ135" s="1493"/>
      <c r="AS135" s="1493"/>
      <c r="AT135" s="1493"/>
      <c r="AU135" s="1493"/>
      <c r="AV135" s="1493"/>
      <c r="AW135" s="1493"/>
      <c r="AX135" s="1493"/>
      <c r="AY135" s="1493"/>
      <c r="AZ135" s="1493"/>
      <c r="BA135" s="1493"/>
      <c r="BB135" s="1493"/>
      <c r="BC135" s="1493"/>
      <c r="BD135" s="1493"/>
      <c r="BE135" s="1493"/>
      <c r="BF135" s="1493"/>
      <c r="BG135" s="1493"/>
      <c r="BH135" s="1493"/>
      <c r="BI135" s="1493"/>
      <c r="BJ135" s="1493"/>
      <c r="BK135" s="1493"/>
      <c r="BL135" s="1493"/>
      <c r="BN135" s="1493"/>
      <c r="BO135" s="1493"/>
      <c r="BP135" s="1493"/>
      <c r="BR135" s="1957"/>
      <c r="BS135" s="1493"/>
    </row>
    <row r="136" spans="7:71" x14ac:dyDescent="0.2">
      <c r="G136" s="1493"/>
      <c r="H136" s="1493"/>
      <c r="I136" s="1493"/>
      <c r="J136" s="1493"/>
      <c r="K136" s="1493"/>
      <c r="L136" s="1493"/>
      <c r="M136" s="1493"/>
      <c r="N136" s="1493"/>
      <c r="O136" s="1643"/>
      <c r="P136" s="1493"/>
      <c r="Q136" s="1493"/>
      <c r="R136" s="1493"/>
      <c r="S136" s="1493"/>
      <c r="T136" s="1493"/>
      <c r="U136" s="1493"/>
      <c r="V136" s="1493"/>
      <c r="W136" s="1493"/>
      <c r="Y136" s="1493"/>
      <c r="Z136" s="1493"/>
      <c r="AA136" s="1493"/>
      <c r="AB136" s="1493"/>
      <c r="AC136" s="1493"/>
      <c r="AD136" s="1493"/>
      <c r="AE136" s="1493"/>
      <c r="AF136" s="1493"/>
      <c r="AG136" s="1493"/>
      <c r="AH136" s="1493"/>
      <c r="AI136" s="1493"/>
      <c r="AJ136" s="1493"/>
      <c r="AK136" s="1493"/>
      <c r="AL136" s="1493"/>
      <c r="AM136" s="1493"/>
      <c r="AN136" s="1493"/>
      <c r="AO136" s="1493"/>
      <c r="AP136" s="1493"/>
      <c r="AQ136" s="1493"/>
      <c r="AS136" s="1493"/>
      <c r="AT136" s="1493"/>
      <c r="AU136" s="1493"/>
      <c r="AV136" s="1493"/>
      <c r="AW136" s="1493"/>
      <c r="AX136" s="1493"/>
      <c r="AY136" s="1493"/>
      <c r="AZ136" s="1493"/>
      <c r="BA136" s="1493"/>
      <c r="BB136" s="1493"/>
      <c r="BC136" s="1493"/>
      <c r="BD136" s="1493"/>
      <c r="BE136" s="1493"/>
      <c r="BF136" s="1493"/>
      <c r="BG136" s="1493"/>
      <c r="BH136" s="1493"/>
      <c r="BI136" s="1493"/>
      <c r="BJ136" s="1493"/>
      <c r="BK136" s="1493"/>
      <c r="BL136" s="1493"/>
      <c r="BN136" s="1493"/>
      <c r="BO136" s="1493"/>
      <c r="BP136" s="1493"/>
      <c r="BR136" s="1957"/>
      <c r="BS136" s="1493"/>
    </row>
    <row r="137" spans="7:71" x14ac:dyDescent="0.2">
      <c r="G137" s="1493"/>
      <c r="H137" s="1493"/>
      <c r="I137" s="1493"/>
      <c r="J137" s="1493"/>
      <c r="K137" s="1493"/>
      <c r="L137" s="1493"/>
      <c r="M137" s="1493"/>
      <c r="N137" s="1493"/>
      <c r="O137" s="1643"/>
      <c r="P137" s="1493"/>
      <c r="Q137" s="1493"/>
      <c r="R137" s="1493"/>
      <c r="S137" s="1493"/>
      <c r="T137" s="1493"/>
      <c r="U137" s="1493"/>
      <c r="V137" s="1493"/>
      <c r="W137" s="1493"/>
      <c r="Y137" s="1493"/>
      <c r="Z137" s="1493"/>
      <c r="AA137" s="1493"/>
      <c r="AB137" s="1493"/>
      <c r="AC137" s="1493"/>
      <c r="AD137" s="1493"/>
      <c r="AE137" s="1493"/>
      <c r="AF137" s="1493"/>
      <c r="AG137" s="1493"/>
      <c r="AH137" s="1493"/>
      <c r="AI137" s="1493"/>
      <c r="AJ137" s="1493"/>
      <c r="AK137" s="1493"/>
      <c r="AL137" s="1493"/>
      <c r="AM137" s="1493"/>
      <c r="AN137" s="1493"/>
      <c r="AO137" s="1493"/>
      <c r="AP137" s="1493"/>
      <c r="AQ137" s="1493"/>
      <c r="AS137" s="1493"/>
      <c r="AT137" s="1493"/>
      <c r="AU137" s="1493"/>
      <c r="AV137" s="1493"/>
      <c r="AW137" s="1493"/>
      <c r="AX137" s="1493"/>
      <c r="AY137" s="1493"/>
      <c r="AZ137" s="1493"/>
      <c r="BA137" s="1493"/>
      <c r="BB137" s="1493"/>
      <c r="BC137" s="1493"/>
      <c r="BD137" s="1493"/>
      <c r="BE137" s="1493"/>
      <c r="BF137" s="1493"/>
      <c r="BG137" s="1493"/>
      <c r="BH137" s="1493"/>
      <c r="BI137" s="1493"/>
      <c r="BJ137" s="1493"/>
      <c r="BK137" s="1493"/>
      <c r="BL137" s="1493"/>
      <c r="BN137" s="1493"/>
      <c r="BO137" s="1493"/>
      <c r="BP137" s="1493"/>
      <c r="BR137" s="1957"/>
      <c r="BS137" s="1493"/>
    </row>
    <row r="138" spans="7:71" x14ac:dyDescent="0.2">
      <c r="G138" s="1493"/>
      <c r="H138" s="1493"/>
      <c r="I138" s="1493"/>
      <c r="J138" s="1493"/>
      <c r="K138" s="1493"/>
      <c r="L138" s="1493"/>
      <c r="M138" s="1493"/>
      <c r="N138" s="1493"/>
      <c r="O138" s="1643"/>
      <c r="P138" s="1493"/>
      <c r="Q138" s="1493"/>
      <c r="R138" s="1493"/>
      <c r="S138" s="1493"/>
      <c r="T138" s="1493"/>
      <c r="U138" s="1493"/>
      <c r="V138" s="1493"/>
      <c r="W138" s="1493"/>
      <c r="Y138" s="1493"/>
      <c r="Z138" s="1493"/>
      <c r="AA138" s="1493"/>
      <c r="AB138" s="1493"/>
      <c r="AC138" s="1493"/>
      <c r="AD138" s="1493"/>
      <c r="AE138" s="1493"/>
      <c r="AF138" s="1493"/>
      <c r="AG138" s="1493"/>
      <c r="AH138" s="1493"/>
      <c r="AI138" s="1493"/>
      <c r="AJ138" s="1493"/>
      <c r="AK138" s="1493"/>
      <c r="AL138" s="1493"/>
      <c r="AM138" s="1493"/>
      <c r="AN138" s="1493"/>
      <c r="AO138" s="1493"/>
      <c r="AP138" s="1493"/>
      <c r="AQ138" s="1493"/>
      <c r="AS138" s="1493"/>
      <c r="AT138" s="1493"/>
      <c r="AU138" s="1493"/>
      <c r="AV138" s="1493"/>
      <c r="AW138" s="1493"/>
      <c r="AX138" s="1493"/>
      <c r="AY138" s="1493"/>
      <c r="AZ138" s="1493"/>
      <c r="BA138" s="1493"/>
      <c r="BB138" s="1493"/>
      <c r="BC138" s="1493"/>
      <c r="BD138" s="1493"/>
      <c r="BE138" s="1493"/>
      <c r="BF138" s="1493"/>
      <c r="BG138" s="1493"/>
      <c r="BH138" s="1493"/>
      <c r="BI138" s="1493"/>
      <c r="BJ138" s="1493"/>
      <c r="BK138" s="1493"/>
      <c r="BL138" s="1493"/>
      <c r="BN138" s="1493"/>
      <c r="BO138" s="1493"/>
      <c r="BP138" s="1493"/>
      <c r="BR138" s="1957"/>
      <c r="BS138" s="1493"/>
    </row>
    <row r="139" spans="7:71" x14ac:dyDescent="0.2">
      <c r="G139" s="1493"/>
      <c r="H139" s="1493"/>
      <c r="I139" s="1493"/>
      <c r="J139" s="1493"/>
      <c r="K139" s="1493"/>
      <c r="L139" s="1493"/>
      <c r="M139" s="1493"/>
      <c r="N139" s="1493"/>
      <c r="O139" s="1643"/>
      <c r="P139" s="1493"/>
      <c r="Q139" s="1493"/>
      <c r="R139" s="1493"/>
      <c r="S139" s="1493"/>
      <c r="T139" s="1493"/>
      <c r="U139" s="1493"/>
      <c r="V139" s="1493"/>
      <c r="W139" s="1493"/>
      <c r="Y139" s="1493"/>
      <c r="Z139" s="1493"/>
      <c r="AA139" s="1493"/>
      <c r="AB139" s="1493"/>
      <c r="AC139" s="1493"/>
      <c r="AD139" s="1493"/>
      <c r="AE139" s="1493"/>
      <c r="AF139" s="1493"/>
      <c r="AG139" s="1493"/>
      <c r="AH139" s="1493"/>
      <c r="AI139" s="1493"/>
      <c r="AJ139" s="1493"/>
      <c r="AK139" s="1493"/>
      <c r="AL139" s="1493"/>
      <c r="AM139" s="1493"/>
      <c r="AN139" s="1493"/>
      <c r="AO139" s="1493"/>
      <c r="AP139" s="1493"/>
      <c r="AQ139" s="1493"/>
      <c r="AS139" s="1493"/>
      <c r="AT139" s="1493"/>
      <c r="AU139" s="1493"/>
      <c r="AV139" s="1493"/>
      <c r="AW139" s="1493"/>
      <c r="AX139" s="1493"/>
      <c r="AY139" s="1493"/>
      <c r="AZ139" s="1493"/>
      <c r="BA139" s="1493"/>
      <c r="BB139" s="1493"/>
      <c r="BC139" s="1493"/>
      <c r="BD139" s="1493"/>
      <c r="BE139" s="1493"/>
      <c r="BF139" s="1493"/>
      <c r="BG139" s="1493"/>
      <c r="BH139" s="1493"/>
      <c r="BI139" s="1493"/>
      <c r="BJ139" s="1493"/>
      <c r="BK139" s="1493"/>
      <c r="BL139" s="1493"/>
      <c r="BN139" s="1493"/>
      <c r="BO139" s="1493"/>
      <c r="BP139" s="1493"/>
      <c r="BR139" s="1957"/>
      <c r="BS139" s="1493"/>
    </row>
    <row r="140" spans="7:71" x14ac:dyDescent="0.2">
      <c r="G140" s="1493"/>
      <c r="H140" s="1493"/>
      <c r="I140" s="1493"/>
      <c r="J140" s="1493"/>
      <c r="K140" s="1493"/>
      <c r="L140" s="1493"/>
      <c r="M140" s="1493"/>
      <c r="N140" s="1493"/>
      <c r="O140" s="1643"/>
      <c r="P140" s="1493"/>
      <c r="Q140" s="1493"/>
      <c r="R140" s="1493"/>
      <c r="S140" s="1493"/>
      <c r="T140" s="1493"/>
      <c r="U140" s="1493"/>
      <c r="V140" s="1493"/>
      <c r="W140" s="1493"/>
      <c r="Y140" s="1493"/>
      <c r="Z140" s="1493"/>
      <c r="AA140" s="1493"/>
      <c r="AB140" s="1493"/>
      <c r="AC140" s="1493"/>
      <c r="AD140" s="1493"/>
      <c r="AE140" s="1493"/>
      <c r="AF140" s="1493"/>
      <c r="AG140" s="1493"/>
      <c r="AH140" s="1493"/>
      <c r="AI140" s="1493"/>
      <c r="AJ140" s="1493"/>
      <c r="AK140" s="1493"/>
      <c r="AL140" s="1493"/>
      <c r="AM140" s="1493"/>
      <c r="AN140" s="1493"/>
      <c r="AO140" s="1493"/>
      <c r="AP140" s="1493"/>
      <c r="AQ140" s="1493"/>
      <c r="AS140" s="1493"/>
      <c r="AT140" s="1493"/>
      <c r="AU140" s="1493"/>
      <c r="AV140" s="1493"/>
      <c r="AW140" s="1493"/>
      <c r="AX140" s="1493"/>
      <c r="AY140" s="1493"/>
      <c r="AZ140" s="1493"/>
      <c r="BA140" s="1493"/>
      <c r="BB140" s="1493"/>
      <c r="BC140" s="1493"/>
      <c r="BD140" s="1493"/>
      <c r="BE140" s="1493"/>
      <c r="BF140" s="1493"/>
      <c r="BG140" s="1493"/>
      <c r="BH140" s="1493"/>
      <c r="BI140" s="1493"/>
      <c r="BJ140" s="1493"/>
      <c r="BK140" s="1493"/>
      <c r="BL140" s="1493"/>
      <c r="BN140" s="1493"/>
      <c r="BO140" s="1493"/>
      <c r="BP140" s="1493"/>
      <c r="BR140" s="1957"/>
      <c r="BS140" s="1493"/>
    </row>
    <row r="141" spans="7:71" x14ac:dyDescent="0.2">
      <c r="G141" s="1493"/>
      <c r="H141" s="1493"/>
      <c r="I141" s="1493"/>
      <c r="J141" s="1493"/>
      <c r="K141" s="1493"/>
      <c r="L141" s="1493"/>
      <c r="M141" s="1493"/>
      <c r="N141" s="1493"/>
      <c r="O141" s="1643"/>
      <c r="P141" s="1493"/>
      <c r="Q141" s="1493"/>
      <c r="R141" s="1493"/>
      <c r="S141" s="1493"/>
      <c r="T141" s="1493"/>
      <c r="U141" s="1493"/>
      <c r="V141" s="1493"/>
      <c r="W141" s="1493"/>
      <c r="Y141" s="1493"/>
      <c r="Z141" s="1493"/>
      <c r="AA141" s="1493"/>
      <c r="AB141" s="1493"/>
      <c r="AC141" s="1493"/>
      <c r="AD141" s="1493"/>
      <c r="AE141" s="1493"/>
      <c r="AF141" s="1493"/>
      <c r="AG141" s="1493"/>
      <c r="AH141" s="1493"/>
      <c r="AI141" s="1493"/>
      <c r="AJ141" s="1493"/>
      <c r="AK141" s="1493"/>
      <c r="AL141" s="1493"/>
      <c r="AM141" s="1493"/>
      <c r="AN141" s="1493"/>
      <c r="AO141" s="1493"/>
      <c r="AP141" s="1493"/>
      <c r="AQ141" s="1493"/>
      <c r="AS141" s="1493"/>
      <c r="AT141" s="1493"/>
      <c r="AU141" s="1493"/>
      <c r="AV141" s="1493"/>
      <c r="AW141" s="1493"/>
      <c r="AX141" s="1493"/>
      <c r="AY141" s="1493"/>
      <c r="AZ141" s="1493"/>
      <c r="BA141" s="1493"/>
      <c r="BB141" s="1493"/>
      <c r="BC141" s="1493"/>
      <c r="BD141" s="1493"/>
      <c r="BE141" s="1493"/>
      <c r="BF141" s="1493"/>
      <c r="BG141" s="1493"/>
      <c r="BH141" s="1493"/>
      <c r="BI141" s="1493"/>
      <c r="BJ141" s="1493"/>
      <c r="BK141" s="1493"/>
      <c r="BL141" s="1493"/>
      <c r="BN141" s="1493"/>
      <c r="BO141" s="1493"/>
      <c r="BP141" s="1493"/>
      <c r="BR141" s="1957"/>
      <c r="BS141" s="1493"/>
    </row>
    <row r="142" spans="7:71" x14ac:dyDescent="0.2">
      <c r="G142" s="1493"/>
      <c r="H142" s="1493"/>
      <c r="I142" s="1493"/>
      <c r="J142" s="1493"/>
      <c r="K142" s="1493"/>
      <c r="L142" s="1493"/>
      <c r="M142" s="1493"/>
      <c r="N142" s="1493"/>
      <c r="O142" s="1643"/>
      <c r="P142" s="1493"/>
      <c r="Q142" s="1493"/>
      <c r="R142" s="1493"/>
      <c r="S142" s="1493"/>
      <c r="T142" s="1493"/>
      <c r="U142" s="1493"/>
      <c r="V142" s="1493"/>
      <c r="W142" s="1493"/>
      <c r="Y142" s="1493"/>
      <c r="Z142" s="1493"/>
      <c r="AA142" s="1493"/>
      <c r="AB142" s="1493"/>
      <c r="AC142" s="1493"/>
      <c r="AD142" s="1493"/>
      <c r="AE142" s="1493"/>
      <c r="AF142" s="1493"/>
      <c r="AG142" s="1493"/>
      <c r="AH142" s="1493"/>
      <c r="AI142" s="1493"/>
      <c r="AJ142" s="1493"/>
      <c r="AK142" s="1493"/>
      <c r="AL142" s="1493"/>
      <c r="AM142" s="1493"/>
      <c r="AN142" s="1493"/>
      <c r="AO142" s="1493"/>
      <c r="AP142" s="1493"/>
      <c r="AQ142" s="1493"/>
      <c r="AS142" s="1493"/>
      <c r="AT142" s="1493"/>
      <c r="AU142" s="1493"/>
      <c r="AV142" s="1493"/>
      <c r="AW142" s="1493"/>
      <c r="AX142" s="1493"/>
      <c r="AY142" s="1493"/>
      <c r="AZ142" s="1493"/>
      <c r="BA142" s="1493"/>
      <c r="BB142" s="1493"/>
      <c r="BC142" s="1493"/>
      <c r="BD142" s="1493"/>
      <c r="BE142" s="1493"/>
      <c r="BF142" s="1493"/>
      <c r="BG142" s="1493"/>
      <c r="BH142" s="1493"/>
      <c r="BI142" s="1493"/>
      <c r="BJ142" s="1493"/>
      <c r="BK142" s="1493"/>
      <c r="BL142" s="1493"/>
      <c r="BN142" s="1493"/>
      <c r="BO142" s="1493"/>
      <c r="BP142" s="1493"/>
      <c r="BR142" s="1957"/>
      <c r="BS142" s="1493"/>
    </row>
    <row r="143" spans="7:71" x14ac:dyDescent="0.2">
      <c r="G143" s="1493"/>
      <c r="H143" s="1493"/>
      <c r="I143" s="1493"/>
      <c r="J143" s="1493"/>
      <c r="K143" s="1493"/>
      <c r="L143" s="1493"/>
      <c r="M143" s="1493"/>
      <c r="N143" s="1493"/>
      <c r="O143" s="1643"/>
      <c r="P143" s="1493"/>
      <c r="Q143" s="1493"/>
      <c r="R143" s="1493"/>
      <c r="S143" s="1493"/>
      <c r="T143" s="1493"/>
      <c r="U143" s="1493"/>
      <c r="V143" s="1493"/>
      <c r="W143" s="1493"/>
      <c r="Y143" s="1493"/>
      <c r="Z143" s="1493"/>
      <c r="AA143" s="1493"/>
      <c r="AB143" s="1493"/>
      <c r="AC143" s="1493"/>
      <c r="AD143" s="1493"/>
      <c r="AE143" s="1493"/>
      <c r="AF143" s="1493"/>
      <c r="AG143" s="1493"/>
      <c r="AH143" s="1493"/>
      <c r="AI143" s="1493"/>
      <c r="AJ143" s="1493"/>
      <c r="AK143" s="1493"/>
      <c r="AL143" s="1493"/>
      <c r="AM143" s="1493"/>
      <c r="AN143" s="1493"/>
      <c r="AO143" s="1493"/>
      <c r="AP143" s="1493"/>
      <c r="AQ143" s="1493"/>
      <c r="AS143" s="1493"/>
      <c r="AT143" s="1493"/>
      <c r="AU143" s="1493"/>
      <c r="AV143" s="1493"/>
      <c r="AW143" s="1493"/>
      <c r="AX143" s="1493"/>
      <c r="AY143" s="1493"/>
      <c r="AZ143" s="1493"/>
      <c r="BA143" s="1493"/>
      <c r="BB143" s="1493"/>
      <c r="BC143" s="1493"/>
      <c r="BD143" s="1493"/>
      <c r="BE143" s="1493"/>
      <c r="BF143" s="1493"/>
      <c r="BG143" s="1493"/>
      <c r="BH143" s="1493"/>
      <c r="BI143" s="1493"/>
      <c r="BJ143" s="1493"/>
      <c r="BK143" s="1493"/>
      <c r="BL143" s="1493"/>
      <c r="BN143" s="1493"/>
      <c r="BO143" s="1493"/>
      <c r="BP143" s="1493"/>
      <c r="BR143" s="1957"/>
      <c r="BS143" s="1493"/>
    </row>
    <row r="144" spans="7:71" x14ac:dyDescent="0.2">
      <c r="G144" s="1493"/>
      <c r="H144" s="1493"/>
      <c r="I144" s="1493"/>
      <c r="J144" s="1493"/>
      <c r="K144" s="1493"/>
      <c r="L144" s="1493"/>
      <c r="M144" s="1493"/>
      <c r="N144" s="1493"/>
      <c r="O144" s="1643"/>
      <c r="P144" s="1493"/>
      <c r="Q144" s="1493"/>
      <c r="R144" s="1493"/>
      <c r="S144" s="1493"/>
      <c r="T144" s="1493"/>
      <c r="U144" s="1493"/>
      <c r="V144" s="1493"/>
      <c r="W144" s="1493"/>
      <c r="Y144" s="1493"/>
      <c r="Z144" s="1493"/>
      <c r="AA144" s="1493"/>
      <c r="AB144" s="1493"/>
      <c r="AC144" s="1493"/>
      <c r="AD144" s="1493"/>
      <c r="AE144" s="1493"/>
      <c r="AF144" s="1493"/>
      <c r="AG144" s="1493"/>
      <c r="AH144" s="1493"/>
      <c r="AI144" s="1493"/>
      <c r="AJ144" s="1493"/>
      <c r="AK144" s="1493"/>
      <c r="AL144" s="1493"/>
      <c r="AM144" s="1493"/>
      <c r="AN144" s="1493"/>
      <c r="AO144" s="1493"/>
      <c r="AP144" s="1493"/>
      <c r="AQ144" s="1493"/>
      <c r="AS144" s="1493"/>
      <c r="AT144" s="1493"/>
      <c r="AU144" s="1493"/>
      <c r="AV144" s="1493"/>
      <c r="AW144" s="1493"/>
      <c r="AX144" s="1493"/>
      <c r="AY144" s="1493"/>
      <c r="AZ144" s="1493"/>
      <c r="BA144" s="1493"/>
      <c r="BB144" s="1493"/>
      <c r="BC144" s="1493"/>
      <c r="BD144" s="1493"/>
      <c r="BE144" s="1493"/>
      <c r="BF144" s="1493"/>
      <c r="BG144" s="1493"/>
      <c r="BH144" s="1493"/>
      <c r="BI144" s="1493"/>
      <c r="BJ144" s="1493"/>
      <c r="BK144" s="1493"/>
      <c r="BL144" s="1493"/>
      <c r="BN144" s="1493"/>
      <c r="BO144" s="1493"/>
      <c r="BP144" s="1493"/>
      <c r="BR144" s="1957"/>
      <c r="BS144" s="1493"/>
    </row>
    <row r="145" spans="7:71" x14ac:dyDescent="0.2">
      <c r="G145" s="1493"/>
      <c r="H145" s="1493"/>
      <c r="I145" s="1493"/>
      <c r="J145" s="1493"/>
      <c r="K145" s="1493"/>
      <c r="L145" s="1493"/>
      <c r="M145" s="1493"/>
      <c r="N145" s="1493"/>
      <c r="O145" s="1643"/>
      <c r="P145" s="1493"/>
      <c r="Q145" s="1493"/>
      <c r="R145" s="1493"/>
      <c r="S145" s="1493"/>
      <c r="T145" s="1493"/>
      <c r="U145" s="1493"/>
      <c r="V145" s="1493"/>
      <c r="W145" s="1493"/>
      <c r="Y145" s="1493"/>
      <c r="Z145" s="1493"/>
      <c r="AA145" s="1493"/>
      <c r="AB145" s="1493"/>
      <c r="AC145" s="1493"/>
      <c r="AD145" s="1493"/>
      <c r="AE145" s="1493"/>
      <c r="AF145" s="1493"/>
      <c r="AG145" s="1493"/>
      <c r="AH145" s="1493"/>
      <c r="AI145" s="1493"/>
      <c r="AJ145" s="1493"/>
      <c r="AK145" s="1493"/>
      <c r="AL145" s="1493"/>
      <c r="AM145" s="1493"/>
      <c r="AN145" s="1493"/>
      <c r="AO145" s="1493"/>
      <c r="AP145" s="1493"/>
      <c r="AQ145" s="1493"/>
      <c r="AS145" s="1493"/>
      <c r="AT145" s="1493"/>
      <c r="AU145" s="1493"/>
      <c r="AV145" s="1493"/>
      <c r="AW145" s="1493"/>
      <c r="AX145" s="1493"/>
      <c r="AY145" s="1493"/>
      <c r="AZ145" s="1493"/>
      <c r="BA145" s="1493"/>
      <c r="BB145" s="1493"/>
      <c r="BC145" s="1493"/>
      <c r="BD145" s="1493"/>
      <c r="BE145" s="1493"/>
      <c r="BF145" s="1493"/>
      <c r="BG145" s="1493"/>
      <c r="BH145" s="1493"/>
      <c r="BI145" s="1493"/>
      <c r="BJ145" s="1493"/>
      <c r="BK145" s="1493"/>
      <c r="BL145" s="1493"/>
      <c r="BN145" s="1493"/>
      <c r="BO145" s="1493"/>
      <c r="BP145" s="1493"/>
      <c r="BR145" s="1957"/>
      <c r="BS145" s="1493"/>
    </row>
    <row r="146" spans="7:71" x14ac:dyDescent="0.2">
      <c r="G146" s="1493"/>
      <c r="H146" s="1493"/>
      <c r="I146" s="1493"/>
      <c r="J146" s="1493"/>
      <c r="K146" s="1493"/>
      <c r="L146" s="1493"/>
      <c r="M146" s="1493"/>
      <c r="N146" s="1493"/>
      <c r="O146" s="1643"/>
      <c r="P146" s="1493"/>
      <c r="Q146" s="1493"/>
      <c r="R146" s="1493"/>
      <c r="S146" s="1493"/>
      <c r="T146" s="1493"/>
      <c r="U146" s="1493"/>
      <c r="V146" s="1493"/>
      <c r="W146" s="1493"/>
      <c r="Y146" s="1493"/>
      <c r="Z146" s="1493"/>
      <c r="AA146" s="1493"/>
      <c r="AB146" s="1493"/>
      <c r="AC146" s="1493"/>
      <c r="AD146" s="1493"/>
      <c r="AE146" s="1493"/>
      <c r="AF146" s="1493"/>
      <c r="AG146" s="1493"/>
      <c r="AH146" s="1493"/>
      <c r="AI146" s="1493"/>
      <c r="AJ146" s="1493"/>
      <c r="AK146" s="1493"/>
      <c r="AL146" s="1493"/>
      <c r="AM146" s="1493"/>
      <c r="AN146" s="1493"/>
      <c r="AO146" s="1493"/>
      <c r="AP146" s="1493"/>
      <c r="AQ146" s="1493"/>
      <c r="AS146" s="1493"/>
      <c r="AT146" s="1493"/>
      <c r="AU146" s="1493"/>
      <c r="AV146" s="1493"/>
      <c r="AW146" s="1493"/>
      <c r="AX146" s="1493"/>
      <c r="AY146" s="1493"/>
      <c r="AZ146" s="1493"/>
      <c r="BA146" s="1493"/>
      <c r="BB146" s="1493"/>
      <c r="BC146" s="1493"/>
      <c r="BD146" s="1493"/>
      <c r="BE146" s="1493"/>
      <c r="BF146" s="1493"/>
      <c r="BG146" s="1493"/>
      <c r="BH146" s="1493"/>
      <c r="BI146" s="1493"/>
      <c r="BJ146" s="1493"/>
      <c r="BK146" s="1493"/>
      <c r="BL146" s="1493"/>
      <c r="BN146" s="1493"/>
      <c r="BO146" s="1493"/>
      <c r="BP146" s="1493"/>
      <c r="BR146" s="1957"/>
      <c r="BS146" s="1493"/>
    </row>
    <row r="147" spans="7:71" x14ac:dyDescent="0.2">
      <c r="G147" s="1493"/>
      <c r="H147" s="1493"/>
      <c r="I147" s="1493"/>
      <c r="J147" s="1493"/>
      <c r="K147" s="1493"/>
      <c r="L147" s="1493"/>
      <c r="M147" s="1493"/>
      <c r="N147" s="1493"/>
      <c r="O147" s="1643"/>
      <c r="P147" s="1493"/>
      <c r="Q147" s="1493"/>
      <c r="R147" s="1493"/>
      <c r="S147" s="1493"/>
      <c r="T147" s="1493"/>
      <c r="U147" s="1493"/>
      <c r="V147" s="1493"/>
      <c r="W147" s="1493"/>
      <c r="Y147" s="1493"/>
      <c r="Z147" s="1493"/>
      <c r="AA147" s="1493"/>
      <c r="AB147" s="1493"/>
      <c r="AC147" s="1493"/>
      <c r="AD147" s="1493"/>
      <c r="AE147" s="1493"/>
      <c r="AF147" s="1493"/>
      <c r="AG147" s="1493"/>
      <c r="AH147" s="1493"/>
      <c r="AI147" s="1493"/>
      <c r="AJ147" s="1493"/>
      <c r="AK147" s="1493"/>
      <c r="AL147" s="1493"/>
      <c r="AM147" s="1493"/>
      <c r="AN147" s="1493"/>
      <c r="AO147" s="1493"/>
      <c r="AP147" s="1493"/>
      <c r="AQ147" s="1493"/>
      <c r="AS147" s="1493"/>
      <c r="AT147" s="1493"/>
      <c r="AU147" s="1493"/>
      <c r="AV147" s="1493"/>
      <c r="AW147" s="1493"/>
      <c r="AX147" s="1493"/>
      <c r="AY147" s="1493"/>
      <c r="AZ147" s="1493"/>
      <c r="BA147" s="1493"/>
      <c r="BB147" s="1493"/>
      <c r="BC147" s="1493"/>
      <c r="BD147" s="1493"/>
      <c r="BE147" s="1493"/>
      <c r="BF147" s="1493"/>
      <c r="BG147" s="1493"/>
      <c r="BH147" s="1493"/>
      <c r="BI147" s="1493"/>
      <c r="BJ147" s="1493"/>
      <c r="BK147" s="1493"/>
      <c r="BL147" s="1493"/>
      <c r="BN147" s="1493"/>
      <c r="BO147" s="1493"/>
      <c r="BP147" s="1493"/>
      <c r="BR147" s="1957"/>
      <c r="BS147" s="1493"/>
    </row>
    <row r="148" spans="7:71" x14ac:dyDescent="0.2">
      <c r="G148" s="1493"/>
      <c r="H148" s="1493"/>
      <c r="I148" s="1493"/>
      <c r="J148" s="1493"/>
      <c r="K148" s="1493"/>
      <c r="L148" s="1493"/>
      <c r="M148" s="1493"/>
      <c r="N148" s="1493"/>
      <c r="O148" s="1643"/>
      <c r="P148" s="1493"/>
      <c r="Q148" s="1493"/>
      <c r="R148" s="1493"/>
      <c r="S148" s="1493"/>
      <c r="T148" s="1493"/>
      <c r="U148" s="1493"/>
      <c r="V148" s="1493"/>
      <c r="W148" s="1493"/>
      <c r="Y148" s="1493"/>
      <c r="Z148" s="1493"/>
      <c r="AA148" s="1493"/>
      <c r="AB148" s="1493"/>
      <c r="AC148" s="1493"/>
      <c r="AD148" s="1493"/>
      <c r="AE148" s="1493"/>
      <c r="AF148" s="1493"/>
      <c r="AG148" s="1493"/>
      <c r="AH148" s="1493"/>
      <c r="AI148" s="1493"/>
      <c r="AJ148" s="1493"/>
      <c r="AK148" s="1493"/>
      <c r="AL148" s="1493"/>
      <c r="AM148" s="1493"/>
      <c r="AN148" s="1493"/>
      <c r="AO148" s="1493"/>
      <c r="AP148" s="1493"/>
      <c r="AQ148" s="1493"/>
      <c r="AS148" s="1493"/>
      <c r="AT148" s="1493"/>
      <c r="AU148" s="1493"/>
      <c r="AV148" s="1493"/>
      <c r="AW148" s="1493"/>
      <c r="AX148" s="1493"/>
      <c r="AY148" s="1493"/>
      <c r="AZ148" s="1493"/>
      <c r="BA148" s="1493"/>
      <c r="BB148" s="1493"/>
      <c r="BC148" s="1493"/>
      <c r="BD148" s="1493"/>
      <c r="BE148" s="1493"/>
      <c r="BF148" s="1493"/>
      <c r="BG148" s="1493"/>
      <c r="BH148" s="1493"/>
      <c r="BI148" s="1493"/>
      <c r="BJ148" s="1493"/>
      <c r="BK148" s="1493"/>
      <c r="BL148" s="1493"/>
      <c r="BN148" s="1493"/>
      <c r="BO148" s="1493"/>
      <c r="BP148" s="1493"/>
      <c r="BR148" s="1957"/>
      <c r="BS148" s="1493"/>
    </row>
    <row r="149" spans="7:71" x14ac:dyDescent="0.2">
      <c r="G149" s="1493"/>
      <c r="H149" s="1493"/>
      <c r="I149" s="1493"/>
      <c r="J149" s="1493"/>
      <c r="K149" s="1493"/>
      <c r="L149" s="1493"/>
      <c r="M149" s="1493"/>
      <c r="N149" s="1493"/>
      <c r="O149" s="1643"/>
      <c r="P149" s="1493"/>
      <c r="Q149" s="1493"/>
      <c r="R149" s="1493"/>
      <c r="S149" s="1493"/>
      <c r="T149" s="1493"/>
      <c r="U149" s="1493"/>
      <c r="V149" s="1493"/>
      <c r="W149" s="1493"/>
      <c r="Y149" s="1493"/>
      <c r="Z149" s="1493"/>
      <c r="AA149" s="1493"/>
      <c r="AB149" s="1493"/>
      <c r="AC149" s="1493"/>
      <c r="AD149" s="1493"/>
      <c r="AE149" s="1493"/>
      <c r="AF149" s="1493"/>
      <c r="AG149" s="1493"/>
      <c r="AH149" s="1493"/>
      <c r="AI149" s="1493"/>
      <c r="AJ149" s="1493"/>
      <c r="AK149" s="1493"/>
      <c r="AL149" s="1493"/>
      <c r="AM149" s="1493"/>
      <c r="AN149" s="1493"/>
      <c r="AO149" s="1493"/>
      <c r="AP149" s="1493"/>
      <c r="AQ149" s="1493"/>
      <c r="AS149" s="1493"/>
      <c r="AT149" s="1493"/>
      <c r="AU149" s="1493"/>
      <c r="AV149" s="1493"/>
      <c r="AW149" s="1493"/>
      <c r="AX149" s="1493"/>
      <c r="AY149" s="1493"/>
      <c r="AZ149" s="1493"/>
      <c r="BA149" s="1493"/>
      <c r="BB149" s="1493"/>
      <c r="BC149" s="1493"/>
      <c r="BD149" s="1493"/>
      <c r="BE149" s="1493"/>
      <c r="BF149" s="1493"/>
      <c r="BG149" s="1493"/>
      <c r="BH149" s="1493"/>
      <c r="BI149" s="1493"/>
      <c r="BJ149" s="1493"/>
      <c r="BK149" s="1493"/>
      <c r="BL149" s="1493"/>
      <c r="BN149" s="1493"/>
      <c r="BO149" s="1493"/>
      <c r="BP149" s="1493"/>
      <c r="BR149" s="1957"/>
      <c r="BS149" s="1493"/>
    </row>
    <row r="150" spans="7:71" x14ac:dyDescent="0.2">
      <c r="G150" s="1493"/>
      <c r="H150" s="1493"/>
      <c r="I150" s="1493"/>
      <c r="J150" s="1493"/>
      <c r="K150" s="1493"/>
      <c r="L150" s="1493"/>
      <c r="M150" s="1493"/>
      <c r="N150" s="1493"/>
      <c r="O150" s="1643"/>
      <c r="P150" s="1493"/>
      <c r="Q150" s="1493"/>
      <c r="R150" s="1493"/>
      <c r="S150" s="1493"/>
      <c r="T150" s="1493"/>
      <c r="U150" s="1493"/>
      <c r="V150" s="1493"/>
      <c r="W150" s="1493"/>
      <c r="Y150" s="1493"/>
      <c r="Z150" s="1493"/>
      <c r="AA150" s="1493"/>
      <c r="AB150" s="1493"/>
      <c r="AC150" s="1493"/>
      <c r="AD150" s="1493"/>
      <c r="AE150" s="1493"/>
      <c r="AF150" s="1493"/>
      <c r="AG150" s="1493"/>
      <c r="AH150" s="1493"/>
      <c r="AI150" s="1493"/>
      <c r="AJ150" s="1493"/>
      <c r="AK150" s="1493"/>
      <c r="AL150" s="1493"/>
      <c r="AM150" s="1493"/>
      <c r="AN150" s="1493"/>
      <c r="AO150" s="1493"/>
      <c r="AP150" s="1493"/>
      <c r="AQ150" s="1493"/>
      <c r="AS150" s="1493"/>
      <c r="AT150" s="1493"/>
      <c r="AU150" s="1493"/>
      <c r="AV150" s="1493"/>
      <c r="AW150" s="1493"/>
      <c r="AX150" s="1493"/>
      <c r="AY150" s="1493"/>
      <c r="AZ150" s="1493"/>
      <c r="BA150" s="1493"/>
      <c r="BB150" s="1493"/>
      <c r="BC150" s="1493"/>
      <c r="BD150" s="1493"/>
      <c r="BE150" s="1493"/>
      <c r="BF150" s="1493"/>
      <c r="BG150" s="1493"/>
      <c r="BH150" s="1493"/>
      <c r="BI150" s="1493"/>
      <c r="BJ150" s="1493"/>
      <c r="BK150" s="1493"/>
      <c r="BL150" s="1493"/>
      <c r="BN150" s="1493"/>
      <c r="BO150" s="1493"/>
      <c r="BP150" s="1493"/>
      <c r="BR150" s="1957"/>
      <c r="BS150" s="1493"/>
    </row>
    <row r="151" spans="7:71" x14ac:dyDescent="0.2">
      <c r="G151" s="1493"/>
      <c r="H151" s="1493"/>
      <c r="I151" s="1493"/>
      <c r="J151" s="1493"/>
      <c r="K151" s="1493"/>
      <c r="L151" s="1493"/>
      <c r="M151" s="1493"/>
      <c r="N151" s="1493"/>
      <c r="O151" s="1643"/>
      <c r="P151" s="1493"/>
      <c r="Q151" s="1493"/>
      <c r="R151" s="1493"/>
      <c r="S151" s="1493"/>
      <c r="T151" s="1493"/>
      <c r="U151" s="1493"/>
      <c r="V151" s="1493"/>
      <c r="W151" s="1493"/>
      <c r="Y151" s="1493"/>
      <c r="Z151" s="1493"/>
      <c r="AA151" s="1493"/>
      <c r="AB151" s="1493"/>
      <c r="AC151" s="1493"/>
      <c r="AD151" s="1493"/>
      <c r="AE151" s="1493"/>
      <c r="AF151" s="1493"/>
      <c r="AG151" s="1493"/>
      <c r="AH151" s="1493"/>
      <c r="AI151" s="1493"/>
      <c r="AJ151" s="1493"/>
      <c r="AK151" s="1493"/>
      <c r="AL151" s="1493"/>
      <c r="AM151" s="1493"/>
      <c r="AN151" s="1493"/>
      <c r="AO151" s="1493"/>
      <c r="AP151" s="1493"/>
      <c r="AQ151" s="1493"/>
      <c r="AS151" s="1493"/>
      <c r="AT151" s="1493"/>
      <c r="AU151" s="1493"/>
      <c r="AV151" s="1493"/>
      <c r="AW151" s="1493"/>
      <c r="AX151" s="1493"/>
      <c r="AY151" s="1493"/>
      <c r="AZ151" s="1493"/>
      <c r="BA151" s="1493"/>
      <c r="BB151" s="1493"/>
      <c r="BC151" s="1493"/>
      <c r="BD151" s="1493"/>
      <c r="BE151" s="1493"/>
      <c r="BF151" s="1493"/>
      <c r="BG151" s="1493"/>
      <c r="BH151" s="1493"/>
      <c r="BI151" s="1493"/>
      <c r="BJ151" s="1493"/>
      <c r="BK151" s="1493"/>
      <c r="BL151" s="1493"/>
      <c r="BN151" s="1493"/>
      <c r="BO151" s="1493"/>
      <c r="BP151" s="1493"/>
      <c r="BR151" s="1957"/>
      <c r="BS151" s="1493"/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DP151"/>
  <sheetViews>
    <sheetView zoomScale="53" zoomScaleNormal="53" workbookViewId="0">
      <selection activeCell="E75" sqref="E75"/>
    </sheetView>
  </sheetViews>
  <sheetFormatPr baseColWidth="10" defaultColWidth="8.85546875" defaultRowHeight="12.75" outlineLevelRow="2" outlineLevelCol="2" x14ac:dyDescent="0.2"/>
  <cols>
    <col min="1" max="1" width="15.5703125" customWidth="1"/>
    <col min="2" max="2" width="1.42578125" customWidth="1"/>
    <col min="3" max="3" width="9.28515625" style="1429" customWidth="1"/>
    <col min="4" max="4" width="28.28515625" style="1430" customWidth="1"/>
    <col min="5" max="5" width="41.7109375" style="1430" customWidth="1"/>
    <col min="6" max="6" width="1.140625" customWidth="1" outlineLevel="1"/>
    <col min="7" max="14" width="13.28515625" style="1430" hidden="1" customWidth="1" outlineLevel="2"/>
    <col min="15" max="15" width="13.28515625" style="1431" hidden="1" customWidth="1" outlineLevel="2"/>
    <col min="16" max="22" width="13.28515625" style="1430" hidden="1" customWidth="1" outlineLevel="2"/>
    <col min="23" max="23" width="13.28515625" style="1430" customWidth="1" outlineLevel="1" collapsed="1"/>
    <col min="24" max="24" width="1.140625" customWidth="1" outlineLevel="1"/>
    <col min="25" max="25" width="14.5703125" style="1430" hidden="1" customWidth="1" outlineLevel="2"/>
    <col min="26" max="26" width="12.5703125" style="1430" hidden="1" customWidth="1" outlineLevel="2"/>
    <col min="27" max="29" width="14.85546875" style="1430" hidden="1" customWidth="1" outlineLevel="2"/>
    <col min="30" max="35" width="10" style="1430" hidden="1" customWidth="1" outlineLevel="2"/>
    <col min="36" max="36" width="11.85546875" style="1430" hidden="1" customWidth="1" outlineLevel="2"/>
    <col min="37" max="42" width="10" style="1430" hidden="1" customWidth="1" outlineLevel="2"/>
    <col min="43" max="43" width="14.140625" style="1430" customWidth="1" outlineLevel="1" collapsed="1"/>
    <col min="44" max="44" width="1.140625" customWidth="1" outlineLevel="1"/>
    <col min="45" max="49" width="10" style="1430" hidden="1" customWidth="1" outlineLevel="2"/>
    <col min="50" max="50" width="10.140625" style="1430" hidden="1" customWidth="1" outlineLevel="2"/>
    <col min="51" max="51" width="10.85546875" style="1430" hidden="1" customWidth="1" outlineLevel="2"/>
    <col min="52" max="52" width="12.7109375" style="1430" hidden="1" customWidth="1" outlineLevel="2"/>
    <col min="53" max="53" width="16.5703125" style="1430" hidden="1" customWidth="1" outlineLevel="2"/>
    <col min="54" max="63" width="10" style="1430" hidden="1" customWidth="1" outlineLevel="2"/>
    <col min="64" max="64" width="11.42578125" style="1430" customWidth="1" outlineLevel="1" collapsed="1"/>
    <col min="65" max="65" width="1.140625" customWidth="1" outlineLevel="1"/>
    <col min="66" max="66" width="10" style="1430" hidden="1" customWidth="1" outlineLevel="2"/>
    <col min="67" max="67" width="13" style="1430" hidden="1" customWidth="1" outlineLevel="2"/>
    <col min="68" max="68" width="10" style="1430" customWidth="1" outlineLevel="1" collapsed="1"/>
    <col min="69" max="69" width="1.140625" customWidth="1" outlineLevel="1"/>
    <col min="70" max="70" width="18.7109375" style="1429" customWidth="1" outlineLevel="1"/>
    <col min="71" max="71" width="5.28515625" style="1430" customWidth="1"/>
    <col min="73" max="116" width="7.42578125" hidden="1" customWidth="1" outlineLevel="1"/>
    <col min="117" max="117" width="2.42578125" hidden="1" customWidth="1" outlineLevel="1"/>
    <col min="118" max="119" width="8.85546875" hidden="1" customWidth="1" outlineLevel="1"/>
    <col min="120" max="120" width="8.85546875" collapsed="1"/>
  </cols>
  <sheetData>
    <row r="1" spans="1:118" ht="6" customHeight="1" x14ac:dyDescent="0.2"/>
    <row r="2" spans="1:118" ht="21" customHeight="1" x14ac:dyDescent="0.2">
      <c r="D2" s="1432"/>
      <c r="E2" s="1433">
        <v>2030</v>
      </c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Y2" s="1434"/>
      <c r="Z2" s="1434"/>
      <c r="AA2" s="1434"/>
      <c r="AB2" s="1434"/>
      <c r="AC2" s="1434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N2"/>
      <c r="BO2"/>
      <c r="BP2"/>
      <c r="BR2" s="74"/>
      <c r="BS2" s="1435"/>
    </row>
    <row r="3" spans="1:118" ht="39" customHeight="1" x14ac:dyDescent="0.2">
      <c r="A3" s="1436"/>
      <c r="B3" s="1436"/>
      <c r="C3" s="1436"/>
      <c r="D3" s="1437"/>
      <c r="E3" s="1438" t="s">
        <v>171</v>
      </c>
      <c r="G3" s="1439" t="s">
        <v>912</v>
      </c>
      <c r="H3" s="1439"/>
      <c r="I3" s="1439"/>
      <c r="J3" s="1439"/>
      <c r="K3" s="1439"/>
      <c r="L3" s="1439"/>
      <c r="M3" s="1439"/>
      <c r="N3" s="1439"/>
      <c r="O3" s="1439"/>
      <c r="P3" s="1439"/>
      <c r="Q3" s="1439"/>
      <c r="R3" s="1439"/>
      <c r="S3" s="1439"/>
      <c r="T3" s="1439"/>
      <c r="U3" s="1439"/>
      <c r="V3" s="1439"/>
      <c r="W3" s="1439"/>
      <c r="Y3" s="1440" t="s">
        <v>913</v>
      </c>
      <c r="Z3" s="1441"/>
      <c r="AA3" s="1441"/>
      <c r="AB3" s="1441"/>
      <c r="AC3" s="1441"/>
      <c r="AD3" s="1442"/>
      <c r="AE3" s="1441"/>
      <c r="AF3" s="1441"/>
      <c r="AG3" s="1441"/>
      <c r="AH3" s="1441"/>
      <c r="AI3" s="1441"/>
      <c r="AJ3" s="1441"/>
      <c r="AK3" s="1441"/>
      <c r="AL3" s="1441"/>
      <c r="AM3" s="1441"/>
      <c r="AN3" s="1441"/>
      <c r="AO3" s="1441"/>
      <c r="AP3" s="1441"/>
      <c r="AQ3" s="1443"/>
      <c r="AS3" s="1444" t="s">
        <v>914</v>
      </c>
      <c r="AT3" s="1445"/>
      <c r="AU3" s="1445"/>
      <c r="AV3" s="1446"/>
      <c r="AW3" s="1445"/>
      <c r="AX3" s="1445"/>
      <c r="AY3" s="1445"/>
      <c r="AZ3" s="1445"/>
      <c r="BA3" s="1445"/>
      <c r="BB3" s="1445"/>
      <c r="BC3" s="1445"/>
      <c r="BD3" s="1445"/>
      <c r="BE3" s="1445"/>
      <c r="BF3" s="1445"/>
      <c r="BG3" s="1445"/>
      <c r="BH3" s="1445"/>
      <c r="BI3" s="1445"/>
      <c r="BJ3" s="1445"/>
      <c r="BK3" s="1445"/>
      <c r="BL3" s="1447"/>
      <c r="BN3" s="1448" t="s">
        <v>915</v>
      </c>
      <c r="BO3" s="1449"/>
      <c r="BP3" s="1449"/>
      <c r="BR3" s="1450"/>
      <c r="BS3" s="1450"/>
      <c r="BT3" s="1436"/>
      <c r="BU3" s="1451" t="s">
        <v>918</v>
      </c>
      <c r="BV3" s="1452"/>
      <c r="BW3" s="1452"/>
      <c r="BX3" s="1452"/>
      <c r="BY3" s="1452"/>
      <c r="BZ3" s="1452"/>
      <c r="CA3" s="1452"/>
      <c r="CB3" s="1452"/>
      <c r="CC3" s="1452"/>
      <c r="CD3" s="1452"/>
      <c r="CE3" s="1452"/>
      <c r="CF3" s="1452"/>
      <c r="CG3" s="1452"/>
      <c r="CH3" s="1452"/>
      <c r="CI3" s="1452"/>
      <c r="CJ3" s="1452"/>
      <c r="CK3" s="1452"/>
      <c r="CL3" s="1452"/>
      <c r="CM3" s="1452"/>
      <c r="CN3" s="1452"/>
      <c r="CO3" s="1452"/>
      <c r="CP3" s="1452"/>
      <c r="CQ3" s="1452"/>
      <c r="CR3" s="1452"/>
      <c r="CS3" s="1452"/>
      <c r="CT3" s="1452"/>
      <c r="CU3" s="1452"/>
      <c r="CV3" s="1452"/>
      <c r="CW3" s="1452"/>
      <c r="CX3" s="1452"/>
      <c r="CY3" s="1452"/>
      <c r="CZ3" s="1452"/>
      <c r="DA3" s="1452"/>
      <c r="DB3" s="1452"/>
      <c r="DC3" s="1452"/>
      <c r="DD3" s="1452"/>
      <c r="DE3" s="1452"/>
      <c r="DF3" s="1452"/>
      <c r="DG3" s="1452"/>
      <c r="DH3" s="1452"/>
      <c r="DI3" s="1453"/>
      <c r="DJ3" s="1453"/>
      <c r="DK3" s="1453"/>
      <c r="DL3" s="1453"/>
    </row>
    <row r="4" spans="1:118" ht="63.75" customHeight="1" x14ac:dyDescent="0.2">
      <c r="C4" s="1454"/>
      <c r="D4" s="1454"/>
      <c r="G4" s="1455" t="str">
        <f>INDEX(Vectors[Descripción], MATCH(G$5,Vectors[Código],FALSE))</f>
        <v>Climatización</v>
      </c>
      <c r="H4" s="1455" t="str">
        <f>INDEX(Vectors[Descripción], MATCH(H$5,Vectors[Código],FALSE))</f>
        <v>Iluminación</v>
      </c>
      <c r="I4" s="1455" t="str">
        <f>INDEX(Vectors[Descripción], MATCH(I$5,Vectors[Código],FALSE))</f>
        <v>Refrigeración</v>
      </c>
      <c r="J4" s="1455" t="str">
        <f>INDEX(Vectors[Descripción], MATCH(J$5,Vectors[Código],FALSE))</f>
        <v>ACS</v>
      </c>
      <c r="K4" s="1455" t="str">
        <f>INDEX(Vectors[Descripción], MATCH(K$5,Vectors[Código],FALSE))</f>
        <v>Cocción</v>
      </c>
      <c r="L4" s="1455" t="str">
        <f>INDEX(Vectors[Descripción], MATCH(L$5,Vectors[Código],FALSE))</f>
        <v>Otros Electrodomésticos</v>
      </c>
      <c r="M4" s="1455" t="str">
        <f>INDEX(Vectors[Descripción], MATCH(M$5,Vectors[Código],FALSE))</f>
        <v>Industria y minería</v>
      </c>
      <c r="N4" s="1455" t="str">
        <f>INDEX(Vectors[Descripción], MATCH(N$5,Vectors[Código],FALSE))</f>
        <v>Transporte pasajeros caminero Urbano</v>
      </c>
      <c r="O4" s="1455" t="str">
        <f>INDEX(Vectors[Descripción], MATCH(O$5,Vectors[Código],FALSE))</f>
        <v>Transporte pasajeros caminero Interurbano</v>
      </c>
      <c r="P4" s="1455" t="str">
        <f>INDEX(Vectors[Descripción], MATCH(P$5,Vectors[Código],FALSE))</f>
        <v>Transporte pasajeros ferroviario Urbano</v>
      </c>
      <c r="Q4" s="1455" t="str">
        <f>INDEX(Vectors[Descripción], MATCH(Q$5,Vectors[Código],FALSE))</f>
        <v>Transporte pasajeros ferroviario Interurbano</v>
      </c>
      <c r="R4" s="1455" t="str">
        <f>INDEX(Vectors[Descripción], MATCH(R$5,Vectors[Código],FALSE))</f>
        <v>Transporte pasajeros Aéreo Interurbano</v>
      </c>
      <c r="S4" s="1455" t="str">
        <f>INDEX(Vectors[Descripción], MATCH(S$5,Vectors[Código],FALSE))</f>
        <v>Transporte de carga caminero Urbano</v>
      </c>
      <c r="T4" s="1455" t="str">
        <f>INDEX(Vectors[Descripción], MATCH(T$5,Vectors[Código],FALSE))</f>
        <v>Transporte de carga caminero Interurbano</v>
      </c>
      <c r="U4" s="1455" t="str">
        <f>INDEX(Vectors[Descripción], MATCH(U$5,Vectors[Código],FALSE))</f>
        <v>Transporte de carga ferroviario</v>
      </c>
      <c r="V4" s="1455" t="str">
        <f>INDEX(Vectors[Descripción], MATCH(V$5,Vectors[Código],FALSE))</f>
        <v>Transporte de carga maritimo</v>
      </c>
      <c r="W4" s="3169" t="s">
        <v>2218</v>
      </c>
      <c r="Y4" s="1456" t="str">
        <f>INDEX(Vectors[Descripción], MATCH(Y$5,Vectors[Código],FALSE))</f>
        <v>Electricidad (consumo final)</v>
      </c>
      <c r="Z4" s="1456" t="str">
        <f>INDEX(Vectors[Descripción], MATCH(Z5,Vectors[Código],FALSE))</f>
        <v>Electricidad (suministrada a la red)</v>
      </c>
      <c r="AA4" s="1456" t="str">
        <f>INDEX(Vectors[Descripción], MATCH(AA5,Vectors[Código],FALSE))</f>
        <v>Hidrocarburo Sólido</v>
      </c>
      <c r="AB4" s="1456" t="str">
        <f>INDEX(Vectors[Descripción], MATCH(AB5,Vectors[Código],FALSE))</f>
        <v>Hidrocarburo Líquido</v>
      </c>
      <c r="AC4" s="1456" t="str">
        <f>INDEX(Vectors[Descripción], MATCH(AC5,Vectors[Código],FALSE))</f>
        <v>Hidrocarburo Gaseoso</v>
      </c>
      <c r="AD4" s="1456" t="str">
        <f>INDEX(Vectors[Descripción], MATCH(AD5,Vectors[Código],FALSE))</f>
        <v>Carbón y  residuos fósiles</v>
      </c>
      <c r="AE4" s="1456" t="str">
        <f>INDEX(Vectors[Descripción], MATCH(AE5,Vectors[Código],FALSE))</f>
        <v>Derivados del petróleo</v>
      </c>
      <c r="AF4" s="1456" t="str">
        <f>INDEX(Vectors[Descripción], MATCH(AF5,Vectors[Código],FALSE))</f>
        <v>Gas Natural</v>
      </c>
      <c r="AG4" s="1456" t="str">
        <f>INDEX(Vectors[Descripción], MATCH(AG5,Vectors[Código],FALSE))</f>
        <v>Blast furnace gas</v>
      </c>
      <c r="AH4" s="1456" t="str">
        <f>INDEX(Vectors[Descripción], MATCH(AH5,Vectors[Código],FALSE))</f>
        <v>Heat transport</v>
      </c>
      <c r="AI4" s="1456" t="str">
        <f>INDEX(Vectors[Descripción], MATCH(AI5,Vectors[Código],FALSE))</f>
        <v>Biomasa comestible</v>
      </c>
      <c r="AJ4" s="1456" t="str">
        <f>INDEX(Vectors[Descripción], MATCH(AJ5,Vectors[Código],FALSE))</f>
        <v>Cultivos para Energía (segunda generación)</v>
      </c>
      <c r="AK4" s="1456" t="str">
        <f>INDEX(Vectors[Descripción], MATCH(AK5,Vectors[Código],FALSE))</f>
        <v>Cultivos para Energía (primera generación)</v>
      </c>
      <c r="AL4" s="1456" t="str">
        <f>INDEX(Vectors[Descripción], MATCH(AL5,Vectors[Código],FALSE))</f>
        <v>Biomasa</v>
      </c>
      <c r="AM4" s="1456" t="str">
        <f>INDEX(Vectors[Descripción], MATCH(AM5,Vectors[Código],FALSE))</f>
        <v>Biomasa seca y residuos</v>
      </c>
      <c r="AN4" s="1456" t="str">
        <f>INDEX(Vectors[Descripción], MATCH(AN5,Vectors[Código],FALSE))</f>
        <v>Residuos gaseosos</v>
      </c>
      <c r="AO4" s="1456" t="str">
        <f>INDEX(Vectors[Descripción], MATCH(AO5,Vectors[Código],FALSE))</f>
        <v>Solar para uso térmico domestico</v>
      </c>
      <c r="AP4" s="1456" t="str">
        <f>INDEX(Vectors[Descripción], MATCH(AP5,Vectors[Código],FALSE))</f>
        <v>H2</v>
      </c>
      <c r="AQ4" s="3170" t="s">
        <v>976</v>
      </c>
      <c r="AS4" s="1457" t="str">
        <f>INDEX(Vectors[Descripción], MATCH(AS5,Vectors[Código],FALSE))</f>
        <v>Reservas de Carbón</v>
      </c>
      <c r="AT4" s="1457" t="str">
        <f>INDEX(Vectors[Descripción], MATCH(AT5,Vectors[Código],FALSE))</f>
        <v>Reservas de Petroleo</v>
      </c>
      <c r="AU4" s="1457" t="str">
        <f>INDEX(Vectors[Descripción], MATCH(AU5,Vectors[Código],FALSE))</f>
        <v>Reservas de Gas</v>
      </c>
      <c r="AV4" s="1457" t="str">
        <f>INDEX(Vectors[Descripción], MATCH(AV5,Vectors[Código],FALSE))</f>
        <v>Biomasa sobreoferta  (importada)</v>
      </c>
      <c r="AW4" s="1457" t="str">
        <f>INDEX(Vectors[Descripción], MATCH(AW5,Vectors[Código],FALSE))</f>
        <v>Electricidad sobreoferta  (importada)</v>
      </c>
      <c r="AX4" s="1457" t="str">
        <f>INDEX(Vectors[Descripción], MATCH(AX5,Vectors[Código],FALSE))</f>
        <v xml:space="preserve">Dervidados del Petroleo sobreoferta </v>
      </c>
      <c r="AY4" s="1457" t="str">
        <f>INDEX(Vectors[Descripción], MATCH(AY5,Vectors[Código],FALSE))</f>
        <v>Carbón sobreoferta  (importada)</v>
      </c>
      <c r="AZ4" s="1457" t="str">
        <f>INDEX(Vectors[Descripción], MATCH(AZ5,Vectors[Código],FALSE))</f>
        <v>Carbón sobreoferta  (importada)</v>
      </c>
      <c r="BA4" s="1457">
        <f>INDEX(Vectors[Descripción], MATCH(BA5,Vectors[Código],FALSE))</f>
        <v>0</v>
      </c>
      <c r="BB4" s="1457" t="str">
        <f>INDEX(Vectors[Descripción], MATCH(BB5,Vectors[Código],FALSE))</f>
        <v>Fisión nuclear</v>
      </c>
      <c r="BC4" s="1457" t="str">
        <f>INDEX(Vectors[Descripción], MATCH(BC5,Vectors[Código],FALSE))</f>
        <v>Solar</v>
      </c>
      <c r="BD4" s="1457" t="str">
        <f>INDEX(Vectors[Descripción], MATCH(BD5,Vectors[Código],FALSE))</f>
        <v>Viento</v>
      </c>
      <c r="BE4" s="1457" t="str">
        <f>INDEX(Vectors[Descripción], MATCH(BE5,Vectors[Código],FALSE))</f>
        <v>Mareomotriz</v>
      </c>
      <c r="BF4" s="1457" t="str">
        <f>INDEX(Vectors[Descripción], MATCH(BF5,Vectors[Código],FALSE))</f>
        <v>Undimotriz</v>
      </c>
      <c r="BG4" s="1457" t="str">
        <f>INDEX(Vectors[Descripción], MATCH(BG5,Vectors[Código],FALSE))</f>
        <v>Geotermia</v>
      </c>
      <c r="BH4" s="1457" t="str">
        <f>INDEX(Vectors[Descripción], MATCH(BH5,Vectors[Código],FALSE))</f>
        <v>Hidro</v>
      </c>
      <c r="BI4" s="1457" t="str">
        <f>INDEX(Vectors[Descripción], MATCH(BI5,Vectors[Código],FALSE))</f>
        <v>Almacenamiento</v>
      </c>
      <c r="BJ4" s="1457" t="str">
        <f>INDEX(Vectors[Descripción], MATCH(BJ5,Vectors[Código],FALSE))</f>
        <v>Agropecuario</v>
      </c>
      <c r="BK4" s="1457" t="str">
        <f>INDEX(Vectors[Descripción], MATCH(BK5,Vectors[Código],FALSE))</f>
        <v>Residuos</v>
      </c>
      <c r="BL4" s="3171" t="s">
        <v>977</v>
      </c>
      <c r="BN4" s="1458" t="str">
        <f>INDEX(Vectors[Descripción], MATCH(BN5,Vectors[Código],FALSE))</f>
        <v>Perdidas por conversión</v>
      </c>
      <c r="BO4" s="1458" t="str">
        <f>INDEX(Vectors[Descripción], MATCH(BO5,Vectors[Código],FALSE))</f>
        <v>Perdidas por distribución y uso propio</v>
      </c>
      <c r="BP4" s="3172" t="s">
        <v>978</v>
      </c>
      <c r="BR4" s="1459"/>
      <c r="BS4" s="1459"/>
      <c r="BU4" s="1460" t="s">
        <v>720</v>
      </c>
      <c r="BV4" s="1461"/>
      <c r="BW4" s="1461"/>
      <c r="BX4" s="1462"/>
      <c r="BY4" s="1460" t="s">
        <v>722</v>
      </c>
      <c r="BZ4" s="1461"/>
      <c r="CA4" s="1461"/>
      <c r="CB4" s="1462"/>
      <c r="CC4" s="1460" t="s">
        <v>723</v>
      </c>
      <c r="CD4" s="1461"/>
      <c r="CE4" s="1461"/>
      <c r="CF4" s="1462"/>
      <c r="CG4" s="1460" t="s">
        <v>724</v>
      </c>
      <c r="CH4" s="1461"/>
      <c r="CI4" s="1461"/>
      <c r="CJ4" s="1462"/>
      <c r="CK4" s="1460" t="s">
        <v>544</v>
      </c>
      <c r="CL4" s="1461"/>
      <c r="CM4" s="1461"/>
      <c r="CN4" s="1462"/>
      <c r="CO4" s="1460" t="s">
        <v>725</v>
      </c>
      <c r="CP4" s="1461"/>
      <c r="CQ4" s="1461"/>
      <c r="CR4" s="1462"/>
      <c r="CS4" s="1460" t="s">
        <v>545</v>
      </c>
      <c r="CT4" s="1461"/>
      <c r="CU4" s="1461"/>
      <c r="CV4" s="1462"/>
      <c r="CW4" s="1460" t="s">
        <v>726</v>
      </c>
      <c r="CX4" s="1461"/>
      <c r="CY4" s="1461"/>
      <c r="CZ4" s="1462"/>
      <c r="DA4" s="1460" t="s">
        <v>728</v>
      </c>
      <c r="DB4" s="1461"/>
      <c r="DC4" s="1461"/>
      <c r="DD4" s="1462"/>
      <c r="DE4" s="1460" t="s">
        <v>730</v>
      </c>
      <c r="DF4" s="1461"/>
      <c r="DG4" s="1461"/>
      <c r="DH4" s="1462"/>
      <c r="DI4" s="1460" t="s">
        <v>732</v>
      </c>
      <c r="DJ4" s="1461"/>
      <c r="DK4" s="1461"/>
      <c r="DL4" s="1462"/>
      <c r="DN4" s="1463" t="s">
        <v>118</v>
      </c>
    </row>
    <row r="5" spans="1:118" x14ac:dyDescent="0.2">
      <c r="D5" s="1464" t="s">
        <v>40</v>
      </c>
      <c r="G5" s="1465" t="s">
        <v>454</v>
      </c>
      <c r="H5" s="1465" t="s">
        <v>1007</v>
      </c>
      <c r="I5" s="1465" t="s">
        <v>1008</v>
      </c>
      <c r="J5" s="1465" t="s">
        <v>1009</v>
      </c>
      <c r="K5" s="1465" t="s">
        <v>1010</v>
      </c>
      <c r="L5" s="1465" t="s">
        <v>1011</v>
      </c>
      <c r="M5" s="1465" t="s">
        <v>453</v>
      </c>
      <c r="N5" s="1465" t="s">
        <v>447</v>
      </c>
      <c r="O5" s="1465" t="s">
        <v>448</v>
      </c>
      <c r="P5" s="1465" t="s">
        <v>449</v>
      </c>
      <c r="Q5" s="1465" t="s">
        <v>450</v>
      </c>
      <c r="R5" s="1465" t="s">
        <v>451</v>
      </c>
      <c r="S5" s="1465" t="s">
        <v>452</v>
      </c>
      <c r="T5" s="1465" t="s">
        <v>984</v>
      </c>
      <c r="U5" s="1465" t="s">
        <v>985</v>
      </c>
      <c r="V5" s="1465" t="s">
        <v>986</v>
      </c>
      <c r="W5" s="1465"/>
      <c r="Y5" s="1466" t="s">
        <v>149</v>
      </c>
      <c r="Z5" s="1466" t="s">
        <v>150</v>
      </c>
      <c r="AA5" s="1466" t="s">
        <v>330</v>
      </c>
      <c r="AB5" s="1466" t="s">
        <v>333</v>
      </c>
      <c r="AC5" s="1466" t="s">
        <v>335</v>
      </c>
      <c r="AD5" s="1466" t="s">
        <v>467</v>
      </c>
      <c r="AE5" s="1466" t="s">
        <v>468</v>
      </c>
      <c r="AF5" s="1466" t="s">
        <v>469</v>
      </c>
      <c r="AG5" s="1466" t="s">
        <v>470</v>
      </c>
      <c r="AH5" s="1466" t="s">
        <v>471</v>
      </c>
      <c r="AI5" s="1466" t="s">
        <v>472</v>
      </c>
      <c r="AJ5" s="1466" t="s">
        <v>709</v>
      </c>
      <c r="AK5" s="1466" t="s">
        <v>804</v>
      </c>
      <c r="AL5" s="1466" t="s">
        <v>473</v>
      </c>
      <c r="AM5" s="1466" t="s">
        <v>474</v>
      </c>
      <c r="AN5" s="1466" t="s">
        <v>805</v>
      </c>
      <c r="AO5" s="1466" t="s">
        <v>475</v>
      </c>
      <c r="AP5" s="1466" t="s">
        <v>630</v>
      </c>
      <c r="AQ5" s="1466"/>
      <c r="AS5" s="1467" t="s">
        <v>464</v>
      </c>
      <c r="AT5" s="1467" t="s">
        <v>465</v>
      </c>
      <c r="AU5" s="1467" t="s">
        <v>466</v>
      </c>
      <c r="AV5" s="1467" t="s">
        <v>458</v>
      </c>
      <c r="AW5" s="1467" t="s">
        <v>459</v>
      </c>
      <c r="AX5" s="1467" t="s">
        <v>460</v>
      </c>
      <c r="AY5" s="1467" t="s">
        <v>461</v>
      </c>
      <c r="AZ5" s="1467" t="s">
        <v>462</v>
      </c>
      <c r="BA5" s="1467" t="s">
        <v>463</v>
      </c>
      <c r="BB5" s="1467" t="s">
        <v>157</v>
      </c>
      <c r="BC5" s="1467" t="s">
        <v>315</v>
      </c>
      <c r="BD5" s="1467" t="s">
        <v>218</v>
      </c>
      <c r="BE5" s="1467" t="s">
        <v>285</v>
      </c>
      <c r="BF5" s="1467" t="s">
        <v>286</v>
      </c>
      <c r="BG5" s="1467" t="s">
        <v>302</v>
      </c>
      <c r="BH5" s="1467" t="s">
        <v>249</v>
      </c>
      <c r="BI5" s="1467" t="s">
        <v>455</v>
      </c>
      <c r="BJ5" s="1467" t="s">
        <v>456</v>
      </c>
      <c r="BK5" s="1467" t="s">
        <v>457</v>
      </c>
      <c r="BL5" s="1467"/>
      <c r="BN5" s="1468" t="s">
        <v>184</v>
      </c>
      <c r="BO5" s="1468" t="s">
        <v>185</v>
      </c>
      <c r="BP5" s="1468"/>
      <c r="BR5" s="3173" t="s">
        <v>1017</v>
      </c>
      <c r="BS5" s="1469"/>
      <c r="BU5" s="1470" t="s">
        <v>399</v>
      </c>
      <c r="BV5" s="1471" t="s">
        <v>399</v>
      </c>
      <c r="BW5" s="1471" t="s">
        <v>399</v>
      </c>
      <c r="BX5" s="1472" t="s">
        <v>399</v>
      </c>
      <c r="BY5" s="1470" t="s">
        <v>721</v>
      </c>
      <c r="BZ5" s="1471" t="s">
        <v>721</v>
      </c>
      <c r="CA5" s="1471" t="s">
        <v>721</v>
      </c>
      <c r="CB5" s="1472" t="s">
        <v>721</v>
      </c>
      <c r="CC5" s="1470">
        <v>2</v>
      </c>
      <c r="CD5" s="1471">
        <v>2</v>
      </c>
      <c r="CE5" s="1471">
        <v>2</v>
      </c>
      <c r="CF5" s="1472">
        <v>2</v>
      </c>
      <c r="CG5" s="1470">
        <v>3</v>
      </c>
      <c r="CH5" s="1471">
        <v>3</v>
      </c>
      <c r="CI5" s="1471">
        <v>3</v>
      </c>
      <c r="CJ5" s="1472">
        <v>3</v>
      </c>
      <c r="CK5" s="1470">
        <v>4</v>
      </c>
      <c r="CL5" s="1471">
        <v>4</v>
      </c>
      <c r="CM5" s="1471">
        <v>4</v>
      </c>
      <c r="CN5" s="1472">
        <v>4</v>
      </c>
      <c r="CO5" s="1470">
        <v>5</v>
      </c>
      <c r="CP5" s="1471">
        <v>5</v>
      </c>
      <c r="CQ5" s="1471">
        <v>5</v>
      </c>
      <c r="CR5" s="1472">
        <v>5</v>
      </c>
      <c r="CS5" s="1470">
        <v>6</v>
      </c>
      <c r="CT5" s="1471">
        <v>6</v>
      </c>
      <c r="CU5" s="1471">
        <v>6</v>
      </c>
      <c r="CV5" s="1472">
        <v>6</v>
      </c>
      <c r="CW5" s="1470">
        <v>7</v>
      </c>
      <c r="CX5" s="1471">
        <v>7</v>
      </c>
      <c r="CY5" s="1471">
        <v>7</v>
      </c>
      <c r="CZ5" s="1472">
        <v>7</v>
      </c>
      <c r="DA5" s="1470" t="s">
        <v>727</v>
      </c>
      <c r="DB5" s="1471" t="s">
        <v>727</v>
      </c>
      <c r="DC5" s="1471" t="s">
        <v>727</v>
      </c>
      <c r="DD5" s="1472" t="s">
        <v>727</v>
      </c>
      <c r="DE5" s="1470" t="s">
        <v>729</v>
      </c>
      <c r="DF5" s="1471" t="s">
        <v>729</v>
      </c>
      <c r="DG5" s="1471" t="s">
        <v>729</v>
      </c>
      <c r="DH5" s="1472" t="s">
        <v>729</v>
      </c>
      <c r="DI5" s="1470" t="s">
        <v>731</v>
      </c>
      <c r="DJ5" s="1471" t="s">
        <v>731</v>
      </c>
      <c r="DK5" s="1471" t="s">
        <v>731</v>
      </c>
      <c r="DL5" s="1472" t="s">
        <v>731</v>
      </c>
    </row>
    <row r="6" spans="1:118" ht="15.75" customHeight="1" x14ac:dyDescent="0.2">
      <c r="G6" s="1473"/>
      <c r="H6" s="1473"/>
      <c r="I6" s="1473"/>
      <c r="J6" s="1473"/>
      <c r="K6" s="1473"/>
      <c r="L6" s="1473"/>
      <c r="M6" s="1473"/>
      <c r="N6" s="1473"/>
      <c r="O6" s="1474"/>
      <c r="P6" s="1473"/>
      <c r="Q6" s="1473"/>
      <c r="R6" s="1473"/>
      <c r="S6" s="1473"/>
      <c r="T6" s="1473"/>
      <c r="U6" s="1473"/>
      <c r="V6" s="1473"/>
      <c r="W6" s="1473"/>
      <c r="Y6" s="1475"/>
      <c r="Z6" s="1475"/>
      <c r="AA6" s="1475"/>
      <c r="AB6" s="1475"/>
      <c r="AC6" s="1475"/>
      <c r="AD6" s="1475"/>
      <c r="AE6" s="1475"/>
      <c r="AF6" s="1475"/>
      <c r="AG6" s="1475"/>
      <c r="AH6" s="1475"/>
      <c r="AI6" s="1475"/>
      <c r="AJ6" s="1475"/>
      <c r="AK6" s="1475"/>
      <c r="AL6" s="1475"/>
      <c r="AM6" s="1475"/>
      <c r="AN6" s="1475"/>
      <c r="AO6" s="1475"/>
      <c r="AP6" s="1475"/>
      <c r="AQ6" s="1475"/>
      <c r="AS6" s="1476"/>
      <c r="AT6" s="1476"/>
      <c r="AU6" s="1476"/>
      <c r="AV6" s="1476"/>
      <c r="AW6" s="1476"/>
      <c r="AX6" s="1476"/>
      <c r="AY6" s="1476"/>
      <c r="AZ6" s="1476"/>
      <c r="BA6" s="1476"/>
      <c r="BB6" s="1476"/>
      <c r="BC6" s="1476"/>
      <c r="BD6" s="1476"/>
      <c r="BE6" s="1476"/>
      <c r="BF6" s="1476"/>
      <c r="BG6" s="1476"/>
      <c r="BH6" s="1476"/>
      <c r="BI6" s="1476"/>
      <c r="BJ6" s="1476"/>
      <c r="BK6" s="1476"/>
      <c r="BL6" s="1476"/>
      <c r="BN6" s="1477"/>
      <c r="BO6" s="1477"/>
      <c r="BP6" s="1477"/>
      <c r="BR6" s="1956"/>
      <c r="BS6" s="1478"/>
      <c r="BU6" s="1479" t="s">
        <v>398</v>
      </c>
      <c r="BV6" s="1479" t="s">
        <v>400</v>
      </c>
      <c r="BW6" s="1479" t="s">
        <v>401</v>
      </c>
      <c r="BX6" s="1479" t="s">
        <v>806</v>
      </c>
      <c r="BY6" s="1479" t="s">
        <v>398</v>
      </c>
      <c r="BZ6" s="1479" t="s">
        <v>400</v>
      </c>
      <c r="CA6" s="1479" t="s">
        <v>401</v>
      </c>
      <c r="CB6" s="1479" t="s">
        <v>806</v>
      </c>
      <c r="CC6" s="1479" t="s">
        <v>398</v>
      </c>
      <c r="CD6" s="1479" t="s">
        <v>400</v>
      </c>
      <c r="CE6" s="1479" t="s">
        <v>401</v>
      </c>
      <c r="CF6" s="1479" t="s">
        <v>806</v>
      </c>
      <c r="CG6" s="1479" t="s">
        <v>398</v>
      </c>
      <c r="CH6" s="1479" t="s">
        <v>400</v>
      </c>
      <c r="CI6" s="1479" t="s">
        <v>401</v>
      </c>
      <c r="CJ6" s="1479" t="s">
        <v>806</v>
      </c>
      <c r="CK6" s="1479" t="s">
        <v>398</v>
      </c>
      <c r="CL6" s="1479" t="s">
        <v>400</v>
      </c>
      <c r="CM6" s="1479" t="s">
        <v>401</v>
      </c>
      <c r="CN6" s="1479" t="s">
        <v>806</v>
      </c>
      <c r="CO6" s="1479" t="s">
        <v>398</v>
      </c>
      <c r="CP6" s="1479" t="s">
        <v>400</v>
      </c>
      <c r="CQ6" s="1479" t="s">
        <v>401</v>
      </c>
      <c r="CR6" s="1479" t="s">
        <v>806</v>
      </c>
      <c r="CS6" s="1479" t="s">
        <v>398</v>
      </c>
      <c r="CT6" s="1479" t="s">
        <v>400</v>
      </c>
      <c r="CU6" s="1479" t="s">
        <v>401</v>
      </c>
      <c r="CV6" s="1479" t="s">
        <v>806</v>
      </c>
      <c r="CW6" s="1479" t="s">
        <v>398</v>
      </c>
      <c r="CX6" s="1479" t="s">
        <v>400</v>
      </c>
      <c r="CY6" s="1479" t="s">
        <v>401</v>
      </c>
      <c r="CZ6" s="1479" t="s">
        <v>806</v>
      </c>
      <c r="DA6" s="1479" t="s">
        <v>398</v>
      </c>
      <c r="DB6" s="1479" t="s">
        <v>400</v>
      </c>
      <c r="DC6" s="1479" t="s">
        <v>401</v>
      </c>
      <c r="DD6" s="1479" t="s">
        <v>806</v>
      </c>
      <c r="DE6" s="1479" t="s">
        <v>398</v>
      </c>
      <c r="DF6" s="1479" t="s">
        <v>400</v>
      </c>
      <c r="DG6" s="1479" t="s">
        <v>401</v>
      </c>
      <c r="DH6" s="1479" t="s">
        <v>806</v>
      </c>
      <c r="DI6" s="1479" t="s">
        <v>398</v>
      </c>
      <c r="DJ6" s="1479" t="s">
        <v>400</v>
      </c>
      <c r="DK6" s="1479" t="s">
        <v>401</v>
      </c>
      <c r="DL6" s="1479" t="s">
        <v>806</v>
      </c>
    </row>
    <row r="7" spans="1:118" ht="18" customHeight="1" x14ac:dyDescent="0.2">
      <c r="C7" s="1480" t="s">
        <v>405</v>
      </c>
      <c r="D7" s="1480"/>
      <c r="E7" s="1481"/>
      <c r="G7" s="1482"/>
      <c r="H7" s="1482"/>
      <c r="I7" s="1482"/>
      <c r="J7" s="1482"/>
      <c r="K7" s="1482"/>
      <c r="L7" s="1482"/>
      <c r="M7" s="1482"/>
      <c r="N7" s="1482"/>
      <c r="O7" s="1482"/>
      <c r="P7" s="1482"/>
      <c r="Q7" s="1482"/>
      <c r="R7" s="1482"/>
      <c r="S7" s="1482"/>
      <c r="T7" s="1482"/>
      <c r="U7" s="1482"/>
      <c r="V7" s="1482"/>
      <c r="W7" s="1482"/>
      <c r="Y7" s="1483"/>
      <c r="Z7" s="1483"/>
      <c r="AA7" s="1483"/>
      <c r="AB7" s="1483"/>
      <c r="AC7" s="1483"/>
      <c r="AD7" s="1483"/>
      <c r="AE7" s="1483"/>
      <c r="AF7" s="1483"/>
      <c r="AG7" s="1483"/>
      <c r="AH7" s="1483"/>
      <c r="AI7" s="1483"/>
      <c r="AJ7" s="1483"/>
      <c r="AK7" s="1483"/>
      <c r="AL7" s="1483"/>
      <c r="AM7" s="1483"/>
      <c r="AN7" s="1483"/>
      <c r="AO7" s="1483"/>
      <c r="AP7" s="1483"/>
      <c r="AQ7" s="1483"/>
      <c r="AS7" s="1484"/>
      <c r="AT7" s="1484"/>
      <c r="AU7" s="1484"/>
      <c r="AV7" s="1484"/>
      <c r="AW7" s="1484"/>
      <c r="AX7" s="1484"/>
      <c r="AY7" s="1484"/>
      <c r="AZ7" s="1484"/>
      <c r="BA7" s="1484"/>
      <c r="BB7" s="1484"/>
      <c r="BC7" s="1484"/>
      <c r="BD7" s="1484"/>
      <c r="BE7" s="1484"/>
      <c r="BF7" s="1484"/>
      <c r="BG7" s="1484"/>
      <c r="BH7" s="1484"/>
      <c r="BI7" s="1484"/>
      <c r="BJ7" s="1484"/>
      <c r="BK7" s="1484"/>
      <c r="BL7" s="1484"/>
      <c r="BN7" s="1485"/>
      <c r="BO7" s="1485"/>
      <c r="BP7" s="1485"/>
      <c r="BR7" s="3168">
        <f t="shared" ref="BR7:BR14" si="0">W7+AQ7+BL7+BP7</f>
        <v>0</v>
      </c>
      <c r="BS7" s="1486"/>
      <c r="BU7" s="1487"/>
      <c r="BV7" s="1487"/>
      <c r="BW7" s="1487"/>
      <c r="BX7" s="1487"/>
      <c r="BY7" s="1487"/>
      <c r="BZ7" s="1487"/>
      <c r="CA7" s="1487"/>
      <c r="CB7" s="1487"/>
      <c r="CC7" s="1487"/>
      <c r="CD7" s="1487"/>
      <c r="CE7" s="1487"/>
      <c r="CF7" s="1487"/>
      <c r="CG7" s="1487"/>
      <c r="CH7" s="1487"/>
      <c r="CI7" s="1487"/>
      <c r="CJ7" s="1487"/>
      <c r="CK7" s="1487"/>
      <c r="CL7" s="1487"/>
      <c r="CM7" s="1487"/>
      <c r="CN7" s="1487"/>
      <c r="CO7" s="1487"/>
      <c r="CP7" s="1487"/>
      <c r="CQ7" s="1487"/>
      <c r="CR7" s="1487"/>
      <c r="CS7" s="1487"/>
      <c r="CT7" s="1487"/>
      <c r="CU7" s="1487"/>
      <c r="CV7" s="1487"/>
      <c r="CW7" s="1487"/>
      <c r="CX7" s="1487"/>
      <c r="CY7" s="1487"/>
      <c r="CZ7" s="1487"/>
      <c r="DA7" s="1487"/>
      <c r="DB7" s="1487"/>
      <c r="DC7" s="1487"/>
      <c r="DD7" s="1487"/>
      <c r="DE7" s="1487"/>
      <c r="DF7" s="1487"/>
      <c r="DG7" s="1487"/>
      <c r="DH7" s="1487"/>
      <c r="DI7" s="1487"/>
      <c r="DJ7" s="1487"/>
      <c r="DK7" s="1487"/>
      <c r="DL7" s="1487"/>
    </row>
    <row r="8" spans="1:118" ht="12.75" hidden="1" customHeight="1" outlineLevel="1" x14ac:dyDescent="0.2">
      <c r="G8" s="1488"/>
      <c r="H8" s="1488"/>
      <c r="I8" s="1488"/>
      <c r="J8" s="1488"/>
      <c r="K8" s="1488"/>
      <c r="L8" s="1488"/>
      <c r="M8" s="1488"/>
      <c r="N8" s="1488"/>
      <c r="O8" s="1489"/>
      <c r="P8" s="1488"/>
      <c r="Q8" s="1488"/>
      <c r="R8" s="1488"/>
      <c r="S8" s="1488"/>
      <c r="T8" s="1488"/>
      <c r="U8" s="1488"/>
      <c r="V8" s="1488"/>
      <c r="W8" s="1488"/>
      <c r="Y8" s="1490"/>
      <c r="Z8" s="1490"/>
      <c r="AA8" s="1490"/>
      <c r="AB8" s="1490"/>
      <c r="AC8" s="1490"/>
      <c r="AD8" s="1490"/>
      <c r="AE8" s="1490"/>
      <c r="AF8" s="1490"/>
      <c r="AG8" s="1490"/>
      <c r="AH8" s="1490"/>
      <c r="AI8" s="1490"/>
      <c r="AJ8" s="1490"/>
      <c r="AK8" s="1490"/>
      <c r="AL8" s="1490"/>
      <c r="AM8" s="1490"/>
      <c r="AN8" s="1490"/>
      <c r="AO8" s="1490"/>
      <c r="AP8" s="1490"/>
      <c r="AQ8" s="1490"/>
      <c r="AS8" s="1491"/>
      <c r="AT8" s="1491"/>
      <c r="AU8" s="1491"/>
      <c r="AV8" s="1491"/>
      <c r="AW8" s="1491"/>
      <c r="AX8" s="1491"/>
      <c r="AY8" s="1491"/>
      <c r="AZ8" s="1491"/>
      <c r="BA8" s="1491"/>
      <c r="BB8" s="1491"/>
      <c r="BC8" s="1491"/>
      <c r="BD8" s="1491"/>
      <c r="BE8" s="1491"/>
      <c r="BF8" s="1491"/>
      <c r="BG8" s="1491"/>
      <c r="BH8" s="1491"/>
      <c r="BI8" s="1491"/>
      <c r="BJ8" s="1491"/>
      <c r="BK8" s="1491"/>
      <c r="BL8" s="1491"/>
      <c r="BN8" s="1492"/>
      <c r="BO8" s="1492"/>
      <c r="BP8" s="1492"/>
      <c r="BR8" s="3168">
        <f t="shared" si="0"/>
        <v>0</v>
      </c>
      <c r="BS8" s="1493"/>
      <c r="BU8" s="1494"/>
      <c r="BV8" s="1494"/>
      <c r="BW8" s="1494"/>
      <c r="BX8" s="1494"/>
      <c r="BY8" s="1494"/>
      <c r="BZ8" s="1494"/>
      <c r="CA8" s="1494"/>
      <c r="CB8" s="1494"/>
      <c r="CC8" s="1494"/>
      <c r="CD8" s="1494"/>
      <c r="CE8" s="1494"/>
      <c r="CF8" s="1494"/>
      <c r="CG8" s="1494"/>
      <c r="CH8" s="1494"/>
      <c r="CI8" s="1494"/>
      <c r="CJ8" s="1494"/>
      <c r="CK8" s="1494"/>
      <c r="CL8" s="1494"/>
      <c r="CM8" s="1494"/>
      <c r="CN8" s="1494"/>
      <c r="CO8" s="1494"/>
      <c r="CP8" s="1494"/>
      <c r="CQ8" s="1494"/>
      <c r="CR8" s="1494"/>
      <c r="CS8" s="1494"/>
      <c r="CT8" s="1494"/>
      <c r="CU8" s="1494"/>
      <c r="CV8" s="1494"/>
      <c r="CW8" s="1494"/>
      <c r="CX8" s="1494"/>
      <c r="CY8" s="1494"/>
      <c r="CZ8" s="1494"/>
      <c r="DA8" s="1494"/>
      <c r="DB8" s="1494"/>
      <c r="DC8" s="1494"/>
      <c r="DD8" s="1494"/>
      <c r="DE8" s="1494"/>
      <c r="DF8" s="1494"/>
      <c r="DG8" s="1494"/>
      <c r="DH8" s="1494"/>
      <c r="DI8" s="1494"/>
      <c r="DJ8" s="1494"/>
      <c r="DK8" s="1494"/>
      <c r="DL8" s="1494"/>
    </row>
    <row r="9" spans="1:118" s="14" customFormat="1" ht="10.5" hidden="1" customHeight="1" outlineLevel="2" x14ac:dyDescent="0.2">
      <c r="A9" s="1495"/>
      <c r="B9" s="1495"/>
      <c r="C9" s="1511" t="s">
        <v>86</v>
      </c>
      <c r="D9" s="14" t="str">
        <f>INDEX(Modulos[Modulos], MATCH($C9, Modulos[Código], 0))</f>
        <v>Residencial</v>
      </c>
      <c r="G9" s="1540">
        <f ca="1">IFERROR(INDEX(INDIRECT($C9&amp;".Outputs["&amp;this.Year&amp;"]"), MATCH(G$5, INDIRECT($C9&amp;".Outputs[Vector]"), 0)), 0)</f>
        <v>41.403844214010057</v>
      </c>
      <c r="H9" s="1540">
        <f t="shared" ref="H9:V9" ca="1" si="1">IFERROR(INDEX(INDIRECT($C9&amp;".Outputs["&amp;this.Year&amp;"]"), MATCH(H$5, INDIRECT($C9&amp;".Outputs[Vector]"), 0)), 0)</f>
        <v>2.0591609911052959</v>
      </c>
      <c r="I9" s="1540">
        <f t="shared" ca="1" si="1"/>
        <v>3.6770731984023146</v>
      </c>
      <c r="J9" s="1540">
        <f t="shared" ca="1" si="1"/>
        <v>12.943297658376144</v>
      </c>
      <c r="K9" s="1540">
        <f t="shared" ca="1" si="1"/>
        <v>5.5891512615715175</v>
      </c>
      <c r="L9" s="1540">
        <f t="shared" ca="1" si="1"/>
        <v>7.8689366445809545</v>
      </c>
      <c r="M9" s="1540">
        <f t="shared" ca="1" si="1"/>
        <v>0</v>
      </c>
      <c r="N9" s="1540">
        <f t="shared" ca="1" si="1"/>
        <v>0</v>
      </c>
      <c r="O9" s="1540">
        <f t="shared" ca="1" si="1"/>
        <v>0</v>
      </c>
      <c r="P9" s="1540">
        <f t="shared" ca="1" si="1"/>
        <v>0</v>
      </c>
      <c r="Q9" s="1540">
        <f t="shared" ca="1" si="1"/>
        <v>0</v>
      </c>
      <c r="R9" s="1540">
        <f t="shared" ca="1" si="1"/>
        <v>0</v>
      </c>
      <c r="S9" s="1540">
        <f t="shared" ca="1" si="1"/>
        <v>0</v>
      </c>
      <c r="T9" s="1540">
        <f t="shared" ca="1" si="1"/>
        <v>0</v>
      </c>
      <c r="U9" s="1540">
        <f t="shared" ca="1" si="1"/>
        <v>0</v>
      </c>
      <c r="V9" s="1540">
        <f t="shared" ca="1" si="1"/>
        <v>0</v>
      </c>
      <c r="W9" s="1539">
        <f ca="1">SUM(G9:V9)</f>
        <v>73.541463968046287</v>
      </c>
      <c r="Y9" s="1500">
        <f ca="1">IFERROR(INDEX(INDIRECT($C9&amp;".Outputs["&amp;this.Year&amp;"]"), MATCH(Y$5, INDIRECT($C9&amp;".Outputs[Vector]"), 0)), 0)</f>
        <v>-20.309620330385322</v>
      </c>
      <c r="Z9" s="1500">
        <f t="shared" ref="Z9:AP9" ca="1" si="2">IFERROR(INDEX(INDIRECT($C9&amp;".Outputs["&amp;this.Year&amp;"]"), MATCH(Z$5, INDIRECT($C9&amp;".Outputs[Vector]"), 0)), 0)</f>
        <v>0</v>
      </c>
      <c r="AA9" s="1500">
        <f t="shared" ca="1" si="2"/>
        <v>0</v>
      </c>
      <c r="AB9" s="1500">
        <f t="shared" ca="1" si="2"/>
        <v>-8.9838254459887565</v>
      </c>
      <c r="AC9" s="1500">
        <f t="shared" ca="1" si="2"/>
        <v>-35.943450534093174</v>
      </c>
      <c r="AD9" s="1500">
        <f t="shared" ca="1" si="2"/>
        <v>0</v>
      </c>
      <c r="AE9" s="1500">
        <f t="shared" ca="1" si="2"/>
        <v>0</v>
      </c>
      <c r="AF9" s="1500">
        <f t="shared" ca="1" si="2"/>
        <v>0</v>
      </c>
      <c r="AG9" s="1500">
        <f t="shared" ca="1" si="2"/>
        <v>0</v>
      </c>
      <c r="AH9" s="1500">
        <f t="shared" ca="1" si="2"/>
        <v>0</v>
      </c>
      <c r="AI9" s="1500">
        <f t="shared" ca="1" si="2"/>
        <v>0</v>
      </c>
      <c r="AJ9" s="1500">
        <f t="shared" ca="1" si="2"/>
        <v>0</v>
      </c>
      <c r="AK9" s="1500">
        <f t="shared" ca="1" si="2"/>
        <v>0</v>
      </c>
      <c r="AL9" s="1500">
        <f ca="1">IFERROR(INDEX(INDIRECT($C9&amp;".Outputs["&amp;this.Year&amp;"]"), MATCH(AL$5, INDIRECT($C9&amp;".Outputs[Vector]"), 0)), 0)</f>
        <v>-8.3045676575790282</v>
      </c>
      <c r="AM9" s="1500">
        <f t="shared" ca="1" si="2"/>
        <v>0</v>
      </c>
      <c r="AN9" s="1500">
        <f t="shared" ca="1" si="2"/>
        <v>0</v>
      </c>
      <c r="AO9" s="1500">
        <f t="shared" ca="1" si="2"/>
        <v>0</v>
      </c>
      <c r="AP9" s="1500">
        <f t="shared" ca="1" si="2"/>
        <v>0</v>
      </c>
      <c r="AQ9" s="1490">
        <f ca="1">SUM(Y9:AP9)</f>
        <v>-73.541463968046273</v>
      </c>
      <c r="AS9" s="1491">
        <f t="shared" ref="AS9:BK9" ca="1" si="3">IFERROR(INDEX(INDIRECT($C9&amp;".Outputs["&amp;this.Year&amp;"]"), MATCH(AS$5, INDIRECT($C9&amp;".Outputs[Vector]"), 0)), 0)</f>
        <v>0</v>
      </c>
      <c r="AT9" s="1491">
        <f t="shared" ca="1" si="3"/>
        <v>0</v>
      </c>
      <c r="AU9" s="1491">
        <f t="shared" ca="1" si="3"/>
        <v>0</v>
      </c>
      <c r="AV9" s="1491">
        <f t="shared" ca="1" si="3"/>
        <v>0</v>
      </c>
      <c r="AW9" s="1491">
        <f t="shared" ca="1" si="3"/>
        <v>0</v>
      </c>
      <c r="AX9" s="1491">
        <f t="shared" ca="1" si="3"/>
        <v>0</v>
      </c>
      <c r="AY9" s="1491">
        <f t="shared" ca="1" si="3"/>
        <v>0</v>
      </c>
      <c r="AZ9" s="1491">
        <f t="shared" ca="1" si="3"/>
        <v>0</v>
      </c>
      <c r="BA9" s="1491">
        <f t="shared" ca="1" si="3"/>
        <v>0</v>
      </c>
      <c r="BB9" s="1491">
        <f t="shared" ca="1" si="3"/>
        <v>0</v>
      </c>
      <c r="BC9" s="1491">
        <f t="shared" ca="1" si="3"/>
        <v>0</v>
      </c>
      <c r="BD9" s="1491">
        <f t="shared" ca="1" si="3"/>
        <v>0</v>
      </c>
      <c r="BE9" s="1491">
        <f t="shared" ca="1" si="3"/>
        <v>0</v>
      </c>
      <c r="BF9" s="1491">
        <f t="shared" ca="1" si="3"/>
        <v>0</v>
      </c>
      <c r="BG9" s="1491">
        <f t="shared" ca="1" si="3"/>
        <v>0</v>
      </c>
      <c r="BH9" s="1491">
        <f t="shared" ca="1" si="3"/>
        <v>0</v>
      </c>
      <c r="BI9" s="1491">
        <f t="shared" ca="1" si="3"/>
        <v>0</v>
      </c>
      <c r="BJ9" s="1491">
        <f t="shared" ca="1" si="3"/>
        <v>0</v>
      </c>
      <c r="BK9" s="1491">
        <f t="shared" ca="1" si="3"/>
        <v>0</v>
      </c>
      <c r="BL9" s="1503">
        <f ca="1">SUM(AS9:BK9)</f>
        <v>0</v>
      </c>
      <c r="BN9" s="1941">
        <f ca="1">IFERROR(INDEX(INDIRECT($C9&amp;".Outputs["&amp;this.Year&amp;"]"), MATCH(BN$5, INDIRECT($C9&amp;".Outputs[Vector]"), 0)), 0)</f>
        <v>0</v>
      </c>
      <c r="BO9" s="1941">
        <f ca="1">IFERROR(INDEX(INDIRECT($C9&amp;".Outputs["&amp;this.Year&amp;"]"), MATCH(BO$5, INDIRECT($C9&amp;".Outputs[Vector]"), 0)), 0)</f>
        <v>0</v>
      </c>
      <c r="BP9" s="1505">
        <f ca="1">BN9+BO9</f>
        <v>0</v>
      </c>
      <c r="BR9" s="3168">
        <f ca="1">W9+AQ9+BL9+BP9</f>
        <v>1.4210854715202004E-14</v>
      </c>
      <c r="BS9" s="1506"/>
      <c r="BT9" s="748"/>
      <c r="BU9" s="1507">
        <v>67.291769164453711</v>
      </c>
      <c r="BV9" s="1508">
        <v>0.13655504882378258</v>
      </c>
      <c r="BW9" s="1508">
        <v>0.22513176941521534</v>
      </c>
      <c r="BX9" s="1508">
        <v>0</v>
      </c>
      <c r="BY9" s="1508">
        <v>0</v>
      </c>
      <c r="BZ9" s="1508">
        <v>0</v>
      </c>
      <c r="CA9" s="1508">
        <v>0</v>
      </c>
      <c r="CB9" s="1508">
        <v>0</v>
      </c>
      <c r="CC9" s="1508">
        <v>0</v>
      </c>
      <c r="CD9" s="1508">
        <v>0</v>
      </c>
      <c r="CE9" s="1508">
        <v>0</v>
      </c>
      <c r="CF9" s="1508">
        <v>0</v>
      </c>
      <c r="CG9" s="1508">
        <v>0</v>
      </c>
      <c r="CH9" s="1508">
        <v>0</v>
      </c>
      <c r="CI9" s="1508">
        <v>0</v>
      </c>
      <c r="CJ9" s="1508">
        <v>0</v>
      </c>
      <c r="CK9" s="1508">
        <v>0</v>
      </c>
      <c r="CL9" s="1508">
        <v>0</v>
      </c>
      <c r="CM9" s="1508">
        <v>0</v>
      </c>
      <c r="CN9" s="1508">
        <v>0</v>
      </c>
      <c r="CO9" s="1508">
        <v>0</v>
      </c>
      <c r="CP9" s="1508">
        <v>0</v>
      </c>
      <c r="CQ9" s="1508">
        <v>0</v>
      </c>
      <c r="CR9" s="1508">
        <v>0</v>
      </c>
      <c r="CS9" s="1508">
        <v>0</v>
      </c>
      <c r="CT9" s="1508">
        <v>0</v>
      </c>
      <c r="CU9" s="1508">
        <v>0</v>
      </c>
      <c r="CV9" s="1508">
        <v>0</v>
      </c>
      <c r="CW9" s="1508">
        <v>0</v>
      </c>
      <c r="CX9" s="1508">
        <v>0</v>
      </c>
      <c r="CY9" s="1508">
        <v>0</v>
      </c>
      <c r="CZ9" s="1508">
        <v>0</v>
      </c>
      <c r="DA9" s="1508">
        <v>0</v>
      </c>
      <c r="DB9" s="1508">
        <v>0</v>
      </c>
      <c r="DC9" s="1508">
        <v>0</v>
      </c>
      <c r="DD9" s="1508">
        <v>0</v>
      </c>
      <c r="DE9" s="1508">
        <v>0</v>
      </c>
      <c r="DF9" s="1508">
        <v>0</v>
      </c>
      <c r="DG9" s="1508">
        <v>0</v>
      </c>
      <c r="DH9" s="1508">
        <v>0</v>
      </c>
      <c r="DI9" s="1508">
        <v>0</v>
      </c>
      <c r="DJ9" s="1508">
        <v>0</v>
      </c>
      <c r="DK9" s="1508">
        <v>0</v>
      </c>
      <c r="DL9" s="1508">
        <v>0</v>
      </c>
      <c r="DN9" s="1509"/>
    </row>
    <row r="10" spans="1:118" s="14" customFormat="1" ht="10.5" hidden="1" customHeight="1" outlineLevel="2" x14ac:dyDescent="0.2">
      <c r="A10" s="1510"/>
      <c r="B10" s="1510"/>
      <c r="C10" s="1511"/>
      <c r="D10" s="1510"/>
      <c r="E10" s="1512"/>
      <c r="G10" s="1513"/>
      <c r="H10" s="1513"/>
      <c r="I10" s="1513"/>
      <c r="J10" s="1513"/>
      <c r="K10" s="1513"/>
      <c r="L10" s="1513"/>
      <c r="M10" s="1513"/>
      <c r="N10" s="1513"/>
      <c r="O10" s="1513"/>
      <c r="P10" s="1513"/>
      <c r="Q10" s="1513"/>
      <c r="R10" s="1513"/>
      <c r="S10" s="1513"/>
      <c r="T10" s="1513"/>
      <c r="U10" s="1513"/>
      <c r="V10" s="1513"/>
      <c r="W10" s="1514"/>
      <c r="Y10" s="1515"/>
      <c r="Z10" s="1515"/>
      <c r="AA10" s="1515"/>
      <c r="AB10" s="1515"/>
      <c r="AC10" s="1515"/>
      <c r="AD10" s="1515"/>
      <c r="AE10" s="1515"/>
      <c r="AF10" s="1515"/>
      <c r="AG10" s="1515"/>
      <c r="AH10" s="1515"/>
      <c r="AI10" s="1515"/>
      <c r="AJ10" s="1515"/>
      <c r="AK10" s="1515"/>
      <c r="AL10" s="1515"/>
      <c r="AM10" s="1515"/>
      <c r="AN10" s="1515"/>
      <c r="AO10" s="1515"/>
      <c r="AP10" s="1515"/>
      <c r="AQ10" s="1516"/>
      <c r="AS10" s="1517"/>
      <c r="AT10" s="1517"/>
      <c r="AU10" s="1517"/>
      <c r="AV10" s="1517"/>
      <c r="AW10" s="1517"/>
      <c r="AX10" s="1517"/>
      <c r="AY10" s="1517"/>
      <c r="AZ10" s="1517"/>
      <c r="BA10" s="1517"/>
      <c r="BB10" s="1517"/>
      <c r="BC10" s="1517"/>
      <c r="BD10" s="1517"/>
      <c r="BE10" s="1517"/>
      <c r="BF10" s="1517"/>
      <c r="BG10" s="1517"/>
      <c r="BH10" s="1517"/>
      <c r="BI10" s="1517"/>
      <c r="BJ10" s="1517"/>
      <c r="BK10" s="1517"/>
      <c r="BL10" s="1518"/>
      <c r="BN10" s="1519"/>
      <c r="BO10" s="1519"/>
      <c r="BP10" s="1520"/>
      <c r="BR10" s="3168">
        <f t="shared" si="0"/>
        <v>0</v>
      </c>
      <c r="BS10" s="1521"/>
      <c r="BT10" s="748"/>
      <c r="BU10" s="1507">
        <v>0</v>
      </c>
      <c r="BV10" s="1508">
        <v>0</v>
      </c>
      <c r="BW10" s="1508">
        <v>0</v>
      </c>
      <c r="BX10" s="1508">
        <v>0</v>
      </c>
      <c r="BY10" s="1508">
        <v>0</v>
      </c>
      <c r="BZ10" s="1508">
        <v>0</v>
      </c>
      <c r="CA10" s="1508">
        <v>0</v>
      </c>
      <c r="CB10" s="1508">
        <v>0</v>
      </c>
      <c r="CC10" s="1508">
        <v>0</v>
      </c>
      <c r="CD10" s="1508">
        <v>0</v>
      </c>
      <c r="CE10" s="1508">
        <v>0</v>
      </c>
      <c r="CF10" s="1508">
        <v>0</v>
      </c>
      <c r="CG10" s="1508">
        <v>0</v>
      </c>
      <c r="CH10" s="1508">
        <v>0</v>
      </c>
      <c r="CI10" s="1508">
        <v>0</v>
      </c>
      <c r="CJ10" s="1508">
        <v>0</v>
      </c>
      <c r="CK10" s="1508">
        <v>0</v>
      </c>
      <c r="CL10" s="1508">
        <v>0</v>
      </c>
      <c r="CM10" s="1508">
        <v>0</v>
      </c>
      <c r="CN10" s="1508">
        <v>0</v>
      </c>
      <c r="CO10" s="1508">
        <v>0</v>
      </c>
      <c r="CP10" s="1508">
        <v>0</v>
      </c>
      <c r="CQ10" s="1508">
        <v>0</v>
      </c>
      <c r="CR10" s="1508">
        <v>0</v>
      </c>
      <c r="CS10" s="1508">
        <v>0</v>
      </c>
      <c r="CT10" s="1508">
        <v>0</v>
      </c>
      <c r="CU10" s="1508">
        <v>0</v>
      </c>
      <c r="CV10" s="1508">
        <v>0</v>
      </c>
      <c r="CW10" s="1508">
        <v>0</v>
      </c>
      <c r="CX10" s="1508">
        <v>0</v>
      </c>
      <c r="CY10" s="1508">
        <v>0</v>
      </c>
      <c r="CZ10" s="1508">
        <v>0</v>
      </c>
      <c r="DA10" s="1508">
        <v>0</v>
      </c>
      <c r="DB10" s="1508">
        <v>0</v>
      </c>
      <c r="DC10" s="1508">
        <v>0</v>
      </c>
      <c r="DD10" s="1508">
        <v>0</v>
      </c>
      <c r="DE10" s="1508">
        <v>0</v>
      </c>
      <c r="DF10" s="1508">
        <v>0</v>
      </c>
      <c r="DG10" s="1508">
        <v>0</v>
      </c>
      <c r="DH10" s="1508">
        <v>0</v>
      </c>
      <c r="DI10" s="1508">
        <v>0</v>
      </c>
      <c r="DJ10" s="1508">
        <v>0</v>
      </c>
      <c r="DK10" s="1508">
        <v>0</v>
      </c>
      <c r="DL10" s="1508">
        <v>0</v>
      </c>
      <c r="DN10" s="1509"/>
    </row>
    <row r="11" spans="1:118" s="14" customFormat="1" ht="12.75" hidden="1" customHeight="1" outlineLevel="1" x14ac:dyDescent="0.2">
      <c r="A11" s="1522"/>
      <c r="B11" s="1522"/>
      <c r="C11" s="1496"/>
      <c r="D11" s="1522"/>
      <c r="E11" s="1497"/>
      <c r="G11" s="1499"/>
      <c r="H11" s="1499"/>
      <c r="I11" s="1499"/>
      <c r="J11" s="1499"/>
      <c r="K11" s="1499"/>
      <c r="L11" s="1499"/>
      <c r="M11" s="1499"/>
      <c r="N11" s="1499"/>
      <c r="O11" s="1499"/>
      <c r="P11" s="1499"/>
      <c r="Q11" s="1499"/>
      <c r="R11" s="1499"/>
      <c r="S11" s="1499"/>
      <c r="T11" s="1499"/>
      <c r="U11" s="1499"/>
      <c r="V11" s="1499"/>
      <c r="W11" s="1499"/>
      <c r="Y11" s="1501"/>
      <c r="Z11" s="1501"/>
      <c r="AA11" s="1501"/>
      <c r="AB11" s="1501"/>
      <c r="AC11" s="1501"/>
      <c r="AD11" s="1501"/>
      <c r="AE11" s="1501"/>
      <c r="AF11" s="1501"/>
      <c r="AG11" s="1501"/>
      <c r="AH11" s="1501"/>
      <c r="AI11" s="1501"/>
      <c r="AJ11" s="1501"/>
      <c r="AK11" s="1501"/>
      <c r="AL11" s="1501"/>
      <c r="AM11" s="1501"/>
      <c r="AN11" s="1501"/>
      <c r="AO11" s="1501"/>
      <c r="AP11" s="1501"/>
      <c r="AQ11" s="1501"/>
      <c r="AS11" s="1523"/>
      <c r="AT11" s="1523"/>
      <c r="AU11" s="1523"/>
      <c r="AV11" s="1523"/>
      <c r="AW11" s="1523"/>
      <c r="AX11" s="1523"/>
      <c r="AY11" s="1523"/>
      <c r="AZ11" s="1523"/>
      <c r="BA11" s="1523"/>
      <c r="BB11" s="1523"/>
      <c r="BC11" s="1523"/>
      <c r="BD11" s="1523"/>
      <c r="BE11" s="1523"/>
      <c r="BF11" s="1523"/>
      <c r="BG11" s="1523"/>
      <c r="BH11" s="1523"/>
      <c r="BI11" s="1523"/>
      <c r="BJ11" s="1523"/>
      <c r="BK11" s="1523"/>
      <c r="BL11" s="1524"/>
      <c r="BN11" s="1505"/>
      <c r="BO11" s="1505"/>
      <c r="BP11" s="1505"/>
      <c r="BR11" s="3168">
        <f t="shared" si="0"/>
        <v>0</v>
      </c>
      <c r="BS11" s="1525"/>
      <c r="BT11" s="748"/>
      <c r="BU11" s="1507">
        <v>67.291769164453711</v>
      </c>
      <c r="BV11" s="1508">
        <v>0.13655504882378258</v>
      </c>
      <c r="BW11" s="1508">
        <v>0.22513176941521534</v>
      </c>
      <c r="BX11" s="1508">
        <v>0</v>
      </c>
      <c r="BY11" s="1508">
        <v>0</v>
      </c>
      <c r="BZ11" s="1508">
        <v>0</v>
      </c>
      <c r="CA11" s="1508">
        <v>0</v>
      </c>
      <c r="CB11" s="1508">
        <v>0</v>
      </c>
      <c r="CC11" s="1508">
        <v>0</v>
      </c>
      <c r="CD11" s="1508">
        <v>0</v>
      </c>
      <c r="CE11" s="1508">
        <v>0</v>
      </c>
      <c r="CF11" s="1508">
        <v>0</v>
      </c>
      <c r="CG11" s="1508">
        <v>0</v>
      </c>
      <c r="CH11" s="1508">
        <v>0</v>
      </c>
      <c r="CI11" s="1508">
        <v>0</v>
      </c>
      <c r="CJ11" s="1508">
        <v>0</v>
      </c>
      <c r="CK11" s="1508">
        <v>0</v>
      </c>
      <c r="CL11" s="1508">
        <v>0</v>
      </c>
      <c r="CM11" s="1508">
        <v>0</v>
      </c>
      <c r="CN11" s="1508">
        <v>0</v>
      </c>
      <c r="CO11" s="1508">
        <v>0</v>
      </c>
      <c r="CP11" s="1508">
        <v>0</v>
      </c>
      <c r="CQ11" s="1508">
        <v>0</v>
      </c>
      <c r="CR11" s="1508">
        <v>0</v>
      </c>
      <c r="CS11" s="1508">
        <v>0</v>
      </c>
      <c r="CT11" s="1508">
        <v>0</v>
      </c>
      <c r="CU11" s="1508">
        <v>0</v>
      </c>
      <c r="CV11" s="1508">
        <v>0</v>
      </c>
      <c r="CW11" s="1508">
        <v>0</v>
      </c>
      <c r="CX11" s="1508">
        <v>0</v>
      </c>
      <c r="CY11" s="1508">
        <v>0</v>
      </c>
      <c r="CZ11" s="1508">
        <v>0</v>
      </c>
      <c r="DA11" s="1508">
        <v>0</v>
      </c>
      <c r="DB11" s="1508">
        <v>0</v>
      </c>
      <c r="DC11" s="1508">
        <v>0</v>
      </c>
      <c r="DD11" s="1508">
        <v>0</v>
      </c>
      <c r="DE11" s="1508">
        <v>0</v>
      </c>
      <c r="DF11" s="1508">
        <v>0</v>
      </c>
      <c r="DG11" s="1508">
        <v>0</v>
      </c>
      <c r="DH11" s="1508">
        <v>0</v>
      </c>
      <c r="DI11" s="1508">
        <v>0</v>
      </c>
      <c r="DJ11" s="1508">
        <v>0</v>
      </c>
      <c r="DK11" s="1508">
        <v>0</v>
      </c>
      <c r="DL11" s="1508">
        <v>0</v>
      </c>
      <c r="DN11" s="1509"/>
    </row>
    <row r="12" spans="1:118" s="14" customFormat="1" ht="10.5" hidden="1" customHeight="1" outlineLevel="2" x14ac:dyDescent="0.2">
      <c r="A12" s="1495"/>
      <c r="B12" s="1495"/>
      <c r="C12" s="1496" t="s">
        <v>554</v>
      </c>
      <c r="D12" s="14" t="str">
        <f>INDEX(Modulos[Modulos], MATCH($C12, Modulos[Código], 0))</f>
        <v>Comercial y Púbico</v>
      </c>
      <c r="G12" s="1498">
        <f t="shared" ref="G12:V12" ca="1" si="4">IFERROR(INDEX(INDIRECT($C12&amp;".Outputs["&amp;this.Year&amp;"]"), MATCH(G$5, INDIRECT($C12&amp;".Outputs[Vector]"), 0)), 0)</f>
        <v>11.300135239617326</v>
      </c>
      <c r="H12" s="1498">
        <f t="shared" ca="1" si="4"/>
        <v>9.2365667166874843</v>
      </c>
      <c r="I12" s="1498">
        <f t="shared" ca="1" si="4"/>
        <v>0.76580358943224336</v>
      </c>
      <c r="J12" s="1498">
        <f t="shared" ca="1" si="4"/>
        <v>1.8753902203101234</v>
      </c>
      <c r="K12" s="1498">
        <f t="shared" ca="1" si="4"/>
        <v>0.9822107171921044</v>
      </c>
      <c r="L12" s="1498">
        <f t="shared" ca="1" si="4"/>
        <v>5.6229829501092006</v>
      </c>
      <c r="M12" s="1498">
        <f t="shared" ca="1" si="4"/>
        <v>0</v>
      </c>
      <c r="N12" s="1498">
        <f t="shared" ca="1" si="4"/>
        <v>0</v>
      </c>
      <c r="O12" s="1498">
        <f t="shared" ca="1" si="4"/>
        <v>0</v>
      </c>
      <c r="P12" s="1498">
        <f t="shared" ca="1" si="4"/>
        <v>0</v>
      </c>
      <c r="Q12" s="1498">
        <f t="shared" ca="1" si="4"/>
        <v>0</v>
      </c>
      <c r="R12" s="1498">
        <f t="shared" ca="1" si="4"/>
        <v>0</v>
      </c>
      <c r="S12" s="1498">
        <f t="shared" ca="1" si="4"/>
        <v>0</v>
      </c>
      <c r="T12" s="1498">
        <f t="shared" ca="1" si="4"/>
        <v>0</v>
      </c>
      <c r="U12" s="1498">
        <f t="shared" ca="1" si="4"/>
        <v>0</v>
      </c>
      <c r="V12" s="1498">
        <f t="shared" ca="1" si="4"/>
        <v>0</v>
      </c>
      <c r="W12" s="1539">
        <f ca="1">SUM(G12:V12)</f>
        <v>29.783089433348479</v>
      </c>
      <c r="Y12" s="1500">
        <f t="shared" ref="Y12:AP12" ca="1" si="5">IFERROR(INDEX(INDIRECT($C12&amp;".Outputs["&amp;this.Year&amp;"]"), MATCH(Y$5, INDIRECT($C12&amp;".Outputs[Vector]"), 0)), 0)</f>
        <v>-16.783008947317473</v>
      </c>
      <c r="Z12" s="1500">
        <f t="shared" ca="1" si="5"/>
        <v>0</v>
      </c>
      <c r="AA12" s="1500">
        <f t="shared" ca="1" si="5"/>
        <v>0</v>
      </c>
      <c r="AB12" s="1500">
        <f t="shared" ca="1" si="5"/>
        <v>-6.1609917511880425</v>
      </c>
      <c r="AC12" s="1500">
        <f t="shared" ca="1" si="5"/>
        <v>-6.2142238593212458</v>
      </c>
      <c r="AD12" s="1500">
        <f t="shared" ca="1" si="5"/>
        <v>0</v>
      </c>
      <c r="AE12" s="1500">
        <f t="shared" ca="1" si="5"/>
        <v>0</v>
      </c>
      <c r="AF12" s="1500">
        <f t="shared" ca="1" si="5"/>
        <v>0</v>
      </c>
      <c r="AG12" s="1500">
        <f t="shared" ca="1" si="5"/>
        <v>0</v>
      </c>
      <c r="AH12" s="1500">
        <f t="shared" ca="1" si="5"/>
        <v>0</v>
      </c>
      <c r="AI12" s="1500">
        <f t="shared" ca="1" si="5"/>
        <v>0</v>
      </c>
      <c r="AJ12" s="1500">
        <f t="shared" ca="1" si="5"/>
        <v>0</v>
      </c>
      <c r="AK12" s="1500">
        <f t="shared" ca="1" si="5"/>
        <v>0</v>
      </c>
      <c r="AL12" s="1500">
        <f t="shared" ca="1" si="5"/>
        <v>-0.60578047068513396</v>
      </c>
      <c r="AM12" s="1500">
        <f t="shared" ca="1" si="5"/>
        <v>0</v>
      </c>
      <c r="AN12" s="1500">
        <f t="shared" ca="1" si="5"/>
        <v>0</v>
      </c>
      <c r="AO12" s="1500">
        <f t="shared" ca="1" si="5"/>
        <v>0</v>
      </c>
      <c r="AP12" s="1500">
        <f t="shared" ca="1" si="5"/>
        <v>0</v>
      </c>
      <c r="AQ12" s="1490">
        <f ca="1">SUM(Y12:AP12)</f>
        <v>-29.764005028511896</v>
      </c>
      <c r="AS12" s="1491">
        <f t="shared" ref="AS12:BK12" ca="1" si="6">IFERROR(INDEX(INDIRECT($C12&amp;".Outputs["&amp;this.Year&amp;"]"), MATCH(AS$5, INDIRECT($C12&amp;".Outputs[Vector]"), 0)), 0)</f>
        <v>0</v>
      </c>
      <c r="AT12" s="1491">
        <f t="shared" ca="1" si="6"/>
        <v>0</v>
      </c>
      <c r="AU12" s="1491">
        <f t="shared" ca="1" si="6"/>
        <v>0</v>
      </c>
      <c r="AV12" s="1491">
        <f t="shared" ca="1" si="6"/>
        <v>0</v>
      </c>
      <c r="AW12" s="1491">
        <f t="shared" ca="1" si="6"/>
        <v>0</v>
      </c>
      <c r="AX12" s="1491">
        <f t="shared" ca="1" si="6"/>
        <v>0</v>
      </c>
      <c r="AY12" s="1491">
        <f t="shared" ca="1" si="6"/>
        <v>0</v>
      </c>
      <c r="AZ12" s="1491">
        <f t="shared" ca="1" si="6"/>
        <v>0</v>
      </c>
      <c r="BA12" s="1491">
        <f t="shared" ca="1" si="6"/>
        <v>0</v>
      </c>
      <c r="BB12" s="1491">
        <f t="shared" ca="1" si="6"/>
        <v>0</v>
      </c>
      <c r="BC12" s="1491">
        <f t="shared" ca="1" si="6"/>
        <v>-1.9084404836587632E-2</v>
      </c>
      <c r="BD12" s="1491">
        <f t="shared" ca="1" si="6"/>
        <v>0</v>
      </c>
      <c r="BE12" s="1491">
        <f t="shared" ca="1" si="6"/>
        <v>0</v>
      </c>
      <c r="BF12" s="1491">
        <f t="shared" ca="1" si="6"/>
        <v>0</v>
      </c>
      <c r="BG12" s="1491">
        <f t="shared" ca="1" si="6"/>
        <v>0</v>
      </c>
      <c r="BH12" s="1491">
        <f t="shared" ca="1" si="6"/>
        <v>0</v>
      </c>
      <c r="BI12" s="1491">
        <f t="shared" ca="1" si="6"/>
        <v>0</v>
      </c>
      <c r="BJ12" s="1491">
        <f t="shared" ca="1" si="6"/>
        <v>0</v>
      </c>
      <c r="BK12" s="1491">
        <f t="shared" ca="1" si="6"/>
        <v>0</v>
      </c>
      <c r="BL12" s="1503">
        <f ca="1">SUM(AS12:BK12)</f>
        <v>-1.9084404836587632E-2</v>
      </c>
      <c r="BN12" s="1941">
        <f ca="1">IFERROR(INDEX(INDIRECT($C12&amp;".Outputs["&amp;this.Year&amp;"]"), MATCH(BN$5, INDIRECT($C12&amp;".Outputs[Vector]"), 0)), 0)</f>
        <v>0</v>
      </c>
      <c r="BO12" s="1941">
        <f ca="1">IFERROR(INDEX(INDIRECT($C12&amp;".Outputs["&amp;this.Year&amp;"]"), MATCH(BO$5, INDIRECT($C12&amp;".Outputs[Vector]"), 0)), 0)</f>
        <v>0</v>
      </c>
      <c r="BP12" s="1505">
        <f ca="1">BN12+BO12</f>
        <v>0</v>
      </c>
      <c r="BR12" s="3168">
        <f t="shared" ca="1" si="0"/>
        <v>-4.3853809472693683E-15</v>
      </c>
      <c r="BS12" s="1506"/>
      <c r="BT12" s="748"/>
      <c r="BU12" s="1507">
        <v>16.670422935762357</v>
      </c>
      <c r="BV12" s="1508">
        <v>3.1691470049996472E-2</v>
      </c>
      <c r="BW12" s="1508">
        <v>7.1890492881915569E-2</v>
      </c>
      <c r="BX12" s="1508">
        <v>0</v>
      </c>
      <c r="BY12" s="1508">
        <v>0</v>
      </c>
      <c r="BZ12" s="1508">
        <v>0</v>
      </c>
      <c r="CA12" s="1508">
        <v>0</v>
      </c>
      <c r="CB12" s="1508">
        <v>0</v>
      </c>
      <c r="CC12" s="1508">
        <v>0</v>
      </c>
      <c r="CD12" s="1508">
        <v>0</v>
      </c>
      <c r="CE12" s="1508">
        <v>0</v>
      </c>
      <c r="CF12" s="1508">
        <v>0</v>
      </c>
      <c r="CG12" s="1508">
        <v>0</v>
      </c>
      <c r="CH12" s="1508">
        <v>0</v>
      </c>
      <c r="CI12" s="1508">
        <v>0</v>
      </c>
      <c r="CJ12" s="1508">
        <v>0</v>
      </c>
      <c r="CK12" s="1508">
        <v>0</v>
      </c>
      <c r="CL12" s="1508">
        <v>0</v>
      </c>
      <c r="CM12" s="1508">
        <v>0</v>
      </c>
      <c r="CN12" s="1508">
        <v>0</v>
      </c>
      <c r="CO12" s="1508">
        <v>0</v>
      </c>
      <c r="CP12" s="1508">
        <v>0</v>
      </c>
      <c r="CQ12" s="1508">
        <v>0</v>
      </c>
      <c r="CR12" s="1508">
        <v>0</v>
      </c>
      <c r="CS12" s="1508">
        <v>0</v>
      </c>
      <c r="CT12" s="1508">
        <v>0</v>
      </c>
      <c r="CU12" s="1508">
        <v>0</v>
      </c>
      <c r="CV12" s="1508">
        <v>0</v>
      </c>
      <c r="CW12" s="1508">
        <v>0</v>
      </c>
      <c r="CX12" s="1508">
        <v>0</v>
      </c>
      <c r="CY12" s="1508">
        <v>0</v>
      </c>
      <c r="CZ12" s="1508">
        <v>0</v>
      </c>
      <c r="DA12" s="1508">
        <v>0</v>
      </c>
      <c r="DB12" s="1508">
        <v>0</v>
      </c>
      <c r="DC12" s="1508">
        <v>0</v>
      </c>
      <c r="DD12" s="1508">
        <v>0</v>
      </c>
      <c r="DE12" s="1508">
        <v>0</v>
      </c>
      <c r="DF12" s="1508">
        <v>0</v>
      </c>
      <c r="DG12" s="1508">
        <v>0</v>
      </c>
      <c r="DH12" s="1508">
        <v>0</v>
      </c>
      <c r="DI12" s="1508">
        <v>0</v>
      </c>
      <c r="DJ12" s="1508">
        <v>0</v>
      </c>
      <c r="DK12" s="1508">
        <v>0</v>
      </c>
      <c r="DL12" s="1508">
        <v>0</v>
      </c>
      <c r="DN12" s="1509"/>
    </row>
    <row r="13" spans="1:118" s="14" customFormat="1" ht="10.5" hidden="1" customHeight="1" outlineLevel="2" x14ac:dyDescent="0.2">
      <c r="A13" s="1510"/>
      <c r="B13" s="1510"/>
      <c r="C13" s="1511"/>
      <c r="D13" s="1510"/>
      <c r="E13" s="1512"/>
      <c r="G13" s="1513"/>
      <c r="H13" s="1513"/>
      <c r="I13" s="1513"/>
      <c r="J13" s="1513"/>
      <c r="K13" s="1513"/>
      <c r="L13" s="1513"/>
      <c r="M13" s="1513"/>
      <c r="N13" s="1513"/>
      <c r="O13" s="1513"/>
      <c r="P13" s="1513"/>
      <c r="Q13" s="1513"/>
      <c r="R13" s="1513"/>
      <c r="S13" s="1513"/>
      <c r="T13" s="1513"/>
      <c r="U13" s="1513"/>
      <c r="V13" s="1513"/>
      <c r="W13" s="1514"/>
      <c r="Y13" s="1515"/>
      <c r="Z13" s="1515"/>
      <c r="AA13" s="1515"/>
      <c r="AB13" s="1515"/>
      <c r="AC13" s="1515"/>
      <c r="AD13" s="1515"/>
      <c r="AE13" s="1515"/>
      <c r="AF13" s="1515"/>
      <c r="AG13" s="1515"/>
      <c r="AH13" s="1515"/>
      <c r="AI13" s="1515"/>
      <c r="AJ13" s="1515"/>
      <c r="AK13" s="1515"/>
      <c r="AL13" s="1515"/>
      <c r="AM13" s="1515"/>
      <c r="AN13" s="1515"/>
      <c r="AO13" s="1515"/>
      <c r="AP13" s="1515"/>
      <c r="AQ13" s="1516"/>
      <c r="AS13" s="1517"/>
      <c r="AT13" s="1517"/>
      <c r="AU13" s="1517"/>
      <c r="AV13" s="1517"/>
      <c r="AW13" s="1517"/>
      <c r="AX13" s="1517"/>
      <c r="AY13" s="1517"/>
      <c r="AZ13" s="1517"/>
      <c r="BA13" s="1517"/>
      <c r="BB13" s="1517"/>
      <c r="BC13" s="1517"/>
      <c r="BD13" s="1517"/>
      <c r="BE13" s="1517"/>
      <c r="BF13" s="1517"/>
      <c r="BG13" s="1517"/>
      <c r="BH13" s="1517"/>
      <c r="BI13" s="1517"/>
      <c r="BJ13" s="1517"/>
      <c r="BK13" s="1517"/>
      <c r="BL13" s="1518"/>
      <c r="BN13" s="1519"/>
      <c r="BO13" s="1519"/>
      <c r="BP13" s="1520"/>
      <c r="BR13" s="3168">
        <f t="shared" si="0"/>
        <v>0</v>
      </c>
      <c r="BS13" s="1521"/>
      <c r="BT13" s="748"/>
      <c r="BU13" s="1507">
        <v>0</v>
      </c>
      <c r="BV13" s="1508">
        <v>0</v>
      </c>
      <c r="BW13" s="1508">
        <v>0</v>
      </c>
      <c r="BX13" s="1508">
        <v>0</v>
      </c>
      <c r="BY13" s="1508">
        <v>0</v>
      </c>
      <c r="BZ13" s="1508">
        <v>0</v>
      </c>
      <c r="CA13" s="1508">
        <v>0</v>
      </c>
      <c r="CB13" s="1508">
        <v>0</v>
      </c>
      <c r="CC13" s="1508">
        <v>0</v>
      </c>
      <c r="CD13" s="1508">
        <v>0</v>
      </c>
      <c r="CE13" s="1508">
        <v>0</v>
      </c>
      <c r="CF13" s="1508">
        <v>0</v>
      </c>
      <c r="CG13" s="1508">
        <v>0</v>
      </c>
      <c r="CH13" s="1508">
        <v>0</v>
      </c>
      <c r="CI13" s="1508">
        <v>0</v>
      </c>
      <c r="CJ13" s="1508">
        <v>0</v>
      </c>
      <c r="CK13" s="1508">
        <v>0</v>
      </c>
      <c r="CL13" s="1508">
        <v>0</v>
      </c>
      <c r="CM13" s="1508">
        <v>0</v>
      </c>
      <c r="CN13" s="1508">
        <v>0</v>
      </c>
      <c r="CO13" s="1508">
        <v>0</v>
      </c>
      <c r="CP13" s="1508">
        <v>0</v>
      </c>
      <c r="CQ13" s="1508">
        <v>0</v>
      </c>
      <c r="CR13" s="1508">
        <v>0</v>
      </c>
      <c r="CS13" s="1508">
        <v>0</v>
      </c>
      <c r="CT13" s="1508">
        <v>0</v>
      </c>
      <c r="CU13" s="1508">
        <v>0</v>
      </c>
      <c r="CV13" s="1508">
        <v>0</v>
      </c>
      <c r="CW13" s="1508">
        <v>0</v>
      </c>
      <c r="CX13" s="1508">
        <v>0</v>
      </c>
      <c r="CY13" s="1508">
        <v>0</v>
      </c>
      <c r="CZ13" s="1508">
        <v>0</v>
      </c>
      <c r="DA13" s="1508">
        <v>0</v>
      </c>
      <c r="DB13" s="1508">
        <v>0</v>
      </c>
      <c r="DC13" s="1508">
        <v>0</v>
      </c>
      <c r="DD13" s="1508">
        <v>0</v>
      </c>
      <c r="DE13" s="1508">
        <v>0</v>
      </c>
      <c r="DF13" s="1508">
        <v>0</v>
      </c>
      <c r="DG13" s="1508">
        <v>0</v>
      </c>
      <c r="DH13" s="1508">
        <v>0</v>
      </c>
      <c r="DI13" s="1508">
        <v>0</v>
      </c>
      <c r="DJ13" s="1508">
        <v>0</v>
      </c>
      <c r="DK13" s="1508">
        <v>0</v>
      </c>
      <c r="DL13" s="1508">
        <v>0</v>
      </c>
      <c r="DN13" s="1509"/>
    </row>
    <row r="14" spans="1:118" s="14" customFormat="1" ht="12.75" hidden="1" customHeight="1" outlineLevel="1" x14ac:dyDescent="0.2">
      <c r="A14" s="1522"/>
      <c r="B14" s="1522"/>
      <c r="C14" s="1496"/>
      <c r="D14" s="1526"/>
      <c r="E14" s="1526"/>
      <c r="G14" s="1527"/>
      <c r="H14" s="1527"/>
      <c r="I14" s="1527"/>
      <c r="J14" s="1527"/>
      <c r="K14" s="1527"/>
      <c r="L14" s="1527"/>
      <c r="M14" s="1527"/>
      <c r="N14" s="1527"/>
      <c r="O14" s="1527"/>
      <c r="P14" s="1527"/>
      <c r="Q14" s="1527"/>
      <c r="R14" s="1527"/>
      <c r="S14" s="1527"/>
      <c r="T14" s="1527"/>
      <c r="U14" s="1527"/>
      <c r="V14" s="1527"/>
      <c r="W14" s="1527"/>
      <c r="Y14" s="1528"/>
      <c r="Z14" s="1528"/>
      <c r="AA14" s="1528"/>
      <c r="AB14" s="1528"/>
      <c r="AC14" s="1528"/>
      <c r="AD14" s="1528"/>
      <c r="AE14" s="1528"/>
      <c r="AF14" s="1528"/>
      <c r="AG14" s="1528"/>
      <c r="AH14" s="1528"/>
      <c r="AI14" s="1528"/>
      <c r="AJ14" s="1528"/>
      <c r="AK14" s="1528"/>
      <c r="AL14" s="1528"/>
      <c r="AM14" s="1528"/>
      <c r="AN14" s="1528"/>
      <c r="AO14" s="1528"/>
      <c r="AP14" s="1528"/>
      <c r="AQ14" s="1528"/>
      <c r="AS14" s="1529"/>
      <c r="AT14" s="1529"/>
      <c r="AU14" s="1529"/>
      <c r="AV14" s="1529"/>
      <c r="AW14" s="1529"/>
      <c r="AX14" s="1529"/>
      <c r="AY14" s="1529"/>
      <c r="AZ14" s="1529"/>
      <c r="BA14" s="1529"/>
      <c r="BB14" s="1529"/>
      <c r="BC14" s="1529"/>
      <c r="BD14" s="1529"/>
      <c r="BE14" s="1529"/>
      <c r="BF14" s="1529"/>
      <c r="BG14" s="1529"/>
      <c r="BH14" s="1529"/>
      <c r="BI14" s="1529"/>
      <c r="BJ14" s="1529"/>
      <c r="BK14" s="1529"/>
      <c r="BL14" s="1530"/>
      <c r="BN14" s="1531"/>
      <c r="BO14" s="1531"/>
      <c r="BP14" s="1531"/>
      <c r="BR14" s="3168">
        <f t="shared" si="0"/>
        <v>0</v>
      </c>
      <c r="BS14" s="1525"/>
      <c r="BT14" s="748"/>
      <c r="BU14" s="1532">
        <v>16.670422935762357</v>
      </c>
      <c r="BV14" s="1533">
        <v>3.1691470049996472E-2</v>
      </c>
      <c r="BW14" s="1533">
        <v>7.1890492881915569E-2</v>
      </c>
      <c r="BX14" s="1533">
        <v>0</v>
      </c>
      <c r="BY14" s="1533">
        <v>0</v>
      </c>
      <c r="BZ14" s="1533">
        <v>0</v>
      </c>
      <c r="CA14" s="1533">
        <v>0</v>
      </c>
      <c r="CB14" s="1533">
        <v>0</v>
      </c>
      <c r="CC14" s="1533">
        <v>0</v>
      </c>
      <c r="CD14" s="1533">
        <v>0</v>
      </c>
      <c r="CE14" s="1533">
        <v>0</v>
      </c>
      <c r="CF14" s="1533">
        <v>0</v>
      </c>
      <c r="CG14" s="1533">
        <v>0</v>
      </c>
      <c r="CH14" s="1533">
        <v>0</v>
      </c>
      <c r="CI14" s="1533">
        <v>0</v>
      </c>
      <c r="CJ14" s="1533">
        <v>0</v>
      </c>
      <c r="CK14" s="1533">
        <v>0</v>
      </c>
      <c r="CL14" s="1533">
        <v>0</v>
      </c>
      <c r="CM14" s="1533">
        <v>0</v>
      </c>
      <c r="CN14" s="1533">
        <v>0</v>
      </c>
      <c r="CO14" s="1533">
        <v>0</v>
      </c>
      <c r="CP14" s="1533">
        <v>0</v>
      </c>
      <c r="CQ14" s="1533">
        <v>0</v>
      </c>
      <c r="CR14" s="1533">
        <v>0</v>
      </c>
      <c r="CS14" s="1533">
        <v>0</v>
      </c>
      <c r="CT14" s="1533">
        <v>0</v>
      </c>
      <c r="CU14" s="1533">
        <v>0</v>
      </c>
      <c r="CV14" s="1533">
        <v>0</v>
      </c>
      <c r="CW14" s="1533">
        <v>0</v>
      </c>
      <c r="CX14" s="1533">
        <v>0</v>
      </c>
      <c r="CY14" s="1533">
        <v>0</v>
      </c>
      <c r="CZ14" s="1533">
        <v>0</v>
      </c>
      <c r="DA14" s="1533">
        <v>0</v>
      </c>
      <c r="DB14" s="1533">
        <v>0</v>
      </c>
      <c r="DC14" s="1533">
        <v>0</v>
      </c>
      <c r="DD14" s="1533">
        <v>0</v>
      </c>
      <c r="DE14" s="1533">
        <v>0</v>
      </c>
      <c r="DF14" s="1533">
        <v>0</v>
      </c>
      <c r="DG14" s="1533">
        <v>0</v>
      </c>
      <c r="DH14" s="1533">
        <v>0</v>
      </c>
      <c r="DI14" s="1533">
        <v>0</v>
      </c>
      <c r="DJ14" s="1533">
        <v>0</v>
      </c>
      <c r="DK14" s="1533">
        <v>0</v>
      </c>
      <c r="DL14" s="1533">
        <v>0</v>
      </c>
      <c r="DN14" s="1509"/>
    </row>
    <row r="15" spans="1:118" s="14" customFormat="1" ht="15.75" collapsed="1" x14ac:dyDescent="0.2">
      <c r="A15" s="1534"/>
      <c r="B15" s="1535"/>
      <c r="C15" s="1536" t="s">
        <v>478</v>
      </c>
      <c r="D15" s="1537" t="str">
        <f>INDEX(Flujos[Flujos], MATCH($C15, Flujos[Código], 0))</f>
        <v>Comercial, Público y Residencial</v>
      </c>
      <c r="E15" s="1538"/>
      <c r="G15" s="1539">
        <f ca="1">G9+G12</f>
        <v>52.703979453627383</v>
      </c>
      <c r="H15" s="1539">
        <f ca="1">H9+H12</f>
        <v>11.29572770779278</v>
      </c>
      <c r="I15" s="1539">
        <f t="shared" ref="I15:V15" ca="1" si="7">I9+I12</f>
        <v>4.4428767878345576</v>
      </c>
      <c r="J15" s="1539">
        <f t="shared" ca="1" si="7"/>
        <v>14.818687878686267</v>
      </c>
      <c r="K15" s="1539">
        <f t="shared" ca="1" si="7"/>
        <v>6.5713619787636217</v>
      </c>
      <c r="L15" s="1539">
        <f t="shared" ca="1" si="7"/>
        <v>13.491919594690156</v>
      </c>
      <c r="M15" s="1539">
        <f t="shared" ca="1" si="7"/>
        <v>0</v>
      </c>
      <c r="N15" s="1539">
        <f t="shared" ca="1" si="7"/>
        <v>0</v>
      </c>
      <c r="O15" s="1539">
        <f t="shared" ca="1" si="7"/>
        <v>0</v>
      </c>
      <c r="P15" s="1539">
        <f t="shared" ca="1" si="7"/>
        <v>0</v>
      </c>
      <c r="Q15" s="1539">
        <f t="shared" ca="1" si="7"/>
        <v>0</v>
      </c>
      <c r="R15" s="1539">
        <f t="shared" ca="1" si="7"/>
        <v>0</v>
      </c>
      <c r="S15" s="1539">
        <f t="shared" ca="1" si="7"/>
        <v>0</v>
      </c>
      <c r="T15" s="1539">
        <f t="shared" ca="1" si="7"/>
        <v>0</v>
      </c>
      <c r="U15" s="1539">
        <f t="shared" ca="1" si="7"/>
        <v>0</v>
      </c>
      <c r="V15" s="1539">
        <f t="shared" ca="1" si="7"/>
        <v>0</v>
      </c>
      <c r="W15" s="1539">
        <f ca="1">SUM(G15:V15)</f>
        <v>103.32455340139477</v>
      </c>
      <c r="Y15" s="1490">
        <f ca="1">Y9+Y12</f>
        <v>-37.092629277702798</v>
      </c>
      <c r="Z15" s="1490">
        <f t="shared" ref="Z15:AP15" ca="1" si="8">Z9+Z12</f>
        <v>0</v>
      </c>
      <c r="AA15" s="1490">
        <f t="shared" ca="1" si="8"/>
        <v>0</v>
      </c>
      <c r="AB15" s="1490">
        <f ca="1">AB9+AB12</f>
        <v>-15.144817197176799</v>
      </c>
      <c r="AC15" s="1490">
        <f t="shared" ca="1" si="8"/>
        <v>-42.157674393414418</v>
      </c>
      <c r="AD15" s="1490">
        <f t="shared" ca="1" si="8"/>
        <v>0</v>
      </c>
      <c r="AE15" s="1490">
        <f t="shared" ca="1" si="8"/>
        <v>0</v>
      </c>
      <c r="AF15" s="1490">
        <f t="shared" ca="1" si="8"/>
        <v>0</v>
      </c>
      <c r="AG15" s="1490">
        <f t="shared" ca="1" si="8"/>
        <v>0</v>
      </c>
      <c r="AH15" s="1490">
        <f t="shared" ca="1" si="8"/>
        <v>0</v>
      </c>
      <c r="AI15" s="1490">
        <f t="shared" ca="1" si="8"/>
        <v>0</v>
      </c>
      <c r="AJ15" s="1490">
        <f t="shared" ca="1" si="8"/>
        <v>0</v>
      </c>
      <c r="AK15" s="1490">
        <f t="shared" ca="1" si="8"/>
        <v>0</v>
      </c>
      <c r="AL15" s="1490">
        <f t="shared" ca="1" si="8"/>
        <v>-8.9103481282641628</v>
      </c>
      <c r="AM15" s="1490">
        <f t="shared" ca="1" si="8"/>
        <v>0</v>
      </c>
      <c r="AN15" s="1490">
        <f t="shared" ca="1" si="8"/>
        <v>0</v>
      </c>
      <c r="AO15" s="1490">
        <f t="shared" ca="1" si="8"/>
        <v>0</v>
      </c>
      <c r="AP15" s="1490">
        <f t="shared" ca="1" si="8"/>
        <v>0</v>
      </c>
      <c r="AQ15" s="1490">
        <f ca="1">SUM(Y15:AP15)</f>
        <v>-103.30546899655818</v>
      </c>
      <c r="AS15" s="1491">
        <f ca="1">AS9+AS12</f>
        <v>0</v>
      </c>
      <c r="AT15" s="1491">
        <f t="shared" ref="AT15:BJ15" ca="1" si="9">AT9+AT12</f>
        <v>0</v>
      </c>
      <c r="AU15" s="1491">
        <f t="shared" ca="1" si="9"/>
        <v>0</v>
      </c>
      <c r="AV15" s="1491">
        <f t="shared" ca="1" si="9"/>
        <v>0</v>
      </c>
      <c r="AW15" s="1491">
        <f t="shared" ca="1" si="9"/>
        <v>0</v>
      </c>
      <c r="AX15" s="1491">
        <f t="shared" ca="1" si="9"/>
        <v>0</v>
      </c>
      <c r="AY15" s="1491">
        <f t="shared" ca="1" si="9"/>
        <v>0</v>
      </c>
      <c r="AZ15" s="1491">
        <f t="shared" ca="1" si="9"/>
        <v>0</v>
      </c>
      <c r="BA15" s="1491">
        <f t="shared" ca="1" si="9"/>
        <v>0</v>
      </c>
      <c r="BB15" s="1491">
        <f t="shared" ca="1" si="9"/>
        <v>0</v>
      </c>
      <c r="BC15" s="1491">
        <f t="shared" ca="1" si="9"/>
        <v>-1.9084404836587632E-2</v>
      </c>
      <c r="BD15" s="1491">
        <f t="shared" ca="1" si="9"/>
        <v>0</v>
      </c>
      <c r="BE15" s="1491">
        <f t="shared" ca="1" si="9"/>
        <v>0</v>
      </c>
      <c r="BF15" s="1491">
        <f t="shared" ca="1" si="9"/>
        <v>0</v>
      </c>
      <c r="BG15" s="1491">
        <f t="shared" ca="1" si="9"/>
        <v>0</v>
      </c>
      <c r="BH15" s="1491">
        <f t="shared" ca="1" si="9"/>
        <v>0</v>
      </c>
      <c r="BI15" s="1491">
        <f t="shared" ca="1" si="9"/>
        <v>0</v>
      </c>
      <c r="BJ15" s="1491">
        <f t="shared" ca="1" si="9"/>
        <v>0</v>
      </c>
      <c r="BK15" s="1491">
        <f ca="1">BK9+BK12</f>
        <v>0</v>
      </c>
      <c r="BL15" s="1491">
        <f ca="1">SUM(AS15:BK15)</f>
        <v>-1.9084404836587632E-2</v>
      </c>
      <c r="BN15" s="1941">
        <f ca="1">BN9+BN12</f>
        <v>0</v>
      </c>
      <c r="BO15" s="1941">
        <f ca="1">BO9+BO12</f>
        <v>0</v>
      </c>
      <c r="BP15" s="1505">
        <f ca="1">BN15+BO15</f>
        <v>0</v>
      </c>
      <c r="BR15" s="3168">
        <f ca="1">W15+AQ15+BL15+BP15</f>
        <v>2.7200464103316335E-15</v>
      </c>
      <c r="BS15" s="1493"/>
      <c r="BT15" s="748"/>
      <c r="BU15" s="1508">
        <v>83.962192100216072</v>
      </c>
      <c r="BV15" s="1508">
        <v>0.16824651887377906</v>
      </c>
      <c r="BW15" s="1508">
        <v>0.29702226229713091</v>
      </c>
      <c r="BX15" s="1508">
        <v>0</v>
      </c>
      <c r="BY15" s="1508">
        <v>0</v>
      </c>
      <c r="BZ15" s="1508">
        <v>0</v>
      </c>
      <c r="CA15" s="1508">
        <v>0</v>
      </c>
      <c r="CB15" s="1508">
        <v>0</v>
      </c>
      <c r="CC15" s="1508">
        <v>0</v>
      </c>
      <c r="CD15" s="1508">
        <v>0</v>
      </c>
      <c r="CE15" s="1508">
        <v>0</v>
      </c>
      <c r="CF15" s="1508">
        <v>0</v>
      </c>
      <c r="CG15" s="1508">
        <v>0</v>
      </c>
      <c r="CH15" s="1508">
        <v>0</v>
      </c>
      <c r="CI15" s="1508">
        <v>0</v>
      </c>
      <c r="CJ15" s="1508">
        <v>0</v>
      </c>
      <c r="CK15" s="1508">
        <v>0</v>
      </c>
      <c r="CL15" s="1508">
        <v>0</v>
      </c>
      <c r="CM15" s="1508">
        <v>0</v>
      </c>
      <c r="CN15" s="1508">
        <v>0</v>
      </c>
      <c r="CO15" s="1508">
        <v>0</v>
      </c>
      <c r="CP15" s="1508">
        <v>0</v>
      </c>
      <c r="CQ15" s="1508">
        <v>0</v>
      </c>
      <c r="CR15" s="1508">
        <v>0</v>
      </c>
      <c r="CS15" s="1508">
        <v>0</v>
      </c>
      <c r="CT15" s="1508">
        <v>0</v>
      </c>
      <c r="CU15" s="1508">
        <v>0</v>
      </c>
      <c r="CV15" s="1508">
        <v>0</v>
      </c>
      <c r="CW15" s="1508">
        <v>0</v>
      </c>
      <c r="CX15" s="1508">
        <v>0</v>
      </c>
      <c r="CY15" s="1508">
        <v>0</v>
      </c>
      <c r="CZ15" s="1508">
        <v>0</v>
      </c>
      <c r="DA15" s="1508">
        <v>0</v>
      </c>
      <c r="DB15" s="1508">
        <v>0</v>
      </c>
      <c r="DC15" s="1508">
        <v>0</v>
      </c>
      <c r="DD15" s="1508">
        <v>0</v>
      </c>
      <c r="DE15" s="1508">
        <v>0</v>
      </c>
      <c r="DF15" s="1508">
        <v>0</v>
      </c>
      <c r="DG15" s="1508">
        <v>0</v>
      </c>
      <c r="DH15" s="1508">
        <v>0</v>
      </c>
      <c r="DI15" s="1508">
        <v>0</v>
      </c>
      <c r="DJ15" s="1508">
        <v>0</v>
      </c>
      <c r="DK15" s="1508">
        <v>0</v>
      </c>
      <c r="DL15" s="1508">
        <v>0</v>
      </c>
      <c r="DN15" s="1509">
        <v>84.427460881386978</v>
      </c>
    </row>
    <row r="16" spans="1:118" s="14" customFormat="1" ht="15.75" x14ac:dyDescent="0.2">
      <c r="A16" s="1534"/>
      <c r="B16" s="1535"/>
      <c r="C16" s="1536"/>
      <c r="D16" s="1537"/>
      <c r="E16" s="1538"/>
      <c r="G16" s="1539"/>
      <c r="H16" s="1539"/>
      <c r="I16" s="1539"/>
      <c r="J16" s="1539"/>
      <c r="K16" s="1539"/>
      <c r="L16" s="1539"/>
      <c r="M16" s="1539"/>
      <c r="N16" s="1539"/>
      <c r="O16" s="1539"/>
      <c r="P16" s="1539"/>
      <c r="Q16" s="1539"/>
      <c r="R16" s="1539"/>
      <c r="S16" s="1539"/>
      <c r="T16" s="1539"/>
      <c r="U16" s="1539"/>
      <c r="V16" s="1539"/>
      <c r="W16" s="1539"/>
      <c r="Y16" s="1490"/>
      <c r="Z16" s="1490"/>
      <c r="AA16" s="1490"/>
      <c r="AB16" s="1490"/>
      <c r="AC16" s="1490"/>
      <c r="AD16" s="1490"/>
      <c r="AE16" s="1490"/>
      <c r="AF16" s="1490"/>
      <c r="AG16" s="1490"/>
      <c r="AH16" s="1490"/>
      <c r="AI16" s="1490"/>
      <c r="AJ16" s="1490"/>
      <c r="AK16" s="1490"/>
      <c r="AL16" s="1490"/>
      <c r="AM16" s="1490"/>
      <c r="AN16" s="1490"/>
      <c r="AO16" s="1490"/>
      <c r="AP16" s="1490"/>
      <c r="AQ16" s="1490"/>
      <c r="AS16" s="1491"/>
      <c r="AT16" s="1491"/>
      <c r="AU16" s="1491"/>
      <c r="AV16" s="1491"/>
      <c r="AW16" s="1491"/>
      <c r="AX16" s="1491"/>
      <c r="AY16" s="1491"/>
      <c r="AZ16" s="1491"/>
      <c r="BA16" s="1491"/>
      <c r="BB16" s="1491"/>
      <c r="BC16" s="1491"/>
      <c r="BD16" s="1491"/>
      <c r="BE16" s="1491"/>
      <c r="BF16" s="1491"/>
      <c r="BG16" s="1491"/>
      <c r="BH16" s="1491"/>
      <c r="BI16" s="1491"/>
      <c r="BJ16" s="1491"/>
      <c r="BK16" s="1491"/>
      <c r="BL16" s="1491"/>
      <c r="BN16" s="1492"/>
      <c r="BO16" s="1492"/>
      <c r="BP16" s="1492"/>
      <c r="BR16" s="3168"/>
      <c r="BS16" s="1493"/>
      <c r="BT16" s="748"/>
      <c r="BU16" s="1508"/>
      <c r="BV16" s="1508"/>
      <c r="BW16" s="1508"/>
      <c r="BX16" s="1508"/>
      <c r="BY16" s="1508"/>
      <c r="BZ16" s="1508"/>
      <c r="CA16" s="1508"/>
      <c r="CB16" s="1508"/>
      <c r="CC16" s="1508"/>
      <c r="CD16" s="1508"/>
      <c r="CE16" s="1508"/>
      <c r="CF16" s="1508"/>
      <c r="CG16" s="1508"/>
      <c r="CH16" s="1508"/>
      <c r="CI16" s="1508"/>
      <c r="CJ16" s="1508"/>
      <c r="CK16" s="1508"/>
      <c r="CL16" s="1508"/>
      <c r="CM16" s="1508"/>
      <c r="CN16" s="1508"/>
      <c r="CO16" s="1508"/>
      <c r="CP16" s="1508"/>
      <c r="CQ16" s="1508"/>
      <c r="CR16" s="1508"/>
      <c r="CS16" s="1508"/>
      <c r="CT16" s="1508"/>
      <c r="CU16" s="1508"/>
      <c r="CV16" s="1508"/>
      <c r="CW16" s="1508"/>
      <c r="CX16" s="1508"/>
      <c r="CY16" s="1508"/>
      <c r="CZ16" s="1508"/>
      <c r="DA16" s="1508"/>
      <c r="DB16" s="1508"/>
      <c r="DC16" s="1508"/>
      <c r="DD16" s="1508"/>
      <c r="DE16" s="1508"/>
      <c r="DF16" s="1508"/>
      <c r="DG16" s="1508"/>
      <c r="DH16" s="1508"/>
      <c r="DI16" s="1508"/>
      <c r="DJ16" s="1508"/>
      <c r="DK16" s="1508"/>
      <c r="DL16" s="1508"/>
      <c r="DN16" s="1509"/>
    </row>
    <row r="17" spans="1:118" s="14" customFormat="1" ht="12.75" hidden="1" customHeight="1" outlineLevel="1" x14ac:dyDescent="0.2">
      <c r="A17" s="1522"/>
      <c r="B17" s="1522"/>
      <c r="C17" s="1496"/>
      <c r="D17" s="1497"/>
      <c r="E17" s="1497"/>
      <c r="G17" s="1499"/>
      <c r="H17" s="1499"/>
      <c r="I17" s="1499"/>
      <c r="J17" s="1499"/>
      <c r="K17" s="1499"/>
      <c r="L17" s="1499"/>
      <c r="M17" s="1499"/>
      <c r="N17" s="1499"/>
      <c r="O17" s="1499"/>
      <c r="P17" s="1499"/>
      <c r="Q17" s="1499"/>
      <c r="R17" s="1499"/>
      <c r="S17" s="1499"/>
      <c r="T17" s="1499"/>
      <c r="U17" s="1499"/>
      <c r="V17" s="1499"/>
      <c r="W17" s="1539">
        <f t="shared" ref="W17:W33" si="10">SUM(G17:V17)</f>
        <v>0</v>
      </c>
      <c r="Y17" s="1501"/>
      <c r="Z17" s="1501"/>
      <c r="AA17" s="1501"/>
      <c r="AB17" s="1501"/>
      <c r="AC17" s="1501"/>
      <c r="AD17" s="1501"/>
      <c r="AE17" s="1501"/>
      <c r="AF17" s="1501"/>
      <c r="AG17" s="1501"/>
      <c r="AH17" s="1501"/>
      <c r="AI17" s="1501"/>
      <c r="AJ17" s="1501"/>
      <c r="AK17" s="1501"/>
      <c r="AL17" s="1501"/>
      <c r="AM17" s="1501"/>
      <c r="AN17" s="1501"/>
      <c r="AO17" s="1501"/>
      <c r="AP17" s="1501"/>
      <c r="AQ17" s="1490">
        <f t="shared" ref="AQ17:AQ27" si="11">SUM(Y17:AP17)</f>
        <v>0</v>
      </c>
      <c r="AS17" s="1523"/>
      <c r="AT17" s="1523"/>
      <c r="AU17" s="1523"/>
      <c r="AV17" s="1523"/>
      <c r="AW17" s="1523"/>
      <c r="AX17" s="1523"/>
      <c r="AY17" s="1523"/>
      <c r="AZ17" s="1523"/>
      <c r="BA17" s="1523"/>
      <c r="BB17" s="1523"/>
      <c r="BC17" s="1523"/>
      <c r="BD17" s="1523"/>
      <c r="BE17" s="1523"/>
      <c r="BF17" s="1523"/>
      <c r="BG17" s="1523"/>
      <c r="BH17" s="1523"/>
      <c r="BI17" s="1523"/>
      <c r="BJ17" s="1523"/>
      <c r="BK17" s="1523"/>
      <c r="BL17" s="1524"/>
      <c r="BN17" s="1505"/>
      <c r="BO17" s="1505"/>
      <c r="BP17" s="1505"/>
      <c r="BR17" s="3168">
        <f t="shared" ref="BR17:BR76" si="12">W17+AQ17+BL17+BP17</f>
        <v>0</v>
      </c>
      <c r="BS17" s="1525"/>
      <c r="BT17" s="1522"/>
      <c r="BU17" s="1507"/>
      <c r="BV17" s="1508"/>
      <c r="BW17" s="1508"/>
      <c r="BX17" s="1508"/>
      <c r="BY17" s="1508"/>
      <c r="BZ17" s="1508"/>
      <c r="CA17" s="1508"/>
      <c r="CB17" s="1508"/>
      <c r="CC17" s="1508"/>
      <c r="CD17" s="1508"/>
      <c r="CE17" s="1508"/>
      <c r="CF17" s="1508"/>
      <c r="CG17" s="1508"/>
      <c r="CH17" s="1508"/>
      <c r="CI17" s="1508"/>
      <c r="CJ17" s="1508"/>
      <c r="CK17" s="1508"/>
      <c r="CL17" s="1508"/>
      <c r="CM17" s="1508"/>
      <c r="CN17" s="1508"/>
      <c r="CO17" s="1508"/>
      <c r="CP17" s="1508"/>
      <c r="CQ17" s="1508"/>
      <c r="CR17" s="1508"/>
      <c r="CS17" s="1508"/>
      <c r="CT17" s="1508"/>
      <c r="CU17" s="1508"/>
      <c r="CV17" s="1508"/>
      <c r="CW17" s="1508"/>
      <c r="CX17" s="1508"/>
      <c r="CY17" s="1508"/>
      <c r="CZ17" s="1508"/>
      <c r="DA17" s="1508"/>
      <c r="DB17" s="1508"/>
      <c r="DC17" s="1508"/>
      <c r="DD17" s="1508"/>
      <c r="DE17" s="1508"/>
      <c r="DF17" s="1508"/>
      <c r="DG17" s="1508"/>
      <c r="DH17" s="1508"/>
      <c r="DI17" s="1508"/>
      <c r="DJ17" s="1508"/>
      <c r="DK17" s="1508"/>
      <c r="DL17" s="1508"/>
      <c r="DN17" s="1509">
        <v>0</v>
      </c>
    </row>
    <row r="18" spans="1:118" s="14" customFormat="1" ht="12.75" hidden="1" customHeight="1" outlineLevel="1" x14ac:dyDescent="0.2">
      <c r="A18" s="1522"/>
      <c r="B18" s="1522"/>
      <c r="C18" s="1496" t="s">
        <v>425</v>
      </c>
      <c r="D18" s="14" t="str">
        <f>INDEX(Modulos[Modulos], MATCH($C18, Modulos[Código], 0))</f>
        <v>Procesos Industriales</v>
      </c>
      <c r="E18" s="1526"/>
      <c r="G18" s="1540">
        <f t="shared" ref="G18:V18" ca="1" si="13">IFERROR(INDEX(INDIRECT($C18&amp;".Outputs["&amp;this.Year&amp;"]"), MATCH(G$5, INDIRECT($C18&amp;".Outputs[Vector]"), 0)), 0)</f>
        <v>0</v>
      </c>
      <c r="H18" s="1540"/>
      <c r="I18" s="1540"/>
      <c r="J18" s="1540"/>
      <c r="K18" s="1540"/>
      <c r="L18" s="1540"/>
      <c r="M18" s="1540">
        <f t="shared" ca="1" si="13"/>
        <v>197.03307251300703</v>
      </c>
      <c r="N18" s="1540">
        <f t="shared" ca="1" si="13"/>
        <v>0</v>
      </c>
      <c r="O18" s="1540">
        <f t="shared" ca="1" si="13"/>
        <v>0</v>
      </c>
      <c r="P18" s="1540">
        <f t="shared" ca="1" si="13"/>
        <v>0</v>
      </c>
      <c r="Q18" s="1540">
        <f t="shared" ca="1" si="13"/>
        <v>0</v>
      </c>
      <c r="R18" s="1540">
        <f t="shared" ca="1" si="13"/>
        <v>0</v>
      </c>
      <c r="S18" s="1540">
        <f t="shared" ca="1" si="13"/>
        <v>0</v>
      </c>
      <c r="T18" s="1540">
        <f t="shared" ca="1" si="13"/>
        <v>0</v>
      </c>
      <c r="U18" s="1540">
        <f t="shared" ca="1" si="13"/>
        <v>0</v>
      </c>
      <c r="V18" s="1540">
        <f t="shared" ca="1" si="13"/>
        <v>0</v>
      </c>
      <c r="W18" s="1539">
        <f t="shared" ca="1" si="10"/>
        <v>197.03307251300703</v>
      </c>
      <c r="Y18" s="1541">
        <f t="shared" ref="Y18:AP18" ca="1" si="14">IFERROR(INDEX(INDIRECT($C18&amp;".Outputs["&amp;this.Year&amp;"]"), MATCH(Y$5, INDIRECT($C18&amp;".Outputs[Vector]"), 0)), 0)</f>
        <v>-65.367469546476499</v>
      </c>
      <c r="Z18" s="1541">
        <f t="shared" ca="1" si="14"/>
        <v>0</v>
      </c>
      <c r="AA18" s="1541">
        <f t="shared" ca="1" si="14"/>
        <v>-47.801093322502346</v>
      </c>
      <c r="AB18" s="1541">
        <f t="shared" ca="1" si="14"/>
        <v>-64.210247756238388</v>
      </c>
      <c r="AC18" s="1541">
        <f t="shared" ca="1" si="14"/>
        <v>-19.654261887789776</v>
      </c>
      <c r="AD18" s="1541">
        <f t="shared" ca="1" si="14"/>
        <v>0</v>
      </c>
      <c r="AE18" s="1541">
        <f t="shared" ca="1" si="14"/>
        <v>0</v>
      </c>
      <c r="AF18" s="1541">
        <f t="shared" ca="1" si="14"/>
        <v>0</v>
      </c>
      <c r="AG18" s="1541">
        <f t="shared" ca="1" si="14"/>
        <v>0</v>
      </c>
      <c r="AH18" s="1541">
        <f t="shared" ca="1" si="14"/>
        <v>0</v>
      </c>
      <c r="AI18" s="1541">
        <f t="shared" ca="1" si="14"/>
        <v>0</v>
      </c>
      <c r="AJ18" s="1541">
        <f t="shared" ca="1" si="14"/>
        <v>0</v>
      </c>
      <c r="AK18" s="1541">
        <f t="shared" ca="1" si="14"/>
        <v>0</v>
      </c>
      <c r="AL18" s="1541">
        <f t="shared" ca="1" si="14"/>
        <v>0</v>
      </c>
      <c r="AM18" s="1541">
        <f t="shared" ca="1" si="14"/>
        <v>0</v>
      </c>
      <c r="AN18" s="1541">
        <f t="shared" ca="1" si="14"/>
        <v>0</v>
      </c>
      <c r="AO18" s="1541">
        <f t="shared" ca="1" si="14"/>
        <v>0</v>
      </c>
      <c r="AP18" s="1541">
        <f t="shared" ca="1" si="14"/>
        <v>0</v>
      </c>
      <c r="AQ18" s="1490">
        <f t="shared" ca="1" si="11"/>
        <v>-197.033072513007</v>
      </c>
      <c r="AS18" s="1542">
        <f t="shared" ref="AS18:BK18" ca="1" si="15">IFERROR(INDEX(INDIRECT($C18&amp;".Outputs["&amp;this.Year&amp;"]"), MATCH(AS$5, INDIRECT($C18&amp;".Outputs[Vector]"), 0)), 0)</f>
        <v>0</v>
      </c>
      <c r="AT18" s="1542">
        <f t="shared" ca="1" si="15"/>
        <v>0</v>
      </c>
      <c r="AU18" s="1542">
        <f t="shared" ca="1" si="15"/>
        <v>0</v>
      </c>
      <c r="AV18" s="1542">
        <f t="shared" ca="1" si="15"/>
        <v>0</v>
      </c>
      <c r="AW18" s="1542">
        <f t="shared" ca="1" si="15"/>
        <v>0</v>
      </c>
      <c r="AX18" s="1542">
        <f t="shared" ca="1" si="15"/>
        <v>0</v>
      </c>
      <c r="AY18" s="1542">
        <f t="shared" ca="1" si="15"/>
        <v>0</v>
      </c>
      <c r="AZ18" s="1542">
        <f t="shared" ca="1" si="15"/>
        <v>0</v>
      </c>
      <c r="BA18" s="1542">
        <f t="shared" ca="1" si="15"/>
        <v>0</v>
      </c>
      <c r="BB18" s="1542">
        <f t="shared" ca="1" si="15"/>
        <v>0</v>
      </c>
      <c r="BC18" s="1542">
        <f t="shared" ca="1" si="15"/>
        <v>0</v>
      </c>
      <c r="BD18" s="1542">
        <f t="shared" ca="1" si="15"/>
        <v>0</v>
      </c>
      <c r="BE18" s="1542">
        <f t="shared" ca="1" si="15"/>
        <v>0</v>
      </c>
      <c r="BF18" s="1542">
        <f t="shared" ca="1" si="15"/>
        <v>0</v>
      </c>
      <c r="BG18" s="1542">
        <f t="shared" ca="1" si="15"/>
        <v>0</v>
      </c>
      <c r="BH18" s="1542">
        <f t="shared" ca="1" si="15"/>
        <v>0</v>
      </c>
      <c r="BI18" s="1542">
        <f t="shared" ca="1" si="15"/>
        <v>0</v>
      </c>
      <c r="BJ18" s="1542">
        <f t="shared" ca="1" si="15"/>
        <v>0</v>
      </c>
      <c r="BK18" s="1542">
        <f t="shared" ca="1" si="15"/>
        <v>0</v>
      </c>
      <c r="BL18" s="1542">
        <f ca="1">SUM(AS18:BK18)</f>
        <v>0</v>
      </c>
      <c r="BN18" s="1941">
        <f ca="1">IFERROR(INDEX(INDIRECT($C18&amp;".Outputs["&amp;this.Year&amp;"]"), MATCH(BN$5, INDIRECT($C18&amp;".Outputs[Vector]"), 0)), 0)</f>
        <v>0</v>
      </c>
      <c r="BO18" s="1941">
        <f ca="1">IFERROR(INDEX(INDIRECT($C18&amp;".Outputs["&amp;this.Year&amp;"]"), MATCH(BO$5, INDIRECT($C18&amp;".Outputs[Vector]"), 0)), 0)</f>
        <v>0</v>
      </c>
      <c r="BP18" s="1505">
        <f ca="1">BN18+BO18</f>
        <v>0</v>
      </c>
      <c r="BR18" s="3168">
        <f t="shared" ca="1" si="12"/>
        <v>2.8421709430404007E-14</v>
      </c>
      <c r="BS18" s="1525"/>
      <c r="BT18" s="748"/>
      <c r="BU18" s="1532">
        <v>64.817912804929591</v>
      </c>
      <c r="BV18" s="1533">
        <v>0.13010783216178268</v>
      </c>
      <c r="BW18" s="1533">
        <v>0.57551021650787848</v>
      </c>
      <c r="BX18" s="1533">
        <v>0</v>
      </c>
      <c r="BY18" s="1533">
        <v>0</v>
      </c>
      <c r="BZ18" s="1533">
        <v>0</v>
      </c>
      <c r="CA18" s="1533">
        <v>0</v>
      </c>
      <c r="CB18" s="1533">
        <v>0</v>
      </c>
      <c r="CC18" s="1533">
        <v>14.39565925511863</v>
      </c>
      <c r="CD18" s="1533">
        <v>0.11288744235152412</v>
      </c>
      <c r="CE18" s="1533">
        <v>2.7624692105907238</v>
      </c>
      <c r="CF18" s="1533">
        <v>10.620296151887526</v>
      </c>
      <c r="CG18" s="1533">
        <v>0</v>
      </c>
      <c r="CH18" s="1533">
        <v>0</v>
      </c>
      <c r="CI18" s="1533">
        <v>0</v>
      </c>
      <c r="CJ18" s="1533">
        <v>0</v>
      </c>
      <c r="CK18" s="1533">
        <v>0</v>
      </c>
      <c r="CL18" s="1533">
        <v>0</v>
      </c>
      <c r="CM18" s="1533">
        <v>0</v>
      </c>
      <c r="CN18" s="1533">
        <v>0</v>
      </c>
      <c r="CO18" s="1533">
        <v>0</v>
      </c>
      <c r="CP18" s="1533">
        <v>0</v>
      </c>
      <c r="CQ18" s="1533">
        <v>0</v>
      </c>
      <c r="CR18" s="1533">
        <v>0</v>
      </c>
      <c r="CS18" s="1533">
        <v>0</v>
      </c>
      <c r="CT18" s="1533">
        <v>0</v>
      </c>
      <c r="CU18" s="1533">
        <v>0</v>
      </c>
      <c r="CV18" s="1533">
        <v>0</v>
      </c>
      <c r="CW18" s="1533">
        <v>0</v>
      </c>
      <c r="CX18" s="1533">
        <v>0</v>
      </c>
      <c r="CY18" s="1533">
        <v>0</v>
      </c>
      <c r="CZ18" s="1533">
        <v>0</v>
      </c>
      <c r="DA18" s="1533">
        <v>0</v>
      </c>
      <c r="DB18" s="1533">
        <v>0</v>
      </c>
      <c r="DC18" s="1533">
        <v>0</v>
      </c>
      <c r="DD18" s="1533">
        <v>0</v>
      </c>
      <c r="DE18" s="1533">
        <v>0</v>
      </c>
      <c r="DF18" s="1533">
        <v>0</v>
      </c>
      <c r="DG18" s="1533">
        <v>0</v>
      </c>
      <c r="DH18" s="1533">
        <v>0</v>
      </c>
      <c r="DI18" s="1533">
        <v>0</v>
      </c>
      <c r="DJ18" s="1533">
        <v>0</v>
      </c>
      <c r="DK18" s="1533">
        <v>0</v>
      </c>
      <c r="DL18" s="1533">
        <v>0</v>
      </c>
      <c r="DN18" s="1509">
        <v>93.414842913547659</v>
      </c>
    </row>
    <row r="19" spans="1:118" s="14" customFormat="1" ht="15.75" collapsed="1" x14ac:dyDescent="0.2">
      <c r="A19" s="1534"/>
      <c r="B19" s="1535"/>
      <c r="C19" s="1536" t="s">
        <v>578</v>
      </c>
      <c r="D19" s="1537" t="str">
        <f>INDEX(Flujos[Flujos], MATCH($C19, Flujos[Código], 0))</f>
        <v>Industria y Minería</v>
      </c>
      <c r="E19" s="1538"/>
      <c r="G19" s="1539">
        <f ca="1">G18</f>
        <v>0</v>
      </c>
      <c r="H19" s="1539">
        <f t="shared" ref="H19:V19" si="16">H18</f>
        <v>0</v>
      </c>
      <c r="I19" s="1539">
        <f t="shared" si="16"/>
        <v>0</v>
      </c>
      <c r="J19" s="1539">
        <f t="shared" si="16"/>
        <v>0</v>
      </c>
      <c r="K19" s="1539">
        <f t="shared" si="16"/>
        <v>0</v>
      </c>
      <c r="L19" s="1539">
        <f t="shared" si="16"/>
        <v>0</v>
      </c>
      <c r="M19" s="1539">
        <f t="shared" ca="1" si="16"/>
        <v>197.03307251300703</v>
      </c>
      <c r="N19" s="1539">
        <f t="shared" ca="1" si="16"/>
        <v>0</v>
      </c>
      <c r="O19" s="1539">
        <f t="shared" ca="1" si="16"/>
        <v>0</v>
      </c>
      <c r="P19" s="1539">
        <f t="shared" ca="1" si="16"/>
        <v>0</v>
      </c>
      <c r="Q19" s="1539">
        <f t="shared" ca="1" si="16"/>
        <v>0</v>
      </c>
      <c r="R19" s="1539">
        <f t="shared" ca="1" si="16"/>
        <v>0</v>
      </c>
      <c r="S19" s="1539">
        <f t="shared" ca="1" si="16"/>
        <v>0</v>
      </c>
      <c r="T19" s="1539">
        <f t="shared" ca="1" si="16"/>
        <v>0</v>
      </c>
      <c r="U19" s="1539">
        <f t="shared" ca="1" si="16"/>
        <v>0</v>
      </c>
      <c r="V19" s="1539">
        <f t="shared" ca="1" si="16"/>
        <v>0</v>
      </c>
      <c r="W19" s="1539">
        <f t="shared" ca="1" si="10"/>
        <v>197.03307251300703</v>
      </c>
      <c r="Y19" s="1490">
        <f ca="1">Y18</f>
        <v>-65.367469546476499</v>
      </c>
      <c r="Z19" s="1490">
        <f t="shared" ref="Z19:AP19" ca="1" si="17">Z18</f>
        <v>0</v>
      </c>
      <c r="AA19" s="1490">
        <f t="shared" ca="1" si="17"/>
        <v>-47.801093322502346</v>
      </c>
      <c r="AB19" s="1490">
        <f t="shared" ca="1" si="17"/>
        <v>-64.210247756238388</v>
      </c>
      <c r="AC19" s="1490">
        <f t="shared" ca="1" si="17"/>
        <v>-19.654261887789776</v>
      </c>
      <c r="AD19" s="1490">
        <f t="shared" ca="1" si="17"/>
        <v>0</v>
      </c>
      <c r="AE19" s="1490">
        <f t="shared" ca="1" si="17"/>
        <v>0</v>
      </c>
      <c r="AF19" s="1490">
        <f t="shared" ca="1" si="17"/>
        <v>0</v>
      </c>
      <c r="AG19" s="1490">
        <f t="shared" ca="1" si="17"/>
        <v>0</v>
      </c>
      <c r="AH19" s="1490">
        <f t="shared" ca="1" si="17"/>
        <v>0</v>
      </c>
      <c r="AI19" s="1490">
        <f t="shared" ca="1" si="17"/>
        <v>0</v>
      </c>
      <c r="AJ19" s="1490">
        <f t="shared" ca="1" si="17"/>
        <v>0</v>
      </c>
      <c r="AK19" s="1490">
        <f t="shared" ca="1" si="17"/>
        <v>0</v>
      </c>
      <c r="AL19" s="1490">
        <f t="shared" ca="1" si="17"/>
        <v>0</v>
      </c>
      <c r="AM19" s="1490">
        <f t="shared" ca="1" si="17"/>
        <v>0</v>
      </c>
      <c r="AN19" s="1490">
        <f t="shared" ca="1" si="17"/>
        <v>0</v>
      </c>
      <c r="AO19" s="1490">
        <f t="shared" ca="1" si="17"/>
        <v>0</v>
      </c>
      <c r="AP19" s="1490">
        <f t="shared" ca="1" si="17"/>
        <v>0</v>
      </c>
      <c r="AQ19" s="1490">
        <f t="shared" ca="1" si="11"/>
        <v>-197.033072513007</v>
      </c>
      <c r="AS19" s="1491">
        <f ca="1">AS18</f>
        <v>0</v>
      </c>
      <c r="AT19" s="1491">
        <f t="shared" ref="AT19:BM19" ca="1" si="18">AT18</f>
        <v>0</v>
      </c>
      <c r="AU19" s="1491">
        <f t="shared" ca="1" si="18"/>
        <v>0</v>
      </c>
      <c r="AV19" s="1491">
        <f t="shared" ca="1" si="18"/>
        <v>0</v>
      </c>
      <c r="AW19" s="1491">
        <f t="shared" ca="1" si="18"/>
        <v>0</v>
      </c>
      <c r="AX19" s="1491">
        <f t="shared" ca="1" si="18"/>
        <v>0</v>
      </c>
      <c r="AY19" s="1491">
        <f t="shared" ca="1" si="18"/>
        <v>0</v>
      </c>
      <c r="AZ19" s="1491">
        <f t="shared" ca="1" si="18"/>
        <v>0</v>
      </c>
      <c r="BA19" s="1491">
        <f t="shared" ca="1" si="18"/>
        <v>0</v>
      </c>
      <c r="BB19" s="1491">
        <f t="shared" ca="1" si="18"/>
        <v>0</v>
      </c>
      <c r="BC19" s="1491">
        <f t="shared" ca="1" si="18"/>
        <v>0</v>
      </c>
      <c r="BD19" s="1491">
        <f t="shared" ca="1" si="18"/>
        <v>0</v>
      </c>
      <c r="BE19" s="1491">
        <f t="shared" ca="1" si="18"/>
        <v>0</v>
      </c>
      <c r="BF19" s="1491">
        <f t="shared" ca="1" si="18"/>
        <v>0</v>
      </c>
      <c r="BG19" s="1491">
        <f t="shared" ca="1" si="18"/>
        <v>0</v>
      </c>
      <c r="BH19" s="1491">
        <f t="shared" ca="1" si="18"/>
        <v>0</v>
      </c>
      <c r="BI19" s="1491">
        <f t="shared" ca="1" si="18"/>
        <v>0</v>
      </c>
      <c r="BJ19" s="1491">
        <f t="shared" ca="1" si="18"/>
        <v>0</v>
      </c>
      <c r="BK19" s="1491">
        <f t="shared" ca="1" si="18"/>
        <v>0</v>
      </c>
      <c r="BL19" s="1491">
        <f ca="1">BL18</f>
        <v>0</v>
      </c>
      <c r="BM19" s="1491">
        <f t="shared" si="18"/>
        <v>0</v>
      </c>
      <c r="BN19" s="1941">
        <f ca="1">BN18</f>
        <v>0</v>
      </c>
      <c r="BO19" s="1941">
        <f ca="1">BO18</f>
        <v>0</v>
      </c>
      <c r="BP19" s="1505">
        <f ca="1">BN19+BO19</f>
        <v>0</v>
      </c>
      <c r="BR19" s="3168">
        <f ca="1">W19+AQ19+BL19+BP19</f>
        <v>2.8421709430404007E-14</v>
      </c>
      <c r="BS19" s="1493"/>
      <c r="BT19" s="748"/>
      <c r="BU19" s="1508">
        <v>64.817912804929591</v>
      </c>
      <c r="BV19" s="1508">
        <v>0.13010783216178268</v>
      </c>
      <c r="BW19" s="1508">
        <v>0.57551021650787848</v>
      </c>
      <c r="BX19" s="1508">
        <v>0</v>
      </c>
      <c r="BY19" s="1508">
        <v>0</v>
      </c>
      <c r="BZ19" s="1508">
        <v>0</v>
      </c>
      <c r="CA19" s="1508">
        <v>0</v>
      </c>
      <c r="CB19" s="1508">
        <v>0</v>
      </c>
      <c r="CC19" s="1508">
        <v>14.39565925511863</v>
      </c>
      <c r="CD19" s="1508">
        <v>0.11288744235152412</v>
      </c>
      <c r="CE19" s="1508">
        <v>2.7624692105907238</v>
      </c>
      <c r="CF19" s="1508">
        <v>10.620296151887526</v>
      </c>
      <c r="CG19" s="1508">
        <v>0</v>
      </c>
      <c r="CH19" s="1508">
        <v>0</v>
      </c>
      <c r="CI19" s="1508">
        <v>0</v>
      </c>
      <c r="CJ19" s="1508">
        <v>0</v>
      </c>
      <c r="CK19" s="1508">
        <v>0</v>
      </c>
      <c r="CL19" s="1508">
        <v>0</v>
      </c>
      <c r="CM19" s="1508">
        <v>0</v>
      </c>
      <c r="CN19" s="1508">
        <v>0</v>
      </c>
      <c r="CO19" s="1508">
        <v>0</v>
      </c>
      <c r="CP19" s="1508">
        <v>0</v>
      </c>
      <c r="CQ19" s="1508">
        <v>0</v>
      </c>
      <c r="CR19" s="1508">
        <v>0</v>
      </c>
      <c r="CS19" s="1508">
        <v>0</v>
      </c>
      <c r="CT19" s="1508">
        <v>0</v>
      </c>
      <c r="CU19" s="1508">
        <v>0</v>
      </c>
      <c r="CV19" s="1508">
        <v>0</v>
      </c>
      <c r="CW19" s="1508">
        <v>0</v>
      </c>
      <c r="CX19" s="1508">
        <v>0</v>
      </c>
      <c r="CY19" s="1508">
        <v>0</v>
      </c>
      <c r="CZ19" s="1508">
        <v>0</v>
      </c>
      <c r="DA19" s="1508">
        <v>0</v>
      </c>
      <c r="DB19" s="1508">
        <v>0</v>
      </c>
      <c r="DC19" s="1508">
        <v>0</v>
      </c>
      <c r="DD19" s="1508">
        <v>0</v>
      </c>
      <c r="DE19" s="1508">
        <v>0</v>
      </c>
      <c r="DF19" s="1508">
        <v>0</v>
      </c>
      <c r="DG19" s="1508">
        <v>0</v>
      </c>
      <c r="DH19" s="1508">
        <v>0</v>
      </c>
      <c r="DI19" s="1508">
        <v>0</v>
      </c>
      <c r="DJ19" s="1508">
        <v>0</v>
      </c>
      <c r="DK19" s="1508">
        <v>0</v>
      </c>
      <c r="DL19" s="1508">
        <v>0</v>
      </c>
      <c r="DN19" s="1509">
        <v>93.414842913547659</v>
      </c>
    </row>
    <row r="20" spans="1:118" s="14" customFormat="1" ht="15.75" x14ac:dyDescent="0.2">
      <c r="A20" s="1534"/>
      <c r="B20" s="1535"/>
      <c r="C20" s="1536"/>
      <c r="D20" s="1537"/>
      <c r="E20" s="1538"/>
      <c r="G20" s="1539"/>
      <c r="H20" s="1539"/>
      <c r="I20" s="1539"/>
      <c r="J20" s="1539"/>
      <c r="K20" s="1539"/>
      <c r="L20" s="1539"/>
      <c r="M20" s="1539"/>
      <c r="N20" s="1539"/>
      <c r="O20" s="1539"/>
      <c r="P20" s="1539"/>
      <c r="Q20" s="1539"/>
      <c r="R20" s="1539"/>
      <c r="S20" s="1539"/>
      <c r="T20" s="1539"/>
      <c r="U20" s="1539"/>
      <c r="V20" s="1539"/>
      <c r="W20" s="1539"/>
      <c r="Y20" s="1490"/>
      <c r="Z20" s="1490"/>
      <c r="AA20" s="1490"/>
      <c r="AB20" s="1490"/>
      <c r="AC20" s="1490"/>
      <c r="AD20" s="1490"/>
      <c r="AE20" s="1490"/>
      <c r="AF20" s="1490"/>
      <c r="AG20" s="1490"/>
      <c r="AH20" s="1490"/>
      <c r="AI20" s="1490"/>
      <c r="AJ20" s="1490"/>
      <c r="AK20" s="1490"/>
      <c r="AL20" s="1490"/>
      <c r="AM20" s="1490"/>
      <c r="AN20" s="1490"/>
      <c r="AO20" s="1490"/>
      <c r="AP20" s="1490"/>
      <c r="AQ20" s="1490"/>
      <c r="AS20" s="1491"/>
      <c r="AT20" s="1491"/>
      <c r="AU20" s="1491"/>
      <c r="AV20" s="1491"/>
      <c r="AW20" s="1491"/>
      <c r="AX20" s="1491"/>
      <c r="AY20" s="1491"/>
      <c r="AZ20" s="1491"/>
      <c r="BA20" s="1491"/>
      <c r="BB20" s="1491"/>
      <c r="BC20" s="1491"/>
      <c r="BD20" s="1491"/>
      <c r="BE20" s="1491"/>
      <c r="BF20" s="1491"/>
      <c r="BG20" s="1491"/>
      <c r="BH20" s="1491"/>
      <c r="BI20" s="1491"/>
      <c r="BJ20" s="1491"/>
      <c r="BK20" s="1491"/>
      <c r="BL20" s="1491"/>
      <c r="BN20" s="1492"/>
      <c r="BO20" s="1492"/>
      <c r="BP20" s="1492"/>
      <c r="BR20" s="3168"/>
      <c r="BS20" s="1493"/>
      <c r="BT20" s="748"/>
      <c r="BU20" s="1508"/>
      <c r="BV20" s="1508"/>
      <c r="BW20" s="1508"/>
      <c r="BX20" s="1508"/>
      <c r="BY20" s="1508"/>
      <c r="BZ20" s="1508"/>
      <c r="CA20" s="1508"/>
      <c r="CB20" s="1508"/>
      <c r="CC20" s="1508"/>
      <c r="CD20" s="1508"/>
      <c r="CE20" s="1508"/>
      <c r="CF20" s="1508"/>
      <c r="CG20" s="1508"/>
      <c r="CH20" s="1508"/>
      <c r="CI20" s="1508"/>
      <c r="CJ20" s="1508"/>
      <c r="CK20" s="1508"/>
      <c r="CL20" s="1508"/>
      <c r="CM20" s="1508"/>
      <c r="CN20" s="1508"/>
      <c r="CO20" s="1508"/>
      <c r="CP20" s="1508"/>
      <c r="CQ20" s="1508"/>
      <c r="CR20" s="1508"/>
      <c r="CS20" s="1508"/>
      <c r="CT20" s="1508"/>
      <c r="CU20" s="1508"/>
      <c r="CV20" s="1508"/>
      <c r="CW20" s="1508"/>
      <c r="CX20" s="1508"/>
      <c r="CY20" s="1508"/>
      <c r="CZ20" s="1508"/>
      <c r="DA20" s="1508"/>
      <c r="DB20" s="1508"/>
      <c r="DC20" s="1508"/>
      <c r="DD20" s="1508"/>
      <c r="DE20" s="1508"/>
      <c r="DF20" s="1508"/>
      <c r="DG20" s="1508"/>
      <c r="DH20" s="1508"/>
      <c r="DI20" s="1508"/>
      <c r="DJ20" s="1508"/>
      <c r="DK20" s="1508"/>
      <c r="DL20" s="1508"/>
      <c r="DN20" s="1509"/>
    </row>
    <row r="21" spans="1:118" s="14" customFormat="1" ht="10.5" hidden="1" customHeight="1" outlineLevel="2" x14ac:dyDescent="0.2">
      <c r="A21" s="1495"/>
      <c r="B21" s="1495"/>
      <c r="C21" s="1511" t="s">
        <v>421</v>
      </c>
      <c r="D21" s="14" t="str">
        <f>INDEX(Modulos[Modulos], MATCH($C21, Modulos[Código], 0))</f>
        <v>Transporte de pasajeros</v>
      </c>
      <c r="E21" s="1512"/>
      <c r="G21" s="1889">
        <f t="shared" ref="G21:V21" ca="1" si="19">IFERROR(INDEX(INDIRECT($C21&amp;".Outputs["&amp;this.Year&amp;"]"), MATCH(G$5, INDIRECT($C21&amp;".Outputs[Vector]"), 0)), 0)</f>
        <v>0</v>
      </c>
      <c r="H21" s="1889"/>
      <c r="I21" s="1889"/>
      <c r="J21" s="1889"/>
      <c r="K21" s="1889"/>
      <c r="L21" s="1889"/>
      <c r="M21" s="1889">
        <f t="shared" ca="1" si="19"/>
        <v>0</v>
      </c>
      <c r="N21" s="1889">
        <f t="shared" ca="1" si="19"/>
        <v>66.429513696050577</v>
      </c>
      <c r="O21" s="1889">
        <f t="shared" ca="1" si="19"/>
        <v>22.312780471609948</v>
      </c>
      <c r="P21" s="1889">
        <f t="shared" ca="1" si="19"/>
        <v>0.54200248261278638</v>
      </c>
      <c r="Q21" s="1889">
        <f t="shared" ca="1" si="19"/>
        <v>6.2675085137333914E-2</v>
      </c>
      <c r="R21" s="1888">
        <f t="shared" ca="1" si="19"/>
        <v>34.35695357892007</v>
      </c>
      <c r="S21" s="1889">
        <f t="shared" ca="1" si="19"/>
        <v>0</v>
      </c>
      <c r="T21" s="1889">
        <f t="shared" ca="1" si="19"/>
        <v>0</v>
      </c>
      <c r="U21" s="1889">
        <f t="shared" ca="1" si="19"/>
        <v>0</v>
      </c>
      <c r="V21" s="1889">
        <f t="shared" ca="1" si="19"/>
        <v>0</v>
      </c>
      <c r="W21" s="1539">
        <f t="shared" ca="1" si="10"/>
        <v>123.70392531433072</v>
      </c>
      <c r="Y21" s="1500">
        <f t="shared" ref="Y21:AP21" ca="1" si="20">IFERROR(INDEX(INDIRECT($C21&amp;".Outputs["&amp;this.Year&amp;"]"), MATCH(Y$5, INDIRECT($C21&amp;".Outputs[Vector]"), 0)), 0)</f>
        <v>-1.1405469339881096</v>
      </c>
      <c r="Z21" s="1500">
        <f t="shared" ca="1" si="20"/>
        <v>0</v>
      </c>
      <c r="AA21" s="1500">
        <f t="shared" ca="1" si="20"/>
        <v>0</v>
      </c>
      <c r="AB21" s="1500">
        <f t="shared" ca="1" si="20"/>
        <v>-122.56337838034263</v>
      </c>
      <c r="AC21" s="1500">
        <f t="shared" ca="1" si="20"/>
        <v>0</v>
      </c>
      <c r="AD21" s="1500">
        <f t="shared" ca="1" si="20"/>
        <v>0</v>
      </c>
      <c r="AE21" s="1500">
        <f t="shared" ca="1" si="20"/>
        <v>0</v>
      </c>
      <c r="AF21" s="1500">
        <f t="shared" ca="1" si="20"/>
        <v>0</v>
      </c>
      <c r="AG21" s="1500">
        <f t="shared" ca="1" si="20"/>
        <v>0</v>
      </c>
      <c r="AH21" s="1500">
        <f t="shared" ca="1" si="20"/>
        <v>0</v>
      </c>
      <c r="AI21" s="1500">
        <f t="shared" ca="1" si="20"/>
        <v>0</v>
      </c>
      <c r="AJ21" s="1500">
        <f t="shared" ca="1" si="20"/>
        <v>0</v>
      </c>
      <c r="AK21" s="1500">
        <f t="shared" ca="1" si="20"/>
        <v>0</v>
      </c>
      <c r="AL21" s="1500">
        <f t="shared" ca="1" si="20"/>
        <v>0</v>
      </c>
      <c r="AM21" s="1500">
        <f t="shared" ca="1" si="20"/>
        <v>0</v>
      </c>
      <c r="AN21" s="1500">
        <f t="shared" ca="1" si="20"/>
        <v>0</v>
      </c>
      <c r="AO21" s="1500">
        <f t="shared" ca="1" si="20"/>
        <v>0</v>
      </c>
      <c r="AP21" s="1500">
        <f t="shared" ca="1" si="20"/>
        <v>0</v>
      </c>
      <c r="AQ21" s="1490">
        <f ca="1">SUM(Y21:AP21)</f>
        <v>-123.70392531433073</v>
      </c>
      <c r="AS21" s="1491">
        <f>AS20</f>
        <v>0</v>
      </c>
      <c r="AT21" s="1491">
        <f t="shared" ref="AT21:BK21" si="21">AT20</f>
        <v>0</v>
      </c>
      <c r="AU21" s="1491">
        <f t="shared" si="21"/>
        <v>0</v>
      </c>
      <c r="AV21" s="1491">
        <f t="shared" si="21"/>
        <v>0</v>
      </c>
      <c r="AW21" s="1491">
        <f t="shared" si="21"/>
        <v>0</v>
      </c>
      <c r="AX21" s="1491">
        <f t="shared" si="21"/>
        <v>0</v>
      </c>
      <c r="AY21" s="1491">
        <f t="shared" si="21"/>
        <v>0</v>
      </c>
      <c r="AZ21" s="1491">
        <f t="shared" si="21"/>
        <v>0</v>
      </c>
      <c r="BA21" s="1491">
        <f t="shared" si="21"/>
        <v>0</v>
      </c>
      <c r="BB21" s="1491">
        <f t="shared" si="21"/>
        <v>0</v>
      </c>
      <c r="BC21" s="1491">
        <f t="shared" si="21"/>
        <v>0</v>
      </c>
      <c r="BD21" s="1491">
        <f t="shared" si="21"/>
        <v>0</v>
      </c>
      <c r="BE21" s="1491">
        <f t="shared" si="21"/>
        <v>0</v>
      </c>
      <c r="BF21" s="1491">
        <f t="shared" si="21"/>
        <v>0</v>
      </c>
      <c r="BG21" s="1491">
        <f t="shared" si="21"/>
        <v>0</v>
      </c>
      <c r="BH21" s="1491">
        <f t="shared" si="21"/>
        <v>0</v>
      </c>
      <c r="BI21" s="1491">
        <f t="shared" si="21"/>
        <v>0</v>
      </c>
      <c r="BJ21" s="1491">
        <f t="shared" si="21"/>
        <v>0</v>
      </c>
      <c r="BK21" s="1491">
        <f t="shared" si="21"/>
        <v>0</v>
      </c>
      <c r="BL21" s="1503">
        <f>SUM(AS21:BK21)</f>
        <v>0</v>
      </c>
      <c r="BN21" s="1941">
        <f ca="1">IFERROR(INDEX(INDIRECT($C21&amp;".Outputs["&amp;this.Year&amp;"]"), MATCH(BN$5, INDIRECT($C21&amp;".Outputs[Vector]"), 0)), 0)</f>
        <v>0</v>
      </c>
      <c r="BO21" s="1941">
        <f ca="1">IFERROR(INDEX(INDIRECT($C21&amp;".Outputs["&amp;this.Year&amp;"]"), MATCH(BO$5, INDIRECT($C21&amp;".Outputs[Vector]"), 0)), 0)</f>
        <v>0</v>
      </c>
      <c r="BP21" s="1505">
        <f ca="1">BN21+BO21</f>
        <v>0</v>
      </c>
      <c r="BR21" s="3168">
        <f t="shared" ca="1" si="12"/>
        <v>-1.4210854715202004E-14</v>
      </c>
      <c r="BS21" s="1506"/>
      <c r="BT21" s="748"/>
      <c r="BU21" s="1507">
        <v>0</v>
      </c>
      <c r="BV21" s="1508">
        <v>0</v>
      </c>
      <c r="BW21" s="1508">
        <v>0</v>
      </c>
      <c r="BX21" s="1508">
        <v>0</v>
      </c>
      <c r="BY21" s="1508">
        <v>0</v>
      </c>
      <c r="BZ21" s="1508">
        <v>0</v>
      </c>
      <c r="CA21" s="1508">
        <v>0</v>
      </c>
      <c r="CB21" s="1508">
        <v>0</v>
      </c>
      <c r="CC21" s="1508">
        <v>0</v>
      </c>
      <c r="CD21" s="1508">
        <v>0</v>
      </c>
      <c r="CE21" s="1508">
        <v>0</v>
      </c>
      <c r="CF21" s="1508">
        <v>0</v>
      </c>
      <c r="CG21" s="1508">
        <v>0</v>
      </c>
      <c r="CH21" s="1508">
        <v>0</v>
      </c>
      <c r="CI21" s="1508">
        <v>0</v>
      </c>
      <c r="CJ21" s="1508">
        <v>0</v>
      </c>
      <c r="CK21" s="1508">
        <v>0</v>
      </c>
      <c r="CL21" s="1508">
        <v>0</v>
      </c>
      <c r="CM21" s="1508">
        <v>0</v>
      </c>
      <c r="CN21" s="1508">
        <v>0</v>
      </c>
      <c r="CO21" s="1508">
        <v>0</v>
      </c>
      <c r="CP21" s="1508">
        <v>0</v>
      </c>
      <c r="CQ21" s="1508">
        <v>0</v>
      </c>
      <c r="CR21" s="1508">
        <v>0</v>
      </c>
      <c r="CS21" s="1508">
        <v>0</v>
      </c>
      <c r="CT21" s="1508">
        <v>0</v>
      </c>
      <c r="CU21" s="1508">
        <v>0</v>
      </c>
      <c r="CV21" s="1508">
        <v>0</v>
      </c>
      <c r="CW21" s="1508">
        <v>0</v>
      </c>
      <c r="CX21" s="1508">
        <v>0</v>
      </c>
      <c r="CY21" s="1508">
        <v>0</v>
      </c>
      <c r="CZ21" s="1508">
        <v>0</v>
      </c>
      <c r="DA21" s="1508">
        <v>38.200000000000003</v>
      </c>
      <c r="DB21" s="1508">
        <v>4.7558849195905424E-2</v>
      </c>
      <c r="DC21" s="1508">
        <v>0.68729627526214465</v>
      </c>
      <c r="DD21" s="1508">
        <v>0</v>
      </c>
      <c r="DE21" s="1508">
        <v>0</v>
      </c>
      <c r="DF21" s="1508">
        <v>0</v>
      </c>
      <c r="DG21" s="1508">
        <v>0</v>
      </c>
      <c r="DH21" s="1508">
        <v>0</v>
      </c>
      <c r="DI21" s="1508">
        <v>0</v>
      </c>
      <c r="DJ21" s="1508">
        <v>0</v>
      </c>
      <c r="DK21" s="1508">
        <v>0</v>
      </c>
      <c r="DL21" s="1508">
        <v>0</v>
      </c>
      <c r="DN21" s="1509">
        <v>38.934855124458053</v>
      </c>
    </row>
    <row r="22" spans="1:118" s="14" customFormat="1" ht="10.5" hidden="1" customHeight="1" outlineLevel="2" x14ac:dyDescent="0.2">
      <c r="A22" s="1510"/>
      <c r="B22" s="1510"/>
      <c r="C22" s="1510"/>
      <c r="D22" s="1546"/>
      <c r="E22" s="1512"/>
      <c r="G22" s="1513"/>
      <c r="H22" s="1513"/>
      <c r="I22" s="1513"/>
      <c r="J22" s="1513"/>
      <c r="K22" s="1513"/>
      <c r="L22" s="1513"/>
      <c r="M22" s="1513"/>
      <c r="N22" s="1513"/>
      <c r="O22" s="1513"/>
      <c r="P22" s="1513"/>
      <c r="Q22" s="1513"/>
      <c r="R22" s="1513"/>
      <c r="S22" s="1513"/>
      <c r="T22" s="1513"/>
      <c r="U22" s="1513"/>
      <c r="V22" s="1513"/>
      <c r="W22" s="1539">
        <f t="shared" si="10"/>
        <v>0</v>
      </c>
      <c r="Y22" s="1515"/>
      <c r="Z22" s="1515"/>
      <c r="AA22" s="1515"/>
      <c r="AB22" s="1515"/>
      <c r="AC22" s="1515"/>
      <c r="AD22" s="1515"/>
      <c r="AE22" s="1515"/>
      <c r="AF22" s="1515"/>
      <c r="AG22" s="1515"/>
      <c r="AH22" s="1515"/>
      <c r="AI22" s="1515"/>
      <c r="AJ22" s="1515"/>
      <c r="AK22" s="1515"/>
      <c r="AL22" s="1515"/>
      <c r="AM22" s="1515"/>
      <c r="AN22" s="1515"/>
      <c r="AO22" s="1515"/>
      <c r="AP22" s="1515"/>
      <c r="AQ22" s="1490">
        <f t="shared" si="11"/>
        <v>0</v>
      </c>
      <c r="AS22" s="1517"/>
      <c r="AT22" s="1517"/>
      <c r="AU22" s="1517"/>
      <c r="AV22" s="1517"/>
      <c r="AW22" s="1517"/>
      <c r="AX22" s="1517"/>
      <c r="AY22" s="1517"/>
      <c r="AZ22" s="1517"/>
      <c r="BA22" s="1517"/>
      <c r="BB22" s="1517"/>
      <c r="BC22" s="1517"/>
      <c r="BD22" s="1517"/>
      <c r="BE22" s="1517"/>
      <c r="BF22" s="1517"/>
      <c r="BG22" s="1517"/>
      <c r="BH22" s="1517"/>
      <c r="BI22" s="1517"/>
      <c r="BJ22" s="1517"/>
      <c r="BK22" s="1517"/>
      <c r="BL22" s="1518"/>
      <c r="BN22" s="1519"/>
      <c r="BO22" s="1519"/>
      <c r="BP22" s="1520"/>
      <c r="BR22" s="3168">
        <f t="shared" si="12"/>
        <v>0</v>
      </c>
      <c r="BS22" s="1521"/>
      <c r="BT22" s="748"/>
      <c r="BU22" s="1507">
        <v>0</v>
      </c>
      <c r="BV22" s="1508">
        <v>0</v>
      </c>
      <c r="BW22" s="1508">
        <v>0</v>
      </c>
      <c r="BX22" s="1508">
        <v>0</v>
      </c>
      <c r="BY22" s="1508">
        <v>0</v>
      </c>
      <c r="BZ22" s="1508">
        <v>0</v>
      </c>
      <c r="CA22" s="1508">
        <v>0</v>
      </c>
      <c r="CB22" s="1508">
        <v>0</v>
      </c>
      <c r="CC22" s="1508">
        <v>0</v>
      </c>
      <c r="CD22" s="1508">
        <v>0</v>
      </c>
      <c r="CE22" s="1508">
        <v>0</v>
      </c>
      <c r="CF22" s="1508">
        <v>0</v>
      </c>
      <c r="CG22" s="1508">
        <v>0</v>
      </c>
      <c r="CH22" s="1508">
        <v>0</v>
      </c>
      <c r="CI22" s="1508">
        <v>0</v>
      </c>
      <c r="CJ22" s="1508">
        <v>0</v>
      </c>
      <c r="CK22" s="1508">
        <v>0</v>
      </c>
      <c r="CL22" s="1508">
        <v>0</v>
      </c>
      <c r="CM22" s="1508">
        <v>0</v>
      </c>
      <c r="CN22" s="1508">
        <v>0</v>
      </c>
      <c r="CO22" s="1508">
        <v>0</v>
      </c>
      <c r="CP22" s="1508">
        <v>0</v>
      </c>
      <c r="CQ22" s="1508">
        <v>0</v>
      </c>
      <c r="CR22" s="1508">
        <v>0</v>
      </c>
      <c r="CS22" s="1508">
        <v>0</v>
      </c>
      <c r="CT22" s="1508">
        <v>0</v>
      </c>
      <c r="CU22" s="1508">
        <v>0</v>
      </c>
      <c r="CV22" s="1508">
        <v>0</v>
      </c>
      <c r="CW22" s="1508">
        <v>0</v>
      </c>
      <c r="CX22" s="1508">
        <v>0</v>
      </c>
      <c r="CY22" s="1508">
        <v>0</v>
      </c>
      <c r="CZ22" s="1508">
        <v>0</v>
      </c>
      <c r="DA22" s="1508">
        <v>0</v>
      </c>
      <c r="DB22" s="1508">
        <v>0</v>
      </c>
      <c r="DC22" s="1508">
        <v>0</v>
      </c>
      <c r="DD22" s="1508">
        <v>0</v>
      </c>
      <c r="DE22" s="1508">
        <v>0</v>
      </c>
      <c r="DF22" s="1508">
        <v>0</v>
      </c>
      <c r="DG22" s="1508">
        <v>0</v>
      </c>
      <c r="DH22" s="1508">
        <v>0</v>
      </c>
      <c r="DI22" s="1508">
        <v>0</v>
      </c>
      <c r="DJ22" s="1508">
        <v>0</v>
      </c>
      <c r="DK22" s="1508">
        <v>0</v>
      </c>
      <c r="DL22" s="1508">
        <v>0</v>
      </c>
      <c r="DN22" s="1509">
        <v>0</v>
      </c>
    </row>
    <row r="23" spans="1:118" s="14" customFormat="1" ht="10.5" hidden="1" customHeight="1" outlineLevel="1" x14ac:dyDescent="0.2">
      <c r="A23" s="1522"/>
      <c r="B23" s="1522"/>
      <c r="C23" s="1522"/>
      <c r="D23" s="1545"/>
      <c r="E23" s="1512"/>
      <c r="G23" s="1499"/>
      <c r="H23" s="1499"/>
      <c r="I23" s="1499"/>
      <c r="J23" s="1499"/>
      <c r="K23" s="1499"/>
      <c r="L23" s="1499"/>
      <c r="M23" s="1499"/>
      <c r="N23" s="1499"/>
      <c r="O23" s="1499"/>
      <c r="P23" s="1499"/>
      <c r="Q23" s="1499"/>
      <c r="R23" s="1499"/>
      <c r="S23" s="1499"/>
      <c r="T23" s="1499"/>
      <c r="U23" s="1499"/>
      <c r="V23" s="1499"/>
      <c r="W23" s="1539">
        <f t="shared" si="10"/>
        <v>0</v>
      </c>
      <c r="Y23" s="1501"/>
      <c r="Z23" s="1501"/>
      <c r="AA23" s="1501"/>
      <c r="AB23" s="1501"/>
      <c r="AC23" s="1501"/>
      <c r="AD23" s="1501"/>
      <c r="AE23" s="1501"/>
      <c r="AF23" s="1501"/>
      <c r="AG23" s="1501"/>
      <c r="AH23" s="1501"/>
      <c r="AI23" s="1501"/>
      <c r="AJ23" s="1501"/>
      <c r="AK23" s="1501"/>
      <c r="AL23" s="1501"/>
      <c r="AM23" s="1501"/>
      <c r="AN23" s="1501"/>
      <c r="AO23" s="1501"/>
      <c r="AP23" s="1501"/>
      <c r="AQ23" s="1490">
        <f t="shared" si="11"/>
        <v>0</v>
      </c>
      <c r="AS23" s="1523"/>
      <c r="AT23" s="1523"/>
      <c r="AU23" s="1523"/>
      <c r="AV23" s="1523"/>
      <c r="AW23" s="1523"/>
      <c r="AX23" s="1523"/>
      <c r="AY23" s="1523"/>
      <c r="AZ23" s="1523"/>
      <c r="BA23" s="1523"/>
      <c r="BB23" s="1523"/>
      <c r="BC23" s="1523"/>
      <c r="BD23" s="1523"/>
      <c r="BE23" s="1523"/>
      <c r="BF23" s="1523"/>
      <c r="BG23" s="1523"/>
      <c r="BH23" s="1523"/>
      <c r="BI23" s="1523"/>
      <c r="BJ23" s="1523"/>
      <c r="BK23" s="1523"/>
      <c r="BL23" s="1503"/>
      <c r="BN23" s="1505"/>
      <c r="BO23" s="1505"/>
      <c r="BP23" s="1505"/>
      <c r="BR23" s="3168">
        <f t="shared" si="12"/>
        <v>0</v>
      </c>
      <c r="BS23" s="1506"/>
      <c r="BT23" s="748"/>
      <c r="BU23" s="1507">
        <v>0</v>
      </c>
      <c r="BV23" s="1508">
        <v>0</v>
      </c>
      <c r="BW23" s="1508">
        <v>0</v>
      </c>
      <c r="BX23" s="1508">
        <v>0</v>
      </c>
      <c r="BY23" s="1508">
        <v>0</v>
      </c>
      <c r="BZ23" s="1508">
        <v>0</v>
      </c>
      <c r="CA23" s="1508">
        <v>0</v>
      </c>
      <c r="CB23" s="1508">
        <v>0</v>
      </c>
      <c r="CC23" s="1508">
        <v>0</v>
      </c>
      <c r="CD23" s="1508">
        <v>0</v>
      </c>
      <c r="CE23" s="1508">
        <v>0</v>
      </c>
      <c r="CF23" s="1508">
        <v>0</v>
      </c>
      <c r="CG23" s="1508">
        <v>0</v>
      </c>
      <c r="CH23" s="1508">
        <v>0</v>
      </c>
      <c r="CI23" s="1508">
        <v>0</v>
      </c>
      <c r="CJ23" s="1508">
        <v>0</v>
      </c>
      <c r="CK23" s="1508">
        <v>0</v>
      </c>
      <c r="CL23" s="1508">
        <v>0</v>
      </c>
      <c r="CM23" s="1508">
        <v>0</v>
      </c>
      <c r="CN23" s="1508">
        <v>0</v>
      </c>
      <c r="CO23" s="1508">
        <v>0</v>
      </c>
      <c r="CP23" s="1508">
        <v>0</v>
      </c>
      <c r="CQ23" s="1508">
        <v>0</v>
      </c>
      <c r="CR23" s="1508">
        <v>0</v>
      </c>
      <c r="CS23" s="1508">
        <v>0</v>
      </c>
      <c r="CT23" s="1508">
        <v>0</v>
      </c>
      <c r="CU23" s="1508">
        <v>0</v>
      </c>
      <c r="CV23" s="1508">
        <v>0</v>
      </c>
      <c r="CW23" s="1508">
        <v>0</v>
      </c>
      <c r="CX23" s="1508">
        <v>0</v>
      </c>
      <c r="CY23" s="1508">
        <v>0</v>
      </c>
      <c r="CZ23" s="1508">
        <v>0</v>
      </c>
      <c r="DA23" s="1508">
        <v>38.200000000000003</v>
      </c>
      <c r="DB23" s="1508">
        <v>4.7558849195905424E-2</v>
      </c>
      <c r="DC23" s="1508">
        <v>0.68729627526214465</v>
      </c>
      <c r="DD23" s="1508">
        <v>0</v>
      </c>
      <c r="DE23" s="1508">
        <v>0</v>
      </c>
      <c r="DF23" s="1508">
        <v>0</v>
      </c>
      <c r="DG23" s="1508">
        <v>0</v>
      </c>
      <c r="DH23" s="1508">
        <v>0</v>
      </c>
      <c r="DI23" s="1508">
        <v>0</v>
      </c>
      <c r="DJ23" s="1508">
        <v>0</v>
      </c>
      <c r="DK23" s="1508">
        <v>0</v>
      </c>
      <c r="DL23" s="1508">
        <v>0</v>
      </c>
      <c r="DN23" s="1509">
        <v>38.934855124458053</v>
      </c>
    </row>
    <row r="24" spans="1:118" s="14" customFormat="1" ht="12.75" hidden="1" customHeight="1" outlineLevel="2" x14ac:dyDescent="0.2">
      <c r="A24" s="1495"/>
      <c r="B24" s="1495"/>
      <c r="C24" s="1496" t="s">
        <v>102</v>
      </c>
      <c r="D24" s="14" t="str">
        <f>INDEX(Modulos[Modulos], MATCH($C24, Modulos[Código], 0))</f>
        <v>Transporte de carga</v>
      </c>
      <c r="E24" s="1512"/>
      <c r="G24" s="1889">
        <f t="shared" ref="G24:V24" ca="1" si="22">IFERROR(INDEX(INDIRECT($C24&amp;".Outputs["&amp;this.Year&amp;"]"), MATCH(G$5, INDIRECT($C24&amp;".Outputs[Vector]"), 0)), 0)</f>
        <v>0</v>
      </c>
      <c r="H24" s="1889"/>
      <c r="I24" s="1889"/>
      <c r="J24" s="1889"/>
      <c r="K24" s="1889"/>
      <c r="L24" s="1889"/>
      <c r="M24" s="1889">
        <f t="shared" ca="1" si="22"/>
        <v>0</v>
      </c>
      <c r="N24" s="1889">
        <f t="shared" ca="1" si="22"/>
        <v>0</v>
      </c>
      <c r="O24" s="1889">
        <f t="shared" ca="1" si="22"/>
        <v>0</v>
      </c>
      <c r="P24" s="1889">
        <f t="shared" ca="1" si="22"/>
        <v>0</v>
      </c>
      <c r="Q24" s="1889">
        <f t="shared" ca="1" si="22"/>
        <v>0</v>
      </c>
      <c r="R24" s="1889">
        <f t="shared" ca="1" si="22"/>
        <v>0</v>
      </c>
      <c r="S24" s="1889">
        <f t="shared" ca="1" si="22"/>
        <v>9.0634554795282387</v>
      </c>
      <c r="T24" s="1889">
        <f t="shared" ca="1" si="22"/>
        <v>10.274069535198388</v>
      </c>
      <c r="U24" s="1889">
        <f t="shared" ca="1" si="22"/>
        <v>7.0253872509913858E-3</v>
      </c>
      <c r="V24" s="1889">
        <f t="shared" ca="1" si="22"/>
        <v>0.37495696100373616</v>
      </c>
      <c r="W24" s="1539">
        <f t="shared" ca="1" si="10"/>
        <v>19.719507362981354</v>
      </c>
      <c r="Y24" s="1891">
        <f t="shared" ref="Y24:AP24" ca="1" si="23">IFERROR(INDEX(INDIRECT($C24&amp;".Outputs["&amp;this.Year&amp;"]"), MATCH(Y$5, INDIRECT($C24&amp;".Outputs[Vector]"), 0)), 0)</f>
        <v>0</v>
      </c>
      <c r="Z24" s="1891">
        <f t="shared" ca="1" si="23"/>
        <v>0</v>
      </c>
      <c r="AA24" s="1891">
        <f t="shared" ca="1" si="23"/>
        <v>0</v>
      </c>
      <c r="AB24" s="1891">
        <f t="shared" ca="1" si="23"/>
        <v>-19.719507362981354</v>
      </c>
      <c r="AC24" s="1891">
        <f t="shared" ca="1" si="23"/>
        <v>0</v>
      </c>
      <c r="AD24" s="1891">
        <f t="shared" ca="1" si="23"/>
        <v>0</v>
      </c>
      <c r="AE24" s="1891">
        <f t="shared" ca="1" si="23"/>
        <v>0</v>
      </c>
      <c r="AF24" s="1891">
        <f t="shared" ca="1" si="23"/>
        <v>0</v>
      </c>
      <c r="AG24" s="1891">
        <f t="shared" ca="1" si="23"/>
        <v>0</v>
      </c>
      <c r="AH24" s="1891">
        <f t="shared" ca="1" si="23"/>
        <v>0</v>
      </c>
      <c r="AI24" s="1891">
        <f t="shared" ca="1" si="23"/>
        <v>0</v>
      </c>
      <c r="AJ24" s="1891">
        <f t="shared" ca="1" si="23"/>
        <v>0</v>
      </c>
      <c r="AK24" s="1891">
        <f t="shared" ca="1" si="23"/>
        <v>0</v>
      </c>
      <c r="AL24" s="1891">
        <f t="shared" ca="1" si="23"/>
        <v>0</v>
      </c>
      <c r="AM24" s="1891">
        <f t="shared" ca="1" si="23"/>
        <v>0</v>
      </c>
      <c r="AN24" s="1891">
        <f t="shared" ca="1" si="23"/>
        <v>0</v>
      </c>
      <c r="AO24" s="1891">
        <f t="shared" ca="1" si="23"/>
        <v>0</v>
      </c>
      <c r="AP24" s="1891">
        <f t="shared" ca="1" si="23"/>
        <v>0</v>
      </c>
      <c r="AQ24" s="1490">
        <f t="shared" ca="1" si="11"/>
        <v>-19.719507362981354</v>
      </c>
      <c r="AS24" s="1491">
        <f>AS23</f>
        <v>0</v>
      </c>
      <c r="AT24" s="1491">
        <f t="shared" ref="AT24:BK24" si="24">AT23</f>
        <v>0</v>
      </c>
      <c r="AU24" s="1491">
        <f t="shared" si="24"/>
        <v>0</v>
      </c>
      <c r="AV24" s="1491">
        <f t="shared" si="24"/>
        <v>0</v>
      </c>
      <c r="AW24" s="1491">
        <f t="shared" si="24"/>
        <v>0</v>
      </c>
      <c r="AX24" s="1491">
        <f t="shared" si="24"/>
        <v>0</v>
      </c>
      <c r="AY24" s="1491">
        <f t="shared" si="24"/>
        <v>0</v>
      </c>
      <c r="AZ24" s="1491">
        <f t="shared" si="24"/>
        <v>0</v>
      </c>
      <c r="BA24" s="1491">
        <f t="shared" si="24"/>
        <v>0</v>
      </c>
      <c r="BB24" s="1491">
        <f t="shared" si="24"/>
        <v>0</v>
      </c>
      <c r="BC24" s="1491">
        <f t="shared" si="24"/>
        <v>0</v>
      </c>
      <c r="BD24" s="1491">
        <f t="shared" si="24"/>
        <v>0</v>
      </c>
      <c r="BE24" s="1491">
        <f t="shared" si="24"/>
        <v>0</v>
      </c>
      <c r="BF24" s="1491">
        <f t="shared" si="24"/>
        <v>0</v>
      </c>
      <c r="BG24" s="1491">
        <f t="shared" si="24"/>
        <v>0</v>
      </c>
      <c r="BH24" s="1491">
        <f t="shared" si="24"/>
        <v>0</v>
      </c>
      <c r="BI24" s="1491">
        <f t="shared" si="24"/>
        <v>0</v>
      </c>
      <c r="BJ24" s="1491">
        <f t="shared" si="24"/>
        <v>0</v>
      </c>
      <c r="BK24" s="1491">
        <f t="shared" si="24"/>
        <v>0</v>
      </c>
      <c r="BL24" s="1503">
        <f>SUM(AS24:BK24)</f>
        <v>0</v>
      </c>
      <c r="BN24" s="1941">
        <f ca="1">IFERROR(INDEX(INDIRECT($C24&amp;".Outputs["&amp;this.Year&amp;"]"), MATCH(BN$5, INDIRECT($C24&amp;".Outputs[Vector]"), 0)), 0)</f>
        <v>0</v>
      </c>
      <c r="BO24" s="1941">
        <f ca="1">IFERROR(INDEX(INDIRECT($C24&amp;".Outputs["&amp;this.Year&amp;"]"), MATCH(BO$5, INDIRECT($C24&amp;".Outputs[Vector]"), 0)), 0)</f>
        <v>0</v>
      </c>
      <c r="BP24" s="1505">
        <f ca="1">BN24+BO24</f>
        <v>0</v>
      </c>
      <c r="BR24" s="3168">
        <f t="shared" ca="1" si="12"/>
        <v>0</v>
      </c>
      <c r="BS24" s="1525"/>
      <c r="BT24" s="748"/>
      <c r="BU24" s="1507">
        <v>0</v>
      </c>
      <c r="BV24" s="1508">
        <v>0</v>
      </c>
      <c r="BW24" s="1508">
        <v>0</v>
      </c>
      <c r="BX24" s="1508">
        <v>0</v>
      </c>
      <c r="BY24" s="1508">
        <v>0</v>
      </c>
      <c r="BZ24" s="1508">
        <v>0</v>
      </c>
      <c r="CA24" s="1508">
        <v>0</v>
      </c>
      <c r="CB24" s="1508">
        <v>0</v>
      </c>
      <c r="CC24" s="1508">
        <v>0</v>
      </c>
      <c r="CD24" s="1508">
        <v>0</v>
      </c>
      <c r="CE24" s="1508">
        <v>0</v>
      </c>
      <c r="CF24" s="1508">
        <v>0</v>
      </c>
      <c r="CG24" s="1508">
        <v>0</v>
      </c>
      <c r="CH24" s="1508">
        <v>0</v>
      </c>
      <c r="CI24" s="1508">
        <v>0</v>
      </c>
      <c r="CJ24" s="1508">
        <v>0</v>
      </c>
      <c r="CK24" s="1508">
        <v>0</v>
      </c>
      <c r="CL24" s="1508">
        <v>0</v>
      </c>
      <c r="CM24" s="1508">
        <v>0</v>
      </c>
      <c r="CN24" s="1508">
        <v>0</v>
      </c>
      <c r="CO24" s="1508">
        <v>0</v>
      </c>
      <c r="CP24" s="1508">
        <v>0</v>
      </c>
      <c r="CQ24" s="1508">
        <v>0</v>
      </c>
      <c r="CR24" s="1508">
        <v>0</v>
      </c>
      <c r="CS24" s="1508">
        <v>0</v>
      </c>
      <c r="CT24" s="1508">
        <v>0</v>
      </c>
      <c r="CU24" s="1508">
        <v>0</v>
      </c>
      <c r="CV24" s="1508">
        <v>0</v>
      </c>
      <c r="CW24" s="1508">
        <v>0</v>
      </c>
      <c r="CX24" s="1508">
        <v>0</v>
      </c>
      <c r="CY24" s="1508">
        <v>0</v>
      </c>
      <c r="CZ24" s="1508">
        <v>0</v>
      </c>
      <c r="DA24" s="1508">
        <v>13.5395392718143</v>
      </c>
      <c r="DB24" s="1508">
        <v>1.6856672942676842E-2</v>
      </c>
      <c r="DC24" s="1508">
        <v>0.2436040552430235</v>
      </c>
      <c r="DD24" s="1508">
        <v>0</v>
      </c>
      <c r="DE24" s="1508">
        <v>0</v>
      </c>
      <c r="DF24" s="1508">
        <v>0</v>
      </c>
      <c r="DG24" s="1508">
        <v>0</v>
      </c>
      <c r="DH24" s="1508">
        <v>0</v>
      </c>
      <c r="DI24" s="1508">
        <v>0</v>
      </c>
      <c r="DJ24" s="1508">
        <v>0</v>
      </c>
      <c r="DK24" s="1508">
        <v>0</v>
      </c>
      <c r="DL24" s="1508">
        <v>0</v>
      </c>
      <c r="DN24" s="1509">
        <v>13.8</v>
      </c>
    </row>
    <row r="25" spans="1:118" s="14" customFormat="1" ht="10.5" hidden="1" customHeight="1" outlineLevel="2" x14ac:dyDescent="0.2">
      <c r="A25" s="1510"/>
      <c r="B25" s="1510"/>
      <c r="C25" s="1511"/>
      <c r="D25" s="1546"/>
      <c r="E25" s="1512"/>
      <c r="G25" s="1513"/>
      <c r="H25" s="1513"/>
      <c r="I25" s="1513"/>
      <c r="J25" s="1513"/>
      <c r="K25" s="1513"/>
      <c r="L25" s="1513"/>
      <c r="M25" s="1513"/>
      <c r="N25" s="1513"/>
      <c r="O25" s="1513"/>
      <c r="P25" s="1513"/>
      <c r="Q25" s="1513"/>
      <c r="R25" s="1513"/>
      <c r="S25" s="1513"/>
      <c r="T25" s="1513"/>
      <c r="U25" s="1513"/>
      <c r="V25" s="1513"/>
      <c r="W25" s="1539">
        <f t="shared" si="10"/>
        <v>0</v>
      </c>
      <c r="Y25" s="1515"/>
      <c r="Z25" s="1515"/>
      <c r="AA25" s="1515"/>
      <c r="AB25" s="1515"/>
      <c r="AC25" s="1515"/>
      <c r="AD25" s="1515"/>
      <c r="AE25" s="1515"/>
      <c r="AF25" s="1515"/>
      <c r="AG25" s="1515"/>
      <c r="AH25" s="1515"/>
      <c r="AI25" s="1515"/>
      <c r="AJ25" s="1515"/>
      <c r="AK25" s="1515"/>
      <c r="AL25" s="1515"/>
      <c r="AM25" s="1515"/>
      <c r="AN25" s="1515"/>
      <c r="AO25" s="1515"/>
      <c r="AP25" s="1515"/>
      <c r="AQ25" s="1490">
        <f t="shared" si="11"/>
        <v>0</v>
      </c>
      <c r="AS25" s="1517"/>
      <c r="AT25" s="1517"/>
      <c r="AU25" s="1517"/>
      <c r="AV25" s="1517"/>
      <c r="AW25" s="1517"/>
      <c r="AX25" s="1517"/>
      <c r="AY25" s="1517"/>
      <c r="AZ25" s="1517"/>
      <c r="BA25" s="1517"/>
      <c r="BB25" s="1517"/>
      <c r="BC25" s="1517"/>
      <c r="BD25" s="1517"/>
      <c r="BE25" s="1517"/>
      <c r="BF25" s="1517"/>
      <c r="BG25" s="1517"/>
      <c r="BH25" s="1517"/>
      <c r="BI25" s="1517"/>
      <c r="BJ25" s="1517"/>
      <c r="BK25" s="1517"/>
      <c r="BL25" s="1518"/>
      <c r="BN25" s="1519"/>
      <c r="BO25" s="1519"/>
      <c r="BP25" s="1520"/>
      <c r="BR25" s="3168">
        <f t="shared" si="12"/>
        <v>0</v>
      </c>
      <c r="BS25" s="1521"/>
      <c r="BT25" s="748"/>
      <c r="BU25" s="1507">
        <v>0</v>
      </c>
      <c r="BV25" s="1508">
        <v>0</v>
      </c>
      <c r="BW25" s="1508">
        <v>0</v>
      </c>
      <c r="BX25" s="1508">
        <v>0</v>
      </c>
      <c r="BY25" s="1508">
        <v>0</v>
      </c>
      <c r="BZ25" s="1508">
        <v>0</v>
      </c>
      <c r="CA25" s="1508">
        <v>0</v>
      </c>
      <c r="CB25" s="1508">
        <v>0</v>
      </c>
      <c r="CC25" s="1508">
        <v>0</v>
      </c>
      <c r="CD25" s="1508">
        <v>0</v>
      </c>
      <c r="CE25" s="1508">
        <v>0</v>
      </c>
      <c r="CF25" s="1508">
        <v>0</v>
      </c>
      <c r="CG25" s="1508">
        <v>0</v>
      </c>
      <c r="CH25" s="1508">
        <v>0</v>
      </c>
      <c r="CI25" s="1508">
        <v>0</v>
      </c>
      <c r="CJ25" s="1508">
        <v>0</v>
      </c>
      <c r="CK25" s="1508">
        <v>0</v>
      </c>
      <c r="CL25" s="1508">
        <v>0</v>
      </c>
      <c r="CM25" s="1508">
        <v>0</v>
      </c>
      <c r="CN25" s="1508">
        <v>0</v>
      </c>
      <c r="CO25" s="1508">
        <v>0</v>
      </c>
      <c r="CP25" s="1508">
        <v>0</v>
      </c>
      <c r="CQ25" s="1508">
        <v>0</v>
      </c>
      <c r="CR25" s="1508">
        <v>0</v>
      </c>
      <c r="CS25" s="1508">
        <v>0</v>
      </c>
      <c r="CT25" s="1508">
        <v>0</v>
      </c>
      <c r="CU25" s="1508">
        <v>0</v>
      </c>
      <c r="CV25" s="1508">
        <v>0</v>
      </c>
      <c r="CW25" s="1508">
        <v>0</v>
      </c>
      <c r="CX25" s="1508">
        <v>0</v>
      </c>
      <c r="CY25" s="1508">
        <v>0</v>
      </c>
      <c r="CZ25" s="1508">
        <v>0</v>
      </c>
      <c r="DA25" s="1508">
        <v>0</v>
      </c>
      <c r="DB25" s="1508">
        <v>0</v>
      </c>
      <c r="DC25" s="1508">
        <v>0</v>
      </c>
      <c r="DD25" s="1508">
        <v>0</v>
      </c>
      <c r="DE25" s="1508">
        <v>0</v>
      </c>
      <c r="DF25" s="1508">
        <v>0</v>
      </c>
      <c r="DG25" s="1508">
        <v>0</v>
      </c>
      <c r="DH25" s="1508">
        <v>0</v>
      </c>
      <c r="DI25" s="1508">
        <v>0</v>
      </c>
      <c r="DJ25" s="1508">
        <v>0</v>
      </c>
      <c r="DK25" s="1508">
        <v>0</v>
      </c>
      <c r="DL25" s="1508">
        <v>0</v>
      </c>
      <c r="DN25" s="1509">
        <v>0</v>
      </c>
    </row>
    <row r="26" spans="1:118" s="14" customFormat="1" ht="11.25" hidden="1" customHeight="1" outlineLevel="1" x14ac:dyDescent="0.2">
      <c r="A26" s="1522"/>
      <c r="B26" s="1522"/>
      <c r="D26" s="1547"/>
      <c r="E26" s="1526"/>
      <c r="G26" s="1527"/>
      <c r="H26" s="1527"/>
      <c r="I26" s="1527"/>
      <c r="J26" s="1527"/>
      <c r="K26" s="1527"/>
      <c r="L26" s="1527"/>
      <c r="M26" s="1527"/>
      <c r="N26" s="1527"/>
      <c r="O26" s="1527"/>
      <c r="P26" s="1527"/>
      <c r="Q26" s="1527"/>
      <c r="R26" s="1527"/>
      <c r="S26" s="1527"/>
      <c r="T26" s="1527"/>
      <c r="U26" s="1527"/>
      <c r="V26" s="1527"/>
      <c r="W26" s="1539">
        <f t="shared" si="10"/>
        <v>0</v>
      </c>
      <c r="Y26" s="1528"/>
      <c r="Z26" s="1528"/>
      <c r="AA26" s="1528"/>
      <c r="AB26" s="1528"/>
      <c r="AC26" s="1528"/>
      <c r="AD26" s="1548"/>
      <c r="AE26" s="1548"/>
      <c r="AF26" s="1548"/>
      <c r="AG26" s="1528"/>
      <c r="AH26" s="1528"/>
      <c r="AI26" s="1528"/>
      <c r="AJ26" s="1528"/>
      <c r="AK26" s="1528"/>
      <c r="AL26" s="1528"/>
      <c r="AM26" s="1528"/>
      <c r="AN26" s="1528"/>
      <c r="AO26" s="1528"/>
      <c r="AP26" s="1528"/>
      <c r="AQ26" s="1490">
        <f t="shared" si="11"/>
        <v>0</v>
      </c>
      <c r="AS26" s="1549"/>
      <c r="AT26" s="1549"/>
      <c r="AU26" s="1549"/>
      <c r="AV26" s="1549"/>
      <c r="AW26" s="1549"/>
      <c r="AX26" s="1549"/>
      <c r="AY26" s="1549"/>
      <c r="AZ26" s="1549"/>
      <c r="BA26" s="1549"/>
      <c r="BB26" s="1549"/>
      <c r="BC26" s="1549"/>
      <c r="BD26" s="1549"/>
      <c r="BE26" s="1549"/>
      <c r="BF26" s="1549"/>
      <c r="BG26" s="1549"/>
      <c r="BH26" s="1549"/>
      <c r="BI26" s="1549"/>
      <c r="BJ26" s="1549"/>
      <c r="BK26" s="1549"/>
      <c r="BL26" s="1550"/>
      <c r="BN26" s="1551"/>
      <c r="BO26" s="1551"/>
      <c r="BP26" s="1531"/>
      <c r="BR26" s="3168">
        <f t="shared" si="12"/>
        <v>0</v>
      </c>
      <c r="BS26" s="1506"/>
      <c r="BT26" s="1522"/>
      <c r="BU26" s="1532">
        <v>0</v>
      </c>
      <c r="BV26" s="1533">
        <v>0</v>
      </c>
      <c r="BW26" s="1533">
        <v>0</v>
      </c>
      <c r="BX26" s="1533">
        <v>0</v>
      </c>
      <c r="BY26" s="1533">
        <v>0</v>
      </c>
      <c r="BZ26" s="1533">
        <v>0</v>
      </c>
      <c r="CA26" s="1533">
        <v>0</v>
      </c>
      <c r="CB26" s="1533">
        <v>0</v>
      </c>
      <c r="CC26" s="1533">
        <v>0</v>
      </c>
      <c r="CD26" s="1533">
        <v>0</v>
      </c>
      <c r="CE26" s="1533">
        <v>0</v>
      </c>
      <c r="CF26" s="1533">
        <v>0</v>
      </c>
      <c r="CG26" s="1533">
        <v>0</v>
      </c>
      <c r="CH26" s="1533">
        <v>0</v>
      </c>
      <c r="CI26" s="1533">
        <v>0</v>
      </c>
      <c r="CJ26" s="1533">
        <v>0</v>
      </c>
      <c r="CK26" s="1533">
        <v>0</v>
      </c>
      <c r="CL26" s="1533">
        <v>0</v>
      </c>
      <c r="CM26" s="1533">
        <v>0</v>
      </c>
      <c r="CN26" s="1533">
        <v>0</v>
      </c>
      <c r="CO26" s="1533">
        <v>0</v>
      </c>
      <c r="CP26" s="1533">
        <v>0</v>
      </c>
      <c r="CQ26" s="1533">
        <v>0</v>
      </c>
      <c r="CR26" s="1533">
        <v>0</v>
      </c>
      <c r="CS26" s="1533">
        <v>0</v>
      </c>
      <c r="CT26" s="1533">
        <v>0</v>
      </c>
      <c r="CU26" s="1533">
        <v>0</v>
      </c>
      <c r="CV26" s="1533">
        <v>0</v>
      </c>
      <c r="CW26" s="1533">
        <v>0</v>
      </c>
      <c r="CX26" s="1533">
        <v>0</v>
      </c>
      <c r="CY26" s="1533">
        <v>0</v>
      </c>
      <c r="CZ26" s="1533">
        <v>0</v>
      </c>
      <c r="DA26" s="1533">
        <v>13.5395392718143</v>
      </c>
      <c r="DB26" s="1533">
        <v>1.6856672942676842E-2</v>
      </c>
      <c r="DC26" s="1533">
        <v>0.2436040552430235</v>
      </c>
      <c r="DD26" s="1533">
        <v>0</v>
      </c>
      <c r="DE26" s="1533">
        <v>0</v>
      </c>
      <c r="DF26" s="1533">
        <v>0</v>
      </c>
      <c r="DG26" s="1533">
        <v>0</v>
      </c>
      <c r="DH26" s="1533">
        <v>0</v>
      </c>
      <c r="DI26" s="1533">
        <v>0</v>
      </c>
      <c r="DJ26" s="1533">
        <v>0</v>
      </c>
      <c r="DK26" s="1533">
        <v>0</v>
      </c>
      <c r="DL26" s="1533">
        <v>0</v>
      </c>
      <c r="DN26" s="1509">
        <v>13.8</v>
      </c>
    </row>
    <row r="27" spans="1:118" s="14" customFormat="1" ht="15.75" collapsed="1" x14ac:dyDescent="0.2">
      <c r="A27" s="1534"/>
      <c r="B27" s="1535"/>
      <c r="C27" s="1536" t="s">
        <v>579</v>
      </c>
      <c r="D27" s="1537" t="str">
        <f>INDEX(Flujos[Flujos], MATCH($C27, Flujos[Código], 0))</f>
        <v>Transporte</v>
      </c>
      <c r="E27" s="1538"/>
      <c r="G27" s="1539">
        <f ca="1">G21+G24</f>
        <v>0</v>
      </c>
      <c r="H27" s="1539">
        <f t="shared" ref="H27:V27" si="25">H21+H24</f>
        <v>0</v>
      </c>
      <c r="I27" s="1539">
        <f t="shared" si="25"/>
        <v>0</v>
      </c>
      <c r="J27" s="1539">
        <f t="shared" si="25"/>
        <v>0</v>
      </c>
      <c r="K27" s="1539">
        <f t="shared" si="25"/>
        <v>0</v>
      </c>
      <c r="L27" s="1539">
        <f t="shared" si="25"/>
        <v>0</v>
      </c>
      <c r="M27" s="1539">
        <f t="shared" ca="1" si="25"/>
        <v>0</v>
      </c>
      <c r="N27" s="1892">
        <f t="shared" ca="1" si="25"/>
        <v>66.429513696050577</v>
      </c>
      <c r="O27" s="1892">
        <f t="shared" ca="1" si="25"/>
        <v>22.312780471609948</v>
      </c>
      <c r="P27" s="1892">
        <f t="shared" ca="1" si="25"/>
        <v>0.54200248261278638</v>
      </c>
      <c r="Q27" s="1892">
        <f t="shared" ca="1" si="25"/>
        <v>6.2675085137333914E-2</v>
      </c>
      <c r="R27" s="1892">
        <f t="shared" ca="1" si="25"/>
        <v>34.35695357892007</v>
      </c>
      <c r="S27" s="1892">
        <f t="shared" ca="1" si="25"/>
        <v>9.0634554795282387</v>
      </c>
      <c r="T27" s="1892">
        <f t="shared" ca="1" si="25"/>
        <v>10.274069535198388</v>
      </c>
      <c r="U27" s="1892">
        <f t="shared" ca="1" si="25"/>
        <v>7.0253872509913858E-3</v>
      </c>
      <c r="V27" s="1892">
        <f t="shared" ca="1" si="25"/>
        <v>0.37495696100373616</v>
      </c>
      <c r="W27" s="1539">
        <f t="shared" ca="1" si="10"/>
        <v>143.42343267731206</v>
      </c>
      <c r="Y27" s="1893">
        <f ca="1">Y21+Y24</f>
        <v>-1.1405469339881096</v>
      </c>
      <c r="Z27" s="1893">
        <f t="shared" ref="Z27:AP27" ca="1" si="26">Z21+Z24</f>
        <v>0</v>
      </c>
      <c r="AA27" s="1893">
        <f t="shared" ca="1" si="26"/>
        <v>0</v>
      </c>
      <c r="AB27" s="1893">
        <f ca="1">AB21+AB24</f>
        <v>-142.28288574332399</v>
      </c>
      <c r="AC27" s="1893">
        <f t="shared" ca="1" si="26"/>
        <v>0</v>
      </c>
      <c r="AD27" s="1893">
        <f t="shared" ca="1" si="26"/>
        <v>0</v>
      </c>
      <c r="AE27" s="1893">
        <f t="shared" ca="1" si="26"/>
        <v>0</v>
      </c>
      <c r="AF27" s="1893">
        <f t="shared" ca="1" si="26"/>
        <v>0</v>
      </c>
      <c r="AG27" s="1893">
        <f t="shared" ca="1" si="26"/>
        <v>0</v>
      </c>
      <c r="AH27" s="1893">
        <f t="shared" ca="1" si="26"/>
        <v>0</v>
      </c>
      <c r="AI27" s="1893">
        <f t="shared" ca="1" si="26"/>
        <v>0</v>
      </c>
      <c r="AJ27" s="1893">
        <f t="shared" ca="1" si="26"/>
        <v>0</v>
      </c>
      <c r="AK27" s="1893">
        <f t="shared" ca="1" si="26"/>
        <v>0</v>
      </c>
      <c r="AL27" s="1893">
        <f t="shared" ca="1" si="26"/>
        <v>0</v>
      </c>
      <c r="AM27" s="1893">
        <f t="shared" ca="1" si="26"/>
        <v>0</v>
      </c>
      <c r="AN27" s="1893">
        <f t="shared" ca="1" si="26"/>
        <v>0</v>
      </c>
      <c r="AO27" s="1893">
        <f t="shared" ca="1" si="26"/>
        <v>0</v>
      </c>
      <c r="AP27" s="1893">
        <f t="shared" ca="1" si="26"/>
        <v>0</v>
      </c>
      <c r="AQ27" s="1490">
        <f t="shared" ca="1" si="11"/>
        <v>-143.42343267731209</v>
      </c>
      <c r="AS27" s="1491">
        <f>AS26</f>
        <v>0</v>
      </c>
      <c r="AT27" s="1491">
        <f t="shared" ref="AT27:BK27" si="27">AT26</f>
        <v>0</v>
      </c>
      <c r="AU27" s="1491">
        <f t="shared" si="27"/>
        <v>0</v>
      </c>
      <c r="AV27" s="1491">
        <f t="shared" si="27"/>
        <v>0</v>
      </c>
      <c r="AW27" s="1491">
        <f t="shared" si="27"/>
        <v>0</v>
      </c>
      <c r="AX27" s="1491">
        <f t="shared" si="27"/>
        <v>0</v>
      </c>
      <c r="AY27" s="1491">
        <f t="shared" si="27"/>
        <v>0</v>
      </c>
      <c r="AZ27" s="1491">
        <f t="shared" si="27"/>
        <v>0</v>
      </c>
      <c r="BA27" s="1491">
        <f t="shared" si="27"/>
        <v>0</v>
      </c>
      <c r="BB27" s="1491">
        <f t="shared" si="27"/>
        <v>0</v>
      </c>
      <c r="BC27" s="1491">
        <f t="shared" si="27"/>
        <v>0</v>
      </c>
      <c r="BD27" s="1491">
        <f t="shared" si="27"/>
        <v>0</v>
      </c>
      <c r="BE27" s="1491">
        <f t="shared" si="27"/>
        <v>0</v>
      </c>
      <c r="BF27" s="1491">
        <f t="shared" si="27"/>
        <v>0</v>
      </c>
      <c r="BG27" s="1491">
        <f t="shared" si="27"/>
        <v>0</v>
      </c>
      <c r="BH27" s="1491">
        <f t="shared" si="27"/>
        <v>0</v>
      </c>
      <c r="BI27" s="1491">
        <f t="shared" si="27"/>
        <v>0</v>
      </c>
      <c r="BJ27" s="1491">
        <f t="shared" si="27"/>
        <v>0</v>
      </c>
      <c r="BK27" s="1491">
        <f t="shared" si="27"/>
        <v>0</v>
      </c>
      <c r="BL27" s="1503">
        <f>SUM(AS27:BK27)</f>
        <v>0</v>
      </c>
      <c r="BN27" s="1941">
        <f ca="1">BN24+BN21</f>
        <v>0</v>
      </c>
      <c r="BO27" s="1941">
        <f ca="1">BO24+BO21</f>
        <v>0</v>
      </c>
      <c r="BP27" s="1505">
        <f ca="1">BN27+BO27</f>
        <v>0</v>
      </c>
      <c r="BR27" s="3168">
        <f t="shared" ca="1" si="12"/>
        <v>-2.8421709430404007E-14</v>
      </c>
      <c r="BS27" s="1493"/>
      <c r="BT27" s="748"/>
      <c r="BU27" s="1508">
        <v>131.46551968326995</v>
      </c>
      <c r="BV27" s="1508">
        <v>0.16367405301251234</v>
      </c>
      <c r="BW27" s="1508">
        <v>2.365334083866848</v>
      </c>
      <c r="BX27" s="1508">
        <v>0</v>
      </c>
      <c r="BY27" s="1508">
        <v>0</v>
      </c>
      <c r="BZ27" s="1508">
        <v>0</v>
      </c>
      <c r="CA27" s="1508">
        <v>0</v>
      </c>
      <c r="CB27" s="1508">
        <v>0</v>
      </c>
      <c r="CC27" s="1508">
        <v>0</v>
      </c>
      <c r="CD27" s="1508">
        <v>0</v>
      </c>
      <c r="CE27" s="1508">
        <v>0</v>
      </c>
      <c r="CF27" s="1508">
        <v>0</v>
      </c>
      <c r="CG27" s="1508">
        <v>0</v>
      </c>
      <c r="CH27" s="1508">
        <v>0</v>
      </c>
      <c r="CI27" s="1508">
        <v>0</v>
      </c>
      <c r="CJ27" s="1508">
        <v>0</v>
      </c>
      <c r="CK27" s="1508">
        <v>0</v>
      </c>
      <c r="CL27" s="1508">
        <v>0</v>
      </c>
      <c r="CM27" s="1508">
        <v>0</v>
      </c>
      <c r="CN27" s="1508">
        <v>0</v>
      </c>
      <c r="CO27" s="1508">
        <v>0</v>
      </c>
      <c r="CP27" s="1508">
        <v>0</v>
      </c>
      <c r="CQ27" s="1508">
        <v>0</v>
      </c>
      <c r="CR27" s="1508">
        <v>0</v>
      </c>
      <c r="CS27" s="1508">
        <v>0</v>
      </c>
      <c r="CT27" s="1508">
        <v>0</v>
      </c>
      <c r="CU27" s="1508">
        <v>0</v>
      </c>
      <c r="CV27" s="1508">
        <v>0</v>
      </c>
      <c r="CW27" s="1508">
        <v>0</v>
      </c>
      <c r="CX27" s="1508">
        <v>0</v>
      </c>
      <c r="CY27" s="1508">
        <v>0</v>
      </c>
      <c r="CZ27" s="1508">
        <v>0</v>
      </c>
      <c r="DA27" s="1508">
        <v>51.739539271814301</v>
      </c>
      <c r="DB27" s="1508">
        <v>6.441552213858226E-2</v>
      </c>
      <c r="DC27" s="1508">
        <v>0.93090033050516818</v>
      </c>
      <c r="DD27" s="1508">
        <v>0</v>
      </c>
      <c r="DE27" s="1508">
        <v>0</v>
      </c>
      <c r="DF27" s="1508">
        <v>0</v>
      </c>
      <c r="DG27" s="1508">
        <v>0</v>
      </c>
      <c r="DH27" s="1508">
        <v>0</v>
      </c>
      <c r="DI27" s="1508">
        <v>0</v>
      </c>
      <c r="DJ27" s="1508">
        <v>0</v>
      </c>
      <c r="DK27" s="1508">
        <v>0</v>
      </c>
      <c r="DL27" s="1508">
        <v>0</v>
      </c>
      <c r="DN27" s="1509">
        <v>186.72938294460735</v>
      </c>
    </row>
    <row r="28" spans="1:118" s="14" customFormat="1" ht="15.75" x14ac:dyDescent="0.2">
      <c r="A28" s="1534"/>
      <c r="B28" s="1535"/>
      <c r="C28" s="1536"/>
      <c r="D28" s="1537"/>
      <c r="E28" s="1538"/>
      <c r="G28" s="1539"/>
      <c r="H28" s="1539"/>
      <c r="I28" s="1539"/>
      <c r="J28" s="1539"/>
      <c r="K28" s="1539"/>
      <c r="L28" s="1539"/>
      <c r="M28" s="1539"/>
      <c r="N28" s="1539"/>
      <c r="O28" s="1539"/>
      <c r="P28" s="1539"/>
      <c r="Q28" s="1539"/>
      <c r="R28" s="1539"/>
      <c r="S28" s="1539"/>
      <c r="T28" s="1539"/>
      <c r="U28" s="1539"/>
      <c r="V28" s="1539"/>
      <c r="W28" s="1539"/>
      <c r="Y28" s="1490"/>
      <c r="Z28" s="1490"/>
      <c r="AA28" s="1490"/>
      <c r="AB28" s="1490"/>
      <c r="AC28" s="1490"/>
      <c r="AD28" s="1490"/>
      <c r="AE28" s="1490"/>
      <c r="AF28" s="1490"/>
      <c r="AG28" s="1490"/>
      <c r="AH28" s="1490"/>
      <c r="AI28" s="1490"/>
      <c r="AJ28" s="1490"/>
      <c r="AK28" s="1490"/>
      <c r="AL28" s="1490"/>
      <c r="AM28" s="1490"/>
      <c r="AN28" s="1490"/>
      <c r="AO28" s="1490"/>
      <c r="AP28" s="1490"/>
      <c r="AQ28" s="1490"/>
      <c r="AS28" s="1491"/>
      <c r="AT28" s="1491"/>
      <c r="AU28" s="1491"/>
      <c r="AV28" s="1491"/>
      <c r="AW28" s="1491"/>
      <c r="AX28" s="1491"/>
      <c r="AY28" s="1491"/>
      <c r="AZ28" s="1491"/>
      <c r="BA28" s="1491"/>
      <c r="BB28" s="1491"/>
      <c r="BC28" s="1491"/>
      <c r="BD28" s="1491"/>
      <c r="BE28" s="1491"/>
      <c r="BF28" s="1491"/>
      <c r="BG28" s="1491"/>
      <c r="BH28" s="1491"/>
      <c r="BI28" s="1491"/>
      <c r="BJ28" s="1491"/>
      <c r="BK28" s="1491"/>
      <c r="BL28" s="1491"/>
      <c r="BN28" s="1492"/>
      <c r="BO28" s="1492"/>
      <c r="BP28" s="1492"/>
      <c r="BR28" s="3168"/>
      <c r="BS28" s="1493"/>
      <c r="BT28" s="748"/>
      <c r="BU28" s="1508"/>
      <c r="BV28" s="1508"/>
      <c r="BW28" s="1508"/>
      <c r="BX28" s="1508"/>
      <c r="BY28" s="1508"/>
      <c r="BZ28" s="1508"/>
      <c r="CA28" s="1508"/>
      <c r="CB28" s="1508"/>
      <c r="CC28" s="1508"/>
      <c r="CD28" s="1508"/>
      <c r="CE28" s="1508"/>
      <c r="CF28" s="1508"/>
      <c r="CG28" s="1508"/>
      <c r="CH28" s="1508"/>
      <c r="CI28" s="1508"/>
      <c r="CJ28" s="1508"/>
      <c r="CK28" s="1508"/>
      <c r="CL28" s="1508"/>
      <c r="CM28" s="1508"/>
      <c r="CN28" s="1508"/>
      <c r="CO28" s="1508"/>
      <c r="CP28" s="1508"/>
      <c r="CQ28" s="1508"/>
      <c r="CR28" s="1508"/>
      <c r="CS28" s="1508"/>
      <c r="CT28" s="1508"/>
      <c r="CU28" s="1508"/>
      <c r="CV28" s="1508"/>
      <c r="CW28" s="1508"/>
      <c r="CX28" s="1508"/>
      <c r="CY28" s="1508"/>
      <c r="CZ28" s="1508"/>
      <c r="DA28" s="1508"/>
      <c r="DB28" s="1508"/>
      <c r="DC28" s="1508"/>
      <c r="DD28" s="1508"/>
      <c r="DE28" s="1508"/>
      <c r="DF28" s="1508"/>
      <c r="DG28" s="1508"/>
      <c r="DH28" s="1508"/>
      <c r="DI28" s="1508"/>
      <c r="DJ28" s="1508"/>
      <c r="DK28" s="1508"/>
      <c r="DL28" s="1508"/>
      <c r="DN28" s="1509"/>
    </row>
    <row r="29" spans="1:118" s="14" customFormat="1" ht="12.75" hidden="1" customHeight="1" outlineLevel="1" x14ac:dyDescent="0.2">
      <c r="A29" s="1534"/>
      <c r="B29" s="1534"/>
      <c r="C29" s="1544"/>
      <c r="D29" s="1538"/>
      <c r="E29" s="1538"/>
      <c r="G29" s="1539"/>
      <c r="H29" s="1539"/>
      <c r="I29" s="1539"/>
      <c r="J29" s="1539"/>
      <c r="K29" s="1539"/>
      <c r="L29" s="1539"/>
      <c r="M29" s="1539"/>
      <c r="N29" s="1539"/>
      <c r="O29" s="1539"/>
      <c r="P29" s="1539"/>
      <c r="Q29" s="1539"/>
      <c r="R29" s="1539"/>
      <c r="S29" s="1539"/>
      <c r="T29" s="1539"/>
      <c r="U29" s="1539"/>
      <c r="V29" s="1539"/>
      <c r="W29" s="1539">
        <f t="shared" si="10"/>
        <v>0</v>
      </c>
      <c r="Y29" s="1490"/>
      <c r="Z29" s="1490"/>
      <c r="AA29" s="1490"/>
      <c r="AB29" s="1490"/>
      <c r="AC29" s="1490"/>
      <c r="AD29" s="1490"/>
      <c r="AE29" s="1490"/>
      <c r="AF29" s="1490"/>
      <c r="AG29" s="1490"/>
      <c r="AH29" s="1490"/>
      <c r="AI29" s="1490"/>
      <c r="AJ29" s="1490"/>
      <c r="AK29" s="1490"/>
      <c r="AL29" s="1490"/>
      <c r="AM29" s="1490"/>
      <c r="AN29" s="1490"/>
      <c r="AO29" s="1490"/>
      <c r="AP29" s="1490"/>
      <c r="AQ29" s="1490"/>
      <c r="AS29" s="1491"/>
      <c r="AT29" s="1491"/>
      <c r="AU29" s="1491"/>
      <c r="AV29" s="1491"/>
      <c r="AW29" s="1491"/>
      <c r="AX29" s="1491"/>
      <c r="AY29" s="1491"/>
      <c r="AZ29" s="1491"/>
      <c r="BA29" s="1491"/>
      <c r="BB29" s="1491"/>
      <c r="BC29" s="1491"/>
      <c r="BD29" s="1491"/>
      <c r="BE29" s="1491"/>
      <c r="BF29" s="1491"/>
      <c r="BG29" s="1491"/>
      <c r="BH29" s="1491"/>
      <c r="BI29" s="1491"/>
      <c r="BJ29" s="1491"/>
      <c r="BK29" s="1491"/>
      <c r="BL29" s="1491"/>
      <c r="BN29" s="1492"/>
      <c r="BO29" s="1492"/>
      <c r="BP29" s="1492"/>
      <c r="BR29" s="3168">
        <f t="shared" si="12"/>
        <v>0</v>
      </c>
      <c r="BS29" s="1493"/>
      <c r="BT29" s="1534"/>
      <c r="BU29" s="1508"/>
      <c r="BV29" s="1508"/>
      <c r="BW29" s="1508"/>
      <c r="BX29" s="1508"/>
      <c r="BY29" s="1508"/>
      <c r="BZ29" s="1508"/>
      <c r="CA29" s="1508"/>
      <c r="CB29" s="1508"/>
      <c r="CC29" s="1508"/>
      <c r="CD29" s="1508"/>
      <c r="CE29" s="1508"/>
      <c r="CF29" s="1508"/>
      <c r="CG29" s="1508"/>
      <c r="CH29" s="1508"/>
      <c r="CI29" s="1508"/>
      <c r="CJ29" s="1508"/>
      <c r="CK29" s="1508"/>
      <c r="CL29" s="1508"/>
      <c r="CM29" s="1508"/>
      <c r="CN29" s="1508"/>
      <c r="CO29" s="1508"/>
      <c r="CP29" s="1508"/>
      <c r="CQ29" s="1508"/>
      <c r="CR29" s="1508"/>
      <c r="CS29" s="1508"/>
      <c r="CT29" s="1508"/>
      <c r="CU29" s="1508"/>
      <c r="CV29" s="1508"/>
      <c r="CW29" s="1508"/>
      <c r="CX29" s="1508"/>
      <c r="CY29" s="1508"/>
      <c r="CZ29" s="1508"/>
      <c r="DA29" s="1508"/>
      <c r="DB29" s="1508"/>
      <c r="DC29" s="1508"/>
      <c r="DD29" s="1508"/>
      <c r="DE29" s="1508"/>
      <c r="DF29" s="1508"/>
      <c r="DG29" s="1508"/>
      <c r="DH29" s="1508"/>
      <c r="DI29" s="1508"/>
      <c r="DJ29" s="1508"/>
      <c r="DK29" s="1508"/>
      <c r="DL29" s="1508"/>
      <c r="DN29" s="1509">
        <v>0</v>
      </c>
    </row>
    <row r="30" spans="1:118" s="14" customFormat="1" ht="12.75" hidden="1" customHeight="1" outlineLevel="1" x14ac:dyDescent="0.2">
      <c r="A30" s="1522"/>
      <c r="B30" s="1522"/>
      <c r="C30" s="1496"/>
      <c r="D30" s="1526"/>
      <c r="E30" s="1526"/>
      <c r="G30" s="1540">
        <v>0</v>
      </c>
      <c r="H30" s="1540"/>
      <c r="I30" s="1540"/>
      <c r="J30" s="1540"/>
      <c r="K30" s="1540"/>
      <c r="L30" s="1540"/>
      <c r="M30" s="1540">
        <v>0</v>
      </c>
      <c r="N30" s="1540">
        <v>0</v>
      </c>
      <c r="O30" s="1540">
        <v>0</v>
      </c>
      <c r="P30" s="1540">
        <v>0</v>
      </c>
      <c r="Q30" s="1540">
        <v>0</v>
      </c>
      <c r="R30" s="1540">
        <v>0</v>
      </c>
      <c r="S30" s="1540"/>
      <c r="T30" s="1540"/>
      <c r="U30" s="1540"/>
      <c r="V30" s="1540"/>
      <c r="W30" s="1539">
        <f t="shared" si="10"/>
        <v>0</v>
      </c>
      <c r="Y30" s="1541"/>
      <c r="Z30" s="1541"/>
      <c r="AA30" s="1541"/>
      <c r="AB30" s="1541"/>
      <c r="AC30" s="1541"/>
      <c r="AD30" s="1541"/>
      <c r="AE30" s="1541"/>
      <c r="AF30" s="1541"/>
      <c r="AG30" s="1541"/>
      <c r="AH30" s="1541"/>
      <c r="AI30" s="1541"/>
      <c r="AJ30" s="1541"/>
      <c r="AK30" s="1541"/>
      <c r="AL30" s="1541"/>
      <c r="AM30" s="1541"/>
      <c r="AN30" s="1541"/>
      <c r="AO30" s="1541"/>
      <c r="AP30" s="1541"/>
      <c r="AQ30" s="1528"/>
      <c r="AS30" s="1542"/>
      <c r="AT30" s="1542"/>
      <c r="AU30" s="1542"/>
      <c r="AV30" s="1542"/>
      <c r="AW30" s="1542"/>
      <c r="AX30" s="1542"/>
      <c r="AY30" s="1542"/>
      <c r="AZ30" s="1542"/>
      <c r="BA30" s="1542"/>
      <c r="BB30" s="1542"/>
      <c r="BC30" s="1542"/>
      <c r="BD30" s="1542"/>
      <c r="BE30" s="1542"/>
      <c r="BF30" s="1542"/>
      <c r="BG30" s="1542"/>
      <c r="BH30" s="1542"/>
      <c r="BI30" s="1542"/>
      <c r="BJ30" s="1542"/>
      <c r="BK30" s="1542"/>
      <c r="BL30" s="1530"/>
      <c r="BN30" s="1543">
        <v>0</v>
      </c>
      <c r="BO30" s="1543">
        <v>0</v>
      </c>
      <c r="BP30" s="1531">
        <v>0</v>
      </c>
      <c r="BR30" s="3168">
        <f t="shared" si="12"/>
        <v>0</v>
      </c>
      <c r="BS30" s="1525"/>
      <c r="BT30" s="748"/>
      <c r="BU30" s="1532">
        <v>0</v>
      </c>
      <c r="BV30" s="1533">
        <v>0</v>
      </c>
      <c r="BW30" s="1533">
        <v>0</v>
      </c>
      <c r="BX30" s="1533">
        <v>0</v>
      </c>
      <c r="BY30" s="1533">
        <v>0</v>
      </c>
      <c r="BZ30" s="1533">
        <v>0</v>
      </c>
      <c r="CA30" s="1533">
        <v>0</v>
      </c>
      <c r="CB30" s="1533">
        <v>0</v>
      </c>
      <c r="CC30" s="1533">
        <v>0</v>
      </c>
      <c r="CD30" s="1533">
        <v>0</v>
      </c>
      <c r="CE30" s="1533">
        <v>0</v>
      </c>
      <c r="CF30" s="1533">
        <v>0</v>
      </c>
      <c r="CG30" s="1533">
        <v>0</v>
      </c>
      <c r="CH30" s="1533">
        <v>0</v>
      </c>
      <c r="CI30" s="1533">
        <v>0</v>
      </c>
      <c r="CJ30" s="1533">
        <v>0</v>
      </c>
      <c r="CK30" s="1533">
        <v>0</v>
      </c>
      <c r="CL30" s="1533">
        <v>0</v>
      </c>
      <c r="CM30" s="1533">
        <v>0</v>
      </c>
      <c r="CN30" s="1533">
        <v>0</v>
      </c>
      <c r="CO30" s="1533">
        <v>0</v>
      </c>
      <c r="CP30" s="1533">
        <v>0</v>
      </c>
      <c r="CQ30" s="1533">
        <v>0</v>
      </c>
      <c r="CR30" s="1533">
        <v>0</v>
      </c>
      <c r="CS30" s="1533">
        <v>0</v>
      </c>
      <c r="CT30" s="1533">
        <v>0</v>
      </c>
      <c r="CU30" s="1533">
        <v>0</v>
      </c>
      <c r="CV30" s="1533">
        <v>0</v>
      </c>
      <c r="CW30" s="1533">
        <v>0</v>
      </c>
      <c r="CX30" s="1533">
        <v>0</v>
      </c>
      <c r="CY30" s="1533">
        <v>0</v>
      </c>
      <c r="CZ30" s="1533">
        <v>0</v>
      </c>
      <c r="DA30" s="1533">
        <v>0</v>
      </c>
      <c r="DB30" s="1533">
        <v>0</v>
      </c>
      <c r="DC30" s="1533">
        <v>0</v>
      </c>
      <c r="DD30" s="1533">
        <v>0</v>
      </c>
      <c r="DE30" s="1533">
        <v>0</v>
      </c>
      <c r="DF30" s="1533">
        <v>0</v>
      </c>
      <c r="DG30" s="1533">
        <v>0</v>
      </c>
      <c r="DH30" s="1533">
        <v>0</v>
      </c>
      <c r="DI30" s="1533">
        <v>0</v>
      </c>
      <c r="DJ30" s="1533">
        <v>0</v>
      </c>
      <c r="DK30" s="1533">
        <v>0</v>
      </c>
      <c r="DL30" s="1533">
        <v>0</v>
      </c>
      <c r="DN30" s="1509">
        <v>0</v>
      </c>
    </row>
    <row r="31" spans="1:118" s="14" customFormat="1" ht="15.75" collapsed="1" x14ac:dyDescent="0.2">
      <c r="A31" s="1534"/>
      <c r="B31" s="1535"/>
      <c r="C31" s="1536"/>
      <c r="D31" s="1537"/>
      <c r="E31" s="1538"/>
      <c r="G31" s="1539"/>
      <c r="H31" s="1539"/>
      <c r="I31" s="1539"/>
      <c r="J31" s="1539"/>
      <c r="K31" s="1539"/>
      <c r="L31" s="1539"/>
      <c r="M31" s="1539"/>
      <c r="N31" s="1539"/>
      <c r="O31" s="1539"/>
      <c r="P31" s="1539"/>
      <c r="Q31" s="1539"/>
      <c r="R31" s="1539"/>
      <c r="S31" s="1539"/>
      <c r="T31" s="1539"/>
      <c r="U31" s="1539"/>
      <c r="V31" s="1539"/>
      <c r="W31" s="1539"/>
      <c r="Y31" s="1490"/>
      <c r="Z31" s="1490"/>
      <c r="AA31" s="1490"/>
      <c r="AB31" s="1490"/>
      <c r="AC31" s="1490"/>
      <c r="AD31" s="1490"/>
      <c r="AE31" s="1490"/>
      <c r="AF31" s="1490"/>
      <c r="AG31" s="1490"/>
      <c r="AH31" s="1490"/>
      <c r="AI31" s="1490"/>
      <c r="AJ31" s="1490"/>
      <c r="AK31" s="1490"/>
      <c r="AL31" s="1490"/>
      <c r="AM31" s="1490"/>
      <c r="AN31" s="1490"/>
      <c r="AO31" s="1490"/>
      <c r="AP31" s="1490"/>
      <c r="AQ31" s="1490"/>
      <c r="AS31" s="1491"/>
      <c r="AT31" s="1491"/>
      <c r="AU31" s="1491"/>
      <c r="AV31" s="1491"/>
      <c r="AW31" s="1491"/>
      <c r="AX31" s="1491"/>
      <c r="AY31" s="1491"/>
      <c r="AZ31" s="1491"/>
      <c r="BA31" s="1491"/>
      <c r="BB31" s="1491"/>
      <c r="BC31" s="1491"/>
      <c r="BD31" s="1491"/>
      <c r="BE31" s="1491"/>
      <c r="BF31" s="1491"/>
      <c r="BG31" s="1491"/>
      <c r="BH31" s="1491"/>
      <c r="BI31" s="1491"/>
      <c r="BJ31" s="1491"/>
      <c r="BK31" s="1491"/>
      <c r="BL31" s="1491"/>
      <c r="BN31" s="1492"/>
      <c r="BO31" s="1492"/>
      <c r="BP31" s="1492"/>
      <c r="BR31" s="3168"/>
      <c r="BS31" s="1493"/>
      <c r="BT31" s="748"/>
      <c r="BU31" s="1508"/>
      <c r="BV31" s="1508"/>
      <c r="BW31" s="1508"/>
      <c r="BX31" s="1508"/>
      <c r="BY31" s="1508"/>
      <c r="BZ31" s="1508"/>
      <c r="CA31" s="1508"/>
      <c r="CB31" s="1508"/>
      <c r="CC31" s="1508"/>
      <c r="CD31" s="1508"/>
      <c r="CE31" s="1508"/>
      <c r="CF31" s="1508"/>
      <c r="CG31" s="1508"/>
      <c r="CH31" s="1508"/>
      <c r="CI31" s="1508"/>
      <c r="CJ31" s="1508"/>
      <c r="CK31" s="1508"/>
      <c r="CL31" s="1508"/>
      <c r="CM31" s="1508"/>
      <c r="CN31" s="1508"/>
      <c r="CO31" s="1508"/>
      <c r="CP31" s="1508"/>
      <c r="CQ31" s="1508"/>
      <c r="CR31" s="1508"/>
      <c r="CS31" s="1508"/>
      <c r="CT31" s="1508"/>
      <c r="CU31" s="1508"/>
      <c r="CV31" s="1508"/>
      <c r="CW31" s="1508"/>
      <c r="CX31" s="1508"/>
      <c r="CY31" s="1508"/>
      <c r="CZ31" s="1508"/>
      <c r="DA31" s="1508"/>
      <c r="DB31" s="1508"/>
      <c r="DC31" s="1508"/>
      <c r="DD31" s="1508"/>
      <c r="DE31" s="1508"/>
      <c r="DF31" s="1508"/>
      <c r="DG31" s="1508"/>
      <c r="DH31" s="1508"/>
      <c r="DI31" s="1508"/>
      <c r="DJ31" s="1508"/>
      <c r="DK31" s="1508"/>
      <c r="DL31" s="1508"/>
      <c r="DN31" s="1509"/>
    </row>
    <row r="32" spans="1:118" s="14" customFormat="1" ht="12.75" hidden="1" customHeight="1" outlineLevel="1" x14ac:dyDescent="0.2">
      <c r="A32" s="1534"/>
      <c r="B32" s="1534"/>
      <c r="C32" s="1544"/>
      <c r="D32" s="1538"/>
      <c r="E32" s="1538"/>
      <c r="G32" s="1539"/>
      <c r="H32" s="1539"/>
      <c r="I32" s="1539"/>
      <c r="J32" s="1539"/>
      <c r="K32" s="1539"/>
      <c r="L32" s="1539"/>
      <c r="M32" s="1539"/>
      <c r="N32" s="1539"/>
      <c r="O32" s="1539"/>
      <c r="P32" s="1539"/>
      <c r="Q32" s="1539"/>
      <c r="R32" s="1539"/>
      <c r="S32" s="1539"/>
      <c r="T32" s="1539"/>
      <c r="U32" s="1539"/>
      <c r="V32" s="1539"/>
      <c r="W32" s="1539">
        <f t="shared" si="10"/>
        <v>0</v>
      </c>
      <c r="Y32" s="1490"/>
      <c r="Z32" s="1490"/>
      <c r="AA32" s="1490"/>
      <c r="AB32" s="1490"/>
      <c r="AC32" s="1490"/>
      <c r="AD32" s="1490"/>
      <c r="AE32" s="1490"/>
      <c r="AF32" s="1490"/>
      <c r="AG32" s="1490"/>
      <c r="AH32" s="1490"/>
      <c r="AI32" s="1490"/>
      <c r="AJ32" s="1490"/>
      <c r="AK32" s="1490"/>
      <c r="AL32" s="1490"/>
      <c r="AM32" s="1490"/>
      <c r="AN32" s="1490"/>
      <c r="AO32" s="1490"/>
      <c r="AP32" s="1490"/>
      <c r="AQ32" s="1490"/>
      <c r="AS32" s="1491"/>
      <c r="AT32" s="1491"/>
      <c r="AU32" s="1491"/>
      <c r="AV32" s="1491"/>
      <c r="AW32" s="1491"/>
      <c r="AX32" s="1491"/>
      <c r="AY32" s="1491"/>
      <c r="AZ32" s="1491"/>
      <c r="BA32" s="1491"/>
      <c r="BB32" s="1491"/>
      <c r="BC32" s="1491"/>
      <c r="BD32" s="1491"/>
      <c r="BE32" s="1491"/>
      <c r="BF32" s="1491"/>
      <c r="BG32" s="1491"/>
      <c r="BH32" s="1491"/>
      <c r="BI32" s="1491"/>
      <c r="BJ32" s="1491"/>
      <c r="BK32" s="1491"/>
      <c r="BL32" s="1491"/>
      <c r="BN32" s="1492"/>
      <c r="BO32" s="1492"/>
      <c r="BP32" s="1492"/>
      <c r="BR32" s="3168">
        <f t="shared" si="12"/>
        <v>0</v>
      </c>
      <c r="BS32" s="1493"/>
      <c r="BT32" s="1534"/>
      <c r="BU32" s="1507"/>
      <c r="BV32" s="1508"/>
      <c r="BW32" s="1508"/>
      <c r="BX32" s="1508"/>
      <c r="BY32" s="1508"/>
      <c r="BZ32" s="1508"/>
      <c r="CA32" s="1508"/>
      <c r="CB32" s="1508"/>
      <c r="CC32" s="1508"/>
      <c r="CD32" s="1508"/>
      <c r="CE32" s="1508"/>
      <c r="CF32" s="1508"/>
      <c r="CG32" s="1508"/>
      <c r="CH32" s="1508"/>
      <c r="CI32" s="1508"/>
      <c r="CJ32" s="1508"/>
      <c r="CK32" s="1508"/>
      <c r="CL32" s="1508"/>
      <c r="CM32" s="1508"/>
      <c r="CN32" s="1508"/>
      <c r="CO32" s="1508"/>
      <c r="CP32" s="1508"/>
      <c r="CQ32" s="1508"/>
      <c r="CR32" s="1508"/>
      <c r="CS32" s="1508"/>
      <c r="CT32" s="1508"/>
      <c r="CU32" s="1508"/>
      <c r="CV32" s="1508"/>
      <c r="CW32" s="1508"/>
      <c r="CX32" s="1508"/>
      <c r="CY32" s="1508"/>
      <c r="CZ32" s="1508"/>
      <c r="DA32" s="1508"/>
      <c r="DB32" s="1508"/>
      <c r="DC32" s="1508"/>
      <c r="DD32" s="1508"/>
      <c r="DE32" s="1508"/>
      <c r="DF32" s="1508"/>
      <c r="DG32" s="1508"/>
      <c r="DH32" s="1508"/>
      <c r="DI32" s="1508"/>
      <c r="DJ32" s="1508"/>
      <c r="DK32" s="1508"/>
      <c r="DL32" s="1508"/>
      <c r="DN32" s="1509"/>
    </row>
    <row r="33" spans="1:118" s="14" customFormat="1" ht="12.75" hidden="1" customHeight="1" outlineLevel="1" x14ac:dyDescent="0.2">
      <c r="A33" s="1522"/>
      <c r="B33" s="1522"/>
      <c r="C33" s="1496"/>
      <c r="D33" s="1526"/>
      <c r="E33" s="1526"/>
      <c r="G33" s="1540"/>
      <c r="H33" s="1540"/>
      <c r="I33" s="1540"/>
      <c r="J33" s="1540"/>
      <c r="K33" s="1540"/>
      <c r="L33" s="1540"/>
      <c r="M33" s="1540"/>
      <c r="N33" s="1540"/>
      <c r="O33" s="1540"/>
      <c r="P33" s="1540"/>
      <c r="Q33" s="1540"/>
      <c r="R33" s="1540"/>
      <c r="S33" s="1540"/>
      <c r="T33" s="1540"/>
      <c r="U33" s="1540"/>
      <c r="V33" s="1540"/>
      <c r="W33" s="1539">
        <f t="shared" si="10"/>
        <v>0</v>
      </c>
      <c r="Y33" s="1541"/>
      <c r="Z33" s="1541"/>
      <c r="AA33" s="1541"/>
      <c r="AB33" s="1541"/>
      <c r="AC33" s="1541"/>
      <c r="AD33" s="1541"/>
      <c r="AE33" s="1541"/>
      <c r="AF33" s="1541"/>
      <c r="AG33" s="1541"/>
      <c r="AH33" s="1541"/>
      <c r="AI33" s="1541"/>
      <c r="AJ33" s="1541"/>
      <c r="AK33" s="1541"/>
      <c r="AL33" s="1541"/>
      <c r="AM33" s="1541"/>
      <c r="AN33" s="1541"/>
      <c r="AO33" s="1541"/>
      <c r="AP33" s="1541"/>
      <c r="AQ33" s="1528"/>
      <c r="AS33" s="1542"/>
      <c r="AT33" s="1542"/>
      <c r="AU33" s="1542"/>
      <c r="AV33" s="1542"/>
      <c r="AW33" s="1542"/>
      <c r="AX33" s="1542"/>
      <c r="AY33" s="1542"/>
      <c r="AZ33" s="1542"/>
      <c r="BA33" s="1542"/>
      <c r="BB33" s="1542"/>
      <c r="BC33" s="1542"/>
      <c r="BD33" s="1542"/>
      <c r="BE33" s="1542"/>
      <c r="BF33" s="1542"/>
      <c r="BG33" s="1542"/>
      <c r="BH33" s="1542"/>
      <c r="BI33" s="1542"/>
      <c r="BJ33" s="1542"/>
      <c r="BK33" s="1542"/>
      <c r="BL33" s="1530"/>
      <c r="BN33" s="1543"/>
      <c r="BO33" s="1543"/>
      <c r="BP33" s="1531"/>
      <c r="BR33" s="3168">
        <f t="shared" si="12"/>
        <v>0</v>
      </c>
      <c r="BS33" s="1525"/>
      <c r="BT33" s="748"/>
      <c r="BU33" s="1532"/>
      <c r="BV33" s="1533"/>
      <c r="BW33" s="1533"/>
      <c r="BX33" s="1533"/>
      <c r="BY33" s="1533"/>
      <c r="BZ33" s="1533"/>
      <c r="CA33" s="1533"/>
      <c r="CB33" s="1533"/>
      <c r="CC33" s="1533"/>
      <c r="CD33" s="1533"/>
      <c r="CE33" s="1533"/>
      <c r="CF33" s="1533"/>
      <c r="CG33" s="1533"/>
      <c r="CH33" s="1533"/>
      <c r="CI33" s="1533"/>
      <c r="CJ33" s="1533"/>
      <c r="CK33" s="1533"/>
      <c r="CL33" s="1533"/>
      <c r="CM33" s="1533"/>
      <c r="CN33" s="1533"/>
      <c r="CO33" s="1533"/>
      <c r="CP33" s="1533"/>
      <c r="CQ33" s="1533"/>
      <c r="CR33" s="1533"/>
      <c r="CS33" s="1533"/>
      <c r="CT33" s="1533"/>
      <c r="CU33" s="1533"/>
      <c r="CV33" s="1533"/>
      <c r="CW33" s="1533"/>
      <c r="CX33" s="1533"/>
      <c r="CY33" s="1533"/>
      <c r="CZ33" s="1533"/>
      <c r="DA33" s="1533"/>
      <c r="DB33" s="1533"/>
      <c r="DC33" s="1533"/>
      <c r="DD33" s="1533"/>
      <c r="DE33" s="1533"/>
      <c r="DF33" s="1533"/>
      <c r="DG33" s="1533"/>
      <c r="DH33" s="1533"/>
      <c r="DI33" s="1533"/>
      <c r="DJ33" s="1533"/>
      <c r="DK33" s="1533"/>
      <c r="DL33" s="1533"/>
      <c r="DN33" s="1509"/>
    </row>
    <row r="34" spans="1:118" s="14" customFormat="1" ht="15.75" collapsed="1" x14ac:dyDescent="0.2">
      <c r="A34" s="1534"/>
      <c r="B34" s="1535"/>
      <c r="C34" s="1536"/>
      <c r="D34" s="1537"/>
      <c r="E34" s="1538"/>
      <c r="G34" s="1539"/>
      <c r="H34" s="1539"/>
      <c r="I34" s="1539"/>
      <c r="J34" s="1539"/>
      <c r="K34" s="1539"/>
      <c r="L34" s="1539"/>
      <c r="M34" s="1539"/>
      <c r="N34" s="1539"/>
      <c r="O34" s="1539"/>
      <c r="P34" s="1539"/>
      <c r="Q34" s="1539"/>
      <c r="R34" s="1539"/>
      <c r="S34" s="1539"/>
      <c r="T34" s="1539"/>
      <c r="U34" s="1539"/>
      <c r="V34" s="1539"/>
      <c r="W34" s="1539"/>
      <c r="Y34" s="1490"/>
      <c r="Z34" s="1490"/>
      <c r="AA34" s="1490"/>
      <c r="AB34" s="1490"/>
      <c r="AC34" s="1490"/>
      <c r="AD34" s="1490"/>
      <c r="AE34" s="1490"/>
      <c r="AF34" s="1490"/>
      <c r="AG34" s="1490"/>
      <c r="AH34" s="1490"/>
      <c r="AI34" s="1490"/>
      <c r="AJ34" s="1490"/>
      <c r="AK34" s="1490"/>
      <c r="AL34" s="1490"/>
      <c r="AM34" s="1490"/>
      <c r="AN34" s="1490"/>
      <c r="AO34" s="1490"/>
      <c r="AP34" s="1490"/>
      <c r="AQ34" s="1490"/>
      <c r="AS34" s="1491"/>
      <c r="AT34" s="1491"/>
      <c r="AU34" s="1491"/>
      <c r="AV34" s="1491"/>
      <c r="AW34" s="1491"/>
      <c r="AX34" s="1491"/>
      <c r="AY34" s="1491"/>
      <c r="AZ34" s="1491"/>
      <c r="BA34" s="1491"/>
      <c r="BB34" s="1491"/>
      <c r="BC34" s="1491"/>
      <c r="BD34" s="1491"/>
      <c r="BE34" s="1491"/>
      <c r="BF34" s="1491"/>
      <c r="BG34" s="1491"/>
      <c r="BH34" s="1491"/>
      <c r="BI34" s="1491"/>
      <c r="BJ34" s="1491"/>
      <c r="BK34" s="1491"/>
      <c r="BL34" s="1491"/>
      <c r="BN34" s="1492"/>
      <c r="BO34" s="1492"/>
      <c r="BP34" s="1492"/>
      <c r="BR34" s="3168"/>
      <c r="BS34" s="1493"/>
      <c r="BT34" s="748"/>
      <c r="BU34" s="1508"/>
      <c r="BV34" s="1508"/>
      <c r="BW34" s="1508"/>
      <c r="BX34" s="1508"/>
      <c r="BY34" s="1508"/>
      <c r="BZ34" s="1508"/>
      <c r="CA34" s="1508"/>
      <c r="CB34" s="1508"/>
      <c r="CC34" s="1508"/>
      <c r="CD34" s="1508"/>
      <c r="CE34" s="1508"/>
      <c r="CF34" s="1508"/>
      <c r="CG34" s="1508"/>
      <c r="CH34" s="1508"/>
      <c r="CI34" s="1508"/>
      <c r="CJ34" s="1508"/>
      <c r="CK34" s="1508"/>
      <c r="CL34" s="1508"/>
      <c r="CM34" s="1508"/>
      <c r="CN34" s="1508"/>
      <c r="CO34" s="1508"/>
      <c r="CP34" s="1508"/>
      <c r="CQ34" s="1508"/>
      <c r="CR34" s="1508"/>
      <c r="CS34" s="1508"/>
      <c r="CT34" s="1508"/>
      <c r="CU34" s="1508"/>
      <c r="CV34" s="1508"/>
      <c r="CW34" s="1508"/>
      <c r="CX34" s="1508"/>
      <c r="CY34" s="1508"/>
      <c r="CZ34" s="1508"/>
      <c r="DA34" s="1508"/>
      <c r="DB34" s="1508"/>
      <c r="DC34" s="1508"/>
      <c r="DD34" s="1508"/>
      <c r="DE34" s="1508"/>
      <c r="DF34" s="1508"/>
      <c r="DG34" s="1508"/>
      <c r="DH34" s="1508"/>
      <c r="DI34" s="1508"/>
      <c r="DJ34" s="1508"/>
      <c r="DK34" s="1508"/>
      <c r="DL34" s="1508"/>
      <c r="DN34" s="1509"/>
    </row>
    <row r="35" spans="1:118" s="14" customFormat="1" ht="6" customHeight="1" x14ac:dyDescent="0.2">
      <c r="C35" s="1552"/>
      <c r="D35" s="1537"/>
      <c r="E35" s="1430"/>
      <c r="G35" s="1539"/>
      <c r="H35" s="1539"/>
      <c r="I35" s="1539"/>
      <c r="J35" s="1539"/>
      <c r="K35" s="1539"/>
      <c r="L35" s="1539"/>
      <c r="M35" s="1539"/>
      <c r="N35" s="1539"/>
      <c r="O35" s="1539"/>
      <c r="P35" s="1539"/>
      <c r="Q35" s="1539"/>
      <c r="R35" s="1539"/>
      <c r="S35" s="1539"/>
      <c r="T35" s="1539"/>
      <c r="U35" s="1539"/>
      <c r="V35" s="1539"/>
      <c r="W35" s="1539"/>
      <c r="Y35" s="1490"/>
      <c r="Z35" s="1490"/>
      <c r="AA35" s="1490"/>
      <c r="AB35" s="1490"/>
      <c r="AC35" s="1490"/>
      <c r="AD35" s="1490"/>
      <c r="AE35" s="1490"/>
      <c r="AF35" s="1490"/>
      <c r="AG35" s="1490"/>
      <c r="AH35" s="1490"/>
      <c r="AI35" s="1490"/>
      <c r="AJ35" s="1490"/>
      <c r="AK35" s="1490"/>
      <c r="AL35" s="1490"/>
      <c r="AM35" s="1490"/>
      <c r="AN35" s="1490"/>
      <c r="AO35" s="1490"/>
      <c r="AP35" s="1490"/>
      <c r="AQ35" s="1490"/>
      <c r="AS35" s="1491"/>
      <c r="AT35" s="1491"/>
      <c r="AU35" s="1491"/>
      <c r="AV35" s="1491"/>
      <c r="AW35" s="1491"/>
      <c r="AX35" s="1491"/>
      <c r="AY35" s="1491"/>
      <c r="AZ35" s="1491"/>
      <c r="BA35" s="1491"/>
      <c r="BB35" s="1491"/>
      <c r="BC35" s="1491"/>
      <c r="BD35" s="1491"/>
      <c r="BE35" s="1491"/>
      <c r="BF35" s="1491"/>
      <c r="BG35" s="1491"/>
      <c r="BH35" s="1491"/>
      <c r="BI35" s="1491"/>
      <c r="BJ35" s="1491"/>
      <c r="BK35" s="1491"/>
      <c r="BL35" s="1491"/>
      <c r="BN35" s="1492"/>
      <c r="BO35" s="1492"/>
      <c r="BP35" s="1492"/>
      <c r="BR35" s="3168"/>
      <c r="BS35" s="1493"/>
      <c r="BU35" s="1508"/>
      <c r="BV35" s="1508"/>
      <c r="BW35" s="1508"/>
      <c r="BX35" s="1508"/>
      <c r="BY35" s="1508"/>
      <c r="BZ35" s="1508"/>
      <c r="CA35" s="1508"/>
      <c r="CB35" s="1508"/>
      <c r="CC35" s="1508"/>
      <c r="CD35" s="1508"/>
      <c r="CE35" s="1508"/>
      <c r="CF35" s="1508"/>
      <c r="CG35" s="1508"/>
      <c r="CH35" s="1508"/>
      <c r="CI35" s="1508"/>
      <c r="CJ35" s="1508"/>
      <c r="CK35" s="1508"/>
      <c r="CL35" s="1508"/>
      <c r="CM35" s="1508"/>
      <c r="CN35" s="1508"/>
      <c r="CO35" s="1508"/>
      <c r="CP35" s="1508"/>
      <c r="CQ35" s="1508"/>
      <c r="CR35" s="1508"/>
      <c r="CS35" s="1508"/>
      <c r="CT35" s="1508"/>
      <c r="CU35" s="1508"/>
      <c r="CV35" s="1508"/>
      <c r="CW35" s="1508"/>
      <c r="CX35" s="1508"/>
      <c r="CY35" s="1508"/>
      <c r="CZ35" s="1508"/>
      <c r="DA35" s="1508"/>
      <c r="DB35" s="1508"/>
      <c r="DC35" s="1508"/>
      <c r="DD35" s="1508"/>
      <c r="DE35" s="1508"/>
      <c r="DF35" s="1508"/>
      <c r="DG35" s="1508"/>
      <c r="DH35" s="1508"/>
      <c r="DI35" s="1508"/>
      <c r="DJ35" s="1508"/>
      <c r="DK35" s="1508"/>
      <c r="DL35" s="1508"/>
      <c r="DN35" s="1509"/>
    </row>
    <row r="36" spans="1:118" s="14" customFormat="1" ht="15.75" x14ac:dyDescent="0.2">
      <c r="B36" s="1535"/>
      <c r="C36" s="1553"/>
      <c r="D36" s="1554" t="s">
        <v>916</v>
      </c>
      <c r="E36" s="1555"/>
      <c r="G36" s="1929">
        <f t="shared" ref="G36:V36" ca="1" si="28">G15+G19+G27</f>
        <v>52.703979453627383</v>
      </c>
      <c r="H36" s="1929">
        <f t="shared" ca="1" si="28"/>
        <v>11.29572770779278</v>
      </c>
      <c r="I36" s="1929">
        <f t="shared" ca="1" si="28"/>
        <v>4.4428767878345576</v>
      </c>
      <c r="J36" s="1929">
        <f t="shared" ca="1" si="28"/>
        <v>14.818687878686267</v>
      </c>
      <c r="K36" s="1929">
        <f t="shared" ca="1" si="28"/>
        <v>6.5713619787636217</v>
      </c>
      <c r="L36" s="1929">
        <f t="shared" ca="1" si="28"/>
        <v>13.491919594690156</v>
      </c>
      <c r="M36" s="1929">
        <f t="shared" ca="1" si="28"/>
        <v>197.03307251300703</v>
      </c>
      <c r="N36" s="1929">
        <f t="shared" ca="1" si="28"/>
        <v>66.429513696050577</v>
      </c>
      <c r="O36" s="1929">
        <f t="shared" ca="1" si="28"/>
        <v>22.312780471609948</v>
      </c>
      <c r="P36" s="1929">
        <f t="shared" ca="1" si="28"/>
        <v>0.54200248261278638</v>
      </c>
      <c r="Q36" s="1929">
        <f t="shared" ca="1" si="28"/>
        <v>6.2675085137333914E-2</v>
      </c>
      <c r="R36" s="1929">
        <f t="shared" ca="1" si="28"/>
        <v>34.35695357892007</v>
      </c>
      <c r="S36" s="1929">
        <f ca="1">S15+S19+S27</f>
        <v>9.0634554795282387</v>
      </c>
      <c r="T36" s="1929">
        <f t="shared" ca="1" si="28"/>
        <v>10.274069535198388</v>
      </c>
      <c r="U36" s="1929">
        <f t="shared" ca="1" si="28"/>
        <v>7.0253872509913858E-3</v>
      </c>
      <c r="V36" s="1929">
        <f t="shared" ca="1" si="28"/>
        <v>0.37495696100373616</v>
      </c>
      <c r="W36" s="1929">
        <f ca="1">SUM(G36:V36)</f>
        <v>443.78105859171393</v>
      </c>
      <c r="Y36" s="1937">
        <f t="shared" ref="Y36:AP36" ca="1" si="29">Y27+Y19+Y15</f>
        <v>-103.6006457581674</v>
      </c>
      <c r="Z36" s="1937">
        <f t="shared" ca="1" si="29"/>
        <v>0</v>
      </c>
      <c r="AA36" s="1937">
        <f t="shared" ca="1" si="29"/>
        <v>-47.801093322502346</v>
      </c>
      <c r="AB36" s="1937">
        <f t="shared" ca="1" si="29"/>
        <v>-221.63795069673915</v>
      </c>
      <c r="AC36" s="1937">
        <f t="shared" ca="1" si="29"/>
        <v>-61.811936281204197</v>
      </c>
      <c r="AD36" s="1937">
        <f t="shared" ca="1" si="29"/>
        <v>0</v>
      </c>
      <c r="AE36" s="1937">
        <f t="shared" ca="1" si="29"/>
        <v>0</v>
      </c>
      <c r="AF36" s="1937">
        <f t="shared" ca="1" si="29"/>
        <v>0</v>
      </c>
      <c r="AG36" s="1937">
        <f t="shared" ca="1" si="29"/>
        <v>0</v>
      </c>
      <c r="AH36" s="1937">
        <f t="shared" ca="1" si="29"/>
        <v>0</v>
      </c>
      <c r="AI36" s="1937">
        <f t="shared" ca="1" si="29"/>
        <v>0</v>
      </c>
      <c r="AJ36" s="1937">
        <f t="shared" ca="1" si="29"/>
        <v>0</v>
      </c>
      <c r="AK36" s="1937">
        <f t="shared" ca="1" si="29"/>
        <v>0</v>
      </c>
      <c r="AL36" s="1937">
        <f ca="1">AL27+AL19+AL15</f>
        <v>-8.9103481282641628</v>
      </c>
      <c r="AM36" s="1937">
        <f t="shared" ca="1" si="29"/>
        <v>0</v>
      </c>
      <c r="AN36" s="1937">
        <f t="shared" ca="1" si="29"/>
        <v>0</v>
      </c>
      <c r="AO36" s="1937">
        <f t="shared" ca="1" si="29"/>
        <v>0</v>
      </c>
      <c r="AP36" s="1937">
        <f t="shared" ca="1" si="29"/>
        <v>0</v>
      </c>
      <c r="AQ36" s="1937">
        <f ca="1">SUM(Y36:AP36)</f>
        <v>-443.76197418687724</v>
      </c>
      <c r="AS36" s="1558">
        <f ca="1">AS15+AS19+AS27</f>
        <v>0</v>
      </c>
      <c r="AT36" s="1558">
        <f t="shared" ref="AT36:BK36" ca="1" si="30">AT15+AT19+AT27</f>
        <v>0</v>
      </c>
      <c r="AU36" s="1558">
        <f t="shared" ca="1" si="30"/>
        <v>0</v>
      </c>
      <c r="AV36" s="1558">
        <f t="shared" ca="1" si="30"/>
        <v>0</v>
      </c>
      <c r="AW36" s="1558">
        <f t="shared" ca="1" si="30"/>
        <v>0</v>
      </c>
      <c r="AX36" s="1558">
        <f t="shared" ca="1" si="30"/>
        <v>0</v>
      </c>
      <c r="AY36" s="1558">
        <f t="shared" ca="1" si="30"/>
        <v>0</v>
      </c>
      <c r="AZ36" s="1558">
        <f t="shared" ca="1" si="30"/>
        <v>0</v>
      </c>
      <c r="BA36" s="1558">
        <f t="shared" ca="1" si="30"/>
        <v>0</v>
      </c>
      <c r="BB36" s="1558">
        <f t="shared" ca="1" si="30"/>
        <v>0</v>
      </c>
      <c r="BC36" s="1558">
        <f t="shared" ca="1" si="30"/>
        <v>-1.9084404836587632E-2</v>
      </c>
      <c r="BD36" s="1558">
        <f t="shared" ca="1" si="30"/>
        <v>0</v>
      </c>
      <c r="BE36" s="1558">
        <f t="shared" ca="1" si="30"/>
        <v>0</v>
      </c>
      <c r="BF36" s="1558">
        <f t="shared" ca="1" si="30"/>
        <v>0</v>
      </c>
      <c r="BG36" s="1558">
        <f t="shared" ca="1" si="30"/>
        <v>0</v>
      </c>
      <c r="BH36" s="1558">
        <f t="shared" ca="1" si="30"/>
        <v>0</v>
      </c>
      <c r="BI36" s="1558">
        <f t="shared" ca="1" si="30"/>
        <v>0</v>
      </c>
      <c r="BJ36" s="1558">
        <f t="shared" ca="1" si="30"/>
        <v>0</v>
      </c>
      <c r="BK36" s="1558">
        <f t="shared" ca="1" si="30"/>
        <v>0</v>
      </c>
      <c r="BL36" s="3166">
        <f ca="1">SUM(AS36:BK36)</f>
        <v>-1.9084404836587632E-2</v>
      </c>
      <c r="BN36" s="1559">
        <f ca="1">BN27+BN19+BN15</f>
        <v>0</v>
      </c>
      <c r="BO36" s="1559">
        <f ca="1">BO27+BO19+BO15</f>
        <v>0</v>
      </c>
      <c r="BP36" s="1505">
        <f ca="1">BN36+BO36</f>
        <v>0</v>
      </c>
      <c r="BR36" s="3168">
        <f ca="1">W36+AQ36+BL36+BP36</f>
        <v>1.0219602941674566E-13</v>
      </c>
      <c r="BS36" s="1560"/>
      <c r="BU36" s="1561">
        <v>283.37379437292333</v>
      </c>
      <c r="BV36" s="1561">
        <v>0.46829877567433276</v>
      </c>
      <c r="BW36" s="1561">
        <v>3.244610652199623</v>
      </c>
      <c r="BX36" s="1561">
        <v>0</v>
      </c>
      <c r="BY36" s="1561">
        <v>0</v>
      </c>
      <c r="BZ36" s="1561">
        <v>0</v>
      </c>
      <c r="CA36" s="1561">
        <v>0</v>
      </c>
      <c r="CB36" s="1561">
        <v>0</v>
      </c>
      <c r="CC36" s="1561">
        <v>14.39565925511863</v>
      </c>
      <c r="CD36" s="1561">
        <v>0.11288744235152412</v>
      </c>
      <c r="CE36" s="1561">
        <v>2.7624692105907238</v>
      </c>
      <c r="CF36" s="1561">
        <v>10.620296151887526</v>
      </c>
      <c r="CG36" s="1561">
        <v>0</v>
      </c>
      <c r="CH36" s="1561">
        <v>0</v>
      </c>
      <c r="CI36" s="1561">
        <v>0</v>
      </c>
      <c r="CJ36" s="1561">
        <v>0</v>
      </c>
      <c r="CK36" s="1561">
        <v>0</v>
      </c>
      <c r="CL36" s="1561">
        <v>0</v>
      </c>
      <c r="CM36" s="1561">
        <v>0</v>
      </c>
      <c r="CN36" s="1561">
        <v>0</v>
      </c>
      <c r="CO36" s="1561">
        <v>0</v>
      </c>
      <c r="CP36" s="1561">
        <v>0</v>
      </c>
      <c r="CQ36" s="1561">
        <v>0</v>
      </c>
      <c r="CR36" s="1561">
        <v>0</v>
      </c>
      <c r="CS36" s="1561">
        <v>0</v>
      </c>
      <c r="CT36" s="1561">
        <v>0</v>
      </c>
      <c r="CU36" s="1561">
        <v>0</v>
      </c>
      <c r="CV36" s="1561">
        <v>0</v>
      </c>
      <c r="CW36" s="1561">
        <v>0</v>
      </c>
      <c r="CX36" s="1561">
        <v>0</v>
      </c>
      <c r="CY36" s="1561">
        <v>0</v>
      </c>
      <c r="CZ36" s="1561">
        <v>0</v>
      </c>
      <c r="DA36" s="1561">
        <v>51.739539271814301</v>
      </c>
      <c r="DB36" s="1561">
        <v>6.441552213858226E-2</v>
      </c>
      <c r="DC36" s="1561">
        <v>0.93090033050516818</v>
      </c>
      <c r="DD36" s="1561">
        <v>0</v>
      </c>
      <c r="DE36" s="1561">
        <v>0</v>
      </c>
      <c r="DF36" s="1561">
        <v>0</v>
      </c>
      <c r="DG36" s="1561">
        <v>0</v>
      </c>
      <c r="DH36" s="1561">
        <v>0</v>
      </c>
      <c r="DI36" s="1561">
        <v>0</v>
      </c>
      <c r="DJ36" s="1561">
        <v>0</v>
      </c>
      <c r="DK36" s="1561">
        <v>0</v>
      </c>
      <c r="DL36" s="1561">
        <v>0</v>
      </c>
      <c r="DN36" s="1562">
        <v>367.71287098520372</v>
      </c>
    </row>
    <row r="37" spans="1:118" s="14" customFormat="1" ht="6" customHeight="1" x14ac:dyDescent="0.2">
      <c r="C37" s="1430"/>
      <c r="D37" s="1430"/>
      <c r="E37" s="1430"/>
      <c r="G37" s="1488"/>
      <c r="H37" s="1488"/>
      <c r="I37" s="1488"/>
      <c r="J37" s="1488"/>
      <c r="K37" s="1488"/>
      <c r="L37" s="1488"/>
      <c r="M37" s="1488"/>
      <c r="N37" s="1488"/>
      <c r="O37" s="1563"/>
      <c r="P37" s="1488"/>
      <c r="Q37" s="1488"/>
      <c r="R37" s="1488"/>
      <c r="S37" s="1488"/>
      <c r="T37" s="1488"/>
      <c r="U37" s="1488"/>
      <c r="V37" s="1488"/>
      <c r="W37" s="1488"/>
      <c r="Y37" s="1490"/>
      <c r="Z37" s="1490"/>
      <c r="AA37" s="1490"/>
      <c r="AB37" s="1490"/>
      <c r="AC37" s="1490"/>
      <c r="AD37" s="1490"/>
      <c r="AE37" s="1490"/>
      <c r="AF37" s="1490"/>
      <c r="AG37" s="1490"/>
      <c r="AH37" s="1490"/>
      <c r="AI37" s="1490"/>
      <c r="AJ37" s="1490"/>
      <c r="AK37" s="1490"/>
      <c r="AL37" s="1490"/>
      <c r="AM37" s="1490"/>
      <c r="AN37" s="1490"/>
      <c r="AO37" s="1490"/>
      <c r="AP37" s="1490"/>
      <c r="AQ37" s="1490"/>
      <c r="AS37" s="1491"/>
      <c r="AT37" s="1491"/>
      <c r="AU37" s="1491"/>
      <c r="AV37" s="1491"/>
      <c r="AW37" s="1491"/>
      <c r="AX37" s="1491"/>
      <c r="AY37" s="1491"/>
      <c r="AZ37" s="1491"/>
      <c r="BA37" s="1491"/>
      <c r="BB37" s="1491"/>
      <c r="BC37" s="1491"/>
      <c r="BD37" s="1491"/>
      <c r="BE37" s="1491"/>
      <c r="BF37" s="1491"/>
      <c r="BG37" s="1491"/>
      <c r="BH37" s="1491"/>
      <c r="BI37" s="1491"/>
      <c r="BJ37" s="1491"/>
      <c r="BK37" s="1491"/>
      <c r="BL37" s="1491"/>
      <c r="BN37" s="1492"/>
      <c r="BO37" s="1492"/>
      <c r="BP37" s="1492"/>
      <c r="BR37" s="3168"/>
      <c r="BS37" s="1493"/>
      <c r="BU37" s="1508"/>
      <c r="BV37" s="1508"/>
      <c r="BW37" s="1508"/>
      <c r="BX37" s="1508"/>
      <c r="BY37" s="1508"/>
      <c r="BZ37" s="1508"/>
      <c r="CA37" s="1508"/>
      <c r="CB37" s="1508"/>
      <c r="CC37" s="1508"/>
      <c r="CD37" s="1508"/>
      <c r="CE37" s="1508"/>
      <c r="CF37" s="1508"/>
      <c r="CG37" s="1508"/>
      <c r="CH37" s="1508"/>
      <c r="CI37" s="1508"/>
      <c r="CJ37" s="1508"/>
      <c r="CK37" s="1508"/>
      <c r="CL37" s="1508"/>
      <c r="CM37" s="1508"/>
      <c r="CN37" s="1508"/>
      <c r="CO37" s="1508"/>
      <c r="CP37" s="1508"/>
      <c r="CQ37" s="1508"/>
      <c r="CR37" s="1508"/>
      <c r="CS37" s="1508"/>
      <c r="CT37" s="1508"/>
      <c r="CU37" s="1508"/>
      <c r="CV37" s="1508"/>
      <c r="CW37" s="1508"/>
      <c r="CX37" s="1508"/>
      <c r="CY37" s="1508"/>
      <c r="CZ37" s="1508"/>
      <c r="DA37" s="1508"/>
      <c r="DB37" s="1508"/>
      <c r="DC37" s="1508"/>
      <c r="DD37" s="1508"/>
      <c r="DE37" s="1508"/>
      <c r="DF37" s="1508"/>
      <c r="DG37" s="1508"/>
      <c r="DH37" s="1508"/>
      <c r="DI37" s="1508"/>
      <c r="DJ37" s="1508"/>
      <c r="DK37" s="1508"/>
      <c r="DL37" s="1508"/>
      <c r="DN37" s="1509"/>
    </row>
    <row r="38" spans="1:118" s="14" customFormat="1" ht="17.25" customHeight="1" x14ac:dyDescent="0.2">
      <c r="C38" s="1480" t="s">
        <v>404</v>
      </c>
      <c r="D38" s="1430"/>
      <c r="E38" s="1430"/>
      <c r="G38" s="1488"/>
      <c r="H38" s="1488"/>
      <c r="I38" s="1488"/>
      <c r="J38" s="1488"/>
      <c r="K38" s="1488"/>
      <c r="L38" s="1488"/>
      <c r="M38" s="1488"/>
      <c r="N38" s="1488"/>
      <c r="O38" s="1563"/>
      <c r="P38" s="1488"/>
      <c r="Q38" s="1488"/>
      <c r="R38" s="1488"/>
      <c r="S38" s="1488"/>
      <c r="T38" s="1488"/>
      <c r="U38" s="1488"/>
      <c r="V38" s="1488"/>
      <c r="W38" s="1488"/>
      <c r="Y38" s="1490"/>
      <c r="Z38" s="1490"/>
      <c r="AA38" s="1490"/>
      <c r="AB38" s="1490"/>
      <c r="AC38" s="1490"/>
      <c r="AD38" s="1490"/>
      <c r="AE38" s="1490"/>
      <c r="AF38" s="1490"/>
      <c r="AG38" s="1490"/>
      <c r="AH38" s="1490"/>
      <c r="AI38" s="1490"/>
      <c r="AJ38" s="1490"/>
      <c r="AK38" s="1490"/>
      <c r="AL38" s="1490"/>
      <c r="AM38" s="1490"/>
      <c r="AN38" s="1490"/>
      <c r="AO38" s="1490"/>
      <c r="AP38" s="1490"/>
      <c r="AQ38" s="1490"/>
      <c r="AS38" s="1491"/>
      <c r="AT38" s="1491"/>
      <c r="AU38" s="1491"/>
      <c r="AV38" s="1491"/>
      <c r="AW38" s="1491"/>
      <c r="AX38" s="1491"/>
      <c r="AY38" s="1491"/>
      <c r="AZ38" s="1491"/>
      <c r="BA38" s="1491"/>
      <c r="BB38" s="1491"/>
      <c r="BC38" s="1491"/>
      <c r="BD38" s="1491"/>
      <c r="BE38" s="1491"/>
      <c r="BF38" s="1491"/>
      <c r="BG38" s="1491"/>
      <c r="BH38" s="1491"/>
      <c r="BI38" s="1491"/>
      <c r="BJ38" s="1491"/>
      <c r="BK38" s="1491"/>
      <c r="BL38" s="1491"/>
      <c r="BN38" s="1492"/>
      <c r="BO38" s="1492"/>
      <c r="BP38" s="1492"/>
      <c r="BR38" s="3168"/>
      <c r="BS38" s="1493"/>
      <c r="BU38" s="1508"/>
      <c r="BV38" s="1508"/>
      <c r="BW38" s="1508"/>
      <c r="BX38" s="1508"/>
      <c r="BY38" s="1508"/>
      <c r="BZ38" s="1508"/>
      <c r="CA38" s="1508"/>
      <c r="CB38" s="1508"/>
      <c r="CC38" s="1508"/>
      <c r="CD38" s="1508"/>
      <c r="CE38" s="1508"/>
      <c r="CF38" s="1508"/>
      <c r="CG38" s="1508"/>
      <c r="CH38" s="1508"/>
      <c r="CI38" s="1508"/>
      <c r="CJ38" s="1508"/>
      <c r="CK38" s="1508"/>
      <c r="CL38" s="1508"/>
      <c r="CM38" s="1508"/>
      <c r="CN38" s="1508"/>
      <c r="CO38" s="1508"/>
      <c r="CP38" s="1508"/>
      <c r="CQ38" s="1508"/>
      <c r="CR38" s="1508"/>
      <c r="CS38" s="1508"/>
      <c r="CT38" s="1508"/>
      <c r="CU38" s="1508"/>
      <c r="CV38" s="1508"/>
      <c r="CW38" s="1508"/>
      <c r="CX38" s="1508"/>
      <c r="CY38" s="1508"/>
      <c r="CZ38" s="1508"/>
      <c r="DA38" s="1508"/>
      <c r="DB38" s="1508"/>
      <c r="DC38" s="1508"/>
      <c r="DD38" s="1508"/>
      <c r="DE38" s="1508"/>
      <c r="DF38" s="1508"/>
      <c r="DG38" s="1508"/>
      <c r="DH38" s="1508"/>
      <c r="DI38" s="1508"/>
      <c r="DJ38" s="1508"/>
      <c r="DK38" s="1508"/>
      <c r="DL38" s="1508"/>
      <c r="DN38" s="1509"/>
    </row>
    <row r="39" spans="1:118" s="14" customFormat="1" ht="24" hidden="1" customHeight="1" outlineLevel="1" x14ac:dyDescent="0.2">
      <c r="D39" s="1480"/>
      <c r="E39" s="1481"/>
      <c r="G39" s="1482"/>
      <c r="H39" s="1482"/>
      <c r="I39" s="1482"/>
      <c r="J39" s="1482"/>
      <c r="K39" s="1482"/>
      <c r="L39" s="1482"/>
      <c r="M39" s="1482"/>
      <c r="N39" s="1482"/>
      <c r="O39" s="1482"/>
      <c r="P39" s="1482"/>
      <c r="Q39" s="1482"/>
      <c r="R39" s="1482"/>
      <c r="S39" s="1482"/>
      <c r="T39" s="1482"/>
      <c r="U39" s="1482"/>
      <c r="V39" s="1482"/>
      <c r="W39" s="1482"/>
      <c r="Y39" s="1483"/>
      <c r="Z39" s="1483"/>
      <c r="AA39" s="1483"/>
      <c r="AB39" s="1483"/>
      <c r="AC39" s="1483"/>
      <c r="AD39" s="1483"/>
      <c r="AE39" s="1483"/>
      <c r="AF39" s="1483"/>
      <c r="AG39" s="1483"/>
      <c r="AH39" s="1483"/>
      <c r="AI39" s="1483"/>
      <c r="AJ39" s="1483"/>
      <c r="AK39" s="1483"/>
      <c r="AL39" s="1483"/>
      <c r="AM39" s="1483"/>
      <c r="AN39" s="1483"/>
      <c r="AO39" s="1483"/>
      <c r="AP39" s="1483"/>
      <c r="AQ39" s="1483"/>
      <c r="AS39" s="1484"/>
      <c r="AT39" s="1484"/>
      <c r="AU39" s="1484"/>
      <c r="AV39" s="1484"/>
      <c r="AW39" s="1484"/>
      <c r="AX39" s="1484"/>
      <c r="AY39" s="1484"/>
      <c r="AZ39" s="1484"/>
      <c r="BA39" s="1484"/>
      <c r="BB39" s="1484"/>
      <c r="BC39" s="1484"/>
      <c r="BD39" s="1484"/>
      <c r="BE39" s="1484"/>
      <c r="BF39" s="1484"/>
      <c r="BG39" s="1484"/>
      <c r="BH39" s="1484"/>
      <c r="BI39" s="1484"/>
      <c r="BJ39" s="1484"/>
      <c r="BK39" s="1484"/>
      <c r="BL39" s="1484"/>
      <c r="BN39" s="1485"/>
      <c r="BO39" s="1485"/>
      <c r="BP39" s="1485"/>
      <c r="BR39" s="3168">
        <f t="shared" si="12"/>
        <v>0</v>
      </c>
      <c r="BS39" s="1486"/>
      <c r="BU39" s="1508"/>
      <c r="BV39" s="1508"/>
      <c r="BW39" s="1508"/>
      <c r="BX39" s="1508"/>
      <c r="BY39" s="1508"/>
      <c r="BZ39" s="1508"/>
      <c r="CA39" s="1508"/>
      <c r="CB39" s="1508"/>
      <c r="CC39" s="1508"/>
      <c r="CD39" s="1508"/>
      <c r="CE39" s="1508"/>
      <c r="CF39" s="1508"/>
      <c r="CG39" s="1508"/>
      <c r="CH39" s="1508"/>
      <c r="CI39" s="1508"/>
      <c r="CJ39" s="1508"/>
      <c r="CK39" s="1508"/>
      <c r="CL39" s="1508"/>
      <c r="CM39" s="1508"/>
      <c r="CN39" s="1508"/>
      <c r="CO39" s="1508"/>
      <c r="CP39" s="1508"/>
      <c r="CQ39" s="1508"/>
      <c r="CR39" s="1508"/>
      <c r="CS39" s="1508"/>
      <c r="CT39" s="1508"/>
      <c r="CU39" s="1508"/>
      <c r="CV39" s="1508"/>
      <c r="CW39" s="1508"/>
      <c r="CX39" s="1508"/>
      <c r="CY39" s="1508"/>
      <c r="CZ39" s="1508"/>
      <c r="DA39" s="1508"/>
      <c r="DB39" s="1508"/>
      <c r="DC39" s="1508"/>
      <c r="DD39" s="1508"/>
      <c r="DE39" s="1508"/>
      <c r="DF39" s="1508"/>
      <c r="DG39" s="1508"/>
      <c r="DH39" s="1508"/>
      <c r="DI39" s="1508"/>
      <c r="DJ39" s="1508"/>
      <c r="DK39" s="1508"/>
      <c r="DL39" s="1508"/>
      <c r="DN39" s="1509"/>
    </row>
    <row r="40" spans="1:118" s="14" customFormat="1" ht="15.75" hidden="1" customHeight="1" outlineLevel="2" x14ac:dyDescent="0.2">
      <c r="A40" s="1534"/>
      <c r="B40" s="1534"/>
      <c r="C40" s="1544"/>
      <c r="D40" s="1538"/>
      <c r="E40" s="1538"/>
      <c r="G40" s="1488"/>
      <c r="H40" s="1488"/>
      <c r="I40" s="1488"/>
      <c r="J40" s="1488"/>
      <c r="K40" s="1488"/>
      <c r="L40" s="1488"/>
      <c r="M40" s="1488"/>
      <c r="N40" s="1488"/>
      <c r="O40" s="1563"/>
      <c r="P40" s="1488"/>
      <c r="Q40" s="1488"/>
      <c r="R40" s="1488"/>
      <c r="S40" s="1488"/>
      <c r="T40" s="1488"/>
      <c r="U40" s="1488"/>
      <c r="V40" s="1488"/>
      <c r="W40" s="1488"/>
      <c r="Y40" s="1490"/>
      <c r="Z40" s="1490"/>
      <c r="AA40" s="1490"/>
      <c r="AB40" s="1490"/>
      <c r="AC40" s="1490"/>
      <c r="AD40" s="1490"/>
      <c r="AE40" s="1490"/>
      <c r="AF40" s="1490"/>
      <c r="AG40" s="1490"/>
      <c r="AH40" s="1490"/>
      <c r="AI40" s="1490"/>
      <c r="AJ40" s="1490"/>
      <c r="AK40" s="1490"/>
      <c r="AL40" s="1490"/>
      <c r="AM40" s="1490"/>
      <c r="AN40" s="1490"/>
      <c r="AO40" s="1490"/>
      <c r="AP40" s="1490"/>
      <c r="AQ40" s="1490"/>
      <c r="AS40" s="1491"/>
      <c r="AT40" s="1491"/>
      <c r="AU40" s="1491"/>
      <c r="AV40" s="1491"/>
      <c r="AW40" s="1491"/>
      <c r="AX40" s="1491"/>
      <c r="AY40" s="1491"/>
      <c r="AZ40" s="1491"/>
      <c r="BA40" s="1491"/>
      <c r="BB40" s="1491"/>
      <c r="BC40" s="1491"/>
      <c r="BD40" s="1491"/>
      <c r="BE40" s="1491"/>
      <c r="BF40" s="1491"/>
      <c r="BG40" s="1491"/>
      <c r="BH40" s="1491"/>
      <c r="BI40" s="1491"/>
      <c r="BJ40" s="1491"/>
      <c r="BK40" s="1491"/>
      <c r="BL40" s="1491"/>
      <c r="BN40" s="1492"/>
      <c r="BO40" s="1492"/>
      <c r="BP40" s="1492"/>
      <c r="BR40" s="3168">
        <f t="shared" si="12"/>
        <v>0</v>
      </c>
      <c r="BS40" s="1493"/>
      <c r="BT40" s="1534"/>
      <c r="BU40" s="1508"/>
      <c r="BV40" s="1508"/>
      <c r="BW40" s="1508"/>
      <c r="BX40" s="1508"/>
      <c r="BY40" s="1508"/>
      <c r="BZ40" s="1508"/>
      <c r="CA40" s="1508"/>
      <c r="CB40" s="1508"/>
      <c r="CC40" s="1508"/>
      <c r="CD40" s="1508"/>
      <c r="CE40" s="1508"/>
      <c r="CF40" s="1508"/>
      <c r="CG40" s="1508"/>
      <c r="CH40" s="1508"/>
      <c r="CI40" s="1508"/>
      <c r="CJ40" s="1508"/>
      <c r="CK40" s="1508"/>
      <c r="CL40" s="1508"/>
      <c r="CM40" s="1508"/>
      <c r="CN40" s="1508"/>
      <c r="CO40" s="1508"/>
      <c r="CP40" s="1508"/>
      <c r="CQ40" s="1508"/>
      <c r="CR40" s="1508"/>
      <c r="CS40" s="1508"/>
      <c r="CT40" s="1508"/>
      <c r="CU40" s="1508"/>
      <c r="CV40" s="1508"/>
      <c r="CW40" s="1508"/>
      <c r="CX40" s="1508"/>
      <c r="CY40" s="1508"/>
      <c r="CZ40" s="1508"/>
      <c r="DA40" s="1508"/>
      <c r="DB40" s="1508"/>
      <c r="DC40" s="1508"/>
      <c r="DD40" s="1508"/>
      <c r="DE40" s="1508"/>
      <c r="DF40" s="1508"/>
      <c r="DG40" s="1508"/>
      <c r="DH40" s="1508"/>
      <c r="DI40" s="1508"/>
      <c r="DJ40" s="1508"/>
      <c r="DK40" s="1508"/>
      <c r="DL40" s="1508"/>
      <c r="DN40" s="1509"/>
    </row>
    <row r="41" spans="1:118" s="1564" customFormat="1" ht="21" hidden="1" customHeight="1" outlineLevel="2" x14ac:dyDescent="0.2">
      <c r="C41" s="1565" t="s">
        <v>807</v>
      </c>
      <c r="D41" s="1566" t="s">
        <v>808</v>
      </c>
      <c r="E41" s="1566"/>
      <c r="F41" s="1567"/>
      <c r="G41" s="1568"/>
      <c r="H41" s="1568"/>
      <c r="I41" s="1568"/>
      <c r="J41" s="1568"/>
      <c r="K41" s="1568"/>
      <c r="L41" s="1568"/>
      <c r="M41" s="1568"/>
      <c r="N41" s="1568"/>
      <c r="O41" s="1569"/>
      <c r="P41" s="1568"/>
      <c r="Q41" s="1568"/>
      <c r="R41" s="1568"/>
      <c r="S41" s="1568"/>
      <c r="T41" s="1568"/>
      <c r="U41" s="1568"/>
      <c r="V41" s="1568"/>
      <c r="W41" s="1568"/>
      <c r="X41" s="1567"/>
      <c r="Y41" s="1570"/>
      <c r="Z41" s="1570"/>
      <c r="AA41" s="1570"/>
      <c r="AB41" s="1570"/>
      <c r="AC41" s="1570"/>
      <c r="AD41" s="1570"/>
      <c r="AE41" s="1570"/>
      <c r="AF41" s="1570"/>
      <c r="AG41" s="1570"/>
      <c r="AH41" s="1570"/>
      <c r="AI41" s="1570"/>
      <c r="AJ41" s="1570"/>
      <c r="AK41" s="1570"/>
      <c r="AL41" s="1570"/>
      <c r="AM41" s="1570"/>
      <c r="AN41" s="1570"/>
      <c r="AO41" s="1570"/>
      <c r="AP41" s="1570"/>
      <c r="AQ41" s="1570"/>
      <c r="AR41" s="1567"/>
      <c r="AS41" s="1571"/>
      <c r="AT41" s="1571"/>
      <c r="AU41" s="1571"/>
      <c r="AV41" s="1571"/>
      <c r="AW41" s="1571"/>
      <c r="AX41" s="1571"/>
      <c r="AY41" s="1571"/>
      <c r="AZ41" s="1571"/>
      <c r="BA41" s="1571"/>
      <c r="BB41" s="1571"/>
      <c r="BC41" s="1571"/>
      <c r="BD41" s="1571"/>
      <c r="BE41" s="1571"/>
      <c r="BF41" s="1571"/>
      <c r="BG41" s="1571"/>
      <c r="BH41" s="1571"/>
      <c r="BI41" s="1571"/>
      <c r="BJ41" s="1571"/>
      <c r="BK41" s="1571"/>
      <c r="BL41" s="1571"/>
      <c r="BM41" s="1567"/>
      <c r="BN41" s="1572"/>
      <c r="BO41" s="1572"/>
      <c r="BP41" s="1572"/>
      <c r="BQ41" s="1567"/>
      <c r="BR41" s="3168">
        <f t="shared" si="12"/>
        <v>0</v>
      </c>
      <c r="BS41" s="1573"/>
      <c r="BU41" s="1574"/>
      <c r="BV41" s="1574"/>
      <c r="BW41" s="1574"/>
      <c r="BX41" s="1574"/>
      <c r="BY41" s="1574"/>
      <c r="BZ41" s="1574"/>
      <c r="CA41" s="1574"/>
      <c r="CB41" s="1574"/>
      <c r="CC41" s="1574"/>
      <c r="CD41" s="1574"/>
      <c r="CE41" s="1574"/>
      <c r="CF41" s="1574"/>
      <c r="CG41" s="1574"/>
      <c r="CH41" s="1574"/>
      <c r="CI41" s="1574"/>
      <c r="CJ41" s="1574"/>
      <c r="CK41" s="1574"/>
      <c r="CL41" s="1574"/>
      <c r="CM41" s="1574"/>
      <c r="CN41" s="1574"/>
      <c r="CO41" s="1574"/>
      <c r="CP41" s="1574"/>
      <c r="CQ41" s="1574"/>
      <c r="CR41" s="1574"/>
      <c r="CS41" s="1574"/>
      <c r="CT41" s="1574"/>
      <c r="CU41" s="1574"/>
      <c r="CV41" s="1574"/>
      <c r="CW41" s="1574"/>
      <c r="CX41" s="1574"/>
      <c r="CY41" s="1574"/>
      <c r="CZ41" s="1574"/>
      <c r="DA41" s="1574"/>
      <c r="DB41" s="1574"/>
      <c r="DC41" s="1574"/>
      <c r="DD41" s="1574"/>
      <c r="DE41" s="1574"/>
      <c r="DF41" s="1574"/>
      <c r="DG41" s="1574"/>
      <c r="DH41" s="1574"/>
      <c r="DI41" s="1574"/>
      <c r="DJ41" s="1574"/>
      <c r="DK41" s="1574"/>
      <c r="DL41" s="1574"/>
      <c r="DN41" s="1575">
        <v>0</v>
      </c>
    </row>
    <row r="42" spans="1:118" s="14" customFormat="1" ht="25.5" hidden="1" customHeight="1" outlineLevel="2" x14ac:dyDescent="0.2">
      <c r="A42" s="1534"/>
      <c r="B42" s="1534"/>
      <c r="C42" s="1496" t="s">
        <v>78</v>
      </c>
      <c r="D42" s="1526" t="s">
        <v>794</v>
      </c>
      <c r="E42" s="1576"/>
      <c r="G42" s="1540"/>
      <c r="H42" s="1540"/>
      <c r="I42" s="1540"/>
      <c r="J42" s="1540"/>
      <c r="K42" s="1540"/>
      <c r="L42" s="1540"/>
      <c r="M42" s="1540"/>
      <c r="N42" s="1540"/>
      <c r="O42" s="1540"/>
      <c r="P42" s="1540"/>
      <c r="Q42" s="1540"/>
      <c r="R42" s="1540"/>
      <c r="S42" s="1540"/>
      <c r="T42" s="1540"/>
      <c r="U42" s="1540"/>
      <c r="V42" s="1540"/>
      <c r="W42" s="1527"/>
      <c r="Y42" s="1541"/>
      <c r="Z42" s="1541"/>
      <c r="AA42" s="1541"/>
      <c r="AB42" s="1541"/>
      <c r="AC42" s="1541"/>
      <c r="AD42" s="1541"/>
      <c r="AE42" s="1541"/>
      <c r="AF42" s="1541"/>
      <c r="AG42" s="1541"/>
      <c r="AH42" s="1541"/>
      <c r="AI42" s="1541"/>
      <c r="AJ42" s="1541"/>
      <c r="AK42" s="1541"/>
      <c r="AL42" s="1541"/>
      <c r="AM42" s="1541"/>
      <c r="AN42" s="1541"/>
      <c r="AO42" s="1541"/>
      <c r="AP42" s="1541"/>
      <c r="AQ42" s="1528"/>
      <c r="AS42" s="1542"/>
      <c r="AT42" s="1542"/>
      <c r="AU42" s="1542"/>
      <c r="AV42" s="1542"/>
      <c r="AW42" s="1542"/>
      <c r="AX42" s="1542"/>
      <c r="AY42" s="1542"/>
      <c r="AZ42" s="1542"/>
      <c r="BA42" s="1542"/>
      <c r="BB42" s="1542"/>
      <c r="BC42" s="1542"/>
      <c r="BD42" s="1542"/>
      <c r="BE42" s="1542"/>
      <c r="BF42" s="1542"/>
      <c r="BG42" s="1542"/>
      <c r="BH42" s="1542"/>
      <c r="BI42" s="1542"/>
      <c r="BJ42" s="1542"/>
      <c r="BK42" s="1542"/>
      <c r="BL42" s="1530"/>
      <c r="BN42" s="1543"/>
      <c r="BO42" s="1543"/>
      <c r="BP42" s="1531"/>
      <c r="BR42" s="3168">
        <f t="shared" si="12"/>
        <v>0</v>
      </c>
      <c r="BS42" s="1493"/>
      <c r="BT42" s="748"/>
      <c r="BU42" s="1532">
        <v>0</v>
      </c>
      <c r="BV42" s="1533">
        <v>0</v>
      </c>
      <c r="BW42" s="1533">
        <v>0</v>
      </c>
      <c r="BX42" s="1533">
        <v>0</v>
      </c>
      <c r="BY42" s="1533">
        <v>0</v>
      </c>
      <c r="BZ42" s="1533">
        <v>0</v>
      </c>
      <c r="CA42" s="1533">
        <v>0</v>
      </c>
      <c r="CB42" s="1533">
        <v>0</v>
      </c>
      <c r="CC42" s="1533">
        <v>0</v>
      </c>
      <c r="CD42" s="1533">
        <v>0</v>
      </c>
      <c r="CE42" s="1533">
        <v>0</v>
      </c>
      <c r="CF42" s="1533">
        <v>0</v>
      </c>
      <c r="CG42" s="1533">
        <v>0</v>
      </c>
      <c r="CH42" s="1533">
        <v>0</v>
      </c>
      <c r="CI42" s="1533">
        <v>0</v>
      </c>
      <c r="CJ42" s="1533">
        <v>0</v>
      </c>
      <c r="CK42" s="1533">
        <v>0</v>
      </c>
      <c r="CL42" s="1533">
        <v>0</v>
      </c>
      <c r="CM42" s="1533">
        <v>0</v>
      </c>
      <c r="CN42" s="1533">
        <v>0</v>
      </c>
      <c r="CO42" s="1533">
        <v>0</v>
      </c>
      <c r="CP42" s="1533">
        <v>0</v>
      </c>
      <c r="CQ42" s="1533">
        <v>0</v>
      </c>
      <c r="CR42" s="1533">
        <v>0</v>
      </c>
      <c r="CS42" s="1533">
        <v>0</v>
      </c>
      <c r="CT42" s="1533">
        <v>0</v>
      </c>
      <c r="CU42" s="1533">
        <v>0</v>
      </c>
      <c r="CV42" s="1533">
        <v>0</v>
      </c>
      <c r="CW42" s="1533">
        <v>0</v>
      </c>
      <c r="CX42" s="1533">
        <v>0</v>
      </c>
      <c r="CY42" s="1533">
        <v>0</v>
      </c>
      <c r="CZ42" s="1533">
        <v>0</v>
      </c>
      <c r="DA42" s="1533">
        <v>0</v>
      </c>
      <c r="DB42" s="1533">
        <v>0</v>
      </c>
      <c r="DC42" s="1533">
        <v>0</v>
      </c>
      <c r="DD42" s="1533">
        <v>0</v>
      </c>
      <c r="DE42" s="1533">
        <v>0</v>
      </c>
      <c r="DF42" s="1533">
        <v>0</v>
      </c>
      <c r="DG42" s="1533">
        <v>0</v>
      </c>
      <c r="DH42" s="1533">
        <v>0</v>
      </c>
      <c r="DI42" s="1533">
        <v>0</v>
      </c>
      <c r="DJ42" s="1533">
        <v>0</v>
      </c>
      <c r="DK42" s="1533">
        <v>0</v>
      </c>
      <c r="DL42" s="1533">
        <v>0</v>
      </c>
      <c r="DN42" s="1509"/>
    </row>
    <row r="43" spans="1:118" s="14" customFormat="1" ht="15.75" hidden="1" outlineLevel="1" collapsed="1" x14ac:dyDescent="0.2">
      <c r="A43" s="1845" t="s">
        <v>816</v>
      </c>
      <c r="B43" s="1846"/>
      <c r="C43" s="1842" t="s">
        <v>740</v>
      </c>
      <c r="D43" s="1843" t="s">
        <v>862</v>
      </c>
      <c r="E43" s="1844"/>
      <c r="G43" s="1539"/>
      <c r="H43" s="1539"/>
      <c r="I43" s="1539"/>
      <c r="J43" s="1539"/>
      <c r="K43" s="1539"/>
      <c r="L43" s="1539"/>
      <c r="M43" s="1539"/>
      <c r="N43" s="1539"/>
      <c r="O43" s="1539"/>
      <c r="P43" s="1539"/>
      <c r="Q43" s="1539"/>
      <c r="R43" s="1539"/>
      <c r="S43" s="1539"/>
      <c r="T43" s="1539"/>
      <c r="U43" s="1539"/>
      <c r="V43" s="1539"/>
      <c r="W43" s="1539"/>
      <c r="Y43" s="1490"/>
      <c r="Z43" s="1490"/>
      <c r="AA43" s="1490"/>
      <c r="AB43" s="1490"/>
      <c r="AC43" s="1490"/>
      <c r="AD43" s="1490"/>
      <c r="AE43" s="1490"/>
      <c r="AF43" s="1490"/>
      <c r="AG43" s="1490"/>
      <c r="AH43" s="1490"/>
      <c r="AI43" s="1490"/>
      <c r="AJ43" s="1490"/>
      <c r="AK43" s="1490"/>
      <c r="AL43" s="1490"/>
      <c r="AM43" s="1490"/>
      <c r="AN43" s="1490"/>
      <c r="AO43" s="1490"/>
      <c r="AP43" s="1490"/>
      <c r="AQ43" s="1490"/>
      <c r="AS43" s="1491"/>
      <c r="AT43" s="1491"/>
      <c r="AU43" s="1491"/>
      <c r="AV43" s="1491"/>
      <c r="AW43" s="1491"/>
      <c r="AX43" s="1491"/>
      <c r="AY43" s="1491"/>
      <c r="AZ43" s="1491"/>
      <c r="BA43" s="1491"/>
      <c r="BB43" s="1491"/>
      <c r="BC43" s="1491"/>
      <c r="BD43" s="1491"/>
      <c r="BE43" s="1491"/>
      <c r="BF43" s="1491"/>
      <c r="BG43" s="1491"/>
      <c r="BH43" s="1491"/>
      <c r="BI43" s="1491"/>
      <c r="BJ43" s="1491"/>
      <c r="BK43" s="1491"/>
      <c r="BL43" s="1491"/>
      <c r="BN43" s="1492"/>
      <c r="BO43" s="1492"/>
      <c r="BP43" s="1492"/>
      <c r="BR43" s="3168">
        <f t="shared" si="12"/>
        <v>0</v>
      </c>
      <c r="BS43" s="1493"/>
      <c r="BT43" s="748"/>
      <c r="BU43" s="1508"/>
      <c r="BV43" s="1508"/>
      <c r="BW43" s="1508"/>
      <c r="BX43" s="1508"/>
      <c r="BY43" s="1508"/>
      <c r="BZ43" s="1508"/>
      <c r="CA43" s="1508"/>
      <c r="CB43" s="1508"/>
      <c r="CC43" s="1508"/>
      <c r="CD43" s="1508"/>
      <c r="CE43" s="1508"/>
      <c r="CF43" s="1508"/>
      <c r="CG43" s="1508"/>
      <c r="CH43" s="1508"/>
      <c r="CI43" s="1508"/>
      <c r="CJ43" s="1508"/>
      <c r="CK43" s="1508"/>
      <c r="CL43" s="1508"/>
      <c r="CM43" s="1508"/>
      <c r="CN43" s="1508"/>
      <c r="CO43" s="1508"/>
      <c r="CP43" s="1508"/>
      <c r="CQ43" s="1508"/>
      <c r="CR43" s="1508"/>
      <c r="CS43" s="1508"/>
      <c r="CT43" s="1508"/>
      <c r="CU43" s="1508"/>
      <c r="CV43" s="1508"/>
      <c r="CW43" s="1508"/>
      <c r="CX43" s="1508"/>
      <c r="CY43" s="1508"/>
      <c r="CZ43" s="1508"/>
      <c r="DA43" s="1508"/>
      <c r="DB43" s="1508"/>
      <c r="DC43" s="1508"/>
      <c r="DD43" s="1508"/>
      <c r="DE43" s="1508"/>
      <c r="DF43" s="1508"/>
      <c r="DG43" s="1508"/>
      <c r="DH43" s="1508"/>
      <c r="DI43" s="1508"/>
      <c r="DJ43" s="1508"/>
      <c r="DK43" s="1508"/>
      <c r="DL43" s="1508"/>
      <c r="DN43" s="1509"/>
    </row>
    <row r="44" spans="1:118" s="14" customFormat="1" ht="15.75" hidden="1" customHeight="1" outlineLevel="2" x14ac:dyDescent="0.2">
      <c r="A44" s="1534"/>
      <c r="B44" s="1534"/>
      <c r="C44" s="1544"/>
      <c r="D44" s="1538"/>
      <c r="E44" s="1538"/>
      <c r="G44" s="1488"/>
      <c r="H44" s="1488"/>
      <c r="I44" s="1488"/>
      <c r="J44" s="1488"/>
      <c r="K44" s="1488"/>
      <c r="L44" s="1488"/>
      <c r="M44" s="1488"/>
      <c r="N44" s="1488"/>
      <c r="O44" s="1563"/>
      <c r="P44" s="1488"/>
      <c r="Q44" s="1488"/>
      <c r="R44" s="1488"/>
      <c r="S44" s="1488"/>
      <c r="T44" s="1488"/>
      <c r="U44" s="1488"/>
      <c r="V44" s="1488"/>
      <c r="W44" s="1488"/>
      <c r="Y44" s="1490"/>
      <c r="Z44" s="1490"/>
      <c r="AA44" s="1490"/>
      <c r="AB44" s="1490"/>
      <c r="AC44" s="1490"/>
      <c r="AD44" s="1490"/>
      <c r="AE44" s="1490"/>
      <c r="AF44" s="1490"/>
      <c r="AG44" s="1490"/>
      <c r="AH44" s="1490"/>
      <c r="AI44" s="1490"/>
      <c r="AJ44" s="1490"/>
      <c r="AK44" s="1490"/>
      <c r="AL44" s="1490"/>
      <c r="AM44" s="1490"/>
      <c r="AN44" s="1490"/>
      <c r="AO44" s="1490"/>
      <c r="AP44" s="1490"/>
      <c r="AQ44" s="1490"/>
      <c r="AS44" s="1491"/>
      <c r="AT44" s="1491"/>
      <c r="AU44" s="1491"/>
      <c r="AV44" s="1491"/>
      <c r="AW44" s="1491"/>
      <c r="AX44" s="1491"/>
      <c r="AY44" s="1491"/>
      <c r="AZ44" s="1491"/>
      <c r="BA44" s="1491"/>
      <c r="BB44" s="1491"/>
      <c r="BC44" s="1491"/>
      <c r="BD44" s="1491"/>
      <c r="BE44" s="1491"/>
      <c r="BF44" s="1491"/>
      <c r="BG44" s="1491"/>
      <c r="BH44" s="1491"/>
      <c r="BI44" s="1491"/>
      <c r="BJ44" s="1491"/>
      <c r="BK44" s="1491"/>
      <c r="BL44" s="1491"/>
      <c r="BN44" s="1492"/>
      <c r="BO44" s="1492"/>
      <c r="BP44" s="1492"/>
      <c r="BR44" s="3168">
        <f t="shared" si="12"/>
        <v>0</v>
      </c>
      <c r="BS44" s="1493"/>
      <c r="BT44" s="1534"/>
      <c r="BU44" s="1508"/>
      <c r="BV44" s="1508"/>
      <c r="BW44" s="1508"/>
      <c r="BX44" s="1508"/>
      <c r="BY44" s="1508"/>
      <c r="BZ44" s="1508"/>
      <c r="CA44" s="1508"/>
      <c r="CB44" s="1508"/>
      <c r="CC44" s="1508"/>
      <c r="CD44" s="1508"/>
      <c r="CE44" s="1508"/>
      <c r="CF44" s="1508"/>
      <c r="CG44" s="1508"/>
      <c r="CH44" s="1508"/>
      <c r="CI44" s="1508"/>
      <c r="CJ44" s="1508"/>
      <c r="CK44" s="1508"/>
      <c r="CL44" s="1508"/>
      <c r="CM44" s="1508"/>
      <c r="CN44" s="1508"/>
      <c r="CO44" s="1508"/>
      <c r="CP44" s="1508"/>
      <c r="CQ44" s="1508"/>
      <c r="CR44" s="1508"/>
      <c r="CS44" s="1508"/>
      <c r="CT44" s="1508"/>
      <c r="CU44" s="1508"/>
      <c r="CV44" s="1508"/>
      <c r="CW44" s="1508"/>
      <c r="CX44" s="1508"/>
      <c r="CY44" s="1508"/>
      <c r="CZ44" s="1508"/>
      <c r="DA44" s="1508"/>
      <c r="DB44" s="1508"/>
      <c r="DC44" s="1508"/>
      <c r="DD44" s="1508"/>
      <c r="DE44" s="1508"/>
      <c r="DF44" s="1508"/>
      <c r="DG44" s="1508"/>
      <c r="DH44" s="1508"/>
      <c r="DI44" s="1508"/>
      <c r="DJ44" s="1508"/>
      <c r="DK44" s="1508"/>
      <c r="DL44" s="1508"/>
      <c r="DN44" s="1509"/>
    </row>
    <row r="45" spans="1:118" s="14" customFormat="1" ht="11.25" hidden="1" customHeight="1" outlineLevel="2" x14ac:dyDescent="0.2">
      <c r="A45" s="1522"/>
      <c r="B45" s="1522"/>
      <c r="C45" s="1577" t="s">
        <v>108</v>
      </c>
      <c r="D45" s="1497" t="s">
        <v>109</v>
      </c>
      <c r="E45" s="1497"/>
      <c r="G45" s="1498"/>
      <c r="H45" s="1498"/>
      <c r="I45" s="1498"/>
      <c r="J45" s="1498"/>
      <c r="K45" s="1498"/>
      <c r="L45" s="1498"/>
      <c r="M45" s="1498"/>
      <c r="N45" s="1498"/>
      <c r="O45" s="1498"/>
      <c r="P45" s="1498"/>
      <c r="Q45" s="1498"/>
      <c r="R45" s="1498"/>
      <c r="S45" s="1498"/>
      <c r="T45" s="1498"/>
      <c r="U45" s="1498"/>
      <c r="V45" s="1498"/>
      <c r="W45" s="1499"/>
      <c r="Y45" s="1500"/>
      <c r="Z45" s="1500"/>
      <c r="AA45" s="1500"/>
      <c r="AB45" s="1500"/>
      <c r="AC45" s="1500"/>
      <c r="AD45" s="1500"/>
      <c r="AE45" s="1500"/>
      <c r="AF45" s="1500"/>
      <c r="AG45" s="1500"/>
      <c r="AH45" s="1500"/>
      <c r="AI45" s="1500"/>
      <c r="AJ45" s="1500"/>
      <c r="AK45" s="1500"/>
      <c r="AL45" s="1500"/>
      <c r="AM45" s="1500"/>
      <c r="AN45" s="1500"/>
      <c r="AO45" s="1500"/>
      <c r="AP45" s="1500"/>
      <c r="AQ45" s="1501"/>
      <c r="AS45" s="1502"/>
      <c r="AT45" s="1502"/>
      <c r="AU45" s="1502"/>
      <c r="AV45" s="1502"/>
      <c r="AW45" s="1502"/>
      <c r="AX45" s="1502"/>
      <c r="AY45" s="1502"/>
      <c r="AZ45" s="1502"/>
      <c r="BA45" s="1502"/>
      <c r="BB45" s="1502"/>
      <c r="BC45" s="1502"/>
      <c r="BD45" s="1502"/>
      <c r="BE45" s="1502"/>
      <c r="BF45" s="1502"/>
      <c r="BG45" s="1502"/>
      <c r="BH45" s="1502"/>
      <c r="BI45" s="1502"/>
      <c r="BJ45" s="1502"/>
      <c r="BK45" s="1502"/>
      <c r="BL45" s="1524"/>
      <c r="BN45" s="1504"/>
      <c r="BO45" s="1504"/>
      <c r="BP45" s="1505"/>
      <c r="BR45" s="3168">
        <f t="shared" si="12"/>
        <v>0</v>
      </c>
      <c r="BS45" s="1525"/>
      <c r="BT45" s="748"/>
      <c r="BU45" s="1507"/>
      <c r="BV45" s="1508"/>
      <c r="BW45" s="1508"/>
      <c r="BX45" s="1508"/>
      <c r="BY45" s="1508"/>
      <c r="BZ45" s="1508"/>
      <c r="CA45" s="1508"/>
      <c r="CB45" s="1508"/>
      <c r="CC45" s="1508"/>
      <c r="CD45" s="1508"/>
      <c r="CE45" s="1508"/>
      <c r="CF45" s="1508"/>
      <c r="CG45" s="1508"/>
      <c r="CH45" s="1508"/>
      <c r="CI45" s="1508"/>
      <c r="CJ45" s="1508"/>
      <c r="CK45" s="1508"/>
      <c r="CL45" s="1508"/>
      <c r="CM45" s="1508"/>
      <c r="CN45" s="1508"/>
      <c r="CO45" s="1508"/>
      <c r="CP45" s="1508"/>
      <c r="CQ45" s="1508"/>
      <c r="CR45" s="1508"/>
      <c r="CS45" s="1508"/>
      <c r="CT45" s="1508"/>
      <c r="CU45" s="1508"/>
      <c r="CV45" s="1508"/>
      <c r="CW45" s="1508"/>
      <c r="CX45" s="1508"/>
      <c r="CY45" s="1508"/>
      <c r="CZ45" s="1508"/>
      <c r="DA45" s="1508"/>
      <c r="DB45" s="1508"/>
      <c r="DC45" s="1508"/>
      <c r="DD45" s="1508"/>
      <c r="DE45" s="1508"/>
      <c r="DF45" s="1508"/>
      <c r="DG45" s="1508"/>
      <c r="DH45" s="1508"/>
      <c r="DI45" s="1508"/>
      <c r="DJ45" s="1508"/>
      <c r="DK45" s="1508"/>
      <c r="DL45" s="1508"/>
      <c r="DN45" s="1509"/>
    </row>
    <row r="46" spans="1:118" s="14" customFormat="1" ht="16.5" hidden="1" customHeight="1" outlineLevel="2" x14ac:dyDescent="0.2">
      <c r="A46" s="1522"/>
      <c r="B46" s="1522"/>
      <c r="C46" s="1577" t="s">
        <v>801</v>
      </c>
      <c r="D46" s="1526" t="s">
        <v>802</v>
      </c>
      <c r="E46" s="1526"/>
      <c r="G46" s="1540"/>
      <c r="H46" s="1540"/>
      <c r="I46" s="1540"/>
      <c r="J46" s="1540"/>
      <c r="K46" s="1540"/>
      <c r="L46" s="1540"/>
      <c r="M46" s="1540"/>
      <c r="N46" s="1540"/>
      <c r="O46" s="1540"/>
      <c r="P46" s="1540"/>
      <c r="Q46" s="1540"/>
      <c r="R46" s="1540"/>
      <c r="S46" s="1540"/>
      <c r="T46" s="1540"/>
      <c r="U46" s="1540"/>
      <c r="V46" s="1540"/>
      <c r="W46" s="1527"/>
      <c r="Y46" s="1541"/>
      <c r="Z46" s="1541"/>
      <c r="AA46" s="1541"/>
      <c r="AB46" s="1541"/>
      <c r="AC46" s="1541"/>
      <c r="AD46" s="1541"/>
      <c r="AE46" s="1541"/>
      <c r="AF46" s="1541"/>
      <c r="AG46" s="1541"/>
      <c r="AH46" s="1541"/>
      <c r="AI46" s="1541"/>
      <c r="AJ46" s="1541"/>
      <c r="AK46" s="1541"/>
      <c r="AL46" s="1541"/>
      <c r="AM46" s="1541"/>
      <c r="AN46" s="1541"/>
      <c r="AO46" s="1541"/>
      <c r="AP46" s="1541"/>
      <c r="AQ46" s="1528"/>
      <c r="AS46" s="1542"/>
      <c r="AT46" s="1542"/>
      <c r="AU46" s="1542"/>
      <c r="AV46" s="1542"/>
      <c r="AW46" s="1542"/>
      <c r="AX46" s="1542"/>
      <c r="AY46" s="1542"/>
      <c r="AZ46" s="1542"/>
      <c r="BA46" s="1542"/>
      <c r="BB46" s="1542"/>
      <c r="BC46" s="1542"/>
      <c r="BD46" s="1542"/>
      <c r="BE46" s="1542"/>
      <c r="BF46" s="1542"/>
      <c r="BG46" s="1542"/>
      <c r="BH46" s="1542"/>
      <c r="BI46" s="1542"/>
      <c r="BJ46" s="1542"/>
      <c r="BK46" s="1542"/>
      <c r="BL46" s="1530"/>
      <c r="BN46" s="1543"/>
      <c r="BO46" s="1543"/>
      <c r="BP46" s="1531"/>
      <c r="BR46" s="3168">
        <f t="shared" si="12"/>
        <v>0</v>
      </c>
      <c r="BS46" s="1525"/>
      <c r="BT46" s="748"/>
      <c r="BU46" s="1532"/>
      <c r="BV46" s="1533"/>
      <c r="BW46" s="1533"/>
      <c r="BX46" s="1533"/>
      <c r="BY46" s="1533"/>
      <c r="BZ46" s="1533"/>
      <c r="CA46" s="1533"/>
      <c r="CB46" s="1533"/>
      <c r="CC46" s="1533"/>
      <c r="CD46" s="1533"/>
      <c r="CE46" s="1533"/>
      <c r="CF46" s="1533"/>
      <c r="CG46" s="1533"/>
      <c r="CH46" s="1533"/>
      <c r="CI46" s="1533"/>
      <c r="CJ46" s="1533"/>
      <c r="CK46" s="1533"/>
      <c r="CL46" s="1533"/>
      <c r="CM46" s="1533"/>
      <c r="CN46" s="1533"/>
      <c r="CO46" s="1533"/>
      <c r="CP46" s="1533"/>
      <c r="CQ46" s="1533"/>
      <c r="CR46" s="1533"/>
      <c r="CS46" s="1533"/>
      <c r="CT46" s="1533"/>
      <c r="CU46" s="1533"/>
      <c r="CV46" s="1533"/>
      <c r="CW46" s="1533"/>
      <c r="CX46" s="1533"/>
      <c r="CY46" s="1533"/>
      <c r="CZ46" s="1533"/>
      <c r="DA46" s="1533"/>
      <c r="DB46" s="1533"/>
      <c r="DC46" s="1533"/>
      <c r="DD46" s="1533"/>
      <c r="DE46" s="1533"/>
      <c r="DF46" s="1533"/>
      <c r="DG46" s="1533"/>
      <c r="DH46" s="1533"/>
      <c r="DI46" s="1533"/>
      <c r="DJ46" s="1533"/>
      <c r="DK46" s="1533"/>
      <c r="DL46" s="1533"/>
      <c r="DN46" s="1509"/>
    </row>
    <row r="47" spans="1:118" s="14" customFormat="1" ht="15.75" hidden="1" outlineLevel="1" collapsed="1" x14ac:dyDescent="0.2">
      <c r="A47" s="1845" t="s">
        <v>816</v>
      </c>
      <c r="B47" s="1847"/>
      <c r="C47" s="1842" t="s">
        <v>745</v>
      </c>
      <c r="D47" s="1843" t="s">
        <v>863</v>
      </c>
      <c r="E47" s="1844"/>
      <c r="G47" s="1539"/>
      <c r="H47" s="1539"/>
      <c r="I47" s="1539"/>
      <c r="J47" s="1539"/>
      <c r="K47" s="1539"/>
      <c r="L47" s="1539"/>
      <c r="M47" s="1539"/>
      <c r="N47" s="1539"/>
      <c r="O47" s="1539"/>
      <c r="P47" s="1539"/>
      <c r="Q47" s="1539"/>
      <c r="R47" s="1539"/>
      <c r="S47" s="1539"/>
      <c r="T47" s="1539"/>
      <c r="U47" s="1539"/>
      <c r="V47" s="1539"/>
      <c r="W47" s="1539"/>
      <c r="Y47" s="1490"/>
      <c r="Z47" s="1490"/>
      <c r="AA47" s="1490"/>
      <c r="AB47" s="1490"/>
      <c r="AC47" s="1490"/>
      <c r="AD47" s="1490"/>
      <c r="AE47" s="1490"/>
      <c r="AF47" s="1490"/>
      <c r="AG47" s="1490"/>
      <c r="AH47" s="1490"/>
      <c r="AI47" s="1490"/>
      <c r="AJ47" s="1490"/>
      <c r="AK47" s="1490"/>
      <c r="AL47" s="1490"/>
      <c r="AM47" s="1490"/>
      <c r="AN47" s="1490"/>
      <c r="AO47" s="1490"/>
      <c r="AP47" s="1490"/>
      <c r="AQ47" s="1490"/>
      <c r="AS47" s="1491"/>
      <c r="AT47" s="1491"/>
      <c r="AU47" s="1491"/>
      <c r="AV47" s="1491"/>
      <c r="AW47" s="1491"/>
      <c r="AX47" s="1491"/>
      <c r="AY47" s="1491"/>
      <c r="AZ47" s="1491"/>
      <c r="BA47" s="1491"/>
      <c r="BB47" s="1491"/>
      <c r="BC47" s="1491"/>
      <c r="BD47" s="1491"/>
      <c r="BE47" s="1491"/>
      <c r="BF47" s="1491"/>
      <c r="BG47" s="1491"/>
      <c r="BH47" s="1491"/>
      <c r="BI47" s="1491"/>
      <c r="BJ47" s="1491"/>
      <c r="BK47" s="1491"/>
      <c r="BL47" s="1491"/>
      <c r="BN47" s="1492"/>
      <c r="BO47" s="1492"/>
      <c r="BP47" s="1492"/>
      <c r="BR47" s="3168">
        <f t="shared" si="12"/>
        <v>0</v>
      </c>
      <c r="BS47" s="1579"/>
      <c r="BT47" s="748"/>
      <c r="BU47" s="1507"/>
      <c r="BV47" s="1508"/>
      <c r="BW47" s="1508"/>
      <c r="BX47" s="1508"/>
      <c r="BY47" s="1508"/>
      <c r="BZ47" s="1508"/>
      <c r="CA47" s="1508"/>
      <c r="CB47" s="1508"/>
      <c r="CC47" s="1508"/>
      <c r="CD47" s="1508"/>
      <c r="CE47" s="1508"/>
      <c r="CF47" s="1508"/>
      <c r="CG47" s="1508"/>
      <c r="CH47" s="1508"/>
      <c r="CI47" s="1508"/>
      <c r="CJ47" s="1508"/>
      <c r="CK47" s="1508"/>
      <c r="CL47" s="1508"/>
      <c r="CM47" s="1508"/>
      <c r="CN47" s="1508"/>
      <c r="CO47" s="1508"/>
      <c r="CP47" s="1508"/>
      <c r="CQ47" s="1508"/>
      <c r="CR47" s="1508"/>
      <c r="CS47" s="1508"/>
      <c r="CT47" s="1508"/>
      <c r="CU47" s="1508"/>
      <c r="CV47" s="1508"/>
      <c r="CW47" s="1508"/>
      <c r="CX47" s="1508"/>
      <c r="CY47" s="1508"/>
      <c r="CZ47" s="1508"/>
      <c r="DA47" s="1508"/>
      <c r="DB47" s="1508"/>
      <c r="DC47" s="1508"/>
      <c r="DD47" s="1508"/>
      <c r="DE47" s="1508"/>
      <c r="DF47" s="1508"/>
      <c r="DG47" s="1508"/>
      <c r="DH47" s="1508"/>
      <c r="DI47" s="1508"/>
      <c r="DJ47" s="1508"/>
      <c r="DK47" s="1508"/>
      <c r="DL47" s="1508"/>
      <c r="DN47" s="1509"/>
    </row>
    <row r="48" spans="1:118" s="14" customFormat="1" ht="15.75" collapsed="1" x14ac:dyDescent="0.2">
      <c r="A48" s="1845"/>
      <c r="B48" s="1847"/>
      <c r="C48" s="1842"/>
      <c r="D48" s="1843"/>
      <c r="E48" s="1844"/>
      <c r="G48" s="1539"/>
      <c r="H48" s="1539"/>
      <c r="I48" s="1539"/>
      <c r="J48" s="1539"/>
      <c r="K48" s="1539"/>
      <c r="L48" s="1539"/>
      <c r="M48" s="1539"/>
      <c r="N48" s="1539"/>
      <c r="O48" s="1539"/>
      <c r="P48" s="1539"/>
      <c r="Q48" s="1539"/>
      <c r="R48" s="1539"/>
      <c r="S48" s="1539"/>
      <c r="T48" s="1539"/>
      <c r="U48" s="1539"/>
      <c r="V48" s="1539"/>
      <c r="W48" s="1539"/>
      <c r="Y48" s="1490"/>
      <c r="Z48" s="1490"/>
      <c r="AA48" s="1490"/>
      <c r="AB48" s="1490"/>
      <c r="AC48" s="1490"/>
      <c r="AD48" s="1490"/>
      <c r="AE48" s="1490"/>
      <c r="AF48" s="1490"/>
      <c r="AG48" s="1490"/>
      <c r="AH48" s="1490"/>
      <c r="AI48" s="1490"/>
      <c r="AJ48" s="1490"/>
      <c r="AK48" s="1490"/>
      <c r="AL48" s="1490"/>
      <c r="AM48" s="1490"/>
      <c r="AN48" s="1490"/>
      <c r="AO48" s="1490"/>
      <c r="AP48" s="1490"/>
      <c r="AQ48" s="1490"/>
      <c r="AS48" s="1491"/>
      <c r="AT48" s="1491"/>
      <c r="AU48" s="1491"/>
      <c r="AV48" s="1491"/>
      <c r="AW48" s="1491"/>
      <c r="AX48" s="1491"/>
      <c r="AY48" s="1491"/>
      <c r="AZ48" s="1491"/>
      <c r="BA48" s="1491"/>
      <c r="BB48" s="1491"/>
      <c r="BC48" s="1491"/>
      <c r="BD48" s="1491"/>
      <c r="BE48" s="1491"/>
      <c r="BF48" s="1491"/>
      <c r="BG48" s="1491"/>
      <c r="BH48" s="1491"/>
      <c r="BI48" s="1491"/>
      <c r="BJ48" s="1491"/>
      <c r="BK48" s="1491"/>
      <c r="BL48" s="1491"/>
      <c r="BN48" s="1492"/>
      <c r="BO48" s="1492"/>
      <c r="BP48" s="1492"/>
      <c r="BR48" s="3168"/>
      <c r="BS48" s="1579"/>
      <c r="BT48" s="748"/>
      <c r="BU48" s="1507"/>
      <c r="BV48" s="1508"/>
      <c r="BW48" s="1508"/>
      <c r="BX48" s="1508"/>
      <c r="BY48" s="1508"/>
      <c r="BZ48" s="1508"/>
      <c r="CA48" s="1508"/>
      <c r="CB48" s="1508"/>
      <c r="CC48" s="1508"/>
      <c r="CD48" s="1508"/>
      <c r="CE48" s="1508"/>
      <c r="CF48" s="1508"/>
      <c r="CG48" s="1508"/>
      <c r="CH48" s="1508"/>
      <c r="CI48" s="1508"/>
      <c r="CJ48" s="1508"/>
      <c r="CK48" s="1508"/>
      <c r="CL48" s="1508"/>
      <c r="CM48" s="1508"/>
      <c r="CN48" s="1508"/>
      <c r="CO48" s="1508"/>
      <c r="CP48" s="1508"/>
      <c r="CQ48" s="1508"/>
      <c r="CR48" s="1508"/>
      <c r="CS48" s="1508"/>
      <c r="CT48" s="1508"/>
      <c r="CU48" s="1508"/>
      <c r="CV48" s="1508"/>
      <c r="CW48" s="1508"/>
      <c r="CX48" s="1508"/>
      <c r="CY48" s="1508"/>
      <c r="CZ48" s="1508"/>
      <c r="DA48" s="1508"/>
      <c r="DB48" s="1508"/>
      <c r="DC48" s="1508"/>
      <c r="DD48" s="1508"/>
      <c r="DE48" s="1508"/>
      <c r="DF48" s="1508"/>
      <c r="DG48" s="1508"/>
      <c r="DH48" s="1508"/>
      <c r="DI48" s="1508"/>
      <c r="DJ48" s="1508"/>
      <c r="DK48" s="1508"/>
      <c r="DL48" s="1508"/>
      <c r="DN48" s="1509"/>
    </row>
    <row r="49" spans="1:118" s="14" customFormat="1" ht="15.75" x14ac:dyDescent="0.2">
      <c r="A49" s="1534"/>
      <c r="B49" s="1535"/>
      <c r="C49" s="1536"/>
      <c r="D49" s="1537"/>
      <c r="E49" s="1538"/>
      <c r="G49" s="1539"/>
      <c r="H49" s="1539"/>
      <c r="I49" s="1539"/>
      <c r="J49" s="1539"/>
      <c r="K49" s="1539"/>
      <c r="L49" s="1539"/>
      <c r="M49" s="1539"/>
      <c r="N49" s="1539"/>
      <c r="O49" s="1539"/>
      <c r="P49" s="1539"/>
      <c r="Q49" s="1539"/>
      <c r="R49" s="1539"/>
      <c r="S49" s="1539"/>
      <c r="T49" s="1539"/>
      <c r="U49" s="1539"/>
      <c r="V49" s="1539"/>
      <c r="W49" s="1539"/>
      <c r="Y49" s="1490"/>
      <c r="Z49" s="1490"/>
      <c r="AA49" s="1490"/>
      <c r="AB49" s="1490"/>
      <c r="AC49" s="1490"/>
      <c r="AD49" s="1490"/>
      <c r="AE49" s="1490"/>
      <c r="AF49" s="1490"/>
      <c r="AG49" s="1490"/>
      <c r="AH49" s="1490"/>
      <c r="AI49" s="1490"/>
      <c r="AJ49" s="1490"/>
      <c r="AK49" s="1490"/>
      <c r="AL49" s="1490"/>
      <c r="AM49" s="1490"/>
      <c r="AN49" s="1490"/>
      <c r="AO49" s="1490"/>
      <c r="AP49" s="1490"/>
      <c r="AQ49" s="1893"/>
      <c r="AS49" s="1491"/>
      <c r="AT49" s="1491"/>
      <c r="AU49" s="1491"/>
      <c r="AV49" s="1491"/>
      <c r="AW49" s="1491"/>
      <c r="AX49" s="1491"/>
      <c r="AY49" s="1491"/>
      <c r="AZ49" s="1491"/>
      <c r="BA49" s="1491"/>
      <c r="BB49" s="1491"/>
      <c r="BC49" s="1491"/>
      <c r="BD49" s="1491"/>
      <c r="BE49" s="1491"/>
      <c r="BF49" s="1491"/>
      <c r="BG49" s="1491"/>
      <c r="BH49" s="1491"/>
      <c r="BI49" s="1491"/>
      <c r="BJ49" s="1491"/>
      <c r="BK49" s="1491"/>
      <c r="BL49" s="1491"/>
      <c r="BN49" s="1492"/>
      <c r="BO49" s="1492"/>
      <c r="BP49" s="1492"/>
      <c r="BR49" s="3168"/>
      <c r="BS49" s="1493"/>
      <c r="BT49" s="748"/>
      <c r="BU49" s="1508"/>
      <c r="BV49" s="1508"/>
      <c r="BW49" s="1508"/>
      <c r="BX49" s="1508"/>
      <c r="BY49" s="1508"/>
      <c r="BZ49" s="1508"/>
      <c r="CA49" s="1508"/>
      <c r="CB49" s="1508"/>
      <c r="CC49" s="1508"/>
      <c r="CD49" s="1508"/>
      <c r="CE49" s="1508"/>
      <c r="CF49" s="1508"/>
      <c r="CG49" s="1508"/>
      <c r="CH49" s="1508"/>
      <c r="CI49" s="1508"/>
      <c r="CJ49" s="1508"/>
      <c r="CK49" s="1508"/>
      <c r="CL49" s="1508"/>
      <c r="CM49" s="1508"/>
      <c r="CN49" s="1508"/>
      <c r="CO49" s="1508"/>
      <c r="CP49" s="1508"/>
      <c r="CQ49" s="1508"/>
      <c r="CR49" s="1508"/>
      <c r="CS49" s="1508"/>
      <c r="CT49" s="1508"/>
      <c r="CU49" s="1508"/>
      <c r="CV49" s="1508"/>
      <c r="CW49" s="1508"/>
      <c r="CX49" s="1508"/>
      <c r="CY49" s="1508"/>
      <c r="CZ49" s="1508"/>
      <c r="DA49" s="1508"/>
      <c r="DB49" s="1508"/>
      <c r="DC49" s="1508"/>
      <c r="DD49" s="1508"/>
      <c r="DE49" s="1508"/>
      <c r="DF49" s="1508"/>
      <c r="DG49" s="1508"/>
      <c r="DH49" s="1508"/>
      <c r="DI49" s="1508"/>
      <c r="DJ49" s="1508"/>
      <c r="DK49" s="1508"/>
      <c r="DL49" s="1508"/>
      <c r="DN49" s="1509"/>
    </row>
    <row r="50" spans="1:118" s="14" customFormat="1" ht="12.75" hidden="1" customHeight="1" outlineLevel="1" x14ac:dyDescent="0.2">
      <c r="A50" s="1534"/>
      <c r="B50" s="1534"/>
      <c r="C50" s="1544"/>
      <c r="D50" s="1538"/>
      <c r="E50" s="1538"/>
      <c r="G50" s="1488"/>
      <c r="H50" s="1488"/>
      <c r="I50" s="1488"/>
      <c r="J50" s="1488"/>
      <c r="K50" s="1488"/>
      <c r="L50" s="1488"/>
      <c r="M50" s="1488"/>
      <c r="N50" s="1488"/>
      <c r="O50" s="1563"/>
      <c r="P50" s="1488"/>
      <c r="Q50" s="1488"/>
      <c r="R50" s="1488"/>
      <c r="S50" s="1488"/>
      <c r="T50" s="1488"/>
      <c r="U50" s="1488"/>
      <c r="V50" s="1488"/>
      <c r="W50" s="1488"/>
      <c r="Y50" s="1490"/>
      <c r="Z50" s="1490"/>
      <c r="AA50" s="1490"/>
      <c r="AB50" s="1490"/>
      <c r="AC50" s="1490"/>
      <c r="AD50" s="1490"/>
      <c r="AE50" s="1490"/>
      <c r="AF50" s="1490"/>
      <c r="AG50" s="1490"/>
      <c r="AH50" s="1490"/>
      <c r="AI50" s="1490"/>
      <c r="AJ50" s="1490"/>
      <c r="AK50" s="1490"/>
      <c r="AL50" s="1490"/>
      <c r="AM50" s="1490"/>
      <c r="AN50" s="1490"/>
      <c r="AO50" s="1490"/>
      <c r="AP50" s="1490"/>
      <c r="AQ50" s="1893"/>
      <c r="AS50" s="1491"/>
      <c r="AT50" s="1491"/>
      <c r="AU50" s="1491"/>
      <c r="AV50" s="1491"/>
      <c r="AW50" s="1491"/>
      <c r="AX50" s="1491"/>
      <c r="AY50" s="1491"/>
      <c r="AZ50" s="1491"/>
      <c r="BA50" s="1491"/>
      <c r="BB50" s="1491"/>
      <c r="BC50" s="1491"/>
      <c r="BD50" s="1491"/>
      <c r="BE50" s="1491"/>
      <c r="BF50" s="1491"/>
      <c r="BG50" s="1491"/>
      <c r="BH50" s="1491"/>
      <c r="BI50" s="1491"/>
      <c r="BJ50" s="1491"/>
      <c r="BK50" s="1491"/>
      <c r="BL50" s="1491"/>
      <c r="BN50" s="1492"/>
      <c r="BO50" s="1492"/>
      <c r="BP50" s="1492"/>
      <c r="BR50" s="3168">
        <f>W50+AQ50+BL50+BP50</f>
        <v>0</v>
      </c>
      <c r="BS50" s="1493"/>
      <c r="BT50" s="1534"/>
      <c r="BU50" s="1508"/>
      <c r="BV50" s="1508"/>
      <c r="BW50" s="1508"/>
      <c r="BX50" s="1508"/>
      <c r="BY50" s="1508"/>
      <c r="BZ50" s="1508"/>
      <c r="CA50" s="1508"/>
      <c r="CB50" s="1508"/>
      <c r="CC50" s="1508"/>
      <c r="CD50" s="1508"/>
      <c r="CE50" s="1508"/>
      <c r="CF50" s="1508"/>
      <c r="CG50" s="1508"/>
      <c r="CH50" s="1508"/>
      <c r="CI50" s="1508"/>
      <c r="CJ50" s="1508"/>
      <c r="CK50" s="1508"/>
      <c r="CL50" s="1508"/>
      <c r="CM50" s="1508"/>
      <c r="CN50" s="1508"/>
      <c r="CO50" s="1508"/>
      <c r="CP50" s="1508"/>
      <c r="CQ50" s="1508"/>
      <c r="CR50" s="1508"/>
      <c r="CS50" s="1508"/>
      <c r="CT50" s="1508"/>
      <c r="CU50" s="1508"/>
      <c r="CV50" s="1508"/>
      <c r="CW50" s="1508"/>
      <c r="CX50" s="1508"/>
      <c r="CY50" s="1508"/>
      <c r="CZ50" s="1508"/>
      <c r="DA50" s="1508"/>
      <c r="DB50" s="1508"/>
      <c r="DC50" s="1508"/>
      <c r="DD50" s="1508"/>
      <c r="DE50" s="1508"/>
      <c r="DF50" s="1508"/>
      <c r="DG50" s="1508"/>
      <c r="DH50" s="1508"/>
      <c r="DI50" s="1508"/>
      <c r="DJ50" s="1508"/>
      <c r="DK50" s="1508"/>
      <c r="DL50" s="1508"/>
      <c r="DN50" s="1509">
        <v>0</v>
      </c>
    </row>
    <row r="51" spans="1:118" s="1564" customFormat="1" ht="12.75" hidden="1" customHeight="1" outlineLevel="1" x14ac:dyDescent="0.2">
      <c r="C51" s="1565"/>
      <c r="D51" s="1592"/>
      <c r="E51" s="1566"/>
      <c r="F51" s="1567"/>
      <c r="G51" s="1568"/>
      <c r="H51" s="1568"/>
      <c r="I51" s="1568"/>
      <c r="J51" s="1568"/>
      <c r="K51" s="1568"/>
      <c r="L51" s="1568"/>
      <c r="M51" s="1568"/>
      <c r="N51" s="1568"/>
      <c r="O51" s="1569"/>
      <c r="P51" s="1568"/>
      <c r="Q51" s="1568"/>
      <c r="R51" s="1568"/>
      <c r="S51" s="1568"/>
      <c r="T51" s="1568"/>
      <c r="U51" s="1568"/>
      <c r="V51" s="1568"/>
      <c r="W51" s="1568"/>
      <c r="X51" s="1567"/>
      <c r="Y51" s="1570"/>
      <c r="Z51" s="1570"/>
      <c r="AA51" s="1570"/>
      <c r="AB51" s="1570"/>
      <c r="AC51" s="1570"/>
      <c r="AD51" s="1570"/>
      <c r="AE51" s="1570"/>
      <c r="AF51" s="1570"/>
      <c r="AG51" s="1570"/>
      <c r="AH51" s="1570"/>
      <c r="AI51" s="1570"/>
      <c r="AJ51" s="1570"/>
      <c r="AK51" s="1570"/>
      <c r="AL51" s="1570"/>
      <c r="AM51" s="1570"/>
      <c r="AN51" s="1570"/>
      <c r="AO51" s="1570"/>
      <c r="AP51" s="1570"/>
      <c r="AQ51" s="1955"/>
      <c r="AR51" s="1567"/>
      <c r="AS51" s="1571"/>
      <c r="AT51" s="1571"/>
      <c r="AU51" s="1571"/>
      <c r="AV51" s="1571"/>
      <c r="AW51" s="1571"/>
      <c r="AX51" s="1571"/>
      <c r="AY51" s="1571"/>
      <c r="AZ51" s="1571"/>
      <c r="BA51" s="1571"/>
      <c r="BB51" s="1571"/>
      <c r="BC51" s="1571"/>
      <c r="BD51" s="1571"/>
      <c r="BE51" s="1571"/>
      <c r="BF51" s="1571"/>
      <c r="BG51" s="1571"/>
      <c r="BH51" s="1571"/>
      <c r="BI51" s="1571"/>
      <c r="BJ51" s="1571"/>
      <c r="BK51" s="1571"/>
      <c r="BL51" s="1571"/>
      <c r="BM51" s="1567"/>
      <c r="BN51" s="1572"/>
      <c r="BO51" s="1572"/>
      <c r="BP51" s="1572"/>
      <c r="BQ51" s="1567"/>
      <c r="BR51" s="3168">
        <f>W51+AQ51+BL51+BP51</f>
        <v>0</v>
      </c>
      <c r="BS51" s="1573"/>
      <c r="BU51" s="1574"/>
      <c r="BV51" s="1574"/>
      <c r="BW51" s="1574"/>
      <c r="BX51" s="1574"/>
      <c r="BY51" s="1574"/>
      <c r="BZ51" s="1574"/>
      <c r="CA51" s="1574"/>
      <c r="CB51" s="1574"/>
      <c r="CC51" s="1574"/>
      <c r="CD51" s="1574"/>
      <c r="CE51" s="1574"/>
      <c r="CF51" s="1574"/>
      <c r="CG51" s="1574"/>
      <c r="CH51" s="1574"/>
      <c r="CI51" s="1574"/>
      <c r="CJ51" s="1574"/>
      <c r="CK51" s="1574"/>
      <c r="CL51" s="1574"/>
      <c r="CM51" s="1574"/>
      <c r="CN51" s="1574"/>
      <c r="CO51" s="1574"/>
      <c r="CP51" s="1574"/>
      <c r="CQ51" s="1574"/>
      <c r="CR51" s="1574"/>
      <c r="CS51" s="1574"/>
      <c r="CT51" s="1574"/>
      <c r="CU51" s="1574"/>
      <c r="CV51" s="1574"/>
      <c r="CW51" s="1574"/>
      <c r="CX51" s="1574"/>
      <c r="CY51" s="1574"/>
      <c r="CZ51" s="1574"/>
      <c r="DA51" s="1574"/>
      <c r="DB51" s="1574"/>
      <c r="DC51" s="1574"/>
      <c r="DD51" s="1574"/>
      <c r="DE51" s="1574"/>
      <c r="DF51" s="1574"/>
      <c r="DG51" s="1574"/>
      <c r="DH51" s="1574"/>
      <c r="DI51" s="1574"/>
      <c r="DJ51" s="1574"/>
      <c r="DK51" s="1574"/>
      <c r="DL51" s="1574"/>
      <c r="DN51" s="1575">
        <v>0</v>
      </c>
    </row>
    <row r="52" spans="1:118" s="1877" customFormat="1" ht="12.75" hidden="1" customHeight="1" outlineLevel="1" x14ac:dyDescent="0.2">
      <c r="C52" s="1496" t="s">
        <v>46</v>
      </c>
      <c r="D52" s="14" t="str">
        <f>INDEX(Modulos[Modulos], MATCH($C52, Modulos[Código], 0))</f>
        <v>Termoelectricidad</v>
      </c>
      <c r="E52" s="1600"/>
      <c r="F52" s="56"/>
      <c r="G52" s="1601"/>
      <c r="H52" s="1601"/>
      <c r="I52" s="1601"/>
      <c r="J52" s="1601"/>
      <c r="K52" s="1601"/>
      <c r="L52" s="1601"/>
      <c r="M52" s="1601"/>
      <c r="N52" s="1601"/>
      <c r="O52" s="1602"/>
      <c r="P52" s="1601"/>
      <c r="Q52" s="1601"/>
      <c r="R52" s="1601"/>
      <c r="S52" s="1601"/>
      <c r="T52" s="1601"/>
      <c r="U52" s="1601"/>
      <c r="V52" s="1601"/>
      <c r="W52" s="1601"/>
      <c r="X52" s="56"/>
      <c r="Y52" s="1490">
        <f t="shared" ref="Y52:AP52" ca="1" si="31">IFERROR(INDEX(INDIRECT($C52&amp;".Outputs["&amp;this.Year&amp;"]"), MATCH(Y$5, INDIRECT($C52&amp;".Outputs[Vector]"), 0)), 0)</f>
        <v>0</v>
      </c>
      <c r="Z52" s="1490">
        <f ca="1">IFERROR(INDEX(INDIRECT($C52&amp;".Outputs["&amp;this.Year&amp;"]"), MATCH(Z$5, INDIRECT($C52&amp;".Outputs[Vector]"), 0)), 0)</f>
        <v>64.245120763478567</v>
      </c>
      <c r="AA52" s="1490">
        <f t="shared" ca="1" si="31"/>
        <v>-89.470764476816939</v>
      </c>
      <c r="AB52" s="1490">
        <f t="shared" ca="1" si="31"/>
        <v>-11.183845559602117</v>
      </c>
      <c r="AC52" s="1490">
        <f t="shared" ca="1" si="31"/>
        <v>-51.126151129609688</v>
      </c>
      <c r="AD52" s="1490">
        <f t="shared" ca="1" si="31"/>
        <v>0</v>
      </c>
      <c r="AE52" s="1490">
        <f t="shared" ca="1" si="31"/>
        <v>0</v>
      </c>
      <c r="AF52" s="1490">
        <f t="shared" ca="1" si="31"/>
        <v>0</v>
      </c>
      <c r="AG52" s="1490">
        <f t="shared" ca="1" si="31"/>
        <v>0</v>
      </c>
      <c r="AH52" s="1490">
        <f t="shared" ca="1" si="31"/>
        <v>0</v>
      </c>
      <c r="AI52" s="1490">
        <f t="shared" ca="1" si="31"/>
        <v>0</v>
      </c>
      <c r="AJ52" s="1490">
        <f t="shared" ca="1" si="31"/>
        <v>0</v>
      </c>
      <c r="AK52" s="1490">
        <f t="shared" ca="1" si="31"/>
        <v>0</v>
      </c>
      <c r="AL52" s="1490">
        <f t="shared" ca="1" si="31"/>
        <v>-2.9453760000000004</v>
      </c>
      <c r="AM52" s="1490">
        <f t="shared" ca="1" si="31"/>
        <v>0</v>
      </c>
      <c r="AN52" s="1490">
        <f t="shared" ca="1" si="31"/>
        <v>0</v>
      </c>
      <c r="AO52" s="1490">
        <f t="shared" ca="1" si="31"/>
        <v>0</v>
      </c>
      <c r="AP52" s="1490">
        <f t="shared" ca="1" si="31"/>
        <v>0</v>
      </c>
      <c r="AQ52" s="1893">
        <f ca="1">SUM(Y52:AP52)</f>
        <v>-90.481016402550168</v>
      </c>
      <c r="AR52" s="56"/>
      <c r="AS52" s="1940">
        <f t="shared" ref="AS52:BK52" ca="1" si="32">IFERROR(INDEX(INDIRECT($C52&amp;".Outputs["&amp;this.Year&amp;"]"), MATCH(AS$5, INDIRECT($C52&amp;".Outputs[Vector]"), 0)), 0)</f>
        <v>0</v>
      </c>
      <c r="AT52" s="1940">
        <f t="shared" ca="1" si="32"/>
        <v>0</v>
      </c>
      <c r="AU52" s="1940">
        <f t="shared" ca="1" si="32"/>
        <v>0</v>
      </c>
      <c r="AV52" s="1940">
        <f t="shared" ca="1" si="32"/>
        <v>0</v>
      </c>
      <c r="AW52" s="1940">
        <f t="shared" ca="1" si="32"/>
        <v>0</v>
      </c>
      <c r="AX52" s="1940">
        <f t="shared" ca="1" si="32"/>
        <v>0</v>
      </c>
      <c r="AY52" s="1940">
        <f t="shared" ca="1" si="32"/>
        <v>0</v>
      </c>
      <c r="AZ52" s="1940">
        <f t="shared" ca="1" si="32"/>
        <v>0</v>
      </c>
      <c r="BA52" s="1940">
        <f t="shared" ca="1" si="32"/>
        <v>0</v>
      </c>
      <c r="BB52" s="1940">
        <f t="shared" ca="1" si="32"/>
        <v>0</v>
      </c>
      <c r="BC52" s="1940">
        <f t="shared" ca="1" si="32"/>
        <v>0</v>
      </c>
      <c r="BD52" s="1940">
        <f t="shared" ca="1" si="32"/>
        <v>0</v>
      </c>
      <c r="BE52" s="1940">
        <f t="shared" ca="1" si="32"/>
        <v>0</v>
      </c>
      <c r="BF52" s="1940">
        <f t="shared" ca="1" si="32"/>
        <v>0</v>
      </c>
      <c r="BG52" s="1940">
        <f t="shared" ca="1" si="32"/>
        <v>0</v>
      </c>
      <c r="BH52" s="1940">
        <f t="shared" ca="1" si="32"/>
        <v>0</v>
      </c>
      <c r="BI52" s="1940">
        <f t="shared" ca="1" si="32"/>
        <v>0</v>
      </c>
      <c r="BJ52" s="1940">
        <f t="shared" ca="1" si="32"/>
        <v>0</v>
      </c>
      <c r="BK52" s="1940">
        <f t="shared" ca="1" si="32"/>
        <v>0</v>
      </c>
      <c r="BL52" s="1952">
        <f ca="1">SUM(AS52:BK52)</f>
        <v>0</v>
      </c>
      <c r="BM52" s="56"/>
      <c r="BN52" s="1941">
        <f ca="1">IFERROR(INDEX(INDIRECT($C52&amp;".Outputs["&amp;this.Year&amp;"]"), MATCH(BN$5, INDIRECT($C52&amp;".Outputs[Vector]"), 0)), 0)</f>
        <v>87.268760364376249</v>
      </c>
      <c r="BO52" s="1941">
        <f ca="1">IFERROR(INDEX(INDIRECT($C52&amp;".Outputs["&amp;this.Year&amp;"]"), MATCH(BO$5, INDIRECT($C52&amp;".Outputs[Vector]"), 0)), 0)</f>
        <v>3.2122560381739298</v>
      </c>
      <c r="BP52" s="1505">
        <f ca="1">BN52+BO52</f>
        <v>90.481016402550182</v>
      </c>
      <c r="BQ52" s="56"/>
      <c r="BR52" s="3168">
        <f ca="1">W52+AQ52+BL52+BP52</f>
        <v>0</v>
      </c>
      <c r="BS52" s="1579"/>
      <c r="BU52" s="1595"/>
      <c r="BV52" s="1595"/>
      <c r="BW52" s="1595"/>
      <c r="BX52" s="1595"/>
      <c r="BY52" s="1595"/>
      <c r="BZ52" s="1595"/>
      <c r="CA52" s="1595"/>
      <c r="CB52" s="1595"/>
      <c r="CC52" s="1595"/>
      <c r="CD52" s="1595"/>
      <c r="CE52" s="1595"/>
      <c r="CF52" s="1595"/>
      <c r="CG52" s="1595"/>
      <c r="CH52" s="1595"/>
      <c r="CI52" s="1595"/>
      <c r="CJ52" s="1595"/>
      <c r="CK52" s="1595"/>
      <c r="CL52" s="1595"/>
      <c r="CM52" s="1595"/>
      <c r="CN52" s="1595"/>
      <c r="CO52" s="1595"/>
      <c r="CP52" s="1595"/>
      <c r="CQ52" s="1595"/>
      <c r="CR52" s="1595"/>
      <c r="CS52" s="1595"/>
      <c r="CT52" s="1595"/>
      <c r="CU52" s="1595"/>
      <c r="CV52" s="1595"/>
      <c r="CW52" s="1595"/>
      <c r="CX52" s="1595"/>
      <c r="CY52" s="1595"/>
      <c r="CZ52" s="1595"/>
      <c r="DA52" s="1595"/>
      <c r="DB52" s="1595"/>
      <c r="DC52" s="1595"/>
      <c r="DD52" s="1595"/>
      <c r="DE52" s="1595"/>
      <c r="DF52" s="1595"/>
      <c r="DG52" s="1595"/>
      <c r="DH52" s="1595"/>
      <c r="DI52" s="1595"/>
      <c r="DJ52" s="1595"/>
      <c r="DK52" s="1595"/>
      <c r="DL52" s="1595"/>
      <c r="DN52" s="1878"/>
    </row>
    <row r="53" spans="1:118" s="1522" customFormat="1" ht="12.75" hidden="1" customHeight="1" outlineLevel="1" x14ac:dyDescent="0.2">
      <c r="E53" s="1497"/>
      <c r="F53" s="14"/>
      <c r="G53" s="1540"/>
      <c r="H53" s="1540"/>
      <c r="I53" s="1540"/>
      <c r="J53" s="1540"/>
      <c r="K53" s="1540"/>
      <c r="L53" s="1540"/>
      <c r="M53" s="1540"/>
      <c r="N53" s="1540"/>
      <c r="O53" s="1540"/>
      <c r="P53" s="1540"/>
      <c r="Q53" s="1540"/>
      <c r="R53" s="1540"/>
      <c r="S53" s="1540"/>
      <c r="T53" s="1540"/>
      <c r="U53" s="1540"/>
      <c r="V53" s="1540"/>
      <c r="W53" s="1527"/>
      <c r="X53" s="14"/>
      <c r="Y53" s="1541"/>
      <c r="Z53" s="1541"/>
      <c r="AA53" s="1541"/>
      <c r="AB53" s="1541"/>
      <c r="AC53" s="1541"/>
      <c r="AD53" s="1541"/>
      <c r="AE53" s="1541"/>
      <c r="AF53" s="1541"/>
      <c r="AG53" s="1541"/>
      <c r="AH53" s="1541"/>
      <c r="AI53" s="1541"/>
      <c r="AJ53" s="1541"/>
      <c r="AK53" s="1541"/>
      <c r="AL53" s="1541"/>
      <c r="AM53" s="1541"/>
      <c r="AN53" s="1541"/>
      <c r="AO53" s="1541"/>
      <c r="AP53" s="1541"/>
      <c r="AQ53" s="1953"/>
      <c r="AR53" s="14"/>
      <c r="AS53" s="1542"/>
      <c r="AT53" s="1542"/>
      <c r="AU53" s="1542"/>
      <c r="AV53" s="1542"/>
      <c r="AW53" s="1542"/>
      <c r="AX53" s="1542"/>
      <c r="AY53" s="1542"/>
      <c r="AZ53" s="1542"/>
      <c r="BA53" s="1542"/>
      <c r="BB53" s="1542"/>
      <c r="BC53" s="1542"/>
      <c r="BD53" s="1542"/>
      <c r="BE53" s="1542"/>
      <c r="BF53" s="1542"/>
      <c r="BG53" s="1542"/>
      <c r="BH53" s="1542"/>
      <c r="BI53" s="1542"/>
      <c r="BJ53" s="1542"/>
      <c r="BK53" s="1542"/>
      <c r="BL53" s="1530"/>
      <c r="BM53" s="14"/>
      <c r="BN53" s="1543"/>
      <c r="BO53" s="1543"/>
      <c r="BP53" s="1531"/>
      <c r="BQ53" s="14"/>
      <c r="BR53" s="3168">
        <f>W53+AQ53+BL53+BP53</f>
        <v>0</v>
      </c>
      <c r="BS53" s="1525"/>
      <c r="BT53" s="748"/>
      <c r="BU53" s="1532">
        <v>198.26548259420858</v>
      </c>
      <c r="BV53" s="1533">
        <v>0.5182280295123709</v>
      </c>
      <c r="BW53" s="1533">
        <v>1.345630535228558</v>
      </c>
      <c r="BX53" s="1533">
        <v>0</v>
      </c>
      <c r="BY53" s="1533">
        <v>0</v>
      </c>
      <c r="BZ53" s="1533">
        <v>0</v>
      </c>
      <c r="CA53" s="1533">
        <v>0</v>
      </c>
      <c r="CB53" s="1533">
        <v>0</v>
      </c>
      <c r="CC53" s="1533">
        <v>0</v>
      </c>
      <c r="CD53" s="1533">
        <v>0</v>
      </c>
      <c r="CE53" s="1533">
        <v>0</v>
      </c>
      <c r="CF53" s="1533">
        <v>0</v>
      </c>
      <c r="CG53" s="1533">
        <v>0</v>
      </c>
      <c r="CH53" s="1533">
        <v>0</v>
      </c>
      <c r="CI53" s="1533">
        <v>0</v>
      </c>
      <c r="CJ53" s="1533">
        <v>0</v>
      </c>
      <c r="CK53" s="1533">
        <v>0</v>
      </c>
      <c r="CL53" s="1533">
        <v>0</v>
      </c>
      <c r="CM53" s="1533">
        <v>0</v>
      </c>
      <c r="CN53" s="1533">
        <v>0</v>
      </c>
      <c r="CO53" s="1533">
        <v>0</v>
      </c>
      <c r="CP53" s="1533">
        <v>0</v>
      </c>
      <c r="CQ53" s="1533">
        <v>0</v>
      </c>
      <c r="CR53" s="1533">
        <v>0</v>
      </c>
      <c r="CS53" s="1533">
        <v>0</v>
      </c>
      <c r="CT53" s="1533">
        <v>0</v>
      </c>
      <c r="CU53" s="1533">
        <v>0</v>
      </c>
      <c r="CV53" s="1533">
        <v>0</v>
      </c>
      <c r="CW53" s="1533">
        <v>0</v>
      </c>
      <c r="CX53" s="1533">
        <v>0</v>
      </c>
      <c r="CY53" s="1533">
        <v>0</v>
      </c>
      <c r="CZ53" s="1533">
        <v>0</v>
      </c>
      <c r="DA53" s="1533">
        <v>0</v>
      </c>
      <c r="DB53" s="1533">
        <v>0</v>
      </c>
      <c r="DC53" s="1533">
        <v>0</v>
      </c>
      <c r="DD53" s="1533">
        <v>0</v>
      </c>
      <c r="DE53" s="1533">
        <v>0</v>
      </c>
      <c r="DF53" s="1533">
        <v>0</v>
      </c>
      <c r="DG53" s="1533">
        <v>0</v>
      </c>
      <c r="DH53" s="1533">
        <v>0</v>
      </c>
      <c r="DI53" s="1533">
        <v>0</v>
      </c>
      <c r="DJ53" s="1533">
        <v>0</v>
      </c>
      <c r="DK53" s="1533">
        <v>0</v>
      </c>
      <c r="DL53" s="1533">
        <v>0</v>
      </c>
      <c r="DN53" s="1509">
        <v>200.1293411589495</v>
      </c>
    </row>
    <row r="54" spans="1:118" s="14" customFormat="1" ht="15.75" collapsed="1" x14ac:dyDescent="0.2">
      <c r="A54" s="1534"/>
      <c r="B54" s="1535"/>
      <c r="C54" s="1536" t="s">
        <v>322</v>
      </c>
      <c r="D54" s="1537" t="str">
        <f>INDEX(Flujos[Flujos], MATCH($C54, Flujos[Código], 0))</f>
        <v>Generación por Termoelectricidad</v>
      </c>
      <c r="E54" s="1538"/>
      <c r="G54" s="1539"/>
      <c r="H54" s="1539"/>
      <c r="I54" s="1539"/>
      <c r="J54" s="1539"/>
      <c r="K54" s="1539"/>
      <c r="L54" s="1539"/>
      <c r="M54" s="1539"/>
      <c r="N54" s="1539"/>
      <c r="O54" s="1539"/>
      <c r="P54" s="1539"/>
      <c r="Q54" s="1539"/>
      <c r="R54" s="1539"/>
      <c r="S54" s="1539"/>
      <c r="T54" s="1539"/>
      <c r="U54" s="1539"/>
      <c r="V54" s="1539"/>
      <c r="W54" s="1539"/>
      <c r="Y54" s="1490">
        <f ca="1">Y52</f>
        <v>0</v>
      </c>
      <c r="Z54" s="1490">
        <f t="shared" ref="Z54:AP54" ca="1" si="33">Z52</f>
        <v>64.245120763478567</v>
      </c>
      <c r="AA54" s="1490">
        <f t="shared" ca="1" si="33"/>
        <v>-89.470764476816939</v>
      </c>
      <c r="AB54" s="1490">
        <f t="shared" ca="1" si="33"/>
        <v>-11.183845559602117</v>
      </c>
      <c r="AC54" s="1490">
        <f t="shared" ca="1" si="33"/>
        <v>-51.126151129609688</v>
      </c>
      <c r="AD54" s="1490">
        <f t="shared" ca="1" si="33"/>
        <v>0</v>
      </c>
      <c r="AE54" s="1490">
        <f t="shared" ca="1" si="33"/>
        <v>0</v>
      </c>
      <c r="AF54" s="1490">
        <f t="shared" ca="1" si="33"/>
        <v>0</v>
      </c>
      <c r="AG54" s="1490">
        <f t="shared" ca="1" si="33"/>
        <v>0</v>
      </c>
      <c r="AH54" s="1490">
        <f t="shared" ca="1" si="33"/>
        <v>0</v>
      </c>
      <c r="AI54" s="1490">
        <f t="shared" ca="1" si="33"/>
        <v>0</v>
      </c>
      <c r="AJ54" s="1490">
        <f t="shared" ca="1" si="33"/>
        <v>0</v>
      </c>
      <c r="AK54" s="1490">
        <f t="shared" ca="1" si="33"/>
        <v>0</v>
      </c>
      <c r="AL54" s="1490">
        <f t="shared" ca="1" si="33"/>
        <v>-2.9453760000000004</v>
      </c>
      <c r="AM54" s="1490">
        <f t="shared" ca="1" si="33"/>
        <v>0</v>
      </c>
      <c r="AN54" s="1490">
        <f t="shared" ca="1" si="33"/>
        <v>0</v>
      </c>
      <c r="AO54" s="1490">
        <f t="shared" ca="1" si="33"/>
        <v>0</v>
      </c>
      <c r="AP54" s="1490">
        <f t="shared" ca="1" si="33"/>
        <v>0</v>
      </c>
      <c r="AQ54" s="2608">
        <f ca="1">SUM(Y54:AP54)</f>
        <v>-90.481016402550168</v>
      </c>
      <c r="AS54" s="1491">
        <f ca="1">AS52</f>
        <v>0</v>
      </c>
      <c r="AT54" s="1491">
        <f t="shared" ref="AT54:BK54" ca="1" si="34">AT52</f>
        <v>0</v>
      </c>
      <c r="AU54" s="1491">
        <f t="shared" ca="1" si="34"/>
        <v>0</v>
      </c>
      <c r="AV54" s="1491">
        <f t="shared" ca="1" si="34"/>
        <v>0</v>
      </c>
      <c r="AW54" s="1491">
        <f t="shared" ca="1" si="34"/>
        <v>0</v>
      </c>
      <c r="AX54" s="1491">
        <f t="shared" ca="1" si="34"/>
        <v>0</v>
      </c>
      <c r="AY54" s="1491">
        <f t="shared" ca="1" si="34"/>
        <v>0</v>
      </c>
      <c r="AZ54" s="1491">
        <f t="shared" ca="1" si="34"/>
        <v>0</v>
      </c>
      <c r="BA54" s="1491">
        <f t="shared" ca="1" si="34"/>
        <v>0</v>
      </c>
      <c r="BB54" s="1491">
        <f t="shared" ca="1" si="34"/>
        <v>0</v>
      </c>
      <c r="BC54" s="1491">
        <f t="shared" ca="1" si="34"/>
        <v>0</v>
      </c>
      <c r="BD54" s="1491">
        <f t="shared" ca="1" si="34"/>
        <v>0</v>
      </c>
      <c r="BE54" s="1491">
        <f t="shared" ca="1" si="34"/>
        <v>0</v>
      </c>
      <c r="BF54" s="1491">
        <f t="shared" ca="1" si="34"/>
        <v>0</v>
      </c>
      <c r="BG54" s="1491">
        <f t="shared" ca="1" si="34"/>
        <v>0</v>
      </c>
      <c r="BH54" s="1491">
        <f t="shared" ca="1" si="34"/>
        <v>0</v>
      </c>
      <c r="BI54" s="1491">
        <f t="shared" ca="1" si="34"/>
        <v>0</v>
      </c>
      <c r="BJ54" s="1491">
        <f t="shared" ca="1" si="34"/>
        <v>0</v>
      </c>
      <c r="BK54" s="1491">
        <f t="shared" ca="1" si="34"/>
        <v>0</v>
      </c>
      <c r="BL54" s="1952">
        <f ca="1">SUM(AS54:BK54)</f>
        <v>0</v>
      </c>
      <c r="BN54" s="1492">
        <f ca="1">BN52</f>
        <v>87.268760364376249</v>
      </c>
      <c r="BO54" s="1492">
        <f ca="1">BO52</f>
        <v>3.2122560381739298</v>
      </c>
      <c r="BP54" s="2615">
        <f ca="1">BN54+BO54</f>
        <v>90.481016402550182</v>
      </c>
      <c r="BR54" s="3168">
        <f ca="1">W54+AQ54+BL54+BP54</f>
        <v>0</v>
      </c>
      <c r="BS54" s="1493"/>
      <c r="BT54" s="748"/>
      <c r="BU54" s="1508">
        <v>198.26548259420858</v>
      </c>
      <c r="BV54" s="1508">
        <v>0.5182280295123709</v>
      </c>
      <c r="BW54" s="1508">
        <v>1.345630535228558</v>
      </c>
      <c r="BX54" s="1508">
        <v>0</v>
      </c>
      <c r="BY54" s="1508">
        <v>0</v>
      </c>
      <c r="BZ54" s="1508">
        <v>0</v>
      </c>
      <c r="CA54" s="1508">
        <v>0</v>
      </c>
      <c r="CB54" s="1508">
        <v>0</v>
      </c>
      <c r="CC54" s="1508">
        <v>0</v>
      </c>
      <c r="CD54" s="1508">
        <v>0</v>
      </c>
      <c r="CE54" s="1508">
        <v>0</v>
      </c>
      <c r="CF54" s="1508">
        <v>0</v>
      </c>
      <c r="CG54" s="1508">
        <v>0</v>
      </c>
      <c r="CH54" s="1508">
        <v>0</v>
      </c>
      <c r="CI54" s="1508">
        <v>0</v>
      </c>
      <c r="CJ54" s="1508">
        <v>0</v>
      </c>
      <c r="CK54" s="1508">
        <v>0</v>
      </c>
      <c r="CL54" s="1508">
        <v>0</v>
      </c>
      <c r="CM54" s="1508">
        <v>0</v>
      </c>
      <c r="CN54" s="1508">
        <v>0</v>
      </c>
      <c r="CO54" s="1508">
        <v>0</v>
      </c>
      <c r="CP54" s="1508">
        <v>0</v>
      </c>
      <c r="CQ54" s="1508">
        <v>0</v>
      </c>
      <c r="CR54" s="1508">
        <v>0</v>
      </c>
      <c r="CS54" s="1508">
        <v>0</v>
      </c>
      <c r="CT54" s="1508">
        <v>0</v>
      </c>
      <c r="CU54" s="1508">
        <v>0</v>
      </c>
      <c r="CV54" s="1508">
        <v>0</v>
      </c>
      <c r="CW54" s="1508">
        <v>0</v>
      </c>
      <c r="CX54" s="1508">
        <v>0</v>
      </c>
      <c r="CY54" s="1508">
        <v>0</v>
      </c>
      <c r="CZ54" s="1508">
        <v>0</v>
      </c>
      <c r="DA54" s="1508">
        <v>0</v>
      </c>
      <c r="DB54" s="1508">
        <v>0</v>
      </c>
      <c r="DC54" s="1508">
        <v>0</v>
      </c>
      <c r="DD54" s="1508">
        <v>0</v>
      </c>
      <c r="DE54" s="1508">
        <v>0</v>
      </c>
      <c r="DF54" s="1508">
        <v>0</v>
      </c>
      <c r="DG54" s="1508">
        <v>0</v>
      </c>
      <c r="DH54" s="1508">
        <v>0</v>
      </c>
      <c r="DI54" s="1508">
        <v>0</v>
      </c>
      <c r="DJ54" s="1508">
        <v>0</v>
      </c>
      <c r="DK54" s="1508">
        <v>0</v>
      </c>
      <c r="DL54" s="1508">
        <v>0</v>
      </c>
      <c r="DN54" s="1509">
        <v>200.1293411589495</v>
      </c>
    </row>
    <row r="55" spans="1:118" s="14" customFormat="1" ht="15.75" x14ac:dyDescent="0.2">
      <c r="A55" s="1534"/>
      <c r="B55" s="1535"/>
      <c r="C55" s="1536"/>
      <c r="D55" s="1537"/>
      <c r="E55" s="1538"/>
      <c r="G55" s="1539"/>
      <c r="H55" s="1539"/>
      <c r="I55" s="1539"/>
      <c r="J55" s="1539"/>
      <c r="K55" s="1539"/>
      <c r="L55" s="1539"/>
      <c r="M55" s="1539"/>
      <c r="N55" s="1539"/>
      <c r="O55" s="1539"/>
      <c r="P55" s="1539"/>
      <c r="Q55" s="1539"/>
      <c r="R55" s="1539"/>
      <c r="S55" s="1539"/>
      <c r="T55" s="1539"/>
      <c r="U55" s="1539"/>
      <c r="V55" s="1539"/>
      <c r="W55" s="1539"/>
      <c r="Y55" s="1490"/>
      <c r="Z55" s="1490"/>
      <c r="AA55" s="1490"/>
      <c r="AB55" s="1490"/>
      <c r="AC55" s="1490"/>
      <c r="AD55" s="1490"/>
      <c r="AE55" s="1490"/>
      <c r="AF55" s="1490"/>
      <c r="AG55" s="1490"/>
      <c r="AH55" s="1490"/>
      <c r="AI55" s="1490"/>
      <c r="AJ55" s="1490"/>
      <c r="AK55" s="1490"/>
      <c r="AL55" s="1490"/>
      <c r="AM55" s="1490"/>
      <c r="AN55" s="1490"/>
      <c r="AO55" s="1490"/>
      <c r="AP55" s="1490"/>
      <c r="AQ55" s="1893"/>
      <c r="AS55" s="1491"/>
      <c r="AT55" s="1491"/>
      <c r="AU55" s="1491"/>
      <c r="AV55" s="1491"/>
      <c r="AW55" s="1491"/>
      <c r="AX55" s="1491"/>
      <c r="AY55" s="1491"/>
      <c r="AZ55" s="1491"/>
      <c r="BA55" s="1491"/>
      <c r="BB55" s="1491"/>
      <c r="BC55" s="1491"/>
      <c r="BD55" s="1491"/>
      <c r="BE55" s="1491"/>
      <c r="BF55" s="1491"/>
      <c r="BG55" s="1491"/>
      <c r="BH55" s="1491"/>
      <c r="BI55" s="1491"/>
      <c r="BJ55" s="1491"/>
      <c r="BK55" s="1491"/>
      <c r="BL55" s="1491"/>
      <c r="BN55" s="1492"/>
      <c r="BO55" s="1492"/>
      <c r="BP55" s="1492"/>
      <c r="BR55" s="3168"/>
      <c r="BS55" s="1493"/>
      <c r="BT55" s="748"/>
      <c r="BU55" s="1508"/>
      <c r="BV55" s="1508"/>
      <c r="BW55" s="1508"/>
      <c r="BX55" s="1508"/>
      <c r="BY55" s="1508"/>
      <c r="BZ55" s="1508"/>
      <c r="CA55" s="1508"/>
      <c r="CB55" s="1508"/>
      <c r="CC55" s="1508"/>
      <c r="CD55" s="1508"/>
      <c r="CE55" s="1508"/>
      <c r="CF55" s="1508"/>
      <c r="CG55" s="1508"/>
      <c r="CH55" s="1508"/>
      <c r="CI55" s="1508"/>
      <c r="CJ55" s="1508"/>
      <c r="CK55" s="1508"/>
      <c r="CL55" s="1508"/>
      <c r="CM55" s="1508"/>
      <c r="CN55" s="1508"/>
      <c r="CO55" s="1508"/>
      <c r="CP55" s="1508"/>
      <c r="CQ55" s="1508"/>
      <c r="CR55" s="1508"/>
      <c r="CS55" s="1508"/>
      <c r="CT55" s="1508"/>
      <c r="CU55" s="1508"/>
      <c r="CV55" s="1508"/>
      <c r="CW55" s="1508"/>
      <c r="CX55" s="1508"/>
      <c r="CY55" s="1508"/>
      <c r="CZ55" s="1508"/>
      <c r="DA55" s="1508"/>
      <c r="DB55" s="1508"/>
      <c r="DC55" s="1508"/>
      <c r="DD55" s="1508"/>
      <c r="DE55" s="1508"/>
      <c r="DF55" s="1508"/>
      <c r="DG55" s="1508"/>
      <c r="DH55" s="1508"/>
      <c r="DI55" s="1508"/>
      <c r="DJ55" s="1508"/>
      <c r="DK55" s="1508"/>
      <c r="DL55" s="1508"/>
      <c r="DN55" s="1509"/>
    </row>
    <row r="56" spans="1:118" s="14" customFormat="1" ht="12.75" hidden="1" customHeight="1" outlineLevel="1" x14ac:dyDescent="0.2">
      <c r="A56" s="1534"/>
      <c r="B56" s="1534"/>
      <c r="C56" s="1544"/>
      <c r="D56" s="1538"/>
      <c r="E56" s="1538"/>
      <c r="G56" s="1488"/>
      <c r="H56" s="1488"/>
      <c r="I56" s="1488"/>
      <c r="J56" s="1488"/>
      <c r="K56" s="1488"/>
      <c r="L56" s="1488"/>
      <c r="M56" s="1488"/>
      <c r="N56" s="1488"/>
      <c r="O56" s="1563"/>
      <c r="P56" s="1488"/>
      <c r="Q56" s="1488"/>
      <c r="R56" s="1488"/>
      <c r="S56" s="1488"/>
      <c r="T56" s="1488"/>
      <c r="U56" s="1488"/>
      <c r="V56" s="1488"/>
      <c r="W56" s="1488"/>
      <c r="Y56" s="1490"/>
      <c r="Z56" s="1490"/>
      <c r="AA56" s="1490"/>
      <c r="AB56" s="1490"/>
      <c r="AC56" s="1490"/>
      <c r="AD56" s="1490"/>
      <c r="AE56" s="1490"/>
      <c r="AF56" s="1490"/>
      <c r="AG56" s="1490"/>
      <c r="AH56" s="1490"/>
      <c r="AI56" s="1490"/>
      <c r="AJ56" s="1490"/>
      <c r="AK56" s="1490"/>
      <c r="AL56" s="1490"/>
      <c r="AM56" s="1490"/>
      <c r="AN56" s="1490"/>
      <c r="AO56" s="1490"/>
      <c r="AP56" s="1490"/>
      <c r="AQ56" s="1893"/>
      <c r="AS56" s="1491"/>
      <c r="AT56" s="1491"/>
      <c r="AU56" s="1491"/>
      <c r="AV56" s="1491"/>
      <c r="AW56" s="1491"/>
      <c r="AX56" s="1491"/>
      <c r="AY56" s="1491"/>
      <c r="AZ56" s="1491"/>
      <c r="BA56" s="1491"/>
      <c r="BB56" s="1491"/>
      <c r="BC56" s="1491"/>
      <c r="BD56" s="1491"/>
      <c r="BE56" s="1491"/>
      <c r="BF56" s="1491"/>
      <c r="BG56" s="1491"/>
      <c r="BH56" s="1491"/>
      <c r="BI56" s="1491"/>
      <c r="BJ56" s="1491"/>
      <c r="BK56" s="1491"/>
      <c r="BL56" s="1491"/>
      <c r="BN56" s="1492"/>
      <c r="BO56" s="1492"/>
      <c r="BP56" s="1492"/>
      <c r="BR56" s="3168">
        <f>W56+AQ56+BL56+BP56</f>
        <v>0</v>
      </c>
      <c r="BS56" s="1493"/>
      <c r="BT56" s="1534"/>
      <c r="BU56" s="1508"/>
      <c r="BV56" s="1508"/>
      <c r="BW56" s="1508"/>
      <c r="BX56" s="1508"/>
      <c r="BY56" s="1508"/>
      <c r="BZ56" s="1508"/>
      <c r="CA56" s="1508"/>
      <c r="CB56" s="1508"/>
      <c r="CC56" s="1508"/>
      <c r="CD56" s="1508"/>
      <c r="CE56" s="1508"/>
      <c r="CF56" s="1508"/>
      <c r="CG56" s="1508"/>
      <c r="CH56" s="1508"/>
      <c r="CI56" s="1508"/>
      <c r="CJ56" s="1508"/>
      <c r="CK56" s="1508"/>
      <c r="CL56" s="1508"/>
      <c r="CM56" s="1508"/>
      <c r="CN56" s="1508"/>
      <c r="CO56" s="1508"/>
      <c r="CP56" s="1508"/>
      <c r="CQ56" s="1508"/>
      <c r="CR56" s="1508"/>
      <c r="CS56" s="1508"/>
      <c r="CT56" s="1508"/>
      <c r="CU56" s="1508"/>
      <c r="CV56" s="1508"/>
      <c r="CW56" s="1508"/>
      <c r="CX56" s="1508"/>
      <c r="CY56" s="1508"/>
      <c r="CZ56" s="1508"/>
      <c r="DA56" s="1508"/>
      <c r="DB56" s="1508"/>
      <c r="DC56" s="1508"/>
      <c r="DD56" s="1508"/>
      <c r="DE56" s="1508"/>
      <c r="DF56" s="1508"/>
      <c r="DG56" s="1508"/>
      <c r="DH56" s="1508"/>
      <c r="DI56" s="1508"/>
      <c r="DJ56" s="1508"/>
      <c r="DK56" s="1508"/>
      <c r="DL56" s="1508"/>
      <c r="DN56" s="1509">
        <v>0</v>
      </c>
    </row>
    <row r="57" spans="1:118" s="1578" customFormat="1" ht="12.75" hidden="1" customHeight="1" outlineLevel="1" x14ac:dyDescent="0.2">
      <c r="C57" s="1496" t="s">
        <v>50</v>
      </c>
      <c r="D57" s="14" t="e">
        <f>INDEX(Modulos[Modulos], MATCH($C57, Modulos[Código], 0))</f>
        <v>#N/A</v>
      </c>
      <c r="E57" s="1592"/>
      <c r="F57" s="14"/>
      <c r="G57" s="1593"/>
      <c r="H57" s="1593"/>
      <c r="I57" s="1593"/>
      <c r="J57" s="1593"/>
      <c r="K57" s="1593"/>
      <c r="L57" s="1593"/>
      <c r="M57" s="1593"/>
      <c r="N57" s="1593"/>
      <c r="O57" s="1594"/>
      <c r="P57" s="1593"/>
      <c r="Q57" s="1593"/>
      <c r="R57" s="1593"/>
      <c r="S57" s="1593"/>
      <c r="T57" s="1593"/>
      <c r="U57" s="1593"/>
      <c r="V57" s="1593"/>
      <c r="W57" s="1593"/>
      <c r="X57" s="14"/>
      <c r="Y57" s="1490">
        <f t="shared" ref="Y57:AP57" ca="1" si="35">IFERROR(INDEX(INDIRECT($C57&amp;".Outputs["&amp;this.Year&amp;"]"), MATCH(Y$5, INDIRECT($C57&amp;".Outputs[Vector]"), 0)), 0)</f>
        <v>0</v>
      </c>
      <c r="Z57" s="1490">
        <f t="shared" ca="1" si="35"/>
        <v>0</v>
      </c>
      <c r="AA57" s="1490">
        <f t="shared" ca="1" si="35"/>
        <v>0</v>
      </c>
      <c r="AB57" s="1490">
        <f t="shared" ca="1" si="35"/>
        <v>0</v>
      </c>
      <c r="AC57" s="1490">
        <f t="shared" ca="1" si="35"/>
        <v>0</v>
      </c>
      <c r="AD57" s="1490">
        <f t="shared" ca="1" si="35"/>
        <v>0</v>
      </c>
      <c r="AE57" s="1490">
        <f t="shared" ca="1" si="35"/>
        <v>0</v>
      </c>
      <c r="AF57" s="1490">
        <f t="shared" ca="1" si="35"/>
        <v>0</v>
      </c>
      <c r="AG57" s="1490">
        <f t="shared" ca="1" si="35"/>
        <v>0</v>
      </c>
      <c r="AH57" s="1490">
        <f t="shared" ca="1" si="35"/>
        <v>0</v>
      </c>
      <c r="AI57" s="1490">
        <f t="shared" ca="1" si="35"/>
        <v>0</v>
      </c>
      <c r="AJ57" s="1490">
        <f t="shared" ca="1" si="35"/>
        <v>0</v>
      </c>
      <c r="AK57" s="1490">
        <f t="shared" ca="1" si="35"/>
        <v>0</v>
      </c>
      <c r="AL57" s="1490">
        <f t="shared" ca="1" si="35"/>
        <v>0</v>
      </c>
      <c r="AM57" s="1490">
        <f t="shared" ca="1" si="35"/>
        <v>0</v>
      </c>
      <c r="AN57" s="1490">
        <f t="shared" ca="1" si="35"/>
        <v>0</v>
      </c>
      <c r="AO57" s="1490">
        <f t="shared" ca="1" si="35"/>
        <v>0</v>
      </c>
      <c r="AP57" s="1490">
        <f t="shared" ca="1" si="35"/>
        <v>0</v>
      </c>
      <c r="AQ57" s="1893">
        <f ca="1">SUM(Y57:AP57)</f>
        <v>0</v>
      </c>
      <c r="AR57" s="14"/>
      <c r="AS57" s="1940">
        <f t="shared" ref="AS57:BK57" ca="1" si="36">IFERROR(INDEX(INDIRECT($C57&amp;".Outputs["&amp;this.Year&amp;"]"), MATCH(AS$5, INDIRECT($C57&amp;".Outputs[Vector]"), 0)), 0)</f>
        <v>0</v>
      </c>
      <c r="AT57" s="1940">
        <f t="shared" ca="1" si="36"/>
        <v>0</v>
      </c>
      <c r="AU57" s="1940">
        <f t="shared" ca="1" si="36"/>
        <v>0</v>
      </c>
      <c r="AV57" s="1940">
        <f t="shared" ca="1" si="36"/>
        <v>0</v>
      </c>
      <c r="AW57" s="1940">
        <f t="shared" ca="1" si="36"/>
        <v>0</v>
      </c>
      <c r="AX57" s="1940">
        <f t="shared" ca="1" si="36"/>
        <v>0</v>
      </c>
      <c r="AY57" s="1940">
        <f t="shared" ca="1" si="36"/>
        <v>0</v>
      </c>
      <c r="AZ57" s="1940">
        <f t="shared" ca="1" si="36"/>
        <v>0</v>
      </c>
      <c r="BA57" s="1940">
        <f t="shared" ca="1" si="36"/>
        <v>0</v>
      </c>
      <c r="BB57" s="1940">
        <f t="shared" ca="1" si="36"/>
        <v>0</v>
      </c>
      <c r="BC57" s="1940">
        <f t="shared" ca="1" si="36"/>
        <v>0</v>
      </c>
      <c r="BD57" s="1940">
        <f t="shared" ca="1" si="36"/>
        <v>0</v>
      </c>
      <c r="BE57" s="1940">
        <f t="shared" ca="1" si="36"/>
        <v>0</v>
      </c>
      <c r="BF57" s="1940">
        <f t="shared" ca="1" si="36"/>
        <v>0</v>
      </c>
      <c r="BG57" s="1940">
        <f t="shared" ca="1" si="36"/>
        <v>0</v>
      </c>
      <c r="BH57" s="1940">
        <f t="shared" ca="1" si="36"/>
        <v>0</v>
      </c>
      <c r="BI57" s="1940">
        <f t="shared" ca="1" si="36"/>
        <v>0</v>
      </c>
      <c r="BJ57" s="1940">
        <f t="shared" ca="1" si="36"/>
        <v>0</v>
      </c>
      <c r="BK57" s="1940">
        <f t="shared" ca="1" si="36"/>
        <v>0</v>
      </c>
      <c r="BL57" s="1952">
        <f ca="1">SUM(AS57:BK57)</f>
        <v>0</v>
      </c>
      <c r="BM57" s="14"/>
      <c r="BN57" s="1941">
        <f ca="1">IFERROR(INDEX(INDIRECT($C57&amp;".Outputs["&amp;this.Year&amp;"]"), MATCH(BN$5, INDIRECT($C57&amp;".Outputs[Vector]"), 0)), 0)</f>
        <v>0</v>
      </c>
      <c r="BO57" s="1941">
        <f ca="1">IFERROR(INDEX(INDIRECT($C57&amp;".Outputs["&amp;this.Year&amp;"]"), MATCH(BO$5, INDIRECT($C57&amp;".Outputs[Vector]"), 0)), 0)</f>
        <v>0</v>
      </c>
      <c r="BP57" s="1505">
        <f ca="1">BN57+BO57</f>
        <v>0</v>
      </c>
      <c r="BQ57" s="14"/>
      <c r="BR57" s="3168">
        <f ca="1">W57+AQ57+BL57+BP57</f>
        <v>0</v>
      </c>
      <c r="BS57" s="1579"/>
      <c r="BU57" s="1595"/>
      <c r="BV57" s="1595"/>
      <c r="BW57" s="1595"/>
      <c r="BX57" s="1595"/>
      <c r="BY57" s="1595"/>
      <c r="BZ57" s="1595"/>
      <c r="CA57" s="1595"/>
      <c r="CB57" s="1595"/>
      <c r="CC57" s="1595"/>
      <c r="CD57" s="1595"/>
      <c r="CE57" s="1595"/>
      <c r="CF57" s="1595"/>
      <c r="CG57" s="1595"/>
      <c r="CH57" s="1595"/>
      <c r="CI57" s="1595"/>
      <c r="CJ57" s="1595"/>
      <c r="CK57" s="1595"/>
      <c r="CL57" s="1595"/>
      <c r="CM57" s="1595"/>
      <c r="CN57" s="1595"/>
      <c r="CO57" s="1595"/>
      <c r="CP57" s="1595"/>
      <c r="CQ57" s="1595"/>
      <c r="CR57" s="1595"/>
      <c r="CS57" s="1595"/>
      <c r="CT57" s="1595"/>
      <c r="CU57" s="1595"/>
      <c r="CV57" s="1595"/>
      <c r="CW57" s="1595"/>
      <c r="CX57" s="1595"/>
      <c r="CY57" s="1595"/>
      <c r="CZ57" s="1595"/>
      <c r="DA57" s="1595"/>
      <c r="DB57" s="1595"/>
      <c r="DC57" s="1595"/>
      <c r="DD57" s="1595"/>
      <c r="DE57" s="1595"/>
      <c r="DF57" s="1595"/>
      <c r="DG57" s="1595"/>
      <c r="DH57" s="1595"/>
      <c r="DI57" s="1595"/>
      <c r="DJ57" s="1595"/>
      <c r="DK57" s="1595"/>
      <c r="DL57" s="1595"/>
      <c r="DN57" s="1509">
        <v>0</v>
      </c>
    </row>
    <row r="58" spans="1:118" s="1522" customFormat="1" ht="12.75" hidden="1" customHeight="1" outlineLevel="1" x14ac:dyDescent="0.2">
      <c r="E58" s="1526"/>
      <c r="F58" s="14"/>
      <c r="G58" s="1540"/>
      <c r="H58" s="1540"/>
      <c r="I58" s="1540"/>
      <c r="J58" s="1540"/>
      <c r="K58" s="1540"/>
      <c r="L58" s="1540"/>
      <c r="M58" s="1540"/>
      <c r="N58" s="1540"/>
      <c r="O58" s="1540"/>
      <c r="P58" s="1540"/>
      <c r="Q58" s="1540"/>
      <c r="R58" s="1540"/>
      <c r="S58" s="1540"/>
      <c r="T58" s="1540"/>
      <c r="U58" s="1540"/>
      <c r="V58" s="1540"/>
      <c r="W58" s="1527"/>
      <c r="X58" s="14"/>
      <c r="Y58" s="1541"/>
      <c r="Z58" s="1541"/>
      <c r="AA58" s="1541"/>
      <c r="AB58" s="1541"/>
      <c r="AC58" s="1541"/>
      <c r="AD58" s="1541"/>
      <c r="AE58" s="1541"/>
      <c r="AF58" s="1541"/>
      <c r="AG58" s="1541"/>
      <c r="AH58" s="1541"/>
      <c r="AI58" s="1541"/>
      <c r="AJ58" s="1541"/>
      <c r="AK58" s="1541"/>
      <c r="AL58" s="1541"/>
      <c r="AM58" s="1541"/>
      <c r="AN58" s="1541"/>
      <c r="AO58" s="1541"/>
      <c r="AP58" s="1541"/>
      <c r="AQ58" s="1953"/>
      <c r="AR58" s="14"/>
      <c r="AS58" s="1542"/>
      <c r="AT58" s="1542"/>
      <c r="AU58" s="1542"/>
      <c r="AV58" s="1542"/>
      <c r="AW58" s="1542"/>
      <c r="AX58" s="1542"/>
      <c r="AY58" s="1542"/>
      <c r="AZ58" s="1542"/>
      <c r="BA58" s="1542"/>
      <c r="BB58" s="1542"/>
      <c r="BC58" s="1542"/>
      <c r="BD58" s="1542"/>
      <c r="BE58" s="1542"/>
      <c r="BF58" s="1542"/>
      <c r="BG58" s="1542"/>
      <c r="BH58" s="1542"/>
      <c r="BI58" s="1542"/>
      <c r="BJ58" s="1542"/>
      <c r="BK58" s="1542"/>
      <c r="BL58" s="1530"/>
      <c r="BM58" s="14"/>
      <c r="BN58" s="1543"/>
      <c r="BO58" s="1543"/>
      <c r="BP58" s="1531"/>
      <c r="BQ58" s="14"/>
      <c r="BR58" s="3168">
        <f>W58+AQ58+BL58+BP58</f>
        <v>0</v>
      </c>
      <c r="BS58" s="1525"/>
      <c r="BT58" s="748"/>
      <c r="BU58" s="1532">
        <v>0</v>
      </c>
      <c r="BV58" s="1533">
        <v>0</v>
      </c>
      <c r="BW58" s="1533">
        <v>0</v>
      </c>
      <c r="BX58" s="1533">
        <v>0</v>
      </c>
      <c r="BY58" s="1533">
        <v>0</v>
      </c>
      <c r="BZ58" s="1533">
        <v>0</v>
      </c>
      <c r="CA58" s="1533">
        <v>0</v>
      </c>
      <c r="CB58" s="1533">
        <v>0</v>
      </c>
      <c r="CC58" s="1533">
        <v>0</v>
      </c>
      <c r="CD58" s="1533">
        <v>0</v>
      </c>
      <c r="CE58" s="1533">
        <v>0</v>
      </c>
      <c r="CF58" s="1533">
        <v>0</v>
      </c>
      <c r="CG58" s="1533">
        <v>0</v>
      </c>
      <c r="CH58" s="1533">
        <v>0</v>
      </c>
      <c r="CI58" s="1533">
        <v>0</v>
      </c>
      <c r="CJ58" s="1533">
        <v>0</v>
      </c>
      <c r="CK58" s="1533">
        <v>0</v>
      </c>
      <c r="CL58" s="1533">
        <v>0</v>
      </c>
      <c r="CM58" s="1533">
        <v>0</v>
      </c>
      <c r="CN58" s="1533">
        <v>0</v>
      </c>
      <c r="CO58" s="1533">
        <v>0</v>
      </c>
      <c r="CP58" s="1533">
        <v>0</v>
      </c>
      <c r="CQ58" s="1533">
        <v>0</v>
      </c>
      <c r="CR58" s="1533">
        <v>0</v>
      </c>
      <c r="CS58" s="1533">
        <v>0</v>
      </c>
      <c r="CT58" s="1533">
        <v>0</v>
      </c>
      <c r="CU58" s="1533">
        <v>0</v>
      </c>
      <c r="CV58" s="1533">
        <v>0</v>
      </c>
      <c r="CW58" s="1533">
        <v>0</v>
      </c>
      <c r="CX58" s="1533">
        <v>0</v>
      </c>
      <c r="CY58" s="1533">
        <v>0</v>
      </c>
      <c r="CZ58" s="1533">
        <v>0</v>
      </c>
      <c r="DA58" s="1533">
        <v>0</v>
      </c>
      <c r="DB58" s="1533">
        <v>0</v>
      </c>
      <c r="DC58" s="1533">
        <v>0</v>
      </c>
      <c r="DD58" s="1533">
        <v>0</v>
      </c>
      <c r="DE58" s="1533">
        <v>0</v>
      </c>
      <c r="DF58" s="1533">
        <v>0</v>
      </c>
      <c r="DG58" s="1533">
        <v>0</v>
      </c>
      <c r="DH58" s="1533">
        <v>0</v>
      </c>
      <c r="DI58" s="1533">
        <v>0</v>
      </c>
      <c r="DJ58" s="1533">
        <v>0</v>
      </c>
      <c r="DK58" s="1533">
        <v>0</v>
      </c>
      <c r="DL58" s="1533">
        <v>0</v>
      </c>
      <c r="DN58" s="1509">
        <v>0</v>
      </c>
    </row>
    <row r="59" spans="1:118" s="14" customFormat="1" ht="15.75" collapsed="1" x14ac:dyDescent="0.2">
      <c r="A59" s="1534"/>
      <c r="B59" s="1535"/>
      <c r="C59" s="1536"/>
      <c r="D59" s="1537"/>
      <c r="E59" s="1538"/>
      <c r="G59" s="1539"/>
      <c r="H59" s="1539"/>
      <c r="I59" s="1539"/>
      <c r="J59" s="1539"/>
      <c r="K59" s="1539"/>
      <c r="L59" s="1539"/>
      <c r="M59" s="1539"/>
      <c r="N59" s="1539"/>
      <c r="O59" s="1539"/>
      <c r="P59" s="1539"/>
      <c r="Q59" s="1539"/>
      <c r="R59" s="1539"/>
      <c r="S59" s="1539"/>
      <c r="T59" s="1539"/>
      <c r="U59" s="1539"/>
      <c r="V59" s="1539"/>
      <c r="W59" s="1539"/>
      <c r="Y59" s="1490">
        <f ca="1">Y57</f>
        <v>0</v>
      </c>
      <c r="Z59" s="1490">
        <f t="shared" ref="Z59:AP59" ca="1" si="37">Z57</f>
        <v>0</v>
      </c>
      <c r="AA59" s="1490">
        <f t="shared" ca="1" si="37"/>
        <v>0</v>
      </c>
      <c r="AB59" s="1490">
        <f t="shared" ca="1" si="37"/>
        <v>0</v>
      </c>
      <c r="AC59" s="1490">
        <f t="shared" ca="1" si="37"/>
        <v>0</v>
      </c>
      <c r="AD59" s="1490">
        <f t="shared" ca="1" si="37"/>
        <v>0</v>
      </c>
      <c r="AE59" s="1490">
        <f t="shared" ca="1" si="37"/>
        <v>0</v>
      </c>
      <c r="AF59" s="1490">
        <f t="shared" ca="1" si="37"/>
        <v>0</v>
      </c>
      <c r="AG59" s="1490">
        <f t="shared" ca="1" si="37"/>
        <v>0</v>
      </c>
      <c r="AH59" s="1490">
        <f t="shared" ca="1" si="37"/>
        <v>0</v>
      </c>
      <c r="AI59" s="1490">
        <f t="shared" ca="1" si="37"/>
        <v>0</v>
      </c>
      <c r="AJ59" s="1490">
        <f t="shared" ca="1" si="37"/>
        <v>0</v>
      </c>
      <c r="AK59" s="1490">
        <f t="shared" ca="1" si="37"/>
        <v>0</v>
      </c>
      <c r="AL59" s="1490">
        <f t="shared" ca="1" si="37"/>
        <v>0</v>
      </c>
      <c r="AM59" s="1490">
        <f t="shared" ca="1" si="37"/>
        <v>0</v>
      </c>
      <c r="AN59" s="1490">
        <f t="shared" ca="1" si="37"/>
        <v>0</v>
      </c>
      <c r="AO59" s="1490">
        <f t="shared" ca="1" si="37"/>
        <v>0</v>
      </c>
      <c r="AP59" s="1490">
        <f t="shared" ca="1" si="37"/>
        <v>0</v>
      </c>
      <c r="AQ59" s="1893">
        <f ca="1">SUM(Y59:AP59)</f>
        <v>0</v>
      </c>
      <c r="AS59" s="1491">
        <f ca="1">AS57</f>
        <v>0</v>
      </c>
      <c r="AT59" s="1491">
        <f t="shared" ref="AT59:BK59" ca="1" si="38">AT57</f>
        <v>0</v>
      </c>
      <c r="AU59" s="1491">
        <f t="shared" ca="1" si="38"/>
        <v>0</v>
      </c>
      <c r="AV59" s="1491">
        <f t="shared" ca="1" si="38"/>
        <v>0</v>
      </c>
      <c r="AW59" s="1491">
        <f t="shared" ca="1" si="38"/>
        <v>0</v>
      </c>
      <c r="AX59" s="1491">
        <f t="shared" ca="1" si="38"/>
        <v>0</v>
      </c>
      <c r="AY59" s="1491">
        <f t="shared" ca="1" si="38"/>
        <v>0</v>
      </c>
      <c r="AZ59" s="1491">
        <f t="shared" ca="1" si="38"/>
        <v>0</v>
      </c>
      <c r="BA59" s="1491">
        <f t="shared" ca="1" si="38"/>
        <v>0</v>
      </c>
      <c r="BB59" s="1491">
        <f t="shared" ca="1" si="38"/>
        <v>0</v>
      </c>
      <c r="BC59" s="1491">
        <f t="shared" ca="1" si="38"/>
        <v>0</v>
      </c>
      <c r="BD59" s="1491">
        <f t="shared" ca="1" si="38"/>
        <v>0</v>
      </c>
      <c r="BE59" s="1491">
        <f t="shared" ca="1" si="38"/>
        <v>0</v>
      </c>
      <c r="BF59" s="1491">
        <f t="shared" ca="1" si="38"/>
        <v>0</v>
      </c>
      <c r="BG59" s="1491">
        <f t="shared" ca="1" si="38"/>
        <v>0</v>
      </c>
      <c r="BH59" s="1491">
        <f t="shared" ca="1" si="38"/>
        <v>0</v>
      </c>
      <c r="BI59" s="1491">
        <f t="shared" ca="1" si="38"/>
        <v>0</v>
      </c>
      <c r="BJ59" s="1491">
        <f t="shared" ca="1" si="38"/>
        <v>0</v>
      </c>
      <c r="BK59" s="1491">
        <f t="shared" ca="1" si="38"/>
        <v>0</v>
      </c>
      <c r="BL59" s="1952">
        <f ca="1">SUM(AS59:BK59)</f>
        <v>0</v>
      </c>
      <c r="BN59" s="1492">
        <f ca="1">BN57</f>
        <v>0</v>
      </c>
      <c r="BO59" s="1492">
        <f ca="1">BO57</f>
        <v>0</v>
      </c>
      <c r="BP59" s="1505">
        <f ca="1">BN59+BO59</f>
        <v>0</v>
      </c>
      <c r="BR59" s="3168">
        <f ca="1">W59+AQ59+BL59+BP59</f>
        <v>0</v>
      </c>
      <c r="BS59" s="1493"/>
      <c r="BT59" s="748"/>
      <c r="BU59" s="1508">
        <v>0</v>
      </c>
      <c r="BV59" s="1508">
        <v>0</v>
      </c>
      <c r="BW59" s="1508">
        <v>0</v>
      </c>
      <c r="BX59" s="1508">
        <v>0</v>
      </c>
      <c r="BY59" s="1508">
        <v>0</v>
      </c>
      <c r="BZ59" s="1508">
        <v>0</v>
      </c>
      <c r="CA59" s="1508">
        <v>0</v>
      </c>
      <c r="CB59" s="1508">
        <v>0</v>
      </c>
      <c r="CC59" s="1508">
        <v>0</v>
      </c>
      <c r="CD59" s="1508">
        <v>0</v>
      </c>
      <c r="CE59" s="1508">
        <v>0</v>
      </c>
      <c r="CF59" s="1508">
        <v>0</v>
      </c>
      <c r="CG59" s="1508">
        <v>0</v>
      </c>
      <c r="CH59" s="1508">
        <v>0</v>
      </c>
      <c r="CI59" s="1508">
        <v>0</v>
      </c>
      <c r="CJ59" s="1508">
        <v>0</v>
      </c>
      <c r="CK59" s="1508">
        <v>0</v>
      </c>
      <c r="CL59" s="1508">
        <v>0</v>
      </c>
      <c r="CM59" s="1508">
        <v>0</v>
      </c>
      <c r="CN59" s="1508">
        <v>0</v>
      </c>
      <c r="CO59" s="1508">
        <v>0</v>
      </c>
      <c r="CP59" s="1508">
        <v>0</v>
      </c>
      <c r="CQ59" s="1508">
        <v>0</v>
      </c>
      <c r="CR59" s="1508">
        <v>0</v>
      </c>
      <c r="CS59" s="1508">
        <v>0</v>
      </c>
      <c r="CT59" s="1508">
        <v>0</v>
      </c>
      <c r="CU59" s="1508">
        <v>0</v>
      </c>
      <c r="CV59" s="1508">
        <v>0</v>
      </c>
      <c r="CW59" s="1508">
        <v>0</v>
      </c>
      <c r="CX59" s="1508">
        <v>0</v>
      </c>
      <c r="CY59" s="1508">
        <v>0</v>
      </c>
      <c r="CZ59" s="1508">
        <v>0</v>
      </c>
      <c r="DA59" s="1508">
        <v>0</v>
      </c>
      <c r="DB59" s="1508">
        <v>0</v>
      </c>
      <c r="DC59" s="1508">
        <v>0</v>
      </c>
      <c r="DD59" s="1508">
        <v>0</v>
      </c>
      <c r="DE59" s="1508">
        <v>0</v>
      </c>
      <c r="DF59" s="1508">
        <v>0</v>
      </c>
      <c r="DG59" s="1508">
        <v>0</v>
      </c>
      <c r="DH59" s="1508">
        <v>0</v>
      </c>
      <c r="DI59" s="1508">
        <v>0</v>
      </c>
      <c r="DJ59" s="1508">
        <v>0</v>
      </c>
      <c r="DK59" s="1508">
        <v>0</v>
      </c>
      <c r="DL59" s="1508">
        <v>0</v>
      </c>
      <c r="DN59" s="1509">
        <v>0</v>
      </c>
    </row>
    <row r="60" spans="1:118" s="14" customFormat="1" ht="15.75" x14ac:dyDescent="0.2">
      <c r="A60" s="1845"/>
      <c r="B60" s="1847"/>
      <c r="C60" s="1842"/>
      <c r="D60" s="1843"/>
      <c r="E60" s="1844"/>
      <c r="G60" s="1539"/>
      <c r="H60" s="1539"/>
      <c r="I60" s="1539"/>
      <c r="J60" s="1539"/>
      <c r="K60" s="1539"/>
      <c r="L60" s="1539"/>
      <c r="M60" s="1539"/>
      <c r="N60" s="1539"/>
      <c r="O60" s="1539"/>
      <c r="P60" s="1539"/>
      <c r="Q60" s="1539"/>
      <c r="R60" s="1539"/>
      <c r="S60" s="1539"/>
      <c r="T60" s="1539"/>
      <c r="U60" s="1539"/>
      <c r="V60" s="1539"/>
      <c r="W60" s="1539"/>
      <c r="Y60" s="1490"/>
      <c r="Z60" s="1490"/>
      <c r="AA60" s="1490"/>
      <c r="AB60" s="1490"/>
      <c r="AC60" s="1490"/>
      <c r="AD60" s="1490"/>
      <c r="AE60" s="1490"/>
      <c r="AF60" s="1490"/>
      <c r="AG60" s="1490"/>
      <c r="AH60" s="1490"/>
      <c r="AI60" s="1490"/>
      <c r="AJ60" s="1490"/>
      <c r="AK60" s="1490"/>
      <c r="AL60" s="1490"/>
      <c r="AM60" s="1490"/>
      <c r="AN60" s="1490"/>
      <c r="AO60" s="1490"/>
      <c r="AP60" s="1490"/>
      <c r="AQ60" s="1490"/>
      <c r="AS60" s="1491"/>
      <c r="AT60" s="1491"/>
      <c r="AU60" s="1491"/>
      <c r="AV60" s="1491"/>
      <c r="AW60" s="1491"/>
      <c r="AX60" s="1491"/>
      <c r="AY60" s="1491"/>
      <c r="AZ60" s="1491"/>
      <c r="BA60" s="1491"/>
      <c r="BB60" s="1491"/>
      <c r="BC60" s="1491"/>
      <c r="BD60" s="1491"/>
      <c r="BE60" s="1491"/>
      <c r="BF60" s="1491"/>
      <c r="BG60" s="1491"/>
      <c r="BH60" s="1491"/>
      <c r="BI60" s="1491"/>
      <c r="BJ60" s="1491"/>
      <c r="BK60" s="1491"/>
      <c r="BL60" s="1491"/>
      <c r="BN60" s="1492"/>
      <c r="BO60" s="1492"/>
      <c r="BP60" s="1492"/>
      <c r="BR60" s="3168"/>
      <c r="BS60" s="1579"/>
      <c r="BT60" s="748"/>
      <c r="BU60" s="1507"/>
      <c r="BV60" s="1508"/>
      <c r="BW60" s="1508"/>
      <c r="BX60" s="1508"/>
      <c r="BY60" s="1508"/>
      <c r="BZ60" s="1508"/>
      <c r="CA60" s="1508"/>
      <c r="CB60" s="1508"/>
      <c r="CC60" s="1508"/>
      <c r="CD60" s="1508"/>
      <c r="CE60" s="1508"/>
      <c r="CF60" s="1508"/>
      <c r="CG60" s="1508"/>
      <c r="CH60" s="1508"/>
      <c r="CI60" s="1508"/>
      <c r="CJ60" s="1508"/>
      <c r="CK60" s="1508"/>
      <c r="CL60" s="1508"/>
      <c r="CM60" s="1508"/>
      <c r="CN60" s="1508"/>
      <c r="CO60" s="1508"/>
      <c r="CP60" s="1508"/>
      <c r="CQ60" s="1508"/>
      <c r="CR60" s="1508"/>
      <c r="CS60" s="1508"/>
      <c r="CT60" s="1508"/>
      <c r="CU60" s="1508"/>
      <c r="CV60" s="1508"/>
      <c r="CW60" s="1508"/>
      <c r="CX60" s="1508"/>
      <c r="CY60" s="1508"/>
      <c r="CZ60" s="1508"/>
      <c r="DA60" s="1508"/>
      <c r="DB60" s="1508"/>
      <c r="DC60" s="1508"/>
      <c r="DD60" s="1508"/>
      <c r="DE60" s="1508"/>
      <c r="DF60" s="1508"/>
      <c r="DG60" s="1508"/>
      <c r="DH60" s="1508"/>
      <c r="DI60" s="1508"/>
      <c r="DJ60" s="1508"/>
      <c r="DK60" s="1508"/>
      <c r="DL60" s="1508"/>
      <c r="DN60" s="1509"/>
    </row>
    <row r="61" spans="1:118" s="14" customFormat="1" outlineLevel="1" x14ac:dyDescent="0.2">
      <c r="C61" s="1580"/>
      <c r="D61" s="746"/>
      <c r="E61" s="1430"/>
      <c r="G61" s="1488"/>
      <c r="H61" s="1488"/>
      <c r="I61" s="1488"/>
      <c r="J61" s="1488"/>
      <c r="K61" s="1488"/>
      <c r="L61" s="1488"/>
      <c r="M61" s="1488"/>
      <c r="N61" s="1488"/>
      <c r="O61" s="1563"/>
      <c r="P61" s="1488"/>
      <c r="Q61" s="1488"/>
      <c r="R61" s="1488"/>
      <c r="S61" s="1488"/>
      <c r="T61" s="1488"/>
      <c r="U61" s="1488"/>
      <c r="V61" s="1488"/>
      <c r="W61" s="1488"/>
      <c r="Y61" s="1490"/>
      <c r="Z61" s="1490"/>
      <c r="AA61" s="1490"/>
      <c r="AB61" s="1490"/>
      <c r="AC61" s="1490"/>
      <c r="AD61" s="1490"/>
      <c r="AE61" s="1490"/>
      <c r="AF61" s="1490"/>
      <c r="AG61" s="1490"/>
      <c r="AH61" s="1490"/>
      <c r="AI61" s="1490"/>
      <c r="AJ61" s="1490"/>
      <c r="AK61" s="1490"/>
      <c r="AL61" s="1490"/>
      <c r="AM61" s="1490"/>
      <c r="AN61" s="1490"/>
      <c r="AO61" s="1490"/>
      <c r="AP61" s="1490"/>
      <c r="AQ61" s="1490"/>
      <c r="AS61" s="1491"/>
      <c r="AT61" s="1491"/>
      <c r="AU61" s="1491"/>
      <c r="AV61" s="1491"/>
      <c r="AW61" s="1491"/>
      <c r="AX61" s="1491"/>
      <c r="AY61" s="1491"/>
      <c r="AZ61" s="1491"/>
      <c r="BA61" s="1491"/>
      <c r="BB61" s="1491"/>
      <c r="BC61" s="1491"/>
      <c r="BD61" s="1491"/>
      <c r="BE61" s="1491"/>
      <c r="BF61" s="1491"/>
      <c r="BG61" s="1491"/>
      <c r="BH61" s="1491"/>
      <c r="BI61" s="1491"/>
      <c r="BJ61" s="1491"/>
      <c r="BK61" s="1491"/>
      <c r="BL61" s="1491"/>
      <c r="BN61" s="1492"/>
      <c r="BO61" s="1492"/>
      <c r="BP61" s="1492"/>
      <c r="BR61" s="3168">
        <f t="shared" si="12"/>
        <v>0</v>
      </c>
      <c r="BS61" s="1493"/>
      <c r="BU61" s="1508"/>
      <c r="BV61" s="1508"/>
      <c r="BW61" s="1508"/>
      <c r="BX61" s="1508"/>
      <c r="BY61" s="1508"/>
      <c r="BZ61" s="1508"/>
      <c r="CA61" s="1508"/>
      <c r="CB61" s="1508"/>
      <c r="CC61" s="1508"/>
      <c r="CD61" s="1508"/>
      <c r="CE61" s="1508"/>
      <c r="CF61" s="1508"/>
      <c r="CG61" s="1508"/>
      <c r="CH61" s="1508"/>
      <c r="CI61" s="1508"/>
      <c r="CJ61" s="1508"/>
      <c r="CK61" s="1508"/>
      <c r="CL61" s="1508"/>
      <c r="CM61" s="1508"/>
      <c r="CN61" s="1508"/>
      <c r="CO61" s="1508"/>
      <c r="CP61" s="1508"/>
      <c r="CQ61" s="1508"/>
      <c r="CR61" s="1508"/>
      <c r="CS61" s="1508"/>
      <c r="CT61" s="1508"/>
      <c r="CU61" s="1508"/>
      <c r="CV61" s="1508"/>
      <c r="CW61" s="1508"/>
      <c r="CX61" s="1508"/>
      <c r="CY61" s="1508"/>
      <c r="CZ61" s="1508"/>
      <c r="DA61" s="1508"/>
      <c r="DB61" s="1508"/>
      <c r="DC61" s="1508"/>
      <c r="DD61" s="1508"/>
      <c r="DE61" s="1508"/>
      <c r="DF61" s="1508"/>
      <c r="DG61" s="1508"/>
      <c r="DH61" s="1508"/>
      <c r="DI61" s="1508"/>
      <c r="DJ61" s="1508"/>
      <c r="DK61" s="1508"/>
      <c r="DL61" s="1508"/>
      <c r="DN61" s="1509"/>
    </row>
    <row r="62" spans="1:118" s="1522" customFormat="1" ht="12.75" customHeight="1" outlineLevel="1" x14ac:dyDescent="0.2">
      <c r="C62" s="1496" t="s">
        <v>208</v>
      </c>
      <c r="D62" s="14" t="str">
        <f>INDEX(Modulos[Modulos], MATCH($C62, Modulos[Código], 0))</f>
        <v>Plantas Eólicas</v>
      </c>
      <c r="E62" s="1497"/>
      <c r="F62" s="14"/>
      <c r="G62" s="1498"/>
      <c r="H62" s="1498"/>
      <c r="I62" s="1498"/>
      <c r="J62" s="1498"/>
      <c r="K62" s="1498"/>
      <c r="L62" s="1498"/>
      <c r="M62" s="1498"/>
      <c r="N62" s="1498"/>
      <c r="O62" s="1498"/>
      <c r="P62" s="1498"/>
      <c r="Q62" s="1498"/>
      <c r="R62" s="1498"/>
      <c r="S62" s="1498"/>
      <c r="T62" s="1498"/>
      <c r="U62" s="1498"/>
      <c r="V62" s="1498"/>
      <c r="W62" s="1499"/>
      <c r="X62" s="14"/>
      <c r="Y62" s="1893">
        <f t="shared" ref="Y62:AN69" ca="1" si="39">IFERROR(INDEX(INDIRECT($C62&amp;".Outputs["&amp;this.Year&amp;"]"), MATCH(Y$5, INDIRECT($C62&amp;".Outputs[Vector]"), 0)), 0)</f>
        <v>0</v>
      </c>
      <c r="Z62" s="1893">
        <f t="shared" ca="1" si="39"/>
        <v>5.2392719999999988</v>
      </c>
      <c r="AA62" s="1893">
        <f t="shared" ca="1" si="39"/>
        <v>0</v>
      </c>
      <c r="AB62" s="1893">
        <f t="shared" ca="1" si="39"/>
        <v>0</v>
      </c>
      <c r="AC62" s="1893">
        <f t="shared" ca="1" si="39"/>
        <v>0</v>
      </c>
      <c r="AD62" s="1893">
        <f t="shared" ca="1" si="39"/>
        <v>0</v>
      </c>
      <c r="AE62" s="1893">
        <f t="shared" ca="1" si="39"/>
        <v>0</v>
      </c>
      <c r="AF62" s="1893">
        <f t="shared" ca="1" si="39"/>
        <v>0</v>
      </c>
      <c r="AG62" s="1893">
        <f t="shared" ca="1" si="39"/>
        <v>0</v>
      </c>
      <c r="AH62" s="1893">
        <f t="shared" ca="1" si="39"/>
        <v>0</v>
      </c>
      <c r="AI62" s="1893">
        <f t="shared" ref="AI62:AP69" ca="1" si="40">IFERROR(INDEX(INDIRECT($C62&amp;".Outputs["&amp;this.Year&amp;"]"), MATCH(AI$5, INDIRECT($C62&amp;".Outputs[Vector]"), 0)), 0)</f>
        <v>0</v>
      </c>
      <c r="AJ62" s="1893">
        <f t="shared" ca="1" si="40"/>
        <v>0</v>
      </c>
      <c r="AK62" s="1893">
        <f t="shared" ca="1" si="40"/>
        <v>0</v>
      </c>
      <c r="AL62" s="1893">
        <f t="shared" ca="1" si="40"/>
        <v>0</v>
      </c>
      <c r="AM62" s="1893">
        <f t="shared" ca="1" si="40"/>
        <v>0</v>
      </c>
      <c r="AN62" s="1893">
        <f t="shared" ca="1" si="40"/>
        <v>0</v>
      </c>
      <c r="AO62" s="1893">
        <f t="shared" ca="1" si="40"/>
        <v>0</v>
      </c>
      <c r="AP62" s="1893">
        <f t="shared" ca="1" si="40"/>
        <v>0</v>
      </c>
      <c r="AQ62" s="1951">
        <f t="shared" ref="AQ62:AQ70" ca="1" si="41">SUM(Y62:AP62)</f>
        <v>5.2392719999999988</v>
      </c>
      <c r="AR62" s="14"/>
      <c r="AS62" s="1948">
        <f t="shared" ref="AS62:BH69" ca="1" si="42">IFERROR(INDEX(INDIRECT($C62&amp;".Outputs["&amp;this.Year&amp;"]"), MATCH(AS$5, INDIRECT($C62&amp;".Outputs[Vector]"), 0)), 0)</f>
        <v>0</v>
      </c>
      <c r="AT62" s="1948">
        <f t="shared" ca="1" si="42"/>
        <v>0</v>
      </c>
      <c r="AU62" s="1948">
        <f t="shared" ca="1" si="42"/>
        <v>0</v>
      </c>
      <c r="AV62" s="1948">
        <f t="shared" ca="1" si="42"/>
        <v>0</v>
      </c>
      <c r="AW62" s="1948">
        <f t="shared" ca="1" si="42"/>
        <v>0</v>
      </c>
      <c r="AX62" s="1948">
        <f t="shared" ca="1" si="42"/>
        <v>0</v>
      </c>
      <c r="AY62" s="1948">
        <f t="shared" ca="1" si="42"/>
        <v>0</v>
      </c>
      <c r="AZ62" s="1948">
        <f t="shared" ca="1" si="42"/>
        <v>0</v>
      </c>
      <c r="BA62" s="1948">
        <f t="shared" ca="1" si="42"/>
        <v>0</v>
      </c>
      <c r="BB62" s="1948">
        <f t="shared" ca="1" si="42"/>
        <v>0</v>
      </c>
      <c r="BC62" s="1948">
        <f t="shared" ref="BC62:BK69" ca="1" si="43">IFERROR(INDEX(INDIRECT($C62&amp;".Outputs["&amp;this.Year&amp;"]"), MATCH(BC$5, INDIRECT($C62&amp;".Outputs[Vector]"), 0)), 0)</f>
        <v>0</v>
      </c>
      <c r="BD62" s="1948">
        <f t="shared" ca="1" si="43"/>
        <v>-5.2392719999999988</v>
      </c>
      <c r="BE62" s="1948">
        <f t="shared" ca="1" si="43"/>
        <v>0</v>
      </c>
      <c r="BF62" s="1948">
        <f t="shared" ca="1" si="43"/>
        <v>0</v>
      </c>
      <c r="BG62" s="1948">
        <f t="shared" ca="1" si="43"/>
        <v>0</v>
      </c>
      <c r="BH62" s="1948">
        <f t="shared" ca="1" si="43"/>
        <v>0</v>
      </c>
      <c r="BI62" s="1948">
        <f t="shared" ca="1" si="43"/>
        <v>0</v>
      </c>
      <c r="BJ62" s="1948">
        <f t="shared" ca="1" si="43"/>
        <v>0</v>
      </c>
      <c r="BK62" s="1948">
        <f t="shared" ca="1" si="43"/>
        <v>0</v>
      </c>
      <c r="BL62" s="1952">
        <f t="shared" ref="BL62:BL70" ca="1" si="44">SUM(AS62:BK62)</f>
        <v>-5.2392719999999988</v>
      </c>
      <c r="BM62" s="14"/>
      <c r="BN62" s="1941">
        <f t="shared" ref="BN62:BO68" ca="1" si="45">IFERROR(INDEX(INDIRECT($C62&amp;".Outputs["&amp;this.Year&amp;"]"), MATCH(BN$5, INDIRECT($C62&amp;".Outputs[Vector]"), 0)), 0)</f>
        <v>0</v>
      </c>
      <c r="BO62" s="1941">
        <f t="shared" ca="1" si="45"/>
        <v>0</v>
      </c>
      <c r="BP62" s="1505">
        <f ca="1">BN62+BO62</f>
        <v>0</v>
      </c>
      <c r="BQ62" s="14"/>
      <c r="BR62" s="3168">
        <f t="shared" ca="1" si="12"/>
        <v>0</v>
      </c>
      <c r="BS62" s="1525"/>
      <c r="BT62" s="748"/>
      <c r="BU62" s="1507">
        <v>0</v>
      </c>
      <c r="BV62" s="1508">
        <v>0</v>
      </c>
      <c r="BW62" s="1508">
        <v>0</v>
      </c>
      <c r="BX62" s="1508">
        <v>0</v>
      </c>
      <c r="BY62" s="1508">
        <v>0</v>
      </c>
      <c r="BZ62" s="1508">
        <v>0</v>
      </c>
      <c r="CA62" s="1508">
        <v>0</v>
      </c>
      <c r="CB62" s="1508">
        <v>0</v>
      </c>
      <c r="CC62" s="1508">
        <v>0</v>
      </c>
      <c r="CD62" s="1508">
        <v>0</v>
      </c>
      <c r="CE62" s="1508">
        <v>0</v>
      </c>
      <c r="CF62" s="1508">
        <v>0</v>
      </c>
      <c r="CG62" s="1508">
        <v>0</v>
      </c>
      <c r="CH62" s="1508">
        <v>0</v>
      </c>
      <c r="CI62" s="1508">
        <v>0</v>
      </c>
      <c r="CJ62" s="1508">
        <v>0</v>
      </c>
      <c r="CK62" s="1508">
        <v>0</v>
      </c>
      <c r="CL62" s="1508">
        <v>0</v>
      </c>
      <c r="CM62" s="1508">
        <v>0</v>
      </c>
      <c r="CN62" s="1508">
        <v>0</v>
      </c>
      <c r="CO62" s="1508">
        <v>0</v>
      </c>
      <c r="CP62" s="1508">
        <v>0</v>
      </c>
      <c r="CQ62" s="1508">
        <v>0</v>
      </c>
      <c r="CR62" s="1508">
        <v>0</v>
      </c>
      <c r="CS62" s="1508">
        <v>0</v>
      </c>
      <c r="CT62" s="1508">
        <v>0</v>
      </c>
      <c r="CU62" s="1508">
        <v>0</v>
      </c>
      <c r="CV62" s="1508">
        <v>0</v>
      </c>
      <c r="CW62" s="1508">
        <v>0</v>
      </c>
      <c r="CX62" s="1508">
        <v>0</v>
      </c>
      <c r="CY62" s="1508">
        <v>0</v>
      </c>
      <c r="CZ62" s="1508">
        <v>0</v>
      </c>
      <c r="DA62" s="1508">
        <v>0</v>
      </c>
      <c r="DB62" s="1508">
        <v>0</v>
      </c>
      <c r="DC62" s="1508">
        <v>0</v>
      </c>
      <c r="DD62" s="1508">
        <v>0</v>
      </c>
      <c r="DE62" s="1508">
        <v>0</v>
      </c>
      <c r="DF62" s="1508">
        <v>0</v>
      </c>
      <c r="DG62" s="1508">
        <v>0</v>
      </c>
      <c r="DH62" s="1508">
        <v>0</v>
      </c>
      <c r="DI62" s="1508">
        <v>0</v>
      </c>
      <c r="DJ62" s="1508">
        <v>0</v>
      </c>
      <c r="DK62" s="1508">
        <v>0</v>
      </c>
      <c r="DL62" s="1508">
        <v>0</v>
      </c>
      <c r="DN62" s="1509">
        <v>0</v>
      </c>
    </row>
    <row r="63" spans="1:118" s="1522" customFormat="1" ht="12.75" customHeight="1" outlineLevel="1" x14ac:dyDescent="0.2">
      <c r="C63" s="1496" t="s">
        <v>246</v>
      </c>
      <c r="D63" s="14" t="str">
        <f>INDEX(Modulos[Modulos], MATCH($C63, Modulos[Código], 0))</f>
        <v>Mini Hidráulica de Pasada</v>
      </c>
      <c r="E63" s="1497"/>
      <c r="F63" s="14"/>
      <c r="G63" s="1498"/>
      <c r="H63" s="1498"/>
      <c r="I63" s="1498"/>
      <c r="J63" s="1498"/>
      <c r="K63" s="1498"/>
      <c r="L63" s="1498"/>
      <c r="M63" s="1498"/>
      <c r="N63" s="1498"/>
      <c r="O63" s="1498"/>
      <c r="P63" s="1498"/>
      <c r="Q63" s="1498"/>
      <c r="R63" s="1498"/>
      <c r="S63" s="1498"/>
      <c r="T63" s="1498"/>
      <c r="U63" s="1498"/>
      <c r="V63" s="1498"/>
      <c r="W63" s="1499"/>
      <c r="X63" s="14"/>
      <c r="Y63" s="1893">
        <f t="shared" ca="1" si="39"/>
        <v>0</v>
      </c>
      <c r="Z63" s="1893">
        <f t="shared" ca="1" si="39"/>
        <v>3.1820580000000005</v>
      </c>
      <c r="AA63" s="1893">
        <f t="shared" ca="1" si="39"/>
        <v>0</v>
      </c>
      <c r="AB63" s="1893">
        <f t="shared" ca="1" si="39"/>
        <v>0</v>
      </c>
      <c r="AC63" s="1893">
        <f t="shared" ca="1" si="39"/>
        <v>0</v>
      </c>
      <c r="AD63" s="1893">
        <f t="shared" ca="1" si="39"/>
        <v>0</v>
      </c>
      <c r="AE63" s="1893">
        <f t="shared" ca="1" si="39"/>
        <v>0</v>
      </c>
      <c r="AF63" s="1893">
        <f t="shared" ca="1" si="39"/>
        <v>0</v>
      </c>
      <c r="AG63" s="1893">
        <f t="shared" ca="1" si="39"/>
        <v>0</v>
      </c>
      <c r="AH63" s="1893">
        <f t="shared" ca="1" si="39"/>
        <v>0</v>
      </c>
      <c r="AI63" s="1893">
        <f t="shared" ca="1" si="40"/>
        <v>0</v>
      </c>
      <c r="AJ63" s="1893">
        <f t="shared" ca="1" si="40"/>
        <v>0</v>
      </c>
      <c r="AK63" s="1893">
        <f t="shared" ca="1" si="40"/>
        <v>0</v>
      </c>
      <c r="AL63" s="1893">
        <f t="shared" ca="1" si="40"/>
        <v>0</v>
      </c>
      <c r="AM63" s="1893">
        <f t="shared" ca="1" si="40"/>
        <v>0</v>
      </c>
      <c r="AN63" s="1893">
        <f t="shared" ca="1" si="40"/>
        <v>0</v>
      </c>
      <c r="AO63" s="1893">
        <f t="shared" ca="1" si="40"/>
        <v>0</v>
      </c>
      <c r="AP63" s="1893">
        <f t="shared" ca="1" si="40"/>
        <v>0</v>
      </c>
      <c r="AQ63" s="1951">
        <f t="shared" ca="1" si="41"/>
        <v>3.1820580000000005</v>
      </c>
      <c r="AR63" s="14"/>
      <c r="AS63" s="1948">
        <f t="shared" ca="1" si="42"/>
        <v>0</v>
      </c>
      <c r="AT63" s="1948">
        <f t="shared" ca="1" si="42"/>
        <v>0</v>
      </c>
      <c r="AU63" s="1948">
        <f t="shared" ca="1" si="42"/>
        <v>0</v>
      </c>
      <c r="AV63" s="1948">
        <f t="shared" ca="1" si="42"/>
        <v>0</v>
      </c>
      <c r="AW63" s="1948">
        <f t="shared" ca="1" si="42"/>
        <v>0</v>
      </c>
      <c r="AX63" s="1948">
        <f t="shared" ca="1" si="42"/>
        <v>0</v>
      </c>
      <c r="AY63" s="1948">
        <f t="shared" ca="1" si="42"/>
        <v>0</v>
      </c>
      <c r="AZ63" s="1948">
        <f t="shared" ca="1" si="42"/>
        <v>0</v>
      </c>
      <c r="BA63" s="1948">
        <f t="shared" ca="1" si="42"/>
        <v>0</v>
      </c>
      <c r="BB63" s="1948">
        <f t="shared" ca="1" si="42"/>
        <v>0</v>
      </c>
      <c r="BC63" s="1948">
        <f t="shared" ca="1" si="43"/>
        <v>0</v>
      </c>
      <c r="BD63" s="1948">
        <f t="shared" ca="1" si="43"/>
        <v>0</v>
      </c>
      <c r="BE63" s="1948">
        <f t="shared" ca="1" si="43"/>
        <v>0</v>
      </c>
      <c r="BF63" s="1948">
        <f t="shared" ca="1" si="43"/>
        <v>0</v>
      </c>
      <c r="BG63" s="1948">
        <f t="shared" ca="1" si="43"/>
        <v>0</v>
      </c>
      <c r="BH63" s="1948">
        <f t="shared" ca="1" si="43"/>
        <v>-3.1820580000000005</v>
      </c>
      <c r="BI63" s="1948">
        <f t="shared" ca="1" si="43"/>
        <v>0</v>
      </c>
      <c r="BJ63" s="1948">
        <f t="shared" ca="1" si="43"/>
        <v>0</v>
      </c>
      <c r="BK63" s="1948">
        <f t="shared" ca="1" si="43"/>
        <v>0</v>
      </c>
      <c r="BL63" s="1952">
        <f t="shared" ca="1" si="44"/>
        <v>-3.1820580000000005</v>
      </c>
      <c r="BM63" s="14"/>
      <c r="BN63" s="1941">
        <f t="shared" ca="1" si="45"/>
        <v>0</v>
      </c>
      <c r="BO63" s="1941">
        <f t="shared" ca="1" si="45"/>
        <v>0</v>
      </c>
      <c r="BP63" s="1505">
        <f t="shared" ref="BP63:BP68" ca="1" si="46">BN63+BO63</f>
        <v>0</v>
      </c>
      <c r="BQ63" s="14"/>
      <c r="BR63" s="3168">
        <f t="shared" ca="1" si="12"/>
        <v>0</v>
      </c>
      <c r="BS63" s="1525"/>
      <c r="BT63" s="748"/>
      <c r="BU63" s="1507">
        <v>0</v>
      </c>
      <c r="BV63" s="1508">
        <v>0</v>
      </c>
      <c r="BW63" s="1508">
        <v>0</v>
      </c>
      <c r="BX63" s="1508">
        <v>0</v>
      </c>
      <c r="BY63" s="1508">
        <v>0</v>
      </c>
      <c r="BZ63" s="1508">
        <v>0</v>
      </c>
      <c r="CA63" s="1508">
        <v>0</v>
      </c>
      <c r="CB63" s="1508">
        <v>0</v>
      </c>
      <c r="CC63" s="1508">
        <v>0</v>
      </c>
      <c r="CD63" s="1508">
        <v>0</v>
      </c>
      <c r="CE63" s="1508">
        <v>0</v>
      </c>
      <c r="CF63" s="1508">
        <v>0</v>
      </c>
      <c r="CG63" s="1508">
        <v>0</v>
      </c>
      <c r="CH63" s="1508">
        <v>0</v>
      </c>
      <c r="CI63" s="1508">
        <v>0</v>
      </c>
      <c r="CJ63" s="1508">
        <v>0</v>
      </c>
      <c r="CK63" s="1508">
        <v>0</v>
      </c>
      <c r="CL63" s="1508">
        <v>0</v>
      </c>
      <c r="CM63" s="1508">
        <v>0</v>
      </c>
      <c r="CN63" s="1508">
        <v>0</v>
      </c>
      <c r="CO63" s="1508">
        <v>0</v>
      </c>
      <c r="CP63" s="1508">
        <v>0</v>
      </c>
      <c r="CQ63" s="1508">
        <v>0</v>
      </c>
      <c r="CR63" s="1508">
        <v>0</v>
      </c>
      <c r="CS63" s="1508">
        <v>0</v>
      </c>
      <c r="CT63" s="1508">
        <v>0</v>
      </c>
      <c r="CU63" s="1508">
        <v>0</v>
      </c>
      <c r="CV63" s="1508">
        <v>0</v>
      </c>
      <c r="CW63" s="1508">
        <v>0</v>
      </c>
      <c r="CX63" s="1508">
        <v>0</v>
      </c>
      <c r="CY63" s="1508">
        <v>0</v>
      </c>
      <c r="CZ63" s="1508">
        <v>0</v>
      </c>
      <c r="DA63" s="1508">
        <v>0</v>
      </c>
      <c r="DB63" s="1508">
        <v>0</v>
      </c>
      <c r="DC63" s="1508">
        <v>0</v>
      </c>
      <c r="DD63" s="1508">
        <v>0</v>
      </c>
      <c r="DE63" s="1508">
        <v>0</v>
      </c>
      <c r="DF63" s="1508">
        <v>0</v>
      </c>
      <c r="DG63" s="1508">
        <v>0</v>
      </c>
      <c r="DH63" s="1508">
        <v>0</v>
      </c>
      <c r="DI63" s="1508">
        <v>0</v>
      </c>
      <c r="DJ63" s="1508">
        <v>0</v>
      </c>
      <c r="DK63" s="1508">
        <v>0</v>
      </c>
      <c r="DL63" s="1508">
        <v>0</v>
      </c>
      <c r="DN63" s="1509">
        <v>0</v>
      </c>
    </row>
    <row r="64" spans="1:118" s="1522" customFormat="1" ht="12.75" customHeight="1" outlineLevel="1" x14ac:dyDescent="0.2">
      <c r="C64" s="1496" t="s">
        <v>258</v>
      </c>
      <c r="D64" s="14" t="str">
        <f>INDEX(Modulos[Modulos], MATCH($C64, Modulos[Código], 0))</f>
        <v>Hidráulica de Pasada</v>
      </c>
      <c r="E64" s="1497"/>
      <c r="F64" s="14"/>
      <c r="G64" s="1498"/>
      <c r="H64" s="1498"/>
      <c r="I64" s="1498"/>
      <c r="J64" s="1498"/>
      <c r="K64" s="1498"/>
      <c r="L64" s="1498"/>
      <c r="M64" s="1498"/>
      <c r="N64" s="1498"/>
      <c r="O64" s="1498"/>
      <c r="P64" s="1498"/>
      <c r="Q64" s="1498"/>
      <c r="R64" s="1498"/>
      <c r="S64" s="1498"/>
      <c r="T64" s="1498"/>
      <c r="U64" s="1498"/>
      <c r="V64" s="1498"/>
      <c r="W64" s="1499"/>
      <c r="X64" s="14"/>
      <c r="Y64" s="1893">
        <f t="shared" ca="1" si="39"/>
        <v>0</v>
      </c>
      <c r="Z64" s="1893">
        <f t="shared" ca="1" si="39"/>
        <v>7.182422100000001</v>
      </c>
      <c r="AA64" s="1893">
        <f t="shared" ca="1" si="39"/>
        <v>0</v>
      </c>
      <c r="AB64" s="1893">
        <f t="shared" ca="1" si="39"/>
        <v>0</v>
      </c>
      <c r="AC64" s="1893">
        <f t="shared" ca="1" si="39"/>
        <v>0</v>
      </c>
      <c r="AD64" s="1893">
        <f t="shared" ca="1" si="39"/>
        <v>0</v>
      </c>
      <c r="AE64" s="1893">
        <f t="shared" ca="1" si="39"/>
        <v>0</v>
      </c>
      <c r="AF64" s="1893">
        <f t="shared" ca="1" si="39"/>
        <v>0</v>
      </c>
      <c r="AG64" s="1893">
        <f t="shared" ca="1" si="39"/>
        <v>0</v>
      </c>
      <c r="AH64" s="1893">
        <f t="shared" ca="1" si="39"/>
        <v>0</v>
      </c>
      <c r="AI64" s="1893">
        <f t="shared" ca="1" si="40"/>
        <v>0</v>
      </c>
      <c r="AJ64" s="1893">
        <f t="shared" ca="1" si="40"/>
        <v>0</v>
      </c>
      <c r="AK64" s="1893">
        <f t="shared" ca="1" si="40"/>
        <v>0</v>
      </c>
      <c r="AL64" s="1893">
        <f t="shared" ca="1" si="40"/>
        <v>0</v>
      </c>
      <c r="AM64" s="1893">
        <f t="shared" ca="1" si="40"/>
        <v>0</v>
      </c>
      <c r="AN64" s="1893">
        <f t="shared" ca="1" si="40"/>
        <v>0</v>
      </c>
      <c r="AO64" s="1893">
        <f t="shared" ca="1" si="40"/>
        <v>0</v>
      </c>
      <c r="AP64" s="1893">
        <f t="shared" ca="1" si="40"/>
        <v>0</v>
      </c>
      <c r="AQ64" s="1951">
        <f t="shared" ca="1" si="41"/>
        <v>7.182422100000001</v>
      </c>
      <c r="AR64" s="14"/>
      <c r="AS64" s="1948">
        <f t="shared" ca="1" si="42"/>
        <v>0</v>
      </c>
      <c r="AT64" s="1948">
        <f t="shared" ca="1" si="42"/>
        <v>0</v>
      </c>
      <c r="AU64" s="1948">
        <f t="shared" ca="1" si="42"/>
        <v>0</v>
      </c>
      <c r="AV64" s="1948">
        <f t="shared" ca="1" si="42"/>
        <v>0</v>
      </c>
      <c r="AW64" s="1948">
        <f t="shared" ca="1" si="42"/>
        <v>0</v>
      </c>
      <c r="AX64" s="1948">
        <f t="shared" ca="1" si="42"/>
        <v>0</v>
      </c>
      <c r="AY64" s="1948">
        <f t="shared" ca="1" si="42"/>
        <v>0</v>
      </c>
      <c r="AZ64" s="1948">
        <f t="shared" ca="1" si="42"/>
        <v>0</v>
      </c>
      <c r="BA64" s="1948">
        <f t="shared" ca="1" si="42"/>
        <v>0</v>
      </c>
      <c r="BB64" s="1948">
        <f t="shared" ca="1" si="42"/>
        <v>0</v>
      </c>
      <c r="BC64" s="1948">
        <f t="shared" ca="1" si="43"/>
        <v>0</v>
      </c>
      <c r="BD64" s="1948">
        <f t="shared" ca="1" si="43"/>
        <v>0</v>
      </c>
      <c r="BE64" s="1948">
        <f t="shared" ca="1" si="43"/>
        <v>0</v>
      </c>
      <c r="BF64" s="1948">
        <f t="shared" ca="1" si="43"/>
        <v>0</v>
      </c>
      <c r="BG64" s="1948">
        <f t="shared" ca="1" si="43"/>
        <v>0</v>
      </c>
      <c r="BH64" s="1948">
        <f t="shared" ca="1" si="43"/>
        <v>-7.182422100000001</v>
      </c>
      <c r="BI64" s="1948">
        <f t="shared" ca="1" si="43"/>
        <v>0</v>
      </c>
      <c r="BJ64" s="1948">
        <f t="shared" ca="1" si="43"/>
        <v>0</v>
      </c>
      <c r="BK64" s="1948">
        <f t="shared" ca="1" si="43"/>
        <v>0</v>
      </c>
      <c r="BL64" s="1952">
        <f t="shared" ca="1" si="44"/>
        <v>-7.182422100000001</v>
      </c>
      <c r="BM64" s="14"/>
      <c r="BN64" s="1941">
        <f t="shared" ca="1" si="45"/>
        <v>0</v>
      </c>
      <c r="BO64" s="1941">
        <f t="shared" ca="1" si="45"/>
        <v>0</v>
      </c>
      <c r="BP64" s="1505">
        <f t="shared" ca="1" si="46"/>
        <v>0</v>
      </c>
      <c r="BQ64" s="14"/>
      <c r="BR64" s="3168">
        <f t="shared" ca="1" si="12"/>
        <v>0</v>
      </c>
      <c r="BS64" s="1525"/>
      <c r="BT64" s="748"/>
      <c r="BU64" s="1507">
        <v>0</v>
      </c>
      <c r="BV64" s="1508">
        <v>0</v>
      </c>
      <c r="BW64" s="1508">
        <v>0</v>
      </c>
      <c r="BX64" s="1508">
        <v>0</v>
      </c>
      <c r="BY64" s="1508">
        <v>0</v>
      </c>
      <c r="BZ64" s="1508">
        <v>0</v>
      </c>
      <c r="CA64" s="1508">
        <v>0</v>
      </c>
      <c r="CB64" s="1508">
        <v>0</v>
      </c>
      <c r="CC64" s="1508">
        <v>0</v>
      </c>
      <c r="CD64" s="1508">
        <v>0</v>
      </c>
      <c r="CE64" s="1508">
        <v>0</v>
      </c>
      <c r="CF64" s="1508">
        <v>0</v>
      </c>
      <c r="CG64" s="1508">
        <v>0</v>
      </c>
      <c r="CH64" s="1508">
        <v>0</v>
      </c>
      <c r="CI64" s="1508">
        <v>0</v>
      </c>
      <c r="CJ64" s="1508">
        <v>0</v>
      </c>
      <c r="CK64" s="1508">
        <v>0</v>
      </c>
      <c r="CL64" s="1508">
        <v>0</v>
      </c>
      <c r="CM64" s="1508">
        <v>0</v>
      </c>
      <c r="CN64" s="1508">
        <v>0</v>
      </c>
      <c r="CO64" s="1508">
        <v>0</v>
      </c>
      <c r="CP64" s="1508">
        <v>0</v>
      </c>
      <c r="CQ64" s="1508">
        <v>0</v>
      </c>
      <c r="CR64" s="1508">
        <v>0</v>
      </c>
      <c r="CS64" s="1508">
        <v>0</v>
      </c>
      <c r="CT64" s="1508">
        <v>0</v>
      </c>
      <c r="CU64" s="1508">
        <v>0</v>
      </c>
      <c r="CV64" s="1508">
        <v>0</v>
      </c>
      <c r="CW64" s="1508">
        <v>0</v>
      </c>
      <c r="CX64" s="1508">
        <v>0</v>
      </c>
      <c r="CY64" s="1508">
        <v>0</v>
      </c>
      <c r="CZ64" s="1508">
        <v>0</v>
      </c>
      <c r="DA64" s="1508">
        <v>0</v>
      </c>
      <c r="DB64" s="1508">
        <v>0</v>
      </c>
      <c r="DC64" s="1508">
        <v>0</v>
      </c>
      <c r="DD64" s="1508">
        <v>0</v>
      </c>
      <c r="DE64" s="1508">
        <v>0</v>
      </c>
      <c r="DF64" s="1508">
        <v>0</v>
      </c>
      <c r="DG64" s="1508">
        <v>0</v>
      </c>
      <c r="DH64" s="1508">
        <v>0</v>
      </c>
      <c r="DI64" s="1508">
        <v>0</v>
      </c>
      <c r="DJ64" s="1508">
        <v>0</v>
      </c>
      <c r="DK64" s="1508">
        <v>0</v>
      </c>
      <c r="DL64" s="1508">
        <v>0</v>
      </c>
      <c r="DN64" s="1509">
        <v>0</v>
      </c>
    </row>
    <row r="65" spans="1:118" s="1522" customFormat="1" ht="12.75" customHeight="1" outlineLevel="1" x14ac:dyDescent="0.2">
      <c r="C65" s="1496" t="s">
        <v>267</v>
      </c>
      <c r="D65" s="14" t="str">
        <f>INDEX(Modulos[Modulos], MATCH($C65, Modulos[Código], 0))</f>
        <v>Hidráulica de Embalse</v>
      </c>
      <c r="E65" s="1497"/>
      <c r="F65" s="14"/>
      <c r="G65" s="1498"/>
      <c r="H65" s="1498"/>
      <c r="I65" s="1498"/>
      <c r="J65" s="1498"/>
      <c r="K65" s="1498"/>
      <c r="L65" s="1498"/>
      <c r="M65" s="1498"/>
      <c r="N65" s="1498"/>
      <c r="O65" s="1498"/>
      <c r="P65" s="1498"/>
      <c r="Q65" s="1498"/>
      <c r="R65" s="1498"/>
      <c r="S65" s="1498"/>
      <c r="T65" s="1498"/>
      <c r="U65" s="1498"/>
      <c r="V65" s="1498"/>
      <c r="W65" s="1499"/>
      <c r="X65" s="14"/>
      <c r="Y65" s="1893">
        <f t="shared" ca="1" si="39"/>
        <v>0</v>
      </c>
      <c r="Z65" s="1893">
        <f t="shared" ca="1" si="39"/>
        <v>14.800514399999997</v>
      </c>
      <c r="AA65" s="1893">
        <f t="shared" ca="1" si="39"/>
        <v>0</v>
      </c>
      <c r="AB65" s="1893">
        <f t="shared" ca="1" si="39"/>
        <v>0</v>
      </c>
      <c r="AC65" s="1893">
        <f t="shared" ca="1" si="39"/>
        <v>0</v>
      </c>
      <c r="AD65" s="1893">
        <f t="shared" ca="1" si="39"/>
        <v>0</v>
      </c>
      <c r="AE65" s="1893">
        <f t="shared" ca="1" si="39"/>
        <v>0</v>
      </c>
      <c r="AF65" s="1893">
        <f t="shared" ca="1" si="39"/>
        <v>0</v>
      </c>
      <c r="AG65" s="1893">
        <f t="shared" ca="1" si="39"/>
        <v>0</v>
      </c>
      <c r="AH65" s="1893">
        <f t="shared" ca="1" si="39"/>
        <v>0</v>
      </c>
      <c r="AI65" s="1893">
        <f t="shared" ca="1" si="40"/>
        <v>0</v>
      </c>
      <c r="AJ65" s="1893">
        <f t="shared" ca="1" si="40"/>
        <v>0</v>
      </c>
      <c r="AK65" s="1893">
        <f t="shared" ca="1" si="40"/>
        <v>0</v>
      </c>
      <c r="AL65" s="1893">
        <f t="shared" ca="1" si="40"/>
        <v>0</v>
      </c>
      <c r="AM65" s="1893">
        <f t="shared" ca="1" si="40"/>
        <v>0</v>
      </c>
      <c r="AN65" s="1893">
        <f t="shared" ca="1" si="40"/>
        <v>0</v>
      </c>
      <c r="AO65" s="1893">
        <f t="shared" ca="1" si="40"/>
        <v>0</v>
      </c>
      <c r="AP65" s="1893">
        <f t="shared" ca="1" si="40"/>
        <v>0</v>
      </c>
      <c r="AQ65" s="1951">
        <f t="shared" ca="1" si="41"/>
        <v>14.800514399999997</v>
      </c>
      <c r="AR65" s="14"/>
      <c r="AS65" s="1948">
        <f t="shared" ca="1" si="42"/>
        <v>0</v>
      </c>
      <c r="AT65" s="1948">
        <f t="shared" ca="1" si="42"/>
        <v>0</v>
      </c>
      <c r="AU65" s="1948">
        <f t="shared" ca="1" si="42"/>
        <v>0</v>
      </c>
      <c r="AV65" s="1948">
        <f t="shared" ca="1" si="42"/>
        <v>0</v>
      </c>
      <c r="AW65" s="1948">
        <f t="shared" ca="1" si="42"/>
        <v>0</v>
      </c>
      <c r="AX65" s="1948">
        <f t="shared" ca="1" si="42"/>
        <v>0</v>
      </c>
      <c r="AY65" s="1948">
        <f t="shared" ca="1" si="42"/>
        <v>0</v>
      </c>
      <c r="AZ65" s="1948">
        <f t="shared" ca="1" si="42"/>
        <v>0</v>
      </c>
      <c r="BA65" s="1948">
        <f t="shared" ca="1" si="42"/>
        <v>0</v>
      </c>
      <c r="BB65" s="1948">
        <f t="shared" ca="1" si="42"/>
        <v>0</v>
      </c>
      <c r="BC65" s="1948">
        <f t="shared" ca="1" si="43"/>
        <v>0</v>
      </c>
      <c r="BD65" s="1948">
        <f t="shared" ca="1" si="43"/>
        <v>0</v>
      </c>
      <c r="BE65" s="1948">
        <f t="shared" ca="1" si="43"/>
        <v>0</v>
      </c>
      <c r="BF65" s="1948">
        <f t="shared" ca="1" si="43"/>
        <v>0</v>
      </c>
      <c r="BG65" s="1948">
        <f t="shared" ca="1" si="43"/>
        <v>0</v>
      </c>
      <c r="BH65" s="1948">
        <f t="shared" ca="1" si="43"/>
        <v>-14.800514399999997</v>
      </c>
      <c r="BI65" s="1948">
        <f t="shared" ca="1" si="43"/>
        <v>0</v>
      </c>
      <c r="BJ65" s="1948">
        <f t="shared" ca="1" si="43"/>
        <v>0</v>
      </c>
      <c r="BK65" s="1948">
        <f t="shared" ca="1" si="43"/>
        <v>0</v>
      </c>
      <c r="BL65" s="1952">
        <f t="shared" ca="1" si="44"/>
        <v>-14.800514399999997</v>
      </c>
      <c r="BM65" s="14"/>
      <c r="BN65" s="1941">
        <f t="shared" ca="1" si="45"/>
        <v>0</v>
      </c>
      <c r="BO65" s="1941">
        <f t="shared" ca="1" si="45"/>
        <v>0</v>
      </c>
      <c r="BP65" s="1505">
        <f t="shared" ca="1" si="46"/>
        <v>0</v>
      </c>
      <c r="BQ65" s="14"/>
      <c r="BR65" s="3168">
        <f t="shared" ca="1" si="12"/>
        <v>0</v>
      </c>
      <c r="BS65" s="1525"/>
      <c r="BT65" s="748"/>
      <c r="BU65" s="1507">
        <v>0</v>
      </c>
      <c r="BV65" s="1508">
        <v>0</v>
      </c>
      <c r="BW65" s="1508">
        <v>0</v>
      </c>
      <c r="BX65" s="1508">
        <v>0</v>
      </c>
      <c r="BY65" s="1508">
        <v>0</v>
      </c>
      <c r="BZ65" s="1508">
        <v>0</v>
      </c>
      <c r="CA65" s="1508">
        <v>0</v>
      </c>
      <c r="CB65" s="1508">
        <v>0</v>
      </c>
      <c r="CC65" s="1508">
        <v>0</v>
      </c>
      <c r="CD65" s="1508">
        <v>0</v>
      </c>
      <c r="CE65" s="1508">
        <v>0</v>
      </c>
      <c r="CF65" s="1508">
        <v>0</v>
      </c>
      <c r="CG65" s="1508">
        <v>0</v>
      </c>
      <c r="CH65" s="1508">
        <v>0</v>
      </c>
      <c r="CI65" s="1508">
        <v>0</v>
      </c>
      <c r="CJ65" s="1508">
        <v>0</v>
      </c>
      <c r="CK65" s="1508">
        <v>0</v>
      </c>
      <c r="CL65" s="1508">
        <v>0</v>
      </c>
      <c r="CM65" s="1508">
        <v>0</v>
      </c>
      <c r="CN65" s="1508">
        <v>0</v>
      </c>
      <c r="CO65" s="1508">
        <v>0</v>
      </c>
      <c r="CP65" s="1508">
        <v>0</v>
      </c>
      <c r="CQ65" s="1508">
        <v>0</v>
      </c>
      <c r="CR65" s="1508">
        <v>0</v>
      </c>
      <c r="CS65" s="1508">
        <v>0</v>
      </c>
      <c r="CT65" s="1508">
        <v>0</v>
      </c>
      <c r="CU65" s="1508">
        <v>0</v>
      </c>
      <c r="CV65" s="1508">
        <v>0</v>
      </c>
      <c r="CW65" s="1508">
        <v>0</v>
      </c>
      <c r="CX65" s="1508">
        <v>0</v>
      </c>
      <c r="CY65" s="1508">
        <v>0</v>
      </c>
      <c r="CZ65" s="1508">
        <v>0</v>
      </c>
      <c r="DA65" s="1508">
        <v>0</v>
      </c>
      <c r="DB65" s="1508">
        <v>0</v>
      </c>
      <c r="DC65" s="1508">
        <v>0</v>
      </c>
      <c r="DD65" s="1508">
        <v>0</v>
      </c>
      <c r="DE65" s="1508">
        <v>0</v>
      </c>
      <c r="DF65" s="1508">
        <v>0</v>
      </c>
      <c r="DG65" s="1508">
        <v>0</v>
      </c>
      <c r="DH65" s="1508">
        <v>0</v>
      </c>
      <c r="DI65" s="1508">
        <v>0</v>
      </c>
      <c r="DJ65" s="1508">
        <v>0</v>
      </c>
      <c r="DK65" s="1508">
        <v>0</v>
      </c>
      <c r="DL65" s="1508">
        <v>0</v>
      </c>
      <c r="DN65" s="1509">
        <v>0</v>
      </c>
    </row>
    <row r="66" spans="1:118" s="1522" customFormat="1" ht="12.75" customHeight="1" outlineLevel="1" x14ac:dyDescent="0.2">
      <c r="C66" s="1496" t="s">
        <v>58</v>
      </c>
      <c r="D66" s="14" t="str">
        <f>INDEX(Modulos[Modulos], MATCH($C66, Modulos[Código], 0))</f>
        <v>Mareomotriz y Undimotriz</v>
      </c>
      <c r="E66" s="1497"/>
      <c r="F66" s="14"/>
      <c r="G66" s="1498"/>
      <c r="H66" s="1498"/>
      <c r="I66" s="1498"/>
      <c r="J66" s="1498"/>
      <c r="K66" s="1498"/>
      <c r="L66" s="1498"/>
      <c r="M66" s="1498"/>
      <c r="N66" s="1498"/>
      <c r="O66" s="1498"/>
      <c r="P66" s="1498"/>
      <c r="Q66" s="1498"/>
      <c r="R66" s="1498"/>
      <c r="S66" s="1498"/>
      <c r="T66" s="1498"/>
      <c r="U66" s="1498"/>
      <c r="V66" s="1498"/>
      <c r="W66" s="1499"/>
      <c r="X66" s="14"/>
      <c r="Y66" s="1893">
        <f t="shared" ca="1" si="39"/>
        <v>0</v>
      </c>
      <c r="Z66" s="1893">
        <f t="shared" ca="1" si="39"/>
        <v>1.9329030000000001E-2</v>
      </c>
      <c r="AA66" s="1893">
        <f t="shared" ca="1" si="39"/>
        <v>0</v>
      </c>
      <c r="AB66" s="1893">
        <f t="shared" ca="1" si="39"/>
        <v>0</v>
      </c>
      <c r="AC66" s="1893">
        <f t="shared" ca="1" si="39"/>
        <v>0</v>
      </c>
      <c r="AD66" s="1893">
        <f t="shared" ca="1" si="39"/>
        <v>0</v>
      </c>
      <c r="AE66" s="1893">
        <f t="shared" ca="1" si="39"/>
        <v>0</v>
      </c>
      <c r="AF66" s="1893">
        <f t="shared" ca="1" si="39"/>
        <v>0</v>
      </c>
      <c r="AG66" s="1893">
        <f t="shared" ca="1" si="39"/>
        <v>0</v>
      </c>
      <c r="AH66" s="1893">
        <f t="shared" ca="1" si="39"/>
        <v>0</v>
      </c>
      <c r="AI66" s="1893">
        <f t="shared" ca="1" si="40"/>
        <v>0</v>
      </c>
      <c r="AJ66" s="1893">
        <f t="shared" ca="1" si="40"/>
        <v>0</v>
      </c>
      <c r="AK66" s="1893">
        <f t="shared" ca="1" si="40"/>
        <v>0</v>
      </c>
      <c r="AL66" s="1893">
        <f t="shared" ca="1" si="40"/>
        <v>0</v>
      </c>
      <c r="AM66" s="1893">
        <f t="shared" ca="1" si="40"/>
        <v>0</v>
      </c>
      <c r="AN66" s="1893">
        <f t="shared" ca="1" si="40"/>
        <v>0</v>
      </c>
      <c r="AO66" s="1893">
        <f t="shared" ca="1" si="40"/>
        <v>0</v>
      </c>
      <c r="AP66" s="1893">
        <f t="shared" ca="1" si="40"/>
        <v>0</v>
      </c>
      <c r="AQ66" s="1951">
        <f t="shared" ca="1" si="41"/>
        <v>1.9329030000000001E-2</v>
      </c>
      <c r="AR66" s="14"/>
      <c r="AS66" s="1948">
        <f t="shared" ca="1" si="42"/>
        <v>0</v>
      </c>
      <c r="AT66" s="1948">
        <f t="shared" ca="1" si="42"/>
        <v>0</v>
      </c>
      <c r="AU66" s="1948">
        <f t="shared" ca="1" si="42"/>
        <v>0</v>
      </c>
      <c r="AV66" s="1948">
        <f t="shared" ca="1" si="42"/>
        <v>0</v>
      </c>
      <c r="AW66" s="1948">
        <f t="shared" ca="1" si="42"/>
        <v>0</v>
      </c>
      <c r="AX66" s="1948">
        <f t="shared" ca="1" si="42"/>
        <v>0</v>
      </c>
      <c r="AY66" s="1948">
        <f t="shared" ca="1" si="42"/>
        <v>0</v>
      </c>
      <c r="AZ66" s="1948">
        <f t="shared" ca="1" si="42"/>
        <v>0</v>
      </c>
      <c r="BA66" s="1948">
        <f t="shared" ca="1" si="42"/>
        <v>0</v>
      </c>
      <c r="BB66" s="1948">
        <f t="shared" ca="1" si="42"/>
        <v>0</v>
      </c>
      <c r="BC66" s="1948">
        <f t="shared" ca="1" si="43"/>
        <v>0</v>
      </c>
      <c r="BD66" s="1948">
        <f t="shared" ca="1" si="43"/>
        <v>0</v>
      </c>
      <c r="BE66" s="1948">
        <f t="shared" ca="1" si="43"/>
        <v>-1.2425805000000002E-2</v>
      </c>
      <c r="BF66" s="1948">
        <f t="shared" ca="1" si="43"/>
        <v>-6.9032249999999998E-3</v>
      </c>
      <c r="BG66" s="1948">
        <f t="shared" ca="1" si="43"/>
        <v>0</v>
      </c>
      <c r="BH66" s="1948">
        <f t="shared" ca="1" si="43"/>
        <v>0</v>
      </c>
      <c r="BI66" s="1948">
        <f t="shared" ca="1" si="43"/>
        <v>0</v>
      </c>
      <c r="BJ66" s="1948">
        <f t="shared" ca="1" si="43"/>
        <v>0</v>
      </c>
      <c r="BK66" s="1948">
        <f t="shared" ca="1" si="43"/>
        <v>0</v>
      </c>
      <c r="BL66" s="1952">
        <f t="shared" ca="1" si="44"/>
        <v>-1.9329030000000001E-2</v>
      </c>
      <c r="BM66" s="14"/>
      <c r="BN66" s="1941">
        <f t="shared" ca="1" si="45"/>
        <v>0</v>
      </c>
      <c r="BO66" s="1941">
        <f t="shared" ca="1" si="45"/>
        <v>0</v>
      </c>
      <c r="BP66" s="1505">
        <f t="shared" ca="1" si="46"/>
        <v>0</v>
      </c>
      <c r="BQ66" s="14"/>
      <c r="BR66" s="3168">
        <f t="shared" ca="1" si="12"/>
        <v>0</v>
      </c>
      <c r="BS66" s="1525"/>
      <c r="BT66" s="748"/>
      <c r="BU66" s="1507">
        <v>0</v>
      </c>
      <c r="BV66" s="1508">
        <v>0</v>
      </c>
      <c r="BW66" s="1508">
        <v>0</v>
      </c>
      <c r="BX66" s="1508">
        <v>0</v>
      </c>
      <c r="BY66" s="1508">
        <v>0</v>
      </c>
      <c r="BZ66" s="1508">
        <v>0</v>
      </c>
      <c r="CA66" s="1508">
        <v>0</v>
      </c>
      <c r="CB66" s="1508">
        <v>0</v>
      </c>
      <c r="CC66" s="1508">
        <v>0</v>
      </c>
      <c r="CD66" s="1508">
        <v>0</v>
      </c>
      <c r="CE66" s="1508">
        <v>0</v>
      </c>
      <c r="CF66" s="1508">
        <v>0</v>
      </c>
      <c r="CG66" s="1508">
        <v>0</v>
      </c>
      <c r="CH66" s="1508">
        <v>0</v>
      </c>
      <c r="CI66" s="1508">
        <v>0</v>
      </c>
      <c r="CJ66" s="1508">
        <v>0</v>
      </c>
      <c r="CK66" s="1508">
        <v>0</v>
      </c>
      <c r="CL66" s="1508">
        <v>0</v>
      </c>
      <c r="CM66" s="1508">
        <v>0</v>
      </c>
      <c r="CN66" s="1508">
        <v>0</v>
      </c>
      <c r="CO66" s="1508">
        <v>0</v>
      </c>
      <c r="CP66" s="1508">
        <v>0</v>
      </c>
      <c r="CQ66" s="1508">
        <v>0</v>
      </c>
      <c r="CR66" s="1508">
        <v>0</v>
      </c>
      <c r="CS66" s="1508">
        <v>0</v>
      </c>
      <c r="CT66" s="1508">
        <v>0</v>
      </c>
      <c r="CU66" s="1508">
        <v>0</v>
      </c>
      <c r="CV66" s="1508">
        <v>0</v>
      </c>
      <c r="CW66" s="1508">
        <v>0</v>
      </c>
      <c r="CX66" s="1508">
        <v>0</v>
      </c>
      <c r="CY66" s="1508">
        <v>0</v>
      </c>
      <c r="CZ66" s="1508">
        <v>0</v>
      </c>
      <c r="DA66" s="1508">
        <v>0</v>
      </c>
      <c r="DB66" s="1508">
        <v>0</v>
      </c>
      <c r="DC66" s="1508">
        <v>0</v>
      </c>
      <c r="DD66" s="1508">
        <v>0</v>
      </c>
      <c r="DE66" s="1508">
        <v>0</v>
      </c>
      <c r="DF66" s="1508">
        <v>0</v>
      </c>
      <c r="DG66" s="1508">
        <v>0</v>
      </c>
      <c r="DH66" s="1508">
        <v>0</v>
      </c>
      <c r="DI66" s="1508">
        <v>0</v>
      </c>
      <c r="DJ66" s="1508">
        <v>0</v>
      </c>
      <c r="DK66" s="1508">
        <v>0</v>
      </c>
      <c r="DL66" s="1508">
        <v>0</v>
      </c>
      <c r="DN66" s="1509">
        <v>0</v>
      </c>
    </row>
    <row r="67" spans="1:118" s="1522" customFormat="1" ht="12.75" customHeight="1" outlineLevel="1" x14ac:dyDescent="0.2">
      <c r="C67" s="1496" t="s">
        <v>60</v>
      </c>
      <c r="D67" s="14" t="str">
        <f>INDEX(Modulos[Modulos], MATCH($C67, Modulos[Código], 0))</f>
        <v>Geotérmica</v>
      </c>
      <c r="E67" s="1497"/>
      <c r="F67" s="14"/>
      <c r="G67" s="1498"/>
      <c r="H67" s="1498"/>
      <c r="I67" s="1498"/>
      <c r="J67" s="1498"/>
      <c r="K67" s="1498"/>
      <c r="L67" s="1498"/>
      <c r="M67" s="1498"/>
      <c r="N67" s="1498"/>
      <c r="O67" s="1498"/>
      <c r="P67" s="1498"/>
      <c r="Q67" s="1498"/>
      <c r="R67" s="1498"/>
      <c r="S67" s="1498"/>
      <c r="T67" s="1498"/>
      <c r="U67" s="1498"/>
      <c r="V67" s="1498"/>
      <c r="W67" s="1499"/>
      <c r="X67" s="14"/>
      <c r="Y67" s="1893">
        <f t="shared" ca="1" si="39"/>
        <v>0</v>
      </c>
      <c r="Z67" s="1893">
        <f t="shared" ca="1" si="39"/>
        <v>0.35064000000000006</v>
      </c>
      <c r="AA67" s="1893">
        <f t="shared" ca="1" si="39"/>
        <v>0</v>
      </c>
      <c r="AB67" s="1893">
        <f t="shared" ca="1" si="39"/>
        <v>0</v>
      </c>
      <c r="AC67" s="1893">
        <f t="shared" ca="1" si="39"/>
        <v>0</v>
      </c>
      <c r="AD67" s="1893">
        <f t="shared" ca="1" si="39"/>
        <v>0</v>
      </c>
      <c r="AE67" s="1893">
        <f t="shared" ca="1" si="39"/>
        <v>0</v>
      </c>
      <c r="AF67" s="1893">
        <f t="shared" ca="1" si="39"/>
        <v>0</v>
      </c>
      <c r="AG67" s="1893">
        <f t="shared" ca="1" si="39"/>
        <v>0</v>
      </c>
      <c r="AH67" s="1893">
        <f t="shared" ca="1" si="39"/>
        <v>0</v>
      </c>
      <c r="AI67" s="1893">
        <f t="shared" ca="1" si="40"/>
        <v>0</v>
      </c>
      <c r="AJ67" s="1893">
        <f t="shared" ca="1" si="40"/>
        <v>0</v>
      </c>
      <c r="AK67" s="1893">
        <f t="shared" ca="1" si="40"/>
        <v>0</v>
      </c>
      <c r="AL67" s="1893">
        <f t="shared" ca="1" si="40"/>
        <v>0</v>
      </c>
      <c r="AM67" s="1893">
        <f t="shared" ca="1" si="40"/>
        <v>0</v>
      </c>
      <c r="AN67" s="1893">
        <f t="shared" ca="1" si="40"/>
        <v>0</v>
      </c>
      <c r="AO67" s="1893">
        <f t="shared" ca="1" si="40"/>
        <v>0</v>
      </c>
      <c r="AP67" s="1893">
        <f t="shared" ca="1" si="40"/>
        <v>0</v>
      </c>
      <c r="AQ67" s="1951">
        <f t="shared" ca="1" si="41"/>
        <v>0.35064000000000006</v>
      </c>
      <c r="AR67" s="14"/>
      <c r="AS67" s="1948">
        <f t="shared" ca="1" si="42"/>
        <v>0</v>
      </c>
      <c r="AT67" s="1948">
        <f t="shared" ca="1" si="42"/>
        <v>0</v>
      </c>
      <c r="AU67" s="1948">
        <f t="shared" ca="1" si="42"/>
        <v>0</v>
      </c>
      <c r="AV67" s="1948">
        <f t="shared" ca="1" si="42"/>
        <v>0</v>
      </c>
      <c r="AW67" s="1948">
        <f t="shared" ca="1" si="42"/>
        <v>0</v>
      </c>
      <c r="AX67" s="1948">
        <f t="shared" ca="1" si="42"/>
        <v>0</v>
      </c>
      <c r="AY67" s="1948">
        <f t="shared" ca="1" si="42"/>
        <v>0</v>
      </c>
      <c r="AZ67" s="1948">
        <f t="shared" ca="1" si="42"/>
        <v>0</v>
      </c>
      <c r="BA67" s="1948">
        <f t="shared" ca="1" si="42"/>
        <v>0</v>
      </c>
      <c r="BB67" s="1948">
        <f t="shared" ca="1" si="42"/>
        <v>0</v>
      </c>
      <c r="BC67" s="1948">
        <f t="shared" ca="1" si="43"/>
        <v>0</v>
      </c>
      <c r="BD67" s="1948">
        <f t="shared" ca="1" si="43"/>
        <v>0</v>
      </c>
      <c r="BE67" s="1948">
        <f t="shared" ca="1" si="43"/>
        <v>0</v>
      </c>
      <c r="BF67" s="1948">
        <f t="shared" ca="1" si="43"/>
        <v>0</v>
      </c>
      <c r="BG67" s="1948">
        <f t="shared" ca="1" si="43"/>
        <v>-0.35064000000000006</v>
      </c>
      <c r="BH67" s="1948">
        <f t="shared" ca="1" si="43"/>
        <v>0</v>
      </c>
      <c r="BI67" s="1948">
        <f t="shared" ca="1" si="43"/>
        <v>0</v>
      </c>
      <c r="BJ67" s="1948">
        <f t="shared" ca="1" si="43"/>
        <v>0</v>
      </c>
      <c r="BK67" s="1948">
        <f t="shared" ca="1" si="43"/>
        <v>0</v>
      </c>
      <c r="BL67" s="1952">
        <f t="shared" ca="1" si="44"/>
        <v>-0.35064000000000006</v>
      </c>
      <c r="BM67" s="14"/>
      <c r="BN67" s="1941">
        <f t="shared" ca="1" si="45"/>
        <v>0</v>
      </c>
      <c r="BO67" s="1941">
        <f t="shared" ca="1" si="45"/>
        <v>0</v>
      </c>
      <c r="BP67" s="1505">
        <f t="shared" ca="1" si="46"/>
        <v>0</v>
      </c>
      <c r="BQ67" s="14"/>
      <c r="BR67" s="3168">
        <f t="shared" ca="1" si="12"/>
        <v>0</v>
      </c>
      <c r="BS67" s="1525"/>
      <c r="BT67" s="748"/>
      <c r="BU67" s="1507"/>
      <c r="BV67" s="1508"/>
      <c r="BW67" s="1508"/>
      <c r="BX67" s="1508"/>
      <c r="BY67" s="1508"/>
      <c r="BZ67" s="1508"/>
      <c r="CA67" s="1508"/>
      <c r="CB67" s="1508"/>
      <c r="CC67" s="1508"/>
      <c r="CD67" s="1508"/>
      <c r="CE67" s="1508"/>
      <c r="CF67" s="1508"/>
      <c r="CG67" s="1508"/>
      <c r="CH67" s="1508"/>
      <c r="CI67" s="1508"/>
      <c r="CJ67" s="1508"/>
      <c r="CK67" s="1508"/>
      <c r="CL67" s="1508"/>
      <c r="CM67" s="1508"/>
      <c r="CN67" s="1508"/>
      <c r="CO67" s="1508"/>
      <c r="CP67" s="1508"/>
      <c r="CQ67" s="1508"/>
      <c r="CR67" s="1508"/>
      <c r="CS67" s="1508"/>
      <c r="CT67" s="1508"/>
      <c r="CU67" s="1508"/>
      <c r="CV67" s="1508"/>
      <c r="CW67" s="1508"/>
      <c r="CX67" s="1508"/>
      <c r="CY67" s="1508"/>
      <c r="CZ67" s="1508"/>
      <c r="DA67" s="1508"/>
      <c r="DB67" s="1508"/>
      <c r="DC67" s="1508"/>
      <c r="DD67" s="1508"/>
      <c r="DE67" s="1508"/>
      <c r="DF67" s="1508"/>
      <c r="DG67" s="1508"/>
      <c r="DH67" s="1508"/>
      <c r="DI67" s="1508"/>
      <c r="DJ67" s="1508"/>
      <c r="DK67" s="1508"/>
      <c r="DL67" s="1508"/>
      <c r="DN67" s="1509"/>
    </row>
    <row r="68" spans="1:118" s="1522" customFormat="1" ht="12.75" customHeight="1" outlineLevel="1" x14ac:dyDescent="0.2">
      <c r="C68" s="1496" t="s">
        <v>311</v>
      </c>
      <c r="D68" s="14" t="str">
        <f>INDEX(Modulos[Modulos], MATCH($C68, Modulos[Código], 0))</f>
        <v>Plantas Solares</v>
      </c>
      <c r="E68" s="1497"/>
      <c r="F68" s="14"/>
      <c r="G68" s="1498"/>
      <c r="H68" s="1498"/>
      <c r="I68" s="1498"/>
      <c r="J68" s="1498"/>
      <c r="K68" s="1498"/>
      <c r="L68" s="1498"/>
      <c r="M68" s="1498"/>
      <c r="N68" s="1498"/>
      <c r="O68" s="1498"/>
      <c r="P68" s="1498"/>
      <c r="Q68" s="1498"/>
      <c r="R68" s="1498"/>
      <c r="S68" s="1498"/>
      <c r="T68" s="1498"/>
      <c r="U68" s="1498"/>
      <c r="V68" s="1498"/>
      <c r="W68" s="1499"/>
      <c r="X68" s="14"/>
      <c r="Y68" s="1893">
        <f ca="1">IFERROR(INDEX(INDIRECT($C68&amp;".Outputs["&amp;this.Year&amp;"]"), MATCH(Y$5, INDIRECT($C68&amp;".Outputs[Vector]"), 0)), 0)</f>
        <v>0</v>
      </c>
      <c r="Z68" s="1893">
        <f t="shared" ca="1" si="39"/>
        <v>7.9585637399999998</v>
      </c>
      <c r="AA68" s="1893">
        <f t="shared" ca="1" si="39"/>
        <v>0</v>
      </c>
      <c r="AB68" s="1893">
        <f t="shared" ca="1" si="39"/>
        <v>0</v>
      </c>
      <c r="AC68" s="1893">
        <f t="shared" ca="1" si="39"/>
        <v>0</v>
      </c>
      <c r="AD68" s="1893">
        <f t="shared" ca="1" si="39"/>
        <v>0</v>
      </c>
      <c r="AE68" s="1893">
        <f t="shared" ca="1" si="39"/>
        <v>0</v>
      </c>
      <c r="AF68" s="1893">
        <f t="shared" ca="1" si="39"/>
        <v>0</v>
      </c>
      <c r="AG68" s="1893">
        <f t="shared" ca="1" si="39"/>
        <v>0</v>
      </c>
      <c r="AH68" s="1893">
        <f t="shared" ca="1" si="39"/>
        <v>0</v>
      </c>
      <c r="AI68" s="1893">
        <f t="shared" ca="1" si="40"/>
        <v>0</v>
      </c>
      <c r="AJ68" s="1893">
        <f t="shared" ca="1" si="40"/>
        <v>0</v>
      </c>
      <c r="AK68" s="1893">
        <f t="shared" ca="1" si="40"/>
        <v>0</v>
      </c>
      <c r="AL68" s="1893">
        <f t="shared" ca="1" si="40"/>
        <v>0</v>
      </c>
      <c r="AM68" s="1893">
        <f t="shared" ca="1" si="40"/>
        <v>0</v>
      </c>
      <c r="AN68" s="1893">
        <f t="shared" ca="1" si="40"/>
        <v>0</v>
      </c>
      <c r="AO68" s="1893">
        <f t="shared" ca="1" si="40"/>
        <v>0</v>
      </c>
      <c r="AP68" s="1893">
        <f t="shared" ca="1" si="40"/>
        <v>0</v>
      </c>
      <c r="AQ68" s="1951">
        <f t="shared" ca="1" si="41"/>
        <v>7.9585637399999998</v>
      </c>
      <c r="AR68" s="14"/>
      <c r="AS68" s="1948">
        <f ca="1">IFERROR(INDEX(INDIRECT($C68&amp;".Outputs["&amp;this.Year&amp;"]"), MATCH(AS$5, INDIRECT($C68&amp;".Outputs[Vector]"), 0)), 0)</f>
        <v>0</v>
      </c>
      <c r="AT68" s="1948">
        <f t="shared" ca="1" si="42"/>
        <v>0</v>
      </c>
      <c r="AU68" s="1948">
        <f t="shared" ca="1" si="42"/>
        <v>0</v>
      </c>
      <c r="AV68" s="1948">
        <f t="shared" ca="1" si="42"/>
        <v>0</v>
      </c>
      <c r="AW68" s="1948">
        <f t="shared" ca="1" si="42"/>
        <v>0</v>
      </c>
      <c r="AX68" s="1948">
        <f t="shared" ca="1" si="42"/>
        <v>0</v>
      </c>
      <c r="AY68" s="1948">
        <f t="shared" ca="1" si="42"/>
        <v>0</v>
      </c>
      <c r="AZ68" s="1948">
        <f t="shared" ca="1" si="42"/>
        <v>0</v>
      </c>
      <c r="BA68" s="1948">
        <f t="shared" ca="1" si="42"/>
        <v>0</v>
      </c>
      <c r="BB68" s="1948">
        <f t="shared" ca="1" si="42"/>
        <v>0</v>
      </c>
      <c r="BC68" s="1948">
        <f t="shared" ca="1" si="43"/>
        <v>-8.1523799999999991</v>
      </c>
      <c r="BD68" s="1948">
        <f t="shared" ca="1" si="43"/>
        <v>0</v>
      </c>
      <c r="BE68" s="1948">
        <f t="shared" ca="1" si="43"/>
        <v>0</v>
      </c>
      <c r="BF68" s="1948">
        <f t="shared" ca="1" si="43"/>
        <v>0</v>
      </c>
      <c r="BG68" s="1948">
        <f t="shared" ca="1" si="43"/>
        <v>0</v>
      </c>
      <c r="BH68" s="1948">
        <f t="shared" ca="1" si="43"/>
        <v>0</v>
      </c>
      <c r="BI68" s="1948">
        <f t="shared" ca="1" si="43"/>
        <v>0</v>
      </c>
      <c r="BJ68" s="1948">
        <f t="shared" ca="1" si="43"/>
        <v>0</v>
      </c>
      <c r="BK68" s="1948">
        <f t="shared" ca="1" si="43"/>
        <v>0</v>
      </c>
      <c r="BL68" s="1952">
        <f t="shared" ca="1" si="44"/>
        <v>-8.1523799999999991</v>
      </c>
      <c r="BM68" s="14"/>
      <c r="BN68" s="1941">
        <f t="shared" ca="1" si="45"/>
        <v>0.19381625999999999</v>
      </c>
      <c r="BO68" s="1941">
        <f t="shared" ca="1" si="45"/>
        <v>0</v>
      </c>
      <c r="BP68" s="1505">
        <f t="shared" ca="1" si="46"/>
        <v>0.19381625999999999</v>
      </c>
      <c r="BQ68" s="14"/>
      <c r="BR68" s="3168">
        <f t="shared" ca="1" si="12"/>
        <v>6.9388939039072284E-16</v>
      </c>
      <c r="BS68" s="1525"/>
      <c r="BT68" s="748"/>
      <c r="BU68" s="1507"/>
      <c r="BV68" s="1508"/>
      <c r="BW68" s="1508"/>
      <c r="BX68" s="1508"/>
      <c r="BY68" s="1508"/>
      <c r="BZ68" s="1508"/>
      <c r="CA68" s="1508"/>
      <c r="CB68" s="1508"/>
      <c r="CC68" s="1508"/>
      <c r="CD68" s="1508"/>
      <c r="CE68" s="1508"/>
      <c r="CF68" s="1508"/>
      <c r="CG68" s="1508"/>
      <c r="CH68" s="1508"/>
      <c r="CI68" s="1508"/>
      <c r="CJ68" s="1508"/>
      <c r="CK68" s="1508"/>
      <c r="CL68" s="1508"/>
      <c r="CM68" s="1508"/>
      <c r="CN68" s="1508"/>
      <c r="CO68" s="1508"/>
      <c r="CP68" s="1508"/>
      <c r="CQ68" s="1508"/>
      <c r="CR68" s="1508"/>
      <c r="CS68" s="1508"/>
      <c r="CT68" s="1508"/>
      <c r="CU68" s="1508"/>
      <c r="CV68" s="1508"/>
      <c r="CW68" s="1508"/>
      <c r="CX68" s="1508"/>
      <c r="CY68" s="1508"/>
      <c r="CZ68" s="1508"/>
      <c r="DA68" s="1508"/>
      <c r="DB68" s="1508"/>
      <c r="DC68" s="1508"/>
      <c r="DD68" s="1508"/>
      <c r="DE68" s="1508"/>
      <c r="DF68" s="1508"/>
      <c r="DG68" s="1508"/>
      <c r="DH68" s="1508"/>
      <c r="DI68" s="1508"/>
      <c r="DJ68" s="1508"/>
      <c r="DK68" s="1508"/>
      <c r="DL68" s="1508"/>
      <c r="DN68" s="1509"/>
    </row>
    <row r="69" spans="1:118" s="14" customFormat="1" ht="12.75" customHeight="1" outlineLevel="1" x14ac:dyDescent="0.2">
      <c r="A69" s="1522"/>
      <c r="B69" s="1522"/>
      <c r="C69" s="1496"/>
      <c r="E69" s="1526"/>
      <c r="G69" s="1540"/>
      <c r="H69" s="1540"/>
      <c r="I69" s="1540"/>
      <c r="J69" s="1540"/>
      <c r="K69" s="1540"/>
      <c r="L69" s="1540"/>
      <c r="M69" s="1540"/>
      <c r="N69" s="1540"/>
      <c r="O69" s="1540"/>
      <c r="P69" s="1540"/>
      <c r="Q69" s="1540"/>
      <c r="R69" s="1540"/>
      <c r="S69" s="1540"/>
      <c r="T69" s="1540"/>
      <c r="U69" s="1540"/>
      <c r="V69" s="1540"/>
      <c r="W69" s="1527"/>
      <c r="Y69" s="1541">
        <f ca="1">IFERROR(INDEX(INDIRECT($C69&amp;".Outputs["&amp;this.Year&amp;"]"), MATCH(Y$5, INDIRECT($C69&amp;".Outputs[Vector]"), 0)), 0)</f>
        <v>0</v>
      </c>
      <c r="Z69" s="1541">
        <f t="shared" ca="1" si="39"/>
        <v>0</v>
      </c>
      <c r="AA69" s="1541">
        <f t="shared" ca="1" si="39"/>
        <v>0</v>
      </c>
      <c r="AB69" s="1541">
        <f t="shared" ca="1" si="39"/>
        <v>0</v>
      </c>
      <c r="AC69" s="1541">
        <f t="shared" ca="1" si="39"/>
        <v>0</v>
      </c>
      <c r="AD69" s="1541">
        <f t="shared" ca="1" si="39"/>
        <v>0</v>
      </c>
      <c r="AE69" s="1541">
        <f t="shared" ca="1" si="39"/>
        <v>0</v>
      </c>
      <c r="AF69" s="1541">
        <f t="shared" ca="1" si="39"/>
        <v>0</v>
      </c>
      <c r="AG69" s="1541">
        <f t="shared" ca="1" si="39"/>
        <v>0</v>
      </c>
      <c r="AH69" s="1541">
        <f t="shared" ca="1" si="39"/>
        <v>0</v>
      </c>
      <c r="AI69" s="1541">
        <f t="shared" ca="1" si="39"/>
        <v>0</v>
      </c>
      <c r="AJ69" s="1541">
        <f t="shared" ca="1" si="39"/>
        <v>0</v>
      </c>
      <c r="AK69" s="1541">
        <f t="shared" ca="1" si="40"/>
        <v>0</v>
      </c>
      <c r="AL69" s="1541">
        <f t="shared" ca="1" si="39"/>
        <v>0</v>
      </c>
      <c r="AM69" s="1541">
        <f t="shared" ca="1" si="39"/>
        <v>0</v>
      </c>
      <c r="AN69" s="1541">
        <f t="shared" ca="1" si="39"/>
        <v>0</v>
      </c>
      <c r="AO69" s="1541">
        <f t="shared" ca="1" si="40"/>
        <v>0</v>
      </c>
      <c r="AP69" s="1541">
        <f t="shared" ca="1" si="40"/>
        <v>0</v>
      </c>
      <c r="AQ69" s="1951">
        <f t="shared" ca="1" si="41"/>
        <v>0</v>
      </c>
      <c r="AS69" s="1542">
        <f ca="1">IFERROR(INDEX(INDIRECT($C69&amp;".Outputs["&amp;this.Year&amp;"]"), MATCH(AS$5, INDIRECT($C69&amp;".Outputs[Vector]"), 0)), 0)</f>
        <v>0</v>
      </c>
      <c r="AT69" s="1542">
        <f t="shared" ca="1" si="42"/>
        <v>0</v>
      </c>
      <c r="AU69" s="1542">
        <f t="shared" ca="1" si="42"/>
        <v>0</v>
      </c>
      <c r="AV69" s="1542">
        <f t="shared" ca="1" si="42"/>
        <v>0</v>
      </c>
      <c r="AW69" s="1542">
        <f t="shared" ca="1" si="42"/>
        <v>0</v>
      </c>
      <c r="AX69" s="1542">
        <f t="shared" ca="1" si="42"/>
        <v>0</v>
      </c>
      <c r="AY69" s="1542">
        <f t="shared" ca="1" si="42"/>
        <v>0</v>
      </c>
      <c r="AZ69" s="1542">
        <f t="shared" ca="1" si="42"/>
        <v>0</v>
      </c>
      <c r="BA69" s="1542">
        <f t="shared" ca="1" si="42"/>
        <v>0</v>
      </c>
      <c r="BB69" s="1542">
        <f t="shared" ca="1" si="42"/>
        <v>0</v>
      </c>
      <c r="BC69" s="1542">
        <f t="shared" ca="1" si="42"/>
        <v>0</v>
      </c>
      <c r="BD69" s="1542">
        <f t="shared" ca="1" si="42"/>
        <v>0</v>
      </c>
      <c r="BE69" s="1542">
        <f t="shared" ca="1" si="42"/>
        <v>0</v>
      </c>
      <c r="BF69" s="1542">
        <f t="shared" ca="1" si="42"/>
        <v>0</v>
      </c>
      <c r="BG69" s="1542">
        <f t="shared" ca="1" si="42"/>
        <v>0</v>
      </c>
      <c r="BH69" s="1542">
        <f t="shared" ca="1" si="42"/>
        <v>0</v>
      </c>
      <c r="BI69" s="1542">
        <f t="shared" ca="1" si="43"/>
        <v>0</v>
      </c>
      <c r="BJ69" s="1542">
        <f t="shared" ca="1" si="43"/>
        <v>0</v>
      </c>
      <c r="BK69" s="1542">
        <f t="shared" ca="1" si="43"/>
        <v>0</v>
      </c>
      <c r="BL69" s="1952">
        <f t="shared" ca="1" si="44"/>
        <v>0</v>
      </c>
      <c r="BN69" s="1543"/>
      <c r="BO69" s="1543"/>
      <c r="BP69" s="1531"/>
      <c r="BR69" s="3168">
        <f t="shared" ca="1" si="12"/>
        <v>0</v>
      </c>
      <c r="BS69" s="1525"/>
      <c r="BT69" s="748"/>
      <c r="BU69" s="1532">
        <v>0</v>
      </c>
      <c r="BV69" s="1533">
        <v>0</v>
      </c>
      <c r="BW69" s="1533">
        <v>0</v>
      </c>
      <c r="BX69" s="1533">
        <v>0</v>
      </c>
      <c r="BY69" s="1533">
        <v>0</v>
      </c>
      <c r="BZ69" s="1533">
        <v>0</v>
      </c>
      <c r="CA69" s="1533">
        <v>0</v>
      </c>
      <c r="CB69" s="1533">
        <v>0</v>
      </c>
      <c r="CC69" s="1533">
        <v>0</v>
      </c>
      <c r="CD69" s="1533">
        <v>0</v>
      </c>
      <c r="CE69" s="1533">
        <v>0</v>
      </c>
      <c r="CF69" s="1533">
        <v>0</v>
      </c>
      <c r="CG69" s="1533">
        <v>0</v>
      </c>
      <c r="CH69" s="1533">
        <v>0</v>
      </c>
      <c r="CI69" s="1533">
        <v>0</v>
      </c>
      <c r="CJ69" s="1533">
        <v>0</v>
      </c>
      <c r="CK69" s="1533">
        <v>0</v>
      </c>
      <c r="CL69" s="1533">
        <v>0</v>
      </c>
      <c r="CM69" s="1533">
        <v>0</v>
      </c>
      <c r="CN69" s="1533">
        <v>0</v>
      </c>
      <c r="CO69" s="1533">
        <v>0</v>
      </c>
      <c r="CP69" s="1533">
        <v>0</v>
      </c>
      <c r="CQ69" s="1533">
        <v>0</v>
      </c>
      <c r="CR69" s="1533">
        <v>0</v>
      </c>
      <c r="CS69" s="1533">
        <v>0</v>
      </c>
      <c r="CT69" s="1533">
        <v>0</v>
      </c>
      <c r="CU69" s="1533">
        <v>0</v>
      </c>
      <c r="CV69" s="1533">
        <v>0</v>
      </c>
      <c r="CW69" s="1533">
        <v>0</v>
      </c>
      <c r="CX69" s="1533">
        <v>0</v>
      </c>
      <c r="CY69" s="1533">
        <v>0</v>
      </c>
      <c r="CZ69" s="1533">
        <v>0</v>
      </c>
      <c r="DA69" s="1533">
        <v>0</v>
      </c>
      <c r="DB69" s="1533">
        <v>0</v>
      </c>
      <c r="DC69" s="1533">
        <v>0</v>
      </c>
      <c r="DD69" s="1533">
        <v>0</v>
      </c>
      <c r="DE69" s="1533">
        <v>0</v>
      </c>
      <c r="DF69" s="1533">
        <v>0</v>
      </c>
      <c r="DG69" s="1533">
        <v>0</v>
      </c>
      <c r="DH69" s="1533">
        <v>0</v>
      </c>
      <c r="DI69" s="1533">
        <v>0</v>
      </c>
      <c r="DJ69" s="1533">
        <v>0</v>
      </c>
      <c r="DK69" s="1533">
        <v>0</v>
      </c>
      <c r="DL69" s="1533">
        <v>0</v>
      </c>
      <c r="DN69" s="1509">
        <v>0</v>
      </c>
    </row>
    <row r="70" spans="1:118" s="14" customFormat="1" ht="15.75" x14ac:dyDescent="0.2">
      <c r="A70" s="1534"/>
      <c r="B70" s="1535"/>
      <c r="C70" s="1536" t="s">
        <v>206</v>
      </c>
      <c r="D70" s="1537" t="str">
        <f>INDEX(Flujos[Flujos], MATCH($C70, Flujos[Código], 0))</f>
        <v>Energía Renovable</v>
      </c>
      <c r="E70" s="1538"/>
      <c r="G70" s="1488"/>
      <c r="H70" s="1488"/>
      <c r="I70" s="1488"/>
      <c r="J70" s="1488"/>
      <c r="K70" s="1488"/>
      <c r="L70" s="1488"/>
      <c r="M70" s="1488"/>
      <c r="N70" s="1488"/>
      <c r="O70" s="1488"/>
      <c r="P70" s="1488"/>
      <c r="Q70" s="1488"/>
      <c r="R70" s="1488"/>
      <c r="S70" s="1488"/>
      <c r="T70" s="1488"/>
      <c r="U70" s="1488"/>
      <c r="V70" s="1488"/>
      <c r="W70" s="1539"/>
      <c r="Y70" s="1490">
        <f ca="1">SUM(Y62:Y69)</f>
        <v>0</v>
      </c>
      <c r="Z70" s="1490">
        <f t="shared" ref="Z70:AP70" ca="1" si="47">SUM(Z62:Z69)</f>
        <v>38.732799270000001</v>
      </c>
      <c r="AA70" s="1490">
        <f t="shared" ca="1" si="47"/>
        <v>0</v>
      </c>
      <c r="AB70" s="1490">
        <f t="shared" ca="1" si="47"/>
        <v>0</v>
      </c>
      <c r="AC70" s="1490">
        <f t="shared" ca="1" si="47"/>
        <v>0</v>
      </c>
      <c r="AD70" s="1490">
        <f t="shared" ca="1" si="47"/>
        <v>0</v>
      </c>
      <c r="AE70" s="1490">
        <f t="shared" ca="1" si="47"/>
        <v>0</v>
      </c>
      <c r="AF70" s="1490">
        <f t="shared" ca="1" si="47"/>
        <v>0</v>
      </c>
      <c r="AG70" s="1490">
        <f t="shared" ca="1" si="47"/>
        <v>0</v>
      </c>
      <c r="AH70" s="1490">
        <f t="shared" ca="1" si="47"/>
        <v>0</v>
      </c>
      <c r="AI70" s="1490">
        <f t="shared" ca="1" si="47"/>
        <v>0</v>
      </c>
      <c r="AJ70" s="1490">
        <f t="shared" ca="1" si="47"/>
        <v>0</v>
      </c>
      <c r="AK70" s="1490">
        <f t="shared" ca="1" si="47"/>
        <v>0</v>
      </c>
      <c r="AL70" s="1490">
        <f t="shared" ca="1" si="47"/>
        <v>0</v>
      </c>
      <c r="AM70" s="1490">
        <f t="shared" ca="1" si="47"/>
        <v>0</v>
      </c>
      <c r="AN70" s="1490">
        <f t="shared" ca="1" si="47"/>
        <v>0</v>
      </c>
      <c r="AO70" s="1490">
        <f t="shared" ca="1" si="47"/>
        <v>0</v>
      </c>
      <c r="AP70" s="1490">
        <f t="shared" ca="1" si="47"/>
        <v>0</v>
      </c>
      <c r="AQ70" s="1893">
        <f t="shared" ca="1" si="41"/>
        <v>38.732799270000001</v>
      </c>
      <c r="AS70" s="1491">
        <f ca="1">SUM(AS62:AS69)</f>
        <v>0</v>
      </c>
      <c r="AT70" s="1491">
        <f t="shared" ref="AT70:BK70" ca="1" si="48">SUM(AT62:AT69)</f>
        <v>0</v>
      </c>
      <c r="AU70" s="1491">
        <f t="shared" ca="1" si="48"/>
        <v>0</v>
      </c>
      <c r="AV70" s="1491">
        <f t="shared" ca="1" si="48"/>
        <v>0</v>
      </c>
      <c r="AW70" s="1491">
        <f t="shared" ca="1" si="48"/>
        <v>0</v>
      </c>
      <c r="AX70" s="1491">
        <f t="shared" ca="1" si="48"/>
        <v>0</v>
      </c>
      <c r="AY70" s="1491">
        <f t="shared" ca="1" si="48"/>
        <v>0</v>
      </c>
      <c r="AZ70" s="1491">
        <f t="shared" ca="1" si="48"/>
        <v>0</v>
      </c>
      <c r="BA70" s="1491">
        <f t="shared" ca="1" si="48"/>
        <v>0</v>
      </c>
      <c r="BB70" s="1491">
        <f t="shared" ca="1" si="48"/>
        <v>0</v>
      </c>
      <c r="BC70" s="1491">
        <f t="shared" ca="1" si="48"/>
        <v>-8.1523799999999991</v>
      </c>
      <c r="BD70" s="1491">
        <f t="shared" ca="1" si="48"/>
        <v>-5.2392719999999988</v>
      </c>
      <c r="BE70" s="1491">
        <f t="shared" ca="1" si="48"/>
        <v>-1.2425805000000002E-2</v>
      </c>
      <c r="BF70" s="1491">
        <f t="shared" ca="1" si="48"/>
        <v>-6.9032249999999998E-3</v>
      </c>
      <c r="BG70" s="1491">
        <f t="shared" ca="1" si="48"/>
        <v>-0.35064000000000006</v>
      </c>
      <c r="BH70" s="1491">
        <f t="shared" ca="1" si="48"/>
        <v>-25.164994499999999</v>
      </c>
      <c r="BI70" s="1491">
        <f t="shared" ca="1" si="48"/>
        <v>0</v>
      </c>
      <c r="BJ70" s="1491">
        <f t="shared" ca="1" si="48"/>
        <v>0</v>
      </c>
      <c r="BK70" s="1491">
        <f t="shared" ca="1" si="48"/>
        <v>0</v>
      </c>
      <c r="BL70" s="1952">
        <f t="shared" ca="1" si="44"/>
        <v>-38.926615529999992</v>
      </c>
      <c r="BN70" s="1941">
        <f ca="1">SUM(BN62:BN68)</f>
        <v>0.19381625999999999</v>
      </c>
      <c r="BO70" s="1941">
        <f ca="1">SUM(BO62:BO68)</f>
        <v>0</v>
      </c>
      <c r="BP70" s="1505">
        <f ca="1">BN70+BO70</f>
        <v>0.19381625999999999</v>
      </c>
      <c r="BR70" s="3168">
        <f t="shared" ca="1" si="12"/>
        <v>8.6874951676918499E-15</v>
      </c>
      <c r="BS70" s="1493"/>
      <c r="BT70" s="748"/>
      <c r="BU70" s="1508">
        <v>0</v>
      </c>
      <c r="BV70" s="1508">
        <v>0</v>
      </c>
      <c r="BW70" s="1508">
        <v>0</v>
      </c>
      <c r="BX70" s="1508">
        <v>0</v>
      </c>
      <c r="BY70" s="1508">
        <v>0</v>
      </c>
      <c r="BZ70" s="1508">
        <v>0</v>
      </c>
      <c r="CA70" s="1508">
        <v>0</v>
      </c>
      <c r="CB70" s="1508">
        <v>0</v>
      </c>
      <c r="CC70" s="1508">
        <v>0</v>
      </c>
      <c r="CD70" s="1508">
        <v>0</v>
      </c>
      <c r="CE70" s="1508">
        <v>0</v>
      </c>
      <c r="CF70" s="1508">
        <v>0</v>
      </c>
      <c r="CG70" s="1508">
        <v>0</v>
      </c>
      <c r="CH70" s="1508">
        <v>0</v>
      </c>
      <c r="CI70" s="1508">
        <v>0</v>
      </c>
      <c r="CJ70" s="1508">
        <v>0</v>
      </c>
      <c r="CK70" s="1508">
        <v>0</v>
      </c>
      <c r="CL70" s="1508">
        <v>0</v>
      </c>
      <c r="CM70" s="1508">
        <v>0</v>
      </c>
      <c r="CN70" s="1508">
        <v>0</v>
      </c>
      <c r="CO70" s="1508">
        <v>0</v>
      </c>
      <c r="CP70" s="1508">
        <v>0</v>
      </c>
      <c r="CQ70" s="1508">
        <v>0</v>
      </c>
      <c r="CR70" s="1508">
        <v>0</v>
      </c>
      <c r="CS70" s="1508">
        <v>0</v>
      </c>
      <c r="CT70" s="1508">
        <v>0</v>
      </c>
      <c r="CU70" s="1508">
        <v>0</v>
      </c>
      <c r="CV70" s="1508">
        <v>0</v>
      </c>
      <c r="CW70" s="1508">
        <v>0</v>
      </c>
      <c r="CX70" s="1508">
        <v>0</v>
      </c>
      <c r="CY70" s="1508">
        <v>0</v>
      </c>
      <c r="CZ70" s="1508">
        <v>0</v>
      </c>
      <c r="DA70" s="1508">
        <v>0</v>
      </c>
      <c r="DB70" s="1508">
        <v>0</v>
      </c>
      <c r="DC70" s="1508">
        <v>0</v>
      </c>
      <c r="DD70" s="1508">
        <v>0</v>
      </c>
      <c r="DE70" s="1508">
        <v>0</v>
      </c>
      <c r="DF70" s="1508">
        <v>0</v>
      </c>
      <c r="DG70" s="1508">
        <v>0</v>
      </c>
      <c r="DH70" s="1508">
        <v>0</v>
      </c>
      <c r="DI70" s="1508">
        <v>0</v>
      </c>
      <c r="DJ70" s="1508">
        <v>0</v>
      </c>
      <c r="DK70" s="1508">
        <v>0</v>
      </c>
      <c r="DL70" s="1508">
        <v>0</v>
      </c>
      <c r="DN70" s="1509">
        <v>0</v>
      </c>
    </row>
    <row r="71" spans="1:118" s="14" customFormat="1" ht="15.75" x14ac:dyDescent="0.2">
      <c r="A71" s="1534"/>
      <c r="B71" s="1535"/>
      <c r="C71" s="1536"/>
      <c r="D71" s="1537"/>
      <c r="E71" s="1538"/>
      <c r="G71" s="1488"/>
      <c r="H71" s="1488"/>
      <c r="I71" s="1488"/>
      <c r="J71" s="1488"/>
      <c r="K71" s="1488"/>
      <c r="L71" s="1488"/>
      <c r="M71" s="1488"/>
      <c r="N71" s="1488"/>
      <c r="O71" s="1488"/>
      <c r="P71" s="1488"/>
      <c r="Q71" s="1488"/>
      <c r="R71" s="1488"/>
      <c r="S71" s="1488"/>
      <c r="T71" s="1488"/>
      <c r="U71" s="1488"/>
      <c r="V71" s="1488"/>
      <c r="W71" s="1539"/>
      <c r="Y71" s="1490"/>
      <c r="Z71" s="1490"/>
      <c r="AA71" s="1490"/>
      <c r="AB71" s="1490"/>
      <c r="AC71" s="1490"/>
      <c r="AD71" s="1490"/>
      <c r="AE71" s="1490"/>
      <c r="AF71" s="1490"/>
      <c r="AG71" s="1490"/>
      <c r="AH71" s="1490"/>
      <c r="AI71" s="1490"/>
      <c r="AJ71" s="1490"/>
      <c r="AK71" s="1490"/>
      <c r="AL71" s="1490"/>
      <c r="AM71" s="1490"/>
      <c r="AN71" s="1490"/>
      <c r="AO71" s="1490"/>
      <c r="AP71" s="1490"/>
      <c r="AQ71" s="1893"/>
      <c r="AS71" s="1491"/>
      <c r="AT71" s="1491"/>
      <c r="AU71" s="1491"/>
      <c r="AV71" s="1491"/>
      <c r="AW71" s="1491"/>
      <c r="AX71" s="1491"/>
      <c r="AY71" s="1491"/>
      <c r="AZ71" s="1491"/>
      <c r="BA71" s="1491"/>
      <c r="BB71" s="1491"/>
      <c r="BC71" s="1491"/>
      <c r="BD71" s="1491"/>
      <c r="BE71" s="1491"/>
      <c r="BF71" s="1491"/>
      <c r="BG71" s="1491"/>
      <c r="BH71" s="1491"/>
      <c r="BI71" s="1491"/>
      <c r="BJ71" s="1491"/>
      <c r="BK71" s="1491"/>
      <c r="BL71" s="1491"/>
      <c r="BN71" s="1492"/>
      <c r="BO71" s="1492"/>
      <c r="BP71" s="1492"/>
      <c r="BR71" s="3168"/>
      <c r="BS71" s="1493"/>
      <c r="BT71" s="748"/>
      <c r="BU71" s="1508"/>
      <c r="BV71" s="1508"/>
      <c r="BW71" s="1508"/>
      <c r="BX71" s="1508"/>
      <c r="BY71" s="1508"/>
      <c r="BZ71" s="1508"/>
      <c r="CA71" s="1508"/>
      <c r="CB71" s="1508"/>
      <c r="CC71" s="1508"/>
      <c r="CD71" s="1508"/>
      <c r="CE71" s="1508"/>
      <c r="CF71" s="1508"/>
      <c r="CG71" s="1508"/>
      <c r="CH71" s="1508"/>
      <c r="CI71" s="1508"/>
      <c r="CJ71" s="1508"/>
      <c r="CK71" s="1508"/>
      <c r="CL71" s="1508"/>
      <c r="CM71" s="1508"/>
      <c r="CN71" s="1508"/>
      <c r="CO71" s="1508"/>
      <c r="CP71" s="1508"/>
      <c r="CQ71" s="1508"/>
      <c r="CR71" s="1508"/>
      <c r="CS71" s="1508"/>
      <c r="CT71" s="1508"/>
      <c r="CU71" s="1508"/>
      <c r="CV71" s="1508"/>
      <c r="CW71" s="1508"/>
      <c r="CX71" s="1508"/>
      <c r="CY71" s="1508"/>
      <c r="CZ71" s="1508"/>
      <c r="DA71" s="1508"/>
      <c r="DB71" s="1508"/>
      <c r="DC71" s="1508"/>
      <c r="DD71" s="1508"/>
      <c r="DE71" s="1508"/>
      <c r="DF71" s="1508"/>
      <c r="DG71" s="1508"/>
      <c r="DH71" s="1508"/>
      <c r="DI71" s="1508"/>
      <c r="DJ71" s="1508"/>
      <c r="DK71" s="1508"/>
      <c r="DL71" s="1508"/>
      <c r="DN71" s="1509"/>
    </row>
    <row r="72" spans="1:118" s="14" customFormat="1" ht="12.75" customHeight="1" outlineLevel="1" x14ac:dyDescent="0.2">
      <c r="A72" s="1534"/>
      <c r="B72" s="1534"/>
      <c r="C72" s="1544"/>
      <c r="D72" s="1538"/>
      <c r="E72" s="1538"/>
      <c r="G72" s="1488"/>
      <c r="H72" s="1488"/>
      <c r="I72" s="1488"/>
      <c r="J72" s="1488"/>
      <c r="K72" s="1488"/>
      <c r="L72" s="1488"/>
      <c r="M72" s="1488"/>
      <c r="N72" s="1488"/>
      <c r="O72" s="1563"/>
      <c r="P72" s="1488"/>
      <c r="Q72" s="1488"/>
      <c r="R72" s="1488"/>
      <c r="S72" s="1488"/>
      <c r="T72" s="1488"/>
      <c r="U72" s="1488"/>
      <c r="V72" s="1488"/>
      <c r="W72" s="1488"/>
      <c r="Y72" s="1490"/>
      <c r="Z72" s="1490"/>
      <c r="AA72" s="1490"/>
      <c r="AB72" s="1490"/>
      <c r="AC72" s="1490"/>
      <c r="AD72" s="1490"/>
      <c r="AE72" s="1490"/>
      <c r="AF72" s="1490"/>
      <c r="AG72" s="1490"/>
      <c r="AH72" s="1490"/>
      <c r="AI72" s="1490"/>
      <c r="AJ72" s="1490"/>
      <c r="AK72" s="1490"/>
      <c r="AL72" s="1490"/>
      <c r="AM72" s="1490"/>
      <c r="AN72" s="1490"/>
      <c r="AO72" s="1490"/>
      <c r="AP72" s="1490"/>
      <c r="AQ72" s="1893"/>
      <c r="AS72" s="1491"/>
      <c r="AT72" s="1491"/>
      <c r="AU72" s="1491"/>
      <c r="AV72" s="1491"/>
      <c r="AW72" s="1491"/>
      <c r="AX72" s="1491"/>
      <c r="AY72" s="1491"/>
      <c r="AZ72" s="1491"/>
      <c r="BA72" s="1491"/>
      <c r="BB72" s="1491"/>
      <c r="BC72" s="1491"/>
      <c r="BD72" s="1491"/>
      <c r="BE72" s="1491"/>
      <c r="BF72" s="1491"/>
      <c r="BG72" s="1491"/>
      <c r="BH72" s="1491"/>
      <c r="BI72" s="1491"/>
      <c r="BJ72" s="1491"/>
      <c r="BK72" s="1491"/>
      <c r="BL72" s="1491"/>
      <c r="BN72" s="1492"/>
      <c r="BO72" s="1492"/>
      <c r="BP72" s="1492"/>
      <c r="BR72" s="3168">
        <f t="shared" si="12"/>
        <v>0</v>
      </c>
      <c r="BS72" s="1493"/>
      <c r="BT72" s="1534"/>
      <c r="BU72" s="1508"/>
      <c r="BV72" s="1508"/>
      <c r="BW72" s="1508"/>
      <c r="BX72" s="1508"/>
      <c r="BY72" s="1508"/>
      <c r="BZ72" s="1508"/>
      <c r="CA72" s="1508"/>
      <c r="CB72" s="1508"/>
      <c r="CC72" s="1508"/>
      <c r="CD72" s="1508"/>
      <c r="CE72" s="1508"/>
      <c r="CF72" s="1508"/>
      <c r="CG72" s="1508"/>
      <c r="CH72" s="1508"/>
      <c r="CI72" s="1508"/>
      <c r="CJ72" s="1508"/>
      <c r="CK72" s="1508"/>
      <c r="CL72" s="1508"/>
      <c r="CM72" s="1508"/>
      <c r="CN72" s="1508"/>
      <c r="CO72" s="1508"/>
      <c r="CP72" s="1508"/>
      <c r="CQ72" s="1508"/>
      <c r="CR72" s="1508"/>
      <c r="CS72" s="1508"/>
      <c r="CT72" s="1508"/>
      <c r="CU72" s="1508"/>
      <c r="CV72" s="1508"/>
      <c r="CW72" s="1508"/>
      <c r="CX72" s="1508"/>
      <c r="CY72" s="1508"/>
      <c r="CZ72" s="1508"/>
      <c r="DA72" s="1508"/>
      <c r="DB72" s="1508"/>
      <c r="DC72" s="1508"/>
      <c r="DD72" s="1508"/>
      <c r="DE72" s="1508"/>
      <c r="DF72" s="1508"/>
      <c r="DG72" s="1508"/>
      <c r="DH72" s="1508"/>
      <c r="DI72" s="1508"/>
      <c r="DJ72" s="1508"/>
      <c r="DK72" s="1508"/>
      <c r="DL72" s="1508"/>
      <c r="DN72" s="1509">
        <v>0</v>
      </c>
    </row>
    <row r="73" spans="1:118" s="1522" customFormat="1" ht="12.75" customHeight="1" outlineLevel="1" x14ac:dyDescent="0.2">
      <c r="C73" s="1496" t="s">
        <v>62</v>
      </c>
      <c r="D73" s="14" t="str">
        <f>INDEX(Modulos[Modulos], MATCH($C73, Modulos[Código], 0))</f>
        <v>Solar de menor escala (GD)</v>
      </c>
      <c r="E73" s="1497"/>
      <c r="G73" s="1581"/>
      <c r="H73" s="1581"/>
      <c r="I73" s="1581"/>
      <c r="J73" s="1581"/>
      <c r="K73" s="1581"/>
      <c r="L73" s="1581"/>
      <c r="M73" s="1581"/>
      <c r="N73" s="1581"/>
      <c r="O73" s="1582"/>
      <c r="P73" s="1581"/>
      <c r="Q73" s="1581"/>
      <c r="R73" s="1581"/>
      <c r="S73" s="1581"/>
      <c r="T73" s="1581"/>
      <c r="U73" s="1581"/>
      <c r="V73" s="1581"/>
      <c r="W73" s="1583"/>
      <c r="Y73" s="1893">
        <f t="shared" ref="Y73:AH74" ca="1" si="49">IFERROR(INDEX(INDIRECT($C73&amp;".Outputs["&amp;this.Year&amp;"]"), MATCH(Y$5, INDIRECT($C73&amp;".Outputs[Vector]"), 0)), 0)</f>
        <v>0</v>
      </c>
      <c r="Z73" s="1893">
        <f t="shared" ca="1" si="49"/>
        <v>0.20539354278862565</v>
      </c>
      <c r="AA73" s="1893">
        <f t="shared" ca="1" si="49"/>
        <v>0</v>
      </c>
      <c r="AB73" s="1893">
        <f t="shared" ca="1" si="49"/>
        <v>0</v>
      </c>
      <c r="AC73" s="1893">
        <f t="shared" ca="1" si="49"/>
        <v>0</v>
      </c>
      <c r="AD73" s="1893">
        <f t="shared" ca="1" si="49"/>
        <v>0</v>
      </c>
      <c r="AE73" s="1893">
        <f t="shared" ca="1" si="49"/>
        <v>0</v>
      </c>
      <c r="AF73" s="1893">
        <f t="shared" ca="1" si="49"/>
        <v>0</v>
      </c>
      <c r="AG73" s="1893">
        <f t="shared" ca="1" si="49"/>
        <v>0</v>
      </c>
      <c r="AH73" s="1893">
        <f t="shared" ca="1" si="49"/>
        <v>0</v>
      </c>
      <c r="AI73" s="1893">
        <f t="shared" ref="AI73:AP74" ca="1" si="50">IFERROR(INDEX(INDIRECT($C73&amp;".Outputs["&amp;this.Year&amp;"]"), MATCH(AI$5, INDIRECT($C73&amp;".Outputs[Vector]"), 0)), 0)</f>
        <v>0</v>
      </c>
      <c r="AJ73" s="1893">
        <f t="shared" ca="1" si="50"/>
        <v>0</v>
      </c>
      <c r="AK73" s="1893">
        <f t="shared" ca="1" si="50"/>
        <v>0</v>
      </c>
      <c r="AL73" s="1893">
        <f t="shared" ca="1" si="50"/>
        <v>0</v>
      </c>
      <c r="AM73" s="1893">
        <f t="shared" ca="1" si="50"/>
        <v>0</v>
      </c>
      <c r="AN73" s="1893">
        <f t="shared" ca="1" si="50"/>
        <v>0</v>
      </c>
      <c r="AO73" s="1893">
        <f t="shared" ca="1" si="50"/>
        <v>0</v>
      </c>
      <c r="AP73" s="1893">
        <f t="shared" ca="1" si="50"/>
        <v>0</v>
      </c>
      <c r="AQ73" s="1893">
        <f ca="1">SUM(Y73:AP73)</f>
        <v>0.20539354278862565</v>
      </c>
      <c r="AS73" s="1948">
        <f t="shared" ref="AS73:BB74" ca="1" si="51">IFERROR(INDEX(INDIRECT($C73&amp;".Outputs["&amp;this.Year&amp;"]"), MATCH(AS$5, INDIRECT($C73&amp;".Outputs[Vector]"), 0)), 0)</f>
        <v>0</v>
      </c>
      <c r="AT73" s="1948">
        <f t="shared" ca="1" si="51"/>
        <v>0</v>
      </c>
      <c r="AU73" s="1948">
        <f t="shared" ca="1" si="51"/>
        <v>0</v>
      </c>
      <c r="AV73" s="1948">
        <f t="shared" ca="1" si="51"/>
        <v>0</v>
      </c>
      <c r="AW73" s="1948">
        <f t="shared" ca="1" si="51"/>
        <v>0</v>
      </c>
      <c r="AX73" s="1948">
        <f t="shared" ca="1" si="51"/>
        <v>0</v>
      </c>
      <c r="AY73" s="1948">
        <f t="shared" ca="1" si="51"/>
        <v>0</v>
      </c>
      <c r="AZ73" s="1948">
        <f t="shared" ca="1" si="51"/>
        <v>0</v>
      </c>
      <c r="BA73" s="1948">
        <f t="shared" ca="1" si="51"/>
        <v>0</v>
      </c>
      <c r="BB73" s="1948">
        <f t="shared" ca="1" si="51"/>
        <v>0</v>
      </c>
      <c r="BC73" s="1948">
        <f t="shared" ref="BC73:BK74" ca="1" si="52">IFERROR(INDEX(INDIRECT($C73&amp;".Outputs["&amp;this.Year&amp;"]"), MATCH(BC$5, INDIRECT($C73&amp;".Outputs[Vector]"), 0)), 0)</f>
        <v>-0.20539354278862565</v>
      </c>
      <c r="BD73" s="1948">
        <f t="shared" ca="1" si="52"/>
        <v>0</v>
      </c>
      <c r="BE73" s="1948">
        <f t="shared" ca="1" si="52"/>
        <v>0</v>
      </c>
      <c r="BF73" s="1948">
        <f t="shared" ca="1" si="52"/>
        <v>0</v>
      </c>
      <c r="BG73" s="1948">
        <f t="shared" ca="1" si="52"/>
        <v>0</v>
      </c>
      <c r="BH73" s="1948">
        <f t="shared" ca="1" si="52"/>
        <v>0</v>
      </c>
      <c r="BI73" s="1948">
        <f t="shared" ca="1" si="52"/>
        <v>0</v>
      </c>
      <c r="BJ73" s="1948">
        <f t="shared" ca="1" si="52"/>
        <v>0</v>
      </c>
      <c r="BK73" s="1948">
        <f t="shared" ca="1" si="52"/>
        <v>0</v>
      </c>
      <c r="BL73" s="1952">
        <f ca="1">SUM(AS73:BK73)</f>
        <v>-0.20539354278862565</v>
      </c>
      <c r="BN73" s="1941">
        <f ca="1">IFERROR(INDEX(INDIRECT($C73&amp;".Outputs["&amp;this.Year&amp;"]"), MATCH(BN$5, INDIRECT($C73&amp;".Outputs[Vector]"), 0)), 0)</f>
        <v>0</v>
      </c>
      <c r="BO73" s="1941">
        <f ca="1">IFERROR(INDEX(INDIRECT($C73&amp;".Outputs["&amp;this.Year&amp;"]"), MATCH(BO$5, INDIRECT($C73&amp;".Outputs[Vector]"), 0)), 0)</f>
        <v>0</v>
      </c>
      <c r="BP73" s="1505">
        <f ca="1">BN73+BO73</f>
        <v>0</v>
      </c>
      <c r="BR73" s="3168">
        <f t="shared" ca="1" si="12"/>
        <v>0</v>
      </c>
      <c r="BS73" s="1525"/>
      <c r="BU73" s="1589">
        <v>0</v>
      </c>
      <c r="BV73" s="1589">
        <v>0</v>
      </c>
      <c r="BW73" s="1589">
        <v>0</v>
      </c>
      <c r="BX73" s="1589">
        <v>0</v>
      </c>
      <c r="BY73" s="1589">
        <v>0</v>
      </c>
      <c r="BZ73" s="1589">
        <v>0</v>
      </c>
      <c r="CA73" s="1589">
        <v>0</v>
      </c>
      <c r="CB73" s="1589">
        <v>0</v>
      </c>
      <c r="CC73" s="1589">
        <v>0</v>
      </c>
      <c r="CD73" s="1589">
        <v>0</v>
      </c>
      <c r="CE73" s="1589">
        <v>0</v>
      </c>
      <c r="CF73" s="1589">
        <v>0</v>
      </c>
      <c r="CG73" s="1589">
        <v>0</v>
      </c>
      <c r="CH73" s="1589">
        <v>0</v>
      </c>
      <c r="CI73" s="1589">
        <v>0</v>
      </c>
      <c r="CJ73" s="1589">
        <v>0</v>
      </c>
      <c r="CK73" s="1589">
        <v>0</v>
      </c>
      <c r="CL73" s="1589">
        <v>0</v>
      </c>
      <c r="CM73" s="1589">
        <v>0</v>
      </c>
      <c r="CN73" s="1589">
        <v>0</v>
      </c>
      <c r="CO73" s="1589">
        <v>0</v>
      </c>
      <c r="CP73" s="1589">
        <v>0</v>
      </c>
      <c r="CQ73" s="1589">
        <v>0</v>
      </c>
      <c r="CR73" s="1589">
        <v>0</v>
      </c>
      <c r="CS73" s="1589">
        <v>0</v>
      </c>
      <c r="CT73" s="1589">
        <v>0</v>
      </c>
      <c r="CU73" s="1589">
        <v>0</v>
      </c>
      <c r="CV73" s="1589">
        <v>0</v>
      </c>
      <c r="CW73" s="1589">
        <v>0</v>
      </c>
      <c r="CX73" s="1589">
        <v>0</v>
      </c>
      <c r="CY73" s="1589">
        <v>0</v>
      </c>
      <c r="CZ73" s="1589">
        <v>0</v>
      </c>
      <c r="DA73" s="1589">
        <v>0</v>
      </c>
      <c r="DB73" s="1589">
        <v>0</v>
      </c>
      <c r="DC73" s="1589">
        <v>0</v>
      </c>
      <c r="DD73" s="1589">
        <v>0</v>
      </c>
      <c r="DE73" s="1589">
        <v>0</v>
      </c>
      <c r="DF73" s="1589">
        <v>0</v>
      </c>
      <c r="DG73" s="1589">
        <v>0</v>
      </c>
      <c r="DH73" s="1589">
        <v>0</v>
      </c>
      <c r="DI73" s="1589">
        <v>0</v>
      </c>
      <c r="DJ73" s="1589">
        <v>0</v>
      </c>
      <c r="DK73" s="1589">
        <v>0</v>
      </c>
      <c r="DL73" s="1589">
        <v>0</v>
      </c>
      <c r="DN73" s="1590">
        <v>0</v>
      </c>
    </row>
    <row r="74" spans="1:118" s="1522" customFormat="1" ht="12.75" customHeight="1" outlineLevel="1" x14ac:dyDescent="0.2">
      <c r="C74" s="1496"/>
      <c r="D74" s="14"/>
      <c r="E74" s="1497"/>
      <c r="G74" s="1581"/>
      <c r="H74" s="1581"/>
      <c r="I74" s="1581"/>
      <c r="J74" s="1581"/>
      <c r="K74" s="1581"/>
      <c r="L74" s="1581"/>
      <c r="M74" s="1581"/>
      <c r="N74" s="1581"/>
      <c r="O74" s="1582"/>
      <c r="P74" s="1581"/>
      <c r="Q74" s="1581"/>
      <c r="R74" s="1581"/>
      <c r="S74" s="1581"/>
      <c r="T74" s="1581"/>
      <c r="U74" s="1581"/>
      <c r="V74" s="1581"/>
      <c r="W74" s="1583"/>
      <c r="Y74" s="1893">
        <f t="shared" ca="1" si="49"/>
        <v>0</v>
      </c>
      <c r="Z74" s="1893">
        <f t="shared" ca="1" si="49"/>
        <v>0</v>
      </c>
      <c r="AA74" s="1893">
        <f t="shared" ca="1" si="49"/>
        <v>0</v>
      </c>
      <c r="AB74" s="1893">
        <f t="shared" ca="1" si="49"/>
        <v>0</v>
      </c>
      <c r="AC74" s="1893">
        <f t="shared" ca="1" si="49"/>
        <v>0</v>
      </c>
      <c r="AD74" s="1893">
        <f t="shared" ca="1" si="49"/>
        <v>0</v>
      </c>
      <c r="AE74" s="1893">
        <f t="shared" ca="1" si="49"/>
        <v>0</v>
      </c>
      <c r="AF74" s="1893">
        <f t="shared" ca="1" si="49"/>
        <v>0</v>
      </c>
      <c r="AG74" s="1893">
        <f t="shared" ca="1" si="49"/>
        <v>0</v>
      </c>
      <c r="AH74" s="1893">
        <f t="shared" ca="1" si="49"/>
        <v>0</v>
      </c>
      <c r="AI74" s="1893">
        <f t="shared" ca="1" si="50"/>
        <v>0</v>
      </c>
      <c r="AJ74" s="1893">
        <f t="shared" ca="1" si="50"/>
        <v>0</v>
      </c>
      <c r="AK74" s="1893">
        <f t="shared" ca="1" si="50"/>
        <v>0</v>
      </c>
      <c r="AL74" s="1893">
        <f t="shared" ca="1" si="50"/>
        <v>0</v>
      </c>
      <c r="AM74" s="1893">
        <f t="shared" ca="1" si="50"/>
        <v>0</v>
      </c>
      <c r="AN74" s="1893">
        <f t="shared" ca="1" si="50"/>
        <v>0</v>
      </c>
      <c r="AO74" s="1893">
        <f t="shared" ca="1" si="50"/>
        <v>0</v>
      </c>
      <c r="AP74" s="1893">
        <f t="shared" ca="1" si="50"/>
        <v>0</v>
      </c>
      <c r="AQ74" s="1893">
        <f ca="1">SUM(Y74:AP74)</f>
        <v>0</v>
      </c>
      <c r="AS74" s="1948">
        <f t="shared" ca="1" si="51"/>
        <v>0</v>
      </c>
      <c r="AT74" s="1948">
        <f t="shared" ca="1" si="51"/>
        <v>0</v>
      </c>
      <c r="AU74" s="1948">
        <f t="shared" ca="1" si="51"/>
        <v>0</v>
      </c>
      <c r="AV74" s="1948">
        <f t="shared" ca="1" si="51"/>
        <v>0</v>
      </c>
      <c r="AW74" s="1948">
        <f t="shared" ca="1" si="51"/>
        <v>0</v>
      </c>
      <c r="AX74" s="1948">
        <f t="shared" ca="1" si="51"/>
        <v>0</v>
      </c>
      <c r="AY74" s="1948">
        <f t="shared" ca="1" si="51"/>
        <v>0</v>
      </c>
      <c r="AZ74" s="1948">
        <f t="shared" ca="1" si="51"/>
        <v>0</v>
      </c>
      <c r="BA74" s="1948">
        <f t="shared" ca="1" si="51"/>
        <v>0</v>
      </c>
      <c r="BB74" s="1948">
        <f t="shared" ca="1" si="51"/>
        <v>0</v>
      </c>
      <c r="BC74" s="1948">
        <f t="shared" ca="1" si="52"/>
        <v>0</v>
      </c>
      <c r="BD74" s="1948">
        <f t="shared" ca="1" si="52"/>
        <v>0</v>
      </c>
      <c r="BE74" s="1948">
        <f t="shared" ca="1" si="52"/>
        <v>0</v>
      </c>
      <c r="BF74" s="1948">
        <f t="shared" ca="1" si="52"/>
        <v>0</v>
      </c>
      <c r="BG74" s="1948">
        <f t="shared" ca="1" si="52"/>
        <v>0</v>
      </c>
      <c r="BH74" s="1948">
        <f t="shared" ca="1" si="52"/>
        <v>0</v>
      </c>
      <c r="BI74" s="1948">
        <f t="shared" ca="1" si="52"/>
        <v>0</v>
      </c>
      <c r="BJ74" s="1948">
        <f t="shared" ca="1" si="52"/>
        <v>0</v>
      </c>
      <c r="BK74" s="1948">
        <f t="shared" ca="1" si="52"/>
        <v>0</v>
      </c>
      <c r="BL74" s="1952">
        <f ca="1">SUM(AS74:BK74)</f>
        <v>0</v>
      </c>
      <c r="BN74" s="1941">
        <f ca="1">IFERROR(INDEX(INDIRECT($C74&amp;".Outputs["&amp;this.Year&amp;"]"), MATCH(BN$5, INDIRECT($C74&amp;".Outputs[Vector]"), 0)), 0)</f>
        <v>0</v>
      </c>
      <c r="BO74" s="1941">
        <f ca="1">IFERROR(INDEX(INDIRECT($C74&amp;".Outputs["&amp;this.Year&amp;"]"), MATCH(BO$5, INDIRECT($C74&amp;".Outputs[Vector]"), 0)), 0)</f>
        <v>0</v>
      </c>
      <c r="BP74" s="1505">
        <f ca="1">BN74+BO74</f>
        <v>0</v>
      </c>
      <c r="BR74" s="3168">
        <f t="shared" ca="1" si="12"/>
        <v>0</v>
      </c>
      <c r="BS74" s="1525"/>
      <c r="BU74" s="1589">
        <v>0</v>
      </c>
      <c r="BV74" s="1589">
        <v>0</v>
      </c>
      <c r="BW74" s="1589">
        <v>0</v>
      </c>
      <c r="BX74" s="1589">
        <v>0</v>
      </c>
      <c r="BY74" s="1589">
        <v>0</v>
      </c>
      <c r="BZ74" s="1589">
        <v>0</v>
      </c>
      <c r="CA74" s="1589">
        <v>0</v>
      </c>
      <c r="CB74" s="1589">
        <v>0</v>
      </c>
      <c r="CC74" s="1589">
        <v>0</v>
      </c>
      <c r="CD74" s="1589">
        <v>0</v>
      </c>
      <c r="CE74" s="1589">
        <v>0</v>
      </c>
      <c r="CF74" s="1589">
        <v>0</v>
      </c>
      <c r="CG74" s="1589">
        <v>0</v>
      </c>
      <c r="CH74" s="1589">
        <v>0</v>
      </c>
      <c r="CI74" s="1589">
        <v>0</v>
      </c>
      <c r="CJ74" s="1589">
        <v>0</v>
      </c>
      <c r="CK74" s="1589">
        <v>0</v>
      </c>
      <c r="CL74" s="1589">
        <v>0</v>
      </c>
      <c r="CM74" s="1589">
        <v>0</v>
      </c>
      <c r="CN74" s="1589">
        <v>0</v>
      </c>
      <c r="CO74" s="1589">
        <v>0</v>
      </c>
      <c r="CP74" s="1589">
        <v>0</v>
      </c>
      <c r="CQ74" s="1589">
        <v>0</v>
      </c>
      <c r="CR74" s="1589">
        <v>0</v>
      </c>
      <c r="CS74" s="1589">
        <v>0</v>
      </c>
      <c r="CT74" s="1589">
        <v>0</v>
      </c>
      <c r="CU74" s="1589">
        <v>0</v>
      </c>
      <c r="CV74" s="1589">
        <v>0</v>
      </c>
      <c r="CW74" s="1589">
        <v>0</v>
      </c>
      <c r="CX74" s="1589">
        <v>0</v>
      </c>
      <c r="CY74" s="1589">
        <v>0</v>
      </c>
      <c r="CZ74" s="1589">
        <v>0</v>
      </c>
      <c r="DA74" s="1589">
        <v>0</v>
      </c>
      <c r="DB74" s="1589">
        <v>0</v>
      </c>
      <c r="DC74" s="1589">
        <v>0</v>
      </c>
      <c r="DD74" s="1589">
        <v>0</v>
      </c>
      <c r="DE74" s="1589">
        <v>0</v>
      </c>
      <c r="DF74" s="1589">
        <v>0</v>
      </c>
      <c r="DG74" s="1589">
        <v>0</v>
      </c>
      <c r="DH74" s="1589">
        <v>0</v>
      </c>
      <c r="DI74" s="1589">
        <v>0</v>
      </c>
      <c r="DJ74" s="1589">
        <v>0</v>
      </c>
      <c r="DK74" s="1589">
        <v>0</v>
      </c>
      <c r="DL74" s="1589">
        <v>0</v>
      </c>
      <c r="DN74" s="1590">
        <v>0</v>
      </c>
    </row>
    <row r="75" spans="1:118" s="1522" customFormat="1" ht="12.75" customHeight="1" outlineLevel="1" x14ac:dyDescent="0.2">
      <c r="C75" s="1496"/>
      <c r="D75" s="1497"/>
      <c r="E75" s="1497"/>
      <c r="G75" s="1581"/>
      <c r="H75" s="1581"/>
      <c r="I75" s="1581"/>
      <c r="J75" s="1581"/>
      <c r="K75" s="1581"/>
      <c r="L75" s="1581"/>
      <c r="M75" s="1581"/>
      <c r="N75" s="1581"/>
      <c r="O75" s="1582"/>
      <c r="P75" s="1581"/>
      <c r="Q75" s="1581"/>
      <c r="R75" s="1581"/>
      <c r="S75" s="1581"/>
      <c r="T75" s="1581"/>
      <c r="U75" s="1581"/>
      <c r="V75" s="1581"/>
      <c r="W75" s="1583"/>
      <c r="Y75" s="1584"/>
      <c r="Z75" s="1584"/>
      <c r="AA75" s="1584"/>
      <c r="AB75" s="1584"/>
      <c r="AC75" s="1584"/>
      <c r="AD75" s="1584"/>
      <c r="AE75" s="1584"/>
      <c r="AF75" s="1584"/>
      <c r="AG75" s="1584"/>
      <c r="AH75" s="1584"/>
      <c r="AI75" s="1584"/>
      <c r="AJ75" s="1584"/>
      <c r="AK75" s="1584"/>
      <c r="AL75" s="1584"/>
      <c r="AM75" s="1584"/>
      <c r="AN75" s="1584"/>
      <c r="AO75" s="1584"/>
      <c r="AP75" s="1584"/>
      <c r="AQ75" s="1954"/>
      <c r="AS75" s="1586"/>
      <c r="AT75" s="1586"/>
      <c r="AU75" s="1586"/>
      <c r="AV75" s="1586"/>
      <c r="AW75" s="1586"/>
      <c r="AX75" s="1586"/>
      <c r="AY75" s="1586"/>
      <c r="AZ75" s="1586"/>
      <c r="BA75" s="1586"/>
      <c r="BB75" s="1586"/>
      <c r="BC75" s="1586"/>
      <c r="BD75" s="1586"/>
      <c r="BE75" s="1586"/>
      <c r="BF75" s="1586"/>
      <c r="BG75" s="1586"/>
      <c r="BH75" s="1586"/>
      <c r="BI75" s="1586"/>
      <c r="BJ75" s="1586"/>
      <c r="BK75" s="1586"/>
      <c r="BL75" s="1524"/>
      <c r="BN75" s="1587"/>
      <c r="BO75" s="1587"/>
      <c r="BP75" s="1588"/>
      <c r="BR75" s="3168">
        <f t="shared" si="12"/>
        <v>0</v>
      </c>
      <c r="BS75" s="1525"/>
      <c r="BU75" s="1589"/>
      <c r="BV75" s="1589"/>
      <c r="BW75" s="1589"/>
      <c r="BX75" s="1589"/>
      <c r="BY75" s="1589"/>
      <c r="BZ75" s="1589"/>
      <c r="CA75" s="1589"/>
      <c r="CB75" s="1589"/>
      <c r="CC75" s="1589"/>
      <c r="CD75" s="1589"/>
      <c r="CE75" s="1589"/>
      <c r="CF75" s="1589"/>
      <c r="CG75" s="1589"/>
      <c r="CH75" s="1589"/>
      <c r="CI75" s="1589"/>
      <c r="CJ75" s="1589"/>
      <c r="CK75" s="1589"/>
      <c r="CL75" s="1589"/>
      <c r="CM75" s="1589"/>
      <c r="CN75" s="1589"/>
      <c r="CO75" s="1589"/>
      <c r="CP75" s="1589"/>
      <c r="CQ75" s="1589"/>
      <c r="CR75" s="1589"/>
      <c r="CS75" s="1589"/>
      <c r="CT75" s="1589"/>
      <c r="CU75" s="1589"/>
      <c r="CV75" s="1589"/>
      <c r="CW75" s="1589"/>
      <c r="CX75" s="1589"/>
      <c r="CY75" s="1589"/>
      <c r="CZ75" s="1589"/>
      <c r="DA75" s="1589"/>
      <c r="DB75" s="1589"/>
      <c r="DC75" s="1589"/>
      <c r="DD75" s="1589"/>
      <c r="DE75" s="1589"/>
      <c r="DF75" s="1589"/>
      <c r="DG75" s="1589"/>
      <c r="DH75" s="1589"/>
      <c r="DI75" s="1589"/>
      <c r="DJ75" s="1589"/>
      <c r="DK75" s="1589"/>
      <c r="DL75" s="1589"/>
      <c r="DN75" s="1590"/>
    </row>
    <row r="76" spans="1:118" s="14" customFormat="1" ht="15.75" x14ac:dyDescent="0.2">
      <c r="A76" s="1534"/>
      <c r="B76" s="1535"/>
      <c r="C76" s="1536" t="s">
        <v>736</v>
      </c>
      <c r="D76" s="1537" t="str">
        <f>INDEX(Flujos[Flujos], MATCH($C76, Flujos[Código], 0))</f>
        <v>Generación Distribuida</v>
      </c>
      <c r="E76" s="1538"/>
      <c r="G76" s="1539"/>
      <c r="H76" s="1539"/>
      <c r="I76" s="1539"/>
      <c r="J76" s="1539"/>
      <c r="K76" s="1539"/>
      <c r="L76" s="1539"/>
      <c r="M76" s="1539"/>
      <c r="N76" s="1539"/>
      <c r="O76" s="1539"/>
      <c r="P76" s="1539"/>
      <c r="Q76" s="1539"/>
      <c r="R76" s="1539"/>
      <c r="S76" s="1539"/>
      <c r="T76" s="1539"/>
      <c r="U76" s="1539"/>
      <c r="V76" s="1539"/>
      <c r="W76" s="1539"/>
      <c r="Y76" s="1490">
        <f ca="1">Y73+Y74</f>
        <v>0</v>
      </c>
      <c r="Z76" s="1490">
        <f t="shared" ref="Z76:AP76" ca="1" si="53">Z73+Z74</f>
        <v>0.20539354278862565</v>
      </c>
      <c r="AA76" s="1490">
        <f t="shared" ca="1" si="53"/>
        <v>0</v>
      </c>
      <c r="AB76" s="1490">
        <f t="shared" ca="1" si="53"/>
        <v>0</v>
      </c>
      <c r="AC76" s="1490">
        <f t="shared" ca="1" si="53"/>
        <v>0</v>
      </c>
      <c r="AD76" s="1490">
        <f t="shared" ca="1" si="53"/>
        <v>0</v>
      </c>
      <c r="AE76" s="1490">
        <f t="shared" ca="1" si="53"/>
        <v>0</v>
      </c>
      <c r="AF76" s="1490">
        <f t="shared" ca="1" si="53"/>
        <v>0</v>
      </c>
      <c r="AG76" s="1490">
        <f t="shared" ca="1" si="53"/>
        <v>0</v>
      </c>
      <c r="AH76" s="1490">
        <f t="shared" ca="1" si="53"/>
        <v>0</v>
      </c>
      <c r="AI76" s="1490">
        <f t="shared" ca="1" si="53"/>
        <v>0</v>
      </c>
      <c r="AJ76" s="1490">
        <f t="shared" ca="1" si="53"/>
        <v>0</v>
      </c>
      <c r="AK76" s="1490">
        <f t="shared" ca="1" si="53"/>
        <v>0</v>
      </c>
      <c r="AL76" s="1490">
        <f t="shared" ca="1" si="53"/>
        <v>0</v>
      </c>
      <c r="AM76" s="1490">
        <f t="shared" ca="1" si="53"/>
        <v>0</v>
      </c>
      <c r="AN76" s="1490">
        <f t="shared" ca="1" si="53"/>
        <v>0</v>
      </c>
      <c r="AO76" s="1490">
        <f t="shared" ca="1" si="53"/>
        <v>0</v>
      </c>
      <c r="AP76" s="1490">
        <f t="shared" ca="1" si="53"/>
        <v>0</v>
      </c>
      <c r="AQ76" s="1893">
        <f ca="1">SUM(Y76:AP76)</f>
        <v>0.20539354278862565</v>
      </c>
      <c r="AS76" s="1491">
        <f ca="1">AS73+AS74</f>
        <v>0</v>
      </c>
      <c r="AT76" s="1491">
        <f t="shared" ref="AT76:BK76" ca="1" si="54">AT73+AT74</f>
        <v>0</v>
      </c>
      <c r="AU76" s="1491">
        <f t="shared" ca="1" si="54"/>
        <v>0</v>
      </c>
      <c r="AV76" s="1491">
        <f t="shared" ca="1" si="54"/>
        <v>0</v>
      </c>
      <c r="AW76" s="1491">
        <f t="shared" ca="1" si="54"/>
        <v>0</v>
      </c>
      <c r="AX76" s="1491">
        <f t="shared" ca="1" si="54"/>
        <v>0</v>
      </c>
      <c r="AY76" s="1491">
        <f t="shared" ca="1" si="54"/>
        <v>0</v>
      </c>
      <c r="AZ76" s="1491">
        <f t="shared" ca="1" si="54"/>
        <v>0</v>
      </c>
      <c r="BA76" s="1491">
        <f t="shared" ca="1" si="54"/>
        <v>0</v>
      </c>
      <c r="BB76" s="1491">
        <f t="shared" ca="1" si="54"/>
        <v>0</v>
      </c>
      <c r="BC76" s="1949">
        <f t="shared" ca="1" si="54"/>
        <v>-0.20539354278862565</v>
      </c>
      <c r="BD76" s="1949">
        <f t="shared" ca="1" si="54"/>
        <v>0</v>
      </c>
      <c r="BE76" s="1491">
        <f t="shared" ca="1" si="54"/>
        <v>0</v>
      </c>
      <c r="BF76" s="1491">
        <f t="shared" ca="1" si="54"/>
        <v>0</v>
      </c>
      <c r="BG76" s="1491">
        <f t="shared" ca="1" si="54"/>
        <v>0</v>
      </c>
      <c r="BH76" s="1491">
        <f t="shared" ca="1" si="54"/>
        <v>0</v>
      </c>
      <c r="BI76" s="1491">
        <f t="shared" ca="1" si="54"/>
        <v>0</v>
      </c>
      <c r="BJ76" s="1491">
        <f t="shared" ca="1" si="54"/>
        <v>0</v>
      </c>
      <c r="BK76" s="1491">
        <f t="shared" ca="1" si="54"/>
        <v>0</v>
      </c>
      <c r="BL76" s="1952">
        <f ca="1">SUM(AS76:BK76)</f>
        <v>-0.20539354278862565</v>
      </c>
      <c r="BN76" s="1492">
        <f ca="1">BN73+BN74</f>
        <v>0</v>
      </c>
      <c r="BO76" s="1492">
        <f ca="1">BO73+BO74</f>
        <v>0</v>
      </c>
      <c r="BP76" s="1505">
        <f ca="1">BN76+BO76</f>
        <v>0</v>
      </c>
      <c r="BR76" s="3168">
        <f t="shared" ca="1" si="12"/>
        <v>0</v>
      </c>
      <c r="BS76" s="1493"/>
      <c r="BT76" s="748"/>
      <c r="BU76" s="1508">
        <v>0</v>
      </c>
      <c r="BV76" s="1508">
        <v>0</v>
      </c>
      <c r="BW76" s="1508">
        <v>0</v>
      </c>
      <c r="BX76" s="1508">
        <v>0</v>
      </c>
      <c r="BY76" s="1508">
        <v>0</v>
      </c>
      <c r="BZ76" s="1508">
        <v>0</v>
      </c>
      <c r="CA76" s="1508">
        <v>0</v>
      </c>
      <c r="CB76" s="1508">
        <v>0</v>
      </c>
      <c r="CC76" s="1508">
        <v>0</v>
      </c>
      <c r="CD76" s="1508">
        <v>0</v>
      </c>
      <c r="CE76" s="1508">
        <v>0</v>
      </c>
      <c r="CF76" s="1508">
        <v>0</v>
      </c>
      <c r="CG76" s="1508">
        <v>0</v>
      </c>
      <c r="CH76" s="1508">
        <v>0</v>
      </c>
      <c r="CI76" s="1508">
        <v>0</v>
      </c>
      <c r="CJ76" s="1508">
        <v>0</v>
      </c>
      <c r="CK76" s="1508">
        <v>0</v>
      </c>
      <c r="CL76" s="1508">
        <v>0</v>
      </c>
      <c r="CM76" s="1508">
        <v>0</v>
      </c>
      <c r="CN76" s="1508">
        <v>0</v>
      </c>
      <c r="CO76" s="1508">
        <v>0</v>
      </c>
      <c r="CP76" s="1508">
        <v>0</v>
      </c>
      <c r="CQ76" s="1508">
        <v>0</v>
      </c>
      <c r="CR76" s="1508">
        <v>0</v>
      </c>
      <c r="CS76" s="1508">
        <v>0</v>
      </c>
      <c r="CT76" s="1508">
        <v>0</v>
      </c>
      <c r="CU76" s="1508">
        <v>0</v>
      </c>
      <c r="CV76" s="1508">
        <v>0</v>
      </c>
      <c r="CW76" s="1508">
        <v>0</v>
      </c>
      <c r="CX76" s="1508">
        <v>0</v>
      </c>
      <c r="CY76" s="1508">
        <v>0</v>
      </c>
      <c r="CZ76" s="1508">
        <v>0</v>
      </c>
      <c r="DA76" s="1508">
        <v>0</v>
      </c>
      <c r="DB76" s="1508">
        <v>0</v>
      </c>
      <c r="DC76" s="1508">
        <v>0</v>
      </c>
      <c r="DD76" s="1508">
        <v>0</v>
      </c>
      <c r="DE76" s="1508">
        <v>0</v>
      </c>
      <c r="DF76" s="1508">
        <v>0</v>
      </c>
      <c r="DG76" s="1508">
        <v>0</v>
      </c>
      <c r="DH76" s="1508">
        <v>0</v>
      </c>
      <c r="DI76" s="1508">
        <v>0</v>
      </c>
      <c r="DJ76" s="1508">
        <v>0</v>
      </c>
      <c r="DK76" s="1508">
        <v>0</v>
      </c>
      <c r="DL76" s="1508">
        <v>0</v>
      </c>
      <c r="DN76" s="1509">
        <v>0</v>
      </c>
    </row>
    <row r="77" spans="1:118" s="14" customFormat="1" ht="15.75" x14ac:dyDescent="0.2">
      <c r="A77" s="1845"/>
      <c r="B77" s="1847"/>
      <c r="C77" s="1842"/>
      <c r="D77" s="1843"/>
      <c r="E77" s="1844"/>
      <c r="G77" s="1539"/>
      <c r="H77" s="1539"/>
      <c r="I77" s="1539"/>
      <c r="J77" s="1539"/>
      <c r="K77" s="1539"/>
      <c r="L77" s="1539"/>
      <c r="M77" s="1539"/>
      <c r="N77" s="1539"/>
      <c r="O77" s="1539"/>
      <c r="P77" s="1539"/>
      <c r="Q77" s="1539"/>
      <c r="R77" s="1539"/>
      <c r="S77" s="1539"/>
      <c r="T77" s="1539"/>
      <c r="U77" s="1539"/>
      <c r="V77" s="1539"/>
      <c r="W77" s="1539"/>
      <c r="Y77" s="1490"/>
      <c r="Z77" s="1490"/>
      <c r="AA77" s="1490"/>
      <c r="AB77" s="1490"/>
      <c r="AC77" s="1490"/>
      <c r="AD77" s="1490"/>
      <c r="AE77" s="1490"/>
      <c r="AF77" s="1490"/>
      <c r="AG77" s="1490"/>
      <c r="AH77" s="1490"/>
      <c r="AI77" s="1490"/>
      <c r="AJ77" s="1490"/>
      <c r="AK77" s="1490"/>
      <c r="AL77" s="1490"/>
      <c r="AM77" s="1490"/>
      <c r="AN77" s="1490"/>
      <c r="AO77" s="1490"/>
      <c r="AP77" s="1490"/>
      <c r="AQ77" s="1490"/>
      <c r="AS77" s="1491"/>
      <c r="AT77" s="1491"/>
      <c r="AU77" s="1491"/>
      <c r="AV77" s="1491"/>
      <c r="AW77" s="1491"/>
      <c r="AX77" s="1491"/>
      <c r="AY77" s="1491"/>
      <c r="AZ77" s="1491"/>
      <c r="BA77" s="1491"/>
      <c r="BB77" s="1491"/>
      <c r="BC77" s="1491"/>
      <c r="BD77" s="1491"/>
      <c r="BE77" s="1491"/>
      <c r="BF77" s="1491"/>
      <c r="BG77" s="1491"/>
      <c r="BH77" s="1491"/>
      <c r="BI77" s="1491"/>
      <c r="BJ77" s="1491"/>
      <c r="BK77" s="1491"/>
      <c r="BL77" s="1491"/>
      <c r="BN77" s="1492"/>
      <c r="BO77" s="1492"/>
      <c r="BP77" s="1492"/>
      <c r="BR77" s="3168"/>
      <c r="BS77" s="1579"/>
      <c r="BT77" s="748"/>
      <c r="BU77" s="1507"/>
      <c r="BV77" s="1508"/>
      <c r="BW77" s="1508"/>
      <c r="BX77" s="1508"/>
      <c r="BY77" s="1508"/>
      <c r="BZ77" s="1508"/>
      <c r="CA77" s="1508"/>
      <c r="CB77" s="1508"/>
      <c r="CC77" s="1508"/>
      <c r="CD77" s="1508"/>
      <c r="CE77" s="1508"/>
      <c r="CF77" s="1508"/>
      <c r="CG77" s="1508"/>
      <c r="CH77" s="1508"/>
      <c r="CI77" s="1508"/>
      <c r="CJ77" s="1508"/>
      <c r="CK77" s="1508"/>
      <c r="CL77" s="1508"/>
      <c r="CM77" s="1508"/>
      <c r="CN77" s="1508"/>
      <c r="CO77" s="1508"/>
      <c r="CP77" s="1508"/>
      <c r="CQ77" s="1508"/>
      <c r="CR77" s="1508"/>
      <c r="CS77" s="1508"/>
      <c r="CT77" s="1508"/>
      <c r="CU77" s="1508"/>
      <c r="CV77" s="1508"/>
      <c r="CW77" s="1508"/>
      <c r="CX77" s="1508"/>
      <c r="CY77" s="1508"/>
      <c r="CZ77" s="1508"/>
      <c r="DA77" s="1508"/>
      <c r="DB77" s="1508"/>
      <c r="DC77" s="1508"/>
      <c r="DD77" s="1508"/>
      <c r="DE77" s="1508"/>
      <c r="DF77" s="1508"/>
      <c r="DG77" s="1508"/>
      <c r="DH77" s="1508"/>
      <c r="DI77" s="1508"/>
      <c r="DJ77" s="1508"/>
      <c r="DK77" s="1508"/>
      <c r="DL77" s="1508"/>
      <c r="DN77" s="1509"/>
    </row>
    <row r="78" spans="1:118" s="14" customFormat="1" hidden="1" outlineLevel="1" x14ac:dyDescent="0.2">
      <c r="A78" s="1522"/>
      <c r="B78" s="1522"/>
      <c r="C78" s="1496" t="s">
        <v>68</v>
      </c>
      <c r="D78" s="1497" t="str">
        <f>INDEX(Modulos[Modulos], MATCH($C78, Modulos[Código], 0))</f>
        <v>Residuos</v>
      </c>
      <c r="E78" s="1497"/>
      <c r="G78" s="1498"/>
      <c r="H78" s="1498"/>
      <c r="I78" s="1498"/>
      <c r="J78" s="1498"/>
      <c r="K78" s="1498"/>
      <c r="L78" s="1498"/>
      <c r="M78" s="1498"/>
      <c r="N78" s="1498"/>
      <c r="O78" s="1498"/>
      <c r="P78" s="1498"/>
      <c r="Q78" s="1498"/>
      <c r="R78" s="1498"/>
      <c r="S78" s="1498"/>
      <c r="T78" s="1498"/>
      <c r="U78" s="1498"/>
      <c r="V78" s="1498"/>
      <c r="W78" s="1499"/>
      <c r="Y78" s="1893">
        <f t="shared" ref="Y78:AH80" ca="1" si="55">IFERROR(INDEX(INDIRECT($C78&amp;".Outputs["&amp;this.Year&amp;"]"), MATCH(Y$5, INDIRECT($C78&amp;".Outputs[Vector]"), 0)), 0)</f>
        <v>0</v>
      </c>
      <c r="Z78" s="1893">
        <f t="shared" ca="1" si="55"/>
        <v>0.41172000000000003</v>
      </c>
      <c r="AA78" s="1893">
        <f t="shared" ca="1" si="55"/>
        <v>0</v>
      </c>
      <c r="AB78" s="1893">
        <f t="shared" ca="1" si="55"/>
        <v>0</v>
      </c>
      <c r="AC78" s="1893">
        <f t="shared" ca="1" si="55"/>
        <v>0</v>
      </c>
      <c r="AD78" s="1893">
        <f t="shared" ca="1" si="55"/>
        <v>0</v>
      </c>
      <c r="AE78" s="1893">
        <f t="shared" ca="1" si="55"/>
        <v>0</v>
      </c>
      <c r="AF78" s="1893">
        <f t="shared" ca="1" si="55"/>
        <v>0</v>
      </c>
      <c r="AG78" s="1893">
        <f t="shared" ca="1" si="55"/>
        <v>0</v>
      </c>
      <c r="AH78" s="1893">
        <f t="shared" ca="1" si="55"/>
        <v>0</v>
      </c>
      <c r="AI78" s="1893">
        <f t="shared" ref="AI78:AP80" ca="1" si="56">IFERROR(INDEX(INDIRECT($C78&amp;".Outputs["&amp;this.Year&amp;"]"), MATCH(AI$5, INDIRECT($C78&amp;".Outputs[Vector]"), 0)), 0)</f>
        <v>0</v>
      </c>
      <c r="AJ78" s="1893">
        <f t="shared" ca="1" si="56"/>
        <v>0</v>
      </c>
      <c r="AK78" s="1893">
        <f t="shared" ca="1" si="56"/>
        <v>0</v>
      </c>
      <c r="AL78" s="1893">
        <f t="shared" ca="1" si="56"/>
        <v>0</v>
      </c>
      <c r="AM78" s="1893">
        <f t="shared" ca="1" si="56"/>
        <v>0</v>
      </c>
      <c r="AN78" s="1893">
        <f t="shared" ca="1" si="56"/>
        <v>0</v>
      </c>
      <c r="AO78" s="1893">
        <f t="shared" ca="1" si="56"/>
        <v>0</v>
      </c>
      <c r="AP78" s="1893">
        <f t="shared" ca="1" si="56"/>
        <v>0</v>
      </c>
      <c r="AQ78" s="1951">
        <f ca="1">SUM(Y78:AP78)</f>
        <v>0.41172000000000003</v>
      </c>
      <c r="AS78" s="1948">
        <f t="shared" ref="AS78:BB80" ca="1" si="57">IFERROR(INDEX(INDIRECT($C78&amp;".Outputs["&amp;this.Year&amp;"]"), MATCH(AS$5, INDIRECT($C78&amp;".Outputs[Vector]"), 0)), 0)</f>
        <v>0</v>
      </c>
      <c r="AT78" s="1948">
        <f t="shared" ca="1" si="57"/>
        <v>0</v>
      </c>
      <c r="AU78" s="1948">
        <f t="shared" ca="1" si="57"/>
        <v>0</v>
      </c>
      <c r="AV78" s="1948">
        <f t="shared" ca="1" si="57"/>
        <v>0</v>
      </c>
      <c r="AW78" s="1948">
        <f t="shared" ca="1" si="57"/>
        <v>0</v>
      </c>
      <c r="AX78" s="1948">
        <f t="shared" ca="1" si="57"/>
        <v>0</v>
      </c>
      <c r="AY78" s="1948">
        <f t="shared" ca="1" si="57"/>
        <v>0</v>
      </c>
      <c r="AZ78" s="1948">
        <f t="shared" ca="1" si="57"/>
        <v>0</v>
      </c>
      <c r="BA78" s="1948">
        <f t="shared" ca="1" si="57"/>
        <v>0</v>
      </c>
      <c r="BB78" s="1948">
        <f t="shared" ca="1" si="57"/>
        <v>0</v>
      </c>
      <c r="BC78" s="1948">
        <f t="shared" ref="BC78:BK80" ca="1" si="58">IFERROR(INDEX(INDIRECT($C78&amp;".Outputs["&amp;this.Year&amp;"]"), MATCH(BC$5, INDIRECT($C78&amp;".Outputs[Vector]"), 0)), 0)</f>
        <v>0</v>
      </c>
      <c r="BD78" s="1948">
        <f t="shared" ca="1" si="58"/>
        <v>0</v>
      </c>
      <c r="BE78" s="1948">
        <f t="shared" ca="1" si="58"/>
        <v>0</v>
      </c>
      <c r="BF78" s="1948">
        <f t="shared" ca="1" si="58"/>
        <v>0</v>
      </c>
      <c r="BG78" s="1948">
        <f t="shared" ca="1" si="58"/>
        <v>0</v>
      </c>
      <c r="BH78" s="1948">
        <f t="shared" ca="1" si="58"/>
        <v>0</v>
      </c>
      <c r="BI78" s="1948">
        <f t="shared" ca="1" si="58"/>
        <v>0</v>
      </c>
      <c r="BJ78" s="1948">
        <f t="shared" ca="1" si="58"/>
        <v>0</v>
      </c>
      <c r="BK78" s="1948">
        <f t="shared" ca="1" si="58"/>
        <v>-0.41172000000000003</v>
      </c>
      <c r="BL78" s="1952">
        <f ca="1">SUM(AS78:BK78)</f>
        <v>-0.41172000000000003</v>
      </c>
      <c r="BN78" s="1941">
        <f t="shared" ref="BN78:BO80" ca="1" si="59">IFERROR(INDEX(INDIRECT($C78&amp;".Outputs["&amp;this.Year&amp;"]"), MATCH(BN$5, INDIRECT($C78&amp;".Outputs[Vector]"), 0)), 0)</f>
        <v>0</v>
      </c>
      <c r="BO78" s="1941">
        <f t="shared" ca="1" si="59"/>
        <v>0</v>
      </c>
      <c r="BP78" s="1505">
        <f ca="1">BN78+BO78</f>
        <v>0</v>
      </c>
      <c r="BR78" s="3168">
        <f ca="1">W78+AQ78+BL78+BP78</f>
        <v>0</v>
      </c>
      <c r="BS78" s="1525"/>
      <c r="BT78" s="748"/>
      <c r="BU78" s="1507"/>
      <c r="BV78" s="1508"/>
      <c r="BW78" s="1508"/>
      <c r="BX78" s="1508"/>
      <c r="BY78" s="1508"/>
      <c r="BZ78" s="1508"/>
      <c r="CA78" s="1508"/>
      <c r="CB78" s="1508"/>
      <c r="CC78" s="1508"/>
      <c r="CD78" s="1508"/>
      <c r="CE78" s="1508"/>
      <c r="CF78" s="1508"/>
      <c r="CG78" s="1508"/>
      <c r="CH78" s="1508"/>
      <c r="CI78" s="1508"/>
      <c r="CJ78" s="1508"/>
      <c r="CK78" s="1508"/>
      <c r="CL78" s="1508"/>
      <c r="CM78" s="1508"/>
      <c r="CN78" s="1508"/>
      <c r="CO78" s="1508"/>
      <c r="CP78" s="1508"/>
      <c r="CQ78" s="1508"/>
      <c r="CR78" s="1508"/>
      <c r="CS78" s="1508"/>
      <c r="CT78" s="1508"/>
      <c r="CU78" s="1508"/>
      <c r="CV78" s="1508"/>
      <c r="CW78" s="1508"/>
      <c r="CX78" s="1508"/>
      <c r="CY78" s="1508"/>
      <c r="CZ78" s="1508"/>
      <c r="DA78" s="1508"/>
      <c r="DB78" s="1508"/>
      <c r="DC78" s="1508"/>
      <c r="DD78" s="1508"/>
      <c r="DE78" s="1508"/>
      <c r="DF78" s="1508"/>
      <c r="DG78" s="1508"/>
      <c r="DH78" s="1508"/>
      <c r="DI78" s="1508"/>
      <c r="DJ78" s="1508"/>
      <c r="DK78" s="1508"/>
      <c r="DL78" s="1508"/>
      <c r="DN78" s="1509"/>
    </row>
    <row r="79" spans="1:118" s="14" customFormat="1" hidden="1" outlineLevel="1" x14ac:dyDescent="0.2">
      <c r="A79" s="1522"/>
      <c r="B79" s="1522"/>
      <c r="C79" s="1496" t="s">
        <v>764</v>
      </c>
      <c r="D79" s="1497" t="str">
        <f>INDEX(Modulos[Modulos], MATCH($C79, Modulos[Código], 0))</f>
        <v>Agropecuario</v>
      </c>
      <c r="E79" s="1497"/>
      <c r="G79" s="1498"/>
      <c r="H79" s="1498"/>
      <c r="I79" s="1498"/>
      <c r="J79" s="1498"/>
      <c r="K79" s="1498"/>
      <c r="L79" s="1498"/>
      <c r="M79" s="1498"/>
      <c r="N79" s="1498"/>
      <c r="O79" s="1498"/>
      <c r="P79" s="1498"/>
      <c r="Q79" s="1498"/>
      <c r="R79" s="1498"/>
      <c r="S79" s="1498"/>
      <c r="T79" s="1498"/>
      <c r="U79" s="1498"/>
      <c r="V79" s="1498"/>
      <c r="W79" s="1499"/>
      <c r="Y79" s="2610">
        <f t="shared" ca="1" si="55"/>
        <v>0</v>
      </c>
      <c r="Z79" s="2610">
        <f t="shared" ca="1" si="55"/>
        <v>5.6121819002050294E-3</v>
      </c>
      <c r="AA79" s="2610">
        <f t="shared" ca="1" si="55"/>
        <v>0</v>
      </c>
      <c r="AB79" s="2610">
        <f t="shared" ca="1" si="55"/>
        <v>0</v>
      </c>
      <c r="AC79" s="2610">
        <f t="shared" ca="1" si="55"/>
        <v>0</v>
      </c>
      <c r="AD79" s="2610">
        <f t="shared" ca="1" si="55"/>
        <v>0</v>
      </c>
      <c r="AE79" s="2610">
        <f t="shared" ca="1" si="55"/>
        <v>0</v>
      </c>
      <c r="AF79" s="2610">
        <f t="shared" ca="1" si="55"/>
        <v>0</v>
      </c>
      <c r="AG79" s="2610">
        <f t="shared" ca="1" si="55"/>
        <v>0</v>
      </c>
      <c r="AH79" s="2610">
        <f t="shared" ca="1" si="55"/>
        <v>0</v>
      </c>
      <c r="AI79" s="2610">
        <f t="shared" ca="1" si="56"/>
        <v>0</v>
      </c>
      <c r="AJ79" s="2610">
        <f t="shared" ca="1" si="56"/>
        <v>0</v>
      </c>
      <c r="AK79" s="2610">
        <f t="shared" ca="1" si="56"/>
        <v>0</v>
      </c>
      <c r="AL79" s="2610">
        <f t="shared" ca="1" si="56"/>
        <v>0</v>
      </c>
      <c r="AM79" s="2610">
        <f t="shared" ca="1" si="56"/>
        <v>0</v>
      </c>
      <c r="AN79" s="2610">
        <f t="shared" ca="1" si="56"/>
        <v>0</v>
      </c>
      <c r="AO79" s="2610">
        <f t="shared" ca="1" si="56"/>
        <v>0</v>
      </c>
      <c r="AP79" s="2610">
        <f t="shared" ca="1" si="56"/>
        <v>0</v>
      </c>
      <c r="AQ79" s="1951">
        <f ca="1">SUM(Y79:AP79)</f>
        <v>5.6121819002050294E-3</v>
      </c>
      <c r="AS79" s="1948">
        <f t="shared" ca="1" si="57"/>
        <v>0</v>
      </c>
      <c r="AT79" s="1948">
        <f t="shared" ca="1" si="57"/>
        <v>0</v>
      </c>
      <c r="AU79" s="1948">
        <f t="shared" ca="1" si="57"/>
        <v>0</v>
      </c>
      <c r="AV79" s="1948">
        <f t="shared" ca="1" si="57"/>
        <v>0</v>
      </c>
      <c r="AW79" s="1948">
        <f t="shared" ca="1" si="57"/>
        <v>0</v>
      </c>
      <c r="AX79" s="1948">
        <f t="shared" ca="1" si="57"/>
        <v>0</v>
      </c>
      <c r="AY79" s="1948">
        <f t="shared" ca="1" si="57"/>
        <v>0</v>
      </c>
      <c r="AZ79" s="1948">
        <f t="shared" ca="1" si="57"/>
        <v>0</v>
      </c>
      <c r="BA79" s="1948">
        <f t="shared" ca="1" si="57"/>
        <v>0</v>
      </c>
      <c r="BB79" s="1948">
        <f t="shared" ca="1" si="57"/>
        <v>0</v>
      </c>
      <c r="BC79" s="1948">
        <f t="shared" ca="1" si="58"/>
        <v>0</v>
      </c>
      <c r="BD79" s="1948">
        <f t="shared" ca="1" si="58"/>
        <v>0</v>
      </c>
      <c r="BE79" s="1948">
        <f t="shared" ca="1" si="58"/>
        <v>0</v>
      </c>
      <c r="BF79" s="1948">
        <f t="shared" ca="1" si="58"/>
        <v>0</v>
      </c>
      <c r="BG79" s="1948">
        <f t="shared" ca="1" si="58"/>
        <v>0</v>
      </c>
      <c r="BH79" s="1948">
        <f t="shared" ca="1" si="58"/>
        <v>0</v>
      </c>
      <c r="BI79" s="1948">
        <f t="shared" ca="1" si="58"/>
        <v>0</v>
      </c>
      <c r="BJ79" s="1948">
        <f t="shared" ca="1" si="58"/>
        <v>0</v>
      </c>
      <c r="BK79" s="1948">
        <f t="shared" ca="1" si="58"/>
        <v>-5.6121819002050294E-3</v>
      </c>
      <c r="BL79" s="1952">
        <f ca="1">SUM(AS79:BK79)</f>
        <v>-5.6121819002050294E-3</v>
      </c>
      <c r="BN79" s="1941">
        <f t="shared" ca="1" si="59"/>
        <v>0</v>
      </c>
      <c r="BO79" s="1941">
        <f t="shared" ca="1" si="59"/>
        <v>0</v>
      </c>
      <c r="BP79" s="1505">
        <f ca="1">BN79+BO79</f>
        <v>0</v>
      </c>
      <c r="BR79" s="3168">
        <f ca="1">W79+AQ79+BL79+BP79</f>
        <v>0</v>
      </c>
      <c r="BS79" s="1525"/>
      <c r="BT79" s="748"/>
      <c r="BU79" s="1507"/>
      <c r="BV79" s="1508"/>
      <c r="BW79" s="1508"/>
      <c r="BX79" s="1508"/>
      <c r="BY79" s="1508"/>
      <c r="BZ79" s="1508"/>
      <c r="CA79" s="1508"/>
      <c r="CB79" s="1508"/>
      <c r="CC79" s="1508"/>
      <c r="CD79" s="1508"/>
      <c r="CE79" s="1508"/>
      <c r="CF79" s="1508"/>
      <c r="CG79" s="1508"/>
      <c r="CH79" s="1508"/>
      <c r="CI79" s="1508"/>
      <c r="CJ79" s="1508"/>
      <c r="CK79" s="1508"/>
      <c r="CL79" s="1508"/>
      <c r="CM79" s="1508"/>
      <c r="CN79" s="1508"/>
      <c r="CO79" s="1508"/>
      <c r="CP79" s="1508"/>
      <c r="CQ79" s="1508"/>
      <c r="CR79" s="1508"/>
      <c r="CS79" s="1508"/>
      <c r="CT79" s="1508"/>
      <c r="CU79" s="1508"/>
      <c r="CV79" s="1508"/>
      <c r="CW79" s="1508"/>
      <c r="CX79" s="1508"/>
      <c r="CY79" s="1508"/>
      <c r="CZ79" s="1508"/>
      <c r="DA79" s="1508"/>
      <c r="DB79" s="1508"/>
      <c r="DC79" s="1508"/>
      <c r="DD79" s="1508"/>
      <c r="DE79" s="1508"/>
      <c r="DF79" s="1508"/>
      <c r="DG79" s="1508"/>
      <c r="DH79" s="1508"/>
      <c r="DI79" s="1508"/>
      <c r="DJ79" s="1508"/>
      <c r="DK79" s="1508"/>
      <c r="DL79" s="1508"/>
      <c r="DN79" s="1509"/>
    </row>
    <row r="80" spans="1:118" s="14" customFormat="1" ht="12.75" hidden="1" customHeight="1" outlineLevel="1" x14ac:dyDescent="0.2">
      <c r="A80" s="1522"/>
      <c r="B80" s="1522"/>
      <c r="C80" s="1496" t="s">
        <v>1620</v>
      </c>
      <c r="D80" s="1497" t="str">
        <f>INDEX(Modulos[Modulos], MATCH($C80, Modulos[Código], 0))</f>
        <v>Forestal</v>
      </c>
      <c r="E80" s="1526"/>
      <c r="G80" s="1540"/>
      <c r="H80" s="1540"/>
      <c r="I80" s="1540"/>
      <c r="J80" s="1540"/>
      <c r="K80" s="1540"/>
      <c r="L80" s="1540"/>
      <c r="M80" s="1540"/>
      <c r="N80" s="1540"/>
      <c r="O80" s="1540"/>
      <c r="P80" s="1540"/>
      <c r="Q80" s="1540"/>
      <c r="R80" s="1540"/>
      <c r="S80" s="1540"/>
      <c r="T80" s="1540"/>
      <c r="U80" s="1540"/>
      <c r="V80" s="1540"/>
      <c r="W80" s="1527"/>
      <c r="Y80" s="2614">
        <f t="shared" ca="1" si="55"/>
        <v>0</v>
      </c>
      <c r="Z80" s="2614">
        <f t="shared" ca="1" si="55"/>
        <v>0</v>
      </c>
      <c r="AA80" s="2614">
        <f t="shared" ca="1" si="55"/>
        <v>0</v>
      </c>
      <c r="AB80" s="2614">
        <f t="shared" ca="1" si="55"/>
        <v>0</v>
      </c>
      <c r="AC80" s="2614">
        <f t="shared" ca="1" si="55"/>
        <v>0</v>
      </c>
      <c r="AD80" s="2614">
        <f t="shared" ca="1" si="55"/>
        <v>0</v>
      </c>
      <c r="AE80" s="2614">
        <f t="shared" ca="1" si="55"/>
        <v>0</v>
      </c>
      <c r="AF80" s="2614">
        <f t="shared" ca="1" si="55"/>
        <v>0</v>
      </c>
      <c r="AG80" s="2614">
        <f t="shared" ca="1" si="55"/>
        <v>0</v>
      </c>
      <c r="AH80" s="2614">
        <f t="shared" ca="1" si="55"/>
        <v>0</v>
      </c>
      <c r="AI80" s="2614">
        <f t="shared" ca="1" si="56"/>
        <v>0</v>
      </c>
      <c r="AJ80" s="2614">
        <f t="shared" ca="1" si="56"/>
        <v>0</v>
      </c>
      <c r="AK80" s="2614">
        <f t="shared" ca="1" si="56"/>
        <v>0</v>
      </c>
      <c r="AL80" s="2614">
        <f t="shared" ca="1" si="56"/>
        <v>0</v>
      </c>
      <c r="AM80" s="2614">
        <f t="shared" ca="1" si="56"/>
        <v>0</v>
      </c>
      <c r="AN80" s="2614">
        <f t="shared" ca="1" si="56"/>
        <v>0</v>
      </c>
      <c r="AO80" s="2614">
        <f t="shared" ca="1" si="56"/>
        <v>0</v>
      </c>
      <c r="AP80" s="2614">
        <f t="shared" ca="1" si="56"/>
        <v>0</v>
      </c>
      <c r="AQ80" s="1951">
        <f ca="1">SUM(Y80:AP80)</f>
        <v>0</v>
      </c>
      <c r="AS80" s="1542">
        <f t="shared" ca="1" si="57"/>
        <v>0</v>
      </c>
      <c r="AT80" s="1542">
        <f t="shared" ca="1" si="57"/>
        <v>0</v>
      </c>
      <c r="AU80" s="1542">
        <f t="shared" ca="1" si="57"/>
        <v>0</v>
      </c>
      <c r="AV80" s="1542">
        <f t="shared" ca="1" si="57"/>
        <v>0</v>
      </c>
      <c r="AW80" s="1542">
        <f t="shared" ca="1" si="57"/>
        <v>0</v>
      </c>
      <c r="AX80" s="1542">
        <f t="shared" ca="1" si="57"/>
        <v>0</v>
      </c>
      <c r="AY80" s="1542">
        <f t="shared" ca="1" si="57"/>
        <v>0</v>
      </c>
      <c r="AZ80" s="1542">
        <f t="shared" ca="1" si="57"/>
        <v>0</v>
      </c>
      <c r="BA80" s="1542">
        <f t="shared" ca="1" si="57"/>
        <v>0</v>
      </c>
      <c r="BB80" s="1542">
        <f t="shared" ca="1" si="57"/>
        <v>0</v>
      </c>
      <c r="BC80" s="1542">
        <f t="shared" ca="1" si="58"/>
        <v>0</v>
      </c>
      <c r="BD80" s="1542">
        <f t="shared" ca="1" si="58"/>
        <v>0</v>
      </c>
      <c r="BE80" s="1542">
        <f t="shared" ca="1" si="58"/>
        <v>0</v>
      </c>
      <c r="BF80" s="1542">
        <f t="shared" ca="1" si="58"/>
        <v>0</v>
      </c>
      <c r="BG80" s="1542">
        <f t="shared" ca="1" si="58"/>
        <v>0</v>
      </c>
      <c r="BH80" s="1542">
        <f t="shared" ca="1" si="58"/>
        <v>0</v>
      </c>
      <c r="BI80" s="1542">
        <f t="shared" ca="1" si="58"/>
        <v>0</v>
      </c>
      <c r="BJ80" s="1542">
        <f t="shared" ca="1" si="58"/>
        <v>0</v>
      </c>
      <c r="BK80" s="1542">
        <f t="shared" ca="1" si="58"/>
        <v>0</v>
      </c>
      <c r="BL80" s="1952">
        <f ca="1">SUM(AS80:BK80)</f>
        <v>0</v>
      </c>
      <c r="BN80" s="1941">
        <f t="shared" ca="1" si="59"/>
        <v>0</v>
      </c>
      <c r="BO80" s="1941">
        <f t="shared" ca="1" si="59"/>
        <v>0</v>
      </c>
      <c r="BP80" s="1505">
        <f ca="1">BN80+BO80</f>
        <v>0</v>
      </c>
      <c r="BR80" s="3168">
        <f ca="1">W80+AQ80+BL80+BP80</f>
        <v>0</v>
      </c>
      <c r="BS80" s="1525"/>
      <c r="BT80" s="748"/>
      <c r="BU80" s="1532"/>
      <c r="BV80" s="1533"/>
      <c r="BW80" s="1533"/>
      <c r="BX80" s="1533"/>
      <c r="BY80" s="1533"/>
      <c r="BZ80" s="1533"/>
      <c r="CA80" s="1533"/>
      <c r="CB80" s="1533"/>
      <c r="CC80" s="1533"/>
      <c r="CD80" s="1533"/>
      <c r="CE80" s="1533"/>
      <c r="CF80" s="1533"/>
      <c r="CG80" s="1533"/>
      <c r="CH80" s="1533"/>
      <c r="CI80" s="1533"/>
      <c r="CJ80" s="1533"/>
      <c r="CK80" s="1533"/>
      <c r="CL80" s="1533"/>
      <c r="CM80" s="1533"/>
      <c r="CN80" s="1533"/>
      <c r="CO80" s="1533"/>
      <c r="CP80" s="1533"/>
      <c r="CQ80" s="1533"/>
      <c r="CR80" s="1533"/>
      <c r="CS80" s="1533"/>
      <c r="CT80" s="1533"/>
      <c r="CU80" s="1533"/>
      <c r="CV80" s="1533"/>
      <c r="CW80" s="1533"/>
      <c r="CX80" s="1533"/>
      <c r="CY80" s="1533"/>
      <c r="CZ80" s="1533"/>
      <c r="DA80" s="1533"/>
      <c r="DB80" s="1533"/>
      <c r="DC80" s="1533"/>
      <c r="DD80" s="1533"/>
      <c r="DE80" s="1533"/>
      <c r="DF80" s="1533"/>
      <c r="DG80" s="1533"/>
      <c r="DH80" s="1533"/>
      <c r="DI80" s="1533"/>
      <c r="DJ80" s="1533"/>
      <c r="DK80" s="1533"/>
      <c r="DL80" s="1533"/>
      <c r="DN80" s="1509"/>
    </row>
    <row r="81" spans="1:118" s="14" customFormat="1" ht="3" hidden="1" customHeight="1" outlineLevel="1" x14ac:dyDescent="0.2">
      <c r="A81" s="1522"/>
      <c r="B81" s="1522"/>
      <c r="C81" s="1496"/>
      <c r="D81" s="1497"/>
      <c r="E81" s="1497"/>
      <c r="G81" s="1498"/>
      <c r="H81" s="1498"/>
      <c r="I81" s="1498"/>
      <c r="J81" s="1498"/>
      <c r="K81" s="1498"/>
      <c r="L81" s="1498"/>
      <c r="M81" s="1498"/>
      <c r="N81" s="1498"/>
      <c r="O81" s="1498"/>
      <c r="P81" s="1498"/>
      <c r="Q81" s="1498"/>
      <c r="R81" s="1498"/>
      <c r="S81" s="1498"/>
      <c r="T81" s="1498"/>
      <c r="U81" s="1498"/>
      <c r="V81" s="1498"/>
      <c r="W81" s="1499"/>
      <c r="Y81" s="1500"/>
      <c r="Z81" s="1500"/>
      <c r="AA81" s="1500"/>
      <c r="AB81" s="1500"/>
      <c r="AC81" s="1500"/>
      <c r="AD81" s="1500"/>
      <c r="AE81" s="1500"/>
      <c r="AF81" s="1500"/>
      <c r="AG81" s="1500"/>
      <c r="AH81" s="1500"/>
      <c r="AI81" s="1500"/>
      <c r="AJ81" s="1500"/>
      <c r="AK81" s="1500"/>
      <c r="AL81" s="1500"/>
      <c r="AM81" s="1500"/>
      <c r="AN81" s="1500"/>
      <c r="AO81" s="1500"/>
      <c r="AP81" s="1500"/>
      <c r="AQ81" s="1501"/>
      <c r="AS81" s="1502"/>
      <c r="AT81" s="1502"/>
      <c r="AU81" s="1502"/>
      <c r="AV81" s="1502"/>
      <c r="AW81" s="1502"/>
      <c r="AX81" s="1502"/>
      <c r="AY81" s="1502"/>
      <c r="AZ81" s="1502"/>
      <c r="BA81" s="1502"/>
      <c r="BB81" s="1502"/>
      <c r="BC81" s="1502"/>
      <c r="BD81" s="1502"/>
      <c r="BE81" s="1502"/>
      <c r="BF81" s="1502"/>
      <c r="BG81" s="1502"/>
      <c r="BH81" s="1502"/>
      <c r="BI81" s="1502"/>
      <c r="BJ81" s="1502"/>
      <c r="BK81" s="1502"/>
      <c r="BL81" s="1524"/>
      <c r="BN81" s="1504"/>
      <c r="BO81" s="1504"/>
      <c r="BP81" s="1505"/>
      <c r="BR81" s="3168"/>
      <c r="BS81" s="1525"/>
      <c r="BT81" s="748"/>
      <c r="BU81" s="1507"/>
      <c r="BV81" s="1508"/>
      <c r="BW81" s="1508"/>
      <c r="BX81" s="1508"/>
      <c r="BY81" s="1508"/>
      <c r="BZ81" s="1508"/>
      <c r="CA81" s="1508"/>
      <c r="CB81" s="1508"/>
      <c r="CC81" s="1508"/>
      <c r="CD81" s="1508"/>
      <c r="CE81" s="1508"/>
      <c r="CF81" s="1508"/>
      <c r="CG81" s="1508"/>
      <c r="CH81" s="1508"/>
      <c r="CI81" s="1508"/>
      <c r="CJ81" s="1508"/>
      <c r="CK81" s="1508"/>
      <c r="CL81" s="1508"/>
      <c r="CM81" s="1508"/>
      <c r="CN81" s="1508"/>
      <c r="CO81" s="1508"/>
      <c r="CP81" s="1508"/>
      <c r="CQ81" s="1508"/>
      <c r="CR81" s="1508"/>
      <c r="CS81" s="1508"/>
      <c r="CT81" s="1508"/>
      <c r="CU81" s="1508"/>
      <c r="CV81" s="1508"/>
      <c r="CW81" s="1508"/>
      <c r="CX81" s="1508"/>
      <c r="CY81" s="1508"/>
      <c r="CZ81" s="1508"/>
      <c r="DA81" s="1508"/>
      <c r="DB81" s="1508"/>
      <c r="DC81" s="1508"/>
      <c r="DD81" s="1508"/>
      <c r="DE81" s="1508"/>
      <c r="DF81" s="1508"/>
      <c r="DG81" s="1508"/>
      <c r="DH81" s="1508"/>
      <c r="DI81" s="1508"/>
      <c r="DJ81" s="1508"/>
      <c r="DK81" s="1508"/>
      <c r="DL81" s="1508"/>
      <c r="DN81" s="1509"/>
    </row>
    <row r="82" spans="1:118" s="14" customFormat="1" ht="20.25" customHeight="1" collapsed="1" x14ac:dyDescent="0.2">
      <c r="A82" s="1534"/>
      <c r="B82" s="1535"/>
      <c r="C82" s="1536" t="s">
        <v>737</v>
      </c>
      <c r="D82" s="1537" t="str">
        <f>INDEX(Flujos[Flujos], MATCH($C82, Flujos[Código], 0))</f>
        <v>Otros Sectores</v>
      </c>
      <c r="E82" s="1843"/>
      <c r="G82" s="1539"/>
      <c r="H82" s="1539"/>
      <c r="I82" s="1539"/>
      <c r="J82" s="1539"/>
      <c r="K82" s="1539"/>
      <c r="L82" s="1539"/>
      <c r="M82" s="1539"/>
      <c r="N82" s="1539"/>
      <c r="O82" s="1539"/>
      <c r="P82" s="1539"/>
      <c r="Q82" s="1539"/>
      <c r="R82" s="1539"/>
      <c r="S82" s="1539"/>
      <c r="T82" s="1539"/>
      <c r="U82" s="1539"/>
      <c r="V82" s="1539"/>
      <c r="W82" s="1539"/>
      <c r="Y82" s="2609">
        <f ca="1">Y78+Y79+Y80</f>
        <v>0</v>
      </c>
      <c r="Z82" s="2609">
        <f t="shared" ref="Z82:AQ82" ca="1" si="60">Z78+Z79+Z80</f>
        <v>0.41733218190020505</v>
      </c>
      <c r="AA82" s="2609">
        <f t="shared" ca="1" si="60"/>
        <v>0</v>
      </c>
      <c r="AB82" s="2609">
        <f t="shared" ca="1" si="60"/>
        <v>0</v>
      </c>
      <c r="AC82" s="2609">
        <f t="shared" ca="1" si="60"/>
        <v>0</v>
      </c>
      <c r="AD82" s="2609">
        <f t="shared" ca="1" si="60"/>
        <v>0</v>
      </c>
      <c r="AE82" s="2609">
        <f t="shared" ca="1" si="60"/>
        <v>0</v>
      </c>
      <c r="AF82" s="2609">
        <f t="shared" ca="1" si="60"/>
        <v>0</v>
      </c>
      <c r="AG82" s="2609">
        <f t="shared" ca="1" si="60"/>
        <v>0</v>
      </c>
      <c r="AH82" s="2609">
        <f t="shared" ca="1" si="60"/>
        <v>0</v>
      </c>
      <c r="AI82" s="2609">
        <f t="shared" ca="1" si="60"/>
        <v>0</v>
      </c>
      <c r="AJ82" s="2609">
        <f t="shared" ca="1" si="60"/>
        <v>0</v>
      </c>
      <c r="AK82" s="2609">
        <f t="shared" ca="1" si="60"/>
        <v>0</v>
      </c>
      <c r="AL82" s="2609">
        <f t="shared" ca="1" si="60"/>
        <v>0</v>
      </c>
      <c r="AM82" s="2609">
        <f t="shared" ca="1" si="60"/>
        <v>0</v>
      </c>
      <c r="AN82" s="2609">
        <f t="shared" ca="1" si="60"/>
        <v>0</v>
      </c>
      <c r="AO82" s="2609">
        <f t="shared" ca="1" si="60"/>
        <v>0</v>
      </c>
      <c r="AP82" s="2609">
        <f t="shared" ca="1" si="60"/>
        <v>0</v>
      </c>
      <c r="AQ82" s="2608">
        <f t="shared" ca="1" si="60"/>
        <v>0.41733218190020505</v>
      </c>
      <c r="AS82" s="1491">
        <f ca="1">AS78+AS79+AS80</f>
        <v>0</v>
      </c>
      <c r="AT82" s="1491">
        <f t="shared" ref="AT82:BJ82" ca="1" si="61">AT78+AT79+AT80</f>
        <v>0</v>
      </c>
      <c r="AU82" s="1491">
        <f t="shared" ca="1" si="61"/>
        <v>0</v>
      </c>
      <c r="AV82" s="1491">
        <f t="shared" ca="1" si="61"/>
        <v>0</v>
      </c>
      <c r="AW82" s="1491">
        <f t="shared" ca="1" si="61"/>
        <v>0</v>
      </c>
      <c r="AX82" s="1491">
        <f t="shared" ca="1" si="61"/>
        <v>0</v>
      </c>
      <c r="AY82" s="1491">
        <f t="shared" ca="1" si="61"/>
        <v>0</v>
      </c>
      <c r="AZ82" s="1491">
        <f t="shared" ca="1" si="61"/>
        <v>0</v>
      </c>
      <c r="BA82" s="1491">
        <f t="shared" ca="1" si="61"/>
        <v>0</v>
      </c>
      <c r="BB82" s="1491">
        <f t="shared" ca="1" si="61"/>
        <v>0</v>
      </c>
      <c r="BC82" s="1491">
        <f t="shared" ca="1" si="61"/>
        <v>0</v>
      </c>
      <c r="BD82" s="1491">
        <f t="shared" ca="1" si="61"/>
        <v>0</v>
      </c>
      <c r="BE82" s="1491">
        <f t="shared" ca="1" si="61"/>
        <v>0</v>
      </c>
      <c r="BF82" s="1491">
        <f t="shared" ca="1" si="61"/>
        <v>0</v>
      </c>
      <c r="BG82" s="1491">
        <f t="shared" ca="1" si="61"/>
        <v>0</v>
      </c>
      <c r="BH82" s="1491">
        <f t="shared" ca="1" si="61"/>
        <v>0</v>
      </c>
      <c r="BI82" s="1491">
        <f t="shared" ca="1" si="61"/>
        <v>0</v>
      </c>
      <c r="BJ82" s="1491">
        <f t="shared" ca="1" si="61"/>
        <v>0</v>
      </c>
      <c r="BK82" s="3167">
        <f ca="1">BK78+BK79+BK80</f>
        <v>-0.41733218190020505</v>
      </c>
      <c r="BL82" s="1491">
        <f ca="1">BL78+BL79+BL80</f>
        <v>-0.41733218190020505</v>
      </c>
      <c r="BN82" s="1492">
        <f ca="1">BN78+BN79+BN80</f>
        <v>0</v>
      </c>
      <c r="BO82" s="1492">
        <f ca="1">BO78+BO79+BO80</f>
        <v>0</v>
      </c>
      <c r="BP82" s="1492">
        <f ca="1">BP78+BP79+BP80</f>
        <v>0</v>
      </c>
      <c r="BR82" s="3168">
        <f ca="1">W82+AQ82+BL82+BP82</f>
        <v>0</v>
      </c>
      <c r="BS82" s="1493"/>
      <c r="BT82" s="748"/>
      <c r="BU82" s="1508"/>
      <c r="BV82" s="1508"/>
      <c r="BW82" s="1508"/>
      <c r="BX82" s="1508"/>
      <c r="BY82" s="1508"/>
      <c r="BZ82" s="1508"/>
      <c r="CA82" s="1508"/>
      <c r="CB82" s="1508"/>
      <c r="CC82" s="1508"/>
      <c r="CD82" s="1508"/>
      <c r="CE82" s="1508"/>
      <c r="CF82" s="1508"/>
      <c r="CG82" s="1508"/>
      <c r="CH82" s="1508"/>
      <c r="CI82" s="1508"/>
      <c r="CJ82" s="1508"/>
      <c r="CK82" s="1508"/>
      <c r="CL82" s="1508"/>
      <c r="CM82" s="1508"/>
      <c r="CN82" s="1508"/>
      <c r="CO82" s="1508"/>
      <c r="CP82" s="1508"/>
      <c r="CQ82" s="1508"/>
      <c r="CR82" s="1508"/>
      <c r="CS82" s="1508"/>
      <c r="CT82" s="1508"/>
      <c r="CU82" s="1508"/>
      <c r="CV82" s="1508"/>
      <c r="CW82" s="1508"/>
      <c r="CX82" s="1508"/>
      <c r="CY82" s="1508"/>
      <c r="CZ82" s="1508"/>
      <c r="DA82" s="1508"/>
      <c r="DB82" s="1508"/>
      <c r="DC82" s="1508"/>
      <c r="DD82" s="1508"/>
      <c r="DE82" s="1508"/>
      <c r="DF82" s="1508"/>
      <c r="DG82" s="1508"/>
      <c r="DH82" s="1508"/>
      <c r="DI82" s="1508"/>
      <c r="DJ82" s="1508"/>
      <c r="DK82" s="1508"/>
      <c r="DL82" s="1508"/>
      <c r="DN82" s="1509"/>
    </row>
    <row r="83" spans="1:118" s="14" customFormat="1" ht="15.75" x14ac:dyDescent="0.2">
      <c r="A83" s="1845"/>
      <c r="B83" s="1847"/>
      <c r="C83" s="1842"/>
      <c r="D83" s="1843"/>
      <c r="E83" s="1844"/>
      <c r="G83" s="1539"/>
      <c r="H83" s="1539"/>
      <c r="I83" s="1539"/>
      <c r="J83" s="1539"/>
      <c r="K83" s="1539"/>
      <c r="L83" s="1539"/>
      <c r="M83" s="1539"/>
      <c r="N83" s="1539"/>
      <c r="O83" s="1539"/>
      <c r="P83" s="1539"/>
      <c r="Q83" s="1539"/>
      <c r="R83" s="1539"/>
      <c r="S83" s="1539"/>
      <c r="T83" s="1539"/>
      <c r="U83" s="1539"/>
      <c r="V83" s="1539"/>
      <c r="W83" s="1539"/>
      <c r="Y83" s="1490"/>
      <c r="Z83" s="1490"/>
      <c r="AA83" s="1490"/>
      <c r="AB83" s="1490"/>
      <c r="AC83" s="1490"/>
      <c r="AD83" s="1490"/>
      <c r="AE83" s="1490"/>
      <c r="AF83" s="1490"/>
      <c r="AG83" s="1490"/>
      <c r="AH83" s="1490"/>
      <c r="AI83" s="1490"/>
      <c r="AJ83" s="1490"/>
      <c r="AK83" s="1490"/>
      <c r="AL83" s="1490"/>
      <c r="AM83" s="1490"/>
      <c r="AN83" s="1490"/>
      <c r="AO83" s="1490"/>
      <c r="AP83" s="1490"/>
      <c r="AQ83" s="1490"/>
      <c r="AS83" s="1491"/>
      <c r="AT83" s="1491"/>
      <c r="AU83" s="1491"/>
      <c r="AV83" s="1491"/>
      <c r="AW83" s="1491"/>
      <c r="AX83" s="1491"/>
      <c r="AY83" s="1491"/>
      <c r="AZ83" s="1491"/>
      <c r="BA83" s="1491"/>
      <c r="BB83" s="1491"/>
      <c r="BC83" s="1491"/>
      <c r="BD83" s="1491"/>
      <c r="BE83" s="1491"/>
      <c r="BF83" s="1491"/>
      <c r="BG83" s="1491"/>
      <c r="BH83" s="1491"/>
      <c r="BI83" s="1491"/>
      <c r="BJ83" s="1491"/>
      <c r="BK83" s="1491"/>
      <c r="BL83" s="1491"/>
      <c r="BN83" s="1492"/>
      <c r="BO83" s="1492"/>
      <c r="BP83" s="1492"/>
      <c r="BR83" s="3168"/>
      <c r="BS83" s="1579"/>
      <c r="BT83" s="748"/>
      <c r="BU83" s="1507"/>
      <c r="BV83" s="1508"/>
      <c r="BW83" s="1508"/>
      <c r="BX83" s="1508"/>
      <c r="BY83" s="1508"/>
      <c r="BZ83" s="1508"/>
      <c r="CA83" s="1508"/>
      <c r="CB83" s="1508"/>
      <c r="CC83" s="1508"/>
      <c r="CD83" s="1508"/>
      <c r="CE83" s="1508"/>
      <c r="CF83" s="1508"/>
      <c r="CG83" s="1508"/>
      <c r="CH83" s="1508"/>
      <c r="CI83" s="1508"/>
      <c r="CJ83" s="1508"/>
      <c r="CK83" s="1508"/>
      <c r="CL83" s="1508"/>
      <c r="CM83" s="1508"/>
      <c r="CN83" s="1508"/>
      <c r="CO83" s="1508"/>
      <c r="CP83" s="1508"/>
      <c r="CQ83" s="1508"/>
      <c r="CR83" s="1508"/>
      <c r="CS83" s="1508"/>
      <c r="CT83" s="1508"/>
      <c r="CU83" s="1508"/>
      <c r="CV83" s="1508"/>
      <c r="CW83" s="1508"/>
      <c r="CX83" s="1508"/>
      <c r="CY83" s="1508"/>
      <c r="CZ83" s="1508"/>
      <c r="DA83" s="1508"/>
      <c r="DB83" s="1508"/>
      <c r="DC83" s="1508"/>
      <c r="DD83" s="1508"/>
      <c r="DE83" s="1508"/>
      <c r="DF83" s="1508"/>
      <c r="DG83" s="1508"/>
      <c r="DH83" s="1508"/>
      <c r="DI83" s="1508"/>
      <c r="DJ83" s="1508"/>
      <c r="DK83" s="1508"/>
      <c r="DL83" s="1508"/>
      <c r="DN83" s="1509"/>
    </row>
    <row r="84" spans="1:118" s="14" customFormat="1" ht="15.75" hidden="1" outlineLevel="1" x14ac:dyDescent="0.2">
      <c r="A84" s="1534"/>
      <c r="B84" s="1535"/>
      <c r="C84" s="1536"/>
      <c r="D84" s="1537"/>
      <c r="E84" s="1538"/>
      <c r="G84" s="1539"/>
      <c r="H84" s="1539"/>
      <c r="I84" s="1539"/>
      <c r="J84" s="1539"/>
      <c r="K84" s="1539"/>
      <c r="L84" s="1539"/>
      <c r="M84" s="1539"/>
      <c r="N84" s="1539"/>
      <c r="O84" s="1539"/>
      <c r="P84" s="1539"/>
      <c r="Q84" s="1539"/>
      <c r="R84" s="1539"/>
      <c r="S84" s="1539"/>
      <c r="T84" s="1539"/>
      <c r="U84" s="1539"/>
      <c r="V84" s="1539"/>
      <c r="W84" s="1539"/>
      <c r="Y84" s="1490"/>
      <c r="Z84" s="1490"/>
      <c r="AA84" s="1490"/>
      <c r="AB84" s="1490"/>
      <c r="AC84" s="1490"/>
      <c r="AD84" s="1490"/>
      <c r="AE84" s="1490"/>
      <c r="AF84" s="1490"/>
      <c r="AG84" s="1490"/>
      <c r="AH84" s="1490"/>
      <c r="AI84" s="1490"/>
      <c r="AJ84" s="1490"/>
      <c r="AK84" s="1490"/>
      <c r="AL84" s="1490"/>
      <c r="AM84" s="1490"/>
      <c r="AN84" s="1490"/>
      <c r="AO84" s="1490"/>
      <c r="AP84" s="1490"/>
      <c r="AQ84" s="1490"/>
      <c r="AS84" s="1491"/>
      <c r="AT84" s="1491"/>
      <c r="AU84" s="1491"/>
      <c r="AV84" s="1491"/>
      <c r="AW84" s="1491"/>
      <c r="AX84" s="1491"/>
      <c r="AY84" s="1491"/>
      <c r="AZ84" s="1491"/>
      <c r="BA84" s="1491"/>
      <c r="BB84" s="1491"/>
      <c r="BC84" s="1491"/>
      <c r="BD84" s="1491"/>
      <c r="BE84" s="1491"/>
      <c r="BF84" s="1491"/>
      <c r="BG84" s="1491"/>
      <c r="BH84" s="1491"/>
      <c r="BI84" s="1491"/>
      <c r="BJ84" s="1491"/>
      <c r="BK84" s="1491"/>
      <c r="BL84" s="1491"/>
      <c r="BN84" s="1492"/>
      <c r="BO84" s="1492"/>
      <c r="BP84" s="1492"/>
      <c r="BR84" s="3168">
        <f t="shared" ref="BR84:BR89" si="62">W84+AQ84+BL84+BP84</f>
        <v>0</v>
      </c>
      <c r="BS84" s="1493"/>
      <c r="BT84" s="748"/>
      <c r="BU84" s="1508"/>
      <c r="BV84" s="1508"/>
      <c r="BW84" s="1508"/>
      <c r="BX84" s="1508"/>
      <c r="BY84" s="1508"/>
      <c r="BZ84" s="1508"/>
      <c r="CA84" s="1508"/>
      <c r="CB84" s="1508"/>
      <c r="CC84" s="1508"/>
      <c r="CD84" s="1508"/>
      <c r="CE84" s="1508"/>
      <c r="CF84" s="1508"/>
      <c r="CG84" s="1508"/>
      <c r="CH84" s="1508"/>
      <c r="CI84" s="1508"/>
      <c r="CJ84" s="1508"/>
      <c r="CK84" s="1508"/>
      <c r="CL84" s="1508"/>
      <c r="CM84" s="1508"/>
      <c r="CN84" s="1508"/>
      <c r="CO84" s="1508"/>
      <c r="CP84" s="1508"/>
      <c r="CQ84" s="1508"/>
      <c r="CR84" s="1508"/>
      <c r="CS84" s="1508"/>
      <c r="CT84" s="1508"/>
      <c r="CU84" s="1508"/>
      <c r="CV84" s="1508"/>
      <c r="CW84" s="1508"/>
      <c r="CX84" s="1508"/>
      <c r="CY84" s="1508"/>
      <c r="CZ84" s="1508"/>
      <c r="DA84" s="1508"/>
      <c r="DB84" s="1508"/>
      <c r="DC84" s="1508"/>
      <c r="DD84" s="1508"/>
      <c r="DE84" s="1508"/>
      <c r="DF84" s="1508"/>
      <c r="DG84" s="1508"/>
      <c r="DH84" s="1508"/>
      <c r="DI84" s="1508"/>
      <c r="DJ84" s="1508"/>
      <c r="DK84" s="1508"/>
      <c r="DL84" s="1508"/>
      <c r="DN84" s="1509"/>
    </row>
    <row r="85" spans="1:118" s="14" customFormat="1" ht="12.75" hidden="1" customHeight="1" outlineLevel="2" x14ac:dyDescent="0.2">
      <c r="A85" s="1534"/>
      <c r="B85" s="1534"/>
      <c r="C85" s="1544"/>
      <c r="D85" s="1538"/>
      <c r="E85" s="1538"/>
      <c r="G85" s="1488"/>
      <c r="H85" s="1488"/>
      <c r="I85" s="1488"/>
      <c r="J85" s="1488"/>
      <c r="K85" s="1488"/>
      <c r="L85" s="1488"/>
      <c r="M85" s="1488"/>
      <c r="N85" s="1488"/>
      <c r="O85" s="1563"/>
      <c r="P85" s="1488"/>
      <c r="Q85" s="1488"/>
      <c r="R85" s="1488"/>
      <c r="S85" s="1488"/>
      <c r="T85" s="1488"/>
      <c r="U85" s="1488"/>
      <c r="V85" s="1488"/>
      <c r="W85" s="1488"/>
      <c r="Y85" s="1490"/>
      <c r="Z85" s="1490"/>
      <c r="AA85" s="1490"/>
      <c r="AB85" s="1490"/>
      <c r="AC85" s="1490"/>
      <c r="AD85" s="1490"/>
      <c r="AE85" s="1490"/>
      <c r="AF85" s="1490"/>
      <c r="AG85" s="1490"/>
      <c r="AH85" s="1490"/>
      <c r="AI85" s="1490"/>
      <c r="AJ85" s="1490"/>
      <c r="AK85" s="1490"/>
      <c r="AL85" s="1490"/>
      <c r="AM85" s="1490"/>
      <c r="AN85" s="1490"/>
      <c r="AO85" s="1490"/>
      <c r="AP85" s="1490"/>
      <c r="AQ85" s="1490"/>
      <c r="AS85" s="1491"/>
      <c r="AT85" s="1491"/>
      <c r="AU85" s="1491"/>
      <c r="AV85" s="1491"/>
      <c r="AW85" s="1491"/>
      <c r="AX85" s="1491"/>
      <c r="AY85" s="1491"/>
      <c r="AZ85" s="1491"/>
      <c r="BA85" s="1491"/>
      <c r="BB85" s="1491"/>
      <c r="BC85" s="1491"/>
      <c r="BD85" s="1491"/>
      <c r="BE85" s="1491"/>
      <c r="BF85" s="1491"/>
      <c r="BG85" s="1491"/>
      <c r="BH85" s="1491"/>
      <c r="BI85" s="1491"/>
      <c r="BJ85" s="1491"/>
      <c r="BK85" s="1491"/>
      <c r="BL85" s="1491"/>
      <c r="BN85" s="1492"/>
      <c r="BO85" s="1492"/>
      <c r="BP85" s="1492"/>
      <c r="BR85" s="3168">
        <f t="shared" si="62"/>
        <v>0</v>
      </c>
      <c r="BS85" s="1493"/>
      <c r="BT85" s="1534"/>
      <c r="BU85" s="1508"/>
      <c r="BV85" s="1508"/>
      <c r="BW85" s="1508"/>
      <c r="BX85" s="1508"/>
      <c r="BY85" s="1508"/>
      <c r="BZ85" s="1508"/>
      <c r="CA85" s="1508"/>
      <c r="CB85" s="1508"/>
      <c r="CC85" s="1508"/>
      <c r="CD85" s="1508"/>
      <c r="CE85" s="1508"/>
      <c r="CF85" s="1508"/>
      <c r="CG85" s="1508"/>
      <c r="CH85" s="1508"/>
      <c r="CI85" s="1508"/>
      <c r="CJ85" s="1508"/>
      <c r="CK85" s="1508"/>
      <c r="CL85" s="1508"/>
      <c r="CM85" s="1508"/>
      <c r="CN85" s="1508"/>
      <c r="CO85" s="1508"/>
      <c r="CP85" s="1508"/>
      <c r="CQ85" s="1508"/>
      <c r="CR85" s="1508"/>
      <c r="CS85" s="1508"/>
      <c r="CT85" s="1508"/>
      <c r="CU85" s="1508"/>
      <c r="CV85" s="1508"/>
      <c r="CW85" s="1508"/>
      <c r="CX85" s="1508"/>
      <c r="CY85" s="1508"/>
      <c r="CZ85" s="1508"/>
      <c r="DA85" s="1508"/>
      <c r="DB85" s="1508"/>
      <c r="DC85" s="1508"/>
      <c r="DD85" s="1508"/>
      <c r="DE85" s="1508"/>
      <c r="DF85" s="1508"/>
      <c r="DG85" s="1508"/>
      <c r="DH85" s="1508"/>
      <c r="DI85" s="1508"/>
      <c r="DJ85" s="1508"/>
      <c r="DK85" s="1508"/>
      <c r="DL85" s="1508"/>
      <c r="DN85" s="1509">
        <v>0</v>
      </c>
    </row>
    <row r="86" spans="1:118" s="1564" customFormat="1" ht="12.75" hidden="1" customHeight="1" outlineLevel="2" x14ac:dyDescent="0.2">
      <c r="C86" s="1565" t="s">
        <v>809</v>
      </c>
      <c r="D86" s="1566" t="s">
        <v>810</v>
      </c>
      <c r="E86" s="1566"/>
      <c r="F86" s="1567"/>
      <c r="G86" s="1568"/>
      <c r="H86" s="1568"/>
      <c r="I86" s="1568"/>
      <c r="J86" s="1568"/>
      <c r="K86" s="1568"/>
      <c r="L86" s="1568"/>
      <c r="M86" s="1568"/>
      <c r="N86" s="1568"/>
      <c r="O86" s="1569"/>
      <c r="P86" s="1568"/>
      <c r="Q86" s="1568"/>
      <c r="R86" s="1568"/>
      <c r="S86" s="1568"/>
      <c r="T86" s="1568"/>
      <c r="U86" s="1568"/>
      <c r="V86" s="1568"/>
      <c r="W86" s="1568"/>
      <c r="X86" s="1567"/>
      <c r="Y86" s="1570"/>
      <c r="Z86" s="1570"/>
      <c r="AA86" s="1570"/>
      <c r="AB86" s="1570"/>
      <c r="AC86" s="1570"/>
      <c r="AD86" s="1570"/>
      <c r="AE86" s="1570"/>
      <c r="AF86" s="1570"/>
      <c r="AG86" s="1570"/>
      <c r="AH86" s="1570"/>
      <c r="AI86" s="1570"/>
      <c r="AJ86" s="1570"/>
      <c r="AK86" s="1570"/>
      <c r="AL86" s="1570"/>
      <c r="AM86" s="1570"/>
      <c r="AN86" s="1570"/>
      <c r="AO86" s="1570"/>
      <c r="AP86" s="1570"/>
      <c r="AQ86" s="1570"/>
      <c r="AR86" s="1567"/>
      <c r="AS86" s="1571"/>
      <c r="AT86" s="1571"/>
      <c r="AU86" s="1571"/>
      <c r="AV86" s="1571"/>
      <c r="AW86" s="1571"/>
      <c r="AX86" s="1571"/>
      <c r="AY86" s="1571"/>
      <c r="AZ86" s="1571"/>
      <c r="BA86" s="1571"/>
      <c r="BB86" s="1571"/>
      <c r="BC86" s="1571"/>
      <c r="BD86" s="1571"/>
      <c r="BE86" s="1571"/>
      <c r="BF86" s="1571"/>
      <c r="BG86" s="1571"/>
      <c r="BH86" s="1571"/>
      <c r="BI86" s="1571"/>
      <c r="BJ86" s="1571"/>
      <c r="BK86" s="1571"/>
      <c r="BL86" s="1571"/>
      <c r="BM86" s="1567"/>
      <c r="BN86" s="1572"/>
      <c r="BO86" s="1572"/>
      <c r="BP86" s="1572"/>
      <c r="BQ86" s="1567"/>
      <c r="BR86" s="3168">
        <f t="shared" si="62"/>
        <v>0</v>
      </c>
      <c r="BS86" s="1573"/>
      <c r="BU86" s="1574"/>
      <c r="BV86" s="1574"/>
      <c r="BW86" s="1574"/>
      <c r="BX86" s="1574"/>
      <c r="BY86" s="1574"/>
      <c r="BZ86" s="1574"/>
      <c r="CA86" s="1574"/>
      <c r="CB86" s="1574"/>
      <c r="CC86" s="1574"/>
      <c r="CD86" s="1574"/>
      <c r="CE86" s="1574"/>
      <c r="CF86" s="1574"/>
      <c r="CG86" s="1574"/>
      <c r="CH86" s="1574"/>
      <c r="CI86" s="1574"/>
      <c r="CJ86" s="1574"/>
      <c r="CK86" s="1574"/>
      <c r="CL86" s="1574"/>
      <c r="CM86" s="1574"/>
      <c r="CN86" s="1574"/>
      <c r="CO86" s="1574"/>
      <c r="CP86" s="1574"/>
      <c r="CQ86" s="1574"/>
      <c r="CR86" s="1574"/>
      <c r="CS86" s="1574"/>
      <c r="CT86" s="1574"/>
      <c r="CU86" s="1574"/>
      <c r="CV86" s="1574"/>
      <c r="CW86" s="1574"/>
      <c r="CX86" s="1574"/>
      <c r="CY86" s="1574"/>
      <c r="CZ86" s="1574"/>
      <c r="DA86" s="1574"/>
      <c r="DB86" s="1574"/>
      <c r="DC86" s="1574"/>
      <c r="DD86" s="1574"/>
      <c r="DE86" s="1574"/>
      <c r="DF86" s="1574"/>
      <c r="DG86" s="1574"/>
      <c r="DH86" s="1574"/>
      <c r="DI86" s="1574"/>
      <c r="DJ86" s="1574"/>
      <c r="DK86" s="1574"/>
      <c r="DL86" s="1574"/>
      <c r="DN86" s="1575">
        <v>0</v>
      </c>
    </row>
    <row r="87" spans="1:118" s="1522" customFormat="1" ht="12.75" hidden="1" customHeight="1" outlineLevel="2" x14ac:dyDescent="0.2">
      <c r="C87" s="1496" t="s">
        <v>112</v>
      </c>
      <c r="D87" s="1526" t="s">
        <v>113</v>
      </c>
      <c r="E87" s="1526"/>
      <c r="F87" s="14"/>
      <c r="G87" s="1540"/>
      <c r="H87" s="1540"/>
      <c r="I87" s="1540"/>
      <c r="J87" s="1540"/>
      <c r="K87" s="1540"/>
      <c r="L87" s="1540"/>
      <c r="M87" s="1540"/>
      <c r="N87" s="1540"/>
      <c r="O87" s="1540"/>
      <c r="P87" s="1540"/>
      <c r="Q87" s="1540"/>
      <c r="R87" s="1540"/>
      <c r="S87" s="1540"/>
      <c r="T87" s="1540"/>
      <c r="U87" s="1540"/>
      <c r="V87" s="1540"/>
      <c r="W87" s="1527"/>
      <c r="X87" s="14"/>
      <c r="Y87" s="1541"/>
      <c r="Z87" s="1541"/>
      <c r="AA87" s="1541"/>
      <c r="AB87" s="1541"/>
      <c r="AC87" s="1541"/>
      <c r="AD87" s="1541"/>
      <c r="AE87" s="1541"/>
      <c r="AF87" s="1541"/>
      <c r="AG87" s="1541"/>
      <c r="AH87" s="1541"/>
      <c r="AI87" s="1541"/>
      <c r="AJ87" s="1541"/>
      <c r="AK87" s="1541"/>
      <c r="AL87" s="1541"/>
      <c r="AM87" s="1541"/>
      <c r="AN87" s="1541"/>
      <c r="AO87" s="1541"/>
      <c r="AP87" s="1541"/>
      <c r="AQ87" s="1528"/>
      <c r="AR87" s="14"/>
      <c r="AS87" s="1542"/>
      <c r="AT87" s="1542"/>
      <c r="AU87" s="1542"/>
      <c r="AV87" s="1542"/>
      <c r="AW87" s="1542"/>
      <c r="AX87" s="1542"/>
      <c r="AY87" s="1542"/>
      <c r="AZ87" s="1542"/>
      <c r="BA87" s="1542"/>
      <c r="BB87" s="1542"/>
      <c r="BC87" s="1542"/>
      <c r="BD87" s="1542"/>
      <c r="BE87" s="1542"/>
      <c r="BF87" s="1542"/>
      <c r="BG87" s="1542"/>
      <c r="BH87" s="1542"/>
      <c r="BI87" s="1542"/>
      <c r="BJ87" s="1542"/>
      <c r="BK87" s="1542"/>
      <c r="BL87" s="1530"/>
      <c r="BM87" s="14"/>
      <c r="BN87" s="1543"/>
      <c r="BO87" s="1543"/>
      <c r="BP87" s="1531"/>
      <c r="BQ87" s="14"/>
      <c r="BR87" s="3168">
        <f t="shared" si="62"/>
        <v>0</v>
      </c>
      <c r="BS87" s="1525"/>
      <c r="BT87" s="748"/>
      <c r="BU87" s="1532">
        <v>0</v>
      </c>
      <c r="BV87" s="1533">
        <v>0</v>
      </c>
      <c r="BW87" s="1533">
        <v>0</v>
      </c>
      <c r="BX87" s="1533">
        <v>0</v>
      </c>
      <c r="BY87" s="1533">
        <v>0</v>
      </c>
      <c r="BZ87" s="1533">
        <v>0</v>
      </c>
      <c r="CA87" s="1533">
        <v>0</v>
      </c>
      <c r="CB87" s="1533">
        <v>0</v>
      </c>
      <c r="CC87" s="1533">
        <v>0</v>
      </c>
      <c r="CD87" s="1533">
        <v>0</v>
      </c>
      <c r="CE87" s="1533">
        <v>0</v>
      </c>
      <c r="CF87" s="1533">
        <v>0</v>
      </c>
      <c r="CG87" s="1533">
        <v>0</v>
      </c>
      <c r="CH87" s="1533">
        <v>0</v>
      </c>
      <c r="CI87" s="1533">
        <v>0</v>
      </c>
      <c r="CJ87" s="1533">
        <v>0</v>
      </c>
      <c r="CK87" s="1533">
        <v>0</v>
      </c>
      <c r="CL87" s="1533">
        <v>0</v>
      </c>
      <c r="CM87" s="1533">
        <v>0</v>
      </c>
      <c r="CN87" s="1533">
        <v>0</v>
      </c>
      <c r="CO87" s="1533">
        <v>0</v>
      </c>
      <c r="CP87" s="1533">
        <v>0</v>
      </c>
      <c r="CQ87" s="1533">
        <v>0</v>
      </c>
      <c r="CR87" s="1533">
        <v>0</v>
      </c>
      <c r="CS87" s="1533">
        <v>0</v>
      </c>
      <c r="CT87" s="1533">
        <v>0</v>
      </c>
      <c r="CU87" s="1533">
        <v>0</v>
      </c>
      <c r="CV87" s="1533">
        <v>0</v>
      </c>
      <c r="CW87" s="1533">
        <v>0</v>
      </c>
      <c r="CX87" s="1533">
        <v>0</v>
      </c>
      <c r="CY87" s="1533">
        <v>0</v>
      </c>
      <c r="CZ87" s="1533">
        <v>0</v>
      </c>
      <c r="DA87" s="1533">
        <v>0</v>
      </c>
      <c r="DB87" s="1533">
        <v>0</v>
      </c>
      <c r="DC87" s="1533">
        <v>0</v>
      </c>
      <c r="DD87" s="1533">
        <v>0</v>
      </c>
      <c r="DE87" s="1533">
        <v>0</v>
      </c>
      <c r="DF87" s="1533">
        <v>0</v>
      </c>
      <c r="DG87" s="1533">
        <v>0</v>
      </c>
      <c r="DH87" s="1533">
        <v>0</v>
      </c>
      <c r="DI87" s="1533">
        <v>0</v>
      </c>
      <c r="DJ87" s="1533">
        <v>0</v>
      </c>
      <c r="DK87" s="1533">
        <v>0</v>
      </c>
      <c r="DL87" s="1533">
        <v>0</v>
      </c>
      <c r="DN87" s="1509">
        <v>0</v>
      </c>
    </row>
    <row r="88" spans="1:118" s="14" customFormat="1" ht="15.75" hidden="1" outlineLevel="1" collapsed="1" x14ac:dyDescent="0.2">
      <c r="A88" s="1845"/>
      <c r="B88" s="1846"/>
      <c r="C88" s="1842" t="s">
        <v>746</v>
      </c>
      <c r="D88" s="1843" t="s">
        <v>2283</v>
      </c>
      <c r="E88" s="1844"/>
      <c r="G88" s="1539"/>
      <c r="H88" s="1539"/>
      <c r="I88" s="1539"/>
      <c r="J88" s="1539"/>
      <c r="K88" s="1539"/>
      <c r="L88" s="1539"/>
      <c r="M88" s="1539"/>
      <c r="N88" s="1539"/>
      <c r="O88" s="1539"/>
      <c r="P88" s="1539"/>
      <c r="Q88" s="1539"/>
      <c r="R88" s="1539"/>
      <c r="S88" s="1539"/>
      <c r="T88" s="1539"/>
      <c r="U88" s="1539"/>
      <c r="V88" s="1539"/>
      <c r="W88" s="1539"/>
      <c r="Y88" s="1490"/>
      <c r="Z88" s="1490"/>
      <c r="AA88" s="1490"/>
      <c r="AB88" s="1490"/>
      <c r="AC88" s="1490"/>
      <c r="AD88" s="1490"/>
      <c r="AE88" s="1490"/>
      <c r="AF88" s="1490"/>
      <c r="AG88" s="1490"/>
      <c r="AH88" s="1490"/>
      <c r="AI88" s="1490"/>
      <c r="AJ88" s="1490"/>
      <c r="AK88" s="1490"/>
      <c r="AL88" s="1490"/>
      <c r="AM88" s="1490"/>
      <c r="AN88" s="1490"/>
      <c r="AO88" s="1490"/>
      <c r="AP88" s="1490"/>
      <c r="AQ88" s="1490"/>
      <c r="AS88" s="1491"/>
      <c r="AT88" s="1491"/>
      <c r="AU88" s="1491"/>
      <c r="AV88" s="1491"/>
      <c r="AW88" s="1491"/>
      <c r="AX88" s="1491"/>
      <c r="AY88" s="1491"/>
      <c r="AZ88" s="1491"/>
      <c r="BA88" s="1491"/>
      <c r="BB88" s="1491"/>
      <c r="BC88" s="1491"/>
      <c r="BD88" s="1491"/>
      <c r="BE88" s="1491"/>
      <c r="BF88" s="1491"/>
      <c r="BG88" s="1491"/>
      <c r="BH88" s="1491"/>
      <c r="BI88" s="1491"/>
      <c r="BJ88" s="1491"/>
      <c r="BK88" s="1491"/>
      <c r="BL88" s="1491"/>
      <c r="BN88" s="1492"/>
      <c r="BO88" s="1492"/>
      <c r="BP88" s="1492"/>
      <c r="BR88" s="3168">
        <f t="shared" si="62"/>
        <v>0</v>
      </c>
      <c r="BS88" s="1493"/>
      <c r="BT88" s="748"/>
      <c r="BU88" s="1508">
        <v>0</v>
      </c>
      <c r="BV88" s="1508">
        <v>0</v>
      </c>
      <c r="BW88" s="1508">
        <v>0</v>
      </c>
      <c r="BX88" s="1508">
        <v>0</v>
      </c>
      <c r="BY88" s="1508">
        <v>0</v>
      </c>
      <c r="BZ88" s="1508">
        <v>0</v>
      </c>
      <c r="CA88" s="1508">
        <v>0</v>
      </c>
      <c r="CB88" s="1508">
        <v>0</v>
      </c>
      <c r="CC88" s="1508">
        <v>0</v>
      </c>
      <c r="CD88" s="1508">
        <v>0</v>
      </c>
      <c r="CE88" s="1508">
        <v>0</v>
      </c>
      <c r="CF88" s="1508">
        <v>0</v>
      </c>
      <c r="CG88" s="1508">
        <v>0</v>
      </c>
      <c r="CH88" s="1508">
        <v>0</v>
      </c>
      <c r="CI88" s="1508">
        <v>0</v>
      </c>
      <c r="CJ88" s="1508">
        <v>0</v>
      </c>
      <c r="CK88" s="1508">
        <v>0</v>
      </c>
      <c r="CL88" s="1508">
        <v>0</v>
      </c>
      <c r="CM88" s="1508">
        <v>0</v>
      </c>
      <c r="CN88" s="1508">
        <v>0</v>
      </c>
      <c r="CO88" s="1508">
        <v>0</v>
      </c>
      <c r="CP88" s="1508">
        <v>0</v>
      </c>
      <c r="CQ88" s="1508">
        <v>0</v>
      </c>
      <c r="CR88" s="1508">
        <v>0</v>
      </c>
      <c r="CS88" s="1508">
        <v>0</v>
      </c>
      <c r="CT88" s="1508">
        <v>0</v>
      </c>
      <c r="CU88" s="1508">
        <v>0</v>
      </c>
      <c r="CV88" s="1508">
        <v>0</v>
      </c>
      <c r="CW88" s="1508">
        <v>0</v>
      </c>
      <c r="CX88" s="1508">
        <v>0</v>
      </c>
      <c r="CY88" s="1508">
        <v>0</v>
      </c>
      <c r="CZ88" s="1508">
        <v>0</v>
      </c>
      <c r="DA88" s="1508">
        <v>0</v>
      </c>
      <c r="DB88" s="1508">
        <v>0</v>
      </c>
      <c r="DC88" s="1508">
        <v>0</v>
      </c>
      <c r="DD88" s="1508">
        <v>0</v>
      </c>
      <c r="DE88" s="1508">
        <v>0</v>
      </c>
      <c r="DF88" s="1508">
        <v>0</v>
      </c>
      <c r="DG88" s="1508">
        <v>0</v>
      </c>
      <c r="DH88" s="1508">
        <v>0</v>
      </c>
      <c r="DI88" s="1508">
        <v>0</v>
      </c>
      <c r="DJ88" s="1508">
        <v>0</v>
      </c>
      <c r="DK88" s="1508">
        <v>0</v>
      </c>
      <c r="DL88" s="1508">
        <v>0</v>
      </c>
      <c r="DN88" s="1509">
        <v>0</v>
      </c>
    </row>
    <row r="89" spans="1:118" s="14" customFormat="1" ht="15.75" hidden="1" outlineLevel="1" x14ac:dyDescent="0.2">
      <c r="A89" s="1845"/>
      <c r="B89" s="1846"/>
      <c r="C89" s="1842"/>
      <c r="D89" s="1843"/>
      <c r="E89" s="1844"/>
      <c r="G89" s="1539"/>
      <c r="H89" s="1539"/>
      <c r="I89" s="1539"/>
      <c r="J89" s="1539"/>
      <c r="K89" s="1539"/>
      <c r="L89" s="1539"/>
      <c r="M89" s="1539"/>
      <c r="N89" s="1539"/>
      <c r="O89" s="1539"/>
      <c r="P89" s="1539"/>
      <c r="Q89" s="1539"/>
      <c r="R89" s="1539"/>
      <c r="S89" s="1539"/>
      <c r="T89" s="1539"/>
      <c r="U89" s="1539"/>
      <c r="V89" s="1539"/>
      <c r="W89" s="1539"/>
      <c r="Y89" s="1490"/>
      <c r="Z89" s="1490"/>
      <c r="AA89" s="1490"/>
      <c r="AB89" s="1490"/>
      <c r="AC89" s="1490"/>
      <c r="AD89" s="1490"/>
      <c r="AE89" s="1490"/>
      <c r="AF89" s="1490"/>
      <c r="AG89" s="1490"/>
      <c r="AH89" s="1490"/>
      <c r="AI89" s="1490"/>
      <c r="AJ89" s="1490"/>
      <c r="AK89" s="1490"/>
      <c r="AL89" s="1490"/>
      <c r="AM89" s="1490"/>
      <c r="AN89" s="1490"/>
      <c r="AO89" s="1490"/>
      <c r="AP89" s="1490"/>
      <c r="AQ89" s="1490"/>
      <c r="AS89" s="1491"/>
      <c r="AT89" s="1491"/>
      <c r="AU89" s="1491"/>
      <c r="AV89" s="1491"/>
      <c r="AW89" s="1491"/>
      <c r="AX89" s="1491"/>
      <c r="AY89" s="1491"/>
      <c r="AZ89" s="1491"/>
      <c r="BA89" s="1491"/>
      <c r="BB89" s="1491"/>
      <c r="BC89" s="1491"/>
      <c r="BD89" s="1491"/>
      <c r="BE89" s="1491"/>
      <c r="BF89" s="1491"/>
      <c r="BG89" s="1491"/>
      <c r="BH89" s="1491"/>
      <c r="BI89" s="1491"/>
      <c r="BJ89" s="1491"/>
      <c r="BK89" s="1491"/>
      <c r="BL89" s="1491"/>
      <c r="BN89" s="1492"/>
      <c r="BO89" s="1492"/>
      <c r="BP89" s="1492"/>
      <c r="BR89" s="3168">
        <f t="shared" si="62"/>
        <v>0</v>
      </c>
      <c r="BS89" s="1493"/>
      <c r="BT89" s="748"/>
      <c r="BU89" s="1508"/>
      <c r="BV89" s="1508"/>
      <c r="BW89" s="1508"/>
      <c r="BX89" s="1508"/>
      <c r="BY89" s="1508"/>
      <c r="BZ89" s="1508"/>
      <c r="CA89" s="1508"/>
      <c r="CB89" s="1508"/>
      <c r="CC89" s="1508"/>
      <c r="CD89" s="1508"/>
      <c r="CE89" s="1508"/>
      <c r="CF89" s="1508"/>
      <c r="CG89" s="1508"/>
      <c r="CH89" s="1508"/>
      <c r="CI89" s="1508"/>
      <c r="CJ89" s="1508"/>
      <c r="CK89" s="1508"/>
      <c r="CL89" s="1508"/>
      <c r="CM89" s="1508"/>
      <c r="CN89" s="1508"/>
      <c r="CO89" s="1508"/>
      <c r="CP89" s="1508"/>
      <c r="CQ89" s="1508"/>
      <c r="CR89" s="1508"/>
      <c r="CS89" s="1508"/>
      <c r="CT89" s="1508"/>
      <c r="CU89" s="1508"/>
      <c r="CV89" s="1508"/>
      <c r="CW89" s="1508"/>
      <c r="CX89" s="1508"/>
      <c r="CY89" s="1508"/>
      <c r="CZ89" s="1508"/>
      <c r="DA89" s="1508"/>
      <c r="DB89" s="1508"/>
      <c r="DC89" s="1508"/>
      <c r="DD89" s="1508"/>
      <c r="DE89" s="1508"/>
      <c r="DF89" s="1508"/>
      <c r="DG89" s="1508"/>
      <c r="DH89" s="1508"/>
      <c r="DI89" s="1508"/>
      <c r="DJ89" s="1508"/>
      <c r="DK89" s="1508"/>
      <c r="DL89" s="1508"/>
      <c r="DN89" s="1509"/>
    </row>
    <row r="90" spans="1:118" s="14" customFormat="1" ht="15.75" collapsed="1" x14ac:dyDescent="0.2">
      <c r="A90" s="1845"/>
      <c r="B90" s="1846"/>
      <c r="C90" s="1842"/>
      <c r="D90" s="1843"/>
      <c r="E90" s="1844"/>
      <c r="G90" s="1539"/>
      <c r="H90" s="1539"/>
      <c r="I90" s="1539"/>
      <c r="J90" s="1539"/>
      <c r="K90" s="1539"/>
      <c r="L90" s="1539"/>
      <c r="M90" s="1539"/>
      <c r="N90" s="1539"/>
      <c r="O90" s="1539"/>
      <c r="P90" s="1539"/>
      <c r="Q90" s="1539"/>
      <c r="R90" s="1539"/>
      <c r="S90" s="1539"/>
      <c r="T90" s="1539"/>
      <c r="U90" s="1539"/>
      <c r="V90" s="1539"/>
      <c r="W90" s="1539"/>
      <c r="Y90" s="1490"/>
      <c r="Z90" s="1490"/>
      <c r="AA90" s="1490"/>
      <c r="AB90" s="1490"/>
      <c r="AC90" s="1490"/>
      <c r="AD90" s="1490"/>
      <c r="AE90" s="1490"/>
      <c r="AF90" s="1490"/>
      <c r="AG90" s="1490"/>
      <c r="AH90" s="1490"/>
      <c r="AI90" s="1490"/>
      <c r="AJ90" s="1490"/>
      <c r="AK90" s="1490"/>
      <c r="AL90" s="1490"/>
      <c r="AM90" s="1490"/>
      <c r="AN90" s="1490"/>
      <c r="AO90" s="1490"/>
      <c r="AP90" s="1490"/>
      <c r="AQ90" s="1490"/>
      <c r="AS90" s="1491"/>
      <c r="AT90" s="1491"/>
      <c r="AU90" s="1491"/>
      <c r="AV90" s="1491"/>
      <c r="AW90" s="1491"/>
      <c r="AX90" s="1491"/>
      <c r="AY90" s="1491"/>
      <c r="AZ90" s="1491"/>
      <c r="BA90" s="1491"/>
      <c r="BB90" s="1491"/>
      <c r="BC90" s="1491"/>
      <c r="BD90" s="1491"/>
      <c r="BE90" s="1491"/>
      <c r="BF90" s="1491"/>
      <c r="BG90" s="1491"/>
      <c r="BH90" s="1491"/>
      <c r="BI90" s="1491"/>
      <c r="BJ90" s="1491"/>
      <c r="BK90" s="1491"/>
      <c r="BL90" s="1491"/>
      <c r="BN90" s="1492"/>
      <c r="BO90" s="1492"/>
      <c r="BP90" s="1492"/>
      <c r="BR90" s="3168"/>
      <c r="BS90" s="1493"/>
      <c r="BT90" s="748"/>
      <c r="BU90" s="1508"/>
      <c r="BV90" s="1508"/>
      <c r="BW90" s="1508"/>
      <c r="BX90" s="1508"/>
      <c r="BY90" s="1508"/>
      <c r="BZ90" s="1508"/>
      <c r="CA90" s="1508"/>
      <c r="CB90" s="1508"/>
      <c r="CC90" s="1508"/>
      <c r="CD90" s="1508"/>
      <c r="CE90" s="1508"/>
      <c r="CF90" s="1508"/>
      <c r="CG90" s="1508"/>
      <c r="CH90" s="1508"/>
      <c r="CI90" s="1508"/>
      <c r="CJ90" s="1508"/>
      <c r="CK90" s="1508"/>
      <c r="CL90" s="1508"/>
      <c r="CM90" s="1508"/>
      <c r="CN90" s="1508"/>
      <c r="CO90" s="1508"/>
      <c r="CP90" s="1508"/>
      <c r="CQ90" s="1508"/>
      <c r="CR90" s="1508"/>
      <c r="CS90" s="1508"/>
      <c r="CT90" s="1508"/>
      <c r="CU90" s="1508"/>
      <c r="CV90" s="1508"/>
      <c r="CW90" s="1508"/>
      <c r="CX90" s="1508"/>
      <c r="CY90" s="1508"/>
      <c r="CZ90" s="1508"/>
      <c r="DA90" s="1508"/>
      <c r="DB90" s="1508"/>
      <c r="DC90" s="1508"/>
      <c r="DD90" s="1508"/>
      <c r="DE90" s="1508"/>
      <c r="DF90" s="1508"/>
      <c r="DG90" s="1508"/>
      <c r="DH90" s="1508"/>
      <c r="DI90" s="1508"/>
      <c r="DJ90" s="1508"/>
      <c r="DK90" s="1508"/>
      <c r="DL90" s="1508"/>
      <c r="DN90" s="1509"/>
    </row>
    <row r="91" spans="1:118" s="14" customFormat="1" ht="6" customHeight="1" x14ac:dyDescent="0.2">
      <c r="C91" s="1552"/>
      <c r="D91" s="1537"/>
      <c r="E91" s="1430"/>
      <c r="G91" s="1488"/>
      <c r="H91" s="1488"/>
      <c r="I91" s="1488"/>
      <c r="J91" s="1488"/>
      <c r="K91" s="1488"/>
      <c r="L91" s="1488"/>
      <c r="M91" s="1488"/>
      <c r="N91" s="1488"/>
      <c r="O91" s="1563"/>
      <c r="P91" s="1488"/>
      <c r="Q91" s="1488"/>
      <c r="R91" s="1488"/>
      <c r="S91" s="1488"/>
      <c r="T91" s="1488"/>
      <c r="U91" s="1488"/>
      <c r="V91" s="1488"/>
      <c r="W91" s="1488"/>
      <c r="Y91" s="1490"/>
      <c r="Z91" s="1490"/>
      <c r="AA91" s="1490"/>
      <c r="AB91" s="1490"/>
      <c r="AC91" s="1490"/>
      <c r="AD91" s="1490"/>
      <c r="AE91" s="1490"/>
      <c r="AF91" s="1490"/>
      <c r="AG91" s="1490"/>
      <c r="AH91" s="1490"/>
      <c r="AI91" s="1490"/>
      <c r="AJ91" s="1490"/>
      <c r="AK91" s="1490"/>
      <c r="AL91" s="1490"/>
      <c r="AM91" s="1490"/>
      <c r="AN91" s="1490"/>
      <c r="AO91" s="1490"/>
      <c r="AP91" s="1490"/>
      <c r="AQ91" s="1490"/>
      <c r="AS91" s="1491"/>
      <c r="AT91" s="1491"/>
      <c r="AU91" s="1491"/>
      <c r="AV91" s="1491"/>
      <c r="AW91" s="1491"/>
      <c r="AX91" s="1491"/>
      <c r="AY91" s="1491"/>
      <c r="AZ91" s="1491"/>
      <c r="BA91" s="1491"/>
      <c r="BB91" s="1491"/>
      <c r="BC91" s="1491"/>
      <c r="BD91" s="1491"/>
      <c r="BE91" s="1491"/>
      <c r="BF91" s="1491"/>
      <c r="BG91" s="1491"/>
      <c r="BH91" s="1491"/>
      <c r="BI91" s="1491"/>
      <c r="BJ91" s="1491"/>
      <c r="BK91" s="1491"/>
      <c r="BL91" s="1491"/>
      <c r="BN91" s="1492"/>
      <c r="BO91" s="1492"/>
      <c r="BP91" s="1492"/>
      <c r="BR91" s="3168"/>
      <c r="BS91" s="1493"/>
      <c r="BU91" s="1508"/>
      <c r="BV91" s="1508"/>
      <c r="BW91" s="1508"/>
      <c r="BX91" s="1508"/>
      <c r="BY91" s="1508"/>
      <c r="BZ91" s="1508"/>
      <c r="CA91" s="1508"/>
      <c r="CB91" s="1508"/>
      <c r="CC91" s="1508"/>
      <c r="CD91" s="1508"/>
      <c r="CE91" s="1508"/>
      <c r="CF91" s="1508"/>
      <c r="CG91" s="1508"/>
      <c r="CH91" s="1508"/>
      <c r="CI91" s="1508"/>
      <c r="CJ91" s="1508"/>
      <c r="CK91" s="1508"/>
      <c r="CL91" s="1508"/>
      <c r="CM91" s="1508"/>
      <c r="CN91" s="1508"/>
      <c r="CO91" s="1508"/>
      <c r="CP91" s="1508"/>
      <c r="CQ91" s="1508"/>
      <c r="CR91" s="1508"/>
      <c r="CS91" s="1508"/>
      <c r="CT91" s="1508"/>
      <c r="CU91" s="1508"/>
      <c r="CV91" s="1508"/>
      <c r="CW91" s="1508"/>
      <c r="CX91" s="1508"/>
      <c r="CY91" s="1508"/>
      <c r="CZ91" s="1508"/>
      <c r="DA91" s="1508"/>
      <c r="DB91" s="1508"/>
      <c r="DC91" s="1508"/>
      <c r="DD91" s="1508"/>
      <c r="DE91" s="1508"/>
      <c r="DF91" s="1508"/>
      <c r="DG91" s="1508"/>
      <c r="DH91" s="1508"/>
      <c r="DI91" s="1508"/>
      <c r="DJ91" s="1508"/>
      <c r="DK91" s="1508"/>
      <c r="DL91" s="1508"/>
      <c r="DN91" s="1509"/>
    </row>
    <row r="92" spans="1:118" s="14" customFormat="1" ht="15.75" x14ac:dyDescent="0.2">
      <c r="B92" s="1535"/>
      <c r="C92" s="1553"/>
      <c r="D92" s="1554" t="s">
        <v>917</v>
      </c>
      <c r="E92" s="1555"/>
      <c r="F92" s="1556">
        <f t="shared" ref="F92:V92" si="63">F54+F59+F76+F70+F82</f>
        <v>0</v>
      </c>
      <c r="G92" s="1556">
        <f t="shared" si="63"/>
        <v>0</v>
      </c>
      <c r="H92" s="1556">
        <f t="shared" si="63"/>
        <v>0</v>
      </c>
      <c r="I92" s="1556">
        <f t="shared" si="63"/>
        <v>0</v>
      </c>
      <c r="J92" s="1556">
        <f t="shared" si="63"/>
        <v>0</v>
      </c>
      <c r="K92" s="1556">
        <f t="shared" si="63"/>
        <v>0</v>
      </c>
      <c r="L92" s="1556">
        <f t="shared" si="63"/>
        <v>0</v>
      </c>
      <c r="M92" s="1556">
        <f t="shared" si="63"/>
        <v>0</v>
      </c>
      <c r="N92" s="1556">
        <f t="shared" si="63"/>
        <v>0</v>
      </c>
      <c r="O92" s="1556">
        <f t="shared" si="63"/>
        <v>0</v>
      </c>
      <c r="P92" s="1556">
        <f t="shared" si="63"/>
        <v>0</v>
      </c>
      <c r="Q92" s="1556">
        <f t="shared" si="63"/>
        <v>0</v>
      </c>
      <c r="R92" s="1556">
        <f t="shared" si="63"/>
        <v>0</v>
      </c>
      <c r="S92" s="1556">
        <f t="shared" si="63"/>
        <v>0</v>
      </c>
      <c r="T92" s="1556">
        <f t="shared" si="63"/>
        <v>0</v>
      </c>
      <c r="U92" s="1556">
        <f t="shared" si="63"/>
        <v>0</v>
      </c>
      <c r="V92" s="1556">
        <f t="shared" si="63"/>
        <v>0</v>
      </c>
      <c r="W92" s="1556">
        <f>W54+W59+W76+W70+W82</f>
        <v>0</v>
      </c>
      <c r="Y92" s="1557">
        <f ca="1">Y54+Y59+Y76+Y70+Y82</f>
        <v>0</v>
      </c>
      <c r="Z92" s="1557">
        <f t="shared" ref="Z92:AP92" ca="1" si="64">Z54+Z59+Z76+Z70+Z82</f>
        <v>103.6006457581674</v>
      </c>
      <c r="AA92" s="1557">
        <f t="shared" ca="1" si="64"/>
        <v>-89.470764476816939</v>
      </c>
      <c r="AB92" s="1557">
        <f t="shared" ca="1" si="64"/>
        <v>-11.183845559602117</v>
      </c>
      <c r="AC92" s="1557">
        <f t="shared" ca="1" si="64"/>
        <v>-51.126151129609688</v>
      </c>
      <c r="AD92" s="1557">
        <f t="shared" ca="1" si="64"/>
        <v>0</v>
      </c>
      <c r="AE92" s="1557">
        <f t="shared" ca="1" si="64"/>
        <v>0</v>
      </c>
      <c r="AF92" s="1557">
        <f t="shared" ca="1" si="64"/>
        <v>0</v>
      </c>
      <c r="AG92" s="1557">
        <f t="shared" ca="1" si="64"/>
        <v>0</v>
      </c>
      <c r="AH92" s="1557">
        <f t="shared" ca="1" si="64"/>
        <v>0</v>
      </c>
      <c r="AI92" s="1557">
        <f t="shared" ca="1" si="64"/>
        <v>0</v>
      </c>
      <c r="AJ92" s="1557">
        <f t="shared" ca="1" si="64"/>
        <v>0</v>
      </c>
      <c r="AK92" s="1557">
        <f t="shared" ca="1" si="64"/>
        <v>0</v>
      </c>
      <c r="AL92" s="1557">
        <f t="shared" ca="1" si="64"/>
        <v>-2.9453760000000004</v>
      </c>
      <c r="AM92" s="1557">
        <f t="shared" ca="1" si="64"/>
        <v>0</v>
      </c>
      <c r="AN92" s="1557">
        <f t="shared" ca="1" si="64"/>
        <v>0</v>
      </c>
      <c r="AO92" s="1557">
        <f t="shared" ca="1" si="64"/>
        <v>0</v>
      </c>
      <c r="AP92" s="1557">
        <f t="shared" ca="1" si="64"/>
        <v>0</v>
      </c>
      <c r="AQ92" s="1557">
        <f ca="1">AQ54+AQ59+AQ76+AQ70+AQ82</f>
        <v>-51.125491407861333</v>
      </c>
      <c r="AS92" s="1558">
        <f ca="1">AS54+AS59+AS76+AS70+AS82</f>
        <v>0</v>
      </c>
      <c r="AT92" s="1558">
        <f t="shared" ref="AT92:BK92" ca="1" si="65">AT54+AT59+AT76+AT70+AT82</f>
        <v>0</v>
      </c>
      <c r="AU92" s="1558">
        <f t="shared" ca="1" si="65"/>
        <v>0</v>
      </c>
      <c r="AV92" s="1558">
        <f t="shared" ca="1" si="65"/>
        <v>0</v>
      </c>
      <c r="AW92" s="1558">
        <f t="shared" ca="1" si="65"/>
        <v>0</v>
      </c>
      <c r="AX92" s="1558">
        <f t="shared" ca="1" si="65"/>
        <v>0</v>
      </c>
      <c r="AY92" s="1558">
        <f t="shared" ca="1" si="65"/>
        <v>0</v>
      </c>
      <c r="AZ92" s="1558">
        <f t="shared" ca="1" si="65"/>
        <v>0</v>
      </c>
      <c r="BA92" s="1558">
        <f t="shared" ca="1" si="65"/>
        <v>0</v>
      </c>
      <c r="BB92" s="1558">
        <f t="shared" ca="1" si="65"/>
        <v>0</v>
      </c>
      <c r="BC92" s="1558">
        <f t="shared" ca="1" si="65"/>
        <v>-8.3577735427886246</v>
      </c>
      <c r="BD92" s="1558">
        <f t="shared" ca="1" si="65"/>
        <v>-5.2392719999999988</v>
      </c>
      <c r="BE92" s="1558">
        <f t="shared" ca="1" si="65"/>
        <v>-1.2425805000000002E-2</v>
      </c>
      <c r="BF92" s="1558">
        <f t="shared" ca="1" si="65"/>
        <v>-6.9032249999999998E-3</v>
      </c>
      <c r="BG92" s="1558">
        <f t="shared" ca="1" si="65"/>
        <v>-0.35064000000000006</v>
      </c>
      <c r="BH92" s="1558">
        <f t="shared" ca="1" si="65"/>
        <v>-25.164994499999999</v>
      </c>
      <c r="BI92" s="1558">
        <f t="shared" ca="1" si="65"/>
        <v>0</v>
      </c>
      <c r="BJ92" s="1558">
        <f t="shared" ca="1" si="65"/>
        <v>0</v>
      </c>
      <c r="BK92" s="1558">
        <f t="shared" ca="1" si="65"/>
        <v>-0.41733218190020505</v>
      </c>
      <c r="BL92" s="1558">
        <f ca="1">BL54+BL59+BL76+BL70+BL82</f>
        <v>-39.549341254688827</v>
      </c>
      <c r="BN92" s="1559">
        <f ca="1">BN70+BN76+BN59+BN54+BN82</f>
        <v>87.462576624376254</v>
      </c>
      <c r="BO92" s="1559">
        <f ca="1">BO70+BO76+BO59+BO54+BO82</f>
        <v>3.2122560381739298</v>
      </c>
      <c r="BP92" s="1559">
        <f ca="1">BP54+BP59+BP76+BP70</f>
        <v>90.674832662550187</v>
      </c>
      <c r="BR92" s="3168">
        <f ca="1">W92+AQ92+BL92+BP92</f>
        <v>0</v>
      </c>
      <c r="BS92" s="1560"/>
      <c r="BU92" s="1561">
        <v>226.09341168494953</v>
      </c>
      <c r="BV92" s="1561">
        <v>0.56291143459540849</v>
      </c>
      <c r="BW92" s="1561">
        <v>1.6437392022754262</v>
      </c>
      <c r="BX92" s="1561">
        <v>0</v>
      </c>
      <c r="BY92" s="1561">
        <v>5.0916819860234304</v>
      </c>
      <c r="BZ92" s="1561">
        <v>2.6403129612517775</v>
      </c>
      <c r="CA92" s="1561">
        <v>0</v>
      </c>
      <c r="CB92" s="1561">
        <v>0</v>
      </c>
      <c r="CC92" s="1561">
        <v>0</v>
      </c>
      <c r="CD92" s="1561">
        <v>0</v>
      </c>
      <c r="CE92" s="1561">
        <v>0</v>
      </c>
      <c r="CF92" s="1561">
        <v>0</v>
      </c>
      <c r="CG92" s="1561">
        <v>0</v>
      </c>
      <c r="CH92" s="1561">
        <v>0</v>
      </c>
      <c r="CI92" s="1561">
        <v>0</v>
      </c>
      <c r="CJ92" s="1561">
        <v>0</v>
      </c>
      <c r="CK92" s="1561">
        <v>0</v>
      </c>
      <c r="CL92" s="1561">
        <v>20.026732599999995</v>
      </c>
      <c r="CM92" s="1561">
        <v>23.28</v>
      </c>
      <c r="CN92" s="1561">
        <v>0</v>
      </c>
      <c r="CO92" s="1561">
        <v>-1.8247953999999991</v>
      </c>
      <c r="CP92" s="1561">
        <v>0</v>
      </c>
      <c r="CQ92" s="1561">
        <v>0</v>
      </c>
      <c r="CR92" s="1561">
        <v>0</v>
      </c>
      <c r="CS92" s="1561">
        <v>0</v>
      </c>
      <c r="CT92" s="1561">
        <v>21.652248115789206</v>
      </c>
      <c r="CU92" s="1561">
        <v>1.2204197534285715</v>
      </c>
      <c r="CV92" s="1561">
        <v>0</v>
      </c>
      <c r="CW92" s="1561">
        <v>0</v>
      </c>
      <c r="CX92" s="1561">
        <v>0</v>
      </c>
      <c r="CY92" s="1561">
        <v>0</v>
      </c>
      <c r="CZ92" s="1561">
        <v>0</v>
      </c>
      <c r="DA92" s="1561">
        <v>0</v>
      </c>
      <c r="DB92" s="1561">
        <v>0</v>
      </c>
      <c r="DC92" s="1561">
        <v>0</v>
      </c>
      <c r="DD92" s="1561">
        <v>0</v>
      </c>
      <c r="DE92" s="1561">
        <v>0</v>
      </c>
      <c r="DF92" s="1561">
        <v>0</v>
      </c>
      <c r="DG92" s="1561">
        <v>0</v>
      </c>
      <c r="DH92" s="1561">
        <v>0</v>
      </c>
      <c r="DI92" s="1561">
        <v>0</v>
      </c>
      <c r="DJ92" s="1561">
        <v>0</v>
      </c>
      <c r="DK92" s="1561">
        <v>0</v>
      </c>
      <c r="DL92" s="1561">
        <v>0</v>
      </c>
      <c r="DN92" s="1562">
        <v>300.38666233831339</v>
      </c>
    </row>
    <row r="93" spans="1:118" s="14" customFormat="1" ht="6" customHeight="1" x14ac:dyDescent="0.2">
      <c r="C93" s="1552"/>
      <c r="D93" s="1537"/>
      <c r="E93" s="1430"/>
      <c r="G93" s="1488"/>
      <c r="H93" s="1488"/>
      <c r="I93" s="1488"/>
      <c r="J93" s="1488"/>
      <c r="K93" s="1488"/>
      <c r="L93" s="1488"/>
      <c r="M93" s="1488"/>
      <c r="N93" s="1488"/>
      <c r="O93" s="1563"/>
      <c r="P93" s="1488"/>
      <c r="Q93" s="1488"/>
      <c r="R93" s="1488"/>
      <c r="S93" s="1488"/>
      <c r="T93" s="1488"/>
      <c r="U93" s="1488"/>
      <c r="V93" s="1488"/>
      <c r="W93" s="1488"/>
      <c r="Y93" s="1490"/>
      <c r="Z93" s="1490"/>
      <c r="AA93" s="1490"/>
      <c r="AB93" s="1490"/>
      <c r="AC93" s="1490"/>
      <c r="AD93" s="1490"/>
      <c r="AE93" s="1490"/>
      <c r="AF93" s="1490"/>
      <c r="AG93" s="1490"/>
      <c r="AH93" s="1490"/>
      <c r="AI93" s="1490"/>
      <c r="AJ93" s="1490"/>
      <c r="AK93" s="1490"/>
      <c r="AL93" s="1490"/>
      <c r="AM93" s="1490"/>
      <c r="AN93" s="1490"/>
      <c r="AO93" s="1490"/>
      <c r="AP93" s="1490"/>
      <c r="AQ93" s="1490"/>
      <c r="AS93" s="1491"/>
      <c r="AT93" s="1491"/>
      <c r="AU93" s="1491"/>
      <c r="AV93" s="1491"/>
      <c r="AW93" s="1491"/>
      <c r="AX93" s="1491"/>
      <c r="AY93" s="1491"/>
      <c r="AZ93" s="1491"/>
      <c r="BA93" s="1491"/>
      <c r="BB93" s="1491"/>
      <c r="BC93" s="1491"/>
      <c r="BD93" s="1491"/>
      <c r="BE93" s="1491"/>
      <c r="BF93" s="1491"/>
      <c r="BG93" s="1491"/>
      <c r="BH93" s="1491"/>
      <c r="BI93" s="1491"/>
      <c r="BJ93" s="1491"/>
      <c r="BK93" s="1491"/>
      <c r="BL93" s="1491"/>
      <c r="BN93" s="1492"/>
      <c r="BO93" s="1492"/>
      <c r="BP93" s="1492"/>
      <c r="BR93" s="3168"/>
      <c r="BS93" s="1493"/>
      <c r="BU93" s="1508"/>
      <c r="BV93" s="1508"/>
      <c r="BW93" s="1508"/>
      <c r="BX93" s="1508"/>
      <c r="BY93" s="1508"/>
      <c r="BZ93" s="1508"/>
      <c r="CA93" s="1508"/>
      <c r="CB93" s="1508"/>
      <c r="CC93" s="1508"/>
      <c r="CD93" s="1508"/>
      <c r="CE93" s="1508"/>
      <c r="CF93" s="1508"/>
      <c r="CG93" s="1508"/>
      <c r="CH93" s="1508"/>
      <c r="CI93" s="1508"/>
      <c r="CJ93" s="1508"/>
      <c r="CK93" s="1508"/>
      <c r="CL93" s="1508"/>
      <c r="CM93" s="1508"/>
      <c r="CN93" s="1508"/>
      <c r="CO93" s="1508"/>
      <c r="CP93" s="1508"/>
      <c r="CQ93" s="1508"/>
      <c r="CR93" s="1508"/>
      <c r="CS93" s="1508"/>
      <c r="CT93" s="1508"/>
      <c r="CU93" s="1508"/>
      <c r="CV93" s="1508"/>
      <c r="CW93" s="1508"/>
      <c r="CX93" s="1508"/>
      <c r="CY93" s="1508"/>
      <c r="CZ93" s="1508"/>
      <c r="DA93" s="1508"/>
      <c r="DB93" s="1508"/>
      <c r="DC93" s="1508"/>
      <c r="DD93" s="1508"/>
      <c r="DE93" s="1508"/>
      <c r="DF93" s="1508"/>
      <c r="DG93" s="1508"/>
      <c r="DH93" s="1508"/>
      <c r="DI93" s="1508"/>
      <c r="DJ93" s="1508"/>
      <c r="DK93" s="1508"/>
      <c r="DL93" s="1508"/>
      <c r="DN93" s="1509"/>
    </row>
    <row r="94" spans="1:118" s="14" customFormat="1" ht="24" hidden="1" customHeight="1" outlineLevel="1" x14ac:dyDescent="0.2">
      <c r="C94" s="1480"/>
      <c r="D94" s="1480"/>
      <c r="E94" s="1481"/>
      <c r="G94" s="1482"/>
      <c r="H94" s="1482"/>
      <c r="I94" s="1482"/>
      <c r="J94" s="1482"/>
      <c r="K94" s="1482"/>
      <c r="L94" s="1482"/>
      <c r="M94" s="1482"/>
      <c r="N94" s="1482"/>
      <c r="O94" s="1482"/>
      <c r="P94" s="1482"/>
      <c r="Q94" s="1482"/>
      <c r="R94" s="1482"/>
      <c r="S94" s="1482"/>
      <c r="T94" s="1482"/>
      <c r="U94" s="1482"/>
      <c r="V94" s="1482"/>
      <c r="W94" s="1482"/>
      <c r="Y94" s="1596"/>
      <c r="Z94" s="1596"/>
      <c r="AA94" s="1596"/>
      <c r="AB94" s="1596"/>
      <c r="AC94" s="1596"/>
      <c r="AD94" s="1483"/>
      <c r="AE94" s="1483"/>
      <c r="AF94" s="1483"/>
      <c r="AG94" s="1596"/>
      <c r="AH94" s="1596"/>
      <c r="AI94" s="1596"/>
      <c r="AJ94" s="1596"/>
      <c r="AK94" s="1596"/>
      <c r="AL94" s="1596"/>
      <c r="AM94" s="1596"/>
      <c r="AN94" s="1596"/>
      <c r="AO94" s="1596"/>
      <c r="AP94" s="1596"/>
      <c r="AQ94" s="1596"/>
      <c r="AS94" s="1597"/>
      <c r="AT94" s="1597"/>
      <c r="AU94" s="1597"/>
      <c r="AV94" s="1597"/>
      <c r="AW94" s="1597"/>
      <c r="AX94" s="1597"/>
      <c r="AY94" s="1597"/>
      <c r="AZ94" s="1597"/>
      <c r="BA94" s="1597"/>
      <c r="BB94" s="1597"/>
      <c r="BC94" s="1484"/>
      <c r="BD94" s="1484"/>
      <c r="BE94" s="1484"/>
      <c r="BF94" s="1484"/>
      <c r="BG94" s="1484"/>
      <c r="BH94" s="1484"/>
      <c r="BI94" s="1484"/>
      <c r="BJ94" s="1484"/>
      <c r="BK94" s="1484"/>
      <c r="BL94" s="1597"/>
      <c r="BN94" s="1598"/>
      <c r="BO94" s="1598"/>
      <c r="BP94" s="1598"/>
      <c r="BR94" s="3168"/>
      <c r="BS94" s="1486"/>
      <c r="BU94" s="1508"/>
      <c r="BV94" s="1508"/>
      <c r="BW94" s="1508"/>
      <c r="BX94" s="1508"/>
      <c r="BY94" s="1508"/>
      <c r="BZ94" s="1508"/>
      <c r="CA94" s="1508"/>
      <c r="CB94" s="1508"/>
      <c r="CC94" s="1508"/>
      <c r="CD94" s="1508"/>
      <c r="CE94" s="1508"/>
      <c r="CF94" s="1508"/>
      <c r="CG94" s="1508"/>
      <c r="CH94" s="1508"/>
      <c r="CI94" s="1508"/>
      <c r="CJ94" s="1508"/>
      <c r="CK94" s="1508"/>
      <c r="CL94" s="1508"/>
      <c r="CM94" s="1508"/>
      <c r="CN94" s="1508"/>
      <c r="CO94" s="1508"/>
      <c r="CP94" s="1508"/>
      <c r="CQ94" s="1508"/>
      <c r="CR94" s="1508"/>
      <c r="CS94" s="1508"/>
      <c r="CT94" s="1508"/>
      <c r="CU94" s="1508"/>
      <c r="CV94" s="1508"/>
      <c r="CW94" s="1508"/>
      <c r="CX94" s="1508"/>
      <c r="CY94" s="1508"/>
      <c r="CZ94" s="1508"/>
      <c r="DA94" s="1508"/>
      <c r="DB94" s="1508"/>
      <c r="DC94" s="1508"/>
      <c r="DD94" s="1508"/>
      <c r="DE94" s="1508"/>
      <c r="DF94" s="1508"/>
      <c r="DG94" s="1508"/>
      <c r="DH94" s="1508"/>
      <c r="DI94" s="1508"/>
      <c r="DJ94" s="1508"/>
      <c r="DK94" s="1508"/>
      <c r="DL94" s="1508"/>
      <c r="DN94" s="1509"/>
    </row>
    <row r="95" spans="1:118" s="14" customFormat="1" ht="6" hidden="1" customHeight="1" outlineLevel="1" x14ac:dyDescent="0.2">
      <c r="C95" s="1580"/>
      <c r="D95" s="746"/>
      <c r="E95" s="1430"/>
      <c r="G95" s="1488"/>
      <c r="H95" s="1488"/>
      <c r="I95" s="1488"/>
      <c r="J95" s="1488"/>
      <c r="K95" s="1488"/>
      <c r="L95" s="1488"/>
      <c r="M95" s="1488"/>
      <c r="N95" s="1488"/>
      <c r="O95" s="1563"/>
      <c r="P95" s="1488"/>
      <c r="Q95" s="1488"/>
      <c r="R95" s="1488"/>
      <c r="S95" s="1488"/>
      <c r="T95" s="1488"/>
      <c r="U95" s="1488"/>
      <c r="V95" s="1488"/>
      <c r="W95" s="1488"/>
      <c r="Y95" s="1490"/>
      <c r="Z95" s="1490"/>
      <c r="AA95" s="1490"/>
      <c r="AB95" s="1490"/>
      <c r="AC95" s="1490"/>
      <c r="AD95" s="1490"/>
      <c r="AE95" s="1490"/>
      <c r="AF95" s="1490"/>
      <c r="AG95" s="1490"/>
      <c r="AH95" s="1490"/>
      <c r="AI95" s="1490"/>
      <c r="AJ95" s="1490"/>
      <c r="AK95" s="1490"/>
      <c r="AL95" s="1490"/>
      <c r="AM95" s="1490"/>
      <c r="AN95" s="1490"/>
      <c r="AO95" s="1490"/>
      <c r="AP95" s="1490"/>
      <c r="AQ95" s="1490"/>
      <c r="AS95" s="1491"/>
      <c r="AT95" s="1491"/>
      <c r="AU95" s="1491"/>
      <c r="AV95" s="1491"/>
      <c r="AW95" s="1491"/>
      <c r="AX95" s="1491"/>
      <c r="AY95" s="1491"/>
      <c r="AZ95" s="1491"/>
      <c r="BA95" s="1491"/>
      <c r="BB95" s="1491"/>
      <c r="BC95" s="1491"/>
      <c r="BD95" s="1491"/>
      <c r="BE95" s="1491"/>
      <c r="BF95" s="1491"/>
      <c r="BG95" s="1491"/>
      <c r="BH95" s="1491"/>
      <c r="BI95" s="1491"/>
      <c r="BJ95" s="1491"/>
      <c r="BK95" s="1491"/>
      <c r="BL95" s="1491"/>
      <c r="BN95" s="1492"/>
      <c r="BO95" s="1492"/>
      <c r="BP95" s="1492"/>
      <c r="BR95" s="3168"/>
      <c r="BS95" s="1493"/>
      <c r="BU95" s="1508"/>
      <c r="BV95" s="1508"/>
      <c r="BW95" s="1508"/>
      <c r="BX95" s="1508"/>
      <c r="BY95" s="1508"/>
      <c r="BZ95" s="1508"/>
      <c r="CA95" s="1508"/>
      <c r="CB95" s="1508"/>
      <c r="CC95" s="1508"/>
      <c r="CD95" s="1508"/>
      <c r="CE95" s="1508"/>
      <c r="CF95" s="1508"/>
      <c r="CG95" s="1508"/>
      <c r="CH95" s="1508"/>
      <c r="CI95" s="1508"/>
      <c r="CJ95" s="1508"/>
      <c r="CK95" s="1508"/>
      <c r="CL95" s="1508"/>
      <c r="CM95" s="1508"/>
      <c r="CN95" s="1508"/>
      <c r="CO95" s="1508"/>
      <c r="CP95" s="1508"/>
      <c r="CQ95" s="1508"/>
      <c r="CR95" s="1508"/>
      <c r="CS95" s="1508"/>
      <c r="CT95" s="1508"/>
      <c r="CU95" s="1508"/>
      <c r="CV95" s="1508"/>
      <c r="CW95" s="1508"/>
      <c r="CX95" s="1508"/>
      <c r="CY95" s="1508"/>
      <c r="CZ95" s="1508"/>
      <c r="DA95" s="1508"/>
      <c r="DB95" s="1508"/>
      <c r="DC95" s="1508"/>
      <c r="DD95" s="1508"/>
      <c r="DE95" s="1508"/>
      <c r="DF95" s="1508"/>
      <c r="DG95" s="1508"/>
      <c r="DH95" s="1508"/>
      <c r="DI95" s="1508"/>
      <c r="DJ95" s="1508"/>
      <c r="DK95" s="1508"/>
      <c r="DL95" s="1508"/>
      <c r="DN95" s="1509"/>
    </row>
    <row r="96" spans="1:118" s="14" customFormat="1" hidden="1" outlineLevel="2" x14ac:dyDescent="0.2">
      <c r="A96" s="1578"/>
      <c r="B96" s="1578"/>
      <c r="C96" s="1599"/>
      <c r="D96" s="1600"/>
      <c r="E96" s="1600"/>
      <c r="G96" s="1601"/>
      <c r="H96" s="1601"/>
      <c r="I96" s="1601"/>
      <c r="J96" s="1601"/>
      <c r="K96" s="1601"/>
      <c r="L96" s="1601"/>
      <c r="M96" s="1601"/>
      <c r="N96" s="1601"/>
      <c r="O96" s="1602"/>
      <c r="P96" s="1601"/>
      <c r="Q96" s="1601"/>
      <c r="R96" s="1601"/>
      <c r="S96" s="1601"/>
      <c r="T96" s="1601"/>
      <c r="U96" s="1601"/>
      <c r="V96" s="1601"/>
      <c r="W96" s="1601"/>
      <c r="Y96" s="1603"/>
      <c r="Z96" s="1603"/>
      <c r="AA96" s="1603"/>
      <c r="AB96" s="1603"/>
      <c r="AC96" s="1603"/>
      <c r="AD96" s="1603"/>
      <c r="AE96" s="1603"/>
      <c r="AF96" s="1603"/>
      <c r="AG96" s="1603"/>
      <c r="AH96" s="1603"/>
      <c r="AI96" s="1603"/>
      <c r="AJ96" s="1603"/>
      <c r="AK96" s="1603"/>
      <c r="AL96" s="1603"/>
      <c r="AM96" s="1603"/>
      <c r="AN96" s="1603"/>
      <c r="AO96" s="1603"/>
      <c r="AP96" s="1603"/>
      <c r="AQ96" s="1603"/>
      <c r="AS96" s="1604"/>
      <c r="AT96" s="1604"/>
      <c r="AU96" s="1604"/>
      <c r="AV96" s="1604"/>
      <c r="AW96" s="1604"/>
      <c r="AX96" s="1604"/>
      <c r="AY96" s="1604"/>
      <c r="AZ96" s="1604"/>
      <c r="BA96" s="1604"/>
      <c r="BB96" s="1604"/>
      <c r="BC96" s="1604"/>
      <c r="BD96" s="1604"/>
      <c r="BE96" s="1604"/>
      <c r="BF96" s="1604"/>
      <c r="BG96" s="1604"/>
      <c r="BH96" s="1604"/>
      <c r="BI96" s="1604"/>
      <c r="BJ96" s="1604"/>
      <c r="BK96" s="1604"/>
      <c r="BL96" s="1604"/>
      <c r="BN96" s="1605"/>
      <c r="BO96" s="1605"/>
      <c r="BP96" s="1605"/>
      <c r="BR96" s="3168"/>
      <c r="BS96" s="1579"/>
      <c r="BT96" s="1578"/>
      <c r="BU96" s="1595"/>
      <c r="BV96" s="1508"/>
      <c r="BW96" s="1508"/>
      <c r="BX96" s="1508"/>
      <c r="BY96" s="1508"/>
      <c r="BZ96" s="1508"/>
      <c r="CA96" s="1508"/>
      <c r="CB96" s="1508"/>
      <c r="CC96" s="1508"/>
      <c r="CD96" s="1508"/>
      <c r="CE96" s="1508"/>
      <c r="CF96" s="1508"/>
      <c r="CG96" s="1508"/>
      <c r="CH96" s="1508"/>
      <c r="CI96" s="1508"/>
      <c r="CJ96" s="1508"/>
      <c r="CK96" s="1508"/>
      <c r="CL96" s="1508"/>
      <c r="CM96" s="1508"/>
      <c r="CN96" s="1508"/>
      <c r="CO96" s="1508"/>
      <c r="CP96" s="1508"/>
      <c r="CQ96" s="1508"/>
      <c r="CR96" s="1508"/>
      <c r="CS96" s="1508"/>
      <c r="CT96" s="1508"/>
      <c r="CU96" s="1508"/>
      <c r="CV96" s="1508"/>
      <c r="CW96" s="1508"/>
      <c r="CX96" s="1508"/>
      <c r="CY96" s="1508"/>
      <c r="CZ96" s="1508"/>
      <c r="DA96" s="1508"/>
      <c r="DB96" s="1508"/>
      <c r="DC96" s="1508"/>
      <c r="DD96" s="1508"/>
      <c r="DE96" s="1508"/>
      <c r="DF96" s="1508"/>
      <c r="DG96" s="1508"/>
      <c r="DH96" s="1508"/>
      <c r="DI96" s="1508"/>
      <c r="DJ96" s="1508"/>
      <c r="DK96" s="1508"/>
      <c r="DL96" s="1508"/>
      <c r="DN96" s="1509"/>
    </row>
    <row r="97" spans="1:118" s="1522" customFormat="1" hidden="1" outlineLevel="2" x14ac:dyDescent="0.2">
      <c r="C97" s="1577" t="s">
        <v>716</v>
      </c>
      <c r="D97" s="1497" t="s">
        <v>717</v>
      </c>
      <c r="E97" s="1497"/>
      <c r="F97" s="14"/>
      <c r="G97" s="1498"/>
      <c r="H97" s="1498"/>
      <c r="I97" s="1498"/>
      <c r="J97" s="1498"/>
      <c r="K97" s="1498"/>
      <c r="L97" s="1498"/>
      <c r="M97" s="1498"/>
      <c r="N97" s="1498"/>
      <c r="O97" s="1498"/>
      <c r="P97" s="1498"/>
      <c r="Q97" s="1498"/>
      <c r="R97" s="1498"/>
      <c r="S97" s="1498"/>
      <c r="T97" s="1498"/>
      <c r="U97" s="1498"/>
      <c r="V97" s="1498"/>
      <c r="W97" s="1499"/>
      <c r="X97" s="14"/>
      <c r="Y97" s="1500"/>
      <c r="Z97" s="1500"/>
      <c r="AA97" s="1500"/>
      <c r="AB97" s="1500"/>
      <c r="AC97" s="1500"/>
      <c r="AD97" s="1500"/>
      <c r="AE97" s="1500"/>
      <c r="AF97" s="1500"/>
      <c r="AG97" s="1500"/>
      <c r="AH97" s="1500"/>
      <c r="AI97" s="1500"/>
      <c r="AJ97" s="1500"/>
      <c r="AK97" s="1500"/>
      <c r="AL97" s="1500"/>
      <c r="AM97" s="1500"/>
      <c r="AN97" s="1500"/>
      <c r="AO97" s="1500"/>
      <c r="AP97" s="1500"/>
      <c r="AQ97" s="1501"/>
      <c r="AR97" s="14"/>
      <c r="AS97" s="1502"/>
      <c r="AT97" s="1502"/>
      <c r="AU97" s="1502"/>
      <c r="AV97" s="1502"/>
      <c r="AW97" s="1502"/>
      <c r="AX97" s="1502"/>
      <c r="AY97" s="1502"/>
      <c r="AZ97" s="1502"/>
      <c r="BA97" s="1502"/>
      <c r="BB97" s="1502"/>
      <c r="BC97" s="1502"/>
      <c r="BD97" s="1502"/>
      <c r="BE97" s="1502"/>
      <c r="BF97" s="1502"/>
      <c r="BG97" s="1502"/>
      <c r="BH97" s="1502"/>
      <c r="BI97" s="1502"/>
      <c r="BJ97" s="1502"/>
      <c r="BK97" s="1502"/>
      <c r="BL97" s="1524"/>
      <c r="BM97" s="14"/>
      <c r="BN97" s="1504"/>
      <c r="BO97" s="1504"/>
      <c r="BP97" s="1505"/>
      <c r="BQ97" s="14"/>
      <c r="BR97" s="3168"/>
      <c r="BS97" s="1525"/>
      <c r="BU97" s="1507">
        <v>0</v>
      </c>
      <c r="BV97" s="1508">
        <v>0</v>
      </c>
      <c r="BW97" s="1508">
        <v>0</v>
      </c>
      <c r="BX97" s="1508">
        <v>0</v>
      </c>
      <c r="BY97" s="1508">
        <v>0</v>
      </c>
      <c r="BZ97" s="1508">
        <v>0</v>
      </c>
      <c r="CA97" s="1508">
        <v>0</v>
      </c>
      <c r="CB97" s="1508">
        <v>0</v>
      </c>
      <c r="CC97" s="1508">
        <v>0</v>
      </c>
      <c r="CD97" s="1508">
        <v>0</v>
      </c>
      <c r="CE97" s="1508">
        <v>0</v>
      </c>
      <c r="CF97" s="1508">
        <v>0</v>
      </c>
      <c r="CG97" s="1508">
        <v>0</v>
      </c>
      <c r="CH97" s="1508">
        <v>0</v>
      </c>
      <c r="CI97" s="1508">
        <v>0</v>
      </c>
      <c r="CJ97" s="1508">
        <v>0</v>
      </c>
      <c r="CK97" s="1508">
        <v>0</v>
      </c>
      <c r="CL97" s="1508">
        <v>0</v>
      </c>
      <c r="CM97" s="1508">
        <v>0</v>
      </c>
      <c r="CN97" s="1508">
        <v>0</v>
      </c>
      <c r="CO97" s="1508">
        <v>0</v>
      </c>
      <c r="CP97" s="1508">
        <v>0</v>
      </c>
      <c r="CQ97" s="1508">
        <v>0</v>
      </c>
      <c r="CR97" s="1508">
        <v>0</v>
      </c>
      <c r="CS97" s="1508">
        <v>0</v>
      </c>
      <c r="CT97" s="1508">
        <v>0</v>
      </c>
      <c r="CU97" s="1508">
        <v>0</v>
      </c>
      <c r="CV97" s="1508">
        <v>0</v>
      </c>
      <c r="CW97" s="1508">
        <v>0</v>
      </c>
      <c r="CX97" s="1508">
        <v>0</v>
      </c>
      <c r="CY97" s="1508">
        <v>0</v>
      </c>
      <c r="CZ97" s="1508">
        <v>0</v>
      </c>
      <c r="DA97" s="1508">
        <v>0</v>
      </c>
      <c r="DB97" s="1508">
        <v>0</v>
      </c>
      <c r="DC97" s="1508">
        <v>0</v>
      </c>
      <c r="DD97" s="1508">
        <v>0</v>
      </c>
      <c r="DE97" s="1508">
        <v>0</v>
      </c>
      <c r="DF97" s="1508">
        <v>0</v>
      </c>
      <c r="DG97" s="1508">
        <v>0</v>
      </c>
      <c r="DH97" s="1508">
        <v>0</v>
      </c>
      <c r="DI97" s="1508">
        <v>0</v>
      </c>
      <c r="DJ97" s="1508">
        <v>0</v>
      </c>
      <c r="DK97" s="1508">
        <v>0</v>
      </c>
      <c r="DL97" s="1508">
        <v>0</v>
      </c>
      <c r="DN97" s="1509"/>
    </row>
    <row r="98" spans="1:118" s="1578" customFormat="1" ht="12.75" hidden="1" customHeight="1" outlineLevel="2" x14ac:dyDescent="0.2">
      <c r="C98" s="1591" t="s">
        <v>811</v>
      </c>
      <c r="D98" s="1592" t="s">
        <v>812</v>
      </c>
      <c r="E98" s="1592"/>
      <c r="F98" s="14"/>
      <c r="G98" s="1568"/>
      <c r="H98" s="1568"/>
      <c r="I98" s="1568"/>
      <c r="J98" s="1568"/>
      <c r="K98" s="1568"/>
      <c r="L98" s="1568"/>
      <c r="M98" s="1568"/>
      <c r="N98" s="1568"/>
      <c r="O98" s="1569"/>
      <c r="P98" s="1568"/>
      <c r="Q98" s="1568"/>
      <c r="R98" s="1568"/>
      <c r="S98" s="1568"/>
      <c r="T98" s="1568"/>
      <c r="U98" s="1568"/>
      <c r="V98" s="1568"/>
      <c r="W98" s="1568"/>
      <c r="X98" s="14"/>
      <c r="Y98" s="1570"/>
      <c r="Z98" s="1570"/>
      <c r="AA98" s="1570"/>
      <c r="AB98" s="1570"/>
      <c r="AC98" s="1570"/>
      <c r="AD98" s="1570"/>
      <c r="AE98" s="1570"/>
      <c r="AF98" s="1570"/>
      <c r="AG98" s="1570"/>
      <c r="AH98" s="1570"/>
      <c r="AI98" s="1570"/>
      <c r="AJ98" s="1570"/>
      <c r="AK98" s="1570"/>
      <c r="AL98" s="1570"/>
      <c r="AM98" s="1570"/>
      <c r="AN98" s="1570"/>
      <c r="AO98" s="1570"/>
      <c r="AP98" s="1570"/>
      <c r="AQ98" s="1570"/>
      <c r="AR98" s="14"/>
      <c r="AS98" s="1571"/>
      <c r="AT98" s="1571"/>
      <c r="AU98" s="1571"/>
      <c r="AV98" s="1571"/>
      <c r="AW98" s="1571"/>
      <c r="AX98" s="1571"/>
      <c r="AY98" s="1571"/>
      <c r="AZ98" s="1571"/>
      <c r="BA98" s="1571"/>
      <c r="BB98" s="1571"/>
      <c r="BC98" s="1571"/>
      <c r="BD98" s="1571"/>
      <c r="BE98" s="1571"/>
      <c r="BF98" s="1571"/>
      <c r="BG98" s="1571"/>
      <c r="BH98" s="1571"/>
      <c r="BI98" s="1571"/>
      <c r="BJ98" s="1571"/>
      <c r="BK98" s="1571"/>
      <c r="BL98" s="1571"/>
      <c r="BM98" s="14"/>
      <c r="BN98" s="1572"/>
      <c r="BO98" s="1572"/>
      <c r="BP98" s="1572"/>
      <c r="BQ98" s="14"/>
      <c r="BR98" s="3168"/>
      <c r="BS98" s="1579"/>
      <c r="BU98" s="1595"/>
      <c r="BV98" s="1595"/>
      <c r="BW98" s="1595"/>
      <c r="BX98" s="1595"/>
      <c r="BY98" s="1595"/>
      <c r="BZ98" s="1595"/>
      <c r="CA98" s="1595"/>
      <c r="CB98" s="1595"/>
      <c r="CC98" s="1595"/>
      <c r="CD98" s="1595"/>
      <c r="CE98" s="1595"/>
      <c r="CF98" s="1595"/>
      <c r="CG98" s="1595"/>
      <c r="CH98" s="1595"/>
      <c r="CI98" s="1595"/>
      <c r="CJ98" s="1595"/>
      <c r="CK98" s="1595"/>
      <c r="CL98" s="1595"/>
      <c r="CM98" s="1595"/>
      <c r="CN98" s="1595"/>
      <c r="CO98" s="1595"/>
      <c r="CP98" s="1595"/>
      <c r="CQ98" s="1595"/>
      <c r="CR98" s="1595"/>
      <c r="CS98" s="1595"/>
      <c r="CT98" s="1595"/>
      <c r="CU98" s="1595"/>
      <c r="CV98" s="1595"/>
      <c r="CW98" s="1595"/>
      <c r="CX98" s="1595"/>
      <c r="CY98" s="1595"/>
      <c r="CZ98" s="1595"/>
      <c r="DA98" s="1595"/>
      <c r="DB98" s="1595"/>
      <c r="DC98" s="1595"/>
      <c r="DD98" s="1595"/>
      <c r="DE98" s="1595"/>
      <c r="DF98" s="1595"/>
      <c r="DG98" s="1595"/>
      <c r="DH98" s="1595"/>
      <c r="DI98" s="1595"/>
      <c r="DJ98" s="1595"/>
      <c r="DK98" s="1595"/>
      <c r="DL98" s="1595"/>
      <c r="DN98" s="1509"/>
    </row>
    <row r="99" spans="1:118" s="1522" customFormat="1" hidden="1" outlineLevel="2" x14ac:dyDescent="0.2">
      <c r="C99" s="1577" t="s">
        <v>74</v>
      </c>
      <c r="D99" s="1497" t="s">
        <v>75</v>
      </c>
      <c r="E99" s="1497"/>
      <c r="F99" s="14"/>
      <c r="G99" s="1498"/>
      <c r="H99" s="1498"/>
      <c r="I99" s="1498"/>
      <c r="J99" s="1498"/>
      <c r="K99" s="1498"/>
      <c r="L99" s="1498"/>
      <c r="M99" s="1498"/>
      <c r="N99" s="1498"/>
      <c r="O99" s="1498"/>
      <c r="P99" s="1498"/>
      <c r="Q99" s="1498"/>
      <c r="R99" s="1498"/>
      <c r="S99" s="1498"/>
      <c r="T99" s="1498"/>
      <c r="U99" s="1498"/>
      <c r="V99" s="1498"/>
      <c r="W99" s="1499"/>
      <c r="X99" s="14"/>
      <c r="Y99" s="1500"/>
      <c r="Z99" s="1500"/>
      <c r="AA99" s="1500"/>
      <c r="AB99" s="1500"/>
      <c r="AC99" s="1500"/>
      <c r="AD99" s="1500"/>
      <c r="AE99" s="1500"/>
      <c r="AF99" s="1500"/>
      <c r="AG99" s="1500"/>
      <c r="AH99" s="1500"/>
      <c r="AI99" s="1500"/>
      <c r="AJ99" s="1500"/>
      <c r="AK99" s="1500"/>
      <c r="AL99" s="1500"/>
      <c r="AM99" s="1500"/>
      <c r="AN99" s="1500"/>
      <c r="AO99" s="1500"/>
      <c r="AP99" s="1500"/>
      <c r="AQ99" s="1501"/>
      <c r="AR99" s="14"/>
      <c r="AS99" s="1502"/>
      <c r="AT99" s="1502"/>
      <c r="AU99" s="1502"/>
      <c r="AV99" s="1502"/>
      <c r="AW99" s="1502"/>
      <c r="AX99" s="1502"/>
      <c r="AY99" s="1502"/>
      <c r="AZ99" s="1502"/>
      <c r="BA99" s="1502"/>
      <c r="BB99" s="1502"/>
      <c r="BC99" s="1502"/>
      <c r="BD99" s="1502"/>
      <c r="BE99" s="1502"/>
      <c r="BF99" s="1502"/>
      <c r="BG99" s="1502"/>
      <c r="BH99" s="1502"/>
      <c r="BI99" s="1502"/>
      <c r="BJ99" s="1502"/>
      <c r="BK99" s="1502"/>
      <c r="BL99" s="1524"/>
      <c r="BM99" s="14"/>
      <c r="BN99" s="1504"/>
      <c r="BO99" s="1504"/>
      <c r="BP99" s="1505"/>
      <c r="BQ99" s="14"/>
      <c r="BR99" s="3168"/>
      <c r="BS99" s="1525"/>
      <c r="BU99" s="1507">
        <v>0</v>
      </c>
      <c r="BV99" s="1508">
        <v>0</v>
      </c>
      <c r="BW99" s="1508">
        <v>0</v>
      </c>
      <c r="BX99" s="1508">
        <v>0</v>
      </c>
      <c r="BY99" s="1508">
        <v>0</v>
      </c>
      <c r="BZ99" s="1508">
        <v>0</v>
      </c>
      <c r="CA99" s="1508">
        <v>0</v>
      </c>
      <c r="CB99" s="1508">
        <v>0</v>
      </c>
      <c r="CC99" s="1508">
        <v>0</v>
      </c>
      <c r="CD99" s="1508">
        <v>0</v>
      </c>
      <c r="CE99" s="1508">
        <v>0</v>
      </c>
      <c r="CF99" s="1508">
        <v>0</v>
      </c>
      <c r="CG99" s="1508">
        <v>0</v>
      </c>
      <c r="CH99" s="1508">
        <v>0</v>
      </c>
      <c r="CI99" s="1508">
        <v>0</v>
      </c>
      <c r="CJ99" s="1508">
        <v>0</v>
      </c>
      <c r="CK99" s="1508">
        <v>0</v>
      </c>
      <c r="CL99" s="1508">
        <v>0</v>
      </c>
      <c r="CM99" s="1508">
        <v>0</v>
      </c>
      <c r="CN99" s="1508">
        <v>0</v>
      </c>
      <c r="CO99" s="1508">
        <v>0</v>
      </c>
      <c r="CP99" s="1508">
        <v>0</v>
      </c>
      <c r="CQ99" s="1508">
        <v>0</v>
      </c>
      <c r="CR99" s="1508">
        <v>0</v>
      </c>
      <c r="CS99" s="1508">
        <v>0</v>
      </c>
      <c r="CT99" s="1508">
        <v>0</v>
      </c>
      <c r="CU99" s="1508">
        <v>0</v>
      </c>
      <c r="CV99" s="1508">
        <v>0</v>
      </c>
      <c r="CW99" s="1508">
        <v>0</v>
      </c>
      <c r="CX99" s="1508">
        <v>0</v>
      </c>
      <c r="CY99" s="1508">
        <v>0</v>
      </c>
      <c r="CZ99" s="1508">
        <v>0</v>
      </c>
      <c r="DA99" s="1508">
        <v>0</v>
      </c>
      <c r="DB99" s="1508">
        <v>0</v>
      </c>
      <c r="DC99" s="1508">
        <v>0</v>
      </c>
      <c r="DD99" s="1508">
        <v>0</v>
      </c>
      <c r="DE99" s="1508">
        <v>0</v>
      </c>
      <c r="DF99" s="1508">
        <v>0</v>
      </c>
      <c r="DG99" s="1508">
        <v>0</v>
      </c>
      <c r="DH99" s="1508">
        <v>0</v>
      </c>
      <c r="DI99" s="1508">
        <v>0</v>
      </c>
      <c r="DJ99" s="1508">
        <v>0</v>
      </c>
      <c r="DK99" s="1508">
        <v>0</v>
      </c>
      <c r="DL99" s="1508">
        <v>0</v>
      </c>
      <c r="DN99" s="1509"/>
    </row>
    <row r="100" spans="1:118" s="1522" customFormat="1" hidden="1" outlineLevel="2" x14ac:dyDescent="0.2">
      <c r="C100" s="1577" t="s">
        <v>76</v>
      </c>
      <c r="D100" s="1526" t="s">
        <v>813</v>
      </c>
      <c r="E100" s="1526"/>
      <c r="F100" s="14"/>
      <c r="G100" s="1540"/>
      <c r="H100" s="1540"/>
      <c r="I100" s="1540"/>
      <c r="J100" s="1540"/>
      <c r="K100" s="1540"/>
      <c r="L100" s="1540"/>
      <c r="M100" s="1540"/>
      <c r="N100" s="1540"/>
      <c r="O100" s="1540"/>
      <c r="P100" s="1540"/>
      <c r="Q100" s="1540"/>
      <c r="R100" s="1540"/>
      <c r="S100" s="1540"/>
      <c r="T100" s="1540"/>
      <c r="U100" s="1540"/>
      <c r="V100" s="1540"/>
      <c r="W100" s="1527"/>
      <c r="X100" s="14"/>
      <c r="Y100" s="1541"/>
      <c r="Z100" s="1541"/>
      <c r="AA100" s="1541"/>
      <c r="AB100" s="1541"/>
      <c r="AC100" s="1541"/>
      <c r="AD100" s="1541"/>
      <c r="AE100" s="1541"/>
      <c r="AF100" s="1541"/>
      <c r="AG100" s="1541"/>
      <c r="AH100" s="1541"/>
      <c r="AI100" s="1541"/>
      <c r="AJ100" s="1541"/>
      <c r="AK100" s="1541"/>
      <c r="AL100" s="1541"/>
      <c r="AM100" s="1541"/>
      <c r="AN100" s="1541"/>
      <c r="AO100" s="1541"/>
      <c r="AP100" s="1541"/>
      <c r="AQ100" s="1528"/>
      <c r="AR100" s="14"/>
      <c r="AS100" s="1542"/>
      <c r="AT100" s="1542"/>
      <c r="AU100" s="1542"/>
      <c r="AV100" s="1542"/>
      <c r="AW100" s="1542"/>
      <c r="AX100" s="1542"/>
      <c r="AY100" s="1542"/>
      <c r="AZ100" s="1542"/>
      <c r="BA100" s="1542"/>
      <c r="BB100" s="1542"/>
      <c r="BC100" s="1542"/>
      <c r="BD100" s="1542"/>
      <c r="BE100" s="1542"/>
      <c r="BF100" s="1542"/>
      <c r="BG100" s="1542"/>
      <c r="BH100" s="1542"/>
      <c r="BI100" s="1542"/>
      <c r="BJ100" s="1542"/>
      <c r="BK100" s="1542"/>
      <c r="BL100" s="1530"/>
      <c r="BM100" s="14"/>
      <c r="BN100" s="1543"/>
      <c r="BO100" s="1543"/>
      <c r="BP100" s="1531"/>
      <c r="BQ100" s="14"/>
      <c r="BR100" s="3168"/>
      <c r="BS100" s="1525"/>
      <c r="BU100" s="1532">
        <v>0</v>
      </c>
      <c r="BV100" s="1533">
        <v>0</v>
      </c>
      <c r="BW100" s="1533">
        <v>0</v>
      </c>
      <c r="BX100" s="1533">
        <v>0</v>
      </c>
      <c r="BY100" s="1533">
        <v>0</v>
      </c>
      <c r="BZ100" s="1533">
        <v>0</v>
      </c>
      <c r="CA100" s="1533">
        <v>0</v>
      </c>
      <c r="CB100" s="1533">
        <v>0</v>
      </c>
      <c r="CC100" s="1533">
        <v>0</v>
      </c>
      <c r="CD100" s="1533">
        <v>0</v>
      </c>
      <c r="CE100" s="1533">
        <v>0</v>
      </c>
      <c r="CF100" s="1533">
        <v>0</v>
      </c>
      <c r="CG100" s="1533">
        <v>0</v>
      </c>
      <c r="CH100" s="1533">
        <v>0</v>
      </c>
      <c r="CI100" s="1533">
        <v>0</v>
      </c>
      <c r="CJ100" s="1533">
        <v>0</v>
      </c>
      <c r="CK100" s="1533">
        <v>0</v>
      </c>
      <c r="CL100" s="1533">
        <v>0</v>
      </c>
      <c r="CM100" s="1533">
        <v>0</v>
      </c>
      <c r="CN100" s="1533">
        <v>0</v>
      </c>
      <c r="CO100" s="1533">
        <v>0</v>
      </c>
      <c r="CP100" s="1533">
        <v>0</v>
      </c>
      <c r="CQ100" s="1533">
        <v>0</v>
      </c>
      <c r="CR100" s="1533">
        <v>0</v>
      </c>
      <c r="CS100" s="1533">
        <v>0</v>
      </c>
      <c r="CT100" s="1533">
        <v>0</v>
      </c>
      <c r="CU100" s="1533">
        <v>0</v>
      </c>
      <c r="CV100" s="1533">
        <v>0</v>
      </c>
      <c r="CW100" s="1533">
        <v>0</v>
      </c>
      <c r="CX100" s="1533">
        <v>0</v>
      </c>
      <c r="CY100" s="1533">
        <v>0</v>
      </c>
      <c r="CZ100" s="1533">
        <v>0</v>
      </c>
      <c r="DA100" s="1533">
        <v>0</v>
      </c>
      <c r="DB100" s="1533">
        <v>0</v>
      </c>
      <c r="DC100" s="1533">
        <v>0</v>
      </c>
      <c r="DD100" s="1533">
        <v>0</v>
      </c>
      <c r="DE100" s="1533">
        <v>0</v>
      </c>
      <c r="DF100" s="1533">
        <v>0</v>
      </c>
      <c r="DG100" s="1533">
        <v>0</v>
      </c>
      <c r="DH100" s="1533">
        <v>0</v>
      </c>
      <c r="DI100" s="1533">
        <v>0</v>
      </c>
      <c r="DJ100" s="1533">
        <v>0</v>
      </c>
      <c r="DK100" s="1533">
        <v>0</v>
      </c>
      <c r="DL100" s="1533">
        <v>0</v>
      </c>
      <c r="DN100" s="1509"/>
    </row>
    <row r="101" spans="1:118" s="1534" customFormat="1" ht="12.75" hidden="1" customHeight="1" outlineLevel="1" collapsed="1" x14ac:dyDescent="0.2">
      <c r="B101" s="1535"/>
      <c r="C101" s="1536"/>
      <c r="D101" s="1537"/>
      <c r="E101" s="1538"/>
      <c r="F101" s="14"/>
      <c r="G101" s="1488"/>
      <c r="H101" s="1488"/>
      <c r="I101" s="1488"/>
      <c r="J101" s="1488"/>
      <c r="K101" s="1488"/>
      <c r="L101" s="1488"/>
      <c r="M101" s="1488"/>
      <c r="N101" s="1488"/>
      <c r="O101" s="1563"/>
      <c r="P101" s="1488"/>
      <c r="Q101" s="1488"/>
      <c r="R101" s="1488"/>
      <c r="S101" s="1488"/>
      <c r="T101" s="1488"/>
      <c r="U101" s="1488"/>
      <c r="V101" s="1488"/>
      <c r="W101" s="1539"/>
      <c r="X101" s="14"/>
      <c r="Y101" s="1490"/>
      <c r="Z101" s="1490"/>
      <c r="AA101" s="1490"/>
      <c r="AB101" s="1490"/>
      <c r="AC101" s="1490"/>
      <c r="AD101" s="1490"/>
      <c r="AE101" s="1490"/>
      <c r="AF101" s="1490"/>
      <c r="AG101" s="1490"/>
      <c r="AH101" s="1490"/>
      <c r="AI101" s="1490"/>
      <c r="AJ101" s="1490"/>
      <c r="AK101" s="1490"/>
      <c r="AL101" s="1490"/>
      <c r="AM101" s="1490"/>
      <c r="AN101" s="1490"/>
      <c r="AO101" s="1490"/>
      <c r="AP101" s="1490"/>
      <c r="AQ101" s="1490"/>
      <c r="AR101" s="14"/>
      <c r="AS101" s="1491"/>
      <c r="AT101" s="1491"/>
      <c r="AU101" s="1491"/>
      <c r="AV101" s="1491"/>
      <c r="AW101" s="1491"/>
      <c r="AX101" s="1491"/>
      <c r="AY101" s="1491"/>
      <c r="AZ101" s="1491"/>
      <c r="BA101" s="1491"/>
      <c r="BB101" s="1491"/>
      <c r="BC101" s="1491"/>
      <c r="BD101" s="1491"/>
      <c r="BE101" s="1491"/>
      <c r="BF101" s="1491"/>
      <c r="BG101" s="1491"/>
      <c r="BH101" s="1491"/>
      <c r="BI101" s="1491"/>
      <c r="BJ101" s="1491"/>
      <c r="BK101" s="1491"/>
      <c r="BL101" s="1491"/>
      <c r="BM101" s="14"/>
      <c r="BN101" s="1492"/>
      <c r="BO101" s="1492"/>
      <c r="BP101" s="1492"/>
      <c r="BQ101" s="14"/>
      <c r="BR101" s="3168"/>
      <c r="BS101" s="1493"/>
      <c r="BT101" s="748"/>
      <c r="BU101" s="1508">
        <v>0</v>
      </c>
      <c r="BV101" s="1508">
        <v>0</v>
      </c>
      <c r="BW101" s="1508">
        <v>0</v>
      </c>
      <c r="BX101" s="1508">
        <v>0</v>
      </c>
      <c r="BY101" s="1508">
        <v>0</v>
      </c>
      <c r="BZ101" s="1508">
        <v>0</v>
      </c>
      <c r="CA101" s="1508">
        <v>0</v>
      </c>
      <c r="CB101" s="1508">
        <v>0</v>
      </c>
      <c r="CC101" s="1508">
        <v>0</v>
      </c>
      <c r="CD101" s="1508">
        <v>0</v>
      </c>
      <c r="CE101" s="1508">
        <v>0</v>
      </c>
      <c r="CF101" s="1508">
        <v>0</v>
      </c>
      <c r="CG101" s="1508">
        <v>0</v>
      </c>
      <c r="CH101" s="1508">
        <v>0</v>
      </c>
      <c r="CI101" s="1508">
        <v>0</v>
      </c>
      <c r="CJ101" s="1508">
        <v>0</v>
      </c>
      <c r="CK101" s="1508">
        <v>0</v>
      </c>
      <c r="CL101" s="1508">
        <v>0</v>
      </c>
      <c r="CM101" s="1508">
        <v>0</v>
      </c>
      <c r="CN101" s="1508">
        <v>0</v>
      </c>
      <c r="CO101" s="1508">
        <v>0</v>
      </c>
      <c r="CP101" s="1508">
        <v>0</v>
      </c>
      <c r="CQ101" s="1508">
        <v>0</v>
      </c>
      <c r="CR101" s="1508">
        <v>0</v>
      </c>
      <c r="CS101" s="1508">
        <v>0</v>
      </c>
      <c r="CT101" s="1508">
        <v>0</v>
      </c>
      <c r="CU101" s="1508">
        <v>0</v>
      </c>
      <c r="CV101" s="1508">
        <v>0</v>
      </c>
      <c r="CW101" s="1508">
        <v>0</v>
      </c>
      <c r="CX101" s="1508">
        <v>0</v>
      </c>
      <c r="CY101" s="1508">
        <v>0</v>
      </c>
      <c r="CZ101" s="1508">
        <v>0</v>
      </c>
      <c r="DA101" s="1508">
        <v>0</v>
      </c>
      <c r="DB101" s="1508">
        <v>0</v>
      </c>
      <c r="DC101" s="1508">
        <v>0</v>
      </c>
      <c r="DD101" s="1508">
        <v>0</v>
      </c>
      <c r="DE101" s="1508">
        <v>0</v>
      </c>
      <c r="DF101" s="1508">
        <v>0</v>
      </c>
      <c r="DG101" s="1508">
        <v>0</v>
      </c>
      <c r="DH101" s="1508">
        <v>0</v>
      </c>
      <c r="DI101" s="1508">
        <v>0</v>
      </c>
      <c r="DJ101" s="1508">
        <v>0</v>
      </c>
      <c r="DK101" s="1508">
        <v>0</v>
      </c>
      <c r="DL101" s="1508">
        <v>0</v>
      </c>
      <c r="DN101" s="1509">
        <v>0</v>
      </c>
    </row>
    <row r="102" spans="1:118" s="14" customFormat="1" ht="12.75" hidden="1" customHeight="1" outlineLevel="2" x14ac:dyDescent="0.2">
      <c r="A102" s="1534"/>
      <c r="B102" s="1534"/>
      <c r="C102" s="1544"/>
      <c r="D102" s="1538"/>
      <c r="E102" s="1538"/>
      <c r="G102" s="1488"/>
      <c r="H102" s="1488"/>
      <c r="I102" s="1488"/>
      <c r="J102" s="1488"/>
      <c r="K102" s="1488"/>
      <c r="L102" s="1488"/>
      <c r="M102" s="1488"/>
      <c r="N102" s="1488"/>
      <c r="O102" s="1563"/>
      <c r="P102" s="1488"/>
      <c r="Q102" s="1488"/>
      <c r="R102" s="1488"/>
      <c r="S102" s="1488"/>
      <c r="T102" s="1488"/>
      <c r="U102" s="1488"/>
      <c r="V102" s="1488"/>
      <c r="W102" s="1488"/>
      <c r="Y102" s="1490"/>
      <c r="Z102" s="1490"/>
      <c r="AA102" s="1490"/>
      <c r="AB102" s="1490"/>
      <c r="AC102" s="1490"/>
      <c r="AD102" s="1490"/>
      <c r="AE102" s="1490"/>
      <c r="AF102" s="1490"/>
      <c r="AG102" s="1490"/>
      <c r="AH102" s="1490"/>
      <c r="AI102" s="1490"/>
      <c r="AJ102" s="1490"/>
      <c r="AK102" s="1490"/>
      <c r="AL102" s="1490"/>
      <c r="AM102" s="1490"/>
      <c r="AN102" s="1490"/>
      <c r="AO102" s="1490"/>
      <c r="AP102" s="1490"/>
      <c r="AQ102" s="1490"/>
      <c r="AS102" s="1491"/>
      <c r="AT102" s="1491"/>
      <c r="AU102" s="1491"/>
      <c r="AV102" s="1491"/>
      <c r="AW102" s="1491"/>
      <c r="AX102" s="1491"/>
      <c r="AY102" s="1491"/>
      <c r="AZ102" s="1491"/>
      <c r="BA102" s="1491"/>
      <c r="BB102" s="1491"/>
      <c r="BC102" s="1491"/>
      <c r="BD102" s="1491"/>
      <c r="BE102" s="1491"/>
      <c r="BF102" s="1491"/>
      <c r="BG102" s="1491"/>
      <c r="BH102" s="1491"/>
      <c r="BI102" s="1491"/>
      <c r="BJ102" s="1491"/>
      <c r="BK102" s="1491"/>
      <c r="BL102" s="1491"/>
      <c r="BN102" s="1492"/>
      <c r="BO102" s="1492"/>
      <c r="BP102" s="1492"/>
      <c r="BR102" s="3168"/>
      <c r="BS102" s="1493"/>
      <c r="BT102" s="748"/>
      <c r="BU102" s="1508"/>
      <c r="BV102" s="1508"/>
      <c r="BW102" s="1508"/>
      <c r="BX102" s="1508"/>
      <c r="BY102" s="1508"/>
      <c r="BZ102" s="1508"/>
      <c r="CA102" s="1508"/>
      <c r="CB102" s="1508"/>
      <c r="CC102" s="1508"/>
      <c r="CD102" s="1508"/>
      <c r="CE102" s="1508"/>
      <c r="CF102" s="1508"/>
      <c r="CG102" s="1508"/>
      <c r="CH102" s="1508"/>
      <c r="CI102" s="1508"/>
      <c r="CJ102" s="1508"/>
      <c r="CK102" s="1508"/>
      <c r="CL102" s="1508"/>
      <c r="CM102" s="1508"/>
      <c r="CN102" s="1508"/>
      <c r="CO102" s="1508"/>
      <c r="CP102" s="1508"/>
      <c r="CQ102" s="1508"/>
      <c r="CR102" s="1508"/>
      <c r="CS102" s="1508"/>
      <c r="CT102" s="1508"/>
      <c r="CU102" s="1508"/>
      <c r="CV102" s="1508"/>
      <c r="CW102" s="1508"/>
      <c r="CX102" s="1508"/>
      <c r="CY102" s="1508"/>
      <c r="CZ102" s="1508"/>
      <c r="DA102" s="1508"/>
      <c r="DB102" s="1508"/>
      <c r="DC102" s="1508"/>
      <c r="DD102" s="1508"/>
      <c r="DE102" s="1508"/>
      <c r="DF102" s="1508"/>
      <c r="DG102" s="1508"/>
      <c r="DH102" s="1508"/>
      <c r="DI102" s="1508"/>
      <c r="DJ102" s="1508"/>
      <c r="DK102" s="1508"/>
      <c r="DL102" s="1508"/>
      <c r="DN102" s="1509">
        <v>0</v>
      </c>
    </row>
    <row r="103" spans="1:118" s="1564" customFormat="1" ht="12.75" hidden="1" customHeight="1" outlineLevel="2" x14ac:dyDescent="0.2">
      <c r="C103" s="1565"/>
      <c r="D103" s="1566"/>
      <c r="E103" s="1566"/>
      <c r="G103" s="1568"/>
      <c r="H103" s="1568"/>
      <c r="I103" s="1568"/>
      <c r="J103" s="1568"/>
      <c r="K103" s="1568"/>
      <c r="L103" s="1568"/>
      <c r="M103" s="1568"/>
      <c r="N103" s="1568"/>
      <c r="O103" s="1569"/>
      <c r="P103" s="1568"/>
      <c r="Q103" s="1568"/>
      <c r="R103" s="1568"/>
      <c r="S103" s="1568"/>
      <c r="T103" s="1568"/>
      <c r="U103" s="1568"/>
      <c r="V103" s="1568"/>
      <c r="W103" s="1568"/>
      <c r="Y103" s="1570"/>
      <c r="Z103" s="1570"/>
      <c r="AA103" s="1570"/>
      <c r="AB103" s="1570"/>
      <c r="AC103" s="1570"/>
      <c r="AD103" s="1570"/>
      <c r="AE103" s="1570"/>
      <c r="AF103" s="1570"/>
      <c r="AG103" s="1570"/>
      <c r="AH103" s="1570"/>
      <c r="AI103" s="1570"/>
      <c r="AJ103" s="1570"/>
      <c r="AK103" s="1570"/>
      <c r="AL103" s="1570"/>
      <c r="AM103" s="1570"/>
      <c r="AN103" s="1570"/>
      <c r="AO103" s="1570"/>
      <c r="AP103" s="1570"/>
      <c r="AQ103" s="1570"/>
      <c r="AS103" s="1571"/>
      <c r="AT103" s="1571"/>
      <c r="AU103" s="1571"/>
      <c r="AV103" s="1571"/>
      <c r="AW103" s="1571"/>
      <c r="AX103" s="1571"/>
      <c r="AY103" s="1571"/>
      <c r="AZ103" s="1571"/>
      <c r="BA103" s="1571"/>
      <c r="BB103" s="1571"/>
      <c r="BC103" s="1571"/>
      <c r="BD103" s="1571"/>
      <c r="BE103" s="1571"/>
      <c r="BF103" s="1571"/>
      <c r="BG103" s="1571"/>
      <c r="BH103" s="1571"/>
      <c r="BI103" s="1571"/>
      <c r="BJ103" s="1571"/>
      <c r="BK103" s="1571"/>
      <c r="BL103" s="1571"/>
      <c r="BN103" s="1572"/>
      <c r="BO103" s="1572"/>
      <c r="BP103" s="1572"/>
      <c r="BR103" s="3168"/>
      <c r="BS103" s="1573"/>
      <c r="BT103" s="1606"/>
      <c r="BU103" s="1607"/>
      <c r="BV103" s="1607"/>
      <c r="BW103" s="1607"/>
      <c r="BX103" s="1607"/>
      <c r="BY103" s="1607"/>
      <c r="BZ103" s="1607"/>
      <c r="CA103" s="1607"/>
      <c r="CB103" s="1607"/>
      <c r="CC103" s="1607"/>
      <c r="CD103" s="1607"/>
      <c r="CE103" s="1607"/>
      <c r="CF103" s="1607"/>
      <c r="CG103" s="1607"/>
      <c r="CH103" s="1607"/>
      <c r="CI103" s="1607"/>
      <c r="CJ103" s="1607"/>
      <c r="CK103" s="1607"/>
      <c r="CL103" s="1607"/>
      <c r="CM103" s="1607"/>
      <c r="CN103" s="1607"/>
      <c r="CO103" s="1607"/>
      <c r="CP103" s="1607"/>
      <c r="CQ103" s="1607"/>
      <c r="CR103" s="1607"/>
      <c r="CS103" s="1607"/>
      <c r="CT103" s="1607"/>
      <c r="CU103" s="1607"/>
      <c r="CV103" s="1607"/>
      <c r="CW103" s="1607"/>
      <c r="CX103" s="1607"/>
      <c r="CY103" s="1607"/>
      <c r="CZ103" s="1607"/>
      <c r="DA103" s="1607"/>
      <c r="DB103" s="1607"/>
      <c r="DC103" s="1607"/>
      <c r="DD103" s="1607"/>
      <c r="DE103" s="1607"/>
      <c r="DF103" s="1607"/>
      <c r="DG103" s="1607"/>
      <c r="DH103" s="1607"/>
      <c r="DI103" s="1607"/>
      <c r="DJ103" s="1607"/>
      <c r="DK103" s="1607"/>
      <c r="DL103" s="1607"/>
      <c r="DN103" s="1606">
        <v>0</v>
      </c>
    </row>
    <row r="104" spans="1:118" s="1567" customFormat="1" ht="12.75" hidden="1" customHeight="1" outlineLevel="2" x14ac:dyDescent="0.2">
      <c r="A104" s="1608"/>
      <c r="B104" s="1608"/>
      <c r="D104" s="1609"/>
      <c r="E104" s="1609"/>
      <c r="G104" s="1610"/>
      <c r="H104" s="1610"/>
      <c r="I104" s="1610"/>
      <c r="J104" s="1610"/>
      <c r="K104" s="1610"/>
      <c r="L104" s="1610"/>
      <c r="M104" s="1610"/>
      <c r="N104" s="1610"/>
      <c r="O104" s="1610"/>
      <c r="P104" s="1610"/>
      <c r="Q104" s="1610"/>
      <c r="R104" s="1610"/>
      <c r="S104" s="1610"/>
      <c r="T104" s="1610"/>
      <c r="U104" s="1610"/>
      <c r="V104" s="1610"/>
      <c r="W104" s="1611"/>
      <c r="Y104" s="1612"/>
      <c r="Z104" s="1612"/>
      <c r="AA104" s="1612"/>
      <c r="AB104" s="1612"/>
      <c r="AC104" s="1612"/>
      <c r="AD104" s="1612"/>
      <c r="AE104" s="1612"/>
      <c r="AF104" s="1612"/>
      <c r="AG104" s="1612"/>
      <c r="AH104" s="1612"/>
      <c r="AI104" s="1612"/>
      <c r="AJ104" s="1612"/>
      <c r="AK104" s="1612"/>
      <c r="AL104" s="1612"/>
      <c r="AM104" s="1612"/>
      <c r="AN104" s="1612"/>
      <c r="AO104" s="1612"/>
      <c r="AP104" s="1612"/>
      <c r="AQ104" s="1613"/>
      <c r="AS104" s="1614"/>
      <c r="AT104" s="1614"/>
      <c r="AU104" s="1614"/>
      <c r="AV104" s="1614"/>
      <c r="AW104" s="1614"/>
      <c r="AX104" s="1614"/>
      <c r="AY104" s="1614"/>
      <c r="AZ104" s="1614"/>
      <c r="BA104" s="1614"/>
      <c r="BB104" s="1614"/>
      <c r="BC104" s="1614"/>
      <c r="BD104" s="1614"/>
      <c r="BE104" s="1614"/>
      <c r="BF104" s="1614"/>
      <c r="BG104" s="1614"/>
      <c r="BH104" s="1614"/>
      <c r="BI104" s="1614"/>
      <c r="BJ104" s="1614"/>
      <c r="BK104" s="1614"/>
      <c r="BL104" s="1615"/>
      <c r="BN104" s="1616"/>
      <c r="BO104" s="1616"/>
      <c r="BP104" s="1617"/>
      <c r="BR104" s="3168"/>
      <c r="BS104" s="1618"/>
      <c r="BT104" s="1619"/>
      <c r="BU104" s="1620">
        <v>0</v>
      </c>
      <c r="BV104" s="1621">
        <v>0</v>
      </c>
      <c r="BW104" s="1621">
        <v>0</v>
      </c>
      <c r="BX104" s="1621">
        <v>0</v>
      </c>
      <c r="BY104" s="1621">
        <v>0</v>
      </c>
      <c r="BZ104" s="1621">
        <v>0</v>
      </c>
      <c r="CA104" s="1621">
        <v>0</v>
      </c>
      <c r="CB104" s="1621">
        <v>0</v>
      </c>
      <c r="CC104" s="1621">
        <v>0</v>
      </c>
      <c r="CD104" s="1621">
        <v>0</v>
      </c>
      <c r="CE104" s="1621">
        <v>0</v>
      </c>
      <c r="CF104" s="1621">
        <v>0</v>
      </c>
      <c r="CG104" s="1621">
        <v>0</v>
      </c>
      <c r="CH104" s="1621">
        <v>0</v>
      </c>
      <c r="CI104" s="1621">
        <v>0</v>
      </c>
      <c r="CJ104" s="1621">
        <v>0</v>
      </c>
      <c r="CK104" s="1621">
        <v>0</v>
      </c>
      <c r="CL104" s="1621">
        <v>0</v>
      </c>
      <c r="CM104" s="1621">
        <v>0</v>
      </c>
      <c r="CN104" s="1621">
        <v>0</v>
      </c>
      <c r="CO104" s="1621">
        <v>0</v>
      </c>
      <c r="CP104" s="1621">
        <v>0</v>
      </c>
      <c r="CQ104" s="1621">
        <v>0</v>
      </c>
      <c r="CR104" s="1621">
        <v>0</v>
      </c>
      <c r="CS104" s="1621">
        <v>0</v>
      </c>
      <c r="CT104" s="1621">
        <v>0</v>
      </c>
      <c r="CU104" s="1621">
        <v>0</v>
      </c>
      <c r="CV104" s="1621">
        <v>0</v>
      </c>
      <c r="CW104" s="1621">
        <v>0</v>
      </c>
      <c r="CX104" s="1621">
        <v>0</v>
      </c>
      <c r="CY104" s="1621">
        <v>0</v>
      </c>
      <c r="CZ104" s="1621">
        <v>0</v>
      </c>
      <c r="DA104" s="1621">
        <v>0</v>
      </c>
      <c r="DB104" s="1621">
        <v>0</v>
      </c>
      <c r="DC104" s="1621">
        <v>0</v>
      </c>
      <c r="DD104" s="1621">
        <v>0</v>
      </c>
      <c r="DE104" s="1621">
        <v>-5.5600542212492146</v>
      </c>
      <c r="DF104" s="1621">
        <v>0</v>
      </c>
      <c r="DG104" s="1621">
        <v>0</v>
      </c>
      <c r="DH104" s="1621">
        <v>0</v>
      </c>
      <c r="DI104" s="1621">
        <v>0</v>
      </c>
      <c r="DJ104" s="1621">
        <v>0</v>
      </c>
      <c r="DK104" s="1621">
        <v>0</v>
      </c>
      <c r="DL104" s="1621">
        <v>0</v>
      </c>
      <c r="DN104" s="1575">
        <v>-5.5600542212492146</v>
      </c>
    </row>
    <row r="105" spans="1:118" s="1564" customFormat="1" ht="12.75" hidden="1" customHeight="1" outlineLevel="2" x14ac:dyDescent="0.2">
      <c r="D105" s="1566"/>
      <c r="E105" s="1566"/>
      <c r="G105" s="1568"/>
      <c r="H105" s="1568"/>
      <c r="I105" s="1568"/>
      <c r="J105" s="1568"/>
      <c r="K105" s="1568"/>
      <c r="L105" s="1568"/>
      <c r="M105" s="1568"/>
      <c r="N105" s="1568"/>
      <c r="O105" s="1569"/>
      <c r="P105" s="1568"/>
      <c r="Q105" s="1568"/>
      <c r="R105" s="1568"/>
      <c r="S105" s="1568"/>
      <c r="T105" s="1568"/>
      <c r="U105" s="1568"/>
      <c r="V105" s="1568"/>
      <c r="W105" s="1568"/>
      <c r="Y105" s="1570"/>
      <c r="Z105" s="1570"/>
      <c r="AA105" s="1570"/>
      <c r="AB105" s="1570"/>
      <c r="AC105" s="1570"/>
      <c r="AD105" s="1570"/>
      <c r="AE105" s="1570"/>
      <c r="AF105" s="1570"/>
      <c r="AG105" s="1570"/>
      <c r="AH105" s="1570"/>
      <c r="AI105" s="1570"/>
      <c r="AJ105" s="1570"/>
      <c r="AK105" s="1570"/>
      <c r="AL105" s="1570"/>
      <c r="AM105" s="1570"/>
      <c r="AN105" s="1570"/>
      <c r="AO105" s="1570"/>
      <c r="AP105" s="1570"/>
      <c r="AQ105" s="1570"/>
      <c r="AS105" s="1571"/>
      <c r="AT105" s="1571"/>
      <c r="AU105" s="1571"/>
      <c r="AV105" s="1571"/>
      <c r="AW105" s="1571"/>
      <c r="AX105" s="1571"/>
      <c r="AY105" s="1571"/>
      <c r="AZ105" s="1571"/>
      <c r="BA105" s="1571"/>
      <c r="BB105" s="1571"/>
      <c r="BC105" s="1571"/>
      <c r="BD105" s="1571"/>
      <c r="BE105" s="1571"/>
      <c r="BF105" s="1571"/>
      <c r="BG105" s="1571"/>
      <c r="BH105" s="1571"/>
      <c r="BI105" s="1571"/>
      <c r="BJ105" s="1571"/>
      <c r="BK105" s="1571"/>
      <c r="BL105" s="1571"/>
      <c r="BN105" s="1572"/>
      <c r="BO105" s="1572"/>
      <c r="BP105" s="1572"/>
      <c r="BR105" s="3168"/>
      <c r="BS105" s="1573"/>
      <c r="BT105" s="1606"/>
      <c r="BU105" s="1607"/>
      <c r="BV105" s="1607"/>
      <c r="BW105" s="1607"/>
      <c r="BX105" s="1607"/>
      <c r="BY105" s="1607"/>
      <c r="BZ105" s="1607"/>
      <c r="CA105" s="1607"/>
      <c r="CB105" s="1607"/>
      <c r="CC105" s="1607"/>
      <c r="CD105" s="1607"/>
      <c r="CE105" s="1607"/>
      <c r="CF105" s="1607"/>
      <c r="CG105" s="1607"/>
      <c r="CH105" s="1607"/>
      <c r="CI105" s="1607"/>
      <c r="CJ105" s="1607"/>
      <c r="CK105" s="1607"/>
      <c r="CL105" s="1607"/>
      <c r="CM105" s="1607"/>
      <c r="CN105" s="1607"/>
      <c r="CO105" s="1607"/>
      <c r="CP105" s="1607"/>
      <c r="CQ105" s="1607"/>
      <c r="CR105" s="1607"/>
      <c r="CS105" s="1607"/>
      <c r="CT105" s="1607"/>
      <c r="CU105" s="1607"/>
      <c r="CV105" s="1607"/>
      <c r="CW105" s="1607"/>
      <c r="CX105" s="1607"/>
      <c r="CY105" s="1607"/>
      <c r="CZ105" s="1607"/>
      <c r="DA105" s="1607"/>
      <c r="DB105" s="1607"/>
      <c r="DC105" s="1607"/>
      <c r="DD105" s="1607"/>
      <c r="DE105" s="1607"/>
      <c r="DF105" s="1607"/>
      <c r="DG105" s="1607"/>
      <c r="DH105" s="1607"/>
      <c r="DI105" s="1607"/>
      <c r="DJ105" s="1607"/>
      <c r="DK105" s="1607"/>
      <c r="DL105" s="1607"/>
      <c r="DN105" s="1606">
        <v>0</v>
      </c>
    </row>
    <row r="106" spans="1:118" s="14" customFormat="1" ht="12.75" hidden="1" customHeight="1" outlineLevel="2" x14ac:dyDescent="0.2">
      <c r="A106" s="1522"/>
      <c r="B106" s="1522"/>
      <c r="C106" s="1577" t="s">
        <v>801</v>
      </c>
      <c r="D106" s="1526" t="str">
        <f>INDEX(Modulos[Modulos], MATCH($C106, Modulos[Código], 0))</f>
        <v>Producción nacional combustibles fósiles</v>
      </c>
      <c r="E106" s="1526"/>
      <c r="G106" s="1540"/>
      <c r="H106" s="1540"/>
      <c r="I106" s="1540"/>
      <c r="J106" s="1540"/>
      <c r="K106" s="1540"/>
      <c r="L106" s="1540"/>
      <c r="M106" s="1540"/>
      <c r="N106" s="1540"/>
      <c r="O106" s="1540"/>
      <c r="P106" s="1540"/>
      <c r="Q106" s="1540"/>
      <c r="R106" s="1540"/>
      <c r="S106" s="1540"/>
      <c r="T106" s="1540"/>
      <c r="U106" s="1540"/>
      <c r="V106" s="1540"/>
      <c r="W106" s="1527"/>
      <c r="Y106" s="1541">
        <f t="shared" ref="Y106:AP106" ca="1" si="66">IFERROR(INDEX(INDIRECT($C106&amp;".Outputs["&amp;this.Year&amp;"]"), MATCH(Y$5, INDIRECT($C106&amp;".Outputs[Vector]"), 0)), 0)</f>
        <v>0</v>
      </c>
      <c r="Z106" s="1541">
        <f t="shared" ca="1" si="66"/>
        <v>0</v>
      </c>
      <c r="AA106" s="1541">
        <f t="shared" ca="1" si="66"/>
        <v>0</v>
      </c>
      <c r="AB106" s="1541">
        <f t="shared" ca="1" si="66"/>
        <v>0</v>
      </c>
      <c r="AC106" s="1541">
        <f t="shared" ca="1" si="66"/>
        <v>0</v>
      </c>
      <c r="AD106" s="1541">
        <f t="shared" ca="1" si="66"/>
        <v>25.584695004942699</v>
      </c>
      <c r="AE106" s="1541">
        <f t="shared" ca="1" si="66"/>
        <v>3.0761179275455</v>
      </c>
      <c r="AF106" s="1541">
        <f t="shared" ca="1" si="66"/>
        <v>10.934465313717508</v>
      </c>
      <c r="AG106" s="1541">
        <f t="shared" ca="1" si="66"/>
        <v>0</v>
      </c>
      <c r="AH106" s="1541">
        <f t="shared" ca="1" si="66"/>
        <v>0</v>
      </c>
      <c r="AI106" s="1541">
        <f t="shared" ca="1" si="66"/>
        <v>0</v>
      </c>
      <c r="AJ106" s="1541">
        <f t="shared" ca="1" si="66"/>
        <v>0</v>
      </c>
      <c r="AK106" s="1541">
        <f t="shared" ca="1" si="66"/>
        <v>0</v>
      </c>
      <c r="AL106" s="1541">
        <f t="shared" ca="1" si="66"/>
        <v>0</v>
      </c>
      <c r="AM106" s="1541">
        <f t="shared" ca="1" si="66"/>
        <v>0</v>
      </c>
      <c r="AN106" s="1541">
        <f t="shared" ca="1" si="66"/>
        <v>0</v>
      </c>
      <c r="AO106" s="1541">
        <f t="shared" ca="1" si="66"/>
        <v>0</v>
      </c>
      <c r="AP106" s="1541">
        <f t="shared" ca="1" si="66"/>
        <v>0</v>
      </c>
      <c r="AQ106" s="1528">
        <f ca="1">SUM(Y106:AP106)</f>
        <v>39.595278246205709</v>
      </c>
      <c r="AS106" s="1542">
        <f t="shared" ref="AS106:BK106" ca="1" si="67">IFERROR(INDEX(INDIRECT($C106&amp;".Outputs["&amp;this.Year&amp;"]"), MATCH(AS$5, INDIRECT($C106&amp;".Outputs[Vector]"), 0)), 0)</f>
        <v>-25.584695004942699</v>
      </c>
      <c r="AT106" s="1542">
        <f t="shared" ca="1" si="67"/>
        <v>-3.0761179275455</v>
      </c>
      <c r="AU106" s="1542">
        <f t="shared" ca="1" si="67"/>
        <v>-10.934465313717508</v>
      </c>
      <c r="AV106" s="1542">
        <f t="shared" ca="1" si="67"/>
        <v>0</v>
      </c>
      <c r="AW106" s="1542">
        <f t="shared" ca="1" si="67"/>
        <v>0</v>
      </c>
      <c r="AX106" s="1542">
        <f t="shared" ca="1" si="67"/>
        <v>0</v>
      </c>
      <c r="AY106" s="1542">
        <f t="shared" ca="1" si="67"/>
        <v>0</v>
      </c>
      <c r="AZ106" s="1542">
        <f t="shared" ca="1" si="67"/>
        <v>0</v>
      </c>
      <c r="BA106" s="1542">
        <f t="shared" ca="1" si="67"/>
        <v>0</v>
      </c>
      <c r="BB106" s="1542">
        <f t="shared" ca="1" si="67"/>
        <v>0</v>
      </c>
      <c r="BC106" s="1542">
        <f t="shared" ca="1" si="67"/>
        <v>0</v>
      </c>
      <c r="BD106" s="1542">
        <f t="shared" ca="1" si="67"/>
        <v>0</v>
      </c>
      <c r="BE106" s="1542">
        <f t="shared" ca="1" si="67"/>
        <v>0</v>
      </c>
      <c r="BF106" s="1542">
        <f t="shared" ca="1" si="67"/>
        <v>0</v>
      </c>
      <c r="BG106" s="1542">
        <f t="shared" ca="1" si="67"/>
        <v>0</v>
      </c>
      <c r="BH106" s="1542">
        <f t="shared" ca="1" si="67"/>
        <v>0</v>
      </c>
      <c r="BI106" s="1542">
        <f t="shared" ca="1" si="67"/>
        <v>0</v>
      </c>
      <c r="BJ106" s="1542">
        <f t="shared" ca="1" si="67"/>
        <v>0</v>
      </c>
      <c r="BK106" s="1542">
        <f t="shared" ca="1" si="67"/>
        <v>0</v>
      </c>
      <c r="BL106" s="1542">
        <f ca="1">SUM(AS106:BK106)</f>
        <v>-39.595278246205709</v>
      </c>
      <c r="BN106" s="1543"/>
      <c r="BO106" s="1543"/>
      <c r="BP106" s="1531"/>
      <c r="BR106" s="3168">
        <f ca="1">W106+AQ106+BL106+BP106</f>
        <v>0</v>
      </c>
      <c r="BS106" s="1525"/>
      <c r="BT106" s="748"/>
      <c r="BU106" s="1532">
        <v>0</v>
      </c>
      <c r="BV106" s="1533">
        <v>0</v>
      </c>
      <c r="BW106" s="1533">
        <v>0</v>
      </c>
      <c r="BX106" s="1533">
        <v>0</v>
      </c>
      <c r="BY106" s="1533">
        <v>0</v>
      </c>
      <c r="BZ106" s="1533">
        <v>0</v>
      </c>
      <c r="CA106" s="1533">
        <v>0</v>
      </c>
      <c r="CB106" s="1533">
        <v>0</v>
      </c>
      <c r="CC106" s="1533">
        <v>0</v>
      </c>
      <c r="CD106" s="1533">
        <v>0</v>
      </c>
      <c r="CE106" s="1533">
        <v>0</v>
      </c>
      <c r="CF106" s="1533">
        <v>0</v>
      </c>
      <c r="CG106" s="1533">
        <v>0</v>
      </c>
      <c r="CH106" s="1533">
        <v>0</v>
      </c>
      <c r="CI106" s="1533">
        <v>0</v>
      </c>
      <c r="CJ106" s="1533">
        <v>0</v>
      </c>
      <c r="CK106" s="1533">
        <v>0</v>
      </c>
      <c r="CL106" s="1533">
        <v>0</v>
      </c>
      <c r="CM106" s="1533">
        <v>0</v>
      </c>
      <c r="CN106" s="1533">
        <v>0</v>
      </c>
      <c r="CO106" s="1533">
        <v>0</v>
      </c>
      <c r="CP106" s="1533">
        <v>0</v>
      </c>
      <c r="CQ106" s="1533">
        <v>0</v>
      </c>
      <c r="CR106" s="1533">
        <v>0</v>
      </c>
      <c r="CS106" s="1533">
        <v>0</v>
      </c>
      <c r="CT106" s="1533">
        <v>0</v>
      </c>
      <c r="CU106" s="1533">
        <v>0</v>
      </c>
      <c r="CV106" s="1533">
        <v>0</v>
      </c>
      <c r="CW106" s="1533">
        <v>0</v>
      </c>
      <c r="CX106" s="1533">
        <v>0</v>
      </c>
      <c r="CY106" s="1533">
        <v>0</v>
      </c>
      <c r="CZ106" s="1533">
        <v>0</v>
      </c>
      <c r="DA106" s="1533">
        <v>0</v>
      </c>
      <c r="DB106" s="1533">
        <v>0</v>
      </c>
      <c r="DC106" s="1533">
        <v>0</v>
      </c>
      <c r="DD106" s="1533">
        <v>0</v>
      </c>
      <c r="DE106" s="1533">
        <v>-1.3540111199999998</v>
      </c>
      <c r="DF106" s="1533">
        <v>0</v>
      </c>
      <c r="DG106" s="1533">
        <v>0</v>
      </c>
      <c r="DH106" s="1533">
        <v>0</v>
      </c>
      <c r="DI106" s="1533">
        <v>0</v>
      </c>
      <c r="DJ106" s="1533">
        <v>0</v>
      </c>
      <c r="DK106" s="1533">
        <v>0</v>
      </c>
      <c r="DL106" s="1533">
        <v>0</v>
      </c>
      <c r="DN106" s="1509">
        <v>-1.3540111199999998</v>
      </c>
    </row>
    <row r="107" spans="1:118" s="14" customFormat="1" ht="15.75" hidden="1" outlineLevel="1" collapsed="1" x14ac:dyDescent="0.2">
      <c r="A107" s="1534"/>
      <c r="B107" s="1535"/>
      <c r="C107" s="1552"/>
      <c r="D107" s="1526"/>
      <c r="E107" s="1538"/>
      <c r="G107" s="1539"/>
      <c r="H107" s="1539"/>
      <c r="I107" s="1539"/>
      <c r="J107" s="1539"/>
      <c r="K107" s="1539"/>
      <c r="L107" s="1539"/>
      <c r="M107" s="1539"/>
      <c r="N107" s="1539"/>
      <c r="O107" s="1539"/>
      <c r="P107" s="1539"/>
      <c r="Q107" s="1539"/>
      <c r="R107" s="1539"/>
      <c r="S107" s="1539"/>
      <c r="T107" s="1539"/>
      <c r="U107" s="1539"/>
      <c r="V107" s="1539"/>
      <c r="W107" s="1539"/>
      <c r="Y107" s="1490">
        <f ca="1">Y106</f>
        <v>0</v>
      </c>
      <c r="Z107" s="1490">
        <f t="shared" ref="Z107:AQ107" ca="1" si="68">Z106</f>
        <v>0</v>
      </c>
      <c r="AA107" s="1490">
        <f t="shared" ca="1" si="68"/>
        <v>0</v>
      </c>
      <c r="AB107" s="1490">
        <f t="shared" ca="1" si="68"/>
        <v>0</v>
      </c>
      <c r="AC107" s="1490">
        <f t="shared" ca="1" si="68"/>
        <v>0</v>
      </c>
      <c r="AD107" s="1490">
        <f t="shared" ca="1" si="68"/>
        <v>25.584695004942699</v>
      </c>
      <c r="AE107" s="1490">
        <f t="shared" ca="1" si="68"/>
        <v>3.0761179275455</v>
      </c>
      <c r="AF107" s="1490">
        <f t="shared" ca="1" si="68"/>
        <v>10.934465313717508</v>
      </c>
      <c r="AG107" s="1490">
        <f t="shared" ca="1" si="68"/>
        <v>0</v>
      </c>
      <c r="AH107" s="1490">
        <f t="shared" ca="1" si="68"/>
        <v>0</v>
      </c>
      <c r="AI107" s="1490">
        <f t="shared" ca="1" si="68"/>
        <v>0</v>
      </c>
      <c r="AJ107" s="1490">
        <f t="shared" ca="1" si="68"/>
        <v>0</v>
      </c>
      <c r="AK107" s="1490">
        <f t="shared" ca="1" si="68"/>
        <v>0</v>
      </c>
      <c r="AL107" s="1490">
        <f t="shared" ca="1" si="68"/>
        <v>0</v>
      </c>
      <c r="AM107" s="1490">
        <f t="shared" ca="1" si="68"/>
        <v>0</v>
      </c>
      <c r="AN107" s="1490">
        <f t="shared" ca="1" si="68"/>
        <v>0</v>
      </c>
      <c r="AO107" s="1490">
        <f t="shared" ca="1" si="68"/>
        <v>0</v>
      </c>
      <c r="AP107" s="1490">
        <f t="shared" ca="1" si="68"/>
        <v>0</v>
      </c>
      <c r="AQ107" s="1490">
        <f t="shared" ca="1" si="68"/>
        <v>39.595278246205709</v>
      </c>
      <c r="AS107" s="1491">
        <f ca="1">AS106</f>
        <v>-25.584695004942699</v>
      </c>
      <c r="AT107" s="1491">
        <f t="shared" ref="AT107:BD107" ca="1" si="69">AT106</f>
        <v>-3.0761179275455</v>
      </c>
      <c r="AU107" s="1491">
        <f t="shared" ca="1" si="69"/>
        <v>-10.934465313717508</v>
      </c>
      <c r="AV107" s="1491">
        <f t="shared" ca="1" si="69"/>
        <v>0</v>
      </c>
      <c r="AW107" s="1491">
        <f t="shared" ca="1" si="69"/>
        <v>0</v>
      </c>
      <c r="AX107" s="1491">
        <f t="shared" ca="1" si="69"/>
        <v>0</v>
      </c>
      <c r="AY107" s="1491">
        <f t="shared" ca="1" si="69"/>
        <v>0</v>
      </c>
      <c r="AZ107" s="1491">
        <f t="shared" ca="1" si="69"/>
        <v>0</v>
      </c>
      <c r="BA107" s="1491">
        <f t="shared" ca="1" si="69"/>
        <v>0</v>
      </c>
      <c r="BB107" s="1491">
        <f t="shared" ca="1" si="69"/>
        <v>0</v>
      </c>
      <c r="BC107" s="1491">
        <f t="shared" ca="1" si="69"/>
        <v>0</v>
      </c>
      <c r="BD107" s="1491">
        <f t="shared" ca="1" si="69"/>
        <v>0</v>
      </c>
      <c r="BE107" s="1491">
        <f ca="1">BE106</f>
        <v>0</v>
      </c>
      <c r="BF107" s="1491">
        <f t="shared" ref="BF107:BL107" ca="1" si="70">BF106</f>
        <v>0</v>
      </c>
      <c r="BG107" s="1491">
        <f t="shared" ca="1" si="70"/>
        <v>0</v>
      </c>
      <c r="BH107" s="1491">
        <f t="shared" ca="1" si="70"/>
        <v>0</v>
      </c>
      <c r="BI107" s="1491">
        <f t="shared" ca="1" si="70"/>
        <v>0</v>
      </c>
      <c r="BJ107" s="1491">
        <f t="shared" ca="1" si="70"/>
        <v>0</v>
      </c>
      <c r="BK107" s="1491">
        <f t="shared" ca="1" si="70"/>
        <v>0</v>
      </c>
      <c r="BL107" s="1491">
        <f t="shared" ca="1" si="70"/>
        <v>-39.595278246205709</v>
      </c>
      <c r="BN107" s="1492"/>
      <c r="BO107" s="1492"/>
      <c r="BP107" s="1492"/>
      <c r="BR107" s="3168">
        <f ca="1">W107+AQ107+BL107+BP107</f>
        <v>0</v>
      </c>
      <c r="BS107" s="1493"/>
      <c r="BT107" s="748"/>
      <c r="BU107" s="1508">
        <v>0</v>
      </c>
      <c r="BV107" s="1508">
        <v>0</v>
      </c>
      <c r="BW107" s="1508">
        <v>0</v>
      </c>
      <c r="BX107" s="1508">
        <v>0</v>
      </c>
      <c r="BY107" s="1508">
        <v>0</v>
      </c>
      <c r="BZ107" s="1508">
        <v>0</v>
      </c>
      <c r="CA107" s="1508">
        <v>0</v>
      </c>
      <c r="CB107" s="1508">
        <v>0</v>
      </c>
      <c r="CC107" s="1508">
        <v>0</v>
      </c>
      <c r="CD107" s="1508">
        <v>0</v>
      </c>
      <c r="CE107" s="1508">
        <v>0</v>
      </c>
      <c r="CF107" s="1508">
        <v>0</v>
      </c>
      <c r="CG107" s="1508">
        <v>0</v>
      </c>
      <c r="CH107" s="1508">
        <v>0</v>
      </c>
      <c r="CI107" s="1508">
        <v>0</v>
      </c>
      <c r="CJ107" s="1508">
        <v>0</v>
      </c>
      <c r="CK107" s="1508">
        <v>0</v>
      </c>
      <c r="CL107" s="1508">
        <v>0</v>
      </c>
      <c r="CM107" s="1508">
        <v>0</v>
      </c>
      <c r="CN107" s="1508">
        <v>0</v>
      </c>
      <c r="CO107" s="1508">
        <v>0</v>
      </c>
      <c r="CP107" s="1508">
        <v>0</v>
      </c>
      <c r="CQ107" s="1508">
        <v>0</v>
      </c>
      <c r="CR107" s="1508">
        <v>0</v>
      </c>
      <c r="CS107" s="1508">
        <v>0</v>
      </c>
      <c r="CT107" s="1508">
        <v>0</v>
      </c>
      <c r="CU107" s="1508">
        <v>0</v>
      </c>
      <c r="CV107" s="1508">
        <v>0</v>
      </c>
      <c r="CW107" s="1508">
        <v>0</v>
      </c>
      <c r="CX107" s="1508">
        <v>0</v>
      </c>
      <c r="CY107" s="1508">
        <v>0</v>
      </c>
      <c r="CZ107" s="1508">
        <v>0</v>
      </c>
      <c r="DA107" s="1508">
        <v>0</v>
      </c>
      <c r="DB107" s="1508">
        <v>0</v>
      </c>
      <c r="DC107" s="1508">
        <v>0</v>
      </c>
      <c r="DD107" s="1508">
        <v>0</v>
      </c>
      <c r="DE107" s="1508">
        <v>-6.9140653412492146</v>
      </c>
      <c r="DF107" s="1508">
        <v>0</v>
      </c>
      <c r="DG107" s="1508">
        <v>0</v>
      </c>
      <c r="DH107" s="1508">
        <v>0</v>
      </c>
      <c r="DI107" s="1508">
        <v>0</v>
      </c>
      <c r="DJ107" s="1508">
        <v>0</v>
      </c>
      <c r="DK107" s="1508">
        <v>0</v>
      </c>
      <c r="DL107" s="1508">
        <v>0</v>
      </c>
      <c r="DN107" s="1509">
        <v>-6.9140653412492146</v>
      </c>
    </row>
    <row r="108" spans="1:118" s="1534" customFormat="1" ht="12.75" hidden="1" customHeight="1" outlineLevel="2" x14ac:dyDescent="0.2">
      <c r="B108" s="1535"/>
      <c r="C108" s="1536"/>
      <c r="D108" s="1537"/>
      <c r="E108" s="1538"/>
      <c r="F108" s="14"/>
      <c r="G108" s="1488"/>
      <c r="H108" s="1488"/>
      <c r="I108" s="1488"/>
      <c r="J108" s="1488"/>
      <c r="K108" s="1488"/>
      <c r="L108" s="1488"/>
      <c r="M108" s="1488"/>
      <c r="N108" s="1488"/>
      <c r="O108" s="1563"/>
      <c r="P108" s="1488"/>
      <c r="Q108" s="1488"/>
      <c r="R108" s="1488"/>
      <c r="S108" s="1488"/>
      <c r="T108" s="1488"/>
      <c r="U108" s="1488"/>
      <c r="V108" s="1488"/>
      <c r="W108" s="1539"/>
      <c r="X108" s="14"/>
      <c r="Y108" s="1490"/>
      <c r="Z108" s="1490"/>
      <c r="AA108" s="1490"/>
      <c r="AB108" s="1490"/>
      <c r="AC108" s="1490"/>
      <c r="AD108" s="1490"/>
      <c r="AE108" s="1490"/>
      <c r="AF108" s="1490"/>
      <c r="AG108" s="1490"/>
      <c r="AH108" s="1490"/>
      <c r="AI108" s="1490"/>
      <c r="AJ108" s="1490"/>
      <c r="AK108" s="1490"/>
      <c r="AL108" s="1490"/>
      <c r="AM108" s="1490"/>
      <c r="AN108" s="1490"/>
      <c r="AO108" s="1490"/>
      <c r="AP108" s="1490"/>
      <c r="AQ108" s="1490"/>
      <c r="AR108" s="14"/>
      <c r="AS108" s="1491"/>
      <c r="AT108" s="1491"/>
      <c r="AU108" s="1491"/>
      <c r="AV108" s="1491"/>
      <c r="AW108" s="1491"/>
      <c r="AX108" s="1491"/>
      <c r="AY108" s="1491"/>
      <c r="AZ108" s="1491"/>
      <c r="BA108" s="1491"/>
      <c r="BB108" s="1491"/>
      <c r="BC108" s="1491"/>
      <c r="BD108" s="1491"/>
      <c r="BE108" s="1491"/>
      <c r="BF108" s="1491"/>
      <c r="BG108" s="1491"/>
      <c r="BH108" s="1491"/>
      <c r="BI108" s="1491"/>
      <c r="BJ108" s="1491"/>
      <c r="BK108" s="1491"/>
      <c r="BL108" s="1491"/>
      <c r="BM108" s="14"/>
      <c r="BN108" s="1492"/>
      <c r="BO108" s="1492"/>
      <c r="BP108" s="1492"/>
      <c r="BQ108" s="14"/>
      <c r="BR108" s="3168"/>
      <c r="BS108" s="1493"/>
      <c r="BU108" s="1508"/>
      <c r="BV108" s="1508"/>
      <c r="BW108" s="1508"/>
      <c r="BX108" s="1508"/>
      <c r="BY108" s="1508"/>
      <c r="BZ108" s="1508"/>
      <c r="CA108" s="1508"/>
      <c r="CB108" s="1508"/>
      <c r="CC108" s="1508"/>
      <c r="CD108" s="1508"/>
      <c r="CE108" s="1508"/>
      <c r="CF108" s="1508"/>
      <c r="CG108" s="1508"/>
      <c r="CH108" s="1508"/>
      <c r="CI108" s="1508"/>
      <c r="CJ108" s="1508"/>
      <c r="CK108" s="1508"/>
      <c r="CL108" s="1508"/>
      <c r="CM108" s="1508"/>
      <c r="CN108" s="1508"/>
      <c r="CO108" s="1508"/>
      <c r="CP108" s="1508"/>
      <c r="CQ108" s="1508"/>
      <c r="CR108" s="1508"/>
      <c r="CS108" s="1508"/>
      <c r="CT108" s="1508"/>
      <c r="CU108" s="1508"/>
      <c r="CV108" s="1508"/>
      <c r="CW108" s="1508"/>
      <c r="CX108" s="1508"/>
      <c r="CY108" s="1508"/>
      <c r="CZ108" s="1508"/>
      <c r="DA108" s="1508"/>
      <c r="DB108" s="1508"/>
      <c r="DC108" s="1508"/>
      <c r="DD108" s="1508"/>
      <c r="DE108" s="1508"/>
      <c r="DF108" s="1508"/>
      <c r="DG108" s="1508"/>
      <c r="DH108" s="1508"/>
      <c r="DI108" s="1508"/>
      <c r="DJ108" s="1508"/>
      <c r="DK108" s="1508"/>
      <c r="DL108" s="1508"/>
      <c r="DN108" s="1509">
        <v>0</v>
      </c>
    </row>
    <row r="109" spans="1:118" s="1578" customFormat="1" ht="12.75" hidden="1" customHeight="1" outlineLevel="2" x14ac:dyDescent="0.2">
      <c r="C109" s="1591"/>
      <c r="D109" s="1566"/>
      <c r="E109" s="1600"/>
      <c r="G109" s="1568"/>
      <c r="H109" s="1568"/>
      <c r="I109" s="1568"/>
      <c r="J109" s="1568"/>
      <c r="K109" s="1568"/>
      <c r="L109" s="1568"/>
      <c r="M109" s="1568"/>
      <c r="N109" s="1568"/>
      <c r="O109" s="1569"/>
      <c r="P109" s="1568"/>
      <c r="Q109" s="1568"/>
      <c r="R109" s="1568"/>
      <c r="S109" s="1568"/>
      <c r="T109" s="1568"/>
      <c r="U109" s="1568"/>
      <c r="V109" s="1568"/>
      <c r="W109" s="1622"/>
      <c r="X109" s="1564"/>
      <c r="Y109" s="1570"/>
      <c r="Z109" s="1570"/>
      <c r="AA109" s="1570"/>
      <c r="AB109" s="1570"/>
      <c r="AC109" s="1570"/>
      <c r="AD109" s="1570"/>
      <c r="AE109" s="1570"/>
      <c r="AF109" s="1570"/>
      <c r="AG109" s="1570"/>
      <c r="AH109" s="1570"/>
      <c r="AI109" s="1570"/>
      <c r="AJ109" s="1570"/>
      <c r="AK109" s="1570"/>
      <c r="AL109" s="1570"/>
      <c r="AM109" s="1570"/>
      <c r="AN109" s="1570"/>
      <c r="AO109" s="1570"/>
      <c r="AP109" s="1570"/>
      <c r="AQ109" s="1570"/>
      <c r="AR109" s="1564"/>
      <c r="AS109" s="1571"/>
      <c r="AT109" s="1571"/>
      <c r="AU109" s="1571"/>
      <c r="AV109" s="1571"/>
      <c r="AW109" s="1571"/>
      <c r="AX109" s="1571"/>
      <c r="AY109" s="1571"/>
      <c r="AZ109" s="1571"/>
      <c r="BA109" s="1571"/>
      <c r="BB109" s="1571"/>
      <c r="BC109" s="1571"/>
      <c r="BD109" s="1571"/>
      <c r="BE109" s="1571"/>
      <c r="BF109" s="1571"/>
      <c r="BG109" s="1571"/>
      <c r="BH109" s="1571"/>
      <c r="BI109" s="1571"/>
      <c r="BJ109" s="1571"/>
      <c r="BK109" s="1571"/>
      <c r="BL109" s="1571"/>
      <c r="BM109" s="1564"/>
      <c r="BN109" s="1572"/>
      <c r="BO109" s="1572"/>
      <c r="BP109" s="1572"/>
      <c r="BR109" s="3168"/>
      <c r="BS109" s="1579"/>
      <c r="BU109" s="1595"/>
      <c r="BV109" s="1595"/>
      <c r="BW109" s="1595"/>
      <c r="BX109" s="1595"/>
      <c r="BY109" s="1595"/>
      <c r="BZ109" s="1595"/>
      <c r="CA109" s="1595"/>
      <c r="CB109" s="1595"/>
      <c r="CC109" s="1595"/>
      <c r="CD109" s="1595"/>
      <c r="CE109" s="1595"/>
      <c r="CF109" s="1595"/>
      <c r="CG109" s="1595"/>
      <c r="CH109" s="1595"/>
      <c r="CI109" s="1595"/>
      <c r="CJ109" s="1595"/>
      <c r="CK109" s="1595"/>
      <c r="CL109" s="1595"/>
      <c r="CM109" s="1595"/>
      <c r="CN109" s="1595"/>
      <c r="CO109" s="1595"/>
      <c r="CP109" s="1595"/>
      <c r="CQ109" s="1595"/>
      <c r="CR109" s="1595"/>
      <c r="CS109" s="1595"/>
      <c r="CT109" s="1595"/>
      <c r="CU109" s="1595"/>
      <c r="CV109" s="1595"/>
      <c r="CW109" s="1595"/>
      <c r="CX109" s="1595"/>
      <c r="CY109" s="1595"/>
      <c r="CZ109" s="1595"/>
      <c r="DA109" s="1595"/>
      <c r="DB109" s="1595"/>
      <c r="DC109" s="1595"/>
      <c r="DD109" s="1595"/>
      <c r="DE109" s="1595"/>
      <c r="DF109" s="1595"/>
      <c r="DG109" s="1595"/>
      <c r="DH109" s="1595"/>
      <c r="DI109" s="1595"/>
      <c r="DJ109" s="1595"/>
      <c r="DK109" s="1595"/>
      <c r="DL109" s="1595"/>
      <c r="DN109" s="1509">
        <v>0</v>
      </c>
    </row>
    <row r="110" spans="1:118" s="1522" customFormat="1" ht="12.75" hidden="1" customHeight="1" outlineLevel="2" x14ac:dyDescent="0.2">
      <c r="B110" s="1623"/>
      <c r="C110" s="1577"/>
      <c r="D110" s="1497"/>
      <c r="E110" s="1497"/>
      <c r="F110" s="14"/>
      <c r="G110" s="1583"/>
      <c r="H110" s="1583"/>
      <c r="I110" s="1583"/>
      <c r="J110" s="1583"/>
      <c r="K110" s="1583"/>
      <c r="L110" s="1583"/>
      <c r="M110" s="1583"/>
      <c r="N110" s="1583"/>
      <c r="O110" s="1624"/>
      <c r="P110" s="1583"/>
      <c r="Q110" s="1583"/>
      <c r="R110" s="1583"/>
      <c r="S110" s="1583"/>
      <c r="T110" s="1583"/>
      <c r="U110" s="1583"/>
      <c r="V110" s="1583"/>
      <c r="W110" s="1625"/>
      <c r="X110" s="14"/>
      <c r="Y110" s="1585"/>
      <c r="Z110" s="1585"/>
      <c r="AA110" s="1585"/>
      <c r="AB110" s="1585"/>
      <c r="AC110" s="1585"/>
      <c r="AD110" s="1585"/>
      <c r="AE110" s="1585"/>
      <c r="AF110" s="1585"/>
      <c r="AG110" s="1585"/>
      <c r="AH110" s="1585"/>
      <c r="AI110" s="1585"/>
      <c r="AJ110" s="1585"/>
      <c r="AK110" s="1585"/>
      <c r="AL110" s="1585"/>
      <c r="AM110" s="1585"/>
      <c r="AN110" s="1585"/>
      <c r="AO110" s="1585"/>
      <c r="AP110" s="1585"/>
      <c r="AQ110" s="1585"/>
      <c r="AR110" s="14"/>
      <c r="AS110" s="1524"/>
      <c r="AT110" s="1524"/>
      <c r="AU110" s="1524"/>
      <c r="AV110" s="1524"/>
      <c r="AW110" s="1524"/>
      <c r="AX110" s="1524"/>
      <c r="AY110" s="1524"/>
      <c r="AZ110" s="1524"/>
      <c r="BA110" s="1524"/>
      <c r="BB110" s="1524"/>
      <c r="BC110" s="1524"/>
      <c r="BD110" s="1524"/>
      <c r="BE110" s="1524"/>
      <c r="BF110" s="1524"/>
      <c r="BG110" s="1524"/>
      <c r="BH110" s="1524"/>
      <c r="BI110" s="1524"/>
      <c r="BJ110" s="1524"/>
      <c r="BK110" s="1524"/>
      <c r="BL110" s="1524"/>
      <c r="BM110" s="14"/>
      <c r="BN110" s="1588"/>
      <c r="BO110" s="1588"/>
      <c r="BP110" s="1588"/>
      <c r="BQ110" s="14"/>
      <c r="BR110" s="3168"/>
      <c r="BS110" s="1525"/>
      <c r="BU110" s="1507">
        <v>0</v>
      </c>
      <c r="BV110" s="1508">
        <v>0</v>
      </c>
      <c r="BW110" s="1508">
        <v>0</v>
      </c>
      <c r="BX110" s="1508">
        <v>0</v>
      </c>
      <c r="BY110" s="1508">
        <v>0</v>
      </c>
      <c r="BZ110" s="1508">
        <v>4.3706513640884639</v>
      </c>
      <c r="CA110" s="1508">
        <v>0</v>
      </c>
      <c r="CB110" s="1508">
        <v>0</v>
      </c>
      <c r="CC110" s="1508">
        <v>0</v>
      </c>
      <c r="CD110" s="1508">
        <v>0</v>
      </c>
      <c r="CE110" s="1508">
        <v>0</v>
      </c>
      <c r="CF110" s="1508">
        <v>0</v>
      </c>
      <c r="CG110" s="1508">
        <v>0</v>
      </c>
      <c r="CH110" s="1508">
        <v>0</v>
      </c>
      <c r="CI110" s="1508">
        <v>0</v>
      </c>
      <c r="CJ110" s="1508">
        <v>0</v>
      </c>
      <c r="CK110" s="1508">
        <v>0</v>
      </c>
      <c r="CL110" s="1508">
        <v>0</v>
      </c>
      <c r="CM110" s="1508">
        <v>0</v>
      </c>
      <c r="CN110" s="1508">
        <v>0</v>
      </c>
      <c r="CO110" s="1508">
        <v>0</v>
      </c>
      <c r="CP110" s="1508">
        <v>0</v>
      </c>
      <c r="CQ110" s="1508">
        <v>0</v>
      </c>
      <c r="CR110" s="1508">
        <v>0</v>
      </c>
      <c r="CS110" s="1508">
        <v>0</v>
      </c>
      <c r="CT110" s="1508">
        <v>0</v>
      </c>
      <c r="CU110" s="1508">
        <v>0</v>
      </c>
      <c r="CV110" s="1508">
        <v>0</v>
      </c>
      <c r="CW110" s="1508">
        <v>0</v>
      </c>
      <c r="CX110" s="1508">
        <v>0</v>
      </c>
      <c r="CY110" s="1508">
        <v>0</v>
      </c>
      <c r="CZ110" s="1508">
        <v>0</v>
      </c>
      <c r="DA110" s="1508">
        <v>0</v>
      </c>
      <c r="DB110" s="1508">
        <v>0</v>
      </c>
      <c r="DC110" s="1508">
        <v>0</v>
      </c>
      <c r="DD110" s="1508">
        <v>0</v>
      </c>
      <c r="DE110" s="1508">
        <v>0</v>
      </c>
      <c r="DF110" s="1508">
        <v>0</v>
      </c>
      <c r="DG110" s="1508">
        <v>0</v>
      </c>
      <c r="DH110" s="1508">
        <v>0</v>
      </c>
      <c r="DI110" s="1508">
        <v>0</v>
      </c>
      <c r="DJ110" s="1508">
        <v>0</v>
      </c>
      <c r="DK110" s="1508">
        <v>0</v>
      </c>
      <c r="DL110" s="1508">
        <v>0</v>
      </c>
      <c r="DN110" s="1509">
        <v>4.3706513640884639</v>
      </c>
    </row>
    <row r="111" spans="1:118" s="1522" customFormat="1" ht="12.75" hidden="1" customHeight="1" outlineLevel="2" x14ac:dyDescent="0.2">
      <c r="B111" s="1623" t="s">
        <v>816</v>
      </c>
      <c r="C111" s="1577"/>
      <c r="D111" s="1526"/>
      <c r="E111" s="1526"/>
      <c r="F111" s="14"/>
      <c r="G111" s="1626"/>
      <c r="H111" s="1626"/>
      <c r="I111" s="1626"/>
      <c r="J111" s="1626"/>
      <c r="K111" s="1626"/>
      <c r="L111" s="1626"/>
      <c r="M111" s="1626"/>
      <c r="N111" s="1626"/>
      <c r="O111" s="1627"/>
      <c r="P111" s="1626"/>
      <c r="Q111" s="1626"/>
      <c r="R111" s="1626"/>
      <c r="S111" s="1626"/>
      <c r="T111" s="1626"/>
      <c r="U111" s="1626"/>
      <c r="V111" s="1626"/>
      <c r="W111" s="1628"/>
      <c r="X111" s="14"/>
      <c r="Y111" s="1629"/>
      <c r="Z111" s="1629"/>
      <c r="AA111" s="1629"/>
      <c r="AB111" s="1629"/>
      <c r="AC111" s="1629"/>
      <c r="AD111" s="1629"/>
      <c r="AE111" s="1629"/>
      <c r="AF111" s="1629"/>
      <c r="AG111" s="1629"/>
      <c r="AH111" s="1629"/>
      <c r="AI111" s="1629"/>
      <c r="AJ111" s="1629"/>
      <c r="AK111" s="1629"/>
      <c r="AL111" s="1629"/>
      <c r="AM111" s="1629"/>
      <c r="AN111" s="1629"/>
      <c r="AO111" s="1629"/>
      <c r="AP111" s="1629"/>
      <c r="AQ111" s="1629"/>
      <c r="AR111" s="14"/>
      <c r="AS111" s="1530"/>
      <c r="AT111" s="1530"/>
      <c r="AU111" s="1530"/>
      <c r="AV111" s="1530"/>
      <c r="AW111" s="1530"/>
      <c r="AX111" s="1530"/>
      <c r="AY111" s="1530"/>
      <c r="AZ111" s="1530"/>
      <c r="BA111" s="1530"/>
      <c r="BB111" s="1530"/>
      <c r="BC111" s="1530"/>
      <c r="BD111" s="1530"/>
      <c r="BE111" s="1530"/>
      <c r="BF111" s="1530"/>
      <c r="BG111" s="1530"/>
      <c r="BH111" s="1530"/>
      <c r="BI111" s="1530"/>
      <c r="BJ111" s="1530"/>
      <c r="BK111" s="1530"/>
      <c r="BL111" s="1530"/>
      <c r="BM111" s="14"/>
      <c r="BN111" s="1630"/>
      <c r="BO111" s="1630"/>
      <c r="BP111" s="1630"/>
      <c r="BQ111" s="14"/>
      <c r="BR111" s="3168"/>
      <c r="BS111" s="1525"/>
      <c r="BU111" s="1532">
        <v>0</v>
      </c>
      <c r="BV111" s="1533">
        <v>0</v>
      </c>
      <c r="BW111" s="1533">
        <v>0</v>
      </c>
      <c r="BX111" s="1533">
        <v>0</v>
      </c>
      <c r="BY111" s="1533">
        <v>0</v>
      </c>
      <c r="BZ111" s="1533">
        <v>0</v>
      </c>
      <c r="CA111" s="1533">
        <v>0</v>
      </c>
      <c r="CB111" s="1533">
        <v>0</v>
      </c>
      <c r="CC111" s="1533">
        <v>0</v>
      </c>
      <c r="CD111" s="1533">
        <v>0</v>
      </c>
      <c r="CE111" s="1533">
        <v>0</v>
      </c>
      <c r="CF111" s="1533">
        <v>0</v>
      </c>
      <c r="CG111" s="1533">
        <v>0</v>
      </c>
      <c r="CH111" s="1533">
        <v>0</v>
      </c>
      <c r="CI111" s="1533">
        <v>0</v>
      </c>
      <c r="CJ111" s="1533">
        <v>0</v>
      </c>
      <c r="CK111" s="1533">
        <v>0</v>
      </c>
      <c r="CL111" s="1533">
        <v>0</v>
      </c>
      <c r="CM111" s="1533">
        <v>0</v>
      </c>
      <c r="CN111" s="1533">
        <v>0</v>
      </c>
      <c r="CO111" s="1533">
        <v>0</v>
      </c>
      <c r="CP111" s="1533">
        <v>0</v>
      </c>
      <c r="CQ111" s="1533">
        <v>0</v>
      </c>
      <c r="CR111" s="1533">
        <v>0</v>
      </c>
      <c r="CS111" s="1533">
        <v>0</v>
      </c>
      <c r="CT111" s="1533">
        <v>0</v>
      </c>
      <c r="CU111" s="1533">
        <v>0</v>
      </c>
      <c r="CV111" s="1533">
        <v>0</v>
      </c>
      <c r="CW111" s="1533">
        <v>0</v>
      </c>
      <c r="CX111" s="1533">
        <v>0</v>
      </c>
      <c r="CY111" s="1533">
        <v>0</v>
      </c>
      <c r="CZ111" s="1533">
        <v>0</v>
      </c>
      <c r="DA111" s="1533">
        <v>0</v>
      </c>
      <c r="DB111" s="1533">
        <v>0</v>
      </c>
      <c r="DC111" s="1533">
        <v>0</v>
      </c>
      <c r="DD111" s="1533">
        <v>0</v>
      </c>
      <c r="DE111" s="1533">
        <v>0</v>
      </c>
      <c r="DF111" s="1533">
        <v>0</v>
      </c>
      <c r="DG111" s="1533">
        <v>0</v>
      </c>
      <c r="DH111" s="1533">
        <v>0</v>
      </c>
      <c r="DI111" s="1533">
        <v>0</v>
      </c>
      <c r="DJ111" s="1533">
        <v>0</v>
      </c>
      <c r="DK111" s="1533">
        <v>0</v>
      </c>
      <c r="DL111" s="1533">
        <v>0</v>
      </c>
      <c r="DN111" s="1509">
        <v>0</v>
      </c>
    </row>
    <row r="112" spans="1:118" s="14" customFormat="1" ht="15.75" hidden="1" outlineLevel="1" collapsed="1" x14ac:dyDescent="0.2">
      <c r="B112" s="1535" t="s">
        <v>816</v>
      </c>
      <c r="C112" s="1552"/>
      <c r="D112" s="1537"/>
      <c r="E112" s="1430"/>
      <c r="G112" s="1539"/>
      <c r="H112" s="1539"/>
      <c r="I112" s="1539"/>
      <c r="J112" s="1539"/>
      <c r="K112" s="1539"/>
      <c r="L112" s="1539"/>
      <c r="M112" s="1539"/>
      <c r="N112" s="1539"/>
      <c r="O112" s="1539"/>
      <c r="P112" s="1539"/>
      <c r="Q112" s="1539"/>
      <c r="R112" s="1539"/>
      <c r="S112" s="1539"/>
      <c r="T112" s="1539"/>
      <c r="U112" s="1539"/>
      <c r="V112" s="1539"/>
      <c r="W112" s="1539"/>
      <c r="Y112" s="1490"/>
      <c r="Z112" s="1490"/>
      <c r="AA112" s="1490"/>
      <c r="AB112" s="1490"/>
      <c r="AC112" s="1490"/>
      <c r="AD112" s="1490"/>
      <c r="AE112" s="1490"/>
      <c r="AF112" s="1490"/>
      <c r="AG112" s="1490"/>
      <c r="AH112" s="1490"/>
      <c r="AI112" s="1490"/>
      <c r="AJ112" s="1490"/>
      <c r="AK112" s="1490"/>
      <c r="AL112" s="1490"/>
      <c r="AM112" s="1490"/>
      <c r="AN112" s="1490"/>
      <c r="AO112" s="1490"/>
      <c r="AP112" s="1490"/>
      <c r="AQ112" s="1490"/>
      <c r="AS112" s="1491"/>
      <c r="AT112" s="1491"/>
      <c r="AU112" s="1491"/>
      <c r="AV112" s="1491"/>
      <c r="AW112" s="1491"/>
      <c r="AX112" s="1491"/>
      <c r="AY112" s="1491"/>
      <c r="AZ112" s="1491"/>
      <c r="BA112" s="1491"/>
      <c r="BB112" s="1491"/>
      <c r="BC112" s="1491"/>
      <c r="BD112" s="1491"/>
      <c r="BE112" s="1491"/>
      <c r="BF112" s="1491"/>
      <c r="BG112" s="1491"/>
      <c r="BH112" s="1491"/>
      <c r="BI112" s="1491"/>
      <c r="BJ112" s="1491"/>
      <c r="BK112" s="1491"/>
      <c r="BL112" s="1491"/>
      <c r="BN112" s="1492"/>
      <c r="BO112" s="1492"/>
      <c r="BP112" s="1492"/>
      <c r="BR112" s="3168"/>
      <c r="BS112" s="1493"/>
      <c r="BT112" s="748"/>
      <c r="BU112" s="1508">
        <v>0</v>
      </c>
      <c r="BV112" s="1508">
        <v>0</v>
      </c>
      <c r="BW112" s="1508">
        <v>0</v>
      </c>
      <c r="BX112" s="1508">
        <v>0</v>
      </c>
      <c r="BY112" s="1508">
        <v>0</v>
      </c>
      <c r="BZ112" s="1508">
        <v>4.3706513640884639</v>
      </c>
      <c r="CA112" s="1508">
        <v>0</v>
      </c>
      <c r="CB112" s="1508">
        <v>0</v>
      </c>
      <c r="CC112" s="1508">
        <v>0</v>
      </c>
      <c r="CD112" s="1508">
        <v>0</v>
      </c>
      <c r="CE112" s="1508">
        <v>0</v>
      </c>
      <c r="CF112" s="1508">
        <v>0</v>
      </c>
      <c r="CG112" s="1508">
        <v>0</v>
      </c>
      <c r="CH112" s="1508">
        <v>0</v>
      </c>
      <c r="CI112" s="1508">
        <v>0</v>
      </c>
      <c r="CJ112" s="1508">
        <v>0</v>
      </c>
      <c r="CK112" s="1508">
        <v>0</v>
      </c>
      <c r="CL112" s="1508">
        <v>0</v>
      </c>
      <c r="CM112" s="1508">
        <v>0</v>
      </c>
      <c r="CN112" s="1508">
        <v>0</v>
      </c>
      <c r="CO112" s="1508">
        <v>0</v>
      </c>
      <c r="CP112" s="1508">
        <v>0</v>
      </c>
      <c r="CQ112" s="1508">
        <v>0</v>
      </c>
      <c r="CR112" s="1508">
        <v>0</v>
      </c>
      <c r="CS112" s="1508">
        <v>0</v>
      </c>
      <c r="CT112" s="1508">
        <v>0</v>
      </c>
      <c r="CU112" s="1508">
        <v>0</v>
      </c>
      <c r="CV112" s="1508">
        <v>0</v>
      </c>
      <c r="CW112" s="1508">
        <v>0</v>
      </c>
      <c r="CX112" s="1508">
        <v>0</v>
      </c>
      <c r="CY112" s="1508">
        <v>0</v>
      </c>
      <c r="CZ112" s="1508">
        <v>0</v>
      </c>
      <c r="DA112" s="1508">
        <v>0</v>
      </c>
      <c r="DB112" s="1508">
        <v>0</v>
      </c>
      <c r="DC112" s="1508">
        <v>0</v>
      </c>
      <c r="DD112" s="1508">
        <v>0</v>
      </c>
      <c r="DE112" s="1508">
        <v>0</v>
      </c>
      <c r="DF112" s="1508">
        <v>0</v>
      </c>
      <c r="DG112" s="1508">
        <v>0</v>
      </c>
      <c r="DH112" s="1508">
        <v>0</v>
      </c>
      <c r="DI112" s="1508">
        <v>0</v>
      </c>
      <c r="DJ112" s="1508">
        <v>0</v>
      </c>
      <c r="DK112" s="1508">
        <v>0</v>
      </c>
      <c r="DL112" s="1508">
        <v>0</v>
      </c>
      <c r="DN112" s="1509">
        <v>4.3706513640884639</v>
      </c>
    </row>
    <row r="113" spans="2:118" s="14" customFormat="1" ht="6" hidden="1" customHeight="1" outlineLevel="1" x14ac:dyDescent="0.2">
      <c r="C113" s="1429"/>
      <c r="D113" s="1430"/>
      <c r="E113" s="1430"/>
      <c r="G113" s="1488"/>
      <c r="H113" s="1488"/>
      <c r="I113" s="1488"/>
      <c r="J113" s="1488"/>
      <c r="K113" s="1488"/>
      <c r="L113" s="1488"/>
      <c r="M113" s="1488"/>
      <c r="N113" s="1488"/>
      <c r="O113" s="1563"/>
      <c r="P113" s="1488"/>
      <c r="Q113" s="1488"/>
      <c r="R113" s="1488"/>
      <c r="S113" s="1488"/>
      <c r="T113" s="1488"/>
      <c r="U113" s="1488"/>
      <c r="V113" s="1488"/>
      <c r="W113" s="1488"/>
      <c r="Y113" s="1490"/>
      <c r="Z113" s="1490"/>
      <c r="AA113" s="1490"/>
      <c r="AB113" s="1490"/>
      <c r="AC113" s="1490"/>
      <c r="AD113" s="1490"/>
      <c r="AE113" s="1490"/>
      <c r="AF113" s="1490"/>
      <c r="AG113" s="1490"/>
      <c r="AH113" s="1490"/>
      <c r="AI113" s="1490"/>
      <c r="AJ113" s="1490"/>
      <c r="AK113" s="1490"/>
      <c r="AL113" s="1490"/>
      <c r="AM113" s="1490"/>
      <c r="AN113" s="1490"/>
      <c r="AO113" s="1490"/>
      <c r="AP113" s="1490"/>
      <c r="AQ113" s="1490"/>
      <c r="AS113" s="1491"/>
      <c r="AT113" s="1491"/>
      <c r="AU113" s="1491"/>
      <c r="AV113" s="1491"/>
      <c r="AW113" s="1491"/>
      <c r="AX113" s="1491"/>
      <c r="AY113" s="1491"/>
      <c r="AZ113" s="1491"/>
      <c r="BA113" s="1491"/>
      <c r="BB113" s="1491"/>
      <c r="BC113" s="1491"/>
      <c r="BD113" s="1491"/>
      <c r="BE113" s="1491"/>
      <c r="BF113" s="1491"/>
      <c r="BG113" s="1491"/>
      <c r="BH113" s="1491"/>
      <c r="BI113" s="1491"/>
      <c r="BJ113" s="1491"/>
      <c r="BK113" s="1491"/>
      <c r="BL113" s="1491"/>
      <c r="BN113" s="1492"/>
      <c r="BO113" s="1492"/>
      <c r="BP113" s="1492"/>
      <c r="BR113" s="3168"/>
      <c r="BS113" s="1493"/>
      <c r="BU113" s="1508"/>
      <c r="BV113" s="1508"/>
      <c r="BW113" s="1508"/>
      <c r="BX113" s="1508"/>
      <c r="BY113" s="1508"/>
      <c r="BZ113" s="1508"/>
      <c r="CA113" s="1508"/>
      <c r="CB113" s="1508"/>
      <c r="CC113" s="1508"/>
      <c r="CD113" s="1508"/>
      <c r="CE113" s="1508"/>
      <c r="CF113" s="1508"/>
      <c r="CG113" s="1508"/>
      <c r="CH113" s="1508"/>
      <c r="CI113" s="1508"/>
      <c r="CJ113" s="1508"/>
      <c r="CK113" s="1508"/>
      <c r="CL113" s="1508"/>
      <c r="CM113" s="1508"/>
      <c r="CN113" s="1508"/>
      <c r="CO113" s="1508"/>
      <c r="CP113" s="1508"/>
      <c r="CQ113" s="1508"/>
      <c r="CR113" s="1508"/>
      <c r="CS113" s="1508"/>
      <c r="CT113" s="1508"/>
      <c r="CU113" s="1508"/>
      <c r="CV113" s="1508"/>
      <c r="CW113" s="1508"/>
      <c r="CX113" s="1508"/>
      <c r="CY113" s="1508"/>
      <c r="CZ113" s="1508"/>
      <c r="DA113" s="1508"/>
      <c r="DB113" s="1508"/>
      <c r="DC113" s="1508"/>
      <c r="DD113" s="1508"/>
      <c r="DE113" s="1508"/>
      <c r="DF113" s="1508"/>
      <c r="DG113" s="1508"/>
      <c r="DH113" s="1508"/>
      <c r="DI113" s="1508"/>
      <c r="DJ113" s="1508"/>
      <c r="DK113" s="1508"/>
      <c r="DL113" s="1508"/>
      <c r="DN113" s="1509"/>
    </row>
    <row r="114" spans="2:118" s="14" customFormat="1" ht="13.5" collapsed="1" thickBot="1" x14ac:dyDescent="0.25">
      <c r="C114" s="1429"/>
      <c r="D114" s="1430"/>
      <c r="E114" s="1430"/>
      <c r="G114" s="1488"/>
      <c r="H114" s="1488"/>
      <c r="I114" s="1488"/>
      <c r="J114" s="1488"/>
      <c r="K114" s="1488"/>
      <c r="L114" s="1488"/>
      <c r="M114" s="1488"/>
      <c r="N114" s="1488"/>
      <c r="O114" s="1563"/>
      <c r="P114" s="1488"/>
      <c r="Q114" s="1488"/>
      <c r="R114" s="1488"/>
      <c r="S114" s="1488"/>
      <c r="T114" s="1488"/>
      <c r="U114" s="1488"/>
      <c r="V114" s="1488"/>
      <c r="W114" s="1488"/>
      <c r="Y114" s="1490"/>
      <c r="Z114" s="1490"/>
      <c r="AA114" s="1490"/>
      <c r="AB114" s="1490"/>
      <c r="AC114" s="1490"/>
      <c r="AD114" s="1490"/>
      <c r="AE114" s="1490"/>
      <c r="AF114" s="1490"/>
      <c r="AG114" s="1490"/>
      <c r="AH114" s="1490"/>
      <c r="AI114" s="1490"/>
      <c r="AJ114" s="1490"/>
      <c r="AK114" s="1490"/>
      <c r="AL114" s="1490"/>
      <c r="AM114" s="1490"/>
      <c r="AN114" s="1490"/>
      <c r="AO114" s="1490"/>
      <c r="AP114" s="1490"/>
      <c r="AQ114" s="1490"/>
      <c r="AS114" s="1491"/>
      <c r="AT114" s="1491"/>
      <c r="AU114" s="1491"/>
      <c r="AV114" s="1491"/>
      <c r="AW114" s="1491"/>
      <c r="AX114" s="1491"/>
      <c r="AY114" s="1491"/>
      <c r="AZ114" s="1491"/>
      <c r="BA114" s="1491"/>
      <c r="BB114" s="1491"/>
      <c r="BC114" s="1491"/>
      <c r="BD114" s="1491"/>
      <c r="BE114" s="1491"/>
      <c r="BF114" s="1491"/>
      <c r="BG114" s="1491"/>
      <c r="BH114" s="1491"/>
      <c r="BI114" s="1491"/>
      <c r="BJ114" s="1491"/>
      <c r="BK114" s="1491"/>
      <c r="BL114" s="1491"/>
      <c r="BN114" s="1492"/>
      <c r="BO114" s="1492"/>
      <c r="BP114" s="1492"/>
      <c r="BR114" s="3168"/>
      <c r="BS114" s="1493"/>
      <c r="BU114" s="1508"/>
      <c r="BV114" s="1508"/>
      <c r="BW114" s="1508"/>
      <c r="BX114" s="1508"/>
      <c r="BY114" s="1508"/>
      <c r="BZ114" s="1508"/>
      <c r="CA114" s="1508"/>
      <c r="CB114" s="1508"/>
      <c r="CC114" s="1508"/>
      <c r="CD114" s="1508"/>
      <c r="CE114" s="1508"/>
      <c r="CF114" s="1508"/>
      <c r="CG114" s="1508"/>
      <c r="CH114" s="1508"/>
      <c r="CI114" s="1508"/>
      <c r="CJ114" s="1508"/>
      <c r="CK114" s="1508"/>
      <c r="CL114" s="1508"/>
      <c r="CM114" s="1508"/>
      <c r="CN114" s="1508"/>
      <c r="CO114" s="1508"/>
      <c r="CP114" s="1508"/>
      <c r="CQ114" s="1508"/>
      <c r="CR114" s="1508"/>
      <c r="CS114" s="1508"/>
      <c r="CT114" s="1508"/>
      <c r="CU114" s="1508"/>
      <c r="CV114" s="1508"/>
      <c r="CW114" s="1508"/>
      <c r="CX114" s="1508"/>
      <c r="CY114" s="1508"/>
      <c r="CZ114" s="1508"/>
      <c r="DA114" s="1508"/>
      <c r="DB114" s="1508"/>
      <c r="DC114" s="1508"/>
      <c r="DD114" s="1508"/>
      <c r="DE114" s="1508"/>
      <c r="DF114" s="1508"/>
      <c r="DG114" s="1508"/>
      <c r="DH114" s="1508"/>
      <c r="DI114" s="1508"/>
      <c r="DJ114" s="1508"/>
      <c r="DK114" s="1508"/>
      <c r="DL114" s="1508"/>
      <c r="DN114" s="1509"/>
    </row>
    <row r="115" spans="2:118" s="14" customFormat="1" ht="24" customHeight="1" thickBot="1" x14ac:dyDescent="0.25">
      <c r="C115" s="1631" t="s">
        <v>869</v>
      </c>
      <c r="D115" s="1631"/>
      <c r="E115" s="1631"/>
      <c r="G115" s="1632">
        <f t="shared" ref="G115:V115" ca="1" si="71">G36+G92</f>
        <v>52.703979453627383</v>
      </c>
      <c r="H115" s="1632">
        <f t="shared" ca="1" si="71"/>
        <v>11.29572770779278</v>
      </c>
      <c r="I115" s="1632">
        <f t="shared" ca="1" si="71"/>
        <v>4.4428767878345576</v>
      </c>
      <c r="J115" s="1632">
        <f t="shared" ca="1" si="71"/>
        <v>14.818687878686267</v>
      </c>
      <c r="K115" s="1632">
        <f t="shared" ca="1" si="71"/>
        <v>6.5713619787636217</v>
      </c>
      <c r="L115" s="1632">
        <f t="shared" ca="1" si="71"/>
        <v>13.491919594690156</v>
      </c>
      <c r="M115" s="1632">
        <f t="shared" ca="1" si="71"/>
        <v>197.03307251300703</v>
      </c>
      <c r="N115" s="1632">
        <f t="shared" ca="1" si="71"/>
        <v>66.429513696050577</v>
      </c>
      <c r="O115" s="1632">
        <f t="shared" ca="1" si="71"/>
        <v>22.312780471609948</v>
      </c>
      <c r="P115" s="1632">
        <f t="shared" ca="1" si="71"/>
        <v>0.54200248261278638</v>
      </c>
      <c r="Q115" s="1632">
        <f t="shared" ca="1" si="71"/>
        <v>6.2675085137333914E-2</v>
      </c>
      <c r="R115" s="1632">
        <f t="shared" ca="1" si="71"/>
        <v>34.35695357892007</v>
      </c>
      <c r="S115" s="1632">
        <f t="shared" ca="1" si="71"/>
        <v>9.0634554795282387</v>
      </c>
      <c r="T115" s="1632">
        <f t="shared" ca="1" si="71"/>
        <v>10.274069535198388</v>
      </c>
      <c r="U115" s="1632">
        <f t="shared" ca="1" si="71"/>
        <v>7.0253872509913858E-3</v>
      </c>
      <c r="V115" s="1632">
        <f t="shared" ca="1" si="71"/>
        <v>0.37495696100373616</v>
      </c>
      <c r="W115" s="1632">
        <f ca="1">W36+W92+W107</f>
        <v>443.78105859171393</v>
      </c>
      <c r="Y115" s="1633">
        <f t="shared" ref="Y115:AQ115" ca="1" si="72">Y92+Y36+Y107</f>
        <v>-103.6006457581674</v>
      </c>
      <c r="Z115" s="1633">
        <f t="shared" ca="1" si="72"/>
        <v>103.6006457581674</v>
      </c>
      <c r="AA115" s="1633">
        <f t="shared" ca="1" si="72"/>
        <v>-137.27185779931929</v>
      </c>
      <c r="AB115" s="1633">
        <f t="shared" ca="1" si="72"/>
        <v>-232.82179625634126</v>
      </c>
      <c r="AC115" s="1633">
        <f t="shared" ca="1" si="72"/>
        <v>-112.93808741081389</v>
      </c>
      <c r="AD115" s="1633">
        <f t="shared" ca="1" si="72"/>
        <v>25.584695004942699</v>
      </c>
      <c r="AE115" s="1633">
        <f t="shared" ca="1" si="72"/>
        <v>3.0761179275455</v>
      </c>
      <c r="AF115" s="1633">
        <f t="shared" ca="1" si="72"/>
        <v>10.934465313717508</v>
      </c>
      <c r="AG115" s="1633">
        <f t="shared" ca="1" si="72"/>
        <v>0</v>
      </c>
      <c r="AH115" s="1633">
        <f t="shared" ca="1" si="72"/>
        <v>0</v>
      </c>
      <c r="AI115" s="1633">
        <f t="shared" ca="1" si="72"/>
        <v>0</v>
      </c>
      <c r="AJ115" s="1633">
        <f t="shared" ca="1" si="72"/>
        <v>0</v>
      </c>
      <c r="AK115" s="1633">
        <f t="shared" ca="1" si="72"/>
        <v>0</v>
      </c>
      <c r="AL115" s="1633">
        <f t="shared" ca="1" si="72"/>
        <v>-11.855724128264164</v>
      </c>
      <c r="AM115" s="1633">
        <f t="shared" ca="1" si="72"/>
        <v>0</v>
      </c>
      <c r="AN115" s="1633">
        <f t="shared" ca="1" si="72"/>
        <v>0</v>
      </c>
      <c r="AO115" s="1633">
        <f t="shared" ca="1" si="72"/>
        <v>0</v>
      </c>
      <c r="AP115" s="1633">
        <f t="shared" ca="1" si="72"/>
        <v>0</v>
      </c>
      <c r="AQ115" s="1633">
        <f t="shared" ca="1" si="72"/>
        <v>-455.29218734853282</v>
      </c>
      <c r="AS115" s="1634">
        <f t="shared" ref="AS115:BL115" ca="1" si="73">AS92+AS36+AS107</f>
        <v>-25.584695004942699</v>
      </c>
      <c r="AT115" s="1634">
        <f t="shared" ca="1" si="73"/>
        <v>-3.0761179275455</v>
      </c>
      <c r="AU115" s="1634">
        <f t="shared" ca="1" si="73"/>
        <v>-10.934465313717508</v>
      </c>
      <c r="AV115" s="1634">
        <f t="shared" ca="1" si="73"/>
        <v>0</v>
      </c>
      <c r="AW115" s="1634">
        <f t="shared" ca="1" si="73"/>
        <v>0</v>
      </c>
      <c r="AX115" s="1634">
        <f t="shared" ca="1" si="73"/>
        <v>0</v>
      </c>
      <c r="AY115" s="1634">
        <f t="shared" ca="1" si="73"/>
        <v>0</v>
      </c>
      <c r="AZ115" s="1634">
        <f t="shared" ca="1" si="73"/>
        <v>0</v>
      </c>
      <c r="BA115" s="1634">
        <f t="shared" ca="1" si="73"/>
        <v>0</v>
      </c>
      <c r="BB115" s="1634">
        <f t="shared" ca="1" si="73"/>
        <v>0</v>
      </c>
      <c r="BC115" s="1634">
        <f t="shared" ca="1" si="73"/>
        <v>-8.3768579476252114</v>
      </c>
      <c r="BD115" s="1634">
        <f t="shared" ca="1" si="73"/>
        <v>-5.2392719999999988</v>
      </c>
      <c r="BE115" s="1634">
        <f t="shared" ca="1" si="73"/>
        <v>-1.2425805000000002E-2</v>
      </c>
      <c r="BF115" s="1634">
        <f t="shared" ca="1" si="73"/>
        <v>-6.9032249999999998E-3</v>
      </c>
      <c r="BG115" s="1634">
        <f t="shared" ca="1" si="73"/>
        <v>-0.35064000000000006</v>
      </c>
      <c r="BH115" s="1634">
        <f t="shared" ca="1" si="73"/>
        <v>-25.164994499999999</v>
      </c>
      <c r="BI115" s="1634">
        <f t="shared" ca="1" si="73"/>
        <v>0</v>
      </c>
      <c r="BJ115" s="1634">
        <f t="shared" ca="1" si="73"/>
        <v>0</v>
      </c>
      <c r="BK115" s="1634">
        <f t="shared" ca="1" si="73"/>
        <v>-0.41733218190020505</v>
      </c>
      <c r="BL115" s="1634">
        <f t="shared" ca="1" si="73"/>
        <v>-79.163703905731126</v>
      </c>
      <c r="BN115" s="1635">
        <f ca="1">BN92+BN36+BN107</f>
        <v>87.462576624376254</v>
      </c>
      <c r="BO115" s="1635">
        <f ca="1">BO92+BO36+BO107</f>
        <v>3.2122560381739298</v>
      </c>
      <c r="BP115" s="1635">
        <f ca="1">BP92+BP36+BP107</f>
        <v>90.674832662550187</v>
      </c>
      <c r="BR115" s="3434">
        <f ca="1">BR92+BR36+BR107</f>
        <v>1.0219602941674566E-13</v>
      </c>
      <c r="BS115" s="1486"/>
      <c r="BU115" s="1636">
        <v>509.46720605787289</v>
      </c>
      <c r="BV115" s="1636">
        <v>1.0312102102697414</v>
      </c>
      <c r="BW115" s="1636">
        <v>4.8883498544750488</v>
      </c>
      <c r="BX115" s="1636">
        <v>0</v>
      </c>
      <c r="BY115" s="1636">
        <v>5.0916819860234304</v>
      </c>
      <c r="BZ115" s="1636">
        <v>7.0109643253402414</v>
      </c>
      <c r="CA115" s="1636">
        <v>0</v>
      </c>
      <c r="CB115" s="1636">
        <v>0</v>
      </c>
      <c r="CC115" s="1636">
        <v>14.39565925511863</v>
      </c>
      <c r="CD115" s="1636">
        <v>0.11288744235152412</v>
      </c>
      <c r="CE115" s="1636">
        <v>2.7624692105907238</v>
      </c>
      <c r="CF115" s="1636">
        <v>10.620296151887526</v>
      </c>
      <c r="CG115" s="1636">
        <v>0</v>
      </c>
      <c r="CH115" s="1636">
        <v>0</v>
      </c>
      <c r="CI115" s="1636">
        <v>0</v>
      </c>
      <c r="CJ115" s="1636">
        <v>0</v>
      </c>
      <c r="CK115" s="1636">
        <v>0</v>
      </c>
      <c r="CL115" s="1636">
        <v>20.026732599999995</v>
      </c>
      <c r="CM115" s="1636">
        <v>23.28</v>
      </c>
      <c r="CN115" s="1636">
        <v>0</v>
      </c>
      <c r="CO115" s="1636">
        <v>-1.8247953999999991</v>
      </c>
      <c r="CP115" s="1636">
        <v>0</v>
      </c>
      <c r="CQ115" s="1636">
        <v>0</v>
      </c>
      <c r="CR115" s="1636">
        <v>0</v>
      </c>
      <c r="CS115" s="1636">
        <v>0</v>
      </c>
      <c r="CT115" s="1636">
        <v>21.652248115789206</v>
      </c>
      <c r="CU115" s="1636">
        <v>1.2204197534285715</v>
      </c>
      <c r="CV115" s="1636">
        <v>0</v>
      </c>
      <c r="CW115" s="1636">
        <v>0</v>
      </c>
      <c r="CX115" s="1636">
        <v>0</v>
      </c>
      <c r="CY115" s="1636">
        <v>0</v>
      </c>
      <c r="CZ115" s="1636">
        <v>0</v>
      </c>
      <c r="DA115" s="1636">
        <v>51.739539271814301</v>
      </c>
      <c r="DB115" s="1636">
        <v>6.441552213858226E-2</v>
      </c>
      <c r="DC115" s="1636">
        <v>0.93090033050516818</v>
      </c>
      <c r="DD115" s="1636">
        <v>0</v>
      </c>
      <c r="DE115" s="1636">
        <v>-6.9140653412492146</v>
      </c>
      <c r="DF115" s="1636">
        <v>0</v>
      </c>
      <c r="DG115" s="1636">
        <v>0</v>
      </c>
      <c r="DH115" s="1636">
        <v>0</v>
      </c>
      <c r="DI115" s="1636">
        <v>0</v>
      </c>
      <c r="DJ115" s="1636">
        <v>0</v>
      </c>
      <c r="DK115" s="1636">
        <v>0</v>
      </c>
      <c r="DL115" s="1636">
        <v>0</v>
      </c>
      <c r="DN115" s="1562">
        <v>665.55611934635658</v>
      </c>
    </row>
    <row r="116" spans="2:118" s="14" customFormat="1" x14ac:dyDescent="0.2">
      <c r="C116" s="1429"/>
      <c r="D116" s="1430"/>
      <c r="E116" s="1430"/>
      <c r="G116" s="1637"/>
      <c r="H116" s="1637"/>
      <c r="I116" s="1637"/>
      <c r="J116" s="1637"/>
      <c r="K116" s="1637"/>
      <c r="L116" s="1637"/>
      <c r="M116" s="1637"/>
      <c r="N116" s="1637"/>
      <c r="O116" s="1638"/>
      <c r="P116" s="1637"/>
      <c r="Q116" s="1637"/>
      <c r="R116" s="1637"/>
      <c r="S116" s="1637"/>
      <c r="T116" s="1637"/>
      <c r="U116" s="1637"/>
      <c r="V116" s="1637"/>
      <c r="W116" s="1637"/>
      <c r="Y116" s="1639"/>
      <c r="Z116" s="1639"/>
      <c r="AA116" s="1639"/>
      <c r="AB116" s="1639"/>
      <c r="AC116" s="1639"/>
      <c r="AD116" s="1639"/>
      <c r="AE116" s="1639"/>
      <c r="AF116" s="1639"/>
      <c r="AG116" s="1639"/>
      <c r="AH116" s="1639"/>
      <c r="AI116" s="1639"/>
      <c r="AJ116" s="1639"/>
      <c r="AK116" s="1639"/>
      <c r="AL116" s="1639"/>
      <c r="AM116" s="1639"/>
      <c r="AN116" s="1639"/>
      <c r="AO116" s="1639"/>
      <c r="AP116" s="1639"/>
      <c r="AQ116" s="1639"/>
      <c r="AS116" s="1640"/>
      <c r="AT116" s="1640"/>
      <c r="AU116" s="1640"/>
      <c r="AV116" s="1640"/>
      <c r="AW116" s="1640"/>
      <c r="AX116" s="1640"/>
      <c r="AY116" s="1640"/>
      <c r="AZ116" s="1640"/>
      <c r="BA116" s="1640"/>
      <c r="BB116" s="1640"/>
      <c r="BC116" s="1640"/>
      <c r="BD116" s="1640"/>
      <c r="BE116" s="1640"/>
      <c r="BF116" s="1640"/>
      <c r="BG116" s="1640"/>
      <c r="BH116" s="1640"/>
      <c r="BI116" s="1640"/>
      <c r="BJ116" s="1640"/>
      <c r="BK116" s="1640"/>
      <c r="BL116" s="1640"/>
      <c r="BN116" s="1641"/>
      <c r="BO116" s="1641"/>
      <c r="BP116" s="1641"/>
      <c r="BR116" s="1957"/>
      <c r="BS116" s="1493"/>
      <c r="BU116" s="1642"/>
      <c r="BV116" s="1642"/>
      <c r="BW116" s="1642"/>
      <c r="BX116" s="1642"/>
      <c r="BY116" s="1642"/>
      <c r="BZ116" s="1642"/>
      <c r="CA116" s="1642"/>
      <c r="CB116" s="1642"/>
      <c r="CC116" s="1642"/>
      <c r="CD116" s="1642"/>
      <c r="CE116" s="1642"/>
      <c r="CF116" s="1642"/>
      <c r="CG116" s="1642"/>
      <c r="CH116" s="1642"/>
      <c r="CI116" s="1642"/>
      <c r="CJ116" s="1642"/>
      <c r="CK116" s="1642"/>
      <c r="CL116" s="1642"/>
      <c r="CM116" s="1642"/>
      <c r="CN116" s="1642"/>
      <c r="CO116" s="1642"/>
      <c r="CP116" s="1642"/>
      <c r="CQ116" s="1642"/>
      <c r="CR116" s="1642"/>
      <c r="CS116" s="1642"/>
      <c r="CT116" s="1642"/>
      <c r="CU116" s="1642"/>
      <c r="CV116" s="1642"/>
      <c r="CW116" s="1642"/>
      <c r="CX116" s="1642"/>
      <c r="CY116" s="1642"/>
      <c r="CZ116" s="1642"/>
      <c r="DA116" s="1642"/>
      <c r="DB116" s="1642"/>
      <c r="DC116" s="1642"/>
      <c r="DD116" s="1642"/>
      <c r="DE116" s="1642"/>
      <c r="DF116" s="1642"/>
      <c r="DG116" s="1642"/>
      <c r="DH116" s="1642"/>
      <c r="DI116" s="1642"/>
      <c r="DJ116" s="1642"/>
      <c r="DK116" s="1642"/>
      <c r="DL116" s="1642"/>
    </row>
    <row r="117" spans="2:118" x14ac:dyDescent="0.2">
      <c r="G117" s="1493"/>
      <c r="H117" s="1493"/>
      <c r="I117" s="1493"/>
      <c r="J117" s="1493"/>
      <c r="K117" s="1493"/>
      <c r="L117" s="1493"/>
      <c r="M117" s="1493"/>
      <c r="N117" s="1493"/>
      <c r="O117" s="1643"/>
      <c r="P117" s="1493"/>
      <c r="Q117" s="1493"/>
      <c r="R117" s="1493"/>
      <c r="S117" s="1493"/>
      <c r="T117" s="1493"/>
      <c r="U117" s="1493"/>
      <c r="V117" s="1493"/>
      <c r="W117" s="1493"/>
      <c r="Y117" s="1493"/>
      <c r="Z117" s="1493"/>
      <c r="AA117" s="1493"/>
      <c r="AB117" s="1493"/>
      <c r="AC117" s="1493"/>
      <c r="AD117" s="1493"/>
      <c r="AE117" s="1493"/>
      <c r="AF117" s="1493"/>
      <c r="AG117" s="1493"/>
      <c r="AH117" s="1493"/>
      <c r="AI117" s="1493"/>
      <c r="AJ117" s="1493"/>
      <c r="AK117" s="1493"/>
      <c r="AL117" s="1493"/>
      <c r="AM117" s="1493"/>
      <c r="AN117" s="1493"/>
      <c r="AO117" s="1493"/>
      <c r="AP117" s="1493"/>
      <c r="AQ117" s="1493"/>
      <c r="AS117" s="1493"/>
      <c r="AT117" s="1493"/>
      <c r="AU117" s="1493"/>
      <c r="AV117" s="1493"/>
      <c r="AW117" s="1493"/>
      <c r="AX117" s="1493"/>
      <c r="AY117" s="1493"/>
      <c r="AZ117" s="1493"/>
      <c r="BA117" s="1493"/>
      <c r="BB117" s="1493"/>
      <c r="BC117" s="1493"/>
      <c r="BD117" s="1493"/>
      <c r="BE117" s="1493"/>
      <c r="BF117" s="1493"/>
      <c r="BG117" s="1493"/>
      <c r="BH117" s="1493"/>
      <c r="BI117" s="1493"/>
      <c r="BJ117" s="1493"/>
      <c r="BK117" s="1493"/>
      <c r="BL117" s="1493"/>
      <c r="BN117" s="1493"/>
      <c r="BO117" s="1493"/>
      <c r="BP117" s="1493"/>
      <c r="BR117" s="1957"/>
      <c r="BS117" s="1493"/>
    </row>
    <row r="118" spans="2:118" x14ac:dyDescent="0.2">
      <c r="G118" s="1493"/>
      <c r="H118" s="1493"/>
      <c r="I118" s="1493"/>
      <c r="J118" s="1493"/>
      <c r="K118" s="1493"/>
      <c r="L118" s="1493"/>
      <c r="M118" s="1493"/>
      <c r="N118" s="1493"/>
      <c r="O118" s="1643"/>
      <c r="P118" s="1493"/>
      <c r="Q118" s="1493"/>
      <c r="R118" s="1493"/>
      <c r="S118" s="1493"/>
      <c r="T118" s="1493"/>
      <c r="U118" s="1493"/>
      <c r="V118" s="1493"/>
      <c r="W118" s="1493"/>
      <c r="Y118" s="1493"/>
      <c r="Z118" s="1493"/>
      <c r="AA118" s="1493"/>
      <c r="AB118" s="1493"/>
      <c r="AC118" s="1493"/>
      <c r="AD118" s="1493"/>
      <c r="AE118" s="1493"/>
      <c r="AF118" s="1493"/>
      <c r="AG118" s="1493"/>
      <c r="AH118" s="1493"/>
      <c r="AI118" s="1493"/>
      <c r="AJ118" s="1493"/>
      <c r="AK118" s="1493"/>
      <c r="AL118" s="1493"/>
      <c r="AM118" s="1493"/>
      <c r="AN118" s="1493"/>
      <c r="AO118" s="1493"/>
      <c r="AP118" s="1493"/>
      <c r="AQ118" s="1493"/>
      <c r="AS118" s="1493"/>
      <c r="AT118" s="1493"/>
      <c r="AU118" s="1493"/>
      <c r="AV118" s="1493"/>
      <c r="AW118" s="1493"/>
      <c r="AX118" s="1493"/>
      <c r="AY118" s="1493"/>
      <c r="AZ118" s="1493"/>
      <c r="BA118" s="1493"/>
      <c r="BB118" s="1493"/>
      <c r="BC118" s="1493"/>
      <c r="BD118" s="1493"/>
      <c r="BE118" s="1493"/>
      <c r="BF118" s="1493"/>
      <c r="BG118" s="1493"/>
      <c r="BH118" s="1493"/>
      <c r="BI118" s="1493"/>
      <c r="BJ118" s="1493"/>
      <c r="BK118" s="1493"/>
      <c r="BL118" s="1493"/>
      <c r="BN118" s="1493"/>
      <c r="BO118" s="1493"/>
      <c r="BP118" s="1493"/>
      <c r="BR118" s="1957"/>
      <c r="BS118" s="1493"/>
    </row>
    <row r="119" spans="2:118" ht="15.75" x14ac:dyDescent="0.25">
      <c r="B119" s="456"/>
      <c r="G119" s="1493"/>
      <c r="H119" s="1493"/>
      <c r="I119" s="1493"/>
      <c r="J119" s="1493"/>
      <c r="K119" s="1493"/>
      <c r="L119" s="1493"/>
      <c r="M119" s="1493"/>
      <c r="N119" s="1493"/>
      <c r="O119" s="1643"/>
      <c r="P119" s="1493"/>
      <c r="Q119" s="1493"/>
      <c r="R119" s="1493"/>
      <c r="S119" s="1493"/>
      <c r="T119" s="1493"/>
      <c r="U119" s="1493"/>
      <c r="V119" s="1493"/>
      <c r="W119" s="1493"/>
      <c r="Y119" s="1493"/>
      <c r="Z119" s="1493"/>
      <c r="AA119" s="1493"/>
      <c r="AB119" s="1493"/>
      <c r="AC119" s="1493"/>
      <c r="AD119" s="1493"/>
      <c r="AE119" s="1493"/>
      <c r="AF119" s="1493"/>
      <c r="AG119" s="1493"/>
      <c r="AH119" s="1493"/>
      <c r="AI119" s="1493"/>
      <c r="AJ119" s="1493"/>
      <c r="AK119" s="1493"/>
      <c r="AL119" s="1493"/>
      <c r="AM119" s="1493"/>
      <c r="AN119" s="1493"/>
      <c r="AO119" s="1493"/>
      <c r="AP119" s="1493"/>
      <c r="AQ119" s="1493"/>
      <c r="AS119" s="1493"/>
      <c r="AT119" s="1493"/>
      <c r="AU119" s="1493"/>
      <c r="AV119" s="1493"/>
      <c r="AW119" s="1493"/>
      <c r="AX119" s="1493"/>
      <c r="AY119" s="1493"/>
      <c r="AZ119" s="1493"/>
      <c r="BA119" s="1493"/>
      <c r="BB119" s="1493"/>
      <c r="BC119" s="1493"/>
      <c r="BD119" s="1493"/>
      <c r="BE119" s="1493"/>
      <c r="BF119" s="1493"/>
      <c r="BG119" s="1493"/>
      <c r="BH119" s="1493"/>
      <c r="BI119" s="1493"/>
      <c r="BJ119" s="1493"/>
      <c r="BK119" s="1493"/>
      <c r="BL119" s="1493"/>
      <c r="BN119" s="1493"/>
      <c r="BO119" s="1493"/>
      <c r="BP119" s="1493"/>
      <c r="BR119" s="1957"/>
      <c r="BS119" s="1493"/>
    </row>
    <row r="120" spans="2:118" ht="15.75" x14ac:dyDescent="0.25">
      <c r="B120" s="456"/>
      <c r="G120" s="1493"/>
      <c r="H120" s="1493"/>
      <c r="I120" s="1493"/>
      <c r="J120" s="1493"/>
      <c r="K120" s="1493"/>
      <c r="L120" s="1493"/>
      <c r="M120" s="1493"/>
      <c r="N120" s="1493"/>
      <c r="O120" s="1643"/>
      <c r="P120" s="1493"/>
      <c r="Q120" s="1493"/>
      <c r="R120" s="1493"/>
      <c r="S120" s="1493"/>
      <c r="T120" s="1493"/>
      <c r="U120" s="1493"/>
      <c r="V120" s="1493"/>
      <c r="W120" s="1493"/>
      <c r="Y120" s="1493"/>
      <c r="Z120" s="1493"/>
      <c r="AA120" s="1493"/>
      <c r="AB120" s="1493"/>
      <c r="AC120" s="1493"/>
      <c r="AD120" s="1493"/>
      <c r="AE120" s="1493"/>
      <c r="AF120" s="1493"/>
      <c r="AG120" s="1493"/>
      <c r="AH120" s="1493"/>
      <c r="AI120" s="1493"/>
      <c r="AJ120" s="1493"/>
      <c r="AK120" s="1493"/>
      <c r="AL120" s="1493"/>
      <c r="AM120" s="1493"/>
      <c r="AN120" s="1493"/>
      <c r="AO120" s="1493"/>
      <c r="AP120" s="1493"/>
      <c r="AQ120" s="1493"/>
      <c r="AS120" s="1493"/>
      <c r="AT120" s="1493"/>
      <c r="AU120" s="1493"/>
      <c r="AV120" s="1493"/>
      <c r="AW120" s="1493"/>
      <c r="AX120" s="1493"/>
      <c r="AY120" s="1493"/>
      <c r="AZ120" s="1493"/>
      <c r="BA120" s="1493"/>
      <c r="BB120" s="1493"/>
      <c r="BC120" s="1493"/>
      <c r="BD120" s="1493"/>
      <c r="BE120" s="1493"/>
      <c r="BF120" s="1493"/>
      <c r="BG120" s="1493"/>
      <c r="BH120" s="1493"/>
      <c r="BI120" s="1493"/>
      <c r="BJ120" s="1493"/>
      <c r="BK120" s="1493"/>
      <c r="BL120" s="1493"/>
      <c r="BN120" s="1493"/>
      <c r="BO120" s="1493"/>
      <c r="BP120" s="1493"/>
      <c r="BR120" s="1957"/>
      <c r="BS120" s="1493"/>
    </row>
    <row r="121" spans="2:118" ht="15.75" x14ac:dyDescent="0.25">
      <c r="B121" s="456"/>
      <c r="G121" s="1493"/>
      <c r="H121" s="1493"/>
      <c r="I121" s="1493"/>
      <c r="J121" s="1493"/>
      <c r="K121" s="1493"/>
      <c r="L121" s="1493"/>
      <c r="M121" s="1493"/>
      <c r="N121" s="1493"/>
      <c r="O121" s="1643"/>
      <c r="P121" s="1493"/>
      <c r="Q121" s="1493"/>
      <c r="R121" s="1493"/>
      <c r="S121" s="1493"/>
      <c r="T121" s="1493"/>
      <c r="U121" s="1493"/>
      <c r="V121" s="1493"/>
      <c r="W121" s="1493"/>
      <c r="Y121" s="1493"/>
      <c r="Z121" s="1493"/>
      <c r="AA121" s="1493"/>
      <c r="AB121" s="1493"/>
      <c r="AC121" s="1493"/>
      <c r="AD121" s="1493"/>
      <c r="AE121" s="1493"/>
      <c r="AF121" s="1493"/>
      <c r="AG121" s="1493"/>
      <c r="AH121" s="1493"/>
      <c r="AI121" s="1493"/>
      <c r="AJ121" s="1493"/>
      <c r="AK121" s="1493"/>
      <c r="AL121" s="1493"/>
      <c r="AM121" s="1493"/>
      <c r="AN121" s="1493"/>
      <c r="AO121" s="1493"/>
      <c r="AP121" s="1493"/>
      <c r="AQ121" s="1493"/>
      <c r="AS121" s="1493"/>
      <c r="AT121" s="1493"/>
      <c r="AU121" s="1493"/>
      <c r="AV121" s="1493"/>
      <c r="AW121" s="1493"/>
      <c r="AX121" s="1493"/>
      <c r="AY121" s="1493"/>
      <c r="AZ121" s="1493"/>
      <c r="BA121" s="1493"/>
      <c r="BB121" s="1493"/>
      <c r="BC121" s="1493"/>
      <c r="BD121" s="1493"/>
      <c r="BE121" s="1493"/>
      <c r="BF121" s="1493"/>
      <c r="BG121" s="1493"/>
      <c r="BH121" s="1493"/>
      <c r="BI121" s="1493"/>
      <c r="BJ121" s="1493"/>
      <c r="BK121" s="1493"/>
      <c r="BL121" s="1493"/>
      <c r="BN121" s="1493"/>
      <c r="BO121" s="1493"/>
      <c r="BP121" s="1493"/>
      <c r="BR121" s="1957"/>
      <c r="BS121" s="1493"/>
    </row>
    <row r="122" spans="2:118" ht="15.75" x14ac:dyDescent="0.25">
      <c r="B122" s="456"/>
      <c r="G122" s="1493"/>
      <c r="H122" s="1493"/>
      <c r="I122" s="1493"/>
      <c r="J122" s="1493"/>
      <c r="K122" s="1493"/>
      <c r="L122" s="1493"/>
      <c r="M122" s="1493"/>
      <c r="N122" s="1493"/>
      <c r="O122" s="1643"/>
      <c r="P122" s="1493"/>
      <c r="Q122" s="1493"/>
      <c r="R122" s="1493"/>
      <c r="S122" s="1493"/>
      <c r="T122" s="1493"/>
      <c r="U122" s="1493"/>
      <c r="V122" s="1493"/>
      <c r="W122" s="1493"/>
      <c r="Y122" s="1493"/>
      <c r="Z122" s="1493"/>
      <c r="AA122" s="1493"/>
      <c r="AB122" s="1493"/>
      <c r="AC122" s="1493"/>
      <c r="AD122" s="1493"/>
      <c r="AE122" s="1493"/>
      <c r="AF122" s="1493"/>
      <c r="AG122" s="1493"/>
      <c r="AH122" s="1493"/>
      <c r="AI122" s="1493"/>
      <c r="AJ122" s="1493"/>
      <c r="AK122" s="1493"/>
      <c r="AL122" s="1493"/>
      <c r="AM122" s="1493"/>
      <c r="AN122" s="1493"/>
      <c r="AO122" s="1493"/>
      <c r="AP122" s="1493"/>
      <c r="AQ122" s="1493"/>
      <c r="AS122" s="1493"/>
      <c r="AT122" s="1493"/>
      <c r="AU122" s="1493"/>
      <c r="AV122" s="1493"/>
      <c r="AW122" s="1493"/>
      <c r="AX122" s="1493"/>
      <c r="AY122" s="1493"/>
      <c r="AZ122" s="1493"/>
      <c r="BA122" s="1493"/>
      <c r="BB122" s="1493"/>
      <c r="BC122" s="1493"/>
      <c r="BD122" s="1493"/>
      <c r="BE122" s="1493"/>
      <c r="BF122" s="1493"/>
      <c r="BG122" s="1493"/>
      <c r="BH122" s="1493"/>
      <c r="BI122" s="1493"/>
      <c r="BJ122" s="1493"/>
      <c r="BK122" s="1493"/>
      <c r="BL122" s="1493"/>
      <c r="BN122" s="1493"/>
      <c r="BO122" s="1493"/>
      <c r="BP122" s="1493"/>
      <c r="BR122" s="1957"/>
      <c r="BS122" s="1493"/>
    </row>
    <row r="123" spans="2:118" ht="15.75" x14ac:dyDescent="0.25">
      <c r="B123" s="456"/>
      <c r="G123" s="1493"/>
      <c r="H123" s="1493"/>
      <c r="I123" s="1493"/>
      <c r="J123" s="1493"/>
      <c r="K123" s="1493"/>
      <c r="L123" s="1493"/>
      <c r="M123" s="1493"/>
      <c r="N123" s="1493"/>
      <c r="O123" s="1643"/>
      <c r="P123" s="1493"/>
      <c r="Q123" s="1493"/>
      <c r="R123" s="1493"/>
      <c r="S123" s="1493"/>
      <c r="T123" s="1493"/>
      <c r="U123" s="1493"/>
      <c r="V123" s="1493"/>
      <c r="W123" s="1493"/>
      <c r="Y123" s="1493"/>
      <c r="Z123" s="1493"/>
      <c r="AA123" s="1493"/>
      <c r="AB123" s="1493"/>
      <c r="AC123" s="1493"/>
      <c r="AD123" s="1493"/>
      <c r="AE123" s="1493"/>
      <c r="AF123" s="1493"/>
      <c r="AG123" s="1493"/>
      <c r="AH123" s="1493"/>
      <c r="AI123" s="1493"/>
      <c r="AJ123" s="1493"/>
      <c r="AK123" s="1493"/>
      <c r="AL123" s="1493"/>
      <c r="AM123" s="1493"/>
      <c r="AN123" s="1493"/>
      <c r="AO123" s="1493"/>
      <c r="AP123" s="1493"/>
      <c r="AQ123" s="1493"/>
      <c r="AS123" s="1493"/>
      <c r="AT123" s="1493"/>
      <c r="AU123" s="1493"/>
      <c r="AV123" s="1493"/>
      <c r="AW123" s="1493"/>
      <c r="AX123" s="1493"/>
      <c r="AY123" s="1493"/>
      <c r="AZ123" s="1493"/>
      <c r="BA123" s="1493"/>
      <c r="BB123" s="1493"/>
      <c r="BC123" s="1493"/>
      <c r="BD123" s="1493"/>
      <c r="BE123" s="1493"/>
      <c r="BF123" s="1493"/>
      <c r="BG123" s="1493"/>
      <c r="BH123" s="1493"/>
      <c r="BI123" s="1493"/>
      <c r="BJ123" s="1493"/>
      <c r="BK123" s="1493"/>
      <c r="BL123" s="1493"/>
      <c r="BN123" s="1493"/>
      <c r="BO123" s="1493"/>
      <c r="BP123" s="1493"/>
      <c r="BR123" s="1957"/>
      <c r="BS123" s="1493"/>
    </row>
    <row r="124" spans="2:118" ht="15.75" x14ac:dyDescent="0.25">
      <c r="B124" s="456"/>
      <c r="G124" s="1493"/>
      <c r="H124" s="1493"/>
      <c r="I124" s="1493"/>
      <c r="J124" s="1493"/>
      <c r="K124" s="1493"/>
      <c r="L124" s="1493"/>
      <c r="M124" s="1493"/>
      <c r="N124" s="1493"/>
      <c r="O124" s="1643"/>
      <c r="P124" s="1493"/>
      <c r="Q124" s="1493"/>
      <c r="R124" s="1493"/>
      <c r="S124" s="1493"/>
      <c r="T124" s="1493"/>
      <c r="U124" s="1493"/>
      <c r="V124" s="1493"/>
      <c r="W124" s="1493"/>
      <c r="Y124" s="1493"/>
      <c r="Z124" s="1493"/>
      <c r="AA124" s="1493"/>
      <c r="AB124" s="1493"/>
      <c r="AC124" s="1493"/>
      <c r="AD124" s="1493"/>
      <c r="AE124" s="1493"/>
      <c r="AF124" s="1493"/>
      <c r="AG124" s="1493"/>
      <c r="AH124" s="1493"/>
      <c r="AI124" s="1493"/>
      <c r="AJ124" s="1493"/>
      <c r="AK124" s="1493"/>
      <c r="AL124" s="1493"/>
      <c r="AM124" s="1493"/>
      <c r="AN124" s="1493"/>
      <c r="AO124" s="1493"/>
      <c r="AP124" s="1493"/>
      <c r="AQ124" s="1493"/>
      <c r="AS124" s="1493"/>
      <c r="AT124" s="1493"/>
      <c r="AU124" s="1493"/>
      <c r="AV124" s="1493"/>
      <c r="AW124" s="1493"/>
      <c r="AX124" s="1493"/>
      <c r="AY124" s="1493"/>
      <c r="AZ124" s="1493"/>
      <c r="BA124" s="1493"/>
      <c r="BB124" s="1493"/>
      <c r="BC124" s="1493"/>
      <c r="BD124" s="1493"/>
      <c r="BE124" s="1493"/>
      <c r="BF124" s="1493"/>
      <c r="BG124" s="1493"/>
      <c r="BH124" s="1493"/>
      <c r="BI124" s="1493"/>
      <c r="BJ124" s="1493"/>
      <c r="BK124" s="1493"/>
      <c r="BL124" s="1493"/>
      <c r="BN124" s="1493"/>
      <c r="BO124" s="1493"/>
      <c r="BP124" s="1493"/>
      <c r="BR124" s="1957"/>
      <c r="BS124" s="1493"/>
    </row>
    <row r="125" spans="2:118" x14ac:dyDescent="0.2">
      <c r="G125" s="1493"/>
      <c r="H125" s="1493"/>
      <c r="I125" s="1493"/>
      <c r="J125" s="1493"/>
      <c r="K125" s="1493"/>
      <c r="L125" s="1493"/>
      <c r="M125" s="1493"/>
      <c r="N125" s="1493"/>
      <c r="O125" s="1643"/>
      <c r="P125" s="1493"/>
      <c r="Q125" s="1493"/>
      <c r="R125" s="1493"/>
      <c r="S125" s="1493"/>
      <c r="T125" s="1493"/>
      <c r="U125" s="1493"/>
      <c r="V125" s="1493"/>
      <c r="W125" s="1493"/>
      <c r="Y125" s="1493"/>
      <c r="Z125" s="1493"/>
      <c r="AA125" s="1493"/>
      <c r="AB125" s="1493"/>
      <c r="AC125" s="1493"/>
      <c r="AD125" s="1493"/>
      <c r="AE125" s="1493"/>
      <c r="AF125" s="1493"/>
      <c r="AG125" s="1493"/>
      <c r="AH125" s="1493"/>
      <c r="AI125" s="1493"/>
      <c r="AJ125" s="1493"/>
      <c r="AK125" s="1493"/>
      <c r="AL125" s="1493"/>
      <c r="AM125" s="1493"/>
      <c r="AN125" s="1493"/>
      <c r="AO125" s="1493"/>
      <c r="AP125" s="1493"/>
      <c r="AQ125" s="1493"/>
      <c r="AS125" s="1493"/>
      <c r="AT125" s="1493"/>
      <c r="AU125" s="1493"/>
      <c r="AV125" s="1493"/>
      <c r="AW125" s="1493"/>
      <c r="AX125" s="1493"/>
      <c r="AY125" s="1493"/>
      <c r="AZ125" s="1493"/>
      <c r="BA125" s="1493"/>
      <c r="BB125" s="1493"/>
      <c r="BC125" s="1493"/>
      <c r="BD125" s="1493"/>
      <c r="BE125" s="1493"/>
      <c r="BF125" s="1493"/>
      <c r="BG125" s="1493"/>
      <c r="BH125" s="1493"/>
      <c r="BI125" s="1493"/>
      <c r="BJ125" s="1493"/>
      <c r="BK125" s="1493"/>
      <c r="BL125" s="1493"/>
      <c r="BN125" s="1493"/>
      <c r="BO125" s="1493"/>
      <c r="BP125" s="1493"/>
      <c r="BR125" s="1957"/>
      <c r="BS125" s="1493"/>
    </row>
    <row r="126" spans="2:118" ht="24" customHeight="1" x14ac:dyDescent="0.2">
      <c r="G126" s="1493"/>
      <c r="H126" s="1493"/>
      <c r="I126" s="1493"/>
      <c r="J126" s="1493"/>
      <c r="K126" s="1493"/>
      <c r="L126" s="1493"/>
      <c r="M126" s="1493"/>
      <c r="N126" s="1493"/>
      <c r="O126" s="1643"/>
      <c r="P126" s="1493"/>
      <c r="Q126" s="1493"/>
      <c r="R126" s="1493"/>
      <c r="S126" s="1493"/>
      <c r="T126" s="1493"/>
      <c r="U126" s="1493"/>
      <c r="V126" s="1493"/>
      <c r="W126" s="1493"/>
      <c r="Y126" s="1493"/>
      <c r="Z126" s="1493"/>
      <c r="AA126" s="1493"/>
      <c r="AB126" s="1493"/>
      <c r="AC126" s="1493"/>
      <c r="AD126" s="1493"/>
      <c r="AE126" s="1493"/>
      <c r="AF126" s="1493"/>
      <c r="AG126" s="1493"/>
      <c r="AH126" s="1493"/>
      <c r="AI126" s="1493"/>
      <c r="AJ126" s="1493"/>
      <c r="AK126" s="1493"/>
      <c r="AL126" s="1493"/>
      <c r="AM126" s="1493"/>
      <c r="AN126" s="1493"/>
      <c r="AO126" s="1493"/>
      <c r="AP126" s="1493"/>
      <c r="AQ126" s="1493"/>
      <c r="AS126" s="1493"/>
      <c r="AT126" s="1493"/>
      <c r="AU126" s="1493"/>
      <c r="AV126" s="1493"/>
      <c r="AW126" s="1493"/>
      <c r="AX126" s="1493"/>
      <c r="AY126" s="1493"/>
      <c r="AZ126" s="1493"/>
      <c r="BA126" s="1493"/>
      <c r="BB126" s="1493"/>
      <c r="BC126" s="1493"/>
      <c r="BD126" s="1493"/>
      <c r="BE126" s="1493"/>
      <c r="BF126" s="1493"/>
      <c r="BG126" s="1493"/>
      <c r="BH126" s="1493"/>
      <c r="BI126" s="1493"/>
      <c r="BJ126" s="1493"/>
      <c r="BK126" s="1493"/>
      <c r="BL126" s="1493"/>
      <c r="BN126" s="1493"/>
      <c r="BO126" s="1493"/>
      <c r="BP126" s="1493"/>
      <c r="BR126" s="1957"/>
      <c r="BS126" s="1493"/>
    </row>
    <row r="127" spans="2:118" x14ac:dyDescent="0.2">
      <c r="G127" s="1493"/>
      <c r="H127" s="1493"/>
      <c r="I127" s="1493"/>
      <c r="J127" s="1493"/>
      <c r="K127" s="1493"/>
      <c r="L127" s="1493"/>
      <c r="M127" s="1493"/>
      <c r="N127" s="1493"/>
      <c r="O127" s="1643"/>
      <c r="P127" s="1493"/>
      <c r="Q127" s="1493"/>
      <c r="R127" s="1493"/>
      <c r="S127" s="1493"/>
      <c r="T127" s="1493"/>
      <c r="U127" s="1493"/>
      <c r="V127" s="1493"/>
      <c r="W127" s="1493"/>
      <c r="Y127" s="1493"/>
      <c r="Z127" s="1493"/>
      <c r="AA127" s="1493"/>
      <c r="AB127" s="1493"/>
      <c r="AC127" s="1493"/>
      <c r="AD127" s="1493"/>
      <c r="AE127" s="1493"/>
      <c r="AF127" s="1493"/>
      <c r="AG127" s="1493"/>
      <c r="AH127" s="1493"/>
      <c r="AI127" s="1493"/>
      <c r="AJ127" s="1493"/>
      <c r="AK127" s="1493"/>
      <c r="AL127" s="1493"/>
      <c r="AM127" s="1493"/>
      <c r="AN127" s="1493"/>
      <c r="AO127" s="1493"/>
      <c r="AP127" s="1493"/>
      <c r="AQ127" s="1493"/>
      <c r="AS127" s="1493"/>
      <c r="AT127" s="1493"/>
      <c r="AU127" s="1493"/>
      <c r="AV127" s="1493"/>
      <c r="AW127" s="1493"/>
      <c r="AX127" s="1493"/>
      <c r="AY127" s="1493"/>
      <c r="AZ127" s="1493"/>
      <c r="BA127" s="1493"/>
      <c r="BB127" s="1493"/>
      <c r="BC127" s="1493"/>
      <c r="BD127" s="1493"/>
      <c r="BE127" s="1493"/>
      <c r="BF127" s="1493"/>
      <c r="BG127" s="1493"/>
      <c r="BH127" s="1493"/>
      <c r="BI127" s="1493"/>
      <c r="BJ127" s="1493"/>
      <c r="BK127" s="1493"/>
      <c r="BL127" s="1493"/>
      <c r="BN127" s="1493"/>
      <c r="BO127" s="1493"/>
      <c r="BP127" s="1493"/>
      <c r="BR127" s="1957"/>
      <c r="BS127" s="1493"/>
    </row>
    <row r="128" spans="2:118" x14ac:dyDescent="0.2">
      <c r="C128" s="1580"/>
      <c r="D128" s="746"/>
      <c r="G128" s="1493"/>
      <c r="H128" s="1493"/>
      <c r="I128" s="1493"/>
      <c r="J128" s="1493"/>
      <c r="K128" s="1493"/>
      <c r="L128" s="1493"/>
      <c r="M128" s="1493"/>
      <c r="N128" s="1493"/>
      <c r="O128" s="1643"/>
      <c r="P128" s="1493"/>
      <c r="Q128" s="1493"/>
      <c r="R128" s="1493"/>
      <c r="S128" s="1493"/>
      <c r="T128" s="1493"/>
      <c r="U128" s="1493"/>
      <c r="V128" s="1493"/>
      <c r="W128" s="1493"/>
      <c r="Y128" s="1493"/>
      <c r="Z128" s="1493"/>
      <c r="AA128" s="1493"/>
      <c r="AB128" s="1493"/>
      <c r="AC128" s="1493"/>
      <c r="AD128" s="1493"/>
      <c r="AE128" s="1493"/>
      <c r="AF128" s="1493"/>
      <c r="AG128" s="1493"/>
      <c r="AH128" s="1493"/>
      <c r="AI128" s="1493"/>
      <c r="AJ128" s="1493"/>
      <c r="AK128" s="1493"/>
      <c r="AL128" s="1493"/>
      <c r="AM128" s="1493"/>
      <c r="AN128" s="1493"/>
      <c r="AO128" s="1493"/>
      <c r="AP128" s="1493"/>
      <c r="AQ128" s="1493"/>
      <c r="AS128" s="1493"/>
      <c r="AT128" s="1493"/>
      <c r="AU128" s="1493"/>
      <c r="AV128" s="1493"/>
      <c r="AW128" s="1493"/>
      <c r="AX128" s="1493"/>
      <c r="AY128" s="1493"/>
      <c r="AZ128" s="1493"/>
      <c r="BA128" s="1493"/>
      <c r="BB128" s="1493"/>
      <c r="BC128" s="1493"/>
      <c r="BD128" s="1493"/>
      <c r="BE128" s="1493"/>
      <c r="BF128" s="1493"/>
      <c r="BG128" s="1493"/>
      <c r="BH128" s="1493"/>
      <c r="BI128" s="1493"/>
      <c r="BJ128" s="1493"/>
      <c r="BK128" s="1493"/>
      <c r="BL128" s="1493"/>
      <c r="BN128" s="1493"/>
      <c r="BO128" s="1493"/>
      <c r="BP128" s="1493"/>
      <c r="BR128" s="1957"/>
      <c r="BS128" s="1493"/>
    </row>
    <row r="129" spans="7:71" x14ac:dyDescent="0.2">
      <c r="G129" s="1493"/>
      <c r="H129" s="1493"/>
      <c r="I129" s="1493"/>
      <c r="J129" s="1493"/>
      <c r="K129" s="1493"/>
      <c r="L129" s="1493"/>
      <c r="M129" s="1493"/>
      <c r="N129" s="1493"/>
      <c r="O129" s="1643"/>
      <c r="P129" s="1493"/>
      <c r="Q129" s="1493"/>
      <c r="R129" s="1493"/>
      <c r="S129" s="1493"/>
      <c r="T129" s="1493"/>
      <c r="U129" s="1493"/>
      <c r="V129" s="1493"/>
      <c r="W129" s="1493"/>
      <c r="Y129" s="1493"/>
      <c r="Z129" s="1493"/>
      <c r="AA129" s="1493"/>
      <c r="AB129" s="1493"/>
      <c r="AC129" s="1493"/>
      <c r="AD129" s="1493"/>
      <c r="AE129" s="1493"/>
      <c r="AF129" s="1493"/>
      <c r="AG129" s="1493"/>
      <c r="AH129" s="1493"/>
      <c r="AI129" s="1493"/>
      <c r="AJ129" s="1493"/>
      <c r="AK129" s="1493"/>
      <c r="AL129" s="1493"/>
      <c r="AM129" s="1493"/>
      <c r="AN129" s="1493"/>
      <c r="AO129" s="1493"/>
      <c r="AP129" s="1493"/>
      <c r="AQ129" s="1493"/>
      <c r="AS129" s="1493"/>
      <c r="AT129" s="1493"/>
      <c r="AU129" s="1493"/>
      <c r="AV129" s="1493"/>
      <c r="AW129" s="1493"/>
      <c r="AX129" s="1493"/>
      <c r="AY129" s="1493"/>
      <c r="AZ129" s="1493"/>
      <c r="BA129" s="1493"/>
      <c r="BB129" s="1493"/>
      <c r="BC129" s="1493"/>
      <c r="BD129" s="1493"/>
      <c r="BE129" s="1493"/>
      <c r="BF129" s="1493"/>
      <c r="BG129" s="1493"/>
      <c r="BH129" s="1493"/>
      <c r="BI129" s="1493"/>
      <c r="BJ129" s="1493"/>
      <c r="BK129" s="1493"/>
      <c r="BL129" s="1493"/>
      <c r="BN129" s="1493"/>
      <c r="BO129" s="1493"/>
      <c r="BP129" s="1493"/>
      <c r="BR129" s="1957"/>
      <c r="BS129" s="1493"/>
    </row>
    <row r="130" spans="7:71" x14ac:dyDescent="0.2">
      <c r="G130" s="1493"/>
      <c r="H130" s="1493"/>
      <c r="I130" s="1493"/>
      <c r="J130" s="1493"/>
      <c r="K130" s="1493"/>
      <c r="L130" s="1493"/>
      <c r="M130" s="1493"/>
      <c r="N130" s="1493"/>
      <c r="O130" s="1643"/>
      <c r="P130" s="1493"/>
      <c r="Q130" s="1493"/>
      <c r="R130" s="1493"/>
      <c r="S130" s="1493"/>
      <c r="T130" s="1493"/>
      <c r="U130" s="1493"/>
      <c r="V130" s="1493"/>
      <c r="W130" s="1493"/>
      <c r="Y130" s="1493"/>
      <c r="Z130" s="1493"/>
      <c r="AA130" s="1493"/>
      <c r="AB130" s="1493"/>
      <c r="AC130" s="1493"/>
      <c r="AD130" s="1493"/>
      <c r="AE130" s="1493"/>
      <c r="AF130" s="1493"/>
      <c r="AG130" s="1493"/>
      <c r="AH130" s="1493"/>
      <c r="AI130" s="1493"/>
      <c r="AJ130" s="1493"/>
      <c r="AK130" s="1493"/>
      <c r="AL130" s="1493"/>
      <c r="AM130" s="1493"/>
      <c r="AN130" s="1493"/>
      <c r="AO130" s="1493"/>
      <c r="AP130" s="1493"/>
      <c r="AQ130" s="1493"/>
      <c r="AS130" s="1493"/>
      <c r="AT130" s="1493"/>
      <c r="AU130" s="1493"/>
      <c r="AV130" s="1493"/>
      <c r="AW130" s="1493"/>
      <c r="AX130" s="1493"/>
      <c r="AY130" s="1493"/>
      <c r="AZ130" s="1493"/>
      <c r="BA130" s="1493"/>
      <c r="BB130" s="1493"/>
      <c r="BC130" s="1493"/>
      <c r="BD130" s="1493"/>
      <c r="BE130" s="1493"/>
      <c r="BF130" s="1493"/>
      <c r="BG130" s="1493"/>
      <c r="BH130" s="1493"/>
      <c r="BI130" s="1493"/>
      <c r="BJ130" s="1493"/>
      <c r="BK130" s="1493"/>
      <c r="BL130" s="1493"/>
      <c r="BN130" s="1493"/>
      <c r="BO130" s="1493"/>
      <c r="BP130" s="1493"/>
      <c r="BR130" s="1957"/>
      <c r="BS130" s="1493"/>
    </row>
    <row r="131" spans="7:71" x14ac:dyDescent="0.2">
      <c r="G131" s="1493"/>
      <c r="H131" s="1493"/>
      <c r="I131" s="1493"/>
      <c r="J131" s="1493"/>
      <c r="K131" s="1493"/>
      <c r="L131" s="1493"/>
      <c r="M131" s="1493"/>
      <c r="N131" s="1493"/>
      <c r="O131" s="1643"/>
      <c r="P131" s="1493"/>
      <c r="Q131" s="1493"/>
      <c r="R131" s="1493"/>
      <c r="S131" s="1493"/>
      <c r="T131" s="1493"/>
      <c r="U131" s="1493"/>
      <c r="V131" s="1493"/>
      <c r="W131" s="1493"/>
      <c r="Y131" s="1493"/>
      <c r="Z131" s="1493"/>
      <c r="AA131" s="1493"/>
      <c r="AB131" s="1493"/>
      <c r="AC131" s="1493"/>
      <c r="AD131" s="1493"/>
      <c r="AE131" s="1493"/>
      <c r="AF131" s="1493"/>
      <c r="AG131" s="1493"/>
      <c r="AH131" s="1493"/>
      <c r="AI131" s="1493"/>
      <c r="AJ131" s="1493"/>
      <c r="AK131" s="1493"/>
      <c r="AL131" s="1493"/>
      <c r="AM131" s="1493"/>
      <c r="AN131" s="1493"/>
      <c r="AO131" s="1493"/>
      <c r="AP131" s="1493"/>
      <c r="AQ131" s="1493"/>
      <c r="AS131" s="1493"/>
      <c r="AT131" s="1493"/>
      <c r="AU131" s="1493"/>
      <c r="AV131" s="1493"/>
      <c r="AW131" s="1493"/>
      <c r="AX131" s="1493"/>
      <c r="AY131" s="1493"/>
      <c r="AZ131" s="1493"/>
      <c r="BA131" s="1493"/>
      <c r="BB131" s="1493"/>
      <c r="BC131" s="1493"/>
      <c r="BD131" s="1493"/>
      <c r="BE131" s="1493"/>
      <c r="BF131" s="1493"/>
      <c r="BG131" s="1493"/>
      <c r="BH131" s="1493"/>
      <c r="BI131" s="1493"/>
      <c r="BJ131" s="1493"/>
      <c r="BK131" s="1493"/>
      <c r="BL131" s="1493"/>
      <c r="BN131" s="1493"/>
      <c r="BO131" s="1493"/>
      <c r="BP131" s="1493"/>
      <c r="BR131" s="1957"/>
      <c r="BS131" s="1493"/>
    </row>
    <row r="132" spans="7:71" x14ac:dyDescent="0.2">
      <c r="G132" s="1493"/>
      <c r="H132" s="1493"/>
      <c r="I132" s="1493"/>
      <c r="J132" s="1493"/>
      <c r="K132" s="1493"/>
      <c r="L132" s="1493"/>
      <c r="M132" s="1493"/>
      <c r="N132" s="1493"/>
      <c r="O132" s="1643"/>
      <c r="P132" s="1493"/>
      <c r="Q132" s="1493"/>
      <c r="R132" s="1493"/>
      <c r="S132" s="1493"/>
      <c r="T132" s="1493"/>
      <c r="U132" s="1493"/>
      <c r="V132" s="1493"/>
      <c r="W132" s="1493"/>
      <c r="Y132" s="1493"/>
      <c r="Z132" s="1493"/>
      <c r="AA132" s="1493"/>
      <c r="AB132" s="1493"/>
      <c r="AC132" s="1493"/>
      <c r="AD132" s="1493"/>
      <c r="AE132" s="1493"/>
      <c r="AF132" s="1493"/>
      <c r="AG132" s="1493"/>
      <c r="AH132" s="1493"/>
      <c r="AI132" s="1493"/>
      <c r="AJ132" s="1493"/>
      <c r="AK132" s="1493"/>
      <c r="AL132" s="1493"/>
      <c r="AM132" s="1493"/>
      <c r="AN132" s="1493"/>
      <c r="AO132" s="1493"/>
      <c r="AP132" s="1493"/>
      <c r="AQ132" s="1493"/>
      <c r="AS132" s="1493"/>
      <c r="AT132" s="1493"/>
      <c r="AU132" s="1493"/>
      <c r="AV132" s="1493"/>
      <c r="AW132" s="1493"/>
      <c r="AX132" s="1493"/>
      <c r="AY132" s="1493"/>
      <c r="AZ132" s="1493"/>
      <c r="BA132" s="1493"/>
      <c r="BB132" s="1493"/>
      <c r="BC132" s="1493"/>
      <c r="BD132" s="1493"/>
      <c r="BE132" s="1493"/>
      <c r="BF132" s="1493"/>
      <c r="BG132" s="1493"/>
      <c r="BH132" s="1493"/>
      <c r="BI132" s="1493"/>
      <c r="BJ132" s="1493"/>
      <c r="BK132" s="1493"/>
      <c r="BL132" s="1493"/>
      <c r="BN132" s="1493"/>
      <c r="BO132" s="1493"/>
      <c r="BP132" s="1493"/>
      <c r="BR132" s="1957"/>
      <c r="BS132" s="1493"/>
    </row>
    <row r="133" spans="7:71" x14ac:dyDescent="0.2">
      <c r="G133" s="1493"/>
      <c r="H133" s="1493"/>
      <c r="I133" s="1493"/>
      <c r="J133" s="1493"/>
      <c r="K133" s="1493"/>
      <c r="L133" s="1493"/>
      <c r="M133" s="1493"/>
      <c r="N133" s="1493"/>
      <c r="O133" s="1643"/>
      <c r="P133" s="1493"/>
      <c r="Q133" s="1493"/>
      <c r="R133" s="1493"/>
      <c r="S133" s="1493"/>
      <c r="T133" s="1493"/>
      <c r="U133" s="1493"/>
      <c r="V133" s="1493"/>
      <c r="W133" s="1493"/>
      <c r="Y133" s="1493"/>
      <c r="Z133" s="1493"/>
      <c r="AA133" s="1493"/>
      <c r="AB133" s="1493"/>
      <c r="AC133" s="1493"/>
      <c r="AD133" s="1493"/>
      <c r="AE133" s="1493"/>
      <c r="AF133" s="1493"/>
      <c r="AG133" s="1493"/>
      <c r="AH133" s="1493"/>
      <c r="AI133" s="1493"/>
      <c r="AJ133" s="1493"/>
      <c r="AK133" s="1493"/>
      <c r="AL133" s="1493"/>
      <c r="AM133" s="1493"/>
      <c r="AN133" s="1493"/>
      <c r="AO133" s="1493"/>
      <c r="AP133" s="1493"/>
      <c r="AQ133" s="1493"/>
      <c r="AS133" s="1493"/>
      <c r="AT133" s="1493"/>
      <c r="AU133" s="1493"/>
      <c r="AV133" s="1493"/>
      <c r="AW133" s="1493"/>
      <c r="AX133" s="1493"/>
      <c r="AY133" s="1493"/>
      <c r="AZ133" s="1493"/>
      <c r="BA133" s="1493"/>
      <c r="BB133" s="1493"/>
      <c r="BC133" s="1493"/>
      <c r="BD133" s="1493"/>
      <c r="BE133" s="1493"/>
      <c r="BF133" s="1493"/>
      <c r="BG133" s="1493"/>
      <c r="BH133" s="1493"/>
      <c r="BI133" s="1493"/>
      <c r="BJ133" s="1493"/>
      <c r="BK133" s="1493"/>
      <c r="BL133" s="1493"/>
      <c r="BN133" s="1493"/>
      <c r="BO133" s="1493"/>
      <c r="BP133" s="1493"/>
      <c r="BR133" s="1957"/>
      <c r="BS133" s="1493"/>
    </row>
    <row r="134" spans="7:71" x14ac:dyDescent="0.2">
      <c r="G134" s="1493"/>
      <c r="H134" s="1493"/>
      <c r="I134" s="1493"/>
      <c r="J134" s="1493"/>
      <c r="K134" s="1493"/>
      <c r="L134" s="1493"/>
      <c r="M134" s="1493"/>
      <c r="N134" s="1493"/>
      <c r="O134" s="1643"/>
      <c r="P134" s="1493"/>
      <c r="Q134" s="1493"/>
      <c r="R134" s="1493"/>
      <c r="S134" s="1493"/>
      <c r="T134" s="1493"/>
      <c r="U134" s="1493"/>
      <c r="V134" s="1493"/>
      <c r="W134" s="1493"/>
      <c r="Y134" s="1493"/>
      <c r="Z134" s="1493"/>
      <c r="AA134" s="1493"/>
      <c r="AB134" s="1493"/>
      <c r="AC134" s="1493"/>
      <c r="AD134" s="1493"/>
      <c r="AE134" s="1493"/>
      <c r="AF134" s="1493"/>
      <c r="AG134" s="1493"/>
      <c r="AH134" s="1493"/>
      <c r="AI134" s="1493"/>
      <c r="AJ134" s="1493"/>
      <c r="AK134" s="1493"/>
      <c r="AL134" s="1493"/>
      <c r="AM134" s="1493"/>
      <c r="AN134" s="1493"/>
      <c r="AO134" s="1493"/>
      <c r="AP134" s="1493"/>
      <c r="AQ134" s="1493"/>
      <c r="AS134" s="1493"/>
      <c r="AT134" s="1493"/>
      <c r="AU134" s="1493"/>
      <c r="AV134" s="1493"/>
      <c r="AW134" s="1493"/>
      <c r="AX134" s="1493"/>
      <c r="AY134" s="1493"/>
      <c r="AZ134" s="1493"/>
      <c r="BA134" s="1493"/>
      <c r="BB134" s="1493"/>
      <c r="BC134" s="1493"/>
      <c r="BD134" s="1493"/>
      <c r="BE134" s="1493"/>
      <c r="BF134" s="1493"/>
      <c r="BG134" s="1493"/>
      <c r="BH134" s="1493"/>
      <c r="BI134" s="1493"/>
      <c r="BJ134" s="1493"/>
      <c r="BK134" s="1493"/>
      <c r="BL134" s="1493"/>
      <c r="BN134" s="1493"/>
      <c r="BO134" s="1493"/>
      <c r="BP134" s="1493"/>
      <c r="BR134" s="1957"/>
      <c r="BS134" s="1493"/>
    </row>
    <row r="135" spans="7:71" x14ac:dyDescent="0.2">
      <c r="G135" s="1493"/>
      <c r="H135" s="1493"/>
      <c r="I135" s="1493"/>
      <c r="J135" s="1493"/>
      <c r="K135" s="1493"/>
      <c r="L135" s="1493"/>
      <c r="M135" s="1493"/>
      <c r="N135" s="1493"/>
      <c r="O135" s="1643"/>
      <c r="P135" s="1493"/>
      <c r="Q135" s="1493"/>
      <c r="R135" s="1493"/>
      <c r="S135" s="1493"/>
      <c r="T135" s="1493"/>
      <c r="U135" s="1493"/>
      <c r="V135" s="1493"/>
      <c r="W135" s="1493"/>
      <c r="Y135" s="1493"/>
      <c r="Z135" s="1493"/>
      <c r="AA135" s="1493"/>
      <c r="AB135" s="1493"/>
      <c r="AC135" s="1493"/>
      <c r="AD135" s="1493"/>
      <c r="AE135" s="1493"/>
      <c r="AF135" s="1493"/>
      <c r="AG135" s="1493"/>
      <c r="AH135" s="1493"/>
      <c r="AI135" s="1493"/>
      <c r="AJ135" s="1493"/>
      <c r="AK135" s="1493"/>
      <c r="AL135" s="1493"/>
      <c r="AM135" s="1493"/>
      <c r="AN135" s="1493"/>
      <c r="AO135" s="1493"/>
      <c r="AP135" s="1493"/>
      <c r="AQ135" s="1493"/>
      <c r="AS135" s="1493"/>
      <c r="AT135" s="1493"/>
      <c r="AU135" s="1493"/>
      <c r="AV135" s="1493"/>
      <c r="AW135" s="1493"/>
      <c r="AX135" s="1493"/>
      <c r="AY135" s="1493"/>
      <c r="AZ135" s="1493"/>
      <c r="BA135" s="1493"/>
      <c r="BB135" s="1493"/>
      <c r="BC135" s="1493"/>
      <c r="BD135" s="1493"/>
      <c r="BE135" s="1493"/>
      <c r="BF135" s="1493"/>
      <c r="BG135" s="1493"/>
      <c r="BH135" s="1493"/>
      <c r="BI135" s="1493"/>
      <c r="BJ135" s="1493"/>
      <c r="BK135" s="1493"/>
      <c r="BL135" s="1493"/>
      <c r="BN135" s="1493"/>
      <c r="BO135" s="1493"/>
      <c r="BP135" s="1493"/>
      <c r="BR135" s="1957"/>
      <c r="BS135" s="1493"/>
    </row>
    <row r="136" spans="7:71" x14ac:dyDescent="0.2">
      <c r="G136" s="1493"/>
      <c r="H136" s="1493"/>
      <c r="I136" s="1493"/>
      <c r="J136" s="1493"/>
      <c r="K136" s="1493"/>
      <c r="L136" s="1493"/>
      <c r="M136" s="1493"/>
      <c r="N136" s="1493"/>
      <c r="O136" s="1643"/>
      <c r="P136" s="1493"/>
      <c r="Q136" s="1493"/>
      <c r="R136" s="1493"/>
      <c r="S136" s="1493"/>
      <c r="T136" s="1493"/>
      <c r="U136" s="1493"/>
      <c r="V136" s="1493"/>
      <c r="W136" s="1493"/>
      <c r="Y136" s="1493"/>
      <c r="Z136" s="1493"/>
      <c r="AA136" s="1493"/>
      <c r="AB136" s="1493"/>
      <c r="AC136" s="1493"/>
      <c r="AD136" s="1493"/>
      <c r="AE136" s="1493"/>
      <c r="AF136" s="1493"/>
      <c r="AG136" s="1493"/>
      <c r="AH136" s="1493"/>
      <c r="AI136" s="1493"/>
      <c r="AJ136" s="1493"/>
      <c r="AK136" s="1493"/>
      <c r="AL136" s="1493"/>
      <c r="AM136" s="1493"/>
      <c r="AN136" s="1493"/>
      <c r="AO136" s="1493"/>
      <c r="AP136" s="1493"/>
      <c r="AQ136" s="1493"/>
      <c r="AS136" s="1493"/>
      <c r="AT136" s="1493"/>
      <c r="AU136" s="1493"/>
      <c r="AV136" s="1493"/>
      <c r="AW136" s="1493"/>
      <c r="AX136" s="1493"/>
      <c r="AY136" s="1493"/>
      <c r="AZ136" s="1493"/>
      <c r="BA136" s="1493"/>
      <c r="BB136" s="1493"/>
      <c r="BC136" s="1493"/>
      <c r="BD136" s="1493"/>
      <c r="BE136" s="1493"/>
      <c r="BF136" s="1493"/>
      <c r="BG136" s="1493"/>
      <c r="BH136" s="1493"/>
      <c r="BI136" s="1493"/>
      <c r="BJ136" s="1493"/>
      <c r="BK136" s="1493"/>
      <c r="BL136" s="1493"/>
      <c r="BN136" s="1493"/>
      <c r="BO136" s="1493"/>
      <c r="BP136" s="1493"/>
      <c r="BR136" s="1957"/>
      <c r="BS136" s="1493"/>
    </row>
    <row r="137" spans="7:71" x14ac:dyDescent="0.2">
      <c r="G137" s="1493"/>
      <c r="H137" s="1493"/>
      <c r="I137" s="1493"/>
      <c r="J137" s="1493"/>
      <c r="K137" s="1493"/>
      <c r="L137" s="1493"/>
      <c r="M137" s="1493"/>
      <c r="N137" s="1493"/>
      <c r="O137" s="1643"/>
      <c r="P137" s="1493"/>
      <c r="Q137" s="1493"/>
      <c r="R137" s="1493"/>
      <c r="S137" s="1493"/>
      <c r="T137" s="1493"/>
      <c r="U137" s="1493"/>
      <c r="V137" s="1493"/>
      <c r="W137" s="1493"/>
      <c r="Y137" s="1493"/>
      <c r="Z137" s="1493"/>
      <c r="AA137" s="1493"/>
      <c r="AB137" s="1493"/>
      <c r="AC137" s="1493"/>
      <c r="AD137" s="1493"/>
      <c r="AE137" s="1493"/>
      <c r="AF137" s="1493"/>
      <c r="AG137" s="1493"/>
      <c r="AH137" s="1493"/>
      <c r="AI137" s="1493"/>
      <c r="AJ137" s="1493"/>
      <c r="AK137" s="1493"/>
      <c r="AL137" s="1493"/>
      <c r="AM137" s="1493"/>
      <c r="AN137" s="1493"/>
      <c r="AO137" s="1493"/>
      <c r="AP137" s="1493"/>
      <c r="AQ137" s="1493"/>
      <c r="AS137" s="1493"/>
      <c r="AT137" s="1493"/>
      <c r="AU137" s="1493"/>
      <c r="AV137" s="1493"/>
      <c r="AW137" s="1493"/>
      <c r="AX137" s="1493"/>
      <c r="AY137" s="1493"/>
      <c r="AZ137" s="1493"/>
      <c r="BA137" s="1493"/>
      <c r="BB137" s="1493"/>
      <c r="BC137" s="1493"/>
      <c r="BD137" s="1493"/>
      <c r="BE137" s="1493"/>
      <c r="BF137" s="1493"/>
      <c r="BG137" s="1493"/>
      <c r="BH137" s="1493"/>
      <c r="BI137" s="1493"/>
      <c r="BJ137" s="1493"/>
      <c r="BK137" s="1493"/>
      <c r="BL137" s="1493"/>
      <c r="BN137" s="1493"/>
      <c r="BO137" s="1493"/>
      <c r="BP137" s="1493"/>
      <c r="BR137" s="1957"/>
      <c r="BS137" s="1493"/>
    </row>
    <row r="138" spans="7:71" x14ac:dyDescent="0.2">
      <c r="G138" s="1493"/>
      <c r="H138" s="1493"/>
      <c r="I138" s="1493"/>
      <c r="J138" s="1493"/>
      <c r="K138" s="1493"/>
      <c r="L138" s="1493"/>
      <c r="M138" s="1493"/>
      <c r="N138" s="1493"/>
      <c r="O138" s="1643"/>
      <c r="P138" s="1493"/>
      <c r="Q138" s="1493"/>
      <c r="R138" s="1493"/>
      <c r="S138" s="1493"/>
      <c r="T138" s="1493"/>
      <c r="U138" s="1493"/>
      <c r="V138" s="1493"/>
      <c r="W138" s="1493"/>
      <c r="Y138" s="1493"/>
      <c r="Z138" s="1493"/>
      <c r="AA138" s="1493"/>
      <c r="AB138" s="1493"/>
      <c r="AC138" s="1493"/>
      <c r="AD138" s="1493"/>
      <c r="AE138" s="1493"/>
      <c r="AF138" s="1493"/>
      <c r="AG138" s="1493"/>
      <c r="AH138" s="1493"/>
      <c r="AI138" s="1493"/>
      <c r="AJ138" s="1493"/>
      <c r="AK138" s="1493"/>
      <c r="AL138" s="1493"/>
      <c r="AM138" s="1493"/>
      <c r="AN138" s="1493"/>
      <c r="AO138" s="1493"/>
      <c r="AP138" s="1493"/>
      <c r="AQ138" s="1493"/>
      <c r="AS138" s="1493"/>
      <c r="AT138" s="1493"/>
      <c r="AU138" s="1493"/>
      <c r="AV138" s="1493"/>
      <c r="AW138" s="1493"/>
      <c r="AX138" s="1493"/>
      <c r="AY138" s="1493"/>
      <c r="AZ138" s="1493"/>
      <c r="BA138" s="1493"/>
      <c r="BB138" s="1493"/>
      <c r="BC138" s="1493"/>
      <c r="BD138" s="1493"/>
      <c r="BE138" s="1493"/>
      <c r="BF138" s="1493"/>
      <c r="BG138" s="1493"/>
      <c r="BH138" s="1493"/>
      <c r="BI138" s="1493"/>
      <c r="BJ138" s="1493"/>
      <c r="BK138" s="1493"/>
      <c r="BL138" s="1493"/>
      <c r="BN138" s="1493"/>
      <c r="BO138" s="1493"/>
      <c r="BP138" s="1493"/>
      <c r="BR138" s="1957"/>
      <c r="BS138" s="1493"/>
    </row>
    <row r="139" spans="7:71" x14ac:dyDescent="0.2">
      <c r="G139" s="1493"/>
      <c r="H139" s="1493"/>
      <c r="I139" s="1493"/>
      <c r="J139" s="1493"/>
      <c r="K139" s="1493"/>
      <c r="L139" s="1493"/>
      <c r="M139" s="1493"/>
      <c r="N139" s="1493"/>
      <c r="O139" s="1643"/>
      <c r="P139" s="1493"/>
      <c r="Q139" s="1493"/>
      <c r="R139" s="1493"/>
      <c r="S139" s="1493"/>
      <c r="T139" s="1493"/>
      <c r="U139" s="1493"/>
      <c r="V139" s="1493"/>
      <c r="W139" s="1493"/>
      <c r="Y139" s="1493"/>
      <c r="Z139" s="1493"/>
      <c r="AA139" s="1493"/>
      <c r="AB139" s="1493"/>
      <c r="AC139" s="1493"/>
      <c r="AD139" s="1493"/>
      <c r="AE139" s="1493"/>
      <c r="AF139" s="1493"/>
      <c r="AG139" s="1493"/>
      <c r="AH139" s="1493"/>
      <c r="AI139" s="1493"/>
      <c r="AJ139" s="1493"/>
      <c r="AK139" s="1493"/>
      <c r="AL139" s="1493"/>
      <c r="AM139" s="1493"/>
      <c r="AN139" s="1493"/>
      <c r="AO139" s="1493"/>
      <c r="AP139" s="1493"/>
      <c r="AQ139" s="1493"/>
      <c r="AS139" s="1493"/>
      <c r="AT139" s="1493"/>
      <c r="AU139" s="1493"/>
      <c r="AV139" s="1493"/>
      <c r="AW139" s="1493"/>
      <c r="AX139" s="1493"/>
      <c r="AY139" s="1493"/>
      <c r="AZ139" s="1493"/>
      <c r="BA139" s="1493"/>
      <c r="BB139" s="1493"/>
      <c r="BC139" s="1493"/>
      <c r="BD139" s="1493"/>
      <c r="BE139" s="1493"/>
      <c r="BF139" s="1493"/>
      <c r="BG139" s="1493"/>
      <c r="BH139" s="1493"/>
      <c r="BI139" s="1493"/>
      <c r="BJ139" s="1493"/>
      <c r="BK139" s="1493"/>
      <c r="BL139" s="1493"/>
      <c r="BN139" s="1493"/>
      <c r="BO139" s="1493"/>
      <c r="BP139" s="1493"/>
      <c r="BR139" s="1957"/>
      <c r="BS139" s="1493"/>
    </row>
    <row r="140" spans="7:71" x14ac:dyDescent="0.2">
      <c r="G140" s="1493"/>
      <c r="H140" s="1493"/>
      <c r="I140" s="1493"/>
      <c r="J140" s="1493"/>
      <c r="K140" s="1493"/>
      <c r="L140" s="1493"/>
      <c r="M140" s="1493"/>
      <c r="N140" s="1493"/>
      <c r="O140" s="1643"/>
      <c r="P140" s="1493"/>
      <c r="Q140" s="1493"/>
      <c r="R140" s="1493"/>
      <c r="S140" s="1493"/>
      <c r="T140" s="1493"/>
      <c r="U140" s="1493"/>
      <c r="V140" s="1493"/>
      <c r="W140" s="1493"/>
      <c r="Y140" s="1493"/>
      <c r="Z140" s="1493"/>
      <c r="AA140" s="1493"/>
      <c r="AB140" s="1493"/>
      <c r="AC140" s="1493"/>
      <c r="AD140" s="1493"/>
      <c r="AE140" s="1493"/>
      <c r="AF140" s="1493"/>
      <c r="AG140" s="1493"/>
      <c r="AH140" s="1493"/>
      <c r="AI140" s="1493"/>
      <c r="AJ140" s="1493"/>
      <c r="AK140" s="1493"/>
      <c r="AL140" s="1493"/>
      <c r="AM140" s="1493"/>
      <c r="AN140" s="1493"/>
      <c r="AO140" s="1493"/>
      <c r="AP140" s="1493"/>
      <c r="AQ140" s="1493"/>
      <c r="AS140" s="1493"/>
      <c r="AT140" s="1493"/>
      <c r="AU140" s="1493"/>
      <c r="AV140" s="1493"/>
      <c r="AW140" s="1493"/>
      <c r="AX140" s="1493"/>
      <c r="AY140" s="1493"/>
      <c r="AZ140" s="1493"/>
      <c r="BA140" s="1493"/>
      <c r="BB140" s="1493"/>
      <c r="BC140" s="1493"/>
      <c r="BD140" s="1493"/>
      <c r="BE140" s="1493"/>
      <c r="BF140" s="1493"/>
      <c r="BG140" s="1493"/>
      <c r="BH140" s="1493"/>
      <c r="BI140" s="1493"/>
      <c r="BJ140" s="1493"/>
      <c r="BK140" s="1493"/>
      <c r="BL140" s="1493"/>
      <c r="BN140" s="1493"/>
      <c r="BO140" s="1493"/>
      <c r="BP140" s="1493"/>
      <c r="BR140" s="1957"/>
      <c r="BS140" s="1493"/>
    </row>
    <row r="141" spans="7:71" x14ac:dyDescent="0.2">
      <c r="G141" s="1493"/>
      <c r="H141" s="1493"/>
      <c r="I141" s="1493"/>
      <c r="J141" s="1493"/>
      <c r="K141" s="1493"/>
      <c r="L141" s="1493"/>
      <c r="M141" s="1493"/>
      <c r="N141" s="1493"/>
      <c r="O141" s="1643"/>
      <c r="P141" s="1493"/>
      <c r="Q141" s="1493"/>
      <c r="R141" s="1493"/>
      <c r="S141" s="1493"/>
      <c r="T141" s="1493"/>
      <c r="U141" s="1493"/>
      <c r="V141" s="1493"/>
      <c r="W141" s="1493"/>
      <c r="Y141" s="1493"/>
      <c r="Z141" s="1493"/>
      <c r="AA141" s="1493"/>
      <c r="AB141" s="1493"/>
      <c r="AC141" s="1493"/>
      <c r="AD141" s="1493"/>
      <c r="AE141" s="1493"/>
      <c r="AF141" s="1493"/>
      <c r="AG141" s="1493"/>
      <c r="AH141" s="1493"/>
      <c r="AI141" s="1493"/>
      <c r="AJ141" s="1493"/>
      <c r="AK141" s="1493"/>
      <c r="AL141" s="1493"/>
      <c r="AM141" s="1493"/>
      <c r="AN141" s="1493"/>
      <c r="AO141" s="1493"/>
      <c r="AP141" s="1493"/>
      <c r="AQ141" s="1493"/>
      <c r="AS141" s="1493"/>
      <c r="AT141" s="1493"/>
      <c r="AU141" s="1493"/>
      <c r="AV141" s="1493"/>
      <c r="AW141" s="1493"/>
      <c r="AX141" s="1493"/>
      <c r="AY141" s="1493"/>
      <c r="AZ141" s="1493"/>
      <c r="BA141" s="1493"/>
      <c r="BB141" s="1493"/>
      <c r="BC141" s="1493"/>
      <c r="BD141" s="1493"/>
      <c r="BE141" s="1493"/>
      <c r="BF141" s="1493"/>
      <c r="BG141" s="1493"/>
      <c r="BH141" s="1493"/>
      <c r="BI141" s="1493"/>
      <c r="BJ141" s="1493"/>
      <c r="BK141" s="1493"/>
      <c r="BL141" s="1493"/>
      <c r="BN141" s="1493"/>
      <c r="BO141" s="1493"/>
      <c r="BP141" s="1493"/>
      <c r="BR141" s="1957"/>
      <c r="BS141" s="1493"/>
    </row>
    <row r="142" spans="7:71" x14ac:dyDescent="0.2">
      <c r="G142" s="1493"/>
      <c r="H142" s="1493"/>
      <c r="I142" s="1493"/>
      <c r="J142" s="1493"/>
      <c r="K142" s="1493"/>
      <c r="L142" s="1493"/>
      <c r="M142" s="1493"/>
      <c r="N142" s="1493"/>
      <c r="O142" s="1643"/>
      <c r="P142" s="1493"/>
      <c r="Q142" s="1493"/>
      <c r="R142" s="1493"/>
      <c r="S142" s="1493"/>
      <c r="T142" s="1493"/>
      <c r="U142" s="1493"/>
      <c r="V142" s="1493"/>
      <c r="W142" s="1493"/>
      <c r="Y142" s="1493"/>
      <c r="Z142" s="1493"/>
      <c r="AA142" s="1493"/>
      <c r="AB142" s="1493"/>
      <c r="AC142" s="1493"/>
      <c r="AD142" s="1493"/>
      <c r="AE142" s="1493"/>
      <c r="AF142" s="1493"/>
      <c r="AG142" s="1493"/>
      <c r="AH142" s="1493"/>
      <c r="AI142" s="1493"/>
      <c r="AJ142" s="1493"/>
      <c r="AK142" s="1493"/>
      <c r="AL142" s="1493"/>
      <c r="AM142" s="1493"/>
      <c r="AN142" s="1493"/>
      <c r="AO142" s="1493"/>
      <c r="AP142" s="1493"/>
      <c r="AQ142" s="1493"/>
      <c r="AS142" s="1493"/>
      <c r="AT142" s="1493"/>
      <c r="AU142" s="1493"/>
      <c r="AV142" s="1493"/>
      <c r="AW142" s="1493"/>
      <c r="AX142" s="1493"/>
      <c r="AY142" s="1493"/>
      <c r="AZ142" s="1493"/>
      <c r="BA142" s="1493"/>
      <c r="BB142" s="1493"/>
      <c r="BC142" s="1493"/>
      <c r="BD142" s="1493"/>
      <c r="BE142" s="1493"/>
      <c r="BF142" s="1493"/>
      <c r="BG142" s="1493"/>
      <c r="BH142" s="1493"/>
      <c r="BI142" s="1493"/>
      <c r="BJ142" s="1493"/>
      <c r="BK142" s="1493"/>
      <c r="BL142" s="1493"/>
      <c r="BN142" s="1493"/>
      <c r="BO142" s="1493"/>
      <c r="BP142" s="1493"/>
      <c r="BR142" s="1957"/>
      <c r="BS142" s="1493"/>
    </row>
    <row r="143" spans="7:71" x14ac:dyDescent="0.2">
      <c r="G143" s="1493"/>
      <c r="H143" s="1493"/>
      <c r="I143" s="1493"/>
      <c r="J143" s="1493"/>
      <c r="K143" s="1493"/>
      <c r="L143" s="1493"/>
      <c r="M143" s="1493"/>
      <c r="N143" s="1493"/>
      <c r="O143" s="1643"/>
      <c r="P143" s="1493"/>
      <c r="Q143" s="1493"/>
      <c r="R143" s="1493"/>
      <c r="S143" s="1493"/>
      <c r="T143" s="1493"/>
      <c r="U143" s="1493"/>
      <c r="V143" s="1493"/>
      <c r="W143" s="1493"/>
      <c r="Y143" s="1493"/>
      <c r="Z143" s="1493"/>
      <c r="AA143" s="1493"/>
      <c r="AB143" s="1493"/>
      <c r="AC143" s="1493"/>
      <c r="AD143" s="1493"/>
      <c r="AE143" s="1493"/>
      <c r="AF143" s="1493"/>
      <c r="AG143" s="1493"/>
      <c r="AH143" s="1493"/>
      <c r="AI143" s="1493"/>
      <c r="AJ143" s="1493"/>
      <c r="AK143" s="1493"/>
      <c r="AL143" s="1493"/>
      <c r="AM143" s="1493"/>
      <c r="AN143" s="1493"/>
      <c r="AO143" s="1493"/>
      <c r="AP143" s="1493"/>
      <c r="AQ143" s="1493"/>
      <c r="AS143" s="1493"/>
      <c r="AT143" s="1493"/>
      <c r="AU143" s="1493"/>
      <c r="AV143" s="1493"/>
      <c r="AW143" s="1493"/>
      <c r="AX143" s="1493"/>
      <c r="AY143" s="1493"/>
      <c r="AZ143" s="1493"/>
      <c r="BA143" s="1493"/>
      <c r="BB143" s="1493"/>
      <c r="BC143" s="1493"/>
      <c r="BD143" s="1493"/>
      <c r="BE143" s="1493"/>
      <c r="BF143" s="1493"/>
      <c r="BG143" s="1493"/>
      <c r="BH143" s="1493"/>
      <c r="BI143" s="1493"/>
      <c r="BJ143" s="1493"/>
      <c r="BK143" s="1493"/>
      <c r="BL143" s="1493"/>
      <c r="BN143" s="1493"/>
      <c r="BO143" s="1493"/>
      <c r="BP143" s="1493"/>
      <c r="BR143" s="1957"/>
      <c r="BS143" s="1493"/>
    </row>
    <row r="144" spans="7:71" x14ac:dyDescent="0.2">
      <c r="G144" s="1493"/>
      <c r="H144" s="1493"/>
      <c r="I144" s="1493"/>
      <c r="J144" s="1493"/>
      <c r="K144" s="1493"/>
      <c r="L144" s="1493"/>
      <c r="M144" s="1493"/>
      <c r="N144" s="1493"/>
      <c r="O144" s="1643"/>
      <c r="P144" s="1493"/>
      <c r="Q144" s="1493"/>
      <c r="R144" s="1493"/>
      <c r="S144" s="1493"/>
      <c r="T144" s="1493"/>
      <c r="U144" s="1493"/>
      <c r="V144" s="1493"/>
      <c r="W144" s="1493"/>
      <c r="Y144" s="1493"/>
      <c r="Z144" s="1493"/>
      <c r="AA144" s="1493"/>
      <c r="AB144" s="1493"/>
      <c r="AC144" s="1493"/>
      <c r="AD144" s="1493"/>
      <c r="AE144" s="1493"/>
      <c r="AF144" s="1493"/>
      <c r="AG144" s="1493"/>
      <c r="AH144" s="1493"/>
      <c r="AI144" s="1493"/>
      <c r="AJ144" s="1493"/>
      <c r="AK144" s="1493"/>
      <c r="AL144" s="1493"/>
      <c r="AM144" s="1493"/>
      <c r="AN144" s="1493"/>
      <c r="AO144" s="1493"/>
      <c r="AP144" s="1493"/>
      <c r="AQ144" s="1493"/>
      <c r="AS144" s="1493"/>
      <c r="AT144" s="1493"/>
      <c r="AU144" s="1493"/>
      <c r="AV144" s="1493"/>
      <c r="AW144" s="1493"/>
      <c r="AX144" s="1493"/>
      <c r="AY144" s="1493"/>
      <c r="AZ144" s="1493"/>
      <c r="BA144" s="1493"/>
      <c r="BB144" s="1493"/>
      <c r="BC144" s="1493"/>
      <c r="BD144" s="1493"/>
      <c r="BE144" s="1493"/>
      <c r="BF144" s="1493"/>
      <c r="BG144" s="1493"/>
      <c r="BH144" s="1493"/>
      <c r="BI144" s="1493"/>
      <c r="BJ144" s="1493"/>
      <c r="BK144" s="1493"/>
      <c r="BL144" s="1493"/>
      <c r="BN144" s="1493"/>
      <c r="BO144" s="1493"/>
      <c r="BP144" s="1493"/>
      <c r="BR144" s="1957"/>
      <c r="BS144" s="1493"/>
    </row>
    <row r="145" spans="7:71" x14ac:dyDescent="0.2">
      <c r="G145" s="1493"/>
      <c r="H145" s="1493"/>
      <c r="I145" s="1493"/>
      <c r="J145" s="1493"/>
      <c r="K145" s="1493"/>
      <c r="L145" s="1493"/>
      <c r="M145" s="1493"/>
      <c r="N145" s="1493"/>
      <c r="O145" s="1643"/>
      <c r="P145" s="1493"/>
      <c r="Q145" s="1493"/>
      <c r="R145" s="1493"/>
      <c r="S145" s="1493"/>
      <c r="T145" s="1493"/>
      <c r="U145" s="1493"/>
      <c r="V145" s="1493"/>
      <c r="W145" s="1493"/>
      <c r="Y145" s="1493"/>
      <c r="Z145" s="1493"/>
      <c r="AA145" s="1493"/>
      <c r="AB145" s="1493"/>
      <c r="AC145" s="1493"/>
      <c r="AD145" s="1493"/>
      <c r="AE145" s="1493"/>
      <c r="AF145" s="1493"/>
      <c r="AG145" s="1493"/>
      <c r="AH145" s="1493"/>
      <c r="AI145" s="1493"/>
      <c r="AJ145" s="1493"/>
      <c r="AK145" s="1493"/>
      <c r="AL145" s="1493"/>
      <c r="AM145" s="1493"/>
      <c r="AN145" s="1493"/>
      <c r="AO145" s="1493"/>
      <c r="AP145" s="1493"/>
      <c r="AQ145" s="1493"/>
      <c r="AS145" s="1493"/>
      <c r="AT145" s="1493"/>
      <c r="AU145" s="1493"/>
      <c r="AV145" s="1493"/>
      <c r="AW145" s="1493"/>
      <c r="AX145" s="1493"/>
      <c r="AY145" s="1493"/>
      <c r="AZ145" s="1493"/>
      <c r="BA145" s="1493"/>
      <c r="BB145" s="1493"/>
      <c r="BC145" s="1493"/>
      <c r="BD145" s="1493"/>
      <c r="BE145" s="1493"/>
      <c r="BF145" s="1493"/>
      <c r="BG145" s="1493"/>
      <c r="BH145" s="1493"/>
      <c r="BI145" s="1493"/>
      <c r="BJ145" s="1493"/>
      <c r="BK145" s="1493"/>
      <c r="BL145" s="1493"/>
      <c r="BN145" s="1493"/>
      <c r="BO145" s="1493"/>
      <c r="BP145" s="1493"/>
      <c r="BR145" s="1957"/>
      <c r="BS145" s="1493"/>
    </row>
    <row r="146" spans="7:71" x14ac:dyDescent="0.2">
      <c r="G146" s="1493"/>
      <c r="H146" s="1493"/>
      <c r="I146" s="1493"/>
      <c r="J146" s="1493"/>
      <c r="K146" s="1493"/>
      <c r="L146" s="1493"/>
      <c r="M146" s="1493"/>
      <c r="N146" s="1493"/>
      <c r="O146" s="1643"/>
      <c r="P146" s="1493"/>
      <c r="Q146" s="1493"/>
      <c r="R146" s="1493"/>
      <c r="S146" s="1493"/>
      <c r="T146" s="1493"/>
      <c r="U146" s="1493"/>
      <c r="V146" s="1493"/>
      <c r="W146" s="1493"/>
      <c r="Y146" s="1493"/>
      <c r="Z146" s="1493"/>
      <c r="AA146" s="1493"/>
      <c r="AB146" s="1493"/>
      <c r="AC146" s="1493"/>
      <c r="AD146" s="1493"/>
      <c r="AE146" s="1493"/>
      <c r="AF146" s="1493"/>
      <c r="AG146" s="1493"/>
      <c r="AH146" s="1493"/>
      <c r="AI146" s="1493"/>
      <c r="AJ146" s="1493"/>
      <c r="AK146" s="1493"/>
      <c r="AL146" s="1493"/>
      <c r="AM146" s="1493"/>
      <c r="AN146" s="1493"/>
      <c r="AO146" s="1493"/>
      <c r="AP146" s="1493"/>
      <c r="AQ146" s="1493"/>
      <c r="AS146" s="1493"/>
      <c r="AT146" s="1493"/>
      <c r="AU146" s="1493"/>
      <c r="AV146" s="1493"/>
      <c r="AW146" s="1493"/>
      <c r="AX146" s="1493"/>
      <c r="AY146" s="1493"/>
      <c r="AZ146" s="1493"/>
      <c r="BA146" s="1493"/>
      <c r="BB146" s="1493"/>
      <c r="BC146" s="1493"/>
      <c r="BD146" s="1493"/>
      <c r="BE146" s="1493"/>
      <c r="BF146" s="1493"/>
      <c r="BG146" s="1493"/>
      <c r="BH146" s="1493"/>
      <c r="BI146" s="1493"/>
      <c r="BJ146" s="1493"/>
      <c r="BK146" s="1493"/>
      <c r="BL146" s="1493"/>
      <c r="BN146" s="1493"/>
      <c r="BO146" s="1493"/>
      <c r="BP146" s="1493"/>
      <c r="BR146" s="1957"/>
      <c r="BS146" s="1493"/>
    </row>
    <row r="147" spans="7:71" x14ac:dyDescent="0.2">
      <c r="G147" s="1493"/>
      <c r="H147" s="1493"/>
      <c r="I147" s="1493"/>
      <c r="J147" s="1493"/>
      <c r="K147" s="1493"/>
      <c r="L147" s="1493"/>
      <c r="M147" s="1493"/>
      <c r="N147" s="1493"/>
      <c r="O147" s="1643"/>
      <c r="P147" s="1493"/>
      <c r="Q147" s="1493"/>
      <c r="R147" s="1493"/>
      <c r="S147" s="1493"/>
      <c r="T147" s="1493"/>
      <c r="U147" s="1493"/>
      <c r="V147" s="1493"/>
      <c r="W147" s="1493"/>
      <c r="Y147" s="1493"/>
      <c r="Z147" s="1493"/>
      <c r="AA147" s="1493"/>
      <c r="AB147" s="1493"/>
      <c r="AC147" s="1493"/>
      <c r="AD147" s="1493"/>
      <c r="AE147" s="1493"/>
      <c r="AF147" s="1493"/>
      <c r="AG147" s="1493"/>
      <c r="AH147" s="1493"/>
      <c r="AI147" s="1493"/>
      <c r="AJ147" s="1493"/>
      <c r="AK147" s="1493"/>
      <c r="AL147" s="1493"/>
      <c r="AM147" s="1493"/>
      <c r="AN147" s="1493"/>
      <c r="AO147" s="1493"/>
      <c r="AP147" s="1493"/>
      <c r="AQ147" s="1493"/>
      <c r="AS147" s="1493"/>
      <c r="AT147" s="1493"/>
      <c r="AU147" s="1493"/>
      <c r="AV147" s="1493"/>
      <c r="AW147" s="1493"/>
      <c r="AX147" s="1493"/>
      <c r="AY147" s="1493"/>
      <c r="AZ147" s="1493"/>
      <c r="BA147" s="1493"/>
      <c r="BB147" s="1493"/>
      <c r="BC147" s="1493"/>
      <c r="BD147" s="1493"/>
      <c r="BE147" s="1493"/>
      <c r="BF147" s="1493"/>
      <c r="BG147" s="1493"/>
      <c r="BH147" s="1493"/>
      <c r="BI147" s="1493"/>
      <c r="BJ147" s="1493"/>
      <c r="BK147" s="1493"/>
      <c r="BL147" s="1493"/>
      <c r="BN147" s="1493"/>
      <c r="BO147" s="1493"/>
      <c r="BP147" s="1493"/>
      <c r="BR147" s="1957"/>
      <c r="BS147" s="1493"/>
    </row>
    <row r="148" spans="7:71" x14ac:dyDescent="0.2">
      <c r="G148" s="1493"/>
      <c r="H148" s="1493"/>
      <c r="I148" s="1493"/>
      <c r="J148" s="1493"/>
      <c r="K148" s="1493"/>
      <c r="L148" s="1493"/>
      <c r="M148" s="1493"/>
      <c r="N148" s="1493"/>
      <c r="O148" s="1643"/>
      <c r="P148" s="1493"/>
      <c r="Q148" s="1493"/>
      <c r="R148" s="1493"/>
      <c r="S148" s="1493"/>
      <c r="T148" s="1493"/>
      <c r="U148" s="1493"/>
      <c r="V148" s="1493"/>
      <c r="W148" s="1493"/>
      <c r="Y148" s="1493"/>
      <c r="Z148" s="1493"/>
      <c r="AA148" s="1493"/>
      <c r="AB148" s="1493"/>
      <c r="AC148" s="1493"/>
      <c r="AD148" s="1493"/>
      <c r="AE148" s="1493"/>
      <c r="AF148" s="1493"/>
      <c r="AG148" s="1493"/>
      <c r="AH148" s="1493"/>
      <c r="AI148" s="1493"/>
      <c r="AJ148" s="1493"/>
      <c r="AK148" s="1493"/>
      <c r="AL148" s="1493"/>
      <c r="AM148" s="1493"/>
      <c r="AN148" s="1493"/>
      <c r="AO148" s="1493"/>
      <c r="AP148" s="1493"/>
      <c r="AQ148" s="1493"/>
      <c r="AS148" s="1493"/>
      <c r="AT148" s="1493"/>
      <c r="AU148" s="1493"/>
      <c r="AV148" s="1493"/>
      <c r="AW148" s="1493"/>
      <c r="AX148" s="1493"/>
      <c r="AY148" s="1493"/>
      <c r="AZ148" s="1493"/>
      <c r="BA148" s="1493"/>
      <c r="BB148" s="1493"/>
      <c r="BC148" s="1493"/>
      <c r="BD148" s="1493"/>
      <c r="BE148" s="1493"/>
      <c r="BF148" s="1493"/>
      <c r="BG148" s="1493"/>
      <c r="BH148" s="1493"/>
      <c r="BI148" s="1493"/>
      <c r="BJ148" s="1493"/>
      <c r="BK148" s="1493"/>
      <c r="BL148" s="1493"/>
      <c r="BN148" s="1493"/>
      <c r="BO148" s="1493"/>
      <c r="BP148" s="1493"/>
      <c r="BR148" s="1957"/>
      <c r="BS148" s="1493"/>
    </row>
    <row r="149" spans="7:71" x14ac:dyDescent="0.2">
      <c r="G149" s="1493"/>
      <c r="H149" s="1493"/>
      <c r="I149" s="1493"/>
      <c r="J149" s="1493"/>
      <c r="K149" s="1493"/>
      <c r="L149" s="1493"/>
      <c r="M149" s="1493"/>
      <c r="N149" s="1493"/>
      <c r="O149" s="1643"/>
      <c r="P149" s="1493"/>
      <c r="Q149" s="1493"/>
      <c r="R149" s="1493"/>
      <c r="S149" s="1493"/>
      <c r="T149" s="1493"/>
      <c r="U149" s="1493"/>
      <c r="V149" s="1493"/>
      <c r="W149" s="1493"/>
      <c r="Y149" s="1493"/>
      <c r="Z149" s="1493"/>
      <c r="AA149" s="1493"/>
      <c r="AB149" s="1493"/>
      <c r="AC149" s="1493"/>
      <c r="AD149" s="1493"/>
      <c r="AE149" s="1493"/>
      <c r="AF149" s="1493"/>
      <c r="AG149" s="1493"/>
      <c r="AH149" s="1493"/>
      <c r="AI149" s="1493"/>
      <c r="AJ149" s="1493"/>
      <c r="AK149" s="1493"/>
      <c r="AL149" s="1493"/>
      <c r="AM149" s="1493"/>
      <c r="AN149" s="1493"/>
      <c r="AO149" s="1493"/>
      <c r="AP149" s="1493"/>
      <c r="AQ149" s="1493"/>
      <c r="AS149" s="1493"/>
      <c r="AT149" s="1493"/>
      <c r="AU149" s="1493"/>
      <c r="AV149" s="1493"/>
      <c r="AW149" s="1493"/>
      <c r="AX149" s="1493"/>
      <c r="AY149" s="1493"/>
      <c r="AZ149" s="1493"/>
      <c r="BA149" s="1493"/>
      <c r="BB149" s="1493"/>
      <c r="BC149" s="1493"/>
      <c r="BD149" s="1493"/>
      <c r="BE149" s="1493"/>
      <c r="BF149" s="1493"/>
      <c r="BG149" s="1493"/>
      <c r="BH149" s="1493"/>
      <c r="BI149" s="1493"/>
      <c r="BJ149" s="1493"/>
      <c r="BK149" s="1493"/>
      <c r="BL149" s="1493"/>
      <c r="BN149" s="1493"/>
      <c r="BO149" s="1493"/>
      <c r="BP149" s="1493"/>
      <c r="BR149" s="1957"/>
      <c r="BS149" s="1493"/>
    </row>
    <row r="150" spans="7:71" x14ac:dyDescent="0.2">
      <c r="G150" s="1493"/>
      <c r="H150" s="1493"/>
      <c r="I150" s="1493"/>
      <c r="J150" s="1493"/>
      <c r="K150" s="1493"/>
      <c r="L150" s="1493"/>
      <c r="M150" s="1493"/>
      <c r="N150" s="1493"/>
      <c r="O150" s="1643"/>
      <c r="P150" s="1493"/>
      <c r="Q150" s="1493"/>
      <c r="R150" s="1493"/>
      <c r="S150" s="1493"/>
      <c r="T150" s="1493"/>
      <c r="U150" s="1493"/>
      <c r="V150" s="1493"/>
      <c r="W150" s="1493"/>
      <c r="Y150" s="1493"/>
      <c r="Z150" s="1493"/>
      <c r="AA150" s="1493"/>
      <c r="AB150" s="1493"/>
      <c r="AC150" s="1493"/>
      <c r="AD150" s="1493"/>
      <c r="AE150" s="1493"/>
      <c r="AF150" s="1493"/>
      <c r="AG150" s="1493"/>
      <c r="AH150" s="1493"/>
      <c r="AI150" s="1493"/>
      <c r="AJ150" s="1493"/>
      <c r="AK150" s="1493"/>
      <c r="AL150" s="1493"/>
      <c r="AM150" s="1493"/>
      <c r="AN150" s="1493"/>
      <c r="AO150" s="1493"/>
      <c r="AP150" s="1493"/>
      <c r="AQ150" s="1493"/>
      <c r="AS150" s="1493"/>
      <c r="AT150" s="1493"/>
      <c r="AU150" s="1493"/>
      <c r="AV150" s="1493"/>
      <c r="AW150" s="1493"/>
      <c r="AX150" s="1493"/>
      <c r="AY150" s="1493"/>
      <c r="AZ150" s="1493"/>
      <c r="BA150" s="1493"/>
      <c r="BB150" s="1493"/>
      <c r="BC150" s="1493"/>
      <c r="BD150" s="1493"/>
      <c r="BE150" s="1493"/>
      <c r="BF150" s="1493"/>
      <c r="BG150" s="1493"/>
      <c r="BH150" s="1493"/>
      <c r="BI150" s="1493"/>
      <c r="BJ150" s="1493"/>
      <c r="BK150" s="1493"/>
      <c r="BL150" s="1493"/>
      <c r="BN150" s="1493"/>
      <c r="BO150" s="1493"/>
      <c r="BP150" s="1493"/>
      <c r="BR150" s="1957"/>
      <c r="BS150" s="1493"/>
    </row>
    <row r="151" spans="7:71" x14ac:dyDescent="0.2">
      <c r="G151" s="1493"/>
      <c r="H151" s="1493"/>
      <c r="I151" s="1493"/>
      <c r="J151" s="1493"/>
      <c r="K151" s="1493"/>
      <c r="L151" s="1493"/>
      <c r="M151" s="1493"/>
      <c r="N151" s="1493"/>
      <c r="O151" s="1643"/>
      <c r="P151" s="1493"/>
      <c r="Q151" s="1493"/>
      <c r="R151" s="1493"/>
      <c r="S151" s="1493"/>
      <c r="T151" s="1493"/>
      <c r="U151" s="1493"/>
      <c r="V151" s="1493"/>
      <c r="W151" s="1493"/>
      <c r="Y151" s="1493"/>
      <c r="Z151" s="1493"/>
      <c r="AA151" s="1493"/>
      <c r="AB151" s="1493"/>
      <c r="AC151" s="1493"/>
      <c r="AD151" s="1493"/>
      <c r="AE151" s="1493"/>
      <c r="AF151" s="1493"/>
      <c r="AG151" s="1493"/>
      <c r="AH151" s="1493"/>
      <c r="AI151" s="1493"/>
      <c r="AJ151" s="1493"/>
      <c r="AK151" s="1493"/>
      <c r="AL151" s="1493"/>
      <c r="AM151" s="1493"/>
      <c r="AN151" s="1493"/>
      <c r="AO151" s="1493"/>
      <c r="AP151" s="1493"/>
      <c r="AQ151" s="1493"/>
      <c r="AS151" s="1493"/>
      <c r="AT151" s="1493"/>
      <c r="AU151" s="1493"/>
      <c r="AV151" s="1493"/>
      <c r="AW151" s="1493"/>
      <c r="AX151" s="1493"/>
      <c r="AY151" s="1493"/>
      <c r="AZ151" s="1493"/>
      <c r="BA151" s="1493"/>
      <c r="BB151" s="1493"/>
      <c r="BC151" s="1493"/>
      <c r="BD151" s="1493"/>
      <c r="BE151" s="1493"/>
      <c r="BF151" s="1493"/>
      <c r="BG151" s="1493"/>
      <c r="BH151" s="1493"/>
      <c r="BI151" s="1493"/>
      <c r="BJ151" s="1493"/>
      <c r="BK151" s="1493"/>
      <c r="BL151" s="1493"/>
      <c r="BN151" s="1493"/>
      <c r="BO151" s="1493"/>
      <c r="BP151" s="1493"/>
      <c r="BR151" s="1957"/>
      <c r="BS151" s="1493"/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DP151"/>
  <sheetViews>
    <sheetView topLeftCell="A13" zoomScale="53" zoomScaleNormal="53" workbookViewId="0">
      <selection activeCell="C69" sqref="C69:D69"/>
    </sheetView>
  </sheetViews>
  <sheetFormatPr baseColWidth="10" defaultColWidth="8.85546875" defaultRowHeight="12.75" outlineLevelRow="2" outlineLevelCol="2" x14ac:dyDescent="0.2"/>
  <cols>
    <col min="1" max="1" width="15.5703125" customWidth="1"/>
    <col min="2" max="2" width="1.42578125" customWidth="1"/>
    <col min="3" max="3" width="9.28515625" style="1429" customWidth="1"/>
    <col min="4" max="4" width="28.28515625" style="1430" customWidth="1"/>
    <col min="5" max="5" width="41.7109375" style="1430" customWidth="1"/>
    <col min="6" max="6" width="1.140625" customWidth="1" outlineLevel="1"/>
    <col min="7" max="14" width="13.28515625" style="1430" hidden="1" customWidth="1" outlineLevel="2"/>
    <col min="15" max="15" width="13.28515625" style="1431" hidden="1" customWidth="1" outlineLevel="2"/>
    <col min="16" max="22" width="13.28515625" style="1430" hidden="1" customWidth="1" outlineLevel="2"/>
    <col min="23" max="23" width="13.28515625" style="1430" customWidth="1" outlineLevel="1" collapsed="1"/>
    <col min="24" max="24" width="1.140625" customWidth="1" outlineLevel="1"/>
    <col min="25" max="25" width="14.5703125" style="1430" hidden="1" customWidth="1" outlineLevel="2"/>
    <col min="26" max="26" width="12.5703125" style="1430" hidden="1" customWidth="1" outlineLevel="2"/>
    <col min="27" max="29" width="14.85546875" style="1430" hidden="1" customWidth="1" outlineLevel="2"/>
    <col min="30" max="35" width="10" style="1430" hidden="1" customWidth="1" outlineLevel="2"/>
    <col min="36" max="36" width="11.85546875" style="1430" hidden="1" customWidth="1" outlineLevel="2"/>
    <col min="37" max="42" width="10" style="1430" hidden="1" customWidth="1" outlineLevel="2"/>
    <col min="43" max="43" width="14.140625" style="1430" customWidth="1" outlineLevel="1" collapsed="1"/>
    <col min="44" max="44" width="1.140625" customWidth="1" outlineLevel="1"/>
    <col min="45" max="49" width="10" style="1430" hidden="1" customWidth="1" outlineLevel="2"/>
    <col min="50" max="50" width="10.140625" style="1430" hidden="1" customWidth="1" outlineLevel="2"/>
    <col min="51" max="51" width="10.85546875" style="1430" hidden="1" customWidth="1" outlineLevel="2"/>
    <col min="52" max="52" width="12.7109375" style="1430" hidden="1" customWidth="1" outlineLevel="2"/>
    <col min="53" max="53" width="16.5703125" style="1430" hidden="1" customWidth="1" outlineLevel="2"/>
    <col min="54" max="63" width="10" style="1430" hidden="1" customWidth="1" outlineLevel="2"/>
    <col min="64" max="64" width="11.42578125" style="1430" customWidth="1" outlineLevel="1" collapsed="1"/>
    <col min="65" max="65" width="1.140625" customWidth="1" outlineLevel="1"/>
    <col min="66" max="66" width="10" style="1430" hidden="1" customWidth="1" outlineLevel="2"/>
    <col min="67" max="67" width="13" style="1430" hidden="1" customWidth="1" outlineLevel="2"/>
    <col min="68" max="68" width="10" style="1430" customWidth="1" outlineLevel="1" collapsed="1"/>
    <col min="69" max="69" width="1.140625" customWidth="1" outlineLevel="1"/>
    <col min="70" max="70" width="18.7109375" style="1429" customWidth="1" outlineLevel="1"/>
    <col min="71" max="71" width="5.28515625" style="1430" customWidth="1"/>
    <col min="73" max="116" width="7.42578125" hidden="1" customWidth="1" outlineLevel="1"/>
    <col min="117" max="117" width="2.42578125" hidden="1" customWidth="1" outlineLevel="1"/>
    <col min="118" max="119" width="8.85546875" hidden="1" customWidth="1" outlineLevel="1"/>
    <col min="120" max="120" width="8.85546875" collapsed="1"/>
  </cols>
  <sheetData>
    <row r="1" spans="1:118" ht="6" customHeight="1" x14ac:dyDescent="0.2"/>
    <row r="2" spans="1:118" ht="21" customHeight="1" x14ac:dyDescent="0.2">
      <c r="D2" s="1432"/>
      <c r="E2" s="1433">
        <v>2035</v>
      </c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Y2" s="1434"/>
      <c r="Z2" s="1434"/>
      <c r="AA2" s="1434"/>
      <c r="AB2" s="1434"/>
      <c r="AC2" s="1434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N2"/>
      <c r="BO2"/>
      <c r="BP2"/>
      <c r="BR2" s="74"/>
      <c r="BS2" s="1435"/>
    </row>
    <row r="3" spans="1:118" ht="39" customHeight="1" x14ac:dyDescent="0.2">
      <c r="A3" s="1436"/>
      <c r="B3" s="1436"/>
      <c r="C3" s="1436"/>
      <c r="D3" s="1437"/>
      <c r="E3" s="1438" t="s">
        <v>171</v>
      </c>
      <c r="G3" s="1439" t="s">
        <v>912</v>
      </c>
      <c r="H3" s="1439"/>
      <c r="I3" s="1439"/>
      <c r="J3" s="1439"/>
      <c r="K3" s="1439"/>
      <c r="L3" s="1439"/>
      <c r="M3" s="1439"/>
      <c r="N3" s="1439"/>
      <c r="O3" s="1439"/>
      <c r="P3" s="1439"/>
      <c r="Q3" s="1439"/>
      <c r="R3" s="1439"/>
      <c r="S3" s="1439"/>
      <c r="T3" s="1439"/>
      <c r="U3" s="1439"/>
      <c r="V3" s="1439"/>
      <c r="W3" s="1439"/>
      <c r="Y3" s="1440" t="s">
        <v>913</v>
      </c>
      <c r="Z3" s="1441"/>
      <c r="AA3" s="1441"/>
      <c r="AB3" s="1441"/>
      <c r="AC3" s="1441"/>
      <c r="AD3" s="1442"/>
      <c r="AE3" s="1441"/>
      <c r="AF3" s="1441"/>
      <c r="AG3" s="1441"/>
      <c r="AH3" s="1441"/>
      <c r="AI3" s="1441"/>
      <c r="AJ3" s="1441"/>
      <c r="AK3" s="1441"/>
      <c r="AL3" s="1441"/>
      <c r="AM3" s="1441"/>
      <c r="AN3" s="1441"/>
      <c r="AO3" s="1441"/>
      <c r="AP3" s="1441"/>
      <c r="AQ3" s="1443"/>
      <c r="AS3" s="1444" t="s">
        <v>914</v>
      </c>
      <c r="AT3" s="1445"/>
      <c r="AU3" s="1445"/>
      <c r="AV3" s="1446"/>
      <c r="AW3" s="1445"/>
      <c r="AX3" s="1445"/>
      <c r="AY3" s="1445"/>
      <c r="AZ3" s="1445"/>
      <c r="BA3" s="1445"/>
      <c r="BB3" s="1445"/>
      <c r="BC3" s="1445"/>
      <c r="BD3" s="1445"/>
      <c r="BE3" s="1445"/>
      <c r="BF3" s="1445"/>
      <c r="BG3" s="1445"/>
      <c r="BH3" s="1445"/>
      <c r="BI3" s="1445"/>
      <c r="BJ3" s="1445"/>
      <c r="BK3" s="1445"/>
      <c r="BL3" s="1447"/>
      <c r="BN3" s="1448" t="s">
        <v>915</v>
      </c>
      <c r="BO3" s="1449"/>
      <c r="BP3" s="1449"/>
      <c r="BR3" s="1450"/>
      <c r="BS3" s="1450"/>
      <c r="BT3" s="1436"/>
      <c r="BU3" s="1451" t="s">
        <v>918</v>
      </c>
      <c r="BV3" s="1452"/>
      <c r="BW3" s="1452"/>
      <c r="BX3" s="1452"/>
      <c r="BY3" s="1452"/>
      <c r="BZ3" s="1452"/>
      <c r="CA3" s="1452"/>
      <c r="CB3" s="1452"/>
      <c r="CC3" s="1452"/>
      <c r="CD3" s="1452"/>
      <c r="CE3" s="1452"/>
      <c r="CF3" s="1452"/>
      <c r="CG3" s="1452"/>
      <c r="CH3" s="1452"/>
      <c r="CI3" s="1452"/>
      <c r="CJ3" s="1452"/>
      <c r="CK3" s="1452"/>
      <c r="CL3" s="1452"/>
      <c r="CM3" s="1452"/>
      <c r="CN3" s="1452"/>
      <c r="CO3" s="1452"/>
      <c r="CP3" s="1452"/>
      <c r="CQ3" s="1452"/>
      <c r="CR3" s="1452"/>
      <c r="CS3" s="1452"/>
      <c r="CT3" s="1452"/>
      <c r="CU3" s="1452"/>
      <c r="CV3" s="1452"/>
      <c r="CW3" s="1452"/>
      <c r="CX3" s="1452"/>
      <c r="CY3" s="1452"/>
      <c r="CZ3" s="1452"/>
      <c r="DA3" s="1452"/>
      <c r="DB3" s="1452"/>
      <c r="DC3" s="1452"/>
      <c r="DD3" s="1452"/>
      <c r="DE3" s="1452"/>
      <c r="DF3" s="1452"/>
      <c r="DG3" s="1452"/>
      <c r="DH3" s="1452"/>
      <c r="DI3" s="1453"/>
      <c r="DJ3" s="1453"/>
      <c r="DK3" s="1453"/>
      <c r="DL3" s="1453"/>
    </row>
    <row r="4" spans="1:118" ht="63.75" customHeight="1" x14ac:dyDescent="0.2">
      <c r="C4" s="1454"/>
      <c r="D4" s="1454"/>
      <c r="G4" s="1455" t="str">
        <f>INDEX(Vectors[Descripción], MATCH(G$5,Vectors[Código],FALSE))</f>
        <v>Climatización</v>
      </c>
      <c r="H4" s="1455" t="str">
        <f>INDEX(Vectors[Descripción], MATCH(H$5,Vectors[Código],FALSE))</f>
        <v>Iluminación</v>
      </c>
      <c r="I4" s="1455" t="str">
        <f>INDEX(Vectors[Descripción], MATCH(I$5,Vectors[Código],FALSE))</f>
        <v>Refrigeración</v>
      </c>
      <c r="J4" s="1455" t="str">
        <f>INDEX(Vectors[Descripción], MATCH(J$5,Vectors[Código],FALSE))</f>
        <v>ACS</v>
      </c>
      <c r="K4" s="1455" t="str">
        <f>INDEX(Vectors[Descripción], MATCH(K$5,Vectors[Código],FALSE))</f>
        <v>Cocción</v>
      </c>
      <c r="L4" s="1455" t="str">
        <f>INDEX(Vectors[Descripción], MATCH(L$5,Vectors[Código],FALSE))</f>
        <v>Otros Electrodomésticos</v>
      </c>
      <c r="M4" s="1455" t="str">
        <f>INDEX(Vectors[Descripción], MATCH(M$5,Vectors[Código],FALSE))</f>
        <v>Industria y minería</v>
      </c>
      <c r="N4" s="1455" t="str">
        <f>INDEX(Vectors[Descripción], MATCH(N$5,Vectors[Código],FALSE))</f>
        <v>Transporte pasajeros caminero Urbano</v>
      </c>
      <c r="O4" s="1455" t="str">
        <f>INDEX(Vectors[Descripción], MATCH(O$5,Vectors[Código],FALSE))</f>
        <v>Transporte pasajeros caminero Interurbano</v>
      </c>
      <c r="P4" s="1455" t="str">
        <f>INDEX(Vectors[Descripción], MATCH(P$5,Vectors[Código],FALSE))</f>
        <v>Transporte pasajeros ferroviario Urbano</v>
      </c>
      <c r="Q4" s="1455" t="str">
        <f>INDEX(Vectors[Descripción], MATCH(Q$5,Vectors[Código],FALSE))</f>
        <v>Transporte pasajeros ferroviario Interurbano</v>
      </c>
      <c r="R4" s="1455" t="str">
        <f>INDEX(Vectors[Descripción], MATCH(R$5,Vectors[Código],FALSE))</f>
        <v>Transporte pasajeros Aéreo Interurbano</v>
      </c>
      <c r="S4" s="1455" t="str">
        <f>INDEX(Vectors[Descripción], MATCH(S$5,Vectors[Código],FALSE))</f>
        <v>Transporte de carga caminero Urbano</v>
      </c>
      <c r="T4" s="1455" t="str">
        <f>INDEX(Vectors[Descripción], MATCH(T$5,Vectors[Código],FALSE))</f>
        <v>Transporte de carga caminero Interurbano</v>
      </c>
      <c r="U4" s="1455" t="str">
        <f>INDEX(Vectors[Descripción], MATCH(U$5,Vectors[Código],FALSE))</f>
        <v>Transporte de carga ferroviario</v>
      </c>
      <c r="V4" s="1455" t="str">
        <f>INDEX(Vectors[Descripción], MATCH(V$5,Vectors[Código],FALSE))</f>
        <v>Transporte de carga maritimo</v>
      </c>
      <c r="W4" s="3169" t="s">
        <v>2218</v>
      </c>
      <c r="Y4" s="1456" t="str">
        <f>INDEX(Vectors[Descripción], MATCH(Y$5,Vectors[Código],FALSE))</f>
        <v>Electricidad (consumo final)</v>
      </c>
      <c r="Z4" s="1456" t="str">
        <f>INDEX(Vectors[Descripción], MATCH(Z5,Vectors[Código],FALSE))</f>
        <v>Electricidad (suministrada a la red)</v>
      </c>
      <c r="AA4" s="1456" t="str">
        <f>INDEX(Vectors[Descripción], MATCH(AA5,Vectors[Código],FALSE))</f>
        <v>Hidrocarburo Sólido</v>
      </c>
      <c r="AB4" s="1456" t="str">
        <f>INDEX(Vectors[Descripción], MATCH(AB5,Vectors[Código],FALSE))</f>
        <v>Hidrocarburo Líquido</v>
      </c>
      <c r="AC4" s="1456" t="str">
        <f>INDEX(Vectors[Descripción], MATCH(AC5,Vectors[Código],FALSE))</f>
        <v>Hidrocarburo Gaseoso</v>
      </c>
      <c r="AD4" s="1456" t="str">
        <f>INDEX(Vectors[Descripción], MATCH(AD5,Vectors[Código],FALSE))</f>
        <v>Carbón y  residuos fósiles</v>
      </c>
      <c r="AE4" s="1456" t="str">
        <f>INDEX(Vectors[Descripción], MATCH(AE5,Vectors[Código],FALSE))</f>
        <v>Derivados del petróleo</v>
      </c>
      <c r="AF4" s="1456" t="str">
        <f>INDEX(Vectors[Descripción], MATCH(AF5,Vectors[Código],FALSE))</f>
        <v>Gas Natural</v>
      </c>
      <c r="AG4" s="1456" t="str">
        <f>INDEX(Vectors[Descripción], MATCH(AG5,Vectors[Código],FALSE))</f>
        <v>Blast furnace gas</v>
      </c>
      <c r="AH4" s="1456" t="str">
        <f>INDEX(Vectors[Descripción], MATCH(AH5,Vectors[Código],FALSE))</f>
        <v>Heat transport</v>
      </c>
      <c r="AI4" s="1456" t="str">
        <f>INDEX(Vectors[Descripción], MATCH(AI5,Vectors[Código],FALSE))</f>
        <v>Biomasa comestible</v>
      </c>
      <c r="AJ4" s="1456" t="str">
        <f>INDEX(Vectors[Descripción], MATCH(AJ5,Vectors[Código],FALSE))</f>
        <v>Cultivos para Energía (segunda generación)</v>
      </c>
      <c r="AK4" s="1456" t="str">
        <f>INDEX(Vectors[Descripción], MATCH(AK5,Vectors[Código],FALSE))</f>
        <v>Cultivos para Energía (primera generación)</v>
      </c>
      <c r="AL4" s="1456" t="str">
        <f>INDEX(Vectors[Descripción], MATCH(AL5,Vectors[Código],FALSE))</f>
        <v>Biomasa</v>
      </c>
      <c r="AM4" s="1456" t="str">
        <f>INDEX(Vectors[Descripción], MATCH(AM5,Vectors[Código],FALSE))</f>
        <v>Biomasa seca y residuos</v>
      </c>
      <c r="AN4" s="1456" t="str">
        <f>INDEX(Vectors[Descripción], MATCH(AN5,Vectors[Código],FALSE))</f>
        <v>Residuos gaseosos</v>
      </c>
      <c r="AO4" s="1456" t="str">
        <f>INDEX(Vectors[Descripción], MATCH(AO5,Vectors[Código],FALSE))</f>
        <v>Solar para uso térmico domestico</v>
      </c>
      <c r="AP4" s="1456" t="str">
        <f>INDEX(Vectors[Descripción], MATCH(AP5,Vectors[Código],FALSE))</f>
        <v>H2</v>
      </c>
      <c r="AQ4" s="3170" t="s">
        <v>976</v>
      </c>
      <c r="AS4" s="1457" t="str">
        <f>INDEX(Vectors[Descripción], MATCH(AS5,Vectors[Código],FALSE))</f>
        <v>Reservas de Carbón</v>
      </c>
      <c r="AT4" s="1457" t="str">
        <f>INDEX(Vectors[Descripción], MATCH(AT5,Vectors[Código],FALSE))</f>
        <v>Reservas de Petroleo</v>
      </c>
      <c r="AU4" s="1457" t="str">
        <f>INDEX(Vectors[Descripción], MATCH(AU5,Vectors[Código],FALSE))</f>
        <v>Reservas de Gas</v>
      </c>
      <c r="AV4" s="1457" t="str">
        <f>INDEX(Vectors[Descripción], MATCH(AV5,Vectors[Código],FALSE))</f>
        <v>Biomasa sobreoferta  (importada)</v>
      </c>
      <c r="AW4" s="1457" t="str">
        <f>INDEX(Vectors[Descripción], MATCH(AW5,Vectors[Código],FALSE))</f>
        <v>Electricidad sobreoferta  (importada)</v>
      </c>
      <c r="AX4" s="1457" t="str">
        <f>INDEX(Vectors[Descripción], MATCH(AX5,Vectors[Código],FALSE))</f>
        <v xml:space="preserve">Dervidados del Petroleo sobreoferta </v>
      </c>
      <c r="AY4" s="1457" t="str">
        <f>INDEX(Vectors[Descripción], MATCH(AY5,Vectors[Código],FALSE))</f>
        <v>Carbón sobreoferta  (importada)</v>
      </c>
      <c r="AZ4" s="1457" t="str">
        <f>INDEX(Vectors[Descripción], MATCH(AZ5,Vectors[Código],FALSE))</f>
        <v>Carbón sobreoferta  (importada)</v>
      </c>
      <c r="BA4" s="1457">
        <f>INDEX(Vectors[Descripción], MATCH(BA5,Vectors[Código],FALSE))</f>
        <v>0</v>
      </c>
      <c r="BB4" s="1457" t="str">
        <f>INDEX(Vectors[Descripción], MATCH(BB5,Vectors[Código],FALSE))</f>
        <v>Fisión nuclear</v>
      </c>
      <c r="BC4" s="1457" t="str">
        <f>INDEX(Vectors[Descripción], MATCH(BC5,Vectors[Código],FALSE))</f>
        <v>Solar</v>
      </c>
      <c r="BD4" s="1457" t="str">
        <f>INDEX(Vectors[Descripción], MATCH(BD5,Vectors[Código],FALSE))</f>
        <v>Viento</v>
      </c>
      <c r="BE4" s="1457" t="str">
        <f>INDEX(Vectors[Descripción], MATCH(BE5,Vectors[Código],FALSE))</f>
        <v>Mareomotriz</v>
      </c>
      <c r="BF4" s="1457" t="str">
        <f>INDEX(Vectors[Descripción], MATCH(BF5,Vectors[Código],FALSE))</f>
        <v>Undimotriz</v>
      </c>
      <c r="BG4" s="1457" t="str">
        <f>INDEX(Vectors[Descripción], MATCH(BG5,Vectors[Código],FALSE))</f>
        <v>Geotermia</v>
      </c>
      <c r="BH4" s="1457" t="str">
        <f>INDEX(Vectors[Descripción], MATCH(BH5,Vectors[Código],FALSE))</f>
        <v>Hidro</v>
      </c>
      <c r="BI4" s="1457" t="str">
        <f>INDEX(Vectors[Descripción], MATCH(BI5,Vectors[Código],FALSE))</f>
        <v>Almacenamiento</v>
      </c>
      <c r="BJ4" s="1457" t="str">
        <f>INDEX(Vectors[Descripción], MATCH(BJ5,Vectors[Código],FALSE))</f>
        <v>Agropecuario</v>
      </c>
      <c r="BK4" s="1457" t="str">
        <f>INDEX(Vectors[Descripción], MATCH(BK5,Vectors[Código],FALSE))</f>
        <v>Residuos</v>
      </c>
      <c r="BL4" s="3171" t="s">
        <v>977</v>
      </c>
      <c r="BN4" s="1458" t="str">
        <f>INDEX(Vectors[Descripción], MATCH(BN5,Vectors[Código],FALSE))</f>
        <v>Perdidas por conversión</v>
      </c>
      <c r="BO4" s="1458" t="str">
        <f>INDEX(Vectors[Descripción], MATCH(BO5,Vectors[Código],FALSE))</f>
        <v>Perdidas por distribución y uso propio</v>
      </c>
      <c r="BP4" s="3172" t="s">
        <v>978</v>
      </c>
      <c r="BR4" s="1459"/>
      <c r="BS4" s="1459"/>
      <c r="BU4" s="1460" t="s">
        <v>720</v>
      </c>
      <c r="BV4" s="1461"/>
      <c r="BW4" s="1461"/>
      <c r="BX4" s="1462"/>
      <c r="BY4" s="1460" t="s">
        <v>722</v>
      </c>
      <c r="BZ4" s="1461"/>
      <c r="CA4" s="1461"/>
      <c r="CB4" s="1462"/>
      <c r="CC4" s="1460" t="s">
        <v>723</v>
      </c>
      <c r="CD4" s="1461"/>
      <c r="CE4" s="1461"/>
      <c r="CF4" s="1462"/>
      <c r="CG4" s="1460" t="s">
        <v>724</v>
      </c>
      <c r="CH4" s="1461"/>
      <c r="CI4" s="1461"/>
      <c r="CJ4" s="1462"/>
      <c r="CK4" s="1460" t="s">
        <v>544</v>
      </c>
      <c r="CL4" s="1461"/>
      <c r="CM4" s="1461"/>
      <c r="CN4" s="1462"/>
      <c r="CO4" s="1460" t="s">
        <v>725</v>
      </c>
      <c r="CP4" s="1461"/>
      <c r="CQ4" s="1461"/>
      <c r="CR4" s="1462"/>
      <c r="CS4" s="1460" t="s">
        <v>545</v>
      </c>
      <c r="CT4" s="1461"/>
      <c r="CU4" s="1461"/>
      <c r="CV4" s="1462"/>
      <c r="CW4" s="1460" t="s">
        <v>726</v>
      </c>
      <c r="CX4" s="1461"/>
      <c r="CY4" s="1461"/>
      <c r="CZ4" s="1462"/>
      <c r="DA4" s="1460" t="s">
        <v>728</v>
      </c>
      <c r="DB4" s="1461"/>
      <c r="DC4" s="1461"/>
      <c r="DD4" s="1462"/>
      <c r="DE4" s="1460" t="s">
        <v>730</v>
      </c>
      <c r="DF4" s="1461"/>
      <c r="DG4" s="1461"/>
      <c r="DH4" s="1462"/>
      <c r="DI4" s="1460" t="s">
        <v>732</v>
      </c>
      <c r="DJ4" s="1461"/>
      <c r="DK4" s="1461"/>
      <c r="DL4" s="1462"/>
      <c r="DN4" s="1463" t="s">
        <v>118</v>
      </c>
    </row>
    <row r="5" spans="1:118" x14ac:dyDescent="0.2">
      <c r="D5" s="1464" t="s">
        <v>40</v>
      </c>
      <c r="G5" s="1465" t="s">
        <v>454</v>
      </c>
      <c r="H5" s="1465" t="s">
        <v>1007</v>
      </c>
      <c r="I5" s="1465" t="s">
        <v>1008</v>
      </c>
      <c r="J5" s="1465" t="s">
        <v>1009</v>
      </c>
      <c r="K5" s="1465" t="s">
        <v>1010</v>
      </c>
      <c r="L5" s="1465" t="s">
        <v>1011</v>
      </c>
      <c r="M5" s="1465" t="s">
        <v>453</v>
      </c>
      <c r="N5" s="1465" t="s">
        <v>447</v>
      </c>
      <c r="O5" s="1465" t="s">
        <v>448</v>
      </c>
      <c r="P5" s="1465" t="s">
        <v>449</v>
      </c>
      <c r="Q5" s="1465" t="s">
        <v>450</v>
      </c>
      <c r="R5" s="1465" t="s">
        <v>451</v>
      </c>
      <c r="S5" s="1465" t="s">
        <v>452</v>
      </c>
      <c r="T5" s="1465" t="s">
        <v>984</v>
      </c>
      <c r="U5" s="1465" t="s">
        <v>985</v>
      </c>
      <c r="V5" s="1465" t="s">
        <v>986</v>
      </c>
      <c r="W5" s="1465"/>
      <c r="Y5" s="1466" t="s">
        <v>149</v>
      </c>
      <c r="Z5" s="1466" t="s">
        <v>150</v>
      </c>
      <c r="AA5" s="1466" t="s">
        <v>330</v>
      </c>
      <c r="AB5" s="1466" t="s">
        <v>333</v>
      </c>
      <c r="AC5" s="1466" t="s">
        <v>335</v>
      </c>
      <c r="AD5" s="1466" t="s">
        <v>467</v>
      </c>
      <c r="AE5" s="1466" t="s">
        <v>468</v>
      </c>
      <c r="AF5" s="1466" t="s">
        <v>469</v>
      </c>
      <c r="AG5" s="1466" t="s">
        <v>470</v>
      </c>
      <c r="AH5" s="1466" t="s">
        <v>471</v>
      </c>
      <c r="AI5" s="1466" t="s">
        <v>472</v>
      </c>
      <c r="AJ5" s="1466" t="s">
        <v>709</v>
      </c>
      <c r="AK5" s="1466" t="s">
        <v>804</v>
      </c>
      <c r="AL5" s="1466" t="s">
        <v>473</v>
      </c>
      <c r="AM5" s="1466" t="s">
        <v>474</v>
      </c>
      <c r="AN5" s="1466" t="s">
        <v>805</v>
      </c>
      <c r="AO5" s="1466" t="s">
        <v>475</v>
      </c>
      <c r="AP5" s="1466" t="s">
        <v>630</v>
      </c>
      <c r="AQ5" s="1466"/>
      <c r="AS5" s="1467" t="s">
        <v>464</v>
      </c>
      <c r="AT5" s="1467" t="s">
        <v>465</v>
      </c>
      <c r="AU5" s="1467" t="s">
        <v>466</v>
      </c>
      <c r="AV5" s="1467" t="s">
        <v>458</v>
      </c>
      <c r="AW5" s="1467" t="s">
        <v>459</v>
      </c>
      <c r="AX5" s="1467" t="s">
        <v>460</v>
      </c>
      <c r="AY5" s="1467" t="s">
        <v>461</v>
      </c>
      <c r="AZ5" s="1467" t="s">
        <v>462</v>
      </c>
      <c r="BA5" s="1467" t="s">
        <v>463</v>
      </c>
      <c r="BB5" s="1467" t="s">
        <v>157</v>
      </c>
      <c r="BC5" s="1467" t="s">
        <v>315</v>
      </c>
      <c r="BD5" s="1467" t="s">
        <v>218</v>
      </c>
      <c r="BE5" s="1467" t="s">
        <v>285</v>
      </c>
      <c r="BF5" s="1467" t="s">
        <v>286</v>
      </c>
      <c r="BG5" s="1467" t="s">
        <v>302</v>
      </c>
      <c r="BH5" s="1467" t="s">
        <v>249</v>
      </c>
      <c r="BI5" s="1467" t="s">
        <v>455</v>
      </c>
      <c r="BJ5" s="1467" t="s">
        <v>456</v>
      </c>
      <c r="BK5" s="1467" t="s">
        <v>457</v>
      </c>
      <c r="BL5" s="1467"/>
      <c r="BN5" s="1468" t="s">
        <v>184</v>
      </c>
      <c r="BO5" s="1468" t="s">
        <v>185</v>
      </c>
      <c r="BP5" s="1468"/>
      <c r="BR5" s="3173" t="s">
        <v>1017</v>
      </c>
      <c r="BS5" s="1469"/>
      <c r="BU5" s="1470" t="s">
        <v>399</v>
      </c>
      <c r="BV5" s="1471" t="s">
        <v>399</v>
      </c>
      <c r="BW5" s="1471" t="s">
        <v>399</v>
      </c>
      <c r="BX5" s="1472" t="s">
        <v>399</v>
      </c>
      <c r="BY5" s="1470" t="s">
        <v>721</v>
      </c>
      <c r="BZ5" s="1471" t="s">
        <v>721</v>
      </c>
      <c r="CA5" s="1471" t="s">
        <v>721</v>
      </c>
      <c r="CB5" s="1472" t="s">
        <v>721</v>
      </c>
      <c r="CC5" s="1470">
        <v>2</v>
      </c>
      <c r="CD5" s="1471">
        <v>2</v>
      </c>
      <c r="CE5" s="1471">
        <v>2</v>
      </c>
      <c r="CF5" s="1472">
        <v>2</v>
      </c>
      <c r="CG5" s="1470">
        <v>3</v>
      </c>
      <c r="CH5" s="1471">
        <v>3</v>
      </c>
      <c r="CI5" s="1471">
        <v>3</v>
      </c>
      <c r="CJ5" s="1472">
        <v>3</v>
      </c>
      <c r="CK5" s="1470">
        <v>4</v>
      </c>
      <c r="CL5" s="1471">
        <v>4</v>
      </c>
      <c r="CM5" s="1471">
        <v>4</v>
      </c>
      <c r="CN5" s="1472">
        <v>4</v>
      </c>
      <c r="CO5" s="1470">
        <v>5</v>
      </c>
      <c r="CP5" s="1471">
        <v>5</v>
      </c>
      <c r="CQ5" s="1471">
        <v>5</v>
      </c>
      <c r="CR5" s="1472">
        <v>5</v>
      </c>
      <c r="CS5" s="1470">
        <v>6</v>
      </c>
      <c r="CT5" s="1471">
        <v>6</v>
      </c>
      <c r="CU5" s="1471">
        <v>6</v>
      </c>
      <c r="CV5" s="1472">
        <v>6</v>
      </c>
      <c r="CW5" s="1470">
        <v>7</v>
      </c>
      <c r="CX5" s="1471">
        <v>7</v>
      </c>
      <c r="CY5" s="1471">
        <v>7</v>
      </c>
      <c r="CZ5" s="1472">
        <v>7</v>
      </c>
      <c r="DA5" s="1470" t="s">
        <v>727</v>
      </c>
      <c r="DB5" s="1471" t="s">
        <v>727</v>
      </c>
      <c r="DC5" s="1471" t="s">
        <v>727</v>
      </c>
      <c r="DD5" s="1472" t="s">
        <v>727</v>
      </c>
      <c r="DE5" s="1470" t="s">
        <v>729</v>
      </c>
      <c r="DF5" s="1471" t="s">
        <v>729</v>
      </c>
      <c r="DG5" s="1471" t="s">
        <v>729</v>
      </c>
      <c r="DH5" s="1472" t="s">
        <v>729</v>
      </c>
      <c r="DI5" s="1470" t="s">
        <v>731</v>
      </c>
      <c r="DJ5" s="1471" t="s">
        <v>731</v>
      </c>
      <c r="DK5" s="1471" t="s">
        <v>731</v>
      </c>
      <c r="DL5" s="1472" t="s">
        <v>731</v>
      </c>
    </row>
    <row r="6" spans="1:118" ht="15.75" customHeight="1" x14ac:dyDescent="0.2">
      <c r="G6" s="1473"/>
      <c r="H6" s="1473"/>
      <c r="I6" s="1473"/>
      <c r="J6" s="1473"/>
      <c r="K6" s="1473"/>
      <c r="L6" s="1473"/>
      <c r="M6" s="1473"/>
      <c r="N6" s="1473"/>
      <c r="O6" s="1474"/>
      <c r="P6" s="1473"/>
      <c r="Q6" s="1473"/>
      <c r="R6" s="1473"/>
      <c r="S6" s="1473"/>
      <c r="T6" s="1473"/>
      <c r="U6" s="1473"/>
      <c r="V6" s="1473"/>
      <c r="W6" s="1473"/>
      <c r="Y6" s="1475"/>
      <c r="Z6" s="1475"/>
      <c r="AA6" s="1475"/>
      <c r="AB6" s="1475"/>
      <c r="AC6" s="1475"/>
      <c r="AD6" s="1475"/>
      <c r="AE6" s="1475"/>
      <c r="AF6" s="1475"/>
      <c r="AG6" s="1475"/>
      <c r="AH6" s="1475"/>
      <c r="AI6" s="1475"/>
      <c r="AJ6" s="1475"/>
      <c r="AK6" s="1475"/>
      <c r="AL6" s="1475"/>
      <c r="AM6" s="1475"/>
      <c r="AN6" s="1475"/>
      <c r="AO6" s="1475"/>
      <c r="AP6" s="1475"/>
      <c r="AQ6" s="1475"/>
      <c r="AS6" s="1476"/>
      <c r="AT6" s="1476"/>
      <c r="AU6" s="1476"/>
      <c r="AV6" s="1476"/>
      <c r="AW6" s="1476"/>
      <c r="AX6" s="1476"/>
      <c r="AY6" s="1476"/>
      <c r="AZ6" s="1476"/>
      <c r="BA6" s="1476"/>
      <c r="BB6" s="1476"/>
      <c r="BC6" s="1476"/>
      <c r="BD6" s="1476"/>
      <c r="BE6" s="1476"/>
      <c r="BF6" s="1476"/>
      <c r="BG6" s="1476"/>
      <c r="BH6" s="1476"/>
      <c r="BI6" s="1476"/>
      <c r="BJ6" s="1476"/>
      <c r="BK6" s="1476"/>
      <c r="BL6" s="1476"/>
      <c r="BN6" s="1477"/>
      <c r="BO6" s="1477"/>
      <c r="BP6" s="1477"/>
      <c r="BR6" s="1956"/>
      <c r="BS6" s="1478"/>
      <c r="BU6" s="1479" t="s">
        <v>398</v>
      </c>
      <c r="BV6" s="1479" t="s">
        <v>400</v>
      </c>
      <c r="BW6" s="1479" t="s">
        <v>401</v>
      </c>
      <c r="BX6" s="1479" t="s">
        <v>806</v>
      </c>
      <c r="BY6" s="1479" t="s">
        <v>398</v>
      </c>
      <c r="BZ6" s="1479" t="s">
        <v>400</v>
      </c>
      <c r="CA6" s="1479" t="s">
        <v>401</v>
      </c>
      <c r="CB6" s="1479" t="s">
        <v>806</v>
      </c>
      <c r="CC6" s="1479" t="s">
        <v>398</v>
      </c>
      <c r="CD6" s="1479" t="s">
        <v>400</v>
      </c>
      <c r="CE6" s="1479" t="s">
        <v>401</v>
      </c>
      <c r="CF6" s="1479" t="s">
        <v>806</v>
      </c>
      <c r="CG6" s="1479" t="s">
        <v>398</v>
      </c>
      <c r="CH6" s="1479" t="s">
        <v>400</v>
      </c>
      <c r="CI6" s="1479" t="s">
        <v>401</v>
      </c>
      <c r="CJ6" s="1479" t="s">
        <v>806</v>
      </c>
      <c r="CK6" s="1479" t="s">
        <v>398</v>
      </c>
      <c r="CL6" s="1479" t="s">
        <v>400</v>
      </c>
      <c r="CM6" s="1479" t="s">
        <v>401</v>
      </c>
      <c r="CN6" s="1479" t="s">
        <v>806</v>
      </c>
      <c r="CO6" s="1479" t="s">
        <v>398</v>
      </c>
      <c r="CP6" s="1479" t="s">
        <v>400</v>
      </c>
      <c r="CQ6" s="1479" t="s">
        <v>401</v>
      </c>
      <c r="CR6" s="1479" t="s">
        <v>806</v>
      </c>
      <c r="CS6" s="1479" t="s">
        <v>398</v>
      </c>
      <c r="CT6" s="1479" t="s">
        <v>400</v>
      </c>
      <c r="CU6" s="1479" t="s">
        <v>401</v>
      </c>
      <c r="CV6" s="1479" t="s">
        <v>806</v>
      </c>
      <c r="CW6" s="1479" t="s">
        <v>398</v>
      </c>
      <c r="CX6" s="1479" t="s">
        <v>400</v>
      </c>
      <c r="CY6" s="1479" t="s">
        <v>401</v>
      </c>
      <c r="CZ6" s="1479" t="s">
        <v>806</v>
      </c>
      <c r="DA6" s="1479" t="s">
        <v>398</v>
      </c>
      <c r="DB6" s="1479" t="s">
        <v>400</v>
      </c>
      <c r="DC6" s="1479" t="s">
        <v>401</v>
      </c>
      <c r="DD6" s="1479" t="s">
        <v>806</v>
      </c>
      <c r="DE6" s="1479" t="s">
        <v>398</v>
      </c>
      <c r="DF6" s="1479" t="s">
        <v>400</v>
      </c>
      <c r="DG6" s="1479" t="s">
        <v>401</v>
      </c>
      <c r="DH6" s="1479" t="s">
        <v>806</v>
      </c>
      <c r="DI6" s="1479" t="s">
        <v>398</v>
      </c>
      <c r="DJ6" s="1479" t="s">
        <v>400</v>
      </c>
      <c r="DK6" s="1479" t="s">
        <v>401</v>
      </c>
      <c r="DL6" s="1479" t="s">
        <v>806</v>
      </c>
    </row>
    <row r="7" spans="1:118" ht="18" customHeight="1" x14ac:dyDescent="0.2">
      <c r="C7" s="1480" t="s">
        <v>405</v>
      </c>
      <c r="D7" s="1480"/>
      <c r="E7" s="1481"/>
      <c r="G7" s="1482"/>
      <c r="H7" s="1482"/>
      <c r="I7" s="1482"/>
      <c r="J7" s="1482"/>
      <c r="K7" s="1482"/>
      <c r="L7" s="1482"/>
      <c r="M7" s="1482"/>
      <c r="N7" s="1482"/>
      <c r="O7" s="1482"/>
      <c r="P7" s="1482"/>
      <c r="Q7" s="1482"/>
      <c r="R7" s="1482"/>
      <c r="S7" s="1482"/>
      <c r="T7" s="1482"/>
      <c r="U7" s="1482"/>
      <c r="V7" s="1482"/>
      <c r="W7" s="1482"/>
      <c r="Y7" s="1483"/>
      <c r="Z7" s="1483"/>
      <c r="AA7" s="1483"/>
      <c r="AB7" s="1483"/>
      <c r="AC7" s="1483"/>
      <c r="AD7" s="1483"/>
      <c r="AE7" s="1483"/>
      <c r="AF7" s="1483"/>
      <c r="AG7" s="1483"/>
      <c r="AH7" s="1483"/>
      <c r="AI7" s="1483"/>
      <c r="AJ7" s="1483"/>
      <c r="AK7" s="1483"/>
      <c r="AL7" s="1483"/>
      <c r="AM7" s="1483"/>
      <c r="AN7" s="1483"/>
      <c r="AO7" s="1483"/>
      <c r="AP7" s="1483"/>
      <c r="AQ7" s="1483"/>
      <c r="AS7" s="1484"/>
      <c r="AT7" s="1484"/>
      <c r="AU7" s="1484"/>
      <c r="AV7" s="1484"/>
      <c r="AW7" s="1484"/>
      <c r="AX7" s="1484"/>
      <c r="AY7" s="1484"/>
      <c r="AZ7" s="1484"/>
      <c r="BA7" s="1484"/>
      <c r="BB7" s="1484"/>
      <c r="BC7" s="1484"/>
      <c r="BD7" s="1484"/>
      <c r="BE7" s="1484"/>
      <c r="BF7" s="1484"/>
      <c r="BG7" s="1484"/>
      <c r="BH7" s="1484"/>
      <c r="BI7" s="1484"/>
      <c r="BJ7" s="1484"/>
      <c r="BK7" s="1484"/>
      <c r="BL7" s="1484"/>
      <c r="BN7" s="1485"/>
      <c r="BO7" s="1485"/>
      <c r="BP7" s="1485"/>
      <c r="BR7" s="3168">
        <f t="shared" ref="BR7:BR14" si="0">W7+AQ7+BL7+BP7</f>
        <v>0</v>
      </c>
      <c r="BS7" s="1486"/>
      <c r="BU7" s="1487"/>
      <c r="BV7" s="1487"/>
      <c r="BW7" s="1487"/>
      <c r="BX7" s="1487"/>
      <c r="BY7" s="1487"/>
      <c r="BZ7" s="1487"/>
      <c r="CA7" s="1487"/>
      <c r="CB7" s="1487"/>
      <c r="CC7" s="1487"/>
      <c r="CD7" s="1487"/>
      <c r="CE7" s="1487"/>
      <c r="CF7" s="1487"/>
      <c r="CG7" s="1487"/>
      <c r="CH7" s="1487"/>
      <c r="CI7" s="1487"/>
      <c r="CJ7" s="1487"/>
      <c r="CK7" s="1487"/>
      <c r="CL7" s="1487"/>
      <c r="CM7" s="1487"/>
      <c r="CN7" s="1487"/>
      <c r="CO7" s="1487"/>
      <c r="CP7" s="1487"/>
      <c r="CQ7" s="1487"/>
      <c r="CR7" s="1487"/>
      <c r="CS7" s="1487"/>
      <c r="CT7" s="1487"/>
      <c r="CU7" s="1487"/>
      <c r="CV7" s="1487"/>
      <c r="CW7" s="1487"/>
      <c r="CX7" s="1487"/>
      <c r="CY7" s="1487"/>
      <c r="CZ7" s="1487"/>
      <c r="DA7" s="1487"/>
      <c r="DB7" s="1487"/>
      <c r="DC7" s="1487"/>
      <c r="DD7" s="1487"/>
      <c r="DE7" s="1487"/>
      <c r="DF7" s="1487"/>
      <c r="DG7" s="1487"/>
      <c r="DH7" s="1487"/>
      <c r="DI7" s="1487"/>
      <c r="DJ7" s="1487"/>
      <c r="DK7" s="1487"/>
      <c r="DL7" s="1487"/>
    </row>
    <row r="8" spans="1:118" ht="12.75" customHeight="1" outlineLevel="1" x14ac:dyDescent="0.2">
      <c r="G8" s="1488"/>
      <c r="H8" s="1488"/>
      <c r="I8" s="1488"/>
      <c r="J8" s="1488"/>
      <c r="K8" s="1488"/>
      <c r="L8" s="1488"/>
      <c r="M8" s="1488"/>
      <c r="N8" s="1488"/>
      <c r="O8" s="1489"/>
      <c r="P8" s="1488"/>
      <c r="Q8" s="1488"/>
      <c r="R8" s="1488"/>
      <c r="S8" s="1488"/>
      <c r="T8" s="1488"/>
      <c r="U8" s="1488"/>
      <c r="V8" s="1488"/>
      <c r="W8" s="1488"/>
      <c r="Y8" s="1490"/>
      <c r="Z8" s="1490"/>
      <c r="AA8" s="1490"/>
      <c r="AB8" s="1490"/>
      <c r="AC8" s="1490"/>
      <c r="AD8" s="1490"/>
      <c r="AE8" s="1490"/>
      <c r="AF8" s="1490"/>
      <c r="AG8" s="1490"/>
      <c r="AH8" s="1490"/>
      <c r="AI8" s="1490"/>
      <c r="AJ8" s="1490"/>
      <c r="AK8" s="1490"/>
      <c r="AL8" s="1490"/>
      <c r="AM8" s="1490"/>
      <c r="AN8" s="1490"/>
      <c r="AO8" s="1490"/>
      <c r="AP8" s="1490"/>
      <c r="AQ8" s="1490"/>
      <c r="AS8" s="1491"/>
      <c r="AT8" s="1491"/>
      <c r="AU8" s="1491"/>
      <c r="AV8" s="1491"/>
      <c r="AW8" s="1491"/>
      <c r="AX8" s="1491"/>
      <c r="AY8" s="1491"/>
      <c r="AZ8" s="1491"/>
      <c r="BA8" s="1491"/>
      <c r="BB8" s="1491"/>
      <c r="BC8" s="1491"/>
      <c r="BD8" s="1491"/>
      <c r="BE8" s="1491"/>
      <c r="BF8" s="1491"/>
      <c r="BG8" s="1491"/>
      <c r="BH8" s="1491"/>
      <c r="BI8" s="1491"/>
      <c r="BJ8" s="1491"/>
      <c r="BK8" s="1491"/>
      <c r="BL8" s="1491"/>
      <c r="BN8" s="1492"/>
      <c r="BO8" s="1492"/>
      <c r="BP8" s="1492"/>
      <c r="BR8" s="3168">
        <f t="shared" si="0"/>
        <v>0</v>
      </c>
      <c r="BS8" s="1493"/>
      <c r="BU8" s="1494"/>
      <c r="BV8" s="1494"/>
      <c r="BW8" s="1494"/>
      <c r="BX8" s="1494"/>
      <c r="BY8" s="1494"/>
      <c r="BZ8" s="1494"/>
      <c r="CA8" s="1494"/>
      <c r="CB8" s="1494"/>
      <c r="CC8" s="1494"/>
      <c r="CD8" s="1494"/>
      <c r="CE8" s="1494"/>
      <c r="CF8" s="1494"/>
      <c r="CG8" s="1494"/>
      <c r="CH8" s="1494"/>
      <c r="CI8" s="1494"/>
      <c r="CJ8" s="1494"/>
      <c r="CK8" s="1494"/>
      <c r="CL8" s="1494"/>
      <c r="CM8" s="1494"/>
      <c r="CN8" s="1494"/>
      <c r="CO8" s="1494"/>
      <c r="CP8" s="1494"/>
      <c r="CQ8" s="1494"/>
      <c r="CR8" s="1494"/>
      <c r="CS8" s="1494"/>
      <c r="CT8" s="1494"/>
      <c r="CU8" s="1494"/>
      <c r="CV8" s="1494"/>
      <c r="CW8" s="1494"/>
      <c r="CX8" s="1494"/>
      <c r="CY8" s="1494"/>
      <c r="CZ8" s="1494"/>
      <c r="DA8" s="1494"/>
      <c r="DB8" s="1494"/>
      <c r="DC8" s="1494"/>
      <c r="DD8" s="1494"/>
      <c r="DE8" s="1494"/>
      <c r="DF8" s="1494"/>
      <c r="DG8" s="1494"/>
      <c r="DH8" s="1494"/>
      <c r="DI8" s="1494"/>
      <c r="DJ8" s="1494"/>
      <c r="DK8" s="1494"/>
      <c r="DL8" s="1494"/>
    </row>
    <row r="9" spans="1:118" s="14" customFormat="1" ht="10.5" customHeight="1" outlineLevel="2" x14ac:dyDescent="0.2">
      <c r="A9" s="1495"/>
      <c r="B9" s="1495"/>
      <c r="C9" s="1511" t="s">
        <v>86</v>
      </c>
      <c r="D9" s="14" t="str">
        <f>INDEX(Modulos[Modulos], MATCH($C9, Modulos[Código], 0))</f>
        <v>Residencial</v>
      </c>
      <c r="G9" s="1540">
        <f ca="1">IFERROR(INDEX(INDIRECT($C9&amp;".Outputs["&amp;this.Year&amp;"]"), MATCH(G$5, INDIRECT($C9&amp;".Outputs[Vector]"), 0)), 0)</f>
        <v>47.863524358654118</v>
      </c>
      <c r="H9" s="1540">
        <f t="shared" ref="H9:V9" ca="1" si="1">IFERROR(INDEX(INDIRECT($C9&amp;".Outputs["&amp;this.Year&amp;"]"), MATCH(H$5, INDIRECT($C9&amp;".Outputs[Vector]"), 0)), 0)</f>
        <v>2.3804239467891932</v>
      </c>
      <c r="I9" s="1540">
        <f t="shared" ca="1" si="1"/>
        <v>4.2507570478378458</v>
      </c>
      <c r="J9" s="1540">
        <f t="shared" ca="1" si="1"/>
        <v>14.962664808389219</v>
      </c>
      <c r="K9" s="1540">
        <f t="shared" ca="1" si="1"/>
        <v>6.4611507127135237</v>
      </c>
      <c r="L9" s="1540">
        <f t="shared" ca="1" si="1"/>
        <v>9.0966200823729917</v>
      </c>
      <c r="M9" s="1540">
        <f t="shared" ca="1" si="1"/>
        <v>0</v>
      </c>
      <c r="N9" s="1540">
        <f t="shared" ca="1" si="1"/>
        <v>0</v>
      </c>
      <c r="O9" s="1540">
        <f t="shared" ca="1" si="1"/>
        <v>0</v>
      </c>
      <c r="P9" s="1540">
        <f t="shared" ca="1" si="1"/>
        <v>0</v>
      </c>
      <c r="Q9" s="1540">
        <f t="shared" ca="1" si="1"/>
        <v>0</v>
      </c>
      <c r="R9" s="1540">
        <f t="shared" ca="1" si="1"/>
        <v>0</v>
      </c>
      <c r="S9" s="1540">
        <f t="shared" ca="1" si="1"/>
        <v>0</v>
      </c>
      <c r="T9" s="1540">
        <f t="shared" ca="1" si="1"/>
        <v>0</v>
      </c>
      <c r="U9" s="1540">
        <f t="shared" ca="1" si="1"/>
        <v>0</v>
      </c>
      <c r="V9" s="1540">
        <f t="shared" ca="1" si="1"/>
        <v>0</v>
      </c>
      <c r="W9" s="1539">
        <f ca="1">SUM(G9:V9)</f>
        <v>85.015140956756881</v>
      </c>
      <c r="Y9" s="1500">
        <f ca="1">IFERROR(INDEX(INDIRECT($C9&amp;".Outputs["&amp;this.Year&amp;"]"), MATCH(Y$5, INDIRECT($C9&amp;".Outputs[Vector]"), 0)), 0)</f>
        <v>-24.637052750901443</v>
      </c>
      <c r="Z9" s="1500">
        <f t="shared" ref="Z9:AP9" ca="1" si="2">IFERROR(INDEX(INDIRECT($C9&amp;".Outputs["&amp;this.Year&amp;"]"), MATCH(Z$5, INDIRECT($C9&amp;".Outputs[Vector]"), 0)), 0)</f>
        <v>0</v>
      </c>
      <c r="AA9" s="1500">
        <f t="shared" ca="1" si="2"/>
        <v>0</v>
      </c>
      <c r="AB9" s="1500">
        <f t="shared" ca="1" si="2"/>
        <v>-10.567443967668584</v>
      </c>
      <c r="AC9" s="1500">
        <f t="shared" ca="1" si="2"/>
        <v>-41.435738376951008</v>
      </c>
      <c r="AD9" s="1500">
        <f t="shared" ca="1" si="2"/>
        <v>0</v>
      </c>
      <c r="AE9" s="1500">
        <f t="shared" ca="1" si="2"/>
        <v>0</v>
      </c>
      <c r="AF9" s="1500">
        <f t="shared" ca="1" si="2"/>
        <v>0</v>
      </c>
      <c r="AG9" s="1500">
        <f t="shared" ca="1" si="2"/>
        <v>0</v>
      </c>
      <c r="AH9" s="1500">
        <f t="shared" ca="1" si="2"/>
        <v>0</v>
      </c>
      <c r="AI9" s="1500">
        <f t="shared" ca="1" si="2"/>
        <v>0</v>
      </c>
      <c r="AJ9" s="1500">
        <f t="shared" ca="1" si="2"/>
        <v>0</v>
      </c>
      <c r="AK9" s="1500">
        <f t="shared" ca="1" si="2"/>
        <v>0</v>
      </c>
      <c r="AL9" s="1500">
        <f ca="1">IFERROR(INDEX(INDIRECT($C9&amp;".Outputs["&amp;this.Year&amp;"]"), MATCH(AL$5, INDIRECT($C9&amp;".Outputs[Vector]"), 0)), 0)</f>
        <v>-8.3749058612358613</v>
      </c>
      <c r="AM9" s="1500">
        <f t="shared" ca="1" si="2"/>
        <v>0</v>
      </c>
      <c r="AN9" s="1500">
        <f t="shared" ca="1" si="2"/>
        <v>0</v>
      </c>
      <c r="AO9" s="1500">
        <f t="shared" ca="1" si="2"/>
        <v>0</v>
      </c>
      <c r="AP9" s="1500">
        <f t="shared" ca="1" si="2"/>
        <v>0</v>
      </c>
      <c r="AQ9" s="1490">
        <f ca="1">SUM(Y9:AP9)</f>
        <v>-85.015140956756895</v>
      </c>
      <c r="AS9" s="1491">
        <f t="shared" ref="AS9:BK9" ca="1" si="3">IFERROR(INDEX(INDIRECT($C9&amp;".Outputs["&amp;this.Year&amp;"]"), MATCH(AS$5, INDIRECT($C9&amp;".Outputs[Vector]"), 0)), 0)</f>
        <v>0</v>
      </c>
      <c r="AT9" s="1491">
        <f t="shared" ca="1" si="3"/>
        <v>0</v>
      </c>
      <c r="AU9" s="1491">
        <f t="shared" ca="1" si="3"/>
        <v>0</v>
      </c>
      <c r="AV9" s="1491">
        <f t="shared" ca="1" si="3"/>
        <v>0</v>
      </c>
      <c r="AW9" s="1491">
        <f t="shared" ca="1" si="3"/>
        <v>0</v>
      </c>
      <c r="AX9" s="1491">
        <f t="shared" ca="1" si="3"/>
        <v>0</v>
      </c>
      <c r="AY9" s="1491">
        <f t="shared" ca="1" si="3"/>
        <v>0</v>
      </c>
      <c r="AZ9" s="1491">
        <f t="shared" ca="1" si="3"/>
        <v>0</v>
      </c>
      <c r="BA9" s="1491">
        <f t="shared" ca="1" si="3"/>
        <v>0</v>
      </c>
      <c r="BB9" s="1491">
        <f t="shared" ca="1" si="3"/>
        <v>0</v>
      </c>
      <c r="BC9" s="1491">
        <f t="shared" ca="1" si="3"/>
        <v>0</v>
      </c>
      <c r="BD9" s="1491">
        <f t="shared" ca="1" si="3"/>
        <v>0</v>
      </c>
      <c r="BE9" s="1491">
        <f t="shared" ca="1" si="3"/>
        <v>0</v>
      </c>
      <c r="BF9" s="1491">
        <f t="shared" ca="1" si="3"/>
        <v>0</v>
      </c>
      <c r="BG9" s="1491">
        <f t="shared" ca="1" si="3"/>
        <v>0</v>
      </c>
      <c r="BH9" s="1491">
        <f t="shared" ca="1" si="3"/>
        <v>0</v>
      </c>
      <c r="BI9" s="1491">
        <f t="shared" ca="1" si="3"/>
        <v>0</v>
      </c>
      <c r="BJ9" s="1491">
        <f t="shared" ca="1" si="3"/>
        <v>0</v>
      </c>
      <c r="BK9" s="1491">
        <f t="shared" ca="1" si="3"/>
        <v>0</v>
      </c>
      <c r="BL9" s="1503">
        <f ca="1">SUM(AS9:BK9)</f>
        <v>0</v>
      </c>
      <c r="BN9" s="1941">
        <f ca="1">IFERROR(INDEX(INDIRECT($C9&amp;".Outputs["&amp;this.Year&amp;"]"), MATCH(BN$5, INDIRECT($C9&amp;".Outputs[Vector]"), 0)), 0)</f>
        <v>0</v>
      </c>
      <c r="BO9" s="1941">
        <f ca="1">IFERROR(INDEX(INDIRECT($C9&amp;".Outputs["&amp;this.Year&amp;"]"), MATCH(BO$5, INDIRECT($C9&amp;".Outputs[Vector]"), 0)), 0)</f>
        <v>0</v>
      </c>
      <c r="BP9" s="1505">
        <f ca="1">BN9+BO9</f>
        <v>0</v>
      </c>
      <c r="BR9" s="3168">
        <f ca="1">W9+AQ9+BL9+BP9</f>
        <v>-1.4210854715202004E-14</v>
      </c>
      <c r="BS9" s="1506"/>
      <c r="BT9" s="748"/>
      <c r="BU9" s="1507">
        <v>67.291769164453711</v>
      </c>
      <c r="BV9" s="1508">
        <v>0.13655504882378258</v>
      </c>
      <c r="BW9" s="1508">
        <v>0.22513176941521534</v>
      </c>
      <c r="BX9" s="1508">
        <v>0</v>
      </c>
      <c r="BY9" s="1508">
        <v>0</v>
      </c>
      <c r="BZ9" s="1508">
        <v>0</v>
      </c>
      <c r="CA9" s="1508">
        <v>0</v>
      </c>
      <c r="CB9" s="1508">
        <v>0</v>
      </c>
      <c r="CC9" s="1508">
        <v>0</v>
      </c>
      <c r="CD9" s="1508">
        <v>0</v>
      </c>
      <c r="CE9" s="1508">
        <v>0</v>
      </c>
      <c r="CF9" s="1508">
        <v>0</v>
      </c>
      <c r="CG9" s="1508">
        <v>0</v>
      </c>
      <c r="CH9" s="1508">
        <v>0</v>
      </c>
      <c r="CI9" s="1508">
        <v>0</v>
      </c>
      <c r="CJ9" s="1508">
        <v>0</v>
      </c>
      <c r="CK9" s="1508">
        <v>0</v>
      </c>
      <c r="CL9" s="1508">
        <v>0</v>
      </c>
      <c r="CM9" s="1508">
        <v>0</v>
      </c>
      <c r="CN9" s="1508">
        <v>0</v>
      </c>
      <c r="CO9" s="1508">
        <v>0</v>
      </c>
      <c r="CP9" s="1508">
        <v>0</v>
      </c>
      <c r="CQ9" s="1508">
        <v>0</v>
      </c>
      <c r="CR9" s="1508">
        <v>0</v>
      </c>
      <c r="CS9" s="1508">
        <v>0</v>
      </c>
      <c r="CT9" s="1508">
        <v>0</v>
      </c>
      <c r="CU9" s="1508">
        <v>0</v>
      </c>
      <c r="CV9" s="1508">
        <v>0</v>
      </c>
      <c r="CW9" s="1508">
        <v>0</v>
      </c>
      <c r="CX9" s="1508">
        <v>0</v>
      </c>
      <c r="CY9" s="1508">
        <v>0</v>
      </c>
      <c r="CZ9" s="1508">
        <v>0</v>
      </c>
      <c r="DA9" s="1508">
        <v>0</v>
      </c>
      <c r="DB9" s="1508">
        <v>0</v>
      </c>
      <c r="DC9" s="1508">
        <v>0</v>
      </c>
      <c r="DD9" s="1508">
        <v>0</v>
      </c>
      <c r="DE9" s="1508">
        <v>0</v>
      </c>
      <c r="DF9" s="1508">
        <v>0</v>
      </c>
      <c r="DG9" s="1508">
        <v>0</v>
      </c>
      <c r="DH9" s="1508">
        <v>0</v>
      </c>
      <c r="DI9" s="1508">
        <v>0</v>
      </c>
      <c r="DJ9" s="1508">
        <v>0</v>
      </c>
      <c r="DK9" s="1508">
        <v>0</v>
      </c>
      <c r="DL9" s="1508">
        <v>0</v>
      </c>
      <c r="DN9" s="1509"/>
    </row>
    <row r="10" spans="1:118" s="14" customFormat="1" ht="10.5" customHeight="1" outlineLevel="2" x14ac:dyDescent="0.2">
      <c r="A10" s="1510"/>
      <c r="B10" s="1510"/>
      <c r="C10" s="1511"/>
      <c r="D10" s="1510"/>
      <c r="E10" s="1512"/>
      <c r="G10" s="1513"/>
      <c r="H10" s="1513"/>
      <c r="I10" s="1513"/>
      <c r="J10" s="1513"/>
      <c r="K10" s="1513"/>
      <c r="L10" s="1513"/>
      <c r="M10" s="1513"/>
      <c r="N10" s="1513"/>
      <c r="O10" s="1513"/>
      <c r="P10" s="1513"/>
      <c r="Q10" s="1513"/>
      <c r="R10" s="1513"/>
      <c r="S10" s="1513"/>
      <c r="T10" s="1513"/>
      <c r="U10" s="1513"/>
      <c r="V10" s="1513"/>
      <c r="W10" s="1514"/>
      <c r="Y10" s="1515"/>
      <c r="Z10" s="1515"/>
      <c r="AA10" s="1515"/>
      <c r="AB10" s="1515"/>
      <c r="AC10" s="1515"/>
      <c r="AD10" s="1515"/>
      <c r="AE10" s="1515"/>
      <c r="AF10" s="1515"/>
      <c r="AG10" s="1515"/>
      <c r="AH10" s="1515"/>
      <c r="AI10" s="1515"/>
      <c r="AJ10" s="1515"/>
      <c r="AK10" s="1515"/>
      <c r="AL10" s="1515"/>
      <c r="AM10" s="1515"/>
      <c r="AN10" s="1515"/>
      <c r="AO10" s="1515"/>
      <c r="AP10" s="1515"/>
      <c r="AQ10" s="1516"/>
      <c r="AS10" s="1517"/>
      <c r="AT10" s="1517"/>
      <c r="AU10" s="1517"/>
      <c r="AV10" s="1517"/>
      <c r="AW10" s="1517"/>
      <c r="AX10" s="1517"/>
      <c r="AY10" s="1517"/>
      <c r="AZ10" s="1517"/>
      <c r="BA10" s="1517"/>
      <c r="BB10" s="1517"/>
      <c r="BC10" s="1517"/>
      <c r="BD10" s="1517"/>
      <c r="BE10" s="1517"/>
      <c r="BF10" s="1517"/>
      <c r="BG10" s="1517"/>
      <c r="BH10" s="1517"/>
      <c r="BI10" s="1517"/>
      <c r="BJ10" s="1517"/>
      <c r="BK10" s="1517"/>
      <c r="BL10" s="1518"/>
      <c r="BN10" s="1519"/>
      <c r="BO10" s="1519"/>
      <c r="BP10" s="1520"/>
      <c r="BR10" s="3168">
        <f t="shared" si="0"/>
        <v>0</v>
      </c>
      <c r="BS10" s="1521"/>
      <c r="BT10" s="748"/>
      <c r="BU10" s="1507">
        <v>0</v>
      </c>
      <c r="BV10" s="1508">
        <v>0</v>
      </c>
      <c r="BW10" s="1508">
        <v>0</v>
      </c>
      <c r="BX10" s="1508">
        <v>0</v>
      </c>
      <c r="BY10" s="1508">
        <v>0</v>
      </c>
      <c r="BZ10" s="1508">
        <v>0</v>
      </c>
      <c r="CA10" s="1508">
        <v>0</v>
      </c>
      <c r="CB10" s="1508">
        <v>0</v>
      </c>
      <c r="CC10" s="1508">
        <v>0</v>
      </c>
      <c r="CD10" s="1508">
        <v>0</v>
      </c>
      <c r="CE10" s="1508">
        <v>0</v>
      </c>
      <c r="CF10" s="1508">
        <v>0</v>
      </c>
      <c r="CG10" s="1508">
        <v>0</v>
      </c>
      <c r="CH10" s="1508">
        <v>0</v>
      </c>
      <c r="CI10" s="1508">
        <v>0</v>
      </c>
      <c r="CJ10" s="1508">
        <v>0</v>
      </c>
      <c r="CK10" s="1508">
        <v>0</v>
      </c>
      <c r="CL10" s="1508">
        <v>0</v>
      </c>
      <c r="CM10" s="1508">
        <v>0</v>
      </c>
      <c r="CN10" s="1508">
        <v>0</v>
      </c>
      <c r="CO10" s="1508">
        <v>0</v>
      </c>
      <c r="CP10" s="1508">
        <v>0</v>
      </c>
      <c r="CQ10" s="1508">
        <v>0</v>
      </c>
      <c r="CR10" s="1508">
        <v>0</v>
      </c>
      <c r="CS10" s="1508">
        <v>0</v>
      </c>
      <c r="CT10" s="1508">
        <v>0</v>
      </c>
      <c r="CU10" s="1508">
        <v>0</v>
      </c>
      <c r="CV10" s="1508">
        <v>0</v>
      </c>
      <c r="CW10" s="1508">
        <v>0</v>
      </c>
      <c r="CX10" s="1508">
        <v>0</v>
      </c>
      <c r="CY10" s="1508">
        <v>0</v>
      </c>
      <c r="CZ10" s="1508">
        <v>0</v>
      </c>
      <c r="DA10" s="1508">
        <v>0</v>
      </c>
      <c r="DB10" s="1508">
        <v>0</v>
      </c>
      <c r="DC10" s="1508">
        <v>0</v>
      </c>
      <c r="DD10" s="1508">
        <v>0</v>
      </c>
      <c r="DE10" s="1508">
        <v>0</v>
      </c>
      <c r="DF10" s="1508">
        <v>0</v>
      </c>
      <c r="DG10" s="1508">
        <v>0</v>
      </c>
      <c r="DH10" s="1508">
        <v>0</v>
      </c>
      <c r="DI10" s="1508">
        <v>0</v>
      </c>
      <c r="DJ10" s="1508">
        <v>0</v>
      </c>
      <c r="DK10" s="1508">
        <v>0</v>
      </c>
      <c r="DL10" s="1508">
        <v>0</v>
      </c>
      <c r="DN10" s="1509"/>
    </row>
    <row r="11" spans="1:118" s="14" customFormat="1" ht="12.75" customHeight="1" outlineLevel="1" x14ac:dyDescent="0.2">
      <c r="A11" s="1522"/>
      <c r="B11" s="1522"/>
      <c r="C11" s="1496"/>
      <c r="D11" s="1522"/>
      <c r="E11" s="1497"/>
      <c r="G11" s="1499"/>
      <c r="H11" s="1499"/>
      <c r="I11" s="1499"/>
      <c r="J11" s="1499"/>
      <c r="K11" s="1499"/>
      <c r="L11" s="1499"/>
      <c r="M11" s="1499"/>
      <c r="N11" s="1499"/>
      <c r="O11" s="1499"/>
      <c r="P11" s="1499"/>
      <c r="Q11" s="1499"/>
      <c r="R11" s="1499"/>
      <c r="S11" s="1499"/>
      <c r="T11" s="1499"/>
      <c r="U11" s="1499"/>
      <c r="V11" s="1499"/>
      <c r="W11" s="1499"/>
      <c r="Y11" s="1501"/>
      <c r="Z11" s="1501"/>
      <c r="AA11" s="1501"/>
      <c r="AB11" s="1501"/>
      <c r="AC11" s="1501"/>
      <c r="AD11" s="1501"/>
      <c r="AE11" s="1501"/>
      <c r="AF11" s="1501"/>
      <c r="AG11" s="1501"/>
      <c r="AH11" s="1501"/>
      <c r="AI11" s="1501"/>
      <c r="AJ11" s="1501"/>
      <c r="AK11" s="1501"/>
      <c r="AL11" s="1501"/>
      <c r="AM11" s="1501"/>
      <c r="AN11" s="1501"/>
      <c r="AO11" s="1501"/>
      <c r="AP11" s="1501"/>
      <c r="AQ11" s="1501"/>
      <c r="AS11" s="1523"/>
      <c r="AT11" s="1523"/>
      <c r="AU11" s="1523"/>
      <c r="AV11" s="1523"/>
      <c r="AW11" s="1523"/>
      <c r="AX11" s="1523"/>
      <c r="AY11" s="1523"/>
      <c r="AZ11" s="1523"/>
      <c r="BA11" s="1523"/>
      <c r="BB11" s="1523"/>
      <c r="BC11" s="1523"/>
      <c r="BD11" s="1523"/>
      <c r="BE11" s="1523"/>
      <c r="BF11" s="1523"/>
      <c r="BG11" s="1523"/>
      <c r="BH11" s="1523"/>
      <c r="BI11" s="1523"/>
      <c r="BJ11" s="1523"/>
      <c r="BK11" s="1523"/>
      <c r="BL11" s="1524"/>
      <c r="BN11" s="1505"/>
      <c r="BO11" s="1505"/>
      <c r="BP11" s="1505"/>
      <c r="BR11" s="3168">
        <f t="shared" si="0"/>
        <v>0</v>
      </c>
      <c r="BS11" s="1525"/>
      <c r="BT11" s="748"/>
      <c r="BU11" s="1507">
        <v>67.291769164453711</v>
      </c>
      <c r="BV11" s="1508">
        <v>0.13655504882378258</v>
      </c>
      <c r="BW11" s="1508">
        <v>0.22513176941521534</v>
      </c>
      <c r="BX11" s="1508">
        <v>0</v>
      </c>
      <c r="BY11" s="1508">
        <v>0</v>
      </c>
      <c r="BZ11" s="1508">
        <v>0</v>
      </c>
      <c r="CA11" s="1508">
        <v>0</v>
      </c>
      <c r="CB11" s="1508">
        <v>0</v>
      </c>
      <c r="CC11" s="1508">
        <v>0</v>
      </c>
      <c r="CD11" s="1508">
        <v>0</v>
      </c>
      <c r="CE11" s="1508">
        <v>0</v>
      </c>
      <c r="CF11" s="1508">
        <v>0</v>
      </c>
      <c r="CG11" s="1508">
        <v>0</v>
      </c>
      <c r="CH11" s="1508">
        <v>0</v>
      </c>
      <c r="CI11" s="1508">
        <v>0</v>
      </c>
      <c r="CJ11" s="1508">
        <v>0</v>
      </c>
      <c r="CK11" s="1508">
        <v>0</v>
      </c>
      <c r="CL11" s="1508">
        <v>0</v>
      </c>
      <c r="CM11" s="1508">
        <v>0</v>
      </c>
      <c r="CN11" s="1508">
        <v>0</v>
      </c>
      <c r="CO11" s="1508">
        <v>0</v>
      </c>
      <c r="CP11" s="1508">
        <v>0</v>
      </c>
      <c r="CQ11" s="1508">
        <v>0</v>
      </c>
      <c r="CR11" s="1508">
        <v>0</v>
      </c>
      <c r="CS11" s="1508">
        <v>0</v>
      </c>
      <c r="CT11" s="1508">
        <v>0</v>
      </c>
      <c r="CU11" s="1508">
        <v>0</v>
      </c>
      <c r="CV11" s="1508">
        <v>0</v>
      </c>
      <c r="CW11" s="1508">
        <v>0</v>
      </c>
      <c r="CX11" s="1508">
        <v>0</v>
      </c>
      <c r="CY11" s="1508">
        <v>0</v>
      </c>
      <c r="CZ11" s="1508">
        <v>0</v>
      </c>
      <c r="DA11" s="1508">
        <v>0</v>
      </c>
      <c r="DB11" s="1508">
        <v>0</v>
      </c>
      <c r="DC11" s="1508">
        <v>0</v>
      </c>
      <c r="DD11" s="1508">
        <v>0</v>
      </c>
      <c r="DE11" s="1508">
        <v>0</v>
      </c>
      <c r="DF11" s="1508">
        <v>0</v>
      </c>
      <c r="DG11" s="1508">
        <v>0</v>
      </c>
      <c r="DH11" s="1508">
        <v>0</v>
      </c>
      <c r="DI11" s="1508">
        <v>0</v>
      </c>
      <c r="DJ11" s="1508">
        <v>0</v>
      </c>
      <c r="DK11" s="1508">
        <v>0</v>
      </c>
      <c r="DL11" s="1508">
        <v>0</v>
      </c>
      <c r="DN11" s="1509"/>
    </row>
    <row r="12" spans="1:118" s="14" customFormat="1" ht="10.5" customHeight="1" outlineLevel="2" x14ac:dyDescent="0.2">
      <c r="A12" s="1495"/>
      <c r="B12" s="1495"/>
      <c r="C12" s="1496" t="s">
        <v>554</v>
      </c>
      <c r="D12" s="14" t="str">
        <f>INDEX(Modulos[Modulos], MATCH($C12, Modulos[Código], 0))</f>
        <v>Comercial y Púbico</v>
      </c>
      <c r="G12" s="1498">
        <f t="shared" ref="G12:V12" ca="1" si="4">IFERROR(INDEX(INDIRECT($C12&amp;".Outputs["&amp;this.Year&amp;"]"), MATCH(G$5, INDIRECT($C12&amp;".Outputs[Vector]"), 0)), 0)</f>
        <v>12.920104033355896</v>
      </c>
      <c r="H12" s="1498">
        <f t="shared" ca="1" si="4"/>
        <v>10.59229446312562</v>
      </c>
      <c r="I12" s="1498">
        <f t="shared" ca="1" si="4"/>
        <v>0.87651634541639944</v>
      </c>
      <c r="J12" s="1498">
        <f t="shared" ca="1" si="4"/>
        <v>2.0972092117614558</v>
      </c>
      <c r="K12" s="1498">
        <f t="shared" ca="1" si="4"/>
        <v>1.1089426928744572</v>
      </c>
      <c r="L12" s="1498">
        <f t="shared" ca="1" si="4"/>
        <v>6.3589912558184416</v>
      </c>
      <c r="M12" s="1498">
        <f t="shared" ca="1" si="4"/>
        <v>0</v>
      </c>
      <c r="N12" s="1498">
        <f t="shared" ca="1" si="4"/>
        <v>0</v>
      </c>
      <c r="O12" s="1498">
        <f t="shared" ca="1" si="4"/>
        <v>0</v>
      </c>
      <c r="P12" s="1498">
        <f t="shared" ca="1" si="4"/>
        <v>0</v>
      </c>
      <c r="Q12" s="1498">
        <f t="shared" ca="1" si="4"/>
        <v>0</v>
      </c>
      <c r="R12" s="1498">
        <f t="shared" ca="1" si="4"/>
        <v>0</v>
      </c>
      <c r="S12" s="1498">
        <f t="shared" ca="1" si="4"/>
        <v>0</v>
      </c>
      <c r="T12" s="1498">
        <f t="shared" ca="1" si="4"/>
        <v>0</v>
      </c>
      <c r="U12" s="1498">
        <f t="shared" ca="1" si="4"/>
        <v>0</v>
      </c>
      <c r="V12" s="1498">
        <f t="shared" ca="1" si="4"/>
        <v>0</v>
      </c>
      <c r="W12" s="1539">
        <f ca="1">SUM(G12:V12)</f>
        <v>33.954058002352269</v>
      </c>
      <c r="Y12" s="1500">
        <f t="shared" ref="Y12:AP12" ca="1" si="5">IFERROR(INDEX(INDIRECT($C12&amp;".Outputs["&amp;this.Year&amp;"]"), MATCH(Y$5, INDIRECT($C12&amp;".Outputs[Vector]"), 0)), 0)</f>
        <v>-19.172966395659579</v>
      </c>
      <c r="Z12" s="1500">
        <f t="shared" ca="1" si="5"/>
        <v>0</v>
      </c>
      <c r="AA12" s="1500">
        <f t="shared" ca="1" si="5"/>
        <v>0</v>
      </c>
      <c r="AB12" s="1500">
        <f t="shared" ca="1" si="5"/>
        <v>-7.1038533833247515</v>
      </c>
      <c r="AC12" s="1500">
        <f t="shared" ca="1" si="5"/>
        <v>-7.0875065285596239</v>
      </c>
      <c r="AD12" s="1500">
        <f t="shared" ca="1" si="5"/>
        <v>0</v>
      </c>
      <c r="AE12" s="1500">
        <f t="shared" ca="1" si="5"/>
        <v>0</v>
      </c>
      <c r="AF12" s="1500">
        <f t="shared" ca="1" si="5"/>
        <v>0</v>
      </c>
      <c r="AG12" s="1500">
        <f t="shared" ca="1" si="5"/>
        <v>0</v>
      </c>
      <c r="AH12" s="1500">
        <f t="shared" ca="1" si="5"/>
        <v>0</v>
      </c>
      <c r="AI12" s="1500">
        <f t="shared" ca="1" si="5"/>
        <v>0</v>
      </c>
      <c r="AJ12" s="1500">
        <f t="shared" ca="1" si="5"/>
        <v>0</v>
      </c>
      <c r="AK12" s="1500">
        <f t="shared" ca="1" si="5"/>
        <v>0</v>
      </c>
      <c r="AL12" s="1500">
        <f t="shared" ca="1" si="5"/>
        <v>-0.56945361688760987</v>
      </c>
      <c r="AM12" s="1500">
        <f t="shared" ca="1" si="5"/>
        <v>0</v>
      </c>
      <c r="AN12" s="1500">
        <f t="shared" ca="1" si="5"/>
        <v>0</v>
      </c>
      <c r="AO12" s="1500">
        <f t="shared" ca="1" si="5"/>
        <v>0</v>
      </c>
      <c r="AP12" s="1500">
        <f t="shared" ca="1" si="5"/>
        <v>0</v>
      </c>
      <c r="AQ12" s="1490">
        <f ca="1">SUM(Y12:AP12)</f>
        <v>-33.933779924431562</v>
      </c>
      <c r="AS12" s="1491">
        <f t="shared" ref="AS12:BK12" ca="1" si="6">IFERROR(INDEX(INDIRECT($C12&amp;".Outputs["&amp;this.Year&amp;"]"), MATCH(AS$5, INDIRECT($C12&amp;".Outputs[Vector]"), 0)), 0)</f>
        <v>0</v>
      </c>
      <c r="AT12" s="1491">
        <f t="shared" ca="1" si="6"/>
        <v>0</v>
      </c>
      <c r="AU12" s="1491">
        <f t="shared" ca="1" si="6"/>
        <v>0</v>
      </c>
      <c r="AV12" s="1491">
        <f t="shared" ca="1" si="6"/>
        <v>0</v>
      </c>
      <c r="AW12" s="1491">
        <f t="shared" ca="1" si="6"/>
        <v>0</v>
      </c>
      <c r="AX12" s="1491">
        <f t="shared" ca="1" si="6"/>
        <v>0</v>
      </c>
      <c r="AY12" s="1491">
        <f t="shared" ca="1" si="6"/>
        <v>0</v>
      </c>
      <c r="AZ12" s="1491">
        <f t="shared" ca="1" si="6"/>
        <v>0</v>
      </c>
      <c r="BA12" s="1491">
        <f t="shared" ca="1" si="6"/>
        <v>0</v>
      </c>
      <c r="BB12" s="1491">
        <f t="shared" ca="1" si="6"/>
        <v>0</v>
      </c>
      <c r="BC12" s="1491">
        <f t="shared" ca="1" si="6"/>
        <v>-2.027807792070498E-2</v>
      </c>
      <c r="BD12" s="1491">
        <f t="shared" ca="1" si="6"/>
        <v>0</v>
      </c>
      <c r="BE12" s="1491">
        <f t="shared" ca="1" si="6"/>
        <v>0</v>
      </c>
      <c r="BF12" s="1491">
        <f t="shared" ca="1" si="6"/>
        <v>0</v>
      </c>
      <c r="BG12" s="1491">
        <f t="shared" ca="1" si="6"/>
        <v>0</v>
      </c>
      <c r="BH12" s="1491">
        <f t="shared" ca="1" si="6"/>
        <v>0</v>
      </c>
      <c r="BI12" s="1491">
        <f t="shared" ca="1" si="6"/>
        <v>0</v>
      </c>
      <c r="BJ12" s="1491">
        <f t="shared" ca="1" si="6"/>
        <v>0</v>
      </c>
      <c r="BK12" s="1491">
        <f t="shared" ca="1" si="6"/>
        <v>0</v>
      </c>
      <c r="BL12" s="1503">
        <f ca="1">SUM(AS12:BK12)</f>
        <v>-2.027807792070498E-2</v>
      </c>
      <c r="BN12" s="1941">
        <f ca="1">IFERROR(INDEX(INDIRECT($C12&amp;".Outputs["&amp;this.Year&amp;"]"), MATCH(BN$5, INDIRECT($C12&amp;".Outputs[Vector]"), 0)), 0)</f>
        <v>0</v>
      </c>
      <c r="BO12" s="1941">
        <f ca="1">IFERROR(INDEX(INDIRECT($C12&amp;".Outputs["&amp;this.Year&amp;"]"), MATCH(BO$5, INDIRECT($C12&amp;".Outputs[Vector]"), 0)), 0)</f>
        <v>0</v>
      </c>
      <c r="BP12" s="1505">
        <f ca="1">BN12+BO12</f>
        <v>0</v>
      </c>
      <c r="BR12" s="3168">
        <f t="shared" ca="1" si="0"/>
        <v>2.4806545706468341E-15</v>
      </c>
      <c r="BS12" s="1506"/>
      <c r="BT12" s="748"/>
      <c r="BU12" s="1507">
        <v>16.670422935762357</v>
      </c>
      <c r="BV12" s="1508">
        <v>3.1691470049996472E-2</v>
      </c>
      <c r="BW12" s="1508">
        <v>7.1890492881915569E-2</v>
      </c>
      <c r="BX12" s="1508">
        <v>0</v>
      </c>
      <c r="BY12" s="1508">
        <v>0</v>
      </c>
      <c r="BZ12" s="1508">
        <v>0</v>
      </c>
      <c r="CA12" s="1508">
        <v>0</v>
      </c>
      <c r="CB12" s="1508">
        <v>0</v>
      </c>
      <c r="CC12" s="1508">
        <v>0</v>
      </c>
      <c r="CD12" s="1508">
        <v>0</v>
      </c>
      <c r="CE12" s="1508">
        <v>0</v>
      </c>
      <c r="CF12" s="1508">
        <v>0</v>
      </c>
      <c r="CG12" s="1508">
        <v>0</v>
      </c>
      <c r="CH12" s="1508">
        <v>0</v>
      </c>
      <c r="CI12" s="1508">
        <v>0</v>
      </c>
      <c r="CJ12" s="1508">
        <v>0</v>
      </c>
      <c r="CK12" s="1508">
        <v>0</v>
      </c>
      <c r="CL12" s="1508">
        <v>0</v>
      </c>
      <c r="CM12" s="1508">
        <v>0</v>
      </c>
      <c r="CN12" s="1508">
        <v>0</v>
      </c>
      <c r="CO12" s="1508">
        <v>0</v>
      </c>
      <c r="CP12" s="1508">
        <v>0</v>
      </c>
      <c r="CQ12" s="1508">
        <v>0</v>
      </c>
      <c r="CR12" s="1508">
        <v>0</v>
      </c>
      <c r="CS12" s="1508">
        <v>0</v>
      </c>
      <c r="CT12" s="1508">
        <v>0</v>
      </c>
      <c r="CU12" s="1508">
        <v>0</v>
      </c>
      <c r="CV12" s="1508">
        <v>0</v>
      </c>
      <c r="CW12" s="1508">
        <v>0</v>
      </c>
      <c r="CX12" s="1508">
        <v>0</v>
      </c>
      <c r="CY12" s="1508">
        <v>0</v>
      </c>
      <c r="CZ12" s="1508">
        <v>0</v>
      </c>
      <c r="DA12" s="1508">
        <v>0</v>
      </c>
      <c r="DB12" s="1508">
        <v>0</v>
      </c>
      <c r="DC12" s="1508">
        <v>0</v>
      </c>
      <c r="DD12" s="1508">
        <v>0</v>
      </c>
      <c r="DE12" s="1508">
        <v>0</v>
      </c>
      <c r="DF12" s="1508">
        <v>0</v>
      </c>
      <c r="DG12" s="1508">
        <v>0</v>
      </c>
      <c r="DH12" s="1508">
        <v>0</v>
      </c>
      <c r="DI12" s="1508">
        <v>0</v>
      </c>
      <c r="DJ12" s="1508">
        <v>0</v>
      </c>
      <c r="DK12" s="1508">
        <v>0</v>
      </c>
      <c r="DL12" s="1508">
        <v>0</v>
      </c>
      <c r="DN12" s="1509"/>
    </row>
    <row r="13" spans="1:118" s="14" customFormat="1" ht="10.5" customHeight="1" outlineLevel="2" x14ac:dyDescent="0.2">
      <c r="A13" s="1510"/>
      <c r="B13" s="1510"/>
      <c r="C13" s="1511"/>
      <c r="D13" s="1510"/>
      <c r="E13" s="1512"/>
      <c r="G13" s="1513"/>
      <c r="H13" s="1513"/>
      <c r="I13" s="1513"/>
      <c r="J13" s="1513"/>
      <c r="K13" s="1513"/>
      <c r="L13" s="1513"/>
      <c r="M13" s="1513"/>
      <c r="N13" s="1513"/>
      <c r="O13" s="1513"/>
      <c r="P13" s="1513"/>
      <c r="Q13" s="1513"/>
      <c r="R13" s="1513"/>
      <c r="S13" s="1513"/>
      <c r="T13" s="1513"/>
      <c r="U13" s="1513"/>
      <c r="V13" s="1513"/>
      <c r="W13" s="1514"/>
      <c r="Y13" s="1515"/>
      <c r="Z13" s="1515"/>
      <c r="AA13" s="1515"/>
      <c r="AB13" s="1515"/>
      <c r="AC13" s="1515"/>
      <c r="AD13" s="1515"/>
      <c r="AE13" s="1515"/>
      <c r="AF13" s="1515"/>
      <c r="AG13" s="1515"/>
      <c r="AH13" s="1515"/>
      <c r="AI13" s="1515"/>
      <c r="AJ13" s="1515"/>
      <c r="AK13" s="1515"/>
      <c r="AL13" s="1515"/>
      <c r="AM13" s="1515"/>
      <c r="AN13" s="1515"/>
      <c r="AO13" s="1515"/>
      <c r="AP13" s="1515"/>
      <c r="AQ13" s="1516"/>
      <c r="AS13" s="1517"/>
      <c r="AT13" s="1517"/>
      <c r="AU13" s="1517"/>
      <c r="AV13" s="1517"/>
      <c r="AW13" s="1517"/>
      <c r="AX13" s="1517"/>
      <c r="AY13" s="1517"/>
      <c r="AZ13" s="1517"/>
      <c r="BA13" s="1517"/>
      <c r="BB13" s="1517"/>
      <c r="BC13" s="1517"/>
      <c r="BD13" s="1517"/>
      <c r="BE13" s="1517"/>
      <c r="BF13" s="1517"/>
      <c r="BG13" s="1517"/>
      <c r="BH13" s="1517"/>
      <c r="BI13" s="1517"/>
      <c r="BJ13" s="1517"/>
      <c r="BK13" s="1517"/>
      <c r="BL13" s="1518"/>
      <c r="BN13" s="1519"/>
      <c r="BO13" s="1519"/>
      <c r="BP13" s="1520"/>
      <c r="BR13" s="3168">
        <f t="shared" si="0"/>
        <v>0</v>
      </c>
      <c r="BS13" s="1521"/>
      <c r="BT13" s="748"/>
      <c r="BU13" s="1507">
        <v>0</v>
      </c>
      <c r="BV13" s="1508">
        <v>0</v>
      </c>
      <c r="BW13" s="1508">
        <v>0</v>
      </c>
      <c r="BX13" s="1508">
        <v>0</v>
      </c>
      <c r="BY13" s="1508">
        <v>0</v>
      </c>
      <c r="BZ13" s="1508">
        <v>0</v>
      </c>
      <c r="CA13" s="1508">
        <v>0</v>
      </c>
      <c r="CB13" s="1508">
        <v>0</v>
      </c>
      <c r="CC13" s="1508">
        <v>0</v>
      </c>
      <c r="CD13" s="1508">
        <v>0</v>
      </c>
      <c r="CE13" s="1508">
        <v>0</v>
      </c>
      <c r="CF13" s="1508">
        <v>0</v>
      </c>
      <c r="CG13" s="1508">
        <v>0</v>
      </c>
      <c r="CH13" s="1508">
        <v>0</v>
      </c>
      <c r="CI13" s="1508">
        <v>0</v>
      </c>
      <c r="CJ13" s="1508">
        <v>0</v>
      </c>
      <c r="CK13" s="1508">
        <v>0</v>
      </c>
      <c r="CL13" s="1508">
        <v>0</v>
      </c>
      <c r="CM13" s="1508">
        <v>0</v>
      </c>
      <c r="CN13" s="1508">
        <v>0</v>
      </c>
      <c r="CO13" s="1508">
        <v>0</v>
      </c>
      <c r="CP13" s="1508">
        <v>0</v>
      </c>
      <c r="CQ13" s="1508">
        <v>0</v>
      </c>
      <c r="CR13" s="1508">
        <v>0</v>
      </c>
      <c r="CS13" s="1508">
        <v>0</v>
      </c>
      <c r="CT13" s="1508">
        <v>0</v>
      </c>
      <c r="CU13" s="1508">
        <v>0</v>
      </c>
      <c r="CV13" s="1508">
        <v>0</v>
      </c>
      <c r="CW13" s="1508">
        <v>0</v>
      </c>
      <c r="CX13" s="1508">
        <v>0</v>
      </c>
      <c r="CY13" s="1508">
        <v>0</v>
      </c>
      <c r="CZ13" s="1508">
        <v>0</v>
      </c>
      <c r="DA13" s="1508">
        <v>0</v>
      </c>
      <c r="DB13" s="1508">
        <v>0</v>
      </c>
      <c r="DC13" s="1508">
        <v>0</v>
      </c>
      <c r="DD13" s="1508">
        <v>0</v>
      </c>
      <c r="DE13" s="1508">
        <v>0</v>
      </c>
      <c r="DF13" s="1508">
        <v>0</v>
      </c>
      <c r="DG13" s="1508">
        <v>0</v>
      </c>
      <c r="DH13" s="1508">
        <v>0</v>
      </c>
      <c r="DI13" s="1508">
        <v>0</v>
      </c>
      <c r="DJ13" s="1508">
        <v>0</v>
      </c>
      <c r="DK13" s="1508">
        <v>0</v>
      </c>
      <c r="DL13" s="1508">
        <v>0</v>
      </c>
      <c r="DN13" s="1509"/>
    </row>
    <row r="14" spans="1:118" s="14" customFormat="1" ht="12.75" customHeight="1" outlineLevel="1" x14ac:dyDescent="0.2">
      <c r="A14" s="1522"/>
      <c r="B14" s="1522"/>
      <c r="C14" s="1496"/>
      <c r="D14" s="1526"/>
      <c r="E14" s="1526"/>
      <c r="G14" s="1527"/>
      <c r="H14" s="1527"/>
      <c r="I14" s="1527"/>
      <c r="J14" s="1527"/>
      <c r="K14" s="1527"/>
      <c r="L14" s="1527"/>
      <c r="M14" s="1527"/>
      <c r="N14" s="1527"/>
      <c r="O14" s="1527"/>
      <c r="P14" s="1527"/>
      <c r="Q14" s="1527"/>
      <c r="R14" s="1527"/>
      <c r="S14" s="1527"/>
      <c r="T14" s="1527"/>
      <c r="U14" s="1527"/>
      <c r="V14" s="1527"/>
      <c r="W14" s="1527"/>
      <c r="Y14" s="1528"/>
      <c r="Z14" s="1528"/>
      <c r="AA14" s="1528"/>
      <c r="AB14" s="1528"/>
      <c r="AC14" s="1528"/>
      <c r="AD14" s="1528"/>
      <c r="AE14" s="1528"/>
      <c r="AF14" s="1528"/>
      <c r="AG14" s="1528"/>
      <c r="AH14" s="1528"/>
      <c r="AI14" s="1528"/>
      <c r="AJ14" s="1528"/>
      <c r="AK14" s="1528"/>
      <c r="AL14" s="1528"/>
      <c r="AM14" s="1528"/>
      <c r="AN14" s="1528"/>
      <c r="AO14" s="1528"/>
      <c r="AP14" s="1528"/>
      <c r="AQ14" s="1528"/>
      <c r="AS14" s="1529"/>
      <c r="AT14" s="1529"/>
      <c r="AU14" s="1529"/>
      <c r="AV14" s="1529"/>
      <c r="AW14" s="1529"/>
      <c r="AX14" s="1529"/>
      <c r="AY14" s="1529"/>
      <c r="AZ14" s="1529"/>
      <c r="BA14" s="1529"/>
      <c r="BB14" s="1529"/>
      <c r="BC14" s="1529"/>
      <c r="BD14" s="1529"/>
      <c r="BE14" s="1529"/>
      <c r="BF14" s="1529"/>
      <c r="BG14" s="1529"/>
      <c r="BH14" s="1529"/>
      <c r="BI14" s="1529"/>
      <c r="BJ14" s="1529"/>
      <c r="BK14" s="1529"/>
      <c r="BL14" s="1530"/>
      <c r="BN14" s="1531"/>
      <c r="BO14" s="1531"/>
      <c r="BP14" s="1531"/>
      <c r="BR14" s="3168">
        <f t="shared" si="0"/>
        <v>0</v>
      </c>
      <c r="BS14" s="1525"/>
      <c r="BT14" s="748"/>
      <c r="BU14" s="1532">
        <v>16.670422935762357</v>
      </c>
      <c r="BV14" s="1533">
        <v>3.1691470049996472E-2</v>
      </c>
      <c r="BW14" s="1533">
        <v>7.1890492881915569E-2</v>
      </c>
      <c r="BX14" s="1533">
        <v>0</v>
      </c>
      <c r="BY14" s="1533">
        <v>0</v>
      </c>
      <c r="BZ14" s="1533">
        <v>0</v>
      </c>
      <c r="CA14" s="1533">
        <v>0</v>
      </c>
      <c r="CB14" s="1533">
        <v>0</v>
      </c>
      <c r="CC14" s="1533">
        <v>0</v>
      </c>
      <c r="CD14" s="1533">
        <v>0</v>
      </c>
      <c r="CE14" s="1533">
        <v>0</v>
      </c>
      <c r="CF14" s="1533">
        <v>0</v>
      </c>
      <c r="CG14" s="1533">
        <v>0</v>
      </c>
      <c r="CH14" s="1533">
        <v>0</v>
      </c>
      <c r="CI14" s="1533">
        <v>0</v>
      </c>
      <c r="CJ14" s="1533">
        <v>0</v>
      </c>
      <c r="CK14" s="1533">
        <v>0</v>
      </c>
      <c r="CL14" s="1533">
        <v>0</v>
      </c>
      <c r="CM14" s="1533">
        <v>0</v>
      </c>
      <c r="CN14" s="1533">
        <v>0</v>
      </c>
      <c r="CO14" s="1533">
        <v>0</v>
      </c>
      <c r="CP14" s="1533">
        <v>0</v>
      </c>
      <c r="CQ14" s="1533">
        <v>0</v>
      </c>
      <c r="CR14" s="1533">
        <v>0</v>
      </c>
      <c r="CS14" s="1533">
        <v>0</v>
      </c>
      <c r="CT14" s="1533">
        <v>0</v>
      </c>
      <c r="CU14" s="1533">
        <v>0</v>
      </c>
      <c r="CV14" s="1533">
        <v>0</v>
      </c>
      <c r="CW14" s="1533">
        <v>0</v>
      </c>
      <c r="CX14" s="1533">
        <v>0</v>
      </c>
      <c r="CY14" s="1533">
        <v>0</v>
      </c>
      <c r="CZ14" s="1533">
        <v>0</v>
      </c>
      <c r="DA14" s="1533">
        <v>0</v>
      </c>
      <c r="DB14" s="1533">
        <v>0</v>
      </c>
      <c r="DC14" s="1533">
        <v>0</v>
      </c>
      <c r="DD14" s="1533">
        <v>0</v>
      </c>
      <c r="DE14" s="1533">
        <v>0</v>
      </c>
      <c r="DF14" s="1533">
        <v>0</v>
      </c>
      <c r="DG14" s="1533">
        <v>0</v>
      </c>
      <c r="DH14" s="1533">
        <v>0</v>
      </c>
      <c r="DI14" s="1533">
        <v>0</v>
      </c>
      <c r="DJ14" s="1533">
        <v>0</v>
      </c>
      <c r="DK14" s="1533">
        <v>0</v>
      </c>
      <c r="DL14" s="1533">
        <v>0</v>
      </c>
      <c r="DN14" s="1509"/>
    </row>
    <row r="15" spans="1:118" s="14" customFormat="1" ht="15.75" x14ac:dyDescent="0.2">
      <c r="A15" s="1534"/>
      <c r="B15" s="1535"/>
      <c r="C15" s="1536" t="s">
        <v>478</v>
      </c>
      <c r="D15" s="1537" t="str">
        <f>INDEX(Flujos[Flujos], MATCH($C15, Flujos[Código], 0))</f>
        <v>Comercial, Público y Residencial</v>
      </c>
      <c r="E15" s="1538"/>
      <c r="G15" s="1539">
        <f ca="1">G9+G12</f>
        <v>60.783628392010016</v>
      </c>
      <c r="H15" s="1539">
        <f ca="1">H9+H12</f>
        <v>12.972718409914814</v>
      </c>
      <c r="I15" s="1539">
        <f t="shared" ref="I15:V15" ca="1" si="7">I9+I12</f>
        <v>5.1272733932542449</v>
      </c>
      <c r="J15" s="1539">
        <f t="shared" ca="1" si="7"/>
        <v>17.059874020150673</v>
      </c>
      <c r="K15" s="1539">
        <f t="shared" ca="1" si="7"/>
        <v>7.5700934055879809</v>
      </c>
      <c r="L15" s="1539">
        <f t="shared" ca="1" si="7"/>
        <v>15.455611338191433</v>
      </c>
      <c r="M15" s="1539">
        <f t="shared" ca="1" si="7"/>
        <v>0</v>
      </c>
      <c r="N15" s="1539">
        <f t="shared" ca="1" si="7"/>
        <v>0</v>
      </c>
      <c r="O15" s="1539">
        <f t="shared" ca="1" si="7"/>
        <v>0</v>
      </c>
      <c r="P15" s="1539">
        <f t="shared" ca="1" si="7"/>
        <v>0</v>
      </c>
      <c r="Q15" s="1539">
        <f t="shared" ca="1" si="7"/>
        <v>0</v>
      </c>
      <c r="R15" s="1539">
        <f t="shared" ca="1" si="7"/>
        <v>0</v>
      </c>
      <c r="S15" s="1539">
        <f t="shared" ca="1" si="7"/>
        <v>0</v>
      </c>
      <c r="T15" s="1539">
        <f t="shared" ca="1" si="7"/>
        <v>0</v>
      </c>
      <c r="U15" s="1539">
        <f t="shared" ca="1" si="7"/>
        <v>0</v>
      </c>
      <c r="V15" s="1539">
        <f t="shared" ca="1" si="7"/>
        <v>0</v>
      </c>
      <c r="W15" s="1539">
        <f ca="1">SUM(G15:V15)</f>
        <v>118.96919895910916</v>
      </c>
      <c r="Y15" s="1490">
        <f ca="1">Y9+Y12</f>
        <v>-43.810019146561018</v>
      </c>
      <c r="Z15" s="1490">
        <f t="shared" ref="Z15:AP15" ca="1" si="8">Z9+Z12</f>
        <v>0</v>
      </c>
      <c r="AA15" s="1490">
        <f t="shared" ca="1" si="8"/>
        <v>0</v>
      </c>
      <c r="AB15" s="1490">
        <f ca="1">AB9+AB12</f>
        <v>-17.671297350993335</v>
      </c>
      <c r="AC15" s="1490">
        <f t="shared" ca="1" si="8"/>
        <v>-48.52324490551063</v>
      </c>
      <c r="AD15" s="1490">
        <f t="shared" ca="1" si="8"/>
        <v>0</v>
      </c>
      <c r="AE15" s="1490">
        <f t="shared" ca="1" si="8"/>
        <v>0</v>
      </c>
      <c r="AF15" s="1490">
        <f t="shared" ca="1" si="8"/>
        <v>0</v>
      </c>
      <c r="AG15" s="1490">
        <f t="shared" ca="1" si="8"/>
        <v>0</v>
      </c>
      <c r="AH15" s="1490">
        <f t="shared" ca="1" si="8"/>
        <v>0</v>
      </c>
      <c r="AI15" s="1490">
        <f t="shared" ca="1" si="8"/>
        <v>0</v>
      </c>
      <c r="AJ15" s="1490">
        <f t="shared" ca="1" si="8"/>
        <v>0</v>
      </c>
      <c r="AK15" s="1490">
        <f t="shared" ca="1" si="8"/>
        <v>0</v>
      </c>
      <c r="AL15" s="1490">
        <f t="shared" ca="1" si="8"/>
        <v>-8.9443594781234719</v>
      </c>
      <c r="AM15" s="1490">
        <f t="shared" ca="1" si="8"/>
        <v>0</v>
      </c>
      <c r="AN15" s="1490">
        <f t="shared" ca="1" si="8"/>
        <v>0</v>
      </c>
      <c r="AO15" s="1490">
        <f t="shared" ca="1" si="8"/>
        <v>0</v>
      </c>
      <c r="AP15" s="1490">
        <f t="shared" ca="1" si="8"/>
        <v>0</v>
      </c>
      <c r="AQ15" s="1490">
        <f ca="1">SUM(Y15:AP15)</f>
        <v>-118.94892088118846</v>
      </c>
      <c r="AS15" s="1491">
        <f ca="1">AS9+AS12</f>
        <v>0</v>
      </c>
      <c r="AT15" s="1491">
        <f t="shared" ref="AT15:BJ15" ca="1" si="9">AT9+AT12</f>
        <v>0</v>
      </c>
      <c r="AU15" s="1491">
        <f t="shared" ca="1" si="9"/>
        <v>0</v>
      </c>
      <c r="AV15" s="1491">
        <f t="shared" ca="1" si="9"/>
        <v>0</v>
      </c>
      <c r="AW15" s="1491">
        <f t="shared" ca="1" si="9"/>
        <v>0</v>
      </c>
      <c r="AX15" s="1491">
        <f t="shared" ca="1" si="9"/>
        <v>0</v>
      </c>
      <c r="AY15" s="1491">
        <f t="shared" ca="1" si="9"/>
        <v>0</v>
      </c>
      <c r="AZ15" s="1491">
        <f t="shared" ca="1" si="9"/>
        <v>0</v>
      </c>
      <c r="BA15" s="1491">
        <f t="shared" ca="1" si="9"/>
        <v>0</v>
      </c>
      <c r="BB15" s="1491">
        <f t="shared" ca="1" si="9"/>
        <v>0</v>
      </c>
      <c r="BC15" s="1491">
        <f t="shared" ca="1" si="9"/>
        <v>-2.027807792070498E-2</v>
      </c>
      <c r="BD15" s="1491">
        <f t="shared" ca="1" si="9"/>
        <v>0</v>
      </c>
      <c r="BE15" s="1491">
        <f t="shared" ca="1" si="9"/>
        <v>0</v>
      </c>
      <c r="BF15" s="1491">
        <f t="shared" ca="1" si="9"/>
        <v>0</v>
      </c>
      <c r="BG15" s="1491">
        <f t="shared" ca="1" si="9"/>
        <v>0</v>
      </c>
      <c r="BH15" s="1491">
        <f t="shared" ca="1" si="9"/>
        <v>0</v>
      </c>
      <c r="BI15" s="1491">
        <f t="shared" ca="1" si="9"/>
        <v>0</v>
      </c>
      <c r="BJ15" s="1491">
        <f t="shared" ca="1" si="9"/>
        <v>0</v>
      </c>
      <c r="BK15" s="1491">
        <f ca="1">BK9+BK12</f>
        <v>0</v>
      </c>
      <c r="BL15" s="1491">
        <f ca="1">SUM(AS15:BK15)</f>
        <v>-2.027807792070498E-2</v>
      </c>
      <c r="BN15" s="1941">
        <f ca="1">BN9+BN12</f>
        <v>0</v>
      </c>
      <c r="BO15" s="1941">
        <f ca="1">BO9+BO12</f>
        <v>0</v>
      </c>
      <c r="BP15" s="1505">
        <f ca="1">BN15+BO15</f>
        <v>0</v>
      </c>
      <c r="BR15" s="3168">
        <f ca="1">W15+AQ15+BL15+BP15</f>
        <v>2.4806545706468341E-15</v>
      </c>
      <c r="BS15" s="1493"/>
      <c r="BT15" s="748"/>
      <c r="BU15" s="1508">
        <v>83.962192100216072</v>
      </c>
      <c r="BV15" s="1508">
        <v>0.16824651887377906</v>
      </c>
      <c r="BW15" s="1508">
        <v>0.29702226229713091</v>
      </c>
      <c r="BX15" s="1508">
        <v>0</v>
      </c>
      <c r="BY15" s="1508">
        <v>0</v>
      </c>
      <c r="BZ15" s="1508">
        <v>0</v>
      </c>
      <c r="CA15" s="1508">
        <v>0</v>
      </c>
      <c r="CB15" s="1508">
        <v>0</v>
      </c>
      <c r="CC15" s="1508">
        <v>0</v>
      </c>
      <c r="CD15" s="1508">
        <v>0</v>
      </c>
      <c r="CE15" s="1508">
        <v>0</v>
      </c>
      <c r="CF15" s="1508">
        <v>0</v>
      </c>
      <c r="CG15" s="1508">
        <v>0</v>
      </c>
      <c r="CH15" s="1508">
        <v>0</v>
      </c>
      <c r="CI15" s="1508">
        <v>0</v>
      </c>
      <c r="CJ15" s="1508">
        <v>0</v>
      </c>
      <c r="CK15" s="1508">
        <v>0</v>
      </c>
      <c r="CL15" s="1508">
        <v>0</v>
      </c>
      <c r="CM15" s="1508">
        <v>0</v>
      </c>
      <c r="CN15" s="1508">
        <v>0</v>
      </c>
      <c r="CO15" s="1508">
        <v>0</v>
      </c>
      <c r="CP15" s="1508">
        <v>0</v>
      </c>
      <c r="CQ15" s="1508">
        <v>0</v>
      </c>
      <c r="CR15" s="1508">
        <v>0</v>
      </c>
      <c r="CS15" s="1508">
        <v>0</v>
      </c>
      <c r="CT15" s="1508">
        <v>0</v>
      </c>
      <c r="CU15" s="1508">
        <v>0</v>
      </c>
      <c r="CV15" s="1508">
        <v>0</v>
      </c>
      <c r="CW15" s="1508">
        <v>0</v>
      </c>
      <c r="CX15" s="1508">
        <v>0</v>
      </c>
      <c r="CY15" s="1508">
        <v>0</v>
      </c>
      <c r="CZ15" s="1508">
        <v>0</v>
      </c>
      <c r="DA15" s="1508">
        <v>0</v>
      </c>
      <c r="DB15" s="1508">
        <v>0</v>
      </c>
      <c r="DC15" s="1508">
        <v>0</v>
      </c>
      <c r="DD15" s="1508">
        <v>0</v>
      </c>
      <c r="DE15" s="1508">
        <v>0</v>
      </c>
      <c r="DF15" s="1508">
        <v>0</v>
      </c>
      <c r="DG15" s="1508">
        <v>0</v>
      </c>
      <c r="DH15" s="1508">
        <v>0</v>
      </c>
      <c r="DI15" s="1508">
        <v>0</v>
      </c>
      <c r="DJ15" s="1508">
        <v>0</v>
      </c>
      <c r="DK15" s="1508">
        <v>0</v>
      </c>
      <c r="DL15" s="1508">
        <v>0</v>
      </c>
      <c r="DN15" s="1509">
        <v>84.427460881386978</v>
      </c>
    </row>
    <row r="16" spans="1:118" s="14" customFormat="1" ht="15.75" x14ac:dyDescent="0.2">
      <c r="A16" s="1534"/>
      <c r="B16" s="1535"/>
      <c r="C16" s="1536"/>
      <c r="D16" s="1537"/>
      <c r="E16" s="1538"/>
      <c r="G16" s="1539"/>
      <c r="H16" s="1539"/>
      <c r="I16" s="1539"/>
      <c r="J16" s="1539"/>
      <c r="K16" s="1539"/>
      <c r="L16" s="1539"/>
      <c r="M16" s="1539"/>
      <c r="N16" s="1539"/>
      <c r="O16" s="1539"/>
      <c r="P16" s="1539"/>
      <c r="Q16" s="1539"/>
      <c r="R16" s="1539"/>
      <c r="S16" s="1539"/>
      <c r="T16" s="1539"/>
      <c r="U16" s="1539"/>
      <c r="V16" s="1539"/>
      <c r="W16" s="1539"/>
      <c r="Y16" s="1490"/>
      <c r="Z16" s="1490"/>
      <c r="AA16" s="1490"/>
      <c r="AB16" s="1490"/>
      <c r="AC16" s="1490"/>
      <c r="AD16" s="1490"/>
      <c r="AE16" s="1490"/>
      <c r="AF16" s="1490"/>
      <c r="AG16" s="1490"/>
      <c r="AH16" s="1490"/>
      <c r="AI16" s="1490"/>
      <c r="AJ16" s="1490"/>
      <c r="AK16" s="1490"/>
      <c r="AL16" s="1490"/>
      <c r="AM16" s="1490"/>
      <c r="AN16" s="1490"/>
      <c r="AO16" s="1490"/>
      <c r="AP16" s="1490"/>
      <c r="AQ16" s="1490"/>
      <c r="AS16" s="1491"/>
      <c r="AT16" s="1491"/>
      <c r="AU16" s="1491"/>
      <c r="AV16" s="1491"/>
      <c r="AW16" s="1491"/>
      <c r="AX16" s="1491"/>
      <c r="AY16" s="1491"/>
      <c r="AZ16" s="1491"/>
      <c r="BA16" s="1491"/>
      <c r="BB16" s="1491"/>
      <c r="BC16" s="1491"/>
      <c r="BD16" s="1491"/>
      <c r="BE16" s="1491"/>
      <c r="BF16" s="1491"/>
      <c r="BG16" s="1491"/>
      <c r="BH16" s="1491"/>
      <c r="BI16" s="1491"/>
      <c r="BJ16" s="1491"/>
      <c r="BK16" s="1491"/>
      <c r="BL16" s="1491"/>
      <c r="BN16" s="1492"/>
      <c r="BO16" s="1492"/>
      <c r="BP16" s="1492"/>
      <c r="BR16" s="3168"/>
      <c r="BS16" s="1493"/>
      <c r="BT16" s="748"/>
      <c r="BU16" s="1508"/>
      <c r="BV16" s="1508"/>
      <c r="BW16" s="1508"/>
      <c r="BX16" s="1508"/>
      <c r="BY16" s="1508"/>
      <c r="BZ16" s="1508"/>
      <c r="CA16" s="1508"/>
      <c r="CB16" s="1508"/>
      <c r="CC16" s="1508"/>
      <c r="CD16" s="1508"/>
      <c r="CE16" s="1508"/>
      <c r="CF16" s="1508"/>
      <c r="CG16" s="1508"/>
      <c r="CH16" s="1508"/>
      <c r="CI16" s="1508"/>
      <c r="CJ16" s="1508"/>
      <c r="CK16" s="1508"/>
      <c r="CL16" s="1508"/>
      <c r="CM16" s="1508"/>
      <c r="CN16" s="1508"/>
      <c r="CO16" s="1508"/>
      <c r="CP16" s="1508"/>
      <c r="CQ16" s="1508"/>
      <c r="CR16" s="1508"/>
      <c r="CS16" s="1508"/>
      <c r="CT16" s="1508"/>
      <c r="CU16" s="1508"/>
      <c r="CV16" s="1508"/>
      <c r="CW16" s="1508"/>
      <c r="CX16" s="1508"/>
      <c r="CY16" s="1508"/>
      <c r="CZ16" s="1508"/>
      <c r="DA16" s="1508"/>
      <c r="DB16" s="1508"/>
      <c r="DC16" s="1508"/>
      <c r="DD16" s="1508"/>
      <c r="DE16" s="1508"/>
      <c r="DF16" s="1508"/>
      <c r="DG16" s="1508"/>
      <c r="DH16" s="1508"/>
      <c r="DI16" s="1508"/>
      <c r="DJ16" s="1508"/>
      <c r="DK16" s="1508"/>
      <c r="DL16" s="1508"/>
      <c r="DN16" s="1509"/>
    </row>
    <row r="17" spans="1:118" s="14" customFormat="1" ht="12.75" hidden="1" customHeight="1" outlineLevel="1" x14ac:dyDescent="0.2">
      <c r="A17" s="1522"/>
      <c r="B17" s="1522"/>
      <c r="C17" s="1496"/>
      <c r="D17" s="1497"/>
      <c r="E17" s="1497"/>
      <c r="G17" s="1499"/>
      <c r="H17" s="1499"/>
      <c r="I17" s="1499"/>
      <c r="J17" s="1499"/>
      <c r="K17" s="1499"/>
      <c r="L17" s="1499"/>
      <c r="M17" s="1499"/>
      <c r="N17" s="1499"/>
      <c r="O17" s="1499"/>
      <c r="P17" s="1499"/>
      <c r="Q17" s="1499"/>
      <c r="R17" s="1499"/>
      <c r="S17" s="1499"/>
      <c r="T17" s="1499"/>
      <c r="U17" s="1499"/>
      <c r="V17" s="1499"/>
      <c r="W17" s="1539">
        <f t="shared" ref="W17:W33" si="10">SUM(G17:V17)</f>
        <v>0</v>
      </c>
      <c r="Y17" s="1501"/>
      <c r="Z17" s="1501"/>
      <c r="AA17" s="1501"/>
      <c r="AB17" s="1501"/>
      <c r="AC17" s="1501"/>
      <c r="AD17" s="1501"/>
      <c r="AE17" s="1501"/>
      <c r="AF17" s="1501"/>
      <c r="AG17" s="1501"/>
      <c r="AH17" s="1501"/>
      <c r="AI17" s="1501"/>
      <c r="AJ17" s="1501"/>
      <c r="AK17" s="1501"/>
      <c r="AL17" s="1501"/>
      <c r="AM17" s="1501"/>
      <c r="AN17" s="1501"/>
      <c r="AO17" s="1501"/>
      <c r="AP17" s="1501"/>
      <c r="AQ17" s="1490">
        <f t="shared" ref="AQ17:AQ27" si="11">SUM(Y17:AP17)</f>
        <v>0</v>
      </c>
      <c r="AS17" s="1523"/>
      <c r="AT17" s="1523"/>
      <c r="AU17" s="1523"/>
      <c r="AV17" s="1523"/>
      <c r="AW17" s="1523"/>
      <c r="AX17" s="1523"/>
      <c r="AY17" s="1523"/>
      <c r="AZ17" s="1523"/>
      <c r="BA17" s="1523"/>
      <c r="BB17" s="1523"/>
      <c r="BC17" s="1523"/>
      <c r="BD17" s="1523"/>
      <c r="BE17" s="1523"/>
      <c r="BF17" s="1523"/>
      <c r="BG17" s="1523"/>
      <c r="BH17" s="1523"/>
      <c r="BI17" s="1523"/>
      <c r="BJ17" s="1523"/>
      <c r="BK17" s="1523"/>
      <c r="BL17" s="1524"/>
      <c r="BN17" s="1505"/>
      <c r="BO17" s="1505"/>
      <c r="BP17" s="1505"/>
      <c r="BR17" s="3168">
        <f t="shared" ref="BR17:BR76" si="12">W17+AQ17+BL17+BP17</f>
        <v>0</v>
      </c>
      <c r="BS17" s="1525"/>
      <c r="BT17" s="1522"/>
      <c r="BU17" s="1507"/>
      <c r="BV17" s="1508"/>
      <c r="BW17" s="1508"/>
      <c r="BX17" s="1508"/>
      <c r="BY17" s="1508"/>
      <c r="BZ17" s="1508"/>
      <c r="CA17" s="1508"/>
      <c r="CB17" s="1508"/>
      <c r="CC17" s="1508"/>
      <c r="CD17" s="1508"/>
      <c r="CE17" s="1508"/>
      <c r="CF17" s="1508"/>
      <c r="CG17" s="1508"/>
      <c r="CH17" s="1508"/>
      <c r="CI17" s="1508"/>
      <c r="CJ17" s="1508"/>
      <c r="CK17" s="1508"/>
      <c r="CL17" s="1508"/>
      <c r="CM17" s="1508"/>
      <c r="CN17" s="1508"/>
      <c r="CO17" s="1508"/>
      <c r="CP17" s="1508"/>
      <c r="CQ17" s="1508"/>
      <c r="CR17" s="1508"/>
      <c r="CS17" s="1508"/>
      <c r="CT17" s="1508"/>
      <c r="CU17" s="1508"/>
      <c r="CV17" s="1508"/>
      <c r="CW17" s="1508"/>
      <c r="CX17" s="1508"/>
      <c r="CY17" s="1508"/>
      <c r="CZ17" s="1508"/>
      <c r="DA17" s="1508"/>
      <c r="DB17" s="1508"/>
      <c r="DC17" s="1508"/>
      <c r="DD17" s="1508"/>
      <c r="DE17" s="1508"/>
      <c r="DF17" s="1508"/>
      <c r="DG17" s="1508"/>
      <c r="DH17" s="1508"/>
      <c r="DI17" s="1508"/>
      <c r="DJ17" s="1508"/>
      <c r="DK17" s="1508"/>
      <c r="DL17" s="1508"/>
      <c r="DN17" s="1509">
        <v>0</v>
      </c>
    </row>
    <row r="18" spans="1:118" s="14" customFormat="1" ht="12.75" hidden="1" customHeight="1" outlineLevel="1" x14ac:dyDescent="0.2">
      <c r="A18" s="1522"/>
      <c r="B18" s="1522"/>
      <c r="C18" s="1496" t="s">
        <v>425</v>
      </c>
      <c r="D18" s="14" t="str">
        <f>INDEX(Modulos[Modulos], MATCH($C18, Modulos[Código], 0))</f>
        <v>Procesos Industriales</v>
      </c>
      <c r="E18" s="1526"/>
      <c r="G18" s="1540">
        <f t="shared" ref="G18:V18" ca="1" si="13">IFERROR(INDEX(INDIRECT($C18&amp;".Outputs["&amp;this.Year&amp;"]"), MATCH(G$5, INDIRECT($C18&amp;".Outputs[Vector]"), 0)), 0)</f>
        <v>0</v>
      </c>
      <c r="H18" s="1540"/>
      <c r="I18" s="1540"/>
      <c r="J18" s="1540"/>
      <c r="K18" s="1540"/>
      <c r="L18" s="1540"/>
      <c r="M18" s="1540">
        <f t="shared" ca="1" si="13"/>
        <v>218.59381484642964</v>
      </c>
      <c r="N18" s="1540">
        <f t="shared" ca="1" si="13"/>
        <v>0</v>
      </c>
      <c r="O18" s="1540">
        <f t="shared" ca="1" si="13"/>
        <v>0</v>
      </c>
      <c r="P18" s="1540">
        <f t="shared" ca="1" si="13"/>
        <v>0</v>
      </c>
      <c r="Q18" s="1540">
        <f t="shared" ca="1" si="13"/>
        <v>0</v>
      </c>
      <c r="R18" s="1540">
        <f t="shared" ca="1" si="13"/>
        <v>0</v>
      </c>
      <c r="S18" s="1540">
        <f t="shared" ca="1" si="13"/>
        <v>0</v>
      </c>
      <c r="T18" s="1540">
        <f t="shared" ca="1" si="13"/>
        <v>0</v>
      </c>
      <c r="U18" s="1540">
        <f t="shared" ca="1" si="13"/>
        <v>0</v>
      </c>
      <c r="V18" s="1540">
        <f t="shared" ca="1" si="13"/>
        <v>0</v>
      </c>
      <c r="W18" s="1539">
        <f t="shared" ca="1" si="10"/>
        <v>218.59381484642964</v>
      </c>
      <c r="Y18" s="1541">
        <f t="shared" ref="Y18:AP18" ca="1" si="14">IFERROR(INDEX(INDIRECT($C18&amp;".Outputs["&amp;this.Year&amp;"]"), MATCH(Y$5, INDIRECT($C18&amp;".Outputs[Vector]"), 0)), 0)</f>
        <v>-72.520437065604</v>
      </c>
      <c r="Z18" s="1541">
        <f t="shared" ca="1" si="14"/>
        <v>0</v>
      </c>
      <c r="AA18" s="1541">
        <f t="shared" ca="1" si="14"/>
        <v>-53.031824606532467</v>
      </c>
      <c r="AB18" s="1541">
        <f t="shared" ca="1" si="14"/>
        <v>-71.236583941226286</v>
      </c>
      <c r="AC18" s="1541">
        <f t="shared" ca="1" si="14"/>
        <v>-21.804969233066892</v>
      </c>
      <c r="AD18" s="1541">
        <f t="shared" ca="1" si="14"/>
        <v>0</v>
      </c>
      <c r="AE18" s="1541">
        <f t="shared" ca="1" si="14"/>
        <v>0</v>
      </c>
      <c r="AF18" s="1541">
        <f t="shared" ca="1" si="14"/>
        <v>0</v>
      </c>
      <c r="AG18" s="1541">
        <f t="shared" ca="1" si="14"/>
        <v>0</v>
      </c>
      <c r="AH18" s="1541">
        <f t="shared" ca="1" si="14"/>
        <v>0</v>
      </c>
      <c r="AI18" s="1541">
        <f t="shared" ca="1" si="14"/>
        <v>0</v>
      </c>
      <c r="AJ18" s="1541">
        <f t="shared" ca="1" si="14"/>
        <v>0</v>
      </c>
      <c r="AK18" s="1541">
        <f t="shared" ca="1" si="14"/>
        <v>0</v>
      </c>
      <c r="AL18" s="1541">
        <f t="shared" ca="1" si="14"/>
        <v>0</v>
      </c>
      <c r="AM18" s="1541">
        <f t="shared" ca="1" si="14"/>
        <v>0</v>
      </c>
      <c r="AN18" s="1541">
        <f t="shared" ca="1" si="14"/>
        <v>0</v>
      </c>
      <c r="AO18" s="1541">
        <f t="shared" ca="1" si="14"/>
        <v>0</v>
      </c>
      <c r="AP18" s="1541">
        <f t="shared" ca="1" si="14"/>
        <v>0</v>
      </c>
      <c r="AQ18" s="1490">
        <f t="shared" ca="1" si="11"/>
        <v>-218.59381484642964</v>
      </c>
      <c r="AS18" s="1542">
        <f t="shared" ref="AS18:BK18" ca="1" si="15">IFERROR(INDEX(INDIRECT($C18&amp;".Outputs["&amp;this.Year&amp;"]"), MATCH(AS$5, INDIRECT($C18&amp;".Outputs[Vector]"), 0)), 0)</f>
        <v>0</v>
      </c>
      <c r="AT18" s="1542">
        <f t="shared" ca="1" si="15"/>
        <v>0</v>
      </c>
      <c r="AU18" s="1542">
        <f t="shared" ca="1" si="15"/>
        <v>0</v>
      </c>
      <c r="AV18" s="1542">
        <f t="shared" ca="1" si="15"/>
        <v>0</v>
      </c>
      <c r="AW18" s="1542">
        <f t="shared" ca="1" si="15"/>
        <v>0</v>
      </c>
      <c r="AX18" s="1542">
        <f t="shared" ca="1" si="15"/>
        <v>0</v>
      </c>
      <c r="AY18" s="1542">
        <f t="shared" ca="1" si="15"/>
        <v>0</v>
      </c>
      <c r="AZ18" s="1542">
        <f t="shared" ca="1" si="15"/>
        <v>0</v>
      </c>
      <c r="BA18" s="1542">
        <f t="shared" ca="1" si="15"/>
        <v>0</v>
      </c>
      <c r="BB18" s="1542">
        <f t="shared" ca="1" si="15"/>
        <v>0</v>
      </c>
      <c r="BC18" s="1542">
        <f t="shared" ca="1" si="15"/>
        <v>0</v>
      </c>
      <c r="BD18" s="1542">
        <f t="shared" ca="1" si="15"/>
        <v>0</v>
      </c>
      <c r="BE18" s="1542">
        <f t="shared" ca="1" si="15"/>
        <v>0</v>
      </c>
      <c r="BF18" s="1542">
        <f t="shared" ca="1" si="15"/>
        <v>0</v>
      </c>
      <c r="BG18" s="1542">
        <f t="shared" ca="1" si="15"/>
        <v>0</v>
      </c>
      <c r="BH18" s="1542">
        <f t="shared" ca="1" si="15"/>
        <v>0</v>
      </c>
      <c r="BI18" s="1542">
        <f t="shared" ca="1" si="15"/>
        <v>0</v>
      </c>
      <c r="BJ18" s="1542">
        <f t="shared" ca="1" si="15"/>
        <v>0</v>
      </c>
      <c r="BK18" s="1542">
        <f t="shared" ca="1" si="15"/>
        <v>0</v>
      </c>
      <c r="BL18" s="1542">
        <f ca="1">SUM(AS18:BK18)</f>
        <v>0</v>
      </c>
      <c r="BN18" s="1941">
        <f ca="1">IFERROR(INDEX(INDIRECT($C18&amp;".Outputs["&amp;this.Year&amp;"]"), MATCH(BN$5, INDIRECT($C18&amp;".Outputs[Vector]"), 0)), 0)</f>
        <v>0</v>
      </c>
      <c r="BO18" s="1941">
        <f ca="1">IFERROR(INDEX(INDIRECT($C18&amp;".Outputs["&amp;this.Year&amp;"]"), MATCH(BO$5, INDIRECT($C18&amp;".Outputs[Vector]"), 0)), 0)</f>
        <v>0</v>
      </c>
      <c r="BP18" s="1505">
        <f ca="1">BN18+BO18</f>
        <v>0</v>
      </c>
      <c r="BR18" s="3168">
        <f t="shared" ca="1" si="12"/>
        <v>0</v>
      </c>
      <c r="BS18" s="1525"/>
      <c r="BT18" s="748"/>
      <c r="BU18" s="1532">
        <v>64.817912804929591</v>
      </c>
      <c r="BV18" s="1533">
        <v>0.13010783216178268</v>
      </c>
      <c r="BW18" s="1533">
        <v>0.57551021650787848</v>
      </c>
      <c r="BX18" s="1533">
        <v>0</v>
      </c>
      <c r="BY18" s="1533">
        <v>0</v>
      </c>
      <c r="BZ18" s="1533">
        <v>0</v>
      </c>
      <c r="CA18" s="1533">
        <v>0</v>
      </c>
      <c r="CB18" s="1533">
        <v>0</v>
      </c>
      <c r="CC18" s="1533">
        <v>14.39565925511863</v>
      </c>
      <c r="CD18" s="1533">
        <v>0.11288744235152412</v>
      </c>
      <c r="CE18" s="1533">
        <v>2.7624692105907238</v>
      </c>
      <c r="CF18" s="1533">
        <v>10.620296151887526</v>
      </c>
      <c r="CG18" s="1533">
        <v>0</v>
      </c>
      <c r="CH18" s="1533">
        <v>0</v>
      </c>
      <c r="CI18" s="1533">
        <v>0</v>
      </c>
      <c r="CJ18" s="1533">
        <v>0</v>
      </c>
      <c r="CK18" s="1533">
        <v>0</v>
      </c>
      <c r="CL18" s="1533">
        <v>0</v>
      </c>
      <c r="CM18" s="1533">
        <v>0</v>
      </c>
      <c r="CN18" s="1533">
        <v>0</v>
      </c>
      <c r="CO18" s="1533">
        <v>0</v>
      </c>
      <c r="CP18" s="1533">
        <v>0</v>
      </c>
      <c r="CQ18" s="1533">
        <v>0</v>
      </c>
      <c r="CR18" s="1533">
        <v>0</v>
      </c>
      <c r="CS18" s="1533">
        <v>0</v>
      </c>
      <c r="CT18" s="1533">
        <v>0</v>
      </c>
      <c r="CU18" s="1533">
        <v>0</v>
      </c>
      <c r="CV18" s="1533">
        <v>0</v>
      </c>
      <c r="CW18" s="1533">
        <v>0</v>
      </c>
      <c r="CX18" s="1533">
        <v>0</v>
      </c>
      <c r="CY18" s="1533">
        <v>0</v>
      </c>
      <c r="CZ18" s="1533">
        <v>0</v>
      </c>
      <c r="DA18" s="1533">
        <v>0</v>
      </c>
      <c r="DB18" s="1533">
        <v>0</v>
      </c>
      <c r="DC18" s="1533">
        <v>0</v>
      </c>
      <c r="DD18" s="1533">
        <v>0</v>
      </c>
      <c r="DE18" s="1533">
        <v>0</v>
      </c>
      <c r="DF18" s="1533">
        <v>0</v>
      </c>
      <c r="DG18" s="1533">
        <v>0</v>
      </c>
      <c r="DH18" s="1533">
        <v>0</v>
      </c>
      <c r="DI18" s="1533">
        <v>0</v>
      </c>
      <c r="DJ18" s="1533">
        <v>0</v>
      </c>
      <c r="DK18" s="1533">
        <v>0</v>
      </c>
      <c r="DL18" s="1533">
        <v>0</v>
      </c>
      <c r="DN18" s="1509">
        <v>93.414842913547659</v>
      </c>
    </row>
    <row r="19" spans="1:118" s="14" customFormat="1" ht="15.75" collapsed="1" x14ac:dyDescent="0.2">
      <c r="A19" s="1534"/>
      <c r="B19" s="1535"/>
      <c r="C19" s="1536" t="s">
        <v>578</v>
      </c>
      <c r="D19" s="1537" t="str">
        <f>INDEX(Flujos[Flujos], MATCH($C19, Flujos[Código], 0))</f>
        <v>Industria y Minería</v>
      </c>
      <c r="E19" s="1538"/>
      <c r="G19" s="1539">
        <f ca="1">G18</f>
        <v>0</v>
      </c>
      <c r="H19" s="1539">
        <f t="shared" ref="H19:V19" si="16">H18</f>
        <v>0</v>
      </c>
      <c r="I19" s="1539">
        <f t="shared" si="16"/>
        <v>0</v>
      </c>
      <c r="J19" s="1539">
        <f t="shared" si="16"/>
        <v>0</v>
      </c>
      <c r="K19" s="1539">
        <f t="shared" si="16"/>
        <v>0</v>
      </c>
      <c r="L19" s="1539">
        <f t="shared" si="16"/>
        <v>0</v>
      </c>
      <c r="M19" s="1539">
        <f t="shared" ca="1" si="16"/>
        <v>218.59381484642964</v>
      </c>
      <c r="N19" s="1539">
        <f t="shared" ca="1" si="16"/>
        <v>0</v>
      </c>
      <c r="O19" s="1539">
        <f t="shared" ca="1" si="16"/>
        <v>0</v>
      </c>
      <c r="P19" s="1539">
        <f t="shared" ca="1" si="16"/>
        <v>0</v>
      </c>
      <c r="Q19" s="1539">
        <f t="shared" ca="1" si="16"/>
        <v>0</v>
      </c>
      <c r="R19" s="1539">
        <f t="shared" ca="1" si="16"/>
        <v>0</v>
      </c>
      <c r="S19" s="1539">
        <f t="shared" ca="1" si="16"/>
        <v>0</v>
      </c>
      <c r="T19" s="1539">
        <f t="shared" ca="1" si="16"/>
        <v>0</v>
      </c>
      <c r="U19" s="1539">
        <f t="shared" ca="1" si="16"/>
        <v>0</v>
      </c>
      <c r="V19" s="1539">
        <f t="shared" ca="1" si="16"/>
        <v>0</v>
      </c>
      <c r="W19" s="1539">
        <f t="shared" ca="1" si="10"/>
        <v>218.59381484642964</v>
      </c>
      <c r="Y19" s="1490">
        <f ca="1">Y18</f>
        <v>-72.520437065604</v>
      </c>
      <c r="Z19" s="1490">
        <f t="shared" ref="Z19:AP19" ca="1" si="17">Z18</f>
        <v>0</v>
      </c>
      <c r="AA19" s="1490">
        <f t="shared" ca="1" si="17"/>
        <v>-53.031824606532467</v>
      </c>
      <c r="AB19" s="1490">
        <f t="shared" ca="1" si="17"/>
        <v>-71.236583941226286</v>
      </c>
      <c r="AC19" s="1490">
        <f t="shared" ca="1" si="17"/>
        <v>-21.804969233066892</v>
      </c>
      <c r="AD19" s="1490">
        <f t="shared" ca="1" si="17"/>
        <v>0</v>
      </c>
      <c r="AE19" s="1490">
        <f t="shared" ca="1" si="17"/>
        <v>0</v>
      </c>
      <c r="AF19" s="1490">
        <f t="shared" ca="1" si="17"/>
        <v>0</v>
      </c>
      <c r="AG19" s="1490">
        <f t="shared" ca="1" si="17"/>
        <v>0</v>
      </c>
      <c r="AH19" s="1490">
        <f t="shared" ca="1" si="17"/>
        <v>0</v>
      </c>
      <c r="AI19" s="1490">
        <f t="shared" ca="1" si="17"/>
        <v>0</v>
      </c>
      <c r="AJ19" s="1490">
        <f t="shared" ca="1" si="17"/>
        <v>0</v>
      </c>
      <c r="AK19" s="1490">
        <f t="shared" ca="1" si="17"/>
        <v>0</v>
      </c>
      <c r="AL19" s="1490">
        <f t="shared" ca="1" si="17"/>
        <v>0</v>
      </c>
      <c r="AM19" s="1490">
        <f t="shared" ca="1" si="17"/>
        <v>0</v>
      </c>
      <c r="AN19" s="1490">
        <f t="shared" ca="1" si="17"/>
        <v>0</v>
      </c>
      <c r="AO19" s="1490">
        <f t="shared" ca="1" si="17"/>
        <v>0</v>
      </c>
      <c r="AP19" s="1490">
        <f t="shared" ca="1" si="17"/>
        <v>0</v>
      </c>
      <c r="AQ19" s="1490">
        <f t="shared" ca="1" si="11"/>
        <v>-218.59381484642964</v>
      </c>
      <c r="AS19" s="1491">
        <f ca="1">AS18</f>
        <v>0</v>
      </c>
      <c r="AT19" s="1491">
        <f t="shared" ref="AT19:BM19" ca="1" si="18">AT18</f>
        <v>0</v>
      </c>
      <c r="AU19" s="1491">
        <f t="shared" ca="1" si="18"/>
        <v>0</v>
      </c>
      <c r="AV19" s="1491">
        <f t="shared" ca="1" si="18"/>
        <v>0</v>
      </c>
      <c r="AW19" s="1491">
        <f t="shared" ca="1" si="18"/>
        <v>0</v>
      </c>
      <c r="AX19" s="1491">
        <f t="shared" ca="1" si="18"/>
        <v>0</v>
      </c>
      <c r="AY19" s="1491">
        <f t="shared" ca="1" si="18"/>
        <v>0</v>
      </c>
      <c r="AZ19" s="1491">
        <f t="shared" ca="1" si="18"/>
        <v>0</v>
      </c>
      <c r="BA19" s="1491">
        <f t="shared" ca="1" si="18"/>
        <v>0</v>
      </c>
      <c r="BB19" s="1491">
        <f t="shared" ca="1" si="18"/>
        <v>0</v>
      </c>
      <c r="BC19" s="1491">
        <f t="shared" ca="1" si="18"/>
        <v>0</v>
      </c>
      <c r="BD19" s="1491">
        <f t="shared" ca="1" si="18"/>
        <v>0</v>
      </c>
      <c r="BE19" s="1491">
        <f t="shared" ca="1" si="18"/>
        <v>0</v>
      </c>
      <c r="BF19" s="1491">
        <f t="shared" ca="1" si="18"/>
        <v>0</v>
      </c>
      <c r="BG19" s="1491">
        <f t="shared" ca="1" si="18"/>
        <v>0</v>
      </c>
      <c r="BH19" s="1491">
        <f t="shared" ca="1" si="18"/>
        <v>0</v>
      </c>
      <c r="BI19" s="1491">
        <f t="shared" ca="1" si="18"/>
        <v>0</v>
      </c>
      <c r="BJ19" s="1491">
        <f t="shared" ca="1" si="18"/>
        <v>0</v>
      </c>
      <c r="BK19" s="1491">
        <f t="shared" ca="1" si="18"/>
        <v>0</v>
      </c>
      <c r="BL19" s="1491">
        <f ca="1">BL18</f>
        <v>0</v>
      </c>
      <c r="BM19" s="1491">
        <f t="shared" si="18"/>
        <v>0</v>
      </c>
      <c r="BN19" s="1941">
        <f ca="1">BN18</f>
        <v>0</v>
      </c>
      <c r="BO19" s="1941">
        <f ca="1">BO18</f>
        <v>0</v>
      </c>
      <c r="BP19" s="1505">
        <f ca="1">BN19+BO19</f>
        <v>0</v>
      </c>
      <c r="BR19" s="3168">
        <f ca="1">W19+AQ19+BL19+BP19</f>
        <v>0</v>
      </c>
      <c r="BS19" s="1493"/>
      <c r="BT19" s="748"/>
      <c r="BU19" s="1508">
        <v>64.817912804929591</v>
      </c>
      <c r="BV19" s="1508">
        <v>0.13010783216178268</v>
      </c>
      <c r="BW19" s="1508">
        <v>0.57551021650787848</v>
      </c>
      <c r="BX19" s="1508">
        <v>0</v>
      </c>
      <c r="BY19" s="1508">
        <v>0</v>
      </c>
      <c r="BZ19" s="1508">
        <v>0</v>
      </c>
      <c r="CA19" s="1508">
        <v>0</v>
      </c>
      <c r="CB19" s="1508">
        <v>0</v>
      </c>
      <c r="CC19" s="1508">
        <v>14.39565925511863</v>
      </c>
      <c r="CD19" s="1508">
        <v>0.11288744235152412</v>
      </c>
      <c r="CE19" s="1508">
        <v>2.7624692105907238</v>
      </c>
      <c r="CF19" s="1508">
        <v>10.620296151887526</v>
      </c>
      <c r="CG19" s="1508">
        <v>0</v>
      </c>
      <c r="CH19" s="1508">
        <v>0</v>
      </c>
      <c r="CI19" s="1508">
        <v>0</v>
      </c>
      <c r="CJ19" s="1508">
        <v>0</v>
      </c>
      <c r="CK19" s="1508">
        <v>0</v>
      </c>
      <c r="CL19" s="1508">
        <v>0</v>
      </c>
      <c r="CM19" s="1508">
        <v>0</v>
      </c>
      <c r="CN19" s="1508">
        <v>0</v>
      </c>
      <c r="CO19" s="1508">
        <v>0</v>
      </c>
      <c r="CP19" s="1508">
        <v>0</v>
      </c>
      <c r="CQ19" s="1508">
        <v>0</v>
      </c>
      <c r="CR19" s="1508">
        <v>0</v>
      </c>
      <c r="CS19" s="1508">
        <v>0</v>
      </c>
      <c r="CT19" s="1508">
        <v>0</v>
      </c>
      <c r="CU19" s="1508">
        <v>0</v>
      </c>
      <c r="CV19" s="1508">
        <v>0</v>
      </c>
      <c r="CW19" s="1508">
        <v>0</v>
      </c>
      <c r="CX19" s="1508">
        <v>0</v>
      </c>
      <c r="CY19" s="1508">
        <v>0</v>
      </c>
      <c r="CZ19" s="1508">
        <v>0</v>
      </c>
      <c r="DA19" s="1508">
        <v>0</v>
      </c>
      <c r="DB19" s="1508">
        <v>0</v>
      </c>
      <c r="DC19" s="1508">
        <v>0</v>
      </c>
      <c r="DD19" s="1508">
        <v>0</v>
      </c>
      <c r="DE19" s="1508">
        <v>0</v>
      </c>
      <c r="DF19" s="1508">
        <v>0</v>
      </c>
      <c r="DG19" s="1508">
        <v>0</v>
      </c>
      <c r="DH19" s="1508">
        <v>0</v>
      </c>
      <c r="DI19" s="1508">
        <v>0</v>
      </c>
      <c r="DJ19" s="1508">
        <v>0</v>
      </c>
      <c r="DK19" s="1508">
        <v>0</v>
      </c>
      <c r="DL19" s="1508">
        <v>0</v>
      </c>
      <c r="DN19" s="1509">
        <v>93.414842913547659</v>
      </c>
    </row>
    <row r="20" spans="1:118" s="14" customFormat="1" ht="15.75" x14ac:dyDescent="0.2">
      <c r="A20" s="1534"/>
      <c r="B20" s="1535"/>
      <c r="C20" s="1536"/>
      <c r="D20" s="1537"/>
      <c r="E20" s="1538"/>
      <c r="G20" s="1539"/>
      <c r="H20" s="1539"/>
      <c r="I20" s="1539"/>
      <c r="J20" s="1539"/>
      <c r="K20" s="1539"/>
      <c r="L20" s="1539"/>
      <c r="M20" s="1539"/>
      <c r="N20" s="1539"/>
      <c r="O20" s="1539"/>
      <c r="P20" s="1539"/>
      <c r="Q20" s="1539"/>
      <c r="R20" s="1539"/>
      <c r="S20" s="1539"/>
      <c r="T20" s="1539"/>
      <c r="U20" s="1539"/>
      <c r="V20" s="1539"/>
      <c r="W20" s="1539"/>
      <c r="Y20" s="1490"/>
      <c r="Z20" s="1490"/>
      <c r="AA20" s="1490"/>
      <c r="AB20" s="1490"/>
      <c r="AC20" s="1490"/>
      <c r="AD20" s="1490"/>
      <c r="AE20" s="1490"/>
      <c r="AF20" s="1490"/>
      <c r="AG20" s="1490"/>
      <c r="AH20" s="1490"/>
      <c r="AI20" s="1490"/>
      <c r="AJ20" s="1490"/>
      <c r="AK20" s="1490"/>
      <c r="AL20" s="1490"/>
      <c r="AM20" s="1490"/>
      <c r="AN20" s="1490"/>
      <c r="AO20" s="1490"/>
      <c r="AP20" s="1490"/>
      <c r="AQ20" s="1490"/>
      <c r="AS20" s="1491"/>
      <c r="AT20" s="1491"/>
      <c r="AU20" s="1491"/>
      <c r="AV20" s="1491"/>
      <c r="AW20" s="1491"/>
      <c r="AX20" s="1491"/>
      <c r="AY20" s="1491"/>
      <c r="AZ20" s="1491"/>
      <c r="BA20" s="1491"/>
      <c r="BB20" s="1491"/>
      <c r="BC20" s="1491"/>
      <c r="BD20" s="1491"/>
      <c r="BE20" s="1491"/>
      <c r="BF20" s="1491"/>
      <c r="BG20" s="1491"/>
      <c r="BH20" s="1491"/>
      <c r="BI20" s="1491"/>
      <c r="BJ20" s="1491"/>
      <c r="BK20" s="1491"/>
      <c r="BL20" s="1491"/>
      <c r="BN20" s="1492"/>
      <c r="BO20" s="1492"/>
      <c r="BP20" s="1492"/>
      <c r="BR20" s="3168"/>
      <c r="BS20" s="1493"/>
      <c r="BT20" s="748"/>
      <c r="BU20" s="1508"/>
      <c r="BV20" s="1508"/>
      <c r="BW20" s="1508"/>
      <c r="BX20" s="1508"/>
      <c r="BY20" s="1508"/>
      <c r="BZ20" s="1508"/>
      <c r="CA20" s="1508"/>
      <c r="CB20" s="1508"/>
      <c r="CC20" s="1508"/>
      <c r="CD20" s="1508"/>
      <c r="CE20" s="1508"/>
      <c r="CF20" s="1508"/>
      <c r="CG20" s="1508"/>
      <c r="CH20" s="1508"/>
      <c r="CI20" s="1508"/>
      <c r="CJ20" s="1508"/>
      <c r="CK20" s="1508"/>
      <c r="CL20" s="1508"/>
      <c r="CM20" s="1508"/>
      <c r="CN20" s="1508"/>
      <c r="CO20" s="1508"/>
      <c r="CP20" s="1508"/>
      <c r="CQ20" s="1508"/>
      <c r="CR20" s="1508"/>
      <c r="CS20" s="1508"/>
      <c r="CT20" s="1508"/>
      <c r="CU20" s="1508"/>
      <c r="CV20" s="1508"/>
      <c r="CW20" s="1508"/>
      <c r="CX20" s="1508"/>
      <c r="CY20" s="1508"/>
      <c r="CZ20" s="1508"/>
      <c r="DA20" s="1508"/>
      <c r="DB20" s="1508"/>
      <c r="DC20" s="1508"/>
      <c r="DD20" s="1508"/>
      <c r="DE20" s="1508"/>
      <c r="DF20" s="1508"/>
      <c r="DG20" s="1508"/>
      <c r="DH20" s="1508"/>
      <c r="DI20" s="1508"/>
      <c r="DJ20" s="1508"/>
      <c r="DK20" s="1508"/>
      <c r="DL20" s="1508"/>
      <c r="DN20" s="1509"/>
    </row>
    <row r="21" spans="1:118" s="14" customFormat="1" ht="10.5" hidden="1" customHeight="1" outlineLevel="2" x14ac:dyDescent="0.2">
      <c r="A21" s="1495"/>
      <c r="B21" s="1495"/>
      <c r="C21" s="1511" t="s">
        <v>421</v>
      </c>
      <c r="D21" s="14" t="str">
        <f>INDEX(Modulos[Modulos], MATCH($C21, Modulos[Código], 0))</f>
        <v>Transporte de pasajeros</v>
      </c>
      <c r="E21" s="1512"/>
      <c r="G21" s="1889">
        <f t="shared" ref="G21:V21" ca="1" si="19">IFERROR(INDEX(INDIRECT($C21&amp;".Outputs["&amp;this.Year&amp;"]"), MATCH(G$5, INDIRECT($C21&amp;".Outputs[Vector]"), 0)), 0)</f>
        <v>0</v>
      </c>
      <c r="H21" s="1889"/>
      <c r="I21" s="1889"/>
      <c r="J21" s="1889"/>
      <c r="K21" s="1889"/>
      <c r="L21" s="1889"/>
      <c r="M21" s="1889">
        <f t="shared" ca="1" si="19"/>
        <v>0</v>
      </c>
      <c r="N21" s="1889">
        <f t="shared" ca="1" si="19"/>
        <v>75.399943026533364</v>
      </c>
      <c r="O21" s="1889">
        <f t="shared" ca="1" si="19"/>
        <v>27.758718064616787</v>
      </c>
      <c r="P21" s="1889">
        <f t="shared" ca="1" si="19"/>
        <v>0.62311441391108191</v>
      </c>
      <c r="Q21" s="1889">
        <f t="shared" ca="1" si="19"/>
        <v>7.501718400084248E-2</v>
      </c>
      <c r="R21" s="1888">
        <f t="shared" ca="1" si="19"/>
        <v>38.633736734169311</v>
      </c>
      <c r="S21" s="1889">
        <f t="shared" ca="1" si="19"/>
        <v>0</v>
      </c>
      <c r="T21" s="1889">
        <f t="shared" ca="1" si="19"/>
        <v>0</v>
      </c>
      <c r="U21" s="1889">
        <f t="shared" ca="1" si="19"/>
        <v>0</v>
      </c>
      <c r="V21" s="1889">
        <f t="shared" ca="1" si="19"/>
        <v>0</v>
      </c>
      <c r="W21" s="1539">
        <f t="shared" ca="1" si="10"/>
        <v>142.49052942323138</v>
      </c>
      <c r="Y21" s="1500">
        <f t="shared" ref="Y21:AP21" ca="1" si="20">IFERROR(INDEX(INDIRECT($C21&amp;".Outputs["&amp;this.Year&amp;"]"), MATCH(Y$5, INDIRECT($C21&amp;".Outputs[Vector]"), 0)), 0)</f>
        <v>-1.3215496059178187</v>
      </c>
      <c r="Z21" s="1500">
        <f t="shared" ca="1" si="20"/>
        <v>0</v>
      </c>
      <c r="AA21" s="1500">
        <f t="shared" ca="1" si="20"/>
        <v>0</v>
      </c>
      <c r="AB21" s="1500">
        <f t="shared" ca="1" si="20"/>
        <v>-141.16897981731358</v>
      </c>
      <c r="AC21" s="1500">
        <f t="shared" ca="1" si="20"/>
        <v>0</v>
      </c>
      <c r="AD21" s="1500">
        <f t="shared" ca="1" si="20"/>
        <v>0</v>
      </c>
      <c r="AE21" s="1500">
        <f t="shared" ca="1" si="20"/>
        <v>0</v>
      </c>
      <c r="AF21" s="1500">
        <f t="shared" ca="1" si="20"/>
        <v>0</v>
      </c>
      <c r="AG21" s="1500">
        <f t="shared" ca="1" si="20"/>
        <v>0</v>
      </c>
      <c r="AH21" s="1500">
        <f t="shared" ca="1" si="20"/>
        <v>0</v>
      </c>
      <c r="AI21" s="1500">
        <f t="shared" ca="1" si="20"/>
        <v>0</v>
      </c>
      <c r="AJ21" s="1500">
        <f t="shared" ca="1" si="20"/>
        <v>0</v>
      </c>
      <c r="AK21" s="1500">
        <f t="shared" ca="1" si="20"/>
        <v>0</v>
      </c>
      <c r="AL21" s="1500">
        <f t="shared" ca="1" si="20"/>
        <v>0</v>
      </c>
      <c r="AM21" s="1500">
        <f t="shared" ca="1" si="20"/>
        <v>0</v>
      </c>
      <c r="AN21" s="1500">
        <f t="shared" ca="1" si="20"/>
        <v>0</v>
      </c>
      <c r="AO21" s="1500">
        <f t="shared" ca="1" si="20"/>
        <v>0</v>
      </c>
      <c r="AP21" s="1500">
        <f t="shared" ca="1" si="20"/>
        <v>0</v>
      </c>
      <c r="AQ21" s="1490">
        <f ca="1">SUM(Y21:AP21)</f>
        <v>-142.49052942323141</v>
      </c>
      <c r="AS21" s="1491">
        <f>AS20</f>
        <v>0</v>
      </c>
      <c r="AT21" s="1491">
        <f t="shared" ref="AT21:BK21" si="21">AT20</f>
        <v>0</v>
      </c>
      <c r="AU21" s="1491">
        <f t="shared" si="21"/>
        <v>0</v>
      </c>
      <c r="AV21" s="1491">
        <f t="shared" si="21"/>
        <v>0</v>
      </c>
      <c r="AW21" s="1491">
        <f t="shared" si="21"/>
        <v>0</v>
      </c>
      <c r="AX21" s="1491">
        <f t="shared" si="21"/>
        <v>0</v>
      </c>
      <c r="AY21" s="1491">
        <f t="shared" si="21"/>
        <v>0</v>
      </c>
      <c r="AZ21" s="1491">
        <f t="shared" si="21"/>
        <v>0</v>
      </c>
      <c r="BA21" s="1491">
        <f t="shared" si="21"/>
        <v>0</v>
      </c>
      <c r="BB21" s="1491">
        <f t="shared" si="21"/>
        <v>0</v>
      </c>
      <c r="BC21" s="1491">
        <f t="shared" si="21"/>
        <v>0</v>
      </c>
      <c r="BD21" s="1491">
        <f t="shared" si="21"/>
        <v>0</v>
      </c>
      <c r="BE21" s="1491">
        <f t="shared" si="21"/>
        <v>0</v>
      </c>
      <c r="BF21" s="1491">
        <f t="shared" si="21"/>
        <v>0</v>
      </c>
      <c r="BG21" s="1491">
        <f t="shared" si="21"/>
        <v>0</v>
      </c>
      <c r="BH21" s="1491">
        <f t="shared" si="21"/>
        <v>0</v>
      </c>
      <c r="BI21" s="1491">
        <f t="shared" si="21"/>
        <v>0</v>
      </c>
      <c r="BJ21" s="1491">
        <f t="shared" si="21"/>
        <v>0</v>
      </c>
      <c r="BK21" s="1491">
        <f t="shared" si="21"/>
        <v>0</v>
      </c>
      <c r="BL21" s="1503">
        <f>SUM(AS21:BK21)</f>
        <v>0</v>
      </c>
      <c r="BN21" s="1941">
        <f ca="1">IFERROR(INDEX(INDIRECT($C21&amp;".Outputs["&amp;this.Year&amp;"]"), MATCH(BN$5, INDIRECT($C21&amp;".Outputs[Vector]"), 0)), 0)</f>
        <v>0</v>
      </c>
      <c r="BO21" s="1941">
        <f ca="1">IFERROR(INDEX(INDIRECT($C21&amp;".Outputs["&amp;this.Year&amp;"]"), MATCH(BO$5, INDIRECT($C21&amp;".Outputs[Vector]"), 0)), 0)</f>
        <v>0</v>
      </c>
      <c r="BP21" s="1505">
        <f ca="1">BN21+BO21</f>
        <v>0</v>
      </c>
      <c r="BR21" s="3168">
        <f t="shared" ca="1" si="12"/>
        <v>-2.8421709430404007E-14</v>
      </c>
      <c r="BS21" s="1506"/>
      <c r="BT21" s="748"/>
      <c r="BU21" s="1507">
        <v>0</v>
      </c>
      <c r="BV21" s="1508">
        <v>0</v>
      </c>
      <c r="BW21" s="1508">
        <v>0</v>
      </c>
      <c r="BX21" s="1508">
        <v>0</v>
      </c>
      <c r="BY21" s="1508">
        <v>0</v>
      </c>
      <c r="BZ21" s="1508">
        <v>0</v>
      </c>
      <c r="CA21" s="1508">
        <v>0</v>
      </c>
      <c r="CB21" s="1508">
        <v>0</v>
      </c>
      <c r="CC21" s="1508">
        <v>0</v>
      </c>
      <c r="CD21" s="1508">
        <v>0</v>
      </c>
      <c r="CE21" s="1508">
        <v>0</v>
      </c>
      <c r="CF21" s="1508">
        <v>0</v>
      </c>
      <c r="CG21" s="1508">
        <v>0</v>
      </c>
      <c r="CH21" s="1508">
        <v>0</v>
      </c>
      <c r="CI21" s="1508">
        <v>0</v>
      </c>
      <c r="CJ21" s="1508">
        <v>0</v>
      </c>
      <c r="CK21" s="1508">
        <v>0</v>
      </c>
      <c r="CL21" s="1508">
        <v>0</v>
      </c>
      <c r="CM21" s="1508">
        <v>0</v>
      </c>
      <c r="CN21" s="1508">
        <v>0</v>
      </c>
      <c r="CO21" s="1508">
        <v>0</v>
      </c>
      <c r="CP21" s="1508">
        <v>0</v>
      </c>
      <c r="CQ21" s="1508">
        <v>0</v>
      </c>
      <c r="CR21" s="1508">
        <v>0</v>
      </c>
      <c r="CS21" s="1508">
        <v>0</v>
      </c>
      <c r="CT21" s="1508">
        <v>0</v>
      </c>
      <c r="CU21" s="1508">
        <v>0</v>
      </c>
      <c r="CV21" s="1508">
        <v>0</v>
      </c>
      <c r="CW21" s="1508">
        <v>0</v>
      </c>
      <c r="CX21" s="1508">
        <v>0</v>
      </c>
      <c r="CY21" s="1508">
        <v>0</v>
      </c>
      <c r="CZ21" s="1508">
        <v>0</v>
      </c>
      <c r="DA21" s="1508">
        <v>38.200000000000003</v>
      </c>
      <c r="DB21" s="1508">
        <v>4.7558849195905424E-2</v>
      </c>
      <c r="DC21" s="1508">
        <v>0.68729627526214465</v>
      </c>
      <c r="DD21" s="1508">
        <v>0</v>
      </c>
      <c r="DE21" s="1508">
        <v>0</v>
      </c>
      <c r="DF21" s="1508">
        <v>0</v>
      </c>
      <c r="DG21" s="1508">
        <v>0</v>
      </c>
      <c r="DH21" s="1508">
        <v>0</v>
      </c>
      <c r="DI21" s="1508">
        <v>0</v>
      </c>
      <c r="DJ21" s="1508">
        <v>0</v>
      </c>
      <c r="DK21" s="1508">
        <v>0</v>
      </c>
      <c r="DL21" s="1508">
        <v>0</v>
      </c>
      <c r="DN21" s="1509">
        <v>38.934855124458053</v>
      </c>
    </row>
    <row r="22" spans="1:118" s="14" customFormat="1" ht="10.5" hidden="1" customHeight="1" outlineLevel="2" x14ac:dyDescent="0.2">
      <c r="A22" s="1510"/>
      <c r="B22" s="1510"/>
      <c r="C22" s="1510"/>
      <c r="D22" s="1546"/>
      <c r="E22" s="1512"/>
      <c r="G22" s="1513"/>
      <c r="H22" s="1513"/>
      <c r="I22" s="1513"/>
      <c r="J22" s="1513"/>
      <c r="K22" s="1513"/>
      <c r="L22" s="1513"/>
      <c r="M22" s="1513"/>
      <c r="N22" s="1513"/>
      <c r="O22" s="1513"/>
      <c r="P22" s="1513"/>
      <c r="Q22" s="1513"/>
      <c r="R22" s="1513"/>
      <c r="S22" s="1513"/>
      <c r="T22" s="1513"/>
      <c r="U22" s="1513"/>
      <c r="V22" s="1513"/>
      <c r="W22" s="1539">
        <f t="shared" si="10"/>
        <v>0</v>
      </c>
      <c r="Y22" s="1515"/>
      <c r="Z22" s="1515"/>
      <c r="AA22" s="1515"/>
      <c r="AB22" s="1515"/>
      <c r="AC22" s="1515"/>
      <c r="AD22" s="1515"/>
      <c r="AE22" s="1515"/>
      <c r="AF22" s="1515"/>
      <c r="AG22" s="1515"/>
      <c r="AH22" s="1515"/>
      <c r="AI22" s="1515"/>
      <c r="AJ22" s="1515"/>
      <c r="AK22" s="1515"/>
      <c r="AL22" s="1515"/>
      <c r="AM22" s="1515"/>
      <c r="AN22" s="1515"/>
      <c r="AO22" s="1515"/>
      <c r="AP22" s="1515"/>
      <c r="AQ22" s="1490">
        <f t="shared" si="11"/>
        <v>0</v>
      </c>
      <c r="AS22" s="1517"/>
      <c r="AT22" s="1517"/>
      <c r="AU22" s="1517"/>
      <c r="AV22" s="1517"/>
      <c r="AW22" s="1517"/>
      <c r="AX22" s="1517"/>
      <c r="AY22" s="1517"/>
      <c r="AZ22" s="1517"/>
      <c r="BA22" s="1517"/>
      <c r="BB22" s="1517"/>
      <c r="BC22" s="1517"/>
      <c r="BD22" s="1517"/>
      <c r="BE22" s="1517"/>
      <c r="BF22" s="1517"/>
      <c r="BG22" s="1517"/>
      <c r="BH22" s="1517"/>
      <c r="BI22" s="1517"/>
      <c r="BJ22" s="1517"/>
      <c r="BK22" s="1517"/>
      <c r="BL22" s="1518"/>
      <c r="BN22" s="1519"/>
      <c r="BO22" s="1519"/>
      <c r="BP22" s="1520"/>
      <c r="BR22" s="3168">
        <f t="shared" si="12"/>
        <v>0</v>
      </c>
      <c r="BS22" s="1521"/>
      <c r="BT22" s="748"/>
      <c r="BU22" s="1507">
        <v>0</v>
      </c>
      <c r="BV22" s="1508">
        <v>0</v>
      </c>
      <c r="BW22" s="1508">
        <v>0</v>
      </c>
      <c r="BX22" s="1508">
        <v>0</v>
      </c>
      <c r="BY22" s="1508">
        <v>0</v>
      </c>
      <c r="BZ22" s="1508">
        <v>0</v>
      </c>
      <c r="CA22" s="1508">
        <v>0</v>
      </c>
      <c r="CB22" s="1508">
        <v>0</v>
      </c>
      <c r="CC22" s="1508">
        <v>0</v>
      </c>
      <c r="CD22" s="1508">
        <v>0</v>
      </c>
      <c r="CE22" s="1508">
        <v>0</v>
      </c>
      <c r="CF22" s="1508">
        <v>0</v>
      </c>
      <c r="CG22" s="1508">
        <v>0</v>
      </c>
      <c r="CH22" s="1508">
        <v>0</v>
      </c>
      <c r="CI22" s="1508">
        <v>0</v>
      </c>
      <c r="CJ22" s="1508">
        <v>0</v>
      </c>
      <c r="CK22" s="1508">
        <v>0</v>
      </c>
      <c r="CL22" s="1508">
        <v>0</v>
      </c>
      <c r="CM22" s="1508">
        <v>0</v>
      </c>
      <c r="CN22" s="1508">
        <v>0</v>
      </c>
      <c r="CO22" s="1508">
        <v>0</v>
      </c>
      <c r="CP22" s="1508">
        <v>0</v>
      </c>
      <c r="CQ22" s="1508">
        <v>0</v>
      </c>
      <c r="CR22" s="1508">
        <v>0</v>
      </c>
      <c r="CS22" s="1508">
        <v>0</v>
      </c>
      <c r="CT22" s="1508">
        <v>0</v>
      </c>
      <c r="CU22" s="1508">
        <v>0</v>
      </c>
      <c r="CV22" s="1508">
        <v>0</v>
      </c>
      <c r="CW22" s="1508">
        <v>0</v>
      </c>
      <c r="CX22" s="1508">
        <v>0</v>
      </c>
      <c r="CY22" s="1508">
        <v>0</v>
      </c>
      <c r="CZ22" s="1508">
        <v>0</v>
      </c>
      <c r="DA22" s="1508">
        <v>0</v>
      </c>
      <c r="DB22" s="1508">
        <v>0</v>
      </c>
      <c r="DC22" s="1508">
        <v>0</v>
      </c>
      <c r="DD22" s="1508">
        <v>0</v>
      </c>
      <c r="DE22" s="1508">
        <v>0</v>
      </c>
      <c r="DF22" s="1508">
        <v>0</v>
      </c>
      <c r="DG22" s="1508">
        <v>0</v>
      </c>
      <c r="DH22" s="1508">
        <v>0</v>
      </c>
      <c r="DI22" s="1508">
        <v>0</v>
      </c>
      <c r="DJ22" s="1508">
        <v>0</v>
      </c>
      <c r="DK22" s="1508">
        <v>0</v>
      </c>
      <c r="DL22" s="1508">
        <v>0</v>
      </c>
      <c r="DN22" s="1509">
        <v>0</v>
      </c>
    </row>
    <row r="23" spans="1:118" s="14" customFormat="1" ht="10.5" hidden="1" customHeight="1" outlineLevel="1" x14ac:dyDescent="0.2">
      <c r="A23" s="1522"/>
      <c r="B23" s="1522"/>
      <c r="C23" s="1522"/>
      <c r="D23" s="1545"/>
      <c r="E23" s="1512"/>
      <c r="G23" s="1499"/>
      <c r="H23" s="1499"/>
      <c r="I23" s="1499"/>
      <c r="J23" s="1499"/>
      <c r="K23" s="1499"/>
      <c r="L23" s="1499"/>
      <c r="M23" s="1499"/>
      <c r="N23" s="1499"/>
      <c r="O23" s="1499"/>
      <c r="P23" s="1499"/>
      <c r="Q23" s="1499"/>
      <c r="R23" s="1499"/>
      <c r="S23" s="1499"/>
      <c r="T23" s="1499"/>
      <c r="U23" s="1499"/>
      <c r="V23" s="1499"/>
      <c r="W23" s="1539">
        <f t="shared" si="10"/>
        <v>0</v>
      </c>
      <c r="Y23" s="1501"/>
      <c r="Z23" s="1501"/>
      <c r="AA23" s="1501"/>
      <c r="AB23" s="1501"/>
      <c r="AC23" s="1501"/>
      <c r="AD23" s="1501"/>
      <c r="AE23" s="1501"/>
      <c r="AF23" s="1501"/>
      <c r="AG23" s="1501"/>
      <c r="AH23" s="1501"/>
      <c r="AI23" s="1501"/>
      <c r="AJ23" s="1501"/>
      <c r="AK23" s="1501"/>
      <c r="AL23" s="1501"/>
      <c r="AM23" s="1501"/>
      <c r="AN23" s="1501"/>
      <c r="AO23" s="1501"/>
      <c r="AP23" s="1501"/>
      <c r="AQ23" s="1490">
        <f t="shared" si="11"/>
        <v>0</v>
      </c>
      <c r="AS23" s="1523"/>
      <c r="AT23" s="1523"/>
      <c r="AU23" s="1523"/>
      <c r="AV23" s="1523"/>
      <c r="AW23" s="1523"/>
      <c r="AX23" s="1523"/>
      <c r="AY23" s="1523"/>
      <c r="AZ23" s="1523"/>
      <c r="BA23" s="1523"/>
      <c r="BB23" s="1523"/>
      <c r="BC23" s="1523"/>
      <c r="BD23" s="1523"/>
      <c r="BE23" s="1523"/>
      <c r="BF23" s="1523"/>
      <c r="BG23" s="1523"/>
      <c r="BH23" s="1523"/>
      <c r="BI23" s="1523"/>
      <c r="BJ23" s="1523"/>
      <c r="BK23" s="1523"/>
      <c r="BL23" s="1503"/>
      <c r="BN23" s="1505"/>
      <c r="BO23" s="1505"/>
      <c r="BP23" s="1505"/>
      <c r="BR23" s="3168">
        <f t="shared" si="12"/>
        <v>0</v>
      </c>
      <c r="BS23" s="1506"/>
      <c r="BT23" s="748"/>
      <c r="BU23" s="1507">
        <v>0</v>
      </c>
      <c r="BV23" s="1508">
        <v>0</v>
      </c>
      <c r="BW23" s="1508">
        <v>0</v>
      </c>
      <c r="BX23" s="1508">
        <v>0</v>
      </c>
      <c r="BY23" s="1508">
        <v>0</v>
      </c>
      <c r="BZ23" s="1508">
        <v>0</v>
      </c>
      <c r="CA23" s="1508">
        <v>0</v>
      </c>
      <c r="CB23" s="1508">
        <v>0</v>
      </c>
      <c r="CC23" s="1508">
        <v>0</v>
      </c>
      <c r="CD23" s="1508">
        <v>0</v>
      </c>
      <c r="CE23" s="1508">
        <v>0</v>
      </c>
      <c r="CF23" s="1508">
        <v>0</v>
      </c>
      <c r="CG23" s="1508">
        <v>0</v>
      </c>
      <c r="CH23" s="1508">
        <v>0</v>
      </c>
      <c r="CI23" s="1508">
        <v>0</v>
      </c>
      <c r="CJ23" s="1508">
        <v>0</v>
      </c>
      <c r="CK23" s="1508">
        <v>0</v>
      </c>
      <c r="CL23" s="1508">
        <v>0</v>
      </c>
      <c r="CM23" s="1508">
        <v>0</v>
      </c>
      <c r="CN23" s="1508">
        <v>0</v>
      </c>
      <c r="CO23" s="1508">
        <v>0</v>
      </c>
      <c r="CP23" s="1508">
        <v>0</v>
      </c>
      <c r="CQ23" s="1508">
        <v>0</v>
      </c>
      <c r="CR23" s="1508">
        <v>0</v>
      </c>
      <c r="CS23" s="1508">
        <v>0</v>
      </c>
      <c r="CT23" s="1508">
        <v>0</v>
      </c>
      <c r="CU23" s="1508">
        <v>0</v>
      </c>
      <c r="CV23" s="1508">
        <v>0</v>
      </c>
      <c r="CW23" s="1508">
        <v>0</v>
      </c>
      <c r="CX23" s="1508">
        <v>0</v>
      </c>
      <c r="CY23" s="1508">
        <v>0</v>
      </c>
      <c r="CZ23" s="1508">
        <v>0</v>
      </c>
      <c r="DA23" s="1508">
        <v>38.200000000000003</v>
      </c>
      <c r="DB23" s="1508">
        <v>4.7558849195905424E-2</v>
      </c>
      <c r="DC23" s="1508">
        <v>0.68729627526214465</v>
      </c>
      <c r="DD23" s="1508">
        <v>0</v>
      </c>
      <c r="DE23" s="1508">
        <v>0</v>
      </c>
      <c r="DF23" s="1508">
        <v>0</v>
      </c>
      <c r="DG23" s="1508">
        <v>0</v>
      </c>
      <c r="DH23" s="1508">
        <v>0</v>
      </c>
      <c r="DI23" s="1508">
        <v>0</v>
      </c>
      <c r="DJ23" s="1508">
        <v>0</v>
      </c>
      <c r="DK23" s="1508">
        <v>0</v>
      </c>
      <c r="DL23" s="1508">
        <v>0</v>
      </c>
      <c r="DN23" s="1509">
        <v>38.934855124458053</v>
      </c>
    </row>
    <row r="24" spans="1:118" s="14" customFormat="1" ht="12.75" hidden="1" customHeight="1" outlineLevel="2" x14ac:dyDescent="0.2">
      <c r="A24" s="1495"/>
      <c r="B24" s="1495"/>
      <c r="C24" s="1496" t="s">
        <v>102</v>
      </c>
      <c r="D24" s="14" t="str">
        <f>INDEX(Modulos[Modulos], MATCH($C24, Modulos[Código], 0))</f>
        <v>Transporte de carga</v>
      </c>
      <c r="E24" s="1512"/>
      <c r="G24" s="1889">
        <f t="shared" ref="G24:V24" ca="1" si="22">IFERROR(INDEX(INDIRECT($C24&amp;".Outputs["&amp;this.Year&amp;"]"), MATCH(G$5, INDIRECT($C24&amp;".Outputs[Vector]"), 0)), 0)</f>
        <v>0</v>
      </c>
      <c r="H24" s="1889"/>
      <c r="I24" s="1889"/>
      <c r="J24" s="1889"/>
      <c r="K24" s="1889"/>
      <c r="L24" s="1889"/>
      <c r="M24" s="1889">
        <f t="shared" ca="1" si="22"/>
        <v>0</v>
      </c>
      <c r="N24" s="1889">
        <f t="shared" ca="1" si="22"/>
        <v>0</v>
      </c>
      <c r="O24" s="1889">
        <f t="shared" ca="1" si="22"/>
        <v>0</v>
      </c>
      <c r="P24" s="1889">
        <f t="shared" ca="1" si="22"/>
        <v>0</v>
      </c>
      <c r="Q24" s="1889">
        <f t="shared" ca="1" si="22"/>
        <v>0</v>
      </c>
      <c r="R24" s="1889">
        <f t="shared" ca="1" si="22"/>
        <v>0</v>
      </c>
      <c r="S24" s="1889">
        <f t="shared" ca="1" si="22"/>
        <v>9.8278251806424759</v>
      </c>
      <c r="T24" s="1889">
        <f t="shared" ca="1" si="22"/>
        <v>11.140536797886952</v>
      </c>
      <c r="U24" s="1889">
        <f t="shared" ca="1" si="22"/>
        <v>7.3549027833011314E-3</v>
      </c>
      <c r="V24" s="1889">
        <f t="shared" ca="1" si="22"/>
        <v>0.41066117460400281</v>
      </c>
      <c r="W24" s="1539">
        <f t="shared" ca="1" si="10"/>
        <v>21.386378055916733</v>
      </c>
      <c r="Y24" s="1891">
        <f t="shared" ref="Y24:AP24" ca="1" si="23">IFERROR(INDEX(INDIRECT($C24&amp;".Outputs["&amp;this.Year&amp;"]"), MATCH(Y$5, INDIRECT($C24&amp;".Outputs[Vector]"), 0)), 0)</f>
        <v>0</v>
      </c>
      <c r="Z24" s="1891">
        <f t="shared" ca="1" si="23"/>
        <v>0</v>
      </c>
      <c r="AA24" s="1891">
        <f t="shared" ca="1" si="23"/>
        <v>0</v>
      </c>
      <c r="AB24" s="1891">
        <f t="shared" ca="1" si="23"/>
        <v>-21.386378055916733</v>
      </c>
      <c r="AC24" s="1891">
        <f t="shared" ca="1" si="23"/>
        <v>0</v>
      </c>
      <c r="AD24" s="1891">
        <f t="shared" ca="1" si="23"/>
        <v>0</v>
      </c>
      <c r="AE24" s="1891">
        <f t="shared" ca="1" si="23"/>
        <v>0</v>
      </c>
      <c r="AF24" s="1891">
        <f t="shared" ca="1" si="23"/>
        <v>0</v>
      </c>
      <c r="AG24" s="1891">
        <f t="shared" ca="1" si="23"/>
        <v>0</v>
      </c>
      <c r="AH24" s="1891">
        <f t="shared" ca="1" si="23"/>
        <v>0</v>
      </c>
      <c r="AI24" s="1891">
        <f t="shared" ca="1" si="23"/>
        <v>0</v>
      </c>
      <c r="AJ24" s="1891">
        <f t="shared" ca="1" si="23"/>
        <v>0</v>
      </c>
      <c r="AK24" s="1891">
        <f t="shared" ca="1" si="23"/>
        <v>0</v>
      </c>
      <c r="AL24" s="1891">
        <f t="shared" ca="1" si="23"/>
        <v>0</v>
      </c>
      <c r="AM24" s="1891">
        <f t="shared" ca="1" si="23"/>
        <v>0</v>
      </c>
      <c r="AN24" s="1891">
        <f t="shared" ca="1" si="23"/>
        <v>0</v>
      </c>
      <c r="AO24" s="1891">
        <f t="shared" ca="1" si="23"/>
        <v>0</v>
      </c>
      <c r="AP24" s="1891">
        <f t="shared" ca="1" si="23"/>
        <v>0</v>
      </c>
      <c r="AQ24" s="1490">
        <f t="shared" ca="1" si="11"/>
        <v>-21.386378055916733</v>
      </c>
      <c r="AS24" s="1491">
        <f>AS23</f>
        <v>0</v>
      </c>
      <c r="AT24" s="1491">
        <f t="shared" ref="AT24:BK24" si="24">AT23</f>
        <v>0</v>
      </c>
      <c r="AU24" s="1491">
        <f t="shared" si="24"/>
        <v>0</v>
      </c>
      <c r="AV24" s="1491">
        <f t="shared" si="24"/>
        <v>0</v>
      </c>
      <c r="AW24" s="1491">
        <f t="shared" si="24"/>
        <v>0</v>
      </c>
      <c r="AX24" s="1491">
        <f t="shared" si="24"/>
        <v>0</v>
      </c>
      <c r="AY24" s="1491">
        <f t="shared" si="24"/>
        <v>0</v>
      </c>
      <c r="AZ24" s="1491">
        <f t="shared" si="24"/>
        <v>0</v>
      </c>
      <c r="BA24" s="1491">
        <f t="shared" si="24"/>
        <v>0</v>
      </c>
      <c r="BB24" s="1491">
        <f t="shared" si="24"/>
        <v>0</v>
      </c>
      <c r="BC24" s="1491">
        <f t="shared" si="24"/>
        <v>0</v>
      </c>
      <c r="BD24" s="1491">
        <f t="shared" si="24"/>
        <v>0</v>
      </c>
      <c r="BE24" s="1491">
        <f t="shared" si="24"/>
        <v>0</v>
      </c>
      <c r="BF24" s="1491">
        <f t="shared" si="24"/>
        <v>0</v>
      </c>
      <c r="BG24" s="1491">
        <f t="shared" si="24"/>
        <v>0</v>
      </c>
      <c r="BH24" s="1491">
        <f t="shared" si="24"/>
        <v>0</v>
      </c>
      <c r="BI24" s="1491">
        <f t="shared" si="24"/>
        <v>0</v>
      </c>
      <c r="BJ24" s="1491">
        <f t="shared" si="24"/>
        <v>0</v>
      </c>
      <c r="BK24" s="1491">
        <f t="shared" si="24"/>
        <v>0</v>
      </c>
      <c r="BL24" s="1503">
        <f>SUM(AS24:BK24)</f>
        <v>0</v>
      </c>
      <c r="BN24" s="1941">
        <f ca="1">IFERROR(INDEX(INDIRECT($C24&amp;".Outputs["&amp;this.Year&amp;"]"), MATCH(BN$5, INDIRECT($C24&amp;".Outputs[Vector]"), 0)), 0)</f>
        <v>0</v>
      </c>
      <c r="BO24" s="1941">
        <f ca="1">IFERROR(INDEX(INDIRECT($C24&amp;".Outputs["&amp;this.Year&amp;"]"), MATCH(BO$5, INDIRECT($C24&amp;".Outputs[Vector]"), 0)), 0)</f>
        <v>0</v>
      </c>
      <c r="BP24" s="1505">
        <f ca="1">BN24+BO24</f>
        <v>0</v>
      </c>
      <c r="BR24" s="3168">
        <f t="shared" ca="1" si="12"/>
        <v>0</v>
      </c>
      <c r="BS24" s="1525"/>
      <c r="BT24" s="748"/>
      <c r="BU24" s="1507">
        <v>0</v>
      </c>
      <c r="BV24" s="1508">
        <v>0</v>
      </c>
      <c r="BW24" s="1508">
        <v>0</v>
      </c>
      <c r="BX24" s="1508">
        <v>0</v>
      </c>
      <c r="BY24" s="1508">
        <v>0</v>
      </c>
      <c r="BZ24" s="1508">
        <v>0</v>
      </c>
      <c r="CA24" s="1508">
        <v>0</v>
      </c>
      <c r="CB24" s="1508">
        <v>0</v>
      </c>
      <c r="CC24" s="1508">
        <v>0</v>
      </c>
      <c r="CD24" s="1508">
        <v>0</v>
      </c>
      <c r="CE24" s="1508">
        <v>0</v>
      </c>
      <c r="CF24" s="1508">
        <v>0</v>
      </c>
      <c r="CG24" s="1508">
        <v>0</v>
      </c>
      <c r="CH24" s="1508">
        <v>0</v>
      </c>
      <c r="CI24" s="1508">
        <v>0</v>
      </c>
      <c r="CJ24" s="1508">
        <v>0</v>
      </c>
      <c r="CK24" s="1508">
        <v>0</v>
      </c>
      <c r="CL24" s="1508">
        <v>0</v>
      </c>
      <c r="CM24" s="1508">
        <v>0</v>
      </c>
      <c r="CN24" s="1508">
        <v>0</v>
      </c>
      <c r="CO24" s="1508">
        <v>0</v>
      </c>
      <c r="CP24" s="1508">
        <v>0</v>
      </c>
      <c r="CQ24" s="1508">
        <v>0</v>
      </c>
      <c r="CR24" s="1508">
        <v>0</v>
      </c>
      <c r="CS24" s="1508">
        <v>0</v>
      </c>
      <c r="CT24" s="1508">
        <v>0</v>
      </c>
      <c r="CU24" s="1508">
        <v>0</v>
      </c>
      <c r="CV24" s="1508">
        <v>0</v>
      </c>
      <c r="CW24" s="1508">
        <v>0</v>
      </c>
      <c r="CX24" s="1508">
        <v>0</v>
      </c>
      <c r="CY24" s="1508">
        <v>0</v>
      </c>
      <c r="CZ24" s="1508">
        <v>0</v>
      </c>
      <c r="DA24" s="1508">
        <v>13.5395392718143</v>
      </c>
      <c r="DB24" s="1508">
        <v>1.6856672942676842E-2</v>
      </c>
      <c r="DC24" s="1508">
        <v>0.2436040552430235</v>
      </c>
      <c r="DD24" s="1508">
        <v>0</v>
      </c>
      <c r="DE24" s="1508">
        <v>0</v>
      </c>
      <c r="DF24" s="1508">
        <v>0</v>
      </c>
      <c r="DG24" s="1508">
        <v>0</v>
      </c>
      <c r="DH24" s="1508">
        <v>0</v>
      </c>
      <c r="DI24" s="1508">
        <v>0</v>
      </c>
      <c r="DJ24" s="1508">
        <v>0</v>
      </c>
      <c r="DK24" s="1508">
        <v>0</v>
      </c>
      <c r="DL24" s="1508">
        <v>0</v>
      </c>
      <c r="DN24" s="1509">
        <v>13.8</v>
      </c>
    </row>
    <row r="25" spans="1:118" s="14" customFormat="1" ht="10.5" hidden="1" customHeight="1" outlineLevel="2" x14ac:dyDescent="0.2">
      <c r="A25" s="1510"/>
      <c r="B25" s="1510"/>
      <c r="C25" s="1511"/>
      <c r="D25" s="1546"/>
      <c r="E25" s="1512"/>
      <c r="G25" s="1513"/>
      <c r="H25" s="1513"/>
      <c r="I25" s="1513"/>
      <c r="J25" s="1513"/>
      <c r="K25" s="1513"/>
      <c r="L25" s="1513"/>
      <c r="M25" s="1513"/>
      <c r="N25" s="1513"/>
      <c r="O25" s="1513"/>
      <c r="P25" s="1513"/>
      <c r="Q25" s="1513"/>
      <c r="R25" s="1513"/>
      <c r="S25" s="1513"/>
      <c r="T25" s="1513"/>
      <c r="U25" s="1513"/>
      <c r="V25" s="1513"/>
      <c r="W25" s="1539">
        <f t="shared" si="10"/>
        <v>0</v>
      </c>
      <c r="Y25" s="1515"/>
      <c r="Z25" s="1515"/>
      <c r="AA25" s="1515"/>
      <c r="AB25" s="1515"/>
      <c r="AC25" s="1515"/>
      <c r="AD25" s="1515"/>
      <c r="AE25" s="1515"/>
      <c r="AF25" s="1515"/>
      <c r="AG25" s="1515"/>
      <c r="AH25" s="1515"/>
      <c r="AI25" s="1515"/>
      <c r="AJ25" s="1515"/>
      <c r="AK25" s="1515"/>
      <c r="AL25" s="1515"/>
      <c r="AM25" s="1515"/>
      <c r="AN25" s="1515"/>
      <c r="AO25" s="1515"/>
      <c r="AP25" s="1515"/>
      <c r="AQ25" s="1490">
        <f t="shared" si="11"/>
        <v>0</v>
      </c>
      <c r="AS25" s="1517"/>
      <c r="AT25" s="1517"/>
      <c r="AU25" s="1517"/>
      <c r="AV25" s="1517"/>
      <c r="AW25" s="1517"/>
      <c r="AX25" s="1517"/>
      <c r="AY25" s="1517"/>
      <c r="AZ25" s="1517"/>
      <c r="BA25" s="1517"/>
      <c r="BB25" s="1517"/>
      <c r="BC25" s="1517"/>
      <c r="BD25" s="1517"/>
      <c r="BE25" s="1517"/>
      <c r="BF25" s="1517"/>
      <c r="BG25" s="1517"/>
      <c r="BH25" s="1517"/>
      <c r="BI25" s="1517"/>
      <c r="BJ25" s="1517"/>
      <c r="BK25" s="1517"/>
      <c r="BL25" s="1518"/>
      <c r="BN25" s="1519"/>
      <c r="BO25" s="1519"/>
      <c r="BP25" s="1520"/>
      <c r="BR25" s="3168">
        <f t="shared" si="12"/>
        <v>0</v>
      </c>
      <c r="BS25" s="1521"/>
      <c r="BT25" s="748"/>
      <c r="BU25" s="1507">
        <v>0</v>
      </c>
      <c r="BV25" s="1508">
        <v>0</v>
      </c>
      <c r="BW25" s="1508">
        <v>0</v>
      </c>
      <c r="BX25" s="1508">
        <v>0</v>
      </c>
      <c r="BY25" s="1508">
        <v>0</v>
      </c>
      <c r="BZ25" s="1508">
        <v>0</v>
      </c>
      <c r="CA25" s="1508">
        <v>0</v>
      </c>
      <c r="CB25" s="1508">
        <v>0</v>
      </c>
      <c r="CC25" s="1508">
        <v>0</v>
      </c>
      <c r="CD25" s="1508">
        <v>0</v>
      </c>
      <c r="CE25" s="1508">
        <v>0</v>
      </c>
      <c r="CF25" s="1508">
        <v>0</v>
      </c>
      <c r="CG25" s="1508">
        <v>0</v>
      </c>
      <c r="CH25" s="1508">
        <v>0</v>
      </c>
      <c r="CI25" s="1508">
        <v>0</v>
      </c>
      <c r="CJ25" s="1508">
        <v>0</v>
      </c>
      <c r="CK25" s="1508">
        <v>0</v>
      </c>
      <c r="CL25" s="1508">
        <v>0</v>
      </c>
      <c r="CM25" s="1508">
        <v>0</v>
      </c>
      <c r="CN25" s="1508">
        <v>0</v>
      </c>
      <c r="CO25" s="1508">
        <v>0</v>
      </c>
      <c r="CP25" s="1508">
        <v>0</v>
      </c>
      <c r="CQ25" s="1508">
        <v>0</v>
      </c>
      <c r="CR25" s="1508">
        <v>0</v>
      </c>
      <c r="CS25" s="1508">
        <v>0</v>
      </c>
      <c r="CT25" s="1508">
        <v>0</v>
      </c>
      <c r="CU25" s="1508">
        <v>0</v>
      </c>
      <c r="CV25" s="1508">
        <v>0</v>
      </c>
      <c r="CW25" s="1508">
        <v>0</v>
      </c>
      <c r="CX25" s="1508">
        <v>0</v>
      </c>
      <c r="CY25" s="1508">
        <v>0</v>
      </c>
      <c r="CZ25" s="1508">
        <v>0</v>
      </c>
      <c r="DA25" s="1508">
        <v>0</v>
      </c>
      <c r="DB25" s="1508">
        <v>0</v>
      </c>
      <c r="DC25" s="1508">
        <v>0</v>
      </c>
      <c r="DD25" s="1508">
        <v>0</v>
      </c>
      <c r="DE25" s="1508">
        <v>0</v>
      </c>
      <c r="DF25" s="1508">
        <v>0</v>
      </c>
      <c r="DG25" s="1508">
        <v>0</v>
      </c>
      <c r="DH25" s="1508">
        <v>0</v>
      </c>
      <c r="DI25" s="1508">
        <v>0</v>
      </c>
      <c r="DJ25" s="1508">
        <v>0</v>
      </c>
      <c r="DK25" s="1508">
        <v>0</v>
      </c>
      <c r="DL25" s="1508">
        <v>0</v>
      </c>
      <c r="DN25" s="1509">
        <v>0</v>
      </c>
    </row>
    <row r="26" spans="1:118" s="14" customFormat="1" ht="11.25" hidden="1" customHeight="1" outlineLevel="1" x14ac:dyDescent="0.2">
      <c r="A26" s="1522"/>
      <c r="B26" s="1522"/>
      <c r="D26" s="1547"/>
      <c r="E26" s="1526"/>
      <c r="G26" s="1527"/>
      <c r="H26" s="1527"/>
      <c r="I26" s="1527"/>
      <c r="J26" s="1527"/>
      <c r="K26" s="1527"/>
      <c r="L26" s="1527"/>
      <c r="M26" s="1527"/>
      <c r="N26" s="1527"/>
      <c r="O26" s="1527"/>
      <c r="P26" s="1527"/>
      <c r="Q26" s="1527"/>
      <c r="R26" s="1527"/>
      <c r="S26" s="1527"/>
      <c r="T26" s="1527"/>
      <c r="U26" s="1527"/>
      <c r="V26" s="1527"/>
      <c r="W26" s="1539">
        <f t="shared" si="10"/>
        <v>0</v>
      </c>
      <c r="Y26" s="1528"/>
      <c r="Z26" s="1528"/>
      <c r="AA26" s="1528"/>
      <c r="AB26" s="1528"/>
      <c r="AC26" s="1528"/>
      <c r="AD26" s="1548"/>
      <c r="AE26" s="1548"/>
      <c r="AF26" s="1548"/>
      <c r="AG26" s="1528"/>
      <c r="AH26" s="1528"/>
      <c r="AI26" s="1528"/>
      <c r="AJ26" s="1528"/>
      <c r="AK26" s="1528"/>
      <c r="AL26" s="1528"/>
      <c r="AM26" s="1528"/>
      <c r="AN26" s="1528"/>
      <c r="AO26" s="1528"/>
      <c r="AP26" s="1528"/>
      <c r="AQ26" s="1490">
        <f t="shared" si="11"/>
        <v>0</v>
      </c>
      <c r="AS26" s="1549"/>
      <c r="AT26" s="1549"/>
      <c r="AU26" s="1549"/>
      <c r="AV26" s="1549"/>
      <c r="AW26" s="1549"/>
      <c r="AX26" s="1549"/>
      <c r="AY26" s="1549"/>
      <c r="AZ26" s="1549"/>
      <c r="BA26" s="1549"/>
      <c r="BB26" s="1549"/>
      <c r="BC26" s="1549"/>
      <c r="BD26" s="1549"/>
      <c r="BE26" s="1549"/>
      <c r="BF26" s="1549"/>
      <c r="BG26" s="1549"/>
      <c r="BH26" s="1549"/>
      <c r="BI26" s="1549"/>
      <c r="BJ26" s="1549"/>
      <c r="BK26" s="1549"/>
      <c r="BL26" s="1550"/>
      <c r="BN26" s="1551"/>
      <c r="BO26" s="1551"/>
      <c r="BP26" s="1531"/>
      <c r="BR26" s="3168">
        <f t="shared" si="12"/>
        <v>0</v>
      </c>
      <c r="BS26" s="1506"/>
      <c r="BT26" s="1522"/>
      <c r="BU26" s="1532">
        <v>0</v>
      </c>
      <c r="BV26" s="1533">
        <v>0</v>
      </c>
      <c r="BW26" s="1533">
        <v>0</v>
      </c>
      <c r="BX26" s="1533">
        <v>0</v>
      </c>
      <c r="BY26" s="1533">
        <v>0</v>
      </c>
      <c r="BZ26" s="1533">
        <v>0</v>
      </c>
      <c r="CA26" s="1533">
        <v>0</v>
      </c>
      <c r="CB26" s="1533">
        <v>0</v>
      </c>
      <c r="CC26" s="1533">
        <v>0</v>
      </c>
      <c r="CD26" s="1533">
        <v>0</v>
      </c>
      <c r="CE26" s="1533">
        <v>0</v>
      </c>
      <c r="CF26" s="1533">
        <v>0</v>
      </c>
      <c r="CG26" s="1533">
        <v>0</v>
      </c>
      <c r="CH26" s="1533">
        <v>0</v>
      </c>
      <c r="CI26" s="1533">
        <v>0</v>
      </c>
      <c r="CJ26" s="1533">
        <v>0</v>
      </c>
      <c r="CK26" s="1533">
        <v>0</v>
      </c>
      <c r="CL26" s="1533">
        <v>0</v>
      </c>
      <c r="CM26" s="1533">
        <v>0</v>
      </c>
      <c r="CN26" s="1533">
        <v>0</v>
      </c>
      <c r="CO26" s="1533">
        <v>0</v>
      </c>
      <c r="CP26" s="1533">
        <v>0</v>
      </c>
      <c r="CQ26" s="1533">
        <v>0</v>
      </c>
      <c r="CR26" s="1533">
        <v>0</v>
      </c>
      <c r="CS26" s="1533">
        <v>0</v>
      </c>
      <c r="CT26" s="1533">
        <v>0</v>
      </c>
      <c r="CU26" s="1533">
        <v>0</v>
      </c>
      <c r="CV26" s="1533">
        <v>0</v>
      </c>
      <c r="CW26" s="1533">
        <v>0</v>
      </c>
      <c r="CX26" s="1533">
        <v>0</v>
      </c>
      <c r="CY26" s="1533">
        <v>0</v>
      </c>
      <c r="CZ26" s="1533">
        <v>0</v>
      </c>
      <c r="DA26" s="1533">
        <v>13.5395392718143</v>
      </c>
      <c r="DB26" s="1533">
        <v>1.6856672942676842E-2</v>
      </c>
      <c r="DC26" s="1533">
        <v>0.2436040552430235</v>
      </c>
      <c r="DD26" s="1533">
        <v>0</v>
      </c>
      <c r="DE26" s="1533">
        <v>0</v>
      </c>
      <c r="DF26" s="1533">
        <v>0</v>
      </c>
      <c r="DG26" s="1533">
        <v>0</v>
      </c>
      <c r="DH26" s="1533">
        <v>0</v>
      </c>
      <c r="DI26" s="1533">
        <v>0</v>
      </c>
      <c r="DJ26" s="1533">
        <v>0</v>
      </c>
      <c r="DK26" s="1533">
        <v>0</v>
      </c>
      <c r="DL26" s="1533">
        <v>0</v>
      </c>
      <c r="DN26" s="1509">
        <v>13.8</v>
      </c>
    </row>
    <row r="27" spans="1:118" s="14" customFormat="1" ht="15.75" collapsed="1" x14ac:dyDescent="0.2">
      <c r="A27" s="1534"/>
      <c r="B27" s="1535"/>
      <c r="C27" s="1536" t="s">
        <v>579</v>
      </c>
      <c r="D27" s="1537" t="str">
        <f>INDEX(Flujos[Flujos], MATCH($C27, Flujos[Código], 0))</f>
        <v>Transporte</v>
      </c>
      <c r="E27" s="1538"/>
      <c r="G27" s="1539">
        <f ca="1">G21+G24</f>
        <v>0</v>
      </c>
      <c r="H27" s="1539">
        <f t="shared" ref="H27:V27" si="25">H21+H24</f>
        <v>0</v>
      </c>
      <c r="I27" s="1539">
        <f t="shared" si="25"/>
        <v>0</v>
      </c>
      <c r="J27" s="1539">
        <f t="shared" si="25"/>
        <v>0</v>
      </c>
      <c r="K27" s="1539">
        <f t="shared" si="25"/>
        <v>0</v>
      </c>
      <c r="L27" s="1539">
        <f t="shared" si="25"/>
        <v>0</v>
      </c>
      <c r="M27" s="1539">
        <f t="shared" ca="1" si="25"/>
        <v>0</v>
      </c>
      <c r="N27" s="1892">
        <f t="shared" ca="1" si="25"/>
        <v>75.399943026533364</v>
      </c>
      <c r="O27" s="1892">
        <f t="shared" ca="1" si="25"/>
        <v>27.758718064616787</v>
      </c>
      <c r="P27" s="1892">
        <f t="shared" ca="1" si="25"/>
        <v>0.62311441391108191</v>
      </c>
      <c r="Q27" s="1892">
        <f t="shared" ca="1" si="25"/>
        <v>7.501718400084248E-2</v>
      </c>
      <c r="R27" s="1892">
        <f t="shared" ca="1" si="25"/>
        <v>38.633736734169311</v>
      </c>
      <c r="S27" s="1892">
        <f t="shared" ca="1" si="25"/>
        <v>9.8278251806424759</v>
      </c>
      <c r="T27" s="1892">
        <f t="shared" ca="1" si="25"/>
        <v>11.140536797886952</v>
      </c>
      <c r="U27" s="1892">
        <f t="shared" ca="1" si="25"/>
        <v>7.3549027833011314E-3</v>
      </c>
      <c r="V27" s="1892">
        <f t="shared" ca="1" si="25"/>
        <v>0.41066117460400281</v>
      </c>
      <c r="W27" s="1539">
        <f t="shared" ca="1" si="10"/>
        <v>163.87690747914812</v>
      </c>
      <c r="Y27" s="1893">
        <f ca="1">Y21+Y24</f>
        <v>-1.3215496059178187</v>
      </c>
      <c r="Z27" s="1893">
        <f t="shared" ref="Z27:AP27" ca="1" si="26">Z21+Z24</f>
        <v>0</v>
      </c>
      <c r="AA27" s="1893">
        <f t="shared" ca="1" si="26"/>
        <v>0</v>
      </c>
      <c r="AB27" s="1893">
        <f ca="1">AB21+AB24</f>
        <v>-162.55535787323032</v>
      </c>
      <c r="AC27" s="1893">
        <f t="shared" ca="1" si="26"/>
        <v>0</v>
      </c>
      <c r="AD27" s="1893">
        <f t="shared" ca="1" si="26"/>
        <v>0</v>
      </c>
      <c r="AE27" s="1893">
        <f t="shared" ca="1" si="26"/>
        <v>0</v>
      </c>
      <c r="AF27" s="1893">
        <f t="shared" ca="1" si="26"/>
        <v>0</v>
      </c>
      <c r="AG27" s="1893">
        <f t="shared" ca="1" si="26"/>
        <v>0</v>
      </c>
      <c r="AH27" s="1893">
        <f t="shared" ca="1" si="26"/>
        <v>0</v>
      </c>
      <c r="AI27" s="1893">
        <f t="shared" ca="1" si="26"/>
        <v>0</v>
      </c>
      <c r="AJ27" s="1893">
        <f t="shared" ca="1" si="26"/>
        <v>0</v>
      </c>
      <c r="AK27" s="1893">
        <f t="shared" ca="1" si="26"/>
        <v>0</v>
      </c>
      <c r="AL27" s="1893">
        <f t="shared" ca="1" si="26"/>
        <v>0</v>
      </c>
      <c r="AM27" s="1893">
        <f t="shared" ca="1" si="26"/>
        <v>0</v>
      </c>
      <c r="AN27" s="1893">
        <f t="shared" ca="1" si="26"/>
        <v>0</v>
      </c>
      <c r="AO27" s="1893">
        <f t="shared" ca="1" si="26"/>
        <v>0</v>
      </c>
      <c r="AP27" s="1893">
        <f t="shared" ca="1" si="26"/>
        <v>0</v>
      </c>
      <c r="AQ27" s="1490">
        <f t="shared" ca="1" si="11"/>
        <v>-163.87690747914814</v>
      </c>
      <c r="AS27" s="1491">
        <f>AS26</f>
        <v>0</v>
      </c>
      <c r="AT27" s="1491">
        <f t="shared" ref="AT27:BK27" si="27">AT26</f>
        <v>0</v>
      </c>
      <c r="AU27" s="1491">
        <f t="shared" si="27"/>
        <v>0</v>
      </c>
      <c r="AV27" s="1491">
        <f t="shared" si="27"/>
        <v>0</v>
      </c>
      <c r="AW27" s="1491">
        <f t="shared" si="27"/>
        <v>0</v>
      </c>
      <c r="AX27" s="1491">
        <f t="shared" si="27"/>
        <v>0</v>
      </c>
      <c r="AY27" s="1491">
        <f t="shared" si="27"/>
        <v>0</v>
      </c>
      <c r="AZ27" s="1491">
        <f t="shared" si="27"/>
        <v>0</v>
      </c>
      <c r="BA27" s="1491">
        <f t="shared" si="27"/>
        <v>0</v>
      </c>
      <c r="BB27" s="1491">
        <f t="shared" si="27"/>
        <v>0</v>
      </c>
      <c r="BC27" s="1491">
        <f t="shared" si="27"/>
        <v>0</v>
      </c>
      <c r="BD27" s="1491">
        <f t="shared" si="27"/>
        <v>0</v>
      </c>
      <c r="BE27" s="1491">
        <f t="shared" si="27"/>
        <v>0</v>
      </c>
      <c r="BF27" s="1491">
        <f t="shared" si="27"/>
        <v>0</v>
      </c>
      <c r="BG27" s="1491">
        <f t="shared" si="27"/>
        <v>0</v>
      </c>
      <c r="BH27" s="1491">
        <f t="shared" si="27"/>
        <v>0</v>
      </c>
      <c r="BI27" s="1491">
        <f t="shared" si="27"/>
        <v>0</v>
      </c>
      <c r="BJ27" s="1491">
        <f t="shared" si="27"/>
        <v>0</v>
      </c>
      <c r="BK27" s="1491">
        <f t="shared" si="27"/>
        <v>0</v>
      </c>
      <c r="BL27" s="1503">
        <f>SUM(AS27:BK27)</f>
        <v>0</v>
      </c>
      <c r="BN27" s="1941">
        <f ca="1">BN24+BN21</f>
        <v>0</v>
      </c>
      <c r="BO27" s="1941">
        <f ca="1">BO24+BO21</f>
        <v>0</v>
      </c>
      <c r="BP27" s="1505">
        <f ca="1">BN27+BO27</f>
        <v>0</v>
      </c>
      <c r="BR27" s="3168">
        <f t="shared" ca="1" si="12"/>
        <v>-2.8421709430404007E-14</v>
      </c>
      <c r="BS27" s="1493"/>
      <c r="BT27" s="748"/>
      <c r="BU27" s="1508">
        <v>131.46551968326995</v>
      </c>
      <c r="BV27" s="1508">
        <v>0.16367405301251234</v>
      </c>
      <c r="BW27" s="1508">
        <v>2.365334083866848</v>
      </c>
      <c r="BX27" s="1508">
        <v>0</v>
      </c>
      <c r="BY27" s="1508">
        <v>0</v>
      </c>
      <c r="BZ27" s="1508">
        <v>0</v>
      </c>
      <c r="CA27" s="1508">
        <v>0</v>
      </c>
      <c r="CB27" s="1508">
        <v>0</v>
      </c>
      <c r="CC27" s="1508">
        <v>0</v>
      </c>
      <c r="CD27" s="1508">
        <v>0</v>
      </c>
      <c r="CE27" s="1508">
        <v>0</v>
      </c>
      <c r="CF27" s="1508">
        <v>0</v>
      </c>
      <c r="CG27" s="1508">
        <v>0</v>
      </c>
      <c r="CH27" s="1508">
        <v>0</v>
      </c>
      <c r="CI27" s="1508">
        <v>0</v>
      </c>
      <c r="CJ27" s="1508">
        <v>0</v>
      </c>
      <c r="CK27" s="1508">
        <v>0</v>
      </c>
      <c r="CL27" s="1508">
        <v>0</v>
      </c>
      <c r="CM27" s="1508">
        <v>0</v>
      </c>
      <c r="CN27" s="1508">
        <v>0</v>
      </c>
      <c r="CO27" s="1508">
        <v>0</v>
      </c>
      <c r="CP27" s="1508">
        <v>0</v>
      </c>
      <c r="CQ27" s="1508">
        <v>0</v>
      </c>
      <c r="CR27" s="1508">
        <v>0</v>
      </c>
      <c r="CS27" s="1508">
        <v>0</v>
      </c>
      <c r="CT27" s="1508">
        <v>0</v>
      </c>
      <c r="CU27" s="1508">
        <v>0</v>
      </c>
      <c r="CV27" s="1508">
        <v>0</v>
      </c>
      <c r="CW27" s="1508">
        <v>0</v>
      </c>
      <c r="CX27" s="1508">
        <v>0</v>
      </c>
      <c r="CY27" s="1508">
        <v>0</v>
      </c>
      <c r="CZ27" s="1508">
        <v>0</v>
      </c>
      <c r="DA27" s="1508">
        <v>51.739539271814301</v>
      </c>
      <c r="DB27" s="1508">
        <v>6.441552213858226E-2</v>
      </c>
      <c r="DC27" s="1508">
        <v>0.93090033050516818</v>
      </c>
      <c r="DD27" s="1508">
        <v>0</v>
      </c>
      <c r="DE27" s="1508">
        <v>0</v>
      </c>
      <c r="DF27" s="1508">
        <v>0</v>
      </c>
      <c r="DG27" s="1508">
        <v>0</v>
      </c>
      <c r="DH27" s="1508">
        <v>0</v>
      </c>
      <c r="DI27" s="1508">
        <v>0</v>
      </c>
      <c r="DJ27" s="1508">
        <v>0</v>
      </c>
      <c r="DK27" s="1508">
        <v>0</v>
      </c>
      <c r="DL27" s="1508">
        <v>0</v>
      </c>
      <c r="DN27" s="1509">
        <v>186.72938294460735</v>
      </c>
    </row>
    <row r="28" spans="1:118" s="14" customFormat="1" ht="15.75" x14ac:dyDescent="0.2">
      <c r="A28" s="1534"/>
      <c r="B28" s="1535"/>
      <c r="C28" s="1536"/>
      <c r="D28" s="1537"/>
      <c r="E28" s="1538"/>
      <c r="G28" s="1539"/>
      <c r="H28" s="1539"/>
      <c r="I28" s="1539"/>
      <c r="J28" s="1539"/>
      <c r="K28" s="1539"/>
      <c r="L28" s="1539"/>
      <c r="M28" s="1539"/>
      <c r="N28" s="1539"/>
      <c r="O28" s="1539"/>
      <c r="P28" s="1539"/>
      <c r="Q28" s="1539"/>
      <c r="R28" s="1539"/>
      <c r="S28" s="1539"/>
      <c r="T28" s="1539"/>
      <c r="U28" s="1539"/>
      <c r="V28" s="1539"/>
      <c r="W28" s="1539"/>
      <c r="Y28" s="1490"/>
      <c r="Z28" s="1490"/>
      <c r="AA28" s="1490"/>
      <c r="AB28" s="1490"/>
      <c r="AC28" s="1490"/>
      <c r="AD28" s="1490"/>
      <c r="AE28" s="1490"/>
      <c r="AF28" s="1490"/>
      <c r="AG28" s="1490"/>
      <c r="AH28" s="1490"/>
      <c r="AI28" s="1490"/>
      <c r="AJ28" s="1490"/>
      <c r="AK28" s="1490"/>
      <c r="AL28" s="1490"/>
      <c r="AM28" s="1490"/>
      <c r="AN28" s="1490"/>
      <c r="AO28" s="1490"/>
      <c r="AP28" s="1490"/>
      <c r="AQ28" s="1490"/>
      <c r="AS28" s="1491"/>
      <c r="AT28" s="1491"/>
      <c r="AU28" s="1491"/>
      <c r="AV28" s="1491"/>
      <c r="AW28" s="1491"/>
      <c r="AX28" s="1491"/>
      <c r="AY28" s="1491"/>
      <c r="AZ28" s="1491"/>
      <c r="BA28" s="1491"/>
      <c r="BB28" s="1491"/>
      <c r="BC28" s="1491"/>
      <c r="BD28" s="1491"/>
      <c r="BE28" s="1491"/>
      <c r="BF28" s="1491"/>
      <c r="BG28" s="1491"/>
      <c r="BH28" s="1491"/>
      <c r="BI28" s="1491"/>
      <c r="BJ28" s="1491"/>
      <c r="BK28" s="1491"/>
      <c r="BL28" s="1491"/>
      <c r="BN28" s="1492"/>
      <c r="BO28" s="1492"/>
      <c r="BP28" s="1492"/>
      <c r="BR28" s="3168"/>
      <c r="BS28" s="1493"/>
      <c r="BT28" s="748"/>
      <c r="BU28" s="1508"/>
      <c r="BV28" s="1508"/>
      <c r="BW28" s="1508"/>
      <c r="BX28" s="1508"/>
      <c r="BY28" s="1508"/>
      <c r="BZ28" s="1508"/>
      <c r="CA28" s="1508"/>
      <c r="CB28" s="1508"/>
      <c r="CC28" s="1508"/>
      <c r="CD28" s="1508"/>
      <c r="CE28" s="1508"/>
      <c r="CF28" s="1508"/>
      <c r="CG28" s="1508"/>
      <c r="CH28" s="1508"/>
      <c r="CI28" s="1508"/>
      <c r="CJ28" s="1508"/>
      <c r="CK28" s="1508"/>
      <c r="CL28" s="1508"/>
      <c r="CM28" s="1508"/>
      <c r="CN28" s="1508"/>
      <c r="CO28" s="1508"/>
      <c r="CP28" s="1508"/>
      <c r="CQ28" s="1508"/>
      <c r="CR28" s="1508"/>
      <c r="CS28" s="1508"/>
      <c r="CT28" s="1508"/>
      <c r="CU28" s="1508"/>
      <c r="CV28" s="1508"/>
      <c r="CW28" s="1508"/>
      <c r="CX28" s="1508"/>
      <c r="CY28" s="1508"/>
      <c r="CZ28" s="1508"/>
      <c r="DA28" s="1508"/>
      <c r="DB28" s="1508"/>
      <c r="DC28" s="1508"/>
      <c r="DD28" s="1508"/>
      <c r="DE28" s="1508"/>
      <c r="DF28" s="1508"/>
      <c r="DG28" s="1508"/>
      <c r="DH28" s="1508"/>
      <c r="DI28" s="1508"/>
      <c r="DJ28" s="1508"/>
      <c r="DK28" s="1508"/>
      <c r="DL28" s="1508"/>
      <c r="DN28" s="1509"/>
    </row>
    <row r="29" spans="1:118" s="14" customFormat="1" ht="12.75" hidden="1" customHeight="1" outlineLevel="1" x14ac:dyDescent="0.2">
      <c r="A29" s="1534"/>
      <c r="B29" s="1534"/>
      <c r="C29" s="1544"/>
      <c r="D29" s="1538"/>
      <c r="E29" s="1538"/>
      <c r="G29" s="1539"/>
      <c r="H29" s="1539"/>
      <c r="I29" s="1539"/>
      <c r="J29" s="1539"/>
      <c r="K29" s="1539"/>
      <c r="L29" s="1539"/>
      <c r="M29" s="1539"/>
      <c r="N29" s="1539"/>
      <c r="O29" s="1539"/>
      <c r="P29" s="1539"/>
      <c r="Q29" s="1539"/>
      <c r="R29" s="1539"/>
      <c r="S29" s="1539"/>
      <c r="T29" s="1539"/>
      <c r="U29" s="1539"/>
      <c r="V29" s="1539"/>
      <c r="W29" s="1539">
        <f t="shared" si="10"/>
        <v>0</v>
      </c>
      <c r="Y29" s="1490"/>
      <c r="Z29" s="1490"/>
      <c r="AA29" s="1490"/>
      <c r="AB29" s="1490"/>
      <c r="AC29" s="1490"/>
      <c r="AD29" s="1490"/>
      <c r="AE29" s="1490"/>
      <c r="AF29" s="1490"/>
      <c r="AG29" s="1490"/>
      <c r="AH29" s="1490"/>
      <c r="AI29" s="1490"/>
      <c r="AJ29" s="1490"/>
      <c r="AK29" s="1490"/>
      <c r="AL29" s="1490"/>
      <c r="AM29" s="1490"/>
      <c r="AN29" s="1490"/>
      <c r="AO29" s="1490"/>
      <c r="AP29" s="1490"/>
      <c r="AQ29" s="1490"/>
      <c r="AS29" s="1491"/>
      <c r="AT29" s="1491"/>
      <c r="AU29" s="1491"/>
      <c r="AV29" s="1491"/>
      <c r="AW29" s="1491"/>
      <c r="AX29" s="1491"/>
      <c r="AY29" s="1491"/>
      <c r="AZ29" s="1491"/>
      <c r="BA29" s="1491"/>
      <c r="BB29" s="1491"/>
      <c r="BC29" s="1491"/>
      <c r="BD29" s="1491"/>
      <c r="BE29" s="1491"/>
      <c r="BF29" s="1491"/>
      <c r="BG29" s="1491"/>
      <c r="BH29" s="1491"/>
      <c r="BI29" s="1491"/>
      <c r="BJ29" s="1491"/>
      <c r="BK29" s="1491"/>
      <c r="BL29" s="1491"/>
      <c r="BN29" s="1492"/>
      <c r="BO29" s="1492"/>
      <c r="BP29" s="1492"/>
      <c r="BR29" s="3168">
        <f t="shared" si="12"/>
        <v>0</v>
      </c>
      <c r="BS29" s="1493"/>
      <c r="BT29" s="1534"/>
      <c r="BU29" s="1508"/>
      <c r="BV29" s="1508"/>
      <c r="BW29" s="1508"/>
      <c r="BX29" s="1508"/>
      <c r="BY29" s="1508"/>
      <c r="BZ29" s="1508"/>
      <c r="CA29" s="1508"/>
      <c r="CB29" s="1508"/>
      <c r="CC29" s="1508"/>
      <c r="CD29" s="1508"/>
      <c r="CE29" s="1508"/>
      <c r="CF29" s="1508"/>
      <c r="CG29" s="1508"/>
      <c r="CH29" s="1508"/>
      <c r="CI29" s="1508"/>
      <c r="CJ29" s="1508"/>
      <c r="CK29" s="1508"/>
      <c r="CL29" s="1508"/>
      <c r="CM29" s="1508"/>
      <c r="CN29" s="1508"/>
      <c r="CO29" s="1508"/>
      <c r="CP29" s="1508"/>
      <c r="CQ29" s="1508"/>
      <c r="CR29" s="1508"/>
      <c r="CS29" s="1508"/>
      <c r="CT29" s="1508"/>
      <c r="CU29" s="1508"/>
      <c r="CV29" s="1508"/>
      <c r="CW29" s="1508"/>
      <c r="CX29" s="1508"/>
      <c r="CY29" s="1508"/>
      <c r="CZ29" s="1508"/>
      <c r="DA29" s="1508"/>
      <c r="DB29" s="1508"/>
      <c r="DC29" s="1508"/>
      <c r="DD29" s="1508"/>
      <c r="DE29" s="1508"/>
      <c r="DF29" s="1508"/>
      <c r="DG29" s="1508"/>
      <c r="DH29" s="1508"/>
      <c r="DI29" s="1508"/>
      <c r="DJ29" s="1508"/>
      <c r="DK29" s="1508"/>
      <c r="DL29" s="1508"/>
      <c r="DN29" s="1509">
        <v>0</v>
      </c>
    </row>
    <row r="30" spans="1:118" s="14" customFormat="1" ht="12.75" hidden="1" customHeight="1" outlineLevel="1" x14ac:dyDescent="0.2">
      <c r="A30" s="1522"/>
      <c r="B30" s="1522"/>
      <c r="C30" s="1496"/>
      <c r="D30" s="1526"/>
      <c r="E30" s="1526"/>
      <c r="G30" s="1540">
        <v>0</v>
      </c>
      <c r="H30" s="1540"/>
      <c r="I30" s="1540"/>
      <c r="J30" s="1540"/>
      <c r="K30" s="1540"/>
      <c r="L30" s="1540"/>
      <c r="M30" s="1540">
        <v>0</v>
      </c>
      <c r="N30" s="1540">
        <v>0</v>
      </c>
      <c r="O30" s="1540">
        <v>0</v>
      </c>
      <c r="P30" s="1540">
        <v>0</v>
      </c>
      <c r="Q30" s="1540">
        <v>0</v>
      </c>
      <c r="R30" s="1540">
        <v>0</v>
      </c>
      <c r="S30" s="1540"/>
      <c r="T30" s="1540"/>
      <c r="U30" s="1540"/>
      <c r="V30" s="1540"/>
      <c r="W30" s="1539">
        <f t="shared" si="10"/>
        <v>0</v>
      </c>
      <c r="Y30" s="1541"/>
      <c r="Z30" s="1541"/>
      <c r="AA30" s="1541"/>
      <c r="AB30" s="1541"/>
      <c r="AC30" s="1541"/>
      <c r="AD30" s="1541"/>
      <c r="AE30" s="1541"/>
      <c r="AF30" s="1541"/>
      <c r="AG30" s="1541"/>
      <c r="AH30" s="1541"/>
      <c r="AI30" s="1541"/>
      <c r="AJ30" s="1541"/>
      <c r="AK30" s="1541"/>
      <c r="AL30" s="1541"/>
      <c r="AM30" s="1541"/>
      <c r="AN30" s="1541"/>
      <c r="AO30" s="1541"/>
      <c r="AP30" s="1541"/>
      <c r="AQ30" s="1528"/>
      <c r="AS30" s="1542"/>
      <c r="AT30" s="1542"/>
      <c r="AU30" s="1542"/>
      <c r="AV30" s="1542"/>
      <c r="AW30" s="1542"/>
      <c r="AX30" s="1542"/>
      <c r="AY30" s="1542"/>
      <c r="AZ30" s="1542"/>
      <c r="BA30" s="1542"/>
      <c r="BB30" s="1542"/>
      <c r="BC30" s="1542"/>
      <c r="BD30" s="1542"/>
      <c r="BE30" s="1542"/>
      <c r="BF30" s="1542"/>
      <c r="BG30" s="1542"/>
      <c r="BH30" s="1542"/>
      <c r="BI30" s="1542"/>
      <c r="BJ30" s="1542"/>
      <c r="BK30" s="1542"/>
      <c r="BL30" s="1530"/>
      <c r="BN30" s="1543">
        <v>0</v>
      </c>
      <c r="BO30" s="1543">
        <v>0</v>
      </c>
      <c r="BP30" s="1531">
        <v>0</v>
      </c>
      <c r="BR30" s="3168">
        <f t="shared" si="12"/>
        <v>0</v>
      </c>
      <c r="BS30" s="1525"/>
      <c r="BT30" s="748"/>
      <c r="BU30" s="1532">
        <v>0</v>
      </c>
      <c r="BV30" s="1533">
        <v>0</v>
      </c>
      <c r="BW30" s="1533">
        <v>0</v>
      </c>
      <c r="BX30" s="1533">
        <v>0</v>
      </c>
      <c r="BY30" s="1533">
        <v>0</v>
      </c>
      <c r="BZ30" s="1533">
        <v>0</v>
      </c>
      <c r="CA30" s="1533">
        <v>0</v>
      </c>
      <c r="CB30" s="1533">
        <v>0</v>
      </c>
      <c r="CC30" s="1533">
        <v>0</v>
      </c>
      <c r="CD30" s="1533">
        <v>0</v>
      </c>
      <c r="CE30" s="1533">
        <v>0</v>
      </c>
      <c r="CF30" s="1533">
        <v>0</v>
      </c>
      <c r="CG30" s="1533">
        <v>0</v>
      </c>
      <c r="CH30" s="1533">
        <v>0</v>
      </c>
      <c r="CI30" s="1533">
        <v>0</v>
      </c>
      <c r="CJ30" s="1533">
        <v>0</v>
      </c>
      <c r="CK30" s="1533">
        <v>0</v>
      </c>
      <c r="CL30" s="1533">
        <v>0</v>
      </c>
      <c r="CM30" s="1533">
        <v>0</v>
      </c>
      <c r="CN30" s="1533">
        <v>0</v>
      </c>
      <c r="CO30" s="1533">
        <v>0</v>
      </c>
      <c r="CP30" s="1533">
        <v>0</v>
      </c>
      <c r="CQ30" s="1533">
        <v>0</v>
      </c>
      <c r="CR30" s="1533">
        <v>0</v>
      </c>
      <c r="CS30" s="1533">
        <v>0</v>
      </c>
      <c r="CT30" s="1533">
        <v>0</v>
      </c>
      <c r="CU30" s="1533">
        <v>0</v>
      </c>
      <c r="CV30" s="1533">
        <v>0</v>
      </c>
      <c r="CW30" s="1533">
        <v>0</v>
      </c>
      <c r="CX30" s="1533">
        <v>0</v>
      </c>
      <c r="CY30" s="1533">
        <v>0</v>
      </c>
      <c r="CZ30" s="1533">
        <v>0</v>
      </c>
      <c r="DA30" s="1533">
        <v>0</v>
      </c>
      <c r="DB30" s="1533">
        <v>0</v>
      </c>
      <c r="DC30" s="1533">
        <v>0</v>
      </c>
      <c r="DD30" s="1533">
        <v>0</v>
      </c>
      <c r="DE30" s="1533">
        <v>0</v>
      </c>
      <c r="DF30" s="1533">
        <v>0</v>
      </c>
      <c r="DG30" s="1533">
        <v>0</v>
      </c>
      <c r="DH30" s="1533">
        <v>0</v>
      </c>
      <c r="DI30" s="1533">
        <v>0</v>
      </c>
      <c r="DJ30" s="1533">
        <v>0</v>
      </c>
      <c r="DK30" s="1533">
        <v>0</v>
      </c>
      <c r="DL30" s="1533">
        <v>0</v>
      </c>
      <c r="DN30" s="1509">
        <v>0</v>
      </c>
    </row>
    <row r="31" spans="1:118" s="14" customFormat="1" ht="15.75" collapsed="1" x14ac:dyDescent="0.2">
      <c r="A31" s="1534"/>
      <c r="B31" s="1535"/>
      <c r="C31" s="1536"/>
      <c r="D31" s="1537"/>
      <c r="E31" s="1538"/>
      <c r="G31" s="1539"/>
      <c r="H31" s="1539"/>
      <c r="I31" s="1539"/>
      <c r="J31" s="1539"/>
      <c r="K31" s="1539"/>
      <c r="L31" s="1539"/>
      <c r="M31" s="1539"/>
      <c r="N31" s="1539"/>
      <c r="O31" s="1539"/>
      <c r="P31" s="1539"/>
      <c r="Q31" s="1539"/>
      <c r="R31" s="1539"/>
      <c r="S31" s="1539"/>
      <c r="T31" s="1539"/>
      <c r="U31" s="1539"/>
      <c r="V31" s="1539"/>
      <c r="W31" s="1539"/>
      <c r="Y31" s="1490"/>
      <c r="Z31" s="1490"/>
      <c r="AA31" s="1490"/>
      <c r="AB31" s="1490"/>
      <c r="AC31" s="1490"/>
      <c r="AD31" s="1490"/>
      <c r="AE31" s="1490"/>
      <c r="AF31" s="1490"/>
      <c r="AG31" s="1490"/>
      <c r="AH31" s="1490"/>
      <c r="AI31" s="1490"/>
      <c r="AJ31" s="1490"/>
      <c r="AK31" s="1490"/>
      <c r="AL31" s="1490"/>
      <c r="AM31" s="1490"/>
      <c r="AN31" s="1490"/>
      <c r="AO31" s="1490"/>
      <c r="AP31" s="1490"/>
      <c r="AQ31" s="1490"/>
      <c r="AS31" s="1491"/>
      <c r="AT31" s="1491"/>
      <c r="AU31" s="1491"/>
      <c r="AV31" s="1491"/>
      <c r="AW31" s="1491"/>
      <c r="AX31" s="1491"/>
      <c r="AY31" s="1491"/>
      <c r="AZ31" s="1491"/>
      <c r="BA31" s="1491"/>
      <c r="BB31" s="1491"/>
      <c r="BC31" s="1491"/>
      <c r="BD31" s="1491"/>
      <c r="BE31" s="1491"/>
      <c r="BF31" s="1491"/>
      <c r="BG31" s="1491"/>
      <c r="BH31" s="1491"/>
      <c r="BI31" s="1491"/>
      <c r="BJ31" s="1491"/>
      <c r="BK31" s="1491"/>
      <c r="BL31" s="1491"/>
      <c r="BN31" s="1492"/>
      <c r="BO31" s="1492"/>
      <c r="BP31" s="1492"/>
      <c r="BR31" s="3168"/>
      <c r="BS31" s="1493"/>
      <c r="BT31" s="748"/>
      <c r="BU31" s="1508"/>
      <c r="BV31" s="1508"/>
      <c r="BW31" s="1508"/>
      <c r="BX31" s="1508"/>
      <c r="BY31" s="1508"/>
      <c r="BZ31" s="1508"/>
      <c r="CA31" s="1508"/>
      <c r="CB31" s="1508"/>
      <c r="CC31" s="1508"/>
      <c r="CD31" s="1508"/>
      <c r="CE31" s="1508"/>
      <c r="CF31" s="1508"/>
      <c r="CG31" s="1508"/>
      <c r="CH31" s="1508"/>
      <c r="CI31" s="1508"/>
      <c r="CJ31" s="1508"/>
      <c r="CK31" s="1508"/>
      <c r="CL31" s="1508"/>
      <c r="CM31" s="1508"/>
      <c r="CN31" s="1508"/>
      <c r="CO31" s="1508"/>
      <c r="CP31" s="1508"/>
      <c r="CQ31" s="1508"/>
      <c r="CR31" s="1508"/>
      <c r="CS31" s="1508"/>
      <c r="CT31" s="1508"/>
      <c r="CU31" s="1508"/>
      <c r="CV31" s="1508"/>
      <c r="CW31" s="1508"/>
      <c r="CX31" s="1508"/>
      <c r="CY31" s="1508"/>
      <c r="CZ31" s="1508"/>
      <c r="DA31" s="1508"/>
      <c r="DB31" s="1508"/>
      <c r="DC31" s="1508"/>
      <c r="DD31" s="1508"/>
      <c r="DE31" s="1508"/>
      <c r="DF31" s="1508"/>
      <c r="DG31" s="1508"/>
      <c r="DH31" s="1508"/>
      <c r="DI31" s="1508"/>
      <c r="DJ31" s="1508"/>
      <c r="DK31" s="1508"/>
      <c r="DL31" s="1508"/>
      <c r="DN31" s="1509"/>
    </row>
    <row r="32" spans="1:118" s="14" customFormat="1" ht="12.75" hidden="1" customHeight="1" outlineLevel="1" x14ac:dyDescent="0.2">
      <c r="A32" s="1534"/>
      <c r="B32" s="1534"/>
      <c r="C32" s="1544"/>
      <c r="D32" s="1538"/>
      <c r="E32" s="1538"/>
      <c r="G32" s="1539"/>
      <c r="H32" s="1539"/>
      <c r="I32" s="1539"/>
      <c r="J32" s="1539"/>
      <c r="K32" s="1539"/>
      <c r="L32" s="1539"/>
      <c r="M32" s="1539"/>
      <c r="N32" s="1539"/>
      <c r="O32" s="1539"/>
      <c r="P32" s="1539"/>
      <c r="Q32" s="1539"/>
      <c r="R32" s="1539"/>
      <c r="S32" s="1539"/>
      <c r="T32" s="1539"/>
      <c r="U32" s="1539"/>
      <c r="V32" s="1539"/>
      <c r="W32" s="1539">
        <f t="shared" si="10"/>
        <v>0</v>
      </c>
      <c r="Y32" s="1490"/>
      <c r="Z32" s="1490"/>
      <c r="AA32" s="1490"/>
      <c r="AB32" s="1490"/>
      <c r="AC32" s="1490"/>
      <c r="AD32" s="1490"/>
      <c r="AE32" s="1490"/>
      <c r="AF32" s="1490"/>
      <c r="AG32" s="1490"/>
      <c r="AH32" s="1490"/>
      <c r="AI32" s="1490"/>
      <c r="AJ32" s="1490"/>
      <c r="AK32" s="1490"/>
      <c r="AL32" s="1490"/>
      <c r="AM32" s="1490"/>
      <c r="AN32" s="1490"/>
      <c r="AO32" s="1490"/>
      <c r="AP32" s="1490"/>
      <c r="AQ32" s="1490"/>
      <c r="AS32" s="1491"/>
      <c r="AT32" s="1491"/>
      <c r="AU32" s="1491"/>
      <c r="AV32" s="1491"/>
      <c r="AW32" s="1491"/>
      <c r="AX32" s="1491"/>
      <c r="AY32" s="1491"/>
      <c r="AZ32" s="1491"/>
      <c r="BA32" s="1491"/>
      <c r="BB32" s="1491"/>
      <c r="BC32" s="1491"/>
      <c r="BD32" s="1491"/>
      <c r="BE32" s="1491"/>
      <c r="BF32" s="1491"/>
      <c r="BG32" s="1491"/>
      <c r="BH32" s="1491"/>
      <c r="BI32" s="1491"/>
      <c r="BJ32" s="1491"/>
      <c r="BK32" s="1491"/>
      <c r="BL32" s="1491"/>
      <c r="BN32" s="1492"/>
      <c r="BO32" s="1492"/>
      <c r="BP32" s="1492"/>
      <c r="BR32" s="3168">
        <f t="shared" si="12"/>
        <v>0</v>
      </c>
      <c r="BS32" s="1493"/>
      <c r="BT32" s="1534"/>
      <c r="BU32" s="1507"/>
      <c r="BV32" s="1508"/>
      <c r="BW32" s="1508"/>
      <c r="BX32" s="1508"/>
      <c r="BY32" s="1508"/>
      <c r="BZ32" s="1508"/>
      <c r="CA32" s="1508"/>
      <c r="CB32" s="1508"/>
      <c r="CC32" s="1508"/>
      <c r="CD32" s="1508"/>
      <c r="CE32" s="1508"/>
      <c r="CF32" s="1508"/>
      <c r="CG32" s="1508"/>
      <c r="CH32" s="1508"/>
      <c r="CI32" s="1508"/>
      <c r="CJ32" s="1508"/>
      <c r="CK32" s="1508"/>
      <c r="CL32" s="1508"/>
      <c r="CM32" s="1508"/>
      <c r="CN32" s="1508"/>
      <c r="CO32" s="1508"/>
      <c r="CP32" s="1508"/>
      <c r="CQ32" s="1508"/>
      <c r="CR32" s="1508"/>
      <c r="CS32" s="1508"/>
      <c r="CT32" s="1508"/>
      <c r="CU32" s="1508"/>
      <c r="CV32" s="1508"/>
      <c r="CW32" s="1508"/>
      <c r="CX32" s="1508"/>
      <c r="CY32" s="1508"/>
      <c r="CZ32" s="1508"/>
      <c r="DA32" s="1508"/>
      <c r="DB32" s="1508"/>
      <c r="DC32" s="1508"/>
      <c r="DD32" s="1508"/>
      <c r="DE32" s="1508"/>
      <c r="DF32" s="1508"/>
      <c r="DG32" s="1508"/>
      <c r="DH32" s="1508"/>
      <c r="DI32" s="1508"/>
      <c r="DJ32" s="1508"/>
      <c r="DK32" s="1508"/>
      <c r="DL32" s="1508"/>
      <c r="DN32" s="1509"/>
    </row>
    <row r="33" spans="1:118" s="14" customFormat="1" ht="12.75" hidden="1" customHeight="1" outlineLevel="1" x14ac:dyDescent="0.2">
      <c r="A33" s="1522"/>
      <c r="B33" s="1522"/>
      <c r="C33" s="1496"/>
      <c r="D33" s="1526"/>
      <c r="E33" s="1526"/>
      <c r="G33" s="1540"/>
      <c r="H33" s="1540"/>
      <c r="I33" s="1540"/>
      <c r="J33" s="1540"/>
      <c r="K33" s="1540"/>
      <c r="L33" s="1540"/>
      <c r="M33" s="1540"/>
      <c r="N33" s="1540"/>
      <c r="O33" s="1540"/>
      <c r="P33" s="1540"/>
      <c r="Q33" s="1540"/>
      <c r="R33" s="1540"/>
      <c r="S33" s="1540"/>
      <c r="T33" s="1540"/>
      <c r="U33" s="1540"/>
      <c r="V33" s="1540"/>
      <c r="W33" s="1539">
        <f t="shared" si="10"/>
        <v>0</v>
      </c>
      <c r="Y33" s="1541"/>
      <c r="Z33" s="1541"/>
      <c r="AA33" s="1541"/>
      <c r="AB33" s="1541"/>
      <c r="AC33" s="1541"/>
      <c r="AD33" s="1541"/>
      <c r="AE33" s="1541"/>
      <c r="AF33" s="1541"/>
      <c r="AG33" s="1541"/>
      <c r="AH33" s="1541"/>
      <c r="AI33" s="1541"/>
      <c r="AJ33" s="1541"/>
      <c r="AK33" s="1541"/>
      <c r="AL33" s="1541"/>
      <c r="AM33" s="1541"/>
      <c r="AN33" s="1541"/>
      <c r="AO33" s="1541"/>
      <c r="AP33" s="1541"/>
      <c r="AQ33" s="1528"/>
      <c r="AS33" s="1542"/>
      <c r="AT33" s="1542"/>
      <c r="AU33" s="1542"/>
      <c r="AV33" s="1542"/>
      <c r="AW33" s="1542"/>
      <c r="AX33" s="1542"/>
      <c r="AY33" s="1542"/>
      <c r="AZ33" s="1542"/>
      <c r="BA33" s="1542"/>
      <c r="BB33" s="1542"/>
      <c r="BC33" s="1542"/>
      <c r="BD33" s="1542"/>
      <c r="BE33" s="1542"/>
      <c r="BF33" s="1542"/>
      <c r="BG33" s="1542"/>
      <c r="BH33" s="1542"/>
      <c r="BI33" s="1542"/>
      <c r="BJ33" s="1542"/>
      <c r="BK33" s="1542"/>
      <c r="BL33" s="1530"/>
      <c r="BN33" s="1543"/>
      <c r="BO33" s="1543"/>
      <c r="BP33" s="1531"/>
      <c r="BR33" s="3168">
        <f t="shared" si="12"/>
        <v>0</v>
      </c>
      <c r="BS33" s="1525"/>
      <c r="BT33" s="748"/>
      <c r="BU33" s="1532"/>
      <c r="BV33" s="1533"/>
      <c r="BW33" s="1533"/>
      <c r="BX33" s="1533"/>
      <c r="BY33" s="1533"/>
      <c r="BZ33" s="1533"/>
      <c r="CA33" s="1533"/>
      <c r="CB33" s="1533"/>
      <c r="CC33" s="1533"/>
      <c r="CD33" s="1533"/>
      <c r="CE33" s="1533"/>
      <c r="CF33" s="1533"/>
      <c r="CG33" s="1533"/>
      <c r="CH33" s="1533"/>
      <c r="CI33" s="1533"/>
      <c r="CJ33" s="1533"/>
      <c r="CK33" s="1533"/>
      <c r="CL33" s="1533"/>
      <c r="CM33" s="1533"/>
      <c r="CN33" s="1533"/>
      <c r="CO33" s="1533"/>
      <c r="CP33" s="1533"/>
      <c r="CQ33" s="1533"/>
      <c r="CR33" s="1533"/>
      <c r="CS33" s="1533"/>
      <c r="CT33" s="1533"/>
      <c r="CU33" s="1533"/>
      <c r="CV33" s="1533"/>
      <c r="CW33" s="1533"/>
      <c r="CX33" s="1533"/>
      <c r="CY33" s="1533"/>
      <c r="CZ33" s="1533"/>
      <c r="DA33" s="1533"/>
      <c r="DB33" s="1533"/>
      <c r="DC33" s="1533"/>
      <c r="DD33" s="1533"/>
      <c r="DE33" s="1533"/>
      <c r="DF33" s="1533"/>
      <c r="DG33" s="1533"/>
      <c r="DH33" s="1533"/>
      <c r="DI33" s="1533"/>
      <c r="DJ33" s="1533"/>
      <c r="DK33" s="1533"/>
      <c r="DL33" s="1533"/>
      <c r="DN33" s="1509"/>
    </row>
    <row r="34" spans="1:118" s="14" customFormat="1" ht="15.75" collapsed="1" x14ac:dyDescent="0.2">
      <c r="A34" s="1534"/>
      <c r="B34" s="1535"/>
      <c r="C34" s="1536"/>
      <c r="D34" s="1537"/>
      <c r="E34" s="1538"/>
      <c r="G34" s="1539"/>
      <c r="H34" s="1539"/>
      <c r="I34" s="1539"/>
      <c r="J34" s="1539"/>
      <c r="K34" s="1539"/>
      <c r="L34" s="1539"/>
      <c r="M34" s="1539"/>
      <c r="N34" s="1539"/>
      <c r="O34" s="1539"/>
      <c r="P34" s="1539"/>
      <c r="Q34" s="1539"/>
      <c r="R34" s="1539"/>
      <c r="S34" s="1539"/>
      <c r="T34" s="1539"/>
      <c r="U34" s="1539"/>
      <c r="V34" s="1539"/>
      <c r="W34" s="1539"/>
      <c r="Y34" s="1490"/>
      <c r="Z34" s="1490"/>
      <c r="AA34" s="1490"/>
      <c r="AB34" s="1490"/>
      <c r="AC34" s="1490"/>
      <c r="AD34" s="1490"/>
      <c r="AE34" s="1490"/>
      <c r="AF34" s="1490"/>
      <c r="AG34" s="1490"/>
      <c r="AH34" s="1490"/>
      <c r="AI34" s="1490"/>
      <c r="AJ34" s="1490"/>
      <c r="AK34" s="1490"/>
      <c r="AL34" s="1490"/>
      <c r="AM34" s="1490"/>
      <c r="AN34" s="1490"/>
      <c r="AO34" s="1490"/>
      <c r="AP34" s="1490"/>
      <c r="AQ34" s="1490"/>
      <c r="AS34" s="1491"/>
      <c r="AT34" s="1491"/>
      <c r="AU34" s="1491"/>
      <c r="AV34" s="1491"/>
      <c r="AW34" s="1491"/>
      <c r="AX34" s="1491"/>
      <c r="AY34" s="1491"/>
      <c r="AZ34" s="1491"/>
      <c r="BA34" s="1491"/>
      <c r="BB34" s="1491"/>
      <c r="BC34" s="1491"/>
      <c r="BD34" s="1491"/>
      <c r="BE34" s="1491"/>
      <c r="BF34" s="1491"/>
      <c r="BG34" s="1491"/>
      <c r="BH34" s="1491"/>
      <c r="BI34" s="1491"/>
      <c r="BJ34" s="1491"/>
      <c r="BK34" s="1491"/>
      <c r="BL34" s="1491"/>
      <c r="BN34" s="1492"/>
      <c r="BO34" s="1492"/>
      <c r="BP34" s="1492"/>
      <c r="BR34" s="3168"/>
      <c r="BS34" s="1493"/>
      <c r="BT34" s="748"/>
      <c r="BU34" s="1508"/>
      <c r="BV34" s="1508"/>
      <c r="BW34" s="1508"/>
      <c r="BX34" s="1508"/>
      <c r="BY34" s="1508"/>
      <c r="BZ34" s="1508"/>
      <c r="CA34" s="1508"/>
      <c r="CB34" s="1508"/>
      <c r="CC34" s="1508"/>
      <c r="CD34" s="1508"/>
      <c r="CE34" s="1508"/>
      <c r="CF34" s="1508"/>
      <c r="CG34" s="1508"/>
      <c r="CH34" s="1508"/>
      <c r="CI34" s="1508"/>
      <c r="CJ34" s="1508"/>
      <c r="CK34" s="1508"/>
      <c r="CL34" s="1508"/>
      <c r="CM34" s="1508"/>
      <c r="CN34" s="1508"/>
      <c r="CO34" s="1508"/>
      <c r="CP34" s="1508"/>
      <c r="CQ34" s="1508"/>
      <c r="CR34" s="1508"/>
      <c r="CS34" s="1508"/>
      <c r="CT34" s="1508"/>
      <c r="CU34" s="1508"/>
      <c r="CV34" s="1508"/>
      <c r="CW34" s="1508"/>
      <c r="CX34" s="1508"/>
      <c r="CY34" s="1508"/>
      <c r="CZ34" s="1508"/>
      <c r="DA34" s="1508"/>
      <c r="DB34" s="1508"/>
      <c r="DC34" s="1508"/>
      <c r="DD34" s="1508"/>
      <c r="DE34" s="1508"/>
      <c r="DF34" s="1508"/>
      <c r="DG34" s="1508"/>
      <c r="DH34" s="1508"/>
      <c r="DI34" s="1508"/>
      <c r="DJ34" s="1508"/>
      <c r="DK34" s="1508"/>
      <c r="DL34" s="1508"/>
      <c r="DN34" s="1509"/>
    </row>
    <row r="35" spans="1:118" s="14" customFormat="1" ht="6" customHeight="1" x14ac:dyDescent="0.2">
      <c r="C35" s="1552"/>
      <c r="D35" s="1537"/>
      <c r="E35" s="1430"/>
      <c r="G35" s="1539"/>
      <c r="H35" s="1539"/>
      <c r="I35" s="1539"/>
      <c r="J35" s="1539"/>
      <c r="K35" s="1539"/>
      <c r="L35" s="1539"/>
      <c r="M35" s="1539"/>
      <c r="N35" s="1539"/>
      <c r="O35" s="1539"/>
      <c r="P35" s="1539"/>
      <c r="Q35" s="1539"/>
      <c r="R35" s="1539"/>
      <c r="S35" s="1539"/>
      <c r="T35" s="1539"/>
      <c r="U35" s="1539"/>
      <c r="V35" s="1539"/>
      <c r="W35" s="1539"/>
      <c r="Y35" s="1490"/>
      <c r="Z35" s="1490"/>
      <c r="AA35" s="1490"/>
      <c r="AB35" s="1490"/>
      <c r="AC35" s="1490"/>
      <c r="AD35" s="1490"/>
      <c r="AE35" s="1490"/>
      <c r="AF35" s="1490"/>
      <c r="AG35" s="1490"/>
      <c r="AH35" s="1490"/>
      <c r="AI35" s="1490"/>
      <c r="AJ35" s="1490"/>
      <c r="AK35" s="1490"/>
      <c r="AL35" s="1490"/>
      <c r="AM35" s="1490"/>
      <c r="AN35" s="1490"/>
      <c r="AO35" s="1490"/>
      <c r="AP35" s="1490"/>
      <c r="AQ35" s="1490"/>
      <c r="AS35" s="1491"/>
      <c r="AT35" s="1491"/>
      <c r="AU35" s="1491"/>
      <c r="AV35" s="1491"/>
      <c r="AW35" s="1491"/>
      <c r="AX35" s="1491"/>
      <c r="AY35" s="1491"/>
      <c r="AZ35" s="1491"/>
      <c r="BA35" s="1491"/>
      <c r="BB35" s="1491"/>
      <c r="BC35" s="1491"/>
      <c r="BD35" s="1491"/>
      <c r="BE35" s="1491"/>
      <c r="BF35" s="1491"/>
      <c r="BG35" s="1491"/>
      <c r="BH35" s="1491"/>
      <c r="BI35" s="1491"/>
      <c r="BJ35" s="1491"/>
      <c r="BK35" s="1491"/>
      <c r="BL35" s="1491"/>
      <c r="BN35" s="1492"/>
      <c r="BO35" s="1492"/>
      <c r="BP35" s="1492"/>
      <c r="BR35" s="3168"/>
      <c r="BS35" s="1493"/>
      <c r="BU35" s="1508"/>
      <c r="BV35" s="1508"/>
      <c r="BW35" s="1508"/>
      <c r="BX35" s="1508"/>
      <c r="BY35" s="1508"/>
      <c r="BZ35" s="1508"/>
      <c r="CA35" s="1508"/>
      <c r="CB35" s="1508"/>
      <c r="CC35" s="1508"/>
      <c r="CD35" s="1508"/>
      <c r="CE35" s="1508"/>
      <c r="CF35" s="1508"/>
      <c r="CG35" s="1508"/>
      <c r="CH35" s="1508"/>
      <c r="CI35" s="1508"/>
      <c r="CJ35" s="1508"/>
      <c r="CK35" s="1508"/>
      <c r="CL35" s="1508"/>
      <c r="CM35" s="1508"/>
      <c r="CN35" s="1508"/>
      <c r="CO35" s="1508"/>
      <c r="CP35" s="1508"/>
      <c r="CQ35" s="1508"/>
      <c r="CR35" s="1508"/>
      <c r="CS35" s="1508"/>
      <c r="CT35" s="1508"/>
      <c r="CU35" s="1508"/>
      <c r="CV35" s="1508"/>
      <c r="CW35" s="1508"/>
      <c r="CX35" s="1508"/>
      <c r="CY35" s="1508"/>
      <c r="CZ35" s="1508"/>
      <c r="DA35" s="1508"/>
      <c r="DB35" s="1508"/>
      <c r="DC35" s="1508"/>
      <c r="DD35" s="1508"/>
      <c r="DE35" s="1508"/>
      <c r="DF35" s="1508"/>
      <c r="DG35" s="1508"/>
      <c r="DH35" s="1508"/>
      <c r="DI35" s="1508"/>
      <c r="DJ35" s="1508"/>
      <c r="DK35" s="1508"/>
      <c r="DL35" s="1508"/>
      <c r="DN35" s="1509"/>
    </row>
    <row r="36" spans="1:118" s="14" customFormat="1" ht="15.75" x14ac:dyDescent="0.2">
      <c r="B36" s="1535"/>
      <c r="C36" s="1553"/>
      <c r="D36" s="1554" t="s">
        <v>916</v>
      </c>
      <c r="E36" s="1555"/>
      <c r="G36" s="1929">
        <f t="shared" ref="G36:V36" ca="1" si="28">G15+G19+G27</f>
        <v>60.783628392010016</v>
      </c>
      <c r="H36" s="1929">
        <f t="shared" ca="1" si="28"/>
        <v>12.972718409914814</v>
      </c>
      <c r="I36" s="1929">
        <f t="shared" ca="1" si="28"/>
        <v>5.1272733932542449</v>
      </c>
      <c r="J36" s="1929">
        <f t="shared" ca="1" si="28"/>
        <v>17.059874020150673</v>
      </c>
      <c r="K36" s="1929">
        <f t="shared" ca="1" si="28"/>
        <v>7.5700934055879809</v>
      </c>
      <c r="L36" s="1929">
        <f t="shared" ca="1" si="28"/>
        <v>15.455611338191433</v>
      </c>
      <c r="M36" s="1929">
        <f t="shared" ca="1" si="28"/>
        <v>218.59381484642964</v>
      </c>
      <c r="N36" s="1929">
        <f t="shared" ca="1" si="28"/>
        <v>75.399943026533364</v>
      </c>
      <c r="O36" s="1929">
        <f t="shared" ca="1" si="28"/>
        <v>27.758718064616787</v>
      </c>
      <c r="P36" s="1929">
        <f t="shared" ca="1" si="28"/>
        <v>0.62311441391108191</v>
      </c>
      <c r="Q36" s="1929">
        <f t="shared" ca="1" si="28"/>
        <v>7.501718400084248E-2</v>
      </c>
      <c r="R36" s="1929">
        <f t="shared" ca="1" si="28"/>
        <v>38.633736734169311</v>
      </c>
      <c r="S36" s="1929">
        <f ca="1">S15+S19+S27</f>
        <v>9.8278251806424759</v>
      </c>
      <c r="T36" s="1929">
        <f t="shared" ca="1" si="28"/>
        <v>11.140536797886952</v>
      </c>
      <c r="U36" s="1929">
        <f t="shared" ca="1" si="28"/>
        <v>7.3549027833011314E-3</v>
      </c>
      <c r="V36" s="1929">
        <f t="shared" ca="1" si="28"/>
        <v>0.41066117460400281</v>
      </c>
      <c r="W36" s="1929">
        <f ca="1">SUM(G36:V36)</f>
        <v>501.43992128468693</v>
      </c>
      <c r="Y36" s="1937">
        <f t="shared" ref="Y36:AP36" ca="1" si="29">Y27+Y19+Y15</f>
        <v>-117.65200581808284</v>
      </c>
      <c r="Z36" s="1937">
        <f t="shared" ca="1" si="29"/>
        <v>0</v>
      </c>
      <c r="AA36" s="1937">
        <f t="shared" ca="1" si="29"/>
        <v>-53.031824606532467</v>
      </c>
      <c r="AB36" s="1937">
        <f t="shared" ca="1" si="29"/>
        <v>-251.46323916544995</v>
      </c>
      <c r="AC36" s="1937">
        <f t="shared" ca="1" si="29"/>
        <v>-70.328214138577522</v>
      </c>
      <c r="AD36" s="1937">
        <f t="shared" ca="1" si="29"/>
        <v>0</v>
      </c>
      <c r="AE36" s="1937">
        <f t="shared" ca="1" si="29"/>
        <v>0</v>
      </c>
      <c r="AF36" s="1937">
        <f t="shared" ca="1" si="29"/>
        <v>0</v>
      </c>
      <c r="AG36" s="1937">
        <f t="shared" ca="1" si="29"/>
        <v>0</v>
      </c>
      <c r="AH36" s="1937">
        <f t="shared" ca="1" si="29"/>
        <v>0</v>
      </c>
      <c r="AI36" s="1937">
        <f t="shared" ca="1" si="29"/>
        <v>0</v>
      </c>
      <c r="AJ36" s="1937">
        <f t="shared" ca="1" si="29"/>
        <v>0</v>
      </c>
      <c r="AK36" s="1937">
        <f t="shared" ca="1" si="29"/>
        <v>0</v>
      </c>
      <c r="AL36" s="1937">
        <f ca="1">AL27+AL19+AL15</f>
        <v>-8.9443594781234719</v>
      </c>
      <c r="AM36" s="1937">
        <f t="shared" ca="1" si="29"/>
        <v>0</v>
      </c>
      <c r="AN36" s="1937">
        <f t="shared" ca="1" si="29"/>
        <v>0</v>
      </c>
      <c r="AO36" s="1937">
        <f t="shared" ca="1" si="29"/>
        <v>0</v>
      </c>
      <c r="AP36" s="1937">
        <f t="shared" ca="1" si="29"/>
        <v>0</v>
      </c>
      <c r="AQ36" s="1937">
        <f ca="1">SUM(Y36:AP36)</f>
        <v>-501.4196432067663</v>
      </c>
      <c r="AS36" s="1558">
        <f ca="1">AS15+AS19+AS27</f>
        <v>0</v>
      </c>
      <c r="AT36" s="1558">
        <f t="shared" ref="AT36:BK36" ca="1" si="30">AT15+AT19+AT27</f>
        <v>0</v>
      </c>
      <c r="AU36" s="1558">
        <f t="shared" ca="1" si="30"/>
        <v>0</v>
      </c>
      <c r="AV36" s="1558">
        <f t="shared" ca="1" si="30"/>
        <v>0</v>
      </c>
      <c r="AW36" s="1558">
        <f t="shared" ca="1" si="30"/>
        <v>0</v>
      </c>
      <c r="AX36" s="1558">
        <f t="shared" ca="1" si="30"/>
        <v>0</v>
      </c>
      <c r="AY36" s="1558">
        <f t="shared" ca="1" si="30"/>
        <v>0</v>
      </c>
      <c r="AZ36" s="1558">
        <f t="shared" ca="1" si="30"/>
        <v>0</v>
      </c>
      <c r="BA36" s="1558">
        <f t="shared" ca="1" si="30"/>
        <v>0</v>
      </c>
      <c r="BB36" s="1558">
        <f t="shared" ca="1" si="30"/>
        <v>0</v>
      </c>
      <c r="BC36" s="1558">
        <f t="shared" ca="1" si="30"/>
        <v>-2.027807792070498E-2</v>
      </c>
      <c r="BD36" s="1558">
        <f t="shared" ca="1" si="30"/>
        <v>0</v>
      </c>
      <c r="BE36" s="1558">
        <f t="shared" ca="1" si="30"/>
        <v>0</v>
      </c>
      <c r="BF36" s="1558">
        <f t="shared" ca="1" si="30"/>
        <v>0</v>
      </c>
      <c r="BG36" s="1558">
        <f t="shared" ca="1" si="30"/>
        <v>0</v>
      </c>
      <c r="BH36" s="1558">
        <f t="shared" ca="1" si="30"/>
        <v>0</v>
      </c>
      <c r="BI36" s="1558">
        <f t="shared" ca="1" si="30"/>
        <v>0</v>
      </c>
      <c r="BJ36" s="1558">
        <f t="shared" ca="1" si="30"/>
        <v>0</v>
      </c>
      <c r="BK36" s="1558">
        <f t="shared" ca="1" si="30"/>
        <v>0</v>
      </c>
      <c r="BL36" s="3166">
        <f ca="1">SUM(AS36:BK36)</f>
        <v>-2.027807792070498E-2</v>
      </c>
      <c r="BN36" s="1559">
        <f ca="1">BN27+BN19+BN15</f>
        <v>0</v>
      </c>
      <c r="BO36" s="1559">
        <f ca="1">BO27+BO19+BO15</f>
        <v>0</v>
      </c>
      <c r="BP36" s="1505">
        <f ca="1">BN36+BO36</f>
        <v>0</v>
      </c>
      <c r="BR36" s="3168">
        <f ca="1">W36+AQ36+BL36+BP36</f>
        <v>-6.8573619005363184E-14</v>
      </c>
      <c r="BS36" s="1560"/>
      <c r="BU36" s="1561">
        <v>283.37379437292333</v>
      </c>
      <c r="BV36" s="1561">
        <v>0.46829877567433276</v>
      </c>
      <c r="BW36" s="1561">
        <v>3.244610652199623</v>
      </c>
      <c r="BX36" s="1561">
        <v>0</v>
      </c>
      <c r="BY36" s="1561">
        <v>0</v>
      </c>
      <c r="BZ36" s="1561">
        <v>0</v>
      </c>
      <c r="CA36" s="1561">
        <v>0</v>
      </c>
      <c r="CB36" s="1561">
        <v>0</v>
      </c>
      <c r="CC36" s="1561">
        <v>14.39565925511863</v>
      </c>
      <c r="CD36" s="1561">
        <v>0.11288744235152412</v>
      </c>
      <c r="CE36" s="1561">
        <v>2.7624692105907238</v>
      </c>
      <c r="CF36" s="1561">
        <v>10.620296151887526</v>
      </c>
      <c r="CG36" s="1561">
        <v>0</v>
      </c>
      <c r="CH36" s="1561">
        <v>0</v>
      </c>
      <c r="CI36" s="1561">
        <v>0</v>
      </c>
      <c r="CJ36" s="1561">
        <v>0</v>
      </c>
      <c r="CK36" s="1561">
        <v>0</v>
      </c>
      <c r="CL36" s="1561">
        <v>0</v>
      </c>
      <c r="CM36" s="1561">
        <v>0</v>
      </c>
      <c r="CN36" s="1561">
        <v>0</v>
      </c>
      <c r="CO36" s="1561">
        <v>0</v>
      </c>
      <c r="CP36" s="1561">
        <v>0</v>
      </c>
      <c r="CQ36" s="1561">
        <v>0</v>
      </c>
      <c r="CR36" s="1561">
        <v>0</v>
      </c>
      <c r="CS36" s="1561">
        <v>0</v>
      </c>
      <c r="CT36" s="1561">
        <v>0</v>
      </c>
      <c r="CU36" s="1561">
        <v>0</v>
      </c>
      <c r="CV36" s="1561">
        <v>0</v>
      </c>
      <c r="CW36" s="1561">
        <v>0</v>
      </c>
      <c r="CX36" s="1561">
        <v>0</v>
      </c>
      <c r="CY36" s="1561">
        <v>0</v>
      </c>
      <c r="CZ36" s="1561">
        <v>0</v>
      </c>
      <c r="DA36" s="1561">
        <v>51.739539271814301</v>
      </c>
      <c r="DB36" s="1561">
        <v>6.441552213858226E-2</v>
      </c>
      <c r="DC36" s="1561">
        <v>0.93090033050516818</v>
      </c>
      <c r="DD36" s="1561">
        <v>0</v>
      </c>
      <c r="DE36" s="1561">
        <v>0</v>
      </c>
      <c r="DF36" s="1561">
        <v>0</v>
      </c>
      <c r="DG36" s="1561">
        <v>0</v>
      </c>
      <c r="DH36" s="1561">
        <v>0</v>
      </c>
      <c r="DI36" s="1561">
        <v>0</v>
      </c>
      <c r="DJ36" s="1561">
        <v>0</v>
      </c>
      <c r="DK36" s="1561">
        <v>0</v>
      </c>
      <c r="DL36" s="1561">
        <v>0</v>
      </c>
      <c r="DN36" s="1562">
        <v>367.71287098520372</v>
      </c>
    </row>
    <row r="37" spans="1:118" s="14" customFormat="1" ht="6" customHeight="1" x14ac:dyDescent="0.2">
      <c r="C37" s="1430"/>
      <c r="D37" s="1430"/>
      <c r="E37" s="1430"/>
      <c r="G37" s="1488"/>
      <c r="H37" s="1488"/>
      <c r="I37" s="1488"/>
      <c r="J37" s="1488"/>
      <c r="K37" s="1488"/>
      <c r="L37" s="1488"/>
      <c r="M37" s="1488"/>
      <c r="N37" s="1488"/>
      <c r="O37" s="1563"/>
      <c r="P37" s="1488"/>
      <c r="Q37" s="1488"/>
      <c r="R37" s="1488"/>
      <c r="S37" s="1488"/>
      <c r="T37" s="1488"/>
      <c r="U37" s="1488"/>
      <c r="V37" s="1488"/>
      <c r="W37" s="1488"/>
      <c r="Y37" s="1490"/>
      <c r="Z37" s="1490"/>
      <c r="AA37" s="1490"/>
      <c r="AB37" s="1490"/>
      <c r="AC37" s="1490"/>
      <c r="AD37" s="1490"/>
      <c r="AE37" s="1490"/>
      <c r="AF37" s="1490"/>
      <c r="AG37" s="1490"/>
      <c r="AH37" s="1490"/>
      <c r="AI37" s="1490"/>
      <c r="AJ37" s="1490"/>
      <c r="AK37" s="1490"/>
      <c r="AL37" s="1490"/>
      <c r="AM37" s="1490"/>
      <c r="AN37" s="1490"/>
      <c r="AO37" s="1490"/>
      <c r="AP37" s="1490"/>
      <c r="AQ37" s="1490"/>
      <c r="AS37" s="1491"/>
      <c r="AT37" s="1491"/>
      <c r="AU37" s="1491"/>
      <c r="AV37" s="1491"/>
      <c r="AW37" s="1491"/>
      <c r="AX37" s="1491"/>
      <c r="AY37" s="1491"/>
      <c r="AZ37" s="1491"/>
      <c r="BA37" s="1491"/>
      <c r="BB37" s="1491"/>
      <c r="BC37" s="1491"/>
      <c r="BD37" s="1491"/>
      <c r="BE37" s="1491"/>
      <c r="BF37" s="1491"/>
      <c r="BG37" s="1491"/>
      <c r="BH37" s="1491"/>
      <c r="BI37" s="1491"/>
      <c r="BJ37" s="1491"/>
      <c r="BK37" s="1491"/>
      <c r="BL37" s="1491"/>
      <c r="BN37" s="1492"/>
      <c r="BO37" s="1492"/>
      <c r="BP37" s="1492"/>
      <c r="BR37" s="3168"/>
      <c r="BS37" s="1493"/>
      <c r="BU37" s="1508"/>
      <c r="BV37" s="1508"/>
      <c r="BW37" s="1508"/>
      <c r="BX37" s="1508"/>
      <c r="BY37" s="1508"/>
      <c r="BZ37" s="1508"/>
      <c r="CA37" s="1508"/>
      <c r="CB37" s="1508"/>
      <c r="CC37" s="1508"/>
      <c r="CD37" s="1508"/>
      <c r="CE37" s="1508"/>
      <c r="CF37" s="1508"/>
      <c r="CG37" s="1508"/>
      <c r="CH37" s="1508"/>
      <c r="CI37" s="1508"/>
      <c r="CJ37" s="1508"/>
      <c r="CK37" s="1508"/>
      <c r="CL37" s="1508"/>
      <c r="CM37" s="1508"/>
      <c r="CN37" s="1508"/>
      <c r="CO37" s="1508"/>
      <c r="CP37" s="1508"/>
      <c r="CQ37" s="1508"/>
      <c r="CR37" s="1508"/>
      <c r="CS37" s="1508"/>
      <c r="CT37" s="1508"/>
      <c r="CU37" s="1508"/>
      <c r="CV37" s="1508"/>
      <c r="CW37" s="1508"/>
      <c r="CX37" s="1508"/>
      <c r="CY37" s="1508"/>
      <c r="CZ37" s="1508"/>
      <c r="DA37" s="1508"/>
      <c r="DB37" s="1508"/>
      <c r="DC37" s="1508"/>
      <c r="DD37" s="1508"/>
      <c r="DE37" s="1508"/>
      <c r="DF37" s="1508"/>
      <c r="DG37" s="1508"/>
      <c r="DH37" s="1508"/>
      <c r="DI37" s="1508"/>
      <c r="DJ37" s="1508"/>
      <c r="DK37" s="1508"/>
      <c r="DL37" s="1508"/>
      <c r="DN37" s="1509"/>
    </row>
    <row r="38" spans="1:118" s="14" customFormat="1" ht="17.25" customHeight="1" x14ac:dyDescent="0.2">
      <c r="C38" s="1480" t="s">
        <v>404</v>
      </c>
      <c r="D38" s="1430"/>
      <c r="E38" s="1430"/>
      <c r="G38" s="1488"/>
      <c r="H38" s="1488"/>
      <c r="I38" s="1488"/>
      <c r="J38" s="1488"/>
      <c r="K38" s="1488"/>
      <c r="L38" s="1488"/>
      <c r="M38" s="1488"/>
      <c r="N38" s="1488"/>
      <c r="O38" s="1563"/>
      <c r="P38" s="1488"/>
      <c r="Q38" s="1488"/>
      <c r="R38" s="1488"/>
      <c r="S38" s="1488"/>
      <c r="T38" s="1488"/>
      <c r="U38" s="1488"/>
      <c r="V38" s="1488"/>
      <c r="W38" s="1488"/>
      <c r="Y38" s="1490"/>
      <c r="Z38" s="1490"/>
      <c r="AA38" s="1490"/>
      <c r="AB38" s="1490"/>
      <c r="AC38" s="1490"/>
      <c r="AD38" s="1490"/>
      <c r="AE38" s="1490"/>
      <c r="AF38" s="1490"/>
      <c r="AG38" s="1490"/>
      <c r="AH38" s="1490"/>
      <c r="AI38" s="1490"/>
      <c r="AJ38" s="1490"/>
      <c r="AK38" s="1490"/>
      <c r="AL38" s="1490"/>
      <c r="AM38" s="1490"/>
      <c r="AN38" s="1490"/>
      <c r="AO38" s="1490"/>
      <c r="AP38" s="1490"/>
      <c r="AQ38" s="1490"/>
      <c r="AS38" s="1491"/>
      <c r="AT38" s="1491"/>
      <c r="AU38" s="1491"/>
      <c r="AV38" s="1491"/>
      <c r="AW38" s="1491"/>
      <c r="AX38" s="1491"/>
      <c r="AY38" s="1491"/>
      <c r="AZ38" s="1491"/>
      <c r="BA38" s="1491"/>
      <c r="BB38" s="1491"/>
      <c r="BC38" s="1491"/>
      <c r="BD38" s="1491"/>
      <c r="BE38" s="1491"/>
      <c r="BF38" s="1491"/>
      <c r="BG38" s="1491"/>
      <c r="BH38" s="1491"/>
      <c r="BI38" s="1491"/>
      <c r="BJ38" s="1491"/>
      <c r="BK38" s="1491"/>
      <c r="BL38" s="1491"/>
      <c r="BN38" s="1492"/>
      <c r="BO38" s="1492"/>
      <c r="BP38" s="1492"/>
      <c r="BR38" s="3168"/>
      <c r="BS38" s="1493"/>
      <c r="BU38" s="1508"/>
      <c r="BV38" s="1508"/>
      <c r="BW38" s="1508"/>
      <c r="BX38" s="1508"/>
      <c r="BY38" s="1508"/>
      <c r="BZ38" s="1508"/>
      <c r="CA38" s="1508"/>
      <c r="CB38" s="1508"/>
      <c r="CC38" s="1508"/>
      <c r="CD38" s="1508"/>
      <c r="CE38" s="1508"/>
      <c r="CF38" s="1508"/>
      <c r="CG38" s="1508"/>
      <c r="CH38" s="1508"/>
      <c r="CI38" s="1508"/>
      <c r="CJ38" s="1508"/>
      <c r="CK38" s="1508"/>
      <c r="CL38" s="1508"/>
      <c r="CM38" s="1508"/>
      <c r="CN38" s="1508"/>
      <c r="CO38" s="1508"/>
      <c r="CP38" s="1508"/>
      <c r="CQ38" s="1508"/>
      <c r="CR38" s="1508"/>
      <c r="CS38" s="1508"/>
      <c r="CT38" s="1508"/>
      <c r="CU38" s="1508"/>
      <c r="CV38" s="1508"/>
      <c r="CW38" s="1508"/>
      <c r="CX38" s="1508"/>
      <c r="CY38" s="1508"/>
      <c r="CZ38" s="1508"/>
      <c r="DA38" s="1508"/>
      <c r="DB38" s="1508"/>
      <c r="DC38" s="1508"/>
      <c r="DD38" s="1508"/>
      <c r="DE38" s="1508"/>
      <c r="DF38" s="1508"/>
      <c r="DG38" s="1508"/>
      <c r="DH38" s="1508"/>
      <c r="DI38" s="1508"/>
      <c r="DJ38" s="1508"/>
      <c r="DK38" s="1508"/>
      <c r="DL38" s="1508"/>
      <c r="DN38" s="1509"/>
    </row>
    <row r="39" spans="1:118" s="14" customFormat="1" ht="24" hidden="1" customHeight="1" outlineLevel="1" x14ac:dyDescent="0.2">
      <c r="D39" s="1480"/>
      <c r="E39" s="1481"/>
      <c r="G39" s="1482"/>
      <c r="H39" s="1482"/>
      <c r="I39" s="1482"/>
      <c r="J39" s="1482"/>
      <c r="K39" s="1482"/>
      <c r="L39" s="1482"/>
      <c r="M39" s="1482"/>
      <c r="N39" s="1482"/>
      <c r="O39" s="1482"/>
      <c r="P39" s="1482"/>
      <c r="Q39" s="1482"/>
      <c r="R39" s="1482"/>
      <c r="S39" s="1482"/>
      <c r="T39" s="1482"/>
      <c r="U39" s="1482"/>
      <c r="V39" s="1482"/>
      <c r="W39" s="1482"/>
      <c r="Y39" s="1483"/>
      <c r="Z39" s="1483"/>
      <c r="AA39" s="1483"/>
      <c r="AB39" s="1483"/>
      <c r="AC39" s="1483"/>
      <c r="AD39" s="1483"/>
      <c r="AE39" s="1483"/>
      <c r="AF39" s="1483"/>
      <c r="AG39" s="1483"/>
      <c r="AH39" s="1483"/>
      <c r="AI39" s="1483"/>
      <c r="AJ39" s="1483"/>
      <c r="AK39" s="1483"/>
      <c r="AL39" s="1483"/>
      <c r="AM39" s="1483"/>
      <c r="AN39" s="1483"/>
      <c r="AO39" s="1483"/>
      <c r="AP39" s="1483"/>
      <c r="AQ39" s="1483"/>
      <c r="AS39" s="1484"/>
      <c r="AT39" s="1484"/>
      <c r="AU39" s="1484"/>
      <c r="AV39" s="1484"/>
      <c r="AW39" s="1484"/>
      <c r="AX39" s="1484"/>
      <c r="AY39" s="1484"/>
      <c r="AZ39" s="1484"/>
      <c r="BA39" s="1484"/>
      <c r="BB39" s="1484"/>
      <c r="BC39" s="1484"/>
      <c r="BD39" s="1484"/>
      <c r="BE39" s="1484"/>
      <c r="BF39" s="1484"/>
      <c r="BG39" s="1484"/>
      <c r="BH39" s="1484"/>
      <c r="BI39" s="1484"/>
      <c r="BJ39" s="1484"/>
      <c r="BK39" s="1484"/>
      <c r="BL39" s="1484"/>
      <c r="BN39" s="1485"/>
      <c r="BO39" s="1485"/>
      <c r="BP39" s="1485"/>
      <c r="BR39" s="3168">
        <f t="shared" si="12"/>
        <v>0</v>
      </c>
      <c r="BS39" s="1486"/>
      <c r="BU39" s="1508"/>
      <c r="BV39" s="1508"/>
      <c r="BW39" s="1508"/>
      <c r="BX39" s="1508"/>
      <c r="BY39" s="1508"/>
      <c r="BZ39" s="1508"/>
      <c r="CA39" s="1508"/>
      <c r="CB39" s="1508"/>
      <c r="CC39" s="1508"/>
      <c r="CD39" s="1508"/>
      <c r="CE39" s="1508"/>
      <c r="CF39" s="1508"/>
      <c r="CG39" s="1508"/>
      <c r="CH39" s="1508"/>
      <c r="CI39" s="1508"/>
      <c r="CJ39" s="1508"/>
      <c r="CK39" s="1508"/>
      <c r="CL39" s="1508"/>
      <c r="CM39" s="1508"/>
      <c r="CN39" s="1508"/>
      <c r="CO39" s="1508"/>
      <c r="CP39" s="1508"/>
      <c r="CQ39" s="1508"/>
      <c r="CR39" s="1508"/>
      <c r="CS39" s="1508"/>
      <c r="CT39" s="1508"/>
      <c r="CU39" s="1508"/>
      <c r="CV39" s="1508"/>
      <c r="CW39" s="1508"/>
      <c r="CX39" s="1508"/>
      <c r="CY39" s="1508"/>
      <c r="CZ39" s="1508"/>
      <c r="DA39" s="1508"/>
      <c r="DB39" s="1508"/>
      <c r="DC39" s="1508"/>
      <c r="DD39" s="1508"/>
      <c r="DE39" s="1508"/>
      <c r="DF39" s="1508"/>
      <c r="DG39" s="1508"/>
      <c r="DH39" s="1508"/>
      <c r="DI39" s="1508"/>
      <c r="DJ39" s="1508"/>
      <c r="DK39" s="1508"/>
      <c r="DL39" s="1508"/>
      <c r="DN39" s="1509"/>
    </row>
    <row r="40" spans="1:118" s="14" customFormat="1" ht="15.75" hidden="1" customHeight="1" outlineLevel="2" x14ac:dyDescent="0.2">
      <c r="A40" s="1534"/>
      <c r="B40" s="1534"/>
      <c r="C40" s="1544"/>
      <c r="D40" s="1538"/>
      <c r="E40" s="1538"/>
      <c r="G40" s="1488"/>
      <c r="H40" s="1488"/>
      <c r="I40" s="1488"/>
      <c r="J40" s="1488"/>
      <c r="K40" s="1488"/>
      <c r="L40" s="1488"/>
      <c r="M40" s="1488"/>
      <c r="N40" s="1488"/>
      <c r="O40" s="1563"/>
      <c r="P40" s="1488"/>
      <c r="Q40" s="1488"/>
      <c r="R40" s="1488"/>
      <c r="S40" s="1488"/>
      <c r="T40" s="1488"/>
      <c r="U40" s="1488"/>
      <c r="V40" s="1488"/>
      <c r="W40" s="1488"/>
      <c r="Y40" s="1490"/>
      <c r="Z40" s="1490"/>
      <c r="AA40" s="1490"/>
      <c r="AB40" s="1490"/>
      <c r="AC40" s="1490"/>
      <c r="AD40" s="1490"/>
      <c r="AE40" s="1490"/>
      <c r="AF40" s="1490"/>
      <c r="AG40" s="1490"/>
      <c r="AH40" s="1490"/>
      <c r="AI40" s="1490"/>
      <c r="AJ40" s="1490"/>
      <c r="AK40" s="1490"/>
      <c r="AL40" s="1490"/>
      <c r="AM40" s="1490"/>
      <c r="AN40" s="1490"/>
      <c r="AO40" s="1490"/>
      <c r="AP40" s="1490"/>
      <c r="AQ40" s="1490"/>
      <c r="AS40" s="1491"/>
      <c r="AT40" s="1491"/>
      <c r="AU40" s="1491"/>
      <c r="AV40" s="1491"/>
      <c r="AW40" s="1491"/>
      <c r="AX40" s="1491"/>
      <c r="AY40" s="1491"/>
      <c r="AZ40" s="1491"/>
      <c r="BA40" s="1491"/>
      <c r="BB40" s="1491"/>
      <c r="BC40" s="1491"/>
      <c r="BD40" s="1491"/>
      <c r="BE40" s="1491"/>
      <c r="BF40" s="1491"/>
      <c r="BG40" s="1491"/>
      <c r="BH40" s="1491"/>
      <c r="BI40" s="1491"/>
      <c r="BJ40" s="1491"/>
      <c r="BK40" s="1491"/>
      <c r="BL40" s="1491"/>
      <c r="BN40" s="1492"/>
      <c r="BO40" s="1492"/>
      <c r="BP40" s="1492"/>
      <c r="BR40" s="3168">
        <f t="shared" si="12"/>
        <v>0</v>
      </c>
      <c r="BS40" s="1493"/>
      <c r="BT40" s="1534"/>
      <c r="BU40" s="1508"/>
      <c r="BV40" s="1508"/>
      <c r="BW40" s="1508"/>
      <c r="BX40" s="1508"/>
      <c r="BY40" s="1508"/>
      <c r="BZ40" s="1508"/>
      <c r="CA40" s="1508"/>
      <c r="CB40" s="1508"/>
      <c r="CC40" s="1508"/>
      <c r="CD40" s="1508"/>
      <c r="CE40" s="1508"/>
      <c r="CF40" s="1508"/>
      <c r="CG40" s="1508"/>
      <c r="CH40" s="1508"/>
      <c r="CI40" s="1508"/>
      <c r="CJ40" s="1508"/>
      <c r="CK40" s="1508"/>
      <c r="CL40" s="1508"/>
      <c r="CM40" s="1508"/>
      <c r="CN40" s="1508"/>
      <c r="CO40" s="1508"/>
      <c r="CP40" s="1508"/>
      <c r="CQ40" s="1508"/>
      <c r="CR40" s="1508"/>
      <c r="CS40" s="1508"/>
      <c r="CT40" s="1508"/>
      <c r="CU40" s="1508"/>
      <c r="CV40" s="1508"/>
      <c r="CW40" s="1508"/>
      <c r="CX40" s="1508"/>
      <c r="CY40" s="1508"/>
      <c r="CZ40" s="1508"/>
      <c r="DA40" s="1508"/>
      <c r="DB40" s="1508"/>
      <c r="DC40" s="1508"/>
      <c r="DD40" s="1508"/>
      <c r="DE40" s="1508"/>
      <c r="DF40" s="1508"/>
      <c r="DG40" s="1508"/>
      <c r="DH40" s="1508"/>
      <c r="DI40" s="1508"/>
      <c r="DJ40" s="1508"/>
      <c r="DK40" s="1508"/>
      <c r="DL40" s="1508"/>
      <c r="DN40" s="1509"/>
    </row>
    <row r="41" spans="1:118" s="1564" customFormat="1" ht="21" hidden="1" customHeight="1" outlineLevel="2" x14ac:dyDescent="0.2">
      <c r="C41" s="1565" t="s">
        <v>807</v>
      </c>
      <c r="D41" s="1566" t="s">
        <v>808</v>
      </c>
      <c r="E41" s="1566"/>
      <c r="F41" s="1567"/>
      <c r="G41" s="1568"/>
      <c r="H41" s="1568"/>
      <c r="I41" s="1568"/>
      <c r="J41" s="1568"/>
      <c r="K41" s="1568"/>
      <c r="L41" s="1568"/>
      <c r="M41" s="1568"/>
      <c r="N41" s="1568"/>
      <c r="O41" s="1569"/>
      <c r="P41" s="1568"/>
      <c r="Q41" s="1568"/>
      <c r="R41" s="1568"/>
      <c r="S41" s="1568"/>
      <c r="T41" s="1568"/>
      <c r="U41" s="1568"/>
      <c r="V41" s="1568"/>
      <c r="W41" s="1568"/>
      <c r="X41" s="1567"/>
      <c r="Y41" s="1570"/>
      <c r="Z41" s="1570"/>
      <c r="AA41" s="1570"/>
      <c r="AB41" s="1570"/>
      <c r="AC41" s="1570"/>
      <c r="AD41" s="1570"/>
      <c r="AE41" s="1570"/>
      <c r="AF41" s="1570"/>
      <c r="AG41" s="1570"/>
      <c r="AH41" s="1570"/>
      <c r="AI41" s="1570"/>
      <c r="AJ41" s="1570"/>
      <c r="AK41" s="1570"/>
      <c r="AL41" s="1570"/>
      <c r="AM41" s="1570"/>
      <c r="AN41" s="1570"/>
      <c r="AO41" s="1570"/>
      <c r="AP41" s="1570"/>
      <c r="AQ41" s="1570"/>
      <c r="AR41" s="1567"/>
      <c r="AS41" s="1571"/>
      <c r="AT41" s="1571"/>
      <c r="AU41" s="1571"/>
      <c r="AV41" s="1571"/>
      <c r="AW41" s="1571"/>
      <c r="AX41" s="1571"/>
      <c r="AY41" s="1571"/>
      <c r="AZ41" s="1571"/>
      <c r="BA41" s="1571"/>
      <c r="BB41" s="1571"/>
      <c r="BC41" s="1571"/>
      <c r="BD41" s="1571"/>
      <c r="BE41" s="1571"/>
      <c r="BF41" s="1571"/>
      <c r="BG41" s="1571"/>
      <c r="BH41" s="1571"/>
      <c r="BI41" s="1571"/>
      <c r="BJ41" s="1571"/>
      <c r="BK41" s="1571"/>
      <c r="BL41" s="1571"/>
      <c r="BM41" s="1567"/>
      <c r="BN41" s="1572"/>
      <c r="BO41" s="1572"/>
      <c r="BP41" s="1572"/>
      <c r="BQ41" s="1567"/>
      <c r="BR41" s="3168">
        <f t="shared" si="12"/>
        <v>0</v>
      </c>
      <c r="BS41" s="1573"/>
      <c r="BU41" s="1574"/>
      <c r="BV41" s="1574"/>
      <c r="BW41" s="1574"/>
      <c r="BX41" s="1574"/>
      <c r="BY41" s="1574"/>
      <c r="BZ41" s="1574"/>
      <c r="CA41" s="1574"/>
      <c r="CB41" s="1574"/>
      <c r="CC41" s="1574"/>
      <c r="CD41" s="1574"/>
      <c r="CE41" s="1574"/>
      <c r="CF41" s="1574"/>
      <c r="CG41" s="1574"/>
      <c r="CH41" s="1574"/>
      <c r="CI41" s="1574"/>
      <c r="CJ41" s="1574"/>
      <c r="CK41" s="1574"/>
      <c r="CL41" s="1574"/>
      <c r="CM41" s="1574"/>
      <c r="CN41" s="1574"/>
      <c r="CO41" s="1574"/>
      <c r="CP41" s="1574"/>
      <c r="CQ41" s="1574"/>
      <c r="CR41" s="1574"/>
      <c r="CS41" s="1574"/>
      <c r="CT41" s="1574"/>
      <c r="CU41" s="1574"/>
      <c r="CV41" s="1574"/>
      <c r="CW41" s="1574"/>
      <c r="CX41" s="1574"/>
      <c r="CY41" s="1574"/>
      <c r="CZ41" s="1574"/>
      <c r="DA41" s="1574"/>
      <c r="DB41" s="1574"/>
      <c r="DC41" s="1574"/>
      <c r="DD41" s="1574"/>
      <c r="DE41" s="1574"/>
      <c r="DF41" s="1574"/>
      <c r="DG41" s="1574"/>
      <c r="DH41" s="1574"/>
      <c r="DI41" s="1574"/>
      <c r="DJ41" s="1574"/>
      <c r="DK41" s="1574"/>
      <c r="DL41" s="1574"/>
      <c r="DN41" s="1575">
        <v>0</v>
      </c>
    </row>
    <row r="42" spans="1:118" s="14" customFormat="1" ht="25.5" hidden="1" customHeight="1" outlineLevel="2" x14ac:dyDescent="0.2">
      <c r="A42" s="1534"/>
      <c r="B42" s="1534"/>
      <c r="C42" s="1496" t="s">
        <v>78</v>
      </c>
      <c r="D42" s="1526" t="s">
        <v>794</v>
      </c>
      <c r="E42" s="1576"/>
      <c r="G42" s="1540"/>
      <c r="H42" s="1540"/>
      <c r="I42" s="1540"/>
      <c r="J42" s="1540"/>
      <c r="K42" s="1540"/>
      <c r="L42" s="1540"/>
      <c r="M42" s="1540"/>
      <c r="N42" s="1540"/>
      <c r="O42" s="1540"/>
      <c r="P42" s="1540"/>
      <c r="Q42" s="1540"/>
      <c r="R42" s="1540"/>
      <c r="S42" s="1540"/>
      <c r="T42" s="1540"/>
      <c r="U42" s="1540"/>
      <c r="V42" s="1540"/>
      <c r="W42" s="1527"/>
      <c r="Y42" s="1541"/>
      <c r="Z42" s="1541"/>
      <c r="AA42" s="1541"/>
      <c r="AB42" s="1541"/>
      <c r="AC42" s="1541"/>
      <c r="AD42" s="1541"/>
      <c r="AE42" s="1541"/>
      <c r="AF42" s="1541"/>
      <c r="AG42" s="1541"/>
      <c r="AH42" s="1541"/>
      <c r="AI42" s="1541"/>
      <c r="AJ42" s="1541"/>
      <c r="AK42" s="1541"/>
      <c r="AL42" s="1541"/>
      <c r="AM42" s="1541"/>
      <c r="AN42" s="1541"/>
      <c r="AO42" s="1541"/>
      <c r="AP42" s="1541"/>
      <c r="AQ42" s="1528"/>
      <c r="AS42" s="1542"/>
      <c r="AT42" s="1542"/>
      <c r="AU42" s="1542"/>
      <c r="AV42" s="1542"/>
      <c r="AW42" s="1542"/>
      <c r="AX42" s="1542"/>
      <c r="AY42" s="1542"/>
      <c r="AZ42" s="1542"/>
      <c r="BA42" s="1542"/>
      <c r="BB42" s="1542"/>
      <c r="BC42" s="1542"/>
      <c r="BD42" s="1542"/>
      <c r="BE42" s="1542"/>
      <c r="BF42" s="1542"/>
      <c r="BG42" s="1542"/>
      <c r="BH42" s="1542"/>
      <c r="BI42" s="1542"/>
      <c r="BJ42" s="1542"/>
      <c r="BK42" s="1542"/>
      <c r="BL42" s="1530"/>
      <c r="BN42" s="1543"/>
      <c r="BO42" s="1543"/>
      <c r="BP42" s="1531"/>
      <c r="BR42" s="3168">
        <f t="shared" si="12"/>
        <v>0</v>
      </c>
      <c r="BS42" s="1493"/>
      <c r="BT42" s="748"/>
      <c r="BU42" s="1532">
        <v>0</v>
      </c>
      <c r="BV42" s="1533">
        <v>0</v>
      </c>
      <c r="BW42" s="1533">
        <v>0</v>
      </c>
      <c r="BX42" s="1533">
        <v>0</v>
      </c>
      <c r="BY42" s="1533">
        <v>0</v>
      </c>
      <c r="BZ42" s="1533">
        <v>0</v>
      </c>
      <c r="CA42" s="1533">
        <v>0</v>
      </c>
      <c r="CB42" s="1533">
        <v>0</v>
      </c>
      <c r="CC42" s="1533">
        <v>0</v>
      </c>
      <c r="CD42" s="1533">
        <v>0</v>
      </c>
      <c r="CE42" s="1533">
        <v>0</v>
      </c>
      <c r="CF42" s="1533">
        <v>0</v>
      </c>
      <c r="CG42" s="1533">
        <v>0</v>
      </c>
      <c r="CH42" s="1533">
        <v>0</v>
      </c>
      <c r="CI42" s="1533">
        <v>0</v>
      </c>
      <c r="CJ42" s="1533">
        <v>0</v>
      </c>
      <c r="CK42" s="1533">
        <v>0</v>
      </c>
      <c r="CL42" s="1533">
        <v>0</v>
      </c>
      <c r="CM42" s="1533">
        <v>0</v>
      </c>
      <c r="CN42" s="1533">
        <v>0</v>
      </c>
      <c r="CO42" s="1533">
        <v>0</v>
      </c>
      <c r="CP42" s="1533">
        <v>0</v>
      </c>
      <c r="CQ42" s="1533">
        <v>0</v>
      </c>
      <c r="CR42" s="1533">
        <v>0</v>
      </c>
      <c r="CS42" s="1533">
        <v>0</v>
      </c>
      <c r="CT42" s="1533">
        <v>0</v>
      </c>
      <c r="CU42" s="1533">
        <v>0</v>
      </c>
      <c r="CV42" s="1533">
        <v>0</v>
      </c>
      <c r="CW42" s="1533">
        <v>0</v>
      </c>
      <c r="CX42" s="1533">
        <v>0</v>
      </c>
      <c r="CY42" s="1533">
        <v>0</v>
      </c>
      <c r="CZ42" s="1533">
        <v>0</v>
      </c>
      <c r="DA42" s="1533">
        <v>0</v>
      </c>
      <c r="DB42" s="1533">
        <v>0</v>
      </c>
      <c r="DC42" s="1533">
        <v>0</v>
      </c>
      <c r="DD42" s="1533">
        <v>0</v>
      </c>
      <c r="DE42" s="1533">
        <v>0</v>
      </c>
      <c r="DF42" s="1533">
        <v>0</v>
      </c>
      <c r="DG42" s="1533">
        <v>0</v>
      </c>
      <c r="DH42" s="1533">
        <v>0</v>
      </c>
      <c r="DI42" s="1533">
        <v>0</v>
      </c>
      <c r="DJ42" s="1533">
        <v>0</v>
      </c>
      <c r="DK42" s="1533">
        <v>0</v>
      </c>
      <c r="DL42" s="1533">
        <v>0</v>
      </c>
      <c r="DN42" s="1509"/>
    </row>
    <row r="43" spans="1:118" s="14" customFormat="1" ht="15.75" hidden="1" outlineLevel="1" collapsed="1" x14ac:dyDescent="0.2">
      <c r="A43" s="1845" t="s">
        <v>816</v>
      </c>
      <c r="B43" s="1846"/>
      <c r="C43" s="1842" t="s">
        <v>740</v>
      </c>
      <c r="D43" s="1843" t="s">
        <v>862</v>
      </c>
      <c r="E43" s="1844"/>
      <c r="G43" s="1539"/>
      <c r="H43" s="1539"/>
      <c r="I43" s="1539"/>
      <c r="J43" s="1539"/>
      <c r="K43" s="1539"/>
      <c r="L43" s="1539"/>
      <c r="M43" s="1539"/>
      <c r="N43" s="1539"/>
      <c r="O43" s="1539"/>
      <c r="P43" s="1539"/>
      <c r="Q43" s="1539"/>
      <c r="R43" s="1539"/>
      <c r="S43" s="1539"/>
      <c r="T43" s="1539"/>
      <c r="U43" s="1539"/>
      <c r="V43" s="1539"/>
      <c r="W43" s="1539"/>
      <c r="Y43" s="1490"/>
      <c r="Z43" s="1490"/>
      <c r="AA43" s="1490"/>
      <c r="AB43" s="1490"/>
      <c r="AC43" s="1490"/>
      <c r="AD43" s="1490"/>
      <c r="AE43" s="1490"/>
      <c r="AF43" s="1490"/>
      <c r="AG43" s="1490"/>
      <c r="AH43" s="1490"/>
      <c r="AI43" s="1490"/>
      <c r="AJ43" s="1490"/>
      <c r="AK43" s="1490"/>
      <c r="AL43" s="1490"/>
      <c r="AM43" s="1490"/>
      <c r="AN43" s="1490"/>
      <c r="AO43" s="1490"/>
      <c r="AP43" s="1490"/>
      <c r="AQ43" s="1490"/>
      <c r="AS43" s="1491"/>
      <c r="AT43" s="1491"/>
      <c r="AU43" s="1491"/>
      <c r="AV43" s="1491"/>
      <c r="AW43" s="1491"/>
      <c r="AX43" s="1491"/>
      <c r="AY43" s="1491"/>
      <c r="AZ43" s="1491"/>
      <c r="BA43" s="1491"/>
      <c r="BB43" s="1491"/>
      <c r="BC43" s="1491"/>
      <c r="BD43" s="1491"/>
      <c r="BE43" s="1491"/>
      <c r="BF43" s="1491"/>
      <c r="BG43" s="1491"/>
      <c r="BH43" s="1491"/>
      <c r="BI43" s="1491"/>
      <c r="BJ43" s="1491"/>
      <c r="BK43" s="1491"/>
      <c r="BL43" s="1491"/>
      <c r="BN43" s="1492"/>
      <c r="BO43" s="1492"/>
      <c r="BP43" s="1492"/>
      <c r="BR43" s="3168">
        <f t="shared" si="12"/>
        <v>0</v>
      </c>
      <c r="BS43" s="1493"/>
      <c r="BT43" s="748"/>
      <c r="BU43" s="1508"/>
      <c r="BV43" s="1508"/>
      <c r="BW43" s="1508"/>
      <c r="BX43" s="1508"/>
      <c r="BY43" s="1508"/>
      <c r="BZ43" s="1508"/>
      <c r="CA43" s="1508"/>
      <c r="CB43" s="1508"/>
      <c r="CC43" s="1508"/>
      <c r="CD43" s="1508"/>
      <c r="CE43" s="1508"/>
      <c r="CF43" s="1508"/>
      <c r="CG43" s="1508"/>
      <c r="CH43" s="1508"/>
      <c r="CI43" s="1508"/>
      <c r="CJ43" s="1508"/>
      <c r="CK43" s="1508"/>
      <c r="CL43" s="1508"/>
      <c r="CM43" s="1508"/>
      <c r="CN43" s="1508"/>
      <c r="CO43" s="1508"/>
      <c r="CP43" s="1508"/>
      <c r="CQ43" s="1508"/>
      <c r="CR43" s="1508"/>
      <c r="CS43" s="1508"/>
      <c r="CT43" s="1508"/>
      <c r="CU43" s="1508"/>
      <c r="CV43" s="1508"/>
      <c r="CW43" s="1508"/>
      <c r="CX43" s="1508"/>
      <c r="CY43" s="1508"/>
      <c r="CZ43" s="1508"/>
      <c r="DA43" s="1508"/>
      <c r="DB43" s="1508"/>
      <c r="DC43" s="1508"/>
      <c r="DD43" s="1508"/>
      <c r="DE43" s="1508"/>
      <c r="DF43" s="1508"/>
      <c r="DG43" s="1508"/>
      <c r="DH43" s="1508"/>
      <c r="DI43" s="1508"/>
      <c r="DJ43" s="1508"/>
      <c r="DK43" s="1508"/>
      <c r="DL43" s="1508"/>
      <c r="DN43" s="1509"/>
    </row>
    <row r="44" spans="1:118" s="14" customFormat="1" ht="15.75" hidden="1" customHeight="1" outlineLevel="2" x14ac:dyDescent="0.2">
      <c r="A44" s="1534"/>
      <c r="B44" s="1534"/>
      <c r="C44" s="1544"/>
      <c r="D44" s="1538"/>
      <c r="E44" s="1538"/>
      <c r="G44" s="1488"/>
      <c r="H44" s="1488"/>
      <c r="I44" s="1488"/>
      <c r="J44" s="1488"/>
      <c r="K44" s="1488"/>
      <c r="L44" s="1488"/>
      <c r="M44" s="1488"/>
      <c r="N44" s="1488"/>
      <c r="O44" s="1563"/>
      <c r="P44" s="1488"/>
      <c r="Q44" s="1488"/>
      <c r="R44" s="1488"/>
      <c r="S44" s="1488"/>
      <c r="T44" s="1488"/>
      <c r="U44" s="1488"/>
      <c r="V44" s="1488"/>
      <c r="W44" s="1488"/>
      <c r="Y44" s="1490"/>
      <c r="Z44" s="1490"/>
      <c r="AA44" s="1490"/>
      <c r="AB44" s="1490"/>
      <c r="AC44" s="1490"/>
      <c r="AD44" s="1490"/>
      <c r="AE44" s="1490"/>
      <c r="AF44" s="1490"/>
      <c r="AG44" s="1490"/>
      <c r="AH44" s="1490"/>
      <c r="AI44" s="1490"/>
      <c r="AJ44" s="1490"/>
      <c r="AK44" s="1490"/>
      <c r="AL44" s="1490"/>
      <c r="AM44" s="1490"/>
      <c r="AN44" s="1490"/>
      <c r="AO44" s="1490"/>
      <c r="AP44" s="1490"/>
      <c r="AQ44" s="1490"/>
      <c r="AS44" s="1491"/>
      <c r="AT44" s="1491"/>
      <c r="AU44" s="1491"/>
      <c r="AV44" s="1491"/>
      <c r="AW44" s="1491"/>
      <c r="AX44" s="1491"/>
      <c r="AY44" s="1491"/>
      <c r="AZ44" s="1491"/>
      <c r="BA44" s="1491"/>
      <c r="BB44" s="1491"/>
      <c r="BC44" s="1491"/>
      <c r="BD44" s="1491"/>
      <c r="BE44" s="1491"/>
      <c r="BF44" s="1491"/>
      <c r="BG44" s="1491"/>
      <c r="BH44" s="1491"/>
      <c r="BI44" s="1491"/>
      <c r="BJ44" s="1491"/>
      <c r="BK44" s="1491"/>
      <c r="BL44" s="1491"/>
      <c r="BN44" s="1492"/>
      <c r="BO44" s="1492"/>
      <c r="BP44" s="1492"/>
      <c r="BR44" s="3168">
        <f t="shared" si="12"/>
        <v>0</v>
      </c>
      <c r="BS44" s="1493"/>
      <c r="BT44" s="1534"/>
      <c r="BU44" s="1508"/>
      <c r="BV44" s="1508"/>
      <c r="BW44" s="1508"/>
      <c r="BX44" s="1508"/>
      <c r="BY44" s="1508"/>
      <c r="BZ44" s="1508"/>
      <c r="CA44" s="1508"/>
      <c r="CB44" s="1508"/>
      <c r="CC44" s="1508"/>
      <c r="CD44" s="1508"/>
      <c r="CE44" s="1508"/>
      <c r="CF44" s="1508"/>
      <c r="CG44" s="1508"/>
      <c r="CH44" s="1508"/>
      <c r="CI44" s="1508"/>
      <c r="CJ44" s="1508"/>
      <c r="CK44" s="1508"/>
      <c r="CL44" s="1508"/>
      <c r="CM44" s="1508"/>
      <c r="CN44" s="1508"/>
      <c r="CO44" s="1508"/>
      <c r="CP44" s="1508"/>
      <c r="CQ44" s="1508"/>
      <c r="CR44" s="1508"/>
      <c r="CS44" s="1508"/>
      <c r="CT44" s="1508"/>
      <c r="CU44" s="1508"/>
      <c r="CV44" s="1508"/>
      <c r="CW44" s="1508"/>
      <c r="CX44" s="1508"/>
      <c r="CY44" s="1508"/>
      <c r="CZ44" s="1508"/>
      <c r="DA44" s="1508"/>
      <c r="DB44" s="1508"/>
      <c r="DC44" s="1508"/>
      <c r="DD44" s="1508"/>
      <c r="DE44" s="1508"/>
      <c r="DF44" s="1508"/>
      <c r="DG44" s="1508"/>
      <c r="DH44" s="1508"/>
      <c r="DI44" s="1508"/>
      <c r="DJ44" s="1508"/>
      <c r="DK44" s="1508"/>
      <c r="DL44" s="1508"/>
      <c r="DN44" s="1509"/>
    </row>
    <row r="45" spans="1:118" s="14" customFormat="1" ht="11.25" hidden="1" customHeight="1" outlineLevel="2" x14ac:dyDescent="0.2">
      <c r="A45" s="1522"/>
      <c r="B45" s="1522"/>
      <c r="C45" s="1577" t="s">
        <v>108</v>
      </c>
      <c r="D45" s="1497" t="s">
        <v>109</v>
      </c>
      <c r="E45" s="1497"/>
      <c r="G45" s="1498"/>
      <c r="H45" s="1498"/>
      <c r="I45" s="1498"/>
      <c r="J45" s="1498"/>
      <c r="K45" s="1498"/>
      <c r="L45" s="1498"/>
      <c r="M45" s="1498"/>
      <c r="N45" s="1498"/>
      <c r="O45" s="1498"/>
      <c r="P45" s="1498"/>
      <c r="Q45" s="1498"/>
      <c r="R45" s="1498"/>
      <c r="S45" s="1498"/>
      <c r="T45" s="1498"/>
      <c r="U45" s="1498"/>
      <c r="V45" s="1498"/>
      <c r="W45" s="1499"/>
      <c r="Y45" s="1500"/>
      <c r="Z45" s="1500"/>
      <c r="AA45" s="1500"/>
      <c r="AB45" s="1500"/>
      <c r="AC45" s="1500"/>
      <c r="AD45" s="1500"/>
      <c r="AE45" s="1500"/>
      <c r="AF45" s="1500"/>
      <c r="AG45" s="1500"/>
      <c r="AH45" s="1500"/>
      <c r="AI45" s="1500"/>
      <c r="AJ45" s="1500"/>
      <c r="AK45" s="1500"/>
      <c r="AL45" s="1500"/>
      <c r="AM45" s="1500"/>
      <c r="AN45" s="1500"/>
      <c r="AO45" s="1500"/>
      <c r="AP45" s="1500"/>
      <c r="AQ45" s="1501"/>
      <c r="AS45" s="1502"/>
      <c r="AT45" s="1502"/>
      <c r="AU45" s="1502"/>
      <c r="AV45" s="1502"/>
      <c r="AW45" s="1502"/>
      <c r="AX45" s="1502"/>
      <c r="AY45" s="1502"/>
      <c r="AZ45" s="1502"/>
      <c r="BA45" s="1502"/>
      <c r="BB45" s="1502"/>
      <c r="BC45" s="1502"/>
      <c r="BD45" s="1502"/>
      <c r="BE45" s="1502"/>
      <c r="BF45" s="1502"/>
      <c r="BG45" s="1502"/>
      <c r="BH45" s="1502"/>
      <c r="BI45" s="1502"/>
      <c r="BJ45" s="1502"/>
      <c r="BK45" s="1502"/>
      <c r="BL45" s="1524"/>
      <c r="BN45" s="1504"/>
      <c r="BO45" s="1504"/>
      <c r="BP45" s="1505"/>
      <c r="BR45" s="3168">
        <f t="shared" si="12"/>
        <v>0</v>
      </c>
      <c r="BS45" s="1525"/>
      <c r="BT45" s="748"/>
      <c r="BU45" s="1507"/>
      <c r="BV45" s="1508"/>
      <c r="BW45" s="1508"/>
      <c r="BX45" s="1508"/>
      <c r="BY45" s="1508"/>
      <c r="BZ45" s="1508"/>
      <c r="CA45" s="1508"/>
      <c r="CB45" s="1508"/>
      <c r="CC45" s="1508"/>
      <c r="CD45" s="1508"/>
      <c r="CE45" s="1508"/>
      <c r="CF45" s="1508"/>
      <c r="CG45" s="1508"/>
      <c r="CH45" s="1508"/>
      <c r="CI45" s="1508"/>
      <c r="CJ45" s="1508"/>
      <c r="CK45" s="1508"/>
      <c r="CL45" s="1508"/>
      <c r="CM45" s="1508"/>
      <c r="CN45" s="1508"/>
      <c r="CO45" s="1508"/>
      <c r="CP45" s="1508"/>
      <c r="CQ45" s="1508"/>
      <c r="CR45" s="1508"/>
      <c r="CS45" s="1508"/>
      <c r="CT45" s="1508"/>
      <c r="CU45" s="1508"/>
      <c r="CV45" s="1508"/>
      <c r="CW45" s="1508"/>
      <c r="CX45" s="1508"/>
      <c r="CY45" s="1508"/>
      <c r="CZ45" s="1508"/>
      <c r="DA45" s="1508"/>
      <c r="DB45" s="1508"/>
      <c r="DC45" s="1508"/>
      <c r="DD45" s="1508"/>
      <c r="DE45" s="1508"/>
      <c r="DF45" s="1508"/>
      <c r="DG45" s="1508"/>
      <c r="DH45" s="1508"/>
      <c r="DI45" s="1508"/>
      <c r="DJ45" s="1508"/>
      <c r="DK45" s="1508"/>
      <c r="DL45" s="1508"/>
      <c r="DN45" s="1509"/>
    </row>
    <row r="46" spans="1:118" s="14" customFormat="1" ht="16.5" hidden="1" customHeight="1" outlineLevel="2" x14ac:dyDescent="0.2">
      <c r="A46" s="1522"/>
      <c r="B46" s="1522"/>
      <c r="C46" s="1577" t="s">
        <v>801</v>
      </c>
      <c r="D46" s="1526" t="s">
        <v>802</v>
      </c>
      <c r="E46" s="1526"/>
      <c r="G46" s="1540"/>
      <c r="H46" s="1540"/>
      <c r="I46" s="1540"/>
      <c r="J46" s="1540"/>
      <c r="K46" s="1540"/>
      <c r="L46" s="1540"/>
      <c r="M46" s="1540"/>
      <c r="N46" s="1540"/>
      <c r="O46" s="1540"/>
      <c r="P46" s="1540"/>
      <c r="Q46" s="1540"/>
      <c r="R46" s="1540"/>
      <c r="S46" s="1540"/>
      <c r="T46" s="1540"/>
      <c r="U46" s="1540"/>
      <c r="V46" s="1540"/>
      <c r="W46" s="1527"/>
      <c r="Y46" s="1541"/>
      <c r="Z46" s="1541"/>
      <c r="AA46" s="1541"/>
      <c r="AB46" s="1541"/>
      <c r="AC46" s="1541"/>
      <c r="AD46" s="1541"/>
      <c r="AE46" s="1541"/>
      <c r="AF46" s="1541"/>
      <c r="AG46" s="1541"/>
      <c r="AH46" s="1541"/>
      <c r="AI46" s="1541"/>
      <c r="AJ46" s="1541"/>
      <c r="AK46" s="1541"/>
      <c r="AL46" s="1541"/>
      <c r="AM46" s="1541"/>
      <c r="AN46" s="1541"/>
      <c r="AO46" s="1541"/>
      <c r="AP46" s="1541"/>
      <c r="AQ46" s="1528"/>
      <c r="AS46" s="1542"/>
      <c r="AT46" s="1542"/>
      <c r="AU46" s="1542"/>
      <c r="AV46" s="1542"/>
      <c r="AW46" s="1542"/>
      <c r="AX46" s="1542"/>
      <c r="AY46" s="1542"/>
      <c r="AZ46" s="1542"/>
      <c r="BA46" s="1542"/>
      <c r="BB46" s="1542"/>
      <c r="BC46" s="1542"/>
      <c r="BD46" s="1542"/>
      <c r="BE46" s="1542"/>
      <c r="BF46" s="1542"/>
      <c r="BG46" s="1542"/>
      <c r="BH46" s="1542"/>
      <c r="BI46" s="1542"/>
      <c r="BJ46" s="1542"/>
      <c r="BK46" s="1542"/>
      <c r="BL46" s="1530"/>
      <c r="BN46" s="1543"/>
      <c r="BO46" s="1543"/>
      <c r="BP46" s="1531"/>
      <c r="BR46" s="3168">
        <f t="shared" si="12"/>
        <v>0</v>
      </c>
      <c r="BS46" s="1525"/>
      <c r="BT46" s="748"/>
      <c r="BU46" s="1532"/>
      <c r="BV46" s="1533"/>
      <c r="BW46" s="1533"/>
      <c r="BX46" s="1533"/>
      <c r="BY46" s="1533"/>
      <c r="BZ46" s="1533"/>
      <c r="CA46" s="1533"/>
      <c r="CB46" s="1533"/>
      <c r="CC46" s="1533"/>
      <c r="CD46" s="1533"/>
      <c r="CE46" s="1533"/>
      <c r="CF46" s="1533"/>
      <c r="CG46" s="1533"/>
      <c r="CH46" s="1533"/>
      <c r="CI46" s="1533"/>
      <c r="CJ46" s="1533"/>
      <c r="CK46" s="1533"/>
      <c r="CL46" s="1533"/>
      <c r="CM46" s="1533"/>
      <c r="CN46" s="1533"/>
      <c r="CO46" s="1533"/>
      <c r="CP46" s="1533"/>
      <c r="CQ46" s="1533"/>
      <c r="CR46" s="1533"/>
      <c r="CS46" s="1533"/>
      <c r="CT46" s="1533"/>
      <c r="CU46" s="1533"/>
      <c r="CV46" s="1533"/>
      <c r="CW46" s="1533"/>
      <c r="CX46" s="1533"/>
      <c r="CY46" s="1533"/>
      <c r="CZ46" s="1533"/>
      <c r="DA46" s="1533"/>
      <c r="DB46" s="1533"/>
      <c r="DC46" s="1533"/>
      <c r="DD46" s="1533"/>
      <c r="DE46" s="1533"/>
      <c r="DF46" s="1533"/>
      <c r="DG46" s="1533"/>
      <c r="DH46" s="1533"/>
      <c r="DI46" s="1533"/>
      <c r="DJ46" s="1533"/>
      <c r="DK46" s="1533"/>
      <c r="DL46" s="1533"/>
      <c r="DN46" s="1509"/>
    </row>
    <row r="47" spans="1:118" s="14" customFormat="1" ht="15.75" hidden="1" outlineLevel="1" collapsed="1" x14ac:dyDescent="0.2">
      <c r="A47" s="1845" t="s">
        <v>816</v>
      </c>
      <c r="B47" s="1847"/>
      <c r="C47" s="1842" t="s">
        <v>745</v>
      </c>
      <c r="D47" s="1843" t="s">
        <v>863</v>
      </c>
      <c r="E47" s="1844"/>
      <c r="G47" s="1539"/>
      <c r="H47" s="1539"/>
      <c r="I47" s="1539"/>
      <c r="J47" s="1539"/>
      <c r="K47" s="1539"/>
      <c r="L47" s="1539"/>
      <c r="M47" s="1539"/>
      <c r="N47" s="1539"/>
      <c r="O47" s="1539"/>
      <c r="P47" s="1539"/>
      <c r="Q47" s="1539"/>
      <c r="R47" s="1539"/>
      <c r="S47" s="1539"/>
      <c r="T47" s="1539"/>
      <c r="U47" s="1539"/>
      <c r="V47" s="1539"/>
      <c r="W47" s="1539"/>
      <c r="Y47" s="1490"/>
      <c r="Z47" s="1490"/>
      <c r="AA47" s="1490"/>
      <c r="AB47" s="1490"/>
      <c r="AC47" s="1490"/>
      <c r="AD47" s="1490"/>
      <c r="AE47" s="1490"/>
      <c r="AF47" s="1490"/>
      <c r="AG47" s="1490"/>
      <c r="AH47" s="1490"/>
      <c r="AI47" s="1490"/>
      <c r="AJ47" s="1490"/>
      <c r="AK47" s="1490"/>
      <c r="AL47" s="1490"/>
      <c r="AM47" s="1490"/>
      <c r="AN47" s="1490"/>
      <c r="AO47" s="1490"/>
      <c r="AP47" s="1490"/>
      <c r="AQ47" s="1490"/>
      <c r="AS47" s="1491"/>
      <c r="AT47" s="1491"/>
      <c r="AU47" s="1491"/>
      <c r="AV47" s="1491"/>
      <c r="AW47" s="1491"/>
      <c r="AX47" s="1491"/>
      <c r="AY47" s="1491"/>
      <c r="AZ47" s="1491"/>
      <c r="BA47" s="1491"/>
      <c r="BB47" s="1491"/>
      <c r="BC47" s="1491"/>
      <c r="BD47" s="1491"/>
      <c r="BE47" s="1491"/>
      <c r="BF47" s="1491"/>
      <c r="BG47" s="1491"/>
      <c r="BH47" s="1491"/>
      <c r="BI47" s="1491"/>
      <c r="BJ47" s="1491"/>
      <c r="BK47" s="1491"/>
      <c r="BL47" s="1491"/>
      <c r="BN47" s="1492"/>
      <c r="BO47" s="1492"/>
      <c r="BP47" s="1492"/>
      <c r="BR47" s="3168">
        <f t="shared" si="12"/>
        <v>0</v>
      </c>
      <c r="BS47" s="1579"/>
      <c r="BT47" s="748"/>
      <c r="BU47" s="1507"/>
      <c r="BV47" s="1508"/>
      <c r="BW47" s="1508"/>
      <c r="BX47" s="1508"/>
      <c r="BY47" s="1508"/>
      <c r="BZ47" s="1508"/>
      <c r="CA47" s="1508"/>
      <c r="CB47" s="1508"/>
      <c r="CC47" s="1508"/>
      <c r="CD47" s="1508"/>
      <c r="CE47" s="1508"/>
      <c r="CF47" s="1508"/>
      <c r="CG47" s="1508"/>
      <c r="CH47" s="1508"/>
      <c r="CI47" s="1508"/>
      <c r="CJ47" s="1508"/>
      <c r="CK47" s="1508"/>
      <c r="CL47" s="1508"/>
      <c r="CM47" s="1508"/>
      <c r="CN47" s="1508"/>
      <c r="CO47" s="1508"/>
      <c r="CP47" s="1508"/>
      <c r="CQ47" s="1508"/>
      <c r="CR47" s="1508"/>
      <c r="CS47" s="1508"/>
      <c r="CT47" s="1508"/>
      <c r="CU47" s="1508"/>
      <c r="CV47" s="1508"/>
      <c r="CW47" s="1508"/>
      <c r="CX47" s="1508"/>
      <c r="CY47" s="1508"/>
      <c r="CZ47" s="1508"/>
      <c r="DA47" s="1508"/>
      <c r="DB47" s="1508"/>
      <c r="DC47" s="1508"/>
      <c r="DD47" s="1508"/>
      <c r="DE47" s="1508"/>
      <c r="DF47" s="1508"/>
      <c r="DG47" s="1508"/>
      <c r="DH47" s="1508"/>
      <c r="DI47" s="1508"/>
      <c r="DJ47" s="1508"/>
      <c r="DK47" s="1508"/>
      <c r="DL47" s="1508"/>
      <c r="DN47" s="1509"/>
    </row>
    <row r="48" spans="1:118" s="14" customFormat="1" ht="15.75" collapsed="1" x14ac:dyDescent="0.2">
      <c r="A48" s="1845"/>
      <c r="B48" s="1847"/>
      <c r="C48" s="1842"/>
      <c r="D48" s="1843"/>
      <c r="E48" s="1844"/>
      <c r="G48" s="1539"/>
      <c r="H48" s="1539"/>
      <c r="I48" s="1539"/>
      <c r="J48" s="1539"/>
      <c r="K48" s="1539"/>
      <c r="L48" s="1539"/>
      <c r="M48" s="1539"/>
      <c r="N48" s="1539"/>
      <c r="O48" s="1539"/>
      <c r="P48" s="1539"/>
      <c r="Q48" s="1539"/>
      <c r="R48" s="1539"/>
      <c r="S48" s="1539"/>
      <c r="T48" s="1539"/>
      <c r="U48" s="1539"/>
      <c r="V48" s="1539"/>
      <c r="W48" s="1539"/>
      <c r="Y48" s="1490"/>
      <c r="Z48" s="1490"/>
      <c r="AA48" s="1490"/>
      <c r="AB48" s="1490"/>
      <c r="AC48" s="1490"/>
      <c r="AD48" s="1490"/>
      <c r="AE48" s="1490"/>
      <c r="AF48" s="1490"/>
      <c r="AG48" s="1490"/>
      <c r="AH48" s="1490"/>
      <c r="AI48" s="1490"/>
      <c r="AJ48" s="1490"/>
      <c r="AK48" s="1490"/>
      <c r="AL48" s="1490"/>
      <c r="AM48" s="1490"/>
      <c r="AN48" s="1490"/>
      <c r="AO48" s="1490"/>
      <c r="AP48" s="1490"/>
      <c r="AQ48" s="1490"/>
      <c r="AS48" s="1491"/>
      <c r="AT48" s="1491"/>
      <c r="AU48" s="1491"/>
      <c r="AV48" s="1491"/>
      <c r="AW48" s="1491"/>
      <c r="AX48" s="1491"/>
      <c r="AY48" s="1491"/>
      <c r="AZ48" s="1491"/>
      <c r="BA48" s="1491"/>
      <c r="BB48" s="1491"/>
      <c r="BC48" s="1491"/>
      <c r="BD48" s="1491"/>
      <c r="BE48" s="1491"/>
      <c r="BF48" s="1491"/>
      <c r="BG48" s="1491"/>
      <c r="BH48" s="1491"/>
      <c r="BI48" s="1491"/>
      <c r="BJ48" s="1491"/>
      <c r="BK48" s="1491"/>
      <c r="BL48" s="1491"/>
      <c r="BN48" s="1492"/>
      <c r="BO48" s="1492"/>
      <c r="BP48" s="1492"/>
      <c r="BR48" s="3168"/>
      <c r="BS48" s="1579"/>
      <c r="BT48" s="748"/>
      <c r="BU48" s="1507"/>
      <c r="BV48" s="1508"/>
      <c r="BW48" s="1508"/>
      <c r="BX48" s="1508"/>
      <c r="BY48" s="1508"/>
      <c r="BZ48" s="1508"/>
      <c r="CA48" s="1508"/>
      <c r="CB48" s="1508"/>
      <c r="CC48" s="1508"/>
      <c r="CD48" s="1508"/>
      <c r="CE48" s="1508"/>
      <c r="CF48" s="1508"/>
      <c r="CG48" s="1508"/>
      <c r="CH48" s="1508"/>
      <c r="CI48" s="1508"/>
      <c r="CJ48" s="1508"/>
      <c r="CK48" s="1508"/>
      <c r="CL48" s="1508"/>
      <c r="CM48" s="1508"/>
      <c r="CN48" s="1508"/>
      <c r="CO48" s="1508"/>
      <c r="CP48" s="1508"/>
      <c r="CQ48" s="1508"/>
      <c r="CR48" s="1508"/>
      <c r="CS48" s="1508"/>
      <c r="CT48" s="1508"/>
      <c r="CU48" s="1508"/>
      <c r="CV48" s="1508"/>
      <c r="CW48" s="1508"/>
      <c r="CX48" s="1508"/>
      <c r="CY48" s="1508"/>
      <c r="CZ48" s="1508"/>
      <c r="DA48" s="1508"/>
      <c r="DB48" s="1508"/>
      <c r="DC48" s="1508"/>
      <c r="DD48" s="1508"/>
      <c r="DE48" s="1508"/>
      <c r="DF48" s="1508"/>
      <c r="DG48" s="1508"/>
      <c r="DH48" s="1508"/>
      <c r="DI48" s="1508"/>
      <c r="DJ48" s="1508"/>
      <c r="DK48" s="1508"/>
      <c r="DL48" s="1508"/>
      <c r="DN48" s="1509"/>
    </row>
    <row r="49" spans="1:118" s="14" customFormat="1" ht="15.75" x14ac:dyDescent="0.2">
      <c r="A49" s="1534"/>
      <c r="B49" s="1535"/>
      <c r="C49" s="1536"/>
      <c r="D49" s="1537"/>
      <c r="E49" s="1538"/>
      <c r="G49" s="1539"/>
      <c r="H49" s="1539"/>
      <c r="I49" s="1539"/>
      <c r="J49" s="1539"/>
      <c r="K49" s="1539"/>
      <c r="L49" s="1539"/>
      <c r="M49" s="1539"/>
      <c r="N49" s="1539"/>
      <c r="O49" s="1539"/>
      <c r="P49" s="1539"/>
      <c r="Q49" s="1539"/>
      <c r="R49" s="1539"/>
      <c r="S49" s="1539"/>
      <c r="T49" s="1539"/>
      <c r="U49" s="1539"/>
      <c r="V49" s="1539"/>
      <c r="W49" s="1539"/>
      <c r="Y49" s="1490"/>
      <c r="Z49" s="1490"/>
      <c r="AA49" s="1490"/>
      <c r="AB49" s="1490"/>
      <c r="AC49" s="1490"/>
      <c r="AD49" s="1490"/>
      <c r="AE49" s="1490"/>
      <c r="AF49" s="1490"/>
      <c r="AG49" s="1490"/>
      <c r="AH49" s="1490"/>
      <c r="AI49" s="1490"/>
      <c r="AJ49" s="1490"/>
      <c r="AK49" s="1490"/>
      <c r="AL49" s="1490"/>
      <c r="AM49" s="1490"/>
      <c r="AN49" s="1490"/>
      <c r="AO49" s="1490"/>
      <c r="AP49" s="1490"/>
      <c r="AQ49" s="1893"/>
      <c r="AS49" s="1491"/>
      <c r="AT49" s="1491"/>
      <c r="AU49" s="1491"/>
      <c r="AV49" s="1491"/>
      <c r="AW49" s="1491"/>
      <c r="AX49" s="1491"/>
      <c r="AY49" s="1491"/>
      <c r="AZ49" s="1491"/>
      <c r="BA49" s="1491"/>
      <c r="BB49" s="1491"/>
      <c r="BC49" s="1491"/>
      <c r="BD49" s="1491"/>
      <c r="BE49" s="1491"/>
      <c r="BF49" s="1491"/>
      <c r="BG49" s="1491"/>
      <c r="BH49" s="1491"/>
      <c r="BI49" s="1491"/>
      <c r="BJ49" s="1491"/>
      <c r="BK49" s="1491"/>
      <c r="BL49" s="1491"/>
      <c r="BN49" s="1492"/>
      <c r="BO49" s="1492"/>
      <c r="BP49" s="1492"/>
      <c r="BR49" s="3168"/>
      <c r="BS49" s="1493"/>
      <c r="BT49" s="748"/>
      <c r="BU49" s="1508"/>
      <c r="BV49" s="1508"/>
      <c r="BW49" s="1508"/>
      <c r="BX49" s="1508"/>
      <c r="BY49" s="1508"/>
      <c r="BZ49" s="1508"/>
      <c r="CA49" s="1508"/>
      <c r="CB49" s="1508"/>
      <c r="CC49" s="1508"/>
      <c r="CD49" s="1508"/>
      <c r="CE49" s="1508"/>
      <c r="CF49" s="1508"/>
      <c r="CG49" s="1508"/>
      <c r="CH49" s="1508"/>
      <c r="CI49" s="1508"/>
      <c r="CJ49" s="1508"/>
      <c r="CK49" s="1508"/>
      <c r="CL49" s="1508"/>
      <c r="CM49" s="1508"/>
      <c r="CN49" s="1508"/>
      <c r="CO49" s="1508"/>
      <c r="CP49" s="1508"/>
      <c r="CQ49" s="1508"/>
      <c r="CR49" s="1508"/>
      <c r="CS49" s="1508"/>
      <c r="CT49" s="1508"/>
      <c r="CU49" s="1508"/>
      <c r="CV49" s="1508"/>
      <c r="CW49" s="1508"/>
      <c r="CX49" s="1508"/>
      <c r="CY49" s="1508"/>
      <c r="CZ49" s="1508"/>
      <c r="DA49" s="1508"/>
      <c r="DB49" s="1508"/>
      <c r="DC49" s="1508"/>
      <c r="DD49" s="1508"/>
      <c r="DE49" s="1508"/>
      <c r="DF49" s="1508"/>
      <c r="DG49" s="1508"/>
      <c r="DH49" s="1508"/>
      <c r="DI49" s="1508"/>
      <c r="DJ49" s="1508"/>
      <c r="DK49" s="1508"/>
      <c r="DL49" s="1508"/>
      <c r="DN49" s="1509"/>
    </row>
    <row r="50" spans="1:118" s="14" customFormat="1" ht="12.75" hidden="1" customHeight="1" outlineLevel="1" x14ac:dyDescent="0.2">
      <c r="A50" s="1534"/>
      <c r="B50" s="1534"/>
      <c r="C50" s="1544"/>
      <c r="D50" s="1538"/>
      <c r="E50" s="1538"/>
      <c r="G50" s="1488"/>
      <c r="H50" s="1488"/>
      <c r="I50" s="1488"/>
      <c r="J50" s="1488"/>
      <c r="K50" s="1488"/>
      <c r="L50" s="1488"/>
      <c r="M50" s="1488"/>
      <c r="N50" s="1488"/>
      <c r="O50" s="1563"/>
      <c r="P50" s="1488"/>
      <c r="Q50" s="1488"/>
      <c r="R50" s="1488"/>
      <c r="S50" s="1488"/>
      <c r="T50" s="1488"/>
      <c r="U50" s="1488"/>
      <c r="V50" s="1488"/>
      <c r="W50" s="1488"/>
      <c r="Y50" s="1490"/>
      <c r="Z50" s="1490"/>
      <c r="AA50" s="1490"/>
      <c r="AB50" s="1490"/>
      <c r="AC50" s="1490"/>
      <c r="AD50" s="1490"/>
      <c r="AE50" s="1490"/>
      <c r="AF50" s="1490"/>
      <c r="AG50" s="1490"/>
      <c r="AH50" s="1490"/>
      <c r="AI50" s="1490"/>
      <c r="AJ50" s="1490"/>
      <c r="AK50" s="1490"/>
      <c r="AL50" s="1490"/>
      <c r="AM50" s="1490"/>
      <c r="AN50" s="1490"/>
      <c r="AO50" s="1490"/>
      <c r="AP50" s="1490"/>
      <c r="AQ50" s="1893"/>
      <c r="AS50" s="1491"/>
      <c r="AT50" s="1491"/>
      <c r="AU50" s="1491"/>
      <c r="AV50" s="1491"/>
      <c r="AW50" s="1491"/>
      <c r="AX50" s="1491"/>
      <c r="AY50" s="1491"/>
      <c r="AZ50" s="1491"/>
      <c r="BA50" s="1491"/>
      <c r="BB50" s="1491"/>
      <c r="BC50" s="1491"/>
      <c r="BD50" s="1491"/>
      <c r="BE50" s="1491"/>
      <c r="BF50" s="1491"/>
      <c r="BG50" s="1491"/>
      <c r="BH50" s="1491"/>
      <c r="BI50" s="1491"/>
      <c r="BJ50" s="1491"/>
      <c r="BK50" s="1491"/>
      <c r="BL50" s="1491"/>
      <c r="BN50" s="1492"/>
      <c r="BO50" s="1492"/>
      <c r="BP50" s="1492"/>
      <c r="BR50" s="3168">
        <f>W50+AQ50+BL50+BP50</f>
        <v>0</v>
      </c>
      <c r="BS50" s="1493"/>
      <c r="BT50" s="1534"/>
      <c r="BU50" s="1508"/>
      <c r="BV50" s="1508"/>
      <c r="BW50" s="1508"/>
      <c r="BX50" s="1508"/>
      <c r="BY50" s="1508"/>
      <c r="BZ50" s="1508"/>
      <c r="CA50" s="1508"/>
      <c r="CB50" s="1508"/>
      <c r="CC50" s="1508"/>
      <c r="CD50" s="1508"/>
      <c r="CE50" s="1508"/>
      <c r="CF50" s="1508"/>
      <c r="CG50" s="1508"/>
      <c r="CH50" s="1508"/>
      <c r="CI50" s="1508"/>
      <c r="CJ50" s="1508"/>
      <c r="CK50" s="1508"/>
      <c r="CL50" s="1508"/>
      <c r="CM50" s="1508"/>
      <c r="CN50" s="1508"/>
      <c r="CO50" s="1508"/>
      <c r="CP50" s="1508"/>
      <c r="CQ50" s="1508"/>
      <c r="CR50" s="1508"/>
      <c r="CS50" s="1508"/>
      <c r="CT50" s="1508"/>
      <c r="CU50" s="1508"/>
      <c r="CV50" s="1508"/>
      <c r="CW50" s="1508"/>
      <c r="CX50" s="1508"/>
      <c r="CY50" s="1508"/>
      <c r="CZ50" s="1508"/>
      <c r="DA50" s="1508"/>
      <c r="DB50" s="1508"/>
      <c r="DC50" s="1508"/>
      <c r="DD50" s="1508"/>
      <c r="DE50" s="1508"/>
      <c r="DF50" s="1508"/>
      <c r="DG50" s="1508"/>
      <c r="DH50" s="1508"/>
      <c r="DI50" s="1508"/>
      <c r="DJ50" s="1508"/>
      <c r="DK50" s="1508"/>
      <c r="DL50" s="1508"/>
      <c r="DN50" s="1509">
        <v>0</v>
      </c>
    </row>
    <row r="51" spans="1:118" s="1564" customFormat="1" ht="12.75" hidden="1" customHeight="1" outlineLevel="1" x14ac:dyDescent="0.2">
      <c r="C51" s="1565"/>
      <c r="D51" s="1592"/>
      <c r="E51" s="1566"/>
      <c r="F51" s="1567"/>
      <c r="G51" s="1568"/>
      <c r="H51" s="1568"/>
      <c r="I51" s="1568"/>
      <c r="J51" s="1568"/>
      <c r="K51" s="1568"/>
      <c r="L51" s="1568"/>
      <c r="M51" s="1568"/>
      <c r="N51" s="1568"/>
      <c r="O51" s="1569"/>
      <c r="P51" s="1568"/>
      <c r="Q51" s="1568"/>
      <c r="R51" s="1568"/>
      <c r="S51" s="1568"/>
      <c r="T51" s="1568"/>
      <c r="U51" s="1568"/>
      <c r="V51" s="1568"/>
      <c r="W51" s="1568"/>
      <c r="X51" s="1567"/>
      <c r="Y51" s="1570"/>
      <c r="Z51" s="1570"/>
      <c r="AA51" s="1570"/>
      <c r="AB51" s="1570"/>
      <c r="AC51" s="1570"/>
      <c r="AD51" s="1570"/>
      <c r="AE51" s="1570"/>
      <c r="AF51" s="1570"/>
      <c r="AG51" s="1570"/>
      <c r="AH51" s="1570"/>
      <c r="AI51" s="1570"/>
      <c r="AJ51" s="1570"/>
      <c r="AK51" s="1570"/>
      <c r="AL51" s="1570"/>
      <c r="AM51" s="1570"/>
      <c r="AN51" s="1570"/>
      <c r="AO51" s="1570"/>
      <c r="AP51" s="1570"/>
      <c r="AQ51" s="1955"/>
      <c r="AR51" s="1567"/>
      <c r="AS51" s="1571"/>
      <c r="AT51" s="1571"/>
      <c r="AU51" s="1571"/>
      <c r="AV51" s="1571"/>
      <c r="AW51" s="1571"/>
      <c r="AX51" s="1571"/>
      <c r="AY51" s="1571"/>
      <c r="AZ51" s="1571"/>
      <c r="BA51" s="1571"/>
      <c r="BB51" s="1571"/>
      <c r="BC51" s="1571"/>
      <c r="BD51" s="1571"/>
      <c r="BE51" s="1571"/>
      <c r="BF51" s="1571"/>
      <c r="BG51" s="1571"/>
      <c r="BH51" s="1571"/>
      <c r="BI51" s="1571"/>
      <c r="BJ51" s="1571"/>
      <c r="BK51" s="1571"/>
      <c r="BL51" s="1571"/>
      <c r="BM51" s="1567"/>
      <c r="BN51" s="1572"/>
      <c r="BO51" s="1572"/>
      <c r="BP51" s="1572"/>
      <c r="BQ51" s="1567"/>
      <c r="BR51" s="3168">
        <f>W51+AQ51+BL51+BP51</f>
        <v>0</v>
      </c>
      <c r="BS51" s="1573"/>
      <c r="BU51" s="1574"/>
      <c r="BV51" s="1574"/>
      <c r="BW51" s="1574"/>
      <c r="BX51" s="1574"/>
      <c r="BY51" s="1574"/>
      <c r="BZ51" s="1574"/>
      <c r="CA51" s="1574"/>
      <c r="CB51" s="1574"/>
      <c r="CC51" s="1574"/>
      <c r="CD51" s="1574"/>
      <c r="CE51" s="1574"/>
      <c r="CF51" s="1574"/>
      <c r="CG51" s="1574"/>
      <c r="CH51" s="1574"/>
      <c r="CI51" s="1574"/>
      <c r="CJ51" s="1574"/>
      <c r="CK51" s="1574"/>
      <c r="CL51" s="1574"/>
      <c r="CM51" s="1574"/>
      <c r="CN51" s="1574"/>
      <c r="CO51" s="1574"/>
      <c r="CP51" s="1574"/>
      <c r="CQ51" s="1574"/>
      <c r="CR51" s="1574"/>
      <c r="CS51" s="1574"/>
      <c r="CT51" s="1574"/>
      <c r="CU51" s="1574"/>
      <c r="CV51" s="1574"/>
      <c r="CW51" s="1574"/>
      <c r="CX51" s="1574"/>
      <c r="CY51" s="1574"/>
      <c r="CZ51" s="1574"/>
      <c r="DA51" s="1574"/>
      <c r="DB51" s="1574"/>
      <c r="DC51" s="1574"/>
      <c r="DD51" s="1574"/>
      <c r="DE51" s="1574"/>
      <c r="DF51" s="1574"/>
      <c r="DG51" s="1574"/>
      <c r="DH51" s="1574"/>
      <c r="DI51" s="1574"/>
      <c r="DJ51" s="1574"/>
      <c r="DK51" s="1574"/>
      <c r="DL51" s="1574"/>
      <c r="DN51" s="1575">
        <v>0</v>
      </c>
    </row>
    <row r="52" spans="1:118" s="1877" customFormat="1" ht="12.75" hidden="1" customHeight="1" outlineLevel="1" x14ac:dyDescent="0.2">
      <c r="C52" s="1496" t="s">
        <v>46</v>
      </c>
      <c r="D52" s="14" t="str">
        <f>INDEX(Modulos[Modulos], MATCH($C52, Modulos[Código], 0))</f>
        <v>Termoelectricidad</v>
      </c>
      <c r="E52" s="1600"/>
      <c r="F52" s="56"/>
      <c r="G52" s="1601"/>
      <c r="H52" s="1601"/>
      <c r="I52" s="1601"/>
      <c r="J52" s="1601"/>
      <c r="K52" s="1601"/>
      <c r="L52" s="1601"/>
      <c r="M52" s="1601"/>
      <c r="N52" s="1601"/>
      <c r="O52" s="1602"/>
      <c r="P52" s="1601"/>
      <c r="Q52" s="1601"/>
      <c r="R52" s="1601"/>
      <c r="S52" s="1601"/>
      <c r="T52" s="1601"/>
      <c r="U52" s="1601"/>
      <c r="V52" s="1601"/>
      <c r="W52" s="1601"/>
      <c r="X52" s="56"/>
      <c r="Y52" s="1490">
        <f t="shared" ref="Y52:AP52" ca="1" si="31">IFERROR(INDEX(INDIRECT($C52&amp;".Outputs["&amp;this.Year&amp;"]"), MATCH(Y$5, INDIRECT($C52&amp;".Outputs[Vector]"), 0)), 0)</f>
        <v>0</v>
      </c>
      <c r="Z52" s="1490">
        <f ca="1">IFERROR(INDEX(INDIRECT($C52&amp;".Outputs["&amp;this.Year&amp;"]"), MATCH(Z$5, INDIRECT($C52&amp;".Outputs[Vector]"), 0)), 0)</f>
        <v>76.130687827328813</v>
      </c>
      <c r="AA52" s="1490">
        <f t="shared" ca="1" si="31"/>
        <v>-106.3925887711122</v>
      </c>
      <c r="AB52" s="1490">
        <f t="shared" ca="1" si="31"/>
        <v>-13.299073596389029</v>
      </c>
      <c r="AC52" s="1490">
        <f t="shared" ca="1" si="31"/>
        <v>-60.795765012064123</v>
      </c>
      <c r="AD52" s="1490">
        <f t="shared" ca="1" si="31"/>
        <v>0</v>
      </c>
      <c r="AE52" s="1490">
        <f t="shared" ca="1" si="31"/>
        <v>0</v>
      </c>
      <c r="AF52" s="1490">
        <f t="shared" ca="1" si="31"/>
        <v>0</v>
      </c>
      <c r="AG52" s="1490">
        <f t="shared" ca="1" si="31"/>
        <v>0</v>
      </c>
      <c r="AH52" s="1490">
        <f t="shared" ca="1" si="31"/>
        <v>0</v>
      </c>
      <c r="AI52" s="1490">
        <f t="shared" ca="1" si="31"/>
        <v>0</v>
      </c>
      <c r="AJ52" s="1490">
        <f t="shared" ca="1" si="31"/>
        <v>0</v>
      </c>
      <c r="AK52" s="1490">
        <f t="shared" ca="1" si="31"/>
        <v>0</v>
      </c>
      <c r="AL52" s="1490">
        <f t="shared" ca="1" si="31"/>
        <v>-2.9453760000000004</v>
      </c>
      <c r="AM52" s="1490">
        <f t="shared" ca="1" si="31"/>
        <v>0</v>
      </c>
      <c r="AN52" s="1490">
        <f t="shared" ca="1" si="31"/>
        <v>0</v>
      </c>
      <c r="AO52" s="1490">
        <f t="shared" ca="1" si="31"/>
        <v>0</v>
      </c>
      <c r="AP52" s="1490">
        <f t="shared" ca="1" si="31"/>
        <v>0</v>
      </c>
      <c r="AQ52" s="1893">
        <f ca="1">SUM(Y52:AP52)</f>
        <v>-107.30211555223654</v>
      </c>
      <c r="AR52" s="56"/>
      <c r="AS52" s="1940">
        <f t="shared" ref="AS52:BK52" ca="1" si="32">IFERROR(INDEX(INDIRECT($C52&amp;".Outputs["&amp;this.Year&amp;"]"), MATCH(AS$5, INDIRECT($C52&amp;".Outputs[Vector]"), 0)), 0)</f>
        <v>0</v>
      </c>
      <c r="AT52" s="1940">
        <f t="shared" ca="1" si="32"/>
        <v>0</v>
      </c>
      <c r="AU52" s="1940">
        <f t="shared" ca="1" si="32"/>
        <v>0</v>
      </c>
      <c r="AV52" s="1940">
        <f t="shared" ca="1" si="32"/>
        <v>0</v>
      </c>
      <c r="AW52" s="1940">
        <f t="shared" ca="1" si="32"/>
        <v>0</v>
      </c>
      <c r="AX52" s="1940">
        <f t="shared" ca="1" si="32"/>
        <v>0</v>
      </c>
      <c r="AY52" s="1940">
        <f t="shared" ca="1" si="32"/>
        <v>0</v>
      </c>
      <c r="AZ52" s="1940">
        <f t="shared" ca="1" si="32"/>
        <v>0</v>
      </c>
      <c r="BA52" s="1940">
        <f t="shared" ca="1" si="32"/>
        <v>0</v>
      </c>
      <c r="BB52" s="1940">
        <f t="shared" ca="1" si="32"/>
        <v>0</v>
      </c>
      <c r="BC52" s="1940">
        <f t="shared" ca="1" si="32"/>
        <v>0</v>
      </c>
      <c r="BD52" s="1940">
        <f t="shared" ca="1" si="32"/>
        <v>0</v>
      </c>
      <c r="BE52" s="1940">
        <f t="shared" ca="1" si="32"/>
        <v>0</v>
      </c>
      <c r="BF52" s="1940">
        <f t="shared" ca="1" si="32"/>
        <v>0</v>
      </c>
      <c r="BG52" s="1940">
        <f t="shared" ca="1" si="32"/>
        <v>0</v>
      </c>
      <c r="BH52" s="1940">
        <f t="shared" ca="1" si="32"/>
        <v>0</v>
      </c>
      <c r="BI52" s="1940">
        <f t="shared" ca="1" si="32"/>
        <v>0</v>
      </c>
      <c r="BJ52" s="1940">
        <f t="shared" ca="1" si="32"/>
        <v>0</v>
      </c>
      <c r="BK52" s="1940">
        <f t="shared" ca="1" si="32"/>
        <v>0</v>
      </c>
      <c r="BL52" s="1952">
        <f ca="1">SUM(AS52:BK52)</f>
        <v>0</v>
      </c>
      <c r="BM52" s="56"/>
      <c r="BN52" s="1941">
        <f ca="1">IFERROR(INDEX(INDIRECT($C52&amp;".Outputs["&amp;this.Year&amp;"]"), MATCH(BN$5, INDIRECT($C52&amp;".Outputs[Vector]"), 0)), 0)</f>
        <v>103.4955811608701</v>
      </c>
      <c r="BO52" s="1941">
        <f ca="1">IFERROR(INDEX(INDIRECT($C52&amp;".Outputs["&amp;this.Year&amp;"]"), MATCH(BO$5, INDIRECT($C52&amp;".Outputs[Vector]"), 0)), 0)</f>
        <v>3.8065343913664385</v>
      </c>
      <c r="BP52" s="1505">
        <f ca="1">BN52+BO52</f>
        <v>107.30211555223654</v>
      </c>
      <c r="BQ52" s="56"/>
      <c r="BR52" s="3168">
        <f ca="1">W52+AQ52+BL52+BP52</f>
        <v>0</v>
      </c>
      <c r="BS52" s="1579"/>
      <c r="BU52" s="1595"/>
      <c r="BV52" s="1595"/>
      <c r="BW52" s="1595"/>
      <c r="BX52" s="1595"/>
      <c r="BY52" s="1595"/>
      <c r="BZ52" s="1595"/>
      <c r="CA52" s="1595"/>
      <c r="CB52" s="1595"/>
      <c r="CC52" s="1595"/>
      <c r="CD52" s="1595"/>
      <c r="CE52" s="1595"/>
      <c r="CF52" s="1595"/>
      <c r="CG52" s="1595"/>
      <c r="CH52" s="1595"/>
      <c r="CI52" s="1595"/>
      <c r="CJ52" s="1595"/>
      <c r="CK52" s="1595"/>
      <c r="CL52" s="1595"/>
      <c r="CM52" s="1595"/>
      <c r="CN52" s="1595"/>
      <c r="CO52" s="1595"/>
      <c r="CP52" s="1595"/>
      <c r="CQ52" s="1595"/>
      <c r="CR52" s="1595"/>
      <c r="CS52" s="1595"/>
      <c r="CT52" s="1595"/>
      <c r="CU52" s="1595"/>
      <c r="CV52" s="1595"/>
      <c r="CW52" s="1595"/>
      <c r="CX52" s="1595"/>
      <c r="CY52" s="1595"/>
      <c r="CZ52" s="1595"/>
      <c r="DA52" s="1595"/>
      <c r="DB52" s="1595"/>
      <c r="DC52" s="1595"/>
      <c r="DD52" s="1595"/>
      <c r="DE52" s="1595"/>
      <c r="DF52" s="1595"/>
      <c r="DG52" s="1595"/>
      <c r="DH52" s="1595"/>
      <c r="DI52" s="1595"/>
      <c r="DJ52" s="1595"/>
      <c r="DK52" s="1595"/>
      <c r="DL52" s="1595"/>
      <c r="DN52" s="1878"/>
    </row>
    <row r="53" spans="1:118" s="1522" customFormat="1" ht="12.75" hidden="1" customHeight="1" outlineLevel="1" x14ac:dyDescent="0.2">
      <c r="E53" s="1497"/>
      <c r="F53" s="14"/>
      <c r="G53" s="1540"/>
      <c r="H53" s="1540"/>
      <c r="I53" s="1540"/>
      <c r="J53" s="1540"/>
      <c r="K53" s="1540"/>
      <c r="L53" s="1540"/>
      <c r="M53" s="1540"/>
      <c r="N53" s="1540"/>
      <c r="O53" s="1540"/>
      <c r="P53" s="1540"/>
      <c r="Q53" s="1540"/>
      <c r="R53" s="1540"/>
      <c r="S53" s="1540"/>
      <c r="T53" s="1540"/>
      <c r="U53" s="1540"/>
      <c r="V53" s="1540"/>
      <c r="W53" s="1527"/>
      <c r="X53" s="14"/>
      <c r="Y53" s="1541"/>
      <c r="Z53" s="1541"/>
      <c r="AA53" s="1541"/>
      <c r="AB53" s="1541"/>
      <c r="AC53" s="1541"/>
      <c r="AD53" s="1541"/>
      <c r="AE53" s="1541"/>
      <c r="AF53" s="1541"/>
      <c r="AG53" s="1541"/>
      <c r="AH53" s="1541"/>
      <c r="AI53" s="1541"/>
      <c r="AJ53" s="1541"/>
      <c r="AK53" s="1541"/>
      <c r="AL53" s="1541"/>
      <c r="AM53" s="1541"/>
      <c r="AN53" s="1541"/>
      <c r="AO53" s="1541"/>
      <c r="AP53" s="1541"/>
      <c r="AQ53" s="1953"/>
      <c r="AR53" s="14"/>
      <c r="AS53" s="1542"/>
      <c r="AT53" s="1542"/>
      <c r="AU53" s="1542"/>
      <c r="AV53" s="1542"/>
      <c r="AW53" s="1542"/>
      <c r="AX53" s="1542"/>
      <c r="AY53" s="1542"/>
      <c r="AZ53" s="1542"/>
      <c r="BA53" s="1542"/>
      <c r="BB53" s="1542"/>
      <c r="BC53" s="1542"/>
      <c r="BD53" s="1542"/>
      <c r="BE53" s="1542"/>
      <c r="BF53" s="1542"/>
      <c r="BG53" s="1542"/>
      <c r="BH53" s="1542"/>
      <c r="BI53" s="1542"/>
      <c r="BJ53" s="1542"/>
      <c r="BK53" s="1542"/>
      <c r="BL53" s="1530"/>
      <c r="BM53" s="14"/>
      <c r="BN53" s="1543"/>
      <c r="BO53" s="1543"/>
      <c r="BP53" s="1531"/>
      <c r="BQ53" s="14"/>
      <c r="BR53" s="3168">
        <f>W53+AQ53+BL53+BP53</f>
        <v>0</v>
      </c>
      <c r="BS53" s="1525"/>
      <c r="BT53" s="748"/>
      <c r="BU53" s="1532">
        <v>198.26548259420858</v>
      </c>
      <c r="BV53" s="1533">
        <v>0.5182280295123709</v>
      </c>
      <c r="BW53" s="1533">
        <v>1.345630535228558</v>
      </c>
      <c r="BX53" s="1533">
        <v>0</v>
      </c>
      <c r="BY53" s="1533">
        <v>0</v>
      </c>
      <c r="BZ53" s="1533">
        <v>0</v>
      </c>
      <c r="CA53" s="1533">
        <v>0</v>
      </c>
      <c r="CB53" s="1533">
        <v>0</v>
      </c>
      <c r="CC53" s="1533">
        <v>0</v>
      </c>
      <c r="CD53" s="1533">
        <v>0</v>
      </c>
      <c r="CE53" s="1533">
        <v>0</v>
      </c>
      <c r="CF53" s="1533">
        <v>0</v>
      </c>
      <c r="CG53" s="1533">
        <v>0</v>
      </c>
      <c r="CH53" s="1533">
        <v>0</v>
      </c>
      <c r="CI53" s="1533">
        <v>0</v>
      </c>
      <c r="CJ53" s="1533">
        <v>0</v>
      </c>
      <c r="CK53" s="1533">
        <v>0</v>
      </c>
      <c r="CL53" s="1533">
        <v>0</v>
      </c>
      <c r="CM53" s="1533">
        <v>0</v>
      </c>
      <c r="CN53" s="1533">
        <v>0</v>
      </c>
      <c r="CO53" s="1533">
        <v>0</v>
      </c>
      <c r="CP53" s="1533">
        <v>0</v>
      </c>
      <c r="CQ53" s="1533">
        <v>0</v>
      </c>
      <c r="CR53" s="1533">
        <v>0</v>
      </c>
      <c r="CS53" s="1533">
        <v>0</v>
      </c>
      <c r="CT53" s="1533">
        <v>0</v>
      </c>
      <c r="CU53" s="1533">
        <v>0</v>
      </c>
      <c r="CV53" s="1533">
        <v>0</v>
      </c>
      <c r="CW53" s="1533">
        <v>0</v>
      </c>
      <c r="CX53" s="1533">
        <v>0</v>
      </c>
      <c r="CY53" s="1533">
        <v>0</v>
      </c>
      <c r="CZ53" s="1533">
        <v>0</v>
      </c>
      <c r="DA53" s="1533">
        <v>0</v>
      </c>
      <c r="DB53" s="1533">
        <v>0</v>
      </c>
      <c r="DC53" s="1533">
        <v>0</v>
      </c>
      <c r="DD53" s="1533">
        <v>0</v>
      </c>
      <c r="DE53" s="1533">
        <v>0</v>
      </c>
      <c r="DF53" s="1533">
        <v>0</v>
      </c>
      <c r="DG53" s="1533">
        <v>0</v>
      </c>
      <c r="DH53" s="1533">
        <v>0</v>
      </c>
      <c r="DI53" s="1533">
        <v>0</v>
      </c>
      <c r="DJ53" s="1533">
        <v>0</v>
      </c>
      <c r="DK53" s="1533">
        <v>0</v>
      </c>
      <c r="DL53" s="1533">
        <v>0</v>
      </c>
      <c r="DN53" s="1509">
        <v>200.1293411589495</v>
      </c>
    </row>
    <row r="54" spans="1:118" s="14" customFormat="1" ht="15.75" collapsed="1" x14ac:dyDescent="0.2">
      <c r="A54" s="1534"/>
      <c r="B54" s="1535"/>
      <c r="C54" s="1536" t="s">
        <v>322</v>
      </c>
      <c r="D54" s="1537" t="str">
        <f>INDEX(Flujos[Flujos], MATCH($C54, Flujos[Código], 0))</f>
        <v>Generación por Termoelectricidad</v>
      </c>
      <c r="E54" s="1538"/>
      <c r="G54" s="1539"/>
      <c r="H54" s="1539"/>
      <c r="I54" s="1539"/>
      <c r="J54" s="1539"/>
      <c r="K54" s="1539"/>
      <c r="L54" s="1539"/>
      <c r="M54" s="1539"/>
      <c r="N54" s="1539"/>
      <c r="O54" s="1539"/>
      <c r="P54" s="1539"/>
      <c r="Q54" s="1539"/>
      <c r="R54" s="1539"/>
      <c r="S54" s="1539"/>
      <c r="T54" s="1539"/>
      <c r="U54" s="1539"/>
      <c r="V54" s="1539"/>
      <c r="W54" s="1539"/>
      <c r="Y54" s="1490">
        <f ca="1">Y52</f>
        <v>0</v>
      </c>
      <c r="Z54" s="1490">
        <f t="shared" ref="Z54:AP54" ca="1" si="33">Z52</f>
        <v>76.130687827328813</v>
      </c>
      <c r="AA54" s="1490">
        <f t="shared" ca="1" si="33"/>
        <v>-106.3925887711122</v>
      </c>
      <c r="AB54" s="1490">
        <f t="shared" ca="1" si="33"/>
        <v>-13.299073596389029</v>
      </c>
      <c r="AC54" s="1490">
        <f t="shared" ca="1" si="33"/>
        <v>-60.795765012064123</v>
      </c>
      <c r="AD54" s="1490">
        <f t="shared" ca="1" si="33"/>
        <v>0</v>
      </c>
      <c r="AE54" s="1490">
        <f t="shared" ca="1" si="33"/>
        <v>0</v>
      </c>
      <c r="AF54" s="1490">
        <f t="shared" ca="1" si="33"/>
        <v>0</v>
      </c>
      <c r="AG54" s="1490">
        <f t="shared" ca="1" si="33"/>
        <v>0</v>
      </c>
      <c r="AH54" s="1490">
        <f t="shared" ca="1" si="33"/>
        <v>0</v>
      </c>
      <c r="AI54" s="1490">
        <f t="shared" ca="1" si="33"/>
        <v>0</v>
      </c>
      <c r="AJ54" s="1490">
        <f t="shared" ca="1" si="33"/>
        <v>0</v>
      </c>
      <c r="AK54" s="1490">
        <f t="shared" ca="1" si="33"/>
        <v>0</v>
      </c>
      <c r="AL54" s="1490">
        <f t="shared" ca="1" si="33"/>
        <v>-2.9453760000000004</v>
      </c>
      <c r="AM54" s="1490">
        <f t="shared" ca="1" si="33"/>
        <v>0</v>
      </c>
      <c r="AN54" s="1490">
        <f t="shared" ca="1" si="33"/>
        <v>0</v>
      </c>
      <c r="AO54" s="1490">
        <f t="shared" ca="1" si="33"/>
        <v>0</v>
      </c>
      <c r="AP54" s="1490">
        <f t="shared" ca="1" si="33"/>
        <v>0</v>
      </c>
      <c r="AQ54" s="2608">
        <f ca="1">SUM(Y54:AP54)</f>
        <v>-107.30211555223654</v>
      </c>
      <c r="AS54" s="1491">
        <f ca="1">AS52</f>
        <v>0</v>
      </c>
      <c r="AT54" s="1491">
        <f t="shared" ref="AT54:BK54" ca="1" si="34">AT52</f>
        <v>0</v>
      </c>
      <c r="AU54" s="1491">
        <f t="shared" ca="1" si="34"/>
        <v>0</v>
      </c>
      <c r="AV54" s="1491">
        <f t="shared" ca="1" si="34"/>
        <v>0</v>
      </c>
      <c r="AW54" s="1491">
        <f t="shared" ca="1" si="34"/>
        <v>0</v>
      </c>
      <c r="AX54" s="1491">
        <f t="shared" ca="1" si="34"/>
        <v>0</v>
      </c>
      <c r="AY54" s="1491">
        <f t="shared" ca="1" si="34"/>
        <v>0</v>
      </c>
      <c r="AZ54" s="1491">
        <f t="shared" ca="1" si="34"/>
        <v>0</v>
      </c>
      <c r="BA54" s="1491">
        <f t="shared" ca="1" si="34"/>
        <v>0</v>
      </c>
      <c r="BB54" s="1491">
        <f t="shared" ca="1" si="34"/>
        <v>0</v>
      </c>
      <c r="BC54" s="1491">
        <f t="shared" ca="1" si="34"/>
        <v>0</v>
      </c>
      <c r="BD54" s="1491">
        <f t="shared" ca="1" si="34"/>
        <v>0</v>
      </c>
      <c r="BE54" s="1491">
        <f t="shared" ca="1" si="34"/>
        <v>0</v>
      </c>
      <c r="BF54" s="1491">
        <f t="shared" ca="1" si="34"/>
        <v>0</v>
      </c>
      <c r="BG54" s="1491">
        <f t="shared" ca="1" si="34"/>
        <v>0</v>
      </c>
      <c r="BH54" s="1491">
        <f t="shared" ca="1" si="34"/>
        <v>0</v>
      </c>
      <c r="BI54" s="1491">
        <f t="shared" ca="1" si="34"/>
        <v>0</v>
      </c>
      <c r="BJ54" s="1491">
        <f t="shared" ca="1" si="34"/>
        <v>0</v>
      </c>
      <c r="BK54" s="1491">
        <f t="shared" ca="1" si="34"/>
        <v>0</v>
      </c>
      <c r="BL54" s="1952">
        <f ca="1">SUM(AS54:BK54)</f>
        <v>0</v>
      </c>
      <c r="BN54" s="1492">
        <f ca="1">BN52</f>
        <v>103.4955811608701</v>
      </c>
      <c r="BO54" s="1492">
        <f ca="1">BO52</f>
        <v>3.8065343913664385</v>
      </c>
      <c r="BP54" s="2615">
        <f ca="1">BN54+BO54</f>
        <v>107.30211555223654</v>
      </c>
      <c r="BR54" s="3168">
        <f ca="1">W54+AQ54+BL54+BP54</f>
        <v>0</v>
      </c>
      <c r="BS54" s="1493"/>
      <c r="BT54" s="748"/>
      <c r="BU54" s="1508">
        <v>198.26548259420858</v>
      </c>
      <c r="BV54" s="1508">
        <v>0.5182280295123709</v>
      </c>
      <c r="BW54" s="1508">
        <v>1.345630535228558</v>
      </c>
      <c r="BX54" s="1508">
        <v>0</v>
      </c>
      <c r="BY54" s="1508">
        <v>0</v>
      </c>
      <c r="BZ54" s="1508">
        <v>0</v>
      </c>
      <c r="CA54" s="1508">
        <v>0</v>
      </c>
      <c r="CB54" s="1508">
        <v>0</v>
      </c>
      <c r="CC54" s="1508">
        <v>0</v>
      </c>
      <c r="CD54" s="1508">
        <v>0</v>
      </c>
      <c r="CE54" s="1508">
        <v>0</v>
      </c>
      <c r="CF54" s="1508">
        <v>0</v>
      </c>
      <c r="CG54" s="1508">
        <v>0</v>
      </c>
      <c r="CH54" s="1508">
        <v>0</v>
      </c>
      <c r="CI54" s="1508">
        <v>0</v>
      </c>
      <c r="CJ54" s="1508">
        <v>0</v>
      </c>
      <c r="CK54" s="1508">
        <v>0</v>
      </c>
      <c r="CL54" s="1508">
        <v>0</v>
      </c>
      <c r="CM54" s="1508">
        <v>0</v>
      </c>
      <c r="CN54" s="1508">
        <v>0</v>
      </c>
      <c r="CO54" s="1508">
        <v>0</v>
      </c>
      <c r="CP54" s="1508">
        <v>0</v>
      </c>
      <c r="CQ54" s="1508">
        <v>0</v>
      </c>
      <c r="CR54" s="1508">
        <v>0</v>
      </c>
      <c r="CS54" s="1508">
        <v>0</v>
      </c>
      <c r="CT54" s="1508">
        <v>0</v>
      </c>
      <c r="CU54" s="1508">
        <v>0</v>
      </c>
      <c r="CV54" s="1508">
        <v>0</v>
      </c>
      <c r="CW54" s="1508">
        <v>0</v>
      </c>
      <c r="CX54" s="1508">
        <v>0</v>
      </c>
      <c r="CY54" s="1508">
        <v>0</v>
      </c>
      <c r="CZ54" s="1508">
        <v>0</v>
      </c>
      <c r="DA54" s="1508">
        <v>0</v>
      </c>
      <c r="DB54" s="1508">
        <v>0</v>
      </c>
      <c r="DC54" s="1508">
        <v>0</v>
      </c>
      <c r="DD54" s="1508">
        <v>0</v>
      </c>
      <c r="DE54" s="1508">
        <v>0</v>
      </c>
      <c r="DF54" s="1508">
        <v>0</v>
      </c>
      <c r="DG54" s="1508">
        <v>0</v>
      </c>
      <c r="DH54" s="1508">
        <v>0</v>
      </c>
      <c r="DI54" s="1508">
        <v>0</v>
      </c>
      <c r="DJ54" s="1508">
        <v>0</v>
      </c>
      <c r="DK54" s="1508">
        <v>0</v>
      </c>
      <c r="DL54" s="1508">
        <v>0</v>
      </c>
      <c r="DN54" s="1509">
        <v>200.1293411589495</v>
      </c>
    </row>
    <row r="55" spans="1:118" s="14" customFormat="1" ht="15.75" x14ac:dyDescent="0.2">
      <c r="A55" s="1534"/>
      <c r="B55" s="1535"/>
      <c r="C55" s="1536"/>
      <c r="D55" s="1537"/>
      <c r="E55" s="1538"/>
      <c r="G55" s="1539"/>
      <c r="H55" s="1539"/>
      <c r="I55" s="1539"/>
      <c r="J55" s="1539"/>
      <c r="K55" s="1539"/>
      <c r="L55" s="1539"/>
      <c r="M55" s="1539"/>
      <c r="N55" s="1539"/>
      <c r="O55" s="1539"/>
      <c r="P55" s="1539"/>
      <c r="Q55" s="1539"/>
      <c r="R55" s="1539"/>
      <c r="S55" s="1539"/>
      <c r="T55" s="1539"/>
      <c r="U55" s="1539"/>
      <c r="V55" s="1539"/>
      <c r="W55" s="1539"/>
      <c r="Y55" s="1490"/>
      <c r="Z55" s="1490"/>
      <c r="AA55" s="1490"/>
      <c r="AB55" s="1490"/>
      <c r="AC55" s="1490"/>
      <c r="AD55" s="1490"/>
      <c r="AE55" s="1490"/>
      <c r="AF55" s="1490"/>
      <c r="AG55" s="1490"/>
      <c r="AH55" s="1490"/>
      <c r="AI55" s="1490"/>
      <c r="AJ55" s="1490"/>
      <c r="AK55" s="1490"/>
      <c r="AL55" s="1490"/>
      <c r="AM55" s="1490"/>
      <c r="AN55" s="1490"/>
      <c r="AO55" s="1490"/>
      <c r="AP55" s="1490"/>
      <c r="AQ55" s="1893"/>
      <c r="AS55" s="1491"/>
      <c r="AT55" s="1491"/>
      <c r="AU55" s="1491"/>
      <c r="AV55" s="1491"/>
      <c r="AW55" s="1491"/>
      <c r="AX55" s="1491"/>
      <c r="AY55" s="1491"/>
      <c r="AZ55" s="1491"/>
      <c r="BA55" s="1491"/>
      <c r="BB55" s="1491"/>
      <c r="BC55" s="1491"/>
      <c r="BD55" s="1491"/>
      <c r="BE55" s="1491"/>
      <c r="BF55" s="1491"/>
      <c r="BG55" s="1491"/>
      <c r="BH55" s="1491"/>
      <c r="BI55" s="1491"/>
      <c r="BJ55" s="1491"/>
      <c r="BK55" s="1491"/>
      <c r="BL55" s="1491"/>
      <c r="BN55" s="1492"/>
      <c r="BO55" s="1492"/>
      <c r="BP55" s="1492"/>
      <c r="BR55" s="3168"/>
      <c r="BS55" s="1493"/>
      <c r="BT55" s="748"/>
      <c r="BU55" s="1508"/>
      <c r="BV55" s="1508"/>
      <c r="BW55" s="1508"/>
      <c r="BX55" s="1508"/>
      <c r="BY55" s="1508"/>
      <c r="BZ55" s="1508"/>
      <c r="CA55" s="1508"/>
      <c r="CB55" s="1508"/>
      <c r="CC55" s="1508"/>
      <c r="CD55" s="1508"/>
      <c r="CE55" s="1508"/>
      <c r="CF55" s="1508"/>
      <c r="CG55" s="1508"/>
      <c r="CH55" s="1508"/>
      <c r="CI55" s="1508"/>
      <c r="CJ55" s="1508"/>
      <c r="CK55" s="1508"/>
      <c r="CL55" s="1508"/>
      <c r="CM55" s="1508"/>
      <c r="CN55" s="1508"/>
      <c r="CO55" s="1508"/>
      <c r="CP55" s="1508"/>
      <c r="CQ55" s="1508"/>
      <c r="CR55" s="1508"/>
      <c r="CS55" s="1508"/>
      <c r="CT55" s="1508"/>
      <c r="CU55" s="1508"/>
      <c r="CV55" s="1508"/>
      <c r="CW55" s="1508"/>
      <c r="CX55" s="1508"/>
      <c r="CY55" s="1508"/>
      <c r="CZ55" s="1508"/>
      <c r="DA55" s="1508"/>
      <c r="DB55" s="1508"/>
      <c r="DC55" s="1508"/>
      <c r="DD55" s="1508"/>
      <c r="DE55" s="1508"/>
      <c r="DF55" s="1508"/>
      <c r="DG55" s="1508"/>
      <c r="DH55" s="1508"/>
      <c r="DI55" s="1508"/>
      <c r="DJ55" s="1508"/>
      <c r="DK55" s="1508"/>
      <c r="DL55" s="1508"/>
      <c r="DN55" s="1509"/>
    </row>
    <row r="56" spans="1:118" s="14" customFormat="1" ht="12.75" hidden="1" customHeight="1" outlineLevel="1" x14ac:dyDescent="0.2">
      <c r="A56" s="1534"/>
      <c r="B56" s="1534"/>
      <c r="C56" s="1544"/>
      <c r="D56" s="1538"/>
      <c r="E56" s="1538"/>
      <c r="G56" s="1488"/>
      <c r="H56" s="1488"/>
      <c r="I56" s="1488"/>
      <c r="J56" s="1488"/>
      <c r="K56" s="1488"/>
      <c r="L56" s="1488"/>
      <c r="M56" s="1488"/>
      <c r="N56" s="1488"/>
      <c r="O56" s="1563"/>
      <c r="P56" s="1488"/>
      <c r="Q56" s="1488"/>
      <c r="R56" s="1488"/>
      <c r="S56" s="1488"/>
      <c r="T56" s="1488"/>
      <c r="U56" s="1488"/>
      <c r="V56" s="1488"/>
      <c r="W56" s="1488"/>
      <c r="Y56" s="1490"/>
      <c r="Z56" s="1490"/>
      <c r="AA56" s="1490"/>
      <c r="AB56" s="1490"/>
      <c r="AC56" s="1490"/>
      <c r="AD56" s="1490"/>
      <c r="AE56" s="1490"/>
      <c r="AF56" s="1490"/>
      <c r="AG56" s="1490"/>
      <c r="AH56" s="1490"/>
      <c r="AI56" s="1490"/>
      <c r="AJ56" s="1490"/>
      <c r="AK56" s="1490"/>
      <c r="AL56" s="1490"/>
      <c r="AM56" s="1490"/>
      <c r="AN56" s="1490"/>
      <c r="AO56" s="1490"/>
      <c r="AP56" s="1490"/>
      <c r="AQ56" s="1893"/>
      <c r="AS56" s="1491"/>
      <c r="AT56" s="1491"/>
      <c r="AU56" s="1491"/>
      <c r="AV56" s="1491"/>
      <c r="AW56" s="1491"/>
      <c r="AX56" s="1491"/>
      <c r="AY56" s="1491"/>
      <c r="AZ56" s="1491"/>
      <c r="BA56" s="1491"/>
      <c r="BB56" s="1491"/>
      <c r="BC56" s="1491"/>
      <c r="BD56" s="1491"/>
      <c r="BE56" s="1491"/>
      <c r="BF56" s="1491"/>
      <c r="BG56" s="1491"/>
      <c r="BH56" s="1491"/>
      <c r="BI56" s="1491"/>
      <c r="BJ56" s="1491"/>
      <c r="BK56" s="1491"/>
      <c r="BL56" s="1491"/>
      <c r="BN56" s="1492"/>
      <c r="BO56" s="1492"/>
      <c r="BP56" s="1492"/>
      <c r="BR56" s="3168">
        <f>W56+AQ56+BL56+BP56</f>
        <v>0</v>
      </c>
      <c r="BS56" s="1493"/>
      <c r="BT56" s="1534"/>
      <c r="BU56" s="1508"/>
      <c r="BV56" s="1508"/>
      <c r="BW56" s="1508"/>
      <c r="BX56" s="1508"/>
      <c r="BY56" s="1508"/>
      <c r="BZ56" s="1508"/>
      <c r="CA56" s="1508"/>
      <c r="CB56" s="1508"/>
      <c r="CC56" s="1508"/>
      <c r="CD56" s="1508"/>
      <c r="CE56" s="1508"/>
      <c r="CF56" s="1508"/>
      <c r="CG56" s="1508"/>
      <c r="CH56" s="1508"/>
      <c r="CI56" s="1508"/>
      <c r="CJ56" s="1508"/>
      <c r="CK56" s="1508"/>
      <c r="CL56" s="1508"/>
      <c r="CM56" s="1508"/>
      <c r="CN56" s="1508"/>
      <c r="CO56" s="1508"/>
      <c r="CP56" s="1508"/>
      <c r="CQ56" s="1508"/>
      <c r="CR56" s="1508"/>
      <c r="CS56" s="1508"/>
      <c r="CT56" s="1508"/>
      <c r="CU56" s="1508"/>
      <c r="CV56" s="1508"/>
      <c r="CW56" s="1508"/>
      <c r="CX56" s="1508"/>
      <c r="CY56" s="1508"/>
      <c r="CZ56" s="1508"/>
      <c r="DA56" s="1508"/>
      <c r="DB56" s="1508"/>
      <c r="DC56" s="1508"/>
      <c r="DD56" s="1508"/>
      <c r="DE56" s="1508"/>
      <c r="DF56" s="1508"/>
      <c r="DG56" s="1508"/>
      <c r="DH56" s="1508"/>
      <c r="DI56" s="1508"/>
      <c r="DJ56" s="1508"/>
      <c r="DK56" s="1508"/>
      <c r="DL56" s="1508"/>
      <c r="DN56" s="1509">
        <v>0</v>
      </c>
    </row>
    <row r="57" spans="1:118" s="1578" customFormat="1" ht="12.75" hidden="1" customHeight="1" outlineLevel="1" x14ac:dyDescent="0.2">
      <c r="C57" s="1496" t="s">
        <v>50</v>
      </c>
      <c r="D57" s="14" t="e">
        <f>INDEX(Modulos[Modulos], MATCH($C57, Modulos[Código], 0))</f>
        <v>#N/A</v>
      </c>
      <c r="E57" s="1592"/>
      <c r="F57" s="14"/>
      <c r="G57" s="1593"/>
      <c r="H57" s="1593"/>
      <c r="I57" s="1593"/>
      <c r="J57" s="1593"/>
      <c r="K57" s="1593"/>
      <c r="L57" s="1593"/>
      <c r="M57" s="1593"/>
      <c r="N57" s="1593"/>
      <c r="O57" s="1594"/>
      <c r="P57" s="1593"/>
      <c r="Q57" s="1593"/>
      <c r="R57" s="1593"/>
      <c r="S57" s="1593"/>
      <c r="T57" s="1593"/>
      <c r="U57" s="1593"/>
      <c r="V57" s="1593"/>
      <c r="W57" s="1593"/>
      <c r="X57" s="14"/>
      <c r="Y57" s="1490">
        <f t="shared" ref="Y57:AP57" ca="1" si="35">IFERROR(INDEX(INDIRECT($C57&amp;".Outputs["&amp;this.Year&amp;"]"), MATCH(Y$5, INDIRECT($C57&amp;".Outputs[Vector]"), 0)), 0)</f>
        <v>0</v>
      </c>
      <c r="Z57" s="1490">
        <f t="shared" ca="1" si="35"/>
        <v>0</v>
      </c>
      <c r="AA57" s="1490">
        <f t="shared" ca="1" si="35"/>
        <v>0</v>
      </c>
      <c r="AB57" s="1490">
        <f t="shared" ca="1" si="35"/>
        <v>0</v>
      </c>
      <c r="AC57" s="1490">
        <f t="shared" ca="1" si="35"/>
        <v>0</v>
      </c>
      <c r="AD57" s="1490">
        <f t="shared" ca="1" si="35"/>
        <v>0</v>
      </c>
      <c r="AE57" s="1490">
        <f t="shared" ca="1" si="35"/>
        <v>0</v>
      </c>
      <c r="AF57" s="1490">
        <f t="shared" ca="1" si="35"/>
        <v>0</v>
      </c>
      <c r="AG57" s="1490">
        <f t="shared" ca="1" si="35"/>
        <v>0</v>
      </c>
      <c r="AH57" s="1490">
        <f t="shared" ca="1" si="35"/>
        <v>0</v>
      </c>
      <c r="AI57" s="1490">
        <f t="shared" ca="1" si="35"/>
        <v>0</v>
      </c>
      <c r="AJ57" s="1490">
        <f t="shared" ca="1" si="35"/>
        <v>0</v>
      </c>
      <c r="AK57" s="1490">
        <f t="shared" ca="1" si="35"/>
        <v>0</v>
      </c>
      <c r="AL57" s="1490">
        <f t="shared" ca="1" si="35"/>
        <v>0</v>
      </c>
      <c r="AM57" s="1490">
        <f t="shared" ca="1" si="35"/>
        <v>0</v>
      </c>
      <c r="AN57" s="1490">
        <f t="shared" ca="1" si="35"/>
        <v>0</v>
      </c>
      <c r="AO57" s="1490">
        <f t="shared" ca="1" si="35"/>
        <v>0</v>
      </c>
      <c r="AP57" s="1490">
        <f t="shared" ca="1" si="35"/>
        <v>0</v>
      </c>
      <c r="AQ57" s="1893">
        <f ca="1">SUM(Y57:AP57)</f>
        <v>0</v>
      </c>
      <c r="AR57" s="14"/>
      <c r="AS57" s="1940">
        <f t="shared" ref="AS57:BK57" ca="1" si="36">IFERROR(INDEX(INDIRECT($C57&amp;".Outputs["&amp;this.Year&amp;"]"), MATCH(AS$5, INDIRECT($C57&amp;".Outputs[Vector]"), 0)), 0)</f>
        <v>0</v>
      </c>
      <c r="AT57" s="1940">
        <f t="shared" ca="1" si="36"/>
        <v>0</v>
      </c>
      <c r="AU57" s="1940">
        <f t="shared" ca="1" si="36"/>
        <v>0</v>
      </c>
      <c r="AV57" s="1940">
        <f t="shared" ca="1" si="36"/>
        <v>0</v>
      </c>
      <c r="AW57" s="1940">
        <f t="shared" ca="1" si="36"/>
        <v>0</v>
      </c>
      <c r="AX57" s="1940">
        <f t="shared" ca="1" si="36"/>
        <v>0</v>
      </c>
      <c r="AY57" s="1940">
        <f t="shared" ca="1" si="36"/>
        <v>0</v>
      </c>
      <c r="AZ57" s="1940">
        <f t="shared" ca="1" si="36"/>
        <v>0</v>
      </c>
      <c r="BA57" s="1940">
        <f t="shared" ca="1" si="36"/>
        <v>0</v>
      </c>
      <c r="BB57" s="1940">
        <f t="shared" ca="1" si="36"/>
        <v>0</v>
      </c>
      <c r="BC57" s="1940">
        <f t="shared" ca="1" si="36"/>
        <v>0</v>
      </c>
      <c r="BD57" s="1940">
        <f t="shared" ca="1" si="36"/>
        <v>0</v>
      </c>
      <c r="BE57" s="1940">
        <f t="shared" ca="1" si="36"/>
        <v>0</v>
      </c>
      <c r="BF57" s="1940">
        <f t="shared" ca="1" si="36"/>
        <v>0</v>
      </c>
      <c r="BG57" s="1940">
        <f t="shared" ca="1" si="36"/>
        <v>0</v>
      </c>
      <c r="BH57" s="1940">
        <f t="shared" ca="1" si="36"/>
        <v>0</v>
      </c>
      <c r="BI57" s="1940">
        <f t="shared" ca="1" si="36"/>
        <v>0</v>
      </c>
      <c r="BJ57" s="1940">
        <f t="shared" ca="1" si="36"/>
        <v>0</v>
      </c>
      <c r="BK57" s="1940">
        <f t="shared" ca="1" si="36"/>
        <v>0</v>
      </c>
      <c r="BL57" s="1952">
        <f ca="1">SUM(AS57:BK57)</f>
        <v>0</v>
      </c>
      <c r="BM57" s="14"/>
      <c r="BN57" s="1941">
        <f ca="1">IFERROR(INDEX(INDIRECT($C57&amp;".Outputs["&amp;this.Year&amp;"]"), MATCH(BN$5, INDIRECT($C57&amp;".Outputs[Vector]"), 0)), 0)</f>
        <v>0</v>
      </c>
      <c r="BO57" s="1941">
        <f ca="1">IFERROR(INDEX(INDIRECT($C57&amp;".Outputs["&amp;this.Year&amp;"]"), MATCH(BO$5, INDIRECT($C57&amp;".Outputs[Vector]"), 0)), 0)</f>
        <v>0</v>
      </c>
      <c r="BP57" s="1505">
        <f ca="1">BN57+BO57</f>
        <v>0</v>
      </c>
      <c r="BQ57" s="14"/>
      <c r="BR57" s="3168">
        <f ca="1">W57+AQ57+BL57+BP57</f>
        <v>0</v>
      </c>
      <c r="BS57" s="1579"/>
      <c r="BU57" s="1595"/>
      <c r="BV57" s="1595"/>
      <c r="BW57" s="1595"/>
      <c r="BX57" s="1595"/>
      <c r="BY57" s="1595"/>
      <c r="BZ57" s="1595"/>
      <c r="CA57" s="1595"/>
      <c r="CB57" s="1595"/>
      <c r="CC57" s="1595"/>
      <c r="CD57" s="1595"/>
      <c r="CE57" s="1595"/>
      <c r="CF57" s="1595"/>
      <c r="CG57" s="1595"/>
      <c r="CH57" s="1595"/>
      <c r="CI57" s="1595"/>
      <c r="CJ57" s="1595"/>
      <c r="CK57" s="1595"/>
      <c r="CL57" s="1595"/>
      <c r="CM57" s="1595"/>
      <c r="CN57" s="1595"/>
      <c r="CO57" s="1595"/>
      <c r="CP57" s="1595"/>
      <c r="CQ57" s="1595"/>
      <c r="CR57" s="1595"/>
      <c r="CS57" s="1595"/>
      <c r="CT57" s="1595"/>
      <c r="CU57" s="1595"/>
      <c r="CV57" s="1595"/>
      <c r="CW57" s="1595"/>
      <c r="CX57" s="1595"/>
      <c r="CY57" s="1595"/>
      <c r="CZ57" s="1595"/>
      <c r="DA57" s="1595"/>
      <c r="DB57" s="1595"/>
      <c r="DC57" s="1595"/>
      <c r="DD57" s="1595"/>
      <c r="DE57" s="1595"/>
      <c r="DF57" s="1595"/>
      <c r="DG57" s="1595"/>
      <c r="DH57" s="1595"/>
      <c r="DI57" s="1595"/>
      <c r="DJ57" s="1595"/>
      <c r="DK57" s="1595"/>
      <c r="DL57" s="1595"/>
      <c r="DN57" s="1509">
        <v>0</v>
      </c>
    </row>
    <row r="58" spans="1:118" s="1522" customFormat="1" ht="12.75" hidden="1" customHeight="1" outlineLevel="1" x14ac:dyDescent="0.2">
      <c r="E58" s="1526"/>
      <c r="F58" s="14"/>
      <c r="G58" s="1540"/>
      <c r="H58" s="1540"/>
      <c r="I58" s="1540"/>
      <c r="J58" s="1540"/>
      <c r="K58" s="1540"/>
      <c r="L58" s="1540"/>
      <c r="M58" s="1540"/>
      <c r="N58" s="1540"/>
      <c r="O58" s="1540"/>
      <c r="P58" s="1540"/>
      <c r="Q58" s="1540"/>
      <c r="R58" s="1540"/>
      <c r="S58" s="1540"/>
      <c r="T58" s="1540"/>
      <c r="U58" s="1540"/>
      <c r="V58" s="1540"/>
      <c r="W58" s="1527"/>
      <c r="X58" s="14"/>
      <c r="Y58" s="1541"/>
      <c r="Z58" s="1541"/>
      <c r="AA58" s="1541"/>
      <c r="AB58" s="1541"/>
      <c r="AC58" s="1541"/>
      <c r="AD58" s="1541"/>
      <c r="AE58" s="1541"/>
      <c r="AF58" s="1541"/>
      <c r="AG58" s="1541"/>
      <c r="AH58" s="1541"/>
      <c r="AI58" s="1541"/>
      <c r="AJ58" s="1541"/>
      <c r="AK58" s="1541"/>
      <c r="AL58" s="1541"/>
      <c r="AM58" s="1541"/>
      <c r="AN58" s="1541"/>
      <c r="AO58" s="1541"/>
      <c r="AP58" s="1541"/>
      <c r="AQ58" s="1953"/>
      <c r="AR58" s="14"/>
      <c r="AS58" s="1542"/>
      <c r="AT58" s="1542"/>
      <c r="AU58" s="1542"/>
      <c r="AV58" s="1542"/>
      <c r="AW58" s="1542"/>
      <c r="AX58" s="1542"/>
      <c r="AY58" s="1542"/>
      <c r="AZ58" s="1542"/>
      <c r="BA58" s="1542"/>
      <c r="BB58" s="1542"/>
      <c r="BC58" s="1542"/>
      <c r="BD58" s="1542"/>
      <c r="BE58" s="1542"/>
      <c r="BF58" s="1542"/>
      <c r="BG58" s="1542"/>
      <c r="BH58" s="1542"/>
      <c r="BI58" s="1542"/>
      <c r="BJ58" s="1542"/>
      <c r="BK58" s="1542"/>
      <c r="BL58" s="1530"/>
      <c r="BM58" s="14"/>
      <c r="BN58" s="1543"/>
      <c r="BO58" s="1543"/>
      <c r="BP58" s="1531"/>
      <c r="BQ58" s="14"/>
      <c r="BR58" s="3168">
        <f>W58+AQ58+BL58+BP58</f>
        <v>0</v>
      </c>
      <c r="BS58" s="1525"/>
      <c r="BT58" s="748"/>
      <c r="BU58" s="1532">
        <v>0</v>
      </c>
      <c r="BV58" s="1533">
        <v>0</v>
      </c>
      <c r="BW58" s="1533">
        <v>0</v>
      </c>
      <c r="BX58" s="1533">
        <v>0</v>
      </c>
      <c r="BY58" s="1533">
        <v>0</v>
      </c>
      <c r="BZ58" s="1533">
        <v>0</v>
      </c>
      <c r="CA58" s="1533">
        <v>0</v>
      </c>
      <c r="CB58" s="1533">
        <v>0</v>
      </c>
      <c r="CC58" s="1533">
        <v>0</v>
      </c>
      <c r="CD58" s="1533">
        <v>0</v>
      </c>
      <c r="CE58" s="1533">
        <v>0</v>
      </c>
      <c r="CF58" s="1533">
        <v>0</v>
      </c>
      <c r="CG58" s="1533">
        <v>0</v>
      </c>
      <c r="CH58" s="1533">
        <v>0</v>
      </c>
      <c r="CI58" s="1533">
        <v>0</v>
      </c>
      <c r="CJ58" s="1533">
        <v>0</v>
      </c>
      <c r="CK58" s="1533">
        <v>0</v>
      </c>
      <c r="CL58" s="1533">
        <v>0</v>
      </c>
      <c r="CM58" s="1533">
        <v>0</v>
      </c>
      <c r="CN58" s="1533">
        <v>0</v>
      </c>
      <c r="CO58" s="1533">
        <v>0</v>
      </c>
      <c r="CP58" s="1533">
        <v>0</v>
      </c>
      <c r="CQ58" s="1533">
        <v>0</v>
      </c>
      <c r="CR58" s="1533">
        <v>0</v>
      </c>
      <c r="CS58" s="1533">
        <v>0</v>
      </c>
      <c r="CT58" s="1533">
        <v>0</v>
      </c>
      <c r="CU58" s="1533">
        <v>0</v>
      </c>
      <c r="CV58" s="1533">
        <v>0</v>
      </c>
      <c r="CW58" s="1533">
        <v>0</v>
      </c>
      <c r="CX58" s="1533">
        <v>0</v>
      </c>
      <c r="CY58" s="1533">
        <v>0</v>
      </c>
      <c r="CZ58" s="1533">
        <v>0</v>
      </c>
      <c r="DA58" s="1533">
        <v>0</v>
      </c>
      <c r="DB58" s="1533">
        <v>0</v>
      </c>
      <c r="DC58" s="1533">
        <v>0</v>
      </c>
      <c r="DD58" s="1533">
        <v>0</v>
      </c>
      <c r="DE58" s="1533">
        <v>0</v>
      </c>
      <c r="DF58" s="1533">
        <v>0</v>
      </c>
      <c r="DG58" s="1533">
        <v>0</v>
      </c>
      <c r="DH58" s="1533">
        <v>0</v>
      </c>
      <c r="DI58" s="1533">
        <v>0</v>
      </c>
      <c r="DJ58" s="1533">
        <v>0</v>
      </c>
      <c r="DK58" s="1533">
        <v>0</v>
      </c>
      <c r="DL58" s="1533">
        <v>0</v>
      </c>
      <c r="DN58" s="1509">
        <v>0</v>
      </c>
    </row>
    <row r="59" spans="1:118" s="14" customFormat="1" ht="15.75" collapsed="1" x14ac:dyDescent="0.2">
      <c r="A59" s="1534"/>
      <c r="B59" s="1535"/>
      <c r="C59" s="1536"/>
      <c r="D59" s="1537"/>
      <c r="E59" s="1538"/>
      <c r="G59" s="1539"/>
      <c r="H59" s="1539"/>
      <c r="I59" s="1539"/>
      <c r="J59" s="1539"/>
      <c r="K59" s="1539"/>
      <c r="L59" s="1539"/>
      <c r="M59" s="1539"/>
      <c r="N59" s="1539"/>
      <c r="O59" s="1539"/>
      <c r="P59" s="1539"/>
      <c r="Q59" s="1539"/>
      <c r="R59" s="1539"/>
      <c r="S59" s="1539"/>
      <c r="T59" s="1539"/>
      <c r="U59" s="1539"/>
      <c r="V59" s="1539"/>
      <c r="W59" s="1539"/>
      <c r="Y59" s="1490">
        <f ca="1">Y57</f>
        <v>0</v>
      </c>
      <c r="Z59" s="1490">
        <f t="shared" ref="Z59:AP59" ca="1" si="37">Z57</f>
        <v>0</v>
      </c>
      <c r="AA59" s="1490">
        <f t="shared" ca="1" si="37"/>
        <v>0</v>
      </c>
      <c r="AB59" s="1490">
        <f t="shared" ca="1" si="37"/>
        <v>0</v>
      </c>
      <c r="AC59" s="1490">
        <f t="shared" ca="1" si="37"/>
        <v>0</v>
      </c>
      <c r="AD59" s="1490">
        <f t="shared" ca="1" si="37"/>
        <v>0</v>
      </c>
      <c r="AE59" s="1490">
        <f t="shared" ca="1" si="37"/>
        <v>0</v>
      </c>
      <c r="AF59" s="1490">
        <f t="shared" ca="1" si="37"/>
        <v>0</v>
      </c>
      <c r="AG59" s="1490">
        <f t="shared" ca="1" si="37"/>
        <v>0</v>
      </c>
      <c r="AH59" s="1490">
        <f t="shared" ca="1" si="37"/>
        <v>0</v>
      </c>
      <c r="AI59" s="1490">
        <f t="shared" ca="1" si="37"/>
        <v>0</v>
      </c>
      <c r="AJ59" s="1490">
        <f t="shared" ca="1" si="37"/>
        <v>0</v>
      </c>
      <c r="AK59" s="1490">
        <f t="shared" ca="1" si="37"/>
        <v>0</v>
      </c>
      <c r="AL59" s="1490">
        <f t="shared" ca="1" si="37"/>
        <v>0</v>
      </c>
      <c r="AM59" s="1490">
        <f t="shared" ca="1" si="37"/>
        <v>0</v>
      </c>
      <c r="AN59" s="1490">
        <f t="shared" ca="1" si="37"/>
        <v>0</v>
      </c>
      <c r="AO59" s="1490">
        <f t="shared" ca="1" si="37"/>
        <v>0</v>
      </c>
      <c r="AP59" s="1490">
        <f t="shared" ca="1" si="37"/>
        <v>0</v>
      </c>
      <c r="AQ59" s="1893">
        <f ca="1">SUM(Y59:AP59)</f>
        <v>0</v>
      </c>
      <c r="AS59" s="1491">
        <f ca="1">AS57</f>
        <v>0</v>
      </c>
      <c r="AT59" s="1491">
        <f t="shared" ref="AT59:BK59" ca="1" si="38">AT57</f>
        <v>0</v>
      </c>
      <c r="AU59" s="1491">
        <f t="shared" ca="1" si="38"/>
        <v>0</v>
      </c>
      <c r="AV59" s="1491">
        <f t="shared" ca="1" si="38"/>
        <v>0</v>
      </c>
      <c r="AW59" s="1491">
        <f t="shared" ca="1" si="38"/>
        <v>0</v>
      </c>
      <c r="AX59" s="1491">
        <f t="shared" ca="1" si="38"/>
        <v>0</v>
      </c>
      <c r="AY59" s="1491">
        <f t="shared" ca="1" si="38"/>
        <v>0</v>
      </c>
      <c r="AZ59" s="1491">
        <f t="shared" ca="1" si="38"/>
        <v>0</v>
      </c>
      <c r="BA59" s="1491">
        <f t="shared" ca="1" si="38"/>
        <v>0</v>
      </c>
      <c r="BB59" s="1491">
        <f t="shared" ca="1" si="38"/>
        <v>0</v>
      </c>
      <c r="BC59" s="1491">
        <f t="shared" ca="1" si="38"/>
        <v>0</v>
      </c>
      <c r="BD59" s="1491">
        <f t="shared" ca="1" si="38"/>
        <v>0</v>
      </c>
      <c r="BE59" s="1491">
        <f t="shared" ca="1" si="38"/>
        <v>0</v>
      </c>
      <c r="BF59" s="1491">
        <f t="shared" ca="1" si="38"/>
        <v>0</v>
      </c>
      <c r="BG59" s="1491">
        <f t="shared" ca="1" si="38"/>
        <v>0</v>
      </c>
      <c r="BH59" s="1491">
        <f t="shared" ca="1" si="38"/>
        <v>0</v>
      </c>
      <c r="BI59" s="1491">
        <f t="shared" ca="1" si="38"/>
        <v>0</v>
      </c>
      <c r="BJ59" s="1491">
        <f t="shared" ca="1" si="38"/>
        <v>0</v>
      </c>
      <c r="BK59" s="1491">
        <f t="shared" ca="1" si="38"/>
        <v>0</v>
      </c>
      <c r="BL59" s="1952">
        <f ca="1">SUM(AS59:BK59)</f>
        <v>0</v>
      </c>
      <c r="BN59" s="1492">
        <f ca="1">BN57</f>
        <v>0</v>
      </c>
      <c r="BO59" s="1492">
        <f ca="1">BO57</f>
        <v>0</v>
      </c>
      <c r="BP59" s="1505">
        <f ca="1">BN59+BO59</f>
        <v>0</v>
      </c>
      <c r="BR59" s="3168">
        <f ca="1">W59+AQ59+BL59+BP59</f>
        <v>0</v>
      </c>
      <c r="BS59" s="1493"/>
      <c r="BT59" s="748"/>
      <c r="BU59" s="1508">
        <v>0</v>
      </c>
      <c r="BV59" s="1508">
        <v>0</v>
      </c>
      <c r="BW59" s="1508">
        <v>0</v>
      </c>
      <c r="BX59" s="1508">
        <v>0</v>
      </c>
      <c r="BY59" s="1508">
        <v>0</v>
      </c>
      <c r="BZ59" s="1508">
        <v>0</v>
      </c>
      <c r="CA59" s="1508">
        <v>0</v>
      </c>
      <c r="CB59" s="1508">
        <v>0</v>
      </c>
      <c r="CC59" s="1508">
        <v>0</v>
      </c>
      <c r="CD59" s="1508">
        <v>0</v>
      </c>
      <c r="CE59" s="1508">
        <v>0</v>
      </c>
      <c r="CF59" s="1508">
        <v>0</v>
      </c>
      <c r="CG59" s="1508">
        <v>0</v>
      </c>
      <c r="CH59" s="1508">
        <v>0</v>
      </c>
      <c r="CI59" s="1508">
        <v>0</v>
      </c>
      <c r="CJ59" s="1508">
        <v>0</v>
      </c>
      <c r="CK59" s="1508">
        <v>0</v>
      </c>
      <c r="CL59" s="1508">
        <v>0</v>
      </c>
      <c r="CM59" s="1508">
        <v>0</v>
      </c>
      <c r="CN59" s="1508">
        <v>0</v>
      </c>
      <c r="CO59" s="1508">
        <v>0</v>
      </c>
      <c r="CP59" s="1508">
        <v>0</v>
      </c>
      <c r="CQ59" s="1508">
        <v>0</v>
      </c>
      <c r="CR59" s="1508">
        <v>0</v>
      </c>
      <c r="CS59" s="1508">
        <v>0</v>
      </c>
      <c r="CT59" s="1508">
        <v>0</v>
      </c>
      <c r="CU59" s="1508">
        <v>0</v>
      </c>
      <c r="CV59" s="1508">
        <v>0</v>
      </c>
      <c r="CW59" s="1508">
        <v>0</v>
      </c>
      <c r="CX59" s="1508">
        <v>0</v>
      </c>
      <c r="CY59" s="1508">
        <v>0</v>
      </c>
      <c r="CZ59" s="1508">
        <v>0</v>
      </c>
      <c r="DA59" s="1508">
        <v>0</v>
      </c>
      <c r="DB59" s="1508">
        <v>0</v>
      </c>
      <c r="DC59" s="1508">
        <v>0</v>
      </c>
      <c r="DD59" s="1508">
        <v>0</v>
      </c>
      <c r="DE59" s="1508">
        <v>0</v>
      </c>
      <c r="DF59" s="1508">
        <v>0</v>
      </c>
      <c r="DG59" s="1508">
        <v>0</v>
      </c>
      <c r="DH59" s="1508">
        <v>0</v>
      </c>
      <c r="DI59" s="1508">
        <v>0</v>
      </c>
      <c r="DJ59" s="1508">
        <v>0</v>
      </c>
      <c r="DK59" s="1508">
        <v>0</v>
      </c>
      <c r="DL59" s="1508">
        <v>0</v>
      </c>
      <c r="DN59" s="1509">
        <v>0</v>
      </c>
    </row>
    <row r="60" spans="1:118" s="14" customFormat="1" ht="15.75" x14ac:dyDescent="0.2">
      <c r="A60" s="1845"/>
      <c r="B60" s="1847"/>
      <c r="C60" s="1842"/>
      <c r="D60" s="1843"/>
      <c r="E60" s="1844"/>
      <c r="G60" s="1539"/>
      <c r="H60" s="1539"/>
      <c r="I60" s="1539"/>
      <c r="J60" s="1539"/>
      <c r="K60" s="1539"/>
      <c r="L60" s="1539"/>
      <c r="M60" s="1539"/>
      <c r="N60" s="1539"/>
      <c r="O60" s="1539"/>
      <c r="P60" s="1539"/>
      <c r="Q60" s="1539"/>
      <c r="R60" s="1539"/>
      <c r="S60" s="1539"/>
      <c r="T60" s="1539"/>
      <c r="U60" s="1539"/>
      <c r="V60" s="1539"/>
      <c r="W60" s="1539"/>
      <c r="Y60" s="1490"/>
      <c r="Z60" s="1490"/>
      <c r="AA60" s="1490"/>
      <c r="AB60" s="1490"/>
      <c r="AC60" s="1490"/>
      <c r="AD60" s="1490"/>
      <c r="AE60" s="1490"/>
      <c r="AF60" s="1490"/>
      <c r="AG60" s="1490"/>
      <c r="AH60" s="1490"/>
      <c r="AI60" s="1490"/>
      <c r="AJ60" s="1490"/>
      <c r="AK60" s="1490"/>
      <c r="AL60" s="1490"/>
      <c r="AM60" s="1490"/>
      <c r="AN60" s="1490"/>
      <c r="AO60" s="1490"/>
      <c r="AP60" s="1490"/>
      <c r="AQ60" s="1490"/>
      <c r="AS60" s="1491"/>
      <c r="AT60" s="1491"/>
      <c r="AU60" s="1491"/>
      <c r="AV60" s="1491"/>
      <c r="AW60" s="1491"/>
      <c r="AX60" s="1491"/>
      <c r="AY60" s="1491"/>
      <c r="AZ60" s="1491"/>
      <c r="BA60" s="1491"/>
      <c r="BB60" s="1491"/>
      <c r="BC60" s="1491"/>
      <c r="BD60" s="1491"/>
      <c r="BE60" s="1491"/>
      <c r="BF60" s="1491"/>
      <c r="BG60" s="1491"/>
      <c r="BH60" s="1491"/>
      <c r="BI60" s="1491"/>
      <c r="BJ60" s="1491"/>
      <c r="BK60" s="1491"/>
      <c r="BL60" s="1491"/>
      <c r="BN60" s="1492"/>
      <c r="BO60" s="1492"/>
      <c r="BP60" s="1492"/>
      <c r="BR60" s="3168"/>
      <c r="BS60" s="1579"/>
      <c r="BT60" s="748"/>
      <c r="BU60" s="1507"/>
      <c r="BV60" s="1508"/>
      <c r="BW60" s="1508"/>
      <c r="BX60" s="1508"/>
      <c r="BY60" s="1508"/>
      <c r="BZ60" s="1508"/>
      <c r="CA60" s="1508"/>
      <c r="CB60" s="1508"/>
      <c r="CC60" s="1508"/>
      <c r="CD60" s="1508"/>
      <c r="CE60" s="1508"/>
      <c r="CF60" s="1508"/>
      <c r="CG60" s="1508"/>
      <c r="CH60" s="1508"/>
      <c r="CI60" s="1508"/>
      <c r="CJ60" s="1508"/>
      <c r="CK60" s="1508"/>
      <c r="CL60" s="1508"/>
      <c r="CM60" s="1508"/>
      <c r="CN60" s="1508"/>
      <c r="CO60" s="1508"/>
      <c r="CP60" s="1508"/>
      <c r="CQ60" s="1508"/>
      <c r="CR60" s="1508"/>
      <c r="CS60" s="1508"/>
      <c r="CT60" s="1508"/>
      <c r="CU60" s="1508"/>
      <c r="CV60" s="1508"/>
      <c r="CW60" s="1508"/>
      <c r="CX60" s="1508"/>
      <c r="CY60" s="1508"/>
      <c r="CZ60" s="1508"/>
      <c r="DA60" s="1508"/>
      <c r="DB60" s="1508"/>
      <c r="DC60" s="1508"/>
      <c r="DD60" s="1508"/>
      <c r="DE60" s="1508"/>
      <c r="DF60" s="1508"/>
      <c r="DG60" s="1508"/>
      <c r="DH60" s="1508"/>
      <c r="DI60" s="1508"/>
      <c r="DJ60" s="1508"/>
      <c r="DK60" s="1508"/>
      <c r="DL60" s="1508"/>
      <c r="DN60" s="1509"/>
    </row>
    <row r="61" spans="1:118" s="14" customFormat="1" outlineLevel="1" x14ac:dyDescent="0.2">
      <c r="C61" s="1580"/>
      <c r="D61" s="746"/>
      <c r="E61" s="1430"/>
      <c r="G61" s="1488"/>
      <c r="H61" s="1488"/>
      <c r="I61" s="1488"/>
      <c r="J61" s="1488"/>
      <c r="K61" s="1488"/>
      <c r="L61" s="1488"/>
      <c r="M61" s="1488"/>
      <c r="N61" s="1488"/>
      <c r="O61" s="1563"/>
      <c r="P61" s="1488"/>
      <c r="Q61" s="1488"/>
      <c r="R61" s="1488"/>
      <c r="S61" s="1488"/>
      <c r="T61" s="1488"/>
      <c r="U61" s="1488"/>
      <c r="V61" s="1488"/>
      <c r="W61" s="1488"/>
      <c r="Y61" s="1490"/>
      <c r="Z61" s="1490"/>
      <c r="AA61" s="1490"/>
      <c r="AB61" s="1490"/>
      <c r="AC61" s="1490"/>
      <c r="AD61" s="1490"/>
      <c r="AE61" s="1490"/>
      <c r="AF61" s="1490"/>
      <c r="AG61" s="1490"/>
      <c r="AH61" s="1490"/>
      <c r="AI61" s="1490"/>
      <c r="AJ61" s="1490"/>
      <c r="AK61" s="1490"/>
      <c r="AL61" s="1490"/>
      <c r="AM61" s="1490"/>
      <c r="AN61" s="1490"/>
      <c r="AO61" s="1490"/>
      <c r="AP61" s="1490"/>
      <c r="AQ61" s="1490"/>
      <c r="AS61" s="1491"/>
      <c r="AT61" s="1491"/>
      <c r="AU61" s="1491"/>
      <c r="AV61" s="1491"/>
      <c r="AW61" s="1491"/>
      <c r="AX61" s="1491"/>
      <c r="AY61" s="1491"/>
      <c r="AZ61" s="1491"/>
      <c r="BA61" s="1491"/>
      <c r="BB61" s="1491"/>
      <c r="BC61" s="1491"/>
      <c r="BD61" s="1491"/>
      <c r="BE61" s="1491"/>
      <c r="BF61" s="1491"/>
      <c r="BG61" s="1491"/>
      <c r="BH61" s="1491"/>
      <c r="BI61" s="1491"/>
      <c r="BJ61" s="1491"/>
      <c r="BK61" s="1491"/>
      <c r="BL61" s="1491"/>
      <c r="BN61" s="1492"/>
      <c r="BO61" s="1492"/>
      <c r="BP61" s="1492"/>
      <c r="BR61" s="3168">
        <f t="shared" si="12"/>
        <v>0</v>
      </c>
      <c r="BS61" s="1493"/>
      <c r="BU61" s="1508"/>
      <c r="BV61" s="1508"/>
      <c r="BW61" s="1508"/>
      <c r="BX61" s="1508"/>
      <c r="BY61" s="1508"/>
      <c r="BZ61" s="1508"/>
      <c r="CA61" s="1508"/>
      <c r="CB61" s="1508"/>
      <c r="CC61" s="1508"/>
      <c r="CD61" s="1508"/>
      <c r="CE61" s="1508"/>
      <c r="CF61" s="1508"/>
      <c r="CG61" s="1508"/>
      <c r="CH61" s="1508"/>
      <c r="CI61" s="1508"/>
      <c r="CJ61" s="1508"/>
      <c r="CK61" s="1508"/>
      <c r="CL61" s="1508"/>
      <c r="CM61" s="1508"/>
      <c r="CN61" s="1508"/>
      <c r="CO61" s="1508"/>
      <c r="CP61" s="1508"/>
      <c r="CQ61" s="1508"/>
      <c r="CR61" s="1508"/>
      <c r="CS61" s="1508"/>
      <c r="CT61" s="1508"/>
      <c r="CU61" s="1508"/>
      <c r="CV61" s="1508"/>
      <c r="CW61" s="1508"/>
      <c r="CX61" s="1508"/>
      <c r="CY61" s="1508"/>
      <c r="CZ61" s="1508"/>
      <c r="DA61" s="1508"/>
      <c r="DB61" s="1508"/>
      <c r="DC61" s="1508"/>
      <c r="DD61" s="1508"/>
      <c r="DE61" s="1508"/>
      <c r="DF61" s="1508"/>
      <c r="DG61" s="1508"/>
      <c r="DH61" s="1508"/>
      <c r="DI61" s="1508"/>
      <c r="DJ61" s="1508"/>
      <c r="DK61" s="1508"/>
      <c r="DL61" s="1508"/>
      <c r="DN61" s="1509"/>
    </row>
    <row r="62" spans="1:118" s="1522" customFormat="1" ht="12.75" customHeight="1" outlineLevel="1" x14ac:dyDescent="0.2">
      <c r="C62" s="1496" t="s">
        <v>208</v>
      </c>
      <c r="D62" s="14" t="str">
        <f>INDEX(Modulos[Modulos], MATCH($C62, Modulos[Código], 0))</f>
        <v>Plantas Eólicas</v>
      </c>
      <c r="E62" s="1497"/>
      <c r="F62" s="14"/>
      <c r="G62" s="1498"/>
      <c r="H62" s="1498"/>
      <c r="I62" s="1498"/>
      <c r="J62" s="1498"/>
      <c r="K62" s="1498"/>
      <c r="L62" s="1498"/>
      <c r="M62" s="1498"/>
      <c r="N62" s="1498"/>
      <c r="O62" s="1498"/>
      <c r="P62" s="1498"/>
      <c r="Q62" s="1498"/>
      <c r="R62" s="1498"/>
      <c r="S62" s="1498"/>
      <c r="T62" s="1498"/>
      <c r="U62" s="1498"/>
      <c r="V62" s="1498"/>
      <c r="W62" s="1499"/>
      <c r="X62" s="14"/>
      <c r="Y62" s="1893">
        <f t="shared" ref="Y62:AN69" ca="1" si="39">IFERROR(INDEX(INDIRECT($C62&amp;".Outputs["&amp;this.Year&amp;"]"), MATCH(Y$5, INDIRECT($C62&amp;".Outputs[Vector]"), 0)), 0)</f>
        <v>0</v>
      </c>
      <c r="Z62" s="1893">
        <f t="shared" ca="1" si="39"/>
        <v>5.5183487999999992</v>
      </c>
      <c r="AA62" s="1893">
        <f t="shared" ca="1" si="39"/>
        <v>0</v>
      </c>
      <c r="AB62" s="1893">
        <f t="shared" ca="1" si="39"/>
        <v>0</v>
      </c>
      <c r="AC62" s="1893">
        <f t="shared" ca="1" si="39"/>
        <v>0</v>
      </c>
      <c r="AD62" s="1893">
        <f t="shared" ca="1" si="39"/>
        <v>0</v>
      </c>
      <c r="AE62" s="1893">
        <f t="shared" ca="1" si="39"/>
        <v>0</v>
      </c>
      <c r="AF62" s="1893">
        <f t="shared" ca="1" si="39"/>
        <v>0</v>
      </c>
      <c r="AG62" s="1893">
        <f t="shared" ca="1" si="39"/>
        <v>0</v>
      </c>
      <c r="AH62" s="1893">
        <f t="shared" ca="1" si="39"/>
        <v>0</v>
      </c>
      <c r="AI62" s="1893">
        <f t="shared" ref="AI62:AP69" ca="1" si="40">IFERROR(INDEX(INDIRECT($C62&amp;".Outputs["&amp;this.Year&amp;"]"), MATCH(AI$5, INDIRECT($C62&amp;".Outputs[Vector]"), 0)), 0)</f>
        <v>0</v>
      </c>
      <c r="AJ62" s="1893">
        <f t="shared" ca="1" si="40"/>
        <v>0</v>
      </c>
      <c r="AK62" s="1893">
        <f t="shared" ca="1" si="40"/>
        <v>0</v>
      </c>
      <c r="AL62" s="1893">
        <f t="shared" ca="1" si="40"/>
        <v>0</v>
      </c>
      <c r="AM62" s="1893">
        <f t="shared" ca="1" si="40"/>
        <v>0</v>
      </c>
      <c r="AN62" s="1893">
        <f t="shared" ca="1" si="40"/>
        <v>0</v>
      </c>
      <c r="AO62" s="1893">
        <f t="shared" ca="1" si="40"/>
        <v>0</v>
      </c>
      <c r="AP62" s="1893">
        <f t="shared" ca="1" si="40"/>
        <v>0</v>
      </c>
      <c r="AQ62" s="1951">
        <f t="shared" ref="AQ62:AQ70" ca="1" si="41">SUM(Y62:AP62)</f>
        <v>5.5183487999999992</v>
      </c>
      <c r="AR62" s="14"/>
      <c r="AS62" s="1948">
        <f t="shared" ref="AS62:BH69" ca="1" si="42">IFERROR(INDEX(INDIRECT($C62&amp;".Outputs["&amp;this.Year&amp;"]"), MATCH(AS$5, INDIRECT($C62&amp;".Outputs[Vector]"), 0)), 0)</f>
        <v>0</v>
      </c>
      <c r="AT62" s="1948">
        <f t="shared" ca="1" si="42"/>
        <v>0</v>
      </c>
      <c r="AU62" s="1948">
        <f t="shared" ca="1" si="42"/>
        <v>0</v>
      </c>
      <c r="AV62" s="1948">
        <f t="shared" ca="1" si="42"/>
        <v>0</v>
      </c>
      <c r="AW62" s="1948">
        <f t="shared" ca="1" si="42"/>
        <v>0</v>
      </c>
      <c r="AX62" s="1948">
        <f t="shared" ca="1" si="42"/>
        <v>0</v>
      </c>
      <c r="AY62" s="1948">
        <f t="shared" ca="1" si="42"/>
        <v>0</v>
      </c>
      <c r="AZ62" s="1948">
        <f t="shared" ca="1" si="42"/>
        <v>0</v>
      </c>
      <c r="BA62" s="1948">
        <f t="shared" ca="1" si="42"/>
        <v>0</v>
      </c>
      <c r="BB62" s="1948">
        <f t="shared" ca="1" si="42"/>
        <v>0</v>
      </c>
      <c r="BC62" s="1948">
        <f t="shared" ref="BC62:BK69" ca="1" si="43">IFERROR(INDEX(INDIRECT($C62&amp;".Outputs["&amp;this.Year&amp;"]"), MATCH(BC$5, INDIRECT($C62&amp;".Outputs[Vector]"), 0)), 0)</f>
        <v>0</v>
      </c>
      <c r="BD62" s="1948">
        <f t="shared" ca="1" si="43"/>
        <v>-5.5183487999999992</v>
      </c>
      <c r="BE62" s="1948">
        <f t="shared" ca="1" si="43"/>
        <v>0</v>
      </c>
      <c r="BF62" s="1948">
        <f t="shared" ca="1" si="43"/>
        <v>0</v>
      </c>
      <c r="BG62" s="1948">
        <f t="shared" ca="1" si="43"/>
        <v>0</v>
      </c>
      <c r="BH62" s="1948">
        <f t="shared" ca="1" si="43"/>
        <v>0</v>
      </c>
      <c r="BI62" s="1948">
        <f t="shared" ca="1" si="43"/>
        <v>0</v>
      </c>
      <c r="BJ62" s="1948">
        <f t="shared" ca="1" si="43"/>
        <v>0</v>
      </c>
      <c r="BK62" s="1948">
        <f t="shared" ca="1" si="43"/>
        <v>0</v>
      </c>
      <c r="BL62" s="1952">
        <f t="shared" ref="BL62:BL70" ca="1" si="44">SUM(AS62:BK62)</f>
        <v>-5.5183487999999992</v>
      </c>
      <c r="BM62" s="14"/>
      <c r="BN62" s="1941">
        <f t="shared" ref="BN62:BO68" ca="1" si="45">IFERROR(INDEX(INDIRECT($C62&amp;".Outputs["&amp;this.Year&amp;"]"), MATCH(BN$5, INDIRECT($C62&amp;".Outputs[Vector]"), 0)), 0)</f>
        <v>0</v>
      </c>
      <c r="BO62" s="1941">
        <f t="shared" ca="1" si="45"/>
        <v>0</v>
      </c>
      <c r="BP62" s="1505">
        <f ca="1">BN62+BO62</f>
        <v>0</v>
      </c>
      <c r="BQ62" s="14"/>
      <c r="BR62" s="3168">
        <f t="shared" ca="1" si="12"/>
        <v>0</v>
      </c>
      <c r="BS62" s="1525"/>
      <c r="BT62" s="748"/>
      <c r="BU62" s="1507">
        <v>0</v>
      </c>
      <c r="BV62" s="1508">
        <v>0</v>
      </c>
      <c r="BW62" s="1508">
        <v>0</v>
      </c>
      <c r="BX62" s="1508">
        <v>0</v>
      </c>
      <c r="BY62" s="1508">
        <v>0</v>
      </c>
      <c r="BZ62" s="1508">
        <v>0</v>
      </c>
      <c r="CA62" s="1508">
        <v>0</v>
      </c>
      <c r="CB62" s="1508">
        <v>0</v>
      </c>
      <c r="CC62" s="1508">
        <v>0</v>
      </c>
      <c r="CD62" s="1508">
        <v>0</v>
      </c>
      <c r="CE62" s="1508">
        <v>0</v>
      </c>
      <c r="CF62" s="1508">
        <v>0</v>
      </c>
      <c r="CG62" s="1508">
        <v>0</v>
      </c>
      <c r="CH62" s="1508">
        <v>0</v>
      </c>
      <c r="CI62" s="1508">
        <v>0</v>
      </c>
      <c r="CJ62" s="1508">
        <v>0</v>
      </c>
      <c r="CK62" s="1508">
        <v>0</v>
      </c>
      <c r="CL62" s="1508">
        <v>0</v>
      </c>
      <c r="CM62" s="1508">
        <v>0</v>
      </c>
      <c r="CN62" s="1508">
        <v>0</v>
      </c>
      <c r="CO62" s="1508">
        <v>0</v>
      </c>
      <c r="CP62" s="1508">
        <v>0</v>
      </c>
      <c r="CQ62" s="1508">
        <v>0</v>
      </c>
      <c r="CR62" s="1508">
        <v>0</v>
      </c>
      <c r="CS62" s="1508">
        <v>0</v>
      </c>
      <c r="CT62" s="1508">
        <v>0</v>
      </c>
      <c r="CU62" s="1508">
        <v>0</v>
      </c>
      <c r="CV62" s="1508">
        <v>0</v>
      </c>
      <c r="CW62" s="1508">
        <v>0</v>
      </c>
      <c r="CX62" s="1508">
        <v>0</v>
      </c>
      <c r="CY62" s="1508">
        <v>0</v>
      </c>
      <c r="CZ62" s="1508">
        <v>0</v>
      </c>
      <c r="DA62" s="1508">
        <v>0</v>
      </c>
      <c r="DB62" s="1508">
        <v>0</v>
      </c>
      <c r="DC62" s="1508">
        <v>0</v>
      </c>
      <c r="DD62" s="1508">
        <v>0</v>
      </c>
      <c r="DE62" s="1508">
        <v>0</v>
      </c>
      <c r="DF62" s="1508">
        <v>0</v>
      </c>
      <c r="DG62" s="1508">
        <v>0</v>
      </c>
      <c r="DH62" s="1508">
        <v>0</v>
      </c>
      <c r="DI62" s="1508">
        <v>0</v>
      </c>
      <c r="DJ62" s="1508">
        <v>0</v>
      </c>
      <c r="DK62" s="1508">
        <v>0</v>
      </c>
      <c r="DL62" s="1508">
        <v>0</v>
      </c>
      <c r="DN62" s="1509">
        <v>0</v>
      </c>
    </row>
    <row r="63" spans="1:118" s="1522" customFormat="1" ht="12.75" customHeight="1" outlineLevel="1" x14ac:dyDescent="0.2">
      <c r="C63" s="1496" t="s">
        <v>246</v>
      </c>
      <c r="D63" s="14" t="str">
        <f>INDEX(Modulos[Modulos], MATCH($C63, Modulos[Código], 0))</f>
        <v>Mini Hidráulica de Pasada</v>
      </c>
      <c r="E63" s="1497"/>
      <c r="F63" s="14"/>
      <c r="G63" s="1498"/>
      <c r="H63" s="1498"/>
      <c r="I63" s="1498"/>
      <c r="J63" s="1498"/>
      <c r="K63" s="1498"/>
      <c r="L63" s="1498"/>
      <c r="M63" s="1498"/>
      <c r="N63" s="1498"/>
      <c r="O63" s="1498"/>
      <c r="P63" s="1498"/>
      <c r="Q63" s="1498"/>
      <c r="R63" s="1498"/>
      <c r="S63" s="1498"/>
      <c r="T63" s="1498"/>
      <c r="U63" s="1498"/>
      <c r="V63" s="1498"/>
      <c r="W63" s="1499"/>
      <c r="X63" s="14"/>
      <c r="Y63" s="1893">
        <f t="shared" ca="1" si="39"/>
        <v>0</v>
      </c>
      <c r="Z63" s="1893">
        <f t="shared" ca="1" si="39"/>
        <v>3.5677620000000001</v>
      </c>
      <c r="AA63" s="1893">
        <f t="shared" ca="1" si="39"/>
        <v>0</v>
      </c>
      <c r="AB63" s="1893">
        <f t="shared" ca="1" si="39"/>
        <v>0</v>
      </c>
      <c r="AC63" s="1893">
        <f t="shared" ca="1" si="39"/>
        <v>0</v>
      </c>
      <c r="AD63" s="1893">
        <f t="shared" ca="1" si="39"/>
        <v>0</v>
      </c>
      <c r="AE63" s="1893">
        <f t="shared" ca="1" si="39"/>
        <v>0</v>
      </c>
      <c r="AF63" s="1893">
        <f t="shared" ca="1" si="39"/>
        <v>0</v>
      </c>
      <c r="AG63" s="1893">
        <f t="shared" ca="1" si="39"/>
        <v>0</v>
      </c>
      <c r="AH63" s="1893">
        <f t="shared" ca="1" si="39"/>
        <v>0</v>
      </c>
      <c r="AI63" s="1893">
        <f t="shared" ca="1" si="40"/>
        <v>0</v>
      </c>
      <c r="AJ63" s="1893">
        <f t="shared" ca="1" si="40"/>
        <v>0</v>
      </c>
      <c r="AK63" s="1893">
        <f t="shared" ca="1" si="40"/>
        <v>0</v>
      </c>
      <c r="AL63" s="1893">
        <f t="shared" ca="1" si="40"/>
        <v>0</v>
      </c>
      <c r="AM63" s="1893">
        <f t="shared" ca="1" si="40"/>
        <v>0</v>
      </c>
      <c r="AN63" s="1893">
        <f t="shared" ca="1" si="40"/>
        <v>0</v>
      </c>
      <c r="AO63" s="1893">
        <f t="shared" ca="1" si="40"/>
        <v>0</v>
      </c>
      <c r="AP63" s="1893">
        <f t="shared" ca="1" si="40"/>
        <v>0</v>
      </c>
      <c r="AQ63" s="1951">
        <f t="shared" ca="1" si="41"/>
        <v>3.5677620000000001</v>
      </c>
      <c r="AR63" s="14"/>
      <c r="AS63" s="1948">
        <f t="shared" ca="1" si="42"/>
        <v>0</v>
      </c>
      <c r="AT63" s="1948">
        <f t="shared" ca="1" si="42"/>
        <v>0</v>
      </c>
      <c r="AU63" s="1948">
        <f t="shared" ca="1" si="42"/>
        <v>0</v>
      </c>
      <c r="AV63" s="1948">
        <f t="shared" ca="1" si="42"/>
        <v>0</v>
      </c>
      <c r="AW63" s="1948">
        <f t="shared" ca="1" si="42"/>
        <v>0</v>
      </c>
      <c r="AX63" s="1948">
        <f t="shared" ca="1" si="42"/>
        <v>0</v>
      </c>
      <c r="AY63" s="1948">
        <f t="shared" ca="1" si="42"/>
        <v>0</v>
      </c>
      <c r="AZ63" s="1948">
        <f t="shared" ca="1" si="42"/>
        <v>0</v>
      </c>
      <c r="BA63" s="1948">
        <f t="shared" ca="1" si="42"/>
        <v>0</v>
      </c>
      <c r="BB63" s="1948">
        <f t="shared" ca="1" si="42"/>
        <v>0</v>
      </c>
      <c r="BC63" s="1948">
        <f t="shared" ca="1" si="43"/>
        <v>0</v>
      </c>
      <c r="BD63" s="1948">
        <f t="shared" ca="1" si="43"/>
        <v>0</v>
      </c>
      <c r="BE63" s="1948">
        <f t="shared" ca="1" si="43"/>
        <v>0</v>
      </c>
      <c r="BF63" s="1948">
        <f t="shared" ca="1" si="43"/>
        <v>0</v>
      </c>
      <c r="BG63" s="1948">
        <f t="shared" ca="1" si="43"/>
        <v>0</v>
      </c>
      <c r="BH63" s="1948">
        <f t="shared" ca="1" si="43"/>
        <v>-3.5677620000000001</v>
      </c>
      <c r="BI63" s="1948">
        <f t="shared" ca="1" si="43"/>
        <v>0</v>
      </c>
      <c r="BJ63" s="1948">
        <f t="shared" ca="1" si="43"/>
        <v>0</v>
      </c>
      <c r="BK63" s="1948">
        <f t="shared" ca="1" si="43"/>
        <v>0</v>
      </c>
      <c r="BL63" s="1952">
        <f t="shared" ca="1" si="44"/>
        <v>-3.5677620000000001</v>
      </c>
      <c r="BM63" s="14"/>
      <c r="BN63" s="1941">
        <f t="shared" ca="1" si="45"/>
        <v>0</v>
      </c>
      <c r="BO63" s="1941">
        <f t="shared" ca="1" si="45"/>
        <v>0</v>
      </c>
      <c r="BP63" s="1505">
        <f t="shared" ref="BP63:BP68" ca="1" si="46">BN63+BO63</f>
        <v>0</v>
      </c>
      <c r="BQ63" s="14"/>
      <c r="BR63" s="3168">
        <f t="shared" ca="1" si="12"/>
        <v>0</v>
      </c>
      <c r="BS63" s="1525"/>
      <c r="BT63" s="748"/>
      <c r="BU63" s="1507">
        <v>0</v>
      </c>
      <c r="BV63" s="1508">
        <v>0</v>
      </c>
      <c r="BW63" s="1508">
        <v>0</v>
      </c>
      <c r="BX63" s="1508">
        <v>0</v>
      </c>
      <c r="BY63" s="1508">
        <v>0</v>
      </c>
      <c r="BZ63" s="1508">
        <v>0</v>
      </c>
      <c r="CA63" s="1508">
        <v>0</v>
      </c>
      <c r="CB63" s="1508">
        <v>0</v>
      </c>
      <c r="CC63" s="1508">
        <v>0</v>
      </c>
      <c r="CD63" s="1508">
        <v>0</v>
      </c>
      <c r="CE63" s="1508">
        <v>0</v>
      </c>
      <c r="CF63" s="1508">
        <v>0</v>
      </c>
      <c r="CG63" s="1508">
        <v>0</v>
      </c>
      <c r="CH63" s="1508">
        <v>0</v>
      </c>
      <c r="CI63" s="1508">
        <v>0</v>
      </c>
      <c r="CJ63" s="1508">
        <v>0</v>
      </c>
      <c r="CK63" s="1508">
        <v>0</v>
      </c>
      <c r="CL63" s="1508">
        <v>0</v>
      </c>
      <c r="CM63" s="1508">
        <v>0</v>
      </c>
      <c r="CN63" s="1508">
        <v>0</v>
      </c>
      <c r="CO63" s="1508">
        <v>0</v>
      </c>
      <c r="CP63" s="1508">
        <v>0</v>
      </c>
      <c r="CQ63" s="1508">
        <v>0</v>
      </c>
      <c r="CR63" s="1508">
        <v>0</v>
      </c>
      <c r="CS63" s="1508">
        <v>0</v>
      </c>
      <c r="CT63" s="1508">
        <v>0</v>
      </c>
      <c r="CU63" s="1508">
        <v>0</v>
      </c>
      <c r="CV63" s="1508">
        <v>0</v>
      </c>
      <c r="CW63" s="1508">
        <v>0</v>
      </c>
      <c r="CX63" s="1508">
        <v>0</v>
      </c>
      <c r="CY63" s="1508">
        <v>0</v>
      </c>
      <c r="CZ63" s="1508">
        <v>0</v>
      </c>
      <c r="DA63" s="1508">
        <v>0</v>
      </c>
      <c r="DB63" s="1508">
        <v>0</v>
      </c>
      <c r="DC63" s="1508">
        <v>0</v>
      </c>
      <c r="DD63" s="1508">
        <v>0</v>
      </c>
      <c r="DE63" s="1508">
        <v>0</v>
      </c>
      <c r="DF63" s="1508">
        <v>0</v>
      </c>
      <c r="DG63" s="1508">
        <v>0</v>
      </c>
      <c r="DH63" s="1508">
        <v>0</v>
      </c>
      <c r="DI63" s="1508">
        <v>0</v>
      </c>
      <c r="DJ63" s="1508">
        <v>0</v>
      </c>
      <c r="DK63" s="1508">
        <v>0</v>
      </c>
      <c r="DL63" s="1508">
        <v>0</v>
      </c>
      <c r="DN63" s="1509">
        <v>0</v>
      </c>
    </row>
    <row r="64" spans="1:118" s="1522" customFormat="1" ht="12.75" customHeight="1" outlineLevel="1" x14ac:dyDescent="0.2">
      <c r="C64" s="1496" t="s">
        <v>258</v>
      </c>
      <c r="D64" s="14" t="str">
        <f>INDEX(Modulos[Modulos], MATCH($C64, Modulos[Código], 0))</f>
        <v>Hidráulica de Pasada</v>
      </c>
      <c r="E64" s="1497"/>
      <c r="F64" s="14"/>
      <c r="G64" s="1498"/>
      <c r="H64" s="1498"/>
      <c r="I64" s="1498"/>
      <c r="J64" s="1498"/>
      <c r="K64" s="1498"/>
      <c r="L64" s="1498"/>
      <c r="M64" s="1498"/>
      <c r="N64" s="1498"/>
      <c r="O64" s="1498"/>
      <c r="P64" s="1498"/>
      <c r="Q64" s="1498"/>
      <c r="R64" s="1498"/>
      <c r="S64" s="1498"/>
      <c r="T64" s="1498"/>
      <c r="U64" s="1498"/>
      <c r="V64" s="1498"/>
      <c r="W64" s="1499"/>
      <c r="X64" s="14"/>
      <c r="Y64" s="1893">
        <f t="shared" ca="1" si="39"/>
        <v>0</v>
      </c>
      <c r="Z64" s="1893">
        <f t="shared" ca="1" si="39"/>
        <v>7.4493468000000016</v>
      </c>
      <c r="AA64" s="1893">
        <f t="shared" ca="1" si="39"/>
        <v>0</v>
      </c>
      <c r="AB64" s="1893">
        <f t="shared" ca="1" si="39"/>
        <v>0</v>
      </c>
      <c r="AC64" s="1893">
        <f t="shared" ca="1" si="39"/>
        <v>0</v>
      </c>
      <c r="AD64" s="1893">
        <f t="shared" ca="1" si="39"/>
        <v>0</v>
      </c>
      <c r="AE64" s="1893">
        <f t="shared" ca="1" si="39"/>
        <v>0</v>
      </c>
      <c r="AF64" s="1893">
        <f t="shared" ca="1" si="39"/>
        <v>0</v>
      </c>
      <c r="AG64" s="1893">
        <f t="shared" ca="1" si="39"/>
        <v>0</v>
      </c>
      <c r="AH64" s="1893">
        <f t="shared" ca="1" si="39"/>
        <v>0</v>
      </c>
      <c r="AI64" s="1893">
        <f t="shared" ca="1" si="40"/>
        <v>0</v>
      </c>
      <c r="AJ64" s="1893">
        <f t="shared" ca="1" si="40"/>
        <v>0</v>
      </c>
      <c r="AK64" s="1893">
        <f t="shared" ca="1" si="40"/>
        <v>0</v>
      </c>
      <c r="AL64" s="1893">
        <f t="shared" ca="1" si="40"/>
        <v>0</v>
      </c>
      <c r="AM64" s="1893">
        <f t="shared" ca="1" si="40"/>
        <v>0</v>
      </c>
      <c r="AN64" s="1893">
        <f t="shared" ca="1" si="40"/>
        <v>0</v>
      </c>
      <c r="AO64" s="1893">
        <f t="shared" ca="1" si="40"/>
        <v>0</v>
      </c>
      <c r="AP64" s="1893">
        <f t="shared" ca="1" si="40"/>
        <v>0</v>
      </c>
      <c r="AQ64" s="1951">
        <f t="shared" ca="1" si="41"/>
        <v>7.4493468000000016</v>
      </c>
      <c r="AR64" s="14"/>
      <c r="AS64" s="1948">
        <f t="shared" ca="1" si="42"/>
        <v>0</v>
      </c>
      <c r="AT64" s="1948">
        <f t="shared" ca="1" si="42"/>
        <v>0</v>
      </c>
      <c r="AU64" s="1948">
        <f t="shared" ca="1" si="42"/>
        <v>0</v>
      </c>
      <c r="AV64" s="1948">
        <f t="shared" ca="1" si="42"/>
        <v>0</v>
      </c>
      <c r="AW64" s="1948">
        <f t="shared" ca="1" si="42"/>
        <v>0</v>
      </c>
      <c r="AX64" s="1948">
        <f t="shared" ca="1" si="42"/>
        <v>0</v>
      </c>
      <c r="AY64" s="1948">
        <f t="shared" ca="1" si="42"/>
        <v>0</v>
      </c>
      <c r="AZ64" s="1948">
        <f t="shared" ca="1" si="42"/>
        <v>0</v>
      </c>
      <c r="BA64" s="1948">
        <f t="shared" ca="1" si="42"/>
        <v>0</v>
      </c>
      <c r="BB64" s="1948">
        <f t="shared" ca="1" si="42"/>
        <v>0</v>
      </c>
      <c r="BC64" s="1948">
        <f t="shared" ca="1" si="43"/>
        <v>0</v>
      </c>
      <c r="BD64" s="1948">
        <f t="shared" ca="1" si="43"/>
        <v>0</v>
      </c>
      <c r="BE64" s="1948">
        <f t="shared" ca="1" si="43"/>
        <v>0</v>
      </c>
      <c r="BF64" s="1948">
        <f t="shared" ca="1" si="43"/>
        <v>0</v>
      </c>
      <c r="BG64" s="1948">
        <f t="shared" ca="1" si="43"/>
        <v>0</v>
      </c>
      <c r="BH64" s="1948">
        <f t="shared" ca="1" si="43"/>
        <v>-7.4493468000000016</v>
      </c>
      <c r="BI64" s="1948">
        <f t="shared" ca="1" si="43"/>
        <v>0</v>
      </c>
      <c r="BJ64" s="1948">
        <f t="shared" ca="1" si="43"/>
        <v>0</v>
      </c>
      <c r="BK64" s="1948">
        <f t="shared" ca="1" si="43"/>
        <v>0</v>
      </c>
      <c r="BL64" s="1952">
        <f t="shared" ca="1" si="44"/>
        <v>-7.4493468000000016</v>
      </c>
      <c r="BM64" s="14"/>
      <c r="BN64" s="1941">
        <f t="shared" ca="1" si="45"/>
        <v>0</v>
      </c>
      <c r="BO64" s="1941">
        <f t="shared" ca="1" si="45"/>
        <v>0</v>
      </c>
      <c r="BP64" s="1505">
        <f t="shared" ca="1" si="46"/>
        <v>0</v>
      </c>
      <c r="BQ64" s="14"/>
      <c r="BR64" s="3168">
        <f t="shared" ca="1" si="12"/>
        <v>0</v>
      </c>
      <c r="BS64" s="1525"/>
      <c r="BT64" s="748"/>
      <c r="BU64" s="1507">
        <v>0</v>
      </c>
      <c r="BV64" s="1508">
        <v>0</v>
      </c>
      <c r="BW64" s="1508">
        <v>0</v>
      </c>
      <c r="BX64" s="1508">
        <v>0</v>
      </c>
      <c r="BY64" s="1508">
        <v>0</v>
      </c>
      <c r="BZ64" s="1508">
        <v>0</v>
      </c>
      <c r="CA64" s="1508">
        <v>0</v>
      </c>
      <c r="CB64" s="1508">
        <v>0</v>
      </c>
      <c r="CC64" s="1508">
        <v>0</v>
      </c>
      <c r="CD64" s="1508">
        <v>0</v>
      </c>
      <c r="CE64" s="1508">
        <v>0</v>
      </c>
      <c r="CF64" s="1508">
        <v>0</v>
      </c>
      <c r="CG64" s="1508">
        <v>0</v>
      </c>
      <c r="CH64" s="1508">
        <v>0</v>
      </c>
      <c r="CI64" s="1508">
        <v>0</v>
      </c>
      <c r="CJ64" s="1508">
        <v>0</v>
      </c>
      <c r="CK64" s="1508">
        <v>0</v>
      </c>
      <c r="CL64" s="1508">
        <v>0</v>
      </c>
      <c r="CM64" s="1508">
        <v>0</v>
      </c>
      <c r="CN64" s="1508">
        <v>0</v>
      </c>
      <c r="CO64" s="1508">
        <v>0</v>
      </c>
      <c r="CP64" s="1508">
        <v>0</v>
      </c>
      <c r="CQ64" s="1508">
        <v>0</v>
      </c>
      <c r="CR64" s="1508">
        <v>0</v>
      </c>
      <c r="CS64" s="1508">
        <v>0</v>
      </c>
      <c r="CT64" s="1508">
        <v>0</v>
      </c>
      <c r="CU64" s="1508">
        <v>0</v>
      </c>
      <c r="CV64" s="1508">
        <v>0</v>
      </c>
      <c r="CW64" s="1508">
        <v>0</v>
      </c>
      <c r="CX64" s="1508">
        <v>0</v>
      </c>
      <c r="CY64" s="1508">
        <v>0</v>
      </c>
      <c r="CZ64" s="1508">
        <v>0</v>
      </c>
      <c r="DA64" s="1508">
        <v>0</v>
      </c>
      <c r="DB64" s="1508">
        <v>0</v>
      </c>
      <c r="DC64" s="1508">
        <v>0</v>
      </c>
      <c r="DD64" s="1508">
        <v>0</v>
      </c>
      <c r="DE64" s="1508">
        <v>0</v>
      </c>
      <c r="DF64" s="1508">
        <v>0</v>
      </c>
      <c r="DG64" s="1508">
        <v>0</v>
      </c>
      <c r="DH64" s="1508">
        <v>0</v>
      </c>
      <c r="DI64" s="1508">
        <v>0</v>
      </c>
      <c r="DJ64" s="1508">
        <v>0</v>
      </c>
      <c r="DK64" s="1508">
        <v>0</v>
      </c>
      <c r="DL64" s="1508">
        <v>0</v>
      </c>
      <c r="DN64" s="1509">
        <v>0</v>
      </c>
    </row>
    <row r="65" spans="1:118" s="1522" customFormat="1" ht="12.75" customHeight="1" outlineLevel="1" x14ac:dyDescent="0.2">
      <c r="C65" s="1496" t="s">
        <v>267</v>
      </c>
      <c r="D65" s="14" t="str">
        <f>INDEX(Modulos[Modulos], MATCH($C65, Modulos[Código], 0))</f>
        <v>Hidráulica de Embalse</v>
      </c>
      <c r="E65" s="1497"/>
      <c r="F65" s="14"/>
      <c r="G65" s="1498"/>
      <c r="H65" s="1498"/>
      <c r="I65" s="1498"/>
      <c r="J65" s="1498"/>
      <c r="K65" s="1498"/>
      <c r="L65" s="1498"/>
      <c r="M65" s="1498"/>
      <c r="N65" s="1498"/>
      <c r="O65" s="1498"/>
      <c r="P65" s="1498"/>
      <c r="Q65" s="1498"/>
      <c r="R65" s="1498"/>
      <c r="S65" s="1498"/>
      <c r="T65" s="1498"/>
      <c r="U65" s="1498"/>
      <c r="V65" s="1498"/>
      <c r="W65" s="1499"/>
      <c r="X65" s="14"/>
      <c r="Y65" s="1893">
        <f t="shared" ca="1" si="39"/>
        <v>0</v>
      </c>
      <c r="Z65" s="1893">
        <f t="shared" ca="1" si="39"/>
        <v>15.105571199999996</v>
      </c>
      <c r="AA65" s="1893">
        <f t="shared" ca="1" si="39"/>
        <v>0</v>
      </c>
      <c r="AB65" s="1893">
        <f t="shared" ca="1" si="39"/>
        <v>0</v>
      </c>
      <c r="AC65" s="1893">
        <f t="shared" ca="1" si="39"/>
        <v>0</v>
      </c>
      <c r="AD65" s="1893">
        <f t="shared" ca="1" si="39"/>
        <v>0</v>
      </c>
      <c r="AE65" s="1893">
        <f t="shared" ca="1" si="39"/>
        <v>0</v>
      </c>
      <c r="AF65" s="1893">
        <f t="shared" ca="1" si="39"/>
        <v>0</v>
      </c>
      <c r="AG65" s="1893">
        <f t="shared" ca="1" si="39"/>
        <v>0</v>
      </c>
      <c r="AH65" s="1893">
        <f t="shared" ca="1" si="39"/>
        <v>0</v>
      </c>
      <c r="AI65" s="1893">
        <f t="shared" ca="1" si="40"/>
        <v>0</v>
      </c>
      <c r="AJ65" s="1893">
        <f t="shared" ca="1" si="40"/>
        <v>0</v>
      </c>
      <c r="AK65" s="1893">
        <f t="shared" ca="1" si="40"/>
        <v>0</v>
      </c>
      <c r="AL65" s="1893">
        <f t="shared" ca="1" si="40"/>
        <v>0</v>
      </c>
      <c r="AM65" s="1893">
        <f t="shared" ca="1" si="40"/>
        <v>0</v>
      </c>
      <c r="AN65" s="1893">
        <f t="shared" ca="1" si="40"/>
        <v>0</v>
      </c>
      <c r="AO65" s="1893">
        <f t="shared" ca="1" si="40"/>
        <v>0</v>
      </c>
      <c r="AP65" s="1893">
        <f t="shared" ca="1" si="40"/>
        <v>0</v>
      </c>
      <c r="AQ65" s="1951">
        <f t="shared" ca="1" si="41"/>
        <v>15.105571199999996</v>
      </c>
      <c r="AR65" s="14"/>
      <c r="AS65" s="1948">
        <f t="shared" ca="1" si="42"/>
        <v>0</v>
      </c>
      <c r="AT65" s="1948">
        <f t="shared" ca="1" si="42"/>
        <v>0</v>
      </c>
      <c r="AU65" s="1948">
        <f t="shared" ca="1" si="42"/>
        <v>0</v>
      </c>
      <c r="AV65" s="1948">
        <f t="shared" ca="1" si="42"/>
        <v>0</v>
      </c>
      <c r="AW65" s="1948">
        <f t="shared" ca="1" si="42"/>
        <v>0</v>
      </c>
      <c r="AX65" s="1948">
        <f t="shared" ca="1" si="42"/>
        <v>0</v>
      </c>
      <c r="AY65" s="1948">
        <f t="shared" ca="1" si="42"/>
        <v>0</v>
      </c>
      <c r="AZ65" s="1948">
        <f t="shared" ca="1" si="42"/>
        <v>0</v>
      </c>
      <c r="BA65" s="1948">
        <f t="shared" ca="1" si="42"/>
        <v>0</v>
      </c>
      <c r="BB65" s="1948">
        <f t="shared" ca="1" si="42"/>
        <v>0</v>
      </c>
      <c r="BC65" s="1948">
        <f t="shared" ca="1" si="43"/>
        <v>0</v>
      </c>
      <c r="BD65" s="1948">
        <f t="shared" ca="1" si="43"/>
        <v>0</v>
      </c>
      <c r="BE65" s="1948">
        <f t="shared" ca="1" si="43"/>
        <v>0</v>
      </c>
      <c r="BF65" s="1948">
        <f t="shared" ca="1" si="43"/>
        <v>0</v>
      </c>
      <c r="BG65" s="1948">
        <f t="shared" ca="1" si="43"/>
        <v>0</v>
      </c>
      <c r="BH65" s="1948">
        <f t="shared" ca="1" si="43"/>
        <v>-15.105571199999996</v>
      </c>
      <c r="BI65" s="1948">
        <f t="shared" ca="1" si="43"/>
        <v>0</v>
      </c>
      <c r="BJ65" s="1948">
        <f t="shared" ca="1" si="43"/>
        <v>0</v>
      </c>
      <c r="BK65" s="1948">
        <f t="shared" ca="1" si="43"/>
        <v>0</v>
      </c>
      <c r="BL65" s="1952">
        <f t="shared" ca="1" si="44"/>
        <v>-15.105571199999996</v>
      </c>
      <c r="BM65" s="14"/>
      <c r="BN65" s="1941">
        <f t="shared" ca="1" si="45"/>
        <v>0</v>
      </c>
      <c r="BO65" s="1941">
        <f t="shared" ca="1" si="45"/>
        <v>0</v>
      </c>
      <c r="BP65" s="1505">
        <f t="shared" ca="1" si="46"/>
        <v>0</v>
      </c>
      <c r="BQ65" s="14"/>
      <c r="BR65" s="3168">
        <f t="shared" ca="1" si="12"/>
        <v>0</v>
      </c>
      <c r="BS65" s="1525"/>
      <c r="BT65" s="748"/>
      <c r="BU65" s="1507">
        <v>0</v>
      </c>
      <c r="BV65" s="1508">
        <v>0</v>
      </c>
      <c r="BW65" s="1508">
        <v>0</v>
      </c>
      <c r="BX65" s="1508">
        <v>0</v>
      </c>
      <c r="BY65" s="1508">
        <v>0</v>
      </c>
      <c r="BZ65" s="1508">
        <v>0</v>
      </c>
      <c r="CA65" s="1508">
        <v>0</v>
      </c>
      <c r="CB65" s="1508">
        <v>0</v>
      </c>
      <c r="CC65" s="1508">
        <v>0</v>
      </c>
      <c r="CD65" s="1508">
        <v>0</v>
      </c>
      <c r="CE65" s="1508">
        <v>0</v>
      </c>
      <c r="CF65" s="1508">
        <v>0</v>
      </c>
      <c r="CG65" s="1508">
        <v>0</v>
      </c>
      <c r="CH65" s="1508">
        <v>0</v>
      </c>
      <c r="CI65" s="1508">
        <v>0</v>
      </c>
      <c r="CJ65" s="1508">
        <v>0</v>
      </c>
      <c r="CK65" s="1508">
        <v>0</v>
      </c>
      <c r="CL65" s="1508">
        <v>0</v>
      </c>
      <c r="CM65" s="1508">
        <v>0</v>
      </c>
      <c r="CN65" s="1508">
        <v>0</v>
      </c>
      <c r="CO65" s="1508">
        <v>0</v>
      </c>
      <c r="CP65" s="1508">
        <v>0</v>
      </c>
      <c r="CQ65" s="1508">
        <v>0</v>
      </c>
      <c r="CR65" s="1508">
        <v>0</v>
      </c>
      <c r="CS65" s="1508">
        <v>0</v>
      </c>
      <c r="CT65" s="1508">
        <v>0</v>
      </c>
      <c r="CU65" s="1508">
        <v>0</v>
      </c>
      <c r="CV65" s="1508">
        <v>0</v>
      </c>
      <c r="CW65" s="1508">
        <v>0</v>
      </c>
      <c r="CX65" s="1508">
        <v>0</v>
      </c>
      <c r="CY65" s="1508">
        <v>0</v>
      </c>
      <c r="CZ65" s="1508">
        <v>0</v>
      </c>
      <c r="DA65" s="1508">
        <v>0</v>
      </c>
      <c r="DB65" s="1508">
        <v>0</v>
      </c>
      <c r="DC65" s="1508">
        <v>0</v>
      </c>
      <c r="DD65" s="1508">
        <v>0</v>
      </c>
      <c r="DE65" s="1508">
        <v>0</v>
      </c>
      <c r="DF65" s="1508">
        <v>0</v>
      </c>
      <c r="DG65" s="1508">
        <v>0</v>
      </c>
      <c r="DH65" s="1508">
        <v>0</v>
      </c>
      <c r="DI65" s="1508">
        <v>0</v>
      </c>
      <c r="DJ65" s="1508">
        <v>0</v>
      </c>
      <c r="DK65" s="1508">
        <v>0</v>
      </c>
      <c r="DL65" s="1508">
        <v>0</v>
      </c>
      <c r="DN65" s="1509">
        <v>0</v>
      </c>
    </row>
    <row r="66" spans="1:118" s="1522" customFormat="1" ht="12.75" customHeight="1" outlineLevel="1" x14ac:dyDescent="0.2">
      <c r="C66" s="1496" t="s">
        <v>58</v>
      </c>
      <c r="D66" s="14" t="str">
        <f>INDEX(Modulos[Modulos], MATCH($C66, Modulos[Código], 0))</f>
        <v>Mareomotriz y Undimotriz</v>
      </c>
      <c r="E66" s="1497"/>
      <c r="F66" s="14"/>
      <c r="G66" s="1498"/>
      <c r="H66" s="1498"/>
      <c r="I66" s="1498"/>
      <c r="J66" s="1498"/>
      <c r="K66" s="1498"/>
      <c r="L66" s="1498"/>
      <c r="M66" s="1498"/>
      <c r="N66" s="1498"/>
      <c r="O66" s="1498"/>
      <c r="P66" s="1498"/>
      <c r="Q66" s="1498"/>
      <c r="R66" s="1498"/>
      <c r="S66" s="1498"/>
      <c r="T66" s="1498"/>
      <c r="U66" s="1498"/>
      <c r="V66" s="1498"/>
      <c r="W66" s="1499"/>
      <c r="X66" s="14"/>
      <c r="Y66" s="1893">
        <f t="shared" ca="1" si="39"/>
        <v>0</v>
      </c>
      <c r="Z66" s="1893">
        <f t="shared" ca="1" si="39"/>
        <v>2.8993545000000003E-2</v>
      </c>
      <c r="AA66" s="1893">
        <f t="shared" ca="1" si="39"/>
        <v>0</v>
      </c>
      <c r="AB66" s="1893">
        <f t="shared" ca="1" si="39"/>
        <v>0</v>
      </c>
      <c r="AC66" s="1893">
        <f t="shared" ca="1" si="39"/>
        <v>0</v>
      </c>
      <c r="AD66" s="1893">
        <f t="shared" ca="1" si="39"/>
        <v>0</v>
      </c>
      <c r="AE66" s="1893">
        <f t="shared" ca="1" si="39"/>
        <v>0</v>
      </c>
      <c r="AF66" s="1893">
        <f t="shared" ca="1" si="39"/>
        <v>0</v>
      </c>
      <c r="AG66" s="1893">
        <f t="shared" ca="1" si="39"/>
        <v>0</v>
      </c>
      <c r="AH66" s="1893">
        <f t="shared" ca="1" si="39"/>
        <v>0</v>
      </c>
      <c r="AI66" s="1893">
        <f t="shared" ca="1" si="40"/>
        <v>0</v>
      </c>
      <c r="AJ66" s="1893">
        <f t="shared" ca="1" si="40"/>
        <v>0</v>
      </c>
      <c r="AK66" s="1893">
        <f t="shared" ca="1" si="40"/>
        <v>0</v>
      </c>
      <c r="AL66" s="1893">
        <f t="shared" ca="1" si="40"/>
        <v>0</v>
      </c>
      <c r="AM66" s="1893">
        <f t="shared" ca="1" si="40"/>
        <v>0</v>
      </c>
      <c r="AN66" s="1893">
        <f t="shared" ca="1" si="40"/>
        <v>0</v>
      </c>
      <c r="AO66" s="1893">
        <f t="shared" ca="1" si="40"/>
        <v>0</v>
      </c>
      <c r="AP66" s="1893">
        <f t="shared" ca="1" si="40"/>
        <v>0</v>
      </c>
      <c r="AQ66" s="1951">
        <f t="shared" ca="1" si="41"/>
        <v>2.8993545000000003E-2</v>
      </c>
      <c r="AR66" s="14"/>
      <c r="AS66" s="1948">
        <f t="shared" ca="1" si="42"/>
        <v>0</v>
      </c>
      <c r="AT66" s="1948">
        <f t="shared" ca="1" si="42"/>
        <v>0</v>
      </c>
      <c r="AU66" s="1948">
        <f t="shared" ca="1" si="42"/>
        <v>0</v>
      </c>
      <c r="AV66" s="1948">
        <f t="shared" ca="1" si="42"/>
        <v>0</v>
      </c>
      <c r="AW66" s="1948">
        <f t="shared" ca="1" si="42"/>
        <v>0</v>
      </c>
      <c r="AX66" s="1948">
        <f t="shared" ca="1" si="42"/>
        <v>0</v>
      </c>
      <c r="AY66" s="1948">
        <f t="shared" ca="1" si="42"/>
        <v>0</v>
      </c>
      <c r="AZ66" s="1948">
        <f t="shared" ca="1" si="42"/>
        <v>0</v>
      </c>
      <c r="BA66" s="1948">
        <f t="shared" ca="1" si="42"/>
        <v>0</v>
      </c>
      <c r="BB66" s="1948">
        <f t="shared" ca="1" si="42"/>
        <v>0</v>
      </c>
      <c r="BC66" s="1948">
        <f t="shared" ca="1" si="43"/>
        <v>0</v>
      </c>
      <c r="BD66" s="1948">
        <f t="shared" ca="1" si="43"/>
        <v>0</v>
      </c>
      <c r="BE66" s="1948">
        <f t="shared" ca="1" si="43"/>
        <v>-1.8638707500000001E-2</v>
      </c>
      <c r="BF66" s="1948">
        <f t="shared" ca="1" si="43"/>
        <v>-1.03548375E-2</v>
      </c>
      <c r="BG66" s="1948">
        <f t="shared" ca="1" si="43"/>
        <v>0</v>
      </c>
      <c r="BH66" s="1948">
        <f t="shared" ca="1" si="43"/>
        <v>0</v>
      </c>
      <c r="BI66" s="1948">
        <f t="shared" ca="1" si="43"/>
        <v>0</v>
      </c>
      <c r="BJ66" s="1948">
        <f t="shared" ca="1" si="43"/>
        <v>0</v>
      </c>
      <c r="BK66" s="1948">
        <f t="shared" ca="1" si="43"/>
        <v>0</v>
      </c>
      <c r="BL66" s="1952">
        <f t="shared" ca="1" si="44"/>
        <v>-2.8993545000000003E-2</v>
      </c>
      <c r="BM66" s="14"/>
      <c r="BN66" s="1941">
        <f t="shared" ca="1" si="45"/>
        <v>0</v>
      </c>
      <c r="BO66" s="1941">
        <f t="shared" ca="1" si="45"/>
        <v>0</v>
      </c>
      <c r="BP66" s="1505">
        <f t="shared" ca="1" si="46"/>
        <v>0</v>
      </c>
      <c r="BQ66" s="14"/>
      <c r="BR66" s="3168">
        <f t="shared" ca="1" si="12"/>
        <v>0</v>
      </c>
      <c r="BS66" s="1525"/>
      <c r="BT66" s="748"/>
      <c r="BU66" s="1507">
        <v>0</v>
      </c>
      <c r="BV66" s="1508">
        <v>0</v>
      </c>
      <c r="BW66" s="1508">
        <v>0</v>
      </c>
      <c r="BX66" s="1508">
        <v>0</v>
      </c>
      <c r="BY66" s="1508">
        <v>0</v>
      </c>
      <c r="BZ66" s="1508">
        <v>0</v>
      </c>
      <c r="CA66" s="1508">
        <v>0</v>
      </c>
      <c r="CB66" s="1508">
        <v>0</v>
      </c>
      <c r="CC66" s="1508">
        <v>0</v>
      </c>
      <c r="CD66" s="1508">
        <v>0</v>
      </c>
      <c r="CE66" s="1508">
        <v>0</v>
      </c>
      <c r="CF66" s="1508">
        <v>0</v>
      </c>
      <c r="CG66" s="1508">
        <v>0</v>
      </c>
      <c r="CH66" s="1508">
        <v>0</v>
      </c>
      <c r="CI66" s="1508">
        <v>0</v>
      </c>
      <c r="CJ66" s="1508">
        <v>0</v>
      </c>
      <c r="CK66" s="1508">
        <v>0</v>
      </c>
      <c r="CL66" s="1508">
        <v>0</v>
      </c>
      <c r="CM66" s="1508">
        <v>0</v>
      </c>
      <c r="CN66" s="1508">
        <v>0</v>
      </c>
      <c r="CO66" s="1508">
        <v>0</v>
      </c>
      <c r="CP66" s="1508">
        <v>0</v>
      </c>
      <c r="CQ66" s="1508">
        <v>0</v>
      </c>
      <c r="CR66" s="1508">
        <v>0</v>
      </c>
      <c r="CS66" s="1508">
        <v>0</v>
      </c>
      <c r="CT66" s="1508">
        <v>0</v>
      </c>
      <c r="CU66" s="1508">
        <v>0</v>
      </c>
      <c r="CV66" s="1508">
        <v>0</v>
      </c>
      <c r="CW66" s="1508">
        <v>0</v>
      </c>
      <c r="CX66" s="1508">
        <v>0</v>
      </c>
      <c r="CY66" s="1508">
        <v>0</v>
      </c>
      <c r="CZ66" s="1508">
        <v>0</v>
      </c>
      <c r="DA66" s="1508">
        <v>0</v>
      </c>
      <c r="DB66" s="1508">
        <v>0</v>
      </c>
      <c r="DC66" s="1508">
        <v>0</v>
      </c>
      <c r="DD66" s="1508">
        <v>0</v>
      </c>
      <c r="DE66" s="1508">
        <v>0</v>
      </c>
      <c r="DF66" s="1508">
        <v>0</v>
      </c>
      <c r="DG66" s="1508">
        <v>0</v>
      </c>
      <c r="DH66" s="1508">
        <v>0</v>
      </c>
      <c r="DI66" s="1508">
        <v>0</v>
      </c>
      <c r="DJ66" s="1508">
        <v>0</v>
      </c>
      <c r="DK66" s="1508">
        <v>0</v>
      </c>
      <c r="DL66" s="1508">
        <v>0</v>
      </c>
      <c r="DN66" s="1509">
        <v>0</v>
      </c>
    </row>
    <row r="67" spans="1:118" s="1522" customFormat="1" ht="12.75" customHeight="1" outlineLevel="1" x14ac:dyDescent="0.2">
      <c r="C67" s="1496" t="s">
        <v>60</v>
      </c>
      <c r="D67" s="14" t="str">
        <f>INDEX(Modulos[Modulos], MATCH($C67, Modulos[Código], 0))</f>
        <v>Geotérmica</v>
      </c>
      <c r="E67" s="1497"/>
      <c r="F67" s="14"/>
      <c r="G67" s="1498"/>
      <c r="H67" s="1498"/>
      <c r="I67" s="1498"/>
      <c r="J67" s="1498"/>
      <c r="K67" s="1498"/>
      <c r="L67" s="1498"/>
      <c r="M67" s="1498"/>
      <c r="N67" s="1498"/>
      <c r="O67" s="1498"/>
      <c r="P67" s="1498"/>
      <c r="Q67" s="1498"/>
      <c r="R67" s="1498"/>
      <c r="S67" s="1498"/>
      <c r="T67" s="1498"/>
      <c r="U67" s="1498"/>
      <c r="V67" s="1498"/>
      <c r="W67" s="1499"/>
      <c r="X67" s="14"/>
      <c r="Y67" s="1893">
        <f t="shared" ca="1" si="39"/>
        <v>0</v>
      </c>
      <c r="Z67" s="1893">
        <f t="shared" ca="1" si="39"/>
        <v>0.35064000000000006</v>
      </c>
      <c r="AA67" s="1893">
        <f t="shared" ca="1" si="39"/>
        <v>0</v>
      </c>
      <c r="AB67" s="1893">
        <f t="shared" ca="1" si="39"/>
        <v>0</v>
      </c>
      <c r="AC67" s="1893">
        <f t="shared" ca="1" si="39"/>
        <v>0</v>
      </c>
      <c r="AD67" s="1893">
        <f t="shared" ca="1" si="39"/>
        <v>0</v>
      </c>
      <c r="AE67" s="1893">
        <f t="shared" ca="1" si="39"/>
        <v>0</v>
      </c>
      <c r="AF67" s="1893">
        <f t="shared" ca="1" si="39"/>
        <v>0</v>
      </c>
      <c r="AG67" s="1893">
        <f t="shared" ca="1" si="39"/>
        <v>0</v>
      </c>
      <c r="AH67" s="1893">
        <f t="shared" ca="1" si="39"/>
        <v>0</v>
      </c>
      <c r="AI67" s="1893">
        <f t="shared" ca="1" si="40"/>
        <v>0</v>
      </c>
      <c r="AJ67" s="1893">
        <f t="shared" ca="1" si="40"/>
        <v>0</v>
      </c>
      <c r="AK67" s="1893">
        <f t="shared" ca="1" si="40"/>
        <v>0</v>
      </c>
      <c r="AL67" s="1893">
        <f t="shared" ca="1" si="40"/>
        <v>0</v>
      </c>
      <c r="AM67" s="1893">
        <f t="shared" ca="1" si="40"/>
        <v>0</v>
      </c>
      <c r="AN67" s="1893">
        <f t="shared" ca="1" si="40"/>
        <v>0</v>
      </c>
      <c r="AO67" s="1893">
        <f t="shared" ca="1" si="40"/>
        <v>0</v>
      </c>
      <c r="AP67" s="1893">
        <f t="shared" ca="1" si="40"/>
        <v>0</v>
      </c>
      <c r="AQ67" s="1951">
        <f t="shared" ca="1" si="41"/>
        <v>0.35064000000000006</v>
      </c>
      <c r="AR67" s="14"/>
      <c r="AS67" s="1948">
        <f t="shared" ca="1" si="42"/>
        <v>0</v>
      </c>
      <c r="AT67" s="1948">
        <f t="shared" ca="1" si="42"/>
        <v>0</v>
      </c>
      <c r="AU67" s="1948">
        <f t="shared" ca="1" si="42"/>
        <v>0</v>
      </c>
      <c r="AV67" s="1948">
        <f t="shared" ca="1" si="42"/>
        <v>0</v>
      </c>
      <c r="AW67" s="1948">
        <f t="shared" ca="1" si="42"/>
        <v>0</v>
      </c>
      <c r="AX67" s="1948">
        <f t="shared" ca="1" si="42"/>
        <v>0</v>
      </c>
      <c r="AY67" s="1948">
        <f t="shared" ca="1" si="42"/>
        <v>0</v>
      </c>
      <c r="AZ67" s="1948">
        <f t="shared" ca="1" si="42"/>
        <v>0</v>
      </c>
      <c r="BA67" s="1948">
        <f t="shared" ca="1" si="42"/>
        <v>0</v>
      </c>
      <c r="BB67" s="1948">
        <f t="shared" ca="1" si="42"/>
        <v>0</v>
      </c>
      <c r="BC67" s="1948">
        <f t="shared" ca="1" si="43"/>
        <v>0</v>
      </c>
      <c r="BD67" s="1948">
        <f t="shared" ca="1" si="43"/>
        <v>0</v>
      </c>
      <c r="BE67" s="1948">
        <f t="shared" ca="1" si="43"/>
        <v>0</v>
      </c>
      <c r="BF67" s="1948">
        <f t="shared" ca="1" si="43"/>
        <v>0</v>
      </c>
      <c r="BG67" s="1948">
        <f t="shared" ca="1" si="43"/>
        <v>-0.35064000000000006</v>
      </c>
      <c r="BH67" s="1948">
        <f t="shared" ca="1" si="43"/>
        <v>0</v>
      </c>
      <c r="BI67" s="1948">
        <f t="shared" ca="1" si="43"/>
        <v>0</v>
      </c>
      <c r="BJ67" s="1948">
        <f t="shared" ca="1" si="43"/>
        <v>0</v>
      </c>
      <c r="BK67" s="1948">
        <f t="shared" ca="1" si="43"/>
        <v>0</v>
      </c>
      <c r="BL67" s="1952">
        <f t="shared" ca="1" si="44"/>
        <v>-0.35064000000000006</v>
      </c>
      <c r="BM67" s="14"/>
      <c r="BN67" s="1941">
        <f t="shared" ca="1" si="45"/>
        <v>0</v>
      </c>
      <c r="BO67" s="1941">
        <f t="shared" ca="1" si="45"/>
        <v>0</v>
      </c>
      <c r="BP67" s="1505">
        <f t="shared" ca="1" si="46"/>
        <v>0</v>
      </c>
      <c r="BQ67" s="14"/>
      <c r="BR67" s="3168">
        <f t="shared" ca="1" si="12"/>
        <v>0</v>
      </c>
      <c r="BS67" s="1525"/>
      <c r="BT67" s="748"/>
      <c r="BU67" s="1507"/>
      <c r="BV67" s="1508"/>
      <c r="BW67" s="1508"/>
      <c r="BX67" s="1508"/>
      <c r="BY67" s="1508"/>
      <c r="BZ67" s="1508"/>
      <c r="CA67" s="1508"/>
      <c r="CB67" s="1508"/>
      <c r="CC67" s="1508"/>
      <c r="CD67" s="1508"/>
      <c r="CE67" s="1508"/>
      <c r="CF67" s="1508"/>
      <c r="CG67" s="1508"/>
      <c r="CH67" s="1508"/>
      <c r="CI67" s="1508"/>
      <c r="CJ67" s="1508"/>
      <c r="CK67" s="1508"/>
      <c r="CL67" s="1508"/>
      <c r="CM67" s="1508"/>
      <c r="CN67" s="1508"/>
      <c r="CO67" s="1508"/>
      <c r="CP67" s="1508"/>
      <c r="CQ67" s="1508"/>
      <c r="CR67" s="1508"/>
      <c r="CS67" s="1508"/>
      <c r="CT67" s="1508"/>
      <c r="CU67" s="1508"/>
      <c r="CV67" s="1508"/>
      <c r="CW67" s="1508"/>
      <c r="CX67" s="1508"/>
      <c r="CY67" s="1508"/>
      <c r="CZ67" s="1508"/>
      <c r="DA67" s="1508"/>
      <c r="DB67" s="1508"/>
      <c r="DC67" s="1508"/>
      <c r="DD67" s="1508"/>
      <c r="DE67" s="1508"/>
      <c r="DF67" s="1508"/>
      <c r="DG67" s="1508"/>
      <c r="DH67" s="1508"/>
      <c r="DI67" s="1508"/>
      <c r="DJ67" s="1508"/>
      <c r="DK67" s="1508"/>
      <c r="DL67" s="1508"/>
      <c r="DN67" s="1509"/>
    </row>
    <row r="68" spans="1:118" s="1522" customFormat="1" ht="12.75" customHeight="1" outlineLevel="1" x14ac:dyDescent="0.2">
      <c r="C68" s="1496" t="s">
        <v>311</v>
      </c>
      <c r="D68" s="14" t="str">
        <f>INDEX(Modulos[Modulos], MATCH($C68, Modulos[Código], 0))</f>
        <v>Plantas Solares</v>
      </c>
      <c r="E68" s="1497"/>
      <c r="F68" s="14"/>
      <c r="G68" s="1498"/>
      <c r="H68" s="1498"/>
      <c r="I68" s="1498"/>
      <c r="J68" s="1498"/>
      <c r="K68" s="1498"/>
      <c r="L68" s="1498"/>
      <c r="M68" s="1498"/>
      <c r="N68" s="1498"/>
      <c r="O68" s="1498"/>
      <c r="P68" s="1498"/>
      <c r="Q68" s="1498"/>
      <c r="R68" s="1498"/>
      <c r="S68" s="1498"/>
      <c r="T68" s="1498"/>
      <c r="U68" s="1498"/>
      <c r="V68" s="1498"/>
      <c r="W68" s="1499"/>
      <c r="X68" s="14"/>
      <c r="Y68" s="1893">
        <f ca="1">IFERROR(INDEX(INDIRECT($C68&amp;".Outputs["&amp;this.Year&amp;"]"), MATCH(Y$5, INDIRECT($C68&amp;".Outputs[Vector]"), 0)), 0)</f>
        <v>0</v>
      </c>
      <c r="Z68" s="1893">
        <f t="shared" ca="1" si="39"/>
        <v>8.8000997399999985</v>
      </c>
      <c r="AA68" s="1893">
        <f t="shared" ca="1" si="39"/>
        <v>0</v>
      </c>
      <c r="AB68" s="1893">
        <f t="shared" ca="1" si="39"/>
        <v>0</v>
      </c>
      <c r="AC68" s="1893">
        <f t="shared" ca="1" si="39"/>
        <v>0</v>
      </c>
      <c r="AD68" s="1893">
        <f t="shared" ca="1" si="39"/>
        <v>0</v>
      </c>
      <c r="AE68" s="1893">
        <f t="shared" ca="1" si="39"/>
        <v>0</v>
      </c>
      <c r="AF68" s="1893">
        <f t="shared" ca="1" si="39"/>
        <v>0</v>
      </c>
      <c r="AG68" s="1893">
        <f t="shared" ca="1" si="39"/>
        <v>0</v>
      </c>
      <c r="AH68" s="1893">
        <f t="shared" ca="1" si="39"/>
        <v>0</v>
      </c>
      <c r="AI68" s="1893">
        <f t="shared" ca="1" si="40"/>
        <v>0</v>
      </c>
      <c r="AJ68" s="1893">
        <f t="shared" ca="1" si="40"/>
        <v>0</v>
      </c>
      <c r="AK68" s="1893">
        <f t="shared" ca="1" si="40"/>
        <v>0</v>
      </c>
      <c r="AL68" s="1893">
        <f t="shared" ca="1" si="40"/>
        <v>0</v>
      </c>
      <c r="AM68" s="1893">
        <f t="shared" ca="1" si="40"/>
        <v>0</v>
      </c>
      <c r="AN68" s="1893">
        <f t="shared" ca="1" si="40"/>
        <v>0</v>
      </c>
      <c r="AO68" s="1893">
        <f t="shared" ca="1" si="40"/>
        <v>0</v>
      </c>
      <c r="AP68" s="1893">
        <f t="shared" ca="1" si="40"/>
        <v>0</v>
      </c>
      <c r="AQ68" s="1951">
        <f t="shared" ca="1" si="41"/>
        <v>8.8000997399999985</v>
      </c>
      <c r="AR68" s="14"/>
      <c r="AS68" s="1948">
        <f ca="1">IFERROR(INDEX(INDIRECT($C68&amp;".Outputs["&amp;this.Year&amp;"]"), MATCH(AS$5, INDIRECT($C68&amp;".Outputs[Vector]"), 0)), 0)</f>
        <v>0</v>
      </c>
      <c r="AT68" s="1948">
        <f t="shared" ca="1" si="42"/>
        <v>0</v>
      </c>
      <c r="AU68" s="1948">
        <f t="shared" ca="1" si="42"/>
        <v>0</v>
      </c>
      <c r="AV68" s="1948">
        <f t="shared" ca="1" si="42"/>
        <v>0</v>
      </c>
      <c r="AW68" s="1948">
        <f t="shared" ca="1" si="42"/>
        <v>0</v>
      </c>
      <c r="AX68" s="1948">
        <f t="shared" ca="1" si="42"/>
        <v>0</v>
      </c>
      <c r="AY68" s="1948">
        <f t="shared" ca="1" si="42"/>
        <v>0</v>
      </c>
      <c r="AZ68" s="1948">
        <f t="shared" ca="1" si="42"/>
        <v>0</v>
      </c>
      <c r="BA68" s="1948">
        <f t="shared" ca="1" si="42"/>
        <v>0</v>
      </c>
      <c r="BB68" s="1948">
        <f t="shared" ca="1" si="42"/>
        <v>0</v>
      </c>
      <c r="BC68" s="1948">
        <f t="shared" ca="1" si="43"/>
        <v>-8.9939159999999987</v>
      </c>
      <c r="BD68" s="1948">
        <f t="shared" ca="1" si="43"/>
        <v>0</v>
      </c>
      <c r="BE68" s="1948">
        <f t="shared" ca="1" si="43"/>
        <v>0</v>
      </c>
      <c r="BF68" s="1948">
        <f t="shared" ca="1" si="43"/>
        <v>0</v>
      </c>
      <c r="BG68" s="1948">
        <f t="shared" ca="1" si="43"/>
        <v>0</v>
      </c>
      <c r="BH68" s="1948">
        <f t="shared" ca="1" si="43"/>
        <v>0</v>
      </c>
      <c r="BI68" s="1948">
        <f t="shared" ca="1" si="43"/>
        <v>0</v>
      </c>
      <c r="BJ68" s="1948">
        <f t="shared" ca="1" si="43"/>
        <v>0</v>
      </c>
      <c r="BK68" s="1948">
        <f t="shared" ca="1" si="43"/>
        <v>0</v>
      </c>
      <c r="BL68" s="1952">
        <f t="shared" ca="1" si="44"/>
        <v>-8.9939159999999987</v>
      </c>
      <c r="BM68" s="14"/>
      <c r="BN68" s="1941">
        <f t="shared" ca="1" si="45"/>
        <v>0.19381625999999999</v>
      </c>
      <c r="BO68" s="1941">
        <f t="shared" ca="1" si="45"/>
        <v>0</v>
      </c>
      <c r="BP68" s="1505">
        <f t="shared" ca="1" si="46"/>
        <v>0.19381625999999999</v>
      </c>
      <c r="BQ68" s="14"/>
      <c r="BR68" s="3168">
        <f t="shared" ca="1" si="12"/>
        <v>0</v>
      </c>
      <c r="BS68" s="1525"/>
      <c r="BT68" s="748"/>
      <c r="BU68" s="1507"/>
      <c r="BV68" s="1508"/>
      <c r="BW68" s="1508"/>
      <c r="BX68" s="1508"/>
      <c r="BY68" s="1508"/>
      <c r="BZ68" s="1508"/>
      <c r="CA68" s="1508"/>
      <c r="CB68" s="1508"/>
      <c r="CC68" s="1508"/>
      <c r="CD68" s="1508"/>
      <c r="CE68" s="1508"/>
      <c r="CF68" s="1508"/>
      <c r="CG68" s="1508"/>
      <c r="CH68" s="1508"/>
      <c r="CI68" s="1508"/>
      <c r="CJ68" s="1508"/>
      <c r="CK68" s="1508"/>
      <c r="CL68" s="1508"/>
      <c r="CM68" s="1508"/>
      <c r="CN68" s="1508"/>
      <c r="CO68" s="1508"/>
      <c r="CP68" s="1508"/>
      <c r="CQ68" s="1508"/>
      <c r="CR68" s="1508"/>
      <c r="CS68" s="1508"/>
      <c r="CT68" s="1508"/>
      <c r="CU68" s="1508"/>
      <c r="CV68" s="1508"/>
      <c r="CW68" s="1508"/>
      <c r="CX68" s="1508"/>
      <c r="CY68" s="1508"/>
      <c r="CZ68" s="1508"/>
      <c r="DA68" s="1508"/>
      <c r="DB68" s="1508"/>
      <c r="DC68" s="1508"/>
      <c r="DD68" s="1508"/>
      <c r="DE68" s="1508"/>
      <c r="DF68" s="1508"/>
      <c r="DG68" s="1508"/>
      <c r="DH68" s="1508"/>
      <c r="DI68" s="1508"/>
      <c r="DJ68" s="1508"/>
      <c r="DK68" s="1508"/>
      <c r="DL68" s="1508"/>
      <c r="DN68" s="1509"/>
    </row>
    <row r="69" spans="1:118" s="14" customFormat="1" ht="12.75" customHeight="1" outlineLevel="1" x14ac:dyDescent="0.2">
      <c r="A69" s="1522"/>
      <c r="B69" s="1522"/>
      <c r="C69" s="1496"/>
      <c r="E69" s="1526"/>
      <c r="G69" s="1540"/>
      <c r="H69" s="1540"/>
      <c r="I69" s="1540"/>
      <c r="J69" s="1540"/>
      <c r="K69" s="1540"/>
      <c r="L69" s="1540"/>
      <c r="M69" s="1540"/>
      <c r="N69" s="1540"/>
      <c r="O69" s="1540"/>
      <c r="P69" s="1540"/>
      <c r="Q69" s="1540"/>
      <c r="R69" s="1540"/>
      <c r="S69" s="1540"/>
      <c r="T69" s="1540"/>
      <c r="U69" s="1540"/>
      <c r="V69" s="1540"/>
      <c r="W69" s="1527"/>
      <c r="Y69" s="1541">
        <f ca="1">IFERROR(INDEX(INDIRECT($C69&amp;".Outputs["&amp;this.Year&amp;"]"), MATCH(Y$5, INDIRECT($C69&amp;".Outputs[Vector]"), 0)), 0)</f>
        <v>0</v>
      </c>
      <c r="Z69" s="1541">
        <f t="shared" ca="1" si="39"/>
        <v>0</v>
      </c>
      <c r="AA69" s="1541">
        <f t="shared" ca="1" si="39"/>
        <v>0</v>
      </c>
      <c r="AB69" s="1541">
        <f t="shared" ca="1" si="39"/>
        <v>0</v>
      </c>
      <c r="AC69" s="1541">
        <f t="shared" ca="1" si="39"/>
        <v>0</v>
      </c>
      <c r="AD69" s="1541">
        <f t="shared" ca="1" si="39"/>
        <v>0</v>
      </c>
      <c r="AE69" s="1541">
        <f t="shared" ca="1" si="39"/>
        <v>0</v>
      </c>
      <c r="AF69" s="1541">
        <f t="shared" ca="1" si="39"/>
        <v>0</v>
      </c>
      <c r="AG69" s="1541">
        <f t="shared" ca="1" si="39"/>
        <v>0</v>
      </c>
      <c r="AH69" s="1541">
        <f t="shared" ca="1" si="39"/>
        <v>0</v>
      </c>
      <c r="AI69" s="1541">
        <f t="shared" ca="1" si="39"/>
        <v>0</v>
      </c>
      <c r="AJ69" s="1541">
        <f t="shared" ca="1" si="39"/>
        <v>0</v>
      </c>
      <c r="AK69" s="1541">
        <f t="shared" ca="1" si="40"/>
        <v>0</v>
      </c>
      <c r="AL69" s="1541">
        <f t="shared" ca="1" si="39"/>
        <v>0</v>
      </c>
      <c r="AM69" s="1541">
        <f t="shared" ca="1" si="39"/>
        <v>0</v>
      </c>
      <c r="AN69" s="1541">
        <f t="shared" ca="1" si="39"/>
        <v>0</v>
      </c>
      <c r="AO69" s="1541">
        <f t="shared" ca="1" si="40"/>
        <v>0</v>
      </c>
      <c r="AP69" s="1541">
        <f t="shared" ca="1" si="40"/>
        <v>0</v>
      </c>
      <c r="AQ69" s="1951">
        <f t="shared" ca="1" si="41"/>
        <v>0</v>
      </c>
      <c r="AS69" s="1542">
        <f ca="1">IFERROR(INDEX(INDIRECT($C69&amp;".Outputs["&amp;this.Year&amp;"]"), MATCH(AS$5, INDIRECT($C69&amp;".Outputs[Vector]"), 0)), 0)</f>
        <v>0</v>
      </c>
      <c r="AT69" s="1542">
        <f t="shared" ca="1" si="42"/>
        <v>0</v>
      </c>
      <c r="AU69" s="1542">
        <f t="shared" ca="1" si="42"/>
        <v>0</v>
      </c>
      <c r="AV69" s="1542">
        <f t="shared" ca="1" si="42"/>
        <v>0</v>
      </c>
      <c r="AW69" s="1542">
        <f t="shared" ca="1" si="42"/>
        <v>0</v>
      </c>
      <c r="AX69" s="1542">
        <f t="shared" ca="1" si="42"/>
        <v>0</v>
      </c>
      <c r="AY69" s="1542">
        <f t="shared" ca="1" si="42"/>
        <v>0</v>
      </c>
      <c r="AZ69" s="1542">
        <f t="shared" ca="1" si="42"/>
        <v>0</v>
      </c>
      <c r="BA69" s="1542">
        <f t="shared" ca="1" si="42"/>
        <v>0</v>
      </c>
      <c r="BB69" s="1542">
        <f t="shared" ca="1" si="42"/>
        <v>0</v>
      </c>
      <c r="BC69" s="1542">
        <f t="shared" ca="1" si="42"/>
        <v>0</v>
      </c>
      <c r="BD69" s="1542">
        <f t="shared" ca="1" si="42"/>
        <v>0</v>
      </c>
      <c r="BE69" s="1542">
        <f t="shared" ca="1" si="42"/>
        <v>0</v>
      </c>
      <c r="BF69" s="1542">
        <f t="shared" ca="1" si="42"/>
        <v>0</v>
      </c>
      <c r="BG69" s="1542">
        <f t="shared" ca="1" si="42"/>
        <v>0</v>
      </c>
      <c r="BH69" s="1542">
        <f t="shared" ca="1" si="42"/>
        <v>0</v>
      </c>
      <c r="BI69" s="1542">
        <f t="shared" ca="1" si="43"/>
        <v>0</v>
      </c>
      <c r="BJ69" s="1542">
        <f t="shared" ca="1" si="43"/>
        <v>0</v>
      </c>
      <c r="BK69" s="1542">
        <f t="shared" ca="1" si="43"/>
        <v>0</v>
      </c>
      <c r="BL69" s="1952">
        <f t="shared" ca="1" si="44"/>
        <v>0</v>
      </c>
      <c r="BN69" s="1543"/>
      <c r="BO69" s="1543"/>
      <c r="BP69" s="1531"/>
      <c r="BR69" s="3168">
        <f t="shared" ca="1" si="12"/>
        <v>0</v>
      </c>
      <c r="BS69" s="1525"/>
      <c r="BT69" s="748"/>
      <c r="BU69" s="1532">
        <v>0</v>
      </c>
      <c r="BV69" s="1533">
        <v>0</v>
      </c>
      <c r="BW69" s="1533">
        <v>0</v>
      </c>
      <c r="BX69" s="1533">
        <v>0</v>
      </c>
      <c r="BY69" s="1533">
        <v>0</v>
      </c>
      <c r="BZ69" s="1533">
        <v>0</v>
      </c>
      <c r="CA69" s="1533">
        <v>0</v>
      </c>
      <c r="CB69" s="1533">
        <v>0</v>
      </c>
      <c r="CC69" s="1533">
        <v>0</v>
      </c>
      <c r="CD69" s="1533">
        <v>0</v>
      </c>
      <c r="CE69" s="1533">
        <v>0</v>
      </c>
      <c r="CF69" s="1533">
        <v>0</v>
      </c>
      <c r="CG69" s="1533">
        <v>0</v>
      </c>
      <c r="CH69" s="1533">
        <v>0</v>
      </c>
      <c r="CI69" s="1533">
        <v>0</v>
      </c>
      <c r="CJ69" s="1533">
        <v>0</v>
      </c>
      <c r="CK69" s="1533">
        <v>0</v>
      </c>
      <c r="CL69" s="1533">
        <v>0</v>
      </c>
      <c r="CM69" s="1533">
        <v>0</v>
      </c>
      <c r="CN69" s="1533">
        <v>0</v>
      </c>
      <c r="CO69" s="1533">
        <v>0</v>
      </c>
      <c r="CP69" s="1533">
        <v>0</v>
      </c>
      <c r="CQ69" s="1533">
        <v>0</v>
      </c>
      <c r="CR69" s="1533">
        <v>0</v>
      </c>
      <c r="CS69" s="1533">
        <v>0</v>
      </c>
      <c r="CT69" s="1533">
        <v>0</v>
      </c>
      <c r="CU69" s="1533">
        <v>0</v>
      </c>
      <c r="CV69" s="1533">
        <v>0</v>
      </c>
      <c r="CW69" s="1533">
        <v>0</v>
      </c>
      <c r="CX69" s="1533">
        <v>0</v>
      </c>
      <c r="CY69" s="1533">
        <v>0</v>
      </c>
      <c r="CZ69" s="1533">
        <v>0</v>
      </c>
      <c r="DA69" s="1533">
        <v>0</v>
      </c>
      <c r="DB69" s="1533">
        <v>0</v>
      </c>
      <c r="DC69" s="1533">
        <v>0</v>
      </c>
      <c r="DD69" s="1533">
        <v>0</v>
      </c>
      <c r="DE69" s="1533">
        <v>0</v>
      </c>
      <c r="DF69" s="1533">
        <v>0</v>
      </c>
      <c r="DG69" s="1533">
        <v>0</v>
      </c>
      <c r="DH69" s="1533">
        <v>0</v>
      </c>
      <c r="DI69" s="1533">
        <v>0</v>
      </c>
      <c r="DJ69" s="1533">
        <v>0</v>
      </c>
      <c r="DK69" s="1533">
        <v>0</v>
      </c>
      <c r="DL69" s="1533">
        <v>0</v>
      </c>
      <c r="DN69" s="1509">
        <v>0</v>
      </c>
    </row>
    <row r="70" spans="1:118" s="14" customFormat="1" ht="15.75" x14ac:dyDescent="0.2">
      <c r="A70" s="1534"/>
      <c r="B70" s="1535"/>
      <c r="C70" s="1536" t="s">
        <v>206</v>
      </c>
      <c r="D70" s="1537" t="str">
        <f>INDEX(Flujos[Flujos], MATCH($C70, Flujos[Código], 0))</f>
        <v>Energía Renovable</v>
      </c>
      <c r="E70" s="1538"/>
      <c r="G70" s="1488"/>
      <c r="H70" s="1488"/>
      <c r="I70" s="1488"/>
      <c r="J70" s="1488"/>
      <c r="K70" s="1488"/>
      <c r="L70" s="1488"/>
      <c r="M70" s="1488"/>
      <c r="N70" s="1488"/>
      <c r="O70" s="1488"/>
      <c r="P70" s="1488"/>
      <c r="Q70" s="1488"/>
      <c r="R70" s="1488"/>
      <c r="S70" s="1488"/>
      <c r="T70" s="1488"/>
      <c r="U70" s="1488"/>
      <c r="V70" s="1488"/>
      <c r="W70" s="1539"/>
      <c r="Y70" s="1490">
        <f ca="1">SUM(Y62:Y69)</f>
        <v>0</v>
      </c>
      <c r="Z70" s="1490">
        <f t="shared" ref="Z70:AP70" ca="1" si="47">SUM(Z62:Z69)</f>
        <v>40.820762084999998</v>
      </c>
      <c r="AA70" s="1490">
        <f t="shared" ca="1" si="47"/>
        <v>0</v>
      </c>
      <c r="AB70" s="1490">
        <f t="shared" ca="1" si="47"/>
        <v>0</v>
      </c>
      <c r="AC70" s="1490">
        <f t="shared" ca="1" si="47"/>
        <v>0</v>
      </c>
      <c r="AD70" s="1490">
        <f t="shared" ca="1" si="47"/>
        <v>0</v>
      </c>
      <c r="AE70" s="1490">
        <f t="shared" ca="1" si="47"/>
        <v>0</v>
      </c>
      <c r="AF70" s="1490">
        <f t="shared" ca="1" si="47"/>
        <v>0</v>
      </c>
      <c r="AG70" s="1490">
        <f t="shared" ca="1" si="47"/>
        <v>0</v>
      </c>
      <c r="AH70" s="1490">
        <f t="shared" ca="1" si="47"/>
        <v>0</v>
      </c>
      <c r="AI70" s="1490">
        <f t="shared" ca="1" si="47"/>
        <v>0</v>
      </c>
      <c r="AJ70" s="1490">
        <f t="shared" ca="1" si="47"/>
        <v>0</v>
      </c>
      <c r="AK70" s="1490">
        <f t="shared" ca="1" si="47"/>
        <v>0</v>
      </c>
      <c r="AL70" s="1490">
        <f t="shared" ca="1" si="47"/>
        <v>0</v>
      </c>
      <c r="AM70" s="1490">
        <f t="shared" ca="1" si="47"/>
        <v>0</v>
      </c>
      <c r="AN70" s="1490">
        <f t="shared" ca="1" si="47"/>
        <v>0</v>
      </c>
      <c r="AO70" s="1490">
        <f t="shared" ca="1" si="47"/>
        <v>0</v>
      </c>
      <c r="AP70" s="1490">
        <f t="shared" ca="1" si="47"/>
        <v>0</v>
      </c>
      <c r="AQ70" s="1893">
        <f t="shared" ca="1" si="41"/>
        <v>40.820762084999998</v>
      </c>
      <c r="AS70" s="1491">
        <f ca="1">SUM(AS62:AS69)</f>
        <v>0</v>
      </c>
      <c r="AT70" s="1491">
        <f t="shared" ref="AT70:BK70" ca="1" si="48">SUM(AT62:AT69)</f>
        <v>0</v>
      </c>
      <c r="AU70" s="1491">
        <f t="shared" ca="1" si="48"/>
        <v>0</v>
      </c>
      <c r="AV70" s="1491">
        <f t="shared" ca="1" si="48"/>
        <v>0</v>
      </c>
      <c r="AW70" s="1491">
        <f t="shared" ca="1" si="48"/>
        <v>0</v>
      </c>
      <c r="AX70" s="1491">
        <f t="shared" ca="1" si="48"/>
        <v>0</v>
      </c>
      <c r="AY70" s="1491">
        <f t="shared" ca="1" si="48"/>
        <v>0</v>
      </c>
      <c r="AZ70" s="1491">
        <f t="shared" ca="1" si="48"/>
        <v>0</v>
      </c>
      <c r="BA70" s="1491">
        <f t="shared" ca="1" si="48"/>
        <v>0</v>
      </c>
      <c r="BB70" s="1491">
        <f t="shared" ca="1" si="48"/>
        <v>0</v>
      </c>
      <c r="BC70" s="1491">
        <f t="shared" ca="1" si="48"/>
        <v>-8.9939159999999987</v>
      </c>
      <c r="BD70" s="1491">
        <f t="shared" ca="1" si="48"/>
        <v>-5.5183487999999992</v>
      </c>
      <c r="BE70" s="1491">
        <f t="shared" ca="1" si="48"/>
        <v>-1.8638707500000001E-2</v>
      </c>
      <c r="BF70" s="1491">
        <f t="shared" ca="1" si="48"/>
        <v>-1.03548375E-2</v>
      </c>
      <c r="BG70" s="1491">
        <f t="shared" ca="1" si="48"/>
        <v>-0.35064000000000006</v>
      </c>
      <c r="BH70" s="1491">
        <f t="shared" ca="1" si="48"/>
        <v>-26.122679999999999</v>
      </c>
      <c r="BI70" s="1491">
        <f t="shared" ca="1" si="48"/>
        <v>0</v>
      </c>
      <c r="BJ70" s="1491">
        <f t="shared" ca="1" si="48"/>
        <v>0</v>
      </c>
      <c r="BK70" s="1491">
        <f t="shared" ca="1" si="48"/>
        <v>0</v>
      </c>
      <c r="BL70" s="1952">
        <f t="shared" ca="1" si="44"/>
        <v>-41.014578344999997</v>
      </c>
      <c r="BN70" s="1941">
        <f ca="1">SUM(BN62:BN68)</f>
        <v>0.19381625999999999</v>
      </c>
      <c r="BO70" s="1941">
        <f ca="1">SUM(BO62:BO68)</f>
        <v>0</v>
      </c>
      <c r="BP70" s="1505">
        <f ca="1">BN70+BO70</f>
        <v>0.19381625999999999</v>
      </c>
      <c r="BR70" s="3168">
        <f t="shared" ca="1" si="12"/>
        <v>1.5820678100908481E-15</v>
      </c>
      <c r="BS70" s="1493"/>
      <c r="BT70" s="748"/>
      <c r="BU70" s="1508">
        <v>0</v>
      </c>
      <c r="BV70" s="1508">
        <v>0</v>
      </c>
      <c r="BW70" s="1508">
        <v>0</v>
      </c>
      <c r="BX70" s="1508">
        <v>0</v>
      </c>
      <c r="BY70" s="1508">
        <v>0</v>
      </c>
      <c r="BZ70" s="1508">
        <v>0</v>
      </c>
      <c r="CA70" s="1508">
        <v>0</v>
      </c>
      <c r="CB70" s="1508">
        <v>0</v>
      </c>
      <c r="CC70" s="1508">
        <v>0</v>
      </c>
      <c r="CD70" s="1508">
        <v>0</v>
      </c>
      <c r="CE70" s="1508">
        <v>0</v>
      </c>
      <c r="CF70" s="1508">
        <v>0</v>
      </c>
      <c r="CG70" s="1508">
        <v>0</v>
      </c>
      <c r="CH70" s="1508">
        <v>0</v>
      </c>
      <c r="CI70" s="1508">
        <v>0</v>
      </c>
      <c r="CJ70" s="1508">
        <v>0</v>
      </c>
      <c r="CK70" s="1508">
        <v>0</v>
      </c>
      <c r="CL70" s="1508">
        <v>0</v>
      </c>
      <c r="CM70" s="1508">
        <v>0</v>
      </c>
      <c r="CN70" s="1508">
        <v>0</v>
      </c>
      <c r="CO70" s="1508">
        <v>0</v>
      </c>
      <c r="CP70" s="1508">
        <v>0</v>
      </c>
      <c r="CQ70" s="1508">
        <v>0</v>
      </c>
      <c r="CR70" s="1508">
        <v>0</v>
      </c>
      <c r="CS70" s="1508">
        <v>0</v>
      </c>
      <c r="CT70" s="1508">
        <v>0</v>
      </c>
      <c r="CU70" s="1508">
        <v>0</v>
      </c>
      <c r="CV70" s="1508">
        <v>0</v>
      </c>
      <c r="CW70" s="1508">
        <v>0</v>
      </c>
      <c r="CX70" s="1508">
        <v>0</v>
      </c>
      <c r="CY70" s="1508">
        <v>0</v>
      </c>
      <c r="CZ70" s="1508">
        <v>0</v>
      </c>
      <c r="DA70" s="1508">
        <v>0</v>
      </c>
      <c r="DB70" s="1508">
        <v>0</v>
      </c>
      <c r="DC70" s="1508">
        <v>0</v>
      </c>
      <c r="DD70" s="1508">
        <v>0</v>
      </c>
      <c r="DE70" s="1508">
        <v>0</v>
      </c>
      <c r="DF70" s="1508">
        <v>0</v>
      </c>
      <c r="DG70" s="1508">
        <v>0</v>
      </c>
      <c r="DH70" s="1508">
        <v>0</v>
      </c>
      <c r="DI70" s="1508">
        <v>0</v>
      </c>
      <c r="DJ70" s="1508">
        <v>0</v>
      </c>
      <c r="DK70" s="1508">
        <v>0</v>
      </c>
      <c r="DL70" s="1508">
        <v>0</v>
      </c>
      <c r="DN70" s="1509">
        <v>0</v>
      </c>
    </row>
    <row r="71" spans="1:118" s="14" customFormat="1" ht="15.75" x14ac:dyDescent="0.2">
      <c r="A71" s="1534"/>
      <c r="B71" s="1535"/>
      <c r="C71" s="1536"/>
      <c r="D71" s="1537"/>
      <c r="E71" s="1538"/>
      <c r="G71" s="1488"/>
      <c r="H71" s="1488"/>
      <c r="I71" s="1488"/>
      <c r="J71" s="1488"/>
      <c r="K71" s="1488"/>
      <c r="L71" s="1488"/>
      <c r="M71" s="1488"/>
      <c r="N71" s="1488"/>
      <c r="O71" s="1488"/>
      <c r="P71" s="1488"/>
      <c r="Q71" s="1488"/>
      <c r="R71" s="1488"/>
      <c r="S71" s="1488"/>
      <c r="T71" s="1488"/>
      <c r="U71" s="1488"/>
      <c r="V71" s="1488"/>
      <c r="W71" s="1539"/>
      <c r="Y71" s="1490"/>
      <c r="Z71" s="1490"/>
      <c r="AA71" s="1490"/>
      <c r="AB71" s="1490"/>
      <c r="AC71" s="1490"/>
      <c r="AD71" s="1490"/>
      <c r="AE71" s="1490"/>
      <c r="AF71" s="1490"/>
      <c r="AG71" s="1490"/>
      <c r="AH71" s="1490"/>
      <c r="AI71" s="1490"/>
      <c r="AJ71" s="1490"/>
      <c r="AK71" s="1490"/>
      <c r="AL71" s="1490"/>
      <c r="AM71" s="1490"/>
      <c r="AN71" s="1490"/>
      <c r="AO71" s="1490"/>
      <c r="AP71" s="1490"/>
      <c r="AQ71" s="1893"/>
      <c r="AS71" s="1491"/>
      <c r="AT71" s="1491"/>
      <c r="AU71" s="1491"/>
      <c r="AV71" s="1491"/>
      <c r="AW71" s="1491"/>
      <c r="AX71" s="1491"/>
      <c r="AY71" s="1491"/>
      <c r="AZ71" s="1491"/>
      <c r="BA71" s="1491"/>
      <c r="BB71" s="1491"/>
      <c r="BC71" s="1491"/>
      <c r="BD71" s="1491"/>
      <c r="BE71" s="1491"/>
      <c r="BF71" s="1491"/>
      <c r="BG71" s="1491"/>
      <c r="BH71" s="1491"/>
      <c r="BI71" s="1491"/>
      <c r="BJ71" s="1491"/>
      <c r="BK71" s="1491"/>
      <c r="BL71" s="1491"/>
      <c r="BN71" s="1492"/>
      <c r="BO71" s="1492"/>
      <c r="BP71" s="1492"/>
      <c r="BR71" s="3168"/>
      <c r="BS71" s="1493"/>
      <c r="BT71" s="748"/>
      <c r="BU71" s="1508"/>
      <c r="BV71" s="1508"/>
      <c r="BW71" s="1508"/>
      <c r="BX71" s="1508"/>
      <c r="BY71" s="1508"/>
      <c r="BZ71" s="1508"/>
      <c r="CA71" s="1508"/>
      <c r="CB71" s="1508"/>
      <c r="CC71" s="1508"/>
      <c r="CD71" s="1508"/>
      <c r="CE71" s="1508"/>
      <c r="CF71" s="1508"/>
      <c r="CG71" s="1508"/>
      <c r="CH71" s="1508"/>
      <c r="CI71" s="1508"/>
      <c r="CJ71" s="1508"/>
      <c r="CK71" s="1508"/>
      <c r="CL71" s="1508"/>
      <c r="CM71" s="1508"/>
      <c r="CN71" s="1508"/>
      <c r="CO71" s="1508"/>
      <c r="CP71" s="1508"/>
      <c r="CQ71" s="1508"/>
      <c r="CR71" s="1508"/>
      <c r="CS71" s="1508"/>
      <c r="CT71" s="1508"/>
      <c r="CU71" s="1508"/>
      <c r="CV71" s="1508"/>
      <c r="CW71" s="1508"/>
      <c r="CX71" s="1508"/>
      <c r="CY71" s="1508"/>
      <c r="CZ71" s="1508"/>
      <c r="DA71" s="1508"/>
      <c r="DB71" s="1508"/>
      <c r="DC71" s="1508"/>
      <c r="DD71" s="1508"/>
      <c r="DE71" s="1508"/>
      <c r="DF71" s="1508"/>
      <c r="DG71" s="1508"/>
      <c r="DH71" s="1508"/>
      <c r="DI71" s="1508"/>
      <c r="DJ71" s="1508"/>
      <c r="DK71" s="1508"/>
      <c r="DL71" s="1508"/>
      <c r="DN71" s="1509"/>
    </row>
    <row r="72" spans="1:118" s="14" customFormat="1" ht="12.75" hidden="1" customHeight="1" outlineLevel="1" x14ac:dyDescent="0.2">
      <c r="A72" s="1534"/>
      <c r="B72" s="1534"/>
      <c r="C72" s="1544"/>
      <c r="D72" s="1538"/>
      <c r="E72" s="1538"/>
      <c r="G72" s="1488"/>
      <c r="H72" s="1488"/>
      <c r="I72" s="1488"/>
      <c r="J72" s="1488"/>
      <c r="K72" s="1488"/>
      <c r="L72" s="1488"/>
      <c r="M72" s="1488"/>
      <c r="N72" s="1488"/>
      <c r="O72" s="1563"/>
      <c r="P72" s="1488"/>
      <c r="Q72" s="1488"/>
      <c r="R72" s="1488"/>
      <c r="S72" s="1488"/>
      <c r="T72" s="1488"/>
      <c r="U72" s="1488"/>
      <c r="V72" s="1488"/>
      <c r="W72" s="1488"/>
      <c r="Y72" s="1490"/>
      <c r="Z72" s="1490"/>
      <c r="AA72" s="1490"/>
      <c r="AB72" s="1490"/>
      <c r="AC72" s="1490"/>
      <c r="AD72" s="1490"/>
      <c r="AE72" s="1490"/>
      <c r="AF72" s="1490"/>
      <c r="AG72" s="1490"/>
      <c r="AH72" s="1490"/>
      <c r="AI72" s="1490"/>
      <c r="AJ72" s="1490"/>
      <c r="AK72" s="1490"/>
      <c r="AL72" s="1490"/>
      <c r="AM72" s="1490"/>
      <c r="AN72" s="1490"/>
      <c r="AO72" s="1490"/>
      <c r="AP72" s="1490"/>
      <c r="AQ72" s="1893"/>
      <c r="AS72" s="1491"/>
      <c r="AT72" s="1491"/>
      <c r="AU72" s="1491"/>
      <c r="AV72" s="1491"/>
      <c r="AW72" s="1491"/>
      <c r="AX72" s="1491"/>
      <c r="AY72" s="1491"/>
      <c r="AZ72" s="1491"/>
      <c r="BA72" s="1491"/>
      <c r="BB72" s="1491"/>
      <c r="BC72" s="1491"/>
      <c r="BD72" s="1491"/>
      <c r="BE72" s="1491"/>
      <c r="BF72" s="1491"/>
      <c r="BG72" s="1491"/>
      <c r="BH72" s="1491"/>
      <c r="BI72" s="1491"/>
      <c r="BJ72" s="1491"/>
      <c r="BK72" s="1491"/>
      <c r="BL72" s="1491"/>
      <c r="BN72" s="1492"/>
      <c r="BO72" s="1492"/>
      <c r="BP72" s="1492"/>
      <c r="BR72" s="3168">
        <f t="shared" si="12"/>
        <v>0</v>
      </c>
      <c r="BS72" s="1493"/>
      <c r="BT72" s="1534"/>
      <c r="BU72" s="1508"/>
      <c r="BV72" s="1508"/>
      <c r="BW72" s="1508"/>
      <c r="BX72" s="1508"/>
      <c r="BY72" s="1508"/>
      <c r="BZ72" s="1508"/>
      <c r="CA72" s="1508"/>
      <c r="CB72" s="1508"/>
      <c r="CC72" s="1508"/>
      <c r="CD72" s="1508"/>
      <c r="CE72" s="1508"/>
      <c r="CF72" s="1508"/>
      <c r="CG72" s="1508"/>
      <c r="CH72" s="1508"/>
      <c r="CI72" s="1508"/>
      <c r="CJ72" s="1508"/>
      <c r="CK72" s="1508"/>
      <c r="CL72" s="1508"/>
      <c r="CM72" s="1508"/>
      <c r="CN72" s="1508"/>
      <c r="CO72" s="1508"/>
      <c r="CP72" s="1508"/>
      <c r="CQ72" s="1508"/>
      <c r="CR72" s="1508"/>
      <c r="CS72" s="1508"/>
      <c r="CT72" s="1508"/>
      <c r="CU72" s="1508"/>
      <c r="CV72" s="1508"/>
      <c r="CW72" s="1508"/>
      <c r="CX72" s="1508"/>
      <c r="CY72" s="1508"/>
      <c r="CZ72" s="1508"/>
      <c r="DA72" s="1508"/>
      <c r="DB72" s="1508"/>
      <c r="DC72" s="1508"/>
      <c r="DD72" s="1508"/>
      <c r="DE72" s="1508"/>
      <c r="DF72" s="1508"/>
      <c r="DG72" s="1508"/>
      <c r="DH72" s="1508"/>
      <c r="DI72" s="1508"/>
      <c r="DJ72" s="1508"/>
      <c r="DK72" s="1508"/>
      <c r="DL72" s="1508"/>
      <c r="DN72" s="1509">
        <v>0</v>
      </c>
    </row>
    <row r="73" spans="1:118" s="1522" customFormat="1" ht="12.75" hidden="1" customHeight="1" outlineLevel="1" x14ac:dyDescent="0.2">
      <c r="C73" s="1496" t="s">
        <v>62</v>
      </c>
      <c r="D73" s="14" t="str">
        <f>INDEX(Modulos[Modulos], MATCH($C73, Modulos[Código], 0))</f>
        <v>Solar de menor escala (GD)</v>
      </c>
      <c r="E73" s="1497"/>
      <c r="G73" s="1581"/>
      <c r="H73" s="1581"/>
      <c r="I73" s="1581"/>
      <c r="J73" s="1581"/>
      <c r="K73" s="1581"/>
      <c r="L73" s="1581"/>
      <c r="M73" s="1581"/>
      <c r="N73" s="1581"/>
      <c r="O73" s="1582"/>
      <c r="P73" s="1581"/>
      <c r="Q73" s="1581"/>
      <c r="R73" s="1581"/>
      <c r="S73" s="1581"/>
      <c r="T73" s="1581"/>
      <c r="U73" s="1581"/>
      <c r="V73" s="1581"/>
      <c r="W73" s="1583"/>
      <c r="Y73" s="1893">
        <f t="shared" ref="Y73:AH74" ca="1" si="49">IFERROR(INDEX(INDIRECT($C73&amp;".Outputs["&amp;this.Year&amp;"]"), MATCH(Y$5, INDIRECT($C73&amp;".Outputs[Vector]"), 0)), 0)</f>
        <v>0</v>
      </c>
      <c r="Z73" s="1893">
        <f t="shared" ca="1" si="49"/>
        <v>0.28257582941859183</v>
      </c>
      <c r="AA73" s="1893">
        <f t="shared" ca="1" si="49"/>
        <v>0</v>
      </c>
      <c r="AB73" s="1893">
        <f t="shared" ca="1" si="49"/>
        <v>0</v>
      </c>
      <c r="AC73" s="1893">
        <f t="shared" ca="1" si="49"/>
        <v>0</v>
      </c>
      <c r="AD73" s="1893">
        <f t="shared" ca="1" si="49"/>
        <v>0</v>
      </c>
      <c r="AE73" s="1893">
        <f t="shared" ca="1" si="49"/>
        <v>0</v>
      </c>
      <c r="AF73" s="1893">
        <f t="shared" ca="1" si="49"/>
        <v>0</v>
      </c>
      <c r="AG73" s="1893">
        <f t="shared" ca="1" si="49"/>
        <v>0</v>
      </c>
      <c r="AH73" s="1893">
        <f t="shared" ca="1" si="49"/>
        <v>0</v>
      </c>
      <c r="AI73" s="1893">
        <f t="shared" ref="AI73:AP74" ca="1" si="50">IFERROR(INDEX(INDIRECT($C73&amp;".Outputs["&amp;this.Year&amp;"]"), MATCH(AI$5, INDIRECT($C73&amp;".Outputs[Vector]"), 0)), 0)</f>
        <v>0</v>
      </c>
      <c r="AJ73" s="1893">
        <f t="shared" ca="1" si="50"/>
        <v>0</v>
      </c>
      <c r="AK73" s="1893">
        <f t="shared" ca="1" si="50"/>
        <v>0</v>
      </c>
      <c r="AL73" s="1893">
        <f t="shared" ca="1" si="50"/>
        <v>0</v>
      </c>
      <c r="AM73" s="1893">
        <f t="shared" ca="1" si="50"/>
        <v>0</v>
      </c>
      <c r="AN73" s="1893">
        <f t="shared" ca="1" si="50"/>
        <v>0</v>
      </c>
      <c r="AO73" s="1893">
        <f t="shared" ca="1" si="50"/>
        <v>0</v>
      </c>
      <c r="AP73" s="1893">
        <f t="shared" ca="1" si="50"/>
        <v>0</v>
      </c>
      <c r="AQ73" s="1893">
        <f ca="1">SUM(Y73:AP73)</f>
        <v>0.28257582941859183</v>
      </c>
      <c r="AS73" s="1948">
        <f t="shared" ref="AS73:BB74" ca="1" si="51">IFERROR(INDEX(INDIRECT($C73&amp;".Outputs["&amp;this.Year&amp;"]"), MATCH(AS$5, INDIRECT($C73&amp;".Outputs[Vector]"), 0)), 0)</f>
        <v>0</v>
      </c>
      <c r="AT73" s="1948">
        <f t="shared" ca="1" si="51"/>
        <v>0</v>
      </c>
      <c r="AU73" s="1948">
        <f t="shared" ca="1" si="51"/>
        <v>0</v>
      </c>
      <c r="AV73" s="1948">
        <f t="shared" ca="1" si="51"/>
        <v>0</v>
      </c>
      <c r="AW73" s="1948">
        <f t="shared" ca="1" si="51"/>
        <v>0</v>
      </c>
      <c r="AX73" s="1948">
        <f t="shared" ca="1" si="51"/>
        <v>0</v>
      </c>
      <c r="AY73" s="1948">
        <f t="shared" ca="1" si="51"/>
        <v>0</v>
      </c>
      <c r="AZ73" s="1948">
        <f t="shared" ca="1" si="51"/>
        <v>0</v>
      </c>
      <c r="BA73" s="1948">
        <f t="shared" ca="1" si="51"/>
        <v>0</v>
      </c>
      <c r="BB73" s="1948">
        <f t="shared" ca="1" si="51"/>
        <v>0</v>
      </c>
      <c r="BC73" s="1948">
        <f t="shared" ref="BC73:BK74" ca="1" si="52">IFERROR(INDEX(INDIRECT($C73&amp;".Outputs["&amp;this.Year&amp;"]"), MATCH(BC$5, INDIRECT($C73&amp;".Outputs[Vector]"), 0)), 0)</f>
        <v>-0.28257582941859183</v>
      </c>
      <c r="BD73" s="1948">
        <f t="shared" ca="1" si="52"/>
        <v>0</v>
      </c>
      <c r="BE73" s="1948">
        <f t="shared" ca="1" si="52"/>
        <v>0</v>
      </c>
      <c r="BF73" s="1948">
        <f t="shared" ca="1" si="52"/>
        <v>0</v>
      </c>
      <c r="BG73" s="1948">
        <f t="shared" ca="1" si="52"/>
        <v>0</v>
      </c>
      <c r="BH73" s="1948">
        <f t="shared" ca="1" si="52"/>
        <v>0</v>
      </c>
      <c r="BI73" s="1948">
        <f t="shared" ca="1" si="52"/>
        <v>0</v>
      </c>
      <c r="BJ73" s="1948">
        <f t="shared" ca="1" si="52"/>
        <v>0</v>
      </c>
      <c r="BK73" s="1948">
        <f t="shared" ca="1" si="52"/>
        <v>0</v>
      </c>
      <c r="BL73" s="1952">
        <f ca="1">SUM(AS73:BK73)</f>
        <v>-0.28257582941859183</v>
      </c>
      <c r="BN73" s="1941">
        <f ca="1">IFERROR(INDEX(INDIRECT($C73&amp;".Outputs["&amp;this.Year&amp;"]"), MATCH(BN$5, INDIRECT($C73&amp;".Outputs[Vector]"), 0)), 0)</f>
        <v>0</v>
      </c>
      <c r="BO73" s="1941">
        <f ca="1">IFERROR(INDEX(INDIRECT($C73&amp;".Outputs["&amp;this.Year&amp;"]"), MATCH(BO$5, INDIRECT($C73&amp;".Outputs[Vector]"), 0)), 0)</f>
        <v>0</v>
      </c>
      <c r="BP73" s="1505">
        <f ca="1">BN73+BO73</f>
        <v>0</v>
      </c>
      <c r="BR73" s="3168">
        <f t="shared" ca="1" si="12"/>
        <v>0</v>
      </c>
      <c r="BS73" s="1525"/>
      <c r="BU73" s="1589">
        <v>0</v>
      </c>
      <c r="BV73" s="1589">
        <v>0</v>
      </c>
      <c r="BW73" s="1589">
        <v>0</v>
      </c>
      <c r="BX73" s="1589">
        <v>0</v>
      </c>
      <c r="BY73" s="1589">
        <v>0</v>
      </c>
      <c r="BZ73" s="1589">
        <v>0</v>
      </c>
      <c r="CA73" s="1589">
        <v>0</v>
      </c>
      <c r="CB73" s="1589">
        <v>0</v>
      </c>
      <c r="CC73" s="1589">
        <v>0</v>
      </c>
      <c r="CD73" s="1589">
        <v>0</v>
      </c>
      <c r="CE73" s="1589">
        <v>0</v>
      </c>
      <c r="CF73" s="1589">
        <v>0</v>
      </c>
      <c r="CG73" s="1589">
        <v>0</v>
      </c>
      <c r="CH73" s="1589">
        <v>0</v>
      </c>
      <c r="CI73" s="1589">
        <v>0</v>
      </c>
      <c r="CJ73" s="1589">
        <v>0</v>
      </c>
      <c r="CK73" s="1589">
        <v>0</v>
      </c>
      <c r="CL73" s="1589">
        <v>0</v>
      </c>
      <c r="CM73" s="1589">
        <v>0</v>
      </c>
      <c r="CN73" s="1589">
        <v>0</v>
      </c>
      <c r="CO73" s="1589">
        <v>0</v>
      </c>
      <c r="CP73" s="1589">
        <v>0</v>
      </c>
      <c r="CQ73" s="1589">
        <v>0</v>
      </c>
      <c r="CR73" s="1589">
        <v>0</v>
      </c>
      <c r="CS73" s="1589">
        <v>0</v>
      </c>
      <c r="CT73" s="1589">
        <v>0</v>
      </c>
      <c r="CU73" s="1589">
        <v>0</v>
      </c>
      <c r="CV73" s="1589">
        <v>0</v>
      </c>
      <c r="CW73" s="1589">
        <v>0</v>
      </c>
      <c r="CX73" s="1589">
        <v>0</v>
      </c>
      <c r="CY73" s="1589">
        <v>0</v>
      </c>
      <c r="CZ73" s="1589">
        <v>0</v>
      </c>
      <c r="DA73" s="1589">
        <v>0</v>
      </c>
      <c r="DB73" s="1589">
        <v>0</v>
      </c>
      <c r="DC73" s="1589">
        <v>0</v>
      </c>
      <c r="DD73" s="1589">
        <v>0</v>
      </c>
      <c r="DE73" s="1589">
        <v>0</v>
      </c>
      <c r="DF73" s="1589">
        <v>0</v>
      </c>
      <c r="DG73" s="1589">
        <v>0</v>
      </c>
      <c r="DH73" s="1589">
        <v>0</v>
      </c>
      <c r="DI73" s="1589">
        <v>0</v>
      </c>
      <c r="DJ73" s="1589">
        <v>0</v>
      </c>
      <c r="DK73" s="1589">
        <v>0</v>
      </c>
      <c r="DL73" s="1589">
        <v>0</v>
      </c>
      <c r="DN73" s="1590">
        <v>0</v>
      </c>
    </row>
    <row r="74" spans="1:118" s="1522" customFormat="1" ht="12.75" hidden="1" customHeight="1" outlineLevel="1" x14ac:dyDescent="0.2">
      <c r="C74" s="1496"/>
      <c r="D74" s="14"/>
      <c r="E74" s="1497"/>
      <c r="G74" s="1581"/>
      <c r="H74" s="1581"/>
      <c r="I74" s="1581"/>
      <c r="J74" s="1581"/>
      <c r="K74" s="1581"/>
      <c r="L74" s="1581"/>
      <c r="M74" s="1581"/>
      <c r="N74" s="1581"/>
      <c r="O74" s="1582"/>
      <c r="P74" s="1581"/>
      <c r="Q74" s="1581"/>
      <c r="R74" s="1581"/>
      <c r="S74" s="1581"/>
      <c r="T74" s="1581"/>
      <c r="U74" s="1581"/>
      <c r="V74" s="1581"/>
      <c r="W74" s="1583"/>
      <c r="Y74" s="1893">
        <f t="shared" ca="1" si="49"/>
        <v>0</v>
      </c>
      <c r="Z74" s="1893">
        <f t="shared" ca="1" si="49"/>
        <v>0</v>
      </c>
      <c r="AA74" s="1893">
        <f t="shared" ca="1" si="49"/>
        <v>0</v>
      </c>
      <c r="AB74" s="1893">
        <f t="shared" ca="1" si="49"/>
        <v>0</v>
      </c>
      <c r="AC74" s="1893">
        <f t="shared" ca="1" si="49"/>
        <v>0</v>
      </c>
      <c r="AD74" s="1893">
        <f t="shared" ca="1" si="49"/>
        <v>0</v>
      </c>
      <c r="AE74" s="1893">
        <f t="shared" ca="1" si="49"/>
        <v>0</v>
      </c>
      <c r="AF74" s="1893">
        <f t="shared" ca="1" si="49"/>
        <v>0</v>
      </c>
      <c r="AG74" s="1893">
        <f t="shared" ca="1" si="49"/>
        <v>0</v>
      </c>
      <c r="AH74" s="1893">
        <f t="shared" ca="1" si="49"/>
        <v>0</v>
      </c>
      <c r="AI74" s="1893">
        <f t="shared" ca="1" si="50"/>
        <v>0</v>
      </c>
      <c r="AJ74" s="1893">
        <f t="shared" ca="1" si="50"/>
        <v>0</v>
      </c>
      <c r="AK74" s="1893">
        <f t="shared" ca="1" si="50"/>
        <v>0</v>
      </c>
      <c r="AL74" s="1893">
        <f t="shared" ca="1" si="50"/>
        <v>0</v>
      </c>
      <c r="AM74" s="1893">
        <f t="shared" ca="1" si="50"/>
        <v>0</v>
      </c>
      <c r="AN74" s="1893">
        <f t="shared" ca="1" si="50"/>
        <v>0</v>
      </c>
      <c r="AO74" s="1893">
        <f t="shared" ca="1" si="50"/>
        <v>0</v>
      </c>
      <c r="AP74" s="1893">
        <f t="shared" ca="1" si="50"/>
        <v>0</v>
      </c>
      <c r="AQ74" s="1893">
        <f ca="1">SUM(Y74:AP74)</f>
        <v>0</v>
      </c>
      <c r="AS74" s="1948">
        <f t="shared" ca="1" si="51"/>
        <v>0</v>
      </c>
      <c r="AT74" s="1948">
        <f t="shared" ca="1" si="51"/>
        <v>0</v>
      </c>
      <c r="AU74" s="1948">
        <f t="shared" ca="1" si="51"/>
        <v>0</v>
      </c>
      <c r="AV74" s="1948">
        <f t="shared" ca="1" si="51"/>
        <v>0</v>
      </c>
      <c r="AW74" s="1948">
        <f t="shared" ca="1" si="51"/>
        <v>0</v>
      </c>
      <c r="AX74" s="1948">
        <f t="shared" ca="1" si="51"/>
        <v>0</v>
      </c>
      <c r="AY74" s="1948">
        <f t="shared" ca="1" si="51"/>
        <v>0</v>
      </c>
      <c r="AZ74" s="1948">
        <f t="shared" ca="1" si="51"/>
        <v>0</v>
      </c>
      <c r="BA74" s="1948">
        <f t="shared" ca="1" si="51"/>
        <v>0</v>
      </c>
      <c r="BB74" s="1948">
        <f t="shared" ca="1" si="51"/>
        <v>0</v>
      </c>
      <c r="BC74" s="1948">
        <f t="shared" ca="1" si="52"/>
        <v>0</v>
      </c>
      <c r="BD74" s="1948">
        <f t="shared" ca="1" si="52"/>
        <v>0</v>
      </c>
      <c r="BE74" s="1948">
        <f t="shared" ca="1" si="52"/>
        <v>0</v>
      </c>
      <c r="BF74" s="1948">
        <f t="shared" ca="1" si="52"/>
        <v>0</v>
      </c>
      <c r="BG74" s="1948">
        <f t="shared" ca="1" si="52"/>
        <v>0</v>
      </c>
      <c r="BH74" s="1948">
        <f t="shared" ca="1" si="52"/>
        <v>0</v>
      </c>
      <c r="BI74" s="1948">
        <f t="shared" ca="1" si="52"/>
        <v>0</v>
      </c>
      <c r="BJ74" s="1948">
        <f t="shared" ca="1" si="52"/>
        <v>0</v>
      </c>
      <c r="BK74" s="1948">
        <f t="shared" ca="1" si="52"/>
        <v>0</v>
      </c>
      <c r="BL74" s="1952">
        <f ca="1">SUM(AS74:BK74)</f>
        <v>0</v>
      </c>
      <c r="BN74" s="1941">
        <f ca="1">IFERROR(INDEX(INDIRECT($C74&amp;".Outputs["&amp;this.Year&amp;"]"), MATCH(BN$5, INDIRECT($C74&amp;".Outputs[Vector]"), 0)), 0)</f>
        <v>0</v>
      </c>
      <c r="BO74" s="1941">
        <f ca="1">IFERROR(INDEX(INDIRECT($C74&amp;".Outputs["&amp;this.Year&amp;"]"), MATCH(BO$5, INDIRECT($C74&amp;".Outputs[Vector]"), 0)), 0)</f>
        <v>0</v>
      </c>
      <c r="BP74" s="1505">
        <f ca="1">BN74+BO74</f>
        <v>0</v>
      </c>
      <c r="BR74" s="3168">
        <f t="shared" ca="1" si="12"/>
        <v>0</v>
      </c>
      <c r="BS74" s="1525"/>
      <c r="BU74" s="1589">
        <v>0</v>
      </c>
      <c r="BV74" s="1589">
        <v>0</v>
      </c>
      <c r="BW74" s="1589">
        <v>0</v>
      </c>
      <c r="BX74" s="1589">
        <v>0</v>
      </c>
      <c r="BY74" s="1589">
        <v>0</v>
      </c>
      <c r="BZ74" s="1589">
        <v>0</v>
      </c>
      <c r="CA74" s="1589">
        <v>0</v>
      </c>
      <c r="CB74" s="1589">
        <v>0</v>
      </c>
      <c r="CC74" s="1589">
        <v>0</v>
      </c>
      <c r="CD74" s="1589">
        <v>0</v>
      </c>
      <c r="CE74" s="1589">
        <v>0</v>
      </c>
      <c r="CF74" s="1589">
        <v>0</v>
      </c>
      <c r="CG74" s="1589">
        <v>0</v>
      </c>
      <c r="CH74" s="1589">
        <v>0</v>
      </c>
      <c r="CI74" s="1589">
        <v>0</v>
      </c>
      <c r="CJ74" s="1589">
        <v>0</v>
      </c>
      <c r="CK74" s="1589">
        <v>0</v>
      </c>
      <c r="CL74" s="1589">
        <v>0</v>
      </c>
      <c r="CM74" s="1589">
        <v>0</v>
      </c>
      <c r="CN74" s="1589">
        <v>0</v>
      </c>
      <c r="CO74" s="1589">
        <v>0</v>
      </c>
      <c r="CP74" s="1589">
        <v>0</v>
      </c>
      <c r="CQ74" s="1589">
        <v>0</v>
      </c>
      <c r="CR74" s="1589">
        <v>0</v>
      </c>
      <c r="CS74" s="1589">
        <v>0</v>
      </c>
      <c r="CT74" s="1589">
        <v>0</v>
      </c>
      <c r="CU74" s="1589">
        <v>0</v>
      </c>
      <c r="CV74" s="1589">
        <v>0</v>
      </c>
      <c r="CW74" s="1589">
        <v>0</v>
      </c>
      <c r="CX74" s="1589">
        <v>0</v>
      </c>
      <c r="CY74" s="1589">
        <v>0</v>
      </c>
      <c r="CZ74" s="1589">
        <v>0</v>
      </c>
      <c r="DA74" s="1589">
        <v>0</v>
      </c>
      <c r="DB74" s="1589">
        <v>0</v>
      </c>
      <c r="DC74" s="1589">
        <v>0</v>
      </c>
      <c r="DD74" s="1589">
        <v>0</v>
      </c>
      <c r="DE74" s="1589">
        <v>0</v>
      </c>
      <c r="DF74" s="1589">
        <v>0</v>
      </c>
      <c r="DG74" s="1589">
        <v>0</v>
      </c>
      <c r="DH74" s="1589">
        <v>0</v>
      </c>
      <c r="DI74" s="1589">
        <v>0</v>
      </c>
      <c r="DJ74" s="1589">
        <v>0</v>
      </c>
      <c r="DK74" s="1589">
        <v>0</v>
      </c>
      <c r="DL74" s="1589">
        <v>0</v>
      </c>
      <c r="DN74" s="1590">
        <v>0</v>
      </c>
    </row>
    <row r="75" spans="1:118" s="1522" customFormat="1" ht="12.75" hidden="1" customHeight="1" outlineLevel="1" x14ac:dyDescent="0.2">
      <c r="C75" s="1496"/>
      <c r="D75" s="1497"/>
      <c r="E75" s="1497"/>
      <c r="G75" s="1581"/>
      <c r="H75" s="1581"/>
      <c r="I75" s="1581"/>
      <c r="J75" s="1581"/>
      <c r="K75" s="1581"/>
      <c r="L75" s="1581"/>
      <c r="M75" s="1581"/>
      <c r="N75" s="1581"/>
      <c r="O75" s="1582"/>
      <c r="P75" s="1581"/>
      <c r="Q75" s="1581"/>
      <c r="R75" s="1581"/>
      <c r="S75" s="1581"/>
      <c r="T75" s="1581"/>
      <c r="U75" s="1581"/>
      <c r="V75" s="1581"/>
      <c r="W75" s="1583"/>
      <c r="Y75" s="1584"/>
      <c r="Z75" s="1584"/>
      <c r="AA75" s="1584"/>
      <c r="AB75" s="1584"/>
      <c r="AC75" s="1584"/>
      <c r="AD75" s="1584"/>
      <c r="AE75" s="1584"/>
      <c r="AF75" s="1584"/>
      <c r="AG75" s="1584"/>
      <c r="AH75" s="1584"/>
      <c r="AI75" s="1584"/>
      <c r="AJ75" s="1584"/>
      <c r="AK75" s="1584"/>
      <c r="AL75" s="1584"/>
      <c r="AM75" s="1584"/>
      <c r="AN75" s="1584"/>
      <c r="AO75" s="1584"/>
      <c r="AP75" s="1584"/>
      <c r="AQ75" s="1954"/>
      <c r="AS75" s="1586"/>
      <c r="AT75" s="1586"/>
      <c r="AU75" s="1586"/>
      <c r="AV75" s="1586"/>
      <c r="AW75" s="1586"/>
      <c r="AX75" s="1586"/>
      <c r="AY75" s="1586"/>
      <c r="AZ75" s="1586"/>
      <c r="BA75" s="1586"/>
      <c r="BB75" s="1586"/>
      <c r="BC75" s="1586"/>
      <c r="BD75" s="1586"/>
      <c r="BE75" s="1586"/>
      <c r="BF75" s="1586"/>
      <c r="BG75" s="1586"/>
      <c r="BH75" s="1586"/>
      <c r="BI75" s="1586"/>
      <c r="BJ75" s="1586"/>
      <c r="BK75" s="1586"/>
      <c r="BL75" s="1524"/>
      <c r="BN75" s="1587"/>
      <c r="BO75" s="1587"/>
      <c r="BP75" s="1588"/>
      <c r="BR75" s="3168">
        <f t="shared" si="12"/>
        <v>0</v>
      </c>
      <c r="BS75" s="1525"/>
      <c r="BU75" s="1589"/>
      <c r="BV75" s="1589"/>
      <c r="BW75" s="1589"/>
      <c r="BX75" s="1589"/>
      <c r="BY75" s="1589"/>
      <c r="BZ75" s="1589"/>
      <c r="CA75" s="1589"/>
      <c r="CB75" s="1589"/>
      <c r="CC75" s="1589"/>
      <c r="CD75" s="1589"/>
      <c r="CE75" s="1589"/>
      <c r="CF75" s="1589"/>
      <c r="CG75" s="1589"/>
      <c r="CH75" s="1589"/>
      <c r="CI75" s="1589"/>
      <c r="CJ75" s="1589"/>
      <c r="CK75" s="1589"/>
      <c r="CL75" s="1589"/>
      <c r="CM75" s="1589"/>
      <c r="CN75" s="1589"/>
      <c r="CO75" s="1589"/>
      <c r="CP75" s="1589"/>
      <c r="CQ75" s="1589"/>
      <c r="CR75" s="1589"/>
      <c r="CS75" s="1589"/>
      <c r="CT75" s="1589"/>
      <c r="CU75" s="1589"/>
      <c r="CV75" s="1589"/>
      <c r="CW75" s="1589"/>
      <c r="CX75" s="1589"/>
      <c r="CY75" s="1589"/>
      <c r="CZ75" s="1589"/>
      <c r="DA75" s="1589"/>
      <c r="DB75" s="1589"/>
      <c r="DC75" s="1589"/>
      <c r="DD75" s="1589"/>
      <c r="DE75" s="1589"/>
      <c r="DF75" s="1589"/>
      <c r="DG75" s="1589"/>
      <c r="DH75" s="1589"/>
      <c r="DI75" s="1589"/>
      <c r="DJ75" s="1589"/>
      <c r="DK75" s="1589"/>
      <c r="DL75" s="1589"/>
      <c r="DN75" s="1590"/>
    </row>
    <row r="76" spans="1:118" s="14" customFormat="1" ht="15.75" collapsed="1" x14ac:dyDescent="0.2">
      <c r="A76" s="1534"/>
      <c r="B76" s="1535"/>
      <c r="C76" s="1536" t="s">
        <v>736</v>
      </c>
      <c r="D76" s="1537" t="str">
        <f>INDEX(Flujos[Flujos], MATCH($C76, Flujos[Código], 0))</f>
        <v>Generación Distribuida</v>
      </c>
      <c r="E76" s="1538"/>
      <c r="G76" s="1539"/>
      <c r="H76" s="1539"/>
      <c r="I76" s="1539"/>
      <c r="J76" s="1539"/>
      <c r="K76" s="1539"/>
      <c r="L76" s="1539"/>
      <c r="M76" s="1539"/>
      <c r="N76" s="1539"/>
      <c r="O76" s="1539"/>
      <c r="P76" s="1539"/>
      <c r="Q76" s="1539"/>
      <c r="R76" s="1539"/>
      <c r="S76" s="1539"/>
      <c r="T76" s="1539"/>
      <c r="U76" s="1539"/>
      <c r="V76" s="1539"/>
      <c r="W76" s="1539"/>
      <c r="Y76" s="1490">
        <f ca="1">Y73+Y74</f>
        <v>0</v>
      </c>
      <c r="Z76" s="1490">
        <f t="shared" ref="Z76:AP76" ca="1" si="53">Z73+Z74</f>
        <v>0.28257582941859183</v>
      </c>
      <c r="AA76" s="1490">
        <f t="shared" ca="1" si="53"/>
        <v>0</v>
      </c>
      <c r="AB76" s="1490">
        <f t="shared" ca="1" si="53"/>
        <v>0</v>
      </c>
      <c r="AC76" s="1490">
        <f t="shared" ca="1" si="53"/>
        <v>0</v>
      </c>
      <c r="AD76" s="1490">
        <f t="shared" ca="1" si="53"/>
        <v>0</v>
      </c>
      <c r="AE76" s="1490">
        <f t="shared" ca="1" si="53"/>
        <v>0</v>
      </c>
      <c r="AF76" s="1490">
        <f t="shared" ca="1" si="53"/>
        <v>0</v>
      </c>
      <c r="AG76" s="1490">
        <f t="shared" ca="1" si="53"/>
        <v>0</v>
      </c>
      <c r="AH76" s="1490">
        <f t="shared" ca="1" si="53"/>
        <v>0</v>
      </c>
      <c r="AI76" s="1490">
        <f t="shared" ca="1" si="53"/>
        <v>0</v>
      </c>
      <c r="AJ76" s="1490">
        <f t="shared" ca="1" si="53"/>
        <v>0</v>
      </c>
      <c r="AK76" s="1490">
        <f t="shared" ca="1" si="53"/>
        <v>0</v>
      </c>
      <c r="AL76" s="1490">
        <f t="shared" ca="1" si="53"/>
        <v>0</v>
      </c>
      <c r="AM76" s="1490">
        <f t="shared" ca="1" si="53"/>
        <v>0</v>
      </c>
      <c r="AN76" s="1490">
        <f t="shared" ca="1" si="53"/>
        <v>0</v>
      </c>
      <c r="AO76" s="1490">
        <f t="shared" ca="1" si="53"/>
        <v>0</v>
      </c>
      <c r="AP76" s="1490">
        <f t="shared" ca="1" si="53"/>
        <v>0</v>
      </c>
      <c r="AQ76" s="1893">
        <f ca="1">SUM(Y76:AP76)</f>
        <v>0.28257582941859183</v>
      </c>
      <c r="AS76" s="1491">
        <f ca="1">AS73+AS74</f>
        <v>0</v>
      </c>
      <c r="AT76" s="1491">
        <f t="shared" ref="AT76:BK76" ca="1" si="54">AT73+AT74</f>
        <v>0</v>
      </c>
      <c r="AU76" s="1491">
        <f t="shared" ca="1" si="54"/>
        <v>0</v>
      </c>
      <c r="AV76" s="1491">
        <f t="shared" ca="1" si="54"/>
        <v>0</v>
      </c>
      <c r="AW76" s="1491">
        <f t="shared" ca="1" si="54"/>
        <v>0</v>
      </c>
      <c r="AX76" s="1491">
        <f t="shared" ca="1" si="54"/>
        <v>0</v>
      </c>
      <c r="AY76" s="1491">
        <f t="shared" ca="1" si="54"/>
        <v>0</v>
      </c>
      <c r="AZ76" s="1491">
        <f t="shared" ca="1" si="54"/>
        <v>0</v>
      </c>
      <c r="BA76" s="1491">
        <f t="shared" ca="1" si="54"/>
        <v>0</v>
      </c>
      <c r="BB76" s="1491">
        <f t="shared" ca="1" si="54"/>
        <v>0</v>
      </c>
      <c r="BC76" s="1949">
        <f t="shared" ca="1" si="54"/>
        <v>-0.28257582941859183</v>
      </c>
      <c r="BD76" s="1949">
        <f t="shared" ca="1" si="54"/>
        <v>0</v>
      </c>
      <c r="BE76" s="1491">
        <f t="shared" ca="1" si="54"/>
        <v>0</v>
      </c>
      <c r="BF76" s="1491">
        <f t="shared" ca="1" si="54"/>
        <v>0</v>
      </c>
      <c r="BG76" s="1491">
        <f t="shared" ca="1" si="54"/>
        <v>0</v>
      </c>
      <c r="BH76" s="1491">
        <f t="shared" ca="1" si="54"/>
        <v>0</v>
      </c>
      <c r="BI76" s="1491">
        <f t="shared" ca="1" si="54"/>
        <v>0</v>
      </c>
      <c r="BJ76" s="1491">
        <f t="shared" ca="1" si="54"/>
        <v>0</v>
      </c>
      <c r="BK76" s="1491">
        <f t="shared" ca="1" si="54"/>
        <v>0</v>
      </c>
      <c r="BL76" s="1952">
        <f ca="1">SUM(AS76:BK76)</f>
        <v>-0.28257582941859183</v>
      </c>
      <c r="BN76" s="1492">
        <f ca="1">BN73+BN74</f>
        <v>0</v>
      </c>
      <c r="BO76" s="1492">
        <f ca="1">BO73+BO74</f>
        <v>0</v>
      </c>
      <c r="BP76" s="1505">
        <f ca="1">BN76+BO76</f>
        <v>0</v>
      </c>
      <c r="BR76" s="3168">
        <f t="shared" ca="1" si="12"/>
        <v>0</v>
      </c>
      <c r="BS76" s="1493"/>
      <c r="BT76" s="748"/>
      <c r="BU76" s="1508">
        <v>0</v>
      </c>
      <c r="BV76" s="1508">
        <v>0</v>
      </c>
      <c r="BW76" s="1508">
        <v>0</v>
      </c>
      <c r="BX76" s="1508">
        <v>0</v>
      </c>
      <c r="BY76" s="1508">
        <v>0</v>
      </c>
      <c r="BZ76" s="1508">
        <v>0</v>
      </c>
      <c r="CA76" s="1508">
        <v>0</v>
      </c>
      <c r="CB76" s="1508">
        <v>0</v>
      </c>
      <c r="CC76" s="1508">
        <v>0</v>
      </c>
      <c r="CD76" s="1508">
        <v>0</v>
      </c>
      <c r="CE76" s="1508">
        <v>0</v>
      </c>
      <c r="CF76" s="1508">
        <v>0</v>
      </c>
      <c r="CG76" s="1508">
        <v>0</v>
      </c>
      <c r="CH76" s="1508">
        <v>0</v>
      </c>
      <c r="CI76" s="1508">
        <v>0</v>
      </c>
      <c r="CJ76" s="1508">
        <v>0</v>
      </c>
      <c r="CK76" s="1508">
        <v>0</v>
      </c>
      <c r="CL76" s="1508">
        <v>0</v>
      </c>
      <c r="CM76" s="1508">
        <v>0</v>
      </c>
      <c r="CN76" s="1508">
        <v>0</v>
      </c>
      <c r="CO76" s="1508">
        <v>0</v>
      </c>
      <c r="CP76" s="1508">
        <v>0</v>
      </c>
      <c r="CQ76" s="1508">
        <v>0</v>
      </c>
      <c r="CR76" s="1508">
        <v>0</v>
      </c>
      <c r="CS76" s="1508">
        <v>0</v>
      </c>
      <c r="CT76" s="1508">
        <v>0</v>
      </c>
      <c r="CU76" s="1508">
        <v>0</v>
      </c>
      <c r="CV76" s="1508">
        <v>0</v>
      </c>
      <c r="CW76" s="1508">
        <v>0</v>
      </c>
      <c r="CX76" s="1508">
        <v>0</v>
      </c>
      <c r="CY76" s="1508">
        <v>0</v>
      </c>
      <c r="CZ76" s="1508">
        <v>0</v>
      </c>
      <c r="DA76" s="1508">
        <v>0</v>
      </c>
      <c r="DB76" s="1508">
        <v>0</v>
      </c>
      <c r="DC76" s="1508">
        <v>0</v>
      </c>
      <c r="DD76" s="1508">
        <v>0</v>
      </c>
      <c r="DE76" s="1508">
        <v>0</v>
      </c>
      <c r="DF76" s="1508">
        <v>0</v>
      </c>
      <c r="DG76" s="1508">
        <v>0</v>
      </c>
      <c r="DH76" s="1508">
        <v>0</v>
      </c>
      <c r="DI76" s="1508">
        <v>0</v>
      </c>
      <c r="DJ76" s="1508">
        <v>0</v>
      </c>
      <c r="DK76" s="1508">
        <v>0</v>
      </c>
      <c r="DL76" s="1508">
        <v>0</v>
      </c>
      <c r="DN76" s="1509">
        <v>0</v>
      </c>
    </row>
    <row r="77" spans="1:118" s="14" customFormat="1" ht="15.75" x14ac:dyDescent="0.2">
      <c r="A77" s="1845"/>
      <c r="B77" s="1847"/>
      <c r="C77" s="1842"/>
      <c r="D77" s="1843"/>
      <c r="E77" s="1844"/>
      <c r="G77" s="1539"/>
      <c r="H77" s="1539"/>
      <c r="I77" s="1539"/>
      <c r="J77" s="1539"/>
      <c r="K77" s="1539"/>
      <c r="L77" s="1539"/>
      <c r="M77" s="1539"/>
      <c r="N77" s="1539"/>
      <c r="O77" s="1539"/>
      <c r="P77" s="1539"/>
      <c r="Q77" s="1539"/>
      <c r="R77" s="1539"/>
      <c r="S77" s="1539"/>
      <c r="T77" s="1539"/>
      <c r="U77" s="1539"/>
      <c r="V77" s="1539"/>
      <c r="W77" s="1539"/>
      <c r="Y77" s="1490"/>
      <c r="Z77" s="1490"/>
      <c r="AA77" s="1490"/>
      <c r="AB77" s="1490"/>
      <c r="AC77" s="1490"/>
      <c r="AD77" s="1490"/>
      <c r="AE77" s="1490"/>
      <c r="AF77" s="1490"/>
      <c r="AG77" s="1490"/>
      <c r="AH77" s="1490"/>
      <c r="AI77" s="1490"/>
      <c r="AJ77" s="1490"/>
      <c r="AK77" s="1490"/>
      <c r="AL77" s="1490"/>
      <c r="AM77" s="1490"/>
      <c r="AN77" s="1490"/>
      <c r="AO77" s="1490"/>
      <c r="AP77" s="1490"/>
      <c r="AQ77" s="1490"/>
      <c r="AS77" s="1491"/>
      <c r="AT77" s="1491"/>
      <c r="AU77" s="1491"/>
      <c r="AV77" s="1491"/>
      <c r="AW77" s="1491"/>
      <c r="AX77" s="1491"/>
      <c r="AY77" s="1491"/>
      <c r="AZ77" s="1491"/>
      <c r="BA77" s="1491"/>
      <c r="BB77" s="1491"/>
      <c r="BC77" s="1491"/>
      <c r="BD77" s="1491"/>
      <c r="BE77" s="1491"/>
      <c r="BF77" s="1491"/>
      <c r="BG77" s="1491"/>
      <c r="BH77" s="1491"/>
      <c r="BI77" s="1491"/>
      <c r="BJ77" s="1491"/>
      <c r="BK77" s="1491"/>
      <c r="BL77" s="1491"/>
      <c r="BN77" s="1492"/>
      <c r="BO77" s="1492"/>
      <c r="BP77" s="1492"/>
      <c r="BR77" s="3168"/>
      <c r="BS77" s="1579"/>
      <c r="BT77" s="748"/>
      <c r="BU77" s="1507"/>
      <c r="BV77" s="1508"/>
      <c r="BW77" s="1508"/>
      <c r="BX77" s="1508"/>
      <c r="BY77" s="1508"/>
      <c r="BZ77" s="1508"/>
      <c r="CA77" s="1508"/>
      <c r="CB77" s="1508"/>
      <c r="CC77" s="1508"/>
      <c r="CD77" s="1508"/>
      <c r="CE77" s="1508"/>
      <c r="CF77" s="1508"/>
      <c r="CG77" s="1508"/>
      <c r="CH77" s="1508"/>
      <c r="CI77" s="1508"/>
      <c r="CJ77" s="1508"/>
      <c r="CK77" s="1508"/>
      <c r="CL77" s="1508"/>
      <c r="CM77" s="1508"/>
      <c r="CN77" s="1508"/>
      <c r="CO77" s="1508"/>
      <c r="CP77" s="1508"/>
      <c r="CQ77" s="1508"/>
      <c r="CR77" s="1508"/>
      <c r="CS77" s="1508"/>
      <c r="CT77" s="1508"/>
      <c r="CU77" s="1508"/>
      <c r="CV77" s="1508"/>
      <c r="CW77" s="1508"/>
      <c r="CX77" s="1508"/>
      <c r="CY77" s="1508"/>
      <c r="CZ77" s="1508"/>
      <c r="DA77" s="1508"/>
      <c r="DB77" s="1508"/>
      <c r="DC77" s="1508"/>
      <c r="DD77" s="1508"/>
      <c r="DE77" s="1508"/>
      <c r="DF77" s="1508"/>
      <c r="DG77" s="1508"/>
      <c r="DH77" s="1508"/>
      <c r="DI77" s="1508"/>
      <c r="DJ77" s="1508"/>
      <c r="DK77" s="1508"/>
      <c r="DL77" s="1508"/>
      <c r="DN77" s="1509"/>
    </row>
    <row r="78" spans="1:118" s="14" customFormat="1" hidden="1" outlineLevel="1" x14ac:dyDescent="0.2">
      <c r="A78" s="1522"/>
      <c r="B78" s="1522"/>
      <c r="C78" s="1496" t="s">
        <v>68</v>
      </c>
      <c r="D78" s="1497" t="str">
        <f>INDEX(Modulos[Modulos], MATCH($C78, Modulos[Código], 0))</f>
        <v>Residuos</v>
      </c>
      <c r="E78" s="1497"/>
      <c r="G78" s="1498"/>
      <c r="H78" s="1498"/>
      <c r="I78" s="1498"/>
      <c r="J78" s="1498"/>
      <c r="K78" s="1498"/>
      <c r="L78" s="1498"/>
      <c r="M78" s="1498"/>
      <c r="N78" s="1498"/>
      <c r="O78" s="1498"/>
      <c r="P78" s="1498"/>
      <c r="Q78" s="1498"/>
      <c r="R78" s="1498"/>
      <c r="S78" s="1498"/>
      <c r="T78" s="1498"/>
      <c r="U78" s="1498"/>
      <c r="V78" s="1498"/>
      <c r="W78" s="1499"/>
      <c r="Y78" s="1893">
        <f t="shared" ref="Y78:AH80" ca="1" si="55">IFERROR(INDEX(INDIRECT($C78&amp;".Outputs["&amp;this.Year&amp;"]"), MATCH(Y$5, INDIRECT($C78&amp;".Outputs[Vector]"), 0)), 0)</f>
        <v>0</v>
      </c>
      <c r="Z78" s="1893">
        <f t="shared" ca="1" si="55"/>
        <v>0.41172000000000003</v>
      </c>
      <c r="AA78" s="1893">
        <f t="shared" ca="1" si="55"/>
        <v>0</v>
      </c>
      <c r="AB78" s="1893">
        <f t="shared" ca="1" si="55"/>
        <v>0</v>
      </c>
      <c r="AC78" s="1893">
        <f t="shared" ca="1" si="55"/>
        <v>0</v>
      </c>
      <c r="AD78" s="1893">
        <f t="shared" ca="1" si="55"/>
        <v>0</v>
      </c>
      <c r="AE78" s="1893">
        <f t="shared" ca="1" si="55"/>
        <v>0</v>
      </c>
      <c r="AF78" s="1893">
        <f t="shared" ca="1" si="55"/>
        <v>0</v>
      </c>
      <c r="AG78" s="1893">
        <f t="shared" ca="1" si="55"/>
        <v>0</v>
      </c>
      <c r="AH78" s="1893">
        <f t="shared" ca="1" si="55"/>
        <v>0</v>
      </c>
      <c r="AI78" s="1893">
        <f t="shared" ref="AI78:AP80" ca="1" si="56">IFERROR(INDEX(INDIRECT($C78&amp;".Outputs["&amp;this.Year&amp;"]"), MATCH(AI$5, INDIRECT($C78&amp;".Outputs[Vector]"), 0)), 0)</f>
        <v>0</v>
      </c>
      <c r="AJ78" s="1893">
        <f t="shared" ca="1" si="56"/>
        <v>0</v>
      </c>
      <c r="AK78" s="1893">
        <f t="shared" ca="1" si="56"/>
        <v>0</v>
      </c>
      <c r="AL78" s="1893">
        <f t="shared" ca="1" si="56"/>
        <v>0</v>
      </c>
      <c r="AM78" s="1893">
        <f t="shared" ca="1" si="56"/>
        <v>0</v>
      </c>
      <c r="AN78" s="1893">
        <f t="shared" ca="1" si="56"/>
        <v>0</v>
      </c>
      <c r="AO78" s="1893">
        <f t="shared" ca="1" si="56"/>
        <v>0</v>
      </c>
      <c r="AP78" s="1893">
        <f t="shared" ca="1" si="56"/>
        <v>0</v>
      </c>
      <c r="AQ78" s="1951">
        <f ca="1">SUM(Y78:AP78)</f>
        <v>0.41172000000000003</v>
      </c>
      <c r="AS78" s="1948">
        <f t="shared" ref="AS78:BB80" ca="1" si="57">IFERROR(INDEX(INDIRECT($C78&amp;".Outputs["&amp;this.Year&amp;"]"), MATCH(AS$5, INDIRECT($C78&amp;".Outputs[Vector]"), 0)), 0)</f>
        <v>0</v>
      </c>
      <c r="AT78" s="1948">
        <f t="shared" ca="1" si="57"/>
        <v>0</v>
      </c>
      <c r="AU78" s="1948">
        <f t="shared" ca="1" si="57"/>
        <v>0</v>
      </c>
      <c r="AV78" s="1948">
        <f t="shared" ca="1" si="57"/>
        <v>0</v>
      </c>
      <c r="AW78" s="1948">
        <f t="shared" ca="1" si="57"/>
        <v>0</v>
      </c>
      <c r="AX78" s="1948">
        <f t="shared" ca="1" si="57"/>
        <v>0</v>
      </c>
      <c r="AY78" s="1948">
        <f t="shared" ca="1" si="57"/>
        <v>0</v>
      </c>
      <c r="AZ78" s="1948">
        <f t="shared" ca="1" si="57"/>
        <v>0</v>
      </c>
      <c r="BA78" s="1948">
        <f t="shared" ca="1" si="57"/>
        <v>0</v>
      </c>
      <c r="BB78" s="1948">
        <f t="shared" ca="1" si="57"/>
        <v>0</v>
      </c>
      <c r="BC78" s="1948">
        <f t="shared" ref="BC78:BK80" ca="1" si="58">IFERROR(INDEX(INDIRECT($C78&amp;".Outputs["&amp;this.Year&amp;"]"), MATCH(BC$5, INDIRECT($C78&amp;".Outputs[Vector]"), 0)), 0)</f>
        <v>0</v>
      </c>
      <c r="BD78" s="1948">
        <f t="shared" ca="1" si="58"/>
        <v>0</v>
      </c>
      <c r="BE78" s="1948">
        <f t="shared" ca="1" si="58"/>
        <v>0</v>
      </c>
      <c r="BF78" s="1948">
        <f t="shared" ca="1" si="58"/>
        <v>0</v>
      </c>
      <c r="BG78" s="1948">
        <f t="shared" ca="1" si="58"/>
        <v>0</v>
      </c>
      <c r="BH78" s="1948">
        <f t="shared" ca="1" si="58"/>
        <v>0</v>
      </c>
      <c r="BI78" s="1948">
        <f t="shared" ca="1" si="58"/>
        <v>0</v>
      </c>
      <c r="BJ78" s="1948">
        <f t="shared" ca="1" si="58"/>
        <v>0</v>
      </c>
      <c r="BK78" s="1948">
        <f t="shared" ca="1" si="58"/>
        <v>-0.41172000000000003</v>
      </c>
      <c r="BL78" s="1952">
        <f ca="1">SUM(AS78:BK78)</f>
        <v>-0.41172000000000003</v>
      </c>
      <c r="BN78" s="1941">
        <f t="shared" ref="BN78:BO80" ca="1" si="59">IFERROR(INDEX(INDIRECT($C78&amp;".Outputs["&amp;this.Year&amp;"]"), MATCH(BN$5, INDIRECT($C78&amp;".Outputs[Vector]"), 0)), 0)</f>
        <v>0</v>
      </c>
      <c r="BO78" s="1941">
        <f t="shared" ca="1" si="59"/>
        <v>0</v>
      </c>
      <c r="BP78" s="1505">
        <f ca="1">BN78+BO78</f>
        <v>0</v>
      </c>
      <c r="BR78" s="3168">
        <f ca="1">W78+AQ78+BL78+BP78</f>
        <v>0</v>
      </c>
      <c r="BS78" s="1525"/>
      <c r="BT78" s="748"/>
      <c r="BU78" s="1507"/>
      <c r="BV78" s="1508"/>
      <c r="BW78" s="1508"/>
      <c r="BX78" s="1508"/>
      <c r="BY78" s="1508"/>
      <c r="BZ78" s="1508"/>
      <c r="CA78" s="1508"/>
      <c r="CB78" s="1508"/>
      <c r="CC78" s="1508"/>
      <c r="CD78" s="1508"/>
      <c r="CE78" s="1508"/>
      <c r="CF78" s="1508"/>
      <c r="CG78" s="1508"/>
      <c r="CH78" s="1508"/>
      <c r="CI78" s="1508"/>
      <c r="CJ78" s="1508"/>
      <c r="CK78" s="1508"/>
      <c r="CL78" s="1508"/>
      <c r="CM78" s="1508"/>
      <c r="CN78" s="1508"/>
      <c r="CO78" s="1508"/>
      <c r="CP78" s="1508"/>
      <c r="CQ78" s="1508"/>
      <c r="CR78" s="1508"/>
      <c r="CS78" s="1508"/>
      <c r="CT78" s="1508"/>
      <c r="CU78" s="1508"/>
      <c r="CV78" s="1508"/>
      <c r="CW78" s="1508"/>
      <c r="CX78" s="1508"/>
      <c r="CY78" s="1508"/>
      <c r="CZ78" s="1508"/>
      <c r="DA78" s="1508"/>
      <c r="DB78" s="1508"/>
      <c r="DC78" s="1508"/>
      <c r="DD78" s="1508"/>
      <c r="DE78" s="1508"/>
      <c r="DF78" s="1508"/>
      <c r="DG78" s="1508"/>
      <c r="DH78" s="1508"/>
      <c r="DI78" s="1508"/>
      <c r="DJ78" s="1508"/>
      <c r="DK78" s="1508"/>
      <c r="DL78" s="1508"/>
      <c r="DN78" s="1509"/>
    </row>
    <row r="79" spans="1:118" s="14" customFormat="1" hidden="1" outlineLevel="1" x14ac:dyDescent="0.2">
      <c r="A79" s="1522"/>
      <c r="B79" s="1522"/>
      <c r="C79" s="1496" t="s">
        <v>764</v>
      </c>
      <c r="D79" s="1497" t="str">
        <f>INDEX(Modulos[Modulos], MATCH($C79, Modulos[Código], 0))</f>
        <v>Agropecuario</v>
      </c>
      <c r="E79" s="1497"/>
      <c r="G79" s="1498"/>
      <c r="H79" s="1498"/>
      <c r="I79" s="1498"/>
      <c r="J79" s="1498"/>
      <c r="K79" s="1498"/>
      <c r="L79" s="1498"/>
      <c r="M79" s="1498"/>
      <c r="N79" s="1498"/>
      <c r="O79" s="1498"/>
      <c r="P79" s="1498"/>
      <c r="Q79" s="1498"/>
      <c r="R79" s="1498"/>
      <c r="S79" s="1498"/>
      <c r="T79" s="1498"/>
      <c r="U79" s="1498"/>
      <c r="V79" s="1498"/>
      <c r="W79" s="1499"/>
      <c r="Y79" s="2610">
        <f t="shared" ca="1" si="55"/>
        <v>0</v>
      </c>
      <c r="Z79" s="2610">
        <f t="shared" ca="1" si="55"/>
        <v>6.2600763354361899E-3</v>
      </c>
      <c r="AA79" s="2610">
        <f t="shared" ca="1" si="55"/>
        <v>0</v>
      </c>
      <c r="AB79" s="2610">
        <f t="shared" ca="1" si="55"/>
        <v>0</v>
      </c>
      <c r="AC79" s="2610">
        <f t="shared" ca="1" si="55"/>
        <v>0</v>
      </c>
      <c r="AD79" s="2610">
        <f t="shared" ca="1" si="55"/>
        <v>0</v>
      </c>
      <c r="AE79" s="2610">
        <f t="shared" ca="1" si="55"/>
        <v>0</v>
      </c>
      <c r="AF79" s="2610">
        <f t="shared" ca="1" si="55"/>
        <v>0</v>
      </c>
      <c r="AG79" s="2610">
        <f t="shared" ca="1" si="55"/>
        <v>0</v>
      </c>
      <c r="AH79" s="2610">
        <f t="shared" ca="1" si="55"/>
        <v>0</v>
      </c>
      <c r="AI79" s="2610">
        <f t="shared" ca="1" si="56"/>
        <v>0</v>
      </c>
      <c r="AJ79" s="2610">
        <f t="shared" ca="1" si="56"/>
        <v>0</v>
      </c>
      <c r="AK79" s="2610">
        <f t="shared" ca="1" si="56"/>
        <v>0</v>
      </c>
      <c r="AL79" s="2610">
        <f t="shared" ca="1" si="56"/>
        <v>0</v>
      </c>
      <c r="AM79" s="2610">
        <f t="shared" ca="1" si="56"/>
        <v>0</v>
      </c>
      <c r="AN79" s="2610">
        <f t="shared" ca="1" si="56"/>
        <v>0</v>
      </c>
      <c r="AO79" s="2610">
        <f t="shared" ca="1" si="56"/>
        <v>0</v>
      </c>
      <c r="AP79" s="2610">
        <f t="shared" ca="1" si="56"/>
        <v>0</v>
      </c>
      <c r="AQ79" s="1951">
        <f ca="1">SUM(Y79:AP79)</f>
        <v>6.2600763354361899E-3</v>
      </c>
      <c r="AS79" s="1948">
        <f t="shared" ca="1" si="57"/>
        <v>0</v>
      </c>
      <c r="AT79" s="1948">
        <f t="shared" ca="1" si="57"/>
        <v>0</v>
      </c>
      <c r="AU79" s="1948">
        <f t="shared" ca="1" si="57"/>
        <v>0</v>
      </c>
      <c r="AV79" s="1948">
        <f t="shared" ca="1" si="57"/>
        <v>0</v>
      </c>
      <c r="AW79" s="1948">
        <f t="shared" ca="1" si="57"/>
        <v>0</v>
      </c>
      <c r="AX79" s="1948">
        <f t="shared" ca="1" si="57"/>
        <v>0</v>
      </c>
      <c r="AY79" s="1948">
        <f t="shared" ca="1" si="57"/>
        <v>0</v>
      </c>
      <c r="AZ79" s="1948">
        <f t="shared" ca="1" si="57"/>
        <v>0</v>
      </c>
      <c r="BA79" s="1948">
        <f t="shared" ca="1" si="57"/>
        <v>0</v>
      </c>
      <c r="BB79" s="1948">
        <f t="shared" ca="1" si="57"/>
        <v>0</v>
      </c>
      <c r="BC79" s="1948">
        <f t="shared" ca="1" si="58"/>
        <v>0</v>
      </c>
      <c r="BD79" s="1948">
        <f t="shared" ca="1" si="58"/>
        <v>0</v>
      </c>
      <c r="BE79" s="1948">
        <f t="shared" ca="1" si="58"/>
        <v>0</v>
      </c>
      <c r="BF79" s="1948">
        <f t="shared" ca="1" si="58"/>
        <v>0</v>
      </c>
      <c r="BG79" s="1948">
        <f t="shared" ca="1" si="58"/>
        <v>0</v>
      </c>
      <c r="BH79" s="1948">
        <f t="shared" ca="1" si="58"/>
        <v>0</v>
      </c>
      <c r="BI79" s="1948">
        <f t="shared" ca="1" si="58"/>
        <v>0</v>
      </c>
      <c r="BJ79" s="1948">
        <f t="shared" ca="1" si="58"/>
        <v>0</v>
      </c>
      <c r="BK79" s="1948">
        <f t="shared" ca="1" si="58"/>
        <v>-6.2600763354361899E-3</v>
      </c>
      <c r="BL79" s="1952">
        <f ca="1">SUM(AS79:BK79)</f>
        <v>-6.2600763354361899E-3</v>
      </c>
      <c r="BN79" s="1941">
        <f t="shared" ca="1" si="59"/>
        <v>0</v>
      </c>
      <c r="BO79" s="1941">
        <f t="shared" ca="1" si="59"/>
        <v>0</v>
      </c>
      <c r="BP79" s="1505">
        <f ca="1">BN79+BO79</f>
        <v>0</v>
      </c>
      <c r="BR79" s="3168">
        <f ca="1">W79+AQ79+BL79+BP79</f>
        <v>0</v>
      </c>
      <c r="BS79" s="1525"/>
      <c r="BT79" s="748"/>
      <c r="BU79" s="1507"/>
      <c r="BV79" s="1508"/>
      <c r="BW79" s="1508"/>
      <c r="BX79" s="1508"/>
      <c r="BY79" s="1508"/>
      <c r="BZ79" s="1508"/>
      <c r="CA79" s="1508"/>
      <c r="CB79" s="1508"/>
      <c r="CC79" s="1508"/>
      <c r="CD79" s="1508"/>
      <c r="CE79" s="1508"/>
      <c r="CF79" s="1508"/>
      <c r="CG79" s="1508"/>
      <c r="CH79" s="1508"/>
      <c r="CI79" s="1508"/>
      <c r="CJ79" s="1508"/>
      <c r="CK79" s="1508"/>
      <c r="CL79" s="1508"/>
      <c r="CM79" s="1508"/>
      <c r="CN79" s="1508"/>
      <c r="CO79" s="1508"/>
      <c r="CP79" s="1508"/>
      <c r="CQ79" s="1508"/>
      <c r="CR79" s="1508"/>
      <c r="CS79" s="1508"/>
      <c r="CT79" s="1508"/>
      <c r="CU79" s="1508"/>
      <c r="CV79" s="1508"/>
      <c r="CW79" s="1508"/>
      <c r="CX79" s="1508"/>
      <c r="CY79" s="1508"/>
      <c r="CZ79" s="1508"/>
      <c r="DA79" s="1508"/>
      <c r="DB79" s="1508"/>
      <c r="DC79" s="1508"/>
      <c r="DD79" s="1508"/>
      <c r="DE79" s="1508"/>
      <c r="DF79" s="1508"/>
      <c r="DG79" s="1508"/>
      <c r="DH79" s="1508"/>
      <c r="DI79" s="1508"/>
      <c r="DJ79" s="1508"/>
      <c r="DK79" s="1508"/>
      <c r="DL79" s="1508"/>
      <c r="DN79" s="1509"/>
    </row>
    <row r="80" spans="1:118" s="14" customFormat="1" ht="12.75" hidden="1" customHeight="1" outlineLevel="1" x14ac:dyDescent="0.2">
      <c r="A80" s="1522"/>
      <c r="B80" s="1522"/>
      <c r="C80" s="1496" t="s">
        <v>1620</v>
      </c>
      <c r="D80" s="1497" t="str">
        <f>INDEX(Modulos[Modulos], MATCH($C80, Modulos[Código], 0))</f>
        <v>Forestal</v>
      </c>
      <c r="E80" s="1526"/>
      <c r="G80" s="1540"/>
      <c r="H80" s="1540"/>
      <c r="I80" s="1540"/>
      <c r="J80" s="1540"/>
      <c r="K80" s="1540"/>
      <c r="L80" s="1540"/>
      <c r="M80" s="1540"/>
      <c r="N80" s="1540"/>
      <c r="O80" s="1540"/>
      <c r="P80" s="1540"/>
      <c r="Q80" s="1540"/>
      <c r="R80" s="1540"/>
      <c r="S80" s="1540"/>
      <c r="T80" s="1540"/>
      <c r="U80" s="1540"/>
      <c r="V80" s="1540"/>
      <c r="W80" s="1527"/>
      <c r="Y80" s="2614">
        <f t="shared" ca="1" si="55"/>
        <v>0</v>
      </c>
      <c r="Z80" s="2614">
        <f t="shared" ca="1" si="55"/>
        <v>0</v>
      </c>
      <c r="AA80" s="2614">
        <f t="shared" ca="1" si="55"/>
        <v>0</v>
      </c>
      <c r="AB80" s="2614">
        <f t="shared" ca="1" si="55"/>
        <v>0</v>
      </c>
      <c r="AC80" s="2614">
        <f t="shared" ca="1" si="55"/>
        <v>0</v>
      </c>
      <c r="AD80" s="2614">
        <f t="shared" ca="1" si="55"/>
        <v>0</v>
      </c>
      <c r="AE80" s="2614">
        <f t="shared" ca="1" si="55"/>
        <v>0</v>
      </c>
      <c r="AF80" s="2614">
        <f t="shared" ca="1" si="55"/>
        <v>0</v>
      </c>
      <c r="AG80" s="2614">
        <f t="shared" ca="1" si="55"/>
        <v>0</v>
      </c>
      <c r="AH80" s="2614">
        <f t="shared" ca="1" si="55"/>
        <v>0</v>
      </c>
      <c r="AI80" s="2614">
        <f t="shared" ca="1" si="56"/>
        <v>0</v>
      </c>
      <c r="AJ80" s="2614">
        <f t="shared" ca="1" si="56"/>
        <v>0</v>
      </c>
      <c r="AK80" s="2614">
        <f t="shared" ca="1" si="56"/>
        <v>0</v>
      </c>
      <c r="AL80" s="2614">
        <f t="shared" ca="1" si="56"/>
        <v>0</v>
      </c>
      <c r="AM80" s="2614">
        <f t="shared" ca="1" si="56"/>
        <v>0</v>
      </c>
      <c r="AN80" s="2614">
        <f t="shared" ca="1" si="56"/>
        <v>0</v>
      </c>
      <c r="AO80" s="2614">
        <f t="shared" ca="1" si="56"/>
        <v>0</v>
      </c>
      <c r="AP80" s="2614">
        <f t="shared" ca="1" si="56"/>
        <v>0</v>
      </c>
      <c r="AQ80" s="1951">
        <f ca="1">SUM(Y80:AP80)</f>
        <v>0</v>
      </c>
      <c r="AS80" s="1542">
        <f t="shared" ca="1" si="57"/>
        <v>0</v>
      </c>
      <c r="AT80" s="1542">
        <f t="shared" ca="1" si="57"/>
        <v>0</v>
      </c>
      <c r="AU80" s="1542">
        <f t="shared" ca="1" si="57"/>
        <v>0</v>
      </c>
      <c r="AV80" s="1542">
        <f t="shared" ca="1" si="57"/>
        <v>0</v>
      </c>
      <c r="AW80" s="1542">
        <f t="shared" ca="1" si="57"/>
        <v>0</v>
      </c>
      <c r="AX80" s="1542">
        <f t="shared" ca="1" si="57"/>
        <v>0</v>
      </c>
      <c r="AY80" s="1542">
        <f t="shared" ca="1" si="57"/>
        <v>0</v>
      </c>
      <c r="AZ80" s="1542">
        <f t="shared" ca="1" si="57"/>
        <v>0</v>
      </c>
      <c r="BA80" s="1542">
        <f t="shared" ca="1" si="57"/>
        <v>0</v>
      </c>
      <c r="BB80" s="1542">
        <f t="shared" ca="1" si="57"/>
        <v>0</v>
      </c>
      <c r="BC80" s="1542">
        <f t="shared" ca="1" si="58"/>
        <v>0</v>
      </c>
      <c r="BD80" s="1542">
        <f t="shared" ca="1" si="58"/>
        <v>0</v>
      </c>
      <c r="BE80" s="1542">
        <f t="shared" ca="1" si="58"/>
        <v>0</v>
      </c>
      <c r="BF80" s="1542">
        <f t="shared" ca="1" si="58"/>
        <v>0</v>
      </c>
      <c r="BG80" s="1542">
        <f t="shared" ca="1" si="58"/>
        <v>0</v>
      </c>
      <c r="BH80" s="1542">
        <f t="shared" ca="1" si="58"/>
        <v>0</v>
      </c>
      <c r="BI80" s="1542">
        <f t="shared" ca="1" si="58"/>
        <v>0</v>
      </c>
      <c r="BJ80" s="1542">
        <f t="shared" ca="1" si="58"/>
        <v>0</v>
      </c>
      <c r="BK80" s="1542">
        <f t="shared" ca="1" si="58"/>
        <v>0</v>
      </c>
      <c r="BL80" s="1952">
        <f ca="1">SUM(AS80:BK80)</f>
        <v>0</v>
      </c>
      <c r="BN80" s="1941">
        <f t="shared" ca="1" si="59"/>
        <v>0</v>
      </c>
      <c r="BO80" s="1941">
        <f t="shared" ca="1" si="59"/>
        <v>0</v>
      </c>
      <c r="BP80" s="1505">
        <f ca="1">BN80+BO80</f>
        <v>0</v>
      </c>
      <c r="BR80" s="3168">
        <f ca="1">W80+AQ80+BL80+BP80</f>
        <v>0</v>
      </c>
      <c r="BS80" s="1525"/>
      <c r="BT80" s="748"/>
      <c r="BU80" s="1532"/>
      <c r="BV80" s="1533"/>
      <c r="BW80" s="1533"/>
      <c r="BX80" s="1533"/>
      <c r="BY80" s="1533"/>
      <c r="BZ80" s="1533"/>
      <c r="CA80" s="1533"/>
      <c r="CB80" s="1533"/>
      <c r="CC80" s="1533"/>
      <c r="CD80" s="1533"/>
      <c r="CE80" s="1533"/>
      <c r="CF80" s="1533"/>
      <c r="CG80" s="1533"/>
      <c r="CH80" s="1533"/>
      <c r="CI80" s="1533"/>
      <c r="CJ80" s="1533"/>
      <c r="CK80" s="1533"/>
      <c r="CL80" s="1533"/>
      <c r="CM80" s="1533"/>
      <c r="CN80" s="1533"/>
      <c r="CO80" s="1533"/>
      <c r="CP80" s="1533"/>
      <c r="CQ80" s="1533"/>
      <c r="CR80" s="1533"/>
      <c r="CS80" s="1533"/>
      <c r="CT80" s="1533"/>
      <c r="CU80" s="1533"/>
      <c r="CV80" s="1533"/>
      <c r="CW80" s="1533"/>
      <c r="CX80" s="1533"/>
      <c r="CY80" s="1533"/>
      <c r="CZ80" s="1533"/>
      <c r="DA80" s="1533"/>
      <c r="DB80" s="1533"/>
      <c r="DC80" s="1533"/>
      <c r="DD80" s="1533"/>
      <c r="DE80" s="1533"/>
      <c r="DF80" s="1533"/>
      <c r="DG80" s="1533"/>
      <c r="DH80" s="1533"/>
      <c r="DI80" s="1533"/>
      <c r="DJ80" s="1533"/>
      <c r="DK80" s="1533"/>
      <c r="DL80" s="1533"/>
      <c r="DN80" s="1509"/>
    </row>
    <row r="81" spans="1:118" s="14" customFormat="1" ht="3" hidden="1" customHeight="1" outlineLevel="1" x14ac:dyDescent="0.2">
      <c r="A81" s="1522"/>
      <c r="B81" s="1522"/>
      <c r="C81" s="1496"/>
      <c r="D81" s="1497"/>
      <c r="E81" s="1497"/>
      <c r="G81" s="1498"/>
      <c r="H81" s="1498"/>
      <c r="I81" s="1498"/>
      <c r="J81" s="1498"/>
      <c r="K81" s="1498"/>
      <c r="L81" s="1498"/>
      <c r="M81" s="1498"/>
      <c r="N81" s="1498"/>
      <c r="O81" s="1498"/>
      <c r="P81" s="1498"/>
      <c r="Q81" s="1498"/>
      <c r="R81" s="1498"/>
      <c r="S81" s="1498"/>
      <c r="T81" s="1498"/>
      <c r="U81" s="1498"/>
      <c r="V81" s="1498"/>
      <c r="W81" s="1499"/>
      <c r="Y81" s="1500"/>
      <c r="Z81" s="1500"/>
      <c r="AA81" s="1500"/>
      <c r="AB81" s="1500"/>
      <c r="AC81" s="1500"/>
      <c r="AD81" s="1500"/>
      <c r="AE81" s="1500"/>
      <c r="AF81" s="1500"/>
      <c r="AG81" s="1500"/>
      <c r="AH81" s="1500"/>
      <c r="AI81" s="1500"/>
      <c r="AJ81" s="1500"/>
      <c r="AK81" s="1500"/>
      <c r="AL81" s="1500"/>
      <c r="AM81" s="1500"/>
      <c r="AN81" s="1500"/>
      <c r="AO81" s="1500"/>
      <c r="AP81" s="1500"/>
      <c r="AQ81" s="1501"/>
      <c r="AS81" s="1502"/>
      <c r="AT81" s="1502"/>
      <c r="AU81" s="1502"/>
      <c r="AV81" s="1502"/>
      <c r="AW81" s="1502"/>
      <c r="AX81" s="1502"/>
      <c r="AY81" s="1502"/>
      <c r="AZ81" s="1502"/>
      <c r="BA81" s="1502"/>
      <c r="BB81" s="1502"/>
      <c r="BC81" s="1502"/>
      <c r="BD81" s="1502"/>
      <c r="BE81" s="1502"/>
      <c r="BF81" s="1502"/>
      <c r="BG81" s="1502"/>
      <c r="BH81" s="1502"/>
      <c r="BI81" s="1502"/>
      <c r="BJ81" s="1502"/>
      <c r="BK81" s="1502"/>
      <c r="BL81" s="1524"/>
      <c r="BN81" s="1504"/>
      <c r="BO81" s="1504"/>
      <c r="BP81" s="1505"/>
      <c r="BR81" s="3168"/>
      <c r="BS81" s="1525"/>
      <c r="BT81" s="748"/>
      <c r="BU81" s="1507"/>
      <c r="BV81" s="1508"/>
      <c r="BW81" s="1508"/>
      <c r="BX81" s="1508"/>
      <c r="BY81" s="1508"/>
      <c r="BZ81" s="1508"/>
      <c r="CA81" s="1508"/>
      <c r="CB81" s="1508"/>
      <c r="CC81" s="1508"/>
      <c r="CD81" s="1508"/>
      <c r="CE81" s="1508"/>
      <c r="CF81" s="1508"/>
      <c r="CG81" s="1508"/>
      <c r="CH81" s="1508"/>
      <c r="CI81" s="1508"/>
      <c r="CJ81" s="1508"/>
      <c r="CK81" s="1508"/>
      <c r="CL81" s="1508"/>
      <c r="CM81" s="1508"/>
      <c r="CN81" s="1508"/>
      <c r="CO81" s="1508"/>
      <c r="CP81" s="1508"/>
      <c r="CQ81" s="1508"/>
      <c r="CR81" s="1508"/>
      <c r="CS81" s="1508"/>
      <c r="CT81" s="1508"/>
      <c r="CU81" s="1508"/>
      <c r="CV81" s="1508"/>
      <c r="CW81" s="1508"/>
      <c r="CX81" s="1508"/>
      <c r="CY81" s="1508"/>
      <c r="CZ81" s="1508"/>
      <c r="DA81" s="1508"/>
      <c r="DB81" s="1508"/>
      <c r="DC81" s="1508"/>
      <c r="DD81" s="1508"/>
      <c r="DE81" s="1508"/>
      <c r="DF81" s="1508"/>
      <c r="DG81" s="1508"/>
      <c r="DH81" s="1508"/>
      <c r="DI81" s="1508"/>
      <c r="DJ81" s="1508"/>
      <c r="DK81" s="1508"/>
      <c r="DL81" s="1508"/>
      <c r="DN81" s="1509"/>
    </row>
    <row r="82" spans="1:118" s="14" customFormat="1" ht="20.25" customHeight="1" collapsed="1" x14ac:dyDescent="0.2">
      <c r="A82" s="1534"/>
      <c r="B82" s="1535"/>
      <c r="C82" s="1536" t="s">
        <v>737</v>
      </c>
      <c r="D82" s="1537" t="str">
        <f>INDEX(Flujos[Flujos], MATCH($C82, Flujos[Código], 0))</f>
        <v>Otros Sectores</v>
      </c>
      <c r="E82" s="1843"/>
      <c r="G82" s="1539"/>
      <c r="H82" s="1539"/>
      <c r="I82" s="1539"/>
      <c r="J82" s="1539"/>
      <c r="K82" s="1539"/>
      <c r="L82" s="1539"/>
      <c r="M82" s="1539"/>
      <c r="N82" s="1539"/>
      <c r="O82" s="1539"/>
      <c r="P82" s="1539"/>
      <c r="Q82" s="1539"/>
      <c r="R82" s="1539"/>
      <c r="S82" s="1539"/>
      <c r="T82" s="1539"/>
      <c r="U82" s="1539"/>
      <c r="V82" s="1539"/>
      <c r="W82" s="1539"/>
      <c r="Y82" s="2609">
        <f ca="1">Y78+Y79+Y80</f>
        <v>0</v>
      </c>
      <c r="Z82" s="2609">
        <f t="shared" ref="Z82:AQ82" ca="1" si="60">Z78+Z79+Z80</f>
        <v>0.41798007633543621</v>
      </c>
      <c r="AA82" s="2609">
        <f t="shared" ca="1" si="60"/>
        <v>0</v>
      </c>
      <c r="AB82" s="2609">
        <f t="shared" ca="1" si="60"/>
        <v>0</v>
      </c>
      <c r="AC82" s="2609">
        <f t="shared" ca="1" si="60"/>
        <v>0</v>
      </c>
      <c r="AD82" s="2609">
        <f t="shared" ca="1" si="60"/>
        <v>0</v>
      </c>
      <c r="AE82" s="2609">
        <f t="shared" ca="1" si="60"/>
        <v>0</v>
      </c>
      <c r="AF82" s="2609">
        <f t="shared" ca="1" si="60"/>
        <v>0</v>
      </c>
      <c r="AG82" s="2609">
        <f t="shared" ca="1" si="60"/>
        <v>0</v>
      </c>
      <c r="AH82" s="2609">
        <f t="shared" ca="1" si="60"/>
        <v>0</v>
      </c>
      <c r="AI82" s="2609">
        <f t="shared" ca="1" si="60"/>
        <v>0</v>
      </c>
      <c r="AJ82" s="2609">
        <f t="shared" ca="1" si="60"/>
        <v>0</v>
      </c>
      <c r="AK82" s="2609">
        <f t="shared" ca="1" si="60"/>
        <v>0</v>
      </c>
      <c r="AL82" s="2609">
        <f t="shared" ca="1" si="60"/>
        <v>0</v>
      </c>
      <c r="AM82" s="2609">
        <f t="shared" ca="1" si="60"/>
        <v>0</v>
      </c>
      <c r="AN82" s="2609">
        <f t="shared" ca="1" si="60"/>
        <v>0</v>
      </c>
      <c r="AO82" s="2609">
        <f t="shared" ca="1" si="60"/>
        <v>0</v>
      </c>
      <c r="AP82" s="2609">
        <f t="shared" ca="1" si="60"/>
        <v>0</v>
      </c>
      <c r="AQ82" s="2608">
        <f t="shared" ca="1" si="60"/>
        <v>0.41798007633543621</v>
      </c>
      <c r="AS82" s="1491">
        <f ca="1">AS78+AS79+AS80</f>
        <v>0</v>
      </c>
      <c r="AT82" s="1491">
        <f t="shared" ref="AT82:BJ82" ca="1" si="61">AT78+AT79+AT80</f>
        <v>0</v>
      </c>
      <c r="AU82" s="1491">
        <f t="shared" ca="1" si="61"/>
        <v>0</v>
      </c>
      <c r="AV82" s="1491">
        <f t="shared" ca="1" si="61"/>
        <v>0</v>
      </c>
      <c r="AW82" s="1491">
        <f t="shared" ca="1" si="61"/>
        <v>0</v>
      </c>
      <c r="AX82" s="1491">
        <f t="shared" ca="1" si="61"/>
        <v>0</v>
      </c>
      <c r="AY82" s="1491">
        <f t="shared" ca="1" si="61"/>
        <v>0</v>
      </c>
      <c r="AZ82" s="1491">
        <f t="shared" ca="1" si="61"/>
        <v>0</v>
      </c>
      <c r="BA82" s="1491">
        <f t="shared" ca="1" si="61"/>
        <v>0</v>
      </c>
      <c r="BB82" s="1491">
        <f t="shared" ca="1" si="61"/>
        <v>0</v>
      </c>
      <c r="BC82" s="1491">
        <f t="shared" ca="1" si="61"/>
        <v>0</v>
      </c>
      <c r="BD82" s="1491">
        <f t="shared" ca="1" si="61"/>
        <v>0</v>
      </c>
      <c r="BE82" s="1491">
        <f t="shared" ca="1" si="61"/>
        <v>0</v>
      </c>
      <c r="BF82" s="1491">
        <f t="shared" ca="1" si="61"/>
        <v>0</v>
      </c>
      <c r="BG82" s="1491">
        <f t="shared" ca="1" si="61"/>
        <v>0</v>
      </c>
      <c r="BH82" s="1491">
        <f t="shared" ca="1" si="61"/>
        <v>0</v>
      </c>
      <c r="BI82" s="1491">
        <f t="shared" ca="1" si="61"/>
        <v>0</v>
      </c>
      <c r="BJ82" s="1491">
        <f t="shared" ca="1" si="61"/>
        <v>0</v>
      </c>
      <c r="BK82" s="3167">
        <f ca="1">BK78+BK79+BK80</f>
        <v>-0.41798007633543621</v>
      </c>
      <c r="BL82" s="1491">
        <f ca="1">BL78+BL79+BL80</f>
        <v>-0.41798007633543621</v>
      </c>
      <c r="BN82" s="1492">
        <f ca="1">BN78+BN79+BN80</f>
        <v>0</v>
      </c>
      <c r="BO82" s="1492">
        <f ca="1">BO78+BO79+BO80</f>
        <v>0</v>
      </c>
      <c r="BP82" s="1492">
        <f ca="1">BP78+BP79+BP80</f>
        <v>0</v>
      </c>
      <c r="BR82" s="3168">
        <f ca="1">W82+AQ82+BL82+BP82</f>
        <v>0</v>
      </c>
      <c r="BS82" s="1493"/>
      <c r="BT82" s="748"/>
      <c r="BU82" s="1508"/>
      <c r="BV82" s="1508"/>
      <c r="BW82" s="1508"/>
      <c r="BX82" s="1508"/>
      <c r="BY82" s="1508"/>
      <c r="BZ82" s="1508"/>
      <c r="CA82" s="1508"/>
      <c r="CB82" s="1508"/>
      <c r="CC82" s="1508"/>
      <c r="CD82" s="1508"/>
      <c r="CE82" s="1508"/>
      <c r="CF82" s="1508"/>
      <c r="CG82" s="1508"/>
      <c r="CH82" s="1508"/>
      <c r="CI82" s="1508"/>
      <c r="CJ82" s="1508"/>
      <c r="CK82" s="1508"/>
      <c r="CL82" s="1508"/>
      <c r="CM82" s="1508"/>
      <c r="CN82" s="1508"/>
      <c r="CO82" s="1508"/>
      <c r="CP82" s="1508"/>
      <c r="CQ82" s="1508"/>
      <c r="CR82" s="1508"/>
      <c r="CS82" s="1508"/>
      <c r="CT82" s="1508"/>
      <c r="CU82" s="1508"/>
      <c r="CV82" s="1508"/>
      <c r="CW82" s="1508"/>
      <c r="CX82" s="1508"/>
      <c r="CY82" s="1508"/>
      <c r="CZ82" s="1508"/>
      <c r="DA82" s="1508"/>
      <c r="DB82" s="1508"/>
      <c r="DC82" s="1508"/>
      <c r="DD82" s="1508"/>
      <c r="DE82" s="1508"/>
      <c r="DF82" s="1508"/>
      <c r="DG82" s="1508"/>
      <c r="DH82" s="1508"/>
      <c r="DI82" s="1508"/>
      <c r="DJ82" s="1508"/>
      <c r="DK82" s="1508"/>
      <c r="DL82" s="1508"/>
      <c r="DN82" s="1509"/>
    </row>
    <row r="83" spans="1:118" s="14" customFormat="1" ht="15.75" x14ac:dyDescent="0.2">
      <c r="A83" s="1845"/>
      <c r="B83" s="1847"/>
      <c r="C83" s="1842"/>
      <c r="D83" s="1843"/>
      <c r="E83" s="1844"/>
      <c r="G83" s="1539"/>
      <c r="H83" s="1539"/>
      <c r="I83" s="1539"/>
      <c r="J83" s="1539"/>
      <c r="K83" s="1539"/>
      <c r="L83" s="1539"/>
      <c r="M83" s="1539"/>
      <c r="N83" s="1539"/>
      <c r="O83" s="1539"/>
      <c r="P83" s="1539"/>
      <c r="Q83" s="1539"/>
      <c r="R83" s="1539"/>
      <c r="S83" s="1539"/>
      <c r="T83" s="1539"/>
      <c r="U83" s="1539"/>
      <c r="V83" s="1539"/>
      <c r="W83" s="1539"/>
      <c r="Y83" s="1490"/>
      <c r="Z83" s="1490"/>
      <c r="AA83" s="1490"/>
      <c r="AB83" s="1490"/>
      <c r="AC83" s="1490"/>
      <c r="AD83" s="1490"/>
      <c r="AE83" s="1490"/>
      <c r="AF83" s="1490"/>
      <c r="AG83" s="1490"/>
      <c r="AH83" s="1490"/>
      <c r="AI83" s="1490"/>
      <c r="AJ83" s="1490"/>
      <c r="AK83" s="1490"/>
      <c r="AL83" s="1490"/>
      <c r="AM83" s="1490"/>
      <c r="AN83" s="1490"/>
      <c r="AO83" s="1490"/>
      <c r="AP83" s="1490"/>
      <c r="AQ83" s="1490"/>
      <c r="AS83" s="1491"/>
      <c r="AT83" s="1491"/>
      <c r="AU83" s="1491"/>
      <c r="AV83" s="1491"/>
      <c r="AW83" s="1491"/>
      <c r="AX83" s="1491"/>
      <c r="AY83" s="1491"/>
      <c r="AZ83" s="1491"/>
      <c r="BA83" s="1491"/>
      <c r="BB83" s="1491"/>
      <c r="BC83" s="1491"/>
      <c r="BD83" s="1491"/>
      <c r="BE83" s="1491"/>
      <c r="BF83" s="1491"/>
      <c r="BG83" s="1491"/>
      <c r="BH83" s="1491"/>
      <c r="BI83" s="1491"/>
      <c r="BJ83" s="1491"/>
      <c r="BK83" s="1491"/>
      <c r="BL83" s="1491"/>
      <c r="BN83" s="1492"/>
      <c r="BO83" s="1492"/>
      <c r="BP83" s="1492"/>
      <c r="BR83" s="3168"/>
      <c r="BS83" s="1579"/>
      <c r="BT83" s="748"/>
      <c r="BU83" s="1507"/>
      <c r="BV83" s="1508"/>
      <c r="BW83" s="1508"/>
      <c r="BX83" s="1508"/>
      <c r="BY83" s="1508"/>
      <c r="BZ83" s="1508"/>
      <c r="CA83" s="1508"/>
      <c r="CB83" s="1508"/>
      <c r="CC83" s="1508"/>
      <c r="CD83" s="1508"/>
      <c r="CE83" s="1508"/>
      <c r="CF83" s="1508"/>
      <c r="CG83" s="1508"/>
      <c r="CH83" s="1508"/>
      <c r="CI83" s="1508"/>
      <c r="CJ83" s="1508"/>
      <c r="CK83" s="1508"/>
      <c r="CL83" s="1508"/>
      <c r="CM83" s="1508"/>
      <c r="CN83" s="1508"/>
      <c r="CO83" s="1508"/>
      <c r="CP83" s="1508"/>
      <c r="CQ83" s="1508"/>
      <c r="CR83" s="1508"/>
      <c r="CS83" s="1508"/>
      <c r="CT83" s="1508"/>
      <c r="CU83" s="1508"/>
      <c r="CV83" s="1508"/>
      <c r="CW83" s="1508"/>
      <c r="CX83" s="1508"/>
      <c r="CY83" s="1508"/>
      <c r="CZ83" s="1508"/>
      <c r="DA83" s="1508"/>
      <c r="DB83" s="1508"/>
      <c r="DC83" s="1508"/>
      <c r="DD83" s="1508"/>
      <c r="DE83" s="1508"/>
      <c r="DF83" s="1508"/>
      <c r="DG83" s="1508"/>
      <c r="DH83" s="1508"/>
      <c r="DI83" s="1508"/>
      <c r="DJ83" s="1508"/>
      <c r="DK83" s="1508"/>
      <c r="DL83" s="1508"/>
      <c r="DN83" s="1509"/>
    </row>
    <row r="84" spans="1:118" s="14" customFormat="1" ht="15.75" hidden="1" outlineLevel="1" x14ac:dyDescent="0.2">
      <c r="A84" s="1534"/>
      <c r="B84" s="1535"/>
      <c r="C84" s="1536"/>
      <c r="D84" s="1537"/>
      <c r="E84" s="1538"/>
      <c r="G84" s="1539"/>
      <c r="H84" s="1539"/>
      <c r="I84" s="1539"/>
      <c r="J84" s="1539"/>
      <c r="K84" s="1539"/>
      <c r="L84" s="1539"/>
      <c r="M84" s="1539"/>
      <c r="N84" s="1539"/>
      <c r="O84" s="1539"/>
      <c r="P84" s="1539"/>
      <c r="Q84" s="1539"/>
      <c r="R84" s="1539"/>
      <c r="S84" s="1539"/>
      <c r="T84" s="1539"/>
      <c r="U84" s="1539"/>
      <c r="V84" s="1539"/>
      <c r="W84" s="1539"/>
      <c r="Y84" s="1490"/>
      <c r="Z84" s="1490"/>
      <c r="AA84" s="1490"/>
      <c r="AB84" s="1490"/>
      <c r="AC84" s="1490"/>
      <c r="AD84" s="1490"/>
      <c r="AE84" s="1490"/>
      <c r="AF84" s="1490"/>
      <c r="AG84" s="1490"/>
      <c r="AH84" s="1490"/>
      <c r="AI84" s="1490"/>
      <c r="AJ84" s="1490"/>
      <c r="AK84" s="1490"/>
      <c r="AL84" s="1490"/>
      <c r="AM84" s="1490"/>
      <c r="AN84" s="1490"/>
      <c r="AO84" s="1490"/>
      <c r="AP84" s="1490"/>
      <c r="AQ84" s="1490"/>
      <c r="AS84" s="1491"/>
      <c r="AT84" s="1491"/>
      <c r="AU84" s="1491"/>
      <c r="AV84" s="1491"/>
      <c r="AW84" s="1491"/>
      <c r="AX84" s="1491"/>
      <c r="AY84" s="1491"/>
      <c r="AZ84" s="1491"/>
      <c r="BA84" s="1491"/>
      <c r="BB84" s="1491"/>
      <c r="BC84" s="1491"/>
      <c r="BD84" s="1491"/>
      <c r="BE84" s="1491"/>
      <c r="BF84" s="1491"/>
      <c r="BG84" s="1491"/>
      <c r="BH84" s="1491"/>
      <c r="BI84" s="1491"/>
      <c r="BJ84" s="1491"/>
      <c r="BK84" s="1491"/>
      <c r="BL84" s="1491"/>
      <c r="BN84" s="1492"/>
      <c r="BO84" s="1492"/>
      <c r="BP84" s="1492"/>
      <c r="BR84" s="3168">
        <f t="shared" ref="BR84:BR89" si="62">W84+AQ84+BL84+BP84</f>
        <v>0</v>
      </c>
      <c r="BS84" s="1493"/>
      <c r="BT84" s="748"/>
      <c r="BU84" s="1508"/>
      <c r="BV84" s="1508"/>
      <c r="BW84" s="1508"/>
      <c r="BX84" s="1508"/>
      <c r="BY84" s="1508"/>
      <c r="BZ84" s="1508"/>
      <c r="CA84" s="1508"/>
      <c r="CB84" s="1508"/>
      <c r="CC84" s="1508"/>
      <c r="CD84" s="1508"/>
      <c r="CE84" s="1508"/>
      <c r="CF84" s="1508"/>
      <c r="CG84" s="1508"/>
      <c r="CH84" s="1508"/>
      <c r="CI84" s="1508"/>
      <c r="CJ84" s="1508"/>
      <c r="CK84" s="1508"/>
      <c r="CL84" s="1508"/>
      <c r="CM84" s="1508"/>
      <c r="CN84" s="1508"/>
      <c r="CO84" s="1508"/>
      <c r="CP84" s="1508"/>
      <c r="CQ84" s="1508"/>
      <c r="CR84" s="1508"/>
      <c r="CS84" s="1508"/>
      <c r="CT84" s="1508"/>
      <c r="CU84" s="1508"/>
      <c r="CV84" s="1508"/>
      <c r="CW84" s="1508"/>
      <c r="CX84" s="1508"/>
      <c r="CY84" s="1508"/>
      <c r="CZ84" s="1508"/>
      <c r="DA84" s="1508"/>
      <c r="DB84" s="1508"/>
      <c r="DC84" s="1508"/>
      <c r="DD84" s="1508"/>
      <c r="DE84" s="1508"/>
      <c r="DF84" s="1508"/>
      <c r="DG84" s="1508"/>
      <c r="DH84" s="1508"/>
      <c r="DI84" s="1508"/>
      <c r="DJ84" s="1508"/>
      <c r="DK84" s="1508"/>
      <c r="DL84" s="1508"/>
      <c r="DN84" s="1509"/>
    </row>
    <row r="85" spans="1:118" s="14" customFormat="1" ht="12.75" hidden="1" customHeight="1" outlineLevel="2" x14ac:dyDescent="0.2">
      <c r="A85" s="1534"/>
      <c r="B85" s="1534"/>
      <c r="C85" s="1544"/>
      <c r="D85" s="1538"/>
      <c r="E85" s="1538"/>
      <c r="G85" s="1488"/>
      <c r="H85" s="1488"/>
      <c r="I85" s="1488"/>
      <c r="J85" s="1488"/>
      <c r="K85" s="1488"/>
      <c r="L85" s="1488"/>
      <c r="M85" s="1488"/>
      <c r="N85" s="1488"/>
      <c r="O85" s="1563"/>
      <c r="P85" s="1488"/>
      <c r="Q85" s="1488"/>
      <c r="R85" s="1488"/>
      <c r="S85" s="1488"/>
      <c r="T85" s="1488"/>
      <c r="U85" s="1488"/>
      <c r="V85" s="1488"/>
      <c r="W85" s="1488"/>
      <c r="Y85" s="1490"/>
      <c r="Z85" s="1490"/>
      <c r="AA85" s="1490"/>
      <c r="AB85" s="1490"/>
      <c r="AC85" s="1490"/>
      <c r="AD85" s="1490"/>
      <c r="AE85" s="1490"/>
      <c r="AF85" s="1490"/>
      <c r="AG85" s="1490"/>
      <c r="AH85" s="1490"/>
      <c r="AI85" s="1490"/>
      <c r="AJ85" s="1490"/>
      <c r="AK85" s="1490"/>
      <c r="AL85" s="1490"/>
      <c r="AM85" s="1490"/>
      <c r="AN85" s="1490"/>
      <c r="AO85" s="1490"/>
      <c r="AP85" s="1490"/>
      <c r="AQ85" s="1490"/>
      <c r="AS85" s="1491"/>
      <c r="AT85" s="1491"/>
      <c r="AU85" s="1491"/>
      <c r="AV85" s="1491"/>
      <c r="AW85" s="1491"/>
      <c r="AX85" s="1491"/>
      <c r="AY85" s="1491"/>
      <c r="AZ85" s="1491"/>
      <c r="BA85" s="1491"/>
      <c r="BB85" s="1491"/>
      <c r="BC85" s="1491"/>
      <c r="BD85" s="1491"/>
      <c r="BE85" s="1491"/>
      <c r="BF85" s="1491"/>
      <c r="BG85" s="1491"/>
      <c r="BH85" s="1491"/>
      <c r="BI85" s="1491"/>
      <c r="BJ85" s="1491"/>
      <c r="BK85" s="1491"/>
      <c r="BL85" s="1491"/>
      <c r="BN85" s="1492"/>
      <c r="BO85" s="1492"/>
      <c r="BP85" s="1492"/>
      <c r="BR85" s="3168">
        <f t="shared" si="62"/>
        <v>0</v>
      </c>
      <c r="BS85" s="1493"/>
      <c r="BT85" s="1534"/>
      <c r="BU85" s="1508"/>
      <c r="BV85" s="1508"/>
      <c r="BW85" s="1508"/>
      <c r="BX85" s="1508"/>
      <c r="BY85" s="1508"/>
      <c r="BZ85" s="1508"/>
      <c r="CA85" s="1508"/>
      <c r="CB85" s="1508"/>
      <c r="CC85" s="1508"/>
      <c r="CD85" s="1508"/>
      <c r="CE85" s="1508"/>
      <c r="CF85" s="1508"/>
      <c r="CG85" s="1508"/>
      <c r="CH85" s="1508"/>
      <c r="CI85" s="1508"/>
      <c r="CJ85" s="1508"/>
      <c r="CK85" s="1508"/>
      <c r="CL85" s="1508"/>
      <c r="CM85" s="1508"/>
      <c r="CN85" s="1508"/>
      <c r="CO85" s="1508"/>
      <c r="CP85" s="1508"/>
      <c r="CQ85" s="1508"/>
      <c r="CR85" s="1508"/>
      <c r="CS85" s="1508"/>
      <c r="CT85" s="1508"/>
      <c r="CU85" s="1508"/>
      <c r="CV85" s="1508"/>
      <c r="CW85" s="1508"/>
      <c r="CX85" s="1508"/>
      <c r="CY85" s="1508"/>
      <c r="CZ85" s="1508"/>
      <c r="DA85" s="1508"/>
      <c r="DB85" s="1508"/>
      <c r="DC85" s="1508"/>
      <c r="DD85" s="1508"/>
      <c r="DE85" s="1508"/>
      <c r="DF85" s="1508"/>
      <c r="DG85" s="1508"/>
      <c r="DH85" s="1508"/>
      <c r="DI85" s="1508"/>
      <c r="DJ85" s="1508"/>
      <c r="DK85" s="1508"/>
      <c r="DL85" s="1508"/>
      <c r="DN85" s="1509">
        <v>0</v>
      </c>
    </row>
    <row r="86" spans="1:118" s="1564" customFormat="1" ht="12.75" hidden="1" customHeight="1" outlineLevel="2" x14ac:dyDescent="0.2">
      <c r="C86" s="1565" t="s">
        <v>809</v>
      </c>
      <c r="D86" s="1566" t="s">
        <v>810</v>
      </c>
      <c r="E86" s="1566"/>
      <c r="F86" s="1567"/>
      <c r="G86" s="1568"/>
      <c r="H86" s="1568"/>
      <c r="I86" s="1568"/>
      <c r="J86" s="1568"/>
      <c r="K86" s="1568"/>
      <c r="L86" s="1568"/>
      <c r="M86" s="1568"/>
      <c r="N86" s="1568"/>
      <c r="O86" s="1569"/>
      <c r="P86" s="1568"/>
      <c r="Q86" s="1568"/>
      <c r="R86" s="1568"/>
      <c r="S86" s="1568"/>
      <c r="T86" s="1568"/>
      <c r="U86" s="1568"/>
      <c r="V86" s="1568"/>
      <c r="W86" s="1568"/>
      <c r="X86" s="1567"/>
      <c r="Y86" s="1570"/>
      <c r="Z86" s="1570"/>
      <c r="AA86" s="1570"/>
      <c r="AB86" s="1570"/>
      <c r="AC86" s="1570"/>
      <c r="AD86" s="1570"/>
      <c r="AE86" s="1570"/>
      <c r="AF86" s="1570"/>
      <c r="AG86" s="1570"/>
      <c r="AH86" s="1570"/>
      <c r="AI86" s="1570"/>
      <c r="AJ86" s="1570"/>
      <c r="AK86" s="1570"/>
      <c r="AL86" s="1570"/>
      <c r="AM86" s="1570"/>
      <c r="AN86" s="1570"/>
      <c r="AO86" s="1570"/>
      <c r="AP86" s="1570"/>
      <c r="AQ86" s="1570"/>
      <c r="AR86" s="1567"/>
      <c r="AS86" s="1571"/>
      <c r="AT86" s="1571"/>
      <c r="AU86" s="1571"/>
      <c r="AV86" s="1571"/>
      <c r="AW86" s="1571"/>
      <c r="AX86" s="1571"/>
      <c r="AY86" s="1571"/>
      <c r="AZ86" s="1571"/>
      <c r="BA86" s="1571"/>
      <c r="BB86" s="1571"/>
      <c r="BC86" s="1571"/>
      <c r="BD86" s="1571"/>
      <c r="BE86" s="1571"/>
      <c r="BF86" s="1571"/>
      <c r="BG86" s="1571"/>
      <c r="BH86" s="1571"/>
      <c r="BI86" s="1571"/>
      <c r="BJ86" s="1571"/>
      <c r="BK86" s="1571"/>
      <c r="BL86" s="1571"/>
      <c r="BM86" s="1567"/>
      <c r="BN86" s="1572"/>
      <c r="BO86" s="1572"/>
      <c r="BP86" s="1572"/>
      <c r="BQ86" s="1567"/>
      <c r="BR86" s="3168">
        <f t="shared" si="62"/>
        <v>0</v>
      </c>
      <c r="BS86" s="1573"/>
      <c r="BU86" s="1574"/>
      <c r="BV86" s="1574"/>
      <c r="BW86" s="1574"/>
      <c r="BX86" s="1574"/>
      <c r="BY86" s="1574"/>
      <c r="BZ86" s="1574"/>
      <c r="CA86" s="1574"/>
      <c r="CB86" s="1574"/>
      <c r="CC86" s="1574"/>
      <c r="CD86" s="1574"/>
      <c r="CE86" s="1574"/>
      <c r="CF86" s="1574"/>
      <c r="CG86" s="1574"/>
      <c r="CH86" s="1574"/>
      <c r="CI86" s="1574"/>
      <c r="CJ86" s="1574"/>
      <c r="CK86" s="1574"/>
      <c r="CL86" s="1574"/>
      <c r="CM86" s="1574"/>
      <c r="CN86" s="1574"/>
      <c r="CO86" s="1574"/>
      <c r="CP86" s="1574"/>
      <c r="CQ86" s="1574"/>
      <c r="CR86" s="1574"/>
      <c r="CS86" s="1574"/>
      <c r="CT86" s="1574"/>
      <c r="CU86" s="1574"/>
      <c r="CV86" s="1574"/>
      <c r="CW86" s="1574"/>
      <c r="CX86" s="1574"/>
      <c r="CY86" s="1574"/>
      <c r="CZ86" s="1574"/>
      <c r="DA86" s="1574"/>
      <c r="DB86" s="1574"/>
      <c r="DC86" s="1574"/>
      <c r="DD86" s="1574"/>
      <c r="DE86" s="1574"/>
      <c r="DF86" s="1574"/>
      <c r="DG86" s="1574"/>
      <c r="DH86" s="1574"/>
      <c r="DI86" s="1574"/>
      <c r="DJ86" s="1574"/>
      <c r="DK86" s="1574"/>
      <c r="DL86" s="1574"/>
      <c r="DN86" s="1575">
        <v>0</v>
      </c>
    </row>
    <row r="87" spans="1:118" s="1522" customFormat="1" ht="12.75" hidden="1" customHeight="1" outlineLevel="2" x14ac:dyDescent="0.2">
      <c r="C87" s="1496" t="s">
        <v>112</v>
      </c>
      <c r="D87" s="1526" t="s">
        <v>113</v>
      </c>
      <c r="E87" s="1526"/>
      <c r="F87" s="14"/>
      <c r="G87" s="1540"/>
      <c r="H87" s="1540"/>
      <c r="I87" s="1540"/>
      <c r="J87" s="1540"/>
      <c r="K87" s="1540"/>
      <c r="L87" s="1540"/>
      <c r="M87" s="1540"/>
      <c r="N87" s="1540"/>
      <c r="O87" s="1540"/>
      <c r="P87" s="1540"/>
      <c r="Q87" s="1540"/>
      <c r="R87" s="1540"/>
      <c r="S87" s="1540"/>
      <c r="T87" s="1540"/>
      <c r="U87" s="1540"/>
      <c r="V87" s="1540"/>
      <c r="W87" s="1527"/>
      <c r="X87" s="14"/>
      <c r="Y87" s="1541"/>
      <c r="Z87" s="1541"/>
      <c r="AA87" s="1541"/>
      <c r="AB87" s="1541"/>
      <c r="AC87" s="1541"/>
      <c r="AD87" s="1541"/>
      <c r="AE87" s="1541"/>
      <c r="AF87" s="1541"/>
      <c r="AG87" s="1541"/>
      <c r="AH87" s="1541"/>
      <c r="AI87" s="1541"/>
      <c r="AJ87" s="1541"/>
      <c r="AK87" s="1541"/>
      <c r="AL87" s="1541"/>
      <c r="AM87" s="1541"/>
      <c r="AN87" s="1541"/>
      <c r="AO87" s="1541"/>
      <c r="AP87" s="1541"/>
      <c r="AQ87" s="1528"/>
      <c r="AR87" s="14"/>
      <c r="AS87" s="1542"/>
      <c r="AT87" s="1542"/>
      <c r="AU87" s="1542"/>
      <c r="AV87" s="1542"/>
      <c r="AW87" s="1542"/>
      <c r="AX87" s="1542"/>
      <c r="AY87" s="1542"/>
      <c r="AZ87" s="1542"/>
      <c r="BA87" s="1542"/>
      <c r="BB87" s="1542"/>
      <c r="BC87" s="1542"/>
      <c r="BD87" s="1542"/>
      <c r="BE87" s="1542"/>
      <c r="BF87" s="1542"/>
      <c r="BG87" s="1542"/>
      <c r="BH87" s="1542"/>
      <c r="BI87" s="1542"/>
      <c r="BJ87" s="1542"/>
      <c r="BK87" s="1542"/>
      <c r="BL87" s="1530"/>
      <c r="BM87" s="14"/>
      <c r="BN87" s="1543"/>
      <c r="BO87" s="1543"/>
      <c r="BP87" s="1531"/>
      <c r="BQ87" s="14"/>
      <c r="BR87" s="3168">
        <f t="shared" si="62"/>
        <v>0</v>
      </c>
      <c r="BS87" s="1525"/>
      <c r="BT87" s="748"/>
      <c r="BU87" s="1532">
        <v>0</v>
      </c>
      <c r="BV87" s="1533">
        <v>0</v>
      </c>
      <c r="BW87" s="1533">
        <v>0</v>
      </c>
      <c r="BX87" s="1533">
        <v>0</v>
      </c>
      <c r="BY87" s="1533">
        <v>0</v>
      </c>
      <c r="BZ87" s="1533">
        <v>0</v>
      </c>
      <c r="CA87" s="1533">
        <v>0</v>
      </c>
      <c r="CB87" s="1533">
        <v>0</v>
      </c>
      <c r="CC87" s="1533">
        <v>0</v>
      </c>
      <c r="CD87" s="1533">
        <v>0</v>
      </c>
      <c r="CE87" s="1533">
        <v>0</v>
      </c>
      <c r="CF87" s="1533">
        <v>0</v>
      </c>
      <c r="CG87" s="1533">
        <v>0</v>
      </c>
      <c r="CH87" s="1533">
        <v>0</v>
      </c>
      <c r="CI87" s="1533">
        <v>0</v>
      </c>
      <c r="CJ87" s="1533">
        <v>0</v>
      </c>
      <c r="CK87" s="1533">
        <v>0</v>
      </c>
      <c r="CL87" s="1533">
        <v>0</v>
      </c>
      <c r="CM87" s="1533">
        <v>0</v>
      </c>
      <c r="CN87" s="1533">
        <v>0</v>
      </c>
      <c r="CO87" s="1533">
        <v>0</v>
      </c>
      <c r="CP87" s="1533">
        <v>0</v>
      </c>
      <c r="CQ87" s="1533">
        <v>0</v>
      </c>
      <c r="CR87" s="1533">
        <v>0</v>
      </c>
      <c r="CS87" s="1533">
        <v>0</v>
      </c>
      <c r="CT87" s="1533">
        <v>0</v>
      </c>
      <c r="CU87" s="1533">
        <v>0</v>
      </c>
      <c r="CV87" s="1533">
        <v>0</v>
      </c>
      <c r="CW87" s="1533">
        <v>0</v>
      </c>
      <c r="CX87" s="1533">
        <v>0</v>
      </c>
      <c r="CY87" s="1533">
        <v>0</v>
      </c>
      <c r="CZ87" s="1533">
        <v>0</v>
      </c>
      <c r="DA87" s="1533">
        <v>0</v>
      </c>
      <c r="DB87" s="1533">
        <v>0</v>
      </c>
      <c r="DC87" s="1533">
        <v>0</v>
      </c>
      <c r="DD87" s="1533">
        <v>0</v>
      </c>
      <c r="DE87" s="1533">
        <v>0</v>
      </c>
      <c r="DF87" s="1533">
        <v>0</v>
      </c>
      <c r="DG87" s="1533">
        <v>0</v>
      </c>
      <c r="DH87" s="1533">
        <v>0</v>
      </c>
      <c r="DI87" s="1533">
        <v>0</v>
      </c>
      <c r="DJ87" s="1533">
        <v>0</v>
      </c>
      <c r="DK87" s="1533">
        <v>0</v>
      </c>
      <c r="DL87" s="1533">
        <v>0</v>
      </c>
      <c r="DN87" s="1509">
        <v>0</v>
      </c>
    </row>
    <row r="88" spans="1:118" s="14" customFormat="1" ht="15.75" hidden="1" outlineLevel="1" collapsed="1" x14ac:dyDescent="0.2">
      <c r="A88" s="1845"/>
      <c r="B88" s="1846"/>
      <c r="C88" s="1842" t="s">
        <v>746</v>
      </c>
      <c r="D88" s="1843" t="s">
        <v>2283</v>
      </c>
      <c r="E88" s="1844"/>
      <c r="G88" s="1539"/>
      <c r="H88" s="1539"/>
      <c r="I88" s="1539"/>
      <c r="J88" s="1539"/>
      <c r="K88" s="1539"/>
      <c r="L88" s="1539"/>
      <c r="M88" s="1539"/>
      <c r="N88" s="1539"/>
      <c r="O88" s="1539"/>
      <c r="P88" s="1539"/>
      <c r="Q88" s="1539"/>
      <c r="R88" s="1539"/>
      <c r="S88" s="1539"/>
      <c r="T88" s="1539"/>
      <c r="U88" s="1539"/>
      <c r="V88" s="1539"/>
      <c r="W88" s="1539"/>
      <c r="Y88" s="1490"/>
      <c r="Z88" s="1490"/>
      <c r="AA88" s="1490"/>
      <c r="AB88" s="1490"/>
      <c r="AC88" s="1490"/>
      <c r="AD88" s="1490"/>
      <c r="AE88" s="1490"/>
      <c r="AF88" s="1490"/>
      <c r="AG88" s="1490"/>
      <c r="AH88" s="1490"/>
      <c r="AI88" s="1490"/>
      <c r="AJ88" s="1490"/>
      <c r="AK88" s="1490"/>
      <c r="AL88" s="1490"/>
      <c r="AM88" s="1490"/>
      <c r="AN88" s="1490"/>
      <c r="AO88" s="1490"/>
      <c r="AP88" s="1490"/>
      <c r="AQ88" s="1490"/>
      <c r="AS88" s="1491"/>
      <c r="AT88" s="1491"/>
      <c r="AU88" s="1491"/>
      <c r="AV88" s="1491"/>
      <c r="AW88" s="1491"/>
      <c r="AX88" s="1491"/>
      <c r="AY88" s="1491"/>
      <c r="AZ88" s="1491"/>
      <c r="BA88" s="1491"/>
      <c r="BB88" s="1491"/>
      <c r="BC88" s="1491"/>
      <c r="BD88" s="1491"/>
      <c r="BE88" s="1491"/>
      <c r="BF88" s="1491"/>
      <c r="BG88" s="1491"/>
      <c r="BH88" s="1491"/>
      <c r="BI88" s="1491"/>
      <c r="BJ88" s="1491"/>
      <c r="BK88" s="1491"/>
      <c r="BL88" s="1491"/>
      <c r="BN88" s="1492"/>
      <c r="BO88" s="1492"/>
      <c r="BP88" s="1492"/>
      <c r="BR88" s="3168">
        <f t="shared" si="62"/>
        <v>0</v>
      </c>
      <c r="BS88" s="1493"/>
      <c r="BT88" s="748"/>
      <c r="BU88" s="1508">
        <v>0</v>
      </c>
      <c r="BV88" s="1508">
        <v>0</v>
      </c>
      <c r="BW88" s="1508">
        <v>0</v>
      </c>
      <c r="BX88" s="1508">
        <v>0</v>
      </c>
      <c r="BY88" s="1508">
        <v>0</v>
      </c>
      <c r="BZ88" s="1508">
        <v>0</v>
      </c>
      <c r="CA88" s="1508">
        <v>0</v>
      </c>
      <c r="CB88" s="1508">
        <v>0</v>
      </c>
      <c r="CC88" s="1508">
        <v>0</v>
      </c>
      <c r="CD88" s="1508">
        <v>0</v>
      </c>
      <c r="CE88" s="1508">
        <v>0</v>
      </c>
      <c r="CF88" s="1508">
        <v>0</v>
      </c>
      <c r="CG88" s="1508">
        <v>0</v>
      </c>
      <c r="CH88" s="1508">
        <v>0</v>
      </c>
      <c r="CI88" s="1508">
        <v>0</v>
      </c>
      <c r="CJ88" s="1508">
        <v>0</v>
      </c>
      <c r="CK88" s="1508">
        <v>0</v>
      </c>
      <c r="CL88" s="1508">
        <v>0</v>
      </c>
      <c r="CM88" s="1508">
        <v>0</v>
      </c>
      <c r="CN88" s="1508">
        <v>0</v>
      </c>
      <c r="CO88" s="1508">
        <v>0</v>
      </c>
      <c r="CP88" s="1508">
        <v>0</v>
      </c>
      <c r="CQ88" s="1508">
        <v>0</v>
      </c>
      <c r="CR88" s="1508">
        <v>0</v>
      </c>
      <c r="CS88" s="1508">
        <v>0</v>
      </c>
      <c r="CT88" s="1508">
        <v>0</v>
      </c>
      <c r="CU88" s="1508">
        <v>0</v>
      </c>
      <c r="CV88" s="1508">
        <v>0</v>
      </c>
      <c r="CW88" s="1508">
        <v>0</v>
      </c>
      <c r="CX88" s="1508">
        <v>0</v>
      </c>
      <c r="CY88" s="1508">
        <v>0</v>
      </c>
      <c r="CZ88" s="1508">
        <v>0</v>
      </c>
      <c r="DA88" s="1508">
        <v>0</v>
      </c>
      <c r="DB88" s="1508">
        <v>0</v>
      </c>
      <c r="DC88" s="1508">
        <v>0</v>
      </c>
      <c r="DD88" s="1508">
        <v>0</v>
      </c>
      <c r="DE88" s="1508">
        <v>0</v>
      </c>
      <c r="DF88" s="1508">
        <v>0</v>
      </c>
      <c r="DG88" s="1508">
        <v>0</v>
      </c>
      <c r="DH88" s="1508">
        <v>0</v>
      </c>
      <c r="DI88" s="1508">
        <v>0</v>
      </c>
      <c r="DJ88" s="1508">
        <v>0</v>
      </c>
      <c r="DK88" s="1508">
        <v>0</v>
      </c>
      <c r="DL88" s="1508">
        <v>0</v>
      </c>
      <c r="DN88" s="1509">
        <v>0</v>
      </c>
    </row>
    <row r="89" spans="1:118" s="14" customFormat="1" ht="15.75" hidden="1" outlineLevel="1" x14ac:dyDescent="0.2">
      <c r="A89" s="1845"/>
      <c r="B89" s="1846"/>
      <c r="C89" s="1842"/>
      <c r="D89" s="1843"/>
      <c r="E89" s="1844"/>
      <c r="G89" s="1539"/>
      <c r="H89" s="1539"/>
      <c r="I89" s="1539"/>
      <c r="J89" s="1539"/>
      <c r="K89" s="1539"/>
      <c r="L89" s="1539"/>
      <c r="M89" s="1539"/>
      <c r="N89" s="1539"/>
      <c r="O89" s="1539"/>
      <c r="P89" s="1539"/>
      <c r="Q89" s="1539"/>
      <c r="R89" s="1539"/>
      <c r="S89" s="1539"/>
      <c r="T89" s="1539"/>
      <c r="U89" s="1539"/>
      <c r="V89" s="1539"/>
      <c r="W89" s="1539"/>
      <c r="Y89" s="1490"/>
      <c r="Z89" s="1490"/>
      <c r="AA89" s="1490"/>
      <c r="AB89" s="1490"/>
      <c r="AC89" s="1490"/>
      <c r="AD89" s="1490"/>
      <c r="AE89" s="1490"/>
      <c r="AF89" s="1490"/>
      <c r="AG89" s="1490"/>
      <c r="AH89" s="1490"/>
      <c r="AI89" s="1490"/>
      <c r="AJ89" s="1490"/>
      <c r="AK89" s="1490"/>
      <c r="AL89" s="1490"/>
      <c r="AM89" s="1490"/>
      <c r="AN89" s="1490"/>
      <c r="AO89" s="1490"/>
      <c r="AP89" s="1490"/>
      <c r="AQ89" s="1490"/>
      <c r="AS89" s="1491"/>
      <c r="AT89" s="1491"/>
      <c r="AU89" s="1491"/>
      <c r="AV89" s="1491"/>
      <c r="AW89" s="1491"/>
      <c r="AX89" s="1491"/>
      <c r="AY89" s="1491"/>
      <c r="AZ89" s="1491"/>
      <c r="BA89" s="1491"/>
      <c r="BB89" s="1491"/>
      <c r="BC89" s="1491"/>
      <c r="BD89" s="1491"/>
      <c r="BE89" s="1491"/>
      <c r="BF89" s="1491"/>
      <c r="BG89" s="1491"/>
      <c r="BH89" s="1491"/>
      <c r="BI89" s="1491"/>
      <c r="BJ89" s="1491"/>
      <c r="BK89" s="1491"/>
      <c r="BL89" s="1491"/>
      <c r="BN89" s="1492"/>
      <c r="BO89" s="1492"/>
      <c r="BP89" s="1492"/>
      <c r="BR89" s="3168">
        <f t="shared" si="62"/>
        <v>0</v>
      </c>
      <c r="BS89" s="1493"/>
      <c r="BT89" s="748"/>
      <c r="BU89" s="1508"/>
      <c r="BV89" s="1508"/>
      <c r="BW89" s="1508"/>
      <c r="BX89" s="1508"/>
      <c r="BY89" s="1508"/>
      <c r="BZ89" s="1508"/>
      <c r="CA89" s="1508"/>
      <c r="CB89" s="1508"/>
      <c r="CC89" s="1508"/>
      <c r="CD89" s="1508"/>
      <c r="CE89" s="1508"/>
      <c r="CF89" s="1508"/>
      <c r="CG89" s="1508"/>
      <c r="CH89" s="1508"/>
      <c r="CI89" s="1508"/>
      <c r="CJ89" s="1508"/>
      <c r="CK89" s="1508"/>
      <c r="CL89" s="1508"/>
      <c r="CM89" s="1508"/>
      <c r="CN89" s="1508"/>
      <c r="CO89" s="1508"/>
      <c r="CP89" s="1508"/>
      <c r="CQ89" s="1508"/>
      <c r="CR89" s="1508"/>
      <c r="CS89" s="1508"/>
      <c r="CT89" s="1508"/>
      <c r="CU89" s="1508"/>
      <c r="CV89" s="1508"/>
      <c r="CW89" s="1508"/>
      <c r="CX89" s="1508"/>
      <c r="CY89" s="1508"/>
      <c r="CZ89" s="1508"/>
      <c r="DA89" s="1508"/>
      <c r="DB89" s="1508"/>
      <c r="DC89" s="1508"/>
      <c r="DD89" s="1508"/>
      <c r="DE89" s="1508"/>
      <c r="DF89" s="1508"/>
      <c r="DG89" s="1508"/>
      <c r="DH89" s="1508"/>
      <c r="DI89" s="1508"/>
      <c r="DJ89" s="1508"/>
      <c r="DK89" s="1508"/>
      <c r="DL89" s="1508"/>
      <c r="DN89" s="1509"/>
    </row>
    <row r="90" spans="1:118" s="14" customFormat="1" ht="15.75" collapsed="1" x14ac:dyDescent="0.2">
      <c r="A90" s="1845"/>
      <c r="B90" s="1846"/>
      <c r="C90" s="1842"/>
      <c r="D90" s="1843"/>
      <c r="E90" s="1844"/>
      <c r="G90" s="1539"/>
      <c r="H90" s="1539"/>
      <c r="I90" s="1539"/>
      <c r="J90" s="1539"/>
      <c r="K90" s="1539"/>
      <c r="L90" s="1539"/>
      <c r="M90" s="1539"/>
      <c r="N90" s="1539"/>
      <c r="O90" s="1539"/>
      <c r="P90" s="1539"/>
      <c r="Q90" s="1539"/>
      <c r="R90" s="1539"/>
      <c r="S90" s="1539"/>
      <c r="T90" s="1539"/>
      <c r="U90" s="1539"/>
      <c r="V90" s="1539"/>
      <c r="W90" s="1539"/>
      <c r="Y90" s="1490"/>
      <c r="Z90" s="1490"/>
      <c r="AA90" s="1490"/>
      <c r="AB90" s="1490"/>
      <c r="AC90" s="1490"/>
      <c r="AD90" s="1490"/>
      <c r="AE90" s="1490"/>
      <c r="AF90" s="1490"/>
      <c r="AG90" s="1490"/>
      <c r="AH90" s="1490"/>
      <c r="AI90" s="1490"/>
      <c r="AJ90" s="1490"/>
      <c r="AK90" s="1490"/>
      <c r="AL90" s="1490"/>
      <c r="AM90" s="1490"/>
      <c r="AN90" s="1490"/>
      <c r="AO90" s="1490"/>
      <c r="AP90" s="1490"/>
      <c r="AQ90" s="1490"/>
      <c r="AS90" s="1491"/>
      <c r="AT90" s="1491"/>
      <c r="AU90" s="1491"/>
      <c r="AV90" s="1491"/>
      <c r="AW90" s="1491"/>
      <c r="AX90" s="1491"/>
      <c r="AY90" s="1491"/>
      <c r="AZ90" s="1491"/>
      <c r="BA90" s="1491"/>
      <c r="BB90" s="1491"/>
      <c r="BC90" s="1491"/>
      <c r="BD90" s="1491"/>
      <c r="BE90" s="1491"/>
      <c r="BF90" s="1491"/>
      <c r="BG90" s="1491"/>
      <c r="BH90" s="1491"/>
      <c r="BI90" s="1491"/>
      <c r="BJ90" s="1491"/>
      <c r="BK90" s="1491"/>
      <c r="BL90" s="1491"/>
      <c r="BN90" s="1492"/>
      <c r="BO90" s="1492"/>
      <c r="BP90" s="1492"/>
      <c r="BR90" s="3168"/>
      <c r="BS90" s="1493"/>
      <c r="BT90" s="748"/>
      <c r="BU90" s="1508"/>
      <c r="BV90" s="1508"/>
      <c r="BW90" s="1508"/>
      <c r="BX90" s="1508"/>
      <c r="BY90" s="1508"/>
      <c r="BZ90" s="1508"/>
      <c r="CA90" s="1508"/>
      <c r="CB90" s="1508"/>
      <c r="CC90" s="1508"/>
      <c r="CD90" s="1508"/>
      <c r="CE90" s="1508"/>
      <c r="CF90" s="1508"/>
      <c r="CG90" s="1508"/>
      <c r="CH90" s="1508"/>
      <c r="CI90" s="1508"/>
      <c r="CJ90" s="1508"/>
      <c r="CK90" s="1508"/>
      <c r="CL90" s="1508"/>
      <c r="CM90" s="1508"/>
      <c r="CN90" s="1508"/>
      <c r="CO90" s="1508"/>
      <c r="CP90" s="1508"/>
      <c r="CQ90" s="1508"/>
      <c r="CR90" s="1508"/>
      <c r="CS90" s="1508"/>
      <c r="CT90" s="1508"/>
      <c r="CU90" s="1508"/>
      <c r="CV90" s="1508"/>
      <c r="CW90" s="1508"/>
      <c r="CX90" s="1508"/>
      <c r="CY90" s="1508"/>
      <c r="CZ90" s="1508"/>
      <c r="DA90" s="1508"/>
      <c r="DB90" s="1508"/>
      <c r="DC90" s="1508"/>
      <c r="DD90" s="1508"/>
      <c r="DE90" s="1508"/>
      <c r="DF90" s="1508"/>
      <c r="DG90" s="1508"/>
      <c r="DH90" s="1508"/>
      <c r="DI90" s="1508"/>
      <c r="DJ90" s="1508"/>
      <c r="DK90" s="1508"/>
      <c r="DL90" s="1508"/>
      <c r="DN90" s="1509"/>
    </row>
    <row r="91" spans="1:118" s="14" customFormat="1" ht="6" customHeight="1" x14ac:dyDescent="0.2">
      <c r="C91" s="1552"/>
      <c r="D91" s="1537"/>
      <c r="E91" s="1430"/>
      <c r="G91" s="1488"/>
      <c r="H91" s="1488"/>
      <c r="I91" s="1488"/>
      <c r="J91" s="1488"/>
      <c r="K91" s="1488"/>
      <c r="L91" s="1488"/>
      <c r="M91" s="1488"/>
      <c r="N91" s="1488"/>
      <c r="O91" s="1563"/>
      <c r="P91" s="1488"/>
      <c r="Q91" s="1488"/>
      <c r="R91" s="1488"/>
      <c r="S91" s="1488"/>
      <c r="T91" s="1488"/>
      <c r="U91" s="1488"/>
      <c r="V91" s="1488"/>
      <c r="W91" s="1488"/>
      <c r="Y91" s="1490"/>
      <c r="Z91" s="1490"/>
      <c r="AA91" s="1490"/>
      <c r="AB91" s="1490"/>
      <c r="AC91" s="1490"/>
      <c r="AD91" s="1490"/>
      <c r="AE91" s="1490"/>
      <c r="AF91" s="1490"/>
      <c r="AG91" s="1490"/>
      <c r="AH91" s="1490"/>
      <c r="AI91" s="1490"/>
      <c r="AJ91" s="1490"/>
      <c r="AK91" s="1490"/>
      <c r="AL91" s="1490"/>
      <c r="AM91" s="1490"/>
      <c r="AN91" s="1490"/>
      <c r="AO91" s="1490"/>
      <c r="AP91" s="1490"/>
      <c r="AQ91" s="1490"/>
      <c r="AS91" s="1491"/>
      <c r="AT91" s="1491"/>
      <c r="AU91" s="1491"/>
      <c r="AV91" s="1491"/>
      <c r="AW91" s="1491"/>
      <c r="AX91" s="1491"/>
      <c r="AY91" s="1491"/>
      <c r="AZ91" s="1491"/>
      <c r="BA91" s="1491"/>
      <c r="BB91" s="1491"/>
      <c r="BC91" s="1491"/>
      <c r="BD91" s="1491"/>
      <c r="BE91" s="1491"/>
      <c r="BF91" s="1491"/>
      <c r="BG91" s="1491"/>
      <c r="BH91" s="1491"/>
      <c r="BI91" s="1491"/>
      <c r="BJ91" s="1491"/>
      <c r="BK91" s="1491"/>
      <c r="BL91" s="1491"/>
      <c r="BN91" s="1492"/>
      <c r="BO91" s="1492"/>
      <c r="BP91" s="1492"/>
      <c r="BR91" s="3168"/>
      <c r="BS91" s="1493"/>
      <c r="BU91" s="1508"/>
      <c r="BV91" s="1508"/>
      <c r="BW91" s="1508"/>
      <c r="BX91" s="1508"/>
      <c r="BY91" s="1508"/>
      <c r="BZ91" s="1508"/>
      <c r="CA91" s="1508"/>
      <c r="CB91" s="1508"/>
      <c r="CC91" s="1508"/>
      <c r="CD91" s="1508"/>
      <c r="CE91" s="1508"/>
      <c r="CF91" s="1508"/>
      <c r="CG91" s="1508"/>
      <c r="CH91" s="1508"/>
      <c r="CI91" s="1508"/>
      <c r="CJ91" s="1508"/>
      <c r="CK91" s="1508"/>
      <c r="CL91" s="1508"/>
      <c r="CM91" s="1508"/>
      <c r="CN91" s="1508"/>
      <c r="CO91" s="1508"/>
      <c r="CP91" s="1508"/>
      <c r="CQ91" s="1508"/>
      <c r="CR91" s="1508"/>
      <c r="CS91" s="1508"/>
      <c r="CT91" s="1508"/>
      <c r="CU91" s="1508"/>
      <c r="CV91" s="1508"/>
      <c r="CW91" s="1508"/>
      <c r="CX91" s="1508"/>
      <c r="CY91" s="1508"/>
      <c r="CZ91" s="1508"/>
      <c r="DA91" s="1508"/>
      <c r="DB91" s="1508"/>
      <c r="DC91" s="1508"/>
      <c r="DD91" s="1508"/>
      <c r="DE91" s="1508"/>
      <c r="DF91" s="1508"/>
      <c r="DG91" s="1508"/>
      <c r="DH91" s="1508"/>
      <c r="DI91" s="1508"/>
      <c r="DJ91" s="1508"/>
      <c r="DK91" s="1508"/>
      <c r="DL91" s="1508"/>
      <c r="DN91" s="1509"/>
    </row>
    <row r="92" spans="1:118" s="14" customFormat="1" ht="15.75" x14ac:dyDescent="0.2">
      <c r="B92" s="1535"/>
      <c r="C92" s="1553"/>
      <c r="D92" s="1554" t="s">
        <v>917</v>
      </c>
      <c r="E92" s="1555"/>
      <c r="F92" s="1556">
        <f t="shared" ref="F92:V92" si="63">F54+F59+F76+F70+F82</f>
        <v>0</v>
      </c>
      <c r="G92" s="1556">
        <f t="shared" si="63"/>
        <v>0</v>
      </c>
      <c r="H92" s="1556">
        <f t="shared" si="63"/>
        <v>0</v>
      </c>
      <c r="I92" s="1556">
        <f t="shared" si="63"/>
        <v>0</v>
      </c>
      <c r="J92" s="1556">
        <f t="shared" si="63"/>
        <v>0</v>
      </c>
      <c r="K92" s="1556">
        <f t="shared" si="63"/>
        <v>0</v>
      </c>
      <c r="L92" s="1556">
        <f t="shared" si="63"/>
        <v>0</v>
      </c>
      <c r="M92" s="1556">
        <f t="shared" si="63"/>
        <v>0</v>
      </c>
      <c r="N92" s="1556">
        <f t="shared" si="63"/>
        <v>0</v>
      </c>
      <c r="O92" s="1556">
        <f t="shared" si="63"/>
        <v>0</v>
      </c>
      <c r="P92" s="1556">
        <f t="shared" si="63"/>
        <v>0</v>
      </c>
      <c r="Q92" s="1556">
        <f t="shared" si="63"/>
        <v>0</v>
      </c>
      <c r="R92" s="1556">
        <f t="shared" si="63"/>
        <v>0</v>
      </c>
      <c r="S92" s="1556">
        <f t="shared" si="63"/>
        <v>0</v>
      </c>
      <c r="T92" s="1556">
        <f t="shared" si="63"/>
        <v>0</v>
      </c>
      <c r="U92" s="1556">
        <f t="shared" si="63"/>
        <v>0</v>
      </c>
      <c r="V92" s="1556">
        <f t="shared" si="63"/>
        <v>0</v>
      </c>
      <c r="W92" s="1556">
        <f>W54+W59+W76+W70+W82</f>
        <v>0</v>
      </c>
      <c r="Y92" s="1557">
        <f ca="1">Y54+Y59+Y76+Y70+Y82</f>
        <v>0</v>
      </c>
      <c r="Z92" s="1557">
        <f t="shared" ref="Z92:AP92" ca="1" si="64">Z54+Z59+Z76+Z70+Z82</f>
        <v>117.65200581808284</v>
      </c>
      <c r="AA92" s="1557">
        <f t="shared" ca="1" si="64"/>
        <v>-106.3925887711122</v>
      </c>
      <c r="AB92" s="1557">
        <f t="shared" ca="1" si="64"/>
        <v>-13.299073596389029</v>
      </c>
      <c r="AC92" s="1557">
        <f t="shared" ca="1" si="64"/>
        <v>-60.795765012064123</v>
      </c>
      <c r="AD92" s="1557">
        <f t="shared" ca="1" si="64"/>
        <v>0</v>
      </c>
      <c r="AE92" s="1557">
        <f t="shared" ca="1" si="64"/>
        <v>0</v>
      </c>
      <c r="AF92" s="1557">
        <f t="shared" ca="1" si="64"/>
        <v>0</v>
      </c>
      <c r="AG92" s="1557">
        <f t="shared" ca="1" si="64"/>
        <v>0</v>
      </c>
      <c r="AH92" s="1557">
        <f t="shared" ca="1" si="64"/>
        <v>0</v>
      </c>
      <c r="AI92" s="1557">
        <f t="shared" ca="1" si="64"/>
        <v>0</v>
      </c>
      <c r="AJ92" s="1557">
        <f t="shared" ca="1" si="64"/>
        <v>0</v>
      </c>
      <c r="AK92" s="1557">
        <f t="shared" ca="1" si="64"/>
        <v>0</v>
      </c>
      <c r="AL92" s="1557">
        <f t="shared" ca="1" si="64"/>
        <v>-2.9453760000000004</v>
      </c>
      <c r="AM92" s="1557">
        <f t="shared" ca="1" si="64"/>
        <v>0</v>
      </c>
      <c r="AN92" s="1557">
        <f t="shared" ca="1" si="64"/>
        <v>0</v>
      </c>
      <c r="AO92" s="1557">
        <f t="shared" ca="1" si="64"/>
        <v>0</v>
      </c>
      <c r="AP92" s="1557">
        <f t="shared" ca="1" si="64"/>
        <v>0</v>
      </c>
      <c r="AQ92" s="1557">
        <f ca="1">AQ54+AQ59+AQ76+AQ70+AQ82</f>
        <v>-65.780797561482515</v>
      </c>
      <c r="AS92" s="1558">
        <f ca="1">AS54+AS59+AS76+AS70+AS82</f>
        <v>0</v>
      </c>
      <c r="AT92" s="1558">
        <f t="shared" ref="AT92:BK92" ca="1" si="65">AT54+AT59+AT76+AT70+AT82</f>
        <v>0</v>
      </c>
      <c r="AU92" s="1558">
        <f t="shared" ca="1" si="65"/>
        <v>0</v>
      </c>
      <c r="AV92" s="1558">
        <f t="shared" ca="1" si="65"/>
        <v>0</v>
      </c>
      <c r="AW92" s="1558">
        <f t="shared" ca="1" si="65"/>
        <v>0</v>
      </c>
      <c r="AX92" s="1558">
        <f t="shared" ca="1" si="65"/>
        <v>0</v>
      </c>
      <c r="AY92" s="1558">
        <f t="shared" ca="1" si="65"/>
        <v>0</v>
      </c>
      <c r="AZ92" s="1558">
        <f t="shared" ca="1" si="65"/>
        <v>0</v>
      </c>
      <c r="BA92" s="1558">
        <f t="shared" ca="1" si="65"/>
        <v>0</v>
      </c>
      <c r="BB92" s="1558">
        <f t="shared" ca="1" si="65"/>
        <v>0</v>
      </c>
      <c r="BC92" s="1558">
        <f t="shared" ca="1" si="65"/>
        <v>-9.2764918294185907</v>
      </c>
      <c r="BD92" s="1558">
        <f t="shared" ca="1" si="65"/>
        <v>-5.5183487999999992</v>
      </c>
      <c r="BE92" s="1558">
        <f t="shared" ca="1" si="65"/>
        <v>-1.8638707500000001E-2</v>
      </c>
      <c r="BF92" s="1558">
        <f t="shared" ca="1" si="65"/>
        <v>-1.03548375E-2</v>
      </c>
      <c r="BG92" s="1558">
        <f t="shared" ca="1" si="65"/>
        <v>-0.35064000000000006</v>
      </c>
      <c r="BH92" s="1558">
        <f t="shared" ca="1" si="65"/>
        <v>-26.122679999999999</v>
      </c>
      <c r="BI92" s="1558">
        <f t="shared" ca="1" si="65"/>
        <v>0</v>
      </c>
      <c r="BJ92" s="1558">
        <f t="shared" ca="1" si="65"/>
        <v>0</v>
      </c>
      <c r="BK92" s="1558">
        <f t="shared" ca="1" si="65"/>
        <v>-0.41798007633543621</v>
      </c>
      <c r="BL92" s="1558">
        <f ca="1">BL54+BL59+BL76+BL70+BL82</f>
        <v>-41.715134250754026</v>
      </c>
      <c r="BN92" s="1559">
        <f ca="1">BN70+BN76+BN59+BN54+BN82</f>
        <v>103.68939742087011</v>
      </c>
      <c r="BO92" s="1559">
        <f ca="1">BO70+BO76+BO59+BO54+BO82</f>
        <v>3.8065343913664385</v>
      </c>
      <c r="BP92" s="1559">
        <f ca="1">BP54+BP59+BP76+BP70</f>
        <v>107.49593181223655</v>
      </c>
      <c r="BR92" s="3168">
        <f ca="1">W92+AQ92+BL92+BP92</f>
        <v>0</v>
      </c>
      <c r="BS92" s="1560"/>
      <c r="BU92" s="1561">
        <v>226.09341168494953</v>
      </c>
      <c r="BV92" s="1561">
        <v>0.56291143459540849</v>
      </c>
      <c r="BW92" s="1561">
        <v>1.6437392022754262</v>
      </c>
      <c r="BX92" s="1561">
        <v>0</v>
      </c>
      <c r="BY92" s="1561">
        <v>5.0916819860234304</v>
      </c>
      <c r="BZ92" s="1561">
        <v>2.6403129612517775</v>
      </c>
      <c r="CA92" s="1561">
        <v>0</v>
      </c>
      <c r="CB92" s="1561">
        <v>0</v>
      </c>
      <c r="CC92" s="1561">
        <v>0</v>
      </c>
      <c r="CD92" s="1561">
        <v>0</v>
      </c>
      <c r="CE92" s="1561">
        <v>0</v>
      </c>
      <c r="CF92" s="1561">
        <v>0</v>
      </c>
      <c r="CG92" s="1561">
        <v>0</v>
      </c>
      <c r="CH92" s="1561">
        <v>0</v>
      </c>
      <c r="CI92" s="1561">
        <v>0</v>
      </c>
      <c r="CJ92" s="1561">
        <v>0</v>
      </c>
      <c r="CK92" s="1561">
        <v>0</v>
      </c>
      <c r="CL92" s="1561">
        <v>20.026732599999995</v>
      </c>
      <c r="CM92" s="1561">
        <v>23.28</v>
      </c>
      <c r="CN92" s="1561">
        <v>0</v>
      </c>
      <c r="CO92" s="1561">
        <v>-1.8247953999999991</v>
      </c>
      <c r="CP92" s="1561">
        <v>0</v>
      </c>
      <c r="CQ92" s="1561">
        <v>0</v>
      </c>
      <c r="CR92" s="1561">
        <v>0</v>
      </c>
      <c r="CS92" s="1561">
        <v>0</v>
      </c>
      <c r="CT92" s="1561">
        <v>21.652248115789206</v>
      </c>
      <c r="CU92" s="1561">
        <v>1.2204197534285715</v>
      </c>
      <c r="CV92" s="1561">
        <v>0</v>
      </c>
      <c r="CW92" s="1561">
        <v>0</v>
      </c>
      <c r="CX92" s="1561">
        <v>0</v>
      </c>
      <c r="CY92" s="1561">
        <v>0</v>
      </c>
      <c r="CZ92" s="1561">
        <v>0</v>
      </c>
      <c r="DA92" s="1561">
        <v>0</v>
      </c>
      <c r="DB92" s="1561">
        <v>0</v>
      </c>
      <c r="DC92" s="1561">
        <v>0</v>
      </c>
      <c r="DD92" s="1561">
        <v>0</v>
      </c>
      <c r="DE92" s="1561">
        <v>0</v>
      </c>
      <c r="DF92" s="1561">
        <v>0</v>
      </c>
      <c r="DG92" s="1561">
        <v>0</v>
      </c>
      <c r="DH92" s="1561">
        <v>0</v>
      </c>
      <c r="DI92" s="1561">
        <v>0</v>
      </c>
      <c r="DJ92" s="1561">
        <v>0</v>
      </c>
      <c r="DK92" s="1561">
        <v>0</v>
      </c>
      <c r="DL92" s="1561">
        <v>0</v>
      </c>
      <c r="DN92" s="1562">
        <v>300.38666233831339</v>
      </c>
    </row>
    <row r="93" spans="1:118" s="14" customFormat="1" ht="6" customHeight="1" x14ac:dyDescent="0.2">
      <c r="C93" s="1552"/>
      <c r="D93" s="1537"/>
      <c r="E93" s="1430"/>
      <c r="G93" s="1488"/>
      <c r="H93" s="1488"/>
      <c r="I93" s="1488"/>
      <c r="J93" s="1488"/>
      <c r="K93" s="1488"/>
      <c r="L93" s="1488"/>
      <c r="M93" s="1488"/>
      <c r="N93" s="1488"/>
      <c r="O93" s="1563"/>
      <c r="P93" s="1488"/>
      <c r="Q93" s="1488"/>
      <c r="R93" s="1488"/>
      <c r="S93" s="1488"/>
      <c r="T93" s="1488"/>
      <c r="U93" s="1488"/>
      <c r="V93" s="1488"/>
      <c r="W93" s="1488"/>
      <c r="Y93" s="1490"/>
      <c r="Z93" s="1490"/>
      <c r="AA93" s="1490"/>
      <c r="AB93" s="1490"/>
      <c r="AC93" s="1490"/>
      <c r="AD93" s="1490"/>
      <c r="AE93" s="1490"/>
      <c r="AF93" s="1490"/>
      <c r="AG93" s="1490"/>
      <c r="AH93" s="1490"/>
      <c r="AI93" s="1490"/>
      <c r="AJ93" s="1490"/>
      <c r="AK93" s="1490"/>
      <c r="AL93" s="1490"/>
      <c r="AM93" s="1490"/>
      <c r="AN93" s="1490"/>
      <c r="AO93" s="1490"/>
      <c r="AP93" s="1490"/>
      <c r="AQ93" s="1490"/>
      <c r="AS93" s="1491"/>
      <c r="AT93" s="1491"/>
      <c r="AU93" s="1491"/>
      <c r="AV93" s="1491"/>
      <c r="AW93" s="1491"/>
      <c r="AX93" s="1491"/>
      <c r="AY93" s="1491"/>
      <c r="AZ93" s="1491"/>
      <c r="BA93" s="1491"/>
      <c r="BB93" s="1491"/>
      <c r="BC93" s="1491"/>
      <c r="BD93" s="1491"/>
      <c r="BE93" s="1491"/>
      <c r="BF93" s="1491"/>
      <c r="BG93" s="1491"/>
      <c r="BH93" s="1491"/>
      <c r="BI93" s="1491"/>
      <c r="BJ93" s="1491"/>
      <c r="BK93" s="1491"/>
      <c r="BL93" s="1491"/>
      <c r="BN93" s="1492"/>
      <c r="BO93" s="1492"/>
      <c r="BP93" s="1492"/>
      <c r="BR93" s="3168"/>
      <c r="BS93" s="1493"/>
      <c r="BU93" s="1508"/>
      <c r="BV93" s="1508"/>
      <c r="BW93" s="1508"/>
      <c r="BX93" s="1508"/>
      <c r="BY93" s="1508"/>
      <c r="BZ93" s="1508"/>
      <c r="CA93" s="1508"/>
      <c r="CB93" s="1508"/>
      <c r="CC93" s="1508"/>
      <c r="CD93" s="1508"/>
      <c r="CE93" s="1508"/>
      <c r="CF93" s="1508"/>
      <c r="CG93" s="1508"/>
      <c r="CH93" s="1508"/>
      <c r="CI93" s="1508"/>
      <c r="CJ93" s="1508"/>
      <c r="CK93" s="1508"/>
      <c r="CL93" s="1508"/>
      <c r="CM93" s="1508"/>
      <c r="CN93" s="1508"/>
      <c r="CO93" s="1508"/>
      <c r="CP93" s="1508"/>
      <c r="CQ93" s="1508"/>
      <c r="CR93" s="1508"/>
      <c r="CS93" s="1508"/>
      <c r="CT93" s="1508"/>
      <c r="CU93" s="1508"/>
      <c r="CV93" s="1508"/>
      <c r="CW93" s="1508"/>
      <c r="CX93" s="1508"/>
      <c r="CY93" s="1508"/>
      <c r="CZ93" s="1508"/>
      <c r="DA93" s="1508"/>
      <c r="DB93" s="1508"/>
      <c r="DC93" s="1508"/>
      <c r="DD93" s="1508"/>
      <c r="DE93" s="1508"/>
      <c r="DF93" s="1508"/>
      <c r="DG93" s="1508"/>
      <c r="DH93" s="1508"/>
      <c r="DI93" s="1508"/>
      <c r="DJ93" s="1508"/>
      <c r="DK93" s="1508"/>
      <c r="DL93" s="1508"/>
      <c r="DN93" s="1509"/>
    </row>
    <row r="94" spans="1:118" s="14" customFormat="1" ht="24" customHeight="1" outlineLevel="1" x14ac:dyDescent="0.2">
      <c r="C94" s="1480"/>
      <c r="D94" s="1480"/>
      <c r="E94" s="1481"/>
      <c r="G94" s="1482"/>
      <c r="H94" s="1482"/>
      <c r="I94" s="1482"/>
      <c r="J94" s="1482"/>
      <c r="K94" s="1482"/>
      <c r="L94" s="1482"/>
      <c r="M94" s="1482"/>
      <c r="N94" s="1482"/>
      <c r="O94" s="1482"/>
      <c r="P94" s="1482"/>
      <c r="Q94" s="1482"/>
      <c r="R94" s="1482"/>
      <c r="S94" s="1482"/>
      <c r="T94" s="1482"/>
      <c r="U94" s="1482"/>
      <c r="V94" s="1482"/>
      <c r="W94" s="1482"/>
      <c r="Y94" s="1596"/>
      <c r="Z94" s="1596"/>
      <c r="AA94" s="1596"/>
      <c r="AB94" s="1596"/>
      <c r="AC94" s="1596"/>
      <c r="AD94" s="1483"/>
      <c r="AE94" s="1483"/>
      <c r="AF94" s="1483"/>
      <c r="AG94" s="1596"/>
      <c r="AH94" s="1596"/>
      <c r="AI94" s="1596"/>
      <c r="AJ94" s="1596"/>
      <c r="AK94" s="1596"/>
      <c r="AL94" s="1596"/>
      <c r="AM94" s="1596"/>
      <c r="AN94" s="1596"/>
      <c r="AO94" s="1596"/>
      <c r="AP94" s="1596"/>
      <c r="AQ94" s="1596"/>
      <c r="AS94" s="1597"/>
      <c r="AT94" s="1597"/>
      <c r="AU94" s="1597"/>
      <c r="AV94" s="1597"/>
      <c r="AW94" s="1597"/>
      <c r="AX94" s="1597"/>
      <c r="AY94" s="1597"/>
      <c r="AZ94" s="1597"/>
      <c r="BA94" s="1597"/>
      <c r="BB94" s="1597"/>
      <c r="BC94" s="1484"/>
      <c r="BD94" s="1484"/>
      <c r="BE94" s="1484"/>
      <c r="BF94" s="1484"/>
      <c r="BG94" s="1484"/>
      <c r="BH94" s="1484"/>
      <c r="BI94" s="1484"/>
      <c r="BJ94" s="1484"/>
      <c r="BK94" s="1484"/>
      <c r="BL94" s="1597"/>
      <c r="BN94" s="1598"/>
      <c r="BO94" s="1598"/>
      <c r="BP94" s="1598"/>
      <c r="BR94" s="3168"/>
      <c r="BS94" s="1486"/>
      <c r="BU94" s="1508"/>
      <c r="BV94" s="1508"/>
      <c r="BW94" s="1508"/>
      <c r="BX94" s="1508"/>
      <c r="BY94" s="1508"/>
      <c r="BZ94" s="1508"/>
      <c r="CA94" s="1508"/>
      <c r="CB94" s="1508"/>
      <c r="CC94" s="1508"/>
      <c r="CD94" s="1508"/>
      <c r="CE94" s="1508"/>
      <c r="CF94" s="1508"/>
      <c r="CG94" s="1508"/>
      <c r="CH94" s="1508"/>
      <c r="CI94" s="1508"/>
      <c r="CJ94" s="1508"/>
      <c r="CK94" s="1508"/>
      <c r="CL94" s="1508"/>
      <c r="CM94" s="1508"/>
      <c r="CN94" s="1508"/>
      <c r="CO94" s="1508"/>
      <c r="CP94" s="1508"/>
      <c r="CQ94" s="1508"/>
      <c r="CR94" s="1508"/>
      <c r="CS94" s="1508"/>
      <c r="CT94" s="1508"/>
      <c r="CU94" s="1508"/>
      <c r="CV94" s="1508"/>
      <c r="CW94" s="1508"/>
      <c r="CX94" s="1508"/>
      <c r="CY94" s="1508"/>
      <c r="CZ94" s="1508"/>
      <c r="DA94" s="1508"/>
      <c r="DB94" s="1508"/>
      <c r="DC94" s="1508"/>
      <c r="DD94" s="1508"/>
      <c r="DE94" s="1508"/>
      <c r="DF94" s="1508"/>
      <c r="DG94" s="1508"/>
      <c r="DH94" s="1508"/>
      <c r="DI94" s="1508"/>
      <c r="DJ94" s="1508"/>
      <c r="DK94" s="1508"/>
      <c r="DL94" s="1508"/>
      <c r="DN94" s="1509"/>
    </row>
    <row r="95" spans="1:118" s="14" customFormat="1" ht="6" customHeight="1" outlineLevel="1" x14ac:dyDescent="0.2">
      <c r="C95" s="1580"/>
      <c r="D95" s="746"/>
      <c r="E95" s="1430"/>
      <c r="G95" s="1488"/>
      <c r="H95" s="1488"/>
      <c r="I95" s="1488"/>
      <c r="J95" s="1488"/>
      <c r="K95" s="1488"/>
      <c r="L95" s="1488"/>
      <c r="M95" s="1488"/>
      <c r="N95" s="1488"/>
      <c r="O95" s="1563"/>
      <c r="P95" s="1488"/>
      <c r="Q95" s="1488"/>
      <c r="R95" s="1488"/>
      <c r="S95" s="1488"/>
      <c r="T95" s="1488"/>
      <c r="U95" s="1488"/>
      <c r="V95" s="1488"/>
      <c r="W95" s="1488"/>
      <c r="Y95" s="1490"/>
      <c r="Z95" s="1490"/>
      <c r="AA95" s="1490"/>
      <c r="AB95" s="1490"/>
      <c r="AC95" s="1490"/>
      <c r="AD95" s="1490"/>
      <c r="AE95" s="1490"/>
      <c r="AF95" s="1490"/>
      <c r="AG95" s="1490"/>
      <c r="AH95" s="1490"/>
      <c r="AI95" s="1490"/>
      <c r="AJ95" s="1490"/>
      <c r="AK95" s="1490"/>
      <c r="AL95" s="1490"/>
      <c r="AM95" s="1490"/>
      <c r="AN95" s="1490"/>
      <c r="AO95" s="1490"/>
      <c r="AP95" s="1490"/>
      <c r="AQ95" s="1490"/>
      <c r="AS95" s="1491"/>
      <c r="AT95" s="1491"/>
      <c r="AU95" s="1491"/>
      <c r="AV95" s="1491"/>
      <c r="AW95" s="1491"/>
      <c r="AX95" s="1491"/>
      <c r="AY95" s="1491"/>
      <c r="AZ95" s="1491"/>
      <c r="BA95" s="1491"/>
      <c r="BB95" s="1491"/>
      <c r="BC95" s="1491"/>
      <c r="BD95" s="1491"/>
      <c r="BE95" s="1491"/>
      <c r="BF95" s="1491"/>
      <c r="BG95" s="1491"/>
      <c r="BH95" s="1491"/>
      <c r="BI95" s="1491"/>
      <c r="BJ95" s="1491"/>
      <c r="BK95" s="1491"/>
      <c r="BL95" s="1491"/>
      <c r="BN95" s="1492"/>
      <c r="BO95" s="1492"/>
      <c r="BP95" s="1492"/>
      <c r="BR95" s="3168"/>
      <c r="BS95" s="1493"/>
      <c r="BU95" s="1508"/>
      <c r="BV95" s="1508"/>
      <c r="BW95" s="1508"/>
      <c r="BX95" s="1508"/>
      <c r="BY95" s="1508"/>
      <c r="BZ95" s="1508"/>
      <c r="CA95" s="1508"/>
      <c r="CB95" s="1508"/>
      <c r="CC95" s="1508"/>
      <c r="CD95" s="1508"/>
      <c r="CE95" s="1508"/>
      <c r="CF95" s="1508"/>
      <c r="CG95" s="1508"/>
      <c r="CH95" s="1508"/>
      <c r="CI95" s="1508"/>
      <c r="CJ95" s="1508"/>
      <c r="CK95" s="1508"/>
      <c r="CL95" s="1508"/>
      <c r="CM95" s="1508"/>
      <c r="CN95" s="1508"/>
      <c r="CO95" s="1508"/>
      <c r="CP95" s="1508"/>
      <c r="CQ95" s="1508"/>
      <c r="CR95" s="1508"/>
      <c r="CS95" s="1508"/>
      <c r="CT95" s="1508"/>
      <c r="CU95" s="1508"/>
      <c r="CV95" s="1508"/>
      <c r="CW95" s="1508"/>
      <c r="CX95" s="1508"/>
      <c r="CY95" s="1508"/>
      <c r="CZ95" s="1508"/>
      <c r="DA95" s="1508"/>
      <c r="DB95" s="1508"/>
      <c r="DC95" s="1508"/>
      <c r="DD95" s="1508"/>
      <c r="DE95" s="1508"/>
      <c r="DF95" s="1508"/>
      <c r="DG95" s="1508"/>
      <c r="DH95" s="1508"/>
      <c r="DI95" s="1508"/>
      <c r="DJ95" s="1508"/>
      <c r="DK95" s="1508"/>
      <c r="DL95" s="1508"/>
      <c r="DN95" s="1509"/>
    </row>
    <row r="96" spans="1:118" s="14" customFormat="1" hidden="1" outlineLevel="2" x14ac:dyDescent="0.2">
      <c r="A96" s="1578"/>
      <c r="B96" s="1578"/>
      <c r="C96" s="1599"/>
      <c r="D96" s="1600"/>
      <c r="E96" s="1600"/>
      <c r="G96" s="1601"/>
      <c r="H96" s="1601"/>
      <c r="I96" s="1601"/>
      <c r="J96" s="1601"/>
      <c r="K96" s="1601"/>
      <c r="L96" s="1601"/>
      <c r="M96" s="1601"/>
      <c r="N96" s="1601"/>
      <c r="O96" s="1602"/>
      <c r="P96" s="1601"/>
      <c r="Q96" s="1601"/>
      <c r="R96" s="1601"/>
      <c r="S96" s="1601"/>
      <c r="T96" s="1601"/>
      <c r="U96" s="1601"/>
      <c r="V96" s="1601"/>
      <c r="W96" s="1601"/>
      <c r="Y96" s="1603"/>
      <c r="Z96" s="1603"/>
      <c r="AA96" s="1603"/>
      <c r="AB96" s="1603"/>
      <c r="AC96" s="1603"/>
      <c r="AD96" s="1603"/>
      <c r="AE96" s="1603"/>
      <c r="AF96" s="1603"/>
      <c r="AG96" s="1603"/>
      <c r="AH96" s="1603"/>
      <c r="AI96" s="1603"/>
      <c r="AJ96" s="1603"/>
      <c r="AK96" s="1603"/>
      <c r="AL96" s="1603"/>
      <c r="AM96" s="1603"/>
      <c r="AN96" s="1603"/>
      <c r="AO96" s="1603"/>
      <c r="AP96" s="1603"/>
      <c r="AQ96" s="1603"/>
      <c r="AS96" s="1604"/>
      <c r="AT96" s="1604"/>
      <c r="AU96" s="1604"/>
      <c r="AV96" s="1604"/>
      <c r="AW96" s="1604"/>
      <c r="AX96" s="1604"/>
      <c r="AY96" s="1604"/>
      <c r="AZ96" s="1604"/>
      <c r="BA96" s="1604"/>
      <c r="BB96" s="1604"/>
      <c r="BC96" s="1604"/>
      <c r="BD96" s="1604"/>
      <c r="BE96" s="1604"/>
      <c r="BF96" s="1604"/>
      <c r="BG96" s="1604"/>
      <c r="BH96" s="1604"/>
      <c r="BI96" s="1604"/>
      <c r="BJ96" s="1604"/>
      <c r="BK96" s="1604"/>
      <c r="BL96" s="1604"/>
      <c r="BN96" s="1605"/>
      <c r="BO96" s="1605"/>
      <c r="BP96" s="1605"/>
      <c r="BR96" s="3168"/>
      <c r="BS96" s="1579"/>
      <c r="BT96" s="1578"/>
      <c r="BU96" s="1595"/>
      <c r="BV96" s="1508"/>
      <c r="BW96" s="1508"/>
      <c r="BX96" s="1508"/>
      <c r="BY96" s="1508"/>
      <c r="BZ96" s="1508"/>
      <c r="CA96" s="1508"/>
      <c r="CB96" s="1508"/>
      <c r="CC96" s="1508"/>
      <c r="CD96" s="1508"/>
      <c r="CE96" s="1508"/>
      <c r="CF96" s="1508"/>
      <c r="CG96" s="1508"/>
      <c r="CH96" s="1508"/>
      <c r="CI96" s="1508"/>
      <c r="CJ96" s="1508"/>
      <c r="CK96" s="1508"/>
      <c r="CL96" s="1508"/>
      <c r="CM96" s="1508"/>
      <c r="CN96" s="1508"/>
      <c r="CO96" s="1508"/>
      <c r="CP96" s="1508"/>
      <c r="CQ96" s="1508"/>
      <c r="CR96" s="1508"/>
      <c r="CS96" s="1508"/>
      <c r="CT96" s="1508"/>
      <c r="CU96" s="1508"/>
      <c r="CV96" s="1508"/>
      <c r="CW96" s="1508"/>
      <c r="CX96" s="1508"/>
      <c r="CY96" s="1508"/>
      <c r="CZ96" s="1508"/>
      <c r="DA96" s="1508"/>
      <c r="DB96" s="1508"/>
      <c r="DC96" s="1508"/>
      <c r="DD96" s="1508"/>
      <c r="DE96" s="1508"/>
      <c r="DF96" s="1508"/>
      <c r="DG96" s="1508"/>
      <c r="DH96" s="1508"/>
      <c r="DI96" s="1508"/>
      <c r="DJ96" s="1508"/>
      <c r="DK96" s="1508"/>
      <c r="DL96" s="1508"/>
      <c r="DN96" s="1509"/>
    </row>
    <row r="97" spans="1:118" s="1522" customFormat="1" hidden="1" outlineLevel="2" x14ac:dyDescent="0.2">
      <c r="C97" s="1577" t="s">
        <v>716</v>
      </c>
      <c r="D97" s="1497" t="s">
        <v>717</v>
      </c>
      <c r="E97" s="1497"/>
      <c r="F97" s="14"/>
      <c r="G97" s="1498"/>
      <c r="H97" s="1498"/>
      <c r="I97" s="1498"/>
      <c r="J97" s="1498"/>
      <c r="K97" s="1498"/>
      <c r="L97" s="1498"/>
      <c r="M97" s="1498"/>
      <c r="N97" s="1498"/>
      <c r="O97" s="1498"/>
      <c r="P97" s="1498"/>
      <c r="Q97" s="1498"/>
      <c r="R97" s="1498"/>
      <c r="S97" s="1498"/>
      <c r="T97" s="1498"/>
      <c r="U97" s="1498"/>
      <c r="V97" s="1498"/>
      <c r="W97" s="1499"/>
      <c r="X97" s="14"/>
      <c r="Y97" s="1500"/>
      <c r="Z97" s="1500"/>
      <c r="AA97" s="1500"/>
      <c r="AB97" s="1500"/>
      <c r="AC97" s="1500"/>
      <c r="AD97" s="1500"/>
      <c r="AE97" s="1500"/>
      <c r="AF97" s="1500"/>
      <c r="AG97" s="1500"/>
      <c r="AH97" s="1500"/>
      <c r="AI97" s="1500"/>
      <c r="AJ97" s="1500"/>
      <c r="AK97" s="1500"/>
      <c r="AL97" s="1500"/>
      <c r="AM97" s="1500"/>
      <c r="AN97" s="1500"/>
      <c r="AO97" s="1500"/>
      <c r="AP97" s="1500"/>
      <c r="AQ97" s="1501"/>
      <c r="AR97" s="14"/>
      <c r="AS97" s="1502"/>
      <c r="AT97" s="1502"/>
      <c r="AU97" s="1502"/>
      <c r="AV97" s="1502"/>
      <c r="AW97" s="1502"/>
      <c r="AX97" s="1502"/>
      <c r="AY97" s="1502"/>
      <c r="AZ97" s="1502"/>
      <c r="BA97" s="1502"/>
      <c r="BB97" s="1502"/>
      <c r="BC97" s="1502"/>
      <c r="BD97" s="1502"/>
      <c r="BE97" s="1502"/>
      <c r="BF97" s="1502"/>
      <c r="BG97" s="1502"/>
      <c r="BH97" s="1502"/>
      <c r="BI97" s="1502"/>
      <c r="BJ97" s="1502"/>
      <c r="BK97" s="1502"/>
      <c r="BL97" s="1524"/>
      <c r="BM97" s="14"/>
      <c r="BN97" s="1504"/>
      <c r="BO97" s="1504"/>
      <c r="BP97" s="1505"/>
      <c r="BQ97" s="14"/>
      <c r="BR97" s="3168"/>
      <c r="BS97" s="1525"/>
      <c r="BU97" s="1507">
        <v>0</v>
      </c>
      <c r="BV97" s="1508">
        <v>0</v>
      </c>
      <c r="BW97" s="1508">
        <v>0</v>
      </c>
      <c r="BX97" s="1508">
        <v>0</v>
      </c>
      <c r="BY97" s="1508">
        <v>0</v>
      </c>
      <c r="BZ97" s="1508">
        <v>0</v>
      </c>
      <c r="CA97" s="1508">
        <v>0</v>
      </c>
      <c r="CB97" s="1508">
        <v>0</v>
      </c>
      <c r="CC97" s="1508">
        <v>0</v>
      </c>
      <c r="CD97" s="1508">
        <v>0</v>
      </c>
      <c r="CE97" s="1508">
        <v>0</v>
      </c>
      <c r="CF97" s="1508">
        <v>0</v>
      </c>
      <c r="CG97" s="1508">
        <v>0</v>
      </c>
      <c r="CH97" s="1508">
        <v>0</v>
      </c>
      <c r="CI97" s="1508">
        <v>0</v>
      </c>
      <c r="CJ97" s="1508">
        <v>0</v>
      </c>
      <c r="CK97" s="1508">
        <v>0</v>
      </c>
      <c r="CL97" s="1508">
        <v>0</v>
      </c>
      <c r="CM97" s="1508">
        <v>0</v>
      </c>
      <c r="CN97" s="1508">
        <v>0</v>
      </c>
      <c r="CO97" s="1508">
        <v>0</v>
      </c>
      <c r="CP97" s="1508">
        <v>0</v>
      </c>
      <c r="CQ97" s="1508">
        <v>0</v>
      </c>
      <c r="CR97" s="1508">
        <v>0</v>
      </c>
      <c r="CS97" s="1508">
        <v>0</v>
      </c>
      <c r="CT97" s="1508">
        <v>0</v>
      </c>
      <c r="CU97" s="1508">
        <v>0</v>
      </c>
      <c r="CV97" s="1508">
        <v>0</v>
      </c>
      <c r="CW97" s="1508">
        <v>0</v>
      </c>
      <c r="CX97" s="1508">
        <v>0</v>
      </c>
      <c r="CY97" s="1508">
        <v>0</v>
      </c>
      <c r="CZ97" s="1508">
        <v>0</v>
      </c>
      <c r="DA97" s="1508">
        <v>0</v>
      </c>
      <c r="DB97" s="1508">
        <v>0</v>
      </c>
      <c r="DC97" s="1508">
        <v>0</v>
      </c>
      <c r="DD97" s="1508">
        <v>0</v>
      </c>
      <c r="DE97" s="1508">
        <v>0</v>
      </c>
      <c r="DF97" s="1508">
        <v>0</v>
      </c>
      <c r="DG97" s="1508">
        <v>0</v>
      </c>
      <c r="DH97" s="1508">
        <v>0</v>
      </c>
      <c r="DI97" s="1508">
        <v>0</v>
      </c>
      <c r="DJ97" s="1508">
        <v>0</v>
      </c>
      <c r="DK97" s="1508">
        <v>0</v>
      </c>
      <c r="DL97" s="1508">
        <v>0</v>
      </c>
      <c r="DN97" s="1509"/>
    </row>
    <row r="98" spans="1:118" s="1578" customFormat="1" ht="12.75" hidden="1" customHeight="1" outlineLevel="2" x14ac:dyDescent="0.2">
      <c r="C98" s="1591" t="s">
        <v>811</v>
      </c>
      <c r="D98" s="1592" t="s">
        <v>812</v>
      </c>
      <c r="E98" s="1592"/>
      <c r="F98" s="14"/>
      <c r="G98" s="1568"/>
      <c r="H98" s="1568"/>
      <c r="I98" s="1568"/>
      <c r="J98" s="1568"/>
      <c r="K98" s="1568"/>
      <c r="L98" s="1568"/>
      <c r="M98" s="1568"/>
      <c r="N98" s="1568"/>
      <c r="O98" s="1569"/>
      <c r="P98" s="1568"/>
      <c r="Q98" s="1568"/>
      <c r="R98" s="1568"/>
      <c r="S98" s="1568"/>
      <c r="T98" s="1568"/>
      <c r="U98" s="1568"/>
      <c r="V98" s="1568"/>
      <c r="W98" s="1568"/>
      <c r="X98" s="14"/>
      <c r="Y98" s="1570"/>
      <c r="Z98" s="1570"/>
      <c r="AA98" s="1570"/>
      <c r="AB98" s="1570"/>
      <c r="AC98" s="1570"/>
      <c r="AD98" s="1570"/>
      <c r="AE98" s="1570"/>
      <c r="AF98" s="1570"/>
      <c r="AG98" s="1570"/>
      <c r="AH98" s="1570"/>
      <c r="AI98" s="1570"/>
      <c r="AJ98" s="1570"/>
      <c r="AK98" s="1570"/>
      <c r="AL98" s="1570"/>
      <c r="AM98" s="1570"/>
      <c r="AN98" s="1570"/>
      <c r="AO98" s="1570"/>
      <c r="AP98" s="1570"/>
      <c r="AQ98" s="1570"/>
      <c r="AR98" s="14"/>
      <c r="AS98" s="1571"/>
      <c r="AT98" s="1571"/>
      <c r="AU98" s="1571"/>
      <c r="AV98" s="1571"/>
      <c r="AW98" s="1571"/>
      <c r="AX98" s="1571"/>
      <c r="AY98" s="1571"/>
      <c r="AZ98" s="1571"/>
      <c r="BA98" s="1571"/>
      <c r="BB98" s="1571"/>
      <c r="BC98" s="1571"/>
      <c r="BD98" s="1571"/>
      <c r="BE98" s="1571"/>
      <c r="BF98" s="1571"/>
      <c r="BG98" s="1571"/>
      <c r="BH98" s="1571"/>
      <c r="BI98" s="1571"/>
      <c r="BJ98" s="1571"/>
      <c r="BK98" s="1571"/>
      <c r="BL98" s="1571"/>
      <c r="BM98" s="14"/>
      <c r="BN98" s="1572"/>
      <c r="BO98" s="1572"/>
      <c r="BP98" s="1572"/>
      <c r="BQ98" s="14"/>
      <c r="BR98" s="3168"/>
      <c r="BS98" s="1579"/>
      <c r="BU98" s="1595"/>
      <c r="BV98" s="1595"/>
      <c r="BW98" s="1595"/>
      <c r="BX98" s="1595"/>
      <c r="BY98" s="1595"/>
      <c r="BZ98" s="1595"/>
      <c r="CA98" s="1595"/>
      <c r="CB98" s="1595"/>
      <c r="CC98" s="1595"/>
      <c r="CD98" s="1595"/>
      <c r="CE98" s="1595"/>
      <c r="CF98" s="1595"/>
      <c r="CG98" s="1595"/>
      <c r="CH98" s="1595"/>
      <c r="CI98" s="1595"/>
      <c r="CJ98" s="1595"/>
      <c r="CK98" s="1595"/>
      <c r="CL98" s="1595"/>
      <c r="CM98" s="1595"/>
      <c r="CN98" s="1595"/>
      <c r="CO98" s="1595"/>
      <c r="CP98" s="1595"/>
      <c r="CQ98" s="1595"/>
      <c r="CR98" s="1595"/>
      <c r="CS98" s="1595"/>
      <c r="CT98" s="1595"/>
      <c r="CU98" s="1595"/>
      <c r="CV98" s="1595"/>
      <c r="CW98" s="1595"/>
      <c r="CX98" s="1595"/>
      <c r="CY98" s="1595"/>
      <c r="CZ98" s="1595"/>
      <c r="DA98" s="1595"/>
      <c r="DB98" s="1595"/>
      <c r="DC98" s="1595"/>
      <c r="DD98" s="1595"/>
      <c r="DE98" s="1595"/>
      <c r="DF98" s="1595"/>
      <c r="DG98" s="1595"/>
      <c r="DH98" s="1595"/>
      <c r="DI98" s="1595"/>
      <c r="DJ98" s="1595"/>
      <c r="DK98" s="1595"/>
      <c r="DL98" s="1595"/>
      <c r="DN98" s="1509"/>
    </row>
    <row r="99" spans="1:118" s="1522" customFormat="1" hidden="1" outlineLevel="2" x14ac:dyDescent="0.2">
      <c r="C99" s="1577" t="s">
        <v>74</v>
      </c>
      <c r="D99" s="1497" t="s">
        <v>75</v>
      </c>
      <c r="E99" s="1497"/>
      <c r="F99" s="14"/>
      <c r="G99" s="1498"/>
      <c r="H99" s="1498"/>
      <c r="I99" s="1498"/>
      <c r="J99" s="1498"/>
      <c r="K99" s="1498"/>
      <c r="L99" s="1498"/>
      <c r="M99" s="1498"/>
      <c r="N99" s="1498"/>
      <c r="O99" s="1498"/>
      <c r="P99" s="1498"/>
      <c r="Q99" s="1498"/>
      <c r="R99" s="1498"/>
      <c r="S99" s="1498"/>
      <c r="T99" s="1498"/>
      <c r="U99" s="1498"/>
      <c r="V99" s="1498"/>
      <c r="W99" s="1499"/>
      <c r="X99" s="14"/>
      <c r="Y99" s="1500"/>
      <c r="Z99" s="1500"/>
      <c r="AA99" s="1500"/>
      <c r="AB99" s="1500"/>
      <c r="AC99" s="1500"/>
      <c r="AD99" s="1500"/>
      <c r="AE99" s="1500"/>
      <c r="AF99" s="1500"/>
      <c r="AG99" s="1500"/>
      <c r="AH99" s="1500"/>
      <c r="AI99" s="1500"/>
      <c r="AJ99" s="1500"/>
      <c r="AK99" s="1500"/>
      <c r="AL99" s="1500"/>
      <c r="AM99" s="1500"/>
      <c r="AN99" s="1500"/>
      <c r="AO99" s="1500"/>
      <c r="AP99" s="1500"/>
      <c r="AQ99" s="1501"/>
      <c r="AR99" s="14"/>
      <c r="AS99" s="1502"/>
      <c r="AT99" s="1502"/>
      <c r="AU99" s="1502"/>
      <c r="AV99" s="1502"/>
      <c r="AW99" s="1502"/>
      <c r="AX99" s="1502"/>
      <c r="AY99" s="1502"/>
      <c r="AZ99" s="1502"/>
      <c r="BA99" s="1502"/>
      <c r="BB99" s="1502"/>
      <c r="BC99" s="1502"/>
      <c r="BD99" s="1502"/>
      <c r="BE99" s="1502"/>
      <c r="BF99" s="1502"/>
      <c r="BG99" s="1502"/>
      <c r="BH99" s="1502"/>
      <c r="BI99" s="1502"/>
      <c r="BJ99" s="1502"/>
      <c r="BK99" s="1502"/>
      <c r="BL99" s="1524"/>
      <c r="BM99" s="14"/>
      <c r="BN99" s="1504"/>
      <c r="BO99" s="1504"/>
      <c r="BP99" s="1505"/>
      <c r="BQ99" s="14"/>
      <c r="BR99" s="3168"/>
      <c r="BS99" s="1525"/>
      <c r="BU99" s="1507">
        <v>0</v>
      </c>
      <c r="BV99" s="1508">
        <v>0</v>
      </c>
      <c r="BW99" s="1508">
        <v>0</v>
      </c>
      <c r="BX99" s="1508">
        <v>0</v>
      </c>
      <c r="BY99" s="1508">
        <v>0</v>
      </c>
      <c r="BZ99" s="1508">
        <v>0</v>
      </c>
      <c r="CA99" s="1508">
        <v>0</v>
      </c>
      <c r="CB99" s="1508">
        <v>0</v>
      </c>
      <c r="CC99" s="1508">
        <v>0</v>
      </c>
      <c r="CD99" s="1508">
        <v>0</v>
      </c>
      <c r="CE99" s="1508">
        <v>0</v>
      </c>
      <c r="CF99" s="1508">
        <v>0</v>
      </c>
      <c r="CG99" s="1508">
        <v>0</v>
      </c>
      <c r="CH99" s="1508">
        <v>0</v>
      </c>
      <c r="CI99" s="1508">
        <v>0</v>
      </c>
      <c r="CJ99" s="1508">
        <v>0</v>
      </c>
      <c r="CK99" s="1508">
        <v>0</v>
      </c>
      <c r="CL99" s="1508">
        <v>0</v>
      </c>
      <c r="CM99" s="1508">
        <v>0</v>
      </c>
      <c r="CN99" s="1508">
        <v>0</v>
      </c>
      <c r="CO99" s="1508">
        <v>0</v>
      </c>
      <c r="CP99" s="1508">
        <v>0</v>
      </c>
      <c r="CQ99" s="1508">
        <v>0</v>
      </c>
      <c r="CR99" s="1508">
        <v>0</v>
      </c>
      <c r="CS99" s="1508">
        <v>0</v>
      </c>
      <c r="CT99" s="1508">
        <v>0</v>
      </c>
      <c r="CU99" s="1508">
        <v>0</v>
      </c>
      <c r="CV99" s="1508">
        <v>0</v>
      </c>
      <c r="CW99" s="1508">
        <v>0</v>
      </c>
      <c r="CX99" s="1508">
        <v>0</v>
      </c>
      <c r="CY99" s="1508">
        <v>0</v>
      </c>
      <c r="CZ99" s="1508">
        <v>0</v>
      </c>
      <c r="DA99" s="1508">
        <v>0</v>
      </c>
      <c r="DB99" s="1508">
        <v>0</v>
      </c>
      <c r="DC99" s="1508">
        <v>0</v>
      </c>
      <c r="DD99" s="1508">
        <v>0</v>
      </c>
      <c r="DE99" s="1508">
        <v>0</v>
      </c>
      <c r="DF99" s="1508">
        <v>0</v>
      </c>
      <c r="DG99" s="1508">
        <v>0</v>
      </c>
      <c r="DH99" s="1508">
        <v>0</v>
      </c>
      <c r="DI99" s="1508">
        <v>0</v>
      </c>
      <c r="DJ99" s="1508">
        <v>0</v>
      </c>
      <c r="DK99" s="1508">
        <v>0</v>
      </c>
      <c r="DL99" s="1508">
        <v>0</v>
      </c>
      <c r="DN99" s="1509"/>
    </row>
    <row r="100" spans="1:118" s="1522" customFormat="1" hidden="1" outlineLevel="2" x14ac:dyDescent="0.2">
      <c r="C100" s="1577" t="s">
        <v>76</v>
      </c>
      <c r="D100" s="1526" t="s">
        <v>813</v>
      </c>
      <c r="E100" s="1526"/>
      <c r="F100" s="14"/>
      <c r="G100" s="1540"/>
      <c r="H100" s="1540"/>
      <c r="I100" s="1540"/>
      <c r="J100" s="1540"/>
      <c r="K100" s="1540"/>
      <c r="L100" s="1540"/>
      <c r="M100" s="1540"/>
      <c r="N100" s="1540"/>
      <c r="O100" s="1540"/>
      <c r="P100" s="1540"/>
      <c r="Q100" s="1540"/>
      <c r="R100" s="1540"/>
      <c r="S100" s="1540"/>
      <c r="T100" s="1540"/>
      <c r="U100" s="1540"/>
      <c r="V100" s="1540"/>
      <c r="W100" s="1527"/>
      <c r="X100" s="14"/>
      <c r="Y100" s="1541"/>
      <c r="Z100" s="1541"/>
      <c r="AA100" s="1541"/>
      <c r="AB100" s="1541"/>
      <c r="AC100" s="1541"/>
      <c r="AD100" s="1541"/>
      <c r="AE100" s="1541"/>
      <c r="AF100" s="1541"/>
      <c r="AG100" s="1541"/>
      <c r="AH100" s="1541"/>
      <c r="AI100" s="1541"/>
      <c r="AJ100" s="1541"/>
      <c r="AK100" s="1541"/>
      <c r="AL100" s="1541"/>
      <c r="AM100" s="1541"/>
      <c r="AN100" s="1541"/>
      <c r="AO100" s="1541"/>
      <c r="AP100" s="1541"/>
      <c r="AQ100" s="1528"/>
      <c r="AR100" s="14"/>
      <c r="AS100" s="1542"/>
      <c r="AT100" s="1542"/>
      <c r="AU100" s="1542"/>
      <c r="AV100" s="1542"/>
      <c r="AW100" s="1542"/>
      <c r="AX100" s="1542"/>
      <c r="AY100" s="1542"/>
      <c r="AZ100" s="1542"/>
      <c r="BA100" s="1542"/>
      <c r="BB100" s="1542"/>
      <c r="BC100" s="1542"/>
      <c r="BD100" s="1542"/>
      <c r="BE100" s="1542"/>
      <c r="BF100" s="1542"/>
      <c r="BG100" s="1542"/>
      <c r="BH100" s="1542"/>
      <c r="BI100" s="1542"/>
      <c r="BJ100" s="1542"/>
      <c r="BK100" s="1542"/>
      <c r="BL100" s="1530"/>
      <c r="BM100" s="14"/>
      <c r="BN100" s="1543"/>
      <c r="BO100" s="1543"/>
      <c r="BP100" s="1531"/>
      <c r="BQ100" s="14"/>
      <c r="BR100" s="3168"/>
      <c r="BS100" s="1525"/>
      <c r="BU100" s="1532">
        <v>0</v>
      </c>
      <c r="BV100" s="1533">
        <v>0</v>
      </c>
      <c r="BW100" s="1533">
        <v>0</v>
      </c>
      <c r="BX100" s="1533">
        <v>0</v>
      </c>
      <c r="BY100" s="1533">
        <v>0</v>
      </c>
      <c r="BZ100" s="1533">
        <v>0</v>
      </c>
      <c r="CA100" s="1533">
        <v>0</v>
      </c>
      <c r="CB100" s="1533">
        <v>0</v>
      </c>
      <c r="CC100" s="1533">
        <v>0</v>
      </c>
      <c r="CD100" s="1533">
        <v>0</v>
      </c>
      <c r="CE100" s="1533">
        <v>0</v>
      </c>
      <c r="CF100" s="1533">
        <v>0</v>
      </c>
      <c r="CG100" s="1533">
        <v>0</v>
      </c>
      <c r="CH100" s="1533">
        <v>0</v>
      </c>
      <c r="CI100" s="1533">
        <v>0</v>
      </c>
      <c r="CJ100" s="1533">
        <v>0</v>
      </c>
      <c r="CK100" s="1533">
        <v>0</v>
      </c>
      <c r="CL100" s="1533">
        <v>0</v>
      </c>
      <c r="CM100" s="1533">
        <v>0</v>
      </c>
      <c r="CN100" s="1533">
        <v>0</v>
      </c>
      <c r="CO100" s="1533">
        <v>0</v>
      </c>
      <c r="CP100" s="1533">
        <v>0</v>
      </c>
      <c r="CQ100" s="1533">
        <v>0</v>
      </c>
      <c r="CR100" s="1533">
        <v>0</v>
      </c>
      <c r="CS100" s="1533">
        <v>0</v>
      </c>
      <c r="CT100" s="1533">
        <v>0</v>
      </c>
      <c r="CU100" s="1533">
        <v>0</v>
      </c>
      <c r="CV100" s="1533">
        <v>0</v>
      </c>
      <c r="CW100" s="1533">
        <v>0</v>
      </c>
      <c r="CX100" s="1533">
        <v>0</v>
      </c>
      <c r="CY100" s="1533">
        <v>0</v>
      </c>
      <c r="CZ100" s="1533">
        <v>0</v>
      </c>
      <c r="DA100" s="1533">
        <v>0</v>
      </c>
      <c r="DB100" s="1533">
        <v>0</v>
      </c>
      <c r="DC100" s="1533">
        <v>0</v>
      </c>
      <c r="DD100" s="1533">
        <v>0</v>
      </c>
      <c r="DE100" s="1533">
        <v>0</v>
      </c>
      <c r="DF100" s="1533">
        <v>0</v>
      </c>
      <c r="DG100" s="1533">
        <v>0</v>
      </c>
      <c r="DH100" s="1533">
        <v>0</v>
      </c>
      <c r="DI100" s="1533">
        <v>0</v>
      </c>
      <c r="DJ100" s="1533">
        <v>0</v>
      </c>
      <c r="DK100" s="1533">
        <v>0</v>
      </c>
      <c r="DL100" s="1533">
        <v>0</v>
      </c>
      <c r="DN100" s="1509"/>
    </row>
    <row r="101" spans="1:118" s="1534" customFormat="1" ht="12.75" customHeight="1" outlineLevel="1" collapsed="1" x14ac:dyDescent="0.2">
      <c r="B101" s="1535"/>
      <c r="C101" s="1536"/>
      <c r="D101" s="1537"/>
      <c r="E101" s="1538"/>
      <c r="F101" s="14"/>
      <c r="G101" s="1488"/>
      <c r="H101" s="1488"/>
      <c r="I101" s="1488"/>
      <c r="J101" s="1488"/>
      <c r="K101" s="1488"/>
      <c r="L101" s="1488"/>
      <c r="M101" s="1488"/>
      <c r="N101" s="1488"/>
      <c r="O101" s="1563"/>
      <c r="P101" s="1488"/>
      <c r="Q101" s="1488"/>
      <c r="R101" s="1488"/>
      <c r="S101" s="1488"/>
      <c r="T101" s="1488"/>
      <c r="U101" s="1488"/>
      <c r="V101" s="1488"/>
      <c r="W101" s="1539"/>
      <c r="X101" s="14"/>
      <c r="Y101" s="1490"/>
      <c r="Z101" s="1490"/>
      <c r="AA101" s="1490"/>
      <c r="AB101" s="1490"/>
      <c r="AC101" s="1490"/>
      <c r="AD101" s="1490"/>
      <c r="AE101" s="1490"/>
      <c r="AF101" s="1490"/>
      <c r="AG101" s="1490"/>
      <c r="AH101" s="1490"/>
      <c r="AI101" s="1490"/>
      <c r="AJ101" s="1490"/>
      <c r="AK101" s="1490"/>
      <c r="AL101" s="1490"/>
      <c r="AM101" s="1490"/>
      <c r="AN101" s="1490"/>
      <c r="AO101" s="1490"/>
      <c r="AP101" s="1490"/>
      <c r="AQ101" s="1490"/>
      <c r="AR101" s="14"/>
      <c r="AS101" s="1491"/>
      <c r="AT101" s="1491"/>
      <c r="AU101" s="1491"/>
      <c r="AV101" s="1491"/>
      <c r="AW101" s="1491"/>
      <c r="AX101" s="1491"/>
      <c r="AY101" s="1491"/>
      <c r="AZ101" s="1491"/>
      <c r="BA101" s="1491"/>
      <c r="BB101" s="1491"/>
      <c r="BC101" s="1491"/>
      <c r="BD101" s="1491"/>
      <c r="BE101" s="1491"/>
      <c r="BF101" s="1491"/>
      <c r="BG101" s="1491"/>
      <c r="BH101" s="1491"/>
      <c r="BI101" s="1491"/>
      <c r="BJ101" s="1491"/>
      <c r="BK101" s="1491"/>
      <c r="BL101" s="1491"/>
      <c r="BM101" s="14"/>
      <c r="BN101" s="1492"/>
      <c r="BO101" s="1492"/>
      <c r="BP101" s="1492"/>
      <c r="BQ101" s="14"/>
      <c r="BR101" s="3168"/>
      <c r="BS101" s="1493"/>
      <c r="BT101" s="748"/>
      <c r="BU101" s="1508">
        <v>0</v>
      </c>
      <c r="BV101" s="1508">
        <v>0</v>
      </c>
      <c r="BW101" s="1508">
        <v>0</v>
      </c>
      <c r="BX101" s="1508">
        <v>0</v>
      </c>
      <c r="BY101" s="1508">
        <v>0</v>
      </c>
      <c r="BZ101" s="1508">
        <v>0</v>
      </c>
      <c r="CA101" s="1508">
        <v>0</v>
      </c>
      <c r="CB101" s="1508">
        <v>0</v>
      </c>
      <c r="CC101" s="1508">
        <v>0</v>
      </c>
      <c r="CD101" s="1508">
        <v>0</v>
      </c>
      <c r="CE101" s="1508">
        <v>0</v>
      </c>
      <c r="CF101" s="1508">
        <v>0</v>
      </c>
      <c r="CG101" s="1508">
        <v>0</v>
      </c>
      <c r="CH101" s="1508">
        <v>0</v>
      </c>
      <c r="CI101" s="1508">
        <v>0</v>
      </c>
      <c r="CJ101" s="1508">
        <v>0</v>
      </c>
      <c r="CK101" s="1508">
        <v>0</v>
      </c>
      <c r="CL101" s="1508">
        <v>0</v>
      </c>
      <c r="CM101" s="1508">
        <v>0</v>
      </c>
      <c r="CN101" s="1508">
        <v>0</v>
      </c>
      <c r="CO101" s="1508">
        <v>0</v>
      </c>
      <c r="CP101" s="1508">
        <v>0</v>
      </c>
      <c r="CQ101" s="1508">
        <v>0</v>
      </c>
      <c r="CR101" s="1508">
        <v>0</v>
      </c>
      <c r="CS101" s="1508">
        <v>0</v>
      </c>
      <c r="CT101" s="1508">
        <v>0</v>
      </c>
      <c r="CU101" s="1508">
        <v>0</v>
      </c>
      <c r="CV101" s="1508">
        <v>0</v>
      </c>
      <c r="CW101" s="1508">
        <v>0</v>
      </c>
      <c r="CX101" s="1508">
        <v>0</v>
      </c>
      <c r="CY101" s="1508">
        <v>0</v>
      </c>
      <c r="CZ101" s="1508">
        <v>0</v>
      </c>
      <c r="DA101" s="1508">
        <v>0</v>
      </c>
      <c r="DB101" s="1508">
        <v>0</v>
      </c>
      <c r="DC101" s="1508">
        <v>0</v>
      </c>
      <c r="DD101" s="1508">
        <v>0</v>
      </c>
      <c r="DE101" s="1508">
        <v>0</v>
      </c>
      <c r="DF101" s="1508">
        <v>0</v>
      </c>
      <c r="DG101" s="1508">
        <v>0</v>
      </c>
      <c r="DH101" s="1508">
        <v>0</v>
      </c>
      <c r="DI101" s="1508">
        <v>0</v>
      </c>
      <c r="DJ101" s="1508">
        <v>0</v>
      </c>
      <c r="DK101" s="1508">
        <v>0</v>
      </c>
      <c r="DL101" s="1508">
        <v>0</v>
      </c>
      <c r="DN101" s="1509">
        <v>0</v>
      </c>
    </row>
    <row r="102" spans="1:118" s="14" customFormat="1" ht="12.75" hidden="1" customHeight="1" outlineLevel="2" x14ac:dyDescent="0.2">
      <c r="A102" s="1534"/>
      <c r="B102" s="1534"/>
      <c r="C102" s="1544"/>
      <c r="D102" s="1538"/>
      <c r="E102" s="1538"/>
      <c r="G102" s="1488"/>
      <c r="H102" s="1488"/>
      <c r="I102" s="1488"/>
      <c r="J102" s="1488"/>
      <c r="K102" s="1488"/>
      <c r="L102" s="1488"/>
      <c r="M102" s="1488"/>
      <c r="N102" s="1488"/>
      <c r="O102" s="1563"/>
      <c r="P102" s="1488"/>
      <c r="Q102" s="1488"/>
      <c r="R102" s="1488"/>
      <c r="S102" s="1488"/>
      <c r="T102" s="1488"/>
      <c r="U102" s="1488"/>
      <c r="V102" s="1488"/>
      <c r="W102" s="1488"/>
      <c r="Y102" s="1490"/>
      <c r="Z102" s="1490"/>
      <c r="AA102" s="1490"/>
      <c r="AB102" s="1490"/>
      <c r="AC102" s="1490"/>
      <c r="AD102" s="1490"/>
      <c r="AE102" s="1490"/>
      <c r="AF102" s="1490"/>
      <c r="AG102" s="1490"/>
      <c r="AH102" s="1490"/>
      <c r="AI102" s="1490"/>
      <c r="AJ102" s="1490"/>
      <c r="AK102" s="1490"/>
      <c r="AL102" s="1490"/>
      <c r="AM102" s="1490"/>
      <c r="AN102" s="1490"/>
      <c r="AO102" s="1490"/>
      <c r="AP102" s="1490"/>
      <c r="AQ102" s="1490"/>
      <c r="AS102" s="1491"/>
      <c r="AT102" s="1491"/>
      <c r="AU102" s="1491"/>
      <c r="AV102" s="1491"/>
      <c r="AW102" s="1491"/>
      <c r="AX102" s="1491"/>
      <c r="AY102" s="1491"/>
      <c r="AZ102" s="1491"/>
      <c r="BA102" s="1491"/>
      <c r="BB102" s="1491"/>
      <c r="BC102" s="1491"/>
      <c r="BD102" s="1491"/>
      <c r="BE102" s="1491"/>
      <c r="BF102" s="1491"/>
      <c r="BG102" s="1491"/>
      <c r="BH102" s="1491"/>
      <c r="BI102" s="1491"/>
      <c r="BJ102" s="1491"/>
      <c r="BK102" s="1491"/>
      <c r="BL102" s="1491"/>
      <c r="BN102" s="1492"/>
      <c r="BO102" s="1492"/>
      <c r="BP102" s="1492"/>
      <c r="BR102" s="3168"/>
      <c r="BS102" s="1493"/>
      <c r="BT102" s="748"/>
      <c r="BU102" s="1508"/>
      <c r="BV102" s="1508"/>
      <c r="BW102" s="1508"/>
      <c r="BX102" s="1508"/>
      <c r="BY102" s="1508"/>
      <c r="BZ102" s="1508"/>
      <c r="CA102" s="1508"/>
      <c r="CB102" s="1508"/>
      <c r="CC102" s="1508"/>
      <c r="CD102" s="1508"/>
      <c r="CE102" s="1508"/>
      <c r="CF102" s="1508"/>
      <c r="CG102" s="1508"/>
      <c r="CH102" s="1508"/>
      <c r="CI102" s="1508"/>
      <c r="CJ102" s="1508"/>
      <c r="CK102" s="1508"/>
      <c r="CL102" s="1508"/>
      <c r="CM102" s="1508"/>
      <c r="CN102" s="1508"/>
      <c r="CO102" s="1508"/>
      <c r="CP102" s="1508"/>
      <c r="CQ102" s="1508"/>
      <c r="CR102" s="1508"/>
      <c r="CS102" s="1508"/>
      <c r="CT102" s="1508"/>
      <c r="CU102" s="1508"/>
      <c r="CV102" s="1508"/>
      <c r="CW102" s="1508"/>
      <c r="CX102" s="1508"/>
      <c r="CY102" s="1508"/>
      <c r="CZ102" s="1508"/>
      <c r="DA102" s="1508"/>
      <c r="DB102" s="1508"/>
      <c r="DC102" s="1508"/>
      <c r="DD102" s="1508"/>
      <c r="DE102" s="1508"/>
      <c r="DF102" s="1508"/>
      <c r="DG102" s="1508"/>
      <c r="DH102" s="1508"/>
      <c r="DI102" s="1508"/>
      <c r="DJ102" s="1508"/>
      <c r="DK102" s="1508"/>
      <c r="DL102" s="1508"/>
      <c r="DN102" s="1509">
        <v>0</v>
      </c>
    </row>
    <row r="103" spans="1:118" s="1564" customFormat="1" ht="12.75" hidden="1" customHeight="1" outlineLevel="2" x14ac:dyDescent="0.2">
      <c r="C103" s="1565"/>
      <c r="D103" s="1566"/>
      <c r="E103" s="1566"/>
      <c r="G103" s="1568"/>
      <c r="H103" s="1568"/>
      <c r="I103" s="1568"/>
      <c r="J103" s="1568"/>
      <c r="K103" s="1568"/>
      <c r="L103" s="1568"/>
      <c r="M103" s="1568"/>
      <c r="N103" s="1568"/>
      <c r="O103" s="1569"/>
      <c r="P103" s="1568"/>
      <c r="Q103" s="1568"/>
      <c r="R103" s="1568"/>
      <c r="S103" s="1568"/>
      <c r="T103" s="1568"/>
      <c r="U103" s="1568"/>
      <c r="V103" s="1568"/>
      <c r="W103" s="1568"/>
      <c r="Y103" s="1570"/>
      <c r="Z103" s="1570"/>
      <c r="AA103" s="1570"/>
      <c r="AB103" s="1570"/>
      <c r="AC103" s="1570"/>
      <c r="AD103" s="1570"/>
      <c r="AE103" s="1570"/>
      <c r="AF103" s="1570"/>
      <c r="AG103" s="1570"/>
      <c r="AH103" s="1570"/>
      <c r="AI103" s="1570"/>
      <c r="AJ103" s="1570"/>
      <c r="AK103" s="1570"/>
      <c r="AL103" s="1570"/>
      <c r="AM103" s="1570"/>
      <c r="AN103" s="1570"/>
      <c r="AO103" s="1570"/>
      <c r="AP103" s="1570"/>
      <c r="AQ103" s="1570"/>
      <c r="AS103" s="1571"/>
      <c r="AT103" s="1571"/>
      <c r="AU103" s="1571"/>
      <c r="AV103" s="1571"/>
      <c r="AW103" s="1571"/>
      <c r="AX103" s="1571"/>
      <c r="AY103" s="1571"/>
      <c r="AZ103" s="1571"/>
      <c r="BA103" s="1571"/>
      <c r="BB103" s="1571"/>
      <c r="BC103" s="1571"/>
      <c r="BD103" s="1571"/>
      <c r="BE103" s="1571"/>
      <c r="BF103" s="1571"/>
      <c r="BG103" s="1571"/>
      <c r="BH103" s="1571"/>
      <c r="BI103" s="1571"/>
      <c r="BJ103" s="1571"/>
      <c r="BK103" s="1571"/>
      <c r="BL103" s="1571"/>
      <c r="BN103" s="1572"/>
      <c r="BO103" s="1572"/>
      <c r="BP103" s="1572"/>
      <c r="BR103" s="3168"/>
      <c r="BS103" s="1573"/>
      <c r="BT103" s="1606"/>
      <c r="BU103" s="1607"/>
      <c r="BV103" s="1607"/>
      <c r="BW103" s="1607"/>
      <c r="BX103" s="1607"/>
      <c r="BY103" s="1607"/>
      <c r="BZ103" s="1607"/>
      <c r="CA103" s="1607"/>
      <c r="CB103" s="1607"/>
      <c r="CC103" s="1607"/>
      <c r="CD103" s="1607"/>
      <c r="CE103" s="1607"/>
      <c r="CF103" s="1607"/>
      <c r="CG103" s="1607"/>
      <c r="CH103" s="1607"/>
      <c r="CI103" s="1607"/>
      <c r="CJ103" s="1607"/>
      <c r="CK103" s="1607"/>
      <c r="CL103" s="1607"/>
      <c r="CM103" s="1607"/>
      <c r="CN103" s="1607"/>
      <c r="CO103" s="1607"/>
      <c r="CP103" s="1607"/>
      <c r="CQ103" s="1607"/>
      <c r="CR103" s="1607"/>
      <c r="CS103" s="1607"/>
      <c r="CT103" s="1607"/>
      <c r="CU103" s="1607"/>
      <c r="CV103" s="1607"/>
      <c r="CW103" s="1607"/>
      <c r="CX103" s="1607"/>
      <c r="CY103" s="1607"/>
      <c r="CZ103" s="1607"/>
      <c r="DA103" s="1607"/>
      <c r="DB103" s="1607"/>
      <c r="DC103" s="1607"/>
      <c r="DD103" s="1607"/>
      <c r="DE103" s="1607"/>
      <c r="DF103" s="1607"/>
      <c r="DG103" s="1607"/>
      <c r="DH103" s="1607"/>
      <c r="DI103" s="1607"/>
      <c r="DJ103" s="1607"/>
      <c r="DK103" s="1607"/>
      <c r="DL103" s="1607"/>
      <c r="DN103" s="1606">
        <v>0</v>
      </c>
    </row>
    <row r="104" spans="1:118" s="1567" customFormat="1" ht="12.75" hidden="1" customHeight="1" outlineLevel="2" x14ac:dyDescent="0.2">
      <c r="A104" s="1608"/>
      <c r="B104" s="1608"/>
      <c r="D104" s="1609"/>
      <c r="E104" s="1609"/>
      <c r="G104" s="1610"/>
      <c r="H104" s="1610"/>
      <c r="I104" s="1610"/>
      <c r="J104" s="1610"/>
      <c r="K104" s="1610"/>
      <c r="L104" s="1610"/>
      <c r="M104" s="1610"/>
      <c r="N104" s="1610"/>
      <c r="O104" s="1610"/>
      <c r="P104" s="1610"/>
      <c r="Q104" s="1610"/>
      <c r="R104" s="1610"/>
      <c r="S104" s="1610"/>
      <c r="T104" s="1610"/>
      <c r="U104" s="1610"/>
      <c r="V104" s="1610"/>
      <c r="W104" s="1611"/>
      <c r="Y104" s="1612"/>
      <c r="Z104" s="1612"/>
      <c r="AA104" s="1612"/>
      <c r="AB104" s="1612"/>
      <c r="AC104" s="1612"/>
      <c r="AD104" s="1612"/>
      <c r="AE104" s="1612"/>
      <c r="AF104" s="1612"/>
      <c r="AG104" s="1612"/>
      <c r="AH104" s="1612"/>
      <c r="AI104" s="1612"/>
      <c r="AJ104" s="1612"/>
      <c r="AK104" s="1612"/>
      <c r="AL104" s="1612"/>
      <c r="AM104" s="1612"/>
      <c r="AN104" s="1612"/>
      <c r="AO104" s="1612"/>
      <c r="AP104" s="1612"/>
      <c r="AQ104" s="1613"/>
      <c r="AS104" s="1614"/>
      <c r="AT104" s="1614"/>
      <c r="AU104" s="1614"/>
      <c r="AV104" s="1614"/>
      <c r="AW104" s="1614"/>
      <c r="AX104" s="1614"/>
      <c r="AY104" s="1614"/>
      <c r="AZ104" s="1614"/>
      <c r="BA104" s="1614"/>
      <c r="BB104" s="1614"/>
      <c r="BC104" s="1614"/>
      <c r="BD104" s="1614"/>
      <c r="BE104" s="1614"/>
      <c r="BF104" s="1614"/>
      <c r="BG104" s="1614"/>
      <c r="BH104" s="1614"/>
      <c r="BI104" s="1614"/>
      <c r="BJ104" s="1614"/>
      <c r="BK104" s="1614"/>
      <c r="BL104" s="1615"/>
      <c r="BN104" s="1616"/>
      <c r="BO104" s="1616"/>
      <c r="BP104" s="1617"/>
      <c r="BR104" s="3168"/>
      <c r="BS104" s="1618"/>
      <c r="BT104" s="1619"/>
      <c r="BU104" s="1620">
        <v>0</v>
      </c>
      <c r="BV104" s="1621">
        <v>0</v>
      </c>
      <c r="BW104" s="1621">
        <v>0</v>
      </c>
      <c r="BX104" s="1621">
        <v>0</v>
      </c>
      <c r="BY104" s="1621">
        <v>0</v>
      </c>
      <c r="BZ104" s="1621">
        <v>0</v>
      </c>
      <c r="CA104" s="1621">
        <v>0</v>
      </c>
      <c r="CB104" s="1621">
        <v>0</v>
      </c>
      <c r="CC104" s="1621">
        <v>0</v>
      </c>
      <c r="CD104" s="1621">
        <v>0</v>
      </c>
      <c r="CE104" s="1621">
        <v>0</v>
      </c>
      <c r="CF104" s="1621">
        <v>0</v>
      </c>
      <c r="CG104" s="1621">
        <v>0</v>
      </c>
      <c r="CH104" s="1621">
        <v>0</v>
      </c>
      <c r="CI104" s="1621">
        <v>0</v>
      </c>
      <c r="CJ104" s="1621">
        <v>0</v>
      </c>
      <c r="CK104" s="1621">
        <v>0</v>
      </c>
      <c r="CL104" s="1621">
        <v>0</v>
      </c>
      <c r="CM104" s="1621">
        <v>0</v>
      </c>
      <c r="CN104" s="1621">
        <v>0</v>
      </c>
      <c r="CO104" s="1621">
        <v>0</v>
      </c>
      <c r="CP104" s="1621">
        <v>0</v>
      </c>
      <c r="CQ104" s="1621">
        <v>0</v>
      </c>
      <c r="CR104" s="1621">
        <v>0</v>
      </c>
      <c r="CS104" s="1621">
        <v>0</v>
      </c>
      <c r="CT104" s="1621">
        <v>0</v>
      </c>
      <c r="CU104" s="1621">
        <v>0</v>
      </c>
      <c r="CV104" s="1621">
        <v>0</v>
      </c>
      <c r="CW104" s="1621">
        <v>0</v>
      </c>
      <c r="CX104" s="1621">
        <v>0</v>
      </c>
      <c r="CY104" s="1621">
        <v>0</v>
      </c>
      <c r="CZ104" s="1621">
        <v>0</v>
      </c>
      <c r="DA104" s="1621">
        <v>0</v>
      </c>
      <c r="DB104" s="1621">
        <v>0</v>
      </c>
      <c r="DC104" s="1621">
        <v>0</v>
      </c>
      <c r="DD104" s="1621">
        <v>0</v>
      </c>
      <c r="DE104" s="1621">
        <v>-5.5600542212492146</v>
      </c>
      <c r="DF104" s="1621">
        <v>0</v>
      </c>
      <c r="DG104" s="1621">
        <v>0</v>
      </c>
      <c r="DH104" s="1621">
        <v>0</v>
      </c>
      <c r="DI104" s="1621">
        <v>0</v>
      </c>
      <c r="DJ104" s="1621">
        <v>0</v>
      </c>
      <c r="DK104" s="1621">
        <v>0</v>
      </c>
      <c r="DL104" s="1621">
        <v>0</v>
      </c>
      <c r="DN104" s="1575">
        <v>-5.5600542212492146</v>
      </c>
    </row>
    <row r="105" spans="1:118" s="1564" customFormat="1" ht="12.75" hidden="1" customHeight="1" outlineLevel="2" x14ac:dyDescent="0.2">
      <c r="D105" s="1566"/>
      <c r="E105" s="1566"/>
      <c r="G105" s="1568"/>
      <c r="H105" s="1568"/>
      <c r="I105" s="1568"/>
      <c r="J105" s="1568"/>
      <c r="K105" s="1568"/>
      <c r="L105" s="1568"/>
      <c r="M105" s="1568"/>
      <c r="N105" s="1568"/>
      <c r="O105" s="1569"/>
      <c r="P105" s="1568"/>
      <c r="Q105" s="1568"/>
      <c r="R105" s="1568"/>
      <c r="S105" s="1568"/>
      <c r="T105" s="1568"/>
      <c r="U105" s="1568"/>
      <c r="V105" s="1568"/>
      <c r="W105" s="1568"/>
      <c r="Y105" s="1570"/>
      <c r="Z105" s="1570"/>
      <c r="AA105" s="1570"/>
      <c r="AB105" s="1570"/>
      <c r="AC105" s="1570"/>
      <c r="AD105" s="1570"/>
      <c r="AE105" s="1570"/>
      <c r="AF105" s="1570"/>
      <c r="AG105" s="1570"/>
      <c r="AH105" s="1570"/>
      <c r="AI105" s="1570"/>
      <c r="AJ105" s="1570"/>
      <c r="AK105" s="1570"/>
      <c r="AL105" s="1570"/>
      <c r="AM105" s="1570"/>
      <c r="AN105" s="1570"/>
      <c r="AO105" s="1570"/>
      <c r="AP105" s="1570"/>
      <c r="AQ105" s="1570"/>
      <c r="AS105" s="1571"/>
      <c r="AT105" s="1571"/>
      <c r="AU105" s="1571"/>
      <c r="AV105" s="1571"/>
      <c r="AW105" s="1571"/>
      <c r="AX105" s="1571"/>
      <c r="AY105" s="1571"/>
      <c r="AZ105" s="1571"/>
      <c r="BA105" s="1571"/>
      <c r="BB105" s="1571"/>
      <c r="BC105" s="1571"/>
      <c r="BD105" s="1571"/>
      <c r="BE105" s="1571"/>
      <c r="BF105" s="1571"/>
      <c r="BG105" s="1571"/>
      <c r="BH105" s="1571"/>
      <c r="BI105" s="1571"/>
      <c r="BJ105" s="1571"/>
      <c r="BK105" s="1571"/>
      <c r="BL105" s="1571"/>
      <c r="BN105" s="1572"/>
      <c r="BO105" s="1572"/>
      <c r="BP105" s="1572"/>
      <c r="BR105" s="3168"/>
      <c r="BS105" s="1573"/>
      <c r="BT105" s="1606"/>
      <c r="BU105" s="1607"/>
      <c r="BV105" s="1607"/>
      <c r="BW105" s="1607"/>
      <c r="BX105" s="1607"/>
      <c r="BY105" s="1607"/>
      <c r="BZ105" s="1607"/>
      <c r="CA105" s="1607"/>
      <c r="CB105" s="1607"/>
      <c r="CC105" s="1607"/>
      <c r="CD105" s="1607"/>
      <c r="CE105" s="1607"/>
      <c r="CF105" s="1607"/>
      <c r="CG105" s="1607"/>
      <c r="CH105" s="1607"/>
      <c r="CI105" s="1607"/>
      <c r="CJ105" s="1607"/>
      <c r="CK105" s="1607"/>
      <c r="CL105" s="1607"/>
      <c r="CM105" s="1607"/>
      <c r="CN105" s="1607"/>
      <c r="CO105" s="1607"/>
      <c r="CP105" s="1607"/>
      <c r="CQ105" s="1607"/>
      <c r="CR105" s="1607"/>
      <c r="CS105" s="1607"/>
      <c r="CT105" s="1607"/>
      <c r="CU105" s="1607"/>
      <c r="CV105" s="1607"/>
      <c r="CW105" s="1607"/>
      <c r="CX105" s="1607"/>
      <c r="CY105" s="1607"/>
      <c r="CZ105" s="1607"/>
      <c r="DA105" s="1607"/>
      <c r="DB105" s="1607"/>
      <c r="DC105" s="1607"/>
      <c r="DD105" s="1607"/>
      <c r="DE105" s="1607"/>
      <c r="DF105" s="1607"/>
      <c r="DG105" s="1607"/>
      <c r="DH105" s="1607"/>
      <c r="DI105" s="1607"/>
      <c r="DJ105" s="1607"/>
      <c r="DK105" s="1607"/>
      <c r="DL105" s="1607"/>
      <c r="DN105" s="1606">
        <v>0</v>
      </c>
    </row>
    <row r="106" spans="1:118" s="14" customFormat="1" ht="12.75" hidden="1" customHeight="1" outlineLevel="2" x14ac:dyDescent="0.2">
      <c r="A106" s="1522"/>
      <c r="B106" s="1522"/>
      <c r="C106" s="1577" t="s">
        <v>801</v>
      </c>
      <c r="D106" s="1526" t="str">
        <f>INDEX(Modulos[Modulos], MATCH($C106, Modulos[Código], 0))</f>
        <v>Producción nacional combustibles fósiles</v>
      </c>
      <c r="E106" s="1526"/>
      <c r="G106" s="1540"/>
      <c r="H106" s="1540"/>
      <c r="I106" s="1540"/>
      <c r="J106" s="1540"/>
      <c r="K106" s="1540"/>
      <c r="L106" s="1540"/>
      <c r="M106" s="1540"/>
      <c r="N106" s="1540"/>
      <c r="O106" s="1540"/>
      <c r="P106" s="1540"/>
      <c r="Q106" s="1540"/>
      <c r="R106" s="1540"/>
      <c r="S106" s="1540"/>
      <c r="T106" s="1540"/>
      <c r="U106" s="1540"/>
      <c r="V106" s="1540"/>
      <c r="W106" s="1527"/>
      <c r="Y106" s="1541">
        <f t="shared" ref="Y106:AP106" ca="1" si="66">IFERROR(INDEX(INDIRECT($C106&amp;".Outputs["&amp;this.Year&amp;"]"), MATCH(Y$5, INDIRECT($C106&amp;".Outputs[Vector]"), 0)), 0)</f>
        <v>0</v>
      </c>
      <c r="Z106" s="1541">
        <f t="shared" ca="1" si="66"/>
        <v>0</v>
      </c>
      <c r="AA106" s="1541">
        <f t="shared" ca="1" si="66"/>
        <v>0</v>
      </c>
      <c r="AB106" s="1541">
        <f t="shared" ca="1" si="66"/>
        <v>0</v>
      </c>
      <c r="AC106" s="1541">
        <f t="shared" ca="1" si="66"/>
        <v>0</v>
      </c>
      <c r="AD106" s="1541">
        <f t="shared" ca="1" si="66"/>
        <v>25.584695004942699</v>
      </c>
      <c r="AE106" s="1541">
        <f t="shared" ca="1" si="66"/>
        <v>3.0761179275455</v>
      </c>
      <c r="AF106" s="1541">
        <f t="shared" ca="1" si="66"/>
        <v>10.934465313717508</v>
      </c>
      <c r="AG106" s="1541">
        <f t="shared" ca="1" si="66"/>
        <v>0</v>
      </c>
      <c r="AH106" s="1541">
        <f t="shared" ca="1" si="66"/>
        <v>0</v>
      </c>
      <c r="AI106" s="1541">
        <f t="shared" ca="1" si="66"/>
        <v>0</v>
      </c>
      <c r="AJ106" s="1541">
        <f t="shared" ca="1" si="66"/>
        <v>0</v>
      </c>
      <c r="AK106" s="1541">
        <f t="shared" ca="1" si="66"/>
        <v>0</v>
      </c>
      <c r="AL106" s="1541">
        <f t="shared" ca="1" si="66"/>
        <v>0</v>
      </c>
      <c r="AM106" s="1541">
        <f t="shared" ca="1" si="66"/>
        <v>0</v>
      </c>
      <c r="AN106" s="1541">
        <f t="shared" ca="1" si="66"/>
        <v>0</v>
      </c>
      <c r="AO106" s="1541">
        <f t="shared" ca="1" si="66"/>
        <v>0</v>
      </c>
      <c r="AP106" s="1541">
        <f t="shared" ca="1" si="66"/>
        <v>0</v>
      </c>
      <c r="AQ106" s="1528">
        <f ca="1">SUM(Y106:AP106)</f>
        <v>39.595278246205709</v>
      </c>
      <c r="AS106" s="1542">
        <f t="shared" ref="AS106:BK106" ca="1" si="67">IFERROR(INDEX(INDIRECT($C106&amp;".Outputs["&amp;this.Year&amp;"]"), MATCH(AS$5, INDIRECT($C106&amp;".Outputs[Vector]"), 0)), 0)</f>
        <v>-25.584695004942699</v>
      </c>
      <c r="AT106" s="1542">
        <f t="shared" ca="1" si="67"/>
        <v>-3.0761179275455</v>
      </c>
      <c r="AU106" s="1542">
        <f t="shared" ca="1" si="67"/>
        <v>-10.934465313717508</v>
      </c>
      <c r="AV106" s="1542">
        <f t="shared" ca="1" si="67"/>
        <v>0</v>
      </c>
      <c r="AW106" s="1542">
        <f t="shared" ca="1" si="67"/>
        <v>0</v>
      </c>
      <c r="AX106" s="1542">
        <f t="shared" ca="1" si="67"/>
        <v>0</v>
      </c>
      <c r="AY106" s="1542">
        <f t="shared" ca="1" si="67"/>
        <v>0</v>
      </c>
      <c r="AZ106" s="1542">
        <f t="shared" ca="1" si="67"/>
        <v>0</v>
      </c>
      <c r="BA106" s="1542">
        <f t="shared" ca="1" si="67"/>
        <v>0</v>
      </c>
      <c r="BB106" s="1542">
        <f t="shared" ca="1" si="67"/>
        <v>0</v>
      </c>
      <c r="BC106" s="1542">
        <f t="shared" ca="1" si="67"/>
        <v>0</v>
      </c>
      <c r="BD106" s="1542">
        <f t="shared" ca="1" si="67"/>
        <v>0</v>
      </c>
      <c r="BE106" s="1542">
        <f t="shared" ca="1" si="67"/>
        <v>0</v>
      </c>
      <c r="BF106" s="1542">
        <f t="shared" ca="1" si="67"/>
        <v>0</v>
      </c>
      <c r="BG106" s="1542">
        <f t="shared" ca="1" si="67"/>
        <v>0</v>
      </c>
      <c r="BH106" s="1542">
        <f t="shared" ca="1" si="67"/>
        <v>0</v>
      </c>
      <c r="BI106" s="1542">
        <f t="shared" ca="1" si="67"/>
        <v>0</v>
      </c>
      <c r="BJ106" s="1542">
        <f t="shared" ca="1" si="67"/>
        <v>0</v>
      </c>
      <c r="BK106" s="1542">
        <f t="shared" ca="1" si="67"/>
        <v>0</v>
      </c>
      <c r="BL106" s="1542">
        <f ca="1">SUM(AS106:BK106)</f>
        <v>-39.595278246205709</v>
      </c>
      <c r="BN106" s="1543"/>
      <c r="BO106" s="1543"/>
      <c r="BP106" s="1531"/>
      <c r="BR106" s="3168">
        <f ca="1">W106+AQ106+BL106+BP106</f>
        <v>0</v>
      </c>
      <c r="BS106" s="1525"/>
      <c r="BT106" s="748"/>
      <c r="BU106" s="1532">
        <v>0</v>
      </c>
      <c r="BV106" s="1533">
        <v>0</v>
      </c>
      <c r="BW106" s="1533">
        <v>0</v>
      </c>
      <c r="BX106" s="1533">
        <v>0</v>
      </c>
      <c r="BY106" s="1533">
        <v>0</v>
      </c>
      <c r="BZ106" s="1533">
        <v>0</v>
      </c>
      <c r="CA106" s="1533">
        <v>0</v>
      </c>
      <c r="CB106" s="1533">
        <v>0</v>
      </c>
      <c r="CC106" s="1533">
        <v>0</v>
      </c>
      <c r="CD106" s="1533">
        <v>0</v>
      </c>
      <c r="CE106" s="1533">
        <v>0</v>
      </c>
      <c r="CF106" s="1533">
        <v>0</v>
      </c>
      <c r="CG106" s="1533">
        <v>0</v>
      </c>
      <c r="CH106" s="1533">
        <v>0</v>
      </c>
      <c r="CI106" s="1533">
        <v>0</v>
      </c>
      <c r="CJ106" s="1533">
        <v>0</v>
      </c>
      <c r="CK106" s="1533">
        <v>0</v>
      </c>
      <c r="CL106" s="1533">
        <v>0</v>
      </c>
      <c r="CM106" s="1533">
        <v>0</v>
      </c>
      <c r="CN106" s="1533">
        <v>0</v>
      </c>
      <c r="CO106" s="1533">
        <v>0</v>
      </c>
      <c r="CP106" s="1533">
        <v>0</v>
      </c>
      <c r="CQ106" s="1533">
        <v>0</v>
      </c>
      <c r="CR106" s="1533">
        <v>0</v>
      </c>
      <c r="CS106" s="1533">
        <v>0</v>
      </c>
      <c r="CT106" s="1533">
        <v>0</v>
      </c>
      <c r="CU106" s="1533">
        <v>0</v>
      </c>
      <c r="CV106" s="1533">
        <v>0</v>
      </c>
      <c r="CW106" s="1533">
        <v>0</v>
      </c>
      <c r="CX106" s="1533">
        <v>0</v>
      </c>
      <c r="CY106" s="1533">
        <v>0</v>
      </c>
      <c r="CZ106" s="1533">
        <v>0</v>
      </c>
      <c r="DA106" s="1533">
        <v>0</v>
      </c>
      <c r="DB106" s="1533">
        <v>0</v>
      </c>
      <c r="DC106" s="1533">
        <v>0</v>
      </c>
      <c r="DD106" s="1533">
        <v>0</v>
      </c>
      <c r="DE106" s="1533">
        <v>-1.3540111199999998</v>
      </c>
      <c r="DF106" s="1533">
        <v>0</v>
      </c>
      <c r="DG106" s="1533">
        <v>0</v>
      </c>
      <c r="DH106" s="1533">
        <v>0</v>
      </c>
      <c r="DI106" s="1533">
        <v>0</v>
      </c>
      <c r="DJ106" s="1533">
        <v>0</v>
      </c>
      <c r="DK106" s="1533">
        <v>0</v>
      </c>
      <c r="DL106" s="1533">
        <v>0</v>
      </c>
      <c r="DN106" s="1509">
        <v>-1.3540111199999998</v>
      </c>
    </row>
    <row r="107" spans="1:118" s="14" customFormat="1" ht="15.75" outlineLevel="1" collapsed="1" x14ac:dyDescent="0.2">
      <c r="A107" s="1534"/>
      <c r="B107" s="1535"/>
      <c r="C107" s="1552"/>
      <c r="D107" s="1526"/>
      <c r="E107" s="1538"/>
      <c r="G107" s="1539"/>
      <c r="H107" s="1539"/>
      <c r="I107" s="1539"/>
      <c r="J107" s="1539"/>
      <c r="K107" s="1539"/>
      <c r="L107" s="1539"/>
      <c r="M107" s="1539"/>
      <c r="N107" s="1539"/>
      <c r="O107" s="1539"/>
      <c r="P107" s="1539"/>
      <c r="Q107" s="1539"/>
      <c r="R107" s="1539"/>
      <c r="S107" s="1539"/>
      <c r="T107" s="1539"/>
      <c r="U107" s="1539"/>
      <c r="V107" s="1539"/>
      <c r="W107" s="1539"/>
      <c r="Y107" s="1490">
        <f ca="1">Y106</f>
        <v>0</v>
      </c>
      <c r="Z107" s="1490">
        <f t="shared" ref="Z107:AQ107" ca="1" si="68">Z106</f>
        <v>0</v>
      </c>
      <c r="AA107" s="1490">
        <f t="shared" ca="1" si="68"/>
        <v>0</v>
      </c>
      <c r="AB107" s="1490">
        <f t="shared" ca="1" si="68"/>
        <v>0</v>
      </c>
      <c r="AC107" s="1490">
        <f t="shared" ca="1" si="68"/>
        <v>0</v>
      </c>
      <c r="AD107" s="1490">
        <f t="shared" ca="1" si="68"/>
        <v>25.584695004942699</v>
      </c>
      <c r="AE107" s="1490">
        <f t="shared" ca="1" si="68"/>
        <v>3.0761179275455</v>
      </c>
      <c r="AF107" s="1490">
        <f t="shared" ca="1" si="68"/>
        <v>10.934465313717508</v>
      </c>
      <c r="AG107" s="1490">
        <f t="shared" ca="1" si="68"/>
        <v>0</v>
      </c>
      <c r="AH107" s="1490">
        <f t="shared" ca="1" si="68"/>
        <v>0</v>
      </c>
      <c r="AI107" s="1490">
        <f t="shared" ca="1" si="68"/>
        <v>0</v>
      </c>
      <c r="AJ107" s="1490">
        <f t="shared" ca="1" si="68"/>
        <v>0</v>
      </c>
      <c r="AK107" s="1490">
        <f t="shared" ca="1" si="68"/>
        <v>0</v>
      </c>
      <c r="AL107" s="1490">
        <f t="shared" ca="1" si="68"/>
        <v>0</v>
      </c>
      <c r="AM107" s="1490">
        <f t="shared" ca="1" si="68"/>
        <v>0</v>
      </c>
      <c r="AN107" s="1490">
        <f t="shared" ca="1" si="68"/>
        <v>0</v>
      </c>
      <c r="AO107" s="1490">
        <f t="shared" ca="1" si="68"/>
        <v>0</v>
      </c>
      <c r="AP107" s="1490">
        <f t="shared" ca="1" si="68"/>
        <v>0</v>
      </c>
      <c r="AQ107" s="1490">
        <f t="shared" ca="1" si="68"/>
        <v>39.595278246205709</v>
      </c>
      <c r="AS107" s="1491">
        <f ca="1">AS106</f>
        <v>-25.584695004942699</v>
      </c>
      <c r="AT107" s="1491">
        <f t="shared" ref="AT107:BD107" ca="1" si="69">AT106</f>
        <v>-3.0761179275455</v>
      </c>
      <c r="AU107" s="1491">
        <f t="shared" ca="1" si="69"/>
        <v>-10.934465313717508</v>
      </c>
      <c r="AV107" s="1491">
        <f t="shared" ca="1" si="69"/>
        <v>0</v>
      </c>
      <c r="AW107" s="1491">
        <f t="shared" ca="1" si="69"/>
        <v>0</v>
      </c>
      <c r="AX107" s="1491">
        <f t="shared" ca="1" si="69"/>
        <v>0</v>
      </c>
      <c r="AY107" s="1491">
        <f t="shared" ca="1" si="69"/>
        <v>0</v>
      </c>
      <c r="AZ107" s="1491">
        <f t="shared" ca="1" si="69"/>
        <v>0</v>
      </c>
      <c r="BA107" s="1491">
        <f t="shared" ca="1" si="69"/>
        <v>0</v>
      </c>
      <c r="BB107" s="1491">
        <f t="shared" ca="1" si="69"/>
        <v>0</v>
      </c>
      <c r="BC107" s="1491">
        <f t="shared" ca="1" si="69"/>
        <v>0</v>
      </c>
      <c r="BD107" s="1491">
        <f t="shared" ca="1" si="69"/>
        <v>0</v>
      </c>
      <c r="BE107" s="1491">
        <f ca="1">BE106</f>
        <v>0</v>
      </c>
      <c r="BF107" s="1491">
        <f t="shared" ref="BF107:BL107" ca="1" si="70">BF106</f>
        <v>0</v>
      </c>
      <c r="BG107" s="1491">
        <f t="shared" ca="1" si="70"/>
        <v>0</v>
      </c>
      <c r="BH107" s="1491">
        <f t="shared" ca="1" si="70"/>
        <v>0</v>
      </c>
      <c r="BI107" s="1491">
        <f t="shared" ca="1" si="70"/>
        <v>0</v>
      </c>
      <c r="BJ107" s="1491">
        <f t="shared" ca="1" si="70"/>
        <v>0</v>
      </c>
      <c r="BK107" s="1491">
        <f t="shared" ca="1" si="70"/>
        <v>0</v>
      </c>
      <c r="BL107" s="1491">
        <f t="shared" ca="1" si="70"/>
        <v>-39.595278246205709</v>
      </c>
      <c r="BN107" s="1492"/>
      <c r="BO107" s="1492"/>
      <c r="BP107" s="1492"/>
      <c r="BR107" s="3168">
        <f ca="1">W107+AQ107+BL107+BP107</f>
        <v>0</v>
      </c>
      <c r="BS107" s="1493"/>
      <c r="BT107" s="748"/>
      <c r="BU107" s="1508">
        <v>0</v>
      </c>
      <c r="BV107" s="1508">
        <v>0</v>
      </c>
      <c r="BW107" s="1508">
        <v>0</v>
      </c>
      <c r="BX107" s="1508">
        <v>0</v>
      </c>
      <c r="BY107" s="1508">
        <v>0</v>
      </c>
      <c r="BZ107" s="1508">
        <v>0</v>
      </c>
      <c r="CA107" s="1508">
        <v>0</v>
      </c>
      <c r="CB107" s="1508">
        <v>0</v>
      </c>
      <c r="CC107" s="1508">
        <v>0</v>
      </c>
      <c r="CD107" s="1508">
        <v>0</v>
      </c>
      <c r="CE107" s="1508">
        <v>0</v>
      </c>
      <c r="CF107" s="1508">
        <v>0</v>
      </c>
      <c r="CG107" s="1508">
        <v>0</v>
      </c>
      <c r="CH107" s="1508">
        <v>0</v>
      </c>
      <c r="CI107" s="1508">
        <v>0</v>
      </c>
      <c r="CJ107" s="1508">
        <v>0</v>
      </c>
      <c r="CK107" s="1508">
        <v>0</v>
      </c>
      <c r="CL107" s="1508">
        <v>0</v>
      </c>
      <c r="CM107" s="1508">
        <v>0</v>
      </c>
      <c r="CN107" s="1508">
        <v>0</v>
      </c>
      <c r="CO107" s="1508">
        <v>0</v>
      </c>
      <c r="CP107" s="1508">
        <v>0</v>
      </c>
      <c r="CQ107" s="1508">
        <v>0</v>
      </c>
      <c r="CR107" s="1508">
        <v>0</v>
      </c>
      <c r="CS107" s="1508">
        <v>0</v>
      </c>
      <c r="CT107" s="1508">
        <v>0</v>
      </c>
      <c r="CU107" s="1508">
        <v>0</v>
      </c>
      <c r="CV107" s="1508">
        <v>0</v>
      </c>
      <c r="CW107" s="1508">
        <v>0</v>
      </c>
      <c r="CX107" s="1508">
        <v>0</v>
      </c>
      <c r="CY107" s="1508">
        <v>0</v>
      </c>
      <c r="CZ107" s="1508">
        <v>0</v>
      </c>
      <c r="DA107" s="1508">
        <v>0</v>
      </c>
      <c r="DB107" s="1508">
        <v>0</v>
      </c>
      <c r="DC107" s="1508">
        <v>0</v>
      </c>
      <c r="DD107" s="1508">
        <v>0</v>
      </c>
      <c r="DE107" s="1508">
        <v>-6.9140653412492146</v>
      </c>
      <c r="DF107" s="1508">
        <v>0</v>
      </c>
      <c r="DG107" s="1508">
        <v>0</v>
      </c>
      <c r="DH107" s="1508">
        <v>0</v>
      </c>
      <c r="DI107" s="1508">
        <v>0</v>
      </c>
      <c r="DJ107" s="1508">
        <v>0</v>
      </c>
      <c r="DK107" s="1508">
        <v>0</v>
      </c>
      <c r="DL107" s="1508">
        <v>0</v>
      </c>
      <c r="DN107" s="1509">
        <v>-6.9140653412492146</v>
      </c>
    </row>
    <row r="108" spans="1:118" s="1534" customFormat="1" ht="12.75" hidden="1" customHeight="1" outlineLevel="2" x14ac:dyDescent="0.2">
      <c r="B108" s="1535"/>
      <c r="C108" s="1536"/>
      <c r="D108" s="1537"/>
      <c r="E108" s="1538"/>
      <c r="F108" s="14"/>
      <c r="G108" s="1488"/>
      <c r="H108" s="1488"/>
      <c r="I108" s="1488"/>
      <c r="J108" s="1488"/>
      <c r="K108" s="1488"/>
      <c r="L108" s="1488"/>
      <c r="M108" s="1488"/>
      <c r="N108" s="1488"/>
      <c r="O108" s="1563"/>
      <c r="P108" s="1488"/>
      <c r="Q108" s="1488"/>
      <c r="R108" s="1488"/>
      <c r="S108" s="1488"/>
      <c r="T108" s="1488"/>
      <c r="U108" s="1488"/>
      <c r="V108" s="1488"/>
      <c r="W108" s="1539"/>
      <c r="X108" s="14"/>
      <c r="Y108" s="1490"/>
      <c r="Z108" s="1490"/>
      <c r="AA108" s="1490"/>
      <c r="AB108" s="1490"/>
      <c r="AC108" s="1490"/>
      <c r="AD108" s="1490"/>
      <c r="AE108" s="1490"/>
      <c r="AF108" s="1490"/>
      <c r="AG108" s="1490"/>
      <c r="AH108" s="1490"/>
      <c r="AI108" s="1490"/>
      <c r="AJ108" s="1490"/>
      <c r="AK108" s="1490"/>
      <c r="AL108" s="1490"/>
      <c r="AM108" s="1490"/>
      <c r="AN108" s="1490"/>
      <c r="AO108" s="1490"/>
      <c r="AP108" s="1490"/>
      <c r="AQ108" s="1490"/>
      <c r="AR108" s="14"/>
      <c r="AS108" s="1491"/>
      <c r="AT108" s="1491"/>
      <c r="AU108" s="1491"/>
      <c r="AV108" s="1491"/>
      <c r="AW108" s="1491"/>
      <c r="AX108" s="1491"/>
      <c r="AY108" s="1491"/>
      <c r="AZ108" s="1491"/>
      <c r="BA108" s="1491"/>
      <c r="BB108" s="1491"/>
      <c r="BC108" s="1491"/>
      <c r="BD108" s="1491"/>
      <c r="BE108" s="1491"/>
      <c r="BF108" s="1491"/>
      <c r="BG108" s="1491"/>
      <c r="BH108" s="1491"/>
      <c r="BI108" s="1491"/>
      <c r="BJ108" s="1491"/>
      <c r="BK108" s="1491"/>
      <c r="BL108" s="1491"/>
      <c r="BM108" s="14"/>
      <c r="BN108" s="1492"/>
      <c r="BO108" s="1492"/>
      <c r="BP108" s="1492"/>
      <c r="BQ108" s="14"/>
      <c r="BR108" s="3168"/>
      <c r="BS108" s="1493"/>
      <c r="BU108" s="1508"/>
      <c r="BV108" s="1508"/>
      <c r="BW108" s="1508"/>
      <c r="BX108" s="1508"/>
      <c r="BY108" s="1508"/>
      <c r="BZ108" s="1508"/>
      <c r="CA108" s="1508"/>
      <c r="CB108" s="1508"/>
      <c r="CC108" s="1508"/>
      <c r="CD108" s="1508"/>
      <c r="CE108" s="1508"/>
      <c r="CF108" s="1508"/>
      <c r="CG108" s="1508"/>
      <c r="CH108" s="1508"/>
      <c r="CI108" s="1508"/>
      <c r="CJ108" s="1508"/>
      <c r="CK108" s="1508"/>
      <c r="CL108" s="1508"/>
      <c r="CM108" s="1508"/>
      <c r="CN108" s="1508"/>
      <c r="CO108" s="1508"/>
      <c r="CP108" s="1508"/>
      <c r="CQ108" s="1508"/>
      <c r="CR108" s="1508"/>
      <c r="CS108" s="1508"/>
      <c r="CT108" s="1508"/>
      <c r="CU108" s="1508"/>
      <c r="CV108" s="1508"/>
      <c r="CW108" s="1508"/>
      <c r="CX108" s="1508"/>
      <c r="CY108" s="1508"/>
      <c r="CZ108" s="1508"/>
      <c r="DA108" s="1508"/>
      <c r="DB108" s="1508"/>
      <c r="DC108" s="1508"/>
      <c r="DD108" s="1508"/>
      <c r="DE108" s="1508"/>
      <c r="DF108" s="1508"/>
      <c r="DG108" s="1508"/>
      <c r="DH108" s="1508"/>
      <c r="DI108" s="1508"/>
      <c r="DJ108" s="1508"/>
      <c r="DK108" s="1508"/>
      <c r="DL108" s="1508"/>
      <c r="DN108" s="1509">
        <v>0</v>
      </c>
    </row>
    <row r="109" spans="1:118" s="1578" customFormat="1" ht="12.75" hidden="1" customHeight="1" outlineLevel="2" x14ac:dyDescent="0.2">
      <c r="C109" s="1591"/>
      <c r="D109" s="1566"/>
      <c r="E109" s="1600"/>
      <c r="G109" s="1568"/>
      <c r="H109" s="1568"/>
      <c r="I109" s="1568"/>
      <c r="J109" s="1568"/>
      <c r="K109" s="1568"/>
      <c r="L109" s="1568"/>
      <c r="M109" s="1568"/>
      <c r="N109" s="1568"/>
      <c r="O109" s="1569"/>
      <c r="P109" s="1568"/>
      <c r="Q109" s="1568"/>
      <c r="R109" s="1568"/>
      <c r="S109" s="1568"/>
      <c r="T109" s="1568"/>
      <c r="U109" s="1568"/>
      <c r="V109" s="1568"/>
      <c r="W109" s="1622"/>
      <c r="X109" s="1564"/>
      <c r="Y109" s="1570"/>
      <c r="Z109" s="1570"/>
      <c r="AA109" s="1570"/>
      <c r="AB109" s="1570"/>
      <c r="AC109" s="1570"/>
      <c r="AD109" s="1570"/>
      <c r="AE109" s="1570"/>
      <c r="AF109" s="1570"/>
      <c r="AG109" s="1570"/>
      <c r="AH109" s="1570"/>
      <c r="AI109" s="1570"/>
      <c r="AJ109" s="1570"/>
      <c r="AK109" s="1570"/>
      <c r="AL109" s="1570"/>
      <c r="AM109" s="1570"/>
      <c r="AN109" s="1570"/>
      <c r="AO109" s="1570"/>
      <c r="AP109" s="1570"/>
      <c r="AQ109" s="1570"/>
      <c r="AR109" s="1564"/>
      <c r="AS109" s="1571"/>
      <c r="AT109" s="1571"/>
      <c r="AU109" s="1571"/>
      <c r="AV109" s="1571"/>
      <c r="AW109" s="1571"/>
      <c r="AX109" s="1571"/>
      <c r="AY109" s="1571"/>
      <c r="AZ109" s="1571"/>
      <c r="BA109" s="1571"/>
      <c r="BB109" s="1571"/>
      <c r="BC109" s="1571"/>
      <c r="BD109" s="1571"/>
      <c r="BE109" s="1571"/>
      <c r="BF109" s="1571"/>
      <c r="BG109" s="1571"/>
      <c r="BH109" s="1571"/>
      <c r="BI109" s="1571"/>
      <c r="BJ109" s="1571"/>
      <c r="BK109" s="1571"/>
      <c r="BL109" s="1571"/>
      <c r="BM109" s="1564"/>
      <c r="BN109" s="1572"/>
      <c r="BO109" s="1572"/>
      <c r="BP109" s="1572"/>
      <c r="BR109" s="3168"/>
      <c r="BS109" s="1579"/>
      <c r="BU109" s="1595"/>
      <c r="BV109" s="1595"/>
      <c r="BW109" s="1595"/>
      <c r="BX109" s="1595"/>
      <c r="BY109" s="1595"/>
      <c r="BZ109" s="1595"/>
      <c r="CA109" s="1595"/>
      <c r="CB109" s="1595"/>
      <c r="CC109" s="1595"/>
      <c r="CD109" s="1595"/>
      <c r="CE109" s="1595"/>
      <c r="CF109" s="1595"/>
      <c r="CG109" s="1595"/>
      <c r="CH109" s="1595"/>
      <c r="CI109" s="1595"/>
      <c r="CJ109" s="1595"/>
      <c r="CK109" s="1595"/>
      <c r="CL109" s="1595"/>
      <c r="CM109" s="1595"/>
      <c r="CN109" s="1595"/>
      <c r="CO109" s="1595"/>
      <c r="CP109" s="1595"/>
      <c r="CQ109" s="1595"/>
      <c r="CR109" s="1595"/>
      <c r="CS109" s="1595"/>
      <c r="CT109" s="1595"/>
      <c r="CU109" s="1595"/>
      <c r="CV109" s="1595"/>
      <c r="CW109" s="1595"/>
      <c r="CX109" s="1595"/>
      <c r="CY109" s="1595"/>
      <c r="CZ109" s="1595"/>
      <c r="DA109" s="1595"/>
      <c r="DB109" s="1595"/>
      <c r="DC109" s="1595"/>
      <c r="DD109" s="1595"/>
      <c r="DE109" s="1595"/>
      <c r="DF109" s="1595"/>
      <c r="DG109" s="1595"/>
      <c r="DH109" s="1595"/>
      <c r="DI109" s="1595"/>
      <c r="DJ109" s="1595"/>
      <c r="DK109" s="1595"/>
      <c r="DL109" s="1595"/>
      <c r="DN109" s="1509">
        <v>0</v>
      </c>
    </row>
    <row r="110" spans="1:118" s="1522" customFormat="1" ht="12.75" hidden="1" customHeight="1" outlineLevel="2" x14ac:dyDescent="0.2">
      <c r="B110" s="1623"/>
      <c r="C110" s="1577"/>
      <c r="D110" s="1497"/>
      <c r="E110" s="1497"/>
      <c r="F110" s="14"/>
      <c r="G110" s="1583"/>
      <c r="H110" s="1583"/>
      <c r="I110" s="1583"/>
      <c r="J110" s="1583"/>
      <c r="K110" s="1583"/>
      <c r="L110" s="1583"/>
      <c r="M110" s="1583"/>
      <c r="N110" s="1583"/>
      <c r="O110" s="1624"/>
      <c r="P110" s="1583"/>
      <c r="Q110" s="1583"/>
      <c r="R110" s="1583"/>
      <c r="S110" s="1583"/>
      <c r="T110" s="1583"/>
      <c r="U110" s="1583"/>
      <c r="V110" s="1583"/>
      <c r="W110" s="1625"/>
      <c r="X110" s="14"/>
      <c r="Y110" s="1585"/>
      <c r="Z110" s="1585"/>
      <c r="AA110" s="1585"/>
      <c r="AB110" s="1585"/>
      <c r="AC110" s="1585"/>
      <c r="AD110" s="1585"/>
      <c r="AE110" s="1585"/>
      <c r="AF110" s="1585"/>
      <c r="AG110" s="1585"/>
      <c r="AH110" s="1585"/>
      <c r="AI110" s="1585"/>
      <c r="AJ110" s="1585"/>
      <c r="AK110" s="1585"/>
      <c r="AL110" s="1585"/>
      <c r="AM110" s="1585"/>
      <c r="AN110" s="1585"/>
      <c r="AO110" s="1585"/>
      <c r="AP110" s="1585"/>
      <c r="AQ110" s="1585"/>
      <c r="AR110" s="14"/>
      <c r="AS110" s="1524"/>
      <c r="AT110" s="1524"/>
      <c r="AU110" s="1524"/>
      <c r="AV110" s="1524"/>
      <c r="AW110" s="1524"/>
      <c r="AX110" s="1524"/>
      <c r="AY110" s="1524"/>
      <c r="AZ110" s="1524"/>
      <c r="BA110" s="1524"/>
      <c r="BB110" s="1524"/>
      <c r="BC110" s="1524"/>
      <c r="BD110" s="1524"/>
      <c r="BE110" s="1524"/>
      <c r="BF110" s="1524"/>
      <c r="BG110" s="1524"/>
      <c r="BH110" s="1524"/>
      <c r="BI110" s="1524"/>
      <c r="BJ110" s="1524"/>
      <c r="BK110" s="1524"/>
      <c r="BL110" s="1524"/>
      <c r="BM110" s="14"/>
      <c r="BN110" s="1588"/>
      <c r="BO110" s="1588"/>
      <c r="BP110" s="1588"/>
      <c r="BQ110" s="14"/>
      <c r="BR110" s="3168"/>
      <c r="BS110" s="1525"/>
      <c r="BU110" s="1507">
        <v>0</v>
      </c>
      <c r="BV110" s="1508">
        <v>0</v>
      </c>
      <c r="BW110" s="1508">
        <v>0</v>
      </c>
      <c r="BX110" s="1508">
        <v>0</v>
      </c>
      <c r="BY110" s="1508">
        <v>0</v>
      </c>
      <c r="BZ110" s="1508">
        <v>4.3706513640884639</v>
      </c>
      <c r="CA110" s="1508">
        <v>0</v>
      </c>
      <c r="CB110" s="1508">
        <v>0</v>
      </c>
      <c r="CC110" s="1508">
        <v>0</v>
      </c>
      <c r="CD110" s="1508">
        <v>0</v>
      </c>
      <c r="CE110" s="1508">
        <v>0</v>
      </c>
      <c r="CF110" s="1508">
        <v>0</v>
      </c>
      <c r="CG110" s="1508">
        <v>0</v>
      </c>
      <c r="CH110" s="1508">
        <v>0</v>
      </c>
      <c r="CI110" s="1508">
        <v>0</v>
      </c>
      <c r="CJ110" s="1508">
        <v>0</v>
      </c>
      <c r="CK110" s="1508">
        <v>0</v>
      </c>
      <c r="CL110" s="1508">
        <v>0</v>
      </c>
      <c r="CM110" s="1508">
        <v>0</v>
      </c>
      <c r="CN110" s="1508">
        <v>0</v>
      </c>
      <c r="CO110" s="1508">
        <v>0</v>
      </c>
      <c r="CP110" s="1508">
        <v>0</v>
      </c>
      <c r="CQ110" s="1508">
        <v>0</v>
      </c>
      <c r="CR110" s="1508">
        <v>0</v>
      </c>
      <c r="CS110" s="1508">
        <v>0</v>
      </c>
      <c r="CT110" s="1508">
        <v>0</v>
      </c>
      <c r="CU110" s="1508">
        <v>0</v>
      </c>
      <c r="CV110" s="1508">
        <v>0</v>
      </c>
      <c r="CW110" s="1508">
        <v>0</v>
      </c>
      <c r="CX110" s="1508">
        <v>0</v>
      </c>
      <c r="CY110" s="1508">
        <v>0</v>
      </c>
      <c r="CZ110" s="1508">
        <v>0</v>
      </c>
      <c r="DA110" s="1508">
        <v>0</v>
      </c>
      <c r="DB110" s="1508">
        <v>0</v>
      </c>
      <c r="DC110" s="1508">
        <v>0</v>
      </c>
      <c r="DD110" s="1508">
        <v>0</v>
      </c>
      <c r="DE110" s="1508">
        <v>0</v>
      </c>
      <c r="DF110" s="1508">
        <v>0</v>
      </c>
      <c r="DG110" s="1508">
        <v>0</v>
      </c>
      <c r="DH110" s="1508">
        <v>0</v>
      </c>
      <c r="DI110" s="1508">
        <v>0</v>
      </c>
      <c r="DJ110" s="1508">
        <v>0</v>
      </c>
      <c r="DK110" s="1508">
        <v>0</v>
      </c>
      <c r="DL110" s="1508">
        <v>0</v>
      </c>
      <c r="DN110" s="1509">
        <v>4.3706513640884639</v>
      </c>
    </row>
    <row r="111" spans="1:118" s="1522" customFormat="1" ht="12.75" hidden="1" customHeight="1" outlineLevel="2" x14ac:dyDescent="0.2">
      <c r="B111" s="1623" t="s">
        <v>816</v>
      </c>
      <c r="C111" s="1577"/>
      <c r="D111" s="1526"/>
      <c r="E111" s="1526"/>
      <c r="F111" s="14"/>
      <c r="G111" s="1626"/>
      <c r="H111" s="1626"/>
      <c r="I111" s="1626"/>
      <c r="J111" s="1626"/>
      <c r="K111" s="1626"/>
      <c r="L111" s="1626"/>
      <c r="M111" s="1626"/>
      <c r="N111" s="1626"/>
      <c r="O111" s="1627"/>
      <c r="P111" s="1626"/>
      <c r="Q111" s="1626"/>
      <c r="R111" s="1626"/>
      <c r="S111" s="1626"/>
      <c r="T111" s="1626"/>
      <c r="U111" s="1626"/>
      <c r="V111" s="1626"/>
      <c r="W111" s="1628"/>
      <c r="X111" s="14"/>
      <c r="Y111" s="1629"/>
      <c r="Z111" s="1629"/>
      <c r="AA111" s="1629"/>
      <c r="AB111" s="1629"/>
      <c r="AC111" s="1629"/>
      <c r="AD111" s="1629"/>
      <c r="AE111" s="1629"/>
      <c r="AF111" s="1629"/>
      <c r="AG111" s="1629"/>
      <c r="AH111" s="1629"/>
      <c r="AI111" s="1629"/>
      <c r="AJ111" s="1629"/>
      <c r="AK111" s="1629"/>
      <c r="AL111" s="1629"/>
      <c r="AM111" s="1629"/>
      <c r="AN111" s="1629"/>
      <c r="AO111" s="1629"/>
      <c r="AP111" s="1629"/>
      <c r="AQ111" s="1629"/>
      <c r="AR111" s="14"/>
      <c r="AS111" s="1530"/>
      <c r="AT111" s="1530"/>
      <c r="AU111" s="1530"/>
      <c r="AV111" s="1530"/>
      <c r="AW111" s="1530"/>
      <c r="AX111" s="1530"/>
      <c r="AY111" s="1530"/>
      <c r="AZ111" s="1530"/>
      <c r="BA111" s="1530"/>
      <c r="BB111" s="1530"/>
      <c r="BC111" s="1530"/>
      <c r="BD111" s="1530"/>
      <c r="BE111" s="1530"/>
      <c r="BF111" s="1530"/>
      <c r="BG111" s="1530"/>
      <c r="BH111" s="1530"/>
      <c r="BI111" s="1530"/>
      <c r="BJ111" s="1530"/>
      <c r="BK111" s="1530"/>
      <c r="BL111" s="1530"/>
      <c r="BM111" s="14"/>
      <c r="BN111" s="1630"/>
      <c r="BO111" s="1630"/>
      <c r="BP111" s="1630"/>
      <c r="BQ111" s="14"/>
      <c r="BR111" s="3168"/>
      <c r="BS111" s="1525"/>
      <c r="BU111" s="1532">
        <v>0</v>
      </c>
      <c r="BV111" s="1533">
        <v>0</v>
      </c>
      <c r="BW111" s="1533">
        <v>0</v>
      </c>
      <c r="BX111" s="1533">
        <v>0</v>
      </c>
      <c r="BY111" s="1533">
        <v>0</v>
      </c>
      <c r="BZ111" s="1533">
        <v>0</v>
      </c>
      <c r="CA111" s="1533">
        <v>0</v>
      </c>
      <c r="CB111" s="1533">
        <v>0</v>
      </c>
      <c r="CC111" s="1533">
        <v>0</v>
      </c>
      <c r="CD111" s="1533">
        <v>0</v>
      </c>
      <c r="CE111" s="1533">
        <v>0</v>
      </c>
      <c r="CF111" s="1533">
        <v>0</v>
      </c>
      <c r="CG111" s="1533">
        <v>0</v>
      </c>
      <c r="CH111" s="1533">
        <v>0</v>
      </c>
      <c r="CI111" s="1533">
        <v>0</v>
      </c>
      <c r="CJ111" s="1533">
        <v>0</v>
      </c>
      <c r="CK111" s="1533">
        <v>0</v>
      </c>
      <c r="CL111" s="1533">
        <v>0</v>
      </c>
      <c r="CM111" s="1533">
        <v>0</v>
      </c>
      <c r="CN111" s="1533">
        <v>0</v>
      </c>
      <c r="CO111" s="1533">
        <v>0</v>
      </c>
      <c r="CP111" s="1533">
        <v>0</v>
      </c>
      <c r="CQ111" s="1533">
        <v>0</v>
      </c>
      <c r="CR111" s="1533">
        <v>0</v>
      </c>
      <c r="CS111" s="1533">
        <v>0</v>
      </c>
      <c r="CT111" s="1533">
        <v>0</v>
      </c>
      <c r="CU111" s="1533">
        <v>0</v>
      </c>
      <c r="CV111" s="1533">
        <v>0</v>
      </c>
      <c r="CW111" s="1533">
        <v>0</v>
      </c>
      <c r="CX111" s="1533">
        <v>0</v>
      </c>
      <c r="CY111" s="1533">
        <v>0</v>
      </c>
      <c r="CZ111" s="1533">
        <v>0</v>
      </c>
      <c r="DA111" s="1533">
        <v>0</v>
      </c>
      <c r="DB111" s="1533">
        <v>0</v>
      </c>
      <c r="DC111" s="1533">
        <v>0</v>
      </c>
      <c r="DD111" s="1533">
        <v>0</v>
      </c>
      <c r="DE111" s="1533">
        <v>0</v>
      </c>
      <c r="DF111" s="1533">
        <v>0</v>
      </c>
      <c r="DG111" s="1533">
        <v>0</v>
      </c>
      <c r="DH111" s="1533">
        <v>0</v>
      </c>
      <c r="DI111" s="1533">
        <v>0</v>
      </c>
      <c r="DJ111" s="1533">
        <v>0</v>
      </c>
      <c r="DK111" s="1533">
        <v>0</v>
      </c>
      <c r="DL111" s="1533">
        <v>0</v>
      </c>
      <c r="DN111" s="1509">
        <v>0</v>
      </c>
    </row>
    <row r="112" spans="1:118" s="14" customFormat="1" ht="15.75" outlineLevel="1" collapsed="1" x14ac:dyDescent="0.2">
      <c r="B112" s="1535"/>
      <c r="C112" s="1552"/>
      <c r="D112" s="1537"/>
      <c r="E112" s="1430"/>
      <c r="G112" s="1539"/>
      <c r="H112" s="1539"/>
      <c r="I112" s="1539"/>
      <c r="J112" s="1539"/>
      <c r="K112" s="1539"/>
      <c r="L112" s="1539"/>
      <c r="M112" s="1539"/>
      <c r="N112" s="1539"/>
      <c r="O112" s="1539"/>
      <c r="P112" s="1539"/>
      <c r="Q112" s="1539"/>
      <c r="R112" s="1539"/>
      <c r="S112" s="1539"/>
      <c r="T112" s="1539"/>
      <c r="U112" s="1539"/>
      <c r="V112" s="1539"/>
      <c r="W112" s="1539"/>
      <c r="Y112" s="1490"/>
      <c r="Z112" s="1490"/>
      <c r="AA112" s="1490"/>
      <c r="AB112" s="1490"/>
      <c r="AC112" s="1490"/>
      <c r="AD112" s="1490"/>
      <c r="AE112" s="1490"/>
      <c r="AF112" s="1490"/>
      <c r="AG112" s="1490"/>
      <c r="AH112" s="1490"/>
      <c r="AI112" s="1490"/>
      <c r="AJ112" s="1490"/>
      <c r="AK112" s="1490"/>
      <c r="AL112" s="1490"/>
      <c r="AM112" s="1490"/>
      <c r="AN112" s="1490"/>
      <c r="AO112" s="1490"/>
      <c r="AP112" s="1490"/>
      <c r="AQ112" s="1490"/>
      <c r="AS112" s="1491"/>
      <c r="AT112" s="1491"/>
      <c r="AU112" s="1491"/>
      <c r="AV112" s="1491"/>
      <c r="AW112" s="1491"/>
      <c r="AX112" s="1491"/>
      <c r="AY112" s="1491"/>
      <c r="AZ112" s="1491"/>
      <c r="BA112" s="1491"/>
      <c r="BB112" s="1491"/>
      <c r="BC112" s="1491"/>
      <c r="BD112" s="1491"/>
      <c r="BE112" s="1491"/>
      <c r="BF112" s="1491"/>
      <c r="BG112" s="1491"/>
      <c r="BH112" s="1491"/>
      <c r="BI112" s="1491"/>
      <c r="BJ112" s="1491"/>
      <c r="BK112" s="1491"/>
      <c r="BL112" s="1491"/>
      <c r="BN112" s="1492"/>
      <c r="BO112" s="1492"/>
      <c r="BP112" s="1492"/>
      <c r="BR112" s="3168"/>
      <c r="BS112" s="1493"/>
      <c r="BT112" s="748"/>
      <c r="BU112" s="1508">
        <v>0</v>
      </c>
      <c r="BV112" s="1508">
        <v>0</v>
      </c>
      <c r="BW112" s="1508">
        <v>0</v>
      </c>
      <c r="BX112" s="1508">
        <v>0</v>
      </c>
      <c r="BY112" s="1508">
        <v>0</v>
      </c>
      <c r="BZ112" s="1508">
        <v>4.3706513640884639</v>
      </c>
      <c r="CA112" s="1508">
        <v>0</v>
      </c>
      <c r="CB112" s="1508">
        <v>0</v>
      </c>
      <c r="CC112" s="1508">
        <v>0</v>
      </c>
      <c r="CD112" s="1508">
        <v>0</v>
      </c>
      <c r="CE112" s="1508">
        <v>0</v>
      </c>
      <c r="CF112" s="1508">
        <v>0</v>
      </c>
      <c r="CG112" s="1508">
        <v>0</v>
      </c>
      <c r="CH112" s="1508">
        <v>0</v>
      </c>
      <c r="CI112" s="1508">
        <v>0</v>
      </c>
      <c r="CJ112" s="1508">
        <v>0</v>
      </c>
      <c r="CK112" s="1508">
        <v>0</v>
      </c>
      <c r="CL112" s="1508">
        <v>0</v>
      </c>
      <c r="CM112" s="1508">
        <v>0</v>
      </c>
      <c r="CN112" s="1508">
        <v>0</v>
      </c>
      <c r="CO112" s="1508">
        <v>0</v>
      </c>
      <c r="CP112" s="1508">
        <v>0</v>
      </c>
      <c r="CQ112" s="1508">
        <v>0</v>
      </c>
      <c r="CR112" s="1508">
        <v>0</v>
      </c>
      <c r="CS112" s="1508">
        <v>0</v>
      </c>
      <c r="CT112" s="1508">
        <v>0</v>
      </c>
      <c r="CU112" s="1508">
        <v>0</v>
      </c>
      <c r="CV112" s="1508">
        <v>0</v>
      </c>
      <c r="CW112" s="1508">
        <v>0</v>
      </c>
      <c r="CX112" s="1508">
        <v>0</v>
      </c>
      <c r="CY112" s="1508">
        <v>0</v>
      </c>
      <c r="CZ112" s="1508">
        <v>0</v>
      </c>
      <c r="DA112" s="1508">
        <v>0</v>
      </c>
      <c r="DB112" s="1508">
        <v>0</v>
      </c>
      <c r="DC112" s="1508">
        <v>0</v>
      </c>
      <c r="DD112" s="1508">
        <v>0</v>
      </c>
      <c r="DE112" s="1508">
        <v>0</v>
      </c>
      <c r="DF112" s="1508">
        <v>0</v>
      </c>
      <c r="DG112" s="1508">
        <v>0</v>
      </c>
      <c r="DH112" s="1508">
        <v>0</v>
      </c>
      <c r="DI112" s="1508">
        <v>0</v>
      </c>
      <c r="DJ112" s="1508">
        <v>0</v>
      </c>
      <c r="DK112" s="1508">
        <v>0</v>
      </c>
      <c r="DL112" s="1508">
        <v>0</v>
      </c>
      <c r="DN112" s="1509">
        <v>4.3706513640884639</v>
      </c>
    </row>
    <row r="113" spans="2:118" s="14" customFormat="1" ht="6" customHeight="1" outlineLevel="1" x14ac:dyDescent="0.2">
      <c r="C113" s="1429"/>
      <c r="D113" s="1430"/>
      <c r="E113" s="1430"/>
      <c r="G113" s="1488"/>
      <c r="H113" s="1488"/>
      <c r="I113" s="1488"/>
      <c r="J113" s="1488"/>
      <c r="K113" s="1488"/>
      <c r="L113" s="1488"/>
      <c r="M113" s="1488"/>
      <c r="N113" s="1488"/>
      <c r="O113" s="1563"/>
      <c r="P113" s="1488"/>
      <c r="Q113" s="1488"/>
      <c r="R113" s="1488"/>
      <c r="S113" s="1488"/>
      <c r="T113" s="1488"/>
      <c r="U113" s="1488"/>
      <c r="V113" s="1488"/>
      <c r="W113" s="1488"/>
      <c r="Y113" s="1490"/>
      <c r="Z113" s="1490"/>
      <c r="AA113" s="1490"/>
      <c r="AB113" s="1490"/>
      <c r="AC113" s="1490"/>
      <c r="AD113" s="1490"/>
      <c r="AE113" s="1490"/>
      <c r="AF113" s="1490"/>
      <c r="AG113" s="1490"/>
      <c r="AH113" s="1490"/>
      <c r="AI113" s="1490"/>
      <c r="AJ113" s="1490"/>
      <c r="AK113" s="1490"/>
      <c r="AL113" s="1490"/>
      <c r="AM113" s="1490"/>
      <c r="AN113" s="1490"/>
      <c r="AO113" s="1490"/>
      <c r="AP113" s="1490"/>
      <c r="AQ113" s="1490"/>
      <c r="AS113" s="1491"/>
      <c r="AT113" s="1491"/>
      <c r="AU113" s="1491"/>
      <c r="AV113" s="1491"/>
      <c r="AW113" s="1491"/>
      <c r="AX113" s="1491"/>
      <c r="AY113" s="1491"/>
      <c r="AZ113" s="1491"/>
      <c r="BA113" s="1491"/>
      <c r="BB113" s="1491"/>
      <c r="BC113" s="1491"/>
      <c r="BD113" s="1491"/>
      <c r="BE113" s="1491"/>
      <c r="BF113" s="1491"/>
      <c r="BG113" s="1491"/>
      <c r="BH113" s="1491"/>
      <c r="BI113" s="1491"/>
      <c r="BJ113" s="1491"/>
      <c r="BK113" s="1491"/>
      <c r="BL113" s="1491"/>
      <c r="BN113" s="1492"/>
      <c r="BO113" s="1492"/>
      <c r="BP113" s="1492"/>
      <c r="BR113" s="3168"/>
      <c r="BS113" s="1493"/>
      <c r="BU113" s="1508"/>
      <c r="BV113" s="1508"/>
      <c r="BW113" s="1508"/>
      <c r="BX113" s="1508"/>
      <c r="BY113" s="1508"/>
      <c r="BZ113" s="1508"/>
      <c r="CA113" s="1508"/>
      <c r="CB113" s="1508"/>
      <c r="CC113" s="1508"/>
      <c r="CD113" s="1508"/>
      <c r="CE113" s="1508"/>
      <c r="CF113" s="1508"/>
      <c r="CG113" s="1508"/>
      <c r="CH113" s="1508"/>
      <c r="CI113" s="1508"/>
      <c r="CJ113" s="1508"/>
      <c r="CK113" s="1508"/>
      <c r="CL113" s="1508"/>
      <c r="CM113" s="1508"/>
      <c r="CN113" s="1508"/>
      <c r="CO113" s="1508"/>
      <c r="CP113" s="1508"/>
      <c r="CQ113" s="1508"/>
      <c r="CR113" s="1508"/>
      <c r="CS113" s="1508"/>
      <c r="CT113" s="1508"/>
      <c r="CU113" s="1508"/>
      <c r="CV113" s="1508"/>
      <c r="CW113" s="1508"/>
      <c r="CX113" s="1508"/>
      <c r="CY113" s="1508"/>
      <c r="CZ113" s="1508"/>
      <c r="DA113" s="1508"/>
      <c r="DB113" s="1508"/>
      <c r="DC113" s="1508"/>
      <c r="DD113" s="1508"/>
      <c r="DE113" s="1508"/>
      <c r="DF113" s="1508"/>
      <c r="DG113" s="1508"/>
      <c r="DH113" s="1508"/>
      <c r="DI113" s="1508"/>
      <c r="DJ113" s="1508"/>
      <c r="DK113" s="1508"/>
      <c r="DL113" s="1508"/>
      <c r="DN113" s="1509"/>
    </row>
    <row r="114" spans="2:118" s="14" customFormat="1" ht="13.5" thickBot="1" x14ac:dyDescent="0.25">
      <c r="C114" s="1429"/>
      <c r="D114" s="1430"/>
      <c r="E114" s="1430"/>
      <c r="G114" s="1488"/>
      <c r="H114" s="1488"/>
      <c r="I114" s="1488"/>
      <c r="J114" s="1488"/>
      <c r="K114" s="1488"/>
      <c r="L114" s="1488"/>
      <c r="M114" s="1488"/>
      <c r="N114" s="1488"/>
      <c r="O114" s="1563"/>
      <c r="P114" s="1488"/>
      <c r="Q114" s="1488"/>
      <c r="R114" s="1488"/>
      <c r="S114" s="1488"/>
      <c r="T114" s="1488"/>
      <c r="U114" s="1488"/>
      <c r="V114" s="1488"/>
      <c r="W114" s="1488"/>
      <c r="Y114" s="1490"/>
      <c r="Z114" s="1490"/>
      <c r="AA114" s="1490"/>
      <c r="AB114" s="1490"/>
      <c r="AC114" s="1490"/>
      <c r="AD114" s="1490"/>
      <c r="AE114" s="1490"/>
      <c r="AF114" s="1490"/>
      <c r="AG114" s="1490"/>
      <c r="AH114" s="1490"/>
      <c r="AI114" s="1490"/>
      <c r="AJ114" s="1490"/>
      <c r="AK114" s="1490"/>
      <c r="AL114" s="1490"/>
      <c r="AM114" s="1490"/>
      <c r="AN114" s="1490"/>
      <c r="AO114" s="1490"/>
      <c r="AP114" s="1490"/>
      <c r="AQ114" s="1490"/>
      <c r="AS114" s="1491"/>
      <c r="AT114" s="1491"/>
      <c r="AU114" s="1491"/>
      <c r="AV114" s="1491"/>
      <c r="AW114" s="1491"/>
      <c r="AX114" s="1491"/>
      <c r="AY114" s="1491"/>
      <c r="AZ114" s="1491"/>
      <c r="BA114" s="1491"/>
      <c r="BB114" s="1491"/>
      <c r="BC114" s="1491"/>
      <c r="BD114" s="1491"/>
      <c r="BE114" s="1491"/>
      <c r="BF114" s="1491"/>
      <c r="BG114" s="1491"/>
      <c r="BH114" s="1491"/>
      <c r="BI114" s="1491"/>
      <c r="BJ114" s="1491"/>
      <c r="BK114" s="1491"/>
      <c r="BL114" s="1491"/>
      <c r="BN114" s="1492"/>
      <c r="BO114" s="1492"/>
      <c r="BP114" s="1492"/>
      <c r="BR114" s="3168"/>
      <c r="BS114" s="1493"/>
      <c r="BU114" s="1508"/>
      <c r="BV114" s="1508"/>
      <c r="BW114" s="1508"/>
      <c r="BX114" s="1508"/>
      <c r="BY114" s="1508"/>
      <c r="BZ114" s="1508"/>
      <c r="CA114" s="1508"/>
      <c r="CB114" s="1508"/>
      <c r="CC114" s="1508"/>
      <c r="CD114" s="1508"/>
      <c r="CE114" s="1508"/>
      <c r="CF114" s="1508"/>
      <c r="CG114" s="1508"/>
      <c r="CH114" s="1508"/>
      <c r="CI114" s="1508"/>
      <c r="CJ114" s="1508"/>
      <c r="CK114" s="1508"/>
      <c r="CL114" s="1508"/>
      <c r="CM114" s="1508"/>
      <c r="CN114" s="1508"/>
      <c r="CO114" s="1508"/>
      <c r="CP114" s="1508"/>
      <c r="CQ114" s="1508"/>
      <c r="CR114" s="1508"/>
      <c r="CS114" s="1508"/>
      <c r="CT114" s="1508"/>
      <c r="CU114" s="1508"/>
      <c r="CV114" s="1508"/>
      <c r="CW114" s="1508"/>
      <c r="CX114" s="1508"/>
      <c r="CY114" s="1508"/>
      <c r="CZ114" s="1508"/>
      <c r="DA114" s="1508"/>
      <c r="DB114" s="1508"/>
      <c r="DC114" s="1508"/>
      <c r="DD114" s="1508"/>
      <c r="DE114" s="1508"/>
      <c r="DF114" s="1508"/>
      <c r="DG114" s="1508"/>
      <c r="DH114" s="1508"/>
      <c r="DI114" s="1508"/>
      <c r="DJ114" s="1508"/>
      <c r="DK114" s="1508"/>
      <c r="DL114" s="1508"/>
      <c r="DN114" s="1509"/>
    </row>
    <row r="115" spans="2:118" s="14" customFormat="1" ht="24" customHeight="1" thickBot="1" x14ac:dyDescent="0.25">
      <c r="C115" s="1631" t="s">
        <v>869</v>
      </c>
      <c r="D115" s="1631"/>
      <c r="E115" s="1631"/>
      <c r="G115" s="1632">
        <f t="shared" ref="G115:V115" ca="1" si="71">G36+G92</f>
        <v>60.783628392010016</v>
      </c>
      <c r="H115" s="1632">
        <f t="shared" ca="1" si="71"/>
        <v>12.972718409914814</v>
      </c>
      <c r="I115" s="1632">
        <f t="shared" ca="1" si="71"/>
        <v>5.1272733932542449</v>
      </c>
      <c r="J115" s="1632">
        <f t="shared" ca="1" si="71"/>
        <v>17.059874020150673</v>
      </c>
      <c r="K115" s="1632">
        <f t="shared" ca="1" si="71"/>
        <v>7.5700934055879809</v>
      </c>
      <c r="L115" s="1632">
        <f t="shared" ca="1" si="71"/>
        <v>15.455611338191433</v>
      </c>
      <c r="M115" s="1632">
        <f t="shared" ca="1" si="71"/>
        <v>218.59381484642964</v>
      </c>
      <c r="N115" s="1632">
        <f t="shared" ca="1" si="71"/>
        <v>75.399943026533364</v>
      </c>
      <c r="O115" s="1632">
        <f t="shared" ca="1" si="71"/>
        <v>27.758718064616787</v>
      </c>
      <c r="P115" s="1632">
        <f t="shared" ca="1" si="71"/>
        <v>0.62311441391108191</v>
      </c>
      <c r="Q115" s="1632">
        <f t="shared" ca="1" si="71"/>
        <v>7.501718400084248E-2</v>
      </c>
      <c r="R115" s="1632">
        <f t="shared" ca="1" si="71"/>
        <v>38.633736734169311</v>
      </c>
      <c r="S115" s="1632">
        <f t="shared" ca="1" si="71"/>
        <v>9.8278251806424759</v>
      </c>
      <c r="T115" s="1632">
        <f t="shared" ca="1" si="71"/>
        <v>11.140536797886952</v>
      </c>
      <c r="U115" s="1632">
        <f t="shared" ca="1" si="71"/>
        <v>7.3549027833011314E-3</v>
      </c>
      <c r="V115" s="1632">
        <f t="shared" ca="1" si="71"/>
        <v>0.41066117460400281</v>
      </c>
      <c r="W115" s="1632">
        <f ca="1">W36+W92+W107</f>
        <v>501.43992128468693</v>
      </c>
      <c r="Y115" s="1633">
        <f t="shared" ref="Y115:AQ115" ca="1" si="72">Y92+Y36+Y107</f>
        <v>-117.65200581808284</v>
      </c>
      <c r="Z115" s="1633">
        <f t="shared" ca="1" si="72"/>
        <v>117.65200581808284</v>
      </c>
      <c r="AA115" s="1633">
        <f t="shared" ca="1" si="72"/>
        <v>-159.42441337764467</v>
      </c>
      <c r="AB115" s="1633">
        <f t="shared" ca="1" si="72"/>
        <v>-264.76231276183898</v>
      </c>
      <c r="AC115" s="1633">
        <f t="shared" ca="1" si="72"/>
        <v>-131.12397915064165</v>
      </c>
      <c r="AD115" s="1633">
        <f t="shared" ca="1" si="72"/>
        <v>25.584695004942699</v>
      </c>
      <c r="AE115" s="1633">
        <f t="shared" ca="1" si="72"/>
        <v>3.0761179275455</v>
      </c>
      <c r="AF115" s="1633">
        <f t="shared" ca="1" si="72"/>
        <v>10.934465313717508</v>
      </c>
      <c r="AG115" s="1633">
        <f t="shared" ca="1" si="72"/>
        <v>0</v>
      </c>
      <c r="AH115" s="1633">
        <f t="shared" ca="1" si="72"/>
        <v>0</v>
      </c>
      <c r="AI115" s="1633">
        <f t="shared" ca="1" si="72"/>
        <v>0</v>
      </c>
      <c r="AJ115" s="1633">
        <f t="shared" ca="1" si="72"/>
        <v>0</v>
      </c>
      <c r="AK115" s="1633">
        <f t="shared" ca="1" si="72"/>
        <v>0</v>
      </c>
      <c r="AL115" s="1633">
        <f t="shared" ca="1" si="72"/>
        <v>-11.889735478123473</v>
      </c>
      <c r="AM115" s="1633">
        <f t="shared" ca="1" si="72"/>
        <v>0</v>
      </c>
      <c r="AN115" s="1633">
        <f t="shared" ca="1" si="72"/>
        <v>0</v>
      </c>
      <c r="AO115" s="1633">
        <f t="shared" ca="1" si="72"/>
        <v>0</v>
      </c>
      <c r="AP115" s="1633">
        <f t="shared" ca="1" si="72"/>
        <v>0</v>
      </c>
      <c r="AQ115" s="1633">
        <f t="shared" ca="1" si="72"/>
        <v>-527.60516252204309</v>
      </c>
      <c r="AS115" s="1634">
        <f t="shared" ref="AS115:BL115" ca="1" si="73">AS92+AS36+AS107</f>
        <v>-25.584695004942699</v>
      </c>
      <c r="AT115" s="1634">
        <f t="shared" ca="1" si="73"/>
        <v>-3.0761179275455</v>
      </c>
      <c r="AU115" s="1634">
        <f t="shared" ca="1" si="73"/>
        <v>-10.934465313717508</v>
      </c>
      <c r="AV115" s="1634">
        <f t="shared" ca="1" si="73"/>
        <v>0</v>
      </c>
      <c r="AW115" s="1634">
        <f t="shared" ca="1" si="73"/>
        <v>0</v>
      </c>
      <c r="AX115" s="1634">
        <f t="shared" ca="1" si="73"/>
        <v>0</v>
      </c>
      <c r="AY115" s="1634">
        <f t="shared" ca="1" si="73"/>
        <v>0</v>
      </c>
      <c r="AZ115" s="1634">
        <f t="shared" ca="1" si="73"/>
        <v>0</v>
      </c>
      <c r="BA115" s="1634">
        <f t="shared" ca="1" si="73"/>
        <v>0</v>
      </c>
      <c r="BB115" s="1634">
        <f t="shared" ca="1" si="73"/>
        <v>0</v>
      </c>
      <c r="BC115" s="1634">
        <f t="shared" ca="1" si="73"/>
        <v>-9.2967699073392964</v>
      </c>
      <c r="BD115" s="1634">
        <f t="shared" ca="1" si="73"/>
        <v>-5.5183487999999992</v>
      </c>
      <c r="BE115" s="1634">
        <f t="shared" ca="1" si="73"/>
        <v>-1.8638707500000001E-2</v>
      </c>
      <c r="BF115" s="1634">
        <f t="shared" ca="1" si="73"/>
        <v>-1.03548375E-2</v>
      </c>
      <c r="BG115" s="1634">
        <f t="shared" ca="1" si="73"/>
        <v>-0.35064000000000006</v>
      </c>
      <c r="BH115" s="1634">
        <f t="shared" ca="1" si="73"/>
        <v>-26.122679999999999</v>
      </c>
      <c r="BI115" s="1634">
        <f t="shared" ca="1" si="73"/>
        <v>0</v>
      </c>
      <c r="BJ115" s="1634">
        <f t="shared" ca="1" si="73"/>
        <v>0</v>
      </c>
      <c r="BK115" s="1634">
        <f t="shared" ca="1" si="73"/>
        <v>-0.41798007633543621</v>
      </c>
      <c r="BL115" s="1634">
        <f t="shared" ca="1" si="73"/>
        <v>-81.330690574880435</v>
      </c>
      <c r="BN115" s="1635">
        <f ca="1">BN92+BN36+BN107</f>
        <v>103.68939742087011</v>
      </c>
      <c r="BO115" s="1635">
        <f ca="1">BO92+BO36+BO107</f>
        <v>3.8065343913664385</v>
      </c>
      <c r="BP115" s="1635">
        <f ca="1">BP92+BP36+BP107</f>
        <v>107.49593181223655</v>
      </c>
      <c r="BR115" s="3434">
        <f ca="1">BR92+BR36+BR107</f>
        <v>-6.8573619005363184E-14</v>
      </c>
      <c r="BS115" s="1486"/>
      <c r="BU115" s="1636">
        <v>509.46720605787289</v>
      </c>
      <c r="BV115" s="1636">
        <v>1.0312102102697414</v>
      </c>
      <c r="BW115" s="1636">
        <v>4.8883498544750488</v>
      </c>
      <c r="BX115" s="1636">
        <v>0</v>
      </c>
      <c r="BY115" s="1636">
        <v>5.0916819860234304</v>
      </c>
      <c r="BZ115" s="1636">
        <v>7.0109643253402414</v>
      </c>
      <c r="CA115" s="1636">
        <v>0</v>
      </c>
      <c r="CB115" s="1636">
        <v>0</v>
      </c>
      <c r="CC115" s="1636">
        <v>14.39565925511863</v>
      </c>
      <c r="CD115" s="1636">
        <v>0.11288744235152412</v>
      </c>
      <c r="CE115" s="1636">
        <v>2.7624692105907238</v>
      </c>
      <c r="CF115" s="1636">
        <v>10.620296151887526</v>
      </c>
      <c r="CG115" s="1636">
        <v>0</v>
      </c>
      <c r="CH115" s="1636">
        <v>0</v>
      </c>
      <c r="CI115" s="1636">
        <v>0</v>
      </c>
      <c r="CJ115" s="1636">
        <v>0</v>
      </c>
      <c r="CK115" s="1636">
        <v>0</v>
      </c>
      <c r="CL115" s="1636">
        <v>20.026732599999995</v>
      </c>
      <c r="CM115" s="1636">
        <v>23.28</v>
      </c>
      <c r="CN115" s="1636">
        <v>0</v>
      </c>
      <c r="CO115" s="1636">
        <v>-1.8247953999999991</v>
      </c>
      <c r="CP115" s="1636">
        <v>0</v>
      </c>
      <c r="CQ115" s="1636">
        <v>0</v>
      </c>
      <c r="CR115" s="1636">
        <v>0</v>
      </c>
      <c r="CS115" s="1636">
        <v>0</v>
      </c>
      <c r="CT115" s="1636">
        <v>21.652248115789206</v>
      </c>
      <c r="CU115" s="1636">
        <v>1.2204197534285715</v>
      </c>
      <c r="CV115" s="1636">
        <v>0</v>
      </c>
      <c r="CW115" s="1636">
        <v>0</v>
      </c>
      <c r="CX115" s="1636">
        <v>0</v>
      </c>
      <c r="CY115" s="1636">
        <v>0</v>
      </c>
      <c r="CZ115" s="1636">
        <v>0</v>
      </c>
      <c r="DA115" s="1636">
        <v>51.739539271814301</v>
      </c>
      <c r="DB115" s="1636">
        <v>6.441552213858226E-2</v>
      </c>
      <c r="DC115" s="1636">
        <v>0.93090033050516818</v>
      </c>
      <c r="DD115" s="1636">
        <v>0</v>
      </c>
      <c r="DE115" s="1636">
        <v>-6.9140653412492146</v>
      </c>
      <c r="DF115" s="1636">
        <v>0</v>
      </c>
      <c r="DG115" s="1636">
        <v>0</v>
      </c>
      <c r="DH115" s="1636">
        <v>0</v>
      </c>
      <c r="DI115" s="1636">
        <v>0</v>
      </c>
      <c r="DJ115" s="1636">
        <v>0</v>
      </c>
      <c r="DK115" s="1636">
        <v>0</v>
      </c>
      <c r="DL115" s="1636">
        <v>0</v>
      </c>
      <c r="DN115" s="1562">
        <v>665.55611934635658</v>
      </c>
    </row>
    <row r="116" spans="2:118" s="14" customFormat="1" x14ac:dyDescent="0.2">
      <c r="C116" s="1429"/>
      <c r="D116" s="1430"/>
      <c r="E116" s="1430"/>
      <c r="G116" s="1637"/>
      <c r="H116" s="1637"/>
      <c r="I116" s="1637"/>
      <c r="J116" s="1637"/>
      <c r="K116" s="1637"/>
      <c r="L116" s="1637"/>
      <c r="M116" s="1637"/>
      <c r="N116" s="1637"/>
      <c r="O116" s="1638"/>
      <c r="P116" s="1637"/>
      <c r="Q116" s="1637"/>
      <c r="R116" s="1637"/>
      <c r="S116" s="1637"/>
      <c r="T116" s="1637"/>
      <c r="U116" s="1637"/>
      <c r="V116" s="1637"/>
      <c r="W116" s="1637"/>
      <c r="Y116" s="1639"/>
      <c r="Z116" s="1639"/>
      <c r="AA116" s="1639"/>
      <c r="AB116" s="1639"/>
      <c r="AC116" s="1639"/>
      <c r="AD116" s="1639"/>
      <c r="AE116" s="1639"/>
      <c r="AF116" s="1639"/>
      <c r="AG116" s="1639"/>
      <c r="AH116" s="1639"/>
      <c r="AI116" s="1639"/>
      <c r="AJ116" s="1639"/>
      <c r="AK116" s="1639"/>
      <c r="AL116" s="1639"/>
      <c r="AM116" s="1639"/>
      <c r="AN116" s="1639"/>
      <c r="AO116" s="1639"/>
      <c r="AP116" s="1639"/>
      <c r="AQ116" s="1639"/>
      <c r="AS116" s="1640"/>
      <c r="AT116" s="1640"/>
      <c r="AU116" s="1640"/>
      <c r="AV116" s="1640"/>
      <c r="AW116" s="1640"/>
      <c r="AX116" s="1640"/>
      <c r="AY116" s="1640"/>
      <c r="AZ116" s="1640"/>
      <c r="BA116" s="1640"/>
      <c r="BB116" s="1640"/>
      <c r="BC116" s="1640"/>
      <c r="BD116" s="1640"/>
      <c r="BE116" s="1640"/>
      <c r="BF116" s="1640"/>
      <c r="BG116" s="1640"/>
      <c r="BH116" s="1640"/>
      <c r="BI116" s="1640"/>
      <c r="BJ116" s="1640"/>
      <c r="BK116" s="1640"/>
      <c r="BL116" s="1640"/>
      <c r="BN116" s="1641"/>
      <c r="BO116" s="1641"/>
      <c r="BP116" s="1641"/>
      <c r="BR116" s="1957"/>
      <c r="BS116" s="1493"/>
      <c r="BU116" s="1642"/>
      <c r="BV116" s="1642"/>
      <c r="BW116" s="1642"/>
      <c r="BX116" s="1642"/>
      <c r="BY116" s="1642"/>
      <c r="BZ116" s="1642"/>
      <c r="CA116" s="1642"/>
      <c r="CB116" s="1642"/>
      <c r="CC116" s="1642"/>
      <c r="CD116" s="1642"/>
      <c r="CE116" s="1642"/>
      <c r="CF116" s="1642"/>
      <c r="CG116" s="1642"/>
      <c r="CH116" s="1642"/>
      <c r="CI116" s="1642"/>
      <c r="CJ116" s="1642"/>
      <c r="CK116" s="1642"/>
      <c r="CL116" s="1642"/>
      <c r="CM116" s="1642"/>
      <c r="CN116" s="1642"/>
      <c r="CO116" s="1642"/>
      <c r="CP116" s="1642"/>
      <c r="CQ116" s="1642"/>
      <c r="CR116" s="1642"/>
      <c r="CS116" s="1642"/>
      <c r="CT116" s="1642"/>
      <c r="CU116" s="1642"/>
      <c r="CV116" s="1642"/>
      <c r="CW116" s="1642"/>
      <c r="CX116" s="1642"/>
      <c r="CY116" s="1642"/>
      <c r="CZ116" s="1642"/>
      <c r="DA116" s="1642"/>
      <c r="DB116" s="1642"/>
      <c r="DC116" s="1642"/>
      <c r="DD116" s="1642"/>
      <c r="DE116" s="1642"/>
      <c r="DF116" s="1642"/>
      <c r="DG116" s="1642"/>
      <c r="DH116" s="1642"/>
      <c r="DI116" s="1642"/>
      <c r="DJ116" s="1642"/>
      <c r="DK116" s="1642"/>
      <c r="DL116" s="1642"/>
    </row>
    <row r="117" spans="2:118" x14ac:dyDescent="0.2">
      <c r="G117" s="1493"/>
      <c r="H117" s="1493"/>
      <c r="I117" s="1493"/>
      <c r="J117" s="1493"/>
      <c r="K117" s="1493"/>
      <c r="L117" s="1493"/>
      <c r="M117" s="1493"/>
      <c r="N117" s="1493"/>
      <c r="O117" s="1643"/>
      <c r="P117" s="1493"/>
      <c r="Q117" s="1493"/>
      <c r="R117" s="1493"/>
      <c r="S117" s="1493"/>
      <c r="T117" s="1493"/>
      <c r="U117" s="1493"/>
      <c r="V117" s="1493"/>
      <c r="W117" s="1493"/>
      <c r="Y117" s="1493"/>
      <c r="Z117" s="1493"/>
      <c r="AA117" s="1493"/>
      <c r="AB117" s="1493"/>
      <c r="AC117" s="1493"/>
      <c r="AD117" s="1493"/>
      <c r="AE117" s="1493"/>
      <c r="AF117" s="1493"/>
      <c r="AG117" s="1493"/>
      <c r="AH117" s="1493"/>
      <c r="AI117" s="1493"/>
      <c r="AJ117" s="1493"/>
      <c r="AK117" s="1493"/>
      <c r="AL117" s="1493"/>
      <c r="AM117" s="1493"/>
      <c r="AN117" s="1493"/>
      <c r="AO117" s="1493"/>
      <c r="AP117" s="1493"/>
      <c r="AQ117" s="1493"/>
      <c r="AS117" s="1493"/>
      <c r="AT117" s="1493"/>
      <c r="AU117" s="1493"/>
      <c r="AV117" s="1493"/>
      <c r="AW117" s="1493"/>
      <c r="AX117" s="1493"/>
      <c r="AY117" s="1493"/>
      <c r="AZ117" s="1493"/>
      <c r="BA117" s="1493"/>
      <c r="BB117" s="1493"/>
      <c r="BC117" s="1493"/>
      <c r="BD117" s="1493"/>
      <c r="BE117" s="1493"/>
      <c r="BF117" s="1493"/>
      <c r="BG117" s="1493"/>
      <c r="BH117" s="1493"/>
      <c r="BI117" s="1493"/>
      <c r="BJ117" s="1493"/>
      <c r="BK117" s="1493"/>
      <c r="BL117" s="1493"/>
      <c r="BN117" s="1493"/>
      <c r="BO117" s="1493"/>
      <c r="BP117" s="1493"/>
      <c r="BR117" s="1957"/>
      <c r="BS117" s="1493"/>
    </row>
    <row r="118" spans="2:118" x14ac:dyDescent="0.2">
      <c r="G118" s="1493"/>
      <c r="H118" s="1493"/>
      <c r="I118" s="1493"/>
      <c r="J118" s="1493"/>
      <c r="K118" s="1493"/>
      <c r="L118" s="1493"/>
      <c r="M118" s="1493"/>
      <c r="N118" s="1493"/>
      <c r="O118" s="1643"/>
      <c r="P118" s="1493"/>
      <c r="Q118" s="1493"/>
      <c r="R118" s="1493"/>
      <c r="S118" s="1493"/>
      <c r="T118" s="1493"/>
      <c r="U118" s="1493"/>
      <c r="V118" s="1493"/>
      <c r="W118" s="1493"/>
      <c r="Y118" s="1493"/>
      <c r="Z118" s="1493"/>
      <c r="AA118" s="1493"/>
      <c r="AB118" s="1493"/>
      <c r="AC118" s="1493"/>
      <c r="AD118" s="1493"/>
      <c r="AE118" s="1493"/>
      <c r="AF118" s="1493"/>
      <c r="AG118" s="1493"/>
      <c r="AH118" s="1493"/>
      <c r="AI118" s="1493"/>
      <c r="AJ118" s="1493"/>
      <c r="AK118" s="1493"/>
      <c r="AL118" s="1493"/>
      <c r="AM118" s="1493"/>
      <c r="AN118" s="1493"/>
      <c r="AO118" s="1493"/>
      <c r="AP118" s="1493"/>
      <c r="AQ118" s="1493"/>
      <c r="AS118" s="1493"/>
      <c r="AT118" s="1493"/>
      <c r="AU118" s="1493"/>
      <c r="AV118" s="1493"/>
      <c r="AW118" s="1493"/>
      <c r="AX118" s="1493"/>
      <c r="AY118" s="1493"/>
      <c r="AZ118" s="1493"/>
      <c r="BA118" s="1493"/>
      <c r="BB118" s="1493"/>
      <c r="BC118" s="1493"/>
      <c r="BD118" s="1493"/>
      <c r="BE118" s="1493"/>
      <c r="BF118" s="1493"/>
      <c r="BG118" s="1493"/>
      <c r="BH118" s="1493"/>
      <c r="BI118" s="1493"/>
      <c r="BJ118" s="1493"/>
      <c r="BK118" s="1493"/>
      <c r="BL118" s="1493"/>
      <c r="BN118" s="1493"/>
      <c r="BO118" s="1493"/>
      <c r="BP118" s="1493"/>
      <c r="BR118" s="1957"/>
      <c r="BS118" s="1493"/>
    </row>
    <row r="119" spans="2:118" ht="15.75" x14ac:dyDescent="0.25">
      <c r="B119" s="456"/>
      <c r="G119" s="1493"/>
      <c r="H119" s="1493"/>
      <c r="I119" s="1493"/>
      <c r="J119" s="1493"/>
      <c r="K119" s="1493"/>
      <c r="L119" s="1493"/>
      <c r="M119" s="1493"/>
      <c r="N119" s="1493"/>
      <c r="O119" s="1643"/>
      <c r="P119" s="1493"/>
      <c r="Q119" s="1493"/>
      <c r="R119" s="1493"/>
      <c r="S119" s="1493"/>
      <c r="T119" s="1493"/>
      <c r="U119" s="1493"/>
      <c r="V119" s="1493"/>
      <c r="W119" s="1493"/>
      <c r="Y119" s="1493"/>
      <c r="Z119" s="1493"/>
      <c r="AA119" s="1493"/>
      <c r="AB119" s="1493"/>
      <c r="AC119" s="1493"/>
      <c r="AD119" s="1493"/>
      <c r="AE119" s="1493"/>
      <c r="AF119" s="1493"/>
      <c r="AG119" s="1493"/>
      <c r="AH119" s="1493"/>
      <c r="AI119" s="1493"/>
      <c r="AJ119" s="1493"/>
      <c r="AK119" s="1493"/>
      <c r="AL119" s="1493"/>
      <c r="AM119" s="1493"/>
      <c r="AN119" s="1493"/>
      <c r="AO119" s="1493"/>
      <c r="AP119" s="1493"/>
      <c r="AQ119" s="1493"/>
      <c r="AS119" s="1493"/>
      <c r="AT119" s="1493"/>
      <c r="AU119" s="1493"/>
      <c r="AV119" s="1493"/>
      <c r="AW119" s="1493"/>
      <c r="AX119" s="1493"/>
      <c r="AY119" s="1493"/>
      <c r="AZ119" s="1493"/>
      <c r="BA119" s="1493"/>
      <c r="BB119" s="1493"/>
      <c r="BC119" s="1493"/>
      <c r="BD119" s="1493"/>
      <c r="BE119" s="1493"/>
      <c r="BF119" s="1493"/>
      <c r="BG119" s="1493"/>
      <c r="BH119" s="1493"/>
      <c r="BI119" s="1493"/>
      <c r="BJ119" s="1493"/>
      <c r="BK119" s="1493"/>
      <c r="BL119" s="1493"/>
      <c r="BN119" s="1493"/>
      <c r="BO119" s="1493"/>
      <c r="BP119" s="1493"/>
      <c r="BR119" s="1957"/>
      <c r="BS119" s="1493"/>
    </row>
    <row r="120" spans="2:118" ht="15.75" x14ac:dyDescent="0.25">
      <c r="B120" s="456"/>
      <c r="G120" s="1493"/>
      <c r="H120" s="1493"/>
      <c r="I120" s="1493"/>
      <c r="J120" s="1493"/>
      <c r="K120" s="1493"/>
      <c r="L120" s="1493"/>
      <c r="M120" s="1493"/>
      <c r="N120" s="1493"/>
      <c r="O120" s="1643"/>
      <c r="P120" s="1493"/>
      <c r="Q120" s="1493"/>
      <c r="R120" s="1493"/>
      <c r="S120" s="1493"/>
      <c r="T120" s="1493"/>
      <c r="U120" s="1493"/>
      <c r="V120" s="1493"/>
      <c r="W120" s="1493"/>
      <c r="Y120" s="1493"/>
      <c r="Z120" s="1493"/>
      <c r="AA120" s="1493"/>
      <c r="AB120" s="1493"/>
      <c r="AC120" s="1493"/>
      <c r="AD120" s="1493"/>
      <c r="AE120" s="1493"/>
      <c r="AF120" s="1493"/>
      <c r="AG120" s="1493"/>
      <c r="AH120" s="1493"/>
      <c r="AI120" s="1493"/>
      <c r="AJ120" s="1493"/>
      <c r="AK120" s="1493"/>
      <c r="AL120" s="1493"/>
      <c r="AM120" s="1493"/>
      <c r="AN120" s="1493"/>
      <c r="AO120" s="1493"/>
      <c r="AP120" s="1493"/>
      <c r="AQ120" s="1493"/>
      <c r="AS120" s="1493"/>
      <c r="AT120" s="1493"/>
      <c r="AU120" s="1493"/>
      <c r="AV120" s="1493"/>
      <c r="AW120" s="1493"/>
      <c r="AX120" s="1493"/>
      <c r="AY120" s="1493"/>
      <c r="AZ120" s="1493"/>
      <c r="BA120" s="1493"/>
      <c r="BB120" s="1493"/>
      <c r="BC120" s="1493"/>
      <c r="BD120" s="1493"/>
      <c r="BE120" s="1493"/>
      <c r="BF120" s="1493"/>
      <c r="BG120" s="1493"/>
      <c r="BH120" s="1493"/>
      <c r="BI120" s="1493"/>
      <c r="BJ120" s="1493"/>
      <c r="BK120" s="1493"/>
      <c r="BL120" s="1493"/>
      <c r="BN120" s="1493"/>
      <c r="BO120" s="1493"/>
      <c r="BP120" s="1493"/>
      <c r="BR120" s="1957"/>
      <c r="BS120" s="1493"/>
    </row>
    <row r="121" spans="2:118" ht="15.75" x14ac:dyDescent="0.25">
      <c r="B121" s="456"/>
      <c r="G121" s="1493"/>
      <c r="H121" s="1493"/>
      <c r="I121" s="1493"/>
      <c r="J121" s="1493"/>
      <c r="K121" s="1493"/>
      <c r="L121" s="1493"/>
      <c r="M121" s="1493"/>
      <c r="N121" s="1493"/>
      <c r="O121" s="1643"/>
      <c r="P121" s="1493"/>
      <c r="Q121" s="1493"/>
      <c r="R121" s="1493"/>
      <c r="S121" s="1493"/>
      <c r="T121" s="1493"/>
      <c r="U121" s="1493"/>
      <c r="V121" s="1493"/>
      <c r="W121" s="1493"/>
      <c r="Y121" s="1493"/>
      <c r="Z121" s="1493"/>
      <c r="AA121" s="1493"/>
      <c r="AB121" s="1493"/>
      <c r="AC121" s="1493"/>
      <c r="AD121" s="1493"/>
      <c r="AE121" s="1493"/>
      <c r="AF121" s="1493"/>
      <c r="AG121" s="1493"/>
      <c r="AH121" s="1493"/>
      <c r="AI121" s="1493"/>
      <c r="AJ121" s="1493"/>
      <c r="AK121" s="1493"/>
      <c r="AL121" s="1493"/>
      <c r="AM121" s="1493"/>
      <c r="AN121" s="1493"/>
      <c r="AO121" s="1493"/>
      <c r="AP121" s="1493"/>
      <c r="AQ121" s="1493"/>
      <c r="AS121" s="1493"/>
      <c r="AT121" s="1493"/>
      <c r="AU121" s="1493"/>
      <c r="AV121" s="1493"/>
      <c r="AW121" s="1493"/>
      <c r="AX121" s="1493"/>
      <c r="AY121" s="1493"/>
      <c r="AZ121" s="1493"/>
      <c r="BA121" s="1493"/>
      <c r="BB121" s="1493"/>
      <c r="BC121" s="1493"/>
      <c r="BD121" s="1493"/>
      <c r="BE121" s="1493"/>
      <c r="BF121" s="1493"/>
      <c r="BG121" s="1493"/>
      <c r="BH121" s="1493"/>
      <c r="BI121" s="1493"/>
      <c r="BJ121" s="1493"/>
      <c r="BK121" s="1493"/>
      <c r="BL121" s="1493"/>
      <c r="BN121" s="1493"/>
      <c r="BO121" s="1493"/>
      <c r="BP121" s="1493"/>
      <c r="BR121" s="1957"/>
      <c r="BS121" s="1493"/>
    </row>
    <row r="122" spans="2:118" ht="15.75" x14ac:dyDescent="0.25">
      <c r="B122" s="456"/>
      <c r="G122" s="1493"/>
      <c r="H122" s="1493"/>
      <c r="I122" s="1493"/>
      <c r="J122" s="1493"/>
      <c r="K122" s="1493"/>
      <c r="L122" s="1493"/>
      <c r="M122" s="1493"/>
      <c r="N122" s="1493"/>
      <c r="O122" s="1643"/>
      <c r="P122" s="1493"/>
      <c r="Q122" s="1493"/>
      <c r="R122" s="1493"/>
      <c r="S122" s="1493"/>
      <c r="T122" s="1493"/>
      <c r="U122" s="1493"/>
      <c r="V122" s="1493"/>
      <c r="W122" s="1493"/>
      <c r="Y122" s="1493"/>
      <c r="Z122" s="1493"/>
      <c r="AA122" s="1493"/>
      <c r="AB122" s="1493"/>
      <c r="AC122" s="1493"/>
      <c r="AD122" s="1493"/>
      <c r="AE122" s="1493"/>
      <c r="AF122" s="1493"/>
      <c r="AG122" s="1493"/>
      <c r="AH122" s="1493"/>
      <c r="AI122" s="1493"/>
      <c r="AJ122" s="1493"/>
      <c r="AK122" s="1493"/>
      <c r="AL122" s="1493"/>
      <c r="AM122" s="1493"/>
      <c r="AN122" s="1493"/>
      <c r="AO122" s="1493"/>
      <c r="AP122" s="1493"/>
      <c r="AQ122" s="1493"/>
      <c r="AS122" s="1493"/>
      <c r="AT122" s="1493"/>
      <c r="AU122" s="1493"/>
      <c r="AV122" s="1493"/>
      <c r="AW122" s="1493"/>
      <c r="AX122" s="1493"/>
      <c r="AY122" s="1493"/>
      <c r="AZ122" s="1493"/>
      <c r="BA122" s="1493"/>
      <c r="BB122" s="1493"/>
      <c r="BC122" s="1493"/>
      <c r="BD122" s="1493"/>
      <c r="BE122" s="1493"/>
      <c r="BF122" s="1493"/>
      <c r="BG122" s="1493"/>
      <c r="BH122" s="1493"/>
      <c r="BI122" s="1493"/>
      <c r="BJ122" s="1493"/>
      <c r="BK122" s="1493"/>
      <c r="BL122" s="1493"/>
      <c r="BN122" s="1493"/>
      <c r="BO122" s="1493"/>
      <c r="BP122" s="1493"/>
      <c r="BR122" s="1957"/>
      <c r="BS122" s="1493"/>
    </row>
    <row r="123" spans="2:118" ht="15.75" x14ac:dyDescent="0.25">
      <c r="B123" s="456"/>
      <c r="G123" s="1493"/>
      <c r="H123" s="1493"/>
      <c r="I123" s="1493"/>
      <c r="J123" s="1493"/>
      <c r="K123" s="1493"/>
      <c r="L123" s="1493"/>
      <c r="M123" s="1493"/>
      <c r="N123" s="1493"/>
      <c r="O123" s="1643"/>
      <c r="P123" s="1493"/>
      <c r="Q123" s="1493"/>
      <c r="R123" s="1493"/>
      <c r="S123" s="1493"/>
      <c r="T123" s="1493"/>
      <c r="U123" s="1493"/>
      <c r="V123" s="1493"/>
      <c r="W123" s="1493"/>
      <c r="Y123" s="1493"/>
      <c r="Z123" s="1493"/>
      <c r="AA123" s="1493"/>
      <c r="AB123" s="1493"/>
      <c r="AC123" s="1493"/>
      <c r="AD123" s="1493"/>
      <c r="AE123" s="1493"/>
      <c r="AF123" s="1493"/>
      <c r="AG123" s="1493"/>
      <c r="AH123" s="1493"/>
      <c r="AI123" s="1493"/>
      <c r="AJ123" s="1493"/>
      <c r="AK123" s="1493"/>
      <c r="AL123" s="1493"/>
      <c r="AM123" s="1493"/>
      <c r="AN123" s="1493"/>
      <c r="AO123" s="1493"/>
      <c r="AP123" s="1493"/>
      <c r="AQ123" s="1493"/>
      <c r="AS123" s="1493"/>
      <c r="AT123" s="1493"/>
      <c r="AU123" s="1493"/>
      <c r="AV123" s="1493"/>
      <c r="AW123" s="1493"/>
      <c r="AX123" s="1493"/>
      <c r="AY123" s="1493"/>
      <c r="AZ123" s="1493"/>
      <c r="BA123" s="1493"/>
      <c r="BB123" s="1493"/>
      <c r="BC123" s="1493"/>
      <c r="BD123" s="1493"/>
      <c r="BE123" s="1493"/>
      <c r="BF123" s="1493"/>
      <c r="BG123" s="1493"/>
      <c r="BH123" s="1493"/>
      <c r="BI123" s="1493"/>
      <c r="BJ123" s="1493"/>
      <c r="BK123" s="1493"/>
      <c r="BL123" s="1493"/>
      <c r="BN123" s="1493"/>
      <c r="BO123" s="1493"/>
      <c r="BP123" s="1493"/>
      <c r="BR123" s="1957"/>
      <c r="BS123" s="1493"/>
    </row>
    <row r="124" spans="2:118" ht="15.75" x14ac:dyDescent="0.25">
      <c r="B124" s="456"/>
      <c r="G124" s="1493"/>
      <c r="H124" s="1493"/>
      <c r="I124" s="1493"/>
      <c r="J124" s="1493"/>
      <c r="K124" s="1493"/>
      <c r="L124" s="1493"/>
      <c r="M124" s="1493"/>
      <c r="N124" s="1493"/>
      <c r="O124" s="1643"/>
      <c r="P124" s="1493"/>
      <c r="Q124" s="1493"/>
      <c r="R124" s="1493"/>
      <c r="S124" s="1493"/>
      <c r="T124" s="1493"/>
      <c r="U124" s="1493"/>
      <c r="V124" s="1493"/>
      <c r="W124" s="1493"/>
      <c r="Y124" s="1493"/>
      <c r="Z124" s="1493"/>
      <c r="AA124" s="1493"/>
      <c r="AB124" s="1493"/>
      <c r="AC124" s="1493"/>
      <c r="AD124" s="1493"/>
      <c r="AE124" s="1493"/>
      <c r="AF124" s="1493"/>
      <c r="AG124" s="1493"/>
      <c r="AH124" s="1493"/>
      <c r="AI124" s="1493"/>
      <c r="AJ124" s="1493"/>
      <c r="AK124" s="1493"/>
      <c r="AL124" s="1493"/>
      <c r="AM124" s="1493"/>
      <c r="AN124" s="1493"/>
      <c r="AO124" s="1493"/>
      <c r="AP124" s="1493"/>
      <c r="AQ124" s="1493"/>
      <c r="AS124" s="1493"/>
      <c r="AT124" s="1493"/>
      <c r="AU124" s="1493"/>
      <c r="AV124" s="1493"/>
      <c r="AW124" s="1493"/>
      <c r="AX124" s="1493"/>
      <c r="AY124" s="1493"/>
      <c r="AZ124" s="1493"/>
      <c r="BA124" s="1493"/>
      <c r="BB124" s="1493"/>
      <c r="BC124" s="1493"/>
      <c r="BD124" s="1493"/>
      <c r="BE124" s="1493"/>
      <c r="BF124" s="1493"/>
      <c r="BG124" s="1493"/>
      <c r="BH124" s="1493"/>
      <c r="BI124" s="1493"/>
      <c r="BJ124" s="1493"/>
      <c r="BK124" s="1493"/>
      <c r="BL124" s="1493"/>
      <c r="BN124" s="1493"/>
      <c r="BO124" s="1493"/>
      <c r="BP124" s="1493"/>
      <c r="BR124" s="1957"/>
      <c r="BS124" s="1493"/>
    </row>
    <row r="125" spans="2:118" x14ac:dyDescent="0.2">
      <c r="G125" s="1493"/>
      <c r="H125" s="1493"/>
      <c r="I125" s="1493"/>
      <c r="J125" s="1493"/>
      <c r="K125" s="1493"/>
      <c r="L125" s="1493"/>
      <c r="M125" s="1493"/>
      <c r="N125" s="1493"/>
      <c r="O125" s="1643"/>
      <c r="P125" s="1493"/>
      <c r="Q125" s="1493"/>
      <c r="R125" s="1493"/>
      <c r="S125" s="1493"/>
      <c r="T125" s="1493"/>
      <c r="U125" s="1493"/>
      <c r="V125" s="1493"/>
      <c r="W125" s="1493"/>
      <c r="Y125" s="1493"/>
      <c r="Z125" s="1493"/>
      <c r="AA125" s="1493"/>
      <c r="AB125" s="1493"/>
      <c r="AC125" s="1493"/>
      <c r="AD125" s="1493"/>
      <c r="AE125" s="1493"/>
      <c r="AF125" s="1493"/>
      <c r="AG125" s="1493"/>
      <c r="AH125" s="1493"/>
      <c r="AI125" s="1493"/>
      <c r="AJ125" s="1493"/>
      <c r="AK125" s="1493"/>
      <c r="AL125" s="1493"/>
      <c r="AM125" s="1493"/>
      <c r="AN125" s="1493"/>
      <c r="AO125" s="1493"/>
      <c r="AP125" s="1493"/>
      <c r="AQ125" s="1493"/>
      <c r="AS125" s="1493"/>
      <c r="AT125" s="1493"/>
      <c r="AU125" s="1493"/>
      <c r="AV125" s="1493"/>
      <c r="AW125" s="1493"/>
      <c r="AX125" s="1493"/>
      <c r="AY125" s="1493"/>
      <c r="AZ125" s="1493"/>
      <c r="BA125" s="1493"/>
      <c r="BB125" s="1493"/>
      <c r="BC125" s="1493"/>
      <c r="BD125" s="1493"/>
      <c r="BE125" s="1493"/>
      <c r="BF125" s="1493"/>
      <c r="BG125" s="1493"/>
      <c r="BH125" s="1493"/>
      <c r="BI125" s="1493"/>
      <c r="BJ125" s="1493"/>
      <c r="BK125" s="1493"/>
      <c r="BL125" s="1493"/>
      <c r="BN125" s="1493"/>
      <c r="BO125" s="1493"/>
      <c r="BP125" s="1493"/>
      <c r="BR125" s="1957"/>
      <c r="BS125" s="1493"/>
    </row>
    <row r="126" spans="2:118" ht="24" customHeight="1" x14ac:dyDescent="0.2">
      <c r="G126" s="1493"/>
      <c r="H126" s="1493"/>
      <c r="I126" s="1493"/>
      <c r="J126" s="1493"/>
      <c r="K126" s="1493"/>
      <c r="L126" s="1493"/>
      <c r="M126" s="1493"/>
      <c r="N126" s="1493"/>
      <c r="O126" s="1643"/>
      <c r="P126" s="1493"/>
      <c r="Q126" s="1493"/>
      <c r="R126" s="1493"/>
      <c r="S126" s="1493"/>
      <c r="T126" s="1493"/>
      <c r="U126" s="1493"/>
      <c r="V126" s="1493"/>
      <c r="W126" s="1493"/>
      <c r="Y126" s="1493"/>
      <c r="Z126" s="1493"/>
      <c r="AA126" s="1493"/>
      <c r="AB126" s="1493"/>
      <c r="AC126" s="1493"/>
      <c r="AD126" s="1493"/>
      <c r="AE126" s="1493"/>
      <c r="AF126" s="1493"/>
      <c r="AG126" s="1493"/>
      <c r="AH126" s="1493"/>
      <c r="AI126" s="1493"/>
      <c r="AJ126" s="1493"/>
      <c r="AK126" s="1493"/>
      <c r="AL126" s="1493"/>
      <c r="AM126" s="1493"/>
      <c r="AN126" s="1493"/>
      <c r="AO126" s="1493"/>
      <c r="AP126" s="1493"/>
      <c r="AQ126" s="1493"/>
      <c r="AS126" s="1493"/>
      <c r="AT126" s="1493"/>
      <c r="AU126" s="1493"/>
      <c r="AV126" s="1493"/>
      <c r="AW126" s="1493"/>
      <c r="AX126" s="1493"/>
      <c r="AY126" s="1493"/>
      <c r="AZ126" s="1493"/>
      <c r="BA126" s="1493"/>
      <c r="BB126" s="1493"/>
      <c r="BC126" s="1493"/>
      <c r="BD126" s="1493"/>
      <c r="BE126" s="1493"/>
      <c r="BF126" s="1493"/>
      <c r="BG126" s="1493"/>
      <c r="BH126" s="1493"/>
      <c r="BI126" s="1493"/>
      <c r="BJ126" s="1493"/>
      <c r="BK126" s="1493"/>
      <c r="BL126" s="1493"/>
      <c r="BN126" s="1493"/>
      <c r="BO126" s="1493"/>
      <c r="BP126" s="1493"/>
      <c r="BR126" s="1957"/>
      <c r="BS126" s="1493"/>
    </row>
    <row r="127" spans="2:118" x14ac:dyDescent="0.2">
      <c r="G127" s="1493"/>
      <c r="H127" s="1493"/>
      <c r="I127" s="1493"/>
      <c r="J127" s="1493"/>
      <c r="K127" s="1493"/>
      <c r="L127" s="1493"/>
      <c r="M127" s="1493"/>
      <c r="N127" s="1493"/>
      <c r="O127" s="1643"/>
      <c r="P127" s="1493"/>
      <c r="Q127" s="1493"/>
      <c r="R127" s="1493"/>
      <c r="S127" s="1493"/>
      <c r="T127" s="1493"/>
      <c r="U127" s="1493"/>
      <c r="V127" s="1493"/>
      <c r="W127" s="1493"/>
      <c r="Y127" s="1493"/>
      <c r="Z127" s="1493"/>
      <c r="AA127" s="1493"/>
      <c r="AB127" s="1493"/>
      <c r="AC127" s="1493"/>
      <c r="AD127" s="1493"/>
      <c r="AE127" s="1493"/>
      <c r="AF127" s="1493"/>
      <c r="AG127" s="1493"/>
      <c r="AH127" s="1493"/>
      <c r="AI127" s="1493"/>
      <c r="AJ127" s="1493"/>
      <c r="AK127" s="1493"/>
      <c r="AL127" s="1493"/>
      <c r="AM127" s="1493"/>
      <c r="AN127" s="1493"/>
      <c r="AO127" s="1493"/>
      <c r="AP127" s="1493"/>
      <c r="AQ127" s="1493"/>
      <c r="AS127" s="1493"/>
      <c r="AT127" s="1493"/>
      <c r="AU127" s="1493"/>
      <c r="AV127" s="1493"/>
      <c r="AW127" s="1493"/>
      <c r="AX127" s="1493"/>
      <c r="AY127" s="1493"/>
      <c r="AZ127" s="1493"/>
      <c r="BA127" s="1493"/>
      <c r="BB127" s="1493"/>
      <c r="BC127" s="1493"/>
      <c r="BD127" s="1493"/>
      <c r="BE127" s="1493"/>
      <c r="BF127" s="1493"/>
      <c r="BG127" s="1493"/>
      <c r="BH127" s="1493"/>
      <c r="BI127" s="1493"/>
      <c r="BJ127" s="1493"/>
      <c r="BK127" s="1493"/>
      <c r="BL127" s="1493"/>
      <c r="BN127" s="1493"/>
      <c r="BO127" s="1493"/>
      <c r="BP127" s="1493"/>
      <c r="BR127" s="1957"/>
      <c r="BS127" s="1493"/>
    </row>
    <row r="128" spans="2:118" x14ac:dyDescent="0.2">
      <c r="C128" s="1580"/>
      <c r="D128" s="746"/>
      <c r="G128" s="1493"/>
      <c r="H128" s="1493"/>
      <c r="I128" s="1493"/>
      <c r="J128" s="1493"/>
      <c r="K128" s="1493"/>
      <c r="L128" s="1493"/>
      <c r="M128" s="1493"/>
      <c r="N128" s="1493"/>
      <c r="O128" s="1643"/>
      <c r="P128" s="1493"/>
      <c r="Q128" s="1493"/>
      <c r="R128" s="1493"/>
      <c r="S128" s="1493"/>
      <c r="T128" s="1493"/>
      <c r="U128" s="1493"/>
      <c r="V128" s="1493"/>
      <c r="W128" s="1493"/>
      <c r="Y128" s="1493"/>
      <c r="Z128" s="1493"/>
      <c r="AA128" s="1493"/>
      <c r="AB128" s="1493"/>
      <c r="AC128" s="1493"/>
      <c r="AD128" s="1493"/>
      <c r="AE128" s="1493"/>
      <c r="AF128" s="1493"/>
      <c r="AG128" s="1493"/>
      <c r="AH128" s="1493"/>
      <c r="AI128" s="1493"/>
      <c r="AJ128" s="1493"/>
      <c r="AK128" s="1493"/>
      <c r="AL128" s="1493"/>
      <c r="AM128" s="1493"/>
      <c r="AN128" s="1493"/>
      <c r="AO128" s="1493"/>
      <c r="AP128" s="1493"/>
      <c r="AQ128" s="1493"/>
      <c r="AS128" s="1493"/>
      <c r="AT128" s="1493"/>
      <c r="AU128" s="1493"/>
      <c r="AV128" s="1493"/>
      <c r="AW128" s="1493"/>
      <c r="AX128" s="1493"/>
      <c r="AY128" s="1493"/>
      <c r="AZ128" s="1493"/>
      <c r="BA128" s="1493"/>
      <c r="BB128" s="1493"/>
      <c r="BC128" s="1493"/>
      <c r="BD128" s="1493"/>
      <c r="BE128" s="1493"/>
      <c r="BF128" s="1493"/>
      <c r="BG128" s="1493"/>
      <c r="BH128" s="1493"/>
      <c r="BI128" s="1493"/>
      <c r="BJ128" s="1493"/>
      <c r="BK128" s="1493"/>
      <c r="BL128" s="1493"/>
      <c r="BN128" s="1493"/>
      <c r="BO128" s="1493"/>
      <c r="BP128" s="1493"/>
      <c r="BR128" s="1957"/>
      <c r="BS128" s="1493"/>
    </row>
    <row r="129" spans="7:71" x14ac:dyDescent="0.2">
      <c r="G129" s="1493"/>
      <c r="H129" s="1493"/>
      <c r="I129" s="1493"/>
      <c r="J129" s="1493"/>
      <c r="K129" s="1493"/>
      <c r="L129" s="1493"/>
      <c r="M129" s="1493"/>
      <c r="N129" s="1493"/>
      <c r="O129" s="1643"/>
      <c r="P129" s="1493"/>
      <c r="Q129" s="1493"/>
      <c r="R129" s="1493"/>
      <c r="S129" s="1493"/>
      <c r="T129" s="1493"/>
      <c r="U129" s="1493"/>
      <c r="V129" s="1493"/>
      <c r="W129" s="1493"/>
      <c r="Y129" s="1493"/>
      <c r="Z129" s="1493"/>
      <c r="AA129" s="1493"/>
      <c r="AB129" s="1493"/>
      <c r="AC129" s="1493"/>
      <c r="AD129" s="1493"/>
      <c r="AE129" s="1493"/>
      <c r="AF129" s="1493"/>
      <c r="AG129" s="1493"/>
      <c r="AH129" s="1493"/>
      <c r="AI129" s="1493"/>
      <c r="AJ129" s="1493"/>
      <c r="AK129" s="1493"/>
      <c r="AL129" s="1493"/>
      <c r="AM129" s="1493"/>
      <c r="AN129" s="1493"/>
      <c r="AO129" s="1493"/>
      <c r="AP129" s="1493"/>
      <c r="AQ129" s="1493"/>
      <c r="AS129" s="1493"/>
      <c r="AT129" s="1493"/>
      <c r="AU129" s="1493"/>
      <c r="AV129" s="1493"/>
      <c r="AW129" s="1493"/>
      <c r="AX129" s="1493"/>
      <c r="AY129" s="1493"/>
      <c r="AZ129" s="1493"/>
      <c r="BA129" s="1493"/>
      <c r="BB129" s="1493"/>
      <c r="BC129" s="1493"/>
      <c r="BD129" s="1493"/>
      <c r="BE129" s="1493"/>
      <c r="BF129" s="1493"/>
      <c r="BG129" s="1493"/>
      <c r="BH129" s="1493"/>
      <c r="BI129" s="1493"/>
      <c r="BJ129" s="1493"/>
      <c r="BK129" s="1493"/>
      <c r="BL129" s="1493"/>
      <c r="BN129" s="1493"/>
      <c r="BO129" s="1493"/>
      <c r="BP129" s="1493"/>
      <c r="BR129" s="1957"/>
      <c r="BS129" s="1493"/>
    </row>
    <row r="130" spans="7:71" x14ac:dyDescent="0.2">
      <c r="G130" s="1493"/>
      <c r="H130" s="1493"/>
      <c r="I130" s="1493"/>
      <c r="J130" s="1493"/>
      <c r="K130" s="1493"/>
      <c r="L130" s="1493"/>
      <c r="M130" s="1493"/>
      <c r="N130" s="1493"/>
      <c r="O130" s="1643"/>
      <c r="P130" s="1493"/>
      <c r="Q130" s="1493"/>
      <c r="R130" s="1493"/>
      <c r="S130" s="1493"/>
      <c r="T130" s="1493"/>
      <c r="U130" s="1493"/>
      <c r="V130" s="1493"/>
      <c r="W130" s="1493"/>
      <c r="Y130" s="1493"/>
      <c r="Z130" s="1493"/>
      <c r="AA130" s="1493"/>
      <c r="AB130" s="1493"/>
      <c r="AC130" s="1493"/>
      <c r="AD130" s="1493"/>
      <c r="AE130" s="1493"/>
      <c r="AF130" s="1493"/>
      <c r="AG130" s="1493"/>
      <c r="AH130" s="1493"/>
      <c r="AI130" s="1493"/>
      <c r="AJ130" s="1493"/>
      <c r="AK130" s="1493"/>
      <c r="AL130" s="1493"/>
      <c r="AM130" s="1493"/>
      <c r="AN130" s="1493"/>
      <c r="AO130" s="1493"/>
      <c r="AP130" s="1493"/>
      <c r="AQ130" s="1493"/>
      <c r="AS130" s="1493"/>
      <c r="AT130" s="1493"/>
      <c r="AU130" s="1493"/>
      <c r="AV130" s="1493"/>
      <c r="AW130" s="1493"/>
      <c r="AX130" s="1493"/>
      <c r="AY130" s="1493"/>
      <c r="AZ130" s="1493"/>
      <c r="BA130" s="1493"/>
      <c r="BB130" s="1493"/>
      <c r="BC130" s="1493"/>
      <c r="BD130" s="1493"/>
      <c r="BE130" s="1493"/>
      <c r="BF130" s="1493"/>
      <c r="BG130" s="1493"/>
      <c r="BH130" s="1493"/>
      <c r="BI130" s="1493"/>
      <c r="BJ130" s="1493"/>
      <c r="BK130" s="1493"/>
      <c r="BL130" s="1493"/>
      <c r="BN130" s="1493"/>
      <c r="BO130" s="1493"/>
      <c r="BP130" s="1493"/>
      <c r="BR130" s="1957"/>
      <c r="BS130" s="1493"/>
    </row>
    <row r="131" spans="7:71" x14ac:dyDescent="0.2">
      <c r="G131" s="1493"/>
      <c r="H131" s="1493"/>
      <c r="I131" s="1493"/>
      <c r="J131" s="1493"/>
      <c r="K131" s="1493"/>
      <c r="L131" s="1493"/>
      <c r="M131" s="1493"/>
      <c r="N131" s="1493"/>
      <c r="O131" s="1643"/>
      <c r="P131" s="1493"/>
      <c r="Q131" s="1493"/>
      <c r="R131" s="1493"/>
      <c r="S131" s="1493"/>
      <c r="T131" s="1493"/>
      <c r="U131" s="1493"/>
      <c r="V131" s="1493"/>
      <c r="W131" s="1493"/>
      <c r="Y131" s="1493"/>
      <c r="Z131" s="1493"/>
      <c r="AA131" s="1493"/>
      <c r="AB131" s="1493"/>
      <c r="AC131" s="1493"/>
      <c r="AD131" s="1493"/>
      <c r="AE131" s="1493"/>
      <c r="AF131" s="1493"/>
      <c r="AG131" s="1493"/>
      <c r="AH131" s="1493"/>
      <c r="AI131" s="1493"/>
      <c r="AJ131" s="1493"/>
      <c r="AK131" s="1493"/>
      <c r="AL131" s="1493"/>
      <c r="AM131" s="1493"/>
      <c r="AN131" s="1493"/>
      <c r="AO131" s="1493"/>
      <c r="AP131" s="1493"/>
      <c r="AQ131" s="1493"/>
      <c r="AS131" s="1493"/>
      <c r="AT131" s="1493"/>
      <c r="AU131" s="1493"/>
      <c r="AV131" s="1493"/>
      <c r="AW131" s="1493"/>
      <c r="AX131" s="1493"/>
      <c r="AY131" s="1493"/>
      <c r="AZ131" s="1493"/>
      <c r="BA131" s="1493"/>
      <c r="BB131" s="1493"/>
      <c r="BC131" s="1493"/>
      <c r="BD131" s="1493"/>
      <c r="BE131" s="1493"/>
      <c r="BF131" s="1493"/>
      <c r="BG131" s="1493"/>
      <c r="BH131" s="1493"/>
      <c r="BI131" s="1493"/>
      <c r="BJ131" s="1493"/>
      <c r="BK131" s="1493"/>
      <c r="BL131" s="1493"/>
      <c r="BN131" s="1493"/>
      <c r="BO131" s="1493"/>
      <c r="BP131" s="1493"/>
      <c r="BR131" s="1957"/>
      <c r="BS131" s="1493"/>
    </row>
    <row r="132" spans="7:71" x14ac:dyDescent="0.2">
      <c r="G132" s="1493"/>
      <c r="H132" s="1493"/>
      <c r="I132" s="1493"/>
      <c r="J132" s="1493"/>
      <c r="K132" s="1493"/>
      <c r="L132" s="1493"/>
      <c r="M132" s="1493"/>
      <c r="N132" s="1493"/>
      <c r="O132" s="1643"/>
      <c r="P132" s="1493"/>
      <c r="Q132" s="1493"/>
      <c r="R132" s="1493"/>
      <c r="S132" s="1493"/>
      <c r="T132" s="1493"/>
      <c r="U132" s="1493"/>
      <c r="V132" s="1493"/>
      <c r="W132" s="1493"/>
      <c r="Y132" s="1493"/>
      <c r="Z132" s="1493"/>
      <c r="AA132" s="1493"/>
      <c r="AB132" s="1493"/>
      <c r="AC132" s="1493"/>
      <c r="AD132" s="1493"/>
      <c r="AE132" s="1493"/>
      <c r="AF132" s="1493"/>
      <c r="AG132" s="1493"/>
      <c r="AH132" s="1493"/>
      <c r="AI132" s="1493"/>
      <c r="AJ132" s="1493"/>
      <c r="AK132" s="1493"/>
      <c r="AL132" s="1493"/>
      <c r="AM132" s="1493"/>
      <c r="AN132" s="1493"/>
      <c r="AO132" s="1493"/>
      <c r="AP132" s="1493"/>
      <c r="AQ132" s="1493"/>
      <c r="AS132" s="1493"/>
      <c r="AT132" s="1493"/>
      <c r="AU132" s="1493"/>
      <c r="AV132" s="1493"/>
      <c r="AW132" s="1493"/>
      <c r="AX132" s="1493"/>
      <c r="AY132" s="1493"/>
      <c r="AZ132" s="1493"/>
      <c r="BA132" s="1493"/>
      <c r="BB132" s="1493"/>
      <c r="BC132" s="1493"/>
      <c r="BD132" s="1493"/>
      <c r="BE132" s="1493"/>
      <c r="BF132" s="1493"/>
      <c r="BG132" s="1493"/>
      <c r="BH132" s="1493"/>
      <c r="BI132" s="1493"/>
      <c r="BJ132" s="1493"/>
      <c r="BK132" s="1493"/>
      <c r="BL132" s="1493"/>
      <c r="BN132" s="1493"/>
      <c r="BO132" s="1493"/>
      <c r="BP132" s="1493"/>
      <c r="BR132" s="1957"/>
      <c r="BS132" s="1493"/>
    </row>
    <row r="133" spans="7:71" x14ac:dyDescent="0.2">
      <c r="G133" s="1493"/>
      <c r="H133" s="1493"/>
      <c r="I133" s="1493"/>
      <c r="J133" s="1493"/>
      <c r="K133" s="1493"/>
      <c r="L133" s="1493"/>
      <c r="M133" s="1493"/>
      <c r="N133" s="1493"/>
      <c r="O133" s="1643"/>
      <c r="P133" s="1493"/>
      <c r="Q133" s="1493"/>
      <c r="R133" s="1493"/>
      <c r="S133" s="1493"/>
      <c r="T133" s="1493"/>
      <c r="U133" s="1493"/>
      <c r="V133" s="1493"/>
      <c r="W133" s="1493"/>
      <c r="Y133" s="1493"/>
      <c r="Z133" s="1493"/>
      <c r="AA133" s="1493"/>
      <c r="AB133" s="1493"/>
      <c r="AC133" s="1493"/>
      <c r="AD133" s="1493"/>
      <c r="AE133" s="1493"/>
      <c r="AF133" s="1493"/>
      <c r="AG133" s="1493"/>
      <c r="AH133" s="1493"/>
      <c r="AI133" s="1493"/>
      <c r="AJ133" s="1493"/>
      <c r="AK133" s="1493"/>
      <c r="AL133" s="1493"/>
      <c r="AM133" s="1493"/>
      <c r="AN133" s="1493"/>
      <c r="AO133" s="1493"/>
      <c r="AP133" s="1493"/>
      <c r="AQ133" s="1493"/>
      <c r="AS133" s="1493"/>
      <c r="AT133" s="1493"/>
      <c r="AU133" s="1493"/>
      <c r="AV133" s="1493"/>
      <c r="AW133" s="1493"/>
      <c r="AX133" s="1493"/>
      <c r="AY133" s="1493"/>
      <c r="AZ133" s="1493"/>
      <c r="BA133" s="1493"/>
      <c r="BB133" s="1493"/>
      <c r="BC133" s="1493"/>
      <c r="BD133" s="1493"/>
      <c r="BE133" s="1493"/>
      <c r="BF133" s="1493"/>
      <c r="BG133" s="1493"/>
      <c r="BH133" s="1493"/>
      <c r="BI133" s="1493"/>
      <c r="BJ133" s="1493"/>
      <c r="BK133" s="1493"/>
      <c r="BL133" s="1493"/>
      <c r="BN133" s="1493"/>
      <c r="BO133" s="1493"/>
      <c r="BP133" s="1493"/>
      <c r="BR133" s="1957"/>
      <c r="BS133" s="1493"/>
    </row>
    <row r="134" spans="7:71" x14ac:dyDescent="0.2">
      <c r="G134" s="1493"/>
      <c r="H134" s="1493"/>
      <c r="I134" s="1493"/>
      <c r="J134" s="1493"/>
      <c r="K134" s="1493"/>
      <c r="L134" s="1493"/>
      <c r="M134" s="1493"/>
      <c r="N134" s="1493"/>
      <c r="O134" s="1643"/>
      <c r="P134" s="1493"/>
      <c r="Q134" s="1493"/>
      <c r="R134" s="1493"/>
      <c r="S134" s="1493"/>
      <c r="T134" s="1493"/>
      <c r="U134" s="1493"/>
      <c r="V134" s="1493"/>
      <c r="W134" s="1493"/>
      <c r="Y134" s="1493"/>
      <c r="Z134" s="1493"/>
      <c r="AA134" s="1493"/>
      <c r="AB134" s="1493"/>
      <c r="AC134" s="1493"/>
      <c r="AD134" s="1493"/>
      <c r="AE134" s="1493"/>
      <c r="AF134" s="1493"/>
      <c r="AG134" s="1493"/>
      <c r="AH134" s="1493"/>
      <c r="AI134" s="1493"/>
      <c r="AJ134" s="1493"/>
      <c r="AK134" s="1493"/>
      <c r="AL134" s="1493"/>
      <c r="AM134" s="1493"/>
      <c r="AN134" s="1493"/>
      <c r="AO134" s="1493"/>
      <c r="AP134" s="1493"/>
      <c r="AQ134" s="1493"/>
      <c r="AS134" s="1493"/>
      <c r="AT134" s="1493"/>
      <c r="AU134" s="1493"/>
      <c r="AV134" s="1493"/>
      <c r="AW134" s="1493"/>
      <c r="AX134" s="1493"/>
      <c r="AY134" s="1493"/>
      <c r="AZ134" s="1493"/>
      <c r="BA134" s="1493"/>
      <c r="BB134" s="1493"/>
      <c r="BC134" s="1493"/>
      <c r="BD134" s="1493"/>
      <c r="BE134" s="1493"/>
      <c r="BF134" s="1493"/>
      <c r="BG134" s="1493"/>
      <c r="BH134" s="1493"/>
      <c r="BI134" s="1493"/>
      <c r="BJ134" s="1493"/>
      <c r="BK134" s="1493"/>
      <c r="BL134" s="1493"/>
      <c r="BN134" s="1493"/>
      <c r="BO134" s="1493"/>
      <c r="BP134" s="1493"/>
      <c r="BR134" s="1957"/>
      <c r="BS134" s="1493"/>
    </row>
    <row r="135" spans="7:71" x14ac:dyDescent="0.2">
      <c r="G135" s="1493"/>
      <c r="H135" s="1493"/>
      <c r="I135" s="1493"/>
      <c r="J135" s="1493"/>
      <c r="K135" s="1493"/>
      <c r="L135" s="1493"/>
      <c r="M135" s="1493"/>
      <c r="N135" s="1493"/>
      <c r="O135" s="1643"/>
      <c r="P135" s="1493"/>
      <c r="Q135" s="1493"/>
      <c r="R135" s="1493"/>
      <c r="S135" s="1493"/>
      <c r="T135" s="1493"/>
      <c r="U135" s="1493"/>
      <c r="V135" s="1493"/>
      <c r="W135" s="1493"/>
      <c r="Y135" s="1493"/>
      <c r="Z135" s="1493"/>
      <c r="AA135" s="1493"/>
      <c r="AB135" s="1493"/>
      <c r="AC135" s="1493"/>
      <c r="AD135" s="1493"/>
      <c r="AE135" s="1493"/>
      <c r="AF135" s="1493"/>
      <c r="AG135" s="1493"/>
      <c r="AH135" s="1493"/>
      <c r="AI135" s="1493"/>
      <c r="AJ135" s="1493"/>
      <c r="AK135" s="1493"/>
      <c r="AL135" s="1493"/>
      <c r="AM135" s="1493"/>
      <c r="AN135" s="1493"/>
      <c r="AO135" s="1493"/>
      <c r="AP135" s="1493"/>
      <c r="AQ135" s="1493"/>
      <c r="AS135" s="1493"/>
      <c r="AT135" s="1493"/>
      <c r="AU135" s="1493"/>
      <c r="AV135" s="1493"/>
      <c r="AW135" s="1493"/>
      <c r="AX135" s="1493"/>
      <c r="AY135" s="1493"/>
      <c r="AZ135" s="1493"/>
      <c r="BA135" s="1493"/>
      <c r="BB135" s="1493"/>
      <c r="BC135" s="1493"/>
      <c r="BD135" s="1493"/>
      <c r="BE135" s="1493"/>
      <c r="BF135" s="1493"/>
      <c r="BG135" s="1493"/>
      <c r="BH135" s="1493"/>
      <c r="BI135" s="1493"/>
      <c r="BJ135" s="1493"/>
      <c r="BK135" s="1493"/>
      <c r="BL135" s="1493"/>
      <c r="BN135" s="1493"/>
      <c r="BO135" s="1493"/>
      <c r="BP135" s="1493"/>
      <c r="BR135" s="1957"/>
      <c r="BS135" s="1493"/>
    </row>
    <row r="136" spans="7:71" x14ac:dyDescent="0.2">
      <c r="G136" s="1493"/>
      <c r="H136" s="1493"/>
      <c r="I136" s="1493"/>
      <c r="J136" s="1493"/>
      <c r="K136" s="1493"/>
      <c r="L136" s="1493"/>
      <c r="M136" s="1493"/>
      <c r="N136" s="1493"/>
      <c r="O136" s="1643"/>
      <c r="P136" s="1493"/>
      <c r="Q136" s="1493"/>
      <c r="R136" s="1493"/>
      <c r="S136" s="1493"/>
      <c r="T136" s="1493"/>
      <c r="U136" s="1493"/>
      <c r="V136" s="1493"/>
      <c r="W136" s="1493"/>
      <c r="Y136" s="1493"/>
      <c r="Z136" s="1493"/>
      <c r="AA136" s="1493"/>
      <c r="AB136" s="1493"/>
      <c r="AC136" s="1493"/>
      <c r="AD136" s="1493"/>
      <c r="AE136" s="1493"/>
      <c r="AF136" s="1493"/>
      <c r="AG136" s="1493"/>
      <c r="AH136" s="1493"/>
      <c r="AI136" s="1493"/>
      <c r="AJ136" s="1493"/>
      <c r="AK136" s="1493"/>
      <c r="AL136" s="1493"/>
      <c r="AM136" s="1493"/>
      <c r="AN136" s="1493"/>
      <c r="AO136" s="1493"/>
      <c r="AP136" s="1493"/>
      <c r="AQ136" s="1493"/>
      <c r="AS136" s="1493"/>
      <c r="AT136" s="1493"/>
      <c r="AU136" s="1493"/>
      <c r="AV136" s="1493"/>
      <c r="AW136" s="1493"/>
      <c r="AX136" s="1493"/>
      <c r="AY136" s="1493"/>
      <c r="AZ136" s="1493"/>
      <c r="BA136" s="1493"/>
      <c r="BB136" s="1493"/>
      <c r="BC136" s="1493"/>
      <c r="BD136" s="1493"/>
      <c r="BE136" s="1493"/>
      <c r="BF136" s="1493"/>
      <c r="BG136" s="1493"/>
      <c r="BH136" s="1493"/>
      <c r="BI136" s="1493"/>
      <c r="BJ136" s="1493"/>
      <c r="BK136" s="1493"/>
      <c r="BL136" s="1493"/>
      <c r="BN136" s="1493"/>
      <c r="BO136" s="1493"/>
      <c r="BP136" s="1493"/>
      <c r="BR136" s="1957"/>
      <c r="BS136" s="1493"/>
    </row>
    <row r="137" spans="7:71" x14ac:dyDescent="0.2">
      <c r="G137" s="1493"/>
      <c r="H137" s="1493"/>
      <c r="I137" s="1493"/>
      <c r="J137" s="1493"/>
      <c r="K137" s="1493"/>
      <c r="L137" s="1493"/>
      <c r="M137" s="1493"/>
      <c r="N137" s="1493"/>
      <c r="O137" s="1643"/>
      <c r="P137" s="1493"/>
      <c r="Q137" s="1493"/>
      <c r="R137" s="1493"/>
      <c r="S137" s="1493"/>
      <c r="T137" s="1493"/>
      <c r="U137" s="1493"/>
      <c r="V137" s="1493"/>
      <c r="W137" s="1493"/>
      <c r="Y137" s="1493"/>
      <c r="Z137" s="1493"/>
      <c r="AA137" s="1493"/>
      <c r="AB137" s="1493"/>
      <c r="AC137" s="1493"/>
      <c r="AD137" s="1493"/>
      <c r="AE137" s="1493"/>
      <c r="AF137" s="1493"/>
      <c r="AG137" s="1493"/>
      <c r="AH137" s="1493"/>
      <c r="AI137" s="1493"/>
      <c r="AJ137" s="1493"/>
      <c r="AK137" s="1493"/>
      <c r="AL137" s="1493"/>
      <c r="AM137" s="1493"/>
      <c r="AN137" s="1493"/>
      <c r="AO137" s="1493"/>
      <c r="AP137" s="1493"/>
      <c r="AQ137" s="1493"/>
      <c r="AS137" s="1493"/>
      <c r="AT137" s="1493"/>
      <c r="AU137" s="1493"/>
      <c r="AV137" s="1493"/>
      <c r="AW137" s="1493"/>
      <c r="AX137" s="1493"/>
      <c r="AY137" s="1493"/>
      <c r="AZ137" s="1493"/>
      <c r="BA137" s="1493"/>
      <c r="BB137" s="1493"/>
      <c r="BC137" s="1493"/>
      <c r="BD137" s="1493"/>
      <c r="BE137" s="1493"/>
      <c r="BF137" s="1493"/>
      <c r="BG137" s="1493"/>
      <c r="BH137" s="1493"/>
      <c r="BI137" s="1493"/>
      <c r="BJ137" s="1493"/>
      <c r="BK137" s="1493"/>
      <c r="BL137" s="1493"/>
      <c r="BN137" s="1493"/>
      <c r="BO137" s="1493"/>
      <c r="BP137" s="1493"/>
      <c r="BR137" s="1957"/>
      <c r="BS137" s="1493"/>
    </row>
    <row r="138" spans="7:71" x14ac:dyDescent="0.2">
      <c r="G138" s="1493"/>
      <c r="H138" s="1493"/>
      <c r="I138" s="1493"/>
      <c r="J138" s="1493"/>
      <c r="K138" s="1493"/>
      <c r="L138" s="1493"/>
      <c r="M138" s="1493"/>
      <c r="N138" s="1493"/>
      <c r="O138" s="1643"/>
      <c r="P138" s="1493"/>
      <c r="Q138" s="1493"/>
      <c r="R138" s="1493"/>
      <c r="S138" s="1493"/>
      <c r="T138" s="1493"/>
      <c r="U138" s="1493"/>
      <c r="V138" s="1493"/>
      <c r="W138" s="1493"/>
      <c r="Y138" s="1493"/>
      <c r="Z138" s="1493"/>
      <c r="AA138" s="1493"/>
      <c r="AB138" s="1493"/>
      <c r="AC138" s="1493"/>
      <c r="AD138" s="1493"/>
      <c r="AE138" s="1493"/>
      <c r="AF138" s="1493"/>
      <c r="AG138" s="1493"/>
      <c r="AH138" s="1493"/>
      <c r="AI138" s="1493"/>
      <c r="AJ138" s="1493"/>
      <c r="AK138" s="1493"/>
      <c r="AL138" s="1493"/>
      <c r="AM138" s="1493"/>
      <c r="AN138" s="1493"/>
      <c r="AO138" s="1493"/>
      <c r="AP138" s="1493"/>
      <c r="AQ138" s="1493"/>
      <c r="AS138" s="1493"/>
      <c r="AT138" s="1493"/>
      <c r="AU138" s="1493"/>
      <c r="AV138" s="1493"/>
      <c r="AW138" s="1493"/>
      <c r="AX138" s="1493"/>
      <c r="AY138" s="1493"/>
      <c r="AZ138" s="1493"/>
      <c r="BA138" s="1493"/>
      <c r="BB138" s="1493"/>
      <c r="BC138" s="1493"/>
      <c r="BD138" s="1493"/>
      <c r="BE138" s="1493"/>
      <c r="BF138" s="1493"/>
      <c r="BG138" s="1493"/>
      <c r="BH138" s="1493"/>
      <c r="BI138" s="1493"/>
      <c r="BJ138" s="1493"/>
      <c r="BK138" s="1493"/>
      <c r="BL138" s="1493"/>
      <c r="BN138" s="1493"/>
      <c r="BO138" s="1493"/>
      <c r="BP138" s="1493"/>
      <c r="BR138" s="1957"/>
      <c r="BS138" s="1493"/>
    </row>
    <row r="139" spans="7:71" x14ac:dyDescent="0.2">
      <c r="G139" s="1493"/>
      <c r="H139" s="1493"/>
      <c r="I139" s="1493"/>
      <c r="J139" s="1493"/>
      <c r="K139" s="1493"/>
      <c r="L139" s="1493"/>
      <c r="M139" s="1493"/>
      <c r="N139" s="1493"/>
      <c r="O139" s="1643"/>
      <c r="P139" s="1493"/>
      <c r="Q139" s="1493"/>
      <c r="R139" s="1493"/>
      <c r="S139" s="1493"/>
      <c r="T139" s="1493"/>
      <c r="U139" s="1493"/>
      <c r="V139" s="1493"/>
      <c r="W139" s="1493"/>
      <c r="Y139" s="1493"/>
      <c r="Z139" s="1493"/>
      <c r="AA139" s="1493"/>
      <c r="AB139" s="1493"/>
      <c r="AC139" s="1493"/>
      <c r="AD139" s="1493"/>
      <c r="AE139" s="1493"/>
      <c r="AF139" s="1493"/>
      <c r="AG139" s="1493"/>
      <c r="AH139" s="1493"/>
      <c r="AI139" s="1493"/>
      <c r="AJ139" s="1493"/>
      <c r="AK139" s="1493"/>
      <c r="AL139" s="1493"/>
      <c r="AM139" s="1493"/>
      <c r="AN139" s="1493"/>
      <c r="AO139" s="1493"/>
      <c r="AP139" s="1493"/>
      <c r="AQ139" s="1493"/>
      <c r="AS139" s="1493"/>
      <c r="AT139" s="1493"/>
      <c r="AU139" s="1493"/>
      <c r="AV139" s="1493"/>
      <c r="AW139" s="1493"/>
      <c r="AX139" s="1493"/>
      <c r="AY139" s="1493"/>
      <c r="AZ139" s="1493"/>
      <c r="BA139" s="1493"/>
      <c r="BB139" s="1493"/>
      <c r="BC139" s="1493"/>
      <c r="BD139" s="1493"/>
      <c r="BE139" s="1493"/>
      <c r="BF139" s="1493"/>
      <c r="BG139" s="1493"/>
      <c r="BH139" s="1493"/>
      <c r="BI139" s="1493"/>
      <c r="BJ139" s="1493"/>
      <c r="BK139" s="1493"/>
      <c r="BL139" s="1493"/>
      <c r="BN139" s="1493"/>
      <c r="BO139" s="1493"/>
      <c r="BP139" s="1493"/>
      <c r="BR139" s="1957"/>
      <c r="BS139" s="1493"/>
    </row>
    <row r="140" spans="7:71" x14ac:dyDescent="0.2">
      <c r="G140" s="1493"/>
      <c r="H140" s="1493"/>
      <c r="I140" s="1493"/>
      <c r="J140" s="1493"/>
      <c r="K140" s="1493"/>
      <c r="L140" s="1493"/>
      <c r="M140" s="1493"/>
      <c r="N140" s="1493"/>
      <c r="O140" s="1643"/>
      <c r="P140" s="1493"/>
      <c r="Q140" s="1493"/>
      <c r="R140" s="1493"/>
      <c r="S140" s="1493"/>
      <c r="T140" s="1493"/>
      <c r="U140" s="1493"/>
      <c r="V140" s="1493"/>
      <c r="W140" s="1493"/>
      <c r="Y140" s="1493"/>
      <c r="Z140" s="1493"/>
      <c r="AA140" s="1493"/>
      <c r="AB140" s="1493"/>
      <c r="AC140" s="1493"/>
      <c r="AD140" s="1493"/>
      <c r="AE140" s="1493"/>
      <c r="AF140" s="1493"/>
      <c r="AG140" s="1493"/>
      <c r="AH140" s="1493"/>
      <c r="AI140" s="1493"/>
      <c r="AJ140" s="1493"/>
      <c r="AK140" s="1493"/>
      <c r="AL140" s="1493"/>
      <c r="AM140" s="1493"/>
      <c r="AN140" s="1493"/>
      <c r="AO140" s="1493"/>
      <c r="AP140" s="1493"/>
      <c r="AQ140" s="1493"/>
      <c r="AS140" s="1493"/>
      <c r="AT140" s="1493"/>
      <c r="AU140" s="1493"/>
      <c r="AV140" s="1493"/>
      <c r="AW140" s="1493"/>
      <c r="AX140" s="1493"/>
      <c r="AY140" s="1493"/>
      <c r="AZ140" s="1493"/>
      <c r="BA140" s="1493"/>
      <c r="BB140" s="1493"/>
      <c r="BC140" s="1493"/>
      <c r="BD140" s="1493"/>
      <c r="BE140" s="1493"/>
      <c r="BF140" s="1493"/>
      <c r="BG140" s="1493"/>
      <c r="BH140" s="1493"/>
      <c r="BI140" s="1493"/>
      <c r="BJ140" s="1493"/>
      <c r="BK140" s="1493"/>
      <c r="BL140" s="1493"/>
      <c r="BN140" s="1493"/>
      <c r="BO140" s="1493"/>
      <c r="BP140" s="1493"/>
      <c r="BR140" s="1957"/>
      <c r="BS140" s="1493"/>
    </row>
    <row r="141" spans="7:71" x14ac:dyDescent="0.2">
      <c r="G141" s="1493"/>
      <c r="H141" s="1493"/>
      <c r="I141" s="1493"/>
      <c r="J141" s="1493"/>
      <c r="K141" s="1493"/>
      <c r="L141" s="1493"/>
      <c r="M141" s="1493"/>
      <c r="N141" s="1493"/>
      <c r="O141" s="1643"/>
      <c r="P141" s="1493"/>
      <c r="Q141" s="1493"/>
      <c r="R141" s="1493"/>
      <c r="S141" s="1493"/>
      <c r="T141" s="1493"/>
      <c r="U141" s="1493"/>
      <c r="V141" s="1493"/>
      <c r="W141" s="1493"/>
      <c r="Y141" s="1493"/>
      <c r="Z141" s="1493"/>
      <c r="AA141" s="1493"/>
      <c r="AB141" s="1493"/>
      <c r="AC141" s="1493"/>
      <c r="AD141" s="1493"/>
      <c r="AE141" s="1493"/>
      <c r="AF141" s="1493"/>
      <c r="AG141" s="1493"/>
      <c r="AH141" s="1493"/>
      <c r="AI141" s="1493"/>
      <c r="AJ141" s="1493"/>
      <c r="AK141" s="1493"/>
      <c r="AL141" s="1493"/>
      <c r="AM141" s="1493"/>
      <c r="AN141" s="1493"/>
      <c r="AO141" s="1493"/>
      <c r="AP141" s="1493"/>
      <c r="AQ141" s="1493"/>
      <c r="AS141" s="1493"/>
      <c r="AT141" s="1493"/>
      <c r="AU141" s="1493"/>
      <c r="AV141" s="1493"/>
      <c r="AW141" s="1493"/>
      <c r="AX141" s="1493"/>
      <c r="AY141" s="1493"/>
      <c r="AZ141" s="1493"/>
      <c r="BA141" s="1493"/>
      <c r="BB141" s="1493"/>
      <c r="BC141" s="1493"/>
      <c r="BD141" s="1493"/>
      <c r="BE141" s="1493"/>
      <c r="BF141" s="1493"/>
      <c r="BG141" s="1493"/>
      <c r="BH141" s="1493"/>
      <c r="BI141" s="1493"/>
      <c r="BJ141" s="1493"/>
      <c r="BK141" s="1493"/>
      <c r="BL141" s="1493"/>
      <c r="BN141" s="1493"/>
      <c r="BO141" s="1493"/>
      <c r="BP141" s="1493"/>
      <c r="BR141" s="1957"/>
      <c r="BS141" s="1493"/>
    </row>
    <row r="142" spans="7:71" x14ac:dyDescent="0.2">
      <c r="G142" s="1493"/>
      <c r="H142" s="1493"/>
      <c r="I142" s="1493"/>
      <c r="J142" s="1493"/>
      <c r="K142" s="1493"/>
      <c r="L142" s="1493"/>
      <c r="M142" s="1493"/>
      <c r="N142" s="1493"/>
      <c r="O142" s="1643"/>
      <c r="P142" s="1493"/>
      <c r="Q142" s="1493"/>
      <c r="R142" s="1493"/>
      <c r="S142" s="1493"/>
      <c r="T142" s="1493"/>
      <c r="U142" s="1493"/>
      <c r="V142" s="1493"/>
      <c r="W142" s="1493"/>
      <c r="Y142" s="1493"/>
      <c r="Z142" s="1493"/>
      <c r="AA142" s="1493"/>
      <c r="AB142" s="1493"/>
      <c r="AC142" s="1493"/>
      <c r="AD142" s="1493"/>
      <c r="AE142" s="1493"/>
      <c r="AF142" s="1493"/>
      <c r="AG142" s="1493"/>
      <c r="AH142" s="1493"/>
      <c r="AI142" s="1493"/>
      <c r="AJ142" s="1493"/>
      <c r="AK142" s="1493"/>
      <c r="AL142" s="1493"/>
      <c r="AM142" s="1493"/>
      <c r="AN142" s="1493"/>
      <c r="AO142" s="1493"/>
      <c r="AP142" s="1493"/>
      <c r="AQ142" s="1493"/>
      <c r="AS142" s="1493"/>
      <c r="AT142" s="1493"/>
      <c r="AU142" s="1493"/>
      <c r="AV142" s="1493"/>
      <c r="AW142" s="1493"/>
      <c r="AX142" s="1493"/>
      <c r="AY142" s="1493"/>
      <c r="AZ142" s="1493"/>
      <c r="BA142" s="1493"/>
      <c r="BB142" s="1493"/>
      <c r="BC142" s="1493"/>
      <c r="BD142" s="1493"/>
      <c r="BE142" s="1493"/>
      <c r="BF142" s="1493"/>
      <c r="BG142" s="1493"/>
      <c r="BH142" s="1493"/>
      <c r="BI142" s="1493"/>
      <c r="BJ142" s="1493"/>
      <c r="BK142" s="1493"/>
      <c r="BL142" s="1493"/>
      <c r="BN142" s="1493"/>
      <c r="BO142" s="1493"/>
      <c r="BP142" s="1493"/>
      <c r="BR142" s="1957"/>
      <c r="BS142" s="1493"/>
    </row>
    <row r="143" spans="7:71" x14ac:dyDescent="0.2">
      <c r="G143" s="1493"/>
      <c r="H143" s="1493"/>
      <c r="I143" s="1493"/>
      <c r="J143" s="1493"/>
      <c r="K143" s="1493"/>
      <c r="L143" s="1493"/>
      <c r="M143" s="1493"/>
      <c r="N143" s="1493"/>
      <c r="O143" s="1643"/>
      <c r="P143" s="1493"/>
      <c r="Q143" s="1493"/>
      <c r="R143" s="1493"/>
      <c r="S143" s="1493"/>
      <c r="T143" s="1493"/>
      <c r="U143" s="1493"/>
      <c r="V143" s="1493"/>
      <c r="W143" s="1493"/>
      <c r="Y143" s="1493"/>
      <c r="Z143" s="1493"/>
      <c r="AA143" s="1493"/>
      <c r="AB143" s="1493"/>
      <c r="AC143" s="1493"/>
      <c r="AD143" s="1493"/>
      <c r="AE143" s="1493"/>
      <c r="AF143" s="1493"/>
      <c r="AG143" s="1493"/>
      <c r="AH143" s="1493"/>
      <c r="AI143" s="1493"/>
      <c r="AJ143" s="1493"/>
      <c r="AK143" s="1493"/>
      <c r="AL143" s="1493"/>
      <c r="AM143" s="1493"/>
      <c r="AN143" s="1493"/>
      <c r="AO143" s="1493"/>
      <c r="AP143" s="1493"/>
      <c r="AQ143" s="1493"/>
      <c r="AS143" s="1493"/>
      <c r="AT143" s="1493"/>
      <c r="AU143" s="1493"/>
      <c r="AV143" s="1493"/>
      <c r="AW143" s="1493"/>
      <c r="AX143" s="1493"/>
      <c r="AY143" s="1493"/>
      <c r="AZ143" s="1493"/>
      <c r="BA143" s="1493"/>
      <c r="BB143" s="1493"/>
      <c r="BC143" s="1493"/>
      <c r="BD143" s="1493"/>
      <c r="BE143" s="1493"/>
      <c r="BF143" s="1493"/>
      <c r="BG143" s="1493"/>
      <c r="BH143" s="1493"/>
      <c r="BI143" s="1493"/>
      <c r="BJ143" s="1493"/>
      <c r="BK143" s="1493"/>
      <c r="BL143" s="1493"/>
      <c r="BN143" s="1493"/>
      <c r="BO143" s="1493"/>
      <c r="BP143" s="1493"/>
      <c r="BR143" s="1957"/>
      <c r="BS143" s="1493"/>
    </row>
    <row r="144" spans="7:71" x14ac:dyDescent="0.2">
      <c r="G144" s="1493"/>
      <c r="H144" s="1493"/>
      <c r="I144" s="1493"/>
      <c r="J144" s="1493"/>
      <c r="K144" s="1493"/>
      <c r="L144" s="1493"/>
      <c r="M144" s="1493"/>
      <c r="N144" s="1493"/>
      <c r="O144" s="1643"/>
      <c r="P144" s="1493"/>
      <c r="Q144" s="1493"/>
      <c r="R144" s="1493"/>
      <c r="S144" s="1493"/>
      <c r="T144" s="1493"/>
      <c r="U144" s="1493"/>
      <c r="V144" s="1493"/>
      <c r="W144" s="1493"/>
      <c r="Y144" s="1493"/>
      <c r="Z144" s="1493"/>
      <c r="AA144" s="1493"/>
      <c r="AB144" s="1493"/>
      <c r="AC144" s="1493"/>
      <c r="AD144" s="1493"/>
      <c r="AE144" s="1493"/>
      <c r="AF144" s="1493"/>
      <c r="AG144" s="1493"/>
      <c r="AH144" s="1493"/>
      <c r="AI144" s="1493"/>
      <c r="AJ144" s="1493"/>
      <c r="AK144" s="1493"/>
      <c r="AL144" s="1493"/>
      <c r="AM144" s="1493"/>
      <c r="AN144" s="1493"/>
      <c r="AO144" s="1493"/>
      <c r="AP144" s="1493"/>
      <c r="AQ144" s="1493"/>
      <c r="AS144" s="1493"/>
      <c r="AT144" s="1493"/>
      <c r="AU144" s="1493"/>
      <c r="AV144" s="1493"/>
      <c r="AW144" s="1493"/>
      <c r="AX144" s="1493"/>
      <c r="AY144" s="1493"/>
      <c r="AZ144" s="1493"/>
      <c r="BA144" s="1493"/>
      <c r="BB144" s="1493"/>
      <c r="BC144" s="1493"/>
      <c r="BD144" s="1493"/>
      <c r="BE144" s="1493"/>
      <c r="BF144" s="1493"/>
      <c r="BG144" s="1493"/>
      <c r="BH144" s="1493"/>
      <c r="BI144" s="1493"/>
      <c r="BJ144" s="1493"/>
      <c r="BK144" s="1493"/>
      <c r="BL144" s="1493"/>
      <c r="BN144" s="1493"/>
      <c r="BO144" s="1493"/>
      <c r="BP144" s="1493"/>
      <c r="BR144" s="1957"/>
      <c r="BS144" s="1493"/>
    </row>
    <row r="145" spans="7:71" x14ac:dyDescent="0.2">
      <c r="G145" s="1493"/>
      <c r="H145" s="1493"/>
      <c r="I145" s="1493"/>
      <c r="J145" s="1493"/>
      <c r="K145" s="1493"/>
      <c r="L145" s="1493"/>
      <c r="M145" s="1493"/>
      <c r="N145" s="1493"/>
      <c r="O145" s="1643"/>
      <c r="P145" s="1493"/>
      <c r="Q145" s="1493"/>
      <c r="R145" s="1493"/>
      <c r="S145" s="1493"/>
      <c r="T145" s="1493"/>
      <c r="U145" s="1493"/>
      <c r="V145" s="1493"/>
      <c r="W145" s="1493"/>
      <c r="Y145" s="1493"/>
      <c r="Z145" s="1493"/>
      <c r="AA145" s="1493"/>
      <c r="AB145" s="1493"/>
      <c r="AC145" s="1493"/>
      <c r="AD145" s="1493"/>
      <c r="AE145" s="1493"/>
      <c r="AF145" s="1493"/>
      <c r="AG145" s="1493"/>
      <c r="AH145" s="1493"/>
      <c r="AI145" s="1493"/>
      <c r="AJ145" s="1493"/>
      <c r="AK145" s="1493"/>
      <c r="AL145" s="1493"/>
      <c r="AM145" s="1493"/>
      <c r="AN145" s="1493"/>
      <c r="AO145" s="1493"/>
      <c r="AP145" s="1493"/>
      <c r="AQ145" s="1493"/>
      <c r="AS145" s="1493"/>
      <c r="AT145" s="1493"/>
      <c r="AU145" s="1493"/>
      <c r="AV145" s="1493"/>
      <c r="AW145" s="1493"/>
      <c r="AX145" s="1493"/>
      <c r="AY145" s="1493"/>
      <c r="AZ145" s="1493"/>
      <c r="BA145" s="1493"/>
      <c r="BB145" s="1493"/>
      <c r="BC145" s="1493"/>
      <c r="BD145" s="1493"/>
      <c r="BE145" s="1493"/>
      <c r="BF145" s="1493"/>
      <c r="BG145" s="1493"/>
      <c r="BH145" s="1493"/>
      <c r="BI145" s="1493"/>
      <c r="BJ145" s="1493"/>
      <c r="BK145" s="1493"/>
      <c r="BL145" s="1493"/>
      <c r="BN145" s="1493"/>
      <c r="BO145" s="1493"/>
      <c r="BP145" s="1493"/>
      <c r="BR145" s="1957"/>
      <c r="BS145" s="1493"/>
    </row>
    <row r="146" spans="7:71" x14ac:dyDescent="0.2">
      <c r="G146" s="1493"/>
      <c r="H146" s="1493"/>
      <c r="I146" s="1493"/>
      <c r="J146" s="1493"/>
      <c r="K146" s="1493"/>
      <c r="L146" s="1493"/>
      <c r="M146" s="1493"/>
      <c r="N146" s="1493"/>
      <c r="O146" s="1643"/>
      <c r="P146" s="1493"/>
      <c r="Q146" s="1493"/>
      <c r="R146" s="1493"/>
      <c r="S146" s="1493"/>
      <c r="T146" s="1493"/>
      <c r="U146" s="1493"/>
      <c r="V146" s="1493"/>
      <c r="W146" s="1493"/>
      <c r="Y146" s="1493"/>
      <c r="Z146" s="1493"/>
      <c r="AA146" s="1493"/>
      <c r="AB146" s="1493"/>
      <c r="AC146" s="1493"/>
      <c r="AD146" s="1493"/>
      <c r="AE146" s="1493"/>
      <c r="AF146" s="1493"/>
      <c r="AG146" s="1493"/>
      <c r="AH146" s="1493"/>
      <c r="AI146" s="1493"/>
      <c r="AJ146" s="1493"/>
      <c r="AK146" s="1493"/>
      <c r="AL146" s="1493"/>
      <c r="AM146" s="1493"/>
      <c r="AN146" s="1493"/>
      <c r="AO146" s="1493"/>
      <c r="AP146" s="1493"/>
      <c r="AQ146" s="1493"/>
      <c r="AS146" s="1493"/>
      <c r="AT146" s="1493"/>
      <c r="AU146" s="1493"/>
      <c r="AV146" s="1493"/>
      <c r="AW146" s="1493"/>
      <c r="AX146" s="1493"/>
      <c r="AY146" s="1493"/>
      <c r="AZ146" s="1493"/>
      <c r="BA146" s="1493"/>
      <c r="BB146" s="1493"/>
      <c r="BC146" s="1493"/>
      <c r="BD146" s="1493"/>
      <c r="BE146" s="1493"/>
      <c r="BF146" s="1493"/>
      <c r="BG146" s="1493"/>
      <c r="BH146" s="1493"/>
      <c r="BI146" s="1493"/>
      <c r="BJ146" s="1493"/>
      <c r="BK146" s="1493"/>
      <c r="BL146" s="1493"/>
      <c r="BN146" s="1493"/>
      <c r="BO146" s="1493"/>
      <c r="BP146" s="1493"/>
      <c r="BR146" s="1957"/>
      <c r="BS146" s="1493"/>
    </row>
    <row r="147" spans="7:71" x14ac:dyDescent="0.2">
      <c r="G147" s="1493"/>
      <c r="H147" s="1493"/>
      <c r="I147" s="1493"/>
      <c r="J147" s="1493"/>
      <c r="K147" s="1493"/>
      <c r="L147" s="1493"/>
      <c r="M147" s="1493"/>
      <c r="N147" s="1493"/>
      <c r="O147" s="1643"/>
      <c r="P147" s="1493"/>
      <c r="Q147" s="1493"/>
      <c r="R147" s="1493"/>
      <c r="S147" s="1493"/>
      <c r="T147" s="1493"/>
      <c r="U147" s="1493"/>
      <c r="V147" s="1493"/>
      <c r="W147" s="1493"/>
      <c r="Y147" s="1493"/>
      <c r="Z147" s="1493"/>
      <c r="AA147" s="1493"/>
      <c r="AB147" s="1493"/>
      <c r="AC147" s="1493"/>
      <c r="AD147" s="1493"/>
      <c r="AE147" s="1493"/>
      <c r="AF147" s="1493"/>
      <c r="AG147" s="1493"/>
      <c r="AH147" s="1493"/>
      <c r="AI147" s="1493"/>
      <c r="AJ147" s="1493"/>
      <c r="AK147" s="1493"/>
      <c r="AL147" s="1493"/>
      <c r="AM147" s="1493"/>
      <c r="AN147" s="1493"/>
      <c r="AO147" s="1493"/>
      <c r="AP147" s="1493"/>
      <c r="AQ147" s="1493"/>
      <c r="AS147" s="1493"/>
      <c r="AT147" s="1493"/>
      <c r="AU147" s="1493"/>
      <c r="AV147" s="1493"/>
      <c r="AW147" s="1493"/>
      <c r="AX147" s="1493"/>
      <c r="AY147" s="1493"/>
      <c r="AZ147" s="1493"/>
      <c r="BA147" s="1493"/>
      <c r="BB147" s="1493"/>
      <c r="BC147" s="1493"/>
      <c r="BD147" s="1493"/>
      <c r="BE147" s="1493"/>
      <c r="BF147" s="1493"/>
      <c r="BG147" s="1493"/>
      <c r="BH147" s="1493"/>
      <c r="BI147" s="1493"/>
      <c r="BJ147" s="1493"/>
      <c r="BK147" s="1493"/>
      <c r="BL147" s="1493"/>
      <c r="BN147" s="1493"/>
      <c r="BO147" s="1493"/>
      <c r="BP147" s="1493"/>
      <c r="BR147" s="1957"/>
      <c r="BS147" s="1493"/>
    </row>
    <row r="148" spans="7:71" x14ac:dyDescent="0.2">
      <c r="G148" s="1493"/>
      <c r="H148" s="1493"/>
      <c r="I148" s="1493"/>
      <c r="J148" s="1493"/>
      <c r="K148" s="1493"/>
      <c r="L148" s="1493"/>
      <c r="M148" s="1493"/>
      <c r="N148" s="1493"/>
      <c r="O148" s="1643"/>
      <c r="P148" s="1493"/>
      <c r="Q148" s="1493"/>
      <c r="R148" s="1493"/>
      <c r="S148" s="1493"/>
      <c r="T148" s="1493"/>
      <c r="U148" s="1493"/>
      <c r="V148" s="1493"/>
      <c r="W148" s="1493"/>
      <c r="Y148" s="1493"/>
      <c r="Z148" s="1493"/>
      <c r="AA148" s="1493"/>
      <c r="AB148" s="1493"/>
      <c r="AC148" s="1493"/>
      <c r="AD148" s="1493"/>
      <c r="AE148" s="1493"/>
      <c r="AF148" s="1493"/>
      <c r="AG148" s="1493"/>
      <c r="AH148" s="1493"/>
      <c r="AI148" s="1493"/>
      <c r="AJ148" s="1493"/>
      <c r="AK148" s="1493"/>
      <c r="AL148" s="1493"/>
      <c r="AM148" s="1493"/>
      <c r="AN148" s="1493"/>
      <c r="AO148" s="1493"/>
      <c r="AP148" s="1493"/>
      <c r="AQ148" s="1493"/>
      <c r="AS148" s="1493"/>
      <c r="AT148" s="1493"/>
      <c r="AU148" s="1493"/>
      <c r="AV148" s="1493"/>
      <c r="AW148" s="1493"/>
      <c r="AX148" s="1493"/>
      <c r="AY148" s="1493"/>
      <c r="AZ148" s="1493"/>
      <c r="BA148" s="1493"/>
      <c r="BB148" s="1493"/>
      <c r="BC148" s="1493"/>
      <c r="BD148" s="1493"/>
      <c r="BE148" s="1493"/>
      <c r="BF148" s="1493"/>
      <c r="BG148" s="1493"/>
      <c r="BH148" s="1493"/>
      <c r="BI148" s="1493"/>
      <c r="BJ148" s="1493"/>
      <c r="BK148" s="1493"/>
      <c r="BL148" s="1493"/>
      <c r="BN148" s="1493"/>
      <c r="BO148" s="1493"/>
      <c r="BP148" s="1493"/>
      <c r="BR148" s="1957"/>
      <c r="BS148" s="1493"/>
    </row>
    <row r="149" spans="7:71" x14ac:dyDescent="0.2">
      <c r="G149" s="1493"/>
      <c r="H149" s="1493"/>
      <c r="I149" s="1493"/>
      <c r="J149" s="1493"/>
      <c r="K149" s="1493"/>
      <c r="L149" s="1493"/>
      <c r="M149" s="1493"/>
      <c r="N149" s="1493"/>
      <c r="O149" s="1643"/>
      <c r="P149" s="1493"/>
      <c r="Q149" s="1493"/>
      <c r="R149" s="1493"/>
      <c r="S149" s="1493"/>
      <c r="T149" s="1493"/>
      <c r="U149" s="1493"/>
      <c r="V149" s="1493"/>
      <c r="W149" s="1493"/>
      <c r="Y149" s="1493"/>
      <c r="Z149" s="1493"/>
      <c r="AA149" s="1493"/>
      <c r="AB149" s="1493"/>
      <c r="AC149" s="1493"/>
      <c r="AD149" s="1493"/>
      <c r="AE149" s="1493"/>
      <c r="AF149" s="1493"/>
      <c r="AG149" s="1493"/>
      <c r="AH149" s="1493"/>
      <c r="AI149" s="1493"/>
      <c r="AJ149" s="1493"/>
      <c r="AK149" s="1493"/>
      <c r="AL149" s="1493"/>
      <c r="AM149" s="1493"/>
      <c r="AN149" s="1493"/>
      <c r="AO149" s="1493"/>
      <c r="AP149" s="1493"/>
      <c r="AQ149" s="1493"/>
      <c r="AS149" s="1493"/>
      <c r="AT149" s="1493"/>
      <c r="AU149" s="1493"/>
      <c r="AV149" s="1493"/>
      <c r="AW149" s="1493"/>
      <c r="AX149" s="1493"/>
      <c r="AY149" s="1493"/>
      <c r="AZ149" s="1493"/>
      <c r="BA149" s="1493"/>
      <c r="BB149" s="1493"/>
      <c r="BC149" s="1493"/>
      <c r="BD149" s="1493"/>
      <c r="BE149" s="1493"/>
      <c r="BF149" s="1493"/>
      <c r="BG149" s="1493"/>
      <c r="BH149" s="1493"/>
      <c r="BI149" s="1493"/>
      <c r="BJ149" s="1493"/>
      <c r="BK149" s="1493"/>
      <c r="BL149" s="1493"/>
      <c r="BN149" s="1493"/>
      <c r="BO149" s="1493"/>
      <c r="BP149" s="1493"/>
      <c r="BR149" s="1957"/>
      <c r="BS149" s="1493"/>
    </row>
    <row r="150" spans="7:71" x14ac:dyDescent="0.2">
      <c r="G150" s="1493"/>
      <c r="H150" s="1493"/>
      <c r="I150" s="1493"/>
      <c r="J150" s="1493"/>
      <c r="K150" s="1493"/>
      <c r="L150" s="1493"/>
      <c r="M150" s="1493"/>
      <c r="N150" s="1493"/>
      <c r="O150" s="1643"/>
      <c r="P150" s="1493"/>
      <c r="Q150" s="1493"/>
      <c r="R150" s="1493"/>
      <c r="S150" s="1493"/>
      <c r="T150" s="1493"/>
      <c r="U150" s="1493"/>
      <c r="V150" s="1493"/>
      <c r="W150" s="1493"/>
      <c r="Y150" s="1493"/>
      <c r="Z150" s="1493"/>
      <c r="AA150" s="1493"/>
      <c r="AB150" s="1493"/>
      <c r="AC150" s="1493"/>
      <c r="AD150" s="1493"/>
      <c r="AE150" s="1493"/>
      <c r="AF150" s="1493"/>
      <c r="AG150" s="1493"/>
      <c r="AH150" s="1493"/>
      <c r="AI150" s="1493"/>
      <c r="AJ150" s="1493"/>
      <c r="AK150" s="1493"/>
      <c r="AL150" s="1493"/>
      <c r="AM150" s="1493"/>
      <c r="AN150" s="1493"/>
      <c r="AO150" s="1493"/>
      <c r="AP150" s="1493"/>
      <c r="AQ150" s="1493"/>
      <c r="AS150" s="1493"/>
      <c r="AT150" s="1493"/>
      <c r="AU150" s="1493"/>
      <c r="AV150" s="1493"/>
      <c r="AW150" s="1493"/>
      <c r="AX150" s="1493"/>
      <c r="AY150" s="1493"/>
      <c r="AZ150" s="1493"/>
      <c r="BA150" s="1493"/>
      <c r="BB150" s="1493"/>
      <c r="BC150" s="1493"/>
      <c r="BD150" s="1493"/>
      <c r="BE150" s="1493"/>
      <c r="BF150" s="1493"/>
      <c r="BG150" s="1493"/>
      <c r="BH150" s="1493"/>
      <c r="BI150" s="1493"/>
      <c r="BJ150" s="1493"/>
      <c r="BK150" s="1493"/>
      <c r="BL150" s="1493"/>
      <c r="BN150" s="1493"/>
      <c r="BO150" s="1493"/>
      <c r="BP150" s="1493"/>
      <c r="BR150" s="1957"/>
      <c r="BS150" s="1493"/>
    </row>
    <row r="151" spans="7:71" x14ac:dyDescent="0.2">
      <c r="G151" s="1493"/>
      <c r="H151" s="1493"/>
      <c r="I151" s="1493"/>
      <c r="J151" s="1493"/>
      <c r="K151" s="1493"/>
      <c r="L151" s="1493"/>
      <c r="M151" s="1493"/>
      <c r="N151" s="1493"/>
      <c r="O151" s="1643"/>
      <c r="P151" s="1493"/>
      <c r="Q151" s="1493"/>
      <c r="R151" s="1493"/>
      <c r="S151" s="1493"/>
      <c r="T151" s="1493"/>
      <c r="U151" s="1493"/>
      <c r="V151" s="1493"/>
      <c r="W151" s="1493"/>
      <c r="Y151" s="1493"/>
      <c r="Z151" s="1493"/>
      <c r="AA151" s="1493"/>
      <c r="AB151" s="1493"/>
      <c r="AC151" s="1493"/>
      <c r="AD151" s="1493"/>
      <c r="AE151" s="1493"/>
      <c r="AF151" s="1493"/>
      <c r="AG151" s="1493"/>
      <c r="AH151" s="1493"/>
      <c r="AI151" s="1493"/>
      <c r="AJ151" s="1493"/>
      <c r="AK151" s="1493"/>
      <c r="AL151" s="1493"/>
      <c r="AM151" s="1493"/>
      <c r="AN151" s="1493"/>
      <c r="AO151" s="1493"/>
      <c r="AP151" s="1493"/>
      <c r="AQ151" s="1493"/>
      <c r="AS151" s="1493"/>
      <c r="AT151" s="1493"/>
      <c r="AU151" s="1493"/>
      <c r="AV151" s="1493"/>
      <c r="AW151" s="1493"/>
      <c r="AX151" s="1493"/>
      <c r="AY151" s="1493"/>
      <c r="AZ151" s="1493"/>
      <c r="BA151" s="1493"/>
      <c r="BB151" s="1493"/>
      <c r="BC151" s="1493"/>
      <c r="BD151" s="1493"/>
      <c r="BE151" s="1493"/>
      <c r="BF151" s="1493"/>
      <c r="BG151" s="1493"/>
      <c r="BH151" s="1493"/>
      <c r="BI151" s="1493"/>
      <c r="BJ151" s="1493"/>
      <c r="BK151" s="1493"/>
      <c r="BL151" s="1493"/>
      <c r="BN151" s="1493"/>
      <c r="BO151" s="1493"/>
      <c r="BP151" s="1493"/>
      <c r="BR151" s="1957"/>
      <c r="BS151" s="1493"/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DP151"/>
  <sheetViews>
    <sheetView topLeftCell="A7" zoomScale="53" zoomScaleNormal="53" workbookViewId="0">
      <selection activeCell="C74" sqref="C74:D74"/>
    </sheetView>
  </sheetViews>
  <sheetFormatPr baseColWidth="10" defaultColWidth="8.85546875" defaultRowHeight="12.75" outlineLevelRow="2" outlineLevelCol="2" x14ac:dyDescent="0.2"/>
  <cols>
    <col min="1" max="1" width="15.5703125" customWidth="1"/>
    <col min="2" max="2" width="1.42578125" customWidth="1"/>
    <col min="3" max="3" width="9.28515625" style="1429" customWidth="1"/>
    <col min="4" max="4" width="28.28515625" style="1430" customWidth="1"/>
    <col min="5" max="5" width="41.7109375" style="1430" customWidth="1"/>
    <col min="6" max="6" width="1.140625" customWidth="1" outlineLevel="1"/>
    <col min="7" max="14" width="13.28515625" style="1430" hidden="1" customWidth="1" outlineLevel="2"/>
    <col min="15" max="15" width="13.28515625" style="1431" hidden="1" customWidth="1" outlineLevel="2"/>
    <col min="16" max="22" width="13.28515625" style="1430" hidden="1" customWidth="1" outlineLevel="2"/>
    <col min="23" max="23" width="13.28515625" style="1430" customWidth="1" outlineLevel="1" collapsed="1"/>
    <col min="24" max="24" width="1.140625" customWidth="1" outlineLevel="1"/>
    <col min="25" max="25" width="14.5703125" style="1430" hidden="1" customWidth="1" outlineLevel="2"/>
    <col min="26" max="26" width="12.5703125" style="1430" hidden="1" customWidth="1" outlineLevel="2"/>
    <col min="27" max="29" width="14.85546875" style="1430" hidden="1" customWidth="1" outlineLevel="2"/>
    <col min="30" max="35" width="10" style="1430" hidden="1" customWidth="1" outlineLevel="2"/>
    <col min="36" max="36" width="11.85546875" style="1430" hidden="1" customWidth="1" outlineLevel="2"/>
    <col min="37" max="42" width="10" style="1430" hidden="1" customWidth="1" outlineLevel="2"/>
    <col min="43" max="43" width="14.140625" style="1430" customWidth="1" outlineLevel="1" collapsed="1"/>
    <col min="44" max="44" width="1.140625" customWidth="1" outlineLevel="1"/>
    <col min="45" max="49" width="10" style="1430" hidden="1" customWidth="1" outlineLevel="2"/>
    <col min="50" max="50" width="10.140625" style="1430" hidden="1" customWidth="1" outlineLevel="2"/>
    <col min="51" max="51" width="10.85546875" style="1430" hidden="1" customWidth="1" outlineLevel="2"/>
    <col min="52" max="52" width="12.7109375" style="1430" hidden="1" customWidth="1" outlineLevel="2"/>
    <col min="53" max="53" width="16.5703125" style="1430" hidden="1" customWidth="1" outlineLevel="2"/>
    <col min="54" max="63" width="10" style="1430" hidden="1" customWidth="1" outlineLevel="2"/>
    <col min="64" max="64" width="11.42578125" style="1430" customWidth="1" outlineLevel="1" collapsed="1"/>
    <col min="65" max="65" width="1.140625" customWidth="1" outlineLevel="1"/>
    <col min="66" max="66" width="10" style="1430" hidden="1" customWidth="1" outlineLevel="2"/>
    <col min="67" max="67" width="13" style="1430" hidden="1" customWidth="1" outlineLevel="2"/>
    <col min="68" max="68" width="10" style="1430" customWidth="1" outlineLevel="1" collapsed="1"/>
    <col min="69" max="69" width="1.140625" customWidth="1" outlineLevel="1"/>
    <col min="70" max="70" width="18.7109375" style="1429" customWidth="1" outlineLevel="1"/>
    <col min="71" max="71" width="5.28515625" style="1430" customWidth="1"/>
    <col min="73" max="116" width="7.42578125" hidden="1" customWidth="1" outlineLevel="1"/>
    <col min="117" max="117" width="2.42578125" hidden="1" customWidth="1" outlineLevel="1"/>
    <col min="118" max="119" width="8.85546875" hidden="1" customWidth="1" outlineLevel="1"/>
    <col min="120" max="120" width="8.85546875" collapsed="1"/>
  </cols>
  <sheetData>
    <row r="1" spans="1:118" ht="6" customHeight="1" x14ac:dyDescent="0.2"/>
    <row r="2" spans="1:118" ht="21" customHeight="1" x14ac:dyDescent="0.2">
      <c r="D2" s="1432"/>
      <c r="E2" s="1433">
        <v>2040</v>
      </c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Y2" s="1434"/>
      <c r="Z2" s="1434"/>
      <c r="AA2" s="1434"/>
      <c r="AB2" s="1434"/>
      <c r="AC2" s="1434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N2"/>
      <c r="BO2"/>
      <c r="BP2"/>
      <c r="BR2" s="74"/>
      <c r="BS2" s="1435"/>
    </row>
    <row r="3" spans="1:118" ht="39" customHeight="1" x14ac:dyDescent="0.2">
      <c r="A3" s="1436"/>
      <c r="B3" s="1436"/>
      <c r="C3" s="1436"/>
      <c r="D3" s="1437"/>
      <c r="E3" s="1438" t="s">
        <v>171</v>
      </c>
      <c r="G3" s="1439" t="s">
        <v>912</v>
      </c>
      <c r="H3" s="1439"/>
      <c r="I3" s="1439"/>
      <c r="J3" s="1439"/>
      <c r="K3" s="1439"/>
      <c r="L3" s="1439"/>
      <c r="M3" s="1439"/>
      <c r="N3" s="1439"/>
      <c r="O3" s="1439"/>
      <c r="P3" s="1439"/>
      <c r="Q3" s="1439"/>
      <c r="R3" s="1439"/>
      <c r="S3" s="1439"/>
      <c r="T3" s="1439"/>
      <c r="U3" s="1439"/>
      <c r="V3" s="1439"/>
      <c r="W3" s="1439"/>
      <c r="Y3" s="1440" t="s">
        <v>913</v>
      </c>
      <c r="Z3" s="1441"/>
      <c r="AA3" s="1441"/>
      <c r="AB3" s="1441"/>
      <c r="AC3" s="1441"/>
      <c r="AD3" s="1442"/>
      <c r="AE3" s="1441"/>
      <c r="AF3" s="1441"/>
      <c r="AG3" s="1441"/>
      <c r="AH3" s="1441"/>
      <c r="AI3" s="1441"/>
      <c r="AJ3" s="1441"/>
      <c r="AK3" s="1441"/>
      <c r="AL3" s="1441"/>
      <c r="AM3" s="1441"/>
      <c r="AN3" s="1441"/>
      <c r="AO3" s="1441"/>
      <c r="AP3" s="1441"/>
      <c r="AQ3" s="1443"/>
      <c r="AS3" s="1444" t="s">
        <v>914</v>
      </c>
      <c r="AT3" s="1445"/>
      <c r="AU3" s="1445"/>
      <c r="AV3" s="1446"/>
      <c r="AW3" s="1445"/>
      <c r="AX3" s="1445"/>
      <c r="AY3" s="1445"/>
      <c r="AZ3" s="1445"/>
      <c r="BA3" s="1445"/>
      <c r="BB3" s="1445"/>
      <c r="BC3" s="1445"/>
      <c r="BD3" s="1445"/>
      <c r="BE3" s="1445"/>
      <c r="BF3" s="1445"/>
      <c r="BG3" s="1445"/>
      <c r="BH3" s="1445"/>
      <c r="BI3" s="1445"/>
      <c r="BJ3" s="1445"/>
      <c r="BK3" s="1445"/>
      <c r="BL3" s="1447"/>
      <c r="BN3" s="1448" t="s">
        <v>915</v>
      </c>
      <c r="BO3" s="1449"/>
      <c r="BP3" s="1449"/>
      <c r="BR3" s="1450"/>
      <c r="BS3" s="1450"/>
      <c r="BT3" s="1436"/>
      <c r="BU3" s="1451" t="s">
        <v>918</v>
      </c>
      <c r="BV3" s="1452"/>
      <c r="BW3" s="1452"/>
      <c r="BX3" s="1452"/>
      <c r="BY3" s="1452"/>
      <c r="BZ3" s="1452"/>
      <c r="CA3" s="1452"/>
      <c r="CB3" s="1452"/>
      <c r="CC3" s="1452"/>
      <c r="CD3" s="1452"/>
      <c r="CE3" s="1452"/>
      <c r="CF3" s="1452"/>
      <c r="CG3" s="1452"/>
      <c r="CH3" s="1452"/>
      <c r="CI3" s="1452"/>
      <c r="CJ3" s="1452"/>
      <c r="CK3" s="1452"/>
      <c r="CL3" s="1452"/>
      <c r="CM3" s="1452"/>
      <c r="CN3" s="1452"/>
      <c r="CO3" s="1452"/>
      <c r="CP3" s="1452"/>
      <c r="CQ3" s="1452"/>
      <c r="CR3" s="1452"/>
      <c r="CS3" s="1452"/>
      <c r="CT3" s="1452"/>
      <c r="CU3" s="1452"/>
      <c r="CV3" s="1452"/>
      <c r="CW3" s="1452"/>
      <c r="CX3" s="1452"/>
      <c r="CY3" s="1452"/>
      <c r="CZ3" s="1452"/>
      <c r="DA3" s="1452"/>
      <c r="DB3" s="1452"/>
      <c r="DC3" s="1452"/>
      <c r="DD3" s="1452"/>
      <c r="DE3" s="1452"/>
      <c r="DF3" s="1452"/>
      <c r="DG3" s="1452"/>
      <c r="DH3" s="1452"/>
      <c r="DI3" s="1453"/>
      <c r="DJ3" s="1453"/>
      <c r="DK3" s="1453"/>
      <c r="DL3" s="1453"/>
    </row>
    <row r="4" spans="1:118" ht="63.75" customHeight="1" x14ac:dyDescent="0.2">
      <c r="C4" s="1454"/>
      <c r="D4" s="1454"/>
      <c r="G4" s="1455" t="str">
        <f>INDEX(Vectors[Descripción], MATCH(G$5,Vectors[Código],FALSE))</f>
        <v>Climatización</v>
      </c>
      <c r="H4" s="1455" t="str">
        <f>INDEX(Vectors[Descripción], MATCH(H$5,Vectors[Código],FALSE))</f>
        <v>Iluminación</v>
      </c>
      <c r="I4" s="1455" t="str">
        <f>INDEX(Vectors[Descripción], MATCH(I$5,Vectors[Código],FALSE))</f>
        <v>Refrigeración</v>
      </c>
      <c r="J4" s="1455" t="str">
        <f>INDEX(Vectors[Descripción], MATCH(J$5,Vectors[Código],FALSE))</f>
        <v>ACS</v>
      </c>
      <c r="K4" s="1455" t="str">
        <f>INDEX(Vectors[Descripción], MATCH(K$5,Vectors[Código],FALSE))</f>
        <v>Cocción</v>
      </c>
      <c r="L4" s="1455" t="str">
        <f>INDEX(Vectors[Descripción], MATCH(L$5,Vectors[Código],FALSE))</f>
        <v>Otros Electrodomésticos</v>
      </c>
      <c r="M4" s="1455" t="str">
        <f>INDEX(Vectors[Descripción], MATCH(M$5,Vectors[Código],FALSE))</f>
        <v>Industria y minería</v>
      </c>
      <c r="N4" s="1455" t="str">
        <f>INDEX(Vectors[Descripción], MATCH(N$5,Vectors[Código],FALSE))</f>
        <v>Transporte pasajeros caminero Urbano</v>
      </c>
      <c r="O4" s="1455" t="str">
        <f>INDEX(Vectors[Descripción], MATCH(O$5,Vectors[Código],FALSE))</f>
        <v>Transporte pasajeros caminero Interurbano</v>
      </c>
      <c r="P4" s="1455" t="str">
        <f>INDEX(Vectors[Descripción], MATCH(P$5,Vectors[Código],FALSE))</f>
        <v>Transporte pasajeros ferroviario Urbano</v>
      </c>
      <c r="Q4" s="1455" t="str">
        <f>INDEX(Vectors[Descripción], MATCH(Q$5,Vectors[Código],FALSE))</f>
        <v>Transporte pasajeros ferroviario Interurbano</v>
      </c>
      <c r="R4" s="1455" t="str">
        <f>INDEX(Vectors[Descripción], MATCH(R$5,Vectors[Código],FALSE))</f>
        <v>Transporte pasajeros Aéreo Interurbano</v>
      </c>
      <c r="S4" s="1455" t="str">
        <f>INDEX(Vectors[Descripción], MATCH(S$5,Vectors[Código],FALSE))</f>
        <v>Transporte de carga caminero Urbano</v>
      </c>
      <c r="T4" s="1455" t="str">
        <f>INDEX(Vectors[Descripción], MATCH(T$5,Vectors[Código],FALSE))</f>
        <v>Transporte de carga caminero Interurbano</v>
      </c>
      <c r="U4" s="1455" t="str">
        <f>INDEX(Vectors[Descripción], MATCH(U$5,Vectors[Código],FALSE))</f>
        <v>Transporte de carga ferroviario</v>
      </c>
      <c r="V4" s="1455" t="str">
        <f>INDEX(Vectors[Descripción], MATCH(V$5,Vectors[Código],FALSE))</f>
        <v>Transporte de carga maritimo</v>
      </c>
      <c r="W4" s="3169" t="s">
        <v>2218</v>
      </c>
      <c r="Y4" s="1456" t="str">
        <f>INDEX(Vectors[Descripción], MATCH(Y$5,Vectors[Código],FALSE))</f>
        <v>Electricidad (consumo final)</v>
      </c>
      <c r="Z4" s="1456" t="str">
        <f>INDEX(Vectors[Descripción], MATCH(Z5,Vectors[Código],FALSE))</f>
        <v>Electricidad (suministrada a la red)</v>
      </c>
      <c r="AA4" s="1456" t="str">
        <f>INDEX(Vectors[Descripción], MATCH(AA5,Vectors[Código],FALSE))</f>
        <v>Hidrocarburo Sólido</v>
      </c>
      <c r="AB4" s="1456" t="str">
        <f>INDEX(Vectors[Descripción], MATCH(AB5,Vectors[Código],FALSE))</f>
        <v>Hidrocarburo Líquido</v>
      </c>
      <c r="AC4" s="1456" t="str">
        <f>INDEX(Vectors[Descripción], MATCH(AC5,Vectors[Código],FALSE))</f>
        <v>Hidrocarburo Gaseoso</v>
      </c>
      <c r="AD4" s="1456" t="str">
        <f>INDEX(Vectors[Descripción], MATCH(AD5,Vectors[Código],FALSE))</f>
        <v>Carbón y  residuos fósiles</v>
      </c>
      <c r="AE4" s="1456" t="str">
        <f>INDEX(Vectors[Descripción], MATCH(AE5,Vectors[Código],FALSE))</f>
        <v>Derivados del petróleo</v>
      </c>
      <c r="AF4" s="1456" t="str">
        <f>INDEX(Vectors[Descripción], MATCH(AF5,Vectors[Código],FALSE))</f>
        <v>Gas Natural</v>
      </c>
      <c r="AG4" s="1456" t="str">
        <f>INDEX(Vectors[Descripción], MATCH(AG5,Vectors[Código],FALSE))</f>
        <v>Blast furnace gas</v>
      </c>
      <c r="AH4" s="1456" t="str">
        <f>INDEX(Vectors[Descripción], MATCH(AH5,Vectors[Código],FALSE))</f>
        <v>Heat transport</v>
      </c>
      <c r="AI4" s="1456" t="str">
        <f>INDEX(Vectors[Descripción], MATCH(AI5,Vectors[Código],FALSE))</f>
        <v>Biomasa comestible</v>
      </c>
      <c r="AJ4" s="1456" t="str">
        <f>INDEX(Vectors[Descripción], MATCH(AJ5,Vectors[Código],FALSE))</f>
        <v>Cultivos para Energía (segunda generación)</v>
      </c>
      <c r="AK4" s="1456" t="str">
        <f>INDEX(Vectors[Descripción], MATCH(AK5,Vectors[Código],FALSE))</f>
        <v>Cultivos para Energía (primera generación)</v>
      </c>
      <c r="AL4" s="1456" t="str">
        <f>INDEX(Vectors[Descripción], MATCH(AL5,Vectors[Código],FALSE))</f>
        <v>Biomasa</v>
      </c>
      <c r="AM4" s="1456" t="str">
        <f>INDEX(Vectors[Descripción], MATCH(AM5,Vectors[Código],FALSE))</f>
        <v>Biomasa seca y residuos</v>
      </c>
      <c r="AN4" s="1456" t="str">
        <f>INDEX(Vectors[Descripción], MATCH(AN5,Vectors[Código],FALSE))</f>
        <v>Residuos gaseosos</v>
      </c>
      <c r="AO4" s="1456" t="str">
        <f>INDEX(Vectors[Descripción], MATCH(AO5,Vectors[Código],FALSE))</f>
        <v>Solar para uso térmico domestico</v>
      </c>
      <c r="AP4" s="1456" t="str">
        <f>INDEX(Vectors[Descripción], MATCH(AP5,Vectors[Código],FALSE))</f>
        <v>H2</v>
      </c>
      <c r="AQ4" s="3170" t="s">
        <v>976</v>
      </c>
      <c r="AS4" s="1457" t="str">
        <f>INDEX(Vectors[Descripción], MATCH(AS5,Vectors[Código],FALSE))</f>
        <v>Reservas de Carbón</v>
      </c>
      <c r="AT4" s="1457" t="str">
        <f>INDEX(Vectors[Descripción], MATCH(AT5,Vectors[Código],FALSE))</f>
        <v>Reservas de Petroleo</v>
      </c>
      <c r="AU4" s="1457" t="str">
        <f>INDEX(Vectors[Descripción], MATCH(AU5,Vectors[Código],FALSE))</f>
        <v>Reservas de Gas</v>
      </c>
      <c r="AV4" s="1457" t="str">
        <f>INDEX(Vectors[Descripción], MATCH(AV5,Vectors[Código],FALSE))</f>
        <v>Biomasa sobreoferta  (importada)</v>
      </c>
      <c r="AW4" s="1457" t="str">
        <f>INDEX(Vectors[Descripción], MATCH(AW5,Vectors[Código],FALSE))</f>
        <v>Electricidad sobreoferta  (importada)</v>
      </c>
      <c r="AX4" s="1457" t="str">
        <f>INDEX(Vectors[Descripción], MATCH(AX5,Vectors[Código],FALSE))</f>
        <v xml:space="preserve">Dervidados del Petroleo sobreoferta </v>
      </c>
      <c r="AY4" s="1457" t="str">
        <f>INDEX(Vectors[Descripción], MATCH(AY5,Vectors[Código],FALSE))</f>
        <v>Carbón sobreoferta  (importada)</v>
      </c>
      <c r="AZ4" s="1457" t="str">
        <f>INDEX(Vectors[Descripción], MATCH(AZ5,Vectors[Código],FALSE))</f>
        <v>Carbón sobreoferta  (importada)</v>
      </c>
      <c r="BA4" s="1457">
        <f>INDEX(Vectors[Descripción], MATCH(BA5,Vectors[Código],FALSE))</f>
        <v>0</v>
      </c>
      <c r="BB4" s="1457" t="str">
        <f>INDEX(Vectors[Descripción], MATCH(BB5,Vectors[Código],FALSE))</f>
        <v>Fisión nuclear</v>
      </c>
      <c r="BC4" s="1457" t="str">
        <f>INDEX(Vectors[Descripción], MATCH(BC5,Vectors[Código],FALSE))</f>
        <v>Solar</v>
      </c>
      <c r="BD4" s="1457" t="str">
        <f>INDEX(Vectors[Descripción], MATCH(BD5,Vectors[Código],FALSE))</f>
        <v>Viento</v>
      </c>
      <c r="BE4" s="1457" t="str">
        <f>INDEX(Vectors[Descripción], MATCH(BE5,Vectors[Código],FALSE))</f>
        <v>Mareomotriz</v>
      </c>
      <c r="BF4" s="1457" t="str">
        <f>INDEX(Vectors[Descripción], MATCH(BF5,Vectors[Código],FALSE))</f>
        <v>Undimotriz</v>
      </c>
      <c r="BG4" s="1457" t="str">
        <f>INDEX(Vectors[Descripción], MATCH(BG5,Vectors[Código],FALSE))</f>
        <v>Geotermia</v>
      </c>
      <c r="BH4" s="1457" t="str">
        <f>INDEX(Vectors[Descripción], MATCH(BH5,Vectors[Código],FALSE))</f>
        <v>Hidro</v>
      </c>
      <c r="BI4" s="1457" t="str">
        <f>INDEX(Vectors[Descripción], MATCH(BI5,Vectors[Código],FALSE))</f>
        <v>Almacenamiento</v>
      </c>
      <c r="BJ4" s="1457" t="str">
        <f>INDEX(Vectors[Descripción], MATCH(BJ5,Vectors[Código],FALSE))</f>
        <v>Agropecuario</v>
      </c>
      <c r="BK4" s="1457" t="str">
        <f>INDEX(Vectors[Descripción], MATCH(BK5,Vectors[Código],FALSE))</f>
        <v>Residuos</v>
      </c>
      <c r="BL4" s="3171" t="s">
        <v>977</v>
      </c>
      <c r="BN4" s="1458" t="str">
        <f>INDEX(Vectors[Descripción], MATCH(BN5,Vectors[Código],FALSE))</f>
        <v>Perdidas por conversión</v>
      </c>
      <c r="BO4" s="1458" t="str">
        <f>INDEX(Vectors[Descripción], MATCH(BO5,Vectors[Código],FALSE))</f>
        <v>Perdidas por distribución y uso propio</v>
      </c>
      <c r="BP4" s="3172" t="s">
        <v>978</v>
      </c>
      <c r="BR4" s="1459"/>
      <c r="BS4" s="1459"/>
      <c r="BU4" s="1460" t="s">
        <v>720</v>
      </c>
      <c r="BV4" s="1461"/>
      <c r="BW4" s="1461"/>
      <c r="BX4" s="1462"/>
      <c r="BY4" s="1460" t="s">
        <v>722</v>
      </c>
      <c r="BZ4" s="1461"/>
      <c r="CA4" s="1461"/>
      <c r="CB4" s="1462"/>
      <c r="CC4" s="1460" t="s">
        <v>723</v>
      </c>
      <c r="CD4" s="1461"/>
      <c r="CE4" s="1461"/>
      <c r="CF4" s="1462"/>
      <c r="CG4" s="1460" t="s">
        <v>724</v>
      </c>
      <c r="CH4" s="1461"/>
      <c r="CI4" s="1461"/>
      <c r="CJ4" s="1462"/>
      <c r="CK4" s="1460" t="s">
        <v>544</v>
      </c>
      <c r="CL4" s="1461"/>
      <c r="CM4" s="1461"/>
      <c r="CN4" s="1462"/>
      <c r="CO4" s="1460" t="s">
        <v>725</v>
      </c>
      <c r="CP4" s="1461"/>
      <c r="CQ4" s="1461"/>
      <c r="CR4" s="1462"/>
      <c r="CS4" s="1460" t="s">
        <v>545</v>
      </c>
      <c r="CT4" s="1461"/>
      <c r="CU4" s="1461"/>
      <c r="CV4" s="1462"/>
      <c r="CW4" s="1460" t="s">
        <v>726</v>
      </c>
      <c r="CX4" s="1461"/>
      <c r="CY4" s="1461"/>
      <c r="CZ4" s="1462"/>
      <c r="DA4" s="1460" t="s">
        <v>728</v>
      </c>
      <c r="DB4" s="1461"/>
      <c r="DC4" s="1461"/>
      <c r="DD4" s="1462"/>
      <c r="DE4" s="1460" t="s">
        <v>730</v>
      </c>
      <c r="DF4" s="1461"/>
      <c r="DG4" s="1461"/>
      <c r="DH4" s="1462"/>
      <c r="DI4" s="1460" t="s">
        <v>732</v>
      </c>
      <c r="DJ4" s="1461"/>
      <c r="DK4" s="1461"/>
      <c r="DL4" s="1462"/>
      <c r="DN4" s="1463" t="s">
        <v>118</v>
      </c>
    </row>
    <row r="5" spans="1:118" x14ac:dyDescent="0.2">
      <c r="D5" s="1464" t="s">
        <v>40</v>
      </c>
      <c r="G5" s="1465" t="s">
        <v>454</v>
      </c>
      <c r="H5" s="1465" t="s">
        <v>1007</v>
      </c>
      <c r="I5" s="1465" t="s">
        <v>1008</v>
      </c>
      <c r="J5" s="1465" t="s">
        <v>1009</v>
      </c>
      <c r="K5" s="1465" t="s">
        <v>1010</v>
      </c>
      <c r="L5" s="1465" t="s">
        <v>1011</v>
      </c>
      <c r="M5" s="1465" t="s">
        <v>453</v>
      </c>
      <c r="N5" s="1465" t="s">
        <v>447</v>
      </c>
      <c r="O5" s="1465" t="s">
        <v>448</v>
      </c>
      <c r="P5" s="1465" t="s">
        <v>449</v>
      </c>
      <c r="Q5" s="1465" t="s">
        <v>450</v>
      </c>
      <c r="R5" s="1465" t="s">
        <v>451</v>
      </c>
      <c r="S5" s="1465" t="s">
        <v>452</v>
      </c>
      <c r="T5" s="1465" t="s">
        <v>984</v>
      </c>
      <c r="U5" s="1465" t="s">
        <v>985</v>
      </c>
      <c r="V5" s="1465" t="s">
        <v>986</v>
      </c>
      <c r="W5" s="1465"/>
      <c r="Y5" s="1466" t="s">
        <v>149</v>
      </c>
      <c r="Z5" s="1466" t="s">
        <v>150</v>
      </c>
      <c r="AA5" s="1466" t="s">
        <v>330</v>
      </c>
      <c r="AB5" s="1466" t="s">
        <v>333</v>
      </c>
      <c r="AC5" s="1466" t="s">
        <v>335</v>
      </c>
      <c r="AD5" s="1466" t="s">
        <v>467</v>
      </c>
      <c r="AE5" s="1466" t="s">
        <v>468</v>
      </c>
      <c r="AF5" s="1466" t="s">
        <v>469</v>
      </c>
      <c r="AG5" s="1466" t="s">
        <v>470</v>
      </c>
      <c r="AH5" s="1466" t="s">
        <v>471</v>
      </c>
      <c r="AI5" s="1466" t="s">
        <v>472</v>
      </c>
      <c r="AJ5" s="1466" t="s">
        <v>709</v>
      </c>
      <c r="AK5" s="1466" t="s">
        <v>804</v>
      </c>
      <c r="AL5" s="1466" t="s">
        <v>473</v>
      </c>
      <c r="AM5" s="1466" t="s">
        <v>474</v>
      </c>
      <c r="AN5" s="1466" t="s">
        <v>805</v>
      </c>
      <c r="AO5" s="1466" t="s">
        <v>475</v>
      </c>
      <c r="AP5" s="1466" t="s">
        <v>630</v>
      </c>
      <c r="AQ5" s="1466"/>
      <c r="AS5" s="1467" t="s">
        <v>464</v>
      </c>
      <c r="AT5" s="1467" t="s">
        <v>465</v>
      </c>
      <c r="AU5" s="1467" t="s">
        <v>466</v>
      </c>
      <c r="AV5" s="1467" t="s">
        <v>458</v>
      </c>
      <c r="AW5" s="1467" t="s">
        <v>459</v>
      </c>
      <c r="AX5" s="1467" t="s">
        <v>460</v>
      </c>
      <c r="AY5" s="1467" t="s">
        <v>461</v>
      </c>
      <c r="AZ5" s="1467" t="s">
        <v>462</v>
      </c>
      <c r="BA5" s="1467" t="s">
        <v>463</v>
      </c>
      <c r="BB5" s="1467" t="s">
        <v>157</v>
      </c>
      <c r="BC5" s="1467" t="s">
        <v>315</v>
      </c>
      <c r="BD5" s="1467" t="s">
        <v>218</v>
      </c>
      <c r="BE5" s="1467" t="s">
        <v>285</v>
      </c>
      <c r="BF5" s="1467" t="s">
        <v>286</v>
      </c>
      <c r="BG5" s="1467" t="s">
        <v>302</v>
      </c>
      <c r="BH5" s="1467" t="s">
        <v>249</v>
      </c>
      <c r="BI5" s="1467" t="s">
        <v>455</v>
      </c>
      <c r="BJ5" s="1467" t="s">
        <v>456</v>
      </c>
      <c r="BK5" s="1467" t="s">
        <v>457</v>
      </c>
      <c r="BL5" s="1467"/>
      <c r="BN5" s="1468" t="s">
        <v>184</v>
      </c>
      <c r="BO5" s="1468" t="s">
        <v>185</v>
      </c>
      <c r="BP5" s="1468"/>
      <c r="BR5" s="3173" t="s">
        <v>1017</v>
      </c>
      <c r="BS5" s="1469"/>
      <c r="BU5" s="1470" t="s">
        <v>399</v>
      </c>
      <c r="BV5" s="1471" t="s">
        <v>399</v>
      </c>
      <c r="BW5" s="1471" t="s">
        <v>399</v>
      </c>
      <c r="BX5" s="1472" t="s">
        <v>399</v>
      </c>
      <c r="BY5" s="1470" t="s">
        <v>721</v>
      </c>
      <c r="BZ5" s="1471" t="s">
        <v>721</v>
      </c>
      <c r="CA5" s="1471" t="s">
        <v>721</v>
      </c>
      <c r="CB5" s="1472" t="s">
        <v>721</v>
      </c>
      <c r="CC5" s="1470">
        <v>2</v>
      </c>
      <c r="CD5" s="1471">
        <v>2</v>
      </c>
      <c r="CE5" s="1471">
        <v>2</v>
      </c>
      <c r="CF5" s="1472">
        <v>2</v>
      </c>
      <c r="CG5" s="1470">
        <v>3</v>
      </c>
      <c r="CH5" s="1471">
        <v>3</v>
      </c>
      <c r="CI5" s="1471">
        <v>3</v>
      </c>
      <c r="CJ5" s="1472">
        <v>3</v>
      </c>
      <c r="CK5" s="1470">
        <v>4</v>
      </c>
      <c r="CL5" s="1471">
        <v>4</v>
      </c>
      <c r="CM5" s="1471">
        <v>4</v>
      </c>
      <c r="CN5" s="1472">
        <v>4</v>
      </c>
      <c r="CO5" s="1470">
        <v>5</v>
      </c>
      <c r="CP5" s="1471">
        <v>5</v>
      </c>
      <c r="CQ5" s="1471">
        <v>5</v>
      </c>
      <c r="CR5" s="1472">
        <v>5</v>
      </c>
      <c r="CS5" s="1470">
        <v>6</v>
      </c>
      <c r="CT5" s="1471">
        <v>6</v>
      </c>
      <c r="CU5" s="1471">
        <v>6</v>
      </c>
      <c r="CV5" s="1472">
        <v>6</v>
      </c>
      <c r="CW5" s="1470">
        <v>7</v>
      </c>
      <c r="CX5" s="1471">
        <v>7</v>
      </c>
      <c r="CY5" s="1471">
        <v>7</v>
      </c>
      <c r="CZ5" s="1472">
        <v>7</v>
      </c>
      <c r="DA5" s="1470" t="s">
        <v>727</v>
      </c>
      <c r="DB5" s="1471" t="s">
        <v>727</v>
      </c>
      <c r="DC5" s="1471" t="s">
        <v>727</v>
      </c>
      <c r="DD5" s="1472" t="s">
        <v>727</v>
      </c>
      <c r="DE5" s="1470" t="s">
        <v>729</v>
      </c>
      <c r="DF5" s="1471" t="s">
        <v>729</v>
      </c>
      <c r="DG5" s="1471" t="s">
        <v>729</v>
      </c>
      <c r="DH5" s="1472" t="s">
        <v>729</v>
      </c>
      <c r="DI5" s="1470" t="s">
        <v>731</v>
      </c>
      <c r="DJ5" s="1471" t="s">
        <v>731</v>
      </c>
      <c r="DK5" s="1471" t="s">
        <v>731</v>
      </c>
      <c r="DL5" s="1472" t="s">
        <v>731</v>
      </c>
    </row>
    <row r="6" spans="1:118" ht="15.75" customHeight="1" x14ac:dyDescent="0.2">
      <c r="G6" s="1473"/>
      <c r="H6" s="1473"/>
      <c r="I6" s="1473"/>
      <c r="J6" s="1473"/>
      <c r="K6" s="1473"/>
      <c r="L6" s="1473"/>
      <c r="M6" s="1473"/>
      <c r="N6" s="1473"/>
      <c r="O6" s="1474"/>
      <c r="P6" s="1473"/>
      <c r="Q6" s="1473"/>
      <c r="R6" s="1473"/>
      <c r="S6" s="1473"/>
      <c r="T6" s="1473"/>
      <c r="U6" s="1473"/>
      <c r="V6" s="1473"/>
      <c r="W6" s="1473"/>
      <c r="Y6" s="1475"/>
      <c r="Z6" s="1475"/>
      <c r="AA6" s="1475"/>
      <c r="AB6" s="1475"/>
      <c r="AC6" s="1475"/>
      <c r="AD6" s="1475"/>
      <c r="AE6" s="1475"/>
      <c r="AF6" s="1475"/>
      <c r="AG6" s="1475"/>
      <c r="AH6" s="1475"/>
      <c r="AI6" s="1475"/>
      <c r="AJ6" s="1475"/>
      <c r="AK6" s="1475"/>
      <c r="AL6" s="1475"/>
      <c r="AM6" s="1475"/>
      <c r="AN6" s="1475"/>
      <c r="AO6" s="1475"/>
      <c r="AP6" s="1475"/>
      <c r="AQ6" s="1475"/>
      <c r="AS6" s="1476"/>
      <c r="AT6" s="1476"/>
      <c r="AU6" s="1476"/>
      <c r="AV6" s="1476"/>
      <c r="AW6" s="1476"/>
      <c r="AX6" s="1476"/>
      <c r="AY6" s="1476"/>
      <c r="AZ6" s="1476"/>
      <c r="BA6" s="1476"/>
      <c r="BB6" s="1476"/>
      <c r="BC6" s="1476"/>
      <c r="BD6" s="1476"/>
      <c r="BE6" s="1476"/>
      <c r="BF6" s="1476"/>
      <c r="BG6" s="1476"/>
      <c r="BH6" s="1476"/>
      <c r="BI6" s="1476"/>
      <c r="BJ6" s="1476"/>
      <c r="BK6" s="1476"/>
      <c r="BL6" s="1476"/>
      <c r="BN6" s="1477"/>
      <c r="BO6" s="1477"/>
      <c r="BP6" s="1477"/>
      <c r="BR6" s="1956"/>
      <c r="BS6" s="1478"/>
      <c r="BU6" s="1479" t="s">
        <v>398</v>
      </c>
      <c r="BV6" s="1479" t="s">
        <v>400</v>
      </c>
      <c r="BW6" s="1479" t="s">
        <v>401</v>
      </c>
      <c r="BX6" s="1479" t="s">
        <v>806</v>
      </c>
      <c r="BY6" s="1479" t="s">
        <v>398</v>
      </c>
      <c r="BZ6" s="1479" t="s">
        <v>400</v>
      </c>
      <c r="CA6" s="1479" t="s">
        <v>401</v>
      </c>
      <c r="CB6" s="1479" t="s">
        <v>806</v>
      </c>
      <c r="CC6" s="1479" t="s">
        <v>398</v>
      </c>
      <c r="CD6" s="1479" t="s">
        <v>400</v>
      </c>
      <c r="CE6" s="1479" t="s">
        <v>401</v>
      </c>
      <c r="CF6" s="1479" t="s">
        <v>806</v>
      </c>
      <c r="CG6" s="1479" t="s">
        <v>398</v>
      </c>
      <c r="CH6" s="1479" t="s">
        <v>400</v>
      </c>
      <c r="CI6" s="1479" t="s">
        <v>401</v>
      </c>
      <c r="CJ6" s="1479" t="s">
        <v>806</v>
      </c>
      <c r="CK6" s="1479" t="s">
        <v>398</v>
      </c>
      <c r="CL6" s="1479" t="s">
        <v>400</v>
      </c>
      <c r="CM6" s="1479" t="s">
        <v>401</v>
      </c>
      <c r="CN6" s="1479" t="s">
        <v>806</v>
      </c>
      <c r="CO6" s="1479" t="s">
        <v>398</v>
      </c>
      <c r="CP6" s="1479" t="s">
        <v>400</v>
      </c>
      <c r="CQ6" s="1479" t="s">
        <v>401</v>
      </c>
      <c r="CR6" s="1479" t="s">
        <v>806</v>
      </c>
      <c r="CS6" s="1479" t="s">
        <v>398</v>
      </c>
      <c r="CT6" s="1479" t="s">
        <v>400</v>
      </c>
      <c r="CU6" s="1479" t="s">
        <v>401</v>
      </c>
      <c r="CV6" s="1479" t="s">
        <v>806</v>
      </c>
      <c r="CW6" s="1479" t="s">
        <v>398</v>
      </c>
      <c r="CX6" s="1479" t="s">
        <v>400</v>
      </c>
      <c r="CY6" s="1479" t="s">
        <v>401</v>
      </c>
      <c r="CZ6" s="1479" t="s">
        <v>806</v>
      </c>
      <c r="DA6" s="1479" t="s">
        <v>398</v>
      </c>
      <c r="DB6" s="1479" t="s">
        <v>400</v>
      </c>
      <c r="DC6" s="1479" t="s">
        <v>401</v>
      </c>
      <c r="DD6" s="1479" t="s">
        <v>806</v>
      </c>
      <c r="DE6" s="1479" t="s">
        <v>398</v>
      </c>
      <c r="DF6" s="1479" t="s">
        <v>400</v>
      </c>
      <c r="DG6" s="1479" t="s">
        <v>401</v>
      </c>
      <c r="DH6" s="1479" t="s">
        <v>806</v>
      </c>
      <c r="DI6" s="1479" t="s">
        <v>398</v>
      </c>
      <c r="DJ6" s="1479" t="s">
        <v>400</v>
      </c>
      <c r="DK6" s="1479" t="s">
        <v>401</v>
      </c>
      <c r="DL6" s="1479" t="s">
        <v>806</v>
      </c>
    </row>
    <row r="7" spans="1:118" ht="18" customHeight="1" x14ac:dyDescent="0.2">
      <c r="C7" s="1480" t="s">
        <v>405</v>
      </c>
      <c r="D7" s="1480"/>
      <c r="E7" s="1481"/>
      <c r="G7" s="1482"/>
      <c r="H7" s="1482"/>
      <c r="I7" s="1482"/>
      <c r="J7" s="1482"/>
      <c r="K7" s="1482"/>
      <c r="L7" s="1482"/>
      <c r="M7" s="1482"/>
      <c r="N7" s="1482"/>
      <c r="O7" s="1482"/>
      <c r="P7" s="1482"/>
      <c r="Q7" s="1482"/>
      <c r="R7" s="1482"/>
      <c r="S7" s="1482"/>
      <c r="T7" s="1482"/>
      <c r="U7" s="1482"/>
      <c r="V7" s="1482"/>
      <c r="W7" s="1482"/>
      <c r="Y7" s="1483"/>
      <c r="Z7" s="1483"/>
      <c r="AA7" s="1483"/>
      <c r="AB7" s="1483"/>
      <c r="AC7" s="1483"/>
      <c r="AD7" s="1483"/>
      <c r="AE7" s="1483"/>
      <c r="AF7" s="1483"/>
      <c r="AG7" s="1483"/>
      <c r="AH7" s="1483"/>
      <c r="AI7" s="1483"/>
      <c r="AJ7" s="1483"/>
      <c r="AK7" s="1483"/>
      <c r="AL7" s="1483"/>
      <c r="AM7" s="1483"/>
      <c r="AN7" s="1483"/>
      <c r="AO7" s="1483"/>
      <c r="AP7" s="1483"/>
      <c r="AQ7" s="1483"/>
      <c r="AS7" s="1484"/>
      <c r="AT7" s="1484"/>
      <c r="AU7" s="1484"/>
      <c r="AV7" s="1484"/>
      <c r="AW7" s="1484"/>
      <c r="AX7" s="1484"/>
      <c r="AY7" s="1484"/>
      <c r="AZ7" s="1484"/>
      <c r="BA7" s="1484"/>
      <c r="BB7" s="1484"/>
      <c r="BC7" s="1484"/>
      <c r="BD7" s="1484"/>
      <c r="BE7" s="1484"/>
      <c r="BF7" s="1484"/>
      <c r="BG7" s="1484"/>
      <c r="BH7" s="1484"/>
      <c r="BI7" s="1484"/>
      <c r="BJ7" s="1484"/>
      <c r="BK7" s="1484"/>
      <c r="BL7" s="1484"/>
      <c r="BN7" s="1485"/>
      <c r="BO7" s="1485"/>
      <c r="BP7" s="1485"/>
      <c r="BR7" s="3168">
        <f t="shared" ref="BR7:BR14" si="0">W7+AQ7+BL7+BP7</f>
        <v>0</v>
      </c>
      <c r="BS7" s="1486"/>
      <c r="BU7" s="1487"/>
      <c r="BV7" s="1487"/>
      <c r="BW7" s="1487"/>
      <c r="BX7" s="1487"/>
      <c r="BY7" s="1487"/>
      <c r="BZ7" s="1487"/>
      <c r="CA7" s="1487"/>
      <c r="CB7" s="1487"/>
      <c r="CC7" s="1487"/>
      <c r="CD7" s="1487"/>
      <c r="CE7" s="1487"/>
      <c r="CF7" s="1487"/>
      <c r="CG7" s="1487"/>
      <c r="CH7" s="1487"/>
      <c r="CI7" s="1487"/>
      <c r="CJ7" s="1487"/>
      <c r="CK7" s="1487"/>
      <c r="CL7" s="1487"/>
      <c r="CM7" s="1487"/>
      <c r="CN7" s="1487"/>
      <c r="CO7" s="1487"/>
      <c r="CP7" s="1487"/>
      <c r="CQ7" s="1487"/>
      <c r="CR7" s="1487"/>
      <c r="CS7" s="1487"/>
      <c r="CT7" s="1487"/>
      <c r="CU7" s="1487"/>
      <c r="CV7" s="1487"/>
      <c r="CW7" s="1487"/>
      <c r="CX7" s="1487"/>
      <c r="CY7" s="1487"/>
      <c r="CZ7" s="1487"/>
      <c r="DA7" s="1487"/>
      <c r="DB7" s="1487"/>
      <c r="DC7" s="1487"/>
      <c r="DD7" s="1487"/>
      <c r="DE7" s="1487"/>
      <c r="DF7" s="1487"/>
      <c r="DG7" s="1487"/>
      <c r="DH7" s="1487"/>
      <c r="DI7" s="1487"/>
      <c r="DJ7" s="1487"/>
      <c r="DK7" s="1487"/>
      <c r="DL7" s="1487"/>
    </row>
    <row r="8" spans="1:118" ht="12.75" customHeight="1" outlineLevel="1" x14ac:dyDescent="0.2">
      <c r="G8" s="1488"/>
      <c r="H8" s="1488"/>
      <c r="I8" s="1488"/>
      <c r="J8" s="1488"/>
      <c r="K8" s="1488"/>
      <c r="L8" s="1488"/>
      <c r="M8" s="1488"/>
      <c r="N8" s="1488"/>
      <c r="O8" s="1489"/>
      <c r="P8" s="1488"/>
      <c r="Q8" s="1488"/>
      <c r="R8" s="1488"/>
      <c r="S8" s="1488"/>
      <c r="T8" s="1488"/>
      <c r="U8" s="1488"/>
      <c r="V8" s="1488"/>
      <c r="W8" s="1488"/>
      <c r="Y8" s="1490"/>
      <c r="Z8" s="1490"/>
      <c r="AA8" s="1490"/>
      <c r="AB8" s="1490"/>
      <c r="AC8" s="1490"/>
      <c r="AD8" s="1490"/>
      <c r="AE8" s="1490"/>
      <c r="AF8" s="1490"/>
      <c r="AG8" s="1490"/>
      <c r="AH8" s="1490"/>
      <c r="AI8" s="1490"/>
      <c r="AJ8" s="1490"/>
      <c r="AK8" s="1490"/>
      <c r="AL8" s="1490"/>
      <c r="AM8" s="1490"/>
      <c r="AN8" s="1490"/>
      <c r="AO8" s="1490"/>
      <c r="AP8" s="1490"/>
      <c r="AQ8" s="1490"/>
      <c r="AS8" s="1491"/>
      <c r="AT8" s="1491"/>
      <c r="AU8" s="1491"/>
      <c r="AV8" s="1491"/>
      <c r="AW8" s="1491"/>
      <c r="AX8" s="1491"/>
      <c r="AY8" s="1491"/>
      <c r="AZ8" s="1491"/>
      <c r="BA8" s="1491"/>
      <c r="BB8" s="1491"/>
      <c r="BC8" s="1491"/>
      <c r="BD8" s="1491"/>
      <c r="BE8" s="1491"/>
      <c r="BF8" s="1491"/>
      <c r="BG8" s="1491"/>
      <c r="BH8" s="1491"/>
      <c r="BI8" s="1491"/>
      <c r="BJ8" s="1491"/>
      <c r="BK8" s="1491"/>
      <c r="BL8" s="1491"/>
      <c r="BN8" s="1492"/>
      <c r="BO8" s="1492"/>
      <c r="BP8" s="1492"/>
      <c r="BR8" s="3168">
        <f t="shared" si="0"/>
        <v>0</v>
      </c>
      <c r="BS8" s="1493"/>
      <c r="BU8" s="1494"/>
      <c r="BV8" s="1494"/>
      <c r="BW8" s="1494"/>
      <c r="BX8" s="1494"/>
      <c r="BY8" s="1494"/>
      <c r="BZ8" s="1494"/>
      <c r="CA8" s="1494"/>
      <c r="CB8" s="1494"/>
      <c r="CC8" s="1494"/>
      <c r="CD8" s="1494"/>
      <c r="CE8" s="1494"/>
      <c r="CF8" s="1494"/>
      <c r="CG8" s="1494"/>
      <c r="CH8" s="1494"/>
      <c r="CI8" s="1494"/>
      <c r="CJ8" s="1494"/>
      <c r="CK8" s="1494"/>
      <c r="CL8" s="1494"/>
      <c r="CM8" s="1494"/>
      <c r="CN8" s="1494"/>
      <c r="CO8" s="1494"/>
      <c r="CP8" s="1494"/>
      <c r="CQ8" s="1494"/>
      <c r="CR8" s="1494"/>
      <c r="CS8" s="1494"/>
      <c r="CT8" s="1494"/>
      <c r="CU8" s="1494"/>
      <c r="CV8" s="1494"/>
      <c r="CW8" s="1494"/>
      <c r="CX8" s="1494"/>
      <c r="CY8" s="1494"/>
      <c r="CZ8" s="1494"/>
      <c r="DA8" s="1494"/>
      <c r="DB8" s="1494"/>
      <c r="DC8" s="1494"/>
      <c r="DD8" s="1494"/>
      <c r="DE8" s="1494"/>
      <c r="DF8" s="1494"/>
      <c r="DG8" s="1494"/>
      <c r="DH8" s="1494"/>
      <c r="DI8" s="1494"/>
      <c r="DJ8" s="1494"/>
      <c r="DK8" s="1494"/>
      <c r="DL8" s="1494"/>
    </row>
    <row r="9" spans="1:118" s="14" customFormat="1" ht="10.5" customHeight="1" outlineLevel="2" x14ac:dyDescent="0.2">
      <c r="A9" s="1495"/>
      <c r="B9" s="1495"/>
      <c r="C9" s="1511" t="s">
        <v>86</v>
      </c>
      <c r="D9" s="14" t="str">
        <f>INDEX(Modulos[Modulos], MATCH($C9, Modulos[Código], 0))</f>
        <v>Residencial</v>
      </c>
      <c r="G9" s="1540">
        <f ca="1">IFERROR(INDEX(INDIRECT($C9&amp;".Outputs["&amp;this.Year&amp;"]"), MATCH(G$5, INDIRECT($C9&amp;".Outputs[Vector]"), 0)), 0)</f>
        <v>55.640213654273758</v>
      </c>
      <c r="H9" s="1540">
        <f t="shared" ref="H9:V9" ca="1" si="1">IFERROR(INDEX(INDIRECT($C9&amp;".Outputs["&amp;this.Year&amp;"]"), MATCH(H$5, INDIRECT($C9&amp;".Outputs[Vector]"), 0)), 0)</f>
        <v>2.7671864694843085</v>
      </c>
      <c r="I9" s="1540">
        <f t="shared" ca="1" si="1"/>
        <v>4.9414044097934084</v>
      </c>
      <c r="J9" s="1540">
        <f t="shared" ca="1" si="1"/>
        <v>17.393743522472803</v>
      </c>
      <c r="K9" s="1540">
        <f t="shared" ca="1" si="1"/>
        <v>7.5109347028859803</v>
      </c>
      <c r="L9" s="1540">
        <f t="shared" ca="1" si="1"/>
        <v>10.574605436957896</v>
      </c>
      <c r="M9" s="1540">
        <f t="shared" ca="1" si="1"/>
        <v>0</v>
      </c>
      <c r="N9" s="1540">
        <f t="shared" ca="1" si="1"/>
        <v>0</v>
      </c>
      <c r="O9" s="1540">
        <f t="shared" ca="1" si="1"/>
        <v>0</v>
      </c>
      <c r="P9" s="1540">
        <f t="shared" ca="1" si="1"/>
        <v>0</v>
      </c>
      <c r="Q9" s="1540">
        <f t="shared" ca="1" si="1"/>
        <v>0</v>
      </c>
      <c r="R9" s="1540">
        <f t="shared" ca="1" si="1"/>
        <v>0</v>
      </c>
      <c r="S9" s="1540">
        <f t="shared" ca="1" si="1"/>
        <v>0</v>
      </c>
      <c r="T9" s="1540">
        <f t="shared" ca="1" si="1"/>
        <v>0</v>
      </c>
      <c r="U9" s="1540">
        <f t="shared" ca="1" si="1"/>
        <v>0</v>
      </c>
      <c r="V9" s="1540">
        <f t="shared" ca="1" si="1"/>
        <v>0</v>
      </c>
      <c r="W9" s="1539">
        <f ca="1">SUM(G9:V9)</f>
        <v>98.828088195868148</v>
      </c>
      <c r="Y9" s="1500">
        <f ca="1">IFERROR(INDEX(INDIRECT($C9&amp;".Outputs["&amp;this.Year&amp;"]"), MATCH(Y$5, INDIRECT($C9&amp;".Outputs[Vector]"), 0)), 0)</f>
        <v>-29.424140125573551</v>
      </c>
      <c r="Z9" s="1500">
        <f t="shared" ref="Z9:AP9" ca="1" si="2">IFERROR(INDEX(INDIRECT($C9&amp;".Outputs["&amp;this.Year&amp;"]"), MATCH(Z$5, INDIRECT($C9&amp;".Outputs[Vector]"), 0)), 0)</f>
        <v>0</v>
      </c>
      <c r="AA9" s="1500">
        <f t="shared" ca="1" si="2"/>
        <v>0</v>
      </c>
      <c r="AB9" s="1500">
        <f t="shared" ca="1" si="2"/>
        <v>-12.433412149129659</v>
      </c>
      <c r="AC9" s="1500">
        <f t="shared" ca="1" si="2"/>
        <v>-48.3725716321335</v>
      </c>
      <c r="AD9" s="1500">
        <f t="shared" ca="1" si="2"/>
        <v>0</v>
      </c>
      <c r="AE9" s="1500">
        <f t="shared" ca="1" si="2"/>
        <v>0</v>
      </c>
      <c r="AF9" s="1500">
        <f t="shared" ca="1" si="2"/>
        <v>0</v>
      </c>
      <c r="AG9" s="1500">
        <f t="shared" ca="1" si="2"/>
        <v>0</v>
      </c>
      <c r="AH9" s="1500">
        <f t="shared" ca="1" si="2"/>
        <v>0</v>
      </c>
      <c r="AI9" s="1500">
        <f t="shared" ca="1" si="2"/>
        <v>0</v>
      </c>
      <c r="AJ9" s="1500">
        <f t="shared" ca="1" si="2"/>
        <v>0</v>
      </c>
      <c r="AK9" s="1500">
        <f t="shared" ca="1" si="2"/>
        <v>0</v>
      </c>
      <c r="AL9" s="1500">
        <f ca="1">IFERROR(INDEX(INDIRECT($C9&amp;".Outputs["&amp;this.Year&amp;"]"), MATCH(AL$5, INDIRECT($C9&amp;".Outputs[Vector]"), 0)), 0)</f>
        <v>-8.5979642890314381</v>
      </c>
      <c r="AM9" s="1500">
        <f t="shared" ca="1" si="2"/>
        <v>0</v>
      </c>
      <c r="AN9" s="1500">
        <f t="shared" ca="1" si="2"/>
        <v>0</v>
      </c>
      <c r="AO9" s="1500">
        <f t="shared" ca="1" si="2"/>
        <v>0</v>
      </c>
      <c r="AP9" s="1500">
        <f t="shared" ca="1" si="2"/>
        <v>0</v>
      </c>
      <c r="AQ9" s="1490">
        <f ca="1">SUM(Y9:AP9)</f>
        <v>-98.828088195868148</v>
      </c>
      <c r="AS9" s="1491">
        <f t="shared" ref="AS9:BK9" ca="1" si="3">IFERROR(INDEX(INDIRECT($C9&amp;".Outputs["&amp;this.Year&amp;"]"), MATCH(AS$5, INDIRECT($C9&amp;".Outputs[Vector]"), 0)), 0)</f>
        <v>0</v>
      </c>
      <c r="AT9" s="1491">
        <f t="shared" ca="1" si="3"/>
        <v>0</v>
      </c>
      <c r="AU9" s="1491">
        <f t="shared" ca="1" si="3"/>
        <v>0</v>
      </c>
      <c r="AV9" s="1491">
        <f t="shared" ca="1" si="3"/>
        <v>0</v>
      </c>
      <c r="AW9" s="1491">
        <f t="shared" ca="1" si="3"/>
        <v>0</v>
      </c>
      <c r="AX9" s="1491">
        <f t="shared" ca="1" si="3"/>
        <v>0</v>
      </c>
      <c r="AY9" s="1491">
        <f t="shared" ca="1" si="3"/>
        <v>0</v>
      </c>
      <c r="AZ9" s="1491">
        <f t="shared" ca="1" si="3"/>
        <v>0</v>
      </c>
      <c r="BA9" s="1491">
        <f t="shared" ca="1" si="3"/>
        <v>0</v>
      </c>
      <c r="BB9" s="1491">
        <f t="shared" ca="1" si="3"/>
        <v>0</v>
      </c>
      <c r="BC9" s="1491">
        <f t="shared" ca="1" si="3"/>
        <v>0</v>
      </c>
      <c r="BD9" s="1491">
        <f t="shared" ca="1" si="3"/>
        <v>0</v>
      </c>
      <c r="BE9" s="1491">
        <f t="shared" ca="1" si="3"/>
        <v>0</v>
      </c>
      <c r="BF9" s="1491">
        <f t="shared" ca="1" si="3"/>
        <v>0</v>
      </c>
      <c r="BG9" s="1491">
        <f t="shared" ca="1" si="3"/>
        <v>0</v>
      </c>
      <c r="BH9" s="1491">
        <f t="shared" ca="1" si="3"/>
        <v>0</v>
      </c>
      <c r="BI9" s="1491">
        <f t="shared" ca="1" si="3"/>
        <v>0</v>
      </c>
      <c r="BJ9" s="1491">
        <f t="shared" ca="1" si="3"/>
        <v>0</v>
      </c>
      <c r="BK9" s="1491">
        <f t="shared" ca="1" si="3"/>
        <v>0</v>
      </c>
      <c r="BL9" s="1503">
        <f ca="1">SUM(AS9:BK9)</f>
        <v>0</v>
      </c>
      <c r="BN9" s="1941">
        <f ca="1">IFERROR(INDEX(INDIRECT($C9&amp;".Outputs["&amp;this.Year&amp;"]"), MATCH(BN$5, INDIRECT($C9&amp;".Outputs[Vector]"), 0)), 0)</f>
        <v>0</v>
      </c>
      <c r="BO9" s="1941">
        <f ca="1">IFERROR(INDEX(INDIRECT($C9&amp;".Outputs["&amp;this.Year&amp;"]"), MATCH(BO$5, INDIRECT($C9&amp;".Outputs[Vector]"), 0)), 0)</f>
        <v>0</v>
      </c>
      <c r="BP9" s="1505">
        <f ca="1">BN9+BO9</f>
        <v>0</v>
      </c>
      <c r="BR9" s="3168">
        <f ca="1">W9+AQ9+BL9+BP9</f>
        <v>0</v>
      </c>
      <c r="BS9" s="1506"/>
      <c r="BT9" s="748"/>
      <c r="BU9" s="1507">
        <v>67.291769164453711</v>
      </c>
      <c r="BV9" s="1508">
        <v>0.13655504882378258</v>
      </c>
      <c r="BW9" s="1508">
        <v>0.22513176941521534</v>
      </c>
      <c r="BX9" s="1508">
        <v>0</v>
      </c>
      <c r="BY9" s="1508">
        <v>0</v>
      </c>
      <c r="BZ9" s="1508">
        <v>0</v>
      </c>
      <c r="CA9" s="1508">
        <v>0</v>
      </c>
      <c r="CB9" s="1508">
        <v>0</v>
      </c>
      <c r="CC9" s="1508">
        <v>0</v>
      </c>
      <c r="CD9" s="1508">
        <v>0</v>
      </c>
      <c r="CE9" s="1508">
        <v>0</v>
      </c>
      <c r="CF9" s="1508">
        <v>0</v>
      </c>
      <c r="CG9" s="1508">
        <v>0</v>
      </c>
      <c r="CH9" s="1508">
        <v>0</v>
      </c>
      <c r="CI9" s="1508">
        <v>0</v>
      </c>
      <c r="CJ9" s="1508">
        <v>0</v>
      </c>
      <c r="CK9" s="1508">
        <v>0</v>
      </c>
      <c r="CL9" s="1508">
        <v>0</v>
      </c>
      <c r="CM9" s="1508">
        <v>0</v>
      </c>
      <c r="CN9" s="1508">
        <v>0</v>
      </c>
      <c r="CO9" s="1508">
        <v>0</v>
      </c>
      <c r="CP9" s="1508">
        <v>0</v>
      </c>
      <c r="CQ9" s="1508">
        <v>0</v>
      </c>
      <c r="CR9" s="1508">
        <v>0</v>
      </c>
      <c r="CS9" s="1508">
        <v>0</v>
      </c>
      <c r="CT9" s="1508">
        <v>0</v>
      </c>
      <c r="CU9" s="1508">
        <v>0</v>
      </c>
      <c r="CV9" s="1508">
        <v>0</v>
      </c>
      <c r="CW9" s="1508">
        <v>0</v>
      </c>
      <c r="CX9" s="1508">
        <v>0</v>
      </c>
      <c r="CY9" s="1508">
        <v>0</v>
      </c>
      <c r="CZ9" s="1508">
        <v>0</v>
      </c>
      <c r="DA9" s="1508">
        <v>0</v>
      </c>
      <c r="DB9" s="1508">
        <v>0</v>
      </c>
      <c r="DC9" s="1508">
        <v>0</v>
      </c>
      <c r="DD9" s="1508">
        <v>0</v>
      </c>
      <c r="DE9" s="1508">
        <v>0</v>
      </c>
      <c r="DF9" s="1508">
        <v>0</v>
      </c>
      <c r="DG9" s="1508">
        <v>0</v>
      </c>
      <c r="DH9" s="1508">
        <v>0</v>
      </c>
      <c r="DI9" s="1508">
        <v>0</v>
      </c>
      <c r="DJ9" s="1508">
        <v>0</v>
      </c>
      <c r="DK9" s="1508">
        <v>0</v>
      </c>
      <c r="DL9" s="1508">
        <v>0</v>
      </c>
      <c r="DN9" s="1509"/>
    </row>
    <row r="10" spans="1:118" s="14" customFormat="1" ht="10.5" customHeight="1" outlineLevel="2" x14ac:dyDescent="0.2">
      <c r="A10" s="1510"/>
      <c r="B10" s="1510"/>
      <c r="C10" s="1511"/>
      <c r="D10" s="1510"/>
      <c r="E10" s="1512"/>
      <c r="G10" s="1513"/>
      <c r="H10" s="1513"/>
      <c r="I10" s="1513"/>
      <c r="J10" s="1513"/>
      <c r="K10" s="1513"/>
      <c r="L10" s="1513"/>
      <c r="M10" s="1513"/>
      <c r="N10" s="1513"/>
      <c r="O10" s="1513"/>
      <c r="P10" s="1513"/>
      <c r="Q10" s="1513"/>
      <c r="R10" s="1513"/>
      <c r="S10" s="1513"/>
      <c r="T10" s="1513"/>
      <c r="U10" s="1513"/>
      <c r="V10" s="1513"/>
      <c r="W10" s="1514"/>
      <c r="Y10" s="1515"/>
      <c r="Z10" s="1515"/>
      <c r="AA10" s="1515"/>
      <c r="AB10" s="1515"/>
      <c r="AC10" s="1515"/>
      <c r="AD10" s="1515"/>
      <c r="AE10" s="1515"/>
      <c r="AF10" s="1515"/>
      <c r="AG10" s="1515"/>
      <c r="AH10" s="1515"/>
      <c r="AI10" s="1515"/>
      <c r="AJ10" s="1515"/>
      <c r="AK10" s="1515"/>
      <c r="AL10" s="1515"/>
      <c r="AM10" s="1515"/>
      <c r="AN10" s="1515"/>
      <c r="AO10" s="1515"/>
      <c r="AP10" s="1515"/>
      <c r="AQ10" s="1516"/>
      <c r="AS10" s="1517"/>
      <c r="AT10" s="1517"/>
      <c r="AU10" s="1517"/>
      <c r="AV10" s="1517"/>
      <c r="AW10" s="1517"/>
      <c r="AX10" s="1517"/>
      <c r="AY10" s="1517"/>
      <c r="AZ10" s="1517"/>
      <c r="BA10" s="1517"/>
      <c r="BB10" s="1517"/>
      <c r="BC10" s="1517"/>
      <c r="BD10" s="1517"/>
      <c r="BE10" s="1517"/>
      <c r="BF10" s="1517"/>
      <c r="BG10" s="1517"/>
      <c r="BH10" s="1517"/>
      <c r="BI10" s="1517"/>
      <c r="BJ10" s="1517"/>
      <c r="BK10" s="1517"/>
      <c r="BL10" s="1518"/>
      <c r="BN10" s="1519"/>
      <c r="BO10" s="1519"/>
      <c r="BP10" s="1520"/>
      <c r="BR10" s="3168">
        <f t="shared" si="0"/>
        <v>0</v>
      </c>
      <c r="BS10" s="1521"/>
      <c r="BT10" s="748"/>
      <c r="BU10" s="1507">
        <v>0</v>
      </c>
      <c r="BV10" s="1508">
        <v>0</v>
      </c>
      <c r="BW10" s="1508">
        <v>0</v>
      </c>
      <c r="BX10" s="1508">
        <v>0</v>
      </c>
      <c r="BY10" s="1508">
        <v>0</v>
      </c>
      <c r="BZ10" s="1508">
        <v>0</v>
      </c>
      <c r="CA10" s="1508">
        <v>0</v>
      </c>
      <c r="CB10" s="1508">
        <v>0</v>
      </c>
      <c r="CC10" s="1508">
        <v>0</v>
      </c>
      <c r="CD10" s="1508">
        <v>0</v>
      </c>
      <c r="CE10" s="1508">
        <v>0</v>
      </c>
      <c r="CF10" s="1508">
        <v>0</v>
      </c>
      <c r="CG10" s="1508">
        <v>0</v>
      </c>
      <c r="CH10" s="1508">
        <v>0</v>
      </c>
      <c r="CI10" s="1508">
        <v>0</v>
      </c>
      <c r="CJ10" s="1508">
        <v>0</v>
      </c>
      <c r="CK10" s="1508">
        <v>0</v>
      </c>
      <c r="CL10" s="1508">
        <v>0</v>
      </c>
      <c r="CM10" s="1508">
        <v>0</v>
      </c>
      <c r="CN10" s="1508">
        <v>0</v>
      </c>
      <c r="CO10" s="1508">
        <v>0</v>
      </c>
      <c r="CP10" s="1508">
        <v>0</v>
      </c>
      <c r="CQ10" s="1508">
        <v>0</v>
      </c>
      <c r="CR10" s="1508">
        <v>0</v>
      </c>
      <c r="CS10" s="1508">
        <v>0</v>
      </c>
      <c r="CT10" s="1508">
        <v>0</v>
      </c>
      <c r="CU10" s="1508">
        <v>0</v>
      </c>
      <c r="CV10" s="1508">
        <v>0</v>
      </c>
      <c r="CW10" s="1508">
        <v>0</v>
      </c>
      <c r="CX10" s="1508">
        <v>0</v>
      </c>
      <c r="CY10" s="1508">
        <v>0</v>
      </c>
      <c r="CZ10" s="1508">
        <v>0</v>
      </c>
      <c r="DA10" s="1508">
        <v>0</v>
      </c>
      <c r="DB10" s="1508">
        <v>0</v>
      </c>
      <c r="DC10" s="1508">
        <v>0</v>
      </c>
      <c r="DD10" s="1508">
        <v>0</v>
      </c>
      <c r="DE10" s="1508">
        <v>0</v>
      </c>
      <c r="DF10" s="1508">
        <v>0</v>
      </c>
      <c r="DG10" s="1508">
        <v>0</v>
      </c>
      <c r="DH10" s="1508">
        <v>0</v>
      </c>
      <c r="DI10" s="1508">
        <v>0</v>
      </c>
      <c r="DJ10" s="1508">
        <v>0</v>
      </c>
      <c r="DK10" s="1508">
        <v>0</v>
      </c>
      <c r="DL10" s="1508">
        <v>0</v>
      </c>
      <c r="DN10" s="1509"/>
    </row>
    <row r="11" spans="1:118" s="14" customFormat="1" ht="12.75" customHeight="1" outlineLevel="1" x14ac:dyDescent="0.2">
      <c r="A11" s="1522"/>
      <c r="B11" s="1522"/>
      <c r="C11" s="1496"/>
      <c r="D11" s="1522"/>
      <c r="E11" s="1497"/>
      <c r="G11" s="1499"/>
      <c r="H11" s="1499"/>
      <c r="I11" s="1499"/>
      <c r="J11" s="1499"/>
      <c r="K11" s="1499"/>
      <c r="L11" s="1499"/>
      <c r="M11" s="1499"/>
      <c r="N11" s="1499"/>
      <c r="O11" s="1499"/>
      <c r="P11" s="1499"/>
      <c r="Q11" s="1499"/>
      <c r="R11" s="1499"/>
      <c r="S11" s="1499"/>
      <c r="T11" s="1499"/>
      <c r="U11" s="1499"/>
      <c r="V11" s="1499"/>
      <c r="W11" s="1499"/>
      <c r="Y11" s="1501"/>
      <c r="Z11" s="1501"/>
      <c r="AA11" s="1501"/>
      <c r="AB11" s="1501"/>
      <c r="AC11" s="1501"/>
      <c r="AD11" s="1501"/>
      <c r="AE11" s="1501"/>
      <c r="AF11" s="1501"/>
      <c r="AG11" s="1501"/>
      <c r="AH11" s="1501"/>
      <c r="AI11" s="1501"/>
      <c r="AJ11" s="1501"/>
      <c r="AK11" s="1501"/>
      <c r="AL11" s="1501"/>
      <c r="AM11" s="1501"/>
      <c r="AN11" s="1501"/>
      <c r="AO11" s="1501"/>
      <c r="AP11" s="1501"/>
      <c r="AQ11" s="1501"/>
      <c r="AS11" s="1523"/>
      <c r="AT11" s="1523"/>
      <c r="AU11" s="1523"/>
      <c r="AV11" s="1523"/>
      <c r="AW11" s="1523"/>
      <c r="AX11" s="1523"/>
      <c r="AY11" s="1523"/>
      <c r="AZ11" s="1523"/>
      <c r="BA11" s="1523"/>
      <c r="BB11" s="1523"/>
      <c r="BC11" s="1523"/>
      <c r="BD11" s="1523"/>
      <c r="BE11" s="1523"/>
      <c r="BF11" s="1523"/>
      <c r="BG11" s="1523"/>
      <c r="BH11" s="1523"/>
      <c r="BI11" s="1523"/>
      <c r="BJ11" s="1523"/>
      <c r="BK11" s="1523"/>
      <c r="BL11" s="1524"/>
      <c r="BN11" s="1505"/>
      <c r="BO11" s="1505"/>
      <c r="BP11" s="1505"/>
      <c r="BR11" s="3168">
        <f t="shared" si="0"/>
        <v>0</v>
      </c>
      <c r="BS11" s="1525"/>
      <c r="BT11" s="748"/>
      <c r="BU11" s="1507">
        <v>67.291769164453711</v>
      </c>
      <c r="BV11" s="1508">
        <v>0.13655504882378258</v>
      </c>
      <c r="BW11" s="1508">
        <v>0.22513176941521534</v>
      </c>
      <c r="BX11" s="1508">
        <v>0</v>
      </c>
      <c r="BY11" s="1508">
        <v>0</v>
      </c>
      <c r="BZ11" s="1508">
        <v>0</v>
      </c>
      <c r="CA11" s="1508">
        <v>0</v>
      </c>
      <c r="CB11" s="1508">
        <v>0</v>
      </c>
      <c r="CC11" s="1508">
        <v>0</v>
      </c>
      <c r="CD11" s="1508">
        <v>0</v>
      </c>
      <c r="CE11" s="1508">
        <v>0</v>
      </c>
      <c r="CF11" s="1508">
        <v>0</v>
      </c>
      <c r="CG11" s="1508">
        <v>0</v>
      </c>
      <c r="CH11" s="1508">
        <v>0</v>
      </c>
      <c r="CI11" s="1508">
        <v>0</v>
      </c>
      <c r="CJ11" s="1508">
        <v>0</v>
      </c>
      <c r="CK11" s="1508">
        <v>0</v>
      </c>
      <c r="CL11" s="1508">
        <v>0</v>
      </c>
      <c r="CM11" s="1508">
        <v>0</v>
      </c>
      <c r="CN11" s="1508">
        <v>0</v>
      </c>
      <c r="CO11" s="1508">
        <v>0</v>
      </c>
      <c r="CP11" s="1508">
        <v>0</v>
      </c>
      <c r="CQ11" s="1508">
        <v>0</v>
      </c>
      <c r="CR11" s="1508">
        <v>0</v>
      </c>
      <c r="CS11" s="1508">
        <v>0</v>
      </c>
      <c r="CT11" s="1508">
        <v>0</v>
      </c>
      <c r="CU11" s="1508">
        <v>0</v>
      </c>
      <c r="CV11" s="1508">
        <v>0</v>
      </c>
      <c r="CW11" s="1508">
        <v>0</v>
      </c>
      <c r="CX11" s="1508">
        <v>0</v>
      </c>
      <c r="CY11" s="1508">
        <v>0</v>
      </c>
      <c r="CZ11" s="1508">
        <v>0</v>
      </c>
      <c r="DA11" s="1508">
        <v>0</v>
      </c>
      <c r="DB11" s="1508">
        <v>0</v>
      </c>
      <c r="DC11" s="1508">
        <v>0</v>
      </c>
      <c r="DD11" s="1508">
        <v>0</v>
      </c>
      <c r="DE11" s="1508">
        <v>0</v>
      </c>
      <c r="DF11" s="1508">
        <v>0</v>
      </c>
      <c r="DG11" s="1508">
        <v>0</v>
      </c>
      <c r="DH11" s="1508">
        <v>0</v>
      </c>
      <c r="DI11" s="1508">
        <v>0</v>
      </c>
      <c r="DJ11" s="1508">
        <v>0</v>
      </c>
      <c r="DK11" s="1508">
        <v>0</v>
      </c>
      <c r="DL11" s="1508">
        <v>0</v>
      </c>
      <c r="DN11" s="1509"/>
    </row>
    <row r="12" spans="1:118" s="14" customFormat="1" ht="10.5" customHeight="1" outlineLevel="2" x14ac:dyDescent="0.2">
      <c r="A12" s="1495"/>
      <c r="B12" s="1495"/>
      <c r="C12" s="1496" t="s">
        <v>554</v>
      </c>
      <c r="D12" s="14" t="str">
        <f>INDEX(Modulos[Modulos], MATCH($C12, Modulos[Código], 0))</f>
        <v>Comercial y Púbico</v>
      </c>
      <c r="G12" s="1498">
        <f t="shared" ref="G12:V12" ca="1" si="4">IFERROR(INDEX(INDIRECT($C12&amp;".Outputs["&amp;this.Year&amp;"]"), MATCH(G$5, INDIRECT($C12&amp;".Outputs[Vector]"), 0)), 0)</f>
        <v>14.586784323279518</v>
      </c>
      <c r="H12" s="1498">
        <f t="shared" ca="1" si="4"/>
        <v>11.988891372883668</v>
      </c>
      <c r="I12" s="1498">
        <f t="shared" ca="1" si="4"/>
        <v>0.99047371036360865</v>
      </c>
      <c r="J12" s="1498">
        <f t="shared" ca="1" si="4"/>
        <v>2.3227784466493242</v>
      </c>
      <c r="K12" s="1498">
        <f t="shared" ca="1" si="4"/>
        <v>1.2385371155655589</v>
      </c>
      <c r="L12" s="1498">
        <f t="shared" ca="1" si="4"/>
        <v>7.1122791620926584</v>
      </c>
      <c r="M12" s="1498">
        <f t="shared" ca="1" si="4"/>
        <v>0</v>
      </c>
      <c r="N12" s="1498">
        <f t="shared" ca="1" si="4"/>
        <v>0</v>
      </c>
      <c r="O12" s="1498">
        <f t="shared" ca="1" si="4"/>
        <v>0</v>
      </c>
      <c r="P12" s="1498">
        <f t="shared" ca="1" si="4"/>
        <v>0</v>
      </c>
      <c r="Q12" s="1498">
        <f t="shared" ca="1" si="4"/>
        <v>0</v>
      </c>
      <c r="R12" s="1498">
        <f t="shared" ca="1" si="4"/>
        <v>0</v>
      </c>
      <c r="S12" s="1498">
        <f t="shared" ca="1" si="4"/>
        <v>0</v>
      </c>
      <c r="T12" s="1498">
        <f t="shared" ca="1" si="4"/>
        <v>0</v>
      </c>
      <c r="U12" s="1498">
        <f t="shared" ca="1" si="4"/>
        <v>0</v>
      </c>
      <c r="V12" s="1498">
        <f t="shared" ca="1" si="4"/>
        <v>0</v>
      </c>
      <c r="W12" s="1539">
        <f ca="1">SUM(G12:V12)</f>
        <v>38.239744130834339</v>
      </c>
      <c r="Y12" s="1500">
        <f t="shared" ref="Y12:AP12" ca="1" si="5">IFERROR(INDEX(INDIRECT($C12&amp;".Outputs["&amp;this.Year&amp;"]"), MATCH(Y$5, INDIRECT($C12&amp;".Outputs[Vector]"), 0)), 0)</f>
        <v>-21.641190937652397</v>
      </c>
      <c r="Z12" s="1500">
        <f t="shared" ca="1" si="5"/>
        <v>0</v>
      </c>
      <c r="AA12" s="1500">
        <f t="shared" ca="1" si="5"/>
        <v>0</v>
      </c>
      <c r="AB12" s="1500">
        <f t="shared" ca="1" si="5"/>
        <v>-8.0791171512350353</v>
      </c>
      <c r="AC12" s="1500">
        <f t="shared" ca="1" si="5"/>
        <v>-7.9849709815637224</v>
      </c>
      <c r="AD12" s="1500">
        <f t="shared" ca="1" si="5"/>
        <v>0</v>
      </c>
      <c r="AE12" s="1500">
        <f t="shared" ca="1" si="5"/>
        <v>0</v>
      </c>
      <c r="AF12" s="1500">
        <f t="shared" ca="1" si="5"/>
        <v>0</v>
      </c>
      <c r="AG12" s="1500">
        <f t="shared" ca="1" si="5"/>
        <v>0</v>
      </c>
      <c r="AH12" s="1500">
        <f t="shared" ca="1" si="5"/>
        <v>0</v>
      </c>
      <c r="AI12" s="1500">
        <f t="shared" ca="1" si="5"/>
        <v>0</v>
      </c>
      <c r="AJ12" s="1500">
        <f t="shared" ca="1" si="5"/>
        <v>0</v>
      </c>
      <c r="AK12" s="1500">
        <f t="shared" ca="1" si="5"/>
        <v>0</v>
      </c>
      <c r="AL12" s="1500">
        <f t="shared" ca="1" si="5"/>
        <v>-0.51304564771015104</v>
      </c>
      <c r="AM12" s="1500">
        <f t="shared" ca="1" si="5"/>
        <v>0</v>
      </c>
      <c r="AN12" s="1500">
        <f t="shared" ca="1" si="5"/>
        <v>0</v>
      </c>
      <c r="AO12" s="1500">
        <f t="shared" ca="1" si="5"/>
        <v>0</v>
      </c>
      <c r="AP12" s="1500">
        <f t="shared" ca="1" si="5"/>
        <v>0</v>
      </c>
      <c r="AQ12" s="1490">
        <f ca="1">SUM(Y12:AP12)</f>
        <v>-38.218324718161305</v>
      </c>
      <c r="AS12" s="1491">
        <f t="shared" ref="AS12:BK12" ca="1" si="6">IFERROR(INDEX(INDIRECT($C12&amp;".Outputs["&amp;this.Year&amp;"]"), MATCH(AS$5, INDIRECT($C12&amp;".Outputs[Vector]"), 0)), 0)</f>
        <v>0</v>
      </c>
      <c r="AT12" s="1491">
        <f t="shared" ca="1" si="6"/>
        <v>0</v>
      </c>
      <c r="AU12" s="1491">
        <f t="shared" ca="1" si="6"/>
        <v>0</v>
      </c>
      <c r="AV12" s="1491">
        <f t="shared" ca="1" si="6"/>
        <v>0</v>
      </c>
      <c r="AW12" s="1491">
        <f t="shared" ca="1" si="6"/>
        <v>0</v>
      </c>
      <c r="AX12" s="1491">
        <f t="shared" ca="1" si="6"/>
        <v>0</v>
      </c>
      <c r="AY12" s="1491">
        <f t="shared" ca="1" si="6"/>
        <v>0</v>
      </c>
      <c r="AZ12" s="1491">
        <f t="shared" ca="1" si="6"/>
        <v>0</v>
      </c>
      <c r="BA12" s="1491">
        <f t="shared" ca="1" si="6"/>
        <v>0</v>
      </c>
      <c r="BB12" s="1491">
        <f t="shared" ca="1" si="6"/>
        <v>0</v>
      </c>
      <c r="BC12" s="1491">
        <f t="shared" ca="1" si="6"/>
        <v>-2.1419412673029041E-2</v>
      </c>
      <c r="BD12" s="1491">
        <f t="shared" ca="1" si="6"/>
        <v>0</v>
      </c>
      <c r="BE12" s="1491">
        <f t="shared" ca="1" si="6"/>
        <v>0</v>
      </c>
      <c r="BF12" s="1491">
        <f t="shared" ca="1" si="6"/>
        <v>0</v>
      </c>
      <c r="BG12" s="1491">
        <f t="shared" ca="1" si="6"/>
        <v>0</v>
      </c>
      <c r="BH12" s="1491">
        <f t="shared" ca="1" si="6"/>
        <v>0</v>
      </c>
      <c r="BI12" s="1491">
        <f t="shared" ca="1" si="6"/>
        <v>0</v>
      </c>
      <c r="BJ12" s="1491">
        <f t="shared" ca="1" si="6"/>
        <v>0</v>
      </c>
      <c r="BK12" s="1491">
        <f t="shared" ca="1" si="6"/>
        <v>0</v>
      </c>
      <c r="BL12" s="1503">
        <f ca="1">SUM(AS12:BK12)</f>
        <v>-2.1419412673029041E-2</v>
      </c>
      <c r="BN12" s="1941">
        <f ca="1">IFERROR(INDEX(INDIRECT($C12&amp;".Outputs["&amp;this.Year&amp;"]"), MATCH(BN$5, INDIRECT($C12&amp;".Outputs[Vector]"), 0)), 0)</f>
        <v>0</v>
      </c>
      <c r="BO12" s="1941">
        <f ca="1">IFERROR(INDEX(INDIRECT($C12&amp;".Outputs["&amp;this.Year&amp;"]"), MATCH(BO$5, INDIRECT($C12&amp;".Outputs[Vector]"), 0)), 0)</f>
        <v>0</v>
      </c>
      <c r="BP12" s="1505">
        <f ca="1">BN12+BO12</f>
        <v>0</v>
      </c>
      <c r="BR12" s="3168">
        <f t="shared" ca="1" si="0"/>
        <v>4.3368086899420177E-15</v>
      </c>
      <c r="BS12" s="1506"/>
      <c r="BT12" s="748"/>
      <c r="BU12" s="1507">
        <v>16.670422935762357</v>
      </c>
      <c r="BV12" s="1508">
        <v>3.1691470049996472E-2</v>
      </c>
      <c r="BW12" s="1508">
        <v>7.1890492881915569E-2</v>
      </c>
      <c r="BX12" s="1508">
        <v>0</v>
      </c>
      <c r="BY12" s="1508">
        <v>0</v>
      </c>
      <c r="BZ12" s="1508">
        <v>0</v>
      </c>
      <c r="CA12" s="1508">
        <v>0</v>
      </c>
      <c r="CB12" s="1508">
        <v>0</v>
      </c>
      <c r="CC12" s="1508">
        <v>0</v>
      </c>
      <c r="CD12" s="1508">
        <v>0</v>
      </c>
      <c r="CE12" s="1508">
        <v>0</v>
      </c>
      <c r="CF12" s="1508">
        <v>0</v>
      </c>
      <c r="CG12" s="1508">
        <v>0</v>
      </c>
      <c r="CH12" s="1508">
        <v>0</v>
      </c>
      <c r="CI12" s="1508">
        <v>0</v>
      </c>
      <c r="CJ12" s="1508">
        <v>0</v>
      </c>
      <c r="CK12" s="1508">
        <v>0</v>
      </c>
      <c r="CL12" s="1508">
        <v>0</v>
      </c>
      <c r="CM12" s="1508">
        <v>0</v>
      </c>
      <c r="CN12" s="1508">
        <v>0</v>
      </c>
      <c r="CO12" s="1508">
        <v>0</v>
      </c>
      <c r="CP12" s="1508">
        <v>0</v>
      </c>
      <c r="CQ12" s="1508">
        <v>0</v>
      </c>
      <c r="CR12" s="1508">
        <v>0</v>
      </c>
      <c r="CS12" s="1508">
        <v>0</v>
      </c>
      <c r="CT12" s="1508">
        <v>0</v>
      </c>
      <c r="CU12" s="1508">
        <v>0</v>
      </c>
      <c r="CV12" s="1508">
        <v>0</v>
      </c>
      <c r="CW12" s="1508">
        <v>0</v>
      </c>
      <c r="CX12" s="1508">
        <v>0</v>
      </c>
      <c r="CY12" s="1508">
        <v>0</v>
      </c>
      <c r="CZ12" s="1508">
        <v>0</v>
      </c>
      <c r="DA12" s="1508">
        <v>0</v>
      </c>
      <c r="DB12" s="1508">
        <v>0</v>
      </c>
      <c r="DC12" s="1508">
        <v>0</v>
      </c>
      <c r="DD12" s="1508">
        <v>0</v>
      </c>
      <c r="DE12" s="1508">
        <v>0</v>
      </c>
      <c r="DF12" s="1508">
        <v>0</v>
      </c>
      <c r="DG12" s="1508">
        <v>0</v>
      </c>
      <c r="DH12" s="1508">
        <v>0</v>
      </c>
      <c r="DI12" s="1508">
        <v>0</v>
      </c>
      <c r="DJ12" s="1508">
        <v>0</v>
      </c>
      <c r="DK12" s="1508">
        <v>0</v>
      </c>
      <c r="DL12" s="1508">
        <v>0</v>
      </c>
      <c r="DN12" s="1509"/>
    </row>
    <row r="13" spans="1:118" s="14" customFormat="1" ht="10.5" customHeight="1" outlineLevel="2" x14ac:dyDescent="0.2">
      <c r="A13" s="1510"/>
      <c r="B13" s="1510"/>
      <c r="C13" s="1511"/>
      <c r="D13" s="1510"/>
      <c r="E13" s="1512"/>
      <c r="G13" s="1513"/>
      <c r="H13" s="1513"/>
      <c r="I13" s="1513"/>
      <c r="J13" s="1513"/>
      <c r="K13" s="1513"/>
      <c r="L13" s="1513"/>
      <c r="M13" s="1513"/>
      <c r="N13" s="1513"/>
      <c r="O13" s="1513"/>
      <c r="P13" s="1513"/>
      <c r="Q13" s="1513"/>
      <c r="R13" s="1513"/>
      <c r="S13" s="1513"/>
      <c r="T13" s="1513"/>
      <c r="U13" s="1513"/>
      <c r="V13" s="1513"/>
      <c r="W13" s="1514"/>
      <c r="Y13" s="1515"/>
      <c r="Z13" s="1515"/>
      <c r="AA13" s="1515"/>
      <c r="AB13" s="1515"/>
      <c r="AC13" s="1515"/>
      <c r="AD13" s="1515"/>
      <c r="AE13" s="1515"/>
      <c r="AF13" s="1515"/>
      <c r="AG13" s="1515"/>
      <c r="AH13" s="1515"/>
      <c r="AI13" s="1515"/>
      <c r="AJ13" s="1515"/>
      <c r="AK13" s="1515"/>
      <c r="AL13" s="1515"/>
      <c r="AM13" s="1515"/>
      <c r="AN13" s="1515"/>
      <c r="AO13" s="1515"/>
      <c r="AP13" s="1515"/>
      <c r="AQ13" s="1516"/>
      <c r="AS13" s="1517"/>
      <c r="AT13" s="1517"/>
      <c r="AU13" s="1517"/>
      <c r="AV13" s="1517"/>
      <c r="AW13" s="1517"/>
      <c r="AX13" s="1517"/>
      <c r="AY13" s="1517"/>
      <c r="AZ13" s="1517"/>
      <c r="BA13" s="1517"/>
      <c r="BB13" s="1517"/>
      <c r="BC13" s="1517"/>
      <c r="BD13" s="1517"/>
      <c r="BE13" s="1517"/>
      <c r="BF13" s="1517"/>
      <c r="BG13" s="1517"/>
      <c r="BH13" s="1517"/>
      <c r="BI13" s="1517"/>
      <c r="BJ13" s="1517"/>
      <c r="BK13" s="1517"/>
      <c r="BL13" s="1518"/>
      <c r="BN13" s="1519"/>
      <c r="BO13" s="1519"/>
      <c r="BP13" s="1520"/>
      <c r="BR13" s="3168">
        <f t="shared" si="0"/>
        <v>0</v>
      </c>
      <c r="BS13" s="1521"/>
      <c r="BT13" s="748"/>
      <c r="BU13" s="1507">
        <v>0</v>
      </c>
      <c r="BV13" s="1508">
        <v>0</v>
      </c>
      <c r="BW13" s="1508">
        <v>0</v>
      </c>
      <c r="BX13" s="1508">
        <v>0</v>
      </c>
      <c r="BY13" s="1508">
        <v>0</v>
      </c>
      <c r="BZ13" s="1508">
        <v>0</v>
      </c>
      <c r="CA13" s="1508">
        <v>0</v>
      </c>
      <c r="CB13" s="1508">
        <v>0</v>
      </c>
      <c r="CC13" s="1508">
        <v>0</v>
      </c>
      <c r="CD13" s="1508">
        <v>0</v>
      </c>
      <c r="CE13" s="1508">
        <v>0</v>
      </c>
      <c r="CF13" s="1508">
        <v>0</v>
      </c>
      <c r="CG13" s="1508">
        <v>0</v>
      </c>
      <c r="CH13" s="1508">
        <v>0</v>
      </c>
      <c r="CI13" s="1508">
        <v>0</v>
      </c>
      <c r="CJ13" s="1508">
        <v>0</v>
      </c>
      <c r="CK13" s="1508">
        <v>0</v>
      </c>
      <c r="CL13" s="1508">
        <v>0</v>
      </c>
      <c r="CM13" s="1508">
        <v>0</v>
      </c>
      <c r="CN13" s="1508">
        <v>0</v>
      </c>
      <c r="CO13" s="1508">
        <v>0</v>
      </c>
      <c r="CP13" s="1508">
        <v>0</v>
      </c>
      <c r="CQ13" s="1508">
        <v>0</v>
      </c>
      <c r="CR13" s="1508">
        <v>0</v>
      </c>
      <c r="CS13" s="1508">
        <v>0</v>
      </c>
      <c r="CT13" s="1508">
        <v>0</v>
      </c>
      <c r="CU13" s="1508">
        <v>0</v>
      </c>
      <c r="CV13" s="1508">
        <v>0</v>
      </c>
      <c r="CW13" s="1508">
        <v>0</v>
      </c>
      <c r="CX13" s="1508">
        <v>0</v>
      </c>
      <c r="CY13" s="1508">
        <v>0</v>
      </c>
      <c r="CZ13" s="1508">
        <v>0</v>
      </c>
      <c r="DA13" s="1508">
        <v>0</v>
      </c>
      <c r="DB13" s="1508">
        <v>0</v>
      </c>
      <c r="DC13" s="1508">
        <v>0</v>
      </c>
      <c r="DD13" s="1508">
        <v>0</v>
      </c>
      <c r="DE13" s="1508">
        <v>0</v>
      </c>
      <c r="DF13" s="1508">
        <v>0</v>
      </c>
      <c r="DG13" s="1508">
        <v>0</v>
      </c>
      <c r="DH13" s="1508">
        <v>0</v>
      </c>
      <c r="DI13" s="1508">
        <v>0</v>
      </c>
      <c r="DJ13" s="1508">
        <v>0</v>
      </c>
      <c r="DK13" s="1508">
        <v>0</v>
      </c>
      <c r="DL13" s="1508">
        <v>0</v>
      </c>
      <c r="DN13" s="1509"/>
    </row>
    <row r="14" spans="1:118" s="14" customFormat="1" ht="12.75" customHeight="1" outlineLevel="1" x14ac:dyDescent="0.2">
      <c r="A14" s="1522"/>
      <c r="B14" s="1522"/>
      <c r="C14" s="1496"/>
      <c r="D14" s="1526"/>
      <c r="E14" s="1526"/>
      <c r="G14" s="1527"/>
      <c r="H14" s="1527"/>
      <c r="I14" s="1527"/>
      <c r="J14" s="1527"/>
      <c r="K14" s="1527"/>
      <c r="L14" s="1527"/>
      <c r="M14" s="1527"/>
      <c r="N14" s="1527"/>
      <c r="O14" s="1527"/>
      <c r="P14" s="1527"/>
      <c r="Q14" s="1527"/>
      <c r="R14" s="1527"/>
      <c r="S14" s="1527"/>
      <c r="T14" s="1527"/>
      <c r="U14" s="1527"/>
      <c r="V14" s="1527"/>
      <c r="W14" s="1527"/>
      <c r="Y14" s="1528"/>
      <c r="Z14" s="1528"/>
      <c r="AA14" s="1528"/>
      <c r="AB14" s="1528"/>
      <c r="AC14" s="1528"/>
      <c r="AD14" s="1528"/>
      <c r="AE14" s="1528"/>
      <c r="AF14" s="1528"/>
      <c r="AG14" s="1528"/>
      <c r="AH14" s="1528"/>
      <c r="AI14" s="1528"/>
      <c r="AJ14" s="1528"/>
      <c r="AK14" s="1528"/>
      <c r="AL14" s="1528"/>
      <c r="AM14" s="1528"/>
      <c r="AN14" s="1528"/>
      <c r="AO14" s="1528"/>
      <c r="AP14" s="1528"/>
      <c r="AQ14" s="1528"/>
      <c r="AS14" s="1529"/>
      <c r="AT14" s="1529"/>
      <c r="AU14" s="1529"/>
      <c r="AV14" s="1529"/>
      <c r="AW14" s="1529"/>
      <c r="AX14" s="1529"/>
      <c r="AY14" s="1529"/>
      <c r="AZ14" s="1529"/>
      <c r="BA14" s="1529"/>
      <c r="BB14" s="1529"/>
      <c r="BC14" s="1529"/>
      <c r="BD14" s="1529"/>
      <c r="BE14" s="1529"/>
      <c r="BF14" s="1529"/>
      <c r="BG14" s="1529"/>
      <c r="BH14" s="1529"/>
      <c r="BI14" s="1529"/>
      <c r="BJ14" s="1529"/>
      <c r="BK14" s="1529"/>
      <c r="BL14" s="1530"/>
      <c r="BN14" s="1531"/>
      <c r="BO14" s="1531"/>
      <c r="BP14" s="1531"/>
      <c r="BR14" s="3168">
        <f t="shared" si="0"/>
        <v>0</v>
      </c>
      <c r="BS14" s="1525"/>
      <c r="BT14" s="748"/>
      <c r="BU14" s="1532">
        <v>16.670422935762357</v>
      </c>
      <c r="BV14" s="1533">
        <v>3.1691470049996472E-2</v>
      </c>
      <c r="BW14" s="1533">
        <v>7.1890492881915569E-2</v>
      </c>
      <c r="BX14" s="1533">
        <v>0</v>
      </c>
      <c r="BY14" s="1533">
        <v>0</v>
      </c>
      <c r="BZ14" s="1533">
        <v>0</v>
      </c>
      <c r="CA14" s="1533">
        <v>0</v>
      </c>
      <c r="CB14" s="1533">
        <v>0</v>
      </c>
      <c r="CC14" s="1533">
        <v>0</v>
      </c>
      <c r="CD14" s="1533">
        <v>0</v>
      </c>
      <c r="CE14" s="1533">
        <v>0</v>
      </c>
      <c r="CF14" s="1533">
        <v>0</v>
      </c>
      <c r="CG14" s="1533">
        <v>0</v>
      </c>
      <c r="CH14" s="1533">
        <v>0</v>
      </c>
      <c r="CI14" s="1533">
        <v>0</v>
      </c>
      <c r="CJ14" s="1533">
        <v>0</v>
      </c>
      <c r="CK14" s="1533">
        <v>0</v>
      </c>
      <c r="CL14" s="1533">
        <v>0</v>
      </c>
      <c r="CM14" s="1533">
        <v>0</v>
      </c>
      <c r="CN14" s="1533">
        <v>0</v>
      </c>
      <c r="CO14" s="1533">
        <v>0</v>
      </c>
      <c r="CP14" s="1533">
        <v>0</v>
      </c>
      <c r="CQ14" s="1533">
        <v>0</v>
      </c>
      <c r="CR14" s="1533">
        <v>0</v>
      </c>
      <c r="CS14" s="1533">
        <v>0</v>
      </c>
      <c r="CT14" s="1533">
        <v>0</v>
      </c>
      <c r="CU14" s="1533">
        <v>0</v>
      </c>
      <c r="CV14" s="1533">
        <v>0</v>
      </c>
      <c r="CW14" s="1533">
        <v>0</v>
      </c>
      <c r="CX14" s="1533">
        <v>0</v>
      </c>
      <c r="CY14" s="1533">
        <v>0</v>
      </c>
      <c r="CZ14" s="1533">
        <v>0</v>
      </c>
      <c r="DA14" s="1533">
        <v>0</v>
      </c>
      <c r="DB14" s="1533">
        <v>0</v>
      </c>
      <c r="DC14" s="1533">
        <v>0</v>
      </c>
      <c r="DD14" s="1533">
        <v>0</v>
      </c>
      <c r="DE14" s="1533">
        <v>0</v>
      </c>
      <c r="DF14" s="1533">
        <v>0</v>
      </c>
      <c r="DG14" s="1533">
        <v>0</v>
      </c>
      <c r="DH14" s="1533">
        <v>0</v>
      </c>
      <c r="DI14" s="1533">
        <v>0</v>
      </c>
      <c r="DJ14" s="1533">
        <v>0</v>
      </c>
      <c r="DK14" s="1533">
        <v>0</v>
      </c>
      <c r="DL14" s="1533">
        <v>0</v>
      </c>
      <c r="DN14" s="1509"/>
    </row>
    <row r="15" spans="1:118" s="14" customFormat="1" ht="15.75" x14ac:dyDescent="0.2">
      <c r="A15" s="1534"/>
      <c r="B15" s="1535"/>
      <c r="C15" s="1536" t="s">
        <v>478</v>
      </c>
      <c r="D15" s="1537" t="str">
        <f>INDEX(Flujos[Flujos], MATCH($C15, Flujos[Código], 0))</f>
        <v>Comercial, Público y Residencial</v>
      </c>
      <c r="E15" s="1538"/>
      <c r="G15" s="1539">
        <f ca="1">G9+G12</f>
        <v>70.226997977553282</v>
      </c>
      <c r="H15" s="1539">
        <f ca="1">H9+H12</f>
        <v>14.756077842367976</v>
      </c>
      <c r="I15" s="1539">
        <f t="shared" ref="I15:V15" ca="1" si="7">I9+I12</f>
        <v>5.931878120157017</v>
      </c>
      <c r="J15" s="1539">
        <f t="shared" ca="1" si="7"/>
        <v>19.716521969122127</v>
      </c>
      <c r="K15" s="1539">
        <f t="shared" ca="1" si="7"/>
        <v>8.7494718184515392</v>
      </c>
      <c r="L15" s="1539">
        <f t="shared" ca="1" si="7"/>
        <v>17.686884599050554</v>
      </c>
      <c r="M15" s="1539">
        <f t="shared" ca="1" si="7"/>
        <v>0</v>
      </c>
      <c r="N15" s="1539">
        <f t="shared" ca="1" si="7"/>
        <v>0</v>
      </c>
      <c r="O15" s="1539">
        <f t="shared" ca="1" si="7"/>
        <v>0</v>
      </c>
      <c r="P15" s="1539">
        <f t="shared" ca="1" si="7"/>
        <v>0</v>
      </c>
      <c r="Q15" s="1539">
        <f t="shared" ca="1" si="7"/>
        <v>0</v>
      </c>
      <c r="R15" s="1539">
        <f t="shared" ca="1" si="7"/>
        <v>0</v>
      </c>
      <c r="S15" s="1539">
        <f t="shared" ca="1" si="7"/>
        <v>0</v>
      </c>
      <c r="T15" s="1539">
        <f t="shared" ca="1" si="7"/>
        <v>0</v>
      </c>
      <c r="U15" s="1539">
        <f t="shared" ca="1" si="7"/>
        <v>0</v>
      </c>
      <c r="V15" s="1539">
        <f t="shared" ca="1" si="7"/>
        <v>0</v>
      </c>
      <c r="W15" s="1539">
        <f ca="1">SUM(G15:V15)</f>
        <v>137.0678323267025</v>
      </c>
      <c r="Y15" s="1490">
        <f ca="1">Y9+Y12</f>
        <v>-51.065331063225948</v>
      </c>
      <c r="Z15" s="1490">
        <f t="shared" ref="Z15:AP15" ca="1" si="8">Z9+Z12</f>
        <v>0</v>
      </c>
      <c r="AA15" s="1490">
        <f t="shared" ca="1" si="8"/>
        <v>0</v>
      </c>
      <c r="AB15" s="1490">
        <f ca="1">AB9+AB12</f>
        <v>-20.512529300364694</v>
      </c>
      <c r="AC15" s="1490">
        <f t="shared" ca="1" si="8"/>
        <v>-56.35754261369722</v>
      </c>
      <c r="AD15" s="1490">
        <f t="shared" ca="1" si="8"/>
        <v>0</v>
      </c>
      <c r="AE15" s="1490">
        <f t="shared" ca="1" si="8"/>
        <v>0</v>
      </c>
      <c r="AF15" s="1490">
        <f t="shared" ca="1" si="8"/>
        <v>0</v>
      </c>
      <c r="AG15" s="1490">
        <f t="shared" ca="1" si="8"/>
        <v>0</v>
      </c>
      <c r="AH15" s="1490">
        <f t="shared" ca="1" si="8"/>
        <v>0</v>
      </c>
      <c r="AI15" s="1490">
        <f t="shared" ca="1" si="8"/>
        <v>0</v>
      </c>
      <c r="AJ15" s="1490">
        <f t="shared" ca="1" si="8"/>
        <v>0</v>
      </c>
      <c r="AK15" s="1490">
        <f t="shared" ca="1" si="8"/>
        <v>0</v>
      </c>
      <c r="AL15" s="1490">
        <f t="shared" ca="1" si="8"/>
        <v>-9.1110099367415884</v>
      </c>
      <c r="AM15" s="1490">
        <f t="shared" ca="1" si="8"/>
        <v>0</v>
      </c>
      <c r="AN15" s="1490">
        <f t="shared" ca="1" si="8"/>
        <v>0</v>
      </c>
      <c r="AO15" s="1490">
        <f t="shared" ca="1" si="8"/>
        <v>0</v>
      </c>
      <c r="AP15" s="1490">
        <f t="shared" ca="1" si="8"/>
        <v>0</v>
      </c>
      <c r="AQ15" s="1490">
        <f ca="1">SUM(Y15:AP15)</f>
        <v>-137.04641291402945</v>
      </c>
      <c r="AS15" s="1491">
        <f ca="1">AS9+AS12</f>
        <v>0</v>
      </c>
      <c r="AT15" s="1491">
        <f t="shared" ref="AT15:BJ15" ca="1" si="9">AT9+AT12</f>
        <v>0</v>
      </c>
      <c r="AU15" s="1491">
        <f t="shared" ca="1" si="9"/>
        <v>0</v>
      </c>
      <c r="AV15" s="1491">
        <f t="shared" ca="1" si="9"/>
        <v>0</v>
      </c>
      <c r="AW15" s="1491">
        <f t="shared" ca="1" si="9"/>
        <v>0</v>
      </c>
      <c r="AX15" s="1491">
        <f t="shared" ca="1" si="9"/>
        <v>0</v>
      </c>
      <c r="AY15" s="1491">
        <f t="shared" ca="1" si="9"/>
        <v>0</v>
      </c>
      <c r="AZ15" s="1491">
        <f t="shared" ca="1" si="9"/>
        <v>0</v>
      </c>
      <c r="BA15" s="1491">
        <f t="shared" ca="1" si="9"/>
        <v>0</v>
      </c>
      <c r="BB15" s="1491">
        <f t="shared" ca="1" si="9"/>
        <v>0</v>
      </c>
      <c r="BC15" s="1491">
        <f t="shared" ca="1" si="9"/>
        <v>-2.1419412673029041E-2</v>
      </c>
      <c r="BD15" s="1491">
        <f t="shared" ca="1" si="9"/>
        <v>0</v>
      </c>
      <c r="BE15" s="1491">
        <f t="shared" ca="1" si="9"/>
        <v>0</v>
      </c>
      <c r="BF15" s="1491">
        <f t="shared" ca="1" si="9"/>
        <v>0</v>
      </c>
      <c r="BG15" s="1491">
        <f t="shared" ca="1" si="9"/>
        <v>0</v>
      </c>
      <c r="BH15" s="1491">
        <f t="shared" ca="1" si="9"/>
        <v>0</v>
      </c>
      <c r="BI15" s="1491">
        <f t="shared" ca="1" si="9"/>
        <v>0</v>
      </c>
      <c r="BJ15" s="1491">
        <f t="shared" ca="1" si="9"/>
        <v>0</v>
      </c>
      <c r="BK15" s="1491">
        <f ca="1">BK9+BK12</f>
        <v>0</v>
      </c>
      <c r="BL15" s="1491">
        <f ca="1">SUM(AS15:BK15)</f>
        <v>-2.1419412673029041E-2</v>
      </c>
      <c r="BN15" s="1941">
        <f ca="1">BN9+BN12</f>
        <v>0</v>
      </c>
      <c r="BO15" s="1941">
        <f ca="1">BO9+BO12</f>
        <v>0</v>
      </c>
      <c r="BP15" s="1505">
        <f ca="1">BN15+BO15</f>
        <v>0</v>
      </c>
      <c r="BR15" s="3168">
        <f ca="1">W15+AQ15+BL15+BP15</f>
        <v>2.5653090762745023E-14</v>
      </c>
      <c r="BS15" s="1493"/>
      <c r="BT15" s="748"/>
      <c r="BU15" s="1508">
        <v>83.962192100216072</v>
      </c>
      <c r="BV15" s="1508">
        <v>0.16824651887377906</v>
      </c>
      <c r="BW15" s="1508">
        <v>0.29702226229713091</v>
      </c>
      <c r="BX15" s="1508">
        <v>0</v>
      </c>
      <c r="BY15" s="1508">
        <v>0</v>
      </c>
      <c r="BZ15" s="1508">
        <v>0</v>
      </c>
      <c r="CA15" s="1508">
        <v>0</v>
      </c>
      <c r="CB15" s="1508">
        <v>0</v>
      </c>
      <c r="CC15" s="1508">
        <v>0</v>
      </c>
      <c r="CD15" s="1508">
        <v>0</v>
      </c>
      <c r="CE15" s="1508">
        <v>0</v>
      </c>
      <c r="CF15" s="1508">
        <v>0</v>
      </c>
      <c r="CG15" s="1508">
        <v>0</v>
      </c>
      <c r="CH15" s="1508">
        <v>0</v>
      </c>
      <c r="CI15" s="1508">
        <v>0</v>
      </c>
      <c r="CJ15" s="1508">
        <v>0</v>
      </c>
      <c r="CK15" s="1508">
        <v>0</v>
      </c>
      <c r="CL15" s="1508">
        <v>0</v>
      </c>
      <c r="CM15" s="1508">
        <v>0</v>
      </c>
      <c r="CN15" s="1508">
        <v>0</v>
      </c>
      <c r="CO15" s="1508">
        <v>0</v>
      </c>
      <c r="CP15" s="1508">
        <v>0</v>
      </c>
      <c r="CQ15" s="1508">
        <v>0</v>
      </c>
      <c r="CR15" s="1508">
        <v>0</v>
      </c>
      <c r="CS15" s="1508">
        <v>0</v>
      </c>
      <c r="CT15" s="1508">
        <v>0</v>
      </c>
      <c r="CU15" s="1508">
        <v>0</v>
      </c>
      <c r="CV15" s="1508">
        <v>0</v>
      </c>
      <c r="CW15" s="1508">
        <v>0</v>
      </c>
      <c r="CX15" s="1508">
        <v>0</v>
      </c>
      <c r="CY15" s="1508">
        <v>0</v>
      </c>
      <c r="CZ15" s="1508">
        <v>0</v>
      </c>
      <c r="DA15" s="1508">
        <v>0</v>
      </c>
      <c r="DB15" s="1508">
        <v>0</v>
      </c>
      <c r="DC15" s="1508">
        <v>0</v>
      </c>
      <c r="DD15" s="1508">
        <v>0</v>
      </c>
      <c r="DE15" s="1508">
        <v>0</v>
      </c>
      <c r="DF15" s="1508">
        <v>0</v>
      </c>
      <c r="DG15" s="1508">
        <v>0</v>
      </c>
      <c r="DH15" s="1508">
        <v>0</v>
      </c>
      <c r="DI15" s="1508">
        <v>0</v>
      </c>
      <c r="DJ15" s="1508">
        <v>0</v>
      </c>
      <c r="DK15" s="1508">
        <v>0</v>
      </c>
      <c r="DL15" s="1508">
        <v>0</v>
      </c>
      <c r="DN15" s="1509">
        <v>84.427460881386978</v>
      </c>
    </row>
    <row r="16" spans="1:118" s="14" customFormat="1" ht="15.75" x14ac:dyDescent="0.2">
      <c r="A16" s="1534"/>
      <c r="B16" s="1535"/>
      <c r="C16" s="1536"/>
      <c r="D16" s="1537"/>
      <c r="E16" s="1538"/>
      <c r="G16" s="1539"/>
      <c r="H16" s="1539"/>
      <c r="I16" s="1539"/>
      <c r="J16" s="1539"/>
      <c r="K16" s="1539"/>
      <c r="L16" s="1539"/>
      <c r="M16" s="1539"/>
      <c r="N16" s="1539"/>
      <c r="O16" s="1539"/>
      <c r="P16" s="1539"/>
      <c r="Q16" s="1539"/>
      <c r="R16" s="1539"/>
      <c r="S16" s="1539"/>
      <c r="T16" s="1539"/>
      <c r="U16" s="1539"/>
      <c r="V16" s="1539"/>
      <c r="W16" s="1539"/>
      <c r="Y16" s="1490"/>
      <c r="Z16" s="1490"/>
      <c r="AA16" s="1490"/>
      <c r="AB16" s="1490"/>
      <c r="AC16" s="1490"/>
      <c r="AD16" s="1490"/>
      <c r="AE16" s="1490"/>
      <c r="AF16" s="1490"/>
      <c r="AG16" s="1490"/>
      <c r="AH16" s="1490"/>
      <c r="AI16" s="1490"/>
      <c r="AJ16" s="1490"/>
      <c r="AK16" s="1490"/>
      <c r="AL16" s="1490"/>
      <c r="AM16" s="1490"/>
      <c r="AN16" s="1490"/>
      <c r="AO16" s="1490"/>
      <c r="AP16" s="1490"/>
      <c r="AQ16" s="1490"/>
      <c r="AS16" s="1491"/>
      <c r="AT16" s="1491"/>
      <c r="AU16" s="1491"/>
      <c r="AV16" s="1491"/>
      <c r="AW16" s="1491"/>
      <c r="AX16" s="1491"/>
      <c r="AY16" s="1491"/>
      <c r="AZ16" s="1491"/>
      <c r="BA16" s="1491"/>
      <c r="BB16" s="1491"/>
      <c r="BC16" s="1491"/>
      <c r="BD16" s="1491"/>
      <c r="BE16" s="1491"/>
      <c r="BF16" s="1491"/>
      <c r="BG16" s="1491"/>
      <c r="BH16" s="1491"/>
      <c r="BI16" s="1491"/>
      <c r="BJ16" s="1491"/>
      <c r="BK16" s="1491"/>
      <c r="BL16" s="1491"/>
      <c r="BN16" s="1492"/>
      <c r="BO16" s="1492"/>
      <c r="BP16" s="1492"/>
      <c r="BR16" s="3168"/>
      <c r="BS16" s="1493"/>
      <c r="BT16" s="748"/>
      <c r="BU16" s="1508"/>
      <c r="BV16" s="1508"/>
      <c r="BW16" s="1508"/>
      <c r="BX16" s="1508"/>
      <c r="BY16" s="1508"/>
      <c r="BZ16" s="1508"/>
      <c r="CA16" s="1508"/>
      <c r="CB16" s="1508"/>
      <c r="CC16" s="1508"/>
      <c r="CD16" s="1508"/>
      <c r="CE16" s="1508"/>
      <c r="CF16" s="1508"/>
      <c r="CG16" s="1508"/>
      <c r="CH16" s="1508"/>
      <c r="CI16" s="1508"/>
      <c r="CJ16" s="1508"/>
      <c r="CK16" s="1508"/>
      <c r="CL16" s="1508"/>
      <c r="CM16" s="1508"/>
      <c r="CN16" s="1508"/>
      <c r="CO16" s="1508"/>
      <c r="CP16" s="1508"/>
      <c r="CQ16" s="1508"/>
      <c r="CR16" s="1508"/>
      <c r="CS16" s="1508"/>
      <c r="CT16" s="1508"/>
      <c r="CU16" s="1508"/>
      <c r="CV16" s="1508"/>
      <c r="CW16" s="1508"/>
      <c r="CX16" s="1508"/>
      <c r="CY16" s="1508"/>
      <c r="CZ16" s="1508"/>
      <c r="DA16" s="1508"/>
      <c r="DB16" s="1508"/>
      <c r="DC16" s="1508"/>
      <c r="DD16" s="1508"/>
      <c r="DE16" s="1508"/>
      <c r="DF16" s="1508"/>
      <c r="DG16" s="1508"/>
      <c r="DH16" s="1508"/>
      <c r="DI16" s="1508"/>
      <c r="DJ16" s="1508"/>
      <c r="DK16" s="1508"/>
      <c r="DL16" s="1508"/>
      <c r="DN16" s="1509"/>
    </row>
    <row r="17" spans="1:118" s="14" customFormat="1" ht="12.75" hidden="1" customHeight="1" outlineLevel="1" x14ac:dyDescent="0.2">
      <c r="A17" s="1522"/>
      <c r="B17" s="1522"/>
      <c r="C17" s="1496"/>
      <c r="D17" s="1497"/>
      <c r="E17" s="1497"/>
      <c r="G17" s="1499"/>
      <c r="H17" s="1499"/>
      <c r="I17" s="1499"/>
      <c r="J17" s="1499"/>
      <c r="K17" s="1499"/>
      <c r="L17" s="1499"/>
      <c r="M17" s="1499"/>
      <c r="N17" s="1499"/>
      <c r="O17" s="1499"/>
      <c r="P17" s="1499"/>
      <c r="Q17" s="1499"/>
      <c r="R17" s="1499"/>
      <c r="S17" s="1499"/>
      <c r="T17" s="1499"/>
      <c r="U17" s="1499"/>
      <c r="V17" s="1499"/>
      <c r="W17" s="1539">
        <f t="shared" ref="W17:W33" si="10">SUM(G17:V17)</f>
        <v>0</v>
      </c>
      <c r="Y17" s="1501"/>
      <c r="Z17" s="1501"/>
      <c r="AA17" s="1501"/>
      <c r="AB17" s="1501"/>
      <c r="AC17" s="1501"/>
      <c r="AD17" s="1501"/>
      <c r="AE17" s="1501"/>
      <c r="AF17" s="1501"/>
      <c r="AG17" s="1501"/>
      <c r="AH17" s="1501"/>
      <c r="AI17" s="1501"/>
      <c r="AJ17" s="1501"/>
      <c r="AK17" s="1501"/>
      <c r="AL17" s="1501"/>
      <c r="AM17" s="1501"/>
      <c r="AN17" s="1501"/>
      <c r="AO17" s="1501"/>
      <c r="AP17" s="1501"/>
      <c r="AQ17" s="1490">
        <f t="shared" ref="AQ17:AQ27" si="11">SUM(Y17:AP17)</f>
        <v>0</v>
      </c>
      <c r="AS17" s="1523"/>
      <c r="AT17" s="1523"/>
      <c r="AU17" s="1523"/>
      <c r="AV17" s="1523"/>
      <c r="AW17" s="1523"/>
      <c r="AX17" s="1523"/>
      <c r="AY17" s="1523"/>
      <c r="AZ17" s="1523"/>
      <c r="BA17" s="1523"/>
      <c r="BB17" s="1523"/>
      <c r="BC17" s="1523"/>
      <c r="BD17" s="1523"/>
      <c r="BE17" s="1523"/>
      <c r="BF17" s="1523"/>
      <c r="BG17" s="1523"/>
      <c r="BH17" s="1523"/>
      <c r="BI17" s="1523"/>
      <c r="BJ17" s="1523"/>
      <c r="BK17" s="1523"/>
      <c r="BL17" s="1524"/>
      <c r="BN17" s="1505"/>
      <c r="BO17" s="1505"/>
      <c r="BP17" s="1505"/>
      <c r="BR17" s="3168">
        <f t="shared" ref="BR17:BR76" si="12">W17+AQ17+BL17+BP17</f>
        <v>0</v>
      </c>
      <c r="BS17" s="1525"/>
      <c r="BT17" s="1522"/>
      <c r="BU17" s="1507"/>
      <c r="BV17" s="1508"/>
      <c r="BW17" s="1508"/>
      <c r="BX17" s="1508"/>
      <c r="BY17" s="1508"/>
      <c r="BZ17" s="1508"/>
      <c r="CA17" s="1508"/>
      <c r="CB17" s="1508"/>
      <c r="CC17" s="1508"/>
      <c r="CD17" s="1508"/>
      <c r="CE17" s="1508"/>
      <c r="CF17" s="1508"/>
      <c r="CG17" s="1508"/>
      <c r="CH17" s="1508"/>
      <c r="CI17" s="1508"/>
      <c r="CJ17" s="1508"/>
      <c r="CK17" s="1508"/>
      <c r="CL17" s="1508"/>
      <c r="CM17" s="1508"/>
      <c r="CN17" s="1508"/>
      <c r="CO17" s="1508"/>
      <c r="CP17" s="1508"/>
      <c r="CQ17" s="1508"/>
      <c r="CR17" s="1508"/>
      <c r="CS17" s="1508"/>
      <c r="CT17" s="1508"/>
      <c r="CU17" s="1508"/>
      <c r="CV17" s="1508"/>
      <c r="CW17" s="1508"/>
      <c r="CX17" s="1508"/>
      <c r="CY17" s="1508"/>
      <c r="CZ17" s="1508"/>
      <c r="DA17" s="1508"/>
      <c r="DB17" s="1508"/>
      <c r="DC17" s="1508"/>
      <c r="DD17" s="1508"/>
      <c r="DE17" s="1508"/>
      <c r="DF17" s="1508"/>
      <c r="DG17" s="1508"/>
      <c r="DH17" s="1508"/>
      <c r="DI17" s="1508"/>
      <c r="DJ17" s="1508"/>
      <c r="DK17" s="1508"/>
      <c r="DL17" s="1508"/>
      <c r="DN17" s="1509">
        <v>0</v>
      </c>
    </row>
    <row r="18" spans="1:118" s="14" customFormat="1" ht="12.75" hidden="1" customHeight="1" outlineLevel="1" x14ac:dyDescent="0.2">
      <c r="A18" s="1522"/>
      <c r="B18" s="1522"/>
      <c r="C18" s="1496" t="s">
        <v>425</v>
      </c>
      <c r="D18" s="14" t="str">
        <f>INDEX(Modulos[Modulos], MATCH($C18, Modulos[Código], 0))</f>
        <v>Procesos Industriales</v>
      </c>
      <c r="E18" s="1526"/>
      <c r="G18" s="1540">
        <f t="shared" ref="G18:V18" ca="1" si="13">IFERROR(INDEX(INDIRECT($C18&amp;".Outputs["&amp;this.Year&amp;"]"), MATCH(G$5, INDIRECT($C18&amp;".Outputs[Vector]"), 0)), 0)</f>
        <v>0</v>
      </c>
      <c r="H18" s="1540"/>
      <c r="I18" s="1540"/>
      <c r="J18" s="1540"/>
      <c r="K18" s="1540"/>
      <c r="L18" s="1540"/>
      <c r="M18" s="1540">
        <f t="shared" ca="1" si="13"/>
        <v>241.06883940080814</v>
      </c>
      <c r="N18" s="1540">
        <f t="shared" ca="1" si="13"/>
        <v>0</v>
      </c>
      <c r="O18" s="1540">
        <f t="shared" ca="1" si="13"/>
        <v>0</v>
      </c>
      <c r="P18" s="1540">
        <f t="shared" ca="1" si="13"/>
        <v>0</v>
      </c>
      <c r="Q18" s="1540">
        <f t="shared" ca="1" si="13"/>
        <v>0</v>
      </c>
      <c r="R18" s="1540">
        <f t="shared" ca="1" si="13"/>
        <v>0</v>
      </c>
      <c r="S18" s="1540">
        <f t="shared" ca="1" si="13"/>
        <v>0</v>
      </c>
      <c r="T18" s="1540">
        <f t="shared" ca="1" si="13"/>
        <v>0</v>
      </c>
      <c r="U18" s="1540">
        <f t="shared" ca="1" si="13"/>
        <v>0</v>
      </c>
      <c r="V18" s="1540">
        <f t="shared" ca="1" si="13"/>
        <v>0</v>
      </c>
      <c r="W18" s="1539">
        <f t="shared" ca="1" si="10"/>
        <v>241.06883940080814</v>
      </c>
      <c r="Y18" s="1541">
        <f t="shared" ref="Y18:AP18" ca="1" si="14">IFERROR(INDEX(INDIRECT($C18&amp;".Outputs["&amp;this.Year&amp;"]"), MATCH(Y$5, INDIRECT($C18&amp;".Outputs[Vector]"), 0)), 0)</f>
        <v>-79.976725821481068</v>
      </c>
      <c r="Z18" s="1541">
        <f t="shared" ca="1" si="14"/>
        <v>0</v>
      </c>
      <c r="AA18" s="1541">
        <f t="shared" ca="1" si="14"/>
        <v>-58.484364794060937</v>
      </c>
      <c r="AB18" s="1541">
        <f t="shared" ca="1" si="14"/>
        <v>-78.56087156745167</v>
      </c>
      <c r="AC18" s="1541">
        <f t="shared" ca="1" si="14"/>
        <v>-24.04687721781449</v>
      </c>
      <c r="AD18" s="1541">
        <f t="shared" ca="1" si="14"/>
        <v>0</v>
      </c>
      <c r="AE18" s="1541">
        <f t="shared" ca="1" si="14"/>
        <v>0</v>
      </c>
      <c r="AF18" s="1541">
        <f t="shared" ca="1" si="14"/>
        <v>0</v>
      </c>
      <c r="AG18" s="1541">
        <f t="shared" ca="1" si="14"/>
        <v>0</v>
      </c>
      <c r="AH18" s="1541">
        <f t="shared" ca="1" si="14"/>
        <v>0</v>
      </c>
      <c r="AI18" s="1541">
        <f t="shared" ca="1" si="14"/>
        <v>0</v>
      </c>
      <c r="AJ18" s="1541">
        <f t="shared" ca="1" si="14"/>
        <v>0</v>
      </c>
      <c r="AK18" s="1541">
        <f t="shared" ca="1" si="14"/>
        <v>0</v>
      </c>
      <c r="AL18" s="1541">
        <f t="shared" ca="1" si="14"/>
        <v>0</v>
      </c>
      <c r="AM18" s="1541">
        <f t="shared" ca="1" si="14"/>
        <v>0</v>
      </c>
      <c r="AN18" s="1541">
        <f t="shared" ca="1" si="14"/>
        <v>0</v>
      </c>
      <c r="AO18" s="1541">
        <f t="shared" ca="1" si="14"/>
        <v>0</v>
      </c>
      <c r="AP18" s="1541">
        <f t="shared" ca="1" si="14"/>
        <v>0</v>
      </c>
      <c r="AQ18" s="1490">
        <f t="shared" ca="1" si="11"/>
        <v>-241.06883940080814</v>
      </c>
      <c r="AS18" s="1542">
        <f t="shared" ref="AS18:BK18" ca="1" si="15">IFERROR(INDEX(INDIRECT($C18&amp;".Outputs["&amp;this.Year&amp;"]"), MATCH(AS$5, INDIRECT($C18&amp;".Outputs[Vector]"), 0)), 0)</f>
        <v>0</v>
      </c>
      <c r="AT18" s="1542">
        <f t="shared" ca="1" si="15"/>
        <v>0</v>
      </c>
      <c r="AU18" s="1542">
        <f t="shared" ca="1" si="15"/>
        <v>0</v>
      </c>
      <c r="AV18" s="1542">
        <f t="shared" ca="1" si="15"/>
        <v>0</v>
      </c>
      <c r="AW18" s="1542">
        <f t="shared" ca="1" si="15"/>
        <v>0</v>
      </c>
      <c r="AX18" s="1542">
        <f t="shared" ca="1" si="15"/>
        <v>0</v>
      </c>
      <c r="AY18" s="1542">
        <f t="shared" ca="1" si="15"/>
        <v>0</v>
      </c>
      <c r="AZ18" s="1542">
        <f t="shared" ca="1" si="15"/>
        <v>0</v>
      </c>
      <c r="BA18" s="1542">
        <f t="shared" ca="1" si="15"/>
        <v>0</v>
      </c>
      <c r="BB18" s="1542">
        <f t="shared" ca="1" si="15"/>
        <v>0</v>
      </c>
      <c r="BC18" s="1542">
        <f t="shared" ca="1" si="15"/>
        <v>0</v>
      </c>
      <c r="BD18" s="1542">
        <f t="shared" ca="1" si="15"/>
        <v>0</v>
      </c>
      <c r="BE18" s="1542">
        <f t="shared" ca="1" si="15"/>
        <v>0</v>
      </c>
      <c r="BF18" s="1542">
        <f t="shared" ca="1" si="15"/>
        <v>0</v>
      </c>
      <c r="BG18" s="1542">
        <f t="shared" ca="1" si="15"/>
        <v>0</v>
      </c>
      <c r="BH18" s="1542">
        <f t="shared" ca="1" si="15"/>
        <v>0</v>
      </c>
      <c r="BI18" s="1542">
        <f t="shared" ca="1" si="15"/>
        <v>0</v>
      </c>
      <c r="BJ18" s="1542">
        <f t="shared" ca="1" si="15"/>
        <v>0</v>
      </c>
      <c r="BK18" s="1542">
        <f t="shared" ca="1" si="15"/>
        <v>0</v>
      </c>
      <c r="BL18" s="1542">
        <f ca="1">SUM(AS18:BK18)</f>
        <v>0</v>
      </c>
      <c r="BN18" s="1941">
        <f ca="1">IFERROR(INDEX(INDIRECT($C18&amp;".Outputs["&amp;this.Year&amp;"]"), MATCH(BN$5, INDIRECT($C18&amp;".Outputs[Vector]"), 0)), 0)</f>
        <v>0</v>
      </c>
      <c r="BO18" s="1941">
        <f ca="1">IFERROR(INDEX(INDIRECT($C18&amp;".Outputs["&amp;this.Year&amp;"]"), MATCH(BO$5, INDIRECT($C18&amp;".Outputs[Vector]"), 0)), 0)</f>
        <v>0</v>
      </c>
      <c r="BP18" s="1505">
        <f ca="1">BN18+BO18</f>
        <v>0</v>
      </c>
      <c r="BR18" s="3168">
        <f t="shared" ca="1" si="12"/>
        <v>0</v>
      </c>
      <c r="BS18" s="1525"/>
      <c r="BT18" s="748"/>
      <c r="BU18" s="1532">
        <v>64.817912804929591</v>
      </c>
      <c r="BV18" s="1533">
        <v>0.13010783216178268</v>
      </c>
      <c r="BW18" s="1533">
        <v>0.57551021650787848</v>
      </c>
      <c r="BX18" s="1533">
        <v>0</v>
      </c>
      <c r="BY18" s="1533">
        <v>0</v>
      </c>
      <c r="BZ18" s="1533">
        <v>0</v>
      </c>
      <c r="CA18" s="1533">
        <v>0</v>
      </c>
      <c r="CB18" s="1533">
        <v>0</v>
      </c>
      <c r="CC18" s="1533">
        <v>14.39565925511863</v>
      </c>
      <c r="CD18" s="1533">
        <v>0.11288744235152412</v>
      </c>
      <c r="CE18" s="1533">
        <v>2.7624692105907238</v>
      </c>
      <c r="CF18" s="1533">
        <v>10.620296151887526</v>
      </c>
      <c r="CG18" s="1533">
        <v>0</v>
      </c>
      <c r="CH18" s="1533">
        <v>0</v>
      </c>
      <c r="CI18" s="1533">
        <v>0</v>
      </c>
      <c r="CJ18" s="1533">
        <v>0</v>
      </c>
      <c r="CK18" s="1533">
        <v>0</v>
      </c>
      <c r="CL18" s="1533">
        <v>0</v>
      </c>
      <c r="CM18" s="1533">
        <v>0</v>
      </c>
      <c r="CN18" s="1533">
        <v>0</v>
      </c>
      <c r="CO18" s="1533">
        <v>0</v>
      </c>
      <c r="CP18" s="1533">
        <v>0</v>
      </c>
      <c r="CQ18" s="1533">
        <v>0</v>
      </c>
      <c r="CR18" s="1533">
        <v>0</v>
      </c>
      <c r="CS18" s="1533">
        <v>0</v>
      </c>
      <c r="CT18" s="1533">
        <v>0</v>
      </c>
      <c r="CU18" s="1533">
        <v>0</v>
      </c>
      <c r="CV18" s="1533">
        <v>0</v>
      </c>
      <c r="CW18" s="1533">
        <v>0</v>
      </c>
      <c r="CX18" s="1533">
        <v>0</v>
      </c>
      <c r="CY18" s="1533">
        <v>0</v>
      </c>
      <c r="CZ18" s="1533">
        <v>0</v>
      </c>
      <c r="DA18" s="1533">
        <v>0</v>
      </c>
      <c r="DB18" s="1533">
        <v>0</v>
      </c>
      <c r="DC18" s="1533">
        <v>0</v>
      </c>
      <c r="DD18" s="1533">
        <v>0</v>
      </c>
      <c r="DE18" s="1533">
        <v>0</v>
      </c>
      <c r="DF18" s="1533">
        <v>0</v>
      </c>
      <c r="DG18" s="1533">
        <v>0</v>
      </c>
      <c r="DH18" s="1533">
        <v>0</v>
      </c>
      <c r="DI18" s="1533">
        <v>0</v>
      </c>
      <c r="DJ18" s="1533">
        <v>0</v>
      </c>
      <c r="DK18" s="1533">
        <v>0</v>
      </c>
      <c r="DL18" s="1533">
        <v>0</v>
      </c>
      <c r="DN18" s="1509">
        <v>93.414842913547659</v>
      </c>
    </row>
    <row r="19" spans="1:118" s="14" customFormat="1" ht="15.75" collapsed="1" x14ac:dyDescent="0.2">
      <c r="A19" s="1534"/>
      <c r="B19" s="1535"/>
      <c r="C19" s="1536" t="s">
        <v>578</v>
      </c>
      <c r="D19" s="1537" t="str">
        <f>INDEX(Flujos[Flujos], MATCH($C19, Flujos[Código], 0))</f>
        <v>Industria y Minería</v>
      </c>
      <c r="E19" s="1538"/>
      <c r="G19" s="1539">
        <f ca="1">G18</f>
        <v>0</v>
      </c>
      <c r="H19" s="1539">
        <f t="shared" ref="H19:V19" si="16">H18</f>
        <v>0</v>
      </c>
      <c r="I19" s="1539">
        <f t="shared" si="16"/>
        <v>0</v>
      </c>
      <c r="J19" s="1539">
        <f t="shared" si="16"/>
        <v>0</v>
      </c>
      <c r="K19" s="1539">
        <f t="shared" si="16"/>
        <v>0</v>
      </c>
      <c r="L19" s="1539">
        <f t="shared" si="16"/>
        <v>0</v>
      </c>
      <c r="M19" s="1539">
        <f t="shared" ca="1" si="16"/>
        <v>241.06883940080814</v>
      </c>
      <c r="N19" s="1539">
        <f t="shared" ca="1" si="16"/>
        <v>0</v>
      </c>
      <c r="O19" s="1539">
        <f t="shared" ca="1" si="16"/>
        <v>0</v>
      </c>
      <c r="P19" s="1539">
        <f t="shared" ca="1" si="16"/>
        <v>0</v>
      </c>
      <c r="Q19" s="1539">
        <f t="shared" ca="1" si="16"/>
        <v>0</v>
      </c>
      <c r="R19" s="1539">
        <f t="shared" ca="1" si="16"/>
        <v>0</v>
      </c>
      <c r="S19" s="1539">
        <f t="shared" ca="1" si="16"/>
        <v>0</v>
      </c>
      <c r="T19" s="1539">
        <f t="shared" ca="1" si="16"/>
        <v>0</v>
      </c>
      <c r="U19" s="1539">
        <f t="shared" ca="1" si="16"/>
        <v>0</v>
      </c>
      <c r="V19" s="1539">
        <f t="shared" ca="1" si="16"/>
        <v>0</v>
      </c>
      <c r="W19" s="1539">
        <f t="shared" ca="1" si="10"/>
        <v>241.06883940080814</v>
      </c>
      <c r="Y19" s="1490">
        <f ca="1">Y18</f>
        <v>-79.976725821481068</v>
      </c>
      <c r="Z19" s="1490">
        <f t="shared" ref="Z19:AP19" ca="1" si="17">Z18</f>
        <v>0</v>
      </c>
      <c r="AA19" s="1490">
        <f t="shared" ca="1" si="17"/>
        <v>-58.484364794060937</v>
      </c>
      <c r="AB19" s="1490">
        <f t="shared" ca="1" si="17"/>
        <v>-78.56087156745167</v>
      </c>
      <c r="AC19" s="1490">
        <f t="shared" ca="1" si="17"/>
        <v>-24.04687721781449</v>
      </c>
      <c r="AD19" s="1490">
        <f t="shared" ca="1" si="17"/>
        <v>0</v>
      </c>
      <c r="AE19" s="1490">
        <f t="shared" ca="1" si="17"/>
        <v>0</v>
      </c>
      <c r="AF19" s="1490">
        <f t="shared" ca="1" si="17"/>
        <v>0</v>
      </c>
      <c r="AG19" s="1490">
        <f t="shared" ca="1" si="17"/>
        <v>0</v>
      </c>
      <c r="AH19" s="1490">
        <f t="shared" ca="1" si="17"/>
        <v>0</v>
      </c>
      <c r="AI19" s="1490">
        <f t="shared" ca="1" si="17"/>
        <v>0</v>
      </c>
      <c r="AJ19" s="1490">
        <f t="shared" ca="1" si="17"/>
        <v>0</v>
      </c>
      <c r="AK19" s="1490">
        <f t="shared" ca="1" si="17"/>
        <v>0</v>
      </c>
      <c r="AL19" s="1490">
        <f t="shared" ca="1" si="17"/>
        <v>0</v>
      </c>
      <c r="AM19" s="1490">
        <f t="shared" ca="1" si="17"/>
        <v>0</v>
      </c>
      <c r="AN19" s="1490">
        <f t="shared" ca="1" si="17"/>
        <v>0</v>
      </c>
      <c r="AO19" s="1490">
        <f t="shared" ca="1" si="17"/>
        <v>0</v>
      </c>
      <c r="AP19" s="1490">
        <f t="shared" ca="1" si="17"/>
        <v>0</v>
      </c>
      <c r="AQ19" s="1490">
        <f t="shared" ca="1" si="11"/>
        <v>-241.06883940080814</v>
      </c>
      <c r="AS19" s="1491">
        <f ca="1">AS18</f>
        <v>0</v>
      </c>
      <c r="AT19" s="1491">
        <f t="shared" ref="AT19:BM19" ca="1" si="18">AT18</f>
        <v>0</v>
      </c>
      <c r="AU19" s="1491">
        <f t="shared" ca="1" si="18"/>
        <v>0</v>
      </c>
      <c r="AV19" s="1491">
        <f t="shared" ca="1" si="18"/>
        <v>0</v>
      </c>
      <c r="AW19" s="1491">
        <f t="shared" ca="1" si="18"/>
        <v>0</v>
      </c>
      <c r="AX19" s="1491">
        <f t="shared" ca="1" si="18"/>
        <v>0</v>
      </c>
      <c r="AY19" s="1491">
        <f t="shared" ca="1" si="18"/>
        <v>0</v>
      </c>
      <c r="AZ19" s="1491">
        <f t="shared" ca="1" si="18"/>
        <v>0</v>
      </c>
      <c r="BA19" s="1491">
        <f t="shared" ca="1" si="18"/>
        <v>0</v>
      </c>
      <c r="BB19" s="1491">
        <f t="shared" ca="1" si="18"/>
        <v>0</v>
      </c>
      <c r="BC19" s="1491">
        <f t="shared" ca="1" si="18"/>
        <v>0</v>
      </c>
      <c r="BD19" s="1491">
        <f t="shared" ca="1" si="18"/>
        <v>0</v>
      </c>
      <c r="BE19" s="1491">
        <f t="shared" ca="1" si="18"/>
        <v>0</v>
      </c>
      <c r="BF19" s="1491">
        <f t="shared" ca="1" si="18"/>
        <v>0</v>
      </c>
      <c r="BG19" s="1491">
        <f t="shared" ca="1" si="18"/>
        <v>0</v>
      </c>
      <c r="BH19" s="1491">
        <f t="shared" ca="1" si="18"/>
        <v>0</v>
      </c>
      <c r="BI19" s="1491">
        <f t="shared" ca="1" si="18"/>
        <v>0</v>
      </c>
      <c r="BJ19" s="1491">
        <f t="shared" ca="1" si="18"/>
        <v>0</v>
      </c>
      <c r="BK19" s="1491">
        <f t="shared" ca="1" si="18"/>
        <v>0</v>
      </c>
      <c r="BL19" s="1491">
        <f ca="1">BL18</f>
        <v>0</v>
      </c>
      <c r="BM19" s="1491">
        <f t="shared" si="18"/>
        <v>0</v>
      </c>
      <c r="BN19" s="1941">
        <f ca="1">BN18</f>
        <v>0</v>
      </c>
      <c r="BO19" s="1941">
        <f ca="1">BO18</f>
        <v>0</v>
      </c>
      <c r="BP19" s="1505">
        <f ca="1">BN19+BO19</f>
        <v>0</v>
      </c>
      <c r="BR19" s="3168">
        <f ca="1">W19+AQ19+BL19+BP19</f>
        <v>0</v>
      </c>
      <c r="BS19" s="1493"/>
      <c r="BT19" s="748"/>
      <c r="BU19" s="1508">
        <v>64.817912804929591</v>
      </c>
      <c r="BV19" s="1508">
        <v>0.13010783216178268</v>
      </c>
      <c r="BW19" s="1508">
        <v>0.57551021650787848</v>
      </c>
      <c r="BX19" s="1508">
        <v>0</v>
      </c>
      <c r="BY19" s="1508">
        <v>0</v>
      </c>
      <c r="BZ19" s="1508">
        <v>0</v>
      </c>
      <c r="CA19" s="1508">
        <v>0</v>
      </c>
      <c r="CB19" s="1508">
        <v>0</v>
      </c>
      <c r="CC19" s="1508">
        <v>14.39565925511863</v>
      </c>
      <c r="CD19" s="1508">
        <v>0.11288744235152412</v>
      </c>
      <c r="CE19" s="1508">
        <v>2.7624692105907238</v>
      </c>
      <c r="CF19" s="1508">
        <v>10.620296151887526</v>
      </c>
      <c r="CG19" s="1508">
        <v>0</v>
      </c>
      <c r="CH19" s="1508">
        <v>0</v>
      </c>
      <c r="CI19" s="1508">
        <v>0</v>
      </c>
      <c r="CJ19" s="1508">
        <v>0</v>
      </c>
      <c r="CK19" s="1508">
        <v>0</v>
      </c>
      <c r="CL19" s="1508">
        <v>0</v>
      </c>
      <c r="CM19" s="1508">
        <v>0</v>
      </c>
      <c r="CN19" s="1508">
        <v>0</v>
      </c>
      <c r="CO19" s="1508">
        <v>0</v>
      </c>
      <c r="CP19" s="1508">
        <v>0</v>
      </c>
      <c r="CQ19" s="1508">
        <v>0</v>
      </c>
      <c r="CR19" s="1508">
        <v>0</v>
      </c>
      <c r="CS19" s="1508">
        <v>0</v>
      </c>
      <c r="CT19" s="1508">
        <v>0</v>
      </c>
      <c r="CU19" s="1508">
        <v>0</v>
      </c>
      <c r="CV19" s="1508">
        <v>0</v>
      </c>
      <c r="CW19" s="1508">
        <v>0</v>
      </c>
      <c r="CX19" s="1508">
        <v>0</v>
      </c>
      <c r="CY19" s="1508">
        <v>0</v>
      </c>
      <c r="CZ19" s="1508">
        <v>0</v>
      </c>
      <c r="DA19" s="1508">
        <v>0</v>
      </c>
      <c r="DB19" s="1508">
        <v>0</v>
      </c>
      <c r="DC19" s="1508">
        <v>0</v>
      </c>
      <c r="DD19" s="1508">
        <v>0</v>
      </c>
      <c r="DE19" s="1508">
        <v>0</v>
      </c>
      <c r="DF19" s="1508">
        <v>0</v>
      </c>
      <c r="DG19" s="1508">
        <v>0</v>
      </c>
      <c r="DH19" s="1508">
        <v>0</v>
      </c>
      <c r="DI19" s="1508">
        <v>0</v>
      </c>
      <c r="DJ19" s="1508">
        <v>0</v>
      </c>
      <c r="DK19" s="1508">
        <v>0</v>
      </c>
      <c r="DL19" s="1508">
        <v>0</v>
      </c>
      <c r="DN19" s="1509">
        <v>93.414842913547659</v>
      </c>
    </row>
    <row r="20" spans="1:118" s="14" customFormat="1" ht="15.75" x14ac:dyDescent="0.2">
      <c r="A20" s="1534"/>
      <c r="B20" s="1535"/>
      <c r="C20" s="1536"/>
      <c r="D20" s="1537"/>
      <c r="E20" s="1538"/>
      <c r="G20" s="1539"/>
      <c r="H20" s="1539"/>
      <c r="I20" s="1539"/>
      <c r="J20" s="1539"/>
      <c r="K20" s="1539"/>
      <c r="L20" s="1539"/>
      <c r="M20" s="1539"/>
      <c r="N20" s="1539"/>
      <c r="O20" s="1539"/>
      <c r="P20" s="1539"/>
      <c r="Q20" s="1539"/>
      <c r="R20" s="1539"/>
      <c r="S20" s="1539"/>
      <c r="T20" s="1539"/>
      <c r="U20" s="1539"/>
      <c r="V20" s="1539"/>
      <c r="W20" s="1539"/>
      <c r="Y20" s="1490"/>
      <c r="Z20" s="1490"/>
      <c r="AA20" s="1490"/>
      <c r="AB20" s="1490"/>
      <c r="AC20" s="1490"/>
      <c r="AD20" s="1490"/>
      <c r="AE20" s="1490"/>
      <c r="AF20" s="1490"/>
      <c r="AG20" s="1490"/>
      <c r="AH20" s="1490"/>
      <c r="AI20" s="1490"/>
      <c r="AJ20" s="1490"/>
      <c r="AK20" s="1490"/>
      <c r="AL20" s="1490"/>
      <c r="AM20" s="1490"/>
      <c r="AN20" s="1490"/>
      <c r="AO20" s="1490"/>
      <c r="AP20" s="1490"/>
      <c r="AQ20" s="1490"/>
      <c r="AS20" s="1491"/>
      <c r="AT20" s="1491"/>
      <c r="AU20" s="1491"/>
      <c r="AV20" s="1491"/>
      <c r="AW20" s="1491"/>
      <c r="AX20" s="1491"/>
      <c r="AY20" s="1491"/>
      <c r="AZ20" s="1491"/>
      <c r="BA20" s="1491"/>
      <c r="BB20" s="1491"/>
      <c r="BC20" s="1491"/>
      <c r="BD20" s="1491"/>
      <c r="BE20" s="1491"/>
      <c r="BF20" s="1491"/>
      <c r="BG20" s="1491"/>
      <c r="BH20" s="1491"/>
      <c r="BI20" s="1491"/>
      <c r="BJ20" s="1491"/>
      <c r="BK20" s="1491"/>
      <c r="BL20" s="1491"/>
      <c r="BN20" s="1492"/>
      <c r="BO20" s="1492"/>
      <c r="BP20" s="1492"/>
      <c r="BR20" s="3168"/>
      <c r="BS20" s="1493"/>
      <c r="BT20" s="748"/>
      <c r="BU20" s="1508"/>
      <c r="BV20" s="1508"/>
      <c r="BW20" s="1508"/>
      <c r="BX20" s="1508"/>
      <c r="BY20" s="1508"/>
      <c r="BZ20" s="1508"/>
      <c r="CA20" s="1508"/>
      <c r="CB20" s="1508"/>
      <c r="CC20" s="1508"/>
      <c r="CD20" s="1508"/>
      <c r="CE20" s="1508"/>
      <c r="CF20" s="1508"/>
      <c r="CG20" s="1508"/>
      <c r="CH20" s="1508"/>
      <c r="CI20" s="1508"/>
      <c r="CJ20" s="1508"/>
      <c r="CK20" s="1508"/>
      <c r="CL20" s="1508"/>
      <c r="CM20" s="1508"/>
      <c r="CN20" s="1508"/>
      <c r="CO20" s="1508"/>
      <c r="CP20" s="1508"/>
      <c r="CQ20" s="1508"/>
      <c r="CR20" s="1508"/>
      <c r="CS20" s="1508"/>
      <c r="CT20" s="1508"/>
      <c r="CU20" s="1508"/>
      <c r="CV20" s="1508"/>
      <c r="CW20" s="1508"/>
      <c r="CX20" s="1508"/>
      <c r="CY20" s="1508"/>
      <c r="CZ20" s="1508"/>
      <c r="DA20" s="1508"/>
      <c r="DB20" s="1508"/>
      <c r="DC20" s="1508"/>
      <c r="DD20" s="1508"/>
      <c r="DE20" s="1508"/>
      <c r="DF20" s="1508"/>
      <c r="DG20" s="1508"/>
      <c r="DH20" s="1508"/>
      <c r="DI20" s="1508"/>
      <c r="DJ20" s="1508"/>
      <c r="DK20" s="1508"/>
      <c r="DL20" s="1508"/>
      <c r="DN20" s="1509"/>
    </row>
    <row r="21" spans="1:118" s="14" customFormat="1" ht="10.5" hidden="1" customHeight="1" outlineLevel="2" x14ac:dyDescent="0.2">
      <c r="A21" s="1495"/>
      <c r="B21" s="1495"/>
      <c r="C21" s="1511" t="s">
        <v>421</v>
      </c>
      <c r="D21" s="14" t="str">
        <f>INDEX(Modulos[Modulos], MATCH($C21, Modulos[Código], 0))</f>
        <v>Transporte de pasajeros</v>
      </c>
      <c r="E21" s="1512"/>
      <c r="G21" s="1889">
        <f t="shared" ref="G21:V21" ca="1" si="19">IFERROR(INDEX(INDIRECT($C21&amp;".Outputs["&amp;this.Year&amp;"]"), MATCH(G$5, INDIRECT($C21&amp;".Outputs[Vector]"), 0)), 0)</f>
        <v>0</v>
      </c>
      <c r="H21" s="1889"/>
      <c r="I21" s="1889"/>
      <c r="J21" s="1889"/>
      <c r="K21" s="1889"/>
      <c r="L21" s="1889"/>
      <c r="M21" s="1889">
        <f t="shared" ca="1" si="19"/>
        <v>0</v>
      </c>
      <c r="N21" s="1889">
        <f t="shared" ca="1" si="19"/>
        <v>81.966553559214447</v>
      </c>
      <c r="O21" s="1889">
        <f t="shared" ca="1" si="19"/>
        <v>34.386846640344736</v>
      </c>
      <c r="P21" s="1889">
        <f t="shared" ca="1" si="19"/>
        <v>0.64200954580250646</v>
      </c>
      <c r="Q21" s="1889">
        <f t="shared" ca="1" si="19"/>
        <v>8.959821225654771E-2</v>
      </c>
      <c r="R21" s="1888">
        <f t="shared" ca="1" si="19"/>
        <v>38.222272999940216</v>
      </c>
      <c r="S21" s="1889">
        <f t="shared" ca="1" si="19"/>
        <v>0</v>
      </c>
      <c r="T21" s="1889">
        <f t="shared" ca="1" si="19"/>
        <v>0</v>
      </c>
      <c r="U21" s="1889">
        <f t="shared" ca="1" si="19"/>
        <v>0</v>
      </c>
      <c r="V21" s="1889">
        <f t="shared" ca="1" si="19"/>
        <v>0</v>
      </c>
      <c r="W21" s="1539">
        <f t="shared" ca="1" si="10"/>
        <v>155.30728095755848</v>
      </c>
      <c r="Y21" s="1500">
        <f t="shared" ref="Y21:AP21" ca="1" si="20">IFERROR(INDEX(INDIRECT($C21&amp;".Outputs["&amp;this.Year&amp;"]"), MATCH(Y$5, INDIRECT($C21&amp;".Outputs[Vector]"), 0)), 0)</f>
        <v>-1.7133553926890308</v>
      </c>
      <c r="Z21" s="1500">
        <f t="shared" ca="1" si="20"/>
        <v>0</v>
      </c>
      <c r="AA21" s="1500">
        <f t="shared" ca="1" si="20"/>
        <v>0</v>
      </c>
      <c r="AB21" s="1500">
        <f t="shared" ca="1" si="20"/>
        <v>-153.59392556486944</v>
      </c>
      <c r="AC21" s="1500">
        <f t="shared" ca="1" si="20"/>
        <v>0</v>
      </c>
      <c r="AD21" s="1500">
        <f t="shared" ca="1" si="20"/>
        <v>0</v>
      </c>
      <c r="AE21" s="1500">
        <f t="shared" ca="1" si="20"/>
        <v>0</v>
      </c>
      <c r="AF21" s="1500">
        <f t="shared" ca="1" si="20"/>
        <v>0</v>
      </c>
      <c r="AG21" s="1500">
        <f t="shared" ca="1" si="20"/>
        <v>0</v>
      </c>
      <c r="AH21" s="1500">
        <f t="shared" ca="1" si="20"/>
        <v>0</v>
      </c>
      <c r="AI21" s="1500">
        <f t="shared" ca="1" si="20"/>
        <v>0</v>
      </c>
      <c r="AJ21" s="1500">
        <f t="shared" ca="1" si="20"/>
        <v>0</v>
      </c>
      <c r="AK21" s="1500">
        <f t="shared" ca="1" si="20"/>
        <v>0</v>
      </c>
      <c r="AL21" s="1500">
        <f t="shared" ca="1" si="20"/>
        <v>0</v>
      </c>
      <c r="AM21" s="1500">
        <f t="shared" ca="1" si="20"/>
        <v>0</v>
      </c>
      <c r="AN21" s="1500">
        <f t="shared" ca="1" si="20"/>
        <v>0</v>
      </c>
      <c r="AO21" s="1500">
        <f t="shared" ca="1" si="20"/>
        <v>0</v>
      </c>
      <c r="AP21" s="1500">
        <f t="shared" ca="1" si="20"/>
        <v>0</v>
      </c>
      <c r="AQ21" s="1490">
        <f ca="1">SUM(Y21:AP21)</f>
        <v>-155.30728095755848</v>
      </c>
      <c r="AS21" s="1491">
        <f>AS20</f>
        <v>0</v>
      </c>
      <c r="AT21" s="1491">
        <f t="shared" ref="AT21:BK21" si="21">AT20</f>
        <v>0</v>
      </c>
      <c r="AU21" s="1491">
        <f t="shared" si="21"/>
        <v>0</v>
      </c>
      <c r="AV21" s="1491">
        <f t="shared" si="21"/>
        <v>0</v>
      </c>
      <c r="AW21" s="1491">
        <f t="shared" si="21"/>
        <v>0</v>
      </c>
      <c r="AX21" s="1491">
        <f t="shared" si="21"/>
        <v>0</v>
      </c>
      <c r="AY21" s="1491">
        <f t="shared" si="21"/>
        <v>0</v>
      </c>
      <c r="AZ21" s="1491">
        <f t="shared" si="21"/>
        <v>0</v>
      </c>
      <c r="BA21" s="1491">
        <f t="shared" si="21"/>
        <v>0</v>
      </c>
      <c r="BB21" s="1491">
        <f t="shared" si="21"/>
        <v>0</v>
      </c>
      <c r="BC21" s="1491">
        <f t="shared" si="21"/>
        <v>0</v>
      </c>
      <c r="BD21" s="1491">
        <f t="shared" si="21"/>
        <v>0</v>
      </c>
      <c r="BE21" s="1491">
        <f t="shared" si="21"/>
        <v>0</v>
      </c>
      <c r="BF21" s="1491">
        <f t="shared" si="21"/>
        <v>0</v>
      </c>
      <c r="BG21" s="1491">
        <f t="shared" si="21"/>
        <v>0</v>
      </c>
      <c r="BH21" s="1491">
        <f t="shared" si="21"/>
        <v>0</v>
      </c>
      <c r="BI21" s="1491">
        <f t="shared" si="21"/>
        <v>0</v>
      </c>
      <c r="BJ21" s="1491">
        <f t="shared" si="21"/>
        <v>0</v>
      </c>
      <c r="BK21" s="1491">
        <f t="shared" si="21"/>
        <v>0</v>
      </c>
      <c r="BL21" s="1503">
        <f>SUM(AS21:BK21)</f>
        <v>0</v>
      </c>
      <c r="BN21" s="1941">
        <f ca="1">IFERROR(INDEX(INDIRECT($C21&amp;".Outputs["&amp;this.Year&amp;"]"), MATCH(BN$5, INDIRECT($C21&amp;".Outputs[Vector]"), 0)), 0)</f>
        <v>0</v>
      </c>
      <c r="BO21" s="1941">
        <f ca="1">IFERROR(INDEX(INDIRECT($C21&amp;".Outputs["&amp;this.Year&amp;"]"), MATCH(BO$5, INDIRECT($C21&amp;".Outputs[Vector]"), 0)), 0)</f>
        <v>0</v>
      </c>
      <c r="BP21" s="1505">
        <f ca="1">BN21+BO21</f>
        <v>0</v>
      </c>
      <c r="BR21" s="3168">
        <f t="shared" ca="1" si="12"/>
        <v>0</v>
      </c>
      <c r="BS21" s="1506"/>
      <c r="BT21" s="748"/>
      <c r="BU21" s="1507">
        <v>0</v>
      </c>
      <c r="BV21" s="1508">
        <v>0</v>
      </c>
      <c r="BW21" s="1508">
        <v>0</v>
      </c>
      <c r="BX21" s="1508">
        <v>0</v>
      </c>
      <c r="BY21" s="1508">
        <v>0</v>
      </c>
      <c r="BZ21" s="1508">
        <v>0</v>
      </c>
      <c r="CA21" s="1508">
        <v>0</v>
      </c>
      <c r="CB21" s="1508">
        <v>0</v>
      </c>
      <c r="CC21" s="1508">
        <v>0</v>
      </c>
      <c r="CD21" s="1508">
        <v>0</v>
      </c>
      <c r="CE21" s="1508">
        <v>0</v>
      </c>
      <c r="CF21" s="1508">
        <v>0</v>
      </c>
      <c r="CG21" s="1508">
        <v>0</v>
      </c>
      <c r="CH21" s="1508">
        <v>0</v>
      </c>
      <c r="CI21" s="1508">
        <v>0</v>
      </c>
      <c r="CJ21" s="1508">
        <v>0</v>
      </c>
      <c r="CK21" s="1508">
        <v>0</v>
      </c>
      <c r="CL21" s="1508">
        <v>0</v>
      </c>
      <c r="CM21" s="1508">
        <v>0</v>
      </c>
      <c r="CN21" s="1508">
        <v>0</v>
      </c>
      <c r="CO21" s="1508">
        <v>0</v>
      </c>
      <c r="CP21" s="1508">
        <v>0</v>
      </c>
      <c r="CQ21" s="1508">
        <v>0</v>
      </c>
      <c r="CR21" s="1508">
        <v>0</v>
      </c>
      <c r="CS21" s="1508">
        <v>0</v>
      </c>
      <c r="CT21" s="1508">
        <v>0</v>
      </c>
      <c r="CU21" s="1508">
        <v>0</v>
      </c>
      <c r="CV21" s="1508">
        <v>0</v>
      </c>
      <c r="CW21" s="1508">
        <v>0</v>
      </c>
      <c r="CX21" s="1508">
        <v>0</v>
      </c>
      <c r="CY21" s="1508">
        <v>0</v>
      </c>
      <c r="CZ21" s="1508">
        <v>0</v>
      </c>
      <c r="DA21" s="1508">
        <v>38.200000000000003</v>
      </c>
      <c r="DB21" s="1508">
        <v>4.7558849195905424E-2</v>
      </c>
      <c r="DC21" s="1508">
        <v>0.68729627526214465</v>
      </c>
      <c r="DD21" s="1508">
        <v>0</v>
      </c>
      <c r="DE21" s="1508">
        <v>0</v>
      </c>
      <c r="DF21" s="1508">
        <v>0</v>
      </c>
      <c r="DG21" s="1508">
        <v>0</v>
      </c>
      <c r="DH21" s="1508">
        <v>0</v>
      </c>
      <c r="DI21" s="1508">
        <v>0</v>
      </c>
      <c r="DJ21" s="1508">
        <v>0</v>
      </c>
      <c r="DK21" s="1508">
        <v>0</v>
      </c>
      <c r="DL21" s="1508">
        <v>0</v>
      </c>
      <c r="DN21" s="1509">
        <v>38.934855124458053</v>
      </c>
    </row>
    <row r="22" spans="1:118" s="14" customFormat="1" ht="10.5" hidden="1" customHeight="1" outlineLevel="2" x14ac:dyDescent="0.2">
      <c r="A22" s="1510"/>
      <c r="B22" s="1510"/>
      <c r="C22" s="1510"/>
      <c r="D22" s="1546"/>
      <c r="E22" s="1512"/>
      <c r="G22" s="1513"/>
      <c r="H22" s="1513"/>
      <c r="I22" s="1513"/>
      <c r="J22" s="1513"/>
      <c r="K22" s="1513"/>
      <c r="L22" s="1513"/>
      <c r="M22" s="1513"/>
      <c r="N22" s="1513"/>
      <c r="O22" s="1513"/>
      <c r="P22" s="1513"/>
      <c r="Q22" s="1513"/>
      <c r="R22" s="1513"/>
      <c r="S22" s="1513"/>
      <c r="T22" s="1513"/>
      <c r="U22" s="1513"/>
      <c r="V22" s="1513"/>
      <c r="W22" s="1539">
        <f t="shared" si="10"/>
        <v>0</v>
      </c>
      <c r="Y22" s="1515"/>
      <c r="Z22" s="1515"/>
      <c r="AA22" s="1515"/>
      <c r="AB22" s="1515"/>
      <c r="AC22" s="1515"/>
      <c r="AD22" s="1515"/>
      <c r="AE22" s="1515"/>
      <c r="AF22" s="1515"/>
      <c r="AG22" s="1515"/>
      <c r="AH22" s="1515"/>
      <c r="AI22" s="1515"/>
      <c r="AJ22" s="1515"/>
      <c r="AK22" s="1515"/>
      <c r="AL22" s="1515"/>
      <c r="AM22" s="1515"/>
      <c r="AN22" s="1515"/>
      <c r="AO22" s="1515"/>
      <c r="AP22" s="1515"/>
      <c r="AQ22" s="1490">
        <f t="shared" si="11"/>
        <v>0</v>
      </c>
      <c r="AS22" s="1517"/>
      <c r="AT22" s="1517"/>
      <c r="AU22" s="1517"/>
      <c r="AV22" s="1517"/>
      <c r="AW22" s="1517"/>
      <c r="AX22" s="1517"/>
      <c r="AY22" s="1517"/>
      <c r="AZ22" s="1517"/>
      <c r="BA22" s="1517"/>
      <c r="BB22" s="1517"/>
      <c r="BC22" s="1517"/>
      <c r="BD22" s="1517"/>
      <c r="BE22" s="1517"/>
      <c r="BF22" s="1517"/>
      <c r="BG22" s="1517"/>
      <c r="BH22" s="1517"/>
      <c r="BI22" s="1517"/>
      <c r="BJ22" s="1517"/>
      <c r="BK22" s="1517"/>
      <c r="BL22" s="1518"/>
      <c r="BN22" s="1519"/>
      <c r="BO22" s="1519"/>
      <c r="BP22" s="1520"/>
      <c r="BR22" s="3168">
        <f t="shared" si="12"/>
        <v>0</v>
      </c>
      <c r="BS22" s="1521"/>
      <c r="BT22" s="748"/>
      <c r="BU22" s="1507">
        <v>0</v>
      </c>
      <c r="BV22" s="1508">
        <v>0</v>
      </c>
      <c r="BW22" s="1508">
        <v>0</v>
      </c>
      <c r="BX22" s="1508">
        <v>0</v>
      </c>
      <c r="BY22" s="1508">
        <v>0</v>
      </c>
      <c r="BZ22" s="1508">
        <v>0</v>
      </c>
      <c r="CA22" s="1508">
        <v>0</v>
      </c>
      <c r="CB22" s="1508">
        <v>0</v>
      </c>
      <c r="CC22" s="1508">
        <v>0</v>
      </c>
      <c r="CD22" s="1508">
        <v>0</v>
      </c>
      <c r="CE22" s="1508">
        <v>0</v>
      </c>
      <c r="CF22" s="1508">
        <v>0</v>
      </c>
      <c r="CG22" s="1508">
        <v>0</v>
      </c>
      <c r="CH22" s="1508">
        <v>0</v>
      </c>
      <c r="CI22" s="1508">
        <v>0</v>
      </c>
      <c r="CJ22" s="1508">
        <v>0</v>
      </c>
      <c r="CK22" s="1508">
        <v>0</v>
      </c>
      <c r="CL22" s="1508">
        <v>0</v>
      </c>
      <c r="CM22" s="1508">
        <v>0</v>
      </c>
      <c r="CN22" s="1508">
        <v>0</v>
      </c>
      <c r="CO22" s="1508">
        <v>0</v>
      </c>
      <c r="CP22" s="1508">
        <v>0</v>
      </c>
      <c r="CQ22" s="1508">
        <v>0</v>
      </c>
      <c r="CR22" s="1508">
        <v>0</v>
      </c>
      <c r="CS22" s="1508">
        <v>0</v>
      </c>
      <c r="CT22" s="1508">
        <v>0</v>
      </c>
      <c r="CU22" s="1508">
        <v>0</v>
      </c>
      <c r="CV22" s="1508">
        <v>0</v>
      </c>
      <c r="CW22" s="1508">
        <v>0</v>
      </c>
      <c r="CX22" s="1508">
        <v>0</v>
      </c>
      <c r="CY22" s="1508">
        <v>0</v>
      </c>
      <c r="CZ22" s="1508">
        <v>0</v>
      </c>
      <c r="DA22" s="1508">
        <v>0</v>
      </c>
      <c r="DB22" s="1508">
        <v>0</v>
      </c>
      <c r="DC22" s="1508">
        <v>0</v>
      </c>
      <c r="DD22" s="1508">
        <v>0</v>
      </c>
      <c r="DE22" s="1508">
        <v>0</v>
      </c>
      <c r="DF22" s="1508">
        <v>0</v>
      </c>
      <c r="DG22" s="1508">
        <v>0</v>
      </c>
      <c r="DH22" s="1508">
        <v>0</v>
      </c>
      <c r="DI22" s="1508">
        <v>0</v>
      </c>
      <c r="DJ22" s="1508">
        <v>0</v>
      </c>
      <c r="DK22" s="1508">
        <v>0</v>
      </c>
      <c r="DL22" s="1508">
        <v>0</v>
      </c>
      <c r="DN22" s="1509">
        <v>0</v>
      </c>
    </row>
    <row r="23" spans="1:118" s="14" customFormat="1" ht="10.5" hidden="1" customHeight="1" outlineLevel="1" x14ac:dyDescent="0.2">
      <c r="A23" s="1522"/>
      <c r="B23" s="1522"/>
      <c r="C23" s="1522"/>
      <c r="D23" s="1545"/>
      <c r="E23" s="1512"/>
      <c r="G23" s="1499"/>
      <c r="H23" s="1499"/>
      <c r="I23" s="1499"/>
      <c r="J23" s="1499"/>
      <c r="K23" s="1499"/>
      <c r="L23" s="1499"/>
      <c r="M23" s="1499"/>
      <c r="N23" s="1499"/>
      <c r="O23" s="1499"/>
      <c r="P23" s="1499"/>
      <c r="Q23" s="1499"/>
      <c r="R23" s="1499"/>
      <c r="S23" s="1499"/>
      <c r="T23" s="1499"/>
      <c r="U23" s="1499"/>
      <c r="V23" s="1499"/>
      <c r="W23" s="1539">
        <f t="shared" si="10"/>
        <v>0</v>
      </c>
      <c r="Y23" s="1501"/>
      <c r="Z23" s="1501"/>
      <c r="AA23" s="1501"/>
      <c r="AB23" s="1501"/>
      <c r="AC23" s="1501"/>
      <c r="AD23" s="1501"/>
      <c r="AE23" s="1501"/>
      <c r="AF23" s="1501"/>
      <c r="AG23" s="1501"/>
      <c r="AH23" s="1501"/>
      <c r="AI23" s="1501"/>
      <c r="AJ23" s="1501"/>
      <c r="AK23" s="1501"/>
      <c r="AL23" s="1501"/>
      <c r="AM23" s="1501"/>
      <c r="AN23" s="1501"/>
      <c r="AO23" s="1501"/>
      <c r="AP23" s="1501"/>
      <c r="AQ23" s="1490">
        <f t="shared" si="11"/>
        <v>0</v>
      </c>
      <c r="AS23" s="1523"/>
      <c r="AT23" s="1523"/>
      <c r="AU23" s="1523"/>
      <c r="AV23" s="1523"/>
      <c r="AW23" s="1523"/>
      <c r="AX23" s="1523"/>
      <c r="AY23" s="1523"/>
      <c r="AZ23" s="1523"/>
      <c r="BA23" s="1523"/>
      <c r="BB23" s="1523"/>
      <c r="BC23" s="1523"/>
      <c r="BD23" s="1523"/>
      <c r="BE23" s="1523"/>
      <c r="BF23" s="1523"/>
      <c r="BG23" s="1523"/>
      <c r="BH23" s="1523"/>
      <c r="BI23" s="1523"/>
      <c r="BJ23" s="1523"/>
      <c r="BK23" s="1523"/>
      <c r="BL23" s="1503"/>
      <c r="BN23" s="1505"/>
      <c r="BO23" s="1505"/>
      <c r="BP23" s="1505"/>
      <c r="BR23" s="3168">
        <f t="shared" si="12"/>
        <v>0</v>
      </c>
      <c r="BS23" s="1506"/>
      <c r="BT23" s="748"/>
      <c r="BU23" s="1507">
        <v>0</v>
      </c>
      <c r="BV23" s="1508">
        <v>0</v>
      </c>
      <c r="BW23" s="1508">
        <v>0</v>
      </c>
      <c r="BX23" s="1508">
        <v>0</v>
      </c>
      <c r="BY23" s="1508">
        <v>0</v>
      </c>
      <c r="BZ23" s="1508">
        <v>0</v>
      </c>
      <c r="CA23" s="1508">
        <v>0</v>
      </c>
      <c r="CB23" s="1508">
        <v>0</v>
      </c>
      <c r="CC23" s="1508">
        <v>0</v>
      </c>
      <c r="CD23" s="1508">
        <v>0</v>
      </c>
      <c r="CE23" s="1508">
        <v>0</v>
      </c>
      <c r="CF23" s="1508">
        <v>0</v>
      </c>
      <c r="CG23" s="1508">
        <v>0</v>
      </c>
      <c r="CH23" s="1508">
        <v>0</v>
      </c>
      <c r="CI23" s="1508">
        <v>0</v>
      </c>
      <c r="CJ23" s="1508">
        <v>0</v>
      </c>
      <c r="CK23" s="1508">
        <v>0</v>
      </c>
      <c r="CL23" s="1508">
        <v>0</v>
      </c>
      <c r="CM23" s="1508">
        <v>0</v>
      </c>
      <c r="CN23" s="1508">
        <v>0</v>
      </c>
      <c r="CO23" s="1508">
        <v>0</v>
      </c>
      <c r="CP23" s="1508">
        <v>0</v>
      </c>
      <c r="CQ23" s="1508">
        <v>0</v>
      </c>
      <c r="CR23" s="1508">
        <v>0</v>
      </c>
      <c r="CS23" s="1508">
        <v>0</v>
      </c>
      <c r="CT23" s="1508">
        <v>0</v>
      </c>
      <c r="CU23" s="1508">
        <v>0</v>
      </c>
      <c r="CV23" s="1508">
        <v>0</v>
      </c>
      <c r="CW23" s="1508">
        <v>0</v>
      </c>
      <c r="CX23" s="1508">
        <v>0</v>
      </c>
      <c r="CY23" s="1508">
        <v>0</v>
      </c>
      <c r="CZ23" s="1508">
        <v>0</v>
      </c>
      <c r="DA23" s="1508">
        <v>38.200000000000003</v>
      </c>
      <c r="DB23" s="1508">
        <v>4.7558849195905424E-2</v>
      </c>
      <c r="DC23" s="1508">
        <v>0.68729627526214465</v>
      </c>
      <c r="DD23" s="1508">
        <v>0</v>
      </c>
      <c r="DE23" s="1508">
        <v>0</v>
      </c>
      <c r="DF23" s="1508">
        <v>0</v>
      </c>
      <c r="DG23" s="1508">
        <v>0</v>
      </c>
      <c r="DH23" s="1508">
        <v>0</v>
      </c>
      <c r="DI23" s="1508">
        <v>0</v>
      </c>
      <c r="DJ23" s="1508">
        <v>0</v>
      </c>
      <c r="DK23" s="1508">
        <v>0</v>
      </c>
      <c r="DL23" s="1508">
        <v>0</v>
      </c>
      <c r="DN23" s="1509">
        <v>38.934855124458053</v>
      </c>
    </row>
    <row r="24" spans="1:118" s="14" customFormat="1" ht="12.75" hidden="1" customHeight="1" outlineLevel="2" x14ac:dyDescent="0.2">
      <c r="A24" s="1495"/>
      <c r="B24" s="1495"/>
      <c r="C24" s="1496" t="s">
        <v>102</v>
      </c>
      <c r="D24" s="14" t="str">
        <f>INDEX(Modulos[Modulos], MATCH($C24, Modulos[Código], 0))</f>
        <v>Transporte de carga</v>
      </c>
      <c r="E24" s="1512"/>
      <c r="G24" s="1889">
        <f t="shared" ref="G24:V24" ca="1" si="22">IFERROR(INDEX(INDIRECT($C24&amp;".Outputs["&amp;this.Year&amp;"]"), MATCH(G$5, INDIRECT($C24&amp;".Outputs[Vector]"), 0)), 0)</f>
        <v>0</v>
      </c>
      <c r="H24" s="1889"/>
      <c r="I24" s="1889"/>
      <c r="J24" s="1889"/>
      <c r="K24" s="1889"/>
      <c r="L24" s="1889"/>
      <c r="M24" s="1889">
        <f t="shared" ca="1" si="22"/>
        <v>0</v>
      </c>
      <c r="N24" s="1889">
        <f t="shared" ca="1" si="22"/>
        <v>0</v>
      </c>
      <c r="O24" s="1889">
        <f t="shared" ca="1" si="22"/>
        <v>0</v>
      </c>
      <c r="P24" s="1889">
        <f t="shared" ca="1" si="22"/>
        <v>0</v>
      </c>
      <c r="Q24" s="1889">
        <f t="shared" ca="1" si="22"/>
        <v>0</v>
      </c>
      <c r="R24" s="1889">
        <f t="shared" ca="1" si="22"/>
        <v>0</v>
      </c>
      <c r="S24" s="1889">
        <f t="shared" ca="1" si="22"/>
        <v>10.652714024731472</v>
      </c>
      <c r="T24" s="1889">
        <f t="shared" ca="1" si="22"/>
        <v>12.075606800947295</v>
      </c>
      <c r="U24" s="1889">
        <f t="shared" ca="1" si="22"/>
        <v>7.6806278547464401E-3</v>
      </c>
      <c r="V24" s="1889">
        <f t="shared" ca="1" si="22"/>
        <v>0.44959875353967499</v>
      </c>
      <c r="W24" s="1539">
        <f t="shared" ca="1" si="10"/>
        <v>23.185600207073186</v>
      </c>
      <c r="Y24" s="1891">
        <f t="shared" ref="Y24:AP24" ca="1" si="23">IFERROR(INDEX(INDIRECT($C24&amp;".Outputs["&amp;this.Year&amp;"]"), MATCH(Y$5, INDIRECT($C24&amp;".Outputs[Vector]"), 0)), 0)</f>
        <v>0</v>
      </c>
      <c r="Z24" s="1891">
        <f t="shared" ca="1" si="23"/>
        <v>0</v>
      </c>
      <c r="AA24" s="1891">
        <f t="shared" ca="1" si="23"/>
        <v>0</v>
      </c>
      <c r="AB24" s="1891">
        <f t="shared" ca="1" si="23"/>
        <v>-23.185600207073186</v>
      </c>
      <c r="AC24" s="1891">
        <f t="shared" ca="1" si="23"/>
        <v>0</v>
      </c>
      <c r="AD24" s="1891">
        <f t="shared" ca="1" si="23"/>
        <v>0</v>
      </c>
      <c r="AE24" s="1891">
        <f t="shared" ca="1" si="23"/>
        <v>0</v>
      </c>
      <c r="AF24" s="1891">
        <f t="shared" ca="1" si="23"/>
        <v>0</v>
      </c>
      <c r="AG24" s="1891">
        <f t="shared" ca="1" si="23"/>
        <v>0</v>
      </c>
      <c r="AH24" s="1891">
        <f t="shared" ca="1" si="23"/>
        <v>0</v>
      </c>
      <c r="AI24" s="1891">
        <f t="shared" ca="1" si="23"/>
        <v>0</v>
      </c>
      <c r="AJ24" s="1891">
        <f t="shared" ca="1" si="23"/>
        <v>0</v>
      </c>
      <c r="AK24" s="1891">
        <f t="shared" ca="1" si="23"/>
        <v>0</v>
      </c>
      <c r="AL24" s="1891">
        <f t="shared" ca="1" si="23"/>
        <v>0</v>
      </c>
      <c r="AM24" s="1891">
        <f t="shared" ca="1" si="23"/>
        <v>0</v>
      </c>
      <c r="AN24" s="1891">
        <f t="shared" ca="1" si="23"/>
        <v>0</v>
      </c>
      <c r="AO24" s="1891">
        <f t="shared" ca="1" si="23"/>
        <v>0</v>
      </c>
      <c r="AP24" s="1891">
        <f t="shared" ca="1" si="23"/>
        <v>0</v>
      </c>
      <c r="AQ24" s="1490">
        <f t="shared" ca="1" si="11"/>
        <v>-23.185600207073186</v>
      </c>
      <c r="AS24" s="1491">
        <f>AS23</f>
        <v>0</v>
      </c>
      <c r="AT24" s="1491">
        <f t="shared" ref="AT24:BK24" si="24">AT23</f>
        <v>0</v>
      </c>
      <c r="AU24" s="1491">
        <f t="shared" si="24"/>
        <v>0</v>
      </c>
      <c r="AV24" s="1491">
        <f t="shared" si="24"/>
        <v>0</v>
      </c>
      <c r="AW24" s="1491">
        <f t="shared" si="24"/>
        <v>0</v>
      </c>
      <c r="AX24" s="1491">
        <f t="shared" si="24"/>
        <v>0</v>
      </c>
      <c r="AY24" s="1491">
        <f t="shared" si="24"/>
        <v>0</v>
      </c>
      <c r="AZ24" s="1491">
        <f t="shared" si="24"/>
        <v>0</v>
      </c>
      <c r="BA24" s="1491">
        <f t="shared" si="24"/>
        <v>0</v>
      </c>
      <c r="BB24" s="1491">
        <f t="shared" si="24"/>
        <v>0</v>
      </c>
      <c r="BC24" s="1491">
        <f t="shared" si="24"/>
        <v>0</v>
      </c>
      <c r="BD24" s="1491">
        <f t="shared" si="24"/>
        <v>0</v>
      </c>
      <c r="BE24" s="1491">
        <f t="shared" si="24"/>
        <v>0</v>
      </c>
      <c r="BF24" s="1491">
        <f t="shared" si="24"/>
        <v>0</v>
      </c>
      <c r="BG24" s="1491">
        <f t="shared" si="24"/>
        <v>0</v>
      </c>
      <c r="BH24" s="1491">
        <f t="shared" si="24"/>
        <v>0</v>
      </c>
      <c r="BI24" s="1491">
        <f t="shared" si="24"/>
        <v>0</v>
      </c>
      <c r="BJ24" s="1491">
        <f t="shared" si="24"/>
        <v>0</v>
      </c>
      <c r="BK24" s="1491">
        <f t="shared" si="24"/>
        <v>0</v>
      </c>
      <c r="BL24" s="1503">
        <f>SUM(AS24:BK24)</f>
        <v>0</v>
      </c>
      <c r="BN24" s="1941">
        <f ca="1">IFERROR(INDEX(INDIRECT($C24&amp;".Outputs["&amp;this.Year&amp;"]"), MATCH(BN$5, INDIRECT($C24&amp;".Outputs[Vector]"), 0)), 0)</f>
        <v>0</v>
      </c>
      <c r="BO24" s="1941">
        <f ca="1">IFERROR(INDEX(INDIRECT($C24&amp;".Outputs["&amp;this.Year&amp;"]"), MATCH(BO$5, INDIRECT($C24&amp;".Outputs[Vector]"), 0)), 0)</f>
        <v>0</v>
      </c>
      <c r="BP24" s="1505">
        <f ca="1">BN24+BO24</f>
        <v>0</v>
      </c>
      <c r="BR24" s="3168">
        <f t="shared" ca="1" si="12"/>
        <v>0</v>
      </c>
      <c r="BS24" s="1525"/>
      <c r="BT24" s="748"/>
      <c r="BU24" s="1507">
        <v>0</v>
      </c>
      <c r="BV24" s="1508">
        <v>0</v>
      </c>
      <c r="BW24" s="1508">
        <v>0</v>
      </c>
      <c r="BX24" s="1508">
        <v>0</v>
      </c>
      <c r="BY24" s="1508">
        <v>0</v>
      </c>
      <c r="BZ24" s="1508">
        <v>0</v>
      </c>
      <c r="CA24" s="1508">
        <v>0</v>
      </c>
      <c r="CB24" s="1508">
        <v>0</v>
      </c>
      <c r="CC24" s="1508">
        <v>0</v>
      </c>
      <c r="CD24" s="1508">
        <v>0</v>
      </c>
      <c r="CE24" s="1508">
        <v>0</v>
      </c>
      <c r="CF24" s="1508">
        <v>0</v>
      </c>
      <c r="CG24" s="1508">
        <v>0</v>
      </c>
      <c r="CH24" s="1508">
        <v>0</v>
      </c>
      <c r="CI24" s="1508">
        <v>0</v>
      </c>
      <c r="CJ24" s="1508">
        <v>0</v>
      </c>
      <c r="CK24" s="1508">
        <v>0</v>
      </c>
      <c r="CL24" s="1508">
        <v>0</v>
      </c>
      <c r="CM24" s="1508">
        <v>0</v>
      </c>
      <c r="CN24" s="1508">
        <v>0</v>
      </c>
      <c r="CO24" s="1508">
        <v>0</v>
      </c>
      <c r="CP24" s="1508">
        <v>0</v>
      </c>
      <c r="CQ24" s="1508">
        <v>0</v>
      </c>
      <c r="CR24" s="1508">
        <v>0</v>
      </c>
      <c r="CS24" s="1508">
        <v>0</v>
      </c>
      <c r="CT24" s="1508">
        <v>0</v>
      </c>
      <c r="CU24" s="1508">
        <v>0</v>
      </c>
      <c r="CV24" s="1508">
        <v>0</v>
      </c>
      <c r="CW24" s="1508">
        <v>0</v>
      </c>
      <c r="CX24" s="1508">
        <v>0</v>
      </c>
      <c r="CY24" s="1508">
        <v>0</v>
      </c>
      <c r="CZ24" s="1508">
        <v>0</v>
      </c>
      <c r="DA24" s="1508">
        <v>13.5395392718143</v>
      </c>
      <c r="DB24" s="1508">
        <v>1.6856672942676842E-2</v>
      </c>
      <c r="DC24" s="1508">
        <v>0.2436040552430235</v>
      </c>
      <c r="DD24" s="1508">
        <v>0</v>
      </c>
      <c r="DE24" s="1508">
        <v>0</v>
      </c>
      <c r="DF24" s="1508">
        <v>0</v>
      </c>
      <c r="DG24" s="1508">
        <v>0</v>
      </c>
      <c r="DH24" s="1508">
        <v>0</v>
      </c>
      <c r="DI24" s="1508">
        <v>0</v>
      </c>
      <c r="DJ24" s="1508">
        <v>0</v>
      </c>
      <c r="DK24" s="1508">
        <v>0</v>
      </c>
      <c r="DL24" s="1508">
        <v>0</v>
      </c>
      <c r="DN24" s="1509">
        <v>13.8</v>
      </c>
    </row>
    <row r="25" spans="1:118" s="14" customFormat="1" ht="10.5" hidden="1" customHeight="1" outlineLevel="2" x14ac:dyDescent="0.2">
      <c r="A25" s="1510"/>
      <c r="B25" s="1510"/>
      <c r="C25" s="1511"/>
      <c r="D25" s="1546"/>
      <c r="E25" s="1512"/>
      <c r="G25" s="1513"/>
      <c r="H25" s="1513"/>
      <c r="I25" s="1513"/>
      <c r="J25" s="1513"/>
      <c r="K25" s="1513"/>
      <c r="L25" s="1513"/>
      <c r="M25" s="1513"/>
      <c r="N25" s="1513"/>
      <c r="O25" s="1513"/>
      <c r="P25" s="1513"/>
      <c r="Q25" s="1513"/>
      <c r="R25" s="1513"/>
      <c r="S25" s="1513"/>
      <c r="T25" s="1513"/>
      <c r="U25" s="1513"/>
      <c r="V25" s="1513"/>
      <c r="W25" s="1539">
        <f t="shared" si="10"/>
        <v>0</v>
      </c>
      <c r="Y25" s="1515"/>
      <c r="Z25" s="1515"/>
      <c r="AA25" s="1515"/>
      <c r="AB25" s="1515"/>
      <c r="AC25" s="1515"/>
      <c r="AD25" s="1515"/>
      <c r="AE25" s="1515"/>
      <c r="AF25" s="1515"/>
      <c r="AG25" s="1515"/>
      <c r="AH25" s="1515"/>
      <c r="AI25" s="1515"/>
      <c r="AJ25" s="1515"/>
      <c r="AK25" s="1515"/>
      <c r="AL25" s="1515"/>
      <c r="AM25" s="1515"/>
      <c r="AN25" s="1515"/>
      <c r="AO25" s="1515"/>
      <c r="AP25" s="1515"/>
      <c r="AQ25" s="1490">
        <f t="shared" si="11"/>
        <v>0</v>
      </c>
      <c r="AS25" s="1517"/>
      <c r="AT25" s="1517"/>
      <c r="AU25" s="1517"/>
      <c r="AV25" s="1517"/>
      <c r="AW25" s="1517"/>
      <c r="AX25" s="1517"/>
      <c r="AY25" s="1517"/>
      <c r="AZ25" s="1517"/>
      <c r="BA25" s="1517"/>
      <c r="BB25" s="1517"/>
      <c r="BC25" s="1517"/>
      <c r="BD25" s="1517"/>
      <c r="BE25" s="1517"/>
      <c r="BF25" s="1517"/>
      <c r="BG25" s="1517"/>
      <c r="BH25" s="1517"/>
      <c r="BI25" s="1517"/>
      <c r="BJ25" s="1517"/>
      <c r="BK25" s="1517"/>
      <c r="BL25" s="1518"/>
      <c r="BN25" s="1519"/>
      <c r="BO25" s="1519"/>
      <c r="BP25" s="1520"/>
      <c r="BR25" s="3168">
        <f t="shared" si="12"/>
        <v>0</v>
      </c>
      <c r="BS25" s="1521"/>
      <c r="BT25" s="748"/>
      <c r="BU25" s="1507">
        <v>0</v>
      </c>
      <c r="BV25" s="1508">
        <v>0</v>
      </c>
      <c r="BW25" s="1508">
        <v>0</v>
      </c>
      <c r="BX25" s="1508">
        <v>0</v>
      </c>
      <c r="BY25" s="1508">
        <v>0</v>
      </c>
      <c r="BZ25" s="1508">
        <v>0</v>
      </c>
      <c r="CA25" s="1508">
        <v>0</v>
      </c>
      <c r="CB25" s="1508">
        <v>0</v>
      </c>
      <c r="CC25" s="1508">
        <v>0</v>
      </c>
      <c r="CD25" s="1508">
        <v>0</v>
      </c>
      <c r="CE25" s="1508">
        <v>0</v>
      </c>
      <c r="CF25" s="1508">
        <v>0</v>
      </c>
      <c r="CG25" s="1508">
        <v>0</v>
      </c>
      <c r="CH25" s="1508">
        <v>0</v>
      </c>
      <c r="CI25" s="1508">
        <v>0</v>
      </c>
      <c r="CJ25" s="1508">
        <v>0</v>
      </c>
      <c r="CK25" s="1508">
        <v>0</v>
      </c>
      <c r="CL25" s="1508">
        <v>0</v>
      </c>
      <c r="CM25" s="1508">
        <v>0</v>
      </c>
      <c r="CN25" s="1508">
        <v>0</v>
      </c>
      <c r="CO25" s="1508">
        <v>0</v>
      </c>
      <c r="CP25" s="1508">
        <v>0</v>
      </c>
      <c r="CQ25" s="1508">
        <v>0</v>
      </c>
      <c r="CR25" s="1508">
        <v>0</v>
      </c>
      <c r="CS25" s="1508">
        <v>0</v>
      </c>
      <c r="CT25" s="1508">
        <v>0</v>
      </c>
      <c r="CU25" s="1508">
        <v>0</v>
      </c>
      <c r="CV25" s="1508">
        <v>0</v>
      </c>
      <c r="CW25" s="1508">
        <v>0</v>
      </c>
      <c r="CX25" s="1508">
        <v>0</v>
      </c>
      <c r="CY25" s="1508">
        <v>0</v>
      </c>
      <c r="CZ25" s="1508">
        <v>0</v>
      </c>
      <c r="DA25" s="1508">
        <v>0</v>
      </c>
      <c r="DB25" s="1508">
        <v>0</v>
      </c>
      <c r="DC25" s="1508">
        <v>0</v>
      </c>
      <c r="DD25" s="1508">
        <v>0</v>
      </c>
      <c r="DE25" s="1508">
        <v>0</v>
      </c>
      <c r="DF25" s="1508">
        <v>0</v>
      </c>
      <c r="DG25" s="1508">
        <v>0</v>
      </c>
      <c r="DH25" s="1508">
        <v>0</v>
      </c>
      <c r="DI25" s="1508">
        <v>0</v>
      </c>
      <c r="DJ25" s="1508">
        <v>0</v>
      </c>
      <c r="DK25" s="1508">
        <v>0</v>
      </c>
      <c r="DL25" s="1508">
        <v>0</v>
      </c>
      <c r="DN25" s="1509">
        <v>0</v>
      </c>
    </row>
    <row r="26" spans="1:118" s="14" customFormat="1" ht="11.25" hidden="1" customHeight="1" outlineLevel="1" x14ac:dyDescent="0.2">
      <c r="A26" s="1522"/>
      <c r="B26" s="1522"/>
      <c r="D26" s="1547"/>
      <c r="E26" s="1526"/>
      <c r="G26" s="1527"/>
      <c r="H26" s="1527"/>
      <c r="I26" s="1527"/>
      <c r="J26" s="1527"/>
      <c r="K26" s="1527"/>
      <c r="L26" s="1527"/>
      <c r="M26" s="1527"/>
      <c r="N26" s="1527"/>
      <c r="O26" s="1527"/>
      <c r="P26" s="1527"/>
      <c r="Q26" s="1527"/>
      <c r="R26" s="1527"/>
      <c r="S26" s="1527"/>
      <c r="T26" s="1527"/>
      <c r="U26" s="1527"/>
      <c r="V26" s="1527"/>
      <c r="W26" s="1539">
        <f t="shared" si="10"/>
        <v>0</v>
      </c>
      <c r="Y26" s="1528"/>
      <c r="Z26" s="1528"/>
      <c r="AA26" s="1528"/>
      <c r="AB26" s="1528"/>
      <c r="AC26" s="1528"/>
      <c r="AD26" s="1548"/>
      <c r="AE26" s="1548"/>
      <c r="AF26" s="1548"/>
      <c r="AG26" s="1528"/>
      <c r="AH26" s="1528"/>
      <c r="AI26" s="1528"/>
      <c r="AJ26" s="1528"/>
      <c r="AK26" s="1528"/>
      <c r="AL26" s="1528"/>
      <c r="AM26" s="1528"/>
      <c r="AN26" s="1528"/>
      <c r="AO26" s="1528"/>
      <c r="AP26" s="1528"/>
      <c r="AQ26" s="1490">
        <f t="shared" si="11"/>
        <v>0</v>
      </c>
      <c r="AS26" s="1549"/>
      <c r="AT26" s="1549"/>
      <c r="AU26" s="1549"/>
      <c r="AV26" s="1549"/>
      <c r="AW26" s="1549"/>
      <c r="AX26" s="1549"/>
      <c r="AY26" s="1549"/>
      <c r="AZ26" s="1549"/>
      <c r="BA26" s="1549"/>
      <c r="BB26" s="1549"/>
      <c r="BC26" s="1549"/>
      <c r="BD26" s="1549"/>
      <c r="BE26" s="1549"/>
      <c r="BF26" s="1549"/>
      <c r="BG26" s="1549"/>
      <c r="BH26" s="1549"/>
      <c r="BI26" s="1549"/>
      <c r="BJ26" s="1549"/>
      <c r="BK26" s="1549"/>
      <c r="BL26" s="1550"/>
      <c r="BN26" s="1551"/>
      <c r="BO26" s="1551"/>
      <c r="BP26" s="1531"/>
      <c r="BR26" s="3168">
        <f t="shared" si="12"/>
        <v>0</v>
      </c>
      <c r="BS26" s="1506"/>
      <c r="BT26" s="1522"/>
      <c r="BU26" s="1532">
        <v>0</v>
      </c>
      <c r="BV26" s="1533">
        <v>0</v>
      </c>
      <c r="BW26" s="1533">
        <v>0</v>
      </c>
      <c r="BX26" s="1533">
        <v>0</v>
      </c>
      <c r="BY26" s="1533">
        <v>0</v>
      </c>
      <c r="BZ26" s="1533">
        <v>0</v>
      </c>
      <c r="CA26" s="1533">
        <v>0</v>
      </c>
      <c r="CB26" s="1533">
        <v>0</v>
      </c>
      <c r="CC26" s="1533">
        <v>0</v>
      </c>
      <c r="CD26" s="1533">
        <v>0</v>
      </c>
      <c r="CE26" s="1533">
        <v>0</v>
      </c>
      <c r="CF26" s="1533">
        <v>0</v>
      </c>
      <c r="CG26" s="1533">
        <v>0</v>
      </c>
      <c r="CH26" s="1533">
        <v>0</v>
      </c>
      <c r="CI26" s="1533">
        <v>0</v>
      </c>
      <c r="CJ26" s="1533">
        <v>0</v>
      </c>
      <c r="CK26" s="1533">
        <v>0</v>
      </c>
      <c r="CL26" s="1533">
        <v>0</v>
      </c>
      <c r="CM26" s="1533">
        <v>0</v>
      </c>
      <c r="CN26" s="1533">
        <v>0</v>
      </c>
      <c r="CO26" s="1533">
        <v>0</v>
      </c>
      <c r="CP26" s="1533">
        <v>0</v>
      </c>
      <c r="CQ26" s="1533">
        <v>0</v>
      </c>
      <c r="CR26" s="1533">
        <v>0</v>
      </c>
      <c r="CS26" s="1533">
        <v>0</v>
      </c>
      <c r="CT26" s="1533">
        <v>0</v>
      </c>
      <c r="CU26" s="1533">
        <v>0</v>
      </c>
      <c r="CV26" s="1533">
        <v>0</v>
      </c>
      <c r="CW26" s="1533">
        <v>0</v>
      </c>
      <c r="CX26" s="1533">
        <v>0</v>
      </c>
      <c r="CY26" s="1533">
        <v>0</v>
      </c>
      <c r="CZ26" s="1533">
        <v>0</v>
      </c>
      <c r="DA26" s="1533">
        <v>13.5395392718143</v>
      </c>
      <c r="DB26" s="1533">
        <v>1.6856672942676842E-2</v>
      </c>
      <c r="DC26" s="1533">
        <v>0.2436040552430235</v>
      </c>
      <c r="DD26" s="1533">
        <v>0</v>
      </c>
      <c r="DE26" s="1533">
        <v>0</v>
      </c>
      <c r="DF26" s="1533">
        <v>0</v>
      </c>
      <c r="DG26" s="1533">
        <v>0</v>
      </c>
      <c r="DH26" s="1533">
        <v>0</v>
      </c>
      <c r="DI26" s="1533">
        <v>0</v>
      </c>
      <c r="DJ26" s="1533">
        <v>0</v>
      </c>
      <c r="DK26" s="1533">
        <v>0</v>
      </c>
      <c r="DL26" s="1533">
        <v>0</v>
      </c>
      <c r="DN26" s="1509">
        <v>13.8</v>
      </c>
    </row>
    <row r="27" spans="1:118" s="14" customFormat="1" ht="15.75" collapsed="1" x14ac:dyDescent="0.2">
      <c r="A27" s="1534"/>
      <c r="B27" s="1535"/>
      <c r="C27" s="1536" t="s">
        <v>579</v>
      </c>
      <c r="D27" s="1537" t="str">
        <f>INDEX(Flujos[Flujos], MATCH($C27, Flujos[Código], 0))</f>
        <v>Transporte</v>
      </c>
      <c r="E27" s="1538"/>
      <c r="G27" s="1539">
        <f ca="1">G21+G24</f>
        <v>0</v>
      </c>
      <c r="H27" s="1539">
        <f t="shared" ref="H27:V27" si="25">H21+H24</f>
        <v>0</v>
      </c>
      <c r="I27" s="1539">
        <f t="shared" si="25"/>
        <v>0</v>
      </c>
      <c r="J27" s="1539">
        <f t="shared" si="25"/>
        <v>0</v>
      </c>
      <c r="K27" s="1539">
        <f t="shared" si="25"/>
        <v>0</v>
      </c>
      <c r="L27" s="1539">
        <f t="shared" si="25"/>
        <v>0</v>
      </c>
      <c r="M27" s="1539">
        <f t="shared" ca="1" si="25"/>
        <v>0</v>
      </c>
      <c r="N27" s="1892">
        <f t="shared" ca="1" si="25"/>
        <v>81.966553559214447</v>
      </c>
      <c r="O27" s="1892">
        <f t="shared" ca="1" si="25"/>
        <v>34.386846640344736</v>
      </c>
      <c r="P27" s="1892">
        <f t="shared" ca="1" si="25"/>
        <v>0.64200954580250646</v>
      </c>
      <c r="Q27" s="1892">
        <f t="shared" ca="1" si="25"/>
        <v>8.959821225654771E-2</v>
      </c>
      <c r="R27" s="1892">
        <f t="shared" ca="1" si="25"/>
        <v>38.222272999940216</v>
      </c>
      <c r="S27" s="1892">
        <f t="shared" ca="1" si="25"/>
        <v>10.652714024731472</v>
      </c>
      <c r="T27" s="1892">
        <f t="shared" ca="1" si="25"/>
        <v>12.075606800947295</v>
      </c>
      <c r="U27" s="1892">
        <f t="shared" ca="1" si="25"/>
        <v>7.6806278547464401E-3</v>
      </c>
      <c r="V27" s="1892">
        <f t="shared" ca="1" si="25"/>
        <v>0.44959875353967499</v>
      </c>
      <c r="W27" s="1539">
        <f t="shared" ca="1" si="10"/>
        <v>178.49288116463165</v>
      </c>
      <c r="Y27" s="1893">
        <f ca="1">Y21+Y24</f>
        <v>-1.7133553926890308</v>
      </c>
      <c r="Z27" s="1893">
        <f t="shared" ref="Z27:AP27" ca="1" si="26">Z21+Z24</f>
        <v>0</v>
      </c>
      <c r="AA27" s="1893">
        <f t="shared" ca="1" si="26"/>
        <v>0</v>
      </c>
      <c r="AB27" s="1893">
        <f ca="1">AB21+AB24</f>
        <v>-176.77952577194262</v>
      </c>
      <c r="AC27" s="1893">
        <f t="shared" ca="1" si="26"/>
        <v>0</v>
      </c>
      <c r="AD27" s="1893">
        <f t="shared" ca="1" si="26"/>
        <v>0</v>
      </c>
      <c r="AE27" s="1893">
        <f t="shared" ca="1" si="26"/>
        <v>0</v>
      </c>
      <c r="AF27" s="1893">
        <f t="shared" ca="1" si="26"/>
        <v>0</v>
      </c>
      <c r="AG27" s="1893">
        <f t="shared" ca="1" si="26"/>
        <v>0</v>
      </c>
      <c r="AH27" s="1893">
        <f t="shared" ca="1" si="26"/>
        <v>0</v>
      </c>
      <c r="AI27" s="1893">
        <f t="shared" ca="1" si="26"/>
        <v>0</v>
      </c>
      <c r="AJ27" s="1893">
        <f t="shared" ca="1" si="26"/>
        <v>0</v>
      </c>
      <c r="AK27" s="1893">
        <f t="shared" ca="1" si="26"/>
        <v>0</v>
      </c>
      <c r="AL27" s="1893">
        <f t="shared" ca="1" si="26"/>
        <v>0</v>
      </c>
      <c r="AM27" s="1893">
        <f t="shared" ca="1" si="26"/>
        <v>0</v>
      </c>
      <c r="AN27" s="1893">
        <f t="shared" ca="1" si="26"/>
        <v>0</v>
      </c>
      <c r="AO27" s="1893">
        <f t="shared" ca="1" si="26"/>
        <v>0</v>
      </c>
      <c r="AP27" s="1893">
        <f t="shared" ca="1" si="26"/>
        <v>0</v>
      </c>
      <c r="AQ27" s="1490">
        <f t="shared" ca="1" si="11"/>
        <v>-178.49288116463165</v>
      </c>
      <c r="AS27" s="1491">
        <f>AS26</f>
        <v>0</v>
      </c>
      <c r="AT27" s="1491">
        <f t="shared" ref="AT27:BK27" si="27">AT26</f>
        <v>0</v>
      </c>
      <c r="AU27" s="1491">
        <f t="shared" si="27"/>
        <v>0</v>
      </c>
      <c r="AV27" s="1491">
        <f t="shared" si="27"/>
        <v>0</v>
      </c>
      <c r="AW27" s="1491">
        <f t="shared" si="27"/>
        <v>0</v>
      </c>
      <c r="AX27" s="1491">
        <f t="shared" si="27"/>
        <v>0</v>
      </c>
      <c r="AY27" s="1491">
        <f t="shared" si="27"/>
        <v>0</v>
      </c>
      <c r="AZ27" s="1491">
        <f t="shared" si="27"/>
        <v>0</v>
      </c>
      <c r="BA27" s="1491">
        <f t="shared" si="27"/>
        <v>0</v>
      </c>
      <c r="BB27" s="1491">
        <f t="shared" si="27"/>
        <v>0</v>
      </c>
      <c r="BC27" s="1491">
        <f t="shared" si="27"/>
        <v>0</v>
      </c>
      <c r="BD27" s="1491">
        <f t="shared" si="27"/>
        <v>0</v>
      </c>
      <c r="BE27" s="1491">
        <f t="shared" si="27"/>
        <v>0</v>
      </c>
      <c r="BF27" s="1491">
        <f t="shared" si="27"/>
        <v>0</v>
      </c>
      <c r="BG27" s="1491">
        <f t="shared" si="27"/>
        <v>0</v>
      </c>
      <c r="BH27" s="1491">
        <f t="shared" si="27"/>
        <v>0</v>
      </c>
      <c r="BI27" s="1491">
        <f t="shared" si="27"/>
        <v>0</v>
      </c>
      <c r="BJ27" s="1491">
        <f t="shared" si="27"/>
        <v>0</v>
      </c>
      <c r="BK27" s="1491">
        <f t="shared" si="27"/>
        <v>0</v>
      </c>
      <c r="BL27" s="1503">
        <f>SUM(AS27:BK27)</f>
        <v>0</v>
      </c>
      <c r="BN27" s="1941">
        <f ca="1">BN24+BN21</f>
        <v>0</v>
      </c>
      <c r="BO27" s="1941">
        <f ca="1">BO24+BO21</f>
        <v>0</v>
      </c>
      <c r="BP27" s="1505">
        <f ca="1">BN27+BO27</f>
        <v>0</v>
      </c>
      <c r="BR27" s="3168">
        <f t="shared" ca="1" si="12"/>
        <v>0</v>
      </c>
      <c r="BS27" s="1493"/>
      <c r="BT27" s="748"/>
      <c r="BU27" s="1508">
        <v>131.46551968326995</v>
      </c>
      <c r="BV27" s="1508">
        <v>0.16367405301251234</v>
      </c>
      <c r="BW27" s="1508">
        <v>2.365334083866848</v>
      </c>
      <c r="BX27" s="1508">
        <v>0</v>
      </c>
      <c r="BY27" s="1508">
        <v>0</v>
      </c>
      <c r="BZ27" s="1508">
        <v>0</v>
      </c>
      <c r="CA27" s="1508">
        <v>0</v>
      </c>
      <c r="CB27" s="1508">
        <v>0</v>
      </c>
      <c r="CC27" s="1508">
        <v>0</v>
      </c>
      <c r="CD27" s="1508">
        <v>0</v>
      </c>
      <c r="CE27" s="1508">
        <v>0</v>
      </c>
      <c r="CF27" s="1508">
        <v>0</v>
      </c>
      <c r="CG27" s="1508">
        <v>0</v>
      </c>
      <c r="CH27" s="1508">
        <v>0</v>
      </c>
      <c r="CI27" s="1508">
        <v>0</v>
      </c>
      <c r="CJ27" s="1508">
        <v>0</v>
      </c>
      <c r="CK27" s="1508">
        <v>0</v>
      </c>
      <c r="CL27" s="1508">
        <v>0</v>
      </c>
      <c r="CM27" s="1508">
        <v>0</v>
      </c>
      <c r="CN27" s="1508">
        <v>0</v>
      </c>
      <c r="CO27" s="1508">
        <v>0</v>
      </c>
      <c r="CP27" s="1508">
        <v>0</v>
      </c>
      <c r="CQ27" s="1508">
        <v>0</v>
      </c>
      <c r="CR27" s="1508">
        <v>0</v>
      </c>
      <c r="CS27" s="1508">
        <v>0</v>
      </c>
      <c r="CT27" s="1508">
        <v>0</v>
      </c>
      <c r="CU27" s="1508">
        <v>0</v>
      </c>
      <c r="CV27" s="1508">
        <v>0</v>
      </c>
      <c r="CW27" s="1508">
        <v>0</v>
      </c>
      <c r="CX27" s="1508">
        <v>0</v>
      </c>
      <c r="CY27" s="1508">
        <v>0</v>
      </c>
      <c r="CZ27" s="1508">
        <v>0</v>
      </c>
      <c r="DA27" s="1508">
        <v>51.739539271814301</v>
      </c>
      <c r="DB27" s="1508">
        <v>6.441552213858226E-2</v>
      </c>
      <c r="DC27" s="1508">
        <v>0.93090033050516818</v>
      </c>
      <c r="DD27" s="1508">
        <v>0</v>
      </c>
      <c r="DE27" s="1508">
        <v>0</v>
      </c>
      <c r="DF27" s="1508">
        <v>0</v>
      </c>
      <c r="DG27" s="1508">
        <v>0</v>
      </c>
      <c r="DH27" s="1508">
        <v>0</v>
      </c>
      <c r="DI27" s="1508">
        <v>0</v>
      </c>
      <c r="DJ27" s="1508">
        <v>0</v>
      </c>
      <c r="DK27" s="1508">
        <v>0</v>
      </c>
      <c r="DL27" s="1508">
        <v>0</v>
      </c>
      <c r="DN27" s="1509">
        <v>186.72938294460735</v>
      </c>
    </row>
    <row r="28" spans="1:118" s="14" customFormat="1" ht="15.75" x14ac:dyDescent="0.2">
      <c r="A28" s="1534"/>
      <c r="B28" s="1535"/>
      <c r="C28" s="1536"/>
      <c r="D28" s="1537"/>
      <c r="E28" s="1538"/>
      <c r="G28" s="1539"/>
      <c r="H28" s="1539"/>
      <c r="I28" s="1539"/>
      <c r="J28" s="1539"/>
      <c r="K28" s="1539"/>
      <c r="L28" s="1539"/>
      <c r="M28" s="1539"/>
      <c r="N28" s="1539"/>
      <c r="O28" s="1539"/>
      <c r="P28" s="1539"/>
      <c r="Q28" s="1539"/>
      <c r="R28" s="1539"/>
      <c r="S28" s="1539"/>
      <c r="T28" s="1539"/>
      <c r="U28" s="1539"/>
      <c r="V28" s="1539"/>
      <c r="W28" s="1539"/>
      <c r="Y28" s="1490"/>
      <c r="Z28" s="1490"/>
      <c r="AA28" s="1490"/>
      <c r="AB28" s="1490"/>
      <c r="AC28" s="1490"/>
      <c r="AD28" s="1490"/>
      <c r="AE28" s="1490"/>
      <c r="AF28" s="1490"/>
      <c r="AG28" s="1490"/>
      <c r="AH28" s="1490"/>
      <c r="AI28" s="1490"/>
      <c r="AJ28" s="1490"/>
      <c r="AK28" s="1490"/>
      <c r="AL28" s="1490"/>
      <c r="AM28" s="1490"/>
      <c r="AN28" s="1490"/>
      <c r="AO28" s="1490"/>
      <c r="AP28" s="1490"/>
      <c r="AQ28" s="1490"/>
      <c r="AS28" s="1491"/>
      <c r="AT28" s="1491"/>
      <c r="AU28" s="1491"/>
      <c r="AV28" s="1491"/>
      <c r="AW28" s="1491"/>
      <c r="AX28" s="1491"/>
      <c r="AY28" s="1491"/>
      <c r="AZ28" s="1491"/>
      <c r="BA28" s="1491"/>
      <c r="BB28" s="1491"/>
      <c r="BC28" s="1491"/>
      <c r="BD28" s="1491"/>
      <c r="BE28" s="1491"/>
      <c r="BF28" s="1491"/>
      <c r="BG28" s="1491"/>
      <c r="BH28" s="1491"/>
      <c r="BI28" s="1491"/>
      <c r="BJ28" s="1491"/>
      <c r="BK28" s="1491"/>
      <c r="BL28" s="1491"/>
      <c r="BN28" s="1492"/>
      <c r="BO28" s="1492"/>
      <c r="BP28" s="1492"/>
      <c r="BR28" s="3168"/>
      <c r="BS28" s="1493"/>
      <c r="BT28" s="748"/>
      <c r="BU28" s="1508"/>
      <c r="BV28" s="1508"/>
      <c r="BW28" s="1508"/>
      <c r="BX28" s="1508"/>
      <c r="BY28" s="1508"/>
      <c r="BZ28" s="1508"/>
      <c r="CA28" s="1508"/>
      <c r="CB28" s="1508"/>
      <c r="CC28" s="1508"/>
      <c r="CD28" s="1508"/>
      <c r="CE28" s="1508"/>
      <c r="CF28" s="1508"/>
      <c r="CG28" s="1508"/>
      <c r="CH28" s="1508"/>
      <c r="CI28" s="1508"/>
      <c r="CJ28" s="1508"/>
      <c r="CK28" s="1508"/>
      <c r="CL28" s="1508"/>
      <c r="CM28" s="1508"/>
      <c r="CN28" s="1508"/>
      <c r="CO28" s="1508"/>
      <c r="CP28" s="1508"/>
      <c r="CQ28" s="1508"/>
      <c r="CR28" s="1508"/>
      <c r="CS28" s="1508"/>
      <c r="CT28" s="1508"/>
      <c r="CU28" s="1508"/>
      <c r="CV28" s="1508"/>
      <c r="CW28" s="1508"/>
      <c r="CX28" s="1508"/>
      <c r="CY28" s="1508"/>
      <c r="CZ28" s="1508"/>
      <c r="DA28" s="1508"/>
      <c r="DB28" s="1508"/>
      <c r="DC28" s="1508"/>
      <c r="DD28" s="1508"/>
      <c r="DE28" s="1508"/>
      <c r="DF28" s="1508"/>
      <c r="DG28" s="1508"/>
      <c r="DH28" s="1508"/>
      <c r="DI28" s="1508"/>
      <c r="DJ28" s="1508"/>
      <c r="DK28" s="1508"/>
      <c r="DL28" s="1508"/>
      <c r="DN28" s="1509"/>
    </row>
    <row r="29" spans="1:118" s="14" customFormat="1" ht="12.75" hidden="1" customHeight="1" outlineLevel="1" x14ac:dyDescent="0.2">
      <c r="A29" s="1534"/>
      <c r="B29" s="1534"/>
      <c r="C29" s="1544"/>
      <c r="D29" s="1538"/>
      <c r="E29" s="1538"/>
      <c r="G29" s="1539"/>
      <c r="H29" s="1539"/>
      <c r="I29" s="1539"/>
      <c r="J29" s="1539"/>
      <c r="K29" s="1539"/>
      <c r="L29" s="1539"/>
      <c r="M29" s="1539"/>
      <c r="N29" s="1539"/>
      <c r="O29" s="1539"/>
      <c r="P29" s="1539"/>
      <c r="Q29" s="1539"/>
      <c r="R29" s="1539"/>
      <c r="S29" s="1539"/>
      <c r="T29" s="1539"/>
      <c r="U29" s="1539"/>
      <c r="V29" s="1539"/>
      <c r="W29" s="1539">
        <f t="shared" si="10"/>
        <v>0</v>
      </c>
      <c r="Y29" s="1490"/>
      <c r="Z29" s="1490"/>
      <c r="AA29" s="1490"/>
      <c r="AB29" s="1490"/>
      <c r="AC29" s="1490"/>
      <c r="AD29" s="1490"/>
      <c r="AE29" s="1490"/>
      <c r="AF29" s="1490"/>
      <c r="AG29" s="1490"/>
      <c r="AH29" s="1490"/>
      <c r="AI29" s="1490"/>
      <c r="AJ29" s="1490"/>
      <c r="AK29" s="1490"/>
      <c r="AL29" s="1490"/>
      <c r="AM29" s="1490"/>
      <c r="AN29" s="1490"/>
      <c r="AO29" s="1490"/>
      <c r="AP29" s="1490"/>
      <c r="AQ29" s="1490"/>
      <c r="AS29" s="1491"/>
      <c r="AT29" s="1491"/>
      <c r="AU29" s="1491"/>
      <c r="AV29" s="1491"/>
      <c r="AW29" s="1491"/>
      <c r="AX29" s="1491"/>
      <c r="AY29" s="1491"/>
      <c r="AZ29" s="1491"/>
      <c r="BA29" s="1491"/>
      <c r="BB29" s="1491"/>
      <c r="BC29" s="1491"/>
      <c r="BD29" s="1491"/>
      <c r="BE29" s="1491"/>
      <c r="BF29" s="1491"/>
      <c r="BG29" s="1491"/>
      <c r="BH29" s="1491"/>
      <c r="BI29" s="1491"/>
      <c r="BJ29" s="1491"/>
      <c r="BK29" s="1491"/>
      <c r="BL29" s="1491"/>
      <c r="BN29" s="1492"/>
      <c r="BO29" s="1492"/>
      <c r="BP29" s="1492"/>
      <c r="BR29" s="3168">
        <f t="shared" si="12"/>
        <v>0</v>
      </c>
      <c r="BS29" s="1493"/>
      <c r="BT29" s="1534"/>
      <c r="BU29" s="1508"/>
      <c r="BV29" s="1508"/>
      <c r="BW29" s="1508"/>
      <c r="BX29" s="1508"/>
      <c r="BY29" s="1508"/>
      <c r="BZ29" s="1508"/>
      <c r="CA29" s="1508"/>
      <c r="CB29" s="1508"/>
      <c r="CC29" s="1508"/>
      <c r="CD29" s="1508"/>
      <c r="CE29" s="1508"/>
      <c r="CF29" s="1508"/>
      <c r="CG29" s="1508"/>
      <c r="CH29" s="1508"/>
      <c r="CI29" s="1508"/>
      <c r="CJ29" s="1508"/>
      <c r="CK29" s="1508"/>
      <c r="CL29" s="1508"/>
      <c r="CM29" s="1508"/>
      <c r="CN29" s="1508"/>
      <c r="CO29" s="1508"/>
      <c r="CP29" s="1508"/>
      <c r="CQ29" s="1508"/>
      <c r="CR29" s="1508"/>
      <c r="CS29" s="1508"/>
      <c r="CT29" s="1508"/>
      <c r="CU29" s="1508"/>
      <c r="CV29" s="1508"/>
      <c r="CW29" s="1508"/>
      <c r="CX29" s="1508"/>
      <c r="CY29" s="1508"/>
      <c r="CZ29" s="1508"/>
      <c r="DA29" s="1508"/>
      <c r="DB29" s="1508"/>
      <c r="DC29" s="1508"/>
      <c r="DD29" s="1508"/>
      <c r="DE29" s="1508"/>
      <c r="DF29" s="1508"/>
      <c r="DG29" s="1508"/>
      <c r="DH29" s="1508"/>
      <c r="DI29" s="1508"/>
      <c r="DJ29" s="1508"/>
      <c r="DK29" s="1508"/>
      <c r="DL29" s="1508"/>
      <c r="DN29" s="1509">
        <v>0</v>
      </c>
    </row>
    <row r="30" spans="1:118" s="14" customFormat="1" ht="12.75" hidden="1" customHeight="1" outlineLevel="1" x14ac:dyDescent="0.2">
      <c r="A30" s="1522"/>
      <c r="B30" s="1522"/>
      <c r="C30" s="1496"/>
      <c r="D30" s="1526"/>
      <c r="E30" s="1526"/>
      <c r="G30" s="1540">
        <v>0</v>
      </c>
      <c r="H30" s="1540"/>
      <c r="I30" s="1540"/>
      <c r="J30" s="1540"/>
      <c r="K30" s="1540"/>
      <c r="L30" s="1540"/>
      <c r="M30" s="1540">
        <v>0</v>
      </c>
      <c r="N30" s="1540">
        <v>0</v>
      </c>
      <c r="O30" s="1540">
        <v>0</v>
      </c>
      <c r="P30" s="1540">
        <v>0</v>
      </c>
      <c r="Q30" s="1540">
        <v>0</v>
      </c>
      <c r="R30" s="1540">
        <v>0</v>
      </c>
      <c r="S30" s="1540"/>
      <c r="T30" s="1540"/>
      <c r="U30" s="1540"/>
      <c r="V30" s="1540"/>
      <c r="W30" s="1539">
        <f t="shared" si="10"/>
        <v>0</v>
      </c>
      <c r="Y30" s="1541"/>
      <c r="Z30" s="1541"/>
      <c r="AA30" s="1541"/>
      <c r="AB30" s="1541"/>
      <c r="AC30" s="1541"/>
      <c r="AD30" s="1541"/>
      <c r="AE30" s="1541"/>
      <c r="AF30" s="1541"/>
      <c r="AG30" s="1541"/>
      <c r="AH30" s="1541"/>
      <c r="AI30" s="1541"/>
      <c r="AJ30" s="1541"/>
      <c r="AK30" s="1541"/>
      <c r="AL30" s="1541"/>
      <c r="AM30" s="1541"/>
      <c r="AN30" s="1541"/>
      <c r="AO30" s="1541"/>
      <c r="AP30" s="1541"/>
      <c r="AQ30" s="1528"/>
      <c r="AS30" s="1542"/>
      <c r="AT30" s="1542"/>
      <c r="AU30" s="1542"/>
      <c r="AV30" s="1542"/>
      <c r="AW30" s="1542"/>
      <c r="AX30" s="1542"/>
      <c r="AY30" s="1542"/>
      <c r="AZ30" s="1542"/>
      <c r="BA30" s="1542"/>
      <c r="BB30" s="1542"/>
      <c r="BC30" s="1542"/>
      <c r="BD30" s="1542"/>
      <c r="BE30" s="1542"/>
      <c r="BF30" s="1542"/>
      <c r="BG30" s="1542"/>
      <c r="BH30" s="1542"/>
      <c r="BI30" s="1542"/>
      <c r="BJ30" s="1542"/>
      <c r="BK30" s="1542"/>
      <c r="BL30" s="1530"/>
      <c r="BN30" s="1543">
        <v>0</v>
      </c>
      <c r="BO30" s="1543">
        <v>0</v>
      </c>
      <c r="BP30" s="1531">
        <v>0</v>
      </c>
      <c r="BR30" s="3168">
        <f t="shared" si="12"/>
        <v>0</v>
      </c>
      <c r="BS30" s="1525"/>
      <c r="BT30" s="748"/>
      <c r="BU30" s="1532">
        <v>0</v>
      </c>
      <c r="BV30" s="1533">
        <v>0</v>
      </c>
      <c r="BW30" s="1533">
        <v>0</v>
      </c>
      <c r="BX30" s="1533">
        <v>0</v>
      </c>
      <c r="BY30" s="1533">
        <v>0</v>
      </c>
      <c r="BZ30" s="1533">
        <v>0</v>
      </c>
      <c r="CA30" s="1533">
        <v>0</v>
      </c>
      <c r="CB30" s="1533">
        <v>0</v>
      </c>
      <c r="CC30" s="1533">
        <v>0</v>
      </c>
      <c r="CD30" s="1533">
        <v>0</v>
      </c>
      <c r="CE30" s="1533">
        <v>0</v>
      </c>
      <c r="CF30" s="1533">
        <v>0</v>
      </c>
      <c r="CG30" s="1533">
        <v>0</v>
      </c>
      <c r="CH30" s="1533">
        <v>0</v>
      </c>
      <c r="CI30" s="1533">
        <v>0</v>
      </c>
      <c r="CJ30" s="1533">
        <v>0</v>
      </c>
      <c r="CK30" s="1533">
        <v>0</v>
      </c>
      <c r="CL30" s="1533">
        <v>0</v>
      </c>
      <c r="CM30" s="1533">
        <v>0</v>
      </c>
      <c r="CN30" s="1533">
        <v>0</v>
      </c>
      <c r="CO30" s="1533">
        <v>0</v>
      </c>
      <c r="CP30" s="1533">
        <v>0</v>
      </c>
      <c r="CQ30" s="1533">
        <v>0</v>
      </c>
      <c r="CR30" s="1533">
        <v>0</v>
      </c>
      <c r="CS30" s="1533">
        <v>0</v>
      </c>
      <c r="CT30" s="1533">
        <v>0</v>
      </c>
      <c r="CU30" s="1533">
        <v>0</v>
      </c>
      <c r="CV30" s="1533">
        <v>0</v>
      </c>
      <c r="CW30" s="1533">
        <v>0</v>
      </c>
      <c r="CX30" s="1533">
        <v>0</v>
      </c>
      <c r="CY30" s="1533">
        <v>0</v>
      </c>
      <c r="CZ30" s="1533">
        <v>0</v>
      </c>
      <c r="DA30" s="1533">
        <v>0</v>
      </c>
      <c r="DB30" s="1533">
        <v>0</v>
      </c>
      <c r="DC30" s="1533">
        <v>0</v>
      </c>
      <c r="DD30" s="1533">
        <v>0</v>
      </c>
      <c r="DE30" s="1533">
        <v>0</v>
      </c>
      <c r="DF30" s="1533">
        <v>0</v>
      </c>
      <c r="DG30" s="1533">
        <v>0</v>
      </c>
      <c r="DH30" s="1533">
        <v>0</v>
      </c>
      <c r="DI30" s="1533">
        <v>0</v>
      </c>
      <c r="DJ30" s="1533">
        <v>0</v>
      </c>
      <c r="DK30" s="1533">
        <v>0</v>
      </c>
      <c r="DL30" s="1533">
        <v>0</v>
      </c>
      <c r="DN30" s="1509">
        <v>0</v>
      </c>
    </row>
    <row r="31" spans="1:118" s="14" customFormat="1" ht="15.75" collapsed="1" x14ac:dyDescent="0.2">
      <c r="A31" s="1534"/>
      <c r="B31" s="1535"/>
      <c r="C31" s="1536"/>
      <c r="D31" s="1537"/>
      <c r="E31" s="1538"/>
      <c r="G31" s="1539"/>
      <c r="H31" s="1539"/>
      <c r="I31" s="1539"/>
      <c r="J31" s="1539"/>
      <c r="K31" s="1539"/>
      <c r="L31" s="1539"/>
      <c r="M31" s="1539"/>
      <c r="N31" s="1539"/>
      <c r="O31" s="1539"/>
      <c r="P31" s="1539"/>
      <c r="Q31" s="1539"/>
      <c r="R31" s="1539"/>
      <c r="S31" s="1539"/>
      <c r="T31" s="1539"/>
      <c r="U31" s="1539"/>
      <c r="V31" s="1539"/>
      <c r="W31" s="1539"/>
      <c r="Y31" s="1490"/>
      <c r="Z31" s="1490"/>
      <c r="AA31" s="1490"/>
      <c r="AB31" s="1490"/>
      <c r="AC31" s="1490"/>
      <c r="AD31" s="1490"/>
      <c r="AE31" s="1490"/>
      <c r="AF31" s="1490"/>
      <c r="AG31" s="1490"/>
      <c r="AH31" s="1490"/>
      <c r="AI31" s="1490"/>
      <c r="AJ31" s="1490"/>
      <c r="AK31" s="1490"/>
      <c r="AL31" s="1490"/>
      <c r="AM31" s="1490"/>
      <c r="AN31" s="1490"/>
      <c r="AO31" s="1490"/>
      <c r="AP31" s="1490"/>
      <c r="AQ31" s="1490"/>
      <c r="AS31" s="1491"/>
      <c r="AT31" s="1491"/>
      <c r="AU31" s="1491"/>
      <c r="AV31" s="1491"/>
      <c r="AW31" s="1491"/>
      <c r="AX31" s="1491"/>
      <c r="AY31" s="1491"/>
      <c r="AZ31" s="1491"/>
      <c r="BA31" s="1491"/>
      <c r="BB31" s="1491"/>
      <c r="BC31" s="1491"/>
      <c r="BD31" s="1491"/>
      <c r="BE31" s="1491"/>
      <c r="BF31" s="1491"/>
      <c r="BG31" s="1491"/>
      <c r="BH31" s="1491"/>
      <c r="BI31" s="1491"/>
      <c r="BJ31" s="1491"/>
      <c r="BK31" s="1491"/>
      <c r="BL31" s="1491"/>
      <c r="BN31" s="1492"/>
      <c r="BO31" s="1492"/>
      <c r="BP31" s="1492"/>
      <c r="BR31" s="3168"/>
      <c r="BS31" s="1493"/>
      <c r="BT31" s="748"/>
      <c r="BU31" s="1508"/>
      <c r="BV31" s="1508"/>
      <c r="BW31" s="1508"/>
      <c r="BX31" s="1508"/>
      <c r="BY31" s="1508"/>
      <c r="BZ31" s="1508"/>
      <c r="CA31" s="1508"/>
      <c r="CB31" s="1508"/>
      <c r="CC31" s="1508"/>
      <c r="CD31" s="1508"/>
      <c r="CE31" s="1508"/>
      <c r="CF31" s="1508"/>
      <c r="CG31" s="1508"/>
      <c r="CH31" s="1508"/>
      <c r="CI31" s="1508"/>
      <c r="CJ31" s="1508"/>
      <c r="CK31" s="1508"/>
      <c r="CL31" s="1508"/>
      <c r="CM31" s="1508"/>
      <c r="CN31" s="1508"/>
      <c r="CO31" s="1508"/>
      <c r="CP31" s="1508"/>
      <c r="CQ31" s="1508"/>
      <c r="CR31" s="1508"/>
      <c r="CS31" s="1508"/>
      <c r="CT31" s="1508"/>
      <c r="CU31" s="1508"/>
      <c r="CV31" s="1508"/>
      <c r="CW31" s="1508"/>
      <c r="CX31" s="1508"/>
      <c r="CY31" s="1508"/>
      <c r="CZ31" s="1508"/>
      <c r="DA31" s="1508"/>
      <c r="DB31" s="1508"/>
      <c r="DC31" s="1508"/>
      <c r="DD31" s="1508"/>
      <c r="DE31" s="1508"/>
      <c r="DF31" s="1508"/>
      <c r="DG31" s="1508"/>
      <c r="DH31" s="1508"/>
      <c r="DI31" s="1508"/>
      <c r="DJ31" s="1508"/>
      <c r="DK31" s="1508"/>
      <c r="DL31" s="1508"/>
      <c r="DN31" s="1509"/>
    </row>
    <row r="32" spans="1:118" s="14" customFormat="1" ht="12.75" hidden="1" customHeight="1" outlineLevel="1" x14ac:dyDescent="0.2">
      <c r="A32" s="1534"/>
      <c r="B32" s="1534"/>
      <c r="C32" s="1544"/>
      <c r="D32" s="1538"/>
      <c r="E32" s="1538"/>
      <c r="G32" s="1539"/>
      <c r="H32" s="1539"/>
      <c r="I32" s="1539"/>
      <c r="J32" s="1539"/>
      <c r="K32" s="1539"/>
      <c r="L32" s="1539"/>
      <c r="M32" s="1539"/>
      <c r="N32" s="1539"/>
      <c r="O32" s="1539"/>
      <c r="P32" s="1539"/>
      <c r="Q32" s="1539"/>
      <c r="R32" s="1539"/>
      <c r="S32" s="1539"/>
      <c r="T32" s="1539"/>
      <c r="U32" s="1539"/>
      <c r="V32" s="1539"/>
      <c r="W32" s="1539">
        <f t="shared" si="10"/>
        <v>0</v>
      </c>
      <c r="Y32" s="1490"/>
      <c r="Z32" s="1490"/>
      <c r="AA32" s="1490"/>
      <c r="AB32" s="1490"/>
      <c r="AC32" s="1490"/>
      <c r="AD32" s="1490"/>
      <c r="AE32" s="1490"/>
      <c r="AF32" s="1490"/>
      <c r="AG32" s="1490"/>
      <c r="AH32" s="1490"/>
      <c r="AI32" s="1490"/>
      <c r="AJ32" s="1490"/>
      <c r="AK32" s="1490"/>
      <c r="AL32" s="1490"/>
      <c r="AM32" s="1490"/>
      <c r="AN32" s="1490"/>
      <c r="AO32" s="1490"/>
      <c r="AP32" s="1490"/>
      <c r="AQ32" s="1490"/>
      <c r="AS32" s="1491"/>
      <c r="AT32" s="1491"/>
      <c r="AU32" s="1491"/>
      <c r="AV32" s="1491"/>
      <c r="AW32" s="1491"/>
      <c r="AX32" s="1491"/>
      <c r="AY32" s="1491"/>
      <c r="AZ32" s="1491"/>
      <c r="BA32" s="1491"/>
      <c r="BB32" s="1491"/>
      <c r="BC32" s="1491"/>
      <c r="BD32" s="1491"/>
      <c r="BE32" s="1491"/>
      <c r="BF32" s="1491"/>
      <c r="BG32" s="1491"/>
      <c r="BH32" s="1491"/>
      <c r="BI32" s="1491"/>
      <c r="BJ32" s="1491"/>
      <c r="BK32" s="1491"/>
      <c r="BL32" s="1491"/>
      <c r="BN32" s="1492"/>
      <c r="BO32" s="1492"/>
      <c r="BP32" s="1492"/>
      <c r="BR32" s="3168">
        <f t="shared" si="12"/>
        <v>0</v>
      </c>
      <c r="BS32" s="1493"/>
      <c r="BT32" s="1534"/>
      <c r="BU32" s="1507"/>
      <c r="BV32" s="1508"/>
      <c r="BW32" s="1508"/>
      <c r="BX32" s="1508"/>
      <c r="BY32" s="1508"/>
      <c r="BZ32" s="1508"/>
      <c r="CA32" s="1508"/>
      <c r="CB32" s="1508"/>
      <c r="CC32" s="1508"/>
      <c r="CD32" s="1508"/>
      <c r="CE32" s="1508"/>
      <c r="CF32" s="1508"/>
      <c r="CG32" s="1508"/>
      <c r="CH32" s="1508"/>
      <c r="CI32" s="1508"/>
      <c r="CJ32" s="1508"/>
      <c r="CK32" s="1508"/>
      <c r="CL32" s="1508"/>
      <c r="CM32" s="1508"/>
      <c r="CN32" s="1508"/>
      <c r="CO32" s="1508"/>
      <c r="CP32" s="1508"/>
      <c r="CQ32" s="1508"/>
      <c r="CR32" s="1508"/>
      <c r="CS32" s="1508"/>
      <c r="CT32" s="1508"/>
      <c r="CU32" s="1508"/>
      <c r="CV32" s="1508"/>
      <c r="CW32" s="1508"/>
      <c r="CX32" s="1508"/>
      <c r="CY32" s="1508"/>
      <c r="CZ32" s="1508"/>
      <c r="DA32" s="1508"/>
      <c r="DB32" s="1508"/>
      <c r="DC32" s="1508"/>
      <c r="DD32" s="1508"/>
      <c r="DE32" s="1508"/>
      <c r="DF32" s="1508"/>
      <c r="DG32" s="1508"/>
      <c r="DH32" s="1508"/>
      <c r="DI32" s="1508"/>
      <c r="DJ32" s="1508"/>
      <c r="DK32" s="1508"/>
      <c r="DL32" s="1508"/>
      <c r="DN32" s="1509"/>
    </row>
    <row r="33" spans="1:118" s="14" customFormat="1" ht="12.75" hidden="1" customHeight="1" outlineLevel="1" x14ac:dyDescent="0.2">
      <c r="A33" s="1522"/>
      <c r="B33" s="1522"/>
      <c r="C33" s="1496"/>
      <c r="D33" s="1526"/>
      <c r="E33" s="1526"/>
      <c r="G33" s="1540"/>
      <c r="H33" s="1540"/>
      <c r="I33" s="1540"/>
      <c r="J33" s="1540"/>
      <c r="K33" s="1540"/>
      <c r="L33" s="1540"/>
      <c r="M33" s="1540"/>
      <c r="N33" s="1540"/>
      <c r="O33" s="1540"/>
      <c r="P33" s="1540"/>
      <c r="Q33" s="1540"/>
      <c r="R33" s="1540"/>
      <c r="S33" s="1540"/>
      <c r="T33" s="1540"/>
      <c r="U33" s="1540"/>
      <c r="V33" s="1540"/>
      <c r="W33" s="1539">
        <f t="shared" si="10"/>
        <v>0</v>
      </c>
      <c r="Y33" s="1541"/>
      <c r="Z33" s="1541"/>
      <c r="AA33" s="1541"/>
      <c r="AB33" s="1541"/>
      <c r="AC33" s="1541"/>
      <c r="AD33" s="1541"/>
      <c r="AE33" s="1541"/>
      <c r="AF33" s="1541"/>
      <c r="AG33" s="1541"/>
      <c r="AH33" s="1541"/>
      <c r="AI33" s="1541"/>
      <c r="AJ33" s="1541"/>
      <c r="AK33" s="1541"/>
      <c r="AL33" s="1541"/>
      <c r="AM33" s="1541"/>
      <c r="AN33" s="1541"/>
      <c r="AO33" s="1541"/>
      <c r="AP33" s="1541"/>
      <c r="AQ33" s="1528"/>
      <c r="AS33" s="1542"/>
      <c r="AT33" s="1542"/>
      <c r="AU33" s="1542"/>
      <c r="AV33" s="1542"/>
      <c r="AW33" s="1542"/>
      <c r="AX33" s="1542"/>
      <c r="AY33" s="1542"/>
      <c r="AZ33" s="1542"/>
      <c r="BA33" s="1542"/>
      <c r="BB33" s="1542"/>
      <c r="BC33" s="1542"/>
      <c r="BD33" s="1542"/>
      <c r="BE33" s="1542"/>
      <c r="BF33" s="1542"/>
      <c r="BG33" s="1542"/>
      <c r="BH33" s="1542"/>
      <c r="BI33" s="1542"/>
      <c r="BJ33" s="1542"/>
      <c r="BK33" s="1542"/>
      <c r="BL33" s="1530"/>
      <c r="BN33" s="1543"/>
      <c r="BO33" s="1543"/>
      <c r="BP33" s="1531"/>
      <c r="BR33" s="3168">
        <f t="shared" si="12"/>
        <v>0</v>
      </c>
      <c r="BS33" s="1525"/>
      <c r="BT33" s="748"/>
      <c r="BU33" s="1532"/>
      <c r="BV33" s="1533"/>
      <c r="BW33" s="1533"/>
      <c r="BX33" s="1533"/>
      <c r="BY33" s="1533"/>
      <c r="BZ33" s="1533"/>
      <c r="CA33" s="1533"/>
      <c r="CB33" s="1533"/>
      <c r="CC33" s="1533"/>
      <c r="CD33" s="1533"/>
      <c r="CE33" s="1533"/>
      <c r="CF33" s="1533"/>
      <c r="CG33" s="1533"/>
      <c r="CH33" s="1533"/>
      <c r="CI33" s="1533"/>
      <c r="CJ33" s="1533"/>
      <c r="CK33" s="1533"/>
      <c r="CL33" s="1533"/>
      <c r="CM33" s="1533"/>
      <c r="CN33" s="1533"/>
      <c r="CO33" s="1533"/>
      <c r="CP33" s="1533"/>
      <c r="CQ33" s="1533"/>
      <c r="CR33" s="1533"/>
      <c r="CS33" s="1533"/>
      <c r="CT33" s="1533"/>
      <c r="CU33" s="1533"/>
      <c r="CV33" s="1533"/>
      <c r="CW33" s="1533"/>
      <c r="CX33" s="1533"/>
      <c r="CY33" s="1533"/>
      <c r="CZ33" s="1533"/>
      <c r="DA33" s="1533"/>
      <c r="DB33" s="1533"/>
      <c r="DC33" s="1533"/>
      <c r="DD33" s="1533"/>
      <c r="DE33" s="1533"/>
      <c r="DF33" s="1533"/>
      <c r="DG33" s="1533"/>
      <c r="DH33" s="1533"/>
      <c r="DI33" s="1533"/>
      <c r="DJ33" s="1533"/>
      <c r="DK33" s="1533"/>
      <c r="DL33" s="1533"/>
      <c r="DN33" s="1509"/>
    </row>
    <row r="34" spans="1:118" s="14" customFormat="1" ht="15.75" collapsed="1" x14ac:dyDescent="0.2">
      <c r="A34" s="1534"/>
      <c r="B34" s="1535"/>
      <c r="C34" s="1536"/>
      <c r="D34" s="1537"/>
      <c r="E34" s="1538"/>
      <c r="G34" s="1539"/>
      <c r="H34" s="1539"/>
      <c r="I34" s="1539"/>
      <c r="J34" s="1539"/>
      <c r="K34" s="1539"/>
      <c r="L34" s="1539"/>
      <c r="M34" s="1539"/>
      <c r="N34" s="1539"/>
      <c r="O34" s="1539"/>
      <c r="P34" s="1539"/>
      <c r="Q34" s="1539"/>
      <c r="R34" s="1539"/>
      <c r="S34" s="1539"/>
      <c r="T34" s="1539"/>
      <c r="U34" s="1539"/>
      <c r="V34" s="1539"/>
      <c r="W34" s="1539"/>
      <c r="Y34" s="1490"/>
      <c r="Z34" s="1490"/>
      <c r="AA34" s="1490"/>
      <c r="AB34" s="1490"/>
      <c r="AC34" s="1490"/>
      <c r="AD34" s="1490"/>
      <c r="AE34" s="1490"/>
      <c r="AF34" s="1490"/>
      <c r="AG34" s="1490"/>
      <c r="AH34" s="1490"/>
      <c r="AI34" s="1490"/>
      <c r="AJ34" s="1490"/>
      <c r="AK34" s="1490"/>
      <c r="AL34" s="1490"/>
      <c r="AM34" s="1490"/>
      <c r="AN34" s="1490"/>
      <c r="AO34" s="1490"/>
      <c r="AP34" s="1490"/>
      <c r="AQ34" s="1490"/>
      <c r="AS34" s="1491"/>
      <c r="AT34" s="1491"/>
      <c r="AU34" s="1491"/>
      <c r="AV34" s="1491"/>
      <c r="AW34" s="1491"/>
      <c r="AX34" s="1491"/>
      <c r="AY34" s="1491"/>
      <c r="AZ34" s="1491"/>
      <c r="BA34" s="1491"/>
      <c r="BB34" s="1491"/>
      <c r="BC34" s="1491"/>
      <c r="BD34" s="1491"/>
      <c r="BE34" s="1491"/>
      <c r="BF34" s="1491"/>
      <c r="BG34" s="1491"/>
      <c r="BH34" s="1491"/>
      <c r="BI34" s="1491"/>
      <c r="BJ34" s="1491"/>
      <c r="BK34" s="1491"/>
      <c r="BL34" s="1491"/>
      <c r="BN34" s="1492"/>
      <c r="BO34" s="1492"/>
      <c r="BP34" s="1492"/>
      <c r="BR34" s="3168"/>
      <c r="BS34" s="1493"/>
      <c r="BT34" s="748"/>
      <c r="BU34" s="1508"/>
      <c r="BV34" s="1508"/>
      <c r="BW34" s="1508"/>
      <c r="BX34" s="1508"/>
      <c r="BY34" s="1508"/>
      <c r="BZ34" s="1508"/>
      <c r="CA34" s="1508"/>
      <c r="CB34" s="1508"/>
      <c r="CC34" s="1508"/>
      <c r="CD34" s="1508"/>
      <c r="CE34" s="1508"/>
      <c r="CF34" s="1508"/>
      <c r="CG34" s="1508"/>
      <c r="CH34" s="1508"/>
      <c r="CI34" s="1508"/>
      <c r="CJ34" s="1508"/>
      <c r="CK34" s="1508"/>
      <c r="CL34" s="1508"/>
      <c r="CM34" s="1508"/>
      <c r="CN34" s="1508"/>
      <c r="CO34" s="1508"/>
      <c r="CP34" s="1508"/>
      <c r="CQ34" s="1508"/>
      <c r="CR34" s="1508"/>
      <c r="CS34" s="1508"/>
      <c r="CT34" s="1508"/>
      <c r="CU34" s="1508"/>
      <c r="CV34" s="1508"/>
      <c r="CW34" s="1508"/>
      <c r="CX34" s="1508"/>
      <c r="CY34" s="1508"/>
      <c r="CZ34" s="1508"/>
      <c r="DA34" s="1508"/>
      <c r="DB34" s="1508"/>
      <c r="DC34" s="1508"/>
      <c r="DD34" s="1508"/>
      <c r="DE34" s="1508"/>
      <c r="DF34" s="1508"/>
      <c r="DG34" s="1508"/>
      <c r="DH34" s="1508"/>
      <c r="DI34" s="1508"/>
      <c r="DJ34" s="1508"/>
      <c r="DK34" s="1508"/>
      <c r="DL34" s="1508"/>
      <c r="DN34" s="1509"/>
    </row>
    <row r="35" spans="1:118" s="14" customFormat="1" ht="6" customHeight="1" x14ac:dyDescent="0.2">
      <c r="C35" s="1552"/>
      <c r="D35" s="1537"/>
      <c r="E35" s="1430"/>
      <c r="G35" s="1539"/>
      <c r="H35" s="1539"/>
      <c r="I35" s="1539"/>
      <c r="J35" s="1539"/>
      <c r="K35" s="1539"/>
      <c r="L35" s="1539"/>
      <c r="M35" s="1539"/>
      <c r="N35" s="1539"/>
      <c r="O35" s="1539"/>
      <c r="P35" s="1539"/>
      <c r="Q35" s="1539"/>
      <c r="R35" s="1539"/>
      <c r="S35" s="1539"/>
      <c r="T35" s="1539"/>
      <c r="U35" s="1539"/>
      <c r="V35" s="1539"/>
      <c r="W35" s="1539"/>
      <c r="Y35" s="1490"/>
      <c r="Z35" s="1490"/>
      <c r="AA35" s="1490"/>
      <c r="AB35" s="1490"/>
      <c r="AC35" s="1490"/>
      <c r="AD35" s="1490"/>
      <c r="AE35" s="1490"/>
      <c r="AF35" s="1490"/>
      <c r="AG35" s="1490"/>
      <c r="AH35" s="1490"/>
      <c r="AI35" s="1490"/>
      <c r="AJ35" s="1490"/>
      <c r="AK35" s="1490"/>
      <c r="AL35" s="1490"/>
      <c r="AM35" s="1490"/>
      <c r="AN35" s="1490"/>
      <c r="AO35" s="1490"/>
      <c r="AP35" s="1490"/>
      <c r="AQ35" s="1490"/>
      <c r="AS35" s="1491"/>
      <c r="AT35" s="1491"/>
      <c r="AU35" s="1491"/>
      <c r="AV35" s="1491"/>
      <c r="AW35" s="1491"/>
      <c r="AX35" s="1491"/>
      <c r="AY35" s="1491"/>
      <c r="AZ35" s="1491"/>
      <c r="BA35" s="1491"/>
      <c r="BB35" s="1491"/>
      <c r="BC35" s="1491"/>
      <c r="BD35" s="1491"/>
      <c r="BE35" s="1491"/>
      <c r="BF35" s="1491"/>
      <c r="BG35" s="1491"/>
      <c r="BH35" s="1491"/>
      <c r="BI35" s="1491"/>
      <c r="BJ35" s="1491"/>
      <c r="BK35" s="1491"/>
      <c r="BL35" s="1491"/>
      <c r="BN35" s="1492"/>
      <c r="BO35" s="1492"/>
      <c r="BP35" s="1492"/>
      <c r="BR35" s="3168"/>
      <c r="BS35" s="1493"/>
      <c r="BU35" s="1508"/>
      <c r="BV35" s="1508"/>
      <c r="BW35" s="1508"/>
      <c r="BX35" s="1508"/>
      <c r="BY35" s="1508"/>
      <c r="BZ35" s="1508"/>
      <c r="CA35" s="1508"/>
      <c r="CB35" s="1508"/>
      <c r="CC35" s="1508"/>
      <c r="CD35" s="1508"/>
      <c r="CE35" s="1508"/>
      <c r="CF35" s="1508"/>
      <c r="CG35" s="1508"/>
      <c r="CH35" s="1508"/>
      <c r="CI35" s="1508"/>
      <c r="CJ35" s="1508"/>
      <c r="CK35" s="1508"/>
      <c r="CL35" s="1508"/>
      <c r="CM35" s="1508"/>
      <c r="CN35" s="1508"/>
      <c r="CO35" s="1508"/>
      <c r="CP35" s="1508"/>
      <c r="CQ35" s="1508"/>
      <c r="CR35" s="1508"/>
      <c r="CS35" s="1508"/>
      <c r="CT35" s="1508"/>
      <c r="CU35" s="1508"/>
      <c r="CV35" s="1508"/>
      <c r="CW35" s="1508"/>
      <c r="CX35" s="1508"/>
      <c r="CY35" s="1508"/>
      <c r="CZ35" s="1508"/>
      <c r="DA35" s="1508"/>
      <c r="DB35" s="1508"/>
      <c r="DC35" s="1508"/>
      <c r="DD35" s="1508"/>
      <c r="DE35" s="1508"/>
      <c r="DF35" s="1508"/>
      <c r="DG35" s="1508"/>
      <c r="DH35" s="1508"/>
      <c r="DI35" s="1508"/>
      <c r="DJ35" s="1508"/>
      <c r="DK35" s="1508"/>
      <c r="DL35" s="1508"/>
      <c r="DN35" s="1509"/>
    </row>
    <row r="36" spans="1:118" s="14" customFormat="1" ht="15.75" x14ac:dyDescent="0.2">
      <c r="B36" s="1535"/>
      <c r="C36" s="1553"/>
      <c r="D36" s="1554" t="s">
        <v>916</v>
      </c>
      <c r="E36" s="1555"/>
      <c r="G36" s="1929">
        <f t="shared" ref="G36:V36" ca="1" si="28">G15+G19+G27</f>
        <v>70.226997977553282</v>
      </c>
      <c r="H36" s="1929">
        <f t="shared" ca="1" si="28"/>
        <v>14.756077842367976</v>
      </c>
      <c r="I36" s="1929">
        <f t="shared" ca="1" si="28"/>
        <v>5.931878120157017</v>
      </c>
      <c r="J36" s="1929">
        <f t="shared" ca="1" si="28"/>
        <v>19.716521969122127</v>
      </c>
      <c r="K36" s="1929">
        <f t="shared" ca="1" si="28"/>
        <v>8.7494718184515392</v>
      </c>
      <c r="L36" s="1929">
        <f t="shared" ca="1" si="28"/>
        <v>17.686884599050554</v>
      </c>
      <c r="M36" s="1929">
        <f t="shared" ca="1" si="28"/>
        <v>241.06883940080814</v>
      </c>
      <c r="N36" s="1929">
        <f t="shared" ca="1" si="28"/>
        <v>81.966553559214447</v>
      </c>
      <c r="O36" s="1929">
        <f t="shared" ca="1" si="28"/>
        <v>34.386846640344736</v>
      </c>
      <c r="P36" s="1929">
        <f t="shared" ca="1" si="28"/>
        <v>0.64200954580250646</v>
      </c>
      <c r="Q36" s="1929">
        <f t="shared" ca="1" si="28"/>
        <v>8.959821225654771E-2</v>
      </c>
      <c r="R36" s="1929">
        <f t="shared" ca="1" si="28"/>
        <v>38.222272999940216</v>
      </c>
      <c r="S36" s="1929">
        <f ca="1">S15+S19+S27</f>
        <v>10.652714024731472</v>
      </c>
      <c r="T36" s="1929">
        <f t="shared" ca="1" si="28"/>
        <v>12.075606800947295</v>
      </c>
      <c r="U36" s="1929">
        <f t="shared" ca="1" si="28"/>
        <v>7.6806278547464401E-3</v>
      </c>
      <c r="V36" s="1929">
        <f t="shared" ca="1" si="28"/>
        <v>0.44959875353967499</v>
      </c>
      <c r="W36" s="1929">
        <f ca="1">SUM(G36:V36)</f>
        <v>556.62955289214233</v>
      </c>
      <c r="Y36" s="1937">
        <f t="shared" ref="Y36:AP36" ca="1" si="29">Y27+Y19+Y15</f>
        <v>-132.75541227739603</v>
      </c>
      <c r="Z36" s="1937">
        <f t="shared" ca="1" si="29"/>
        <v>0</v>
      </c>
      <c r="AA36" s="1937">
        <f t="shared" ca="1" si="29"/>
        <v>-58.484364794060937</v>
      </c>
      <c r="AB36" s="1937">
        <f t="shared" ca="1" si="29"/>
        <v>-275.852926639759</v>
      </c>
      <c r="AC36" s="1937">
        <f t="shared" ca="1" si="29"/>
        <v>-80.404419831511717</v>
      </c>
      <c r="AD36" s="1937">
        <f t="shared" ca="1" si="29"/>
        <v>0</v>
      </c>
      <c r="AE36" s="1937">
        <f t="shared" ca="1" si="29"/>
        <v>0</v>
      </c>
      <c r="AF36" s="1937">
        <f t="shared" ca="1" si="29"/>
        <v>0</v>
      </c>
      <c r="AG36" s="1937">
        <f t="shared" ca="1" si="29"/>
        <v>0</v>
      </c>
      <c r="AH36" s="1937">
        <f t="shared" ca="1" si="29"/>
        <v>0</v>
      </c>
      <c r="AI36" s="1937">
        <f t="shared" ca="1" si="29"/>
        <v>0</v>
      </c>
      <c r="AJ36" s="1937">
        <f t="shared" ca="1" si="29"/>
        <v>0</v>
      </c>
      <c r="AK36" s="1937">
        <f t="shared" ca="1" si="29"/>
        <v>0</v>
      </c>
      <c r="AL36" s="1937">
        <f ca="1">AL27+AL19+AL15</f>
        <v>-9.1110099367415884</v>
      </c>
      <c r="AM36" s="1937">
        <f t="shared" ca="1" si="29"/>
        <v>0</v>
      </c>
      <c r="AN36" s="1937">
        <f t="shared" ca="1" si="29"/>
        <v>0</v>
      </c>
      <c r="AO36" s="1937">
        <f t="shared" ca="1" si="29"/>
        <v>0</v>
      </c>
      <c r="AP36" s="1937">
        <f t="shared" ca="1" si="29"/>
        <v>0</v>
      </c>
      <c r="AQ36" s="1937">
        <f ca="1">SUM(Y36:AP36)</f>
        <v>-556.60813347946919</v>
      </c>
      <c r="AS36" s="1558">
        <f ca="1">AS15+AS19+AS27</f>
        <v>0</v>
      </c>
      <c r="AT36" s="1558">
        <f t="shared" ref="AT36:BK36" ca="1" si="30">AT15+AT19+AT27</f>
        <v>0</v>
      </c>
      <c r="AU36" s="1558">
        <f t="shared" ca="1" si="30"/>
        <v>0</v>
      </c>
      <c r="AV36" s="1558">
        <f t="shared" ca="1" si="30"/>
        <v>0</v>
      </c>
      <c r="AW36" s="1558">
        <f t="shared" ca="1" si="30"/>
        <v>0</v>
      </c>
      <c r="AX36" s="1558">
        <f t="shared" ca="1" si="30"/>
        <v>0</v>
      </c>
      <c r="AY36" s="1558">
        <f t="shared" ca="1" si="30"/>
        <v>0</v>
      </c>
      <c r="AZ36" s="1558">
        <f t="shared" ca="1" si="30"/>
        <v>0</v>
      </c>
      <c r="BA36" s="1558">
        <f t="shared" ca="1" si="30"/>
        <v>0</v>
      </c>
      <c r="BB36" s="1558">
        <f t="shared" ca="1" si="30"/>
        <v>0</v>
      </c>
      <c r="BC36" s="1558">
        <f t="shared" ca="1" si="30"/>
        <v>-2.1419412673029041E-2</v>
      </c>
      <c r="BD36" s="1558">
        <f t="shared" ca="1" si="30"/>
        <v>0</v>
      </c>
      <c r="BE36" s="1558">
        <f t="shared" ca="1" si="30"/>
        <v>0</v>
      </c>
      <c r="BF36" s="1558">
        <f t="shared" ca="1" si="30"/>
        <v>0</v>
      </c>
      <c r="BG36" s="1558">
        <f t="shared" ca="1" si="30"/>
        <v>0</v>
      </c>
      <c r="BH36" s="1558">
        <f t="shared" ca="1" si="30"/>
        <v>0</v>
      </c>
      <c r="BI36" s="1558">
        <f t="shared" ca="1" si="30"/>
        <v>0</v>
      </c>
      <c r="BJ36" s="1558">
        <f t="shared" ca="1" si="30"/>
        <v>0</v>
      </c>
      <c r="BK36" s="1558">
        <f t="shared" ca="1" si="30"/>
        <v>0</v>
      </c>
      <c r="BL36" s="3166">
        <f ca="1">SUM(AS36:BK36)</f>
        <v>-2.1419412673029041E-2</v>
      </c>
      <c r="BN36" s="1559">
        <f ca="1">BN27+BN19+BN15</f>
        <v>0</v>
      </c>
      <c r="BO36" s="1559">
        <f ca="1">BO27+BO19+BO15</f>
        <v>0</v>
      </c>
      <c r="BP36" s="1505">
        <f ca="1">BN36+BO36</f>
        <v>0</v>
      </c>
      <c r="BR36" s="3168">
        <f ca="1">W36+AQ36+BL36+BP36</f>
        <v>1.1091821905395705E-13</v>
      </c>
      <c r="BS36" s="1560"/>
      <c r="BU36" s="1561">
        <v>283.37379437292333</v>
      </c>
      <c r="BV36" s="1561">
        <v>0.46829877567433276</v>
      </c>
      <c r="BW36" s="1561">
        <v>3.244610652199623</v>
      </c>
      <c r="BX36" s="1561">
        <v>0</v>
      </c>
      <c r="BY36" s="1561">
        <v>0</v>
      </c>
      <c r="BZ36" s="1561">
        <v>0</v>
      </c>
      <c r="CA36" s="1561">
        <v>0</v>
      </c>
      <c r="CB36" s="1561">
        <v>0</v>
      </c>
      <c r="CC36" s="1561">
        <v>14.39565925511863</v>
      </c>
      <c r="CD36" s="1561">
        <v>0.11288744235152412</v>
      </c>
      <c r="CE36" s="1561">
        <v>2.7624692105907238</v>
      </c>
      <c r="CF36" s="1561">
        <v>10.620296151887526</v>
      </c>
      <c r="CG36" s="1561">
        <v>0</v>
      </c>
      <c r="CH36" s="1561">
        <v>0</v>
      </c>
      <c r="CI36" s="1561">
        <v>0</v>
      </c>
      <c r="CJ36" s="1561">
        <v>0</v>
      </c>
      <c r="CK36" s="1561">
        <v>0</v>
      </c>
      <c r="CL36" s="1561">
        <v>0</v>
      </c>
      <c r="CM36" s="1561">
        <v>0</v>
      </c>
      <c r="CN36" s="1561">
        <v>0</v>
      </c>
      <c r="CO36" s="1561">
        <v>0</v>
      </c>
      <c r="CP36" s="1561">
        <v>0</v>
      </c>
      <c r="CQ36" s="1561">
        <v>0</v>
      </c>
      <c r="CR36" s="1561">
        <v>0</v>
      </c>
      <c r="CS36" s="1561">
        <v>0</v>
      </c>
      <c r="CT36" s="1561">
        <v>0</v>
      </c>
      <c r="CU36" s="1561">
        <v>0</v>
      </c>
      <c r="CV36" s="1561">
        <v>0</v>
      </c>
      <c r="CW36" s="1561">
        <v>0</v>
      </c>
      <c r="CX36" s="1561">
        <v>0</v>
      </c>
      <c r="CY36" s="1561">
        <v>0</v>
      </c>
      <c r="CZ36" s="1561">
        <v>0</v>
      </c>
      <c r="DA36" s="1561">
        <v>51.739539271814301</v>
      </c>
      <c r="DB36" s="1561">
        <v>6.441552213858226E-2</v>
      </c>
      <c r="DC36" s="1561">
        <v>0.93090033050516818</v>
      </c>
      <c r="DD36" s="1561">
        <v>0</v>
      </c>
      <c r="DE36" s="1561">
        <v>0</v>
      </c>
      <c r="DF36" s="1561">
        <v>0</v>
      </c>
      <c r="DG36" s="1561">
        <v>0</v>
      </c>
      <c r="DH36" s="1561">
        <v>0</v>
      </c>
      <c r="DI36" s="1561">
        <v>0</v>
      </c>
      <c r="DJ36" s="1561">
        <v>0</v>
      </c>
      <c r="DK36" s="1561">
        <v>0</v>
      </c>
      <c r="DL36" s="1561">
        <v>0</v>
      </c>
      <c r="DN36" s="1562">
        <v>367.71287098520372</v>
      </c>
    </row>
    <row r="37" spans="1:118" s="14" customFormat="1" ht="6" customHeight="1" x14ac:dyDescent="0.2">
      <c r="C37" s="1430"/>
      <c r="D37" s="1430"/>
      <c r="E37" s="1430"/>
      <c r="G37" s="1488"/>
      <c r="H37" s="1488"/>
      <c r="I37" s="1488"/>
      <c r="J37" s="1488"/>
      <c r="K37" s="1488"/>
      <c r="L37" s="1488"/>
      <c r="M37" s="1488"/>
      <c r="N37" s="1488"/>
      <c r="O37" s="1563"/>
      <c r="P37" s="1488"/>
      <c r="Q37" s="1488"/>
      <c r="R37" s="1488"/>
      <c r="S37" s="1488"/>
      <c r="T37" s="1488"/>
      <c r="U37" s="1488"/>
      <c r="V37" s="1488"/>
      <c r="W37" s="1488"/>
      <c r="Y37" s="1490"/>
      <c r="Z37" s="1490"/>
      <c r="AA37" s="1490"/>
      <c r="AB37" s="1490"/>
      <c r="AC37" s="1490"/>
      <c r="AD37" s="1490"/>
      <c r="AE37" s="1490"/>
      <c r="AF37" s="1490"/>
      <c r="AG37" s="1490"/>
      <c r="AH37" s="1490"/>
      <c r="AI37" s="1490"/>
      <c r="AJ37" s="1490"/>
      <c r="AK37" s="1490"/>
      <c r="AL37" s="1490"/>
      <c r="AM37" s="1490"/>
      <c r="AN37" s="1490"/>
      <c r="AO37" s="1490"/>
      <c r="AP37" s="1490"/>
      <c r="AQ37" s="1490"/>
      <c r="AS37" s="1491"/>
      <c r="AT37" s="1491"/>
      <c r="AU37" s="1491"/>
      <c r="AV37" s="1491"/>
      <c r="AW37" s="1491"/>
      <c r="AX37" s="1491"/>
      <c r="AY37" s="1491"/>
      <c r="AZ37" s="1491"/>
      <c r="BA37" s="1491"/>
      <c r="BB37" s="1491"/>
      <c r="BC37" s="1491"/>
      <c r="BD37" s="1491"/>
      <c r="BE37" s="1491"/>
      <c r="BF37" s="1491"/>
      <c r="BG37" s="1491"/>
      <c r="BH37" s="1491"/>
      <c r="BI37" s="1491"/>
      <c r="BJ37" s="1491"/>
      <c r="BK37" s="1491"/>
      <c r="BL37" s="1491"/>
      <c r="BN37" s="1492"/>
      <c r="BO37" s="1492"/>
      <c r="BP37" s="1492"/>
      <c r="BR37" s="3168"/>
      <c r="BS37" s="1493"/>
      <c r="BU37" s="1508"/>
      <c r="BV37" s="1508"/>
      <c r="BW37" s="1508"/>
      <c r="BX37" s="1508"/>
      <c r="BY37" s="1508"/>
      <c r="BZ37" s="1508"/>
      <c r="CA37" s="1508"/>
      <c r="CB37" s="1508"/>
      <c r="CC37" s="1508"/>
      <c r="CD37" s="1508"/>
      <c r="CE37" s="1508"/>
      <c r="CF37" s="1508"/>
      <c r="CG37" s="1508"/>
      <c r="CH37" s="1508"/>
      <c r="CI37" s="1508"/>
      <c r="CJ37" s="1508"/>
      <c r="CK37" s="1508"/>
      <c r="CL37" s="1508"/>
      <c r="CM37" s="1508"/>
      <c r="CN37" s="1508"/>
      <c r="CO37" s="1508"/>
      <c r="CP37" s="1508"/>
      <c r="CQ37" s="1508"/>
      <c r="CR37" s="1508"/>
      <c r="CS37" s="1508"/>
      <c r="CT37" s="1508"/>
      <c r="CU37" s="1508"/>
      <c r="CV37" s="1508"/>
      <c r="CW37" s="1508"/>
      <c r="CX37" s="1508"/>
      <c r="CY37" s="1508"/>
      <c r="CZ37" s="1508"/>
      <c r="DA37" s="1508"/>
      <c r="DB37" s="1508"/>
      <c r="DC37" s="1508"/>
      <c r="DD37" s="1508"/>
      <c r="DE37" s="1508"/>
      <c r="DF37" s="1508"/>
      <c r="DG37" s="1508"/>
      <c r="DH37" s="1508"/>
      <c r="DI37" s="1508"/>
      <c r="DJ37" s="1508"/>
      <c r="DK37" s="1508"/>
      <c r="DL37" s="1508"/>
      <c r="DN37" s="1509"/>
    </row>
    <row r="38" spans="1:118" s="14" customFormat="1" ht="17.25" customHeight="1" x14ac:dyDescent="0.2">
      <c r="C38" s="1480" t="s">
        <v>404</v>
      </c>
      <c r="D38" s="1430"/>
      <c r="E38" s="1430"/>
      <c r="G38" s="1488"/>
      <c r="H38" s="1488"/>
      <c r="I38" s="1488"/>
      <c r="J38" s="1488"/>
      <c r="K38" s="1488"/>
      <c r="L38" s="1488"/>
      <c r="M38" s="1488"/>
      <c r="N38" s="1488"/>
      <c r="O38" s="1563"/>
      <c r="P38" s="1488"/>
      <c r="Q38" s="1488"/>
      <c r="R38" s="1488"/>
      <c r="S38" s="1488"/>
      <c r="T38" s="1488"/>
      <c r="U38" s="1488"/>
      <c r="V38" s="1488"/>
      <c r="W38" s="1488"/>
      <c r="Y38" s="1490"/>
      <c r="Z38" s="1490"/>
      <c r="AA38" s="1490"/>
      <c r="AB38" s="1490"/>
      <c r="AC38" s="1490"/>
      <c r="AD38" s="1490"/>
      <c r="AE38" s="1490"/>
      <c r="AF38" s="1490"/>
      <c r="AG38" s="1490"/>
      <c r="AH38" s="1490"/>
      <c r="AI38" s="1490"/>
      <c r="AJ38" s="1490"/>
      <c r="AK38" s="1490"/>
      <c r="AL38" s="1490"/>
      <c r="AM38" s="1490"/>
      <c r="AN38" s="1490"/>
      <c r="AO38" s="1490"/>
      <c r="AP38" s="1490"/>
      <c r="AQ38" s="1490"/>
      <c r="AS38" s="1491"/>
      <c r="AT38" s="1491"/>
      <c r="AU38" s="1491"/>
      <c r="AV38" s="1491"/>
      <c r="AW38" s="1491"/>
      <c r="AX38" s="1491"/>
      <c r="AY38" s="1491"/>
      <c r="AZ38" s="1491"/>
      <c r="BA38" s="1491"/>
      <c r="BB38" s="1491"/>
      <c r="BC38" s="1491"/>
      <c r="BD38" s="1491"/>
      <c r="BE38" s="1491"/>
      <c r="BF38" s="1491"/>
      <c r="BG38" s="1491"/>
      <c r="BH38" s="1491"/>
      <c r="BI38" s="1491"/>
      <c r="BJ38" s="1491"/>
      <c r="BK38" s="1491"/>
      <c r="BL38" s="1491"/>
      <c r="BN38" s="1492"/>
      <c r="BO38" s="1492"/>
      <c r="BP38" s="1492"/>
      <c r="BR38" s="3168"/>
      <c r="BS38" s="1493"/>
      <c r="BU38" s="1508"/>
      <c r="BV38" s="1508"/>
      <c r="BW38" s="1508"/>
      <c r="BX38" s="1508"/>
      <c r="BY38" s="1508"/>
      <c r="BZ38" s="1508"/>
      <c r="CA38" s="1508"/>
      <c r="CB38" s="1508"/>
      <c r="CC38" s="1508"/>
      <c r="CD38" s="1508"/>
      <c r="CE38" s="1508"/>
      <c r="CF38" s="1508"/>
      <c r="CG38" s="1508"/>
      <c r="CH38" s="1508"/>
      <c r="CI38" s="1508"/>
      <c r="CJ38" s="1508"/>
      <c r="CK38" s="1508"/>
      <c r="CL38" s="1508"/>
      <c r="CM38" s="1508"/>
      <c r="CN38" s="1508"/>
      <c r="CO38" s="1508"/>
      <c r="CP38" s="1508"/>
      <c r="CQ38" s="1508"/>
      <c r="CR38" s="1508"/>
      <c r="CS38" s="1508"/>
      <c r="CT38" s="1508"/>
      <c r="CU38" s="1508"/>
      <c r="CV38" s="1508"/>
      <c r="CW38" s="1508"/>
      <c r="CX38" s="1508"/>
      <c r="CY38" s="1508"/>
      <c r="CZ38" s="1508"/>
      <c r="DA38" s="1508"/>
      <c r="DB38" s="1508"/>
      <c r="DC38" s="1508"/>
      <c r="DD38" s="1508"/>
      <c r="DE38" s="1508"/>
      <c r="DF38" s="1508"/>
      <c r="DG38" s="1508"/>
      <c r="DH38" s="1508"/>
      <c r="DI38" s="1508"/>
      <c r="DJ38" s="1508"/>
      <c r="DK38" s="1508"/>
      <c r="DL38" s="1508"/>
      <c r="DN38" s="1509"/>
    </row>
    <row r="39" spans="1:118" s="14" customFormat="1" ht="24" hidden="1" customHeight="1" outlineLevel="1" x14ac:dyDescent="0.2">
      <c r="D39" s="1480"/>
      <c r="E39" s="1481"/>
      <c r="G39" s="1482"/>
      <c r="H39" s="1482"/>
      <c r="I39" s="1482"/>
      <c r="J39" s="1482"/>
      <c r="K39" s="1482"/>
      <c r="L39" s="1482"/>
      <c r="M39" s="1482"/>
      <c r="N39" s="1482"/>
      <c r="O39" s="1482"/>
      <c r="P39" s="1482"/>
      <c r="Q39" s="1482"/>
      <c r="R39" s="1482"/>
      <c r="S39" s="1482"/>
      <c r="T39" s="1482"/>
      <c r="U39" s="1482"/>
      <c r="V39" s="1482"/>
      <c r="W39" s="1482"/>
      <c r="Y39" s="1483"/>
      <c r="Z39" s="1483"/>
      <c r="AA39" s="1483"/>
      <c r="AB39" s="1483"/>
      <c r="AC39" s="1483"/>
      <c r="AD39" s="1483"/>
      <c r="AE39" s="1483"/>
      <c r="AF39" s="1483"/>
      <c r="AG39" s="1483"/>
      <c r="AH39" s="1483"/>
      <c r="AI39" s="1483"/>
      <c r="AJ39" s="1483"/>
      <c r="AK39" s="1483"/>
      <c r="AL39" s="1483"/>
      <c r="AM39" s="1483"/>
      <c r="AN39" s="1483"/>
      <c r="AO39" s="1483"/>
      <c r="AP39" s="1483"/>
      <c r="AQ39" s="1483"/>
      <c r="AS39" s="1484"/>
      <c r="AT39" s="1484"/>
      <c r="AU39" s="1484"/>
      <c r="AV39" s="1484"/>
      <c r="AW39" s="1484"/>
      <c r="AX39" s="1484"/>
      <c r="AY39" s="1484"/>
      <c r="AZ39" s="1484"/>
      <c r="BA39" s="1484"/>
      <c r="BB39" s="1484"/>
      <c r="BC39" s="1484"/>
      <c r="BD39" s="1484"/>
      <c r="BE39" s="1484"/>
      <c r="BF39" s="1484"/>
      <c r="BG39" s="1484"/>
      <c r="BH39" s="1484"/>
      <c r="BI39" s="1484"/>
      <c r="BJ39" s="1484"/>
      <c r="BK39" s="1484"/>
      <c r="BL39" s="1484"/>
      <c r="BN39" s="1485"/>
      <c r="BO39" s="1485"/>
      <c r="BP39" s="1485"/>
      <c r="BR39" s="3168">
        <f t="shared" si="12"/>
        <v>0</v>
      </c>
      <c r="BS39" s="1486"/>
      <c r="BU39" s="1508"/>
      <c r="BV39" s="1508"/>
      <c r="BW39" s="1508"/>
      <c r="BX39" s="1508"/>
      <c r="BY39" s="1508"/>
      <c r="BZ39" s="1508"/>
      <c r="CA39" s="1508"/>
      <c r="CB39" s="1508"/>
      <c r="CC39" s="1508"/>
      <c r="CD39" s="1508"/>
      <c r="CE39" s="1508"/>
      <c r="CF39" s="1508"/>
      <c r="CG39" s="1508"/>
      <c r="CH39" s="1508"/>
      <c r="CI39" s="1508"/>
      <c r="CJ39" s="1508"/>
      <c r="CK39" s="1508"/>
      <c r="CL39" s="1508"/>
      <c r="CM39" s="1508"/>
      <c r="CN39" s="1508"/>
      <c r="CO39" s="1508"/>
      <c r="CP39" s="1508"/>
      <c r="CQ39" s="1508"/>
      <c r="CR39" s="1508"/>
      <c r="CS39" s="1508"/>
      <c r="CT39" s="1508"/>
      <c r="CU39" s="1508"/>
      <c r="CV39" s="1508"/>
      <c r="CW39" s="1508"/>
      <c r="CX39" s="1508"/>
      <c r="CY39" s="1508"/>
      <c r="CZ39" s="1508"/>
      <c r="DA39" s="1508"/>
      <c r="DB39" s="1508"/>
      <c r="DC39" s="1508"/>
      <c r="DD39" s="1508"/>
      <c r="DE39" s="1508"/>
      <c r="DF39" s="1508"/>
      <c r="DG39" s="1508"/>
      <c r="DH39" s="1508"/>
      <c r="DI39" s="1508"/>
      <c r="DJ39" s="1508"/>
      <c r="DK39" s="1508"/>
      <c r="DL39" s="1508"/>
      <c r="DN39" s="1509"/>
    </row>
    <row r="40" spans="1:118" s="14" customFormat="1" ht="15.75" hidden="1" customHeight="1" outlineLevel="2" x14ac:dyDescent="0.2">
      <c r="A40" s="1534"/>
      <c r="B40" s="1534"/>
      <c r="C40" s="1544"/>
      <c r="D40" s="1538"/>
      <c r="E40" s="1538"/>
      <c r="G40" s="1488"/>
      <c r="H40" s="1488"/>
      <c r="I40" s="1488"/>
      <c r="J40" s="1488"/>
      <c r="K40" s="1488"/>
      <c r="L40" s="1488"/>
      <c r="M40" s="1488"/>
      <c r="N40" s="1488"/>
      <c r="O40" s="1563"/>
      <c r="P40" s="1488"/>
      <c r="Q40" s="1488"/>
      <c r="R40" s="1488"/>
      <c r="S40" s="1488"/>
      <c r="T40" s="1488"/>
      <c r="U40" s="1488"/>
      <c r="V40" s="1488"/>
      <c r="W40" s="1488"/>
      <c r="Y40" s="1490"/>
      <c r="Z40" s="1490"/>
      <c r="AA40" s="1490"/>
      <c r="AB40" s="1490"/>
      <c r="AC40" s="1490"/>
      <c r="AD40" s="1490"/>
      <c r="AE40" s="1490"/>
      <c r="AF40" s="1490"/>
      <c r="AG40" s="1490"/>
      <c r="AH40" s="1490"/>
      <c r="AI40" s="1490"/>
      <c r="AJ40" s="1490"/>
      <c r="AK40" s="1490"/>
      <c r="AL40" s="1490"/>
      <c r="AM40" s="1490"/>
      <c r="AN40" s="1490"/>
      <c r="AO40" s="1490"/>
      <c r="AP40" s="1490"/>
      <c r="AQ40" s="1490"/>
      <c r="AS40" s="1491"/>
      <c r="AT40" s="1491"/>
      <c r="AU40" s="1491"/>
      <c r="AV40" s="1491"/>
      <c r="AW40" s="1491"/>
      <c r="AX40" s="1491"/>
      <c r="AY40" s="1491"/>
      <c r="AZ40" s="1491"/>
      <c r="BA40" s="1491"/>
      <c r="BB40" s="1491"/>
      <c r="BC40" s="1491"/>
      <c r="BD40" s="1491"/>
      <c r="BE40" s="1491"/>
      <c r="BF40" s="1491"/>
      <c r="BG40" s="1491"/>
      <c r="BH40" s="1491"/>
      <c r="BI40" s="1491"/>
      <c r="BJ40" s="1491"/>
      <c r="BK40" s="1491"/>
      <c r="BL40" s="1491"/>
      <c r="BN40" s="1492"/>
      <c r="BO40" s="1492"/>
      <c r="BP40" s="1492"/>
      <c r="BR40" s="3168">
        <f t="shared" si="12"/>
        <v>0</v>
      </c>
      <c r="BS40" s="1493"/>
      <c r="BT40" s="1534"/>
      <c r="BU40" s="1508"/>
      <c r="BV40" s="1508"/>
      <c r="BW40" s="1508"/>
      <c r="BX40" s="1508"/>
      <c r="BY40" s="1508"/>
      <c r="BZ40" s="1508"/>
      <c r="CA40" s="1508"/>
      <c r="CB40" s="1508"/>
      <c r="CC40" s="1508"/>
      <c r="CD40" s="1508"/>
      <c r="CE40" s="1508"/>
      <c r="CF40" s="1508"/>
      <c r="CG40" s="1508"/>
      <c r="CH40" s="1508"/>
      <c r="CI40" s="1508"/>
      <c r="CJ40" s="1508"/>
      <c r="CK40" s="1508"/>
      <c r="CL40" s="1508"/>
      <c r="CM40" s="1508"/>
      <c r="CN40" s="1508"/>
      <c r="CO40" s="1508"/>
      <c r="CP40" s="1508"/>
      <c r="CQ40" s="1508"/>
      <c r="CR40" s="1508"/>
      <c r="CS40" s="1508"/>
      <c r="CT40" s="1508"/>
      <c r="CU40" s="1508"/>
      <c r="CV40" s="1508"/>
      <c r="CW40" s="1508"/>
      <c r="CX40" s="1508"/>
      <c r="CY40" s="1508"/>
      <c r="CZ40" s="1508"/>
      <c r="DA40" s="1508"/>
      <c r="DB40" s="1508"/>
      <c r="DC40" s="1508"/>
      <c r="DD40" s="1508"/>
      <c r="DE40" s="1508"/>
      <c r="DF40" s="1508"/>
      <c r="DG40" s="1508"/>
      <c r="DH40" s="1508"/>
      <c r="DI40" s="1508"/>
      <c r="DJ40" s="1508"/>
      <c r="DK40" s="1508"/>
      <c r="DL40" s="1508"/>
      <c r="DN40" s="1509"/>
    </row>
    <row r="41" spans="1:118" s="1564" customFormat="1" ht="21" hidden="1" customHeight="1" outlineLevel="2" x14ac:dyDescent="0.2">
      <c r="C41" s="1565" t="s">
        <v>807</v>
      </c>
      <c r="D41" s="1566" t="s">
        <v>808</v>
      </c>
      <c r="E41" s="1566"/>
      <c r="F41" s="1567"/>
      <c r="G41" s="1568"/>
      <c r="H41" s="1568"/>
      <c r="I41" s="1568"/>
      <c r="J41" s="1568"/>
      <c r="K41" s="1568"/>
      <c r="L41" s="1568"/>
      <c r="M41" s="1568"/>
      <c r="N41" s="1568"/>
      <c r="O41" s="1569"/>
      <c r="P41" s="1568"/>
      <c r="Q41" s="1568"/>
      <c r="R41" s="1568"/>
      <c r="S41" s="1568"/>
      <c r="T41" s="1568"/>
      <c r="U41" s="1568"/>
      <c r="V41" s="1568"/>
      <c r="W41" s="1568"/>
      <c r="X41" s="1567"/>
      <c r="Y41" s="1570"/>
      <c r="Z41" s="1570"/>
      <c r="AA41" s="1570"/>
      <c r="AB41" s="1570"/>
      <c r="AC41" s="1570"/>
      <c r="AD41" s="1570"/>
      <c r="AE41" s="1570"/>
      <c r="AF41" s="1570"/>
      <c r="AG41" s="1570"/>
      <c r="AH41" s="1570"/>
      <c r="AI41" s="1570"/>
      <c r="AJ41" s="1570"/>
      <c r="AK41" s="1570"/>
      <c r="AL41" s="1570"/>
      <c r="AM41" s="1570"/>
      <c r="AN41" s="1570"/>
      <c r="AO41" s="1570"/>
      <c r="AP41" s="1570"/>
      <c r="AQ41" s="1570"/>
      <c r="AR41" s="1567"/>
      <c r="AS41" s="1571"/>
      <c r="AT41" s="1571"/>
      <c r="AU41" s="1571"/>
      <c r="AV41" s="1571"/>
      <c r="AW41" s="1571"/>
      <c r="AX41" s="1571"/>
      <c r="AY41" s="1571"/>
      <c r="AZ41" s="1571"/>
      <c r="BA41" s="1571"/>
      <c r="BB41" s="1571"/>
      <c r="BC41" s="1571"/>
      <c r="BD41" s="1571"/>
      <c r="BE41" s="1571"/>
      <c r="BF41" s="1571"/>
      <c r="BG41" s="1571"/>
      <c r="BH41" s="1571"/>
      <c r="BI41" s="1571"/>
      <c r="BJ41" s="1571"/>
      <c r="BK41" s="1571"/>
      <c r="BL41" s="1571"/>
      <c r="BM41" s="1567"/>
      <c r="BN41" s="1572"/>
      <c r="BO41" s="1572"/>
      <c r="BP41" s="1572"/>
      <c r="BQ41" s="1567"/>
      <c r="BR41" s="3168">
        <f t="shared" si="12"/>
        <v>0</v>
      </c>
      <c r="BS41" s="1573"/>
      <c r="BU41" s="1574"/>
      <c r="BV41" s="1574"/>
      <c r="BW41" s="1574"/>
      <c r="BX41" s="1574"/>
      <c r="BY41" s="1574"/>
      <c r="BZ41" s="1574"/>
      <c r="CA41" s="1574"/>
      <c r="CB41" s="1574"/>
      <c r="CC41" s="1574"/>
      <c r="CD41" s="1574"/>
      <c r="CE41" s="1574"/>
      <c r="CF41" s="1574"/>
      <c r="CG41" s="1574"/>
      <c r="CH41" s="1574"/>
      <c r="CI41" s="1574"/>
      <c r="CJ41" s="1574"/>
      <c r="CK41" s="1574"/>
      <c r="CL41" s="1574"/>
      <c r="CM41" s="1574"/>
      <c r="CN41" s="1574"/>
      <c r="CO41" s="1574"/>
      <c r="CP41" s="1574"/>
      <c r="CQ41" s="1574"/>
      <c r="CR41" s="1574"/>
      <c r="CS41" s="1574"/>
      <c r="CT41" s="1574"/>
      <c r="CU41" s="1574"/>
      <c r="CV41" s="1574"/>
      <c r="CW41" s="1574"/>
      <c r="CX41" s="1574"/>
      <c r="CY41" s="1574"/>
      <c r="CZ41" s="1574"/>
      <c r="DA41" s="1574"/>
      <c r="DB41" s="1574"/>
      <c r="DC41" s="1574"/>
      <c r="DD41" s="1574"/>
      <c r="DE41" s="1574"/>
      <c r="DF41" s="1574"/>
      <c r="DG41" s="1574"/>
      <c r="DH41" s="1574"/>
      <c r="DI41" s="1574"/>
      <c r="DJ41" s="1574"/>
      <c r="DK41" s="1574"/>
      <c r="DL41" s="1574"/>
      <c r="DN41" s="1575">
        <v>0</v>
      </c>
    </row>
    <row r="42" spans="1:118" s="14" customFormat="1" ht="25.5" hidden="1" customHeight="1" outlineLevel="2" x14ac:dyDescent="0.2">
      <c r="A42" s="1534"/>
      <c r="B42" s="1534"/>
      <c r="C42" s="1496" t="s">
        <v>78</v>
      </c>
      <c r="D42" s="1526" t="s">
        <v>794</v>
      </c>
      <c r="E42" s="1576"/>
      <c r="G42" s="1540"/>
      <c r="H42" s="1540"/>
      <c r="I42" s="1540"/>
      <c r="J42" s="1540"/>
      <c r="K42" s="1540"/>
      <c r="L42" s="1540"/>
      <c r="M42" s="1540"/>
      <c r="N42" s="1540"/>
      <c r="O42" s="1540"/>
      <c r="P42" s="1540"/>
      <c r="Q42" s="1540"/>
      <c r="R42" s="1540"/>
      <c r="S42" s="1540"/>
      <c r="T42" s="1540"/>
      <c r="U42" s="1540"/>
      <c r="V42" s="1540"/>
      <c r="W42" s="1527"/>
      <c r="Y42" s="1541"/>
      <c r="Z42" s="1541"/>
      <c r="AA42" s="1541"/>
      <c r="AB42" s="1541"/>
      <c r="AC42" s="1541"/>
      <c r="AD42" s="1541"/>
      <c r="AE42" s="1541"/>
      <c r="AF42" s="1541"/>
      <c r="AG42" s="1541"/>
      <c r="AH42" s="1541"/>
      <c r="AI42" s="1541"/>
      <c r="AJ42" s="1541"/>
      <c r="AK42" s="1541"/>
      <c r="AL42" s="1541"/>
      <c r="AM42" s="1541"/>
      <c r="AN42" s="1541"/>
      <c r="AO42" s="1541"/>
      <c r="AP42" s="1541"/>
      <c r="AQ42" s="1528"/>
      <c r="AS42" s="1542"/>
      <c r="AT42" s="1542"/>
      <c r="AU42" s="1542"/>
      <c r="AV42" s="1542"/>
      <c r="AW42" s="1542"/>
      <c r="AX42" s="1542"/>
      <c r="AY42" s="1542"/>
      <c r="AZ42" s="1542"/>
      <c r="BA42" s="1542"/>
      <c r="BB42" s="1542"/>
      <c r="BC42" s="1542"/>
      <c r="BD42" s="1542"/>
      <c r="BE42" s="1542"/>
      <c r="BF42" s="1542"/>
      <c r="BG42" s="1542"/>
      <c r="BH42" s="1542"/>
      <c r="BI42" s="1542"/>
      <c r="BJ42" s="1542"/>
      <c r="BK42" s="1542"/>
      <c r="BL42" s="1530"/>
      <c r="BN42" s="1543"/>
      <c r="BO42" s="1543"/>
      <c r="BP42" s="1531"/>
      <c r="BR42" s="3168">
        <f t="shared" si="12"/>
        <v>0</v>
      </c>
      <c r="BS42" s="1493"/>
      <c r="BT42" s="748"/>
      <c r="BU42" s="1532">
        <v>0</v>
      </c>
      <c r="BV42" s="1533">
        <v>0</v>
      </c>
      <c r="BW42" s="1533">
        <v>0</v>
      </c>
      <c r="BX42" s="1533">
        <v>0</v>
      </c>
      <c r="BY42" s="1533">
        <v>0</v>
      </c>
      <c r="BZ42" s="1533">
        <v>0</v>
      </c>
      <c r="CA42" s="1533">
        <v>0</v>
      </c>
      <c r="CB42" s="1533">
        <v>0</v>
      </c>
      <c r="CC42" s="1533">
        <v>0</v>
      </c>
      <c r="CD42" s="1533">
        <v>0</v>
      </c>
      <c r="CE42" s="1533">
        <v>0</v>
      </c>
      <c r="CF42" s="1533">
        <v>0</v>
      </c>
      <c r="CG42" s="1533">
        <v>0</v>
      </c>
      <c r="CH42" s="1533">
        <v>0</v>
      </c>
      <c r="CI42" s="1533">
        <v>0</v>
      </c>
      <c r="CJ42" s="1533">
        <v>0</v>
      </c>
      <c r="CK42" s="1533">
        <v>0</v>
      </c>
      <c r="CL42" s="1533">
        <v>0</v>
      </c>
      <c r="CM42" s="1533">
        <v>0</v>
      </c>
      <c r="CN42" s="1533">
        <v>0</v>
      </c>
      <c r="CO42" s="1533">
        <v>0</v>
      </c>
      <c r="CP42" s="1533">
        <v>0</v>
      </c>
      <c r="CQ42" s="1533">
        <v>0</v>
      </c>
      <c r="CR42" s="1533">
        <v>0</v>
      </c>
      <c r="CS42" s="1533">
        <v>0</v>
      </c>
      <c r="CT42" s="1533">
        <v>0</v>
      </c>
      <c r="CU42" s="1533">
        <v>0</v>
      </c>
      <c r="CV42" s="1533">
        <v>0</v>
      </c>
      <c r="CW42" s="1533">
        <v>0</v>
      </c>
      <c r="CX42" s="1533">
        <v>0</v>
      </c>
      <c r="CY42" s="1533">
        <v>0</v>
      </c>
      <c r="CZ42" s="1533">
        <v>0</v>
      </c>
      <c r="DA42" s="1533">
        <v>0</v>
      </c>
      <c r="DB42" s="1533">
        <v>0</v>
      </c>
      <c r="DC42" s="1533">
        <v>0</v>
      </c>
      <c r="DD42" s="1533">
        <v>0</v>
      </c>
      <c r="DE42" s="1533">
        <v>0</v>
      </c>
      <c r="DF42" s="1533">
        <v>0</v>
      </c>
      <c r="DG42" s="1533">
        <v>0</v>
      </c>
      <c r="DH42" s="1533">
        <v>0</v>
      </c>
      <c r="DI42" s="1533">
        <v>0</v>
      </c>
      <c r="DJ42" s="1533">
        <v>0</v>
      </c>
      <c r="DK42" s="1533">
        <v>0</v>
      </c>
      <c r="DL42" s="1533">
        <v>0</v>
      </c>
      <c r="DN42" s="1509"/>
    </row>
    <row r="43" spans="1:118" s="14" customFormat="1" ht="15.75" hidden="1" outlineLevel="1" collapsed="1" x14ac:dyDescent="0.2">
      <c r="A43" s="1845" t="s">
        <v>816</v>
      </c>
      <c r="B43" s="1846"/>
      <c r="C43" s="1842" t="s">
        <v>740</v>
      </c>
      <c r="D43" s="1843" t="s">
        <v>862</v>
      </c>
      <c r="E43" s="1844"/>
      <c r="G43" s="1539"/>
      <c r="H43" s="1539"/>
      <c r="I43" s="1539"/>
      <c r="J43" s="1539"/>
      <c r="K43" s="1539"/>
      <c r="L43" s="1539"/>
      <c r="M43" s="1539"/>
      <c r="N43" s="1539"/>
      <c r="O43" s="1539"/>
      <c r="P43" s="1539"/>
      <c r="Q43" s="1539"/>
      <c r="R43" s="1539"/>
      <c r="S43" s="1539"/>
      <c r="T43" s="1539"/>
      <c r="U43" s="1539"/>
      <c r="V43" s="1539"/>
      <c r="W43" s="1539"/>
      <c r="Y43" s="1490"/>
      <c r="Z43" s="1490"/>
      <c r="AA43" s="1490"/>
      <c r="AB43" s="1490"/>
      <c r="AC43" s="1490"/>
      <c r="AD43" s="1490"/>
      <c r="AE43" s="1490"/>
      <c r="AF43" s="1490"/>
      <c r="AG43" s="1490"/>
      <c r="AH43" s="1490"/>
      <c r="AI43" s="1490"/>
      <c r="AJ43" s="1490"/>
      <c r="AK43" s="1490"/>
      <c r="AL43" s="1490"/>
      <c r="AM43" s="1490"/>
      <c r="AN43" s="1490"/>
      <c r="AO43" s="1490"/>
      <c r="AP43" s="1490"/>
      <c r="AQ43" s="1490"/>
      <c r="AS43" s="1491"/>
      <c r="AT43" s="1491"/>
      <c r="AU43" s="1491"/>
      <c r="AV43" s="1491"/>
      <c r="AW43" s="1491"/>
      <c r="AX43" s="1491"/>
      <c r="AY43" s="1491"/>
      <c r="AZ43" s="1491"/>
      <c r="BA43" s="1491"/>
      <c r="BB43" s="1491"/>
      <c r="BC43" s="1491"/>
      <c r="BD43" s="1491"/>
      <c r="BE43" s="1491"/>
      <c r="BF43" s="1491"/>
      <c r="BG43" s="1491"/>
      <c r="BH43" s="1491"/>
      <c r="BI43" s="1491"/>
      <c r="BJ43" s="1491"/>
      <c r="BK43" s="1491"/>
      <c r="BL43" s="1491"/>
      <c r="BN43" s="1492"/>
      <c r="BO43" s="1492"/>
      <c r="BP43" s="1492"/>
      <c r="BR43" s="3168">
        <f t="shared" si="12"/>
        <v>0</v>
      </c>
      <c r="BS43" s="1493"/>
      <c r="BT43" s="748"/>
      <c r="BU43" s="1508"/>
      <c r="BV43" s="1508"/>
      <c r="BW43" s="1508"/>
      <c r="BX43" s="1508"/>
      <c r="BY43" s="1508"/>
      <c r="BZ43" s="1508"/>
      <c r="CA43" s="1508"/>
      <c r="CB43" s="1508"/>
      <c r="CC43" s="1508"/>
      <c r="CD43" s="1508"/>
      <c r="CE43" s="1508"/>
      <c r="CF43" s="1508"/>
      <c r="CG43" s="1508"/>
      <c r="CH43" s="1508"/>
      <c r="CI43" s="1508"/>
      <c r="CJ43" s="1508"/>
      <c r="CK43" s="1508"/>
      <c r="CL43" s="1508"/>
      <c r="CM43" s="1508"/>
      <c r="CN43" s="1508"/>
      <c r="CO43" s="1508"/>
      <c r="CP43" s="1508"/>
      <c r="CQ43" s="1508"/>
      <c r="CR43" s="1508"/>
      <c r="CS43" s="1508"/>
      <c r="CT43" s="1508"/>
      <c r="CU43" s="1508"/>
      <c r="CV43" s="1508"/>
      <c r="CW43" s="1508"/>
      <c r="CX43" s="1508"/>
      <c r="CY43" s="1508"/>
      <c r="CZ43" s="1508"/>
      <c r="DA43" s="1508"/>
      <c r="DB43" s="1508"/>
      <c r="DC43" s="1508"/>
      <c r="DD43" s="1508"/>
      <c r="DE43" s="1508"/>
      <c r="DF43" s="1508"/>
      <c r="DG43" s="1508"/>
      <c r="DH43" s="1508"/>
      <c r="DI43" s="1508"/>
      <c r="DJ43" s="1508"/>
      <c r="DK43" s="1508"/>
      <c r="DL43" s="1508"/>
      <c r="DN43" s="1509"/>
    </row>
    <row r="44" spans="1:118" s="14" customFormat="1" ht="15.75" hidden="1" customHeight="1" outlineLevel="2" x14ac:dyDescent="0.2">
      <c r="A44" s="1534"/>
      <c r="B44" s="1534"/>
      <c r="C44" s="1544"/>
      <c r="D44" s="1538"/>
      <c r="E44" s="1538"/>
      <c r="G44" s="1488"/>
      <c r="H44" s="1488"/>
      <c r="I44" s="1488"/>
      <c r="J44" s="1488"/>
      <c r="K44" s="1488"/>
      <c r="L44" s="1488"/>
      <c r="M44" s="1488"/>
      <c r="N44" s="1488"/>
      <c r="O44" s="1563"/>
      <c r="P44" s="1488"/>
      <c r="Q44" s="1488"/>
      <c r="R44" s="1488"/>
      <c r="S44" s="1488"/>
      <c r="T44" s="1488"/>
      <c r="U44" s="1488"/>
      <c r="V44" s="1488"/>
      <c r="W44" s="1488"/>
      <c r="Y44" s="1490"/>
      <c r="Z44" s="1490"/>
      <c r="AA44" s="1490"/>
      <c r="AB44" s="1490"/>
      <c r="AC44" s="1490"/>
      <c r="AD44" s="1490"/>
      <c r="AE44" s="1490"/>
      <c r="AF44" s="1490"/>
      <c r="AG44" s="1490"/>
      <c r="AH44" s="1490"/>
      <c r="AI44" s="1490"/>
      <c r="AJ44" s="1490"/>
      <c r="AK44" s="1490"/>
      <c r="AL44" s="1490"/>
      <c r="AM44" s="1490"/>
      <c r="AN44" s="1490"/>
      <c r="AO44" s="1490"/>
      <c r="AP44" s="1490"/>
      <c r="AQ44" s="1490"/>
      <c r="AS44" s="1491"/>
      <c r="AT44" s="1491"/>
      <c r="AU44" s="1491"/>
      <c r="AV44" s="1491"/>
      <c r="AW44" s="1491"/>
      <c r="AX44" s="1491"/>
      <c r="AY44" s="1491"/>
      <c r="AZ44" s="1491"/>
      <c r="BA44" s="1491"/>
      <c r="BB44" s="1491"/>
      <c r="BC44" s="1491"/>
      <c r="BD44" s="1491"/>
      <c r="BE44" s="1491"/>
      <c r="BF44" s="1491"/>
      <c r="BG44" s="1491"/>
      <c r="BH44" s="1491"/>
      <c r="BI44" s="1491"/>
      <c r="BJ44" s="1491"/>
      <c r="BK44" s="1491"/>
      <c r="BL44" s="1491"/>
      <c r="BN44" s="1492"/>
      <c r="BO44" s="1492"/>
      <c r="BP44" s="1492"/>
      <c r="BR44" s="3168">
        <f t="shared" si="12"/>
        <v>0</v>
      </c>
      <c r="BS44" s="1493"/>
      <c r="BT44" s="1534"/>
      <c r="BU44" s="1508"/>
      <c r="BV44" s="1508"/>
      <c r="BW44" s="1508"/>
      <c r="BX44" s="1508"/>
      <c r="BY44" s="1508"/>
      <c r="BZ44" s="1508"/>
      <c r="CA44" s="1508"/>
      <c r="CB44" s="1508"/>
      <c r="CC44" s="1508"/>
      <c r="CD44" s="1508"/>
      <c r="CE44" s="1508"/>
      <c r="CF44" s="1508"/>
      <c r="CG44" s="1508"/>
      <c r="CH44" s="1508"/>
      <c r="CI44" s="1508"/>
      <c r="CJ44" s="1508"/>
      <c r="CK44" s="1508"/>
      <c r="CL44" s="1508"/>
      <c r="CM44" s="1508"/>
      <c r="CN44" s="1508"/>
      <c r="CO44" s="1508"/>
      <c r="CP44" s="1508"/>
      <c r="CQ44" s="1508"/>
      <c r="CR44" s="1508"/>
      <c r="CS44" s="1508"/>
      <c r="CT44" s="1508"/>
      <c r="CU44" s="1508"/>
      <c r="CV44" s="1508"/>
      <c r="CW44" s="1508"/>
      <c r="CX44" s="1508"/>
      <c r="CY44" s="1508"/>
      <c r="CZ44" s="1508"/>
      <c r="DA44" s="1508"/>
      <c r="DB44" s="1508"/>
      <c r="DC44" s="1508"/>
      <c r="DD44" s="1508"/>
      <c r="DE44" s="1508"/>
      <c r="DF44" s="1508"/>
      <c r="DG44" s="1508"/>
      <c r="DH44" s="1508"/>
      <c r="DI44" s="1508"/>
      <c r="DJ44" s="1508"/>
      <c r="DK44" s="1508"/>
      <c r="DL44" s="1508"/>
      <c r="DN44" s="1509"/>
    </row>
    <row r="45" spans="1:118" s="14" customFormat="1" ht="11.25" hidden="1" customHeight="1" outlineLevel="2" x14ac:dyDescent="0.2">
      <c r="A45" s="1522"/>
      <c r="B45" s="1522"/>
      <c r="C45" s="1577" t="s">
        <v>108</v>
      </c>
      <c r="D45" s="1497" t="s">
        <v>109</v>
      </c>
      <c r="E45" s="1497"/>
      <c r="G45" s="1498"/>
      <c r="H45" s="1498"/>
      <c r="I45" s="1498"/>
      <c r="J45" s="1498"/>
      <c r="K45" s="1498"/>
      <c r="L45" s="1498"/>
      <c r="M45" s="1498"/>
      <c r="N45" s="1498"/>
      <c r="O45" s="1498"/>
      <c r="P45" s="1498"/>
      <c r="Q45" s="1498"/>
      <c r="R45" s="1498"/>
      <c r="S45" s="1498"/>
      <c r="T45" s="1498"/>
      <c r="U45" s="1498"/>
      <c r="V45" s="1498"/>
      <c r="W45" s="1499"/>
      <c r="Y45" s="1500"/>
      <c r="Z45" s="1500"/>
      <c r="AA45" s="1500"/>
      <c r="AB45" s="1500"/>
      <c r="AC45" s="1500"/>
      <c r="AD45" s="1500"/>
      <c r="AE45" s="1500"/>
      <c r="AF45" s="1500"/>
      <c r="AG45" s="1500"/>
      <c r="AH45" s="1500"/>
      <c r="AI45" s="1500"/>
      <c r="AJ45" s="1500"/>
      <c r="AK45" s="1500"/>
      <c r="AL45" s="1500"/>
      <c r="AM45" s="1500"/>
      <c r="AN45" s="1500"/>
      <c r="AO45" s="1500"/>
      <c r="AP45" s="1500"/>
      <c r="AQ45" s="1501"/>
      <c r="AS45" s="1502"/>
      <c r="AT45" s="1502"/>
      <c r="AU45" s="1502"/>
      <c r="AV45" s="1502"/>
      <c r="AW45" s="1502"/>
      <c r="AX45" s="1502"/>
      <c r="AY45" s="1502"/>
      <c r="AZ45" s="1502"/>
      <c r="BA45" s="1502"/>
      <c r="BB45" s="1502"/>
      <c r="BC45" s="1502"/>
      <c r="BD45" s="1502"/>
      <c r="BE45" s="1502"/>
      <c r="BF45" s="1502"/>
      <c r="BG45" s="1502"/>
      <c r="BH45" s="1502"/>
      <c r="BI45" s="1502"/>
      <c r="BJ45" s="1502"/>
      <c r="BK45" s="1502"/>
      <c r="BL45" s="1524"/>
      <c r="BN45" s="1504"/>
      <c r="BO45" s="1504"/>
      <c r="BP45" s="1505"/>
      <c r="BR45" s="3168">
        <f t="shared" si="12"/>
        <v>0</v>
      </c>
      <c r="BS45" s="1525"/>
      <c r="BT45" s="748"/>
      <c r="BU45" s="1507"/>
      <c r="BV45" s="1508"/>
      <c r="BW45" s="1508"/>
      <c r="BX45" s="1508"/>
      <c r="BY45" s="1508"/>
      <c r="BZ45" s="1508"/>
      <c r="CA45" s="1508"/>
      <c r="CB45" s="1508"/>
      <c r="CC45" s="1508"/>
      <c r="CD45" s="1508"/>
      <c r="CE45" s="1508"/>
      <c r="CF45" s="1508"/>
      <c r="CG45" s="1508"/>
      <c r="CH45" s="1508"/>
      <c r="CI45" s="1508"/>
      <c r="CJ45" s="1508"/>
      <c r="CK45" s="1508"/>
      <c r="CL45" s="1508"/>
      <c r="CM45" s="1508"/>
      <c r="CN45" s="1508"/>
      <c r="CO45" s="1508"/>
      <c r="CP45" s="1508"/>
      <c r="CQ45" s="1508"/>
      <c r="CR45" s="1508"/>
      <c r="CS45" s="1508"/>
      <c r="CT45" s="1508"/>
      <c r="CU45" s="1508"/>
      <c r="CV45" s="1508"/>
      <c r="CW45" s="1508"/>
      <c r="CX45" s="1508"/>
      <c r="CY45" s="1508"/>
      <c r="CZ45" s="1508"/>
      <c r="DA45" s="1508"/>
      <c r="DB45" s="1508"/>
      <c r="DC45" s="1508"/>
      <c r="DD45" s="1508"/>
      <c r="DE45" s="1508"/>
      <c r="DF45" s="1508"/>
      <c r="DG45" s="1508"/>
      <c r="DH45" s="1508"/>
      <c r="DI45" s="1508"/>
      <c r="DJ45" s="1508"/>
      <c r="DK45" s="1508"/>
      <c r="DL45" s="1508"/>
      <c r="DN45" s="1509"/>
    </row>
    <row r="46" spans="1:118" s="14" customFormat="1" ht="16.5" hidden="1" customHeight="1" outlineLevel="2" x14ac:dyDescent="0.2">
      <c r="A46" s="1522"/>
      <c r="B46" s="1522"/>
      <c r="C46" s="1577" t="s">
        <v>801</v>
      </c>
      <c r="D46" s="1526" t="s">
        <v>802</v>
      </c>
      <c r="E46" s="1526"/>
      <c r="G46" s="1540"/>
      <c r="H46" s="1540"/>
      <c r="I46" s="1540"/>
      <c r="J46" s="1540"/>
      <c r="K46" s="1540"/>
      <c r="L46" s="1540"/>
      <c r="M46" s="1540"/>
      <c r="N46" s="1540"/>
      <c r="O46" s="1540"/>
      <c r="P46" s="1540"/>
      <c r="Q46" s="1540"/>
      <c r="R46" s="1540"/>
      <c r="S46" s="1540"/>
      <c r="T46" s="1540"/>
      <c r="U46" s="1540"/>
      <c r="V46" s="1540"/>
      <c r="W46" s="1527"/>
      <c r="Y46" s="1541"/>
      <c r="Z46" s="1541"/>
      <c r="AA46" s="1541"/>
      <c r="AB46" s="1541"/>
      <c r="AC46" s="1541"/>
      <c r="AD46" s="1541"/>
      <c r="AE46" s="1541"/>
      <c r="AF46" s="1541"/>
      <c r="AG46" s="1541"/>
      <c r="AH46" s="1541"/>
      <c r="AI46" s="1541"/>
      <c r="AJ46" s="1541"/>
      <c r="AK46" s="1541"/>
      <c r="AL46" s="1541"/>
      <c r="AM46" s="1541"/>
      <c r="AN46" s="1541"/>
      <c r="AO46" s="1541"/>
      <c r="AP46" s="1541"/>
      <c r="AQ46" s="1528"/>
      <c r="AS46" s="1542"/>
      <c r="AT46" s="1542"/>
      <c r="AU46" s="1542"/>
      <c r="AV46" s="1542"/>
      <c r="AW46" s="1542"/>
      <c r="AX46" s="1542"/>
      <c r="AY46" s="1542"/>
      <c r="AZ46" s="1542"/>
      <c r="BA46" s="1542"/>
      <c r="BB46" s="1542"/>
      <c r="BC46" s="1542"/>
      <c r="BD46" s="1542"/>
      <c r="BE46" s="1542"/>
      <c r="BF46" s="1542"/>
      <c r="BG46" s="1542"/>
      <c r="BH46" s="1542"/>
      <c r="BI46" s="1542"/>
      <c r="BJ46" s="1542"/>
      <c r="BK46" s="1542"/>
      <c r="BL46" s="1530"/>
      <c r="BN46" s="1543"/>
      <c r="BO46" s="1543"/>
      <c r="BP46" s="1531"/>
      <c r="BR46" s="3168">
        <f t="shared" si="12"/>
        <v>0</v>
      </c>
      <c r="BS46" s="1525"/>
      <c r="BT46" s="748"/>
      <c r="BU46" s="1532"/>
      <c r="BV46" s="1533"/>
      <c r="BW46" s="1533"/>
      <c r="BX46" s="1533"/>
      <c r="BY46" s="1533"/>
      <c r="BZ46" s="1533"/>
      <c r="CA46" s="1533"/>
      <c r="CB46" s="1533"/>
      <c r="CC46" s="1533"/>
      <c r="CD46" s="1533"/>
      <c r="CE46" s="1533"/>
      <c r="CF46" s="1533"/>
      <c r="CG46" s="1533"/>
      <c r="CH46" s="1533"/>
      <c r="CI46" s="1533"/>
      <c r="CJ46" s="1533"/>
      <c r="CK46" s="1533"/>
      <c r="CL46" s="1533"/>
      <c r="CM46" s="1533"/>
      <c r="CN46" s="1533"/>
      <c r="CO46" s="1533"/>
      <c r="CP46" s="1533"/>
      <c r="CQ46" s="1533"/>
      <c r="CR46" s="1533"/>
      <c r="CS46" s="1533"/>
      <c r="CT46" s="1533"/>
      <c r="CU46" s="1533"/>
      <c r="CV46" s="1533"/>
      <c r="CW46" s="1533"/>
      <c r="CX46" s="1533"/>
      <c r="CY46" s="1533"/>
      <c r="CZ46" s="1533"/>
      <c r="DA46" s="1533"/>
      <c r="DB46" s="1533"/>
      <c r="DC46" s="1533"/>
      <c r="DD46" s="1533"/>
      <c r="DE46" s="1533"/>
      <c r="DF46" s="1533"/>
      <c r="DG46" s="1533"/>
      <c r="DH46" s="1533"/>
      <c r="DI46" s="1533"/>
      <c r="DJ46" s="1533"/>
      <c r="DK46" s="1533"/>
      <c r="DL46" s="1533"/>
      <c r="DN46" s="1509"/>
    </row>
    <row r="47" spans="1:118" s="14" customFormat="1" ht="15.75" hidden="1" outlineLevel="1" collapsed="1" x14ac:dyDescent="0.2">
      <c r="A47" s="1845" t="s">
        <v>816</v>
      </c>
      <c r="B47" s="1847"/>
      <c r="C47" s="1842" t="s">
        <v>745</v>
      </c>
      <c r="D47" s="1843" t="s">
        <v>863</v>
      </c>
      <c r="E47" s="1844"/>
      <c r="G47" s="1539"/>
      <c r="H47" s="1539"/>
      <c r="I47" s="1539"/>
      <c r="J47" s="1539"/>
      <c r="K47" s="1539"/>
      <c r="L47" s="1539"/>
      <c r="M47" s="1539"/>
      <c r="N47" s="1539"/>
      <c r="O47" s="1539"/>
      <c r="P47" s="1539"/>
      <c r="Q47" s="1539"/>
      <c r="R47" s="1539"/>
      <c r="S47" s="1539"/>
      <c r="T47" s="1539"/>
      <c r="U47" s="1539"/>
      <c r="V47" s="1539"/>
      <c r="W47" s="1539"/>
      <c r="Y47" s="1490"/>
      <c r="Z47" s="1490"/>
      <c r="AA47" s="1490"/>
      <c r="AB47" s="1490"/>
      <c r="AC47" s="1490"/>
      <c r="AD47" s="1490"/>
      <c r="AE47" s="1490"/>
      <c r="AF47" s="1490"/>
      <c r="AG47" s="1490"/>
      <c r="AH47" s="1490"/>
      <c r="AI47" s="1490"/>
      <c r="AJ47" s="1490"/>
      <c r="AK47" s="1490"/>
      <c r="AL47" s="1490"/>
      <c r="AM47" s="1490"/>
      <c r="AN47" s="1490"/>
      <c r="AO47" s="1490"/>
      <c r="AP47" s="1490"/>
      <c r="AQ47" s="1490"/>
      <c r="AS47" s="1491"/>
      <c r="AT47" s="1491"/>
      <c r="AU47" s="1491"/>
      <c r="AV47" s="1491"/>
      <c r="AW47" s="1491"/>
      <c r="AX47" s="1491"/>
      <c r="AY47" s="1491"/>
      <c r="AZ47" s="1491"/>
      <c r="BA47" s="1491"/>
      <c r="BB47" s="1491"/>
      <c r="BC47" s="1491"/>
      <c r="BD47" s="1491"/>
      <c r="BE47" s="1491"/>
      <c r="BF47" s="1491"/>
      <c r="BG47" s="1491"/>
      <c r="BH47" s="1491"/>
      <c r="BI47" s="1491"/>
      <c r="BJ47" s="1491"/>
      <c r="BK47" s="1491"/>
      <c r="BL47" s="1491"/>
      <c r="BN47" s="1492"/>
      <c r="BO47" s="1492"/>
      <c r="BP47" s="1492"/>
      <c r="BR47" s="3168">
        <f t="shared" si="12"/>
        <v>0</v>
      </c>
      <c r="BS47" s="1579"/>
      <c r="BT47" s="748"/>
      <c r="BU47" s="1507"/>
      <c r="BV47" s="1508"/>
      <c r="BW47" s="1508"/>
      <c r="BX47" s="1508"/>
      <c r="BY47" s="1508"/>
      <c r="BZ47" s="1508"/>
      <c r="CA47" s="1508"/>
      <c r="CB47" s="1508"/>
      <c r="CC47" s="1508"/>
      <c r="CD47" s="1508"/>
      <c r="CE47" s="1508"/>
      <c r="CF47" s="1508"/>
      <c r="CG47" s="1508"/>
      <c r="CH47" s="1508"/>
      <c r="CI47" s="1508"/>
      <c r="CJ47" s="1508"/>
      <c r="CK47" s="1508"/>
      <c r="CL47" s="1508"/>
      <c r="CM47" s="1508"/>
      <c r="CN47" s="1508"/>
      <c r="CO47" s="1508"/>
      <c r="CP47" s="1508"/>
      <c r="CQ47" s="1508"/>
      <c r="CR47" s="1508"/>
      <c r="CS47" s="1508"/>
      <c r="CT47" s="1508"/>
      <c r="CU47" s="1508"/>
      <c r="CV47" s="1508"/>
      <c r="CW47" s="1508"/>
      <c r="CX47" s="1508"/>
      <c r="CY47" s="1508"/>
      <c r="CZ47" s="1508"/>
      <c r="DA47" s="1508"/>
      <c r="DB47" s="1508"/>
      <c r="DC47" s="1508"/>
      <c r="DD47" s="1508"/>
      <c r="DE47" s="1508"/>
      <c r="DF47" s="1508"/>
      <c r="DG47" s="1508"/>
      <c r="DH47" s="1508"/>
      <c r="DI47" s="1508"/>
      <c r="DJ47" s="1508"/>
      <c r="DK47" s="1508"/>
      <c r="DL47" s="1508"/>
      <c r="DN47" s="1509"/>
    </row>
    <row r="48" spans="1:118" s="14" customFormat="1" ht="15.75" collapsed="1" x14ac:dyDescent="0.2">
      <c r="A48" s="1845"/>
      <c r="B48" s="1847"/>
      <c r="C48" s="1842"/>
      <c r="D48" s="1843"/>
      <c r="E48" s="1844"/>
      <c r="G48" s="1539"/>
      <c r="H48" s="1539"/>
      <c r="I48" s="1539"/>
      <c r="J48" s="1539"/>
      <c r="K48" s="1539"/>
      <c r="L48" s="1539"/>
      <c r="M48" s="1539"/>
      <c r="N48" s="1539"/>
      <c r="O48" s="1539"/>
      <c r="P48" s="1539"/>
      <c r="Q48" s="1539"/>
      <c r="R48" s="1539"/>
      <c r="S48" s="1539"/>
      <c r="T48" s="1539"/>
      <c r="U48" s="1539"/>
      <c r="V48" s="1539"/>
      <c r="W48" s="1539"/>
      <c r="Y48" s="1490"/>
      <c r="Z48" s="1490"/>
      <c r="AA48" s="1490"/>
      <c r="AB48" s="1490"/>
      <c r="AC48" s="1490"/>
      <c r="AD48" s="1490"/>
      <c r="AE48" s="1490"/>
      <c r="AF48" s="1490"/>
      <c r="AG48" s="1490"/>
      <c r="AH48" s="1490"/>
      <c r="AI48" s="1490"/>
      <c r="AJ48" s="1490"/>
      <c r="AK48" s="1490"/>
      <c r="AL48" s="1490"/>
      <c r="AM48" s="1490"/>
      <c r="AN48" s="1490"/>
      <c r="AO48" s="1490"/>
      <c r="AP48" s="1490"/>
      <c r="AQ48" s="1490"/>
      <c r="AS48" s="1491"/>
      <c r="AT48" s="1491"/>
      <c r="AU48" s="1491"/>
      <c r="AV48" s="1491"/>
      <c r="AW48" s="1491"/>
      <c r="AX48" s="1491"/>
      <c r="AY48" s="1491"/>
      <c r="AZ48" s="1491"/>
      <c r="BA48" s="1491"/>
      <c r="BB48" s="1491"/>
      <c r="BC48" s="1491"/>
      <c r="BD48" s="1491"/>
      <c r="BE48" s="1491"/>
      <c r="BF48" s="1491"/>
      <c r="BG48" s="1491"/>
      <c r="BH48" s="1491"/>
      <c r="BI48" s="1491"/>
      <c r="BJ48" s="1491"/>
      <c r="BK48" s="1491"/>
      <c r="BL48" s="1491"/>
      <c r="BN48" s="1492"/>
      <c r="BO48" s="1492"/>
      <c r="BP48" s="1492"/>
      <c r="BR48" s="3168"/>
      <c r="BS48" s="1579"/>
      <c r="BT48" s="748"/>
      <c r="BU48" s="1507"/>
      <c r="BV48" s="1508"/>
      <c r="BW48" s="1508"/>
      <c r="BX48" s="1508"/>
      <c r="BY48" s="1508"/>
      <c r="BZ48" s="1508"/>
      <c r="CA48" s="1508"/>
      <c r="CB48" s="1508"/>
      <c r="CC48" s="1508"/>
      <c r="CD48" s="1508"/>
      <c r="CE48" s="1508"/>
      <c r="CF48" s="1508"/>
      <c r="CG48" s="1508"/>
      <c r="CH48" s="1508"/>
      <c r="CI48" s="1508"/>
      <c r="CJ48" s="1508"/>
      <c r="CK48" s="1508"/>
      <c r="CL48" s="1508"/>
      <c r="CM48" s="1508"/>
      <c r="CN48" s="1508"/>
      <c r="CO48" s="1508"/>
      <c r="CP48" s="1508"/>
      <c r="CQ48" s="1508"/>
      <c r="CR48" s="1508"/>
      <c r="CS48" s="1508"/>
      <c r="CT48" s="1508"/>
      <c r="CU48" s="1508"/>
      <c r="CV48" s="1508"/>
      <c r="CW48" s="1508"/>
      <c r="CX48" s="1508"/>
      <c r="CY48" s="1508"/>
      <c r="CZ48" s="1508"/>
      <c r="DA48" s="1508"/>
      <c r="DB48" s="1508"/>
      <c r="DC48" s="1508"/>
      <c r="DD48" s="1508"/>
      <c r="DE48" s="1508"/>
      <c r="DF48" s="1508"/>
      <c r="DG48" s="1508"/>
      <c r="DH48" s="1508"/>
      <c r="DI48" s="1508"/>
      <c r="DJ48" s="1508"/>
      <c r="DK48" s="1508"/>
      <c r="DL48" s="1508"/>
      <c r="DN48" s="1509"/>
    </row>
    <row r="49" spans="1:118" s="14" customFormat="1" ht="15.75" x14ac:dyDescent="0.2">
      <c r="A49" s="1534"/>
      <c r="B49" s="1535"/>
      <c r="C49" s="1536"/>
      <c r="D49" s="1537"/>
      <c r="E49" s="1538"/>
      <c r="G49" s="1539"/>
      <c r="H49" s="1539"/>
      <c r="I49" s="1539"/>
      <c r="J49" s="1539"/>
      <c r="K49" s="1539"/>
      <c r="L49" s="1539"/>
      <c r="M49" s="1539"/>
      <c r="N49" s="1539"/>
      <c r="O49" s="1539"/>
      <c r="P49" s="1539"/>
      <c r="Q49" s="1539"/>
      <c r="R49" s="1539"/>
      <c r="S49" s="1539"/>
      <c r="T49" s="1539"/>
      <c r="U49" s="1539"/>
      <c r="V49" s="1539"/>
      <c r="W49" s="1539"/>
      <c r="Y49" s="1490"/>
      <c r="Z49" s="1490"/>
      <c r="AA49" s="1490"/>
      <c r="AB49" s="1490"/>
      <c r="AC49" s="1490"/>
      <c r="AD49" s="1490"/>
      <c r="AE49" s="1490"/>
      <c r="AF49" s="1490"/>
      <c r="AG49" s="1490"/>
      <c r="AH49" s="1490"/>
      <c r="AI49" s="1490"/>
      <c r="AJ49" s="1490"/>
      <c r="AK49" s="1490"/>
      <c r="AL49" s="1490"/>
      <c r="AM49" s="1490"/>
      <c r="AN49" s="1490"/>
      <c r="AO49" s="1490"/>
      <c r="AP49" s="1490"/>
      <c r="AQ49" s="1893"/>
      <c r="AS49" s="1491"/>
      <c r="AT49" s="1491"/>
      <c r="AU49" s="1491"/>
      <c r="AV49" s="1491"/>
      <c r="AW49" s="1491"/>
      <c r="AX49" s="1491"/>
      <c r="AY49" s="1491"/>
      <c r="AZ49" s="1491"/>
      <c r="BA49" s="1491"/>
      <c r="BB49" s="1491"/>
      <c r="BC49" s="1491"/>
      <c r="BD49" s="1491"/>
      <c r="BE49" s="1491"/>
      <c r="BF49" s="1491"/>
      <c r="BG49" s="1491"/>
      <c r="BH49" s="1491"/>
      <c r="BI49" s="1491"/>
      <c r="BJ49" s="1491"/>
      <c r="BK49" s="1491"/>
      <c r="BL49" s="1491"/>
      <c r="BN49" s="1492"/>
      <c r="BO49" s="1492"/>
      <c r="BP49" s="1492"/>
      <c r="BR49" s="3168"/>
      <c r="BS49" s="1493"/>
      <c r="BT49" s="748"/>
      <c r="BU49" s="1508"/>
      <c r="BV49" s="1508"/>
      <c r="BW49" s="1508"/>
      <c r="BX49" s="1508"/>
      <c r="BY49" s="1508"/>
      <c r="BZ49" s="1508"/>
      <c r="CA49" s="1508"/>
      <c r="CB49" s="1508"/>
      <c r="CC49" s="1508"/>
      <c r="CD49" s="1508"/>
      <c r="CE49" s="1508"/>
      <c r="CF49" s="1508"/>
      <c r="CG49" s="1508"/>
      <c r="CH49" s="1508"/>
      <c r="CI49" s="1508"/>
      <c r="CJ49" s="1508"/>
      <c r="CK49" s="1508"/>
      <c r="CL49" s="1508"/>
      <c r="CM49" s="1508"/>
      <c r="CN49" s="1508"/>
      <c r="CO49" s="1508"/>
      <c r="CP49" s="1508"/>
      <c r="CQ49" s="1508"/>
      <c r="CR49" s="1508"/>
      <c r="CS49" s="1508"/>
      <c r="CT49" s="1508"/>
      <c r="CU49" s="1508"/>
      <c r="CV49" s="1508"/>
      <c r="CW49" s="1508"/>
      <c r="CX49" s="1508"/>
      <c r="CY49" s="1508"/>
      <c r="CZ49" s="1508"/>
      <c r="DA49" s="1508"/>
      <c r="DB49" s="1508"/>
      <c r="DC49" s="1508"/>
      <c r="DD49" s="1508"/>
      <c r="DE49" s="1508"/>
      <c r="DF49" s="1508"/>
      <c r="DG49" s="1508"/>
      <c r="DH49" s="1508"/>
      <c r="DI49" s="1508"/>
      <c r="DJ49" s="1508"/>
      <c r="DK49" s="1508"/>
      <c r="DL49" s="1508"/>
      <c r="DN49" s="1509"/>
    </row>
    <row r="50" spans="1:118" s="14" customFormat="1" ht="12.75" hidden="1" customHeight="1" outlineLevel="1" x14ac:dyDescent="0.2">
      <c r="A50" s="1534"/>
      <c r="B50" s="1534"/>
      <c r="C50" s="1544"/>
      <c r="D50" s="1538"/>
      <c r="E50" s="1538"/>
      <c r="G50" s="1488"/>
      <c r="H50" s="1488"/>
      <c r="I50" s="1488"/>
      <c r="J50" s="1488"/>
      <c r="K50" s="1488"/>
      <c r="L50" s="1488"/>
      <c r="M50" s="1488"/>
      <c r="N50" s="1488"/>
      <c r="O50" s="1563"/>
      <c r="P50" s="1488"/>
      <c r="Q50" s="1488"/>
      <c r="R50" s="1488"/>
      <c r="S50" s="1488"/>
      <c r="T50" s="1488"/>
      <c r="U50" s="1488"/>
      <c r="V50" s="1488"/>
      <c r="W50" s="1488"/>
      <c r="Y50" s="1490"/>
      <c r="Z50" s="1490"/>
      <c r="AA50" s="1490"/>
      <c r="AB50" s="1490"/>
      <c r="AC50" s="1490"/>
      <c r="AD50" s="1490"/>
      <c r="AE50" s="1490"/>
      <c r="AF50" s="1490"/>
      <c r="AG50" s="1490"/>
      <c r="AH50" s="1490"/>
      <c r="AI50" s="1490"/>
      <c r="AJ50" s="1490"/>
      <c r="AK50" s="1490"/>
      <c r="AL50" s="1490"/>
      <c r="AM50" s="1490"/>
      <c r="AN50" s="1490"/>
      <c r="AO50" s="1490"/>
      <c r="AP50" s="1490"/>
      <c r="AQ50" s="1893"/>
      <c r="AS50" s="1491"/>
      <c r="AT50" s="1491"/>
      <c r="AU50" s="1491"/>
      <c r="AV50" s="1491"/>
      <c r="AW50" s="1491"/>
      <c r="AX50" s="1491"/>
      <c r="AY50" s="1491"/>
      <c r="AZ50" s="1491"/>
      <c r="BA50" s="1491"/>
      <c r="BB50" s="1491"/>
      <c r="BC50" s="1491"/>
      <c r="BD50" s="1491"/>
      <c r="BE50" s="1491"/>
      <c r="BF50" s="1491"/>
      <c r="BG50" s="1491"/>
      <c r="BH50" s="1491"/>
      <c r="BI50" s="1491"/>
      <c r="BJ50" s="1491"/>
      <c r="BK50" s="1491"/>
      <c r="BL50" s="1491"/>
      <c r="BN50" s="1492"/>
      <c r="BO50" s="1492"/>
      <c r="BP50" s="1492"/>
      <c r="BR50" s="3168">
        <f>W50+AQ50+BL50+BP50</f>
        <v>0</v>
      </c>
      <c r="BS50" s="1493"/>
      <c r="BT50" s="1534"/>
      <c r="BU50" s="1508"/>
      <c r="BV50" s="1508"/>
      <c r="BW50" s="1508"/>
      <c r="BX50" s="1508"/>
      <c r="BY50" s="1508"/>
      <c r="BZ50" s="1508"/>
      <c r="CA50" s="1508"/>
      <c r="CB50" s="1508"/>
      <c r="CC50" s="1508"/>
      <c r="CD50" s="1508"/>
      <c r="CE50" s="1508"/>
      <c r="CF50" s="1508"/>
      <c r="CG50" s="1508"/>
      <c r="CH50" s="1508"/>
      <c r="CI50" s="1508"/>
      <c r="CJ50" s="1508"/>
      <c r="CK50" s="1508"/>
      <c r="CL50" s="1508"/>
      <c r="CM50" s="1508"/>
      <c r="CN50" s="1508"/>
      <c r="CO50" s="1508"/>
      <c r="CP50" s="1508"/>
      <c r="CQ50" s="1508"/>
      <c r="CR50" s="1508"/>
      <c r="CS50" s="1508"/>
      <c r="CT50" s="1508"/>
      <c r="CU50" s="1508"/>
      <c r="CV50" s="1508"/>
      <c r="CW50" s="1508"/>
      <c r="CX50" s="1508"/>
      <c r="CY50" s="1508"/>
      <c r="CZ50" s="1508"/>
      <c r="DA50" s="1508"/>
      <c r="DB50" s="1508"/>
      <c r="DC50" s="1508"/>
      <c r="DD50" s="1508"/>
      <c r="DE50" s="1508"/>
      <c r="DF50" s="1508"/>
      <c r="DG50" s="1508"/>
      <c r="DH50" s="1508"/>
      <c r="DI50" s="1508"/>
      <c r="DJ50" s="1508"/>
      <c r="DK50" s="1508"/>
      <c r="DL50" s="1508"/>
      <c r="DN50" s="1509">
        <v>0</v>
      </c>
    </row>
    <row r="51" spans="1:118" s="1564" customFormat="1" ht="12.75" hidden="1" customHeight="1" outlineLevel="1" x14ac:dyDescent="0.2">
      <c r="C51" s="1565"/>
      <c r="D51" s="1592"/>
      <c r="E51" s="1566"/>
      <c r="F51" s="1567"/>
      <c r="G51" s="1568"/>
      <c r="H51" s="1568"/>
      <c r="I51" s="1568"/>
      <c r="J51" s="1568"/>
      <c r="K51" s="1568"/>
      <c r="L51" s="1568"/>
      <c r="M51" s="1568"/>
      <c r="N51" s="1568"/>
      <c r="O51" s="1569"/>
      <c r="P51" s="1568"/>
      <c r="Q51" s="1568"/>
      <c r="R51" s="1568"/>
      <c r="S51" s="1568"/>
      <c r="T51" s="1568"/>
      <c r="U51" s="1568"/>
      <c r="V51" s="1568"/>
      <c r="W51" s="1568"/>
      <c r="X51" s="1567"/>
      <c r="Y51" s="1570"/>
      <c r="Z51" s="1570"/>
      <c r="AA51" s="1570"/>
      <c r="AB51" s="1570"/>
      <c r="AC51" s="1570"/>
      <c r="AD51" s="1570"/>
      <c r="AE51" s="1570"/>
      <c r="AF51" s="1570"/>
      <c r="AG51" s="1570"/>
      <c r="AH51" s="1570"/>
      <c r="AI51" s="1570"/>
      <c r="AJ51" s="1570"/>
      <c r="AK51" s="1570"/>
      <c r="AL51" s="1570"/>
      <c r="AM51" s="1570"/>
      <c r="AN51" s="1570"/>
      <c r="AO51" s="1570"/>
      <c r="AP51" s="1570"/>
      <c r="AQ51" s="1955"/>
      <c r="AR51" s="1567"/>
      <c r="AS51" s="1571"/>
      <c r="AT51" s="1571"/>
      <c r="AU51" s="1571"/>
      <c r="AV51" s="1571"/>
      <c r="AW51" s="1571"/>
      <c r="AX51" s="1571"/>
      <c r="AY51" s="1571"/>
      <c r="AZ51" s="1571"/>
      <c r="BA51" s="1571"/>
      <c r="BB51" s="1571"/>
      <c r="BC51" s="1571"/>
      <c r="BD51" s="1571"/>
      <c r="BE51" s="1571"/>
      <c r="BF51" s="1571"/>
      <c r="BG51" s="1571"/>
      <c r="BH51" s="1571"/>
      <c r="BI51" s="1571"/>
      <c r="BJ51" s="1571"/>
      <c r="BK51" s="1571"/>
      <c r="BL51" s="1571"/>
      <c r="BM51" s="1567"/>
      <c r="BN51" s="1572"/>
      <c r="BO51" s="1572"/>
      <c r="BP51" s="1572"/>
      <c r="BQ51" s="1567"/>
      <c r="BR51" s="3168">
        <f>W51+AQ51+BL51+BP51</f>
        <v>0</v>
      </c>
      <c r="BS51" s="1573"/>
      <c r="BU51" s="1574"/>
      <c r="BV51" s="1574"/>
      <c r="BW51" s="1574"/>
      <c r="BX51" s="1574"/>
      <c r="BY51" s="1574"/>
      <c r="BZ51" s="1574"/>
      <c r="CA51" s="1574"/>
      <c r="CB51" s="1574"/>
      <c r="CC51" s="1574"/>
      <c r="CD51" s="1574"/>
      <c r="CE51" s="1574"/>
      <c r="CF51" s="1574"/>
      <c r="CG51" s="1574"/>
      <c r="CH51" s="1574"/>
      <c r="CI51" s="1574"/>
      <c r="CJ51" s="1574"/>
      <c r="CK51" s="1574"/>
      <c r="CL51" s="1574"/>
      <c r="CM51" s="1574"/>
      <c r="CN51" s="1574"/>
      <c r="CO51" s="1574"/>
      <c r="CP51" s="1574"/>
      <c r="CQ51" s="1574"/>
      <c r="CR51" s="1574"/>
      <c r="CS51" s="1574"/>
      <c r="CT51" s="1574"/>
      <c r="CU51" s="1574"/>
      <c r="CV51" s="1574"/>
      <c r="CW51" s="1574"/>
      <c r="CX51" s="1574"/>
      <c r="CY51" s="1574"/>
      <c r="CZ51" s="1574"/>
      <c r="DA51" s="1574"/>
      <c r="DB51" s="1574"/>
      <c r="DC51" s="1574"/>
      <c r="DD51" s="1574"/>
      <c r="DE51" s="1574"/>
      <c r="DF51" s="1574"/>
      <c r="DG51" s="1574"/>
      <c r="DH51" s="1574"/>
      <c r="DI51" s="1574"/>
      <c r="DJ51" s="1574"/>
      <c r="DK51" s="1574"/>
      <c r="DL51" s="1574"/>
      <c r="DN51" s="1575">
        <v>0</v>
      </c>
    </row>
    <row r="52" spans="1:118" s="1877" customFormat="1" ht="12.75" hidden="1" customHeight="1" outlineLevel="1" x14ac:dyDescent="0.2">
      <c r="C52" s="1496" t="s">
        <v>46</v>
      </c>
      <c r="D52" s="14" t="str">
        <f>INDEX(Modulos[Modulos], MATCH($C52, Modulos[Código], 0))</f>
        <v>Termoelectricidad</v>
      </c>
      <c r="E52" s="1600"/>
      <c r="F52" s="56"/>
      <c r="G52" s="1601"/>
      <c r="H52" s="1601"/>
      <c r="I52" s="1601"/>
      <c r="J52" s="1601"/>
      <c r="K52" s="1601"/>
      <c r="L52" s="1601"/>
      <c r="M52" s="1601"/>
      <c r="N52" s="1601"/>
      <c r="O52" s="1602"/>
      <c r="P52" s="1601"/>
      <c r="Q52" s="1601"/>
      <c r="R52" s="1601"/>
      <c r="S52" s="1601"/>
      <c r="T52" s="1601"/>
      <c r="U52" s="1601"/>
      <c r="V52" s="1601"/>
      <c r="W52" s="1601"/>
      <c r="X52" s="56"/>
      <c r="Y52" s="1490">
        <f t="shared" ref="Y52:AP52" ca="1" si="31">IFERROR(INDEX(INDIRECT($C52&amp;".Outputs["&amp;this.Year&amp;"]"), MATCH(Y$5, INDIRECT($C52&amp;".Outputs[Vector]"), 0)), 0)</f>
        <v>0</v>
      </c>
      <c r="Z52" s="1490">
        <f ca="1">IFERROR(INDEX(INDIRECT($C52&amp;".Outputs["&amp;this.Year&amp;"]"), MATCH(Z$5, INDIRECT($C52&amp;".Outputs[Vector]"), 0)), 0)</f>
        <v>89.20371875178617</v>
      </c>
      <c r="AA52" s="1490">
        <f t="shared" ca="1" si="31"/>
        <v>-125.00503957881422</v>
      </c>
      <c r="AB52" s="1490">
        <f t="shared" ca="1" si="31"/>
        <v>-15.625629947351779</v>
      </c>
      <c r="AC52" s="1490">
        <f t="shared" ca="1" si="31"/>
        <v>-71.431451187893842</v>
      </c>
      <c r="AD52" s="1490">
        <f t="shared" ca="1" si="31"/>
        <v>0</v>
      </c>
      <c r="AE52" s="1490">
        <f t="shared" ca="1" si="31"/>
        <v>0</v>
      </c>
      <c r="AF52" s="1490">
        <f t="shared" ca="1" si="31"/>
        <v>0</v>
      </c>
      <c r="AG52" s="1490">
        <f t="shared" ca="1" si="31"/>
        <v>0</v>
      </c>
      <c r="AH52" s="1490">
        <f t="shared" ca="1" si="31"/>
        <v>0</v>
      </c>
      <c r="AI52" s="1490">
        <f t="shared" ca="1" si="31"/>
        <v>0</v>
      </c>
      <c r="AJ52" s="1490">
        <f t="shared" ca="1" si="31"/>
        <v>0</v>
      </c>
      <c r="AK52" s="1490">
        <f t="shared" ca="1" si="31"/>
        <v>0</v>
      </c>
      <c r="AL52" s="1490">
        <f t="shared" ca="1" si="31"/>
        <v>-2.9453760000000004</v>
      </c>
      <c r="AM52" s="1490">
        <f t="shared" ca="1" si="31"/>
        <v>0</v>
      </c>
      <c r="AN52" s="1490">
        <f t="shared" ca="1" si="31"/>
        <v>0</v>
      </c>
      <c r="AO52" s="1490">
        <f t="shared" ca="1" si="31"/>
        <v>0</v>
      </c>
      <c r="AP52" s="1490">
        <f t="shared" ca="1" si="31"/>
        <v>0</v>
      </c>
      <c r="AQ52" s="1893">
        <f ca="1">SUM(Y52:AP52)</f>
        <v>-125.80377796227367</v>
      </c>
      <c r="AR52" s="56"/>
      <c r="AS52" s="1940">
        <f t="shared" ref="AS52:BK52" ca="1" si="32">IFERROR(INDEX(INDIRECT($C52&amp;".Outputs["&amp;this.Year&amp;"]"), MATCH(AS$5, INDIRECT($C52&amp;".Outputs[Vector]"), 0)), 0)</f>
        <v>0</v>
      </c>
      <c r="AT52" s="1940">
        <f t="shared" ca="1" si="32"/>
        <v>0</v>
      </c>
      <c r="AU52" s="1940">
        <f t="shared" ca="1" si="32"/>
        <v>0</v>
      </c>
      <c r="AV52" s="1940">
        <f t="shared" ca="1" si="32"/>
        <v>0</v>
      </c>
      <c r="AW52" s="1940">
        <f t="shared" ca="1" si="32"/>
        <v>0</v>
      </c>
      <c r="AX52" s="1940">
        <f t="shared" ca="1" si="32"/>
        <v>0</v>
      </c>
      <c r="AY52" s="1940">
        <f t="shared" ca="1" si="32"/>
        <v>0</v>
      </c>
      <c r="AZ52" s="1940">
        <f t="shared" ca="1" si="32"/>
        <v>0</v>
      </c>
      <c r="BA52" s="1940">
        <f t="shared" ca="1" si="32"/>
        <v>0</v>
      </c>
      <c r="BB52" s="1940">
        <f t="shared" ca="1" si="32"/>
        <v>0</v>
      </c>
      <c r="BC52" s="1940">
        <f t="shared" ca="1" si="32"/>
        <v>0</v>
      </c>
      <c r="BD52" s="1940">
        <f t="shared" ca="1" si="32"/>
        <v>0</v>
      </c>
      <c r="BE52" s="1940">
        <f t="shared" ca="1" si="32"/>
        <v>0</v>
      </c>
      <c r="BF52" s="1940">
        <f t="shared" ca="1" si="32"/>
        <v>0</v>
      </c>
      <c r="BG52" s="1940">
        <f t="shared" ca="1" si="32"/>
        <v>0</v>
      </c>
      <c r="BH52" s="1940">
        <f t="shared" ca="1" si="32"/>
        <v>0</v>
      </c>
      <c r="BI52" s="1940">
        <f t="shared" ca="1" si="32"/>
        <v>0</v>
      </c>
      <c r="BJ52" s="1940">
        <f t="shared" ca="1" si="32"/>
        <v>0</v>
      </c>
      <c r="BK52" s="1940">
        <f t="shared" ca="1" si="32"/>
        <v>0</v>
      </c>
      <c r="BL52" s="1952">
        <f ca="1">SUM(AS52:BK52)</f>
        <v>0</v>
      </c>
      <c r="BM52" s="56"/>
      <c r="BN52" s="1941">
        <f ca="1">IFERROR(INDEX(INDIRECT($C52&amp;".Outputs["&amp;this.Year&amp;"]"), MATCH(BN$5, INDIRECT($C52&amp;".Outputs[Vector]"), 0)), 0)</f>
        <v>121.34359202468436</v>
      </c>
      <c r="BO52" s="1941">
        <f ca="1">IFERROR(INDEX(INDIRECT($C52&amp;".Outputs["&amp;this.Year&amp;"]"), MATCH(BO$5, INDIRECT($C52&amp;".Outputs[Vector]"), 0)), 0)</f>
        <v>4.4601859375893138</v>
      </c>
      <c r="BP52" s="1505">
        <f ca="1">BN52+BO52</f>
        <v>125.80377796227367</v>
      </c>
      <c r="BQ52" s="56"/>
      <c r="BR52" s="3168">
        <f ca="1">W52+AQ52+BL52+BP52</f>
        <v>0</v>
      </c>
      <c r="BS52" s="1579"/>
      <c r="BU52" s="1595"/>
      <c r="BV52" s="1595"/>
      <c r="BW52" s="1595"/>
      <c r="BX52" s="1595"/>
      <c r="BY52" s="1595"/>
      <c r="BZ52" s="1595"/>
      <c r="CA52" s="1595"/>
      <c r="CB52" s="1595"/>
      <c r="CC52" s="1595"/>
      <c r="CD52" s="1595"/>
      <c r="CE52" s="1595"/>
      <c r="CF52" s="1595"/>
      <c r="CG52" s="1595"/>
      <c r="CH52" s="1595"/>
      <c r="CI52" s="1595"/>
      <c r="CJ52" s="1595"/>
      <c r="CK52" s="1595"/>
      <c r="CL52" s="1595"/>
      <c r="CM52" s="1595"/>
      <c r="CN52" s="1595"/>
      <c r="CO52" s="1595"/>
      <c r="CP52" s="1595"/>
      <c r="CQ52" s="1595"/>
      <c r="CR52" s="1595"/>
      <c r="CS52" s="1595"/>
      <c r="CT52" s="1595"/>
      <c r="CU52" s="1595"/>
      <c r="CV52" s="1595"/>
      <c r="CW52" s="1595"/>
      <c r="CX52" s="1595"/>
      <c r="CY52" s="1595"/>
      <c r="CZ52" s="1595"/>
      <c r="DA52" s="1595"/>
      <c r="DB52" s="1595"/>
      <c r="DC52" s="1595"/>
      <c r="DD52" s="1595"/>
      <c r="DE52" s="1595"/>
      <c r="DF52" s="1595"/>
      <c r="DG52" s="1595"/>
      <c r="DH52" s="1595"/>
      <c r="DI52" s="1595"/>
      <c r="DJ52" s="1595"/>
      <c r="DK52" s="1595"/>
      <c r="DL52" s="1595"/>
      <c r="DN52" s="1878"/>
    </row>
    <row r="53" spans="1:118" s="1522" customFormat="1" ht="12.75" hidden="1" customHeight="1" outlineLevel="1" x14ac:dyDescent="0.2">
      <c r="E53" s="1497"/>
      <c r="F53" s="14"/>
      <c r="G53" s="1540"/>
      <c r="H53" s="1540"/>
      <c r="I53" s="1540"/>
      <c r="J53" s="1540"/>
      <c r="K53" s="1540"/>
      <c r="L53" s="1540"/>
      <c r="M53" s="1540"/>
      <c r="N53" s="1540"/>
      <c r="O53" s="1540"/>
      <c r="P53" s="1540"/>
      <c r="Q53" s="1540"/>
      <c r="R53" s="1540"/>
      <c r="S53" s="1540"/>
      <c r="T53" s="1540"/>
      <c r="U53" s="1540"/>
      <c r="V53" s="1540"/>
      <c r="W53" s="1527"/>
      <c r="X53" s="14"/>
      <c r="Y53" s="1541"/>
      <c r="Z53" s="1541"/>
      <c r="AA53" s="1541"/>
      <c r="AB53" s="1541"/>
      <c r="AC53" s="1541"/>
      <c r="AD53" s="1541"/>
      <c r="AE53" s="1541"/>
      <c r="AF53" s="1541"/>
      <c r="AG53" s="1541"/>
      <c r="AH53" s="1541"/>
      <c r="AI53" s="1541"/>
      <c r="AJ53" s="1541"/>
      <c r="AK53" s="1541"/>
      <c r="AL53" s="1541"/>
      <c r="AM53" s="1541"/>
      <c r="AN53" s="1541"/>
      <c r="AO53" s="1541"/>
      <c r="AP53" s="1541"/>
      <c r="AQ53" s="1953"/>
      <c r="AR53" s="14"/>
      <c r="AS53" s="1542"/>
      <c r="AT53" s="1542"/>
      <c r="AU53" s="1542"/>
      <c r="AV53" s="1542"/>
      <c r="AW53" s="1542"/>
      <c r="AX53" s="1542"/>
      <c r="AY53" s="1542"/>
      <c r="AZ53" s="1542"/>
      <c r="BA53" s="1542"/>
      <c r="BB53" s="1542"/>
      <c r="BC53" s="1542"/>
      <c r="BD53" s="1542"/>
      <c r="BE53" s="1542"/>
      <c r="BF53" s="1542"/>
      <c r="BG53" s="1542"/>
      <c r="BH53" s="1542"/>
      <c r="BI53" s="1542"/>
      <c r="BJ53" s="1542"/>
      <c r="BK53" s="1542"/>
      <c r="BL53" s="1530"/>
      <c r="BM53" s="14"/>
      <c r="BN53" s="1543"/>
      <c r="BO53" s="1543"/>
      <c r="BP53" s="1531"/>
      <c r="BQ53" s="14"/>
      <c r="BR53" s="3168">
        <f>W53+AQ53+BL53+BP53</f>
        <v>0</v>
      </c>
      <c r="BS53" s="1525"/>
      <c r="BT53" s="748"/>
      <c r="BU53" s="1532">
        <v>198.26548259420858</v>
      </c>
      <c r="BV53" s="1533">
        <v>0.5182280295123709</v>
      </c>
      <c r="BW53" s="1533">
        <v>1.345630535228558</v>
      </c>
      <c r="BX53" s="1533">
        <v>0</v>
      </c>
      <c r="BY53" s="1533">
        <v>0</v>
      </c>
      <c r="BZ53" s="1533">
        <v>0</v>
      </c>
      <c r="CA53" s="1533">
        <v>0</v>
      </c>
      <c r="CB53" s="1533">
        <v>0</v>
      </c>
      <c r="CC53" s="1533">
        <v>0</v>
      </c>
      <c r="CD53" s="1533">
        <v>0</v>
      </c>
      <c r="CE53" s="1533">
        <v>0</v>
      </c>
      <c r="CF53" s="1533">
        <v>0</v>
      </c>
      <c r="CG53" s="1533">
        <v>0</v>
      </c>
      <c r="CH53" s="1533">
        <v>0</v>
      </c>
      <c r="CI53" s="1533">
        <v>0</v>
      </c>
      <c r="CJ53" s="1533">
        <v>0</v>
      </c>
      <c r="CK53" s="1533">
        <v>0</v>
      </c>
      <c r="CL53" s="1533">
        <v>0</v>
      </c>
      <c r="CM53" s="1533">
        <v>0</v>
      </c>
      <c r="CN53" s="1533">
        <v>0</v>
      </c>
      <c r="CO53" s="1533">
        <v>0</v>
      </c>
      <c r="CP53" s="1533">
        <v>0</v>
      </c>
      <c r="CQ53" s="1533">
        <v>0</v>
      </c>
      <c r="CR53" s="1533">
        <v>0</v>
      </c>
      <c r="CS53" s="1533">
        <v>0</v>
      </c>
      <c r="CT53" s="1533">
        <v>0</v>
      </c>
      <c r="CU53" s="1533">
        <v>0</v>
      </c>
      <c r="CV53" s="1533">
        <v>0</v>
      </c>
      <c r="CW53" s="1533">
        <v>0</v>
      </c>
      <c r="CX53" s="1533">
        <v>0</v>
      </c>
      <c r="CY53" s="1533">
        <v>0</v>
      </c>
      <c r="CZ53" s="1533">
        <v>0</v>
      </c>
      <c r="DA53" s="1533">
        <v>0</v>
      </c>
      <c r="DB53" s="1533">
        <v>0</v>
      </c>
      <c r="DC53" s="1533">
        <v>0</v>
      </c>
      <c r="DD53" s="1533">
        <v>0</v>
      </c>
      <c r="DE53" s="1533">
        <v>0</v>
      </c>
      <c r="DF53" s="1533">
        <v>0</v>
      </c>
      <c r="DG53" s="1533">
        <v>0</v>
      </c>
      <c r="DH53" s="1533">
        <v>0</v>
      </c>
      <c r="DI53" s="1533">
        <v>0</v>
      </c>
      <c r="DJ53" s="1533">
        <v>0</v>
      </c>
      <c r="DK53" s="1533">
        <v>0</v>
      </c>
      <c r="DL53" s="1533">
        <v>0</v>
      </c>
      <c r="DN53" s="1509">
        <v>200.1293411589495</v>
      </c>
    </row>
    <row r="54" spans="1:118" s="14" customFormat="1" ht="15.75" collapsed="1" x14ac:dyDescent="0.2">
      <c r="A54" s="1534"/>
      <c r="B54" s="1535"/>
      <c r="C54" s="1536" t="s">
        <v>322</v>
      </c>
      <c r="D54" s="1537" t="str">
        <f>INDEX(Flujos[Flujos], MATCH($C54, Flujos[Código], 0))</f>
        <v>Generación por Termoelectricidad</v>
      </c>
      <c r="E54" s="1538"/>
      <c r="G54" s="1539"/>
      <c r="H54" s="1539"/>
      <c r="I54" s="1539"/>
      <c r="J54" s="1539"/>
      <c r="K54" s="1539"/>
      <c r="L54" s="1539"/>
      <c r="M54" s="1539"/>
      <c r="N54" s="1539"/>
      <c r="O54" s="1539"/>
      <c r="P54" s="1539"/>
      <c r="Q54" s="1539"/>
      <c r="R54" s="1539"/>
      <c r="S54" s="1539"/>
      <c r="T54" s="1539"/>
      <c r="U54" s="1539"/>
      <c r="V54" s="1539"/>
      <c r="W54" s="1539"/>
      <c r="Y54" s="1490">
        <f ca="1">Y52</f>
        <v>0</v>
      </c>
      <c r="Z54" s="1490">
        <f t="shared" ref="Z54:AP54" ca="1" si="33">Z52</f>
        <v>89.20371875178617</v>
      </c>
      <c r="AA54" s="1490">
        <f t="shared" ca="1" si="33"/>
        <v>-125.00503957881422</v>
      </c>
      <c r="AB54" s="1490">
        <f t="shared" ca="1" si="33"/>
        <v>-15.625629947351779</v>
      </c>
      <c r="AC54" s="1490">
        <f t="shared" ca="1" si="33"/>
        <v>-71.431451187893842</v>
      </c>
      <c r="AD54" s="1490">
        <f t="shared" ca="1" si="33"/>
        <v>0</v>
      </c>
      <c r="AE54" s="1490">
        <f t="shared" ca="1" si="33"/>
        <v>0</v>
      </c>
      <c r="AF54" s="1490">
        <f t="shared" ca="1" si="33"/>
        <v>0</v>
      </c>
      <c r="AG54" s="1490">
        <f t="shared" ca="1" si="33"/>
        <v>0</v>
      </c>
      <c r="AH54" s="1490">
        <f t="shared" ca="1" si="33"/>
        <v>0</v>
      </c>
      <c r="AI54" s="1490">
        <f t="shared" ca="1" si="33"/>
        <v>0</v>
      </c>
      <c r="AJ54" s="1490">
        <f t="shared" ca="1" si="33"/>
        <v>0</v>
      </c>
      <c r="AK54" s="1490">
        <f t="shared" ca="1" si="33"/>
        <v>0</v>
      </c>
      <c r="AL54" s="1490">
        <f t="shared" ca="1" si="33"/>
        <v>-2.9453760000000004</v>
      </c>
      <c r="AM54" s="1490">
        <f t="shared" ca="1" si="33"/>
        <v>0</v>
      </c>
      <c r="AN54" s="1490">
        <f t="shared" ca="1" si="33"/>
        <v>0</v>
      </c>
      <c r="AO54" s="1490">
        <f t="shared" ca="1" si="33"/>
        <v>0</v>
      </c>
      <c r="AP54" s="1490">
        <f t="shared" ca="1" si="33"/>
        <v>0</v>
      </c>
      <c r="AQ54" s="2608">
        <f ca="1">SUM(Y54:AP54)</f>
        <v>-125.80377796227367</v>
      </c>
      <c r="AS54" s="1491">
        <f ca="1">AS52</f>
        <v>0</v>
      </c>
      <c r="AT54" s="1491">
        <f t="shared" ref="AT54:BK54" ca="1" si="34">AT52</f>
        <v>0</v>
      </c>
      <c r="AU54" s="1491">
        <f t="shared" ca="1" si="34"/>
        <v>0</v>
      </c>
      <c r="AV54" s="1491">
        <f t="shared" ca="1" si="34"/>
        <v>0</v>
      </c>
      <c r="AW54" s="1491">
        <f t="shared" ca="1" si="34"/>
        <v>0</v>
      </c>
      <c r="AX54" s="1491">
        <f t="shared" ca="1" si="34"/>
        <v>0</v>
      </c>
      <c r="AY54" s="1491">
        <f t="shared" ca="1" si="34"/>
        <v>0</v>
      </c>
      <c r="AZ54" s="1491">
        <f t="shared" ca="1" si="34"/>
        <v>0</v>
      </c>
      <c r="BA54" s="1491">
        <f t="shared" ca="1" si="34"/>
        <v>0</v>
      </c>
      <c r="BB54" s="1491">
        <f t="shared" ca="1" si="34"/>
        <v>0</v>
      </c>
      <c r="BC54" s="1491">
        <f t="shared" ca="1" si="34"/>
        <v>0</v>
      </c>
      <c r="BD54" s="1491">
        <f t="shared" ca="1" si="34"/>
        <v>0</v>
      </c>
      <c r="BE54" s="1491">
        <f t="shared" ca="1" si="34"/>
        <v>0</v>
      </c>
      <c r="BF54" s="1491">
        <f t="shared" ca="1" si="34"/>
        <v>0</v>
      </c>
      <c r="BG54" s="1491">
        <f t="shared" ca="1" si="34"/>
        <v>0</v>
      </c>
      <c r="BH54" s="1491">
        <f t="shared" ca="1" si="34"/>
        <v>0</v>
      </c>
      <c r="BI54" s="1491">
        <f t="shared" ca="1" si="34"/>
        <v>0</v>
      </c>
      <c r="BJ54" s="1491">
        <f t="shared" ca="1" si="34"/>
        <v>0</v>
      </c>
      <c r="BK54" s="1491">
        <f t="shared" ca="1" si="34"/>
        <v>0</v>
      </c>
      <c r="BL54" s="1952">
        <f ca="1">SUM(AS54:BK54)</f>
        <v>0</v>
      </c>
      <c r="BN54" s="1492">
        <f ca="1">BN52</f>
        <v>121.34359202468436</v>
      </c>
      <c r="BO54" s="1492">
        <f ca="1">BO52</f>
        <v>4.4601859375893138</v>
      </c>
      <c r="BP54" s="2615">
        <f ca="1">BN54+BO54</f>
        <v>125.80377796227367</v>
      </c>
      <c r="BR54" s="3168">
        <f ca="1">W54+AQ54+BL54+BP54</f>
        <v>0</v>
      </c>
      <c r="BS54" s="1493"/>
      <c r="BT54" s="748"/>
      <c r="BU54" s="1508">
        <v>198.26548259420858</v>
      </c>
      <c r="BV54" s="1508">
        <v>0.5182280295123709</v>
      </c>
      <c r="BW54" s="1508">
        <v>1.345630535228558</v>
      </c>
      <c r="BX54" s="1508">
        <v>0</v>
      </c>
      <c r="BY54" s="1508">
        <v>0</v>
      </c>
      <c r="BZ54" s="1508">
        <v>0</v>
      </c>
      <c r="CA54" s="1508">
        <v>0</v>
      </c>
      <c r="CB54" s="1508">
        <v>0</v>
      </c>
      <c r="CC54" s="1508">
        <v>0</v>
      </c>
      <c r="CD54" s="1508">
        <v>0</v>
      </c>
      <c r="CE54" s="1508">
        <v>0</v>
      </c>
      <c r="CF54" s="1508">
        <v>0</v>
      </c>
      <c r="CG54" s="1508">
        <v>0</v>
      </c>
      <c r="CH54" s="1508">
        <v>0</v>
      </c>
      <c r="CI54" s="1508">
        <v>0</v>
      </c>
      <c r="CJ54" s="1508">
        <v>0</v>
      </c>
      <c r="CK54" s="1508">
        <v>0</v>
      </c>
      <c r="CL54" s="1508">
        <v>0</v>
      </c>
      <c r="CM54" s="1508">
        <v>0</v>
      </c>
      <c r="CN54" s="1508">
        <v>0</v>
      </c>
      <c r="CO54" s="1508">
        <v>0</v>
      </c>
      <c r="CP54" s="1508">
        <v>0</v>
      </c>
      <c r="CQ54" s="1508">
        <v>0</v>
      </c>
      <c r="CR54" s="1508">
        <v>0</v>
      </c>
      <c r="CS54" s="1508">
        <v>0</v>
      </c>
      <c r="CT54" s="1508">
        <v>0</v>
      </c>
      <c r="CU54" s="1508">
        <v>0</v>
      </c>
      <c r="CV54" s="1508">
        <v>0</v>
      </c>
      <c r="CW54" s="1508">
        <v>0</v>
      </c>
      <c r="CX54" s="1508">
        <v>0</v>
      </c>
      <c r="CY54" s="1508">
        <v>0</v>
      </c>
      <c r="CZ54" s="1508">
        <v>0</v>
      </c>
      <c r="DA54" s="1508">
        <v>0</v>
      </c>
      <c r="DB54" s="1508">
        <v>0</v>
      </c>
      <c r="DC54" s="1508">
        <v>0</v>
      </c>
      <c r="DD54" s="1508">
        <v>0</v>
      </c>
      <c r="DE54" s="1508">
        <v>0</v>
      </c>
      <c r="DF54" s="1508">
        <v>0</v>
      </c>
      <c r="DG54" s="1508">
        <v>0</v>
      </c>
      <c r="DH54" s="1508">
        <v>0</v>
      </c>
      <c r="DI54" s="1508">
        <v>0</v>
      </c>
      <c r="DJ54" s="1508">
        <v>0</v>
      </c>
      <c r="DK54" s="1508">
        <v>0</v>
      </c>
      <c r="DL54" s="1508">
        <v>0</v>
      </c>
      <c r="DN54" s="1509">
        <v>200.1293411589495</v>
      </c>
    </row>
    <row r="55" spans="1:118" s="14" customFormat="1" ht="15.75" x14ac:dyDescent="0.2">
      <c r="A55" s="1534"/>
      <c r="B55" s="1535"/>
      <c r="C55" s="1536"/>
      <c r="D55" s="1537"/>
      <c r="E55" s="1538"/>
      <c r="G55" s="1539"/>
      <c r="H55" s="1539"/>
      <c r="I55" s="1539"/>
      <c r="J55" s="1539"/>
      <c r="K55" s="1539"/>
      <c r="L55" s="1539"/>
      <c r="M55" s="1539"/>
      <c r="N55" s="1539"/>
      <c r="O55" s="1539"/>
      <c r="P55" s="1539"/>
      <c r="Q55" s="1539"/>
      <c r="R55" s="1539"/>
      <c r="S55" s="1539"/>
      <c r="T55" s="1539"/>
      <c r="U55" s="1539"/>
      <c r="V55" s="1539"/>
      <c r="W55" s="1539"/>
      <c r="Y55" s="1490"/>
      <c r="Z55" s="1490"/>
      <c r="AA55" s="1490"/>
      <c r="AB55" s="1490"/>
      <c r="AC55" s="1490"/>
      <c r="AD55" s="1490"/>
      <c r="AE55" s="1490"/>
      <c r="AF55" s="1490"/>
      <c r="AG55" s="1490"/>
      <c r="AH55" s="1490"/>
      <c r="AI55" s="1490"/>
      <c r="AJ55" s="1490"/>
      <c r="AK55" s="1490"/>
      <c r="AL55" s="1490"/>
      <c r="AM55" s="1490"/>
      <c r="AN55" s="1490"/>
      <c r="AO55" s="1490"/>
      <c r="AP55" s="1490"/>
      <c r="AQ55" s="1893"/>
      <c r="AS55" s="1491"/>
      <c r="AT55" s="1491"/>
      <c r="AU55" s="1491"/>
      <c r="AV55" s="1491"/>
      <c r="AW55" s="1491"/>
      <c r="AX55" s="1491"/>
      <c r="AY55" s="1491"/>
      <c r="AZ55" s="1491"/>
      <c r="BA55" s="1491"/>
      <c r="BB55" s="1491"/>
      <c r="BC55" s="1491"/>
      <c r="BD55" s="1491"/>
      <c r="BE55" s="1491"/>
      <c r="BF55" s="1491"/>
      <c r="BG55" s="1491"/>
      <c r="BH55" s="1491"/>
      <c r="BI55" s="1491"/>
      <c r="BJ55" s="1491"/>
      <c r="BK55" s="1491"/>
      <c r="BL55" s="1491"/>
      <c r="BN55" s="1492"/>
      <c r="BO55" s="1492"/>
      <c r="BP55" s="1492"/>
      <c r="BR55" s="3168"/>
      <c r="BS55" s="1493"/>
      <c r="BT55" s="748"/>
      <c r="BU55" s="1508"/>
      <c r="BV55" s="1508"/>
      <c r="BW55" s="1508"/>
      <c r="BX55" s="1508"/>
      <c r="BY55" s="1508"/>
      <c r="BZ55" s="1508"/>
      <c r="CA55" s="1508"/>
      <c r="CB55" s="1508"/>
      <c r="CC55" s="1508"/>
      <c r="CD55" s="1508"/>
      <c r="CE55" s="1508"/>
      <c r="CF55" s="1508"/>
      <c r="CG55" s="1508"/>
      <c r="CH55" s="1508"/>
      <c r="CI55" s="1508"/>
      <c r="CJ55" s="1508"/>
      <c r="CK55" s="1508"/>
      <c r="CL55" s="1508"/>
      <c r="CM55" s="1508"/>
      <c r="CN55" s="1508"/>
      <c r="CO55" s="1508"/>
      <c r="CP55" s="1508"/>
      <c r="CQ55" s="1508"/>
      <c r="CR55" s="1508"/>
      <c r="CS55" s="1508"/>
      <c r="CT55" s="1508"/>
      <c r="CU55" s="1508"/>
      <c r="CV55" s="1508"/>
      <c r="CW55" s="1508"/>
      <c r="CX55" s="1508"/>
      <c r="CY55" s="1508"/>
      <c r="CZ55" s="1508"/>
      <c r="DA55" s="1508"/>
      <c r="DB55" s="1508"/>
      <c r="DC55" s="1508"/>
      <c r="DD55" s="1508"/>
      <c r="DE55" s="1508"/>
      <c r="DF55" s="1508"/>
      <c r="DG55" s="1508"/>
      <c r="DH55" s="1508"/>
      <c r="DI55" s="1508"/>
      <c r="DJ55" s="1508"/>
      <c r="DK55" s="1508"/>
      <c r="DL55" s="1508"/>
      <c r="DN55" s="1509"/>
    </row>
    <row r="56" spans="1:118" s="14" customFormat="1" ht="12.75" hidden="1" customHeight="1" outlineLevel="1" x14ac:dyDescent="0.2">
      <c r="A56" s="1534"/>
      <c r="B56" s="1534"/>
      <c r="C56" s="1544"/>
      <c r="D56" s="1538"/>
      <c r="E56" s="1538"/>
      <c r="G56" s="1488"/>
      <c r="H56" s="1488"/>
      <c r="I56" s="1488"/>
      <c r="J56" s="1488"/>
      <c r="K56" s="1488"/>
      <c r="L56" s="1488"/>
      <c r="M56" s="1488"/>
      <c r="N56" s="1488"/>
      <c r="O56" s="1563"/>
      <c r="P56" s="1488"/>
      <c r="Q56" s="1488"/>
      <c r="R56" s="1488"/>
      <c r="S56" s="1488"/>
      <c r="T56" s="1488"/>
      <c r="U56" s="1488"/>
      <c r="V56" s="1488"/>
      <c r="W56" s="1488"/>
      <c r="Y56" s="1490"/>
      <c r="Z56" s="1490"/>
      <c r="AA56" s="1490"/>
      <c r="AB56" s="1490"/>
      <c r="AC56" s="1490"/>
      <c r="AD56" s="1490"/>
      <c r="AE56" s="1490"/>
      <c r="AF56" s="1490"/>
      <c r="AG56" s="1490"/>
      <c r="AH56" s="1490"/>
      <c r="AI56" s="1490"/>
      <c r="AJ56" s="1490"/>
      <c r="AK56" s="1490"/>
      <c r="AL56" s="1490"/>
      <c r="AM56" s="1490"/>
      <c r="AN56" s="1490"/>
      <c r="AO56" s="1490"/>
      <c r="AP56" s="1490"/>
      <c r="AQ56" s="1893"/>
      <c r="AS56" s="1491"/>
      <c r="AT56" s="1491"/>
      <c r="AU56" s="1491"/>
      <c r="AV56" s="1491"/>
      <c r="AW56" s="1491"/>
      <c r="AX56" s="1491"/>
      <c r="AY56" s="1491"/>
      <c r="AZ56" s="1491"/>
      <c r="BA56" s="1491"/>
      <c r="BB56" s="1491"/>
      <c r="BC56" s="1491"/>
      <c r="BD56" s="1491"/>
      <c r="BE56" s="1491"/>
      <c r="BF56" s="1491"/>
      <c r="BG56" s="1491"/>
      <c r="BH56" s="1491"/>
      <c r="BI56" s="1491"/>
      <c r="BJ56" s="1491"/>
      <c r="BK56" s="1491"/>
      <c r="BL56" s="1491"/>
      <c r="BN56" s="1492"/>
      <c r="BO56" s="1492"/>
      <c r="BP56" s="1492"/>
      <c r="BR56" s="3168">
        <f>W56+AQ56+BL56+BP56</f>
        <v>0</v>
      </c>
      <c r="BS56" s="1493"/>
      <c r="BT56" s="1534"/>
      <c r="BU56" s="1508"/>
      <c r="BV56" s="1508"/>
      <c r="BW56" s="1508"/>
      <c r="BX56" s="1508"/>
      <c r="BY56" s="1508"/>
      <c r="BZ56" s="1508"/>
      <c r="CA56" s="1508"/>
      <c r="CB56" s="1508"/>
      <c r="CC56" s="1508"/>
      <c r="CD56" s="1508"/>
      <c r="CE56" s="1508"/>
      <c r="CF56" s="1508"/>
      <c r="CG56" s="1508"/>
      <c r="CH56" s="1508"/>
      <c r="CI56" s="1508"/>
      <c r="CJ56" s="1508"/>
      <c r="CK56" s="1508"/>
      <c r="CL56" s="1508"/>
      <c r="CM56" s="1508"/>
      <c r="CN56" s="1508"/>
      <c r="CO56" s="1508"/>
      <c r="CP56" s="1508"/>
      <c r="CQ56" s="1508"/>
      <c r="CR56" s="1508"/>
      <c r="CS56" s="1508"/>
      <c r="CT56" s="1508"/>
      <c r="CU56" s="1508"/>
      <c r="CV56" s="1508"/>
      <c r="CW56" s="1508"/>
      <c r="CX56" s="1508"/>
      <c r="CY56" s="1508"/>
      <c r="CZ56" s="1508"/>
      <c r="DA56" s="1508"/>
      <c r="DB56" s="1508"/>
      <c r="DC56" s="1508"/>
      <c r="DD56" s="1508"/>
      <c r="DE56" s="1508"/>
      <c r="DF56" s="1508"/>
      <c r="DG56" s="1508"/>
      <c r="DH56" s="1508"/>
      <c r="DI56" s="1508"/>
      <c r="DJ56" s="1508"/>
      <c r="DK56" s="1508"/>
      <c r="DL56" s="1508"/>
      <c r="DN56" s="1509">
        <v>0</v>
      </c>
    </row>
    <row r="57" spans="1:118" s="1578" customFormat="1" ht="12.75" hidden="1" customHeight="1" outlineLevel="1" x14ac:dyDescent="0.2">
      <c r="C57" s="1496" t="s">
        <v>50</v>
      </c>
      <c r="D57" s="14" t="e">
        <f>INDEX(Modulos[Modulos], MATCH($C57, Modulos[Código], 0))</f>
        <v>#N/A</v>
      </c>
      <c r="E57" s="1592"/>
      <c r="F57" s="14"/>
      <c r="G57" s="1593"/>
      <c r="H57" s="1593"/>
      <c r="I57" s="1593"/>
      <c r="J57" s="1593"/>
      <c r="K57" s="1593"/>
      <c r="L57" s="1593"/>
      <c r="M57" s="1593"/>
      <c r="N57" s="1593"/>
      <c r="O57" s="1594"/>
      <c r="P57" s="1593"/>
      <c r="Q57" s="1593"/>
      <c r="R57" s="1593"/>
      <c r="S57" s="1593"/>
      <c r="T57" s="1593"/>
      <c r="U57" s="1593"/>
      <c r="V57" s="1593"/>
      <c r="W57" s="1593"/>
      <c r="X57" s="14"/>
      <c r="Y57" s="1490">
        <f t="shared" ref="Y57:AP57" ca="1" si="35">IFERROR(INDEX(INDIRECT($C57&amp;".Outputs["&amp;this.Year&amp;"]"), MATCH(Y$5, INDIRECT($C57&amp;".Outputs[Vector]"), 0)), 0)</f>
        <v>0</v>
      </c>
      <c r="Z57" s="1490">
        <f t="shared" ca="1" si="35"/>
        <v>0</v>
      </c>
      <c r="AA57" s="1490">
        <f t="shared" ca="1" si="35"/>
        <v>0</v>
      </c>
      <c r="AB57" s="1490">
        <f t="shared" ca="1" si="35"/>
        <v>0</v>
      </c>
      <c r="AC57" s="1490">
        <f t="shared" ca="1" si="35"/>
        <v>0</v>
      </c>
      <c r="AD57" s="1490">
        <f t="shared" ca="1" si="35"/>
        <v>0</v>
      </c>
      <c r="AE57" s="1490">
        <f t="shared" ca="1" si="35"/>
        <v>0</v>
      </c>
      <c r="AF57" s="1490">
        <f t="shared" ca="1" si="35"/>
        <v>0</v>
      </c>
      <c r="AG57" s="1490">
        <f t="shared" ca="1" si="35"/>
        <v>0</v>
      </c>
      <c r="AH57" s="1490">
        <f t="shared" ca="1" si="35"/>
        <v>0</v>
      </c>
      <c r="AI57" s="1490">
        <f t="shared" ca="1" si="35"/>
        <v>0</v>
      </c>
      <c r="AJ57" s="1490">
        <f t="shared" ca="1" si="35"/>
        <v>0</v>
      </c>
      <c r="AK57" s="1490">
        <f t="shared" ca="1" si="35"/>
        <v>0</v>
      </c>
      <c r="AL57" s="1490">
        <f t="shared" ca="1" si="35"/>
        <v>0</v>
      </c>
      <c r="AM57" s="1490">
        <f t="shared" ca="1" si="35"/>
        <v>0</v>
      </c>
      <c r="AN57" s="1490">
        <f t="shared" ca="1" si="35"/>
        <v>0</v>
      </c>
      <c r="AO57" s="1490">
        <f t="shared" ca="1" si="35"/>
        <v>0</v>
      </c>
      <c r="AP57" s="1490">
        <f t="shared" ca="1" si="35"/>
        <v>0</v>
      </c>
      <c r="AQ57" s="1893">
        <f ca="1">SUM(Y57:AP57)</f>
        <v>0</v>
      </c>
      <c r="AR57" s="14"/>
      <c r="AS57" s="1940">
        <f t="shared" ref="AS57:BK57" ca="1" si="36">IFERROR(INDEX(INDIRECT($C57&amp;".Outputs["&amp;this.Year&amp;"]"), MATCH(AS$5, INDIRECT($C57&amp;".Outputs[Vector]"), 0)), 0)</f>
        <v>0</v>
      </c>
      <c r="AT57" s="1940">
        <f t="shared" ca="1" si="36"/>
        <v>0</v>
      </c>
      <c r="AU57" s="1940">
        <f t="shared" ca="1" si="36"/>
        <v>0</v>
      </c>
      <c r="AV57" s="1940">
        <f t="shared" ca="1" si="36"/>
        <v>0</v>
      </c>
      <c r="AW57" s="1940">
        <f t="shared" ca="1" si="36"/>
        <v>0</v>
      </c>
      <c r="AX57" s="1940">
        <f t="shared" ca="1" si="36"/>
        <v>0</v>
      </c>
      <c r="AY57" s="1940">
        <f t="shared" ca="1" si="36"/>
        <v>0</v>
      </c>
      <c r="AZ57" s="1940">
        <f t="shared" ca="1" si="36"/>
        <v>0</v>
      </c>
      <c r="BA57" s="1940">
        <f t="shared" ca="1" si="36"/>
        <v>0</v>
      </c>
      <c r="BB57" s="1940">
        <f t="shared" ca="1" si="36"/>
        <v>0</v>
      </c>
      <c r="BC57" s="1940">
        <f t="shared" ca="1" si="36"/>
        <v>0</v>
      </c>
      <c r="BD57" s="1940">
        <f t="shared" ca="1" si="36"/>
        <v>0</v>
      </c>
      <c r="BE57" s="1940">
        <f t="shared" ca="1" si="36"/>
        <v>0</v>
      </c>
      <c r="BF57" s="1940">
        <f t="shared" ca="1" si="36"/>
        <v>0</v>
      </c>
      <c r="BG57" s="1940">
        <f t="shared" ca="1" si="36"/>
        <v>0</v>
      </c>
      <c r="BH57" s="1940">
        <f t="shared" ca="1" si="36"/>
        <v>0</v>
      </c>
      <c r="BI57" s="1940">
        <f t="shared" ca="1" si="36"/>
        <v>0</v>
      </c>
      <c r="BJ57" s="1940">
        <f t="shared" ca="1" si="36"/>
        <v>0</v>
      </c>
      <c r="BK57" s="1940">
        <f t="shared" ca="1" si="36"/>
        <v>0</v>
      </c>
      <c r="BL57" s="1952">
        <f ca="1">SUM(AS57:BK57)</f>
        <v>0</v>
      </c>
      <c r="BM57" s="14"/>
      <c r="BN57" s="1941">
        <f ca="1">IFERROR(INDEX(INDIRECT($C57&amp;".Outputs["&amp;this.Year&amp;"]"), MATCH(BN$5, INDIRECT($C57&amp;".Outputs[Vector]"), 0)), 0)</f>
        <v>0</v>
      </c>
      <c r="BO57" s="1941">
        <f ca="1">IFERROR(INDEX(INDIRECT($C57&amp;".Outputs["&amp;this.Year&amp;"]"), MATCH(BO$5, INDIRECT($C57&amp;".Outputs[Vector]"), 0)), 0)</f>
        <v>0</v>
      </c>
      <c r="BP57" s="1505">
        <f ca="1">BN57+BO57</f>
        <v>0</v>
      </c>
      <c r="BQ57" s="14"/>
      <c r="BR57" s="3168">
        <f ca="1">W57+AQ57+BL57+BP57</f>
        <v>0</v>
      </c>
      <c r="BS57" s="1579"/>
      <c r="BU57" s="1595"/>
      <c r="BV57" s="1595"/>
      <c r="BW57" s="1595"/>
      <c r="BX57" s="1595"/>
      <c r="BY57" s="1595"/>
      <c r="BZ57" s="1595"/>
      <c r="CA57" s="1595"/>
      <c r="CB57" s="1595"/>
      <c r="CC57" s="1595"/>
      <c r="CD57" s="1595"/>
      <c r="CE57" s="1595"/>
      <c r="CF57" s="1595"/>
      <c r="CG57" s="1595"/>
      <c r="CH57" s="1595"/>
      <c r="CI57" s="1595"/>
      <c r="CJ57" s="1595"/>
      <c r="CK57" s="1595"/>
      <c r="CL57" s="1595"/>
      <c r="CM57" s="1595"/>
      <c r="CN57" s="1595"/>
      <c r="CO57" s="1595"/>
      <c r="CP57" s="1595"/>
      <c r="CQ57" s="1595"/>
      <c r="CR57" s="1595"/>
      <c r="CS57" s="1595"/>
      <c r="CT57" s="1595"/>
      <c r="CU57" s="1595"/>
      <c r="CV57" s="1595"/>
      <c r="CW57" s="1595"/>
      <c r="CX57" s="1595"/>
      <c r="CY57" s="1595"/>
      <c r="CZ57" s="1595"/>
      <c r="DA57" s="1595"/>
      <c r="DB57" s="1595"/>
      <c r="DC57" s="1595"/>
      <c r="DD57" s="1595"/>
      <c r="DE57" s="1595"/>
      <c r="DF57" s="1595"/>
      <c r="DG57" s="1595"/>
      <c r="DH57" s="1595"/>
      <c r="DI57" s="1595"/>
      <c r="DJ57" s="1595"/>
      <c r="DK57" s="1595"/>
      <c r="DL57" s="1595"/>
      <c r="DN57" s="1509">
        <v>0</v>
      </c>
    </row>
    <row r="58" spans="1:118" s="1522" customFormat="1" ht="12.75" hidden="1" customHeight="1" outlineLevel="1" x14ac:dyDescent="0.2">
      <c r="E58" s="1526"/>
      <c r="F58" s="14"/>
      <c r="G58" s="1540"/>
      <c r="H58" s="1540"/>
      <c r="I58" s="1540"/>
      <c r="J58" s="1540"/>
      <c r="K58" s="1540"/>
      <c r="L58" s="1540"/>
      <c r="M58" s="1540"/>
      <c r="N58" s="1540"/>
      <c r="O58" s="1540"/>
      <c r="P58" s="1540"/>
      <c r="Q58" s="1540"/>
      <c r="R58" s="1540"/>
      <c r="S58" s="1540"/>
      <c r="T58" s="1540"/>
      <c r="U58" s="1540"/>
      <c r="V58" s="1540"/>
      <c r="W58" s="1527"/>
      <c r="X58" s="14"/>
      <c r="Y58" s="1541"/>
      <c r="Z58" s="1541"/>
      <c r="AA58" s="1541"/>
      <c r="AB58" s="1541"/>
      <c r="AC58" s="1541"/>
      <c r="AD58" s="1541"/>
      <c r="AE58" s="1541"/>
      <c r="AF58" s="1541"/>
      <c r="AG58" s="1541"/>
      <c r="AH58" s="1541"/>
      <c r="AI58" s="1541"/>
      <c r="AJ58" s="1541"/>
      <c r="AK58" s="1541"/>
      <c r="AL58" s="1541"/>
      <c r="AM58" s="1541"/>
      <c r="AN58" s="1541"/>
      <c r="AO58" s="1541"/>
      <c r="AP58" s="1541"/>
      <c r="AQ58" s="1953"/>
      <c r="AR58" s="14"/>
      <c r="AS58" s="1542"/>
      <c r="AT58" s="1542"/>
      <c r="AU58" s="1542"/>
      <c r="AV58" s="1542"/>
      <c r="AW58" s="1542"/>
      <c r="AX58" s="1542"/>
      <c r="AY58" s="1542"/>
      <c r="AZ58" s="1542"/>
      <c r="BA58" s="1542"/>
      <c r="BB58" s="1542"/>
      <c r="BC58" s="1542"/>
      <c r="BD58" s="1542"/>
      <c r="BE58" s="1542"/>
      <c r="BF58" s="1542"/>
      <c r="BG58" s="1542"/>
      <c r="BH58" s="1542"/>
      <c r="BI58" s="1542"/>
      <c r="BJ58" s="1542"/>
      <c r="BK58" s="1542"/>
      <c r="BL58" s="1530"/>
      <c r="BM58" s="14"/>
      <c r="BN58" s="1543"/>
      <c r="BO58" s="1543"/>
      <c r="BP58" s="1531"/>
      <c r="BQ58" s="14"/>
      <c r="BR58" s="3168">
        <f>W58+AQ58+BL58+BP58</f>
        <v>0</v>
      </c>
      <c r="BS58" s="1525"/>
      <c r="BT58" s="748"/>
      <c r="BU58" s="1532">
        <v>0</v>
      </c>
      <c r="BV58" s="1533">
        <v>0</v>
      </c>
      <c r="BW58" s="1533">
        <v>0</v>
      </c>
      <c r="BX58" s="1533">
        <v>0</v>
      </c>
      <c r="BY58" s="1533">
        <v>0</v>
      </c>
      <c r="BZ58" s="1533">
        <v>0</v>
      </c>
      <c r="CA58" s="1533">
        <v>0</v>
      </c>
      <c r="CB58" s="1533">
        <v>0</v>
      </c>
      <c r="CC58" s="1533">
        <v>0</v>
      </c>
      <c r="CD58" s="1533">
        <v>0</v>
      </c>
      <c r="CE58" s="1533">
        <v>0</v>
      </c>
      <c r="CF58" s="1533">
        <v>0</v>
      </c>
      <c r="CG58" s="1533">
        <v>0</v>
      </c>
      <c r="CH58" s="1533">
        <v>0</v>
      </c>
      <c r="CI58" s="1533">
        <v>0</v>
      </c>
      <c r="CJ58" s="1533">
        <v>0</v>
      </c>
      <c r="CK58" s="1533">
        <v>0</v>
      </c>
      <c r="CL58" s="1533">
        <v>0</v>
      </c>
      <c r="CM58" s="1533">
        <v>0</v>
      </c>
      <c r="CN58" s="1533">
        <v>0</v>
      </c>
      <c r="CO58" s="1533">
        <v>0</v>
      </c>
      <c r="CP58" s="1533">
        <v>0</v>
      </c>
      <c r="CQ58" s="1533">
        <v>0</v>
      </c>
      <c r="CR58" s="1533">
        <v>0</v>
      </c>
      <c r="CS58" s="1533">
        <v>0</v>
      </c>
      <c r="CT58" s="1533">
        <v>0</v>
      </c>
      <c r="CU58" s="1533">
        <v>0</v>
      </c>
      <c r="CV58" s="1533">
        <v>0</v>
      </c>
      <c r="CW58" s="1533">
        <v>0</v>
      </c>
      <c r="CX58" s="1533">
        <v>0</v>
      </c>
      <c r="CY58" s="1533">
        <v>0</v>
      </c>
      <c r="CZ58" s="1533">
        <v>0</v>
      </c>
      <c r="DA58" s="1533">
        <v>0</v>
      </c>
      <c r="DB58" s="1533">
        <v>0</v>
      </c>
      <c r="DC58" s="1533">
        <v>0</v>
      </c>
      <c r="DD58" s="1533">
        <v>0</v>
      </c>
      <c r="DE58" s="1533">
        <v>0</v>
      </c>
      <c r="DF58" s="1533">
        <v>0</v>
      </c>
      <c r="DG58" s="1533">
        <v>0</v>
      </c>
      <c r="DH58" s="1533">
        <v>0</v>
      </c>
      <c r="DI58" s="1533">
        <v>0</v>
      </c>
      <c r="DJ58" s="1533">
        <v>0</v>
      </c>
      <c r="DK58" s="1533">
        <v>0</v>
      </c>
      <c r="DL58" s="1533">
        <v>0</v>
      </c>
      <c r="DN58" s="1509">
        <v>0</v>
      </c>
    </row>
    <row r="59" spans="1:118" s="14" customFormat="1" ht="15.75" collapsed="1" x14ac:dyDescent="0.2">
      <c r="A59" s="1534"/>
      <c r="B59" s="1535"/>
      <c r="C59" s="1536"/>
      <c r="D59" s="1537"/>
      <c r="E59" s="1538"/>
      <c r="G59" s="1539"/>
      <c r="H59" s="1539"/>
      <c r="I59" s="1539"/>
      <c r="J59" s="1539"/>
      <c r="K59" s="1539"/>
      <c r="L59" s="1539"/>
      <c r="M59" s="1539"/>
      <c r="N59" s="1539"/>
      <c r="O59" s="1539"/>
      <c r="P59" s="1539"/>
      <c r="Q59" s="1539"/>
      <c r="R59" s="1539"/>
      <c r="S59" s="1539"/>
      <c r="T59" s="1539"/>
      <c r="U59" s="1539"/>
      <c r="V59" s="1539"/>
      <c r="W59" s="1539"/>
      <c r="Y59" s="1490">
        <f ca="1">Y57</f>
        <v>0</v>
      </c>
      <c r="Z59" s="1490">
        <f t="shared" ref="Z59:AP59" ca="1" si="37">Z57</f>
        <v>0</v>
      </c>
      <c r="AA59" s="1490">
        <f t="shared" ca="1" si="37"/>
        <v>0</v>
      </c>
      <c r="AB59" s="1490">
        <f t="shared" ca="1" si="37"/>
        <v>0</v>
      </c>
      <c r="AC59" s="1490">
        <f t="shared" ca="1" si="37"/>
        <v>0</v>
      </c>
      <c r="AD59" s="1490">
        <f t="shared" ca="1" si="37"/>
        <v>0</v>
      </c>
      <c r="AE59" s="1490">
        <f t="shared" ca="1" si="37"/>
        <v>0</v>
      </c>
      <c r="AF59" s="1490">
        <f t="shared" ca="1" si="37"/>
        <v>0</v>
      </c>
      <c r="AG59" s="1490">
        <f t="shared" ca="1" si="37"/>
        <v>0</v>
      </c>
      <c r="AH59" s="1490">
        <f t="shared" ca="1" si="37"/>
        <v>0</v>
      </c>
      <c r="AI59" s="1490">
        <f t="shared" ca="1" si="37"/>
        <v>0</v>
      </c>
      <c r="AJ59" s="1490">
        <f t="shared" ca="1" si="37"/>
        <v>0</v>
      </c>
      <c r="AK59" s="1490">
        <f t="shared" ca="1" si="37"/>
        <v>0</v>
      </c>
      <c r="AL59" s="1490">
        <f t="shared" ca="1" si="37"/>
        <v>0</v>
      </c>
      <c r="AM59" s="1490">
        <f t="shared" ca="1" si="37"/>
        <v>0</v>
      </c>
      <c r="AN59" s="1490">
        <f t="shared" ca="1" si="37"/>
        <v>0</v>
      </c>
      <c r="AO59" s="1490">
        <f t="shared" ca="1" si="37"/>
        <v>0</v>
      </c>
      <c r="AP59" s="1490">
        <f t="shared" ca="1" si="37"/>
        <v>0</v>
      </c>
      <c r="AQ59" s="1893">
        <f ca="1">SUM(Y59:AP59)</f>
        <v>0</v>
      </c>
      <c r="AS59" s="1491">
        <f ca="1">AS57</f>
        <v>0</v>
      </c>
      <c r="AT59" s="1491">
        <f t="shared" ref="AT59:BK59" ca="1" si="38">AT57</f>
        <v>0</v>
      </c>
      <c r="AU59" s="1491">
        <f t="shared" ca="1" si="38"/>
        <v>0</v>
      </c>
      <c r="AV59" s="1491">
        <f t="shared" ca="1" si="38"/>
        <v>0</v>
      </c>
      <c r="AW59" s="1491">
        <f t="shared" ca="1" si="38"/>
        <v>0</v>
      </c>
      <c r="AX59" s="1491">
        <f t="shared" ca="1" si="38"/>
        <v>0</v>
      </c>
      <c r="AY59" s="1491">
        <f t="shared" ca="1" si="38"/>
        <v>0</v>
      </c>
      <c r="AZ59" s="1491">
        <f t="shared" ca="1" si="38"/>
        <v>0</v>
      </c>
      <c r="BA59" s="1491">
        <f t="shared" ca="1" si="38"/>
        <v>0</v>
      </c>
      <c r="BB59" s="1491">
        <f t="shared" ca="1" si="38"/>
        <v>0</v>
      </c>
      <c r="BC59" s="1491">
        <f t="shared" ca="1" si="38"/>
        <v>0</v>
      </c>
      <c r="BD59" s="1491">
        <f t="shared" ca="1" si="38"/>
        <v>0</v>
      </c>
      <c r="BE59" s="1491">
        <f t="shared" ca="1" si="38"/>
        <v>0</v>
      </c>
      <c r="BF59" s="1491">
        <f t="shared" ca="1" si="38"/>
        <v>0</v>
      </c>
      <c r="BG59" s="1491">
        <f t="shared" ca="1" si="38"/>
        <v>0</v>
      </c>
      <c r="BH59" s="1491">
        <f t="shared" ca="1" si="38"/>
        <v>0</v>
      </c>
      <c r="BI59" s="1491">
        <f t="shared" ca="1" si="38"/>
        <v>0</v>
      </c>
      <c r="BJ59" s="1491">
        <f t="shared" ca="1" si="38"/>
        <v>0</v>
      </c>
      <c r="BK59" s="1491">
        <f t="shared" ca="1" si="38"/>
        <v>0</v>
      </c>
      <c r="BL59" s="1952">
        <f ca="1">SUM(AS59:BK59)</f>
        <v>0</v>
      </c>
      <c r="BN59" s="1492">
        <f ca="1">BN57</f>
        <v>0</v>
      </c>
      <c r="BO59" s="1492">
        <f ca="1">BO57</f>
        <v>0</v>
      </c>
      <c r="BP59" s="1505">
        <f ca="1">BN59+BO59</f>
        <v>0</v>
      </c>
      <c r="BR59" s="3168">
        <f ca="1">W59+AQ59+BL59+BP59</f>
        <v>0</v>
      </c>
      <c r="BS59" s="1493"/>
      <c r="BT59" s="748"/>
      <c r="BU59" s="1508">
        <v>0</v>
      </c>
      <c r="BV59" s="1508">
        <v>0</v>
      </c>
      <c r="BW59" s="1508">
        <v>0</v>
      </c>
      <c r="BX59" s="1508">
        <v>0</v>
      </c>
      <c r="BY59" s="1508">
        <v>0</v>
      </c>
      <c r="BZ59" s="1508">
        <v>0</v>
      </c>
      <c r="CA59" s="1508">
        <v>0</v>
      </c>
      <c r="CB59" s="1508">
        <v>0</v>
      </c>
      <c r="CC59" s="1508">
        <v>0</v>
      </c>
      <c r="CD59" s="1508">
        <v>0</v>
      </c>
      <c r="CE59" s="1508">
        <v>0</v>
      </c>
      <c r="CF59" s="1508">
        <v>0</v>
      </c>
      <c r="CG59" s="1508">
        <v>0</v>
      </c>
      <c r="CH59" s="1508">
        <v>0</v>
      </c>
      <c r="CI59" s="1508">
        <v>0</v>
      </c>
      <c r="CJ59" s="1508">
        <v>0</v>
      </c>
      <c r="CK59" s="1508">
        <v>0</v>
      </c>
      <c r="CL59" s="1508">
        <v>0</v>
      </c>
      <c r="CM59" s="1508">
        <v>0</v>
      </c>
      <c r="CN59" s="1508">
        <v>0</v>
      </c>
      <c r="CO59" s="1508">
        <v>0</v>
      </c>
      <c r="CP59" s="1508">
        <v>0</v>
      </c>
      <c r="CQ59" s="1508">
        <v>0</v>
      </c>
      <c r="CR59" s="1508">
        <v>0</v>
      </c>
      <c r="CS59" s="1508">
        <v>0</v>
      </c>
      <c r="CT59" s="1508">
        <v>0</v>
      </c>
      <c r="CU59" s="1508">
        <v>0</v>
      </c>
      <c r="CV59" s="1508">
        <v>0</v>
      </c>
      <c r="CW59" s="1508">
        <v>0</v>
      </c>
      <c r="CX59" s="1508">
        <v>0</v>
      </c>
      <c r="CY59" s="1508">
        <v>0</v>
      </c>
      <c r="CZ59" s="1508">
        <v>0</v>
      </c>
      <c r="DA59" s="1508">
        <v>0</v>
      </c>
      <c r="DB59" s="1508">
        <v>0</v>
      </c>
      <c r="DC59" s="1508">
        <v>0</v>
      </c>
      <c r="DD59" s="1508">
        <v>0</v>
      </c>
      <c r="DE59" s="1508">
        <v>0</v>
      </c>
      <c r="DF59" s="1508">
        <v>0</v>
      </c>
      <c r="DG59" s="1508">
        <v>0</v>
      </c>
      <c r="DH59" s="1508">
        <v>0</v>
      </c>
      <c r="DI59" s="1508">
        <v>0</v>
      </c>
      <c r="DJ59" s="1508">
        <v>0</v>
      </c>
      <c r="DK59" s="1508">
        <v>0</v>
      </c>
      <c r="DL59" s="1508">
        <v>0</v>
      </c>
      <c r="DN59" s="1509">
        <v>0</v>
      </c>
    </row>
    <row r="60" spans="1:118" s="14" customFormat="1" ht="15.75" x14ac:dyDescent="0.2">
      <c r="A60" s="1845"/>
      <c r="B60" s="1847"/>
      <c r="C60" s="1842"/>
      <c r="D60" s="1843"/>
      <c r="E60" s="1844"/>
      <c r="G60" s="1539"/>
      <c r="H60" s="1539"/>
      <c r="I60" s="1539"/>
      <c r="J60" s="1539"/>
      <c r="K60" s="1539"/>
      <c r="L60" s="1539"/>
      <c r="M60" s="1539"/>
      <c r="N60" s="1539"/>
      <c r="O60" s="1539"/>
      <c r="P60" s="1539"/>
      <c r="Q60" s="1539"/>
      <c r="R60" s="1539"/>
      <c r="S60" s="1539"/>
      <c r="T60" s="1539"/>
      <c r="U60" s="1539"/>
      <c r="V60" s="1539"/>
      <c r="W60" s="1539"/>
      <c r="Y60" s="1490"/>
      <c r="Z60" s="1490"/>
      <c r="AA60" s="1490"/>
      <c r="AB60" s="1490"/>
      <c r="AC60" s="1490"/>
      <c r="AD60" s="1490"/>
      <c r="AE60" s="1490"/>
      <c r="AF60" s="1490"/>
      <c r="AG60" s="1490"/>
      <c r="AH60" s="1490"/>
      <c r="AI60" s="1490"/>
      <c r="AJ60" s="1490"/>
      <c r="AK60" s="1490"/>
      <c r="AL60" s="1490"/>
      <c r="AM60" s="1490"/>
      <c r="AN60" s="1490"/>
      <c r="AO60" s="1490"/>
      <c r="AP60" s="1490"/>
      <c r="AQ60" s="1490"/>
      <c r="AS60" s="1491"/>
      <c r="AT60" s="1491"/>
      <c r="AU60" s="1491"/>
      <c r="AV60" s="1491"/>
      <c r="AW60" s="1491"/>
      <c r="AX60" s="1491"/>
      <c r="AY60" s="1491"/>
      <c r="AZ60" s="1491"/>
      <c r="BA60" s="1491"/>
      <c r="BB60" s="1491"/>
      <c r="BC60" s="1491"/>
      <c r="BD60" s="1491"/>
      <c r="BE60" s="1491"/>
      <c r="BF60" s="1491"/>
      <c r="BG60" s="1491"/>
      <c r="BH60" s="1491"/>
      <c r="BI60" s="1491"/>
      <c r="BJ60" s="1491"/>
      <c r="BK60" s="1491"/>
      <c r="BL60" s="1491"/>
      <c r="BN60" s="1492"/>
      <c r="BO60" s="1492"/>
      <c r="BP60" s="1492"/>
      <c r="BR60" s="3168"/>
      <c r="BS60" s="1579"/>
      <c r="BT60" s="748"/>
      <c r="BU60" s="1507"/>
      <c r="BV60" s="1508"/>
      <c r="BW60" s="1508"/>
      <c r="BX60" s="1508"/>
      <c r="BY60" s="1508"/>
      <c r="BZ60" s="1508"/>
      <c r="CA60" s="1508"/>
      <c r="CB60" s="1508"/>
      <c r="CC60" s="1508"/>
      <c r="CD60" s="1508"/>
      <c r="CE60" s="1508"/>
      <c r="CF60" s="1508"/>
      <c r="CG60" s="1508"/>
      <c r="CH60" s="1508"/>
      <c r="CI60" s="1508"/>
      <c r="CJ60" s="1508"/>
      <c r="CK60" s="1508"/>
      <c r="CL60" s="1508"/>
      <c r="CM60" s="1508"/>
      <c r="CN60" s="1508"/>
      <c r="CO60" s="1508"/>
      <c r="CP60" s="1508"/>
      <c r="CQ60" s="1508"/>
      <c r="CR60" s="1508"/>
      <c r="CS60" s="1508"/>
      <c r="CT60" s="1508"/>
      <c r="CU60" s="1508"/>
      <c r="CV60" s="1508"/>
      <c r="CW60" s="1508"/>
      <c r="CX60" s="1508"/>
      <c r="CY60" s="1508"/>
      <c r="CZ60" s="1508"/>
      <c r="DA60" s="1508"/>
      <c r="DB60" s="1508"/>
      <c r="DC60" s="1508"/>
      <c r="DD60" s="1508"/>
      <c r="DE60" s="1508"/>
      <c r="DF60" s="1508"/>
      <c r="DG60" s="1508"/>
      <c r="DH60" s="1508"/>
      <c r="DI60" s="1508"/>
      <c r="DJ60" s="1508"/>
      <c r="DK60" s="1508"/>
      <c r="DL60" s="1508"/>
      <c r="DN60" s="1509"/>
    </row>
    <row r="61" spans="1:118" s="14" customFormat="1" outlineLevel="1" x14ac:dyDescent="0.2">
      <c r="C61" s="1580"/>
      <c r="D61" s="746"/>
      <c r="E61" s="1430"/>
      <c r="G61" s="1488"/>
      <c r="H61" s="1488"/>
      <c r="I61" s="1488"/>
      <c r="J61" s="1488"/>
      <c r="K61" s="1488"/>
      <c r="L61" s="1488"/>
      <c r="M61" s="1488"/>
      <c r="N61" s="1488"/>
      <c r="O61" s="1563"/>
      <c r="P61" s="1488"/>
      <c r="Q61" s="1488"/>
      <c r="R61" s="1488"/>
      <c r="S61" s="1488"/>
      <c r="T61" s="1488"/>
      <c r="U61" s="1488"/>
      <c r="V61" s="1488"/>
      <c r="W61" s="1488"/>
      <c r="Y61" s="1490"/>
      <c r="Z61" s="1490"/>
      <c r="AA61" s="1490"/>
      <c r="AB61" s="1490"/>
      <c r="AC61" s="1490"/>
      <c r="AD61" s="1490"/>
      <c r="AE61" s="1490"/>
      <c r="AF61" s="1490"/>
      <c r="AG61" s="1490"/>
      <c r="AH61" s="1490"/>
      <c r="AI61" s="1490"/>
      <c r="AJ61" s="1490"/>
      <c r="AK61" s="1490"/>
      <c r="AL61" s="1490"/>
      <c r="AM61" s="1490"/>
      <c r="AN61" s="1490"/>
      <c r="AO61" s="1490"/>
      <c r="AP61" s="1490"/>
      <c r="AQ61" s="1490"/>
      <c r="AS61" s="1491"/>
      <c r="AT61" s="1491"/>
      <c r="AU61" s="1491"/>
      <c r="AV61" s="1491"/>
      <c r="AW61" s="1491"/>
      <c r="AX61" s="1491"/>
      <c r="AY61" s="1491"/>
      <c r="AZ61" s="1491"/>
      <c r="BA61" s="1491"/>
      <c r="BB61" s="1491"/>
      <c r="BC61" s="1491"/>
      <c r="BD61" s="1491"/>
      <c r="BE61" s="1491"/>
      <c r="BF61" s="1491"/>
      <c r="BG61" s="1491"/>
      <c r="BH61" s="1491"/>
      <c r="BI61" s="1491"/>
      <c r="BJ61" s="1491"/>
      <c r="BK61" s="1491"/>
      <c r="BL61" s="1491"/>
      <c r="BN61" s="1492"/>
      <c r="BO61" s="1492"/>
      <c r="BP61" s="1492"/>
      <c r="BR61" s="3168">
        <f t="shared" si="12"/>
        <v>0</v>
      </c>
      <c r="BS61" s="1493"/>
      <c r="BU61" s="1508"/>
      <c r="BV61" s="1508"/>
      <c r="BW61" s="1508"/>
      <c r="BX61" s="1508"/>
      <c r="BY61" s="1508"/>
      <c r="BZ61" s="1508"/>
      <c r="CA61" s="1508"/>
      <c r="CB61" s="1508"/>
      <c r="CC61" s="1508"/>
      <c r="CD61" s="1508"/>
      <c r="CE61" s="1508"/>
      <c r="CF61" s="1508"/>
      <c r="CG61" s="1508"/>
      <c r="CH61" s="1508"/>
      <c r="CI61" s="1508"/>
      <c r="CJ61" s="1508"/>
      <c r="CK61" s="1508"/>
      <c r="CL61" s="1508"/>
      <c r="CM61" s="1508"/>
      <c r="CN61" s="1508"/>
      <c r="CO61" s="1508"/>
      <c r="CP61" s="1508"/>
      <c r="CQ61" s="1508"/>
      <c r="CR61" s="1508"/>
      <c r="CS61" s="1508"/>
      <c r="CT61" s="1508"/>
      <c r="CU61" s="1508"/>
      <c r="CV61" s="1508"/>
      <c r="CW61" s="1508"/>
      <c r="CX61" s="1508"/>
      <c r="CY61" s="1508"/>
      <c r="CZ61" s="1508"/>
      <c r="DA61" s="1508"/>
      <c r="DB61" s="1508"/>
      <c r="DC61" s="1508"/>
      <c r="DD61" s="1508"/>
      <c r="DE61" s="1508"/>
      <c r="DF61" s="1508"/>
      <c r="DG61" s="1508"/>
      <c r="DH61" s="1508"/>
      <c r="DI61" s="1508"/>
      <c r="DJ61" s="1508"/>
      <c r="DK61" s="1508"/>
      <c r="DL61" s="1508"/>
      <c r="DN61" s="1509"/>
    </row>
    <row r="62" spans="1:118" s="1522" customFormat="1" ht="12.75" customHeight="1" outlineLevel="1" x14ac:dyDescent="0.2">
      <c r="C62" s="1496" t="s">
        <v>208</v>
      </c>
      <c r="D62" s="14" t="str">
        <f>INDEX(Modulos[Modulos], MATCH($C62, Modulos[Código], 0))</f>
        <v>Plantas Eólicas</v>
      </c>
      <c r="E62" s="1497"/>
      <c r="F62" s="14"/>
      <c r="G62" s="1498"/>
      <c r="H62" s="1498"/>
      <c r="I62" s="1498"/>
      <c r="J62" s="1498"/>
      <c r="K62" s="1498"/>
      <c r="L62" s="1498"/>
      <c r="M62" s="1498"/>
      <c r="N62" s="1498"/>
      <c r="O62" s="1498"/>
      <c r="P62" s="1498"/>
      <c r="Q62" s="1498"/>
      <c r="R62" s="1498"/>
      <c r="S62" s="1498"/>
      <c r="T62" s="1498"/>
      <c r="U62" s="1498"/>
      <c r="V62" s="1498"/>
      <c r="W62" s="1499"/>
      <c r="X62" s="14"/>
      <c r="Y62" s="1893">
        <f t="shared" ref="Y62:AN69" ca="1" si="39">IFERROR(INDEX(INDIRECT($C62&amp;".Outputs["&amp;this.Year&amp;"]"), MATCH(Y$5, INDIRECT($C62&amp;".Outputs[Vector]"), 0)), 0)</f>
        <v>0</v>
      </c>
      <c r="Z62" s="1893">
        <f t="shared" ca="1" si="39"/>
        <v>5.7974255999999986</v>
      </c>
      <c r="AA62" s="1893">
        <f t="shared" ca="1" si="39"/>
        <v>0</v>
      </c>
      <c r="AB62" s="1893">
        <f t="shared" ca="1" si="39"/>
        <v>0</v>
      </c>
      <c r="AC62" s="1893">
        <f t="shared" ca="1" si="39"/>
        <v>0</v>
      </c>
      <c r="AD62" s="1893">
        <f t="shared" ca="1" si="39"/>
        <v>0</v>
      </c>
      <c r="AE62" s="1893">
        <f t="shared" ca="1" si="39"/>
        <v>0</v>
      </c>
      <c r="AF62" s="1893">
        <f t="shared" ca="1" si="39"/>
        <v>0</v>
      </c>
      <c r="AG62" s="1893">
        <f t="shared" ca="1" si="39"/>
        <v>0</v>
      </c>
      <c r="AH62" s="1893">
        <f t="shared" ca="1" si="39"/>
        <v>0</v>
      </c>
      <c r="AI62" s="1893">
        <f t="shared" ref="AI62:AP69" ca="1" si="40">IFERROR(INDEX(INDIRECT($C62&amp;".Outputs["&amp;this.Year&amp;"]"), MATCH(AI$5, INDIRECT($C62&amp;".Outputs[Vector]"), 0)), 0)</f>
        <v>0</v>
      </c>
      <c r="AJ62" s="1893">
        <f t="shared" ca="1" si="40"/>
        <v>0</v>
      </c>
      <c r="AK62" s="1893">
        <f t="shared" ca="1" si="40"/>
        <v>0</v>
      </c>
      <c r="AL62" s="1893">
        <f t="shared" ca="1" si="40"/>
        <v>0</v>
      </c>
      <c r="AM62" s="1893">
        <f t="shared" ca="1" si="40"/>
        <v>0</v>
      </c>
      <c r="AN62" s="1893">
        <f t="shared" ca="1" si="40"/>
        <v>0</v>
      </c>
      <c r="AO62" s="1893">
        <f t="shared" ca="1" si="40"/>
        <v>0</v>
      </c>
      <c r="AP62" s="1893">
        <f t="shared" ca="1" si="40"/>
        <v>0</v>
      </c>
      <c r="AQ62" s="1951">
        <f t="shared" ref="AQ62:AQ70" ca="1" si="41">SUM(Y62:AP62)</f>
        <v>5.7974255999999986</v>
      </c>
      <c r="AR62" s="14"/>
      <c r="AS62" s="1948">
        <f t="shared" ref="AS62:BH69" ca="1" si="42">IFERROR(INDEX(INDIRECT($C62&amp;".Outputs["&amp;this.Year&amp;"]"), MATCH(AS$5, INDIRECT($C62&amp;".Outputs[Vector]"), 0)), 0)</f>
        <v>0</v>
      </c>
      <c r="AT62" s="1948">
        <f t="shared" ca="1" si="42"/>
        <v>0</v>
      </c>
      <c r="AU62" s="1948">
        <f t="shared" ca="1" si="42"/>
        <v>0</v>
      </c>
      <c r="AV62" s="1948">
        <f t="shared" ca="1" si="42"/>
        <v>0</v>
      </c>
      <c r="AW62" s="1948">
        <f t="shared" ca="1" si="42"/>
        <v>0</v>
      </c>
      <c r="AX62" s="1948">
        <f t="shared" ca="1" si="42"/>
        <v>0</v>
      </c>
      <c r="AY62" s="1948">
        <f t="shared" ca="1" si="42"/>
        <v>0</v>
      </c>
      <c r="AZ62" s="1948">
        <f t="shared" ca="1" si="42"/>
        <v>0</v>
      </c>
      <c r="BA62" s="1948">
        <f t="shared" ca="1" si="42"/>
        <v>0</v>
      </c>
      <c r="BB62" s="1948">
        <f t="shared" ca="1" si="42"/>
        <v>0</v>
      </c>
      <c r="BC62" s="1948">
        <f t="shared" ref="BC62:BK69" ca="1" si="43">IFERROR(INDEX(INDIRECT($C62&amp;".Outputs["&amp;this.Year&amp;"]"), MATCH(BC$5, INDIRECT($C62&amp;".Outputs[Vector]"), 0)), 0)</f>
        <v>0</v>
      </c>
      <c r="BD62" s="1948">
        <f t="shared" ca="1" si="43"/>
        <v>-5.7974255999999986</v>
      </c>
      <c r="BE62" s="1948">
        <f t="shared" ca="1" si="43"/>
        <v>0</v>
      </c>
      <c r="BF62" s="1948">
        <f t="shared" ca="1" si="43"/>
        <v>0</v>
      </c>
      <c r="BG62" s="1948">
        <f t="shared" ca="1" si="43"/>
        <v>0</v>
      </c>
      <c r="BH62" s="1948">
        <f t="shared" ca="1" si="43"/>
        <v>0</v>
      </c>
      <c r="BI62" s="1948">
        <f t="shared" ca="1" si="43"/>
        <v>0</v>
      </c>
      <c r="BJ62" s="1948">
        <f t="shared" ca="1" si="43"/>
        <v>0</v>
      </c>
      <c r="BK62" s="1948">
        <f t="shared" ca="1" si="43"/>
        <v>0</v>
      </c>
      <c r="BL62" s="1952">
        <f t="shared" ref="BL62:BL70" ca="1" si="44">SUM(AS62:BK62)</f>
        <v>-5.7974255999999986</v>
      </c>
      <c r="BM62" s="14"/>
      <c r="BN62" s="1941">
        <f t="shared" ref="BN62:BO68" ca="1" si="45">IFERROR(INDEX(INDIRECT($C62&amp;".Outputs["&amp;this.Year&amp;"]"), MATCH(BN$5, INDIRECT($C62&amp;".Outputs[Vector]"), 0)), 0)</f>
        <v>0</v>
      </c>
      <c r="BO62" s="1941">
        <f t="shared" ca="1" si="45"/>
        <v>0</v>
      </c>
      <c r="BP62" s="1505">
        <f ca="1">BN62+BO62</f>
        <v>0</v>
      </c>
      <c r="BQ62" s="14"/>
      <c r="BR62" s="3168">
        <f t="shared" ca="1" si="12"/>
        <v>0</v>
      </c>
      <c r="BS62" s="1525"/>
      <c r="BT62" s="748"/>
      <c r="BU62" s="1507">
        <v>0</v>
      </c>
      <c r="BV62" s="1508">
        <v>0</v>
      </c>
      <c r="BW62" s="1508">
        <v>0</v>
      </c>
      <c r="BX62" s="1508">
        <v>0</v>
      </c>
      <c r="BY62" s="1508">
        <v>0</v>
      </c>
      <c r="BZ62" s="1508">
        <v>0</v>
      </c>
      <c r="CA62" s="1508">
        <v>0</v>
      </c>
      <c r="CB62" s="1508">
        <v>0</v>
      </c>
      <c r="CC62" s="1508">
        <v>0</v>
      </c>
      <c r="CD62" s="1508">
        <v>0</v>
      </c>
      <c r="CE62" s="1508">
        <v>0</v>
      </c>
      <c r="CF62" s="1508">
        <v>0</v>
      </c>
      <c r="CG62" s="1508">
        <v>0</v>
      </c>
      <c r="CH62" s="1508">
        <v>0</v>
      </c>
      <c r="CI62" s="1508">
        <v>0</v>
      </c>
      <c r="CJ62" s="1508">
        <v>0</v>
      </c>
      <c r="CK62" s="1508">
        <v>0</v>
      </c>
      <c r="CL62" s="1508">
        <v>0</v>
      </c>
      <c r="CM62" s="1508">
        <v>0</v>
      </c>
      <c r="CN62" s="1508">
        <v>0</v>
      </c>
      <c r="CO62" s="1508">
        <v>0</v>
      </c>
      <c r="CP62" s="1508">
        <v>0</v>
      </c>
      <c r="CQ62" s="1508">
        <v>0</v>
      </c>
      <c r="CR62" s="1508">
        <v>0</v>
      </c>
      <c r="CS62" s="1508">
        <v>0</v>
      </c>
      <c r="CT62" s="1508">
        <v>0</v>
      </c>
      <c r="CU62" s="1508">
        <v>0</v>
      </c>
      <c r="CV62" s="1508">
        <v>0</v>
      </c>
      <c r="CW62" s="1508">
        <v>0</v>
      </c>
      <c r="CX62" s="1508">
        <v>0</v>
      </c>
      <c r="CY62" s="1508">
        <v>0</v>
      </c>
      <c r="CZ62" s="1508">
        <v>0</v>
      </c>
      <c r="DA62" s="1508">
        <v>0</v>
      </c>
      <c r="DB62" s="1508">
        <v>0</v>
      </c>
      <c r="DC62" s="1508">
        <v>0</v>
      </c>
      <c r="DD62" s="1508">
        <v>0</v>
      </c>
      <c r="DE62" s="1508">
        <v>0</v>
      </c>
      <c r="DF62" s="1508">
        <v>0</v>
      </c>
      <c r="DG62" s="1508">
        <v>0</v>
      </c>
      <c r="DH62" s="1508">
        <v>0</v>
      </c>
      <c r="DI62" s="1508">
        <v>0</v>
      </c>
      <c r="DJ62" s="1508">
        <v>0</v>
      </c>
      <c r="DK62" s="1508">
        <v>0</v>
      </c>
      <c r="DL62" s="1508">
        <v>0</v>
      </c>
      <c r="DN62" s="1509">
        <v>0</v>
      </c>
    </row>
    <row r="63" spans="1:118" s="1522" customFormat="1" ht="12.75" customHeight="1" outlineLevel="1" x14ac:dyDescent="0.2">
      <c r="C63" s="1496" t="s">
        <v>246</v>
      </c>
      <c r="D63" s="14" t="str">
        <f>INDEX(Modulos[Modulos], MATCH($C63, Modulos[Código], 0))</f>
        <v>Mini Hidráulica de Pasada</v>
      </c>
      <c r="E63" s="1497"/>
      <c r="F63" s="14"/>
      <c r="G63" s="1498"/>
      <c r="H63" s="1498"/>
      <c r="I63" s="1498"/>
      <c r="J63" s="1498"/>
      <c r="K63" s="1498"/>
      <c r="L63" s="1498"/>
      <c r="M63" s="1498"/>
      <c r="N63" s="1498"/>
      <c r="O63" s="1498"/>
      <c r="P63" s="1498"/>
      <c r="Q63" s="1498"/>
      <c r="R63" s="1498"/>
      <c r="S63" s="1498"/>
      <c r="T63" s="1498"/>
      <c r="U63" s="1498"/>
      <c r="V63" s="1498"/>
      <c r="W63" s="1499"/>
      <c r="X63" s="14"/>
      <c r="Y63" s="1893">
        <f t="shared" ca="1" si="39"/>
        <v>0</v>
      </c>
      <c r="Z63" s="1893">
        <f t="shared" ca="1" si="39"/>
        <v>4.0016790000000002</v>
      </c>
      <c r="AA63" s="1893">
        <f t="shared" ca="1" si="39"/>
        <v>0</v>
      </c>
      <c r="AB63" s="1893">
        <f t="shared" ca="1" si="39"/>
        <v>0</v>
      </c>
      <c r="AC63" s="1893">
        <f t="shared" ca="1" si="39"/>
        <v>0</v>
      </c>
      <c r="AD63" s="1893">
        <f t="shared" ca="1" si="39"/>
        <v>0</v>
      </c>
      <c r="AE63" s="1893">
        <f t="shared" ca="1" si="39"/>
        <v>0</v>
      </c>
      <c r="AF63" s="1893">
        <f t="shared" ca="1" si="39"/>
        <v>0</v>
      </c>
      <c r="AG63" s="1893">
        <f t="shared" ca="1" si="39"/>
        <v>0</v>
      </c>
      <c r="AH63" s="1893">
        <f t="shared" ca="1" si="39"/>
        <v>0</v>
      </c>
      <c r="AI63" s="1893">
        <f t="shared" ca="1" si="40"/>
        <v>0</v>
      </c>
      <c r="AJ63" s="1893">
        <f t="shared" ca="1" si="40"/>
        <v>0</v>
      </c>
      <c r="AK63" s="1893">
        <f t="shared" ca="1" si="40"/>
        <v>0</v>
      </c>
      <c r="AL63" s="1893">
        <f t="shared" ca="1" si="40"/>
        <v>0</v>
      </c>
      <c r="AM63" s="1893">
        <f t="shared" ca="1" si="40"/>
        <v>0</v>
      </c>
      <c r="AN63" s="1893">
        <f t="shared" ca="1" si="40"/>
        <v>0</v>
      </c>
      <c r="AO63" s="1893">
        <f t="shared" ca="1" si="40"/>
        <v>0</v>
      </c>
      <c r="AP63" s="1893">
        <f t="shared" ca="1" si="40"/>
        <v>0</v>
      </c>
      <c r="AQ63" s="1951">
        <f t="shared" ca="1" si="41"/>
        <v>4.0016790000000002</v>
      </c>
      <c r="AR63" s="14"/>
      <c r="AS63" s="1948">
        <f t="shared" ca="1" si="42"/>
        <v>0</v>
      </c>
      <c r="AT63" s="1948">
        <f t="shared" ca="1" si="42"/>
        <v>0</v>
      </c>
      <c r="AU63" s="1948">
        <f t="shared" ca="1" si="42"/>
        <v>0</v>
      </c>
      <c r="AV63" s="1948">
        <f t="shared" ca="1" si="42"/>
        <v>0</v>
      </c>
      <c r="AW63" s="1948">
        <f t="shared" ca="1" si="42"/>
        <v>0</v>
      </c>
      <c r="AX63" s="1948">
        <f t="shared" ca="1" si="42"/>
        <v>0</v>
      </c>
      <c r="AY63" s="1948">
        <f t="shared" ca="1" si="42"/>
        <v>0</v>
      </c>
      <c r="AZ63" s="1948">
        <f t="shared" ca="1" si="42"/>
        <v>0</v>
      </c>
      <c r="BA63" s="1948">
        <f t="shared" ca="1" si="42"/>
        <v>0</v>
      </c>
      <c r="BB63" s="1948">
        <f t="shared" ca="1" si="42"/>
        <v>0</v>
      </c>
      <c r="BC63" s="1948">
        <f t="shared" ca="1" si="43"/>
        <v>0</v>
      </c>
      <c r="BD63" s="1948">
        <f t="shared" ca="1" si="43"/>
        <v>0</v>
      </c>
      <c r="BE63" s="1948">
        <f t="shared" ca="1" si="43"/>
        <v>0</v>
      </c>
      <c r="BF63" s="1948">
        <f t="shared" ca="1" si="43"/>
        <v>0</v>
      </c>
      <c r="BG63" s="1948">
        <f t="shared" ca="1" si="43"/>
        <v>0</v>
      </c>
      <c r="BH63" s="1948">
        <f t="shared" ca="1" si="43"/>
        <v>-4.0016790000000002</v>
      </c>
      <c r="BI63" s="1948">
        <f t="shared" ca="1" si="43"/>
        <v>0</v>
      </c>
      <c r="BJ63" s="1948">
        <f t="shared" ca="1" si="43"/>
        <v>0</v>
      </c>
      <c r="BK63" s="1948">
        <f t="shared" ca="1" si="43"/>
        <v>0</v>
      </c>
      <c r="BL63" s="1952">
        <f t="shared" ca="1" si="44"/>
        <v>-4.0016790000000002</v>
      </c>
      <c r="BM63" s="14"/>
      <c r="BN63" s="1941">
        <f t="shared" ca="1" si="45"/>
        <v>0</v>
      </c>
      <c r="BO63" s="1941">
        <f t="shared" ca="1" si="45"/>
        <v>0</v>
      </c>
      <c r="BP63" s="1505">
        <f t="shared" ref="BP63:BP68" ca="1" si="46">BN63+BO63</f>
        <v>0</v>
      </c>
      <c r="BQ63" s="14"/>
      <c r="BR63" s="3168">
        <f t="shared" ca="1" si="12"/>
        <v>0</v>
      </c>
      <c r="BS63" s="1525"/>
      <c r="BT63" s="748"/>
      <c r="BU63" s="1507">
        <v>0</v>
      </c>
      <c r="BV63" s="1508">
        <v>0</v>
      </c>
      <c r="BW63" s="1508">
        <v>0</v>
      </c>
      <c r="BX63" s="1508">
        <v>0</v>
      </c>
      <c r="BY63" s="1508">
        <v>0</v>
      </c>
      <c r="BZ63" s="1508">
        <v>0</v>
      </c>
      <c r="CA63" s="1508">
        <v>0</v>
      </c>
      <c r="CB63" s="1508">
        <v>0</v>
      </c>
      <c r="CC63" s="1508">
        <v>0</v>
      </c>
      <c r="CD63" s="1508">
        <v>0</v>
      </c>
      <c r="CE63" s="1508">
        <v>0</v>
      </c>
      <c r="CF63" s="1508">
        <v>0</v>
      </c>
      <c r="CG63" s="1508">
        <v>0</v>
      </c>
      <c r="CH63" s="1508">
        <v>0</v>
      </c>
      <c r="CI63" s="1508">
        <v>0</v>
      </c>
      <c r="CJ63" s="1508">
        <v>0</v>
      </c>
      <c r="CK63" s="1508">
        <v>0</v>
      </c>
      <c r="CL63" s="1508">
        <v>0</v>
      </c>
      <c r="CM63" s="1508">
        <v>0</v>
      </c>
      <c r="CN63" s="1508">
        <v>0</v>
      </c>
      <c r="CO63" s="1508">
        <v>0</v>
      </c>
      <c r="CP63" s="1508">
        <v>0</v>
      </c>
      <c r="CQ63" s="1508">
        <v>0</v>
      </c>
      <c r="CR63" s="1508">
        <v>0</v>
      </c>
      <c r="CS63" s="1508">
        <v>0</v>
      </c>
      <c r="CT63" s="1508">
        <v>0</v>
      </c>
      <c r="CU63" s="1508">
        <v>0</v>
      </c>
      <c r="CV63" s="1508">
        <v>0</v>
      </c>
      <c r="CW63" s="1508">
        <v>0</v>
      </c>
      <c r="CX63" s="1508">
        <v>0</v>
      </c>
      <c r="CY63" s="1508">
        <v>0</v>
      </c>
      <c r="CZ63" s="1508">
        <v>0</v>
      </c>
      <c r="DA63" s="1508">
        <v>0</v>
      </c>
      <c r="DB63" s="1508">
        <v>0</v>
      </c>
      <c r="DC63" s="1508">
        <v>0</v>
      </c>
      <c r="DD63" s="1508">
        <v>0</v>
      </c>
      <c r="DE63" s="1508">
        <v>0</v>
      </c>
      <c r="DF63" s="1508">
        <v>0</v>
      </c>
      <c r="DG63" s="1508">
        <v>0</v>
      </c>
      <c r="DH63" s="1508">
        <v>0</v>
      </c>
      <c r="DI63" s="1508">
        <v>0</v>
      </c>
      <c r="DJ63" s="1508">
        <v>0</v>
      </c>
      <c r="DK63" s="1508">
        <v>0</v>
      </c>
      <c r="DL63" s="1508">
        <v>0</v>
      </c>
      <c r="DN63" s="1509">
        <v>0</v>
      </c>
    </row>
    <row r="64" spans="1:118" s="1522" customFormat="1" ht="12.75" customHeight="1" outlineLevel="1" x14ac:dyDescent="0.2">
      <c r="C64" s="1496" t="s">
        <v>258</v>
      </c>
      <c r="D64" s="14" t="str">
        <f>INDEX(Modulos[Modulos], MATCH($C64, Modulos[Código], 0))</f>
        <v>Hidráulica de Pasada</v>
      </c>
      <c r="E64" s="1497"/>
      <c r="F64" s="14"/>
      <c r="G64" s="1498"/>
      <c r="H64" s="1498"/>
      <c r="I64" s="1498"/>
      <c r="J64" s="1498"/>
      <c r="K64" s="1498"/>
      <c r="L64" s="1498"/>
      <c r="M64" s="1498"/>
      <c r="N64" s="1498"/>
      <c r="O64" s="1498"/>
      <c r="P64" s="1498"/>
      <c r="Q64" s="1498"/>
      <c r="R64" s="1498"/>
      <c r="S64" s="1498"/>
      <c r="T64" s="1498"/>
      <c r="U64" s="1498"/>
      <c r="V64" s="1498"/>
      <c r="W64" s="1499"/>
      <c r="X64" s="14"/>
      <c r="Y64" s="1893">
        <f t="shared" ca="1" si="39"/>
        <v>0</v>
      </c>
      <c r="Z64" s="1893">
        <f t="shared" ca="1" si="39"/>
        <v>7.7162715000000031</v>
      </c>
      <c r="AA64" s="1893">
        <f t="shared" ca="1" si="39"/>
        <v>0</v>
      </c>
      <c r="AB64" s="1893">
        <f t="shared" ca="1" si="39"/>
        <v>0</v>
      </c>
      <c r="AC64" s="1893">
        <f t="shared" ca="1" si="39"/>
        <v>0</v>
      </c>
      <c r="AD64" s="1893">
        <f t="shared" ca="1" si="39"/>
        <v>0</v>
      </c>
      <c r="AE64" s="1893">
        <f t="shared" ca="1" si="39"/>
        <v>0</v>
      </c>
      <c r="AF64" s="1893">
        <f t="shared" ca="1" si="39"/>
        <v>0</v>
      </c>
      <c r="AG64" s="1893">
        <f t="shared" ca="1" si="39"/>
        <v>0</v>
      </c>
      <c r="AH64" s="1893">
        <f t="shared" ca="1" si="39"/>
        <v>0</v>
      </c>
      <c r="AI64" s="1893">
        <f t="shared" ca="1" si="40"/>
        <v>0</v>
      </c>
      <c r="AJ64" s="1893">
        <f t="shared" ca="1" si="40"/>
        <v>0</v>
      </c>
      <c r="AK64" s="1893">
        <f t="shared" ca="1" si="40"/>
        <v>0</v>
      </c>
      <c r="AL64" s="1893">
        <f t="shared" ca="1" si="40"/>
        <v>0</v>
      </c>
      <c r="AM64" s="1893">
        <f t="shared" ca="1" si="40"/>
        <v>0</v>
      </c>
      <c r="AN64" s="1893">
        <f t="shared" ca="1" si="40"/>
        <v>0</v>
      </c>
      <c r="AO64" s="1893">
        <f t="shared" ca="1" si="40"/>
        <v>0</v>
      </c>
      <c r="AP64" s="1893">
        <f t="shared" ca="1" si="40"/>
        <v>0</v>
      </c>
      <c r="AQ64" s="1951">
        <f t="shared" ca="1" si="41"/>
        <v>7.7162715000000031</v>
      </c>
      <c r="AR64" s="14"/>
      <c r="AS64" s="1948">
        <f t="shared" ca="1" si="42"/>
        <v>0</v>
      </c>
      <c r="AT64" s="1948">
        <f t="shared" ca="1" si="42"/>
        <v>0</v>
      </c>
      <c r="AU64" s="1948">
        <f t="shared" ca="1" si="42"/>
        <v>0</v>
      </c>
      <c r="AV64" s="1948">
        <f t="shared" ca="1" si="42"/>
        <v>0</v>
      </c>
      <c r="AW64" s="1948">
        <f t="shared" ca="1" si="42"/>
        <v>0</v>
      </c>
      <c r="AX64" s="1948">
        <f t="shared" ca="1" si="42"/>
        <v>0</v>
      </c>
      <c r="AY64" s="1948">
        <f t="shared" ca="1" si="42"/>
        <v>0</v>
      </c>
      <c r="AZ64" s="1948">
        <f t="shared" ca="1" si="42"/>
        <v>0</v>
      </c>
      <c r="BA64" s="1948">
        <f t="shared" ca="1" si="42"/>
        <v>0</v>
      </c>
      <c r="BB64" s="1948">
        <f t="shared" ca="1" si="42"/>
        <v>0</v>
      </c>
      <c r="BC64" s="1948">
        <f t="shared" ca="1" si="43"/>
        <v>0</v>
      </c>
      <c r="BD64" s="1948">
        <f t="shared" ca="1" si="43"/>
        <v>0</v>
      </c>
      <c r="BE64" s="1948">
        <f t="shared" ca="1" si="43"/>
        <v>0</v>
      </c>
      <c r="BF64" s="1948">
        <f t="shared" ca="1" si="43"/>
        <v>0</v>
      </c>
      <c r="BG64" s="1948">
        <f t="shared" ca="1" si="43"/>
        <v>0</v>
      </c>
      <c r="BH64" s="1948">
        <f t="shared" ca="1" si="43"/>
        <v>-7.7162715000000031</v>
      </c>
      <c r="BI64" s="1948">
        <f t="shared" ca="1" si="43"/>
        <v>0</v>
      </c>
      <c r="BJ64" s="1948">
        <f t="shared" ca="1" si="43"/>
        <v>0</v>
      </c>
      <c r="BK64" s="1948">
        <f t="shared" ca="1" si="43"/>
        <v>0</v>
      </c>
      <c r="BL64" s="1952">
        <f t="shared" ca="1" si="44"/>
        <v>-7.7162715000000031</v>
      </c>
      <c r="BM64" s="14"/>
      <c r="BN64" s="1941">
        <f t="shared" ca="1" si="45"/>
        <v>0</v>
      </c>
      <c r="BO64" s="1941">
        <f t="shared" ca="1" si="45"/>
        <v>0</v>
      </c>
      <c r="BP64" s="1505">
        <f t="shared" ca="1" si="46"/>
        <v>0</v>
      </c>
      <c r="BQ64" s="14"/>
      <c r="BR64" s="3168">
        <f t="shared" ca="1" si="12"/>
        <v>0</v>
      </c>
      <c r="BS64" s="1525"/>
      <c r="BT64" s="748"/>
      <c r="BU64" s="1507">
        <v>0</v>
      </c>
      <c r="BV64" s="1508">
        <v>0</v>
      </c>
      <c r="BW64" s="1508">
        <v>0</v>
      </c>
      <c r="BX64" s="1508">
        <v>0</v>
      </c>
      <c r="BY64" s="1508">
        <v>0</v>
      </c>
      <c r="BZ64" s="1508">
        <v>0</v>
      </c>
      <c r="CA64" s="1508">
        <v>0</v>
      </c>
      <c r="CB64" s="1508">
        <v>0</v>
      </c>
      <c r="CC64" s="1508">
        <v>0</v>
      </c>
      <c r="CD64" s="1508">
        <v>0</v>
      </c>
      <c r="CE64" s="1508">
        <v>0</v>
      </c>
      <c r="CF64" s="1508">
        <v>0</v>
      </c>
      <c r="CG64" s="1508">
        <v>0</v>
      </c>
      <c r="CH64" s="1508">
        <v>0</v>
      </c>
      <c r="CI64" s="1508">
        <v>0</v>
      </c>
      <c r="CJ64" s="1508">
        <v>0</v>
      </c>
      <c r="CK64" s="1508">
        <v>0</v>
      </c>
      <c r="CL64" s="1508">
        <v>0</v>
      </c>
      <c r="CM64" s="1508">
        <v>0</v>
      </c>
      <c r="CN64" s="1508">
        <v>0</v>
      </c>
      <c r="CO64" s="1508">
        <v>0</v>
      </c>
      <c r="CP64" s="1508">
        <v>0</v>
      </c>
      <c r="CQ64" s="1508">
        <v>0</v>
      </c>
      <c r="CR64" s="1508">
        <v>0</v>
      </c>
      <c r="CS64" s="1508">
        <v>0</v>
      </c>
      <c r="CT64" s="1508">
        <v>0</v>
      </c>
      <c r="CU64" s="1508">
        <v>0</v>
      </c>
      <c r="CV64" s="1508">
        <v>0</v>
      </c>
      <c r="CW64" s="1508">
        <v>0</v>
      </c>
      <c r="CX64" s="1508">
        <v>0</v>
      </c>
      <c r="CY64" s="1508">
        <v>0</v>
      </c>
      <c r="CZ64" s="1508">
        <v>0</v>
      </c>
      <c r="DA64" s="1508">
        <v>0</v>
      </c>
      <c r="DB64" s="1508">
        <v>0</v>
      </c>
      <c r="DC64" s="1508">
        <v>0</v>
      </c>
      <c r="DD64" s="1508">
        <v>0</v>
      </c>
      <c r="DE64" s="1508">
        <v>0</v>
      </c>
      <c r="DF64" s="1508">
        <v>0</v>
      </c>
      <c r="DG64" s="1508">
        <v>0</v>
      </c>
      <c r="DH64" s="1508">
        <v>0</v>
      </c>
      <c r="DI64" s="1508">
        <v>0</v>
      </c>
      <c r="DJ64" s="1508">
        <v>0</v>
      </c>
      <c r="DK64" s="1508">
        <v>0</v>
      </c>
      <c r="DL64" s="1508">
        <v>0</v>
      </c>
      <c r="DN64" s="1509">
        <v>0</v>
      </c>
    </row>
    <row r="65" spans="1:118" s="1522" customFormat="1" ht="12.75" customHeight="1" outlineLevel="1" x14ac:dyDescent="0.2">
      <c r="C65" s="1496" t="s">
        <v>267</v>
      </c>
      <c r="D65" s="14" t="str">
        <f>INDEX(Modulos[Modulos], MATCH($C65, Modulos[Código], 0))</f>
        <v>Hidráulica de Embalse</v>
      </c>
      <c r="E65" s="1497"/>
      <c r="F65" s="14"/>
      <c r="G65" s="1498"/>
      <c r="H65" s="1498"/>
      <c r="I65" s="1498"/>
      <c r="J65" s="1498"/>
      <c r="K65" s="1498"/>
      <c r="L65" s="1498"/>
      <c r="M65" s="1498"/>
      <c r="N65" s="1498"/>
      <c r="O65" s="1498"/>
      <c r="P65" s="1498"/>
      <c r="Q65" s="1498"/>
      <c r="R65" s="1498"/>
      <c r="S65" s="1498"/>
      <c r="T65" s="1498"/>
      <c r="U65" s="1498"/>
      <c r="V65" s="1498"/>
      <c r="W65" s="1499"/>
      <c r="X65" s="14"/>
      <c r="Y65" s="1893">
        <f t="shared" ca="1" si="39"/>
        <v>0</v>
      </c>
      <c r="Z65" s="1893">
        <f t="shared" ca="1" si="39"/>
        <v>15.410627999999996</v>
      </c>
      <c r="AA65" s="1893">
        <f t="shared" ca="1" si="39"/>
        <v>0</v>
      </c>
      <c r="AB65" s="1893">
        <f t="shared" ca="1" si="39"/>
        <v>0</v>
      </c>
      <c r="AC65" s="1893">
        <f t="shared" ca="1" si="39"/>
        <v>0</v>
      </c>
      <c r="AD65" s="1893">
        <f t="shared" ca="1" si="39"/>
        <v>0</v>
      </c>
      <c r="AE65" s="1893">
        <f t="shared" ca="1" si="39"/>
        <v>0</v>
      </c>
      <c r="AF65" s="1893">
        <f t="shared" ca="1" si="39"/>
        <v>0</v>
      </c>
      <c r="AG65" s="1893">
        <f t="shared" ca="1" si="39"/>
        <v>0</v>
      </c>
      <c r="AH65" s="1893">
        <f t="shared" ca="1" si="39"/>
        <v>0</v>
      </c>
      <c r="AI65" s="1893">
        <f t="shared" ca="1" si="40"/>
        <v>0</v>
      </c>
      <c r="AJ65" s="1893">
        <f t="shared" ca="1" si="40"/>
        <v>0</v>
      </c>
      <c r="AK65" s="1893">
        <f t="shared" ca="1" si="40"/>
        <v>0</v>
      </c>
      <c r="AL65" s="1893">
        <f t="shared" ca="1" si="40"/>
        <v>0</v>
      </c>
      <c r="AM65" s="1893">
        <f t="shared" ca="1" si="40"/>
        <v>0</v>
      </c>
      <c r="AN65" s="1893">
        <f t="shared" ca="1" si="40"/>
        <v>0</v>
      </c>
      <c r="AO65" s="1893">
        <f t="shared" ca="1" si="40"/>
        <v>0</v>
      </c>
      <c r="AP65" s="1893">
        <f t="shared" ca="1" si="40"/>
        <v>0</v>
      </c>
      <c r="AQ65" s="1951">
        <f t="shared" ca="1" si="41"/>
        <v>15.410627999999996</v>
      </c>
      <c r="AR65" s="14"/>
      <c r="AS65" s="1948">
        <f t="shared" ca="1" si="42"/>
        <v>0</v>
      </c>
      <c r="AT65" s="1948">
        <f t="shared" ca="1" si="42"/>
        <v>0</v>
      </c>
      <c r="AU65" s="1948">
        <f t="shared" ca="1" si="42"/>
        <v>0</v>
      </c>
      <c r="AV65" s="1948">
        <f t="shared" ca="1" si="42"/>
        <v>0</v>
      </c>
      <c r="AW65" s="1948">
        <f t="shared" ca="1" si="42"/>
        <v>0</v>
      </c>
      <c r="AX65" s="1948">
        <f t="shared" ca="1" si="42"/>
        <v>0</v>
      </c>
      <c r="AY65" s="1948">
        <f t="shared" ca="1" si="42"/>
        <v>0</v>
      </c>
      <c r="AZ65" s="1948">
        <f t="shared" ca="1" si="42"/>
        <v>0</v>
      </c>
      <c r="BA65" s="1948">
        <f t="shared" ca="1" si="42"/>
        <v>0</v>
      </c>
      <c r="BB65" s="1948">
        <f t="shared" ca="1" si="42"/>
        <v>0</v>
      </c>
      <c r="BC65" s="1948">
        <f t="shared" ca="1" si="43"/>
        <v>0</v>
      </c>
      <c r="BD65" s="1948">
        <f t="shared" ca="1" si="43"/>
        <v>0</v>
      </c>
      <c r="BE65" s="1948">
        <f t="shared" ca="1" si="43"/>
        <v>0</v>
      </c>
      <c r="BF65" s="1948">
        <f t="shared" ca="1" si="43"/>
        <v>0</v>
      </c>
      <c r="BG65" s="1948">
        <f t="shared" ca="1" si="43"/>
        <v>0</v>
      </c>
      <c r="BH65" s="1948">
        <f t="shared" ca="1" si="43"/>
        <v>-15.410627999999996</v>
      </c>
      <c r="BI65" s="1948">
        <f t="shared" ca="1" si="43"/>
        <v>0</v>
      </c>
      <c r="BJ65" s="1948">
        <f t="shared" ca="1" si="43"/>
        <v>0</v>
      </c>
      <c r="BK65" s="1948">
        <f t="shared" ca="1" si="43"/>
        <v>0</v>
      </c>
      <c r="BL65" s="1952">
        <f t="shared" ca="1" si="44"/>
        <v>-15.410627999999996</v>
      </c>
      <c r="BM65" s="14"/>
      <c r="BN65" s="1941">
        <f t="shared" ca="1" si="45"/>
        <v>0</v>
      </c>
      <c r="BO65" s="1941">
        <f t="shared" ca="1" si="45"/>
        <v>0</v>
      </c>
      <c r="BP65" s="1505">
        <f t="shared" ca="1" si="46"/>
        <v>0</v>
      </c>
      <c r="BQ65" s="14"/>
      <c r="BR65" s="3168">
        <f t="shared" ca="1" si="12"/>
        <v>0</v>
      </c>
      <c r="BS65" s="1525"/>
      <c r="BT65" s="748"/>
      <c r="BU65" s="1507">
        <v>0</v>
      </c>
      <c r="BV65" s="1508">
        <v>0</v>
      </c>
      <c r="BW65" s="1508">
        <v>0</v>
      </c>
      <c r="BX65" s="1508">
        <v>0</v>
      </c>
      <c r="BY65" s="1508">
        <v>0</v>
      </c>
      <c r="BZ65" s="1508">
        <v>0</v>
      </c>
      <c r="CA65" s="1508">
        <v>0</v>
      </c>
      <c r="CB65" s="1508">
        <v>0</v>
      </c>
      <c r="CC65" s="1508">
        <v>0</v>
      </c>
      <c r="CD65" s="1508">
        <v>0</v>
      </c>
      <c r="CE65" s="1508">
        <v>0</v>
      </c>
      <c r="CF65" s="1508">
        <v>0</v>
      </c>
      <c r="CG65" s="1508">
        <v>0</v>
      </c>
      <c r="CH65" s="1508">
        <v>0</v>
      </c>
      <c r="CI65" s="1508">
        <v>0</v>
      </c>
      <c r="CJ65" s="1508">
        <v>0</v>
      </c>
      <c r="CK65" s="1508">
        <v>0</v>
      </c>
      <c r="CL65" s="1508">
        <v>0</v>
      </c>
      <c r="CM65" s="1508">
        <v>0</v>
      </c>
      <c r="CN65" s="1508">
        <v>0</v>
      </c>
      <c r="CO65" s="1508">
        <v>0</v>
      </c>
      <c r="CP65" s="1508">
        <v>0</v>
      </c>
      <c r="CQ65" s="1508">
        <v>0</v>
      </c>
      <c r="CR65" s="1508">
        <v>0</v>
      </c>
      <c r="CS65" s="1508">
        <v>0</v>
      </c>
      <c r="CT65" s="1508">
        <v>0</v>
      </c>
      <c r="CU65" s="1508">
        <v>0</v>
      </c>
      <c r="CV65" s="1508">
        <v>0</v>
      </c>
      <c r="CW65" s="1508">
        <v>0</v>
      </c>
      <c r="CX65" s="1508">
        <v>0</v>
      </c>
      <c r="CY65" s="1508">
        <v>0</v>
      </c>
      <c r="CZ65" s="1508">
        <v>0</v>
      </c>
      <c r="DA65" s="1508">
        <v>0</v>
      </c>
      <c r="DB65" s="1508">
        <v>0</v>
      </c>
      <c r="DC65" s="1508">
        <v>0</v>
      </c>
      <c r="DD65" s="1508">
        <v>0</v>
      </c>
      <c r="DE65" s="1508">
        <v>0</v>
      </c>
      <c r="DF65" s="1508">
        <v>0</v>
      </c>
      <c r="DG65" s="1508">
        <v>0</v>
      </c>
      <c r="DH65" s="1508">
        <v>0</v>
      </c>
      <c r="DI65" s="1508">
        <v>0</v>
      </c>
      <c r="DJ65" s="1508">
        <v>0</v>
      </c>
      <c r="DK65" s="1508">
        <v>0</v>
      </c>
      <c r="DL65" s="1508">
        <v>0</v>
      </c>
      <c r="DN65" s="1509">
        <v>0</v>
      </c>
    </row>
    <row r="66" spans="1:118" s="1522" customFormat="1" ht="12.75" customHeight="1" outlineLevel="1" x14ac:dyDescent="0.2">
      <c r="C66" s="1496" t="s">
        <v>58</v>
      </c>
      <c r="D66" s="14" t="str">
        <f>INDEX(Modulos[Modulos], MATCH($C66, Modulos[Código], 0))</f>
        <v>Mareomotriz y Undimotriz</v>
      </c>
      <c r="E66" s="1497"/>
      <c r="F66" s="14"/>
      <c r="G66" s="1498"/>
      <c r="H66" s="1498"/>
      <c r="I66" s="1498"/>
      <c r="J66" s="1498"/>
      <c r="K66" s="1498"/>
      <c r="L66" s="1498"/>
      <c r="M66" s="1498"/>
      <c r="N66" s="1498"/>
      <c r="O66" s="1498"/>
      <c r="P66" s="1498"/>
      <c r="Q66" s="1498"/>
      <c r="R66" s="1498"/>
      <c r="S66" s="1498"/>
      <c r="T66" s="1498"/>
      <c r="U66" s="1498"/>
      <c r="V66" s="1498"/>
      <c r="W66" s="1499"/>
      <c r="X66" s="14"/>
      <c r="Y66" s="1893">
        <f t="shared" ca="1" si="39"/>
        <v>0</v>
      </c>
      <c r="Z66" s="1893">
        <f t="shared" ca="1" si="39"/>
        <v>8.6483602800000003E-2</v>
      </c>
      <c r="AA66" s="1893">
        <f t="shared" ca="1" si="39"/>
        <v>0</v>
      </c>
      <c r="AB66" s="1893">
        <f t="shared" ca="1" si="39"/>
        <v>0</v>
      </c>
      <c r="AC66" s="1893">
        <f t="shared" ca="1" si="39"/>
        <v>0</v>
      </c>
      <c r="AD66" s="1893">
        <f t="shared" ca="1" si="39"/>
        <v>0</v>
      </c>
      <c r="AE66" s="1893">
        <f t="shared" ca="1" si="39"/>
        <v>0</v>
      </c>
      <c r="AF66" s="1893">
        <f t="shared" ca="1" si="39"/>
        <v>0</v>
      </c>
      <c r="AG66" s="1893">
        <f t="shared" ca="1" si="39"/>
        <v>0</v>
      </c>
      <c r="AH66" s="1893">
        <f t="shared" ca="1" si="39"/>
        <v>0</v>
      </c>
      <c r="AI66" s="1893">
        <f t="shared" ca="1" si="40"/>
        <v>0</v>
      </c>
      <c r="AJ66" s="1893">
        <f t="shared" ca="1" si="40"/>
        <v>0</v>
      </c>
      <c r="AK66" s="1893">
        <f t="shared" ca="1" si="40"/>
        <v>0</v>
      </c>
      <c r="AL66" s="1893">
        <f t="shared" ca="1" si="40"/>
        <v>0</v>
      </c>
      <c r="AM66" s="1893">
        <f t="shared" ca="1" si="40"/>
        <v>0</v>
      </c>
      <c r="AN66" s="1893">
        <f t="shared" ca="1" si="40"/>
        <v>0</v>
      </c>
      <c r="AO66" s="1893">
        <f t="shared" ca="1" si="40"/>
        <v>0</v>
      </c>
      <c r="AP66" s="1893">
        <f t="shared" ca="1" si="40"/>
        <v>0</v>
      </c>
      <c r="AQ66" s="1951">
        <f t="shared" ca="1" si="41"/>
        <v>8.6483602800000003E-2</v>
      </c>
      <c r="AR66" s="14"/>
      <c r="AS66" s="1948">
        <f t="shared" ca="1" si="42"/>
        <v>0</v>
      </c>
      <c r="AT66" s="1948">
        <f t="shared" ca="1" si="42"/>
        <v>0</v>
      </c>
      <c r="AU66" s="1948">
        <f t="shared" ca="1" si="42"/>
        <v>0</v>
      </c>
      <c r="AV66" s="1948">
        <f t="shared" ca="1" si="42"/>
        <v>0</v>
      </c>
      <c r="AW66" s="1948">
        <f t="shared" ca="1" si="42"/>
        <v>0</v>
      </c>
      <c r="AX66" s="1948">
        <f t="shared" ca="1" si="42"/>
        <v>0</v>
      </c>
      <c r="AY66" s="1948">
        <f t="shared" ca="1" si="42"/>
        <v>0</v>
      </c>
      <c r="AZ66" s="1948">
        <f t="shared" ca="1" si="42"/>
        <v>0</v>
      </c>
      <c r="BA66" s="1948">
        <f t="shared" ca="1" si="42"/>
        <v>0</v>
      </c>
      <c r="BB66" s="1948">
        <f t="shared" ca="1" si="42"/>
        <v>0</v>
      </c>
      <c r="BC66" s="1948">
        <f t="shared" ca="1" si="43"/>
        <v>0</v>
      </c>
      <c r="BD66" s="1948">
        <f t="shared" ca="1" si="43"/>
        <v>0</v>
      </c>
      <c r="BE66" s="1948">
        <f t="shared" ca="1" si="43"/>
        <v>-2.4709600800000002E-2</v>
      </c>
      <c r="BF66" s="1948">
        <f t="shared" ca="1" si="43"/>
        <v>-6.1774002000000001E-2</v>
      </c>
      <c r="BG66" s="1948">
        <f t="shared" ca="1" si="43"/>
        <v>0</v>
      </c>
      <c r="BH66" s="1948">
        <f t="shared" ca="1" si="43"/>
        <v>0</v>
      </c>
      <c r="BI66" s="1948">
        <f t="shared" ca="1" si="43"/>
        <v>0</v>
      </c>
      <c r="BJ66" s="1948">
        <f t="shared" ca="1" si="43"/>
        <v>0</v>
      </c>
      <c r="BK66" s="1948">
        <f t="shared" ca="1" si="43"/>
        <v>0</v>
      </c>
      <c r="BL66" s="1952">
        <f t="shared" ca="1" si="44"/>
        <v>-8.6483602800000003E-2</v>
      </c>
      <c r="BM66" s="14"/>
      <c r="BN66" s="1941">
        <f t="shared" ca="1" si="45"/>
        <v>0</v>
      </c>
      <c r="BO66" s="1941">
        <f t="shared" ca="1" si="45"/>
        <v>0</v>
      </c>
      <c r="BP66" s="1505">
        <f t="shared" ca="1" si="46"/>
        <v>0</v>
      </c>
      <c r="BQ66" s="14"/>
      <c r="BR66" s="3168">
        <f t="shared" ca="1" si="12"/>
        <v>0</v>
      </c>
      <c r="BS66" s="1525"/>
      <c r="BT66" s="748"/>
      <c r="BU66" s="1507">
        <v>0</v>
      </c>
      <c r="BV66" s="1508">
        <v>0</v>
      </c>
      <c r="BW66" s="1508">
        <v>0</v>
      </c>
      <c r="BX66" s="1508">
        <v>0</v>
      </c>
      <c r="BY66" s="1508">
        <v>0</v>
      </c>
      <c r="BZ66" s="1508">
        <v>0</v>
      </c>
      <c r="CA66" s="1508">
        <v>0</v>
      </c>
      <c r="CB66" s="1508">
        <v>0</v>
      </c>
      <c r="CC66" s="1508">
        <v>0</v>
      </c>
      <c r="CD66" s="1508">
        <v>0</v>
      </c>
      <c r="CE66" s="1508">
        <v>0</v>
      </c>
      <c r="CF66" s="1508">
        <v>0</v>
      </c>
      <c r="CG66" s="1508">
        <v>0</v>
      </c>
      <c r="CH66" s="1508">
        <v>0</v>
      </c>
      <c r="CI66" s="1508">
        <v>0</v>
      </c>
      <c r="CJ66" s="1508">
        <v>0</v>
      </c>
      <c r="CK66" s="1508">
        <v>0</v>
      </c>
      <c r="CL66" s="1508">
        <v>0</v>
      </c>
      <c r="CM66" s="1508">
        <v>0</v>
      </c>
      <c r="CN66" s="1508">
        <v>0</v>
      </c>
      <c r="CO66" s="1508">
        <v>0</v>
      </c>
      <c r="CP66" s="1508">
        <v>0</v>
      </c>
      <c r="CQ66" s="1508">
        <v>0</v>
      </c>
      <c r="CR66" s="1508">
        <v>0</v>
      </c>
      <c r="CS66" s="1508">
        <v>0</v>
      </c>
      <c r="CT66" s="1508">
        <v>0</v>
      </c>
      <c r="CU66" s="1508">
        <v>0</v>
      </c>
      <c r="CV66" s="1508">
        <v>0</v>
      </c>
      <c r="CW66" s="1508">
        <v>0</v>
      </c>
      <c r="CX66" s="1508">
        <v>0</v>
      </c>
      <c r="CY66" s="1508">
        <v>0</v>
      </c>
      <c r="CZ66" s="1508">
        <v>0</v>
      </c>
      <c r="DA66" s="1508">
        <v>0</v>
      </c>
      <c r="DB66" s="1508">
        <v>0</v>
      </c>
      <c r="DC66" s="1508">
        <v>0</v>
      </c>
      <c r="DD66" s="1508">
        <v>0</v>
      </c>
      <c r="DE66" s="1508">
        <v>0</v>
      </c>
      <c r="DF66" s="1508">
        <v>0</v>
      </c>
      <c r="DG66" s="1508">
        <v>0</v>
      </c>
      <c r="DH66" s="1508">
        <v>0</v>
      </c>
      <c r="DI66" s="1508">
        <v>0</v>
      </c>
      <c r="DJ66" s="1508">
        <v>0</v>
      </c>
      <c r="DK66" s="1508">
        <v>0</v>
      </c>
      <c r="DL66" s="1508">
        <v>0</v>
      </c>
      <c r="DN66" s="1509">
        <v>0</v>
      </c>
    </row>
    <row r="67" spans="1:118" s="1522" customFormat="1" ht="12.75" customHeight="1" outlineLevel="1" x14ac:dyDescent="0.2">
      <c r="C67" s="1496" t="s">
        <v>60</v>
      </c>
      <c r="D67" s="14" t="str">
        <f>INDEX(Modulos[Modulos], MATCH($C67, Modulos[Código], 0))</f>
        <v>Geotérmica</v>
      </c>
      <c r="E67" s="1497"/>
      <c r="F67" s="14"/>
      <c r="G67" s="1498"/>
      <c r="H67" s="1498"/>
      <c r="I67" s="1498"/>
      <c r="J67" s="1498"/>
      <c r="K67" s="1498"/>
      <c r="L67" s="1498"/>
      <c r="M67" s="1498"/>
      <c r="N67" s="1498"/>
      <c r="O67" s="1498"/>
      <c r="P67" s="1498"/>
      <c r="Q67" s="1498"/>
      <c r="R67" s="1498"/>
      <c r="S67" s="1498"/>
      <c r="T67" s="1498"/>
      <c r="U67" s="1498"/>
      <c r="V67" s="1498"/>
      <c r="W67" s="1499"/>
      <c r="X67" s="14"/>
      <c r="Y67" s="1893">
        <f t="shared" ca="1" si="39"/>
        <v>0</v>
      </c>
      <c r="Z67" s="1893">
        <f t="shared" ca="1" si="39"/>
        <v>0.35064000000000006</v>
      </c>
      <c r="AA67" s="1893">
        <f t="shared" ca="1" si="39"/>
        <v>0</v>
      </c>
      <c r="AB67" s="1893">
        <f t="shared" ca="1" si="39"/>
        <v>0</v>
      </c>
      <c r="AC67" s="1893">
        <f t="shared" ca="1" si="39"/>
        <v>0</v>
      </c>
      <c r="AD67" s="1893">
        <f t="shared" ca="1" si="39"/>
        <v>0</v>
      </c>
      <c r="AE67" s="1893">
        <f t="shared" ca="1" si="39"/>
        <v>0</v>
      </c>
      <c r="AF67" s="1893">
        <f t="shared" ca="1" si="39"/>
        <v>0</v>
      </c>
      <c r="AG67" s="1893">
        <f t="shared" ca="1" si="39"/>
        <v>0</v>
      </c>
      <c r="AH67" s="1893">
        <f t="shared" ca="1" si="39"/>
        <v>0</v>
      </c>
      <c r="AI67" s="1893">
        <f t="shared" ca="1" si="40"/>
        <v>0</v>
      </c>
      <c r="AJ67" s="1893">
        <f t="shared" ca="1" si="40"/>
        <v>0</v>
      </c>
      <c r="AK67" s="1893">
        <f t="shared" ca="1" si="40"/>
        <v>0</v>
      </c>
      <c r="AL67" s="1893">
        <f t="shared" ca="1" si="40"/>
        <v>0</v>
      </c>
      <c r="AM67" s="1893">
        <f t="shared" ca="1" si="40"/>
        <v>0</v>
      </c>
      <c r="AN67" s="1893">
        <f t="shared" ca="1" si="40"/>
        <v>0</v>
      </c>
      <c r="AO67" s="1893">
        <f t="shared" ca="1" si="40"/>
        <v>0</v>
      </c>
      <c r="AP67" s="1893">
        <f t="shared" ca="1" si="40"/>
        <v>0</v>
      </c>
      <c r="AQ67" s="1951">
        <f t="shared" ca="1" si="41"/>
        <v>0.35064000000000006</v>
      </c>
      <c r="AR67" s="14"/>
      <c r="AS67" s="1948">
        <f t="shared" ca="1" si="42"/>
        <v>0</v>
      </c>
      <c r="AT67" s="1948">
        <f t="shared" ca="1" si="42"/>
        <v>0</v>
      </c>
      <c r="AU67" s="1948">
        <f t="shared" ca="1" si="42"/>
        <v>0</v>
      </c>
      <c r="AV67" s="1948">
        <f t="shared" ca="1" si="42"/>
        <v>0</v>
      </c>
      <c r="AW67" s="1948">
        <f t="shared" ca="1" si="42"/>
        <v>0</v>
      </c>
      <c r="AX67" s="1948">
        <f t="shared" ca="1" si="42"/>
        <v>0</v>
      </c>
      <c r="AY67" s="1948">
        <f t="shared" ca="1" si="42"/>
        <v>0</v>
      </c>
      <c r="AZ67" s="1948">
        <f t="shared" ca="1" si="42"/>
        <v>0</v>
      </c>
      <c r="BA67" s="1948">
        <f t="shared" ca="1" si="42"/>
        <v>0</v>
      </c>
      <c r="BB67" s="1948">
        <f t="shared" ca="1" si="42"/>
        <v>0</v>
      </c>
      <c r="BC67" s="1948">
        <f t="shared" ca="1" si="43"/>
        <v>0</v>
      </c>
      <c r="BD67" s="1948">
        <f t="shared" ca="1" si="43"/>
        <v>0</v>
      </c>
      <c r="BE67" s="1948">
        <f t="shared" ca="1" si="43"/>
        <v>0</v>
      </c>
      <c r="BF67" s="1948">
        <f t="shared" ca="1" si="43"/>
        <v>0</v>
      </c>
      <c r="BG67" s="1948">
        <f t="shared" ca="1" si="43"/>
        <v>-0.35064000000000006</v>
      </c>
      <c r="BH67" s="1948">
        <f t="shared" ca="1" si="43"/>
        <v>0</v>
      </c>
      <c r="BI67" s="1948">
        <f t="shared" ca="1" si="43"/>
        <v>0</v>
      </c>
      <c r="BJ67" s="1948">
        <f t="shared" ca="1" si="43"/>
        <v>0</v>
      </c>
      <c r="BK67" s="1948">
        <f t="shared" ca="1" si="43"/>
        <v>0</v>
      </c>
      <c r="BL67" s="1952">
        <f t="shared" ca="1" si="44"/>
        <v>-0.35064000000000006</v>
      </c>
      <c r="BM67" s="14"/>
      <c r="BN67" s="1941">
        <f t="shared" ca="1" si="45"/>
        <v>0</v>
      </c>
      <c r="BO67" s="1941">
        <f t="shared" ca="1" si="45"/>
        <v>0</v>
      </c>
      <c r="BP67" s="1505">
        <f t="shared" ca="1" si="46"/>
        <v>0</v>
      </c>
      <c r="BQ67" s="14"/>
      <c r="BR67" s="3168">
        <f t="shared" ca="1" si="12"/>
        <v>0</v>
      </c>
      <c r="BS67" s="1525"/>
      <c r="BT67" s="748"/>
      <c r="BU67" s="1507"/>
      <c r="BV67" s="1508"/>
      <c r="BW67" s="1508"/>
      <c r="BX67" s="1508"/>
      <c r="BY67" s="1508"/>
      <c r="BZ67" s="1508"/>
      <c r="CA67" s="1508"/>
      <c r="CB67" s="1508"/>
      <c r="CC67" s="1508"/>
      <c r="CD67" s="1508"/>
      <c r="CE67" s="1508"/>
      <c r="CF67" s="1508"/>
      <c r="CG67" s="1508"/>
      <c r="CH67" s="1508"/>
      <c r="CI67" s="1508"/>
      <c r="CJ67" s="1508"/>
      <c r="CK67" s="1508"/>
      <c r="CL67" s="1508"/>
      <c r="CM67" s="1508"/>
      <c r="CN67" s="1508"/>
      <c r="CO67" s="1508"/>
      <c r="CP67" s="1508"/>
      <c r="CQ67" s="1508"/>
      <c r="CR67" s="1508"/>
      <c r="CS67" s="1508"/>
      <c r="CT67" s="1508"/>
      <c r="CU67" s="1508"/>
      <c r="CV67" s="1508"/>
      <c r="CW67" s="1508"/>
      <c r="CX67" s="1508"/>
      <c r="CY67" s="1508"/>
      <c r="CZ67" s="1508"/>
      <c r="DA67" s="1508"/>
      <c r="DB67" s="1508"/>
      <c r="DC67" s="1508"/>
      <c r="DD67" s="1508"/>
      <c r="DE67" s="1508"/>
      <c r="DF67" s="1508"/>
      <c r="DG67" s="1508"/>
      <c r="DH67" s="1508"/>
      <c r="DI67" s="1508"/>
      <c r="DJ67" s="1508"/>
      <c r="DK67" s="1508"/>
      <c r="DL67" s="1508"/>
      <c r="DN67" s="1509"/>
    </row>
    <row r="68" spans="1:118" s="1522" customFormat="1" ht="12.75" customHeight="1" outlineLevel="1" x14ac:dyDescent="0.2">
      <c r="C68" s="1496" t="s">
        <v>311</v>
      </c>
      <c r="D68" s="14" t="str">
        <f>INDEX(Modulos[Modulos], MATCH($C68, Modulos[Código], 0))</f>
        <v>Plantas Solares</v>
      </c>
      <c r="E68" s="1497"/>
      <c r="F68" s="14"/>
      <c r="G68" s="1498"/>
      <c r="H68" s="1498"/>
      <c r="I68" s="1498"/>
      <c r="J68" s="1498"/>
      <c r="K68" s="1498"/>
      <c r="L68" s="1498"/>
      <c r="M68" s="1498"/>
      <c r="N68" s="1498"/>
      <c r="O68" s="1498"/>
      <c r="P68" s="1498"/>
      <c r="Q68" s="1498"/>
      <c r="R68" s="1498"/>
      <c r="S68" s="1498"/>
      <c r="T68" s="1498"/>
      <c r="U68" s="1498"/>
      <c r="V68" s="1498"/>
      <c r="W68" s="1499"/>
      <c r="X68" s="14"/>
      <c r="Y68" s="1893">
        <f ca="1">IFERROR(INDEX(INDIRECT($C68&amp;".Outputs["&amp;this.Year&amp;"]"), MATCH(Y$5, INDIRECT($C68&amp;".Outputs[Vector]"), 0)), 0)</f>
        <v>0</v>
      </c>
      <c r="Z68" s="1893">
        <f t="shared" ca="1" si="39"/>
        <v>9.4312517399999969</v>
      </c>
      <c r="AA68" s="1893">
        <f t="shared" ca="1" si="39"/>
        <v>0</v>
      </c>
      <c r="AB68" s="1893">
        <f t="shared" ca="1" si="39"/>
        <v>0</v>
      </c>
      <c r="AC68" s="1893">
        <f t="shared" ca="1" si="39"/>
        <v>0</v>
      </c>
      <c r="AD68" s="1893">
        <f t="shared" ca="1" si="39"/>
        <v>0</v>
      </c>
      <c r="AE68" s="1893">
        <f t="shared" ca="1" si="39"/>
        <v>0</v>
      </c>
      <c r="AF68" s="1893">
        <f t="shared" ca="1" si="39"/>
        <v>0</v>
      </c>
      <c r="AG68" s="1893">
        <f t="shared" ca="1" si="39"/>
        <v>0</v>
      </c>
      <c r="AH68" s="1893">
        <f t="shared" ca="1" si="39"/>
        <v>0</v>
      </c>
      <c r="AI68" s="1893">
        <f t="shared" ca="1" si="40"/>
        <v>0</v>
      </c>
      <c r="AJ68" s="1893">
        <f t="shared" ca="1" si="40"/>
        <v>0</v>
      </c>
      <c r="AK68" s="1893">
        <f t="shared" ca="1" si="40"/>
        <v>0</v>
      </c>
      <c r="AL68" s="1893">
        <f t="shared" ca="1" si="40"/>
        <v>0</v>
      </c>
      <c r="AM68" s="1893">
        <f t="shared" ca="1" si="40"/>
        <v>0</v>
      </c>
      <c r="AN68" s="1893">
        <f t="shared" ca="1" si="40"/>
        <v>0</v>
      </c>
      <c r="AO68" s="1893">
        <f t="shared" ca="1" si="40"/>
        <v>0</v>
      </c>
      <c r="AP68" s="1893">
        <f t="shared" ca="1" si="40"/>
        <v>0</v>
      </c>
      <c r="AQ68" s="1951">
        <f t="shared" ca="1" si="41"/>
        <v>9.4312517399999969</v>
      </c>
      <c r="AR68" s="14"/>
      <c r="AS68" s="1948">
        <f ca="1">IFERROR(INDEX(INDIRECT($C68&amp;".Outputs["&amp;this.Year&amp;"]"), MATCH(AS$5, INDIRECT($C68&amp;".Outputs[Vector]"), 0)), 0)</f>
        <v>0</v>
      </c>
      <c r="AT68" s="1948">
        <f t="shared" ca="1" si="42"/>
        <v>0</v>
      </c>
      <c r="AU68" s="1948">
        <f t="shared" ca="1" si="42"/>
        <v>0</v>
      </c>
      <c r="AV68" s="1948">
        <f t="shared" ca="1" si="42"/>
        <v>0</v>
      </c>
      <c r="AW68" s="1948">
        <f t="shared" ca="1" si="42"/>
        <v>0</v>
      </c>
      <c r="AX68" s="1948">
        <f t="shared" ca="1" si="42"/>
        <v>0</v>
      </c>
      <c r="AY68" s="1948">
        <f t="shared" ca="1" si="42"/>
        <v>0</v>
      </c>
      <c r="AZ68" s="1948">
        <f t="shared" ca="1" si="42"/>
        <v>0</v>
      </c>
      <c r="BA68" s="1948">
        <f t="shared" ca="1" si="42"/>
        <v>0</v>
      </c>
      <c r="BB68" s="1948">
        <f t="shared" ca="1" si="42"/>
        <v>0</v>
      </c>
      <c r="BC68" s="1948">
        <f t="shared" ca="1" si="43"/>
        <v>-9.6250679999999971</v>
      </c>
      <c r="BD68" s="1948">
        <f t="shared" ca="1" si="43"/>
        <v>0</v>
      </c>
      <c r="BE68" s="1948">
        <f t="shared" ca="1" si="43"/>
        <v>0</v>
      </c>
      <c r="BF68" s="1948">
        <f t="shared" ca="1" si="43"/>
        <v>0</v>
      </c>
      <c r="BG68" s="1948">
        <f t="shared" ca="1" si="43"/>
        <v>0</v>
      </c>
      <c r="BH68" s="1948">
        <f t="shared" ca="1" si="43"/>
        <v>0</v>
      </c>
      <c r="BI68" s="1948">
        <f t="shared" ca="1" si="43"/>
        <v>0</v>
      </c>
      <c r="BJ68" s="1948">
        <f t="shared" ca="1" si="43"/>
        <v>0</v>
      </c>
      <c r="BK68" s="1948">
        <f t="shared" ca="1" si="43"/>
        <v>0</v>
      </c>
      <c r="BL68" s="1952">
        <f t="shared" ca="1" si="44"/>
        <v>-9.6250679999999971</v>
      </c>
      <c r="BM68" s="14"/>
      <c r="BN68" s="1941">
        <f t="shared" ca="1" si="45"/>
        <v>0.19381625999999999</v>
      </c>
      <c r="BO68" s="1941">
        <f t="shared" ca="1" si="45"/>
        <v>0</v>
      </c>
      <c r="BP68" s="1505">
        <f t="shared" ca="1" si="46"/>
        <v>0.19381625999999999</v>
      </c>
      <c r="BQ68" s="14"/>
      <c r="BR68" s="3168">
        <f t="shared" ca="1" si="12"/>
        <v>0</v>
      </c>
      <c r="BS68" s="1525"/>
      <c r="BT68" s="748"/>
      <c r="BU68" s="1507"/>
      <c r="BV68" s="1508"/>
      <c r="BW68" s="1508"/>
      <c r="BX68" s="1508"/>
      <c r="BY68" s="1508"/>
      <c r="BZ68" s="1508"/>
      <c r="CA68" s="1508"/>
      <c r="CB68" s="1508"/>
      <c r="CC68" s="1508"/>
      <c r="CD68" s="1508"/>
      <c r="CE68" s="1508"/>
      <c r="CF68" s="1508"/>
      <c r="CG68" s="1508"/>
      <c r="CH68" s="1508"/>
      <c r="CI68" s="1508"/>
      <c r="CJ68" s="1508"/>
      <c r="CK68" s="1508"/>
      <c r="CL68" s="1508"/>
      <c r="CM68" s="1508"/>
      <c r="CN68" s="1508"/>
      <c r="CO68" s="1508"/>
      <c r="CP68" s="1508"/>
      <c r="CQ68" s="1508"/>
      <c r="CR68" s="1508"/>
      <c r="CS68" s="1508"/>
      <c r="CT68" s="1508"/>
      <c r="CU68" s="1508"/>
      <c r="CV68" s="1508"/>
      <c r="CW68" s="1508"/>
      <c r="CX68" s="1508"/>
      <c r="CY68" s="1508"/>
      <c r="CZ68" s="1508"/>
      <c r="DA68" s="1508"/>
      <c r="DB68" s="1508"/>
      <c r="DC68" s="1508"/>
      <c r="DD68" s="1508"/>
      <c r="DE68" s="1508"/>
      <c r="DF68" s="1508"/>
      <c r="DG68" s="1508"/>
      <c r="DH68" s="1508"/>
      <c r="DI68" s="1508"/>
      <c r="DJ68" s="1508"/>
      <c r="DK68" s="1508"/>
      <c r="DL68" s="1508"/>
      <c r="DN68" s="1509"/>
    </row>
    <row r="69" spans="1:118" s="14" customFormat="1" ht="12.75" customHeight="1" outlineLevel="1" x14ac:dyDescent="0.2">
      <c r="A69" s="1522"/>
      <c r="B69" s="1522"/>
      <c r="C69" s="1496"/>
      <c r="E69" s="1526"/>
      <c r="G69" s="1540"/>
      <c r="H69" s="1540"/>
      <c r="I69" s="1540"/>
      <c r="J69" s="1540"/>
      <c r="K69" s="1540"/>
      <c r="L69" s="1540"/>
      <c r="M69" s="1540"/>
      <c r="N69" s="1540"/>
      <c r="O69" s="1540"/>
      <c r="P69" s="1540"/>
      <c r="Q69" s="1540"/>
      <c r="R69" s="1540"/>
      <c r="S69" s="1540"/>
      <c r="T69" s="1540"/>
      <c r="U69" s="1540"/>
      <c r="V69" s="1540"/>
      <c r="W69" s="1527"/>
      <c r="Y69" s="1541">
        <f ca="1">IFERROR(INDEX(INDIRECT($C69&amp;".Outputs["&amp;this.Year&amp;"]"), MATCH(Y$5, INDIRECT($C69&amp;".Outputs[Vector]"), 0)), 0)</f>
        <v>0</v>
      </c>
      <c r="Z69" s="1541">
        <f t="shared" ca="1" si="39"/>
        <v>0</v>
      </c>
      <c r="AA69" s="1541">
        <f t="shared" ca="1" si="39"/>
        <v>0</v>
      </c>
      <c r="AB69" s="1541">
        <f t="shared" ca="1" si="39"/>
        <v>0</v>
      </c>
      <c r="AC69" s="1541">
        <f t="shared" ca="1" si="39"/>
        <v>0</v>
      </c>
      <c r="AD69" s="1541">
        <f t="shared" ca="1" si="39"/>
        <v>0</v>
      </c>
      <c r="AE69" s="1541">
        <f t="shared" ca="1" si="39"/>
        <v>0</v>
      </c>
      <c r="AF69" s="1541">
        <f t="shared" ca="1" si="39"/>
        <v>0</v>
      </c>
      <c r="AG69" s="1541">
        <f t="shared" ca="1" si="39"/>
        <v>0</v>
      </c>
      <c r="AH69" s="1541">
        <f t="shared" ca="1" si="39"/>
        <v>0</v>
      </c>
      <c r="AI69" s="1541">
        <f t="shared" ca="1" si="39"/>
        <v>0</v>
      </c>
      <c r="AJ69" s="1541">
        <f t="shared" ca="1" si="39"/>
        <v>0</v>
      </c>
      <c r="AK69" s="1541">
        <f t="shared" ca="1" si="40"/>
        <v>0</v>
      </c>
      <c r="AL69" s="1541">
        <f t="shared" ca="1" si="39"/>
        <v>0</v>
      </c>
      <c r="AM69" s="1541">
        <f t="shared" ca="1" si="39"/>
        <v>0</v>
      </c>
      <c r="AN69" s="1541">
        <f t="shared" ca="1" si="39"/>
        <v>0</v>
      </c>
      <c r="AO69" s="1541">
        <f t="shared" ca="1" si="40"/>
        <v>0</v>
      </c>
      <c r="AP69" s="1541">
        <f t="shared" ca="1" si="40"/>
        <v>0</v>
      </c>
      <c r="AQ69" s="1951">
        <f t="shared" ca="1" si="41"/>
        <v>0</v>
      </c>
      <c r="AS69" s="1542">
        <f ca="1">IFERROR(INDEX(INDIRECT($C69&amp;".Outputs["&amp;this.Year&amp;"]"), MATCH(AS$5, INDIRECT($C69&amp;".Outputs[Vector]"), 0)), 0)</f>
        <v>0</v>
      </c>
      <c r="AT69" s="1542">
        <f t="shared" ca="1" si="42"/>
        <v>0</v>
      </c>
      <c r="AU69" s="1542">
        <f t="shared" ca="1" si="42"/>
        <v>0</v>
      </c>
      <c r="AV69" s="1542">
        <f t="shared" ca="1" si="42"/>
        <v>0</v>
      </c>
      <c r="AW69" s="1542">
        <f t="shared" ca="1" si="42"/>
        <v>0</v>
      </c>
      <c r="AX69" s="1542">
        <f t="shared" ca="1" si="42"/>
        <v>0</v>
      </c>
      <c r="AY69" s="1542">
        <f t="shared" ca="1" si="42"/>
        <v>0</v>
      </c>
      <c r="AZ69" s="1542">
        <f t="shared" ca="1" si="42"/>
        <v>0</v>
      </c>
      <c r="BA69" s="1542">
        <f t="shared" ca="1" si="42"/>
        <v>0</v>
      </c>
      <c r="BB69" s="1542">
        <f t="shared" ca="1" si="42"/>
        <v>0</v>
      </c>
      <c r="BC69" s="1542">
        <f t="shared" ca="1" si="42"/>
        <v>0</v>
      </c>
      <c r="BD69" s="1542">
        <f t="shared" ca="1" si="42"/>
        <v>0</v>
      </c>
      <c r="BE69" s="1542">
        <f t="shared" ca="1" si="42"/>
        <v>0</v>
      </c>
      <c r="BF69" s="1542">
        <f t="shared" ca="1" si="42"/>
        <v>0</v>
      </c>
      <c r="BG69" s="1542">
        <f t="shared" ca="1" si="42"/>
        <v>0</v>
      </c>
      <c r="BH69" s="1542">
        <f t="shared" ca="1" si="42"/>
        <v>0</v>
      </c>
      <c r="BI69" s="1542">
        <f t="shared" ca="1" si="43"/>
        <v>0</v>
      </c>
      <c r="BJ69" s="1542">
        <f t="shared" ca="1" si="43"/>
        <v>0</v>
      </c>
      <c r="BK69" s="1542">
        <f t="shared" ca="1" si="43"/>
        <v>0</v>
      </c>
      <c r="BL69" s="1952">
        <f t="shared" ca="1" si="44"/>
        <v>0</v>
      </c>
      <c r="BN69" s="1543"/>
      <c r="BO69" s="1543"/>
      <c r="BP69" s="1531"/>
      <c r="BR69" s="3168">
        <f t="shared" ca="1" si="12"/>
        <v>0</v>
      </c>
      <c r="BS69" s="1525"/>
      <c r="BT69" s="748"/>
      <c r="BU69" s="1532">
        <v>0</v>
      </c>
      <c r="BV69" s="1533">
        <v>0</v>
      </c>
      <c r="BW69" s="1533">
        <v>0</v>
      </c>
      <c r="BX69" s="1533">
        <v>0</v>
      </c>
      <c r="BY69" s="1533">
        <v>0</v>
      </c>
      <c r="BZ69" s="1533">
        <v>0</v>
      </c>
      <c r="CA69" s="1533">
        <v>0</v>
      </c>
      <c r="CB69" s="1533">
        <v>0</v>
      </c>
      <c r="CC69" s="1533">
        <v>0</v>
      </c>
      <c r="CD69" s="1533">
        <v>0</v>
      </c>
      <c r="CE69" s="1533">
        <v>0</v>
      </c>
      <c r="CF69" s="1533">
        <v>0</v>
      </c>
      <c r="CG69" s="1533">
        <v>0</v>
      </c>
      <c r="CH69" s="1533">
        <v>0</v>
      </c>
      <c r="CI69" s="1533">
        <v>0</v>
      </c>
      <c r="CJ69" s="1533">
        <v>0</v>
      </c>
      <c r="CK69" s="1533">
        <v>0</v>
      </c>
      <c r="CL69" s="1533">
        <v>0</v>
      </c>
      <c r="CM69" s="1533">
        <v>0</v>
      </c>
      <c r="CN69" s="1533">
        <v>0</v>
      </c>
      <c r="CO69" s="1533">
        <v>0</v>
      </c>
      <c r="CP69" s="1533">
        <v>0</v>
      </c>
      <c r="CQ69" s="1533">
        <v>0</v>
      </c>
      <c r="CR69" s="1533">
        <v>0</v>
      </c>
      <c r="CS69" s="1533">
        <v>0</v>
      </c>
      <c r="CT69" s="1533">
        <v>0</v>
      </c>
      <c r="CU69" s="1533">
        <v>0</v>
      </c>
      <c r="CV69" s="1533">
        <v>0</v>
      </c>
      <c r="CW69" s="1533">
        <v>0</v>
      </c>
      <c r="CX69" s="1533">
        <v>0</v>
      </c>
      <c r="CY69" s="1533">
        <v>0</v>
      </c>
      <c r="CZ69" s="1533">
        <v>0</v>
      </c>
      <c r="DA69" s="1533">
        <v>0</v>
      </c>
      <c r="DB69" s="1533">
        <v>0</v>
      </c>
      <c r="DC69" s="1533">
        <v>0</v>
      </c>
      <c r="DD69" s="1533">
        <v>0</v>
      </c>
      <c r="DE69" s="1533">
        <v>0</v>
      </c>
      <c r="DF69" s="1533">
        <v>0</v>
      </c>
      <c r="DG69" s="1533">
        <v>0</v>
      </c>
      <c r="DH69" s="1533">
        <v>0</v>
      </c>
      <c r="DI69" s="1533">
        <v>0</v>
      </c>
      <c r="DJ69" s="1533">
        <v>0</v>
      </c>
      <c r="DK69" s="1533">
        <v>0</v>
      </c>
      <c r="DL69" s="1533">
        <v>0</v>
      </c>
      <c r="DN69" s="1509">
        <v>0</v>
      </c>
    </row>
    <row r="70" spans="1:118" s="14" customFormat="1" ht="15.75" x14ac:dyDescent="0.2">
      <c r="A70" s="1534"/>
      <c r="B70" s="1535"/>
      <c r="C70" s="1536" t="s">
        <v>206</v>
      </c>
      <c r="D70" s="1537" t="str">
        <f>INDEX(Flujos[Flujos], MATCH($C70, Flujos[Código], 0))</f>
        <v>Energía Renovable</v>
      </c>
      <c r="E70" s="1538"/>
      <c r="G70" s="1488"/>
      <c r="H70" s="1488"/>
      <c r="I70" s="1488"/>
      <c r="J70" s="1488"/>
      <c r="K70" s="1488"/>
      <c r="L70" s="1488"/>
      <c r="M70" s="1488"/>
      <c r="N70" s="1488"/>
      <c r="O70" s="1488"/>
      <c r="P70" s="1488"/>
      <c r="Q70" s="1488"/>
      <c r="R70" s="1488"/>
      <c r="S70" s="1488"/>
      <c r="T70" s="1488"/>
      <c r="U70" s="1488"/>
      <c r="V70" s="1488"/>
      <c r="W70" s="1539"/>
      <c r="Y70" s="1490">
        <f ca="1">SUM(Y62:Y69)</f>
        <v>0</v>
      </c>
      <c r="Z70" s="1490">
        <f t="shared" ref="Z70:AP70" ca="1" si="47">SUM(Z62:Z69)</f>
        <v>42.794379442799993</v>
      </c>
      <c r="AA70" s="1490">
        <f t="shared" ca="1" si="47"/>
        <v>0</v>
      </c>
      <c r="AB70" s="1490">
        <f t="shared" ca="1" si="47"/>
        <v>0</v>
      </c>
      <c r="AC70" s="1490">
        <f t="shared" ca="1" si="47"/>
        <v>0</v>
      </c>
      <c r="AD70" s="1490">
        <f t="shared" ca="1" si="47"/>
        <v>0</v>
      </c>
      <c r="AE70" s="1490">
        <f t="shared" ca="1" si="47"/>
        <v>0</v>
      </c>
      <c r="AF70" s="1490">
        <f t="shared" ca="1" si="47"/>
        <v>0</v>
      </c>
      <c r="AG70" s="1490">
        <f t="shared" ca="1" si="47"/>
        <v>0</v>
      </c>
      <c r="AH70" s="1490">
        <f t="shared" ca="1" si="47"/>
        <v>0</v>
      </c>
      <c r="AI70" s="1490">
        <f t="shared" ca="1" si="47"/>
        <v>0</v>
      </c>
      <c r="AJ70" s="1490">
        <f t="shared" ca="1" si="47"/>
        <v>0</v>
      </c>
      <c r="AK70" s="1490">
        <f t="shared" ca="1" si="47"/>
        <v>0</v>
      </c>
      <c r="AL70" s="1490">
        <f t="shared" ca="1" si="47"/>
        <v>0</v>
      </c>
      <c r="AM70" s="1490">
        <f t="shared" ca="1" si="47"/>
        <v>0</v>
      </c>
      <c r="AN70" s="1490">
        <f t="shared" ca="1" si="47"/>
        <v>0</v>
      </c>
      <c r="AO70" s="1490">
        <f t="shared" ca="1" si="47"/>
        <v>0</v>
      </c>
      <c r="AP70" s="1490">
        <f t="shared" ca="1" si="47"/>
        <v>0</v>
      </c>
      <c r="AQ70" s="1893">
        <f t="shared" ca="1" si="41"/>
        <v>42.794379442799993</v>
      </c>
      <c r="AS70" s="1491">
        <f ca="1">SUM(AS62:AS69)</f>
        <v>0</v>
      </c>
      <c r="AT70" s="1491">
        <f t="shared" ref="AT70:BK70" ca="1" si="48">SUM(AT62:AT69)</f>
        <v>0</v>
      </c>
      <c r="AU70" s="1491">
        <f t="shared" ca="1" si="48"/>
        <v>0</v>
      </c>
      <c r="AV70" s="1491">
        <f t="shared" ca="1" si="48"/>
        <v>0</v>
      </c>
      <c r="AW70" s="1491">
        <f t="shared" ca="1" si="48"/>
        <v>0</v>
      </c>
      <c r="AX70" s="1491">
        <f t="shared" ca="1" si="48"/>
        <v>0</v>
      </c>
      <c r="AY70" s="1491">
        <f t="shared" ca="1" si="48"/>
        <v>0</v>
      </c>
      <c r="AZ70" s="1491">
        <f t="shared" ca="1" si="48"/>
        <v>0</v>
      </c>
      <c r="BA70" s="1491">
        <f t="shared" ca="1" si="48"/>
        <v>0</v>
      </c>
      <c r="BB70" s="1491">
        <f t="shared" ca="1" si="48"/>
        <v>0</v>
      </c>
      <c r="BC70" s="1491">
        <f t="shared" ca="1" si="48"/>
        <v>-9.6250679999999971</v>
      </c>
      <c r="BD70" s="1491">
        <f t="shared" ca="1" si="48"/>
        <v>-5.7974255999999986</v>
      </c>
      <c r="BE70" s="1491">
        <f t="shared" ca="1" si="48"/>
        <v>-2.4709600800000002E-2</v>
      </c>
      <c r="BF70" s="1491">
        <f t="shared" ca="1" si="48"/>
        <v>-6.1774002000000001E-2</v>
      </c>
      <c r="BG70" s="1491">
        <f t="shared" ca="1" si="48"/>
        <v>-0.35064000000000006</v>
      </c>
      <c r="BH70" s="1491">
        <f t="shared" ca="1" si="48"/>
        <v>-27.1285785</v>
      </c>
      <c r="BI70" s="1491">
        <f t="shared" ca="1" si="48"/>
        <v>0</v>
      </c>
      <c r="BJ70" s="1491">
        <f t="shared" ca="1" si="48"/>
        <v>0</v>
      </c>
      <c r="BK70" s="1491">
        <f t="shared" ca="1" si="48"/>
        <v>0</v>
      </c>
      <c r="BL70" s="1952">
        <f t="shared" ca="1" si="44"/>
        <v>-42.988195702799999</v>
      </c>
      <c r="BN70" s="1941">
        <f ca="1">SUM(BN62:BN68)</f>
        <v>0.19381625999999999</v>
      </c>
      <c r="BO70" s="1941">
        <f ca="1">SUM(BO62:BO68)</f>
        <v>0</v>
      </c>
      <c r="BP70" s="1505">
        <f ca="1">BN70+BO70</f>
        <v>0.19381625999999999</v>
      </c>
      <c r="BR70" s="3168">
        <f t="shared" ca="1" si="12"/>
        <v>-5.5233595475101538E-15</v>
      </c>
      <c r="BS70" s="1493"/>
      <c r="BT70" s="748"/>
      <c r="BU70" s="1508">
        <v>0</v>
      </c>
      <c r="BV70" s="1508">
        <v>0</v>
      </c>
      <c r="BW70" s="1508">
        <v>0</v>
      </c>
      <c r="BX70" s="1508">
        <v>0</v>
      </c>
      <c r="BY70" s="1508">
        <v>0</v>
      </c>
      <c r="BZ70" s="1508">
        <v>0</v>
      </c>
      <c r="CA70" s="1508">
        <v>0</v>
      </c>
      <c r="CB70" s="1508">
        <v>0</v>
      </c>
      <c r="CC70" s="1508">
        <v>0</v>
      </c>
      <c r="CD70" s="1508">
        <v>0</v>
      </c>
      <c r="CE70" s="1508">
        <v>0</v>
      </c>
      <c r="CF70" s="1508">
        <v>0</v>
      </c>
      <c r="CG70" s="1508">
        <v>0</v>
      </c>
      <c r="CH70" s="1508">
        <v>0</v>
      </c>
      <c r="CI70" s="1508">
        <v>0</v>
      </c>
      <c r="CJ70" s="1508">
        <v>0</v>
      </c>
      <c r="CK70" s="1508">
        <v>0</v>
      </c>
      <c r="CL70" s="1508">
        <v>0</v>
      </c>
      <c r="CM70" s="1508">
        <v>0</v>
      </c>
      <c r="CN70" s="1508">
        <v>0</v>
      </c>
      <c r="CO70" s="1508">
        <v>0</v>
      </c>
      <c r="CP70" s="1508">
        <v>0</v>
      </c>
      <c r="CQ70" s="1508">
        <v>0</v>
      </c>
      <c r="CR70" s="1508">
        <v>0</v>
      </c>
      <c r="CS70" s="1508">
        <v>0</v>
      </c>
      <c r="CT70" s="1508">
        <v>0</v>
      </c>
      <c r="CU70" s="1508">
        <v>0</v>
      </c>
      <c r="CV70" s="1508">
        <v>0</v>
      </c>
      <c r="CW70" s="1508">
        <v>0</v>
      </c>
      <c r="CX70" s="1508">
        <v>0</v>
      </c>
      <c r="CY70" s="1508">
        <v>0</v>
      </c>
      <c r="CZ70" s="1508">
        <v>0</v>
      </c>
      <c r="DA70" s="1508">
        <v>0</v>
      </c>
      <c r="DB70" s="1508">
        <v>0</v>
      </c>
      <c r="DC70" s="1508">
        <v>0</v>
      </c>
      <c r="DD70" s="1508">
        <v>0</v>
      </c>
      <c r="DE70" s="1508">
        <v>0</v>
      </c>
      <c r="DF70" s="1508">
        <v>0</v>
      </c>
      <c r="DG70" s="1508">
        <v>0</v>
      </c>
      <c r="DH70" s="1508">
        <v>0</v>
      </c>
      <c r="DI70" s="1508">
        <v>0</v>
      </c>
      <c r="DJ70" s="1508">
        <v>0</v>
      </c>
      <c r="DK70" s="1508">
        <v>0</v>
      </c>
      <c r="DL70" s="1508">
        <v>0</v>
      </c>
      <c r="DN70" s="1509">
        <v>0</v>
      </c>
    </row>
    <row r="71" spans="1:118" s="14" customFormat="1" ht="15.75" x14ac:dyDescent="0.2">
      <c r="A71" s="1534"/>
      <c r="B71" s="1535"/>
      <c r="C71" s="1536"/>
      <c r="D71" s="1537"/>
      <c r="E71" s="1538"/>
      <c r="G71" s="1488"/>
      <c r="H71" s="1488"/>
      <c r="I71" s="1488"/>
      <c r="J71" s="1488"/>
      <c r="K71" s="1488"/>
      <c r="L71" s="1488"/>
      <c r="M71" s="1488"/>
      <c r="N71" s="1488"/>
      <c r="O71" s="1488"/>
      <c r="P71" s="1488"/>
      <c r="Q71" s="1488"/>
      <c r="R71" s="1488"/>
      <c r="S71" s="1488"/>
      <c r="T71" s="1488"/>
      <c r="U71" s="1488"/>
      <c r="V71" s="1488"/>
      <c r="W71" s="1539"/>
      <c r="Y71" s="1490"/>
      <c r="Z71" s="1490"/>
      <c r="AA71" s="1490"/>
      <c r="AB71" s="1490"/>
      <c r="AC71" s="1490"/>
      <c r="AD71" s="1490"/>
      <c r="AE71" s="1490"/>
      <c r="AF71" s="1490"/>
      <c r="AG71" s="1490"/>
      <c r="AH71" s="1490"/>
      <c r="AI71" s="1490"/>
      <c r="AJ71" s="1490"/>
      <c r="AK71" s="1490"/>
      <c r="AL71" s="1490"/>
      <c r="AM71" s="1490"/>
      <c r="AN71" s="1490"/>
      <c r="AO71" s="1490"/>
      <c r="AP71" s="1490"/>
      <c r="AQ71" s="1893"/>
      <c r="AS71" s="1491"/>
      <c r="AT71" s="1491"/>
      <c r="AU71" s="1491"/>
      <c r="AV71" s="1491"/>
      <c r="AW71" s="1491"/>
      <c r="AX71" s="1491"/>
      <c r="AY71" s="1491"/>
      <c r="AZ71" s="1491"/>
      <c r="BA71" s="1491"/>
      <c r="BB71" s="1491"/>
      <c r="BC71" s="1491"/>
      <c r="BD71" s="1491"/>
      <c r="BE71" s="1491"/>
      <c r="BF71" s="1491"/>
      <c r="BG71" s="1491"/>
      <c r="BH71" s="1491"/>
      <c r="BI71" s="1491"/>
      <c r="BJ71" s="1491"/>
      <c r="BK71" s="1491"/>
      <c r="BL71" s="1491"/>
      <c r="BN71" s="1492"/>
      <c r="BO71" s="1492"/>
      <c r="BP71" s="1492"/>
      <c r="BR71" s="3168"/>
      <c r="BS71" s="1493"/>
      <c r="BT71" s="748"/>
      <c r="BU71" s="1508"/>
      <c r="BV71" s="1508"/>
      <c r="BW71" s="1508"/>
      <c r="BX71" s="1508"/>
      <c r="BY71" s="1508"/>
      <c r="BZ71" s="1508"/>
      <c r="CA71" s="1508"/>
      <c r="CB71" s="1508"/>
      <c r="CC71" s="1508"/>
      <c r="CD71" s="1508"/>
      <c r="CE71" s="1508"/>
      <c r="CF71" s="1508"/>
      <c r="CG71" s="1508"/>
      <c r="CH71" s="1508"/>
      <c r="CI71" s="1508"/>
      <c r="CJ71" s="1508"/>
      <c r="CK71" s="1508"/>
      <c r="CL71" s="1508"/>
      <c r="CM71" s="1508"/>
      <c r="CN71" s="1508"/>
      <c r="CO71" s="1508"/>
      <c r="CP71" s="1508"/>
      <c r="CQ71" s="1508"/>
      <c r="CR71" s="1508"/>
      <c r="CS71" s="1508"/>
      <c r="CT71" s="1508"/>
      <c r="CU71" s="1508"/>
      <c r="CV71" s="1508"/>
      <c r="CW71" s="1508"/>
      <c r="CX71" s="1508"/>
      <c r="CY71" s="1508"/>
      <c r="CZ71" s="1508"/>
      <c r="DA71" s="1508"/>
      <c r="DB71" s="1508"/>
      <c r="DC71" s="1508"/>
      <c r="DD71" s="1508"/>
      <c r="DE71" s="1508"/>
      <c r="DF71" s="1508"/>
      <c r="DG71" s="1508"/>
      <c r="DH71" s="1508"/>
      <c r="DI71" s="1508"/>
      <c r="DJ71" s="1508"/>
      <c r="DK71" s="1508"/>
      <c r="DL71" s="1508"/>
      <c r="DN71" s="1509"/>
    </row>
    <row r="72" spans="1:118" s="14" customFormat="1" ht="12.75" customHeight="1" outlineLevel="1" x14ac:dyDescent="0.2">
      <c r="A72" s="1534"/>
      <c r="B72" s="1534"/>
      <c r="C72" s="1544"/>
      <c r="D72" s="1538"/>
      <c r="E72" s="1538"/>
      <c r="G72" s="1488"/>
      <c r="H72" s="1488"/>
      <c r="I72" s="1488"/>
      <c r="J72" s="1488"/>
      <c r="K72" s="1488"/>
      <c r="L72" s="1488"/>
      <c r="M72" s="1488"/>
      <c r="N72" s="1488"/>
      <c r="O72" s="1563"/>
      <c r="P72" s="1488"/>
      <c r="Q72" s="1488"/>
      <c r="R72" s="1488"/>
      <c r="S72" s="1488"/>
      <c r="T72" s="1488"/>
      <c r="U72" s="1488"/>
      <c r="V72" s="1488"/>
      <c r="W72" s="1488"/>
      <c r="Y72" s="1490"/>
      <c r="Z72" s="1490"/>
      <c r="AA72" s="1490"/>
      <c r="AB72" s="1490"/>
      <c r="AC72" s="1490"/>
      <c r="AD72" s="1490"/>
      <c r="AE72" s="1490"/>
      <c r="AF72" s="1490"/>
      <c r="AG72" s="1490"/>
      <c r="AH72" s="1490"/>
      <c r="AI72" s="1490"/>
      <c r="AJ72" s="1490"/>
      <c r="AK72" s="1490"/>
      <c r="AL72" s="1490"/>
      <c r="AM72" s="1490"/>
      <c r="AN72" s="1490"/>
      <c r="AO72" s="1490"/>
      <c r="AP72" s="1490"/>
      <c r="AQ72" s="1893"/>
      <c r="AS72" s="1491"/>
      <c r="AT72" s="1491"/>
      <c r="AU72" s="1491"/>
      <c r="AV72" s="1491"/>
      <c r="AW72" s="1491"/>
      <c r="AX72" s="1491"/>
      <c r="AY72" s="1491"/>
      <c r="AZ72" s="1491"/>
      <c r="BA72" s="1491"/>
      <c r="BB72" s="1491"/>
      <c r="BC72" s="1491"/>
      <c r="BD72" s="1491"/>
      <c r="BE72" s="1491"/>
      <c r="BF72" s="1491"/>
      <c r="BG72" s="1491"/>
      <c r="BH72" s="1491"/>
      <c r="BI72" s="1491"/>
      <c r="BJ72" s="1491"/>
      <c r="BK72" s="1491"/>
      <c r="BL72" s="1491"/>
      <c r="BN72" s="1492"/>
      <c r="BO72" s="1492"/>
      <c r="BP72" s="1492"/>
      <c r="BR72" s="3168">
        <f t="shared" si="12"/>
        <v>0</v>
      </c>
      <c r="BS72" s="1493"/>
      <c r="BT72" s="1534"/>
      <c r="BU72" s="1508"/>
      <c r="BV72" s="1508"/>
      <c r="BW72" s="1508"/>
      <c r="BX72" s="1508"/>
      <c r="BY72" s="1508"/>
      <c r="BZ72" s="1508"/>
      <c r="CA72" s="1508"/>
      <c r="CB72" s="1508"/>
      <c r="CC72" s="1508"/>
      <c r="CD72" s="1508"/>
      <c r="CE72" s="1508"/>
      <c r="CF72" s="1508"/>
      <c r="CG72" s="1508"/>
      <c r="CH72" s="1508"/>
      <c r="CI72" s="1508"/>
      <c r="CJ72" s="1508"/>
      <c r="CK72" s="1508"/>
      <c r="CL72" s="1508"/>
      <c r="CM72" s="1508"/>
      <c r="CN72" s="1508"/>
      <c r="CO72" s="1508"/>
      <c r="CP72" s="1508"/>
      <c r="CQ72" s="1508"/>
      <c r="CR72" s="1508"/>
      <c r="CS72" s="1508"/>
      <c r="CT72" s="1508"/>
      <c r="CU72" s="1508"/>
      <c r="CV72" s="1508"/>
      <c r="CW72" s="1508"/>
      <c r="CX72" s="1508"/>
      <c r="CY72" s="1508"/>
      <c r="CZ72" s="1508"/>
      <c r="DA72" s="1508"/>
      <c r="DB72" s="1508"/>
      <c r="DC72" s="1508"/>
      <c r="DD72" s="1508"/>
      <c r="DE72" s="1508"/>
      <c r="DF72" s="1508"/>
      <c r="DG72" s="1508"/>
      <c r="DH72" s="1508"/>
      <c r="DI72" s="1508"/>
      <c r="DJ72" s="1508"/>
      <c r="DK72" s="1508"/>
      <c r="DL72" s="1508"/>
      <c r="DN72" s="1509">
        <v>0</v>
      </c>
    </row>
    <row r="73" spans="1:118" s="1522" customFormat="1" ht="12.75" customHeight="1" outlineLevel="1" x14ac:dyDescent="0.2">
      <c r="C73" s="1496" t="s">
        <v>62</v>
      </c>
      <c r="D73" s="14" t="str">
        <f>INDEX(Modulos[Modulos], MATCH($C73, Modulos[Código], 0))</f>
        <v>Solar de menor escala (GD)</v>
      </c>
      <c r="E73" s="1497"/>
      <c r="G73" s="1581"/>
      <c r="H73" s="1581"/>
      <c r="I73" s="1581"/>
      <c r="J73" s="1581"/>
      <c r="K73" s="1581"/>
      <c r="L73" s="1581"/>
      <c r="M73" s="1581"/>
      <c r="N73" s="1581"/>
      <c r="O73" s="1582"/>
      <c r="P73" s="1581"/>
      <c r="Q73" s="1581"/>
      <c r="R73" s="1581"/>
      <c r="S73" s="1581"/>
      <c r="T73" s="1581"/>
      <c r="U73" s="1581"/>
      <c r="V73" s="1581"/>
      <c r="W73" s="1583"/>
      <c r="Y73" s="1893">
        <f t="shared" ref="Y73:AH74" ca="1" si="49">IFERROR(INDEX(INDIRECT($C73&amp;".Outputs["&amp;this.Year&amp;"]"), MATCH(Y$5, INDIRECT($C73&amp;".Outputs[Vector]"), 0)), 0)</f>
        <v>0</v>
      </c>
      <c r="Z73" s="1893">
        <f t="shared" ca="1" si="49"/>
        <v>0.33868748298622414</v>
      </c>
      <c r="AA73" s="1893">
        <f t="shared" ca="1" si="49"/>
        <v>0</v>
      </c>
      <c r="AB73" s="1893">
        <f t="shared" ca="1" si="49"/>
        <v>0</v>
      </c>
      <c r="AC73" s="1893">
        <f t="shared" ca="1" si="49"/>
        <v>0</v>
      </c>
      <c r="AD73" s="1893">
        <f t="shared" ca="1" si="49"/>
        <v>0</v>
      </c>
      <c r="AE73" s="1893">
        <f t="shared" ca="1" si="49"/>
        <v>0</v>
      </c>
      <c r="AF73" s="1893">
        <f t="shared" ca="1" si="49"/>
        <v>0</v>
      </c>
      <c r="AG73" s="1893">
        <f t="shared" ca="1" si="49"/>
        <v>0</v>
      </c>
      <c r="AH73" s="1893">
        <f t="shared" ca="1" si="49"/>
        <v>0</v>
      </c>
      <c r="AI73" s="1893">
        <f t="shared" ref="AI73:AP74" ca="1" si="50">IFERROR(INDEX(INDIRECT($C73&amp;".Outputs["&amp;this.Year&amp;"]"), MATCH(AI$5, INDIRECT($C73&amp;".Outputs[Vector]"), 0)), 0)</f>
        <v>0</v>
      </c>
      <c r="AJ73" s="1893">
        <f t="shared" ca="1" si="50"/>
        <v>0</v>
      </c>
      <c r="AK73" s="1893">
        <f t="shared" ca="1" si="50"/>
        <v>0</v>
      </c>
      <c r="AL73" s="1893">
        <f t="shared" ca="1" si="50"/>
        <v>0</v>
      </c>
      <c r="AM73" s="1893">
        <f t="shared" ca="1" si="50"/>
        <v>0</v>
      </c>
      <c r="AN73" s="1893">
        <f t="shared" ca="1" si="50"/>
        <v>0</v>
      </c>
      <c r="AO73" s="1893">
        <f t="shared" ca="1" si="50"/>
        <v>0</v>
      </c>
      <c r="AP73" s="1893">
        <f t="shared" ca="1" si="50"/>
        <v>0</v>
      </c>
      <c r="AQ73" s="1893">
        <f ca="1">SUM(Y73:AP73)</f>
        <v>0.33868748298622414</v>
      </c>
      <c r="AS73" s="1948">
        <f t="shared" ref="AS73:BB74" ca="1" si="51">IFERROR(INDEX(INDIRECT($C73&amp;".Outputs["&amp;this.Year&amp;"]"), MATCH(AS$5, INDIRECT($C73&amp;".Outputs[Vector]"), 0)), 0)</f>
        <v>0</v>
      </c>
      <c r="AT73" s="1948">
        <f t="shared" ca="1" si="51"/>
        <v>0</v>
      </c>
      <c r="AU73" s="1948">
        <f t="shared" ca="1" si="51"/>
        <v>0</v>
      </c>
      <c r="AV73" s="1948">
        <f t="shared" ca="1" si="51"/>
        <v>0</v>
      </c>
      <c r="AW73" s="1948">
        <f t="shared" ca="1" si="51"/>
        <v>0</v>
      </c>
      <c r="AX73" s="1948">
        <f t="shared" ca="1" si="51"/>
        <v>0</v>
      </c>
      <c r="AY73" s="1948">
        <f t="shared" ca="1" si="51"/>
        <v>0</v>
      </c>
      <c r="AZ73" s="1948">
        <f t="shared" ca="1" si="51"/>
        <v>0</v>
      </c>
      <c r="BA73" s="1948">
        <f t="shared" ca="1" si="51"/>
        <v>0</v>
      </c>
      <c r="BB73" s="1948">
        <f t="shared" ca="1" si="51"/>
        <v>0</v>
      </c>
      <c r="BC73" s="1948">
        <f t="shared" ref="BC73:BK74" ca="1" si="52">IFERROR(INDEX(INDIRECT($C73&amp;".Outputs["&amp;this.Year&amp;"]"), MATCH(BC$5, INDIRECT($C73&amp;".Outputs[Vector]"), 0)), 0)</f>
        <v>-0.33868748298622414</v>
      </c>
      <c r="BD73" s="1948">
        <f t="shared" ca="1" si="52"/>
        <v>0</v>
      </c>
      <c r="BE73" s="1948">
        <f t="shared" ca="1" si="52"/>
        <v>0</v>
      </c>
      <c r="BF73" s="1948">
        <f t="shared" ca="1" si="52"/>
        <v>0</v>
      </c>
      <c r="BG73" s="1948">
        <f t="shared" ca="1" si="52"/>
        <v>0</v>
      </c>
      <c r="BH73" s="1948">
        <f t="shared" ca="1" si="52"/>
        <v>0</v>
      </c>
      <c r="BI73" s="1948">
        <f t="shared" ca="1" si="52"/>
        <v>0</v>
      </c>
      <c r="BJ73" s="1948">
        <f t="shared" ca="1" si="52"/>
        <v>0</v>
      </c>
      <c r="BK73" s="1948">
        <f t="shared" ca="1" si="52"/>
        <v>0</v>
      </c>
      <c r="BL73" s="1952">
        <f ca="1">SUM(AS73:BK73)</f>
        <v>-0.33868748298622414</v>
      </c>
      <c r="BN73" s="1941">
        <f ca="1">IFERROR(INDEX(INDIRECT($C73&amp;".Outputs["&amp;this.Year&amp;"]"), MATCH(BN$5, INDIRECT($C73&amp;".Outputs[Vector]"), 0)), 0)</f>
        <v>0</v>
      </c>
      <c r="BO73" s="1941">
        <f ca="1">IFERROR(INDEX(INDIRECT($C73&amp;".Outputs["&amp;this.Year&amp;"]"), MATCH(BO$5, INDIRECT($C73&amp;".Outputs[Vector]"), 0)), 0)</f>
        <v>0</v>
      </c>
      <c r="BP73" s="1505">
        <f ca="1">BN73+BO73</f>
        <v>0</v>
      </c>
      <c r="BR73" s="3168">
        <f t="shared" ca="1" si="12"/>
        <v>0</v>
      </c>
      <c r="BS73" s="1525"/>
      <c r="BU73" s="1589">
        <v>0</v>
      </c>
      <c r="BV73" s="1589">
        <v>0</v>
      </c>
      <c r="BW73" s="1589">
        <v>0</v>
      </c>
      <c r="BX73" s="1589">
        <v>0</v>
      </c>
      <c r="BY73" s="1589">
        <v>0</v>
      </c>
      <c r="BZ73" s="1589">
        <v>0</v>
      </c>
      <c r="CA73" s="1589">
        <v>0</v>
      </c>
      <c r="CB73" s="1589">
        <v>0</v>
      </c>
      <c r="CC73" s="1589">
        <v>0</v>
      </c>
      <c r="CD73" s="1589">
        <v>0</v>
      </c>
      <c r="CE73" s="1589">
        <v>0</v>
      </c>
      <c r="CF73" s="1589">
        <v>0</v>
      </c>
      <c r="CG73" s="1589">
        <v>0</v>
      </c>
      <c r="CH73" s="1589">
        <v>0</v>
      </c>
      <c r="CI73" s="1589">
        <v>0</v>
      </c>
      <c r="CJ73" s="1589">
        <v>0</v>
      </c>
      <c r="CK73" s="1589">
        <v>0</v>
      </c>
      <c r="CL73" s="1589">
        <v>0</v>
      </c>
      <c r="CM73" s="1589">
        <v>0</v>
      </c>
      <c r="CN73" s="1589">
        <v>0</v>
      </c>
      <c r="CO73" s="1589">
        <v>0</v>
      </c>
      <c r="CP73" s="1589">
        <v>0</v>
      </c>
      <c r="CQ73" s="1589">
        <v>0</v>
      </c>
      <c r="CR73" s="1589">
        <v>0</v>
      </c>
      <c r="CS73" s="1589">
        <v>0</v>
      </c>
      <c r="CT73" s="1589">
        <v>0</v>
      </c>
      <c r="CU73" s="1589">
        <v>0</v>
      </c>
      <c r="CV73" s="1589">
        <v>0</v>
      </c>
      <c r="CW73" s="1589">
        <v>0</v>
      </c>
      <c r="CX73" s="1589">
        <v>0</v>
      </c>
      <c r="CY73" s="1589">
        <v>0</v>
      </c>
      <c r="CZ73" s="1589">
        <v>0</v>
      </c>
      <c r="DA73" s="1589">
        <v>0</v>
      </c>
      <c r="DB73" s="1589">
        <v>0</v>
      </c>
      <c r="DC73" s="1589">
        <v>0</v>
      </c>
      <c r="DD73" s="1589">
        <v>0</v>
      </c>
      <c r="DE73" s="1589">
        <v>0</v>
      </c>
      <c r="DF73" s="1589">
        <v>0</v>
      </c>
      <c r="DG73" s="1589">
        <v>0</v>
      </c>
      <c r="DH73" s="1589">
        <v>0</v>
      </c>
      <c r="DI73" s="1589">
        <v>0</v>
      </c>
      <c r="DJ73" s="1589">
        <v>0</v>
      </c>
      <c r="DK73" s="1589">
        <v>0</v>
      </c>
      <c r="DL73" s="1589">
        <v>0</v>
      </c>
      <c r="DN73" s="1590">
        <v>0</v>
      </c>
    </row>
    <row r="74" spans="1:118" s="1522" customFormat="1" ht="12.75" customHeight="1" outlineLevel="1" x14ac:dyDescent="0.2">
      <c r="C74" s="1496"/>
      <c r="D74" s="14"/>
      <c r="E74" s="1497"/>
      <c r="G74" s="1581"/>
      <c r="H74" s="1581"/>
      <c r="I74" s="1581"/>
      <c r="J74" s="1581"/>
      <c r="K74" s="1581"/>
      <c r="L74" s="1581"/>
      <c r="M74" s="1581"/>
      <c r="N74" s="1581"/>
      <c r="O74" s="1582"/>
      <c r="P74" s="1581"/>
      <c r="Q74" s="1581"/>
      <c r="R74" s="1581"/>
      <c r="S74" s="1581"/>
      <c r="T74" s="1581"/>
      <c r="U74" s="1581"/>
      <c r="V74" s="1581"/>
      <c r="W74" s="1583"/>
      <c r="Y74" s="1893">
        <f t="shared" ca="1" si="49"/>
        <v>0</v>
      </c>
      <c r="Z74" s="1893">
        <f t="shared" ca="1" si="49"/>
        <v>0</v>
      </c>
      <c r="AA74" s="1893">
        <f t="shared" ca="1" si="49"/>
        <v>0</v>
      </c>
      <c r="AB74" s="1893">
        <f t="shared" ca="1" si="49"/>
        <v>0</v>
      </c>
      <c r="AC74" s="1893">
        <f t="shared" ca="1" si="49"/>
        <v>0</v>
      </c>
      <c r="AD74" s="1893">
        <f t="shared" ca="1" si="49"/>
        <v>0</v>
      </c>
      <c r="AE74" s="1893">
        <f t="shared" ca="1" si="49"/>
        <v>0</v>
      </c>
      <c r="AF74" s="1893">
        <f t="shared" ca="1" si="49"/>
        <v>0</v>
      </c>
      <c r="AG74" s="1893">
        <f t="shared" ca="1" si="49"/>
        <v>0</v>
      </c>
      <c r="AH74" s="1893">
        <f t="shared" ca="1" si="49"/>
        <v>0</v>
      </c>
      <c r="AI74" s="1893">
        <f t="shared" ca="1" si="50"/>
        <v>0</v>
      </c>
      <c r="AJ74" s="1893">
        <f t="shared" ca="1" si="50"/>
        <v>0</v>
      </c>
      <c r="AK74" s="1893">
        <f t="shared" ca="1" si="50"/>
        <v>0</v>
      </c>
      <c r="AL74" s="1893">
        <f t="shared" ca="1" si="50"/>
        <v>0</v>
      </c>
      <c r="AM74" s="1893">
        <f t="shared" ca="1" si="50"/>
        <v>0</v>
      </c>
      <c r="AN74" s="1893">
        <f t="shared" ca="1" si="50"/>
        <v>0</v>
      </c>
      <c r="AO74" s="1893">
        <f t="shared" ca="1" si="50"/>
        <v>0</v>
      </c>
      <c r="AP74" s="1893">
        <f t="shared" ca="1" si="50"/>
        <v>0</v>
      </c>
      <c r="AQ74" s="1893">
        <f ca="1">SUM(Y74:AP74)</f>
        <v>0</v>
      </c>
      <c r="AS74" s="1948">
        <f t="shared" ca="1" si="51"/>
        <v>0</v>
      </c>
      <c r="AT74" s="1948">
        <f t="shared" ca="1" si="51"/>
        <v>0</v>
      </c>
      <c r="AU74" s="1948">
        <f t="shared" ca="1" si="51"/>
        <v>0</v>
      </c>
      <c r="AV74" s="1948">
        <f t="shared" ca="1" si="51"/>
        <v>0</v>
      </c>
      <c r="AW74" s="1948">
        <f t="shared" ca="1" si="51"/>
        <v>0</v>
      </c>
      <c r="AX74" s="1948">
        <f t="shared" ca="1" si="51"/>
        <v>0</v>
      </c>
      <c r="AY74" s="1948">
        <f t="shared" ca="1" si="51"/>
        <v>0</v>
      </c>
      <c r="AZ74" s="1948">
        <f t="shared" ca="1" si="51"/>
        <v>0</v>
      </c>
      <c r="BA74" s="1948">
        <f t="shared" ca="1" si="51"/>
        <v>0</v>
      </c>
      <c r="BB74" s="1948">
        <f t="shared" ca="1" si="51"/>
        <v>0</v>
      </c>
      <c r="BC74" s="1948">
        <f t="shared" ca="1" si="52"/>
        <v>0</v>
      </c>
      <c r="BD74" s="1948">
        <f t="shared" ca="1" si="52"/>
        <v>0</v>
      </c>
      <c r="BE74" s="1948">
        <f t="shared" ca="1" si="52"/>
        <v>0</v>
      </c>
      <c r="BF74" s="1948">
        <f t="shared" ca="1" si="52"/>
        <v>0</v>
      </c>
      <c r="BG74" s="1948">
        <f t="shared" ca="1" si="52"/>
        <v>0</v>
      </c>
      <c r="BH74" s="1948">
        <f t="shared" ca="1" si="52"/>
        <v>0</v>
      </c>
      <c r="BI74" s="1948">
        <f t="shared" ca="1" si="52"/>
        <v>0</v>
      </c>
      <c r="BJ74" s="1948">
        <f t="shared" ca="1" si="52"/>
        <v>0</v>
      </c>
      <c r="BK74" s="1948">
        <f t="shared" ca="1" si="52"/>
        <v>0</v>
      </c>
      <c r="BL74" s="1952">
        <f ca="1">SUM(AS74:BK74)</f>
        <v>0</v>
      </c>
      <c r="BN74" s="1941">
        <f ca="1">IFERROR(INDEX(INDIRECT($C74&amp;".Outputs["&amp;this.Year&amp;"]"), MATCH(BN$5, INDIRECT($C74&amp;".Outputs[Vector]"), 0)), 0)</f>
        <v>0</v>
      </c>
      <c r="BO74" s="1941">
        <f ca="1">IFERROR(INDEX(INDIRECT($C74&amp;".Outputs["&amp;this.Year&amp;"]"), MATCH(BO$5, INDIRECT($C74&amp;".Outputs[Vector]"), 0)), 0)</f>
        <v>0</v>
      </c>
      <c r="BP74" s="1505">
        <f ca="1">BN74+BO74</f>
        <v>0</v>
      </c>
      <c r="BR74" s="3168">
        <f t="shared" ca="1" si="12"/>
        <v>0</v>
      </c>
      <c r="BS74" s="1525"/>
      <c r="BU74" s="1589">
        <v>0</v>
      </c>
      <c r="BV74" s="1589">
        <v>0</v>
      </c>
      <c r="BW74" s="1589">
        <v>0</v>
      </c>
      <c r="BX74" s="1589">
        <v>0</v>
      </c>
      <c r="BY74" s="1589">
        <v>0</v>
      </c>
      <c r="BZ74" s="1589">
        <v>0</v>
      </c>
      <c r="CA74" s="1589">
        <v>0</v>
      </c>
      <c r="CB74" s="1589">
        <v>0</v>
      </c>
      <c r="CC74" s="1589">
        <v>0</v>
      </c>
      <c r="CD74" s="1589">
        <v>0</v>
      </c>
      <c r="CE74" s="1589">
        <v>0</v>
      </c>
      <c r="CF74" s="1589">
        <v>0</v>
      </c>
      <c r="CG74" s="1589">
        <v>0</v>
      </c>
      <c r="CH74" s="1589">
        <v>0</v>
      </c>
      <c r="CI74" s="1589">
        <v>0</v>
      </c>
      <c r="CJ74" s="1589">
        <v>0</v>
      </c>
      <c r="CK74" s="1589">
        <v>0</v>
      </c>
      <c r="CL74" s="1589">
        <v>0</v>
      </c>
      <c r="CM74" s="1589">
        <v>0</v>
      </c>
      <c r="CN74" s="1589">
        <v>0</v>
      </c>
      <c r="CO74" s="1589">
        <v>0</v>
      </c>
      <c r="CP74" s="1589">
        <v>0</v>
      </c>
      <c r="CQ74" s="1589">
        <v>0</v>
      </c>
      <c r="CR74" s="1589">
        <v>0</v>
      </c>
      <c r="CS74" s="1589">
        <v>0</v>
      </c>
      <c r="CT74" s="1589">
        <v>0</v>
      </c>
      <c r="CU74" s="1589">
        <v>0</v>
      </c>
      <c r="CV74" s="1589">
        <v>0</v>
      </c>
      <c r="CW74" s="1589">
        <v>0</v>
      </c>
      <c r="CX74" s="1589">
        <v>0</v>
      </c>
      <c r="CY74" s="1589">
        <v>0</v>
      </c>
      <c r="CZ74" s="1589">
        <v>0</v>
      </c>
      <c r="DA74" s="1589">
        <v>0</v>
      </c>
      <c r="DB74" s="1589">
        <v>0</v>
      </c>
      <c r="DC74" s="1589">
        <v>0</v>
      </c>
      <c r="DD74" s="1589">
        <v>0</v>
      </c>
      <c r="DE74" s="1589">
        <v>0</v>
      </c>
      <c r="DF74" s="1589">
        <v>0</v>
      </c>
      <c r="DG74" s="1589">
        <v>0</v>
      </c>
      <c r="DH74" s="1589">
        <v>0</v>
      </c>
      <c r="DI74" s="1589">
        <v>0</v>
      </c>
      <c r="DJ74" s="1589">
        <v>0</v>
      </c>
      <c r="DK74" s="1589">
        <v>0</v>
      </c>
      <c r="DL74" s="1589">
        <v>0</v>
      </c>
      <c r="DN74" s="1590">
        <v>0</v>
      </c>
    </row>
    <row r="75" spans="1:118" s="1522" customFormat="1" ht="12.75" customHeight="1" outlineLevel="1" x14ac:dyDescent="0.2">
      <c r="C75" s="1496"/>
      <c r="D75" s="1497"/>
      <c r="E75" s="1497"/>
      <c r="G75" s="1581"/>
      <c r="H75" s="1581"/>
      <c r="I75" s="1581"/>
      <c r="J75" s="1581"/>
      <c r="K75" s="1581"/>
      <c r="L75" s="1581"/>
      <c r="M75" s="1581"/>
      <c r="N75" s="1581"/>
      <c r="O75" s="1582"/>
      <c r="P75" s="1581"/>
      <c r="Q75" s="1581"/>
      <c r="R75" s="1581"/>
      <c r="S75" s="1581"/>
      <c r="T75" s="1581"/>
      <c r="U75" s="1581"/>
      <c r="V75" s="1581"/>
      <c r="W75" s="1583"/>
      <c r="Y75" s="1584"/>
      <c r="Z75" s="1584"/>
      <c r="AA75" s="1584"/>
      <c r="AB75" s="1584"/>
      <c r="AC75" s="1584"/>
      <c r="AD75" s="1584"/>
      <c r="AE75" s="1584"/>
      <c r="AF75" s="1584"/>
      <c r="AG75" s="1584"/>
      <c r="AH75" s="1584"/>
      <c r="AI75" s="1584"/>
      <c r="AJ75" s="1584"/>
      <c r="AK75" s="1584"/>
      <c r="AL75" s="1584"/>
      <c r="AM75" s="1584"/>
      <c r="AN75" s="1584"/>
      <c r="AO75" s="1584"/>
      <c r="AP75" s="1584"/>
      <c r="AQ75" s="1954"/>
      <c r="AS75" s="1586"/>
      <c r="AT75" s="1586"/>
      <c r="AU75" s="1586"/>
      <c r="AV75" s="1586"/>
      <c r="AW75" s="1586"/>
      <c r="AX75" s="1586"/>
      <c r="AY75" s="1586"/>
      <c r="AZ75" s="1586"/>
      <c r="BA75" s="1586"/>
      <c r="BB75" s="1586"/>
      <c r="BC75" s="1586"/>
      <c r="BD75" s="1586"/>
      <c r="BE75" s="1586"/>
      <c r="BF75" s="1586"/>
      <c r="BG75" s="1586"/>
      <c r="BH75" s="1586"/>
      <c r="BI75" s="1586"/>
      <c r="BJ75" s="1586"/>
      <c r="BK75" s="1586"/>
      <c r="BL75" s="1524"/>
      <c r="BN75" s="1587"/>
      <c r="BO75" s="1587"/>
      <c r="BP75" s="1588"/>
      <c r="BR75" s="3168">
        <f t="shared" si="12"/>
        <v>0</v>
      </c>
      <c r="BS75" s="1525"/>
      <c r="BU75" s="1589"/>
      <c r="BV75" s="1589"/>
      <c r="BW75" s="1589"/>
      <c r="BX75" s="1589"/>
      <c r="BY75" s="1589"/>
      <c r="BZ75" s="1589"/>
      <c r="CA75" s="1589"/>
      <c r="CB75" s="1589"/>
      <c r="CC75" s="1589"/>
      <c r="CD75" s="1589"/>
      <c r="CE75" s="1589"/>
      <c r="CF75" s="1589"/>
      <c r="CG75" s="1589"/>
      <c r="CH75" s="1589"/>
      <c r="CI75" s="1589"/>
      <c r="CJ75" s="1589"/>
      <c r="CK75" s="1589"/>
      <c r="CL75" s="1589"/>
      <c r="CM75" s="1589"/>
      <c r="CN75" s="1589"/>
      <c r="CO75" s="1589"/>
      <c r="CP75" s="1589"/>
      <c r="CQ75" s="1589"/>
      <c r="CR75" s="1589"/>
      <c r="CS75" s="1589"/>
      <c r="CT75" s="1589"/>
      <c r="CU75" s="1589"/>
      <c r="CV75" s="1589"/>
      <c r="CW75" s="1589"/>
      <c r="CX75" s="1589"/>
      <c r="CY75" s="1589"/>
      <c r="CZ75" s="1589"/>
      <c r="DA75" s="1589"/>
      <c r="DB75" s="1589"/>
      <c r="DC75" s="1589"/>
      <c r="DD75" s="1589"/>
      <c r="DE75" s="1589"/>
      <c r="DF75" s="1589"/>
      <c r="DG75" s="1589"/>
      <c r="DH75" s="1589"/>
      <c r="DI75" s="1589"/>
      <c r="DJ75" s="1589"/>
      <c r="DK75" s="1589"/>
      <c r="DL75" s="1589"/>
      <c r="DN75" s="1590"/>
    </row>
    <row r="76" spans="1:118" s="14" customFormat="1" ht="15.75" x14ac:dyDescent="0.2">
      <c r="A76" s="1534"/>
      <c r="B76" s="1535"/>
      <c r="C76" s="1536" t="s">
        <v>736</v>
      </c>
      <c r="D76" s="1537" t="str">
        <f>INDEX(Flujos[Flujos], MATCH($C76, Flujos[Código], 0))</f>
        <v>Generación Distribuida</v>
      </c>
      <c r="E76" s="1538"/>
      <c r="G76" s="1539"/>
      <c r="H76" s="1539"/>
      <c r="I76" s="1539"/>
      <c r="J76" s="1539"/>
      <c r="K76" s="1539"/>
      <c r="L76" s="1539"/>
      <c r="M76" s="1539"/>
      <c r="N76" s="1539"/>
      <c r="O76" s="1539"/>
      <c r="P76" s="1539"/>
      <c r="Q76" s="1539"/>
      <c r="R76" s="1539"/>
      <c r="S76" s="1539"/>
      <c r="T76" s="1539"/>
      <c r="U76" s="1539"/>
      <c r="V76" s="1539"/>
      <c r="W76" s="1539"/>
      <c r="Y76" s="1490">
        <f ca="1">Y73+Y74</f>
        <v>0</v>
      </c>
      <c r="Z76" s="1490">
        <f t="shared" ref="Z76:AP76" ca="1" si="53">Z73+Z74</f>
        <v>0.33868748298622414</v>
      </c>
      <c r="AA76" s="1490">
        <f t="shared" ca="1" si="53"/>
        <v>0</v>
      </c>
      <c r="AB76" s="1490">
        <f t="shared" ca="1" si="53"/>
        <v>0</v>
      </c>
      <c r="AC76" s="1490">
        <f t="shared" ca="1" si="53"/>
        <v>0</v>
      </c>
      <c r="AD76" s="1490">
        <f t="shared" ca="1" si="53"/>
        <v>0</v>
      </c>
      <c r="AE76" s="1490">
        <f t="shared" ca="1" si="53"/>
        <v>0</v>
      </c>
      <c r="AF76" s="1490">
        <f t="shared" ca="1" si="53"/>
        <v>0</v>
      </c>
      <c r="AG76" s="1490">
        <f t="shared" ca="1" si="53"/>
        <v>0</v>
      </c>
      <c r="AH76" s="1490">
        <f t="shared" ca="1" si="53"/>
        <v>0</v>
      </c>
      <c r="AI76" s="1490">
        <f t="shared" ca="1" si="53"/>
        <v>0</v>
      </c>
      <c r="AJ76" s="1490">
        <f t="shared" ca="1" si="53"/>
        <v>0</v>
      </c>
      <c r="AK76" s="1490">
        <f t="shared" ca="1" si="53"/>
        <v>0</v>
      </c>
      <c r="AL76" s="1490">
        <f t="shared" ca="1" si="53"/>
        <v>0</v>
      </c>
      <c r="AM76" s="1490">
        <f t="shared" ca="1" si="53"/>
        <v>0</v>
      </c>
      <c r="AN76" s="1490">
        <f t="shared" ca="1" si="53"/>
        <v>0</v>
      </c>
      <c r="AO76" s="1490">
        <f t="shared" ca="1" si="53"/>
        <v>0</v>
      </c>
      <c r="AP76" s="1490">
        <f t="shared" ca="1" si="53"/>
        <v>0</v>
      </c>
      <c r="AQ76" s="1893">
        <f ca="1">SUM(Y76:AP76)</f>
        <v>0.33868748298622414</v>
      </c>
      <c r="AS76" s="1491">
        <f ca="1">AS73+AS74</f>
        <v>0</v>
      </c>
      <c r="AT76" s="1491">
        <f t="shared" ref="AT76:BK76" ca="1" si="54">AT73+AT74</f>
        <v>0</v>
      </c>
      <c r="AU76" s="1491">
        <f t="shared" ca="1" si="54"/>
        <v>0</v>
      </c>
      <c r="AV76" s="1491">
        <f t="shared" ca="1" si="54"/>
        <v>0</v>
      </c>
      <c r="AW76" s="1491">
        <f t="shared" ca="1" si="54"/>
        <v>0</v>
      </c>
      <c r="AX76" s="1491">
        <f t="shared" ca="1" si="54"/>
        <v>0</v>
      </c>
      <c r="AY76" s="1491">
        <f t="shared" ca="1" si="54"/>
        <v>0</v>
      </c>
      <c r="AZ76" s="1491">
        <f t="shared" ca="1" si="54"/>
        <v>0</v>
      </c>
      <c r="BA76" s="1491">
        <f t="shared" ca="1" si="54"/>
        <v>0</v>
      </c>
      <c r="BB76" s="1491">
        <f t="shared" ca="1" si="54"/>
        <v>0</v>
      </c>
      <c r="BC76" s="1949">
        <f t="shared" ca="1" si="54"/>
        <v>-0.33868748298622414</v>
      </c>
      <c r="BD76" s="1949">
        <f t="shared" ca="1" si="54"/>
        <v>0</v>
      </c>
      <c r="BE76" s="1491">
        <f t="shared" ca="1" si="54"/>
        <v>0</v>
      </c>
      <c r="BF76" s="1491">
        <f t="shared" ca="1" si="54"/>
        <v>0</v>
      </c>
      <c r="BG76" s="1491">
        <f t="shared" ca="1" si="54"/>
        <v>0</v>
      </c>
      <c r="BH76" s="1491">
        <f t="shared" ca="1" si="54"/>
        <v>0</v>
      </c>
      <c r="BI76" s="1491">
        <f t="shared" ca="1" si="54"/>
        <v>0</v>
      </c>
      <c r="BJ76" s="1491">
        <f t="shared" ca="1" si="54"/>
        <v>0</v>
      </c>
      <c r="BK76" s="1491">
        <f t="shared" ca="1" si="54"/>
        <v>0</v>
      </c>
      <c r="BL76" s="1952">
        <f ca="1">SUM(AS76:BK76)</f>
        <v>-0.33868748298622414</v>
      </c>
      <c r="BN76" s="1492">
        <f ca="1">BN73+BN74</f>
        <v>0</v>
      </c>
      <c r="BO76" s="1492">
        <f ca="1">BO73+BO74</f>
        <v>0</v>
      </c>
      <c r="BP76" s="1505">
        <f ca="1">BN76+BO76</f>
        <v>0</v>
      </c>
      <c r="BR76" s="3168">
        <f t="shared" ca="1" si="12"/>
        <v>0</v>
      </c>
      <c r="BS76" s="1493"/>
      <c r="BT76" s="748"/>
      <c r="BU76" s="1508">
        <v>0</v>
      </c>
      <c r="BV76" s="1508">
        <v>0</v>
      </c>
      <c r="BW76" s="1508">
        <v>0</v>
      </c>
      <c r="BX76" s="1508">
        <v>0</v>
      </c>
      <c r="BY76" s="1508">
        <v>0</v>
      </c>
      <c r="BZ76" s="1508">
        <v>0</v>
      </c>
      <c r="CA76" s="1508">
        <v>0</v>
      </c>
      <c r="CB76" s="1508">
        <v>0</v>
      </c>
      <c r="CC76" s="1508">
        <v>0</v>
      </c>
      <c r="CD76" s="1508">
        <v>0</v>
      </c>
      <c r="CE76" s="1508">
        <v>0</v>
      </c>
      <c r="CF76" s="1508">
        <v>0</v>
      </c>
      <c r="CG76" s="1508">
        <v>0</v>
      </c>
      <c r="CH76" s="1508">
        <v>0</v>
      </c>
      <c r="CI76" s="1508">
        <v>0</v>
      </c>
      <c r="CJ76" s="1508">
        <v>0</v>
      </c>
      <c r="CK76" s="1508">
        <v>0</v>
      </c>
      <c r="CL76" s="1508">
        <v>0</v>
      </c>
      <c r="CM76" s="1508">
        <v>0</v>
      </c>
      <c r="CN76" s="1508">
        <v>0</v>
      </c>
      <c r="CO76" s="1508">
        <v>0</v>
      </c>
      <c r="CP76" s="1508">
        <v>0</v>
      </c>
      <c r="CQ76" s="1508">
        <v>0</v>
      </c>
      <c r="CR76" s="1508">
        <v>0</v>
      </c>
      <c r="CS76" s="1508">
        <v>0</v>
      </c>
      <c r="CT76" s="1508">
        <v>0</v>
      </c>
      <c r="CU76" s="1508">
        <v>0</v>
      </c>
      <c r="CV76" s="1508">
        <v>0</v>
      </c>
      <c r="CW76" s="1508">
        <v>0</v>
      </c>
      <c r="CX76" s="1508">
        <v>0</v>
      </c>
      <c r="CY76" s="1508">
        <v>0</v>
      </c>
      <c r="CZ76" s="1508">
        <v>0</v>
      </c>
      <c r="DA76" s="1508">
        <v>0</v>
      </c>
      <c r="DB76" s="1508">
        <v>0</v>
      </c>
      <c r="DC76" s="1508">
        <v>0</v>
      </c>
      <c r="DD76" s="1508">
        <v>0</v>
      </c>
      <c r="DE76" s="1508">
        <v>0</v>
      </c>
      <c r="DF76" s="1508">
        <v>0</v>
      </c>
      <c r="DG76" s="1508">
        <v>0</v>
      </c>
      <c r="DH76" s="1508">
        <v>0</v>
      </c>
      <c r="DI76" s="1508">
        <v>0</v>
      </c>
      <c r="DJ76" s="1508">
        <v>0</v>
      </c>
      <c r="DK76" s="1508">
        <v>0</v>
      </c>
      <c r="DL76" s="1508">
        <v>0</v>
      </c>
      <c r="DN76" s="1509">
        <v>0</v>
      </c>
    </row>
    <row r="77" spans="1:118" s="14" customFormat="1" ht="15.75" x14ac:dyDescent="0.2">
      <c r="A77" s="1845"/>
      <c r="B77" s="1847"/>
      <c r="C77" s="1842"/>
      <c r="D77" s="1843"/>
      <c r="E77" s="1844"/>
      <c r="G77" s="1539"/>
      <c r="H77" s="1539"/>
      <c r="I77" s="1539"/>
      <c r="J77" s="1539"/>
      <c r="K77" s="1539"/>
      <c r="L77" s="1539"/>
      <c r="M77" s="1539"/>
      <c r="N77" s="1539"/>
      <c r="O77" s="1539"/>
      <c r="P77" s="1539"/>
      <c r="Q77" s="1539"/>
      <c r="R77" s="1539"/>
      <c r="S77" s="1539"/>
      <c r="T77" s="1539"/>
      <c r="U77" s="1539"/>
      <c r="V77" s="1539"/>
      <c r="W77" s="1539"/>
      <c r="Y77" s="1490"/>
      <c r="Z77" s="1490"/>
      <c r="AA77" s="1490"/>
      <c r="AB77" s="1490"/>
      <c r="AC77" s="1490"/>
      <c r="AD77" s="1490"/>
      <c r="AE77" s="1490"/>
      <c r="AF77" s="1490"/>
      <c r="AG77" s="1490"/>
      <c r="AH77" s="1490"/>
      <c r="AI77" s="1490"/>
      <c r="AJ77" s="1490"/>
      <c r="AK77" s="1490"/>
      <c r="AL77" s="1490"/>
      <c r="AM77" s="1490"/>
      <c r="AN77" s="1490"/>
      <c r="AO77" s="1490"/>
      <c r="AP77" s="1490"/>
      <c r="AQ77" s="1490"/>
      <c r="AS77" s="1491"/>
      <c r="AT77" s="1491"/>
      <c r="AU77" s="1491"/>
      <c r="AV77" s="1491"/>
      <c r="AW77" s="1491"/>
      <c r="AX77" s="1491"/>
      <c r="AY77" s="1491"/>
      <c r="AZ77" s="1491"/>
      <c r="BA77" s="1491"/>
      <c r="BB77" s="1491"/>
      <c r="BC77" s="1491"/>
      <c r="BD77" s="1491"/>
      <c r="BE77" s="1491"/>
      <c r="BF77" s="1491"/>
      <c r="BG77" s="1491"/>
      <c r="BH77" s="1491"/>
      <c r="BI77" s="1491"/>
      <c r="BJ77" s="1491"/>
      <c r="BK77" s="1491"/>
      <c r="BL77" s="1491"/>
      <c r="BN77" s="1492"/>
      <c r="BO77" s="1492"/>
      <c r="BP77" s="1492"/>
      <c r="BR77" s="3168"/>
      <c r="BS77" s="1579"/>
      <c r="BT77" s="748"/>
      <c r="BU77" s="1507"/>
      <c r="BV77" s="1508"/>
      <c r="BW77" s="1508"/>
      <c r="BX77" s="1508"/>
      <c r="BY77" s="1508"/>
      <c r="BZ77" s="1508"/>
      <c r="CA77" s="1508"/>
      <c r="CB77" s="1508"/>
      <c r="CC77" s="1508"/>
      <c r="CD77" s="1508"/>
      <c r="CE77" s="1508"/>
      <c r="CF77" s="1508"/>
      <c r="CG77" s="1508"/>
      <c r="CH77" s="1508"/>
      <c r="CI77" s="1508"/>
      <c r="CJ77" s="1508"/>
      <c r="CK77" s="1508"/>
      <c r="CL77" s="1508"/>
      <c r="CM77" s="1508"/>
      <c r="CN77" s="1508"/>
      <c r="CO77" s="1508"/>
      <c r="CP77" s="1508"/>
      <c r="CQ77" s="1508"/>
      <c r="CR77" s="1508"/>
      <c r="CS77" s="1508"/>
      <c r="CT77" s="1508"/>
      <c r="CU77" s="1508"/>
      <c r="CV77" s="1508"/>
      <c r="CW77" s="1508"/>
      <c r="CX77" s="1508"/>
      <c r="CY77" s="1508"/>
      <c r="CZ77" s="1508"/>
      <c r="DA77" s="1508"/>
      <c r="DB77" s="1508"/>
      <c r="DC77" s="1508"/>
      <c r="DD77" s="1508"/>
      <c r="DE77" s="1508"/>
      <c r="DF77" s="1508"/>
      <c r="DG77" s="1508"/>
      <c r="DH77" s="1508"/>
      <c r="DI77" s="1508"/>
      <c r="DJ77" s="1508"/>
      <c r="DK77" s="1508"/>
      <c r="DL77" s="1508"/>
      <c r="DN77" s="1509"/>
    </row>
    <row r="78" spans="1:118" s="14" customFormat="1" hidden="1" outlineLevel="1" x14ac:dyDescent="0.2">
      <c r="A78" s="1522"/>
      <c r="B78" s="1522"/>
      <c r="C78" s="1496" t="s">
        <v>68</v>
      </c>
      <c r="D78" s="1497" t="str">
        <f>INDEX(Modulos[Modulos], MATCH($C78, Modulos[Código], 0))</f>
        <v>Residuos</v>
      </c>
      <c r="E78" s="1497"/>
      <c r="G78" s="1498"/>
      <c r="H78" s="1498"/>
      <c r="I78" s="1498"/>
      <c r="J78" s="1498"/>
      <c r="K78" s="1498"/>
      <c r="L78" s="1498"/>
      <c r="M78" s="1498"/>
      <c r="N78" s="1498"/>
      <c r="O78" s="1498"/>
      <c r="P78" s="1498"/>
      <c r="Q78" s="1498"/>
      <c r="R78" s="1498"/>
      <c r="S78" s="1498"/>
      <c r="T78" s="1498"/>
      <c r="U78" s="1498"/>
      <c r="V78" s="1498"/>
      <c r="W78" s="1499"/>
      <c r="Y78" s="1893">
        <f t="shared" ref="Y78:AH80" ca="1" si="55">IFERROR(INDEX(INDIRECT($C78&amp;".Outputs["&amp;this.Year&amp;"]"), MATCH(Y$5, INDIRECT($C78&amp;".Outputs[Vector]"), 0)), 0)</f>
        <v>0</v>
      </c>
      <c r="Z78" s="1893">
        <f t="shared" ca="1" si="55"/>
        <v>0.41172000000000003</v>
      </c>
      <c r="AA78" s="1893">
        <f t="shared" ca="1" si="55"/>
        <v>0</v>
      </c>
      <c r="AB78" s="1893">
        <f t="shared" ca="1" si="55"/>
        <v>0</v>
      </c>
      <c r="AC78" s="1893">
        <f t="shared" ca="1" si="55"/>
        <v>0</v>
      </c>
      <c r="AD78" s="1893">
        <f t="shared" ca="1" si="55"/>
        <v>0</v>
      </c>
      <c r="AE78" s="1893">
        <f t="shared" ca="1" si="55"/>
        <v>0</v>
      </c>
      <c r="AF78" s="1893">
        <f t="shared" ca="1" si="55"/>
        <v>0</v>
      </c>
      <c r="AG78" s="1893">
        <f t="shared" ca="1" si="55"/>
        <v>0</v>
      </c>
      <c r="AH78" s="1893">
        <f t="shared" ca="1" si="55"/>
        <v>0</v>
      </c>
      <c r="AI78" s="1893">
        <f t="shared" ref="AI78:AP80" ca="1" si="56">IFERROR(INDEX(INDIRECT($C78&amp;".Outputs["&amp;this.Year&amp;"]"), MATCH(AI$5, INDIRECT($C78&amp;".Outputs[Vector]"), 0)), 0)</f>
        <v>0</v>
      </c>
      <c r="AJ78" s="1893">
        <f t="shared" ca="1" si="56"/>
        <v>0</v>
      </c>
      <c r="AK78" s="1893">
        <f t="shared" ca="1" si="56"/>
        <v>0</v>
      </c>
      <c r="AL78" s="1893">
        <f t="shared" ca="1" si="56"/>
        <v>0</v>
      </c>
      <c r="AM78" s="1893">
        <f t="shared" ca="1" si="56"/>
        <v>0</v>
      </c>
      <c r="AN78" s="1893">
        <f t="shared" ca="1" si="56"/>
        <v>0</v>
      </c>
      <c r="AO78" s="1893">
        <f t="shared" ca="1" si="56"/>
        <v>0</v>
      </c>
      <c r="AP78" s="1893">
        <f t="shared" ca="1" si="56"/>
        <v>0</v>
      </c>
      <c r="AQ78" s="1951">
        <f ca="1">SUM(Y78:AP78)</f>
        <v>0.41172000000000003</v>
      </c>
      <c r="AS78" s="1948">
        <f t="shared" ref="AS78:BB80" ca="1" si="57">IFERROR(INDEX(INDIRECT($C78&amp;".Outputs["&amp;this.Year&amp;"]"), MATCH(AS$5, INDIRECT($C78&amp;".Outputs[Vector]"), 0)), 0)</f>
        <v>0</v>
      </c>
      <c r="AT78" s="1948">
        <f t="shared" ca="1" si="57"/>
        <v>0</v>
      </c>
      <c r="AU78" s="1948">
        <f t="shared" ca="1" si="57"/>
        <v>0</v>
      </c>
      <c r="AV78" s="1948">
        <f t="shared" ca="1" si="57"/>
        <v>0</v>
      </c>
      <c r="AW78" s="1948">
        <f t="shared" ca="1" si="57"/>
        <v>0</v>
      </c>
      <c r="AX78" s="1948">
        <f t="shared" ca="1" si="57"/>
        <v>0</v>
      </c>
      <c r="AY78" s="1948">
        <f t="shared" ca="1" si="57"/>
        <v>0</v>
      </c>
      <c r="AZ78" s="1948">
        <f t="shared" ca="1" si="57"/>
        <v>0</v>
      </c>
      <c r="BA78" s="1948">
        <f t="shared" ca="1" si="57"/>
        <v>0</v>
      </c>
      <c r="BB78" s="1948">
        <f t="shared" ca="1" si="57"/>
        <v>0</v>
      </c>
      <c r="BC78" s="1948">
        <f t="shared" ref="BC78:BK80" ca="1" si="58">IFERROR(INDEX(INDIRECT($C78&amp;".Outputs["&amp;this.Year&amp;"]"), MATCH(BC$5, INDIRECT($C78&amp;".Outputs[Vector]"), 0)), 0)</f>
        <v>0</v>
      </c>
      <c r="BD78" s="1948">
        <f t="shared" ca="1" si="58"/>
        <v>0</v>
      </c>
      <c r="BE78" s="1948">
        <f t="shared" ca="1" si="58"/>
        <v>0</v>
      </c>
      <c r="BF78" s="1948">
        <f t="shared" ca="1" si="58"/>
        <v>0</v>
      </c>
      <c r="BG78" s="1948">
        <f t="shared" ca="1" si="58"/>
        <v>0</v>
      </c>
      <c r="BH78" s="1948">
        <f t="shared" ca="1" si="58"/>
        <v>0</v>
      </c>
      <c r="BI78" s="1948">
        <f t="shared" ca="1" si="58"/>
        <v>0</v>
      </c>
      <c r="BJ78" s="1948">
        <f t="shared" ca="1" si="58"/>
        <v>0</v>
      </c>
      <c r="BK78" s="1948">
        <f t="shared" ca="1" si="58"/>
        <v>-0.41172000000000003</v>
      </c>
      <c r="BL78" s="1952">
        <f ca="1">SUM(AS78:BK78)</f>
        <v>-0.41172000000000003</v>
      </c>
      <c r="BN78" s="1941">
        <f t="shared" ref="BN78:BO80" ca="1" si="59">IFERROR(INDEX(INDIRECT($C78&amp;".Outputs["&amp;this.Year&amp;"]"), MATCH(BN$5, INDIRECT($C78&amp;".Outputs[Vector]"), 0)), 0)</f>
        <v>0</v>
      </c>
      <c r="BO78" s="1941">
        <f t="shared" ca="1" si="59"/>
        <v>0</v>
      </c>
      <c r="BP78" s="1505">
        <f ca="1">BN78+BO78</f>
        <v>0</v>
      </c>
      <c r="BR78" s="3168">
        <f ca="1">W78+AQ78+BL78+BP78</f>
        <v>0</v>
      </c>
      <c r="BS78" s="1525"/>
      <c r="BT78" s="748"/>
      <c r="BU78" s="1507"/>
      <c r="BV78" s="1508"/>
      <c r="BW78" s="1508"/>
      <c r="BX78" s="1508"/>
      <c r="BY78" s="1508"/>
      <c r="BZ78" s="1508"/>
      <c r="CA78" s="1508"/>
      <c r="CB78" s="1508"/>
      <c r="CC78" s="1508"/>
      <c r="CD78" s="1508"/>
      <c r="CE78" s="1508"/>
      <c r="CF78" s="1508"/>
      <c r="CG78" s="1508"/>
      <c r="CH78" s="1508"/>
      <c r="CI78" s="1508"/>
      <c r="CJ78" s="1508"/>
      <c r="CK78" s="1508"/>
      <c r="CL78" s="1508"/>
      <c r="CM78" s="1508"/>
      <c r="CN78" s="1508"/>
      <c r="CO78" s="1508"/>
      <c r="CP78" s="1508"/>
      <c r="CQ78" s="1508"/>
      <c r="CR78" s="1508"/>
      <c r="CS78" s="1508"/>
      <c r="CT78" s="1508"/>
      <c r="CU78" s="1508"/>
      <c r="CV78" s="1508"/>
      <c r="CW78" s="1508"/>
      <c r="CX78" s="1508"/>
      <c r="CY78" s="1508"/>
      <c r="CZ78" s="1508"/>
      <c r="DA78" s="1508"/>
      <c r="DB78" s="1508"/>
      <c r="DC78" s="1508"/>
      <c r="DD78" s="1508"/>
      <c r="DE78" s="1508"/>
      <c r="DF78" s="1508"/>
      <c r="DG78" s="1508"/>
      <c r="DH78" s="1508"/>
      <c r="DI78" s="1508"/>
      <c r="DJ78" s="1508"/>
      <c r="DK78" s="1508"/>
      <c r="DL78" s="1508"/>
      <c r="DN78" s="1509"/>
    </row>
    <row r="79" spans="1:118" s="14" customFormat="1" hidden="1" outlineLevel="1" x14ac:dyDescent="0.2">
      <c r="A79" s="1522"/>
      <c r="B79" s="1522"/>
      <c r="C79" s="1496" t="s">
        <v>764</v>
      </c>
      <c r="D79" s="1497" t="str">
        <f>INDEX(Modulos[Modulos], MATCH($C79, Modulos[Código], 0))</f>
        <v>Agropecuario</v>
      </c>
      <c r="E79" s="1497"/>
      <c r="G79" s="1498"/>
      <c r="H79" s="1498"/>
      <c r="I79" s="1498"/>
      <c r="J79" s="1498"/>
      <c r="K79" s="1498"/>
      <c r="L79" s="1498"/>
      <c r="M79" s="1498"/>
      <c r="N79" s="1498"/>
      <c r="O79" s="1498"/>
      <c r="P79" s="1498"/>
      <c r="Q79" s="1498"/>
      <c r="R79" s="1498"/>
      <c r="S79" s="1498"/>
      <c r="T79" s="1498"/>
      <c r="U79" s="1498"/>
      <c r="V79" s="1498"/>
      <c r="W79" s="1499"/>
      <c r="Y79" s="2610">
        <f t="shared" ca="1" si="55"/>
        <v>0</v>
      </c>
      <c r="Z79" s="2610">
        <f t="shared" ca="1" si="55"/>
        <v>6.9065998236423074E-3</v>
      </c>
      <c r="AA79" s="2610">
        <f t="shared" ca="1" si="55"/>
        <v>0</v>
      </c>
      <c r="AB79" s="2610">
        <f t="shared" ca="1" si="55"/>
        <v>0</v>
      </c>
      <c r="AC79" s="2610">
        <f t="shared" ca="1" si="55"/>
        <v>0</v>
      </c>
      <c r="AD79" s="2610">
        <f t="shared" ca="1" si="55"/>
        <v>0</v>
      </c>
      <c r="AE79" s="2610">
        <f t="shared" ca="1" si="55"/>
        <v>0</v>
      </c>
      <c r="AF79" s="2610">
        <f t="shared" ca="1" si="55"/>
        <v>0</v>
      </c>
      <c r="AG79" s="2610">
        <f t="shared" ca="1" si="55"/>
        <v>0</v>
      </c>
      <c r="AH79" s="2610">
        <f t="shared" ca="1" si="55"/>
        <v>0</v>
      </c>
      <c r="AI79" s="2610">
        <f t="shared" ca="1" si="56"/>
        <v>0</v>
      </c>
      <c r="AJ79" s="2610">
        <f t="shared" ca="1" si="56"/>
        <v>0</v>
      </c>
      <c r="AK79" s="2610">
        <f t="shared" ca="1" si="56"/>
        <v>0</v>
      </c>
      <c r="AL79" s="2610">
        <f t="shared" ca="1" si="56"/>
        <v>0</v>
      </c>
      <c r="AM79" s="2610">
        <f t="shared" ca="1" si="56"/>
        <v>0</v>
      </c>
      <c r="AN79" s="2610">
        <f t="shared" ca="1" si="56"/>
        <v>0</v>
      </c>
      <c r="AO79" s="2610">
        <f t="shared" ca="1" si="56"/>
        <v>0</v>
      </c>
      <c r="AP79" s="2610">
        <f t="shared" ca="1" si="56"/>
        <v>0</v>
      </c>
      <c r="AQ79" s="1951">
        <f ca="1">SUM(Y79:AP79)</f>
        <v>6.9065998236423074E-3</v>
      </c>
      <c r="AS79" s="1948">
        <f t="shared" ca="1" si="57"/>
        <v>0</v>
      </c>
      <c r="AT79" s="1948">
        <f t="shared" ca="1" si="57"/>
        <v>0</v>
      </c>
      <c r="AU79" s="1948">
        <f t="shared" ca="1" si="57"/>
        <v>0</v>
      </c>
      <c r="AV79" s="1948">
        <f t="shared" ca="1" si="57"/>
        <v>0</v>
      </c>
      <c r="AW79" s="1948">
        <f t="shared" ca="1" si="57"/>
        <v>0</v>
      </c>
      <c r="AX79" s="1948">
        <f t="shared" ca="1" si="57"/>
        <v>0</v>
      </c>
      <c r="AY79" s="1948">
        <f t="shared" ca="1" si="57"/>
        <v>0</v>
      </c>
      <c r="AZ79" s="1948">
        <f t="shared" ca="1" si="57"/>
        <v>0</v>
      </c>
      <c r="BA79" s="1948">
        <f t="shared" ca="1" si="57"/>
        <v>0</v>
      </c>
      <c r="BB79" s="1948">
        <f t="shared" ca="1" si="57"/>
        <v>0</v>
      </c>
      <c r="BC79" s="1948">
        <f t="shared" ca="1" si="58"/>
        <v>0</v>
      </c>
      <c r="BD79" s="1948">
        <f t="shared" ca="1" si="58"/>
        <v>0</v>
      </c>
      <c r="BE79" s="1948">
        <f t="shared" ca="1" si="58"/>
        <v>0</v>
      </c>
      <c r="BF79" s="1948">
        <f t="shared" ca="1" si="58"/>
        <v>0</v>
      </c>
      <c r="BG79" s="1948">
        <f t="shared" ca="1" si="58"/>
        <v>0</v>
      </c>
      <c r="BH79" s="1948">
        <f t="shared" ca="1" si="58"/>
        <v>0</v>
      </c>
      <c r="BI79" s="1948">
        <f t="shared" ca="1" si="58"/>
        <v>0</v>
      </c>
      <c r="BJ79" s="1948">
        <f t="shared" ca="1" si="58"/>
        <v>0</v>
      </c>
      <c r="BK79" s="1948">
        <f t="shared" ca="1" si="58"/>
        <v>-6.9065998236423074E-3</v>
      </c>
      <c r="BL79" s="1952">
        <f ca="1">SUM(AS79:BK79)</f>
        <v>-6.9065998236423074E-3</v>
      </c>
      <c r="BN79" s="1941">
        <f t="shared" ca="1" si="59"/>
        <v>0</v>
      </c>
      <c r="BO79" s="1941">
        <f t="shared" ca="1" si="59"/>
        <v>0</v>
      </c>
      <c r="BP79" s="1505">
        <f ca="1">BN79+BO79</f>
        <v>0</v>
      </c>
      <c r="BR79" s="3168">
        <f ca="1">W79+AQ79+BL79+BP79</f>
        <v>0</v>
      </c>
      <c r="BS79" s="1525"/>
      <c r="BT79" s="748"/>
      <c r="BU79" s="1507"/>
      <c r="BV79" s="1508"/>
      <c r="BW79" s="1508"/>
      <c r="BX79" s="1508"/>
      <c r="BY79" s="1508"/>
      <c r="BZ79" s="1508"/>
      <c r="CA79" s="1508"/>
      <c r="CB79" s="1508"/>
      <c r="CC79" s="1508"/>
      <c r="CD79" s="1508"/>
      <c r="CE79" s="1508"/>
      <c r="CF79" s="1508"/>
      <c r="CG79" s="1508"/>
      <c r="CH79" s="1508"/>
      <c r="CI79" s="1508"/>
      <c r="CJ79" s="1508"/>
      <c r="CK79" s="1508"/>
      <c r="CL79" s="1508"/>
      <c r="CM79" s="1508"/>
      <c r="CN79" s="1508"/>
      <c r="CO79" s="1508"/>
      <c r="CP79" s="1508"/>
      <c r="CQ79" s="1508"/>
      <c r="CR79" s="1508"/>
      <c r="CS79" s="1508"/>
      <c r="CT79" s="1508"/>
      <c r="CU79" s="1508"/>
      <c r="CV79" s="1508"/>
      <c r="CW79" s="1508"/>
      <c r="CX79" s="1508"/>
      <c r="CY79" s="1508"/>
      <c r="CZ79" s="1508"/>
      <c r="DA79" s="1508"/>
      <c r="DB79" s="1508"/>
      <c r="DC79" s="1508"/>
      <c r="DD79" s="1508"/>
      <c r="DE79" s="1508"/>
      <c r="DF79" s="1508"/>
      <c r="DG79" s="1508"/>
      <c r="DH79" s="1508"/>
      <c r="DI79" s="1508"/>
      <c r="DJ79" s="1508"/>
      <c r="DK79" s="1508"/>
      <c r="DL79" s="1508"/>
      <c r="DN79" s="1509"/>
    </row>
    <row r="80" spans="1:118" s="14" customFormat="1" ht="12.75" hidden="1" customHeight="1" outlineLevel="1" x14ac:dyDescent="0.2">
      <c r="A80" s="1522"/>
      <c r="B80" s="1522"/>
      <c r="C80" s="1496" t="s">
        <v>1620</v>
      </c>
      <c r="D80" s="1497" t="str">
        <f>INDEX(Modulos[Modulos], MATCH($C80, Modulos[Código], 0))</f>
        <v>Forestal</v>
      </c>
      <c r="E80" s="1526"/>
      <c r="G80" s="1540"/>
      <c r="H80" s="1540"/>
      <c r="I80" s="1540"/>
      <c r="J80" s="1540"/>
      <c r="K80" s="1540"/>
      <c r="L80" s="1540"/>
      <c r="M80" s="1540"/>
      <c r="N80" s="1540"/>
      <c r="O80" s="1540"/>
      <c r="P80" s="1540"/>
      <c r="Q80" s="1540"/>
      <c r="R80" s="1540"/>
      <c r="S80" s="1540"/>
      <c r="T80" s="1540"/>
      <c r="U80" s="1540"/>
      <c r="V80" s="1540"/>
      <c r="W80" s="1527"/>
      <c r="Y80" s="2614">
        <f t="shared" ca="1" si="55"/>
        <v>0</v>
      </c>
      <c r="Z80" s="2614">
        <f t="shared" ca="1" si="55"/>
        <v>0</v>
      </c>
      <c r="AA80" s="2614">
        <f t="shared" ca="1" si="55"/>
        <v>0</v>
      </c>
      <c r="AB80" s="2614">
        <f t="shared" ca="1" si="55"/>
        <v>0</v>
      </c>
      <c r="AC80" s="2614">
        <f t="shared" ca="1" si="55"/>
        <v>0</v>
      </c>
      <c r="AD80" s="2614">
        <f t="shared" ca="1" si="55"/>
        <v>0</v>
      </c>
      <c r="AE80" s="2614">
        <f t="shared" ca="1" si="55"/>
        <v>0</v>
      </c>
      <c r="AF80" s="2614">
        <f t="shared" ca="1" si="55"/>
        <v>0</v>
      </c>
      <c r="AG80" s="2614">
        <f t="shared" ca="1" si="55"/>
        <v>0</v>
      </c>
      <c r="AH80" s="2614">
        <f t="shared" ca="1" si="55"/>
        <v>0</v>
      </c>
      <c r="AI80" s="2614">
        <f t="shared" ca="1" si="56"/>
        <v>0</v>
      </c>
      <c r="AJ80" s="2614">
        <f t="shared" ca="1" si="56"/>
        <v>0</v>
      </c>
      <c r="AK80" s="2614">
        <f t="shared" ca="1" si="56"/>
        <v>0</v>
      </c>
      <c r="AL80" s="2614">
        <f t="shared" ca="1" si="56"/>
        <v>0</v>
      </c>
      <c r="AM80" s="2614">
        <f t="shared" ca="1" si="56"/>
        <v>0</v>
      </c>
      <c r="AN80" s="2614">
        <f t="shared" ca="1" si="56"/>
        <v>0</v>
      </c>
      <c r="AO80" s="2614">
        <f t="shared" ca="1" si="56"/>
        <v>0</v>
      </c>
      <c r="AP80" s="2614">
        <f t="shared" ca="1" si="56"/>
        <v>0</v>
      </c>
      <c r="AQ80" s="1951">
        <f ca="1">SUM(Y80:AP80)</f>
        <v>0</v>
      </c>
      <c r="AS80" s="1542">
        <f t="shared" ca="1" si="57"/>
        <v>0</v>
      </c>
      <c r="AT80" s="1542">
        <f t="shared" ca="1" si="57"/>
        <v>0</v>
      </c>
      <c r="AU80" s="1542">
        <f t="shared" ca="1" si="57"/>
        <v>0</v>
      </c>
      <c r="AV80" s="1542">
        <f t="shared" ca="1" si="57"/>
        <v>0</v>
      </c>
      <c r="AW80" s="1542">
        <f t="shared" ca="1" si="57"/>
        <v>0</v>
      </c>
      <c r="AX80" s="1542">
        <f t="shared" ca="1" si="57"/>
        <v>0</v>
      </c>
      <c r="AY80" s="1542">
        <f t="shared" ca="1" si="57"/>
        <v>0</v>
      </c>
      <c r="AZ80" s="1542">
        <f t="shared" ca="1" si="57"/>
        <v>0</v>
      </c>
      <c r="BA80" s="1542">
        <f t="shared" ca="1" si="57"/>
        <v>0</v>
      </c>
      <c r="BB80" s="1542">
        <f t="shared" ca="1" si="57"/>
        <v>0</v>
      </c>
      <c r="BC80" s="1542">
        <f t="shared" ca="1" si="58"/>
        <v>0</v>
      </c>
      <c r="BD80" s="1542">
        <f t="shared" ca="1" si="58"/>
        <v>0</v>
      </c>
      <c r="BE80" s="1542">
        <f t="shared" ca="1" si="58"/>
        <v>0</v>
      </c>
      <c r="BF80" s="1542">
        <f t="shared" ca="1" si="58"/>
        <v>0</v>
      </c>
      <c r="BG80" s="1542">
        <f t="shared" ca="1" si="58"/>
        <v>0</v>
      </c>
      <c r="BH80" s="1542">
        <f t="shared" ca="1" si="58"/>
        <v>0</v>
      </c>
      <c r="BI80" s="1542">
        <f t="shared" ca="1" si="58"/>
        <v>0</v>
      </c>
      <c r="BJ80" s="1542">
        <f t="shared" ca="1" si="58"/>
        <v>0</v>
      </c>
      <c r="BK80" s="1542">
        <f t="shared" ca="1" si="58"/>
        <v>0</v>
      </c>
      <c r="BL80" s="1952">
        <f ca="1">SUM(AS80:BK80)</f>
        <v>0</v>
      </c>
      <c r="BN80" s="1941">
        <f t="shared" ca="1" si="59"/>
        <v>0</v>
      </c>
      <c r="BO80" s="1941">
        <f t="shared" ca="1" si="59"/>
        <v>0</v>
      </c>
      <c r="BP80" s="1505">
        <f ca="1">BN80+BO80</f>
        <v>0</v>
      </c>
      <c r="BR80" s="3168">
        <f ca="1">W80+AQ80+BL80+BP80</f>
        <v>0</v>
      </c>
      <c r="BS80" s="1525"/>
      <c r="BT80" s="748"/>
      <c r="BU80" s="1532"/>
      <c r="BV80" s="1533"/>
      <c r="BW80" s="1533"/>
      <c r="BX80" s="1533"/>
      <c r="BY80" s="1533"/>
      <c r="BZ80" s="1533"/>
      <c r="CA80" s="1533"/>
      <c r="CB80" s="1533"/>
      <c r="CC80" s="1533"/>
      <c r="CD80" s="1533"/>
      <c r="CE80" s="1533"/>
      <c r="CF80" s="1533"/>
      <c r="CG80" s="1533"/>
      <c r="CH80" s="1533"/>
      <c r="CI80" s="1533"/>
      <c r="CJ80" s="1533"/>
      <c r="CK80" s="1533"/>
      <c r="CL80" s="1533"/>
      <c r="CM80" s="1533"/>
      <c r="CN80" s="1533"/>
      <c r="CO80" s="1533"/>
      <c r="CP80" s="1533"/>
      <c r="CQ80" s="1533"/>
      <c r="CR80" s="1533"/>
      <c r="CS80" s="1533"/>
      <c r="CT80" s="1533"/>
      <c r="CU80" s="1533"/>
      <c r="CV80" s="1533"/>
      <c r="CW80" s="1533"/>
      <c r="CX80" s="1533"/>
      <c r="CY80" s="1533"/>
      <c r="CZ80" s="1533"/>
      <c r="DA80" s="1533"/>
      <c r="DB80" s="1533"/>
      <c r="DC80" s="1533"/>
      <c r="DD80" s="1533"/>
      <c r="DE80" s="1533"/>
      <c r="DF80" s="1533"/>
      <c r="DG80" s="1533"/>
      <c r="DH80" s="1533"/>
      <c r="DI80" s="1533"/>
      <c r="DJ80" s="1533"/>
      <c r="DK80" s="1533"/>
      <c r="DL80" s="1533"/>
      <c r="DN80" s="1509"/>
    </row>
    <row r="81" spans="1:118" s="14" customFormat="1" ht="3" hidden="1" customHeight="1" outlineLevel="1" x14ac:dyDescent="0.2">
      <c r="A81" s="1522"/>
      <c r="B81" s="1522"/>
      <c r="C81" s="1496"/>
      <c r="D81" s="1497"/>
      <c r="E81" s="1497"/>
      <c r="G81" s="1498"/>
      <c r="H81" s="1498"/>
      <c r="I81" s="1498"/>
      <c r="J81" s="1498"/>
      <c r="K81" s="1498"/>
      <c r="L81" s="1498"/>
      <c r="M81" s="1498"/>
      <c r="N81" s="1498"/>
      <c r="O81" s="1498"/>
      <c r="P81" s="1498"/>
      <c r="Q81" s="1498"/>
      <c r="R81" s="1498"/>
      <c r="S81" s="1498"/>
      <c r="T81" s="1498"/>
      <c r="U81" s="1498"/>
      <c r="V81" s="1498"/>
      <c r="W81" s="1499"/>
      <c r="Y81" s="1500"/>
      <c r="Z81" s="1500"/>
      <c r="AA81" s="1500"/>
      <c r="AB81" s="1500"/>
      <c r="AC81" s="1500"/>
      <c r="AD81" s="1500"/>
      <c r="AE81" s="1500"/>
      <c r="AF81" s="1500"/>
      <c r="AG81" s="1500"/>
      <c r="AH81" s="1500"/>
      <c r="AI81" s="1500"/>
      <c r="AJ81" s="1500"/>
      <c r="AK81" s="1500"/>
      <c r="AL81" s="1500"/>
      <c r="AM81" s="1500"/>
      <c r="AN81" s="1500"/>
      <c r="AO81" s="1500"/>
      <c r="AP81" s="1500"/>
      <c r="AQ81" s="1501"/>
      <c r="AS81" s="1502"/>
      <c r="AT81" s="1502"/>
      <c r="AU81" s="1502"/>
      <c r="AV81" s="1502"/>
      <c r="AW81" s="1502"/>
      <c r="AX81" s="1502"/>
      <c r="AY81" s="1502"/>
      <c r="AZ81" s="1502"/>
      <c r="BA81" s="1502"/>
      <c r="BB81" s="1502"/>
      <c r="BC81" s="1502"/>
      <c r="BD81" s="1502"/>
      <c r="BE81" s="1502"/>
      <c r="BF81" s="1502"/>
      <c r="BG81" s="1502"/>
      <c r="BH81" s="1502"/>
      <c r="BI81" s="1502"/>
      <c r="BJ81" s="1502"/>
      <c r="BK81" s="1502"/>
      <c r="BL81" s="1524"/>
      <c r="BN81" s="1504"/>
      <c r="BO81" s="1504"/>
      <c r="BP81" s="1505"/>
      <c r="BR81" s="3168"/>
      <c r="BS81" s="1525"/>
      <c r="BT81" s="748"/>
      <c r="BU81" s="1507"/>
      <c r="BV81" s="1508"/>
      <c r="BW81" s="1508"/>
      <c r="BX81" s="1508"/>
      <c r="BY81" s="1508"/>
      <c r="BZ81" s="1508"/>
      <c r="CA81" s="1508"/>
      <c r="CB81" s="1508"/>
      <c r="CC81" s="1508"/>
      <c r="CD81" s="1508"/>
      <c r="CE81" s="1508"/>
      <c r="CF81" s="1508"/>
      <c r="CG81" s="1508"/>
      <c r="CH81" s="1508"/>
      <c r="CI81" s="1508"/>
      <c r="CJ81" s="1508"/>
      <c r="CK81" s="1508"/>
      <c r="CL81" s="1508"/>
      <c r="CM81" s="1508"/>
      <c r="CN81" s="1508"/>
      <c r="CO81" s="1508"/>
      <c r="CP81" s="1508"/>
      <c r="CQ81" s="1508"/>
      <c r="CR81" s="1508"/>
      <c r="CS81" s="1508"/>
      <c r="CT81" s="1508"/>
      <c r="CU81" s="1508"/>
      <c r="CV81" s="1508"/>
      <c r="CW81" s="1508"/>
      <c r="CX81" s="1508"/>
      <c r="CY81" s="1508"/>
      <c r="CZ81" s="1508"/>
      <c r="DA81" s="1508"/>
      <c r="DB81" s="1508"/>
      <c r="DC81" s="1508"/>
      <c r="DD81" s="1508"/>
      <c r="DE81" s="1508"/>
      <c r="DF81" s="1508"/>
      <c r="DG81" s="1508"/>
      <c r="DH81" s="1508"/>
      <c r="DI81" s="1508"/>
      <c r="DJ81" s="1508"/>
      <c r="DK81" s="1508"/>
      <c r="DL81" s="1508"/>
      <c r="DN81" s="1509"/>
    </row>
    <row r="82" spans="1:118" s="14" customFormat="1" ht="20.25" customHeight="1" collapsed="1" x14ac:dyDescent="0.2">
      <c r="A82" s="1534"/>
      <c r="B82" s="1535"/>
      <c r="C82" s="1536" t="s">
        <v>737</v>
      </c>
      <c r="D82" s="1537" t="str">
        <f>INDEX(Flujos[Flujos], MATCH($C82, Flujos[Código], 0))</f>
        <v>Otros Sectores</v>
      </c>
      <c r="E82" s="1843"/>
      <c r="G82" s="1539"/>
      <c r="H82" s="1539"/>
      <c r="I82" s="1539"/>
      <c r="J82" s="1539"/>
      <c r="K82" s="1539"/>
      <c r="L82" s="1539"/>
      <c r="M82" s="1539"/>
      <c r="N82" s="1539"/>
      <c r="O82" s="1539"/>
      <c r="P82" s="1539"/>
      <c r="Q82" s="1539"/>
      <c r="R82" s="1539"/>
      <c r="S82" s="1539"/>
      <c r="T82" s="1539"/>
      <c r="U82" s="1539"/>
      <c r="V82" s="1539"/>
      <c r="W82" s="1539"/>
      <c r="Y82" s="2609">
        <f ca="1">Y78+Y79+Y80</f>
        <v>0</v>
      </c>
      <c r="Z82" s="2609">
        <f t="shared" ref="Z82:AQ82" ca="1" si="60">Z78+Z79+Z80</f>
        <v>0.41862659982364236</v>
      </c>
      <c r="AA82" s="2609">
        <f t="shared" ca="1" si="60"/>
        <v>0</v>
      </c>
      <c r="AB82" s="2609">
        <f t="shared" ca="1" si="60"/>
        <v>0</v>
      </c>
      <c r="AC82" s="2609">
        <f t="shared" ca="1" si="60"/>
        <v>0</v>
      </c>
      <c r="AD82" s="2609">
        <f t="shared" ca="1" si="60"/>
        <v>0</v>
      </c>
      <c r="AE82" s="2609">
        <f t="shared" ca="1" si="60"/>
        <v>0</v>
      </c>
      <c r="AF82" s="2609">
        <f t="shared" ca="1" si="60"/>
        <v>0</v>
      </c>
      <c r="AG82" s="2609">
        <f t="shared" ca="1" si="60"/>
        <v>0</v>
      </c>
      <c r="AH82" s="2609">
        <f t="shared" ca="1" si="60"/>
        <v>0</v>
      </c>
      <c r="AI82" s="2609">
        <f t="shared" ca="1" si="60"/>
        <v>0</v>
      </c>
      <c r="AJ82" s="2609">
        <f t="shared" ca="1" si="60"/>
        <v>0</v>
      </c>
      <c r="AK82" s="2609">
        <f t="shared" ca="1" si="60"/>
        <v>0</v>
      </c>
      <c r="AL82" s="2609">
        <f t="shared" ca="1" si="60"/>
        <v>0</v>
      </c>
      <c r="AM82" s="2609">
        <f t="shared" ca="1" si="60"/>
        <v>0</v>
      </c>
      <c r="AN82" s="2609">
        <f t="shared" ca="1" si="60"/>
        <v>0</v>
      </c>
      <c r="AO82" s="2609">
        <f t="shared" ca="1" si="60"/>
        <v>0</v>
      </c>
      <c r="AP82" s="2609">
        <f t="shared" ca="1" si="60"/>
        <v>0</v>
      </c>
      <c r="AQ82" s="2608">
        <f t="shared" ca="1" si="60"/>
        <v>0.41862659982364236</v>
      </c>
      <c r="AS82" s="1491">
        <f ca="1">AS78+AS79+AS80</f>
        <v>0</v>
      </c>
      <c r="AT82" s="1491">
        <f t="shared" ref="AT82:BJ82" ca="1" si="61">AT78+AT79+AT80</f>
        <v>0</v>
      </c>
      <c r="AU82" s="1491">
        <f t="shared" ca="1" si="61"/>
        <v>0</v>
      </c>
      <c r="AV82" s="1491">
        <f t="shared" ca="1" si="61"/>
        <v>0</v>
      </c>
      <c r="AW82" s="1491">
        <f t="shared" ca="1" si="61"/>
        <v>0</v>
      </c>
      <c r="AX82" s="1491">
        <f t="shared" ca="1" si="61"/>
        <v>0</v>
      </c>
      <c r="AY82" s="1491">
        <f t="shared" ca="1" si="61"/>
        <v>0</v>
      </c>
      <c r="AZ82" s="1491">
        <f t="shared" ca="1" si="61"/>
        <v>0</v>
      </c>
      <c r="BA82" s="1491">
        <f t="shared" ca="1" si="61"/>
        <v>0</v>
      </c>
      <c r="BB82" s="1491">
        <f t="shared" ca="1" si="61"/>
        <v>0</v>
      </c>
      <c r="BC82" s="1491">
        <f t="shared" ca="1" si="61"/>
        <v>0</v>
      </c>
      <c r="BD82" s="1491">
        <f t="shared" ca="1" si="61"/>
        <v>0</v>
      </c>
      <c r="BE82" s="1491">
        <f t="shared" ca="1" si="61"/>
        <v>0</v>
      </c>
      <c r="BF82" s="1491">
        <f t="shared" ca="1" si="61"/>
        <v>0</v>
      </c>
      <c r="BG82" s="1491">
        <f t="shared" ca="1" si="61"/>
        <v>0</v>
      </c>
      <c r="BH82" s="1491">
        <f t="shared" ca="1" si="61"/>
        <v>0</v>
      </c>
      <c r="BI82" s="1491">
        <f t="shared" ca="1" si="61"/>
        <v>0</v>
      </c>
      <c r="BJ82" s="1491">
        <f t="shared" ca="1" si="61"/>
        <v>0</v>
      </c>
      <c r="BK82" s="3167">
        <f ca="1">BK78+BK79+BK80</f>
        <v>-0.41862659982364236</v>
      </c>
      <c r="BL82" s="1491">
        <f ca="1">BL78+BL79+BL80</f>
        <v>-0.41862659982364236</v>
      </c>
      <c r="BN82" s="1492">
        <f ca="1">BN78+BN79+BN80</f>
        <v>0</v>
      </c>
      <c r="BO82" s="1492">
        <f ca="1">BO78+BO79+BO80</f>
        <v>0</v>
      </c>
      <c r="BP82" s="1492">
        <f ca="1">BP78+BP79+BP80</f>
        <v>0</v>
      </c>
      <c r="BR82" s="3168">
        <f ca="1">W82+AQ82+BL82+BP82</f>
        <v>0</v>
      </c>
      <c r="BS82" s="1493"/>
      <c r="BT82" s="748"/>
      <c r="BU82" s="1508"/>
      <c r="BV82" s="1508"/>
      <c r="BW82" s="1508"/>
      <c r="BX82" s="1508"/>
      <c r="BY82" s="1508"/>
      <c r="BZ82" s="1508"/>
      <c r="CA82" s="1508"/>
      <c r="CB82" s="1508"/>
      <c r="CC82" s="1508"/>
      <c r="CD82" s="1508"/>
      <c r="CE82" s="1508"/>
      <c r="CF82" s="1508"/>
      <c r="CG82" s="1508"/>
      <c r="CH82" s="1508"/>
      <c r="CI82" s="1508"/>
      <c r="CJ82" s="1508"/>
      <c r="CK82" s="1508"/>
      <c r="CL82" s="1508"/>
      <c r="CM82" s="1508"/>
      <c r="CN82" s="1508"/>
      <c r="CO82" s="1508"/>
      <c r="CP82" s="1508"/>
      <c r="CQ82" s="1508"/>
      <c r="CR82" s="1508"/>
      <c r="CS82" s="1508"/>
      <c r="CT82" s="1508"/>
      <c r="CU82" s="1508"/>
      <c r="CV82" s="1508"/>
      <c r="CW82" s="1508"/>
      <c r="CX82" s="1508"/>
      <c r="CY82" s="1508"/>
      <c r="CZ82" s="1508"/>
      <c r="DA82" s="1508"/>
      <c r="DB82" s="1508"/>
      <c r="DC82" s="1508"/>
      <c r="DD82" s="1508"/>
      <c r="DE82" s="1508"/>
      <c r="DF82" s="1508"/>
      <c r="DG82" s="1508"/>
      <c r="DH82" s="1508"/>
      <c r="DI82" s="1508"/>
      <c r="DJ82" s="1508"/>
      <c r="DK82" s="1508"/>
      <c r="DL82" s="1508"/>
      <c r="DN82" s="1509"/>
    </row>
    <row r="83" spans="1:118" s="14" customFormat="1" ht="15.75" x14ac:dyDescent="0.2">
      <c r="A83" s="1845"/>
      <c r="B83" s="1847"/>
      <c r="C83" s="1842"/>
      <c r="D83" s="1843"/>
      <c r="E83" s="1844"/>
      <c r="G83" s="1539"/>
      <c r="H83" s="1539"/>
      <c r="I83" s="1539"/>
      <c r="J83" s="1539"/>
      <c r="K83" s="1539"/>
      <c r="L83" s="1539"/>
      <c r="M83" s="1539"/>
      <c r="N83" s="1539"/>
      <c r="O83" s="1539"/>
      <c r="P83" s="1539"/>
      <c r="Q83" s="1539"/>
      <c r="R83" s="1539"/>
      <c r="S83" s="1539"/>
      <c r="T83" s="1539"/>
      <c r="U83" s="1539"/>
      <c r="V83" s="1539"/>
      <c r="W83" s="1539"/>
      <c r="Y83" s="1490"/>
      <c r="Z83" s="1490"/>
      <c r="AA83" s="1490"/>
      <c r="AB83" s="1490"/>
      <c r="AC83" s="1490"/>
      <c r="AD83" s="1490"/>
      <c r="AE83" s="1490"/>
      <c r="AF83" s="1490"/>
      <c r="AG83" s="1490"/>
      <c r="AH83" s="1490"/>
      <c r="AI83" s="1490"/>
      <c r="AJ83" s="1490"/>
      <c r="AK83" s="1490"/>
      <c r="AL83" s="1490"/>
      <c r="AM83" s="1490"/>
      <c r="AN83" s="1490"/>
      <c r="AO83" s="1490"/>
      <c r="AP83" s="1490"/>
      <c r="AQ83" s="1490"/>
      <c r="AS83" s="1491"/>
      <c r="AT83" s="1491"/>
      <c r="AU83" s="1491"/>
      <c r="AV83" s="1491"/>
      <c r="AW83" s="1491"/>
      <c r="AX83" s="1491"/>
      <c r="AY83" s="1491"/>
      <c r="AZ83" s="1491"/>
      <c r="BA83" s="1491"/>
      <c r="BB83" s="1491"/>
      <c r="BC83" s="1491"/>
      <c r="BD83" s="1491"/>
      <c r="BE83" s="1491"/>
      <c r="BF83" s="1491"/>
      <c r="BG83" s="1491"/>
      <c r="BH83" s="1491"/>
      <c r="BI83" s="1491"/>
      <c r="BJ83" s="1491"/>
      <c r="BK83" s="1491"/>
      <c r="BL83" s="1491"/>
      <c r="BN83" s="1492"/>
      <c r="BO83" s="1492"/>
      <c r="BP83" s="1492"/>
      <c r="BR83" s="3168"/>
      <c r="BS83" s="1579"/>
      <c r="BT83" s="748"/>
      <c r="BU83" s="1507"/>
      <c r="BV83" s="1508"/>
      <c r="BW83" s="1508"/>
      <c r="BX83" s="1508"/>
      <c r="BY83" s="1508"/>
      <c r="BZ83" s="1508"/>
      <c r="CA83" s="1508"/>
      <c r="CB83" s="1508"/>
      <c r="CC83" s="1508"/>
      <c r="CD83" s="1508"/>
      <c r="CE83" s="1508"/>
      <c r="CF83" s="1508"/>
      <c r="CG83" s="1508"/>
      <c r="CH83" s="1508"/>
      <c r="CI83" s="1508"/>
      <c r="CJ83" s="1508"/>
      <c r="CK83" s="1508"/>
      <c r="CL83" s="1508"/>
      <c r="CM83" s="1508"/>
      <c r="CN83" s="1508"/>
      <c r="CO83" s="1508"/>
      <c r="CP83" s="1508"/>
      <c r="CQ83" s="1508"/>
      <c r="CR83" s="1508"/>
      <c r="CS83" s="1508"/>
      <c r="CT83" s="1508"/>
      <c r="CU83" s="1508"/>
      <c r="CV83" s="1508"/>
      <c r="CW83" s="1508"/>
      <c r="CX83" s="1508"/>
      <c r="CY83" s="1508"/>
      <c r="CZ83" s="1508"/>
      <c r="DA83" s="1508"/>
      <c r="DB83" s="1508"/>
      <c r="DC83" s="1508"/>
      <c r="DD83" s="1508"/>
      <c r="DE83" s="1508"/>
      <c r="DF83" s="1508"/>
      <c r="DG83" s="1508"/>
      <c r="DH83" s="1508"/>
      <c r="DI83" s="1508"/>
      <c r="DJ83" s="1508"/>
      <c r="DK83" s="1508"/>
      <c r="DL83" s="1508"/>
      <c r="DN83" s="1509"/>
    </row>
    <row r="84" spans="1:118" s="14" customFormat="1" ht="15.75" hidden="1" outlineLevel="1" x14ac:dyDescent="0.2">
      <c r="A84" s="1534"/>
      <c r="B84" s="1535"/>
      <c r="C84" s="1536"/>
      <c r="D84" s="1537"/>
      <c r="E84" s="1538"/>
      <c r="G84" s="1539"/>
      <c r="H84" s="1539"/>
      <c r="I84" s="1539"/>
      <c r="J84" s="1539"/>
      <c r="K84" s="1539"/>
      <c r="L84" s="1539"/>
      <c r="M84" s="1539"/>
      <c r="N84" s="1539"/>
      <c r="O84" s="1539"/>
      <c r="P84" s="1539"/>
      <c r="Q84" s="1539"/>
      <c r="R84" s="1539"/>
      <c r="S84" s="1539"/>
      <c r="T84" s="1539"/>
      <c r="U84" s="1539"/>
      <c r="V84" s="1539"/>
      <c r="W84" s="1539"/>
      <c r="Y84" s="1490"/>
      <c r="Z84" s="1490"/>
      <c r="AA84" s="1490"/>
      <c r="AB84" s="1490"/>
      <c r="AC84" s="1490"/>
      <c r="AD84" s="1490"/>
      <c r="AE84" s="1490"/>
      <c r="AF84" s="1490"/>
      <c r="AG84" s="1490"/>
      <c r="AH84" s="1490"/>
      <c r="AI84" s="1490"/>
      <c r="AJ84" s="1490"/>
      <c r="AK84" s="1490"/>
      <c r="AL84" s="1490"/>
      <c r="AM84" s="1490"/>
      <c r="AN84" s="1490"/>
      <c r="AO84" s="1490"/>
      <c r="AP84" s="1490"/>
      <c r="AQ84" s="1490"/>
      <c r="AS84" s="1491"/>
      <c r="AT84" s="1491"/>
      <c r="AU84" s="1491"/>
      <c r="AV84" s="1491"/>
      <c r="AW84" s="1491"/>
      <c r="AX84" s="1491"/>
      <c r="AY84" s="1491"/>
      <c r="AZ84" s="1491"/>
      <c r="BA84" s="1491"/>
      <c r="BB84" s="1491"/>
      <c r="BC84" s="1491"/>
      <c r="BD84" s="1491"/>
      <c r="BE84" s="1491"/>
      <c r="BF84" s="1491"/>
      <c r="BG84" s="1491"/>
      <c r="BH84" s="1491"/>
      <c r="BI84" s="1491"/>
      <c r="BJ84" s="1491"/>
      <c r="BK84" s="1491"/>
      <c r="BL84" s="1491"/>
      <c r="BN84" s="1492"/>
      <c r="BO84" s="1492"/>
      <c r="BP84" s="1492"/>
      <c r="BR84" s="3168">
        <f t="shared" ref="BR84:BR89" si="62">W84+AQ84+BL84+BP84</f>
        <v>0</v>
      </c>
      <c r="BS84" s="1493"/>
      <c r="BT84" s="748"/>
      <c r="BU84" s="1508"/>
      <c r="BV84" s="1508"/>
      <c r="BW84" s="1508"/>
      <c r="BX84" s="1508"/>
      <c r="BY84" s="1508"/>
      <c r="BZ84" s="1508"/>
      <c r="CA84" s="1508"/>
      <c r="CB84" s="1508"/>
      <c r="CC84" s="1508"/>
      <c r="CD84" s="1508"/>
      <c r="CE84" s="1508"/>
      <c r="CF84" s="1508"/>
      <c r="CG84" s="1508"/>
      <c r="CH84" s="1508"/>
      <c r="CI84" s="1508"/>
      <c r="CJ84" s="1508"/>
      <c r="CK84" s="1508"/>
      <c r="CL84" s="1508"/>
      <c r="CM84" s="1508"/>
      <c r="CN84" s="1508"/>
      <c r="CO84" s="1508"/>
      <c r="CP84" s="1508"/>
      <c r="CQ84" s="1508"/>
      <c r="CR84" s="1508"/>
      <c r="CS84" s="1508"/>
      <c r="CT84" s="1508"/>
      <c r="CU84" s="1508"/>
      <c r="CV84" s="1508"/>
      <c r="CW84" s="1508"/>
      <c r="CX84" s="1508"/>
      <c r="CY84" s="1508"/>
      <c r="CZ84" s="1508"/>
      <c r="DA84" s="1508"/>
      <c r="DB84" s="1508"/>
      <c r="DC84" s="1508"/>
      <c r="DD84" s="1508"/>
      <c r="DE84" s="1508"/>
      <c r="DF84" s="1508"/>
      <c r="DG84" s="1508"/>
      <c r="DH84" s="1508"/>
      <c r="DI84" s="1508"/>
      <c r="DJ84" s="1508"/>
      <c r="DK84" s="1508"/>
      <c r="DL84" s="1508"/>
      <c r="DN84" s="1509"/>
    </row>
    <row r="85" spans="1:118" s="14" customFormat="1" ht="12.75" hidden="1" customHeight="1" outlineLevel="2" x14ac:dyDescent="0.2">
      <c r="A85" s="1534"/>
      <c r="B85" s="1534"/>
      <c r="C85" s="1544"/>
      <c r="D85" s="1538"/>
      <c r="E85" s="1538"/>
      <c r="G85" s="1488"/>
      <c r="H85" s="1488"/>
      <c r="I85" s="1488"/>
      <c r="J85" s="1488"/>
      <c r="K85" s="1488"/>
      <c r="L85" s="1488"/>
      <c r="M85" s="1488"/>
      <c r="N85" s="1488"/>
      <c r="O85" s="1563"/>
      <c r="P85" s="1488"/>
      <c r="Q85" s="1488"/>
      <c r="R85" s="1488"/>
      <c r="S85" s="1488"/>
      <c r="T85" s="1488"/>
      <c r="U85" s="1488"/>
      <c r="V85" s="1488"/>
      <c r="W85" s="1488"/>
      <c r="Y85" s="1490"/>
      <c r="Z85" s="1490"/>
      <c r="AA85" s="1490"/>
      <c r="AB85" s="1490"/>
      <c r="AC85" s="1490"/>
      <c r="AD85" s="1490"/>
      <c r="AE85" s="1490"/>
      <c r="AF85" s="1490"/>
      <c r="AG85" s="1490"/>
      <c r="AH85" s="1490"/>
      <c r="AI85" s="1490"/>
      <c r="AJ85" s="1490"/>
      <c r="AK85" s="1490"/>
      <c r="AL85" s="1490"/>
      <c r="AM85" s="1490"/>
      <c r="AN85" s="1490"/>
      <c r="AO85" s="1490"/>
      <c r="AP85" s="1490"/>
      <c r="AQ85" s="1490"/>
      <c r="AS85" s="1491"/>
      <c r="AT85" s="1491"/>
      <c r="AU85" s="1491"/>
      <c r="AV85" s="1491"/>
      <c r="AW85" s="1491"/>
      <c r="AX85" s="1491"/>
      <c r="AY85" s="1491"/>
      <c r="AZ85" s="1491"/>
      <c r="BA85" s="1491"/>
      <c r="BB85" s="1491"/>
      <c r="BC85" s="1491"/>
      <c r="BD85" s="1491"/>
      <c r="BE85" s="1491"/>
      <c r="BF85" s="1491"/>
      <c r="BG85" s="1491"/>
      <c r="BH85" s="1491"/>
      <c r="BI85" s="1491"/>
      <c r="BJ85" s="1491"/>
      <c r="BK85" s="1491"/>
      <c r="BL85" s="1491"/>
      <c r="BN85" s="1492"/>
      <c r="BO85" s="1492"/>
      <c r="BP85" s="1492"/>
      <c r="BR85" s="3168">
        <f t="shared" si="62"/>
        <v>0</v>
      </c>
      <c r="BS85" s="1493"/>
      <c r="BT85" s="1534"/>
      <c r="BU85" s="1508"/>
      <c r="BV85" s="1508"/>
      <c r="BW85" s="1508"/>
      <c r="BX85" s="1508"/>
      <c r="BY85" s="1508"/>
      <c r="BZ85" s="1508"/>
      <c r="CA85" s="1508"/>
      <c r="CB85" s="1508"/>
      <c r="CC85" s="1508"/>
      <c r="CD85" s="1508"/>
      <c r="CE85" s="1508"/>
      <c r="CF85" s="1508"/>
      <c r="CG85" s="1508"/>
      <c r="CH85" s="1508"/>
      <c r="CI85" s="1508"/>
      <c r="CJ85" s="1508"/>
      <c r="CK85" s="1508"/>
      <c r="CL85" s="1508"/>
      <c r="CM85" s="1508"/>
      <c r="CN85" s="1508"/>
      <c r="CO85" s="1508"/>
      <c r="CP85" s="1508"/>
      <c r="CQ85" s="1508"/>
      <c r="CR85" s="1508"/>
      <c r="CS85" s="1508"/>
      <c r="CT85" s="1508"/>
      <c r="CU85" s="1508"/>
      <c r="CV85" s="1508"/>
      <c r="CW85" s="1508"/>
      <c r="CX85" s="1508"/>
      <c r="CY85" s="1508"/>
      <c r="CZ85" s="1508"/>
      <c r="DA85" s="1508"/>
      <c r="DB85" s="1508"/>
      <c r="DC85" s="1508"/>
      <c r="DD85" s="1508"/>
      <c r="DE85" s="1508"/>
      <c r="DF85" s="1508"/>
      <c r="DG85" s="1508"/>
      <c r="DH85" s="1508"/>
      <c r="DI85" s="1508"/>
      <c r="DJ85" s="1508"/>
      <c r="DK85" s="1508"/>
      <c r="DL85" s="1508"/>
      <c r="DN85" s="1509">
        <v>0</v>
      </c>
    </row>
    <row r="86" spans="1:118" s="1564" customFormat="1" ht="12.75" hidden="1" customHeight="1" outlineLevel="2" x14ac:dyDescent="0.2">
      <c r="C86" s="1565" t="s">
        <v>809</v>
      </c>
      <c r="D86" s="1566" t="s">
        <v>810</v>
      </c>
      <c r="E86" s="1566"/>
      <c r="F86" s="1567"/>
      <c r="G86" s="1568"/>
      <c r="H86" s="1568"/>
      <c r="I86" s="1568"/>
      <c r="J86" s="1568"/>
      <c r="K86" s="1568"/>
      <c r="L86" s="1568"/>
      <c r="M86" s="1568"/>
      <c r="N86" s="1568"/>
      <c r="O86" s="1569"/>
      <c r="P86" s="1568"/>
      <c r="Q86" s="1568"/>
      <c r="R86" s="1568"/>
      <c r="S86" s="1568"/>
      <c r="T86" s="1568"/>
      <c r="U86" s="1568"/>
      <c r="V86" s="1568"/>
      <c r="W86" s="1568"/>
      <c r="X86" s="1567"/>
      <c r="Y86" s="1570"/>
      <c r="Z86" s="1570"/>
      <c r="AA86" s="1570"/>
      <c r="AB86" s="1570"/>
      <c r="AC86" s="1570"/>
      <c r="AD86" s="1570"/>
      <c r="AE86" s="1570"/>
      <c r="AF86" s="1570"/>
      <c r="AG86" s="1570"/>
      <c r="AH86" s="1570"/>
      <c r="AI86" s="1570"/>
      <c r="AJ86" s="1570"/>
      <c r="AK86" s="1570"/>
      <c r="AL86" s="1570"/>
      <c r="AM86" s="1570"/>
      <c r="AN86" s="1570"/>
      <c r="AO86" s="1570"/>
      <c r="AP86" s="1570"/>
      <c r="AQ86" s="1570"/>
      <c r="AR86" s="1567"/>
      <c r="AS86" s="1571"/>
      <c r="AT86" s="1571"/>
      <c r="AU86" s="1571"/>
      <c r="AV86" s="1571"/>
      <c r="AW86" s="1571"/>
      <c r="AX86" s="1571"/>
      <c r="AY86" s="1571"/>
      <c r="AZ86" s="1571"/>
      <c r="BA86" s="1571"/>
      <c r="BB86" s="1571"/>
      <c r="BC86" s="1571"/>
      <c r="BD86" s="1571"/>
      <c r="BE86" s="1571"/>
      <c r="BF86" s="1571"/>
      <c r="BG86" s="1571"/>
      <c r="BH86" s="1571"/>
      <c r="BI86" s="1571"/>
      <c r="BJ86" s="1571"/>
      <c r="BK86" s="1571"/>
      <c r="BL86" s="1571"/>
      <c r="BM86" s="1567"/>
      <c r="BN86" s="1572"/>
      <c r="BO86" s="1572"/>
      <c r="BP86" s="1572"/>
      <c r="BQ86" s="1567"/>
      <c r="BR86" s="3168">
        <f t="shared" si="62"/>
        <v>0</v>
      </c>
      <c r="BS86" s="1573"/>
      <c r="BU86" s="1574"/>
      <c r="BV86" s="1574"/>
      <c r="BW86" s="1574"/>
      <c r="BX86" s="1574"/>
      <c r="BY86" s="1574"/>
      <c r="BZ86" s="1574"/>
      <c r="CA86" s="1574"/>
      <c r="CB86" s="1574"/>
      <c r="CC86" s="1574"/>
      <c r="CD86" s="1574"/>
      <c r="CE86" s="1574"/>
      <c r="CF86" s="1574"/>
      <c r="CG86" s="1574"/>
      <c r="CH86" s="1574"/>
      <c r="CI86" s="1574"/>
      <c r="CJ86" s="1574"/>
      <c r="CK86" s="1574"/>
      <c r="CL86" s="1574"/>
      <c r="CM86" s="1574"/>
      <c r="CN86" s="1574"/>
      <c r="CO86" s="1574"/>
      <c r="CP86" s="1574"/>
      <c r="CQ86" s="1574"/>
      <c r="CR86" s="1574"/>
      <c r="CS86" s="1574"/>
      <c r="CT86" s="1574"/>
      <c r="CU86" s="1574"/>
      <c r="CV86" s="1574"/>
      <c r="CW86" s="1574"/>
      <c r="CX86" s="1574"/>
      <c r="CY86" s="1574"/>
      <c r="CZ86" s="1574"/>
      <c r="DA86" s="1574"/>
      <c r="DB86" s="1574"/>
      <c r="DC86" s="1574"/>
      <c r="DD86" s="1574"/>
      <c r="DE86" s="1574"/>
      <c r="DF86" s="1574"/>
      <c r="DG86" s="1574"/>
      <c r="DH86" s="1574"/>
      <c r="DI86" s="1574"/>
      <c r="DJ86" s="1574"/>
      <c r="DK86" s="1574"/>
      <c r="DL86" s="1574"/>
      <c r="DN86" s="1575">
        <v>0</v>
      </c>
    </row>
    <row r="87" spans="1:118" s="1522" customFormat="1" ht="12.75" hidden="1" customHeight="1" outlineLevel="2" x14ac:dyDescent="0.2">
      <c r="C87" s="1496" t="s">
        <v>112</v>
      </c>
      <c r="D87" s="1526" t="s">
        <v>113</v>
      </c>
      <c r="E87" s="1526"/>
      <c r="F87" s="14"/>
      <c r="G87" s="1540"/>
      <c r="H87" s="1540"/>
      <c r="I87" s="1540"/>
      <c r="J87" s="1540"/>
      <c r="K87" s="1540"/>
      <c r="L87" s="1540"/>
      <c r="M87" s="1540"/>
      <c r="N87" s="1540"/>
      <c r="O87" s="1540"/>
      <c r="P87" s="1540"/>
      <c r="Q87" s="1540"/>
      <c r="R87" s="1540"/>
      <c r="S87" s="1540"/>
      <c r="T87" s="1540"/>
      <c r="U87" s="1540"/>
      <c r="V87" s="1540"/>
      <c r="W87" s="1527"/>
      <c r="X87" s="14"/>
      <c r="Y87" s="1541"/>
      <c r="Z87" s="1541"/>
      <c r="AA87" s="1541"/>
      <c r="AB87" s="1541"/>
      <c r="AC87" s="1541"/>
      <c r="AD87" s="1541"/>
      <c r="AE87" s="1541"/>
      <c r="AF87" s="1541"/>
      <c r="AG87" s="1541"/>
      <c r="AH87" s="1541"/>
      <c r="AI87" s="1541"/>
      <c r="AJ87" s="1541"/>
      <c r="AK87" s="1541"/>
      <c r="AL87" s="1541"/>
      <c r="AM87" s="1541"/>
      <c r="AN87" s="1541"/>
      <c r="AO87" s="1541"/>
      <c r="AP87" s="1541"/>
      <c r="AQ87" s="1528"/>
      <c r="AR87" s="14"/>
      <c r="AS87" s="1542"/>
      <c r="AT87" s="1542"/>
      <c r="AU87" s="1542"/>
      <c r="AV87" s="1542"/>
      <c r="AW87" s="1542"/>
      <c r="AX87" s="1542"/>
      <c r="AY87" s="1542"/>
      <c r="AZ87" s="1542"/>
      <c r="BA87" s="1542"/>
      <c r="BB87" s="1542"/>
      <c r="BC87" s="1542"/>
      <c r="BD87" s="1542"/>
      <c r="BE87" s="1542"/>
      <c r="BF87" s="1542"/>
      <c r="BG87" s="1542"/>
      <c r="BH87" s="1542"/>
      <c r="BI87" s="1542"/>
      <c r="BJ87" s="1542"/>
      <c r="BK87" s="1542"/>
      <c r="BL87" s="1530"/>
      <c r="BM87" s="14"/>
      <c r="BN87" s="1543"/>
      <c r="BO87" s="1543"/>
      <c r="BP87" s="1531"/>
      <c r="BQ87" s="14"/>
      <c r="BR87" s="3168">
        <f t="shared" si="62"/>
        <v>0</v>
      </c>
      <c r="BS87" s="1525"/>
      <c r="BT87" s="748"/>
      <c r="BU87" s="1532">
        <v>0</v>
      </c>
      <c r="BV87" s="1533">
        <v>0</v>
      </c>
      <c r="BW87" s="1533">
        <v>0</v>
      </c>
      <c r="BX87" s="1533">
        <v>0</v>
      </c>
      <c r="BY87" s="1533">
        <v>0</v>
      </c>
      <c r="BZ87" s="1533">
        <v>0</v>
      </c>
      <c r="CA87" s="1533">
        <v>0</v>
      </c>
      <c r="CB87" s="1533">
        <v>0</v>
      </c>
      <c r="CC87" s="1533">
        <v>0</v>
      </c>
      <c r="CD87" s="1533">
        <v>0</v>
      </c>
      <c r="CE87" s="1533">
        <v>0</v>
      </c>
      <c r="CF87" s="1533">
        <v>0</v>
      </c>
      <c r="CG87" s="1533">
        <v>0</v>
      </c>
      <c r="CH87" s="1533">
        <v>0</v>
      </c>
      <c r="CI87" s="1533">
        <v>0</v>
      </c>
      <c r="CJ87" s="1533">
        <v>0</v>
      </c>
      <c r="CK87" s="1533">
        <v>0</v>
      </c>
      <c r="CL87" s="1533">
        <v>0</v>
      </c>
      <c r="CM87" s="1533">
        <v>0</v>
      </c>
      <c r="CN87" s="1533">
        <v>0</v>
      </c>
      <c r="CO87" s="1533">
        <v>0</v>
      </c>
      <c r="CP87" s="1533">
        <v>0</v>
      </c>
      <c r="CQ87" s="1533">
        <v>0</v>
      </c>
      <c r="CR87" s="1533">
        <v>0</v>
      </c>
      <c r="CS87" s="1533">
        <v>0</v>
      </c>
      <c r="CT87" s="1533">
        <v>0</v>
      </c>
      <c r="CU87" s="1533">
        <v>0</v>
      </c>
      <c r="CV87" s="1533">
        <v>0</v>
      </c>
      <c r="CW87" s="1533">
        <v>0</v>
      </c>
      <c r="CX87" s="1533">
        <v>0</v>
      </c>
      <c r="CY87" s="1533">
        <v>0</v>
      </c>
      <c r="CZ87" s="1533">
        <v>0</v>
      </c>
      <c r="DA87" s="1533">
        <v>0</v>
      </c>
      <c r="DB87" s="1533">
        <v>0</v>
      </c>
      <c r="DC87" s="1533">
        <v>0</v>
      </c>
      <c r="DD87" s="1533">
        <v>0</v>
      </c>
      <c r="DE87" s="1533">
        <v>0</v>
      </c>
      <c r="DF87" s="1533">
        <v>0</v>
      </c>
      <c r="DG87" s="1533">
        <v>0</v>
      </c>
      <c r="DH87" s="1533">
        <v>0</v>
      </c>
      <c r="DI87" s="1533">
        <v>0</v>
      </c>
      <c r="DJ87" s="1533">
        <v>0</v>
      </c>
      <c r="DK87" s="1533">
        <v>0</v>
      </c>
      <c r="DL87" s="1533">
        <v>0</v>
      </c>
      <c r="DN87" s="1509">
        <v>0</v>
      </c>
    </row>
    <row r="88" spans="1:118" s="14" customFormat="1" ht="15.75" hidden="1" outlineLevel="1" collapsed="1" x14ac:dyDescent="0.2">
      <c r="A88" s="1845"/>
      <c r="B88" s="1846"/>
      <c r="C88" s="1842" t="s">
        <v>746</v>
      </c>
      <c r="D88" s="1843" t="s">
        <v>2283</v>
      </c>
      <c r="E88" s="1844"/>
      <c r="G88" s="1539"/>
      <c r="H88" s="1539"/>
      <c r="I88" s="1539"/>
      <c r="J88" s="1539"/>
      <c r="K88" s="1539"/>
      <c r="L88" s="1539"/>
      <c r="M88" s="1539"/>
      <c r="N88" s="1539"/>
      <c r="O88" s="1539"/>
      <c r="P88" s="1539"/>
      <c r="Q88" s="1539"/>
      <c r="R88" s="1539"/>
      <c r="S88" s="1539"/>
      <c r="T88" s="1539"/>
      <c r="U88" s="1539"/>
      <c r="V88" s="1539"/>
      <c r="W88" s="1539"/>
      <c r="Y88" s="1490"/>
      <c r="Z88" s="1490"/>
      <c r="AA88" s="1490"/>
      <c r="AB88" s="1490"/>
      <c r="AC88" s="1490"/>
      <c r="AD88" s="1490"/>
      <c r="AE88" s="1490"/>
      <c r="AF88" s="1490"/>
      <c r="AG88" s="1490"/>
      <c r="AH88" s="1490"/>
      <c r="AI88" s="1490"/>
      <c r="AJ88" s="1490"/>
      <c r="AK88" s="1490"/>
      <c r="AL88" s="1490"/>
      <c r="AM88" s="1490"/>
      <c r="AN88" s="1490"/>
      <c r="AO88" s="1490"/>
      <c r="AP88" s="1490"/>
      <c r="AQ88" s="1490"/>
      <c r="AS88" s="1491"/>
      <c r="AT88" s="1491"/>
      <c r="AU88" s="1491"/>
      <c r="AV88" s="1491"/>
      <c r="AW88" s="1491"/>
      <c r="AX88" s="1491"/>
      <c r="AY88" s="1491"/>
      <c r="AZ88" s="1491"/>
      <c r="BA88" s="1491"/>
      <c r="BB88" s="1491"/>
      <c r="BC88" s="1491"/>
      <c r="BD88" s="1491"/>
      <c r="BE88" s="1491"/>
      <c r="BF88" s="1491"/>
      <c r="BG88" s="1491"/>
      <c r="BH88" s="1491"/>
      <c r="BI88" s="1491"/>
      <c r="BJ88" s="1491"/>
      <c r="BK88" s="1491"/>
      <c r="BL88" s="1491"/>
      <c r="BN88" s="1492"/>
      <c r="BO88" s="1492"/>
      <c r="BP88" s="1492"/>
      <c r="BR88" s="3168">
        <f t="shared" si="62"/>
        <v>0</v>
      </c>
      <c r="BS88" s="1493"/>
      <c r="BT88" s="748"/>
      <c r="BU88" s="1508">
        <v>0</v>
      </c>
      <c r="BV88" s="1508">
        <v>0</v>
      </c>
      <c r="BW88" s="1508">
        <v>0</v>
      </c>
      <c r="BX88" s="1508">
        <v>0</v>
      </c>
      <c r="BY88" s="1508">
        <v>0</v>
      </c>
      <c r="BZ88" s="1508">
        <v>0</v>
      </c>
      <c r="CA88" s="1508">
        <v>0</v>
      </c>
      <c r="CB88" s="1508">
        <v>0</v>
      </c>
      <c r="CC88" s="1508">
        <v>0</v>
      </c>
      <c r="CD88" s="1508">
        <v>0</v>
      </c>
      <c r="CE88" s="1508">
        <v>0</v>
      </c>
      <c r="CF88" s="1508">
        <v>0</v>
      </c>
      <c r="CG88" s="1508">
        <v>0</v>
      </c>
      <c r="CH88" s="1508">
        <v>0</v>
      </c>
      <c r="CI88" s="1508">
        <v>0</v>
      </c>
      <c r="CJ88" s="1508">
        <v>0</v>
      </c>
      <c r="CK88" s="1508">
        <v>0</v>
      </c>
      <c r="CL88" s="1508">
        <v>0</v>
      </c>
      <c r="CM88" s="1508">
        <v>0</v>
      </c>
      <c r="CN88" s="1508">
        <v>0</v>
      </c>
      <c r="CO88" s="1508">
        <v>0</v>
      </c>
      <c r="CP88" s="1508">
        <v>0</v>
      </c>
      <c r="CQ88" s="1508">
        <v>0</v>
      </c>
      <c r="CR88" s="1508">
        <v>0</v>
      </c>
      <c r="CS88" s="1508">
        <v>0</v>
      </c>
      <c r="CT88" s="1508">
        <v>0</v>
      </c>
      <c r="CU88" s="1508">
        <v>0</v>
      </c>
      <c r="CV88" s="1508">
        <v>0</v>
      </c>
      <c r="CW88" s="1508">
        <v>0</v>
      </c>
      <c r="CX88" s="1508">
        <v>0</v>
      </c>
      <c r="CY88" s="1508">
        <v>0</v>
      </c>
      <c r="CZ88" s="1508">
        <v>0</v>
      </c>
      <c r="DA88" s="1508">
        <v>0</v>
      </c>
      <c r="DB88" s="1508">
        <v>0</v>
      </c>
      <c r="DC88" s="1508">
        <v>0</v>
      </c>
      <c r="DD88" s="1508">
        <v>0</v>
      </c>
      <c r="DE88" s="1508">
        <v>0</v>
      </c>
      <c r="DF88" s="1508">
        <v>0</v>
      </c>
      <c r="DG88" s="1508">
        <v>0</v>
      </c>
      <c r="DH88" s="1508">
        <v>0</v>
      </c>
      <c r="DI88" s="1508">
        <v>0</v>
      </c>
      <c r="DJ88" s="1508">
        <v>0</v>
      </c>
      <c r="DK88" s="1508">
        <v>0</v>
      </c>
      <c r="DL88" s="1508">
        <v>0</v>
      </c>
      <c r="DN88" s="1509">
        <v>0</v>
      </c>
    </row>
    <row r="89" spans="1:118" s="14" customFormat="1" ht="15.75" hidden="1" outlineLevel="1" x14ac:dyDescent="0.2">
      <c r="A89" s="1845"/>
      <c r="B89" s="1846"/>
      <c r="C89" s="1842"/>
      <c r="D89" s="1843"/>
      <c r="E89" s="1844"/>
      <c r="G89" s="1539"/>
      <c r="H89" s="1539"/>
      <c r="I89" s="1539"/>
      <c r="J89" s="1539"/>
      <c r="K89" s="1539"/>
      <c r="L89" s="1539"/>
      <c r="M89" s="1539"/>
      <c r="N89" s="1539"/>
      <c r="O89" s="1539"/>
      <c r="P89" s="1539"/>
      <c r="Q89" s="1539"/>
      <c r="R89" s="1539"/>
      <c r="S89" s="1539"/>
      <c r="T89" s="1539"/>
      <c r="U89" s="1539"/>
      <c r="V89" s="1539"/>
      <c r="W89" s="1539"/>
      <c r="Y89" s="1490"/>
      <c r="Z89" s="1490"/>
      <c r="AA89" s="1490"/>
      <c r="AB89" s="1490"/>
      <c r="AC89" s="1490"/>
      <c r="AD89" s="1490"/>
      <c r="AE89" s="1490"/>
      <c r="AF89" s="1490"/>
      <c r="AG89" s="1490"/>
      <c r="AH89" s="1490"/>
      <c r="AI89" s="1490"/>
      <c r="AJ89" s="1490"/>
      <c r="AK89" s="1490"/>
      <c r="AL89" s="1490"/>
      <c r="AM89" s="1490"/>
      <c r="AN89" s="1490"/>
      <c r="AO89" s="1490"/>
      <c r="AP89" s="1490"/>
      <c r="AQ89" s="1490"/>
      <c r="AS89" s="1491"/>
      <c r="AT89" s="1491"/>
      <c r="AU89" s="1491"/>
      <c r="AV89" s="1491"/>
      <c r="AW89" s="1491"/>
      <c r="AX89" s="1491"/>
      <c r="AY89" s="1491"/>
      <c r="AZ89" s="1491"/>
      <c r="BA89" s="1491"/>
      <c r="BB89" s="1491"/>
      <c r="BC89" s="1491"/>
      <c r="BD89" s="1491"/>
      <c r="BE89" s="1491"/>
      <c r="BF89" s="1491"/>
      <c r="BG89" s="1491"/>
      <c r="BH89" s="1491"/>
      <c r="BI89" s="1491"/>
      <c r="BJ89" s="1491"/>
      <c r="BK89" s="1491"/>
      <c r="BL89" s="1491"/>
      <c r="BN89" s="1492"/>
      <c r="BO89" s="1492"/>
      <c r="BP89" s="1492"/>
      <c r="BR89" s="3168">
        <f t="shared" si="62"/>
        <v>0</v>
      </c>
      <c r="BS89" s="1493"/>
      <c r="BT89" s="748"/>
      <c r="BU89" s="1508"/>
      <c r="BV89" s="1508"/>
      <c r="BW89" s="1508"/>
      <c r="BX89" s="1508"/>
      <c r="BY89" s="1508"/>
      <c r="BZ89" s="1508"/>
      <c r="CA89" s="1508"/>
      <c r="CB89" s="1508"/>
      <c r="CC89" s="1508"/>
      <c r="CD89" s="1508"/>
      <c r="CE89" s="1508"/>
      <c r="CF89" s="1508"/>
      <c r="CG89" s="1508"/>
      <c r="CH89" s="1508"/>
      <c r="CI89" s="1508"/>
      <c r="CJ89" s="1508"/>
      <c r="CK89" s="1508"/>
      <c r="CL89" s="1508"/>
      <c r="CM89" s="1508"/>
      <c r="CN89" s="1508"/>
      <c r="CO89" s="1508"/>
      <c r="CP89" s="1508"/>
      <c r="CQ89" s="1508"/>
      <c r="CR89" s="1508"/>
      <c r="CS89" s="1508"/>
      <c r="CT89" s="1508"/>
      <c r="CU89" s="1508"/>
      <c r="CV89" s="1508"/>
      <c r="CW89" s="1508"/>
      <c r="CX89" s="1508"/>
      <c r="CY89" s="1508"/>
      <c r="CZ89" s="1508"/>
      <c r="DA89" s="1508"/>
      <c r="DB89" s="1508"/>
      <c r="DC89" s="1508"/>
      <c r="DD89" s="1508"/>
      <c r="DE89" s="1508"/>
      <c r="DF89" s="1508"/>
      <c r="DG89" s="1508"/>
      <c r="DH89" s="1508"/>
      <c r="DI89" s="1508"/>
      <c r="DJ89" s="1508"/>
      <c r="DK89" s="1508"/>
      <c r="DL89" s="1508"/>
      <c r="DN89" s="1509"/>
    </row>
    <row r="90" spans="1:118" s="14" customFormat="1" ht="15.75" collapsed="1" x14ac:dyDescent="0.2">
      <c r="A90" s="1845"/>
      <c r="B90" s="1846"/>
      <c r="C90" s="1842"/>
      <c r="D90" s="1843"/>
      <c r="E90" s="1844"/>
      <c r="G90" s="1539"/>
      <c r="H90" s="1539"/>
      <c r="I90" s="1539"/>
      <c r="J90" s="1539"/>
      <c r="K90" s="1539"/>
      <c r="L90" s="1539"/>
      <c r="M90" s="1539"/>
      <c r="N90" s="1539"/>
      <c r="O90" s="1539"/>
      <c r="P90" s="1539"/>
      <c r="Q90" s="1539"/>
      <c r="R90" s="1539"/>
      <c r="S90" s="1539"/>
      <c r="T90" s="1539"/>
      <c r="U90" s="1539"/>
      <c r="V90" s="1539"/>
      <c r="W90" s="1539"/>
      <c r="Y90" s="1490"/>
      <c r="Z90" s="1490"/>
      <c r="AA90" s="1490"/>
      <c r="AB90" s="1490"/>
      <c r="AC90" s="1490"/>
      <c r="AD90" s="1490"/>
      <c r="AE90" s="1490"/>
      <c r="AF90" s="1490"/>
      <c r="AG90" s="1490"/>
      <c r="AH90" s="1490"/>
      <c r="AI90" s="1490"/>
      <c r="AJ90" s="1490"/>
      <c r="AK90" s="1490"/>
      <c r="AL90" s="1490"/>
      <c r="AM90" s="1490"/>
      <c r="AN90" s="1490"/>
      <c r="AO90" s="1490"/>
      <c r="AP90" s="1490"/>
      <c r="AQ90" s="1490"/>
      <c r="AS90" s="1491"/>
      <c r="AT90" s="1491"/>
      <c r="AU90" s="1491"/>
      <c r="AV90" s="1491"/>
      <c r="AW90" s="1491"/>
      <c r="AX90" s="1491"/>
      <c r="AY90" s="1491"/>
      <c r="AZ90" s="1491"/>
      <c r="BA90" s="1491"/>
      <c r="BB90" s="1491"/>
      <c r="BC90" s="1491"/>
      <c r="BD90" s="1491"/>
      <c r="BE90" s="1491"/>
      <c r="BF90" s="1491"/>
      <c r="BG90" s="1491"/>
      <c r="BH90" s="1491"/>
      <c r="BI90" s="1491"/>
      <c r="BJ90" s="1491"/>
      <c r="BK90" s="1491"/>
      <c r="BL90" s="1491"/>
      <c r="BN90" s="1492"/>
      <c r="BO90" s="1492"/>
      <c r="BP90" s="1492"/>
      <c r="BR90" s="3168"/>
      <c r="BS90" s="1493"/>
      <c r="BT90" s="748"/>
      <c r="BU90" s="1508"/>
      <c r="BV90" s="1508"/>
      <c r="BW90" s="1508"/>
      <c r="BX90" s="1508"/>
      <c r="BY90" s="1508"/>
      <c r="BZ90" s="1508"/>
      <c r="CA90" s="1508"/>
      <c r="CB90" s="1508"/>
      <c r="CC90" s="1508"/>
      <c r="CD90" s="1508"/>
      <c r="CE90" s="1508"/>
      <c r="CF90" s="1508"/>
      <c r="CG90" s="1508"/>
      <c r="CH90" s="1508"/>
      <c r="CI90" s="1508"/>
      <c r="CJ90" s="1508"/>
      <c r="CK90" s="1508"/>
      <c r="CL90" s="1508"/>
      <c r="CM90" s="1508"/>
      <c r="CN90" s="1508"/>
      <c r="CO90" s="1508"/>
      <c r="CP90" s="1508"/>
      <c r="CQ90" s="1508"/>
      <c r="CR90" s="1508"/>
      <c r="CS90" s="1508"/>
      <c r="CT90" s="1508"/>
      <c r="CU90" s="1508"/>
      <c r="CV90" s="1508"/>
      <c r="CW90" s="1508"/>
      <c r="CX90" s="1508"/>
      <c r="CY90" s="1508"/>
      <c r="CZ90" s="1508"/>
      <c r="DA90" s="1508"/>
      <c r="DB90" s="1508"/>
      <c r="DC90" s="1508"/>
      <c r="DD90" s="1508"/>
      <c r="DE90" s="1508"/>
      <c r="DF90" s="1508"/>
      <c r="DG90" s="1508"/>
      <c r="DH90" s="1508"/>
      <c r="DI90" s="1508"/>
      <c r="DJ90" s="1508"/>
      <c r="DK90" s="1508"/>
      <c r="DL90" s="1508"/>
      <c r="DN90" s="1509"/>
    </row>
    <row r="91" spans="1:118" s="14" customFormat="1" ht="6" customHeight="1" x14ac:dyDescent="0.2">
      <c r="C91" s="1552"/>
      <c r="D91" s="1537"/>
      <c r="E91" s="1430"/>
      <c r="G91" s="1488"/>
      <c r="H91" s="1488"/>
      <c r="I91" s="1488"/>
      <c r="J91" s="1488"/>
      <c r="K91" s="1488"/>
      <c r="L91" s="1488"/>
      <c r="M91" s="1488"/>
      <c r="N91" s="1488"/>
      <c r="O91" s="1563"/>
      <c r="P91" s="1488"/>
      <c r="Q91" s="1488"/>
      <c r="R91" s="1488"/>
      <c r="S91" s="1488"/>
      <c r="T91" s="1488"/>
      <c r="U91" s="1488"/>
      <c r="V91" s="1488"/>
      <c r="W91" s="1488"/>
      <c r="Y91" s="1490"/>
      <c r="Z91" s="1490"/>
      <c r="AA91" s="1490"/>
      <c r="AB91" s="1490"/>
      <c r="AC91" s="1490"/>
      <c r="AD91" s="1490"/>
      <c r="AE91" s="1490"/>
      <c r="AF91" s="1490"/>
      <c r="AG91" s="1490"/>
      <c r="AH91" s="1490"/>
      <c r="AI91" s="1490"/>
      <c r="AJ91" s="1490"/>
      <c r="AK91" s="1490"/>
      <c r="AL91" s="1490"/>
      <c r="AM91" s="1490"/>
      <c r="AN91" s="1490"/>
      <c r="AO91" s="1490"/>
      <c r="AP91" s="1490"/>
      <c r="AQ91" s="1490"/>
      <c r="AS91" s="1491"/>
      <c r="AT91" s="1491"/>
      <c r="AU91" s="1491"/>
      <c r="AV91" s="1491"/>
      <c r="AW91" s="1491"/>
      <c r="AX91" s="1491"/>
      <c r="AY91" s="1491"/>
      <c r="AZ91" s="1491"/>
      <c r="BA91" s="1491"/>
      <c r="BB91" s="1491"/>
      <c r="BC91" s="1491"/>
      <c r="BD91" s="1491"/>
      <c r="BE91" s="1491"/>
      <c r="BF91" s="1491"/>
      <c r="BG91" s="1491"/>
      <c r="BH91" s="1491"/>
      <c r="BI91" s="1491"/>
      <c r="BJ91" s="1491"/>
      <c r="BK91" s="1491"/>
      <c r="BL91" s="1491"/>
      <c r="BN91" s="1492"/>
      <c r="BO91" s="1492"/>
      <c r="BP91" s="1492"/>
      <c r="BR91" s="3168"/>
      <c r="BS91" s="1493"/>
      <c r="BU91" s="1508"/>
      <c r="BV91" s="1508"/>
      <c r="BW91" s="1508"/>
      <c r="BX91" s="1508"/>
      <c r="BY91" s="1508"/>
      <c r="BZ91" s="1508"/>
      <c r="CA91" s="1508"/>
      <c r="CB91" s="1508"/>
      <c r="CC91" s="1508"/>
      <c r="CD91" s="1508"/>
      <c r="CE91" s="1508"/>
      <c r="CF91" s="1508"/>
      <c r="CG91" s="1508"/>
      <c r="CH91" s="1508"/>
      <c r="CI91" s="1508"/>
      <c r="CJ91" s="1508"/>
      <c r="CK91" s="1508"/>
      <c r="CL91" s="1508"/>
      <c r="CM91" s="1508"/>
      <c r="CN91" s="1508"/>
      <c r="CO91" s="1508"/>
      <c r="CP91" s="1508"/>
      <c r="CQ91" s="1508"/>
      <c r="CR91" s="1508"/>
      <c r="CS91" s="1508"/>
      <c r="CT91" s="1508"/>
      <c r="CU91" s="1508"/>
      <c r="CV91" s="1508"/>
      <c r="CW91" s="1508"/>
      <c r="CX91" s="1508"/>
      <c r="CY91" s="1508"/>
      <c r="CZ91" s="1508"/>
      <c r="DA91" s="1508"/>
      <c r="DB91" s="1508"/>
      <c r="DC91" s="1508"/>
      <c r="DD91" s="1508"/>
      <c r="DE91" s="1508"/>
      <c r="DF91" s="1508"/>
      <c r="DG91" s="1508"/>
      <c r="DH91" s="1508"/>
      <c r="DI91" s="1508"/>
      <c r="DJ91" s="1508"/>
      <c r="DK91" s="1508"/>
      <c r="DL91" s="1508"/>
      <c r="DN91" s="1509"/>
    </row>
    <row r="92" spans="1:118" s="14" customFormat="1" ht="15.75" x14ac:dyDescent="0.2">
      <c r="B92" s="1535"/>
      <c r="C92" s="1553"/>
      <c r="D92" s="1554" t="s">
        <v>917</v>
      </c>
      <c r="E92" s="1555"/>
      <c r="F92" s="1556">
        <f t="shared" ref="F92:V92" si="63">F54+F59+F76+F70+F82</f>
        <v>0</v>
      </c>
      <c r="G92" s="1556">
        <f t="shared" si="63"/>
        <v>0</v>
      </c>
      <c r="H92" s="1556">
        <f t="shared" si="63"/>
        <v>0</v>
      </c>
      <c r="I92" s="1556">
        <f t="shared" si="63"/>
        <v>0</v>
      </c>
      <c r="J92" s="1556">
        <f t="shared" si="63"/>
        <v>0</v>
      </c>
      <c r="K92" s="1556">
        <f t="shared" si="63"/>
        <v>0</v>
      </c>
      <c r="L92" s="1556">
        <f t="shared" si="63"/>
        <v>0</v>
      </c>
      <c r="M92" s="1556">
        <f t="shared" si="63"/>
        <v>0</v>
      </c>
      <c r="N92" s="1556">
        <f t="shared" si="63"/>
        <v>0</v>
      </c>
      <c r="O92" s="1556">
        <f t="shared" si="63"/>
        <v>0</v>
      </c>
      <c r="P92" s="1556">
        <f t="shared" si="63"/>
        <v>0</v>
      </c>
      <c r="Q92" s="1556">
        <f t="shared" si="63"/>
        <v>0</v>
      </c>
      <c r="R92" s="1556">
        <f t="shared" si="63"/>
        <v>0</v>
      </c>
      <c r="S92" s="1556">
        <f t="shared" si="63"/>
        <v>0</v>
      </c>
      <c r="T92" s="1556">
        <f t="shared" si="63"/>
        <v>0</v>
      </c>
      <c r="U92" s="1556">
        <f t="shared" si="63"/>
        <v>0</v>
      </c>
      <c r="V92" s="1556">
        <f t="shared" si="63"/>
        <v>0</v>
      </c>
      <c r="W92" s="1556">
        <f>W54+W59+W76+W70+W82</f>
        <v>0</v>
      </c>
      <c r="Y92" s="1557">
        <f ca="1">Y54+Y59+Y76+Y70+Y82</f>
        <v>0</v>
      </c>
      <c r="Z92" s="1557">
        <f t="shared" ref="Z92:AP92" ca="1" si="64">Z54+Z59+Z76+Z70+Z82</f>
        <v>132.75541227739603</v>
      </c>
      <c r="AA92" s="1557">
        <f t="shared" ca="1" si="64"/>
        <v>-125.00503957881422</v>
      </c>
      <c r="AB92" s="1557">
        <f t="shared" ca="1" si="64"/>
        <v>-15.625629947351779</v>
      </c>
      <c r="AC92" s="1557">
        <f t="shared" ca="1" si="64"/>
        <v>-71.431451187893842</v>
      </c>
      <c r="AD92" s="1557">
        <f t="shared" ca="1" si="64"/>
        <v>0</v>
      </c>
      <c r="AE92" s="1557">
        <f t="shared" ca="1" si="64"/>
        <v>0</v>
      </c>
      <c r="AF92" s="1557">
        <f t="shared" ca="1" si="64"/>
        <v>0</v>
      </c>
      <c r="AG92" s="1557">
        <f t="shared" ca="1" si="64"/>
        <v>0</v>
      </c>
      <c r="AH92" s="1557">
        <f t="shared" ca="1" si="64"/>
        <v>0</v>
      </c>
      <c r="AI92" s="1557">
        <f t="shared" ca="1" si="64"/>
        <v>0</v>
      </c>
      <c r="AJ92" s="1557">
        <f t="shared" ca="1" si="64"/>
        <v>0</v>
      </c>
      <c r="AK92" s="1557">
        <f t="shared" ca="1" si="64"/>
        <v>0</v>
      </c>
      <c r="AL92" s="1557">
        <f t="shared" ca="1" si="64"/>
        <v>-2.9453760000000004</v>
      </c>
      <c r="AM92" s="1557">
        <f t="shared" ca="1" si="64"/>
        <v>0</v>
      </c>
      <c r="AN92" s="1557">
        <f t="shared" ca="1" si="64"/>
        <v>0</v>
      </c>
      <c r="AO92" s="1557">
        <f t="shared" ca="1" si="64"/>
        <v>0</v>
      </c>
      <c r="AP92" s="1557">
        <f t="shared" ca="1" si="64"/>
        <v>0</v>
      </c>
      <c r="AQ92" s="1557">
        <f ca="1">AQ54+AQ59+AQ76+AQ70+AQ82</f>
        <v>-82.252084436663807</v>
      </c>
      <c r="AS92" s="1558">
        <f ca="1">AS54+AS59+AS76+AS70+AS82</f>
        <v>0</v>
      </c>
      <c r="AT92" s="1558">
        <f t="shared" ref="AT92:BK92" ca="1" si="65">AT54+AT59+AT76+AT70+AT82</f>
        <v>0</v>
      </c>
      <c r="AU92" s="1558">
        <f t="shared" ca="1" si="65"/>
        <v>0</v>
      </c>
      <c r="AV92" s="1558">
        <f t="shared" ca="1" si="65"/>
        <v>0</v>
      </c>
      <c r="AW92" s="1558">
        <f t="shared" ca="1" si="65"/>
        <v>0</v>
      </c>
      <c r="AX92" s="1558">
        <f t="shared" ca="1" si="65"/>
        <v>0</v>
      </c>
      <c r="AY92" s="1558">
        <f t="shared" ca="1" si="65"/>
        <v>0</v>
      </c>
      <c r="AZ92" s="1558">
        <f t="shared" ca="1" si="65"/>
        <v>0</v>
      </c>
      <c r="BA92" s="1558">
        <f t="shared" ca="1" si="65"/>
        <v>0</v>
      </c>
      <c r="BB92" s="1558">
        <f t="shared" ca="1" si="65"/>
        <v>0</v>
      </c>
      <c r="BC92" s="1558">
        <f t="shared" ca="1" si="65"/>
        <v>-9.9637554829862207</v>
      </c>
      <c r="BD92" s="1558">
        <f t="shared" ca="1" si="65"/>
        <v>-5.7974255999999986</v>
      </c>
      <c r="BE92" s="1558">
        <f t="shared" ca="1" si="65"/>
        <v>-2.4709600800000002E-2</v>
      </c>
      <c r="BF92" s="1558">
        <f t="shared" ca="1" si="65"/>
        <v>-6.1774002000000001E-2</v>
      </c>
      <c r="BG92" s="1558">
        <f t="shared" ca="1" si="65"/>
        <v>-0.35064000000000006</v>
      </c>
      <c r="BH92" s="1558">
        <f t="shared" ca="1" si="65"/>
        <v>-27.1285785</v>
      </c>
      <c r="BI92" s="1558">
        <f t="shared" ca="1" si="65"/>
        <v>0</v>
      </c>
      <c r="BJ92" s="1558">
        <f t="shared" ca="1" si="65"/>
        <v>0</v>
      </c>
      <c r="BK92" s="1558">
        <f t="shared" ca="1" si="65"/>
        <v>-0.41862659982364236</v>
      </c>
      <c r="BL92" s="1558">
        <f ca="1">BL54+BL59+BL76+BL70+BL82</f>
        <v>-43.745509785609862</v>
      </c>
      <c r="BN92" s="1559">
        <f ca="1">BN70+BN76+BN59+BN54+BN82</f>
        <v>121.53740828468436</v>
      </c>
      <c r="BO92" s="1559">
        <f ca="1">BO70+BO76+BO59+BO54+BO82</f>
        <v>4.4601859375893138</v>
      </c>
      <c r="BP92" s="1559">
        <f ca="1">BP54+BP59+BP76+BP70</f>
        <v>125.99759422227368</v>
      </c>
      <c r="BR92" s="3168">
        <f ca="1">W92+AQ92+BL92+BP92</f>
        <v>0</v>
      </c>
      <c r="BS92" s="1560"/>
      <c r="BU92" s="1561">
        <v>226.09341168494953</v>
      </c>
      <c r="BV92" s="1561">
        <v>0.56291143459540849</v>
      </c>
      <c r="BW92" s="1561">
        <v>1.6437392022754262</v>
      </c>
      <c r="BX92" s="1561">
        <v>0</v>
      </c>
      <c r="BY92" s="1561">
        <v>5.0916819860234304</v>
      </c>
      <c r="BZ92" s="1561">
        <v>2.6403129612517775</v>
      </c>
      <c r="CA92" s="1561">
        <v>0</v>
      </c>
      <c r="CB92" s="1561">
        <v>0</v>
      </c>
      <c r="CC92" s="1561">
        <v>0</v>
      </c>
      <c r="CD92" s="1561">
        <v>0</v>
      </c>
      <c r="CE92" s="1561">
        <v>0</v>
      </c>
      <c r="CF92" s="1561">
        <v>0</v>
      </c>
      <c r="CG92" s="1561">
        <v>0</v>
      </c>
      <c r="CH92" s="1561">
        <v>0</v>
      </c>
      <c r="CI92" s="1561">
        <v>0</v>
      </c>
      <c r="CJ92" s="1561">
        <v>0</v>
      </c>
      <c r="CK92" s="1561">
        <v>0</v>
      </c>
      <c r="CL92" s="1561">
        <v>20.026732599999995</v>
      </c>
      <c r="CM92" s="1561">
        <v>23.28</v>
      </c>
      <c r="CN92" s="1561">
        <v>0</v>
      </c>
      <c r="CO92" s="1561">
        <v>-1.8247953999999991</v>
      </c>
      <c r="CP92" s="1561">
        <v>0</v>
      </c>
      <c r="CQ92" s="1561">
        <v>0</v>
      </c>
      <c r="CR92" s="1561">
        <v>0</v>
      </c>
      <c r="CS92" s="1561">
        <v>0</v>
      </c>
      <c r="CT92" s="1561">
        <v>21.652248115789206</v>
      </c>
      <c r="CU92" s="1561">
        <v>1.2204197534285715</v>
      </c>
      <c r="CV92" s="1561">
        <v>0</v>
      </c>
      <c r="CW92" s="1561">
        <v>0</v>
      </c>
      <c r="CX92" s="1561">
        <v>0</v>
      </c>
      <c r="CY92" s="1561">
        <v>0</v>
      </c>
      <c r="CZ92" s="1561">
        <v>0</v>
      </c>
      <c r="DA92" s="1561">
        <v>0</v>
      </c>
      <c r="DB92" s="1561">
        <v>0</v>
      </c>
      <c r="DC92" s="1561">
        <v>0</v>
      </c>
      <c r="DD92" s="1561">
        <v>0</v>
      </c>
      <c r="DE92" s="1561">
        <v>0</v>
      </c>
      <c r="DF92" s="1561">
        <v>0</v>
      </c>
      <c r="DG92" s="1561">
        <v>0</v>
      </c>
      <c r="DH92" s="1561">
        <v>0</v>
      </c>
      <c r="DI92" s="1561">
        <v>0</v>
      </c>
      <c r="DJ92" s="1561">
        <v>0</v>
      </c>
      <c r="DK92" s="1561">
        <v>0</v>
      </c>
      <c r="DL92" s="1561">
        <v>0</v>
      </c>
      <c r="DN92" s="1562">
        <v>300.38666233831339</v>
      </c>
    </row>
    <row r="93" spans="1:118" s="14" customFormat="1" ht="6" customHeight="1" x14ac:dyDescent="0.2">
      <c r="C93" s="1552"/>
      <c r="D93" s="1537"/>
      <c r="E93" s="1430"/>
      <c r="G93" s="1488"/>
      <c r="H93" s="1488"/>
      <c r="I93" s="1488"/>
      <c r="J93" s="1488"/>
      <c r="K93" s="1488"/>
      <c r="L93" s="1488"/>
      <c r="M93" s="1488"/>
      <c r="N93" s="1488"/>
      <c r="O93" s="1563"/>
      <c r="P93" s="1488"/>
      <c r="Q93" s="1488"/>
      <c r="R93" s="1488"/>
      <c r="S93" s="1488"/>
      <c r="T93" s="1488"/>
      <c r="U93" s="1488"/>
      <c r="V93" s="1488"/>
      <c r="W93" s="1488"/>
      <c r="Y93" s="1490"/>
      <c r="Z93" s="1490"/>
      <c r="AA93" s="1490"/>
      <c r="AB93" s="1490"/>
      <c r="AC93" s="1490"/>
      <c r="AD93" s="1490"/>
      <c r="AE93" s="1490"/>
      <c r="AF93" s="1490"/>
      <c r="AG93" s="1490"/>
      <c r="AH93" s="1490"/>
      <c r="AI93" s="1490"/>
      <c r="AJ93" s="1490"/>
      <c r="AK93" s="1490"/>
      <c r="AL93" s="1490"/>
      <c r="AM93" s="1490"/>
      <c r="AN93" s="1490"/>
      <c r="AO93" s="1490"/>
      <c r="AP93" s="1490"/>
      <c r="AQ93" s="1490"/>
      <c r="AS93" s="1491"/>
      <c r="AT93" s="1491"/>
      <c r="AU93" s="1491"/>
      <c r="AV93" s="1491"/>
      <c r="AW93" s="1491"/>
      <c r="AX93" s="1491"/>
      <c r="AY93" s="1491"/>
      <c r="AZ93" s="1491"/>
      <c r="BA93" s="1491"/>
      <c r="BB93" s="1491"/>
      <c r="BC93" s="1491"/>
      <c r="BD93" s="1491"/>
      <c r="BE93" s="1491"/>
      <c r="BF93" s="1491"/>
      <c r="BG93" s="1491"/>
      <c r="BH93" s="1491"/>
      <c r="BI93" s="1491"/>
      <c r="BJ93" s="1491"/>
      <c r="BK93" s="1491"/>
      <c r="BL93" s="1491"/>
      <c r="BN93" s="1492"/>
      <c r="BO93" s="1492"/>
      <c r="BP93" s="1492"/>
      <c r="BR93" s="3168"/>
      <c r="BS93" s="1493"/>
      <c r="BU93" s="1508"/>
      <c r="BV93" s="1508"/>
      <c r="BW93" s="1508"/>
      <c r="BX93" s="1508"/>
      <c r="BY93" s="1508"/>
      <c r="BZ93" s="1508"/>
      <c r="CA93" s="1508"/>
      <c r="CB93" s="1508"/>
      <c r="CC93" s="1508"/>
      <c r="CD93" s="1508"/>
      <c r="CE93" s="1508"/>
      <c r="CF93" s="1508"/>
      <c r="CG93" s="1508"/>
      <c r="CH93" s="1508"/>
      <c r="CI93" s="1508"/>
      <c r="CJ93" s="1508"/>
      <c r="CK93" s="1508"/>
      <c r="CL93" s="1508"/>
      <c r="CM93" s="1508"/>
      <c r="CN93" s="1508"/>
      <c r="CO93" s="1508"/>
      <c r="CP93" s="1508"/>
      <c r="CQ93" s="1508"/>
      <c r="CR93" s="1508"/>
      <c r="CS93" s="1508"/>
      <c r="CT93" s="1508"/>
      <c r="CU93" s="1508"/>
      <c r="CV93" s="1508"/>
      <c r="CW93" s="1508"/>
      <c r="CX93" s="1508"/>
      <c r="CY93" s="1508"/>
      <c r="CZ93" s="1508"/>
      <c r="DA93" s="1508"/>
      <c r="DB93" s="1508"/>
      <c r="DC93" s="1508"/>
      <c r="DD93" s="1508"/>
      <c r="DE93" s="1508"/>
      <c r="DF93" s="1508"/>
      <c r="DG93" s="1508"/>
      <c r="DH93" s="1508"/>
      <c r="DI93" s="1508"/>
      <c r="DJ93" s="1508"/>
      <c r="DK93" s="1508"/>
      <c r="DL93" s="1508"/>
      <c r="DN93" s="1509"/>
    </row>
    <row r="94" spans="1:118" s="14" customFormat="1" ht="24" customHeight="1" outlineLevel="1" x14ac:dyDescent="0.2">
      <c r="C94" s="1480"/>
      <c r="D94" s="1480"/>
      <c r="E94" s="1481"/>
      <c r="G94" s="1482"/>
      <c r="H94" s="1482"/>
      <c r="I94" s="1482"/>
      <c r="J94" s="1482"/>
      <c r="K94" s="1482"/>
      <c r="L94" s="1482"/>
      <c r="M94" s="1482"/>
      <c r="N94" s="1482"/>
      <c r="O94" s="1482"/>
      <c r="P94" s="1482"/>
      <c r="Q94" s="1482"/>
      <c r="R94" s="1482"/>
      <c r="S94" s="1482"/>
      <c r="T94" s="1482"/>
      <c r="U94" s="1482"/>
      <c r="V94" s="1482"/>
      <c r="W94" s="1482"/>
      <c r="Y94" s="1596"/>
      <c r="Z94" s="1596"/>
      <c r="AA94" s="1596"/>
      <c r="AB94" s="1596"/>
      <c r="AC94" s="1596"/>
      <c r="AD94" s="1483"/>
      <c r="AE94" s="1483"/>
      <c r="AF94" s="1483"/>
      <c r="AG94" s="1596"/>
      <c r="AH94" s="1596"/>
      <c r="AI94" s="1596"/>
      <c r="AJ94" s="1596"/>
      <c r="AK94" s="1596"/>
      <c r="AL94" s="1596"/>
      <c r="AM94" s="1596"/>
      <c r="AN94" s="1596"/>
      <c r="AO94" s="1596"/>
      <c r="AP94" s="1596"/>
      <c r="AQ94" s="1596"/>
      <c r="AS94" s="1597"/>
      <c r="AT94" s="1597"/>
      <c r="AU94" s="1597"/>
      <c r="AV94" s="1597"/>
      <c r="AW94" s="1597"/>
      <c r="AX94" s="1597"/>
      <c r="AY94" s="1597"/>
      <c r="AZ94" s="1597"/>
      <c r="BA94" s="1597"/>
      <c r="BB94" s="1597"/>
      <c r="BC94" s="1484"/>
      <c r="BD94" s="1484"/>
      <c r="BE94" s="1484"/>
      <c r="BF94" s="1484"/>
      <c r="BG94" s="1484"/>
      <c r="BH94" s="1484"/>
      <c r="BI94" s="1484"/>
      <c r="BJ94" s="1484"/>
      <c r="BK94" s="1484"/>
      <c r="BL94" s="1597"/>
      <c r="BN94" s="1598"/>
      <c r="BO94" s="1598"/>
      <c r="BP94" s="1598"/>
      <c r="BR94" s="3168"/>
      <c r="BS94" s="1486"/>
      <c r="BU94" s="1508"/>
      <c r="BV94" s="1508"/>
      <c r="BW94" s="1508"/>
      <c r="BX94" s="1508"/>
      <c r="BY94" s="1508"/>
      <c r="BZ94" s="1508"/>
      <c r="CA94" s="1508"/>
      <c r="CB94" s="1508"/>
      <c r="CC94" s="1508"/>
      <c r="CD94" s="1508"/>
      <c r="CE94" s="1508"/>
      <c r="CF94" s="1508"/>
      <c r="CG94" s="1508"/>
      <c r="CH94" s="1508"/>
      <c r="CI94" s="1508"/>
      <c r="CJ94" s="1508"/>
      <c r="CK94" s="1508"/>
      <c r="CL94" s="1508"/>
      <c r="CM94" s="1508"/>
      <c r="CN94" s="1508"/>
      <c r="CO94" s="1508"/>
      <c r="CP94" s="1508"/>
      <c r="CQ94" s="1508"/>
      <c r="CR94" s="1508"/>
      <c r="CS94" s="1508"/>
      <c r="CT94" s="1508"/>
      <c r="CU94" s="1508"/>
      <c r="CV94" s="1508"/>
      <c r="CW94" s="1508"/>
      <c r="CX94" s="1508"/>
      <c r="CY94" s="1508"/>
      <c r="CZ94" s="1508"/>
      <c r="DA94" s="1508"/>
      <c r="DB94" s="1508"/>
      <c r="DC94" s="1508"/>
      <c r="DD94" s="1508"/>
      <c r="DE94" s="1508"/>
      <c r="DF94" s="1508"/>
      <c r="DG94" s="1508"/>
      <c r="DH94" s="1508"/>
      <c r="DI94" s="1508"/>
      <c r="DJ94" s="1508"/>
      <c r="DK94" s="1508"/>
      <c r="DL94" s="1508"/>
      <c r="DN94" s="1509"/>
    </row>
    <row r="95" spans="1:118" s="14" customFormat="1" ht="6" customHeight="1" outlineLevel="1" x14ac:dyDescent="0.2">
      <c r="C95" s="1580"/>
      <c r="D95" s="746"/>
      <c r="E95" s="1430"/>
      <c r="G95" s="1488"/>
      <c r="H95" s="1488"/>
      <c r="I95" s="1488"/>
      <c r="J95" s="1488"/>
      <c r="K95" s="1488"/>
      <c r="L95" s="1488"/>
      <c r="M95" s="1488"/>
      <c r="N95" s="1488"/>
      <c r="O95" s="1563"/>
      <c r="P95" s="1488"/>
      <c r="Q95" s="1488"/>
      <c r="R95" s="1488"/>
      <c r="S95" s="1488"/>
      <c r="T95" s="1488"/>
      <c r="U95" s="1488"/>
      <c r="V95" s="1488"/>
      <c r="W95" s="1488"/>
      <c r="Y95" s="1490"/>
      <c r="Z95" s="1490"/>
      <c r="AA95" s="1490"/>
      <c r="AB95" s="1490"/>
      <c r="AC95" s="1490"/>
      <c r="AD95" s="1490"/>
      <c r="AE95" s="1490"/>
      <c r="AF95" s="1490"/>
      <c r="AG95" s="1490"/>
      <c r="AH95" s="1490"/>
      <c r="AI95" s="1490"/>
      <c r="AJ95" s="1490"/>
      <c r="AK95" s="1490"/>
      <c r="AL95" s="1490"/>
      <c r="AM95" s="1490"/>
      <c r="AN95" s="1490"/>
      <c r="AO95" s="1490"/>
      <c r="AP95" s="1490"/>
      <c r="AQ95" s="1490"/>
      <c r="AS95" s="1491"/>
      <c r="AT95" s="1491"/>
      <c r="AU95" s="1491"/>
      <c r="AV95" s="1491"/>
      <c r="AW95" s="1491"/>
      <c r="AX95" s="1491"/>
      <c r="AY95" s="1491"/>
      <c r="AZ95" s="1491"/>
      <c r="BA95" s="1491"/>
      <c r="BB95" s="1491"/>
      <c r="BC95" s="1491"/>
      <c r="BD95" s="1491"/>
      <c r="BE95" s="1491"/>
      <c r="BF95" s="1491"/>
      <c r="BG95" s="1491"/>
      <c r="BH95" s="1491"/>
      <c r="BI95" s="1491"/>
      <c r="BJ95" s="1491"/>
      <c r="BK95" s="1491"/>
      <c r="BL95" s="1491"/>
      <c r="BN95" s="1492"/>
      <c r="BO95" s="1492"/>
      <c r="BP95" s="1492"/>
      <c r="BR95" s="3168"/>
      <c r="BS95" s="1493"/>
      <c r="BU95" s="1508"/>
      <c r="BV95" s="1508"/>
      <c r="BW95" s="1508"/>
      <c r="BX95" s="1508"/>
      <c r="BY95" s="1508"/>
      <c r="BZ95" s="1508"/>
      <c r="CA95" s="1508"/>
      <c r="CB95" s="1508"/>
      <c r="CC95" s="1508"/>
      <c r="CD95" s="1508"/>
      <c r="CE95" s="1508"/>
      <c r="CF95" s="1508"/>
      <c r="CG95" s="1508"/>
      <c r="CH95" s="1508"/>
      <c r="CI95" s="1508"/>
      <c r="CJ95" s="1508"/>
      <c r="CK95" s="1508"/>
      <c r="CL95" s="1508"/>
      <c r="CM95" s="1508"/>
      <c r="CN95" s="1508"/>
      <c r="CO95" s="1508"/>
      <c r="CP95" s="1508"/>
      <c r="CQ95" s="1508"/>
      <c r="CR95" s="1508"/>
      <c r="CS95" s="1508"/>
      <c r="CT95" s="1508"/>
      <c r="CU95" s="1508"/>
      <c r="CV95" s="1508"/>
      <c r="CW95" s="1508"/>
      <c r="CX95" s="1508"/>
      <c r="CY95" s="1508"/>
      <c r="CZ95" s="1508"/>
      <c r="DA95" s="1508"/>
      <c r="DB95" s="1508"/>
      <c r="DC95" s="1508"/>
      <c r="DD95" s="1508"/>
      <c r="DE95" s="1508"/>
      <c r="DF95" s="1508"/>
      <c r="DG95" s="1508"/>
      <c r="DH95" s="1508"/>
      <c r="DI95" s="1508"/>
      <c r="DJ95" s="1508"/>
      <c r="DK95" s="1508"/>
      <c r="DL95" s="1508"/>
      <c r="DN95" s="1509"/>
    </row>
    <row r="96" spans="1:118" s="14" customFormat="1" hidden="1" outlineLevel="2" x14ac:dyDescent="0.2">
      <c r="A96" s="1578"/>
      <c r="B96" s="1578"/>
      <c r="C96" s="1599"/>
      <c r="D96" s="1600"/>
      <c r="E96" s="1600"/>
      <c r="G96" s="1601"/>
      <c r="H96" s="1601"/>
      <c r="I96" s="1601"/>
      <c r="J96" s="1601"/>
      <c r="K96" s="1601"/>
      <c r="L96" s="1601"/>
      <c r="M96" s="1601"/>
      <c r="N96" s="1601"/>
      <c r="O96" s="1602"/>
      <c r="P96" s="1601"/>
      <c r="Q96" s="1601"/>
      <c r="R96" s="1601"/>
      <c r="S96" s="1601"/>
      <c r="T96" s="1601"/>
      <c r="U96" s="1601"/>
      <c r="V96" s="1601"/>
      <c r="W96" s="1601"/>
      <c r="Y96" s="1603"/>
      <c r="Z96" s="1603"/>
      <c r="AA96" s="1603"/>
      <c r="AB96" s="1603"/>
      <c r="AC96" s="1603"/>
      <c r="AD96" s="1603"/>
      <c r="AE96" s="1603"/>
      <c r="AF96" s="1603"/>
      <c r="AG96" s="1603"/>
      <c r="AH96" s="1603"/>
      <c r="AI96" s="1603"/>
      <c r="AJ96" s="1603"/>
      <c r="AK96" s="1603"/>
      <c r="AL96" s="1603"/>
      <c r="AM96" s="1603"/>
      <c r="AN96" s="1603"/>
      <c r="AO96" s="1603"/>
      <c r="AP96" s="1603"/>
      <c r="AQ96" s="1603"/>
      <c r="AS96" s="1604"/>
      <c r="AT96" s="1604"/>
      <c r="AU96" s="1604"/>
      <c r="AV96" s="1604"/>
      <c r="AW96" s="1604"/>
      <c r="AX96" s="1604"/>
      <c r="AY96" s="1604"/>
      <c r="AZ96" s="1604"/>
      <c r="BA96" s="1604"/>
      <c r="BB96" s="1604"/>
      <c r="BC96" s="1604"/>
      <c r="BD96" s="1604"/>
      <c r="BE96" s="1604"/>
      <c r="BF96" s="1604"/>
      <c r="BG96" s="1604"/>
      <c r="BH96" s="1604"/>
      <c r="BI96" s="1604"/>
      <c r="BJ96" s="1604"/>
      <c r="BK96" s="1604"/>
      <c r="BL96" s="1604"/>
      <c r="BN96" s="1605"/>
      <c r="BO96" s="1605"/>
      <c r="BP96" s="1605"/>
      <c r="BR96" s="3168"/>
      <c r="BS96" s="1579"/>
      <c r="BT96" s="1578"/>
      <c r="BU96" s="1595"/>
      <c r="BV96" s="1508"/>
      <c r="BW96" s="1508"/>
      <c r="BX96" s="1508"/>
      <c r="BY96" s="1508"/>
      <c r="BZ96" s="1508"/>
      <c r="CA96" s="1508"/>
      <c r="CB96" s="1508"/>
      <c r="CC96" s="1508"/>
      <c r="CD96" s="1508"/>
      <c r="CE96" s="1508"/>
      <c r="CF96" s="1508"/>
      <c r="CG96" s="1508"/>
      <c r="CH96" s="1508"/>
      <c r="CI96" s="1508"/>
      <c r="CJ96" s="1508"/>
      <c r="CK96" s="1508"/>
      <c r="CL96" s="1508"/>
      <c r="CM96" s="1508"/>
      <c r="CN96" s="1508"/>
      <c r="CO96" s="1508"/>
      <c r="CP96" s="1508"/>
      <c r="CQ96" s="1508"/>
      <c r="CR96" s="1508"/>
      <c r="CS96" s="1508"/>
      <c r="CT96" s="1508"/>
      <c r="CU96" s="1508"/>
      <c r="CV96" s="1508"/>
      <c r="CW96" s="1508"/>
      <c r="CX96" s="1508"/>
      <c r="CY96" s="1508"/>
      <c r="CZ96" s="1508"/>
      <c r="DA96" s="1508"/>
      <c r="DB96" s="1508"/>
      <c r="DC96" s="1508"/>
      <c r="DD96" s="1508"/>
      <c r="DE96" s="1508"/>
      <c r="DF96" s="1508"/>
      <c r="DG96" s="1508"/>
      <c r="DH96" s="1508"/>
      <c r="DI96" s="1508"/>
      <c r="DJ96" s="1508"/>
      <c r="DK96" s="1508"/>
      <c r="DL96" s="1508"/>
      <c r="DN96" s="1509"/>
    </row>
    <row r="97" spans="1:118" s="1522" customFormat="1" hidden="1" outlineLevel="2" x14ac:dyDescent="0.2">
      <c r="C97" s="1577" t="s">
        <v>716</v>
      </c>
      <c r="D97" s="1497" t="s">
        <v>717</v>
      </c>
      <c r="E97" s="1497"/>
      <c r="F97" s="14"/>
      <c r="G97" s="1498"/>
      <c r="H97" s="1498"/>
      <c r="I97" s="1498"/>
      <c r="J97" s="1498"/>
      <c r="K97" s="1498"/>
      <c r="L97" s="1498"/>
      <c r="M97" s="1498"/>
      <c r="N97" s="1498"/>
      <c r="O97" s="1498"/>
      <c r="P97" s="1498"/>
      <c r="Q97" s="1498"/>
      <c r="R97" s="1498"/>
      <c r="S97" s="1498"/>
      <c r="T97" s="1498"/>
      <c r="U97" s="1498"/>
      <c r="V97" s="1498"/>
      <c r="W97" s="1499"/>
      <c r="X97" s="14"/>
      <c r="Y97" s="1500"/>
      <c r="Z97" s="1500"/>
      <c r="AA97" s="1500"/>
      <c r="AB97" s="1500"/>
      <c r="AC97" s="1500"/>
      <c r="AD97" s="1500"/>
      <c r="AE97" s="1500"/>
      <c r="AF97" s="1500"/>
      <c r="AG97" s="1500"/>
      <c r="AH97" s="1500"/>
      <c r="AI97" s="1500"/>
      <c r="AJ97" s="1500"/>
      <c r="AK97" s="1500"/>
      <c r="AL97" s="1500"/>
      <c r="AM97" s="1500"/>
      <c r="AN97" s="1500"/>
      <c r="AO97" s="1500"/>
      <c r="AP97" s="1500"/>
      <c r="AQ97" s="1501"/>
      <c r="AR97" s="14"/>
      <c r="AS97" s="1502"/>
      <c r="AT97" s="1502"/>
      <c r="AU97" s="1502"/>
      <c r="AV97" s="1502"/>
      <c r="AW97" s="1502"/>
      <c r="AX97" s="1502"/>
      <c r="AY97" s="1502"/>
      <c r="AZ97" s="1502"/>
      <c r="BA97" s="1502"/>
      <c r="BB97" s="1502"/>
      <c r="BC97" s="1502"/>
      <c r="BD97" s="1502"/>
      <c r="BE97" s="1502"/>
      <c r="BF97" s="1502"/>
      <c r="BG97" s="1502"/>
      <c r="BH97" s="1502"/>
      <c r="BI97" s="1502"/>
      <c r="BJ97" s="1502"/>
      <c r="BK97" s="1502"/>
      <c r="BL97" s="1524"/>
      <c r="BM97" s="14"/>
      <c r="BN97" s="1504"/>
      <c r="BO97" s="1504"/>
      <c r="BP97" s="1505"/>
      <c r="BQ97" s="14"/>
      <c r="BR97" s="3168"/>
      <c r="BS97" s="1525"/>
      <c r="BU97" s="1507">
        <v>0</v>
      </c>
      <c r="BV97" s="1508">
        <v>0</v>
      </c>
      <c r="BW97" s="1508">
        <v>0</v>
      </c>
      <c r="BX97" s="1508">
        <v>0</v>
      </c>
      <c r="BY97" s="1508">
        <v>0</v>
      </c>
      <c r="BZ97" s="1508">
        <v>0</v>
      </c>
      <c r="CA97" s="1508">
        <v>0</v>
      </c>
      <c r="CB97" s="1508">
        <v>0</v>
      </c>
      <c r="CC97" s="1508">
        <v>0</v>
      </c>
      <c r="CD97" s="1508">
        <v>0</v>
      </c>
      <c r="CE97" s="1508">
        <v>0</v>
      </c>
      <c r="CF97" s="1508">
        <v>0</v>
      </c>
      <c r="CG97" s="1508">
        <v>0</v>
      </c>
      <c r="CH97" s="1508">
        <v>0</v>
      </c>
      <c r="CI97" s="1508">
        <v>0</v>
      </c>
      <c r="CJ97" s="1508">
        <v>0</v>
      </c>
      <c r="CK97" s="1508">
        <v>0</v>
      </c>
      <c r="CL97" s="1508">
        <v>0</v>
      </c>
      <c r="CM97" s="1508">
        <v>0</v>
      </c>
      <c r="CN97" s="1508">
        <v>0</v>
      </c>
      <c r="CO97" s="1508">
        <v>0</v>
      </c>
      <c r="CP97" s="1508">
        <v>0</v>
      </c>
      <c r="CQ97" s="1508">
        <v>0</v>
      </c>
      <c r="CR97" s="1508">
        <v>0</v>
      </c>
      <c r="CS97" s="1508">
        <v>0</v>
      </c>
      <c r="CT97" s="1508">
        <v>0</v>
      </c>
      <c r="CU97" s="1508">
        <v>0</v>
      </c>
      <c r="CV97" s="1508">
        <v>0</v>
      </c>
      <c r="CW97" s="1508">
        <v>0</v>
      </c>
      <c r="CX97" s="1508">
        <v>0</v>
      </c>
      <c r="CY97" s="1508">
        <v>0</v>
      </c>
      <c r="CZ97" s="1508">
        <v>0</v>
      </c>
      <c r="DA97" s="1508">
        <v>0</v>
      </c>
      <c r="DB97" s="1508">
        <v>0</v>
      </c>
      <c r="DC97" s="1508">
        <v>0</v>
      </c>
      <c r="DD97" s="1508">
        <v>0</v>
      </c>
      <c r="DE97" s="1508">
        <v>0</v>
      </c>
      <c r="DF97" s="1508">
        <v>0</v>
      </c>
      <c r="DG97" s="1508">
        <v>0</v>
      </c>
      <c r="DH97" s="1508">
        <v>0</v>
      </c>
      <c r="DI97" s="1508">
        <v>0</v>
      </c>
      <c r="DJ97" s="1508">
        <v>0</v>
      </c>
      <c r="DK97" s="1508">
        <v>0</v>
      </c>
      <c r="DL97" s="1508">
        <v>0</v>
      </c>
      <c r="DN97" s="1509"/>
    </row>
    <row r="98" spans="1:118" s="1578" customFormat="1" ht="12.75" hidden="1" customHeight="1" outlineLevel="2" x14ac:dyDescent="0.2">
      <c r="C98" s="1591" t="s">
        <v>811</v>
      </c>
      <c r="D98" s="1592" t="s">
        <v>812</v>
      </c>
      <c r="E98" s="1592"/>
      <c r="F98" s="14"/>
      <c r="G98" s="1568"/>
      <c r="H98" s="1568"/>
      <c r="I98" s="1568"/>
      <c r="J98" s="1568"/>
      <c r="K98" s="1568"/>
      <c r="L98" s="1568"/>
      <c r="M98" s="1568"/>
      <c r="N98" s="1568"/>
      <c r="O98" s="1569"/>
      <c r="P98" s="1568"/>
      <c r="Q98" s="1568"/>
      <c r="R98" s="1568"/>
      <c r="S98" s="1568"/>
      <c r="T98" s="1568"/>
      <c r="U98" s="1568"/>
      <c r="V98" s="1568"/>
      <c r="W98" s="1568"/>
      <c r="X98" s="14"/>
      <c r="Y98" s="1570"/>
      <c r="Z98" s="1570"/>
      <c r="AA98" s="1570"/>
      <c r="AB98" s="1570"/>
      <c r="AC98" s="1570"/>
      <c r="AD98" s="1570"/>
      <c r="AE98" s="1570"/>
      <c r="AF98" s="1570"/>
      <c r="AG98" s="1570"/>
      <c r="AH98" s="1570"/>
      <c r="AI98" s="1570"/>
      <c r="AJ98" s="1570"/>
      <c r="AK98" s="1570"/>
      <c r="AL98" s="1570"/>
      <c r="AM98" s="1570"/>
      <c r="AN98" s="1570"/>
      <c r="AO98" s="1570"/>
      <c r="AP98" s="1570"/>
      <c r="AQ98" s="1570"/>
      <c r="AR98" s="14"/>
      <c r="AS98" s="1571"/>
      <c r="AT98" s="1571"/>
      <c r="AU98" s="1571"/>
      <c r="AV98" s="1571"/>
      <c r="AW98" s="1571"/>
      <c r="AX98" s="1571"/>
      <c r="AY98" s="1571"/>
      <c r="AZ98" s="1571"/>
      <c r="BA98" s="1571"/>
      <c r="BB98" s="1571"/>
      <c r="BC98" s="1571"/>
      <c r="BD98" s="1571"/>
      <c r="BE98" s="1571"/>
      <c r="BF98" s="1571"/>
      <c r="BG98" s="1571"/>
      <c r="BH98" s="1571"/>
      <c r="BI98" s="1571"/>
      <c r="BJ98" s="1571"/>
      <c r="BK98" s="1571"/>
      <c r="BL98" s="1571"/>
      <c r="BM98" s="14"/>
      <c r="BN98" s="1572"/>
      <c r="BO98" s="1572"/>
      <c r="BP98" s="1572"/>
      <c r="BQ98" s="14"/>
      <c r="BR98" s="3168"/>
      <c r="BS98" s="1579"/>
      <c r="BU98" s="1595"/>
      <c r="BV98" s="1595"/>
      <c r="BW98" s="1595"/>
      <c r="BX98" s="1595"/>
      <c r="BY98" s="1595"/>
      <c r="BZ98" s="1595"/>
      <c r="CA98" s="1595"/>
      <c r="CB98" s="1595"/>
      <c r="CC98" s="1595"/>
      <c r="CD98" s="1595"/>
      <c r="CE98" s="1595"/>
      <c r="CF98" s="1595"/>
      <c r="CG98" s="1595"/>
      <c r="CH98" s="1595"/>
      <c r="CI98" s="1595"/>
      <c r="CJ98" s="1595"/>
      <c r="CK98" s="1595"/>
      <c r="CL98" s="1595"/>
      <c r="CM98" s="1595"/>
      <c r="CN98" s="1595"/>
      <c r="CO98" s="1595"/>
      <c r="CP98" s="1595"/>
      <c r="CQ98" s="1595"/>
      <c r="CR98" s="1595"/>
      <c r="CS98" s="1595"/>
      <c r="CT98" s="1595"/>
      <c r="CU98" s="1595"/>
      <c r="CV98" s="1595"/>
      <c r="CW98" s="1595"/>
      <c r="CX98" s="1595"/>
      <c r="CY98" s="1595"/>
      <c r="CZ98" s="1595"/>
      <c r="DA98" s="1595"/>
      <c r="DB98" s="1595"/>
      <c r="DC98" s="1595"/>
      <c r="DD98" s="1595"/>
      <c r="DE98" s="1595"/>
      <c r="DF98" s="1595"/>
      <c r="DG98" s="1595"/>
      <c r="DH98" s="1595"/>
      <c r="DI98" s="1595"/>
      <c r="DJ98" s="1595"/>
      <c r="DK98" s="1595"/>
      <c r="DL98" s="1595"/>
      <c r="DN98" s="1509"/>
    </row>
    <row r="99" spans="1:118" s="1522" customFormat="1" hidden="1" outlineLevel="2" x14ac:dyDescent="0.2">
      <c r="C99" s="1577" t="s">
        <v>74</v>
      </c>
      <c r="D99" s="1497" t="s">
        <v>75</v>
      </c>
      <c r="E99" s="1497"/>
      <c r="F99" s="14"/>
      <c r="G99" s="1498"/>
      <c r="H99" s="1498"/>
      <c r="I99" s="1498"/>
      <c r="J99" s="1498"/>
      <c r="K99" s="1498"/>
      <c r="L99" s="1498"/>
      <c r="M99" s="1498"/>
      <c r="N99" s="1498"/>
      <c r="O99" s="1498"/>
      <c r="P99" s="1498"/>
      <c r="Q99" s="1498"/>
      <c r="R99" s="1498"/>
      <c r="S99" s="1498"/>
      <c r="T99" s="1498"/>
      <c r="U99" s="1498"/>
      <c r="V99" s="1498"/>
      <c r="W99" s="1499"/>
      <c r="X99" s="14"/>
      <c r="Y99" s="1500"/>
      <c r="Z99" s="1500"/>
      <c r="AA99" s="1500"/>
      <c r="AB99" s="1500"/>
      <c r="AC99" s="1500"/>
      <c r="AD99" s="1500"/>
      <c r="AE99" s="1500"/>
      <c r="AF99" s="1500"/>
      <c r="AG99" s="1500"/>
      <c r="AH99" s="1500"/>
      <c r="AI99" s="1500"/>
      <c r="AJ99" s="1500"/>
      <c r="AK99" s="1500"/>
      <c r="AL99" s="1500"/>
      <c r="AM99" s="1500"/>
      <c r="AN99" s="1500"/>
      <c r="AO99" s="1500"/>
      <c r="AP99" s="1500"/>
      <c r="AQ99" s="1501"/>
      <c r="AR99" s="14"/>
      <c r="AS99" s="1502"/>
      <c r="AT99" s="1502"/>
      <c r="AU99" s="1502"/>
      <c r="AV99" s="1502"/>
      <c r="AW99" s="1502"/>
      <c r="AX99" s="1502"/>
      <c r="AY99" s="1502"/>
      <c r="AZ99" s="1502"/>
      <c r="BA99" s="1502"/>
      <c r="BB99" s="1502"/>
      <c r="BC99" s="1502"/>
      <c r="BD99" s="1502"/>
      <c r="BE99" s="1502"/>
      <c r="BF99" s="1502"/>
      <c r="BG99" s="1502"/>
      <c r="BH99" s="1502"/>
      <c r="BI99" s="1502"/>
      <c r="BJ99" s="1502"/>
      <c r="BK99" s="1502"/>
      <c r="BL99" s="1524"/>
      <c r="BM99" s="14"/>
      <c r="BN99" s="1504"/>
      <c r="BO99" s="1504"/>
      <c r="BP99" s="1505"/>
      <c r="BQ99" s="14"/>
      <c r="BR99" s="3168"/>
      <c r="BS99" s="1525"/>
      <c r="BU99" s="1507">
        <v>0</v>
      </c>
      <c r="BV99" s="1508">
        <v>0</v>
      </c>
      <c r="BW99" s="1508">
        <v>0</v>
      </c>
      <c r="BX99" s="1508">
        <v>0</v>
      </c>
      <c r="BY99" s="1508">
        <v>0</v>
      </c>
      <c r="BZ99" s="1508">
        <v>0</v>
      </c>
      <c r="CA99" s="1508">
        <v>0</v>
      </c>
      <c r="CB99" s="1508">
        <v>0</v>
      </c>
      <c r="CC99" s="1508">
        <v>0</v>
      </c>
      <c r="CD99" s="1508">
        <v>0</v>
      </c>
      <c r="CE99" s="1508">
        <v>0</v>
      </c>
      <c r="CF99" s="1508">
        <v>0</v>
      </c>
      <c r="CG99" s="1508">
        <v>0</v>
      </c>
      <c r="CH99" s="1508">
        <v>0</v>
      </c>
      <c r="CI99" s="1508">
        <v>0</v>
      </c>
      <c r="CJ99" s="1508">
        <v>0</v>
      </c>
      <c r="CK99" s="1508">
        <v>0</v>
      </c>
      <c r="CL99" s="1508">
        <v>0</v>
      </c>
      <c r="CM99" s="1508">
        <v>0</v>
      </c>
      <c r="CN99" s="1508">
        <v>0</v>
      </c>
      <c r="CO99" s="1508">
        <v>0</v>
      </c>
      <c r="CP99" s="1508">
        <v>0</v>
      </c>
      <c r="CQ99" s="1508">
        <v>0</v>
      </c>
      <c r="CR99" s="1508">
        <v>0</v>
      </c>
      <c r="CS99" s="1508">
        <v>0</v>
      </c>
      <c r="CT99" s="1508">
        <v>0</v>
      </c>
      <c r="CU99" s="1508">
        <v>0</v>
      </c>
      <c r="CV99" s="1508">
        <v>0</v>
      </c>
      <c r="CW99" s="1508">
        <v>0</v>
      </c>
      <c r="CX99" s="1508">
        <v>0</v>
      </c>
      <c r="CY99" s="1508">
        <v>0</v>
      </c>
      <c r="CZ99" s="1508">
        <v>0</v>
      </c>
      <c r="DA99" s="1508">
        <v>0</v>
      </c>
      <c r="DB99" s="1508">
        <v>0</v>
      </c>
      <c r="DC99" s="1508">
        <v>0</v>
      </c>
      <c r="DD99" s="1508">
        <v>0</v>
      </c>
      <c r="DE99" s="1508">
        <v>0</v>
      </c>
      <c r="DF99" s="1508">
        <v>0</v>
      </c>
      <c r="DG99" s="1508">
        <v>0</v>
      </c>
      <c r="DH99" s="1508">
        <v>0</v>
      </c>
      <c r="DI99" s="1508">
        <v>0</v>
      </c>
      <c r="DJ99" s="1508">
        <v>0</v>
      </c>
      <c r="DK99" s="1508">
        <v>0</v>
      </c>
      <c r="DL99" s="1508">
        <v>0</v>
      </c>
      <c r="DN99" s="1509"/>
    </row>
    <row r="100" spans="1:118" s="1522" customFormat="1" hidden="1" outlineLevel="2" x14ac:dyDescent="0.2">
      <c r="C100" s="1577" t="s">
        <v>76</v>
      </c>
      <c r="D100" s="1526" t="s">
        <v>813</v>
      </c>
      <c r="E100" s="1526"/>
      <c r="F100" s="14"/>
      <c r="G100" s="1540"/>
      <c r="H100" s="1540"/>
      <c r="I100" s="1540"/>
      <c r="J100" s="1540"/>
      <c r="K100" s="1540"/>
      <c r="L100" s="1540"/>
      <c r="M100" s="1540"/>
      <c r="N100" s="1540"/>
      <c r="O100" s="1540"/>
      <c r="P100" s="1540"/>
      <c r="Q100" s="1540"/>
      <c r="R100" s="1540"/>
      <c r="S100" s="1540"/>
      <c r="T100" s="1540"/>
      <c r="U100" s="1540"/>
      <c r="V100" s="1540"/>
      <c r="W100" s="1527"/>
      <c r="X100" s="14"/>
      <c r="Y100" s="1541"/>
      <c r="Z100" s="1541"/>
      <c r="AA100" s="1541"/>
      <c r="AB100" s="1541"/>
      <c r="AC100" s="1541"/>
      <c r="AD100" s="1541"/>
      <c r="AE100" s="1541"/>
      <c r="AF100" s="1541"/>
      <c r="AG100" s="1541"/>
      <c r="AH100" s="1541"/>
      <c r="AI100" s="1541"/>
      <c r="AJ100" s="1541"/>
      <c r="AK100" s="1541"/>
      <c r="AL100" s="1541"/>
      <c r="AM100" s="1541"/>
      <c r="AN100" s="1541"/>
      <c r="AO100" s="1541"/>
      <c r="AP100" s="1541"/>
      <c r="AQ100" s="1528"/>
      <c r="AR100" s="14"/>
      <c r="AS100" s="1542"/>
      <c r="AT100" s="1542"/>
      <c r="AU100" s="1542"/>
      <c r="AV100" s="1542"/>
      <c r="AW100" s="1542"/>
      <c r="AX100" s="1542"/>
      <c r="AY100" s="1542"/>
      <c r="AZ100" s="1542"/>
      <c r="BA100" s="1542"/>
      <c r="BB100" s="1542"/>
      <c r="BC100" s="1542"/>
      <c r="BD100" s="1542"/>
      <c r="BE100" s="1542"/>
      <c r="BF100" s="1542"/>
      <c r="BG100" s="1542"/>
      <c r="BH100" s="1542"/>
      <c r="BI100" s="1542"/>
      <c r="BJ100" s="1542"/>
      <c r="BK100" s="1542"/>
      <c r="BL100" s="1530"/>
      <c r="BM100" s="14"/>
      <c r="BN100" s="1543"/>
      <c r="BO100" s="1543"/>
      <c r="BP100" s="1531"/>
      <c r="BQ100" s="14"/>
      <c r="BR100" s="3168"/>
      <c r="BS100" s="1525"/>
      <c r="BU100" s="1532">
        <v>0</v>
      </c>
      <c r="BV100" s="1533">
        <v>0</v>
      </c>
      <c r="BW100" s="1533">
        <v>0</v>
      </c>
      <c r="BX100" s="1533">
        <v>0</v>
      </c>
      <c r="BY100" s="1533">
        <v>0</v>
      </c>
      <c r="BZ100" s="1533">
        <v>0</v>
      </c>
      <c r="CA100" s="1533">
        <v>0</v>
      </c>
      <c r="CB100" s="1533">
        <v>0</v>
      </c>
      <c r="CC100" s="1533">
        <v>0</v>
      </c>
      <c r="CD100" s="1533">
        <v>0</v>
      </c>
      <c r="CE100" s="1533">
        <v>0</v>
      </c>
      <c r="CF100" s="1533">
        <v>0</v>
      </c>
      <c r="CG100" s="1533">
        <v>0</v>
      </c>
      <c r="CH100" s="1533">
        <v>0</v>
      </c>
      <c r="CI100" s="1533">
        <v>0</v>
      </c>
      <c r="CJ100" s="1533">
        <v>0</v>
      </c>
      <c r="CK100" s="1533">
        <v>0</v>
      </c>
      <c r="CL100" s="1533">
        <v>0</v>
      </c>
      <c r="CM100" s="1533">
        <v>0</v>
      </c>
      <c r="CN100" s="1533">
        <v>0</v>
      </c>
      <c r="CO100" s="1533">
        <v>0</v>
      </c>
      <c r="CP100" s="1533">
        <v>0</v>
      </c>
      <c r="CQ100" s="1533">
        <v>0</v>
      </c>
      <c r="CR100" s="1533">
        <v>0</v>
      </c>
      <c r="CS100" s="1533">
        <v>0</v>
      </c>
      <c r="CT100" s="1533">
        <v>0</v>
      </c>
      <c r="CU100" s="1533">
        <v>0</v>
      </c>
      <c r="CV100" s="1533">
        <v>0</v>
      </c>
      <c r="CW100" s="1533">
        <v>0</v>
      </c>
      <c r="CX100" s="1533">
        <v>0</v>
      </c>
      <c r="CY100" s="1533">
        <v>0</v>
      </c>
      <c r="CZ100" s="1533">
        <v>0</v>
      </c>
      <c r="DA100" s="1533">
        <v>0</v>
      </c>
      <c r="DB100" s="1533">
        <v>0</v>
      </c>
      <c r="DC100" s="1533">
        <v>0</v>
      </c>
      <c r="DD100" s="1533">
        <v>0</v>
      </c>
      <c r="DE100" s="1533">
        <v>0</v>
      </c>
      <c r="DF100" s="1533">
        <v>0</v>
      </c>
      <c r="DG100" s="1533">
        <v>0</v>
      </c>
      <c r="DH100" s="1533">
        <v>0</v>
      </c>
      <c r="DI100" s="1533">
        <v>0</v>
      </c>
      <c r="DJ100" s="1533">
        <v>0</v>
      </c>
      <c r="DK100" s="1533">
        <v>0</v>
      </c>
      <c r="DL100" s="1533">
        <v>0</v>
      </c>
      <c r="DN100" s="1509"/>
    </row>
    <row r="101" spans="1:118" s="1534" customFormat="1" ht="12.75" customHeight="1" outlineLevel="1" collapsed="1" x14ac:dyDescent="0.2">
      <c r="B101" s="1535"/>
      <c r="C101" s="1536"/>
      <c r="D101" s="1537"/>
      <c r="E101" s="1538"/>
      <c r="F101" s="14"/>
      <c r="G101" s="1488"/>
      <c r="H101" s="1488"/>
      <c r="I101" s="1488"/>
      <c r="J101" s="1488"/>
      <c r="K101" s="1488"/>
      <c r="L101" s="1488"/>
      <c r="M101" s="1488"/>
      <c r="N101" s="1488"/>
      <c r="O101" s="1563"/>
      <c r="P101" s="1488"/>
      <c r="Q101" s="1488"/>
      <c r="R101" s="1488"/>
      <c r="S101" s="1488"/>
      <c r="T101" s="1488"/>
      <c r="U101" s="1488"/>
      <c r="V101" s="1488"/>
      <c r="W101" s="1539"/>
      <c r="X101" s="14"/>
      <c r="Y101" s="1490"/>
      <c r="Z101" s="1490"/>
      <c r="AA101" s="1490"/>
      <c r="AB101" s="1490"/>
      <c r="AC101" s="1490"/>
      <c r="AD101" s="1490"/>
      <c r="AE101" s="1490"/>
      <c r="AF101" s="1490"/>
      <c r="AG101" s="1490"/>
      <c r="AH101" s="1490"/>
      <c r="AI101" s="1490"/>
      <c r="AJ101" s="1490"/>
      <c r="AK101" s="1490"/>
      <c r="AL101" s="1490"/>
      <c r="AM101" s="1490"/>
      <c r="AN101" s="1490"/>
      <c r="AO101" s="1490"/>
      <c r="AP101" s="1490"/>
      <c r="AQ101" s="1490"/>
      <c r="AR101" s="14"/>
      <c r="AS101" s="1491"/>
      <c r="AT101" s="1491"/>
      <c r="AU101" s="1491"/>
      <c r="AV101" s="1491"/>
      <c r="AW101" s="1491"/>
      <c r="AX101" s="1491"/>
      <c r="AY101" s="1491"/>
      <c r="AZ101" s="1491"/>
      <c r="BA101" s="1491"/>
      <c r="BB101" s="1491"/>
      <c r="BC101" s="1491"/>
      <c r="BD101" s="1491"/>
      <c r="BE101" s="1491"/>
      <c r="BF101" s="1491"/>
      <c r="BG101" s="1491"/>
      <c r="BH101" s="1491"/>
      <c r="BI101" s="1491"/>
      <c r="BJ101" s="1491"/>
      <c r="BK101" s="1491"/>
      <c r="BL101" s="1491"/>
      <c r="BM101" s="14"/>
      <c r="BN101" s="1492"/>
      <c r="BO101" s="1492"/>
      <c r="BP101" s="1492"/>
      <c r="BQ101" s="14"/>
      <c r="BR101" s="3168"/>
      <c r="BS101" s="1493"/>
      <c r="BT101" s="748"/>
      <c r="BU101" s="1508">
        <v>0</v>
      </c>
      <c r="BV101" s="1508">
        <v>0</v>
      </c>
      <c r="BW101" s="1508">
        <v>0</v>
      </c>
      <c r="BX101" s="1508">
        <v>0</v>
      </c>
      <c r="BY101" s="1508">
        <v>0</v>
      </c>
      <c r="BZ101" s="1508">
        <v>0</v>
      </c>
      <c r="CA101" s="1508">
        <v>0</v>
      </c>
      <c r="CB101" s="1508">
        <v>0</v>
      </c>
      <c r="CC101" s="1508">
        <v>0</v>
      </c>
      <c r="CD101" s="1508">
        <v>0</v>
      </c>
      <c r="CE101" s="1508">
        <v>0</v>
      </c>
      <c r="CF101" s="1508">
        <v>0</v>
      </c>
      <c r="CG101" s="1508">
        <v>0</v>
      </c>
      <c r="CH101" s="1508">
        <v>0</v>
      </c>
      <c r="CI101" s="1508">
        <v>0</v>
      </c>
      <c r="CJ101" s="1508">
        <v>0</v>
      </c>
      <c r="CK101" s="1508">
        <v>0</v>
      </c>
      <c r="CL101" s="1508">
        <v>0</v>
      </c>
      <c r="CM101" s="1508">
        <v>0</v>
      </c>
      <c r="CN101" s="1508">
        <v>0</v>
      </c>
      <c r="CO101" s="1508">
        <v>0</v>
      </c>
      <c r="CP101" s="1508">
        <v>0</v>
      </c>
      <c r="CQ101" s="1508">
        <v>0</v>
      </c>
      <c r="CR101" s="1508">
        <v>0</v>
      </c>
      <c r="CS101" s="1508">
        <v>0</v>
      </c>
      <c r="CT101" s="1508">
        <v>0</v>
      </c>
      <c r="CU101" s="1508">
        <v>0</v>
      </c>
      <c r="CV101" s="1508">
        <v>0</v>
      </c>
      <c r="CW101" s="1508">
        <v>0</v>
      </c>
      <c r="CX101" s="1508">
        <v>0</v>
      </c>
      <c r="CY101" s="1508">
        <v>0</v>
      </c>
      <c r="CZ101" s="1508">
        <v>0</v>
      </c>
      <c r="DA101" s="1508">
        <v>0</v>
      </c>
      <c r="DB101" s="1508">
        <v>0</v>
      </c>
      <c r="DC101" s="1508">
        <v>0</v>
      </c>
      <c r="DD101" s="1508">
        <v>0</v>
      </c>
      <c r="DE101" s="1508">
        <v>0</v>
      </c>
      <c r="DF101" s="1508">
        <v>0</v>
      </c>
      <c r="DG101" s="1508">
        <v>0</v>
      </c>
      <c r="DH101" s="1508">
        <v>0</v>
      </c>
      <c r="DI101" s="1508">
        <v>0</v>
      </c>
      <c r="DJ101" s="1508">
        <v>0</v>
      </c>
      <c r="DK101" s="1508">
        <v>0</v>
      </c>
      <c r="DL101" s="1508">
        <v>0</v>
      </c>
      <c r="DN101" s="1509">
        <v>0</v>
      </c>
    </row>
    <row r="102" spans="1:118" s="14" customFormat="1" ht="12.75" hidden="1" customHeight="1" outlineLevel="2" x14ac:dyDescent="0.2">
      <c r="A102" s="1534"/>
      <c r="B102" s="1534"/>
      <c r="C102" s="1544"/>
      <c r="D102" s="1538"/>
      <c r="E102" s="1538"/>
      <c r="G102" s="1488"/>
      <c r="H102" s="1488"/>
      <c r="I102" s="1488"/>
      <c r="J102" s="1488"/>
      <c r="K102" s="1488"/>
      <c r="L102" s="1488"/>
      <c r="M102" s="1488"/>
      <c r="N102" s="1488"/>
      <c r="O102" s="1563"/>
      <c r="P102" s="1488"/>
      <c r="Q102" s="1488"/>
      <c r="R102" s="1488"/>
      <c r="S102" s="1488"/>
      <c r="T102" s="1488"/>
      <c r="U102" s="1488"/>
      <c r="V102" s="1488"/>
      <c r="W102" s="1488"/>
      <c r="Y102" s="1490"/>
      <c r="Z102" s="1490"/>
      <c r="AA102" s="1490"/>
      <c r="AB102" s="1490"/>
      <c r="AC102" s="1490"/>
      <c r="AD102" s="1490"/>
      <c r="AE102" s="1490"/>
      <c r="AF102" s="1490"/>
      <c r="AG102" s="1490"/>
      <c r="AH102" s="1490"/>
      <c r="AI102" s="1490"/>
      <c r="AJ102" s="1490"/>
      <c r="AK102" s="1490"/>
      <c r="AL102" s="1490"/>
      <c r="AM102" s="1490"/>
      <c r="AN102" s="1490"/>
      <c r="AO102" s="1490"/>
      <c r="AP102" s="1490"/>
      <c r="AQ102" s="1490"/>
      <c r="AS102" s="1491"/>
      <c r="AT102" s="1491"/>
      <c r="AU102" s="1491"/>
      <c r="AV102" s="1491"/>
      <c r="AW102" s="1491"/>
      <c r="AX102" s="1491"/>
      <c r="AY102" s="1491"/>
      <c r="AZ102" s="1491"/>
      <c r="BA102" s="1491"/>
      <c r="BB102" s="1491"/>
      <c r="BC102" s="1491"/>
      <c r="BD102" s="1491"/>
      <c r="BE102" s="1491"/>
      <c r="BF102" s="1491"/>
      <c r="BG102" s="1491"/>
      <c r="BH102" s="1491"/>
      <c r="BI102" s="1491"/>
      <c r="BJ102" s="1491"/>
      <c r="BK102" s="1491"/>
      <c r="BL102" s="1491"/>
      <c r="BN102" s="1492"/>
      <c r="BO102" s="1492"/>
      <c r="BP102" s="1492"/>
      <c r="BR102" s="3168"/>
      <c r="BS102" s="1493"/>
      <c r="BT102" s="748"/>
      <c r="BU102" s="1508"/>
      <c r="BV102" s="1508"/>
      <c r="BW102" s="1508"/>
      <c r="BX102" s="1508"/>
      <c r="BY102" s="1508"/>
      <c r="BZ102" s="1508"/>
      <c r="CA102" s="1508"/>
      <c r="CB102" s="1508"/>
      <c r="CC102" s="1508"/>
      <c r="CD102" s="1508"/>
      <c r="CE102" s="1508"/>
      <c r="CF102" s="1508"/>
      <c r="CG102" s="1508"/>
      <c r="CH102" s="1508"/>
      <c r="CI102" s="1508"/>
      <c r="CJ102" s="1508"/>
      <c r="CK102" s="1508"/>
      <c r="CL102" s="1508"/>
      <c r="CM102" s="1508"/>
      <c r="CN102" s="1508"/>
      <c r="CO102" s="1508"/>
      <c r="CP102" s="1508"/>
      <c r="CQ102" s="1508"/>
      <c r="CR102" s="1508"/>
      <c r="CS102" s="1508"/>
      <c r="CT102" s="1508"/>
      <c r="CU102" s="1508"/>
      <c r="CV102" s="1508"/>
      <c r="CW102" s="1508"/>
      <c r="CX102" s="1508"/>
      <c r="CY102" s="1508"/>
      <c r="CZ102" s="1508"/>
      <c r="DA102" s="1508"/>
      <c r="DB102" s="1508"/>
      <c r="DC102" s="1508"/>
      <c r="DD102" s="1508"/>
      <c r="DE102" s="1508"/>
      <c r="DF102" s="1508"/>
      <c r="DG102" s="1508"/>
      <c r="DH102" s="1508"/>
      <c r="DI102" s="1508"/>
      <c r="DJ102" s="1508"/>
      <c r="DK102" s="1508"/>
      <c r="DL102" s="1508"/>
      <c r="DN102" s="1509">
        <v>0</v>
      </c>
    </row>
    <row r="103" spans="1:118" s="1564" customFormat="1" ht="12.75" hidden="1" customHeight="1" outlineLevel="2" x14ac:dyDescent="0.2">
      <c r="C103" s="1565"/>
      <c r="D103" s="1566"/>
      <c r="E103" s="1566"/>
      <c r="G103" s="1568"/>
      <c r="H103" s="1568"/>
      <c r="I103" s="1568"/>
      <c r="J103" s="1568"/>
      <c r="K103" s="1568"/>
      <c r="L103" s="1568"/>
      <c r="M103" s="1568"/>
      <c r="N103" s="1568"/>
      <c r="O103" s="1569"/>
      <c r="P103" s="1568"/>
      <c r="Q103" s="1568"/>
      <c r="R103" s="1568"/>
      <c r="S103" s="1568"/>
      <c r="T103" s="1568"/>
      <c r="U103" s="1568"/>
      <c r="V103" s="1568"/>
      <c r="W103" s="1568"/>
      <c r="Y103" s="1570"/>
      <c r="Z103" s="1570"/>
      <c r="AA103" s="1570"/>
      <c r="AB103" s="1570"/>
      <c r="AC103" s="1570"/>
      <c r="AD103" s="1570"/>
      <c r="AE103" s="1570"/>
      <c r="AF103" s="1570"/>
      <c r="AG103" s="1570"/>
      <c r="AH103" s="1570"/>
      <c r="AI103" s="1570"/>
      <c r="AJ103" s="1570"/>
      <c r="AK103" s="1570"/>
      <c r="AL103" s="1570"/>
      <c r="AM103" s="1570"/>
      <c r="AN103" s="1570"/>
      <c r="AO103" s="1570"/>
      <c r="AP103" s="1570"/>
      <c r="AQ103" s="1570"/>
      <c r="AS103" s="1571"/>
      <c r="AT103" s="1571"/>
      <c r="AU103" s="1571"/>
      <c r="AV103" s="1571"/>
      <c r="AW103" s="1571"/>
      <c r="AX103" s="1571"/>
      <c r="AY103" s="1571"/>
      <c r="AZ103" s="1571"/>
      <c r="BA103" s="1571"/>
      <c r="BB103" s="1571"/>
      <c r="BC103" s="1571"/>
      <c r="BD103" s="1571"/>
      <c r="BE103" s="1571"/>
      <c r="BF103" s="1571"/>
      <c r="BG103" s="1571"/>
      <c r="BH103" s="1571"/>
      <c r="BI103" s="1571"/>
      <c r="BJ103" s="1571"/>
      <c r="BK103" s="1571"/>
      <c r="BL103" s="1571"/>
      <c r="BN103" s="1572"/>
      <c r="BO103" s="1572"/>
      <c r="BP103" s="1572"/>
      <c r="BR103" s="3168"/>
      <c r="BS103" s="1573"/>
      <c r="BT103" s="1606"/>
      <c r="BU103" s="1607"/>
      <c r="BV103" s="1607"/>
      <c r="BW103" s="1607"/>
      <c r="BX103" s="1607"/>
      <c r="BY103" s="1607"/>
      <c r="BZ103" s="1607"/>
      <c r="CA103" s="1607"/>
      <c r="CB103" s="1607"/>
      <c r="CC103" s="1607"/>
      <c r="CD103" s="1607"/>
      <c r="CE103" s="1607"/>
      <c r="CF103" s="1607"/>
      <c r="CG103" s="1607"/>
      <c r="CH103" s="1607"/>
      <c r="CI103" s="1607"/>
      <c r="CJ103" s="1607"/>
      <c r="CK103" s="1607"/>
      <c r="CL103" s="1607"/>
      <c r="CM103" s="1607"/>
      <c r="CN103" s="1607"/>
      <c r="CO103" s="1607"/>
      <c r="CP103" s="1607"/>
      <c r="CQ103" s="1607"/>
      <c r="CR103" s="1607"/>
      <c r="CS103" s="1607"/>
      <c r="CT103" s="1607"/>
      <c r="CU103" s="1607"/>
      <c r="CV103" s="1607"/>
      <c r="CW103" s="1607"/>
      <c r="CX103" s="1607"/>
      <c r="CY103" s="1607"/>
      <c r="CZ103" s="1607"/>
      <c r="DA103" s="1607"/>
      <c r="DB103" s="1607"/>
      <c r="DC103" s="1607"/>
      <c r="DD103" s="1607"/>
      <c r="DE103" s="1607"/>
      <c r="DF103" s="1607"/>
      <c r="DG103" s="1607"/>
      <c r="DH103" s="1607"/>
      <c r="DI103" s="1607"/>
      <c r="DJ103" s="1607"/>
      <c r="DK103" s="1607"/>
      <c r="DL103" s="1607"/>
      <c r="DN103" s="1606">
        <v>0</v>
      </c>
    </row>
    <row r="104" spans="1:118" s="1567" customFormat="1" ht="12.75" hidden="1" customHeight="1" outlineLevel="2" x14ac:dyDescent="0.2">
      <c r="A104" s="1608"/>
      <c r="B104" s="1608"/>
      <c r="D104" s="1609"/>
      <c r="E104" s="1609"/>
      <c r="G104" s="1610"/>
      <c r="H104" s="1610"/>
      <c r="I104" s="1610"/>
      <c r="J104" s="1610"/>
      <c r="K104" s="1610"/>
      <c r="L104" s="1610"/>
      <c r="M104" s="1610"/>
      <c r="N104" s="1610"/>
      <c r="O104" s="1610"/>
      <c r="P104" s="1610"/>
      <c r="Q104" s="1610"/>
      <c r="R104" s="1610"/>
      <c r="S104" s="1610"/>
      <c r="T104" s="1610"/>
      <c r="U104" s="1610"/>
      <c r="V104" s="1610"/>
      <c r="W104" s="1611"/>
      <c r="Y104" s="1612"/>
      <c r="Z104" s="1612"/>
      <c r="AA104" s="1612"/>
      <c r="AB104" s="1612"/>
      <c r="AC104" s="1612"/>
      <c r="AD104" s="1612"/>
      <c r="AE104" s="1612"/>
      <c r="AF104" s="1612"/>
      <c r="AG104" s="1612"/>
      <c r="AH104" s="1612"/>
      <c r="AI104" s="1612"/>
      <c r="AJ104" s="1612"/>
      <c r="AK104" s="1612"/>
      <c r="AL104" s="1612"/>
      <c r="AM104" s="1612"/>
      <c r="AN104" s="1612"/>
      <c r="AO104" s="1612"/>
      <c r="AP104" s="1612"/>
      <c r="AQ104" s="1613"/>
      <c r="AS104" s="1614"/>
      <c r="AT104" s="1614"/>
      <c r="AU104" s="1614"/>
      <c r="AV104" s="1614"/>
      <c r="AW104" s="1614"/>
      <c r="AX104" s="1614"/>
      <c r="AY104" s="1614"/>
      <c r="AZ104" s="1614"/>
      <c r="BA104" s="1614"/>
      <c r="BB104" s="1614"/>
      <c r="BC104" s="1614"/>
      <c r="BD104" s="1614"/>
      <c r="BE104" s="1614"/>
      <c r="BF104" s="1614"/>
      <c r="BG104" s="1614"/>
      <c r="BH104" s="1614"/>
      <c r="BI104" s="1614"/>
      <c r="BJ104" s="1614"/>
      <c r="BK104" s="1614"/>
      <c r="BL104" s="1615"/>
      <c r="BN104" s="1616"/>
      <c r="BO104" s="1616"/>
      <c r="BP104" s="1617"/>
      <c r="BR104" s="3168"/>
      <c r="BS104" s="1618"/>
      <c r="BT104" s="1619"/>
      <c r="BU104" s="1620">
        <v>0</v>
      </c>
      <c r="BV104" s="1621">
        <v>0</v>
      </c>
      <c r="BW104" s="1621">
        <v>0</v>
      </c>
      <c r="BX104" s="1621">
        <v>0</v>
      </c>
      <c r="BY104" s="1621">
        <v>0</v>
      </c>
      <c r="BZ104" s="1621">
        <v>0</v>
      </c>
      <c r="CA104" s="1621">
        <v>0</v>
      </c>
      <c r="CB104" s="1621">
        <v>0</v>
      </c>
      <c r="CC104" s="1621">
        <v>0</v>
      </c>
      <c r="CD104" s="1621">
        <v>0</v>
      </c>
      <c r="CE104" s="1621">
        <v>0</v>
      </c>
      <c r="CF104" s="1621">
        <v>0</v>
      </c>
      <c r="CG104" s="1621">
        <v>0</v>
      </c>
      <c r="CH104" s="1621">
        <v>0</v>
      </c>
      <c r="CI104" s="1621">
        <v>0</v>
      </c>
      <c r="CJ104" s="1621">
        <v>0</v>
      </c>
      <c r="CK104" s="1621">
        <v>0</v>
      </c>
      <c r="CL104" s="1621">
        <v>0</v>
      </c>
      <c r="CM104" s="1621">
        <v>0</v>
      </c>
      <c r="CN104" s="1621">
        <v>0</v>
      </c>
      <c r="CO104" s="1621">
        <v>0</v>
      </c>
      <c r="CP104" s="1621">
        <v>0</v>
      </c>
      <c r="CQ104" s="1621">
        <v>0</v>
      </c>
      <c r="CR104" s="1621">
        <v>0</v>
      </c>
      <c r="CS104" s="1621">
        <v>0</v>
      </c>
      <c r="CT104" s="1621">
        <v>0</v>
      </c>
      <c r="CU104" s="1621">
        <v>0</v>
      </c>
      <c r="CV104" s="1621">
        <v>0</v>
      </c>
      <c r="CW104" s="1621">
        <v>0</v>
      </c>
      <c r="CX104" s="1621">
        <v>0</v>
      </c>
      <c r="CY104" s="1621">
        <v>0</v>
      </c>
      <c r="CZ104" s="1621">
        <v>0</v>
      </c>
      <c r="DA104" s="1621">
        <v>0</v>
      </c>
      <c r="DB104" s="1621">
        <v>0</v>
      </c>
      <c r="DC104" s="1621">
        <v>0</v>
      </c>
      <c r="DD104" s="1621">
        <v>0</v>
      </c>
      <c r="DE104" s="1621">
        <v>-5.5600542212492146</v>
      </c>
      <c r="DF104" s="1621">
        <v>0</v>
      </c>
      <c r="DG104" s="1621">
        <v>0</v>
      </c>
      <c r="DH104" s="1621">
        <v>0</v>
      </c>
      <c r="DI104" s="1621">
        <v>0</v>
      </c>
      <c r="DJ104" s="1621">
        <v>0</v>
      </c>
      <c r="DK104" s="1621">
        <v>0</v>
      </c>
      <c r="DL104" s="1621">
        <v>0</v>
      </c>
      <c r="DN104" s="1575">
        <v>-5.5600542212492146</v>
      </c>
    </row>
    <row r="105" spans="1:118" s="1564" customFormat="1" ht="12.75" hidden="1" customHeight="1" outlineLevel="2" x14ac:dyDescent="0.2">
      <c r="D105" s="1566"/>
      <c r="E105" s="1566"/>
      <c r="G105" s="1568"/>
      <c r="H105" s="1568"/>
      <c r="I105" s="1568"/>
      <c r="J105" s="1568"/>
      <c r="K105" s="1568"/>
      <c r="L105" s="1568"/>
      <c r="M105" s="1568"/>
      <c r="N105" s="1568"/>
      <c r="O105" s="1569"/>
      <c r="P105" s="1568"/>
      <c r="Q105" s="1568"/>
      <c r="R105" s="1568"/>
      <c r="S105" s="1568"/>
      <c r="T105" s="1568"/>
      <c r="U105" s="1568"/>
      <c r="V105" s="1568"/>
      <c r="W105" s="1568"/>
      <c r="Y105" s="1570"/>
      <c r="Z105" s="1570"/>
      <c r="AA105" s="1570"/>
      <c r="AB105" s="1570"/>
      <c r="AC105" s="1570"/>
      <c r="AD105" s="1570"/>
      <c r="AE105" s="1570"/>
      <c r="AF105" s="1570"/>
      <c r="AG105" s="1570"/>
      <c r="AH105" s="1570"/>
      <c r="AI105" s="1570"/>
      <c r="AJ105" s="1570"/>
      <c r="AK105" s="1570"/>
      <c r="AL105" s="1570"/>
      <c r="AM105" s="1570"/>
      <c r="AN105" s="1570"/>
      <c r="AO105" s="1570"/>
      <c r="AP105" s="1570"/>
      <c r="AQ105" s="1570"/>
      <c r="AS105" s="1571"/>
      <c r="AT105" s="1571"/>
      <c r="AU105" s="1571"/>
      <c r="AV105" s="1571"/>
      <c r="AW105" s="1571"/>
      <c r="AX105" s="1571"/>
      <c r="AY105" s="1571"/>
      <c r="AZ105" s="1571"/>
      <c r="BA105" s="1571"/>
      <c r="BB105" s="1571"/>
      <c r="BC105" s="1571"/>
      <c r="BD105" s="1571"/>
      <c r="BE105" s="1571"/>
      <c r="BF105" s="1571"/>
      <c r="BG105" s="1571"/>
      <c r="BH105" s="1571"/>
      <c r="BI105" s="1571"/>
      <c r="BJ105" s="1571"/>
      <c r="BK105" s="1571"/>
      <c r="BL105" s="1571"/>
      <c r="BN105" s="1572"/>
      <c r="BO105" s="1572"/>
      <c r="BP105" s="1572"/>
      <c r="BR105" s="3168"/>
      <c r="BS105" s="1573"/>
      <c r="BT105" s="1606"/>
      <c r="BU105" s="1607"/>
      <c r="BV105" s="1607"/>
      <c r="BW105" s="1607"/>
      <c r="BX105" s="1607"/>
      <c r="BY105" s="1607"/>
      <c r="BZ105" s="1607"/>
      <c r="CA105" s="1607"/>
      <c r="CB105" s="1607"/>
      <c r="CC105" s="1607"/>
      <c r="CD105" s="1607"/>
      <c r="CE105" s="1607"/>
      <c r="CF105" s="1607"/>
      <c r="CG105" s="1607"/>
      <c r="CH105" s="1607"/>
      <c r="CI105" s="1607"/>
      <c r="CJ105" s="1607"/>
      <c r="CK105" s="1607"/>
      <c r="CL105" s="1607"/>
      <c r="CM105" s="1607"/>
      <c r="CN105" s="1607"/>
      <c r="CO105" s="1607"/>
      <c r="CP105" s="1607"/>
      <c r="CQ105" s="1607"/>
      <c r="CR105" s="1607"/>
      <c r="CS105" s="1607"/>
      <c r="CT105" s="1607"/>
      <c r="CU105" s="1607"/>
      <c r="CV105" s="1607"/>
      <c r="CW105" s="1607"/>
      <c r="CX105" s="1607"/>
      <c r="CY105" s="1607"/>
      <c r="CZ105" s="1607"/>
      <c r="DA105" s="1607"/>
      <c r="DB105" s="1607"/>
      <c r="DC105" s="1607"/>
      <c r="DD105" s="1607"/>
      <c r="DE105" s="1607"/>
      <c r="DF105" s="1607"/>
      <c r="DG105" s="1607"/>
      <c r="DH105" s="1607"/>
      <c r="DI105" s="1607"/>
      <c r="DJ105" s="1607"/>
      <c r="DK105" s="1607"/>
      <c r="DL105" s="1607"/>
      <c r="DN105" s="1606">
        <v>0</v>
      </c>
    </row>
    <row r="106" spans="1:118" s="14" customFormat="1" ht="12.75" hidden="1" customHeight="1" outlineLevel="2" x14ac:dyDescent="0.2">
      <c r="A106" s="1522"/>
      <c r="B106" s="1522"/>
      <c r="C106" s="1577" t="s">
        <v>801</v>
      </c>
      <c r="D106" s="1526" t="str">
        <f>INDEX(Modulos[Modulos], MATCH($C106, Modulos[Código], 0))</f>
        <v>Producción nacional combustibles fósiles</v>
      </c>
      <c r="E106" s="1526"/>
      <c r="G106" s="1540"/>
      <c r="H106" s="1540"/>
      <c r="I106" s="1540"/>
      <c r="J106" s="1540"/>
      <c r="K106" s="1540"/>
      <c r="L106" s="1540"/>
      <c r="M106" s="1540"/>
      <c r="N106" s="1540"/>
      <c r="O106" s="1540"/>
      <c r="P106" s="1540"/>
      <c r="Q106" s="1540"/>
      <c r="R106" s="1540"/>
      <c r="S106" s="1540"/>
      <c r="T106" s="1540"/>
      <c r="U106" s="1540"/>
      <c r="V106" s="1540"/>
      <c r="W106" s="1527"/>
      <c r="Y106" s="1541">
        <f t="shared" ref="Y106:AP106" ca="1" si="66">IFERROR(INDEX(INDIRECT($C106&amp;".Outputs["&amp;this.Year&amp;"]"), MATCH(Y$5, INDIRECT($C106&amp;".Outputs[Vector]"), 0)), 0)</f>
        <v>0</v>
      </c>
      <c r="Z106" s="1541">
        <f t="shared" ca="1" si="66"/>
        <v>0</v>
      </c>
      <c r="AA106" s="1541">
        <f t="shared" ca="1" si="66"/>
        <v>0</v>
      </c>
      <c r="AB106" s="1541">
        <f t="shared" ca="1" si="66"/>
        <v>0</v>
      </c>
      <c r="AC106" s="1541">
        <f t="shared" ca="1" si="66"/>
        <v>0</v>
      </c>
      <c r="AD106" s="1541">
        <f t="shared" ca="1" si="66"/>
        <v>25.584695004942699</v>
      </c>
      <c r="AE106" s="1541">
        <f t="shared" ca="1" si="66"/>
        <v>3.0761179275455</v>
      </c>
      <c r="AF106" s="1541">
        <f t="shared" ca="1" si="66"/>
        <v>10.934465313717508</v>
      </c>
      <c r="AG106" s="1541">
        <f t="shared" ca="1" si="66"/>
        <v>0</v>
      </c>
      <c r="AH106" s="1541">
        <f t="shared" ca="1" si="66"/>
        <v>0</v>
      </c>
      <c r="AI106" s="1541">
        <f t="shared" ca="1" si="66"/>
        <v>0</v>
      </c>
      <c r="AJ106" s="1541">
        <f t="shared" ca="1" si="66"/>
        <v>0</v>
      </c>
      <c r="AK106" s="1541">
        <f t="shared" ca="1" si="66"/>
        <v>0</v>
      </c>
      <c r="AL106" s="1541">
        <f t="shared" ca="1" si="66"/>
        <v>0</v>
      </c>
      <c r="AM106" s="1541">
        <f t="shared" ca="1" si="66"/>
        <v>0</v>
      </c>
      <c r="AN106" s="1541">
        <f t="shared" ca="1" si="66"/>
        <v>0</v>
      </c>
      <c r="AO106" s="1541">
        <f t="shared" ca="1" si="66"/>
        <v>0</v>
      </c>
      <c r="AP106" s="1541">
        <f t="shared" ca="1" si="66"/>
        <v>0</v>
      </c>
      <c r="AQ106" s="1528">
        <f ca="1">SUM(Y106:AP106)</f>
        <v>39.595278246205709</v>
      </c>
      <c r="AS106" s="1542">
        <f t="shared" ref="AS106:BK106" ca="1" si="67">IFERROR(INDEX(INDIRECT($C106&amp;".Outputs["&amp;this.Year&amp;"]"), MATCH(AS$5, INDIRECT($C106&amp;".Outputs[Vector]"), 0)), 0)</f>
        <v>-25.584695004942699</v>
      </c>
      <c r="AT106" s="1542">
        <f t="shared" ca="1" si="67"/>
        <v>-3.0761179275455</v>
      </c>
      <c r="AU106" s="1542">
        <f t="shared" ca="1" si="67"/>
        <v>-10.934465313717508</v>
      </c>
      <c r="AV106" s="1542">
        <f t="shared" ca="1" si="67"/>
        <v>0</v>
      </c>
      <c r="AW106" s="1542">
        <f t="shared" ca="1" si="67"/>
        <v>0</v>
      </c>
      <c r="AX106" s="1542">
        <f t="shared" ca="1" si="67"/>
        <v>0</v>
      </c>
      <c r="AY106" s="1542">
        <f t="shared" ca="1" si="67"/>
        <v>0</v>
      </c>
      <c r="AZ106" s="1542">
        <f t="shared" ca="1" si="67"/>
        <v>0</v>
      </c>
      <c r="BA106" s="1542">
        <f t="shared" ca="1" si="67"/>
        <v>0</v>
      </c>
      <c r="BB106" s="1542">
        <f t="shared" ca="1" si="67"/>
        <v>0</v>
      </c>
      <c r="BC106" s="1542">
        <f t="shared" ca="1" si="67"/>
        <v>0</v>
      </c>
      <c r="BD106" s="1542">
        <f t="shared" ca="1" si="67"/>
        <v>0</v>
      </c>
      <c r="BE106" s="1542">
        <f t="shared" ca="1" si="67"/>
        <v>0</v>
      </c>
      <c r="BF106" s="1542">
        <f t="shared" ca="1" si="67"/>
        <v>0</v>
      </c>
      <c r="BG106" s="1542">
        <f t="shared" ca="1" si="67"/>
        <v>0</v>
      </c>
      <c r="BH106" s="1542">
        <f t="shared" ca="1" si="67"/>
        <v>0</v>
      </c>
      <c r="BI106" s="1542">
        <f t="shared" ca="1" si="67"/>
        <v>0</v>
      </c>
      <c r="BJ106" s="1542">
        <f t="shared" ca="1" si="67"/>
        <v>0</v>
      </c>
      <c r="BK106" s="1542">
        <f t="shared" ca="1" si="67"/>
        <v>0</v>
      </c>
      <c r="BL106" s="1542">
        <f ca="1">SUM(AS106:BK106)</f>
        <v>-39.595278246205709</v>
      </c>
      <c r="BN106" s="1543"/>
      <c r="BO106" s="1543"/>
      <c r="BP106" s="1531"/>
      <c r="BR106" s="3168">
        <f ca="1">W106+AQ106+BL106+BP106</f>
        <v>0</v>
      </c>
      <c r="BS106" s="1525"/>
      <c r="BT106" s="748"/>
      <c r="BU106" s="1532">
        <v>0</v>
      </c>
      <c r="BV106" s="1533">
        <v>0</v>
      </c>
      <c r="BW106" s="1533">
        <v>0</v>
      </c>
      <c r="BX106" s="1533">
        <v>0</v>
      </c>
      <c r="BY106" s="1533">
        <v>0</v>
      </c>
      <c r="BZ106" s="1533">
        <v>0</v>
      </c>
      <c r="CA106" s="1533">
        <v>0</v>
      </c>
      <c r="CB106" s="1533">
        <v>0</v>
      </c>
      <c r="CC106" s="1533">
        <v>0</v>
      </c>
      <c r="CD106" s="1533">
        <v>0</v>
      </c>
      <c r="CE106" s="1533">
        <v>0</v>
      </c>
      <c r="CF106" s="1533">
        <v>0</v>
      </c>
      <c r="CG106" s="1533">
        <v>0</v>
      </c>
      <c r="CH106" s="1533">
        <v>0</v>
      </c>
      <c r="CI106" s="1533">
        <v>0</v>
      </c>
      <c r="CJ106" s="1533">
        <v>0</v>
      </c>
      <c r="CK106" s="1533">
        <v>0</v>
      </c>
      <c r="CL106" s="1533">
        <v>0</v>
      </c>
      <c r="CM106" s="1533">
        <v>0</v>
      </c>
      <c r="CN106" s="1533">
        <v>0</v>
      </c>
      <c r="CO106" s="1533">
        <v>0</v>
      </c>
      <c r="CP106" s="1533">
        <v>0</v>
      </c>
      <c r="CQ106" s="1533">
        <v>0</v>
      </c>
      <c r="CR106" s="1533">
        <v>0</v>
      </c>
      <c r="CS106" s="1533">
        <v>0</v>
      </c>
      <c r="CT106" s="1533">
        <v>0</v>
      </c>
      <c r="CU106" s="1533">
        <v>0</v>
      </c>
      <c r="CV106" s="1533">
        <v>0</v>
      </c>
      <c r="CW106" s="1533">
        <v>0</v>
      </c>
      <c r="CX106" s="1533">
        <v>0</v>
      </c>
      <c r="CY106" s="1533">
        <v>0</v>
      </c>
      <c r="CZ106" s="1533">
        <v>0</v>
      </c>
      <c r="DA106" s="1533">
        <v>0</v>
      </c>
      <c r="DB106" s="1533">
        <v>0</v>
      </c>
      <c r="DC106" s="1533">
        <v>0</v>
      </c>
      <c r="DD106" s="1533">
        <v>0</v>
      </c>
      <c r="DE106" s="1533">
        <v>-1.3540111199999998</v>
      </c>
      <c r="DF106" s="1533">
        <v>0</v>
      </c>
      <c r="DG106" s="1533">
        <v>0</v>
      </c>
      <c r="DH106" s="1533">
        <v>0</v>
      </c>
      <c r="DI106" s="1533">
        <v>0</v>
      </c>
      <c r="DJ106" s="1533">
        <v>0</v>
      </c>
      <c r="DK106" s="1533">
        <v>0</v>
      </c>
      <c r="DL106" s="1533">
        <v>0</v>
      </c>
      <c r="DN106" s="1509">
        <v>-1.3540111199999998</v>
      </c>
    </row>
    <row r="107" spans="1:118" s="14" customFormat="1" ht="15.75" outlineLevel="1" collapsed="1" x14ac:dyDescent="0.2">
      <c r="A107" s="1534"/>
      <c r="B107" s="1535"/>
      <c r="C107" s="1552"/>
      <c r="D107" s="1526"/>
      <c r="E107" s="1538"/>
      <c r="G107" s="1539"/>
      <c r="H107" s="1539"/>
      <c r="I107" s="1539"/>
      <c r="J107" s="1539"/>
      <c r="K107" s="1539"/>
      <c r="L107" s="1539"/>
      <c r="M107" s="1539"/>
      <c r="N107" s="1539"/>
      <c r="O107" s="1539"/>
      <c r="P107" s="1539"/>
      <c r="Q107" s="1539"/>
      <c r="R107" s="1539"/>
      <c r="S107" s="1539"/>
      <c r="T107" s="1539"/>
      <c r="U107" s="1539"/>
      <c r="V107" s="1539"/>
      <c r="W107" s="1539"/>
      <c r="Y107" s="1490">
        <f ca="1">Y106</f>
        <v>0</v>
      </c>
      <c r="Z107" s="1490">
        <f t="shared" ref="Z107:AQ107" ca="1" si="68">Z106</f>
        <v>0</v>
      </c>
      <c r="AA107" s="1490">
        <f t="shared" ca="1" si="68"/>
        <v>0</v>
      </c>
      <c r="AB107" s="1490">
        <f t="shared" ca="1" si="68"/>
        <v>0</v>
      </c>
      <c r="AC107" s="1490">
        <f t="shared" ca="1" si="68"/>
        <v>0</v>
      </c>
      <c r="AD107" s="1490">
        <f t="shared" ca="1" si="68"/>
        <v>25.584695004942699</v>
      </c>
      <c r="AE107" s="1490">
        <f t="shared" ca="1" si="68"/>
        <v>3.0761179275455</v>
      </c>
      <c r="AF107" s="1490">
        <f t="shared" ca="1" si="68"/>
        <v>10.934465313717508</v>
      </c>
      <c r="AG107" s="1490">
        <f t="shared" ca="1" si="68"/>
        <v>0</v>
      </c>
      <c r="AH107" s="1490">
        <f t="shared" ca="1" si="68"/>
        <v>0</v>
      </c>
      <c r="AI107" s="1490">
        <f t="shared" ca="1" si="68"/>
        <v>0</v>
      </c>
      <c r="AJ107" s="1490">
        <f t="shared" ca="1" si="68"/>
        <v>0</v>
      </c>
      <c r="AK107" s="1490">
        <f t="shared" ca="1" si="68"/>
        <v>0</v>
      </c>
      <c r="AL107" s="1490">
        <f t="shared" ca="1" si="68"/>
        <v>0</v>
      </c>
      <c r="AM107" s="1490">
        <f t="shared" ca="1" si="68"/>
        <v>0</v>
      </c>
      <c r="AN107" s="1490">
        <f t="shared" ca="1" si="68"/>
        <v>0</v>
      </c>
      <c r="AO107" s="1490">
        <f t="shared" ca="1" si="68"/>
        <v>0</v>
      </c>
      <c r="AP107" s="1490">
        <f t="shared" ca="1" si="68"/>
        <v>0</v>
      </c>
      <c r="AQ107" s="1490">
        <f t="shared" ca="1" si="68"/>
        <v>39.595278246205709</v>
      </c>
      <c r="AS107" s="1491">
        <f ca="1">AS106</f>
        <v>-25.584695004942699</v>
      </c>
      <c r="AT107" s="1491">
        <f t="shared" ref="AT107:BD107" ca="1" si="69">AT106</f>
        <v>-3.0761179275455</v>
      </c>
      <c r="AU107" s="1491">
        <f t="shared" ca="1" si="69"/>
        <v>-10.934465313717508</v>
      </c>
      <c r="AV107" s="1491">
        <f t="shared" ca="1" si="69"/>
        <v>0</v>
      </c>
      <c r="AW107" s="1491">
        <f t="shared" ca="1" si="69"/>
        <v>0</v>
      </c>
      <c r="AX107" s="1491">
        <f t="shared" ca="1" si="69"/>
        <v>0</v>
      </c>
      <c r="AY107" s="1491">
        <f t="shared" ca="1" si="69"/>
        <v>0</v>
      </c>
      <c r="AZ107" s="1491">
        <f t="shared" ca="1" si="69"/>
        <v>0</v>
      </c>
      <c r="BA107" s="1491">
        <f t="shared" ca="1" si="69"/>
        <v>0</v>
      </c>
      <c r="BB107" s="1491">
        <f t="shared" ca="1" si="69"/>
        <v>0</v>
      </c>
      <c r="BC107" s="1491">
        <f t="shared" ca="1" si="69"/>
        <v>0</v>
      </c>
      <c r="BD107" s="1491">
        <f t="shared" ca="1" si="69"/>
        <v>0</v>
      </c>
      <c r="BE107" s="1491">
        <f ca="1">BE106</f>
        <v>0</v>
      </c>
      <c r="BF107" s="1491">
        <f t="shared" ref="BF107:BL107" ca="1" si="70">BF106</f>
        <v>0</v>
      </c>
      <c r="BG107" s="1491">
        <f t="shared" ca="1" si="70"/>
        <v>0</v>
      </c>
      <c r="BH107" s="1491">
        <f t="shared" ca="1" si="70"/>
        <v>0</v>
      </c>
      <c r="BI107" s="1491">
        <f t="shared" ca="1" si="70"/>
        <v>0</v>
      </c>
      <c r="BJ107" s="1491">
        <f t="shared" ca="1" si="70"/>
        <v>0</v>
      </c>
      <c r="BK107" s="1491">
        <f t="shared" ca="1" si="70"/>
        <v>0</v>
      </c>
      <c r="BL107" s="1491">
        <f t="shared" ca="1" si="70"/>
        <v>-39.595278246205709</v>
      </c>
      <c r="BN107" s="1492"/>
      <c r="BO107" s="1492"/>
      <c r="BP107" s="1492"/>
      <c r="BR107" s="3168">
        <f ca="1">W107+AQ107+BL107+BP107</f>
        <v>0</v>
      </c>
      <c r="BS107" s="1493"/>
      <c r="BT107" s="748"/>
      <c r="BU107" s="1508">
        <v>0</v>
      </c>
      <c r="BV107" s="1508">
        <v>0</v>
      </c>
      <c r="BW107" s="1508">
        <v>0</v>
      </c>
      <c r="BX107" s="1508">
        <v>0</v>
      </c>
      <c r="BY107" s="1508">
        <v>0</v>
      </c>
      <c r="BZ107" s="1508">
        <v>0</v>
      </c>
      <c r="CA107" s="1508">
        <v>0</v>
      </c>
      <c r="CB107" s="1508">
        <v>0</v>
      </c>
      <c r="CC107" s="1508">
        <v>0</v>
      </c>
      <c r="CD107" s="1508">
        <v>0</v>
      </c>
      <c r="CE107" s="1508">
        <v>0</v>
      </c>
      <c r="CF107" s="1508">
        <v>0</v>
      </c>
      <c r="CG107" s="1508">
        <v>0</v>
      </c>
      <c r="CH107" s="1508">
        <v>0</v>
      </c>
      <c r="CI107" s="1508">
        <v>0</v>
      </c>
      <c r="CJ107" s="1508">
        <v>0</v>
      </c>
      <c r="CK107" s="1508">
        <v>0</v>
      </c>
      <c r="CL107" s="1508">
        <v>0</v>
      </c>
      <c r="CM107" s="1508">
        <v>0</v>
      </c>
      <c r="CN107" s="1508">
        <v>0</v>
      </c>
      <c r="CO107" s="1508">
        <v>0</v>
      </c>
      <c r="CP107" s="1508">
        <v>0</v>
      </c>
      <c r="CQ107" s="1508">
        <v>0</v>
      </c>
      <c r="CR107" s="1508">
        <v>0</v>
      </c>
      <c r="CS107" s="1508">
        <v>0</v>
      </c>
      <c r="CT107" s="1508">
        <v>0</v>
      </c>
      <c r="CU107" s="1508">
        <v>0</v>
      </c>
      <c r="CV107" s="1508">
        <v>0</v>
      </c>
      <c r="CW107" s="1508">
        <v>0</v>
      </c>
      <c r="CX107" s="1508">
        <v>0</v>
      </c>
      <c r="CY107" s="1508">
        <v>0</v>
      </c>
      <c r="CZ107" s="1508">
        <v>0</v>
      </c>
      <c r="DA107" s="1508">
        <v>0</v>
      </c>
      <c r="DB107" s="1508">
        <v>0</v>
      </c>
      <c r="DC107" s="1508">
        <v>0</v>
      </c>
      <c r="DD107" s="1508">
        <v>0</v>
      </c>
      <c r="DE107" s="1508">
        <v>-6.9140653412492146</v>
      </c>
      <c r="DF107" s="1508">
        <v>0</v>
      </c>
      <c r="DG107" s="1508">
        <v>0</v>
      </c>
      <c r="DH107" s="1508">
        <v>0</v>
      </c>
      <c r="DI107" s="1508">
        <v>0</v>
      </c>
      <c r="DJ107" s="1508">
        <v>0</v>
      </c>
      <c r="DK107" s="1508">
        <v>0</v>
      </c>
      <c r="DL107" s="1508">
        <v>0</v>
      </c>
      <c r="DN107" s="1509">
        <v>-6.9140653412492146</v>
      </c>
    </row>
    <row r="108" spans="1:118" s="1534" customFormat="1" ht="12.75" hidden="1" customHeight="1" outlineLevel="2" x14ac:dyDescent="0.2">
      <c r="B108" s="1535"/>
      <c r="C108" s="1536"/>
      <c r="D108" s="1537"/>
      <c r="E108" s="1538"/>
      <c r="F108" s="14"/>
      <c r="G108" s="1488"/>
      <c r="H108" s="1488"/>
      <c r="I108" s="1488"/>
      <c r="J108" s="1488"/>
      <c r="K108" s="1488"/>
      <c r="L108" s="1488"/>
      <c r="M108" s="1488"/>
      <c r="N108" s="1488"/>
      <c r="O108" s="1563"/>
      <c r="P108" s="1488"/>
      <c r="Q108" s="1488"/>
      <c r="R108" s="1488"/>
      <c r="S108" s="1488"/>
      <c r="T108" s="1488"/>
      <c r="U108" s="1488"/>
      <c r="V108" s="1488"/>
      <c r="W108" s="1539"/>
      <c r="X108" s="14"/>
      <c r="Y108" s="1490"/>
      <c r="Z108" s="1490"/>
      <c r="AA108" s="1490"/>
      <c r="AB108" s="1490"/>
      <c r="AC108" s="1490"/>
      <c r="AD108" s="1490"/>
      <c r="AE108" s="1490"/>
      <c r="AF108" s="1490"/>
      <c r="AG108" s="1490"/>
      <c r="AH108" s="1490"/>
      <c r="AI108" s="1490"/>
      <c r="AJ108" s="1490"/>
      <c r="AK108" s="1490"/>
      <c r="AL108" s="1490"/>
      <c r="AM108" s="1490"/>
      <c r="AN108" s="1490"/>
      <c r="AO108" s="1490"/>
      <c r="AP108" s="1490"/>
      <c r="AQ108" s="1490"/>
      <c r="AR108" s="14"/>
      <c r="AS108" s="1491"/>
      <c r="AT108" s="1491"/>
      <c r="AU108" s="1491"/>
      <c r="AV108" s="1491"/>
      <c r="AW108" s="1491"/>
      <c r="AX108" s="1491"/>
      <c r="AY108" s="1491"/>
      <c r="AZ108" s="1491"/>
      <c r="BA108" s="1491"/>
      <c r="BB108" s="1491"/>
      <c r="BC108" s="1491"/>
      <c r="BD108" s="1491"/>
      <c r="BE108" s="1491"/>
      <c r="BF108" s="1491"/>
      <c r="BG108" s="1491"/>
      <c r="BH108" s="1491"/>
      <c r="BI108" s="1491"/>
      <c r="BJ108" s="1491"/>
      <c r="BK108" s="1491"/>
      <c r="BL108" s="1491"/>
      <c r="BM108" s="14"/>
      <c r="BN108" s="1492"/>
      <c r="BO108" s="1492"/>
      <c r="BP108" s="1492"/>
      <c r="BQ108" s="14"/>
      <c r="BR108" s="3168"/>
      <c r="BS108" s="1493"/>
      <c r="BU108" s="1508"/>
      <c r="BV108" s="1508"/>
      <c r="BW108" s="1508"/>
      <c r="BX108" s="1508"/>
      <c r="BY108" s="1508"/>
      <c r="BZ108" s="1508"/>
      <c r="CA108" s="1508"/>
      <c r="CB108" s="1508"/>
      <c r="CC108" s="1508"/>
      <c r="CD108" s="1508"/>
      <c r="CE108" s="1508"/>
      <c r="CF108" s="1508"/>
      <c r="CG108" s="1508"/>
      <c r="CH108" s="1508"/>
      <c r="CI108" s="1508"/>
      <c r="CJ108" s="1508"/>
      <c r="CK108" s="1508"/>
      <c r="CL108" s="1508"/>
      <c r="CM108" s="1508"/>
      <c r="CN108" s="1508"/>
      <c r="CO108" s="1508"/>
      <c r="CP108" s="1508"/>
      <c r="CQ108" s="1508"/>
      <c r="CR108" s="1508"/>
      <c r="CS108" s="1508"/>
      <c r="CT108" s="1508"/>
      <c r="CU108" s="1508"/>
      <c r="CV108" s="1508"/>
      <c r="CW108" s="1508"/>
      <c r="CX108" s="1508"/>
      <c r="CY108" s="1508"/>
      <c r="CZ108" s="1508"/>
      <c r="DA108" s="1508"/>
      <c r="DB108" s="1508"/>
      <c r="DC108" s="1508"/>
      <c r="DD108" s="1508"/>
      <c r="DE108" s="1508"/>
      <c r="DF108" s="1508"/>
      <c r="DG108" s="1508"/>
      <c r="DH108" s="1508"/>
      <c r="DI108" s="1508"/>
      <c r="DJ108" s="1508"/>
      <c r="DK108" s="1508"/>
      <c r="DL108" s="1508"/>
      <c r="DN108" s="1509">
        <v>0</v>
      </c>
    </row>
    <row r="109" spans="1:118" s="1578" customFormat="1" ht="12.75" hidden="1" customHeight="1" outlineLevel="2" x14ac:dyDescent="0.2">
      <c r="C109" s="1591"/>
      <c r="D109" s="1566"/>
      <c r="E109" s="1600"/>
      <c r="G109" s="1568"/>
      <c r="H109" s="1568"/>
      <c r="I109" s="1568"/>
      <c r="J109" s="1568"/>
      <c r="K109" s="1568"/>
      <c r="L109" s="1568"/>
      <c r="M109" s="1568"/>
      <c r="N109" s="1568"/>
      <c r="O109" s="1569"/>
      <c r="P109" s="1568"/>
      <c r="Q109" s="1568"/>
      <c r="R109" s="1568"/>
      <c r="S109" s="1568"/>
      <c r="T109" s="1568"/>
      <c r="U109" s="1568"/>
      <c r="V109" s="1568"/>
      <c r="W109" s="1622"/>
      <c r="X109" s="1564"/>
      <c r="Y109" s="1570"/>
      <c r="Z109" s="1570"/>
      <c r="AA109" s="1570"/>
      <c r="AB109" s="1570"/>
      <c r="AC109" s="1570"/>
      <c r="AD109" s="1570"/>
      <c r="AE109" s="1570"/>
      <c r="AF109" s="1570"/>
      <c r="AG109" s="1570"/>
      <c r="AH109" s="1570"/>
      <c r="AI109" s="1570"/>
      <c r="AJ109" s="1570"/>
      <c r="AK109" s="1570"/>
      <c r="AL109" s="1570"/>
      <c r="AM109" s="1570"/>
      <c r="AN109" s="1570"/>
      <c r="AO109" s="1570"/>
      <c r="AP109" s="1570"/>
      <c r="AQ109" s="1570"/>
      <c r="AR109" s="1564"/>
      <c r="AS109" s="1571"/>
      <c r="AT109" s="1571"/>
      <c r="AU109" s="1571"/>
      <c r="AV109" s="1571"/>
      <c r="AW109" s="1571"/>
      <c r="AX109" s="1571"/>
      <c r="AY109" s="1571"/>
      <c r="AZ109" s="1571"/>
      <c r="BA109" s="1571"/>
      <c r="BB109" s="1571"/>
      <c r="BC109" s="1571"/>
      <c r="BD109" s="1571"/>
      <c r="BE109" s="1571"/>
      <c r="BF109" s="1571"/>
      <c r="BG109" s="1571"/>
      <c r="BH109" s="1571"/>
      <c r="BI109" s="1571"/>
      <c r="BJ109" s="1571"/>
      <c r="BK109" s="1571"/>
      <c r="BL109" s="1571"/>
      <c r="BM109" s="1564"/>
      <c r="BN109" s="1572"/>
      <c r="BO109" s="1572"/>
      <c r="BP109" s="1572"/>
      <c r="BR109" s="3168"/>
      <c r="BS109" s="1579"/>
      <c r="BU109" s="1595"/>
      <c r="BV109" s="1595"/>
      <c r="BW109" s="1595"/>
      <c r="BX109" s="1595"/>
      <c r="BY109" s="1595"/>
      <c r="BZ109" s="1595"/>
      <c r="CA109" s="1595"/>
      <c r="CB109" s="1595"/>
      <c r="CC109" s="1595"/>
      <c r="CD109" s="1595"/>
      <c r="CE109" s="1595"/>
      <c r="CF109" s="1595"/>
      <c r="CG109" s="1595"/>
      <c r="CH109" s="1595"/>
      <c r="CI109" s="1595"/>
      <c r="CJ109" s="1595"/>
      <c r="CK109" s="1595"/>
      <c r="CL109" s="1595"/>
      <c r="CM109" s="1595"/>
      <c r="CN109" s="1595"/>
      <c r="CO109" s="1595"/>
      <c r="CP109" s="1595"/>
      <c r="CQ109" s="1595"/>
      <c r="CR109" s="1595"/>
      <c r="CS109" s="1595"/>
      <c r="CT109" s="1595"/>
      <c r="CU109" s="1595"/>
      <c r="CV109" s="1595"/>
      <c r="CW109" s="1595"/>
      <c r="CX109" s="1595"/>
      <c r="CY109" s="1595"/>
      <c r="CZ109" s="1595"/>
      <c r="DA109" s="1595"/>
      <c r="DB109" s="1595"/>
      <c r="DC109" s="1595"/>
      <c r="DD109" s="1595"/>
      <c r="DE109" s="1595"/>
      <c r="DF109" s="1595"/>
      <c r="DG109" s="1595"/>
      <c r="DH109" s="1595"/>
      <c r="DI109" s="1595"/>
      <c r="DJ109" s="1595"/>
      <c r="DK109" s="1595"/>
      <c r="DL109" s="1595"/>
      <c r="DN109" s="1509">
        <v>0</v>
      </c>
    </row>
    <row r="110" spans="1:118" s="1522" customFormat="1" ht="12.75" hidden="1" customHeight="1" outlineLevel="2" x14ac:dyDescent="0.2">
      <c r="B110" s="1623"/>
      <c r="C110" s="1577"/>
      <c r="D110" s="1497"/>
      <c r="E110" s="1497"/>
      <c r="F110" s="14"/>
      <c r="G110" s="1583"/>
      <c r="H110" s="1583"/>
      <c r="I110" s="1583"/>
      <c r="J110" s="1583"/>
      <c r="K110" s="1583"/>
      <c r="L110" s="1583"/>
      <c r="M110" s="1583"/>
      <c r="N110" s="1583"/>
      <c r="O110" s="1624"/>
      <c r="P110" s="1583"/>
      <c r="Q110" s="1583"/>
      <c r="R110" s="1583"/>
      <c r="S110" s="1583"/>
      <c r="T110" s="1583"/>
      <c r="U110" s="1583"/>
      <c r="V110" s="1583"/>
      <c r="W110" s="1625"/>
      <c r="X110" s="14"/>
      <c r="Y110" s="1585"/>
      <c r="Z110" s="1585"/>
      <c r="AA110" s="1585"/>
      <c r="AB110" s="1585"/>
      <c r="AC110" s="1585"/>
      <c r="AD110" s="1585"/>
      <c r="AE110" s="1585"/>
      <c r="AF110" s="1585"/>
      <c r="AG110" s="1585"/>
      <c r="AH110" s="1585"/>
      <c r="AI110" s="1585"/>
      <c r="AJ110" s="1585"/>
      <c r="AK110" s="1585"/>
      <c r="AL110" s="1585"/>
      <c r="AM110" s="1585"/>
      <c r="AN110" s="1585"/>
      <c r="AO110" s="1585"/>
      <c r="AP110" s="1585"/>
      <c r="AQ110" s="1585"/>
      <c r="AR110" s="14"/>
      <c r="AS110" s="1524"/>
      <c r="AT110" s="1524"/>
      <c r="AU110" s="1524"/>
      <c r="AV110" s="1524"/>
      <c r="AW110" s="1524"/>
      <c r="AX110" s="1524"/>
      <c r="AY110" s="1524"/>
      <c r="AZ110" s="1524"/>
      <c r="BA110" s="1524"/>
      <c r="BB110" s="1524"/>
      <c r="BC110" s="1524"/>
      <c r="BD110" s="1524"/>
      <c r="BE110" s="1524"/>
      <c r="BF110" s="1524"/>
      <c r="BG110" s="1524"/>
      <c r="BH110" s="1524"/>
      <c r="BI110" s="1524"/>
      <c r="BJ110" s="1524"/>
      <c r="BK110" s="1524"/>
      <c r="BL110" s="1524"/>
      <c r="BM110" s="14"/>
      <c r="BN110" s="1588"/>
      <c r="BO110" s="1588"/>
      <c r="BP110" s="1588"/>
      <c r="BQ110" s="14"/>
      <c r="BR110" s="3168"/>
      <c r="BS110" s="1525"/>
      <c r="BU110" s="1507">
        <v>0</v>
      </c>
      <c r="BV110" s="1508">
        <v>0</v>
      </c>
      <c r="BW110" s="1508">
        <v>0</v>
      </c>
      <c r="BX110" s="1508">
        <v>0</v>
      </c>
      <c r="BY110" s="1508">
        <v>0</v>
      </c>
      <c r="BZ110" s="1508">
        <v>4.3706513640884639</v>
      </c>
      <c r="CA110" s="1508">
        <v>0</v>
      </c>
      <c r="CB110" s="1508">
        <v>0</v>
      </c>
      <c r="CC110" s="1508">
        <v>0</v>
      </c>
      <c r="CD110" s="1508">
        <v>0</v>
      </c>
      <c r="CE110" s="1508">
        <v>0</v>
      </c>
      <c r="CF110" s="1508">
        <v>0</v>
      </c>
      <c r="CG110" s="1508">
        <v>0</v>
      </c>
      <c r="CH110" s="1508">
        <v>0</v>
      </c>
      <c r="CI110" s="1508">
        <v>0</v>
      </c>
      <c r="CJ110" s="1508">
        <v>0</v>
      </c>
      <c r="CK110" s="1508">
        <v>0</v>
      </c>
      <c r="CL110" s="1508">
        <v>0</v>
      </c>
      <c r="CM110" s="1508">
        <v>0</v>
      </c>
      <c r="CN110" s="1508">
        <v>0</v>
      </c>
      <c r="CO110" s="1508">
        <v>0</v>
      </c>
      <c r="CP110" s="1508">
        <v>0</v>
      </c>
      <c r="CQ110" s="1508">
        <v>0</v>
      </c>
      <c r="CR110" s="1508">
        <v>0</v>
      </c>
      <c r="CS110" s="1508">
        <v>0</v>
      </c>
      <c r="CT110" s="1508">
        <v>0</v>
      </c>
      <c r="CU110" s="1508">
        <v>0</v>
      </c>
      <c r="CV110" s="1508">
        <v>0</v>
      </c>
      <c r="CW110" s="1508">
        <v>0</v>
      </c>
      <c r="CX110" s="1508">
        <v>0</v>
      </c>
      <c r="CY110" s="1508">
        <v>0</v>
      </c>
      <c r="CZ110" s="1508">
        <v>0</v>
      </c>
      <c r="DA110" s="1508">
        <v>0</v>
      </c>
      <c r="DB110" s="1508">
        <v>0</v>
      </c>
      <c r="DC110" s="1508">
        <v>0</v>
      </c>
      <c r="DD110" s="1508">
        <v>0</v>
      </c>
      <c r="DE110" s="1508">
        <v>0</v>
      </c>
      <c r="DF110" s="1508">
        <v>0</v>
      </c>
      <c r="DG110" s="1508">
        <v>0</v>
      </c>
      <c r="DH110" s="1508">
        <v>0</v>
      </c>
      <c r="DI110" s="1508">
        <v>0</v>
      </c>
      <c r="DJ110" s="1508">
        <v>0</v>
      </c>
      <c r="DK110" s="1508">
        <v>0</v>
      </c>
      <c r="DL110" s="1508">
        <v>0</v>
      </c>
      <c r="DN110" s="1509">
        <v>4.3706513640884639</v>
      </c>
    </row>
    <row r="111" spans="1:118" s="1522" customFormat="1" ht="12.75" hidden="1" customHeight="1" outlineLevel="2" x14ac:dyDescent="0.2">
      <c r="B111" s="1623" t="s">
        <v>816</v>
      </c>
      <c r="C111" s="1577"/>
      <c r="D111" s="1526"/>
      <c r="E111" s="1526"/>
      <c r="F111" s="14"/>
      <c r="G111" s="1626"/>
      <c r="H111" s="1626"/>
      <c r="I111" s="1626"/>
      <c r="J111" s="1626"/>
      <c r="K111" s="1626"/>
      <c r="L111" s="1626"/>
      <c r="M111" s="1626"/>
      <c r="N111" s="1626"/>
      <c r="O111" s="1627"/>
      <c r="P111" s="1626"/>
      <c r="Q111" s="1626"/>
      <c r="R111" s="1626"/>
      <c r="S111" s="1626"/>
      <c r="T111" s="1626"/>
      <c r="U111" s="1626"/>
      <c r="V111" s="1626"/>
      <c r="W111" s="1628"/>
      <c r="X111" s="14"/>
      <c r="Y111" s="1629"/>
      <c r="Z111" s="1629"/>
      <c r="AA111" s="1629"/>
      <c r="AB111" s="1629"/>
      <c r="AC111" s="1629"/>
      <c r="AD111" s="1629"/>
      <c r="AE111" s="1629"/>
      <c r="AF111" s="1629"/>
      <c r="AG111" s="1629"/>
      <c r="AH111" s="1629"/>
      <c r="AI111" s="1629"/>
      <c r="AJ111" s="1629"/>
      <c r="AK111" s="1629"/>
      <c r="AL111" s="1629"/>
      <c r="AM111" s="1629"/>
      <c r="AN111" s="1629"/>
      <c r="AO111" s="1629"/>
      <c r="AP111" s="1629"/>
      <c r="AQ111" s="1629"/>
      <c r="AR111" s="14"/>
      <c r="AS111" s="1530"/>
      <c r="AT111" s="1530"/>
      <c r="AU111" s="1530"/>
      <c r="AV111" s="1530"/>
      <c r="AW111" s="1530"/>
      <c r="AX111" s="1530"/>
      <c r="AY111" s="1530"/>
      <c r="AZ111" s="1530"/>
      <c r="BA111" s="1530"/>
      <c r="BB111" s="1530"/>
      <c r="BC111" s="1530"/>
      <c r="BD111" s="1530"/>
      <c r="BE111" s="1530"/>
      <c r="BF111" s="1530"/>
      <c r="BG111" s="1530"/>
      <c r="BH111" s="1530"/>
      <c r="BI111" s="1530"/>
      <c r="BJ111" s="1530"/>
      <c r="BK111" s="1530"/>
      <c r="BL111" s="1530"/>
      <c r="BM111" s="14"/>
      <c r="BN111" s="1630"/>
      <c r="BO111" s="1630"/>
      <c r="BP111" s="1630"/>
      <c r="BQ111" s="14"/>
      <c r="BR111" s="3168"/>
      <c r="BS111" s="1525"/>
      <c r="BU111" s="1532">
        <v>0</v>
      </c>
      <c r="BV111" s="1533">
        <v>0</v>
      </c>
      <c r="BW111" s="1533">
        <v>0</v>
      </c>
      <c r="BX111" s="1533">
        <v>0</v>
      </c>
      <c r="BY111" s="1533">
        <v>0</v>
      </c>
      <c r="BZ111" s="1533">
        <v>0</v>
      </c>
      <c r="CA111" s="1533">
        <v>0</v>
      </c>
      <c r="CB111" s="1533">
        <v>0</v>
      </c>
      <c r="CC111" s="1533">
        <v>0</v>
      </c>
      <c r="CD111" s="1533">
        <v>0</v>
      </c>
      <c r="CE111" s="1533">
        <v>0</v>
      </c>
      <c r="CF111" s="1533">
        <v>0</v>
      </c>
      <c r="CG111" s="1533">
        <v>0</v>
      </c>
      <c r="CH111" s="1533">
        <v>0</v>
      </c>
      <c r="CI111" s="1533">
        <v>0</v>
      </c>
      <c r="CJ111" s="1533">
        <v>0</v>
      </c>
      <c r="CK111" s="1533">
        <v>0</v>
      </c>
      <c r="CL111" s="1533">
        <v>0</v>
      </c>
      <c r="CM111" s="1533">
        <v>0</v>
      </c>
      <c r="CN111" s="1533">
        <v>0</v>
      </c>
      <c r="CO111" s="1533">
        <v>0</v>
      </c>
      <c r="CP111" s="1533">
        <v>0</v>
      </c>
      <c r="CQ111" s="1533">
        <v>0</v>
      </c>
      <c r="CR111" s="1533">
        <v>0</v>
      </c>
      <c r="CS111" s="1533">
        <v>0</v>
      </c>
      <c r="CT111" s="1533">
        <v>0</v>
      </c>
      <c r="CU111" s="1533">
        <v>0</v>
      </c>
      <c r="CV111" s="1533">
        <v>0</v>
      </c>
      <c r="CW111" s="1533">
        <v>0</v>
      </c>
      <c r="CX111" s="1533">
        <v>0</v>
      </c>
      <c r="CY111" s="1533">
        <v>0</v>
      </c>
      <c r="CZ111" s="1533">
        <v>0</v>
      </c>
      <c r="DA111" s="1533">
        <v>0</v>
      </c>
      <c r="DB111" s="1533">
        <v>0</v>
      </c>
      <c r="DC111" s="1533">
        <v>0</v>
      </c>
      <c r="DD111" s="1533">
        <v>0</v>
      </c>
      <c r="DE111" s="1533">
        <v>0</v>
      </c>
      <c r="DF111" s="1533">
        <v>0</v>
      </c>
      <c r="DG111" s="1533">
        <v>0</v>
      </c>
      <c r="DH111" s="1533">
        <v>0</v>
      </c>
      <c r="DI111" s="1533">
        <v>0</v>
      </c>
      <c r="DJ111" s="1533">
        <v>0</v>
      </c>
      <c r="DK111" s="1533">
        <v>0</v>
      </c>
      <c r="DL111" s="1533">
        <v>0</v>
      </c>
      <c r="DN111" s="1509">
        <v>0</v>
      </c>
    </row>
    <row r="112" spans="1:118" s="14" customFormat="1" ht="15.75" outlineLevel="1" collapsed="1" x14ac:dyDescent="0.2">
      <c r="B112" s="1535" t="s">
        <v>816</v>
      </c>
      <c r="C112" s="1552"/>
      <c r="D112" s="1537"/>
      <c r="E112" s="1430"/>
      <c r="G112" s="1539"/>
      <c r="H112" s="1539"/>
      <c r="I112" s="1539"/>
      <c r="J112" s="1539"/>
      <c r="K112" s="1539"/>
      <c r="L112" s="1539"/>
      <c r="M112" s="1539"/>
      <c r="N112" s="1539"/>
      <c r="O112" s="1539"/>
      <c r="P112" s="1539"/>
      <c r="Q112" s="1539"/>
      <c r="R112" s="1539"/>
      <c r="S112" s="1539"/>
      <c r="T112" s="1539"/>
      <c r="U112" s="1539"/>
      <c r="V112" s="1539"/>
      <c r="W112" s="1539"/>
      <c r="Y112" s="1490"/>
      <c r="Z112" s="1490"/>
      <c r="AA112" s="1490"/>
      <c r="AB112" s="1490"/>
      <c r="AC112" s="1490"/>
      <c r="AD112" s="1490"/>
      <c r="AE112" s="1490"/>
      <c r="AF112" s="1490"/>
      <c r="AG112" s="1490"/>
      <c r="AH112" s="1490"/>
      <c r="AI112" s="1490"/>
      <c r="AJ112" s="1490"/>
      <c r="AK112" s="1490"/>
      <c r="AL112" s="1490"/>
      <c r="AM112" s="1490"/>
      <c r="AN112" s="1490"/>
      <c r="AO112" s="1490"/>
      <c r="AP112" s="1490"/>
      <c r="AQ112" s="1490"/>
      <c r="AS112" s="1491"/>
      <c r="AT112" s="1491"/>
      <c r="AU112" s="1491"/>
      <c r="AV112" s="1491"/>
      <c r="AW112" s="1491"/>
      <c r="AX112" s="1491"/>
      <c r="AY112" s="1491"/>
      <c r="AZ112" s="1491"/>
      <c r="BA112" s="1491"/>
      <c r="BB112" s="1491"/>
      <c r="BC112" s="1491"/>
      <c r="BD112" s="1491"/>
      <c r="BE112" s="1491"/>
      <c r="BF112" s="1491"/>
      <c r="BG112" s="1491"/>
      <c r="BH112" s="1491"/>
      <c r="BI112" s="1491"/>
      <c r="BJ112" s="1491"/>
      <c r="BK112" s="1491"/>
      <c r="BL112" s="1491"/>
      <c r="BN112" s="1492"/>
      <c r="BO112" s="1492"/>
      <c r="BP112" s="1492"/>
      <c r="BR112" s="3168"/>
      <c r="BS112" s="1493"/>
      <c r="BT112" s="748"/>
      <c r="BU112" s="1508">
        <v>0</v>
      </c>
      <c r="BV112" s="1508">
        <v>0</v>
      </c>
      <c r="BW112" s="1508">
        <v>0</v>
      </c>
      <c r="BX112" s="1508">
        <v>0</v>
      </c>
      <c r="BY112" s="1508">
        <v>0</v>
      </c>
      <c r="BZ112" s="1508">
        <v>4.3706513640884639</v>
      </c>
      <c r="CA112" s="1508">
        <v>0</v>
      </c>
      <c r="CB112" s="1508">
        <v>0</v>
      </c>
      <c r="CC112" s="1508">
        <v>0</v>
      </c>
      <c r="CD112" s="1508">
        <v>0</v>
      </c>
      <c r="CE112" s="1508">
        <v>0</v>
      </c>
      <c r="CF112" s="1508">
        <v>0</v>
      </c>
      <c r="CG112" s="1508">
        <v>0</v>
      </c>
      <c r="CH112" s="1508">
        <v>0</v>
      </c>
      <c r="CI112" s="1508">
        <v>0</v>
      </c>
      <c r="CJ112" s="1508">
        <v>0</v>
      </c>
      <c r="CK112" s="1508">
        <v>0</v>
      </c>
      <c r="CL112" s="1508">
        <v>0</v>
      </c>
      <c r="CM112" s="1508">
        <v>0</v>
      </c>
      <c r="CN112" s="1508">
        <v>0</v>
      </c>
      <c r="CO112" s="1508">
        <v>0</v>
      </c>
      <c r="CP112" s="1508">
        <v>0</v>
      </c>
      <c r="CQ112" s="1508">
        <v>0</v>
      </c>
      <c r="CR112" s="1508">
        <v>0</v>
      </c>
      <c r="CS112" s="1508">
        <v>0</v>
      </c>
      <c r="CT112" s="1508">
        <v>0</v>
      </c>
      <c r="CU112" s="1508">
        <v>0</v>
      </c>
      <c r="CV112" s="1508">
        <v>0</v>
      </c>
      <c r="CW112" s="1508">
        <v>0</v>
      </c>
      <c r="CX112" s="1508">
        <v>0</v>
      </c>
      <c r="CY112" s="1508">
        <v>0</v>
      </c>
      <c r="CZ112" s="1508">
        <v>0</v>
      </c>
      <c r="DA112" s="1508">
        <v>0</v>
      </c>
      <c r="DB112" s="1508">
        <v>0</v>
      </c>
      <c r="DC112" s="1508">
        <v>0</v>
      </c>
      <c r="DD112" s="1508">
        <v>0</v>
      </c>
      <c r="DE112" s="1508">
        <v>0</v>
      </c>
      <c r="DF112" s="1508">
        <v>0</v>
      </c>
      <c r="DG112" s="1508">
        <v>0</v>
      </c>
      <c r="DH112" s="1508">
        <v>0</v>
      </c>
      <c r="DI112" s="1508">
        <v>0</v>
      </c>
      <c r="DJ112" s="1508">
        <v>0</v>
      </c>
      <c r="DK112" s="1508">
        <v>0</v>
      </c>
      <c r="DL112" s="1508">
        <v>0</v>
      </c>
      <c r="DN112" s="1509">
        <v>4.3706513640884639</v>
      </c>
    </row>
    <row r="113" spans="2:118" s="14" customFormat="1" ht="6" customHeight="1" outlineLevel="1" x14ac:dyDescent="0.2">
      <c r="C113" s="1429"/>
      <c r="D113" s="1430"/>
      <c r="E113" s="1430"/>
      <c r="G113" s="1488"/>
      <c r="H113" s="1488"/>
      <c r="I113" s="1488"/>
      <c r="J113" s="1488"/>
      <c r="K113" s="1488"/>
      <c r="L113" s="1488"/>
      <c r="M113" s="1488"/>
      <c r="N113" s="1488"/>
      <c r="O113" s="1563"/>
      <c r="P113" s="1488"/>
      <c r="Q113" s="1488"/>
      <c r="R113" s="1488"/>
      <c r="S113" s="1488"/>
      <c r="T113" s="1488"/>
      <c r="U113" s="1488"/>
      <c r="V113" s="1488"/>
      <c r="W113" s="1488"/>
      <c r="Y113" s="1490"/>
      <c r="Z113" s="1490"/>
      <c r="AA113" s="1490"/>
      <c r="AB113" s="1490"/>
      <c r="AC113" s="1490"/>
      <c r="AD113" s="1490"/>
      <c r="AE113" s="1490"/>
      <c r="AF113" s="1490"/>
      <c r="AG113" s="1490"/>
      <c r="AH113" s="1490"/>
      <c r="AI113" s="1490"/>
      <c r="AJ113" s="1490"/>
      <c r="AK113" s="1490"/>
      <c r="AL113" s="1490"/>
      <c r="AM113" s="1490"/>
      <c r="AN113" s="1490"/>
      <c r="AO113" s="1490"/>
      <c r="AP113" s="1490"/>
      <c r="AQ113" s="1490"/>
      <c r="AS113" s="1491"/>
      <c r="AT113" s="1491"/>
      <c r="AU113" s="1491"/>
      <c r="AV113" s="1491"/>
      <c r="AW113" s="1491"/>
      <c r="AX113" s="1491"/>
      <c r="AY113" s="1491"/>
      <c r="AZ113" s="1491"/>
      <c r="BA113" s="1491"/>
      <c r="BB113" s="1491"/>
      <c r="BC113" s="1491"/>
      <c r="BD113" s="1491"/>
      <c r="BE113" s="1491"/>
      <c r="BF113" s="1491"/>
      <c r="BG113" s="1491"/>
      <c r="BH113" s="1491"/>
      <c r="BI113" s="1491"/>
      <c r="BJ113" s="1491"/>
      <c r="BK113" s="1491"/>
      <c r="BL113" s="1491"/>
      <c r="BN113" s="1492"/>
      <c r="BO113" s="1492"/>
      <c r="BP113" s="1492"/>
      <c r="BR113" s="3168"/>
      <c r="BS113" s="1493"/>
      <c r="BU113" s="1508"/>
      <c r="BV113" s="1508"/>
      <c r="BW113" s="1508"/>
      <c r="BX113" s="1508"/>
      <c r="BY113" s="1508"/>
      <c r="BZ113" s="1508"/>
      <c r="CA113" s="1508"/>
      <c r="CB113" s="1508"/>
      <c r="CC113" s="1508"/>
      <c r="CD113" s="1508"/>
      <c r="CE113" s="1508"/>
      <c r="CF113" s="1508"/>
      <c r="CG113" s="1508"/>
      <c r="CH113" s="1508"/>
      <c r="CI113" s="1508"/>
      <c r="CJ113" s="1508"/>
      <c r="CK113" s="1508"/>
      <c r="CL113" s="1508"/>
      <c r="CM113" s="1508"/>
      <c r="CN113" s="1508"/>
      <c r="CO113" s="1508"/>
      <c r="CP113" s="1508"/>
      <c r="CQ113" s="1508"/>
      <c r="CR113" s="1508"/>
      <c r="CS113" s="1508"/>
      <c r="CT113" s="1508"/>
      <c r="CU113" s="1508"/>
      <c r="CV113" s="1508"/>
      <c r="CW113" s="1508"/>
      <c r="CX113" s="1508"/>
      <c r="CY113" s="1508"/>
      <c r="CZ113" s="1508"/>
      <c r="DA113" s="1508"/>
      <c r="DB113" s="1508"/>
      <c r="DC113" s="1508"/>
      <c r="DD113" s="1508"/>
      <c r="DE113" s="1508"/>
      <c r="DF113" s="1508"/>
      <c r="DG113" s="1508"/>
      <c r="DH113" s="1508"/>
      <c r="DI113" s="1508"/>
      <c r="DJ113" s="1508"/>
      <c r="DK113" s="1508"/>
      <c r="DL113" s="1508"/>
      <c r="DN113" s="1509"/>
    </row>
    <row r="114" spans="2:118" s="14" customFormat="1" ht="13.5" thickBot="1" x14ac:dyDescent="0.25">
      <c r="C114" s="1429"/>
      <c r="D114" s="1430"/>
      <c r="E114" s="1430"/>
      <c r="G114" s="1488"/>
      <c r="H114" s="1488"/>
      <c r="I114" s="1488"/>
      <c r="J114" s="1488"/>
      <c r="K114" s="1488"/>
      <c r="L114" s="1488"/>
      <c r="M114" s="1488"/>
      <c r="N114" s="1488"/>
      <c r="O114" s="1563"/>
      <c r="P114" s="1488"/>
      <c r="Q114" s="1488"/>
      <c r="R114" s="1488"/>
      <c r="S114" s="1488"/>
      <c r="T114" s="1488"/>
      <c r="U114" s="1488"/>
      <c r="V114" s="1488"/>
      <c r="W114" s="1488"/>
      <c r="Y114" s="1490"/>
      <c r="Z114" s="1490"/>
      <c r="AA114" s="1490"/>
      <c r="AB114" s="1490"/>
      <c r="AC114" s="1490"/>
      <c r="AD114" s="1490"/>
      <c r="AE114" s="1490"/>
      <c r="AF114" s="1490"/>
      <c r="AG114" s="1490"/>
      <c r="AH114" s="1490"/>
      <c r="AI114" s="1490"/>
      <c r="AJ114" s="1490"/>
      <c r="AK114" s="1490"/>
      <c r="AL114" s="1490"/>
      <c r="AM114" s="1490"/>
      <c r="AN114" s="1490"/>
      <c r="AO114" s="1490"/>
      <c r="AP114" s="1490"/>
      <c r="AQ114" s="1490"/>
      <c r="AS114" s="1491"/>
      <c r="AT114" s="1491"/>
      <c r="AU114" s="1491"/>
      <c r="AV114" s="1491"/>
      <c r="AW114" s="1491"/>
      <c r="AX114" s="1491"/>
      <c r="AY114" s="1491"/>
      <c r="AZ114" s="1491"/>
      <c r="BA114" s="1491"/>
      <c r="BB114" s="1491"/>
      <c r="BC114" s="1491"/>
      <c r="BD114" s="1491"/>
      <c r="BE114" s="1491"/>
      <c r="BF114" s="1491"/>
      <c r="BG114" s="1491"/>
      <c r="BH114" s="1491"/>
      <c r="BI114" s="1491"/>
      <c r="BJ114" s="1491"/>
      <c r="BK114" s="1491"/>
      <c r="BL114" s="1491"/>
      <c r="BN114" s="1492"/>
      <c r="BO114" s="1492"/>
      <c r="BP114" s="1492"/>
      <c r="BR114" s="3168"/>
      <c r="BS114" s="1493"/>
      <c r="BU114" s="1508"/>
      <c r="BV114" s="1508"/>
      <c r="BW114" s="1508"/>
      <c r="BX114" s="1508"/>
      <c r="BY114" s="1508"/>
      <c r="BZ114" s="1508"/>
      <c r="CA114" s="1508"/>
      <c r="CB114" s="1508"/>
      <c r="CC114" s="1508"/>
      <c r="CD114" s="1508"/>
      <c r="CE114" s="1508"/>
      <c r="CF114" s="1508"/>
      <c r="CG114" s="1508"/>
      <c r="CH114" s="1508"/>
      <c r="CI114" s="1508"/>
      <c r="CJ114" s="1508"/>
      <c r="CK114" s="1508"/>
      <c r="CL114" s="1508"/>
      <c r="CM114" s="1508"/>
      <c r="CN114" s="1508"/>
      <c r="CO114" s="1508"/>
      <c r="CP114" s="1508"/>
      <c r="CQ114" s="1508"/>
      <c r="CR114" s="1508"/>
      <c r="CS114" s="1508"/>
      <c r="CT114" s="1508"/>
      <c r="CU114" s="1508"/>
      <c r="CV114" s="1508"/>
      <c r="CW114" s="1508"/>
      <c r="CX114" s="1508"/>
      <c r="CY114" s="1508"/>
      <c r="CZ114" s="1508"/>
      <c r="DA114" s="1508"/>
      <c r="DB114" s="1508"/>
      <c r="DC114" s="1508"/>
      <c r="DD114" s="1508"/>
      <c r="DE114" s="1508"/>
      <c r="DF114" s="1508"/>
      <c r="DG114" s="1508"/>
      <c r="DH114" s="1508"/>
      <c r="DI114" s="1508"/>
      <c r="DJ114" s="1508"/>
      <c r="DK114" s="1508"/>
      <c r="DL114" s="1508"/>
      <c r="DN114" s="1509"/>
    </row>
    <row r="115" spans="2:118" s="14" customFormat="1" ht="24" customHeight="1" thickBot="1" x14ac:dyDescent="0.25">
      <c r="C115" s="1631" t="s">
        <v>869</v>
      </c>
      <c r="D115" s="1631"/>
      <c r="E115" s="1631"/>
      <c r="G115" s="1632">
        <f t="shared" ref="G115:V115" ca="1" si="71">G36+G92</f>
        <v>70.226997977553282</v>
      </c>
      <c r="H115" s="1632">
        <f t="shared" ca="1" si="71"/>
        <v>14.756077842367976</v>
      </c>
      <c r="I115" s="1632">
        <f t="shared" ca="1" si="71"/>
        <v>5.931878120157017</v>
      </c>
      <c r="J115" s="1632">
        <f t="shared" ca="1" si="71"/>
        <v>19.716521969122127</v>
      </c>
      <c r="K115" s="1632">
        <f t="shared" ca="1" si="71"/>
        <v>8.7494718184515392</v>
      </c>
      <c r="L115" s="1632">
        <f t="shared" ca="1" si="71"/>
        <v>17.686884599050554</v>
      </c>
      <c r="M115" s="1632">
        <f t="shared" ca="1" si="71"/>
        <v>241.06883940080814</v>
      </c>
      <c r="N115" s="1632">
        <f t="shared" ca="1" si="71"/>
        <v>81.966553559214447</v>
      </c>
      <c r="O115" s="1632">
        <f t="shared" ca="1" si="71"/>
        <v>34.386846640344736</v>
      </c>
      <c r="P115" s="1632">
        <f t="shared" ca="1" si="71"/>
        <v>0.64200954580250646</v>
      </c>
      <c r="Q115" s="1632">
        <f t="shared" ca="1" si="71"/>
        <v>8.959821225654771E-2</v>
      </c>
      <c r="R115" s="1632">
        <f t="shared" ca="1" si="71"/>
        <v>38.222272999940216</v>
      </c>
      <c r="S115" s="1632">
        <f t="shared" ca="1" si="71"/>
        <v>10.652714024731472</v>
      </c>
      <c r="T115" s="1632">
        <f t="shared" ca="1" si="71"/>
        <v>12.075606800947295</v>
      </c>
      <c r="U115" s="1632">
        <f t="shared" ca="1" si="71"/>
        <v>7.6806278547464401E-3</v>
      </c>
      <c r="V115" s="1632">
        <f t="shared" ca="1" si="71"/>
        <v>0.44959875353967499</v>
      </c>
      <c r="W115" s="1632">
        <f ca="1">W36+W92+W107</f>
        <v>556.62955289214233</v>
      </c>
      <c r="Y115" s="1633">
        <f t="shared" ref="Y115:AQ115" ca="1" si="72">Y92+Y36+Y107</f>
        <v>-132.75541227739603</v>
      </c>
      <c r="Z115" s="1633">
        <f t="shared" ca="1" si="72"/>
        <v>132.75541227739603</v>
      </c>
      <c r="AA115" s="1633">
        <f t="shared" ca="1" si="72"/>
        <v>-183.48940437287516</v>
      </c>
      <c r="AB115" s="1633">
        <f t="shared" ca="1" si="72"/>
        <v>-291.4785565871108</v>
      </c>
      <c r="AC115" s="1633">
        <f t="shared" ca="1" si="72"/>
        <v>-151.83587101940554</v>
      </c>
      <c r="AD115" s="1633">
        <f t="shared" ca="1" si="72"/>
        <v>25.584695004942699</v>
      </c>
      <c r="AE115" s="1633">
        <f t="shared" ca="1" si="72"/>
        <v>3.0761179275455</v>
      </c>
      <c r="AF115" s="1633">
        <f t="shared" ca="1" si="72"/>
        <v>10.934465313717508</v>
      </c>
      <c r="AG115" s="1633">
        <f t="shared" ca="1" si="72"/>
        <v>0</v>
      </c>
      <c r="AH115" s="1633">
        <f t="shared" ca="1" si="72"/>
        <v>0</v>
      </c>
      <c r="AI115" s="1633">
        <f t="shared" ca="1" si="72"/>
        <v>0</v>
      </c>
      <c r="AJ115" s="1633">
        <f t="shared" ca="1" si="72"/>
        <v>0</v>
      </c>
      <c r="AK115" s="1633">
        <f t="shared" ca="1" si="72"/>
        <v>0</v>
      </c>
      <c r="AL115" s="1633">
        <f t="shared" ca="1" si="72"/>
        <v>-12.056385936741588</v>
      </c>
      <c r="AM115" s="1633">
        <f t="shared" ca="1" si="72"/>
        <v>0</v>
      </c>
      <c r="AN115" s="1633">
        <f t="shared" ca="1" si="72"/>
        <v>0</v>
      </c>
      <c r="AO115" s="1633">
        <f t="shared" ca="1" si="72"/>
        <v>0</v>
      </c>
      <c r="AP115" s="1633">
        <f t="shared" ca="1" si="72"/>
        <v>0</v>
      </c>
      <c r="AQ115" s="1633">
        <f t="shared" ca="1" si="72"/>
        <v>-599.26493966992734</v>
      </c>
      <c r="AS115" s="1634">
        <f t="shared" ref="AS115:BL115" ca="1" si="73">AS92+AS36+AS107</f>
        <v>-25.584695004942699</v>
      </c>
      <c r="AT115" s="1634">
        <f t="shared" ca="1" si="73"/>
        <v>-3.0761179275455</v>
      </c>
      <c r="AU115" s="1634">
        <f t="shared" ca="1" si="73"/>
        <v>-10.934465313717508</v>
      </c>
      <c r="AV115" s="1634">
        <f t="shared" ca="1" si="73"/>
        <v>0</v>
      </c>
      <c r="AW115" s="1634">
        <f t="shared" ca="1" si="73"/>
        <v>0</v>
      </c>
      <c r="AX115" s="1634">
        <f t="shared" ca="1" si="73"/>
        <v>0</v>
      </c>
      <c r="AY115" s="1634">
        <f t="shared" ca="1" si="73"/>
        <v>0</v>
      </c>
      <c r="AZ115" s="1634">
        <f t="shared" ca="1" si="73"/>
        <v>0</v>
      </c>
      <c r="BA115" s="1634">
        <f t="shared" ca="1" si="73"/>
        <v>0</v>
      </c>
      <c r="BB115" s="1634">
        <f t="shared" ca="1" si="73"/>
        <v>0</v>
      </c>
      <c r="BC115" s="1634">
        <f t="shared" ca="1" si="73"/>
        <v>-9.9851748956592505</v>
      </c>
      <c r="BD115" s="1634">
        <f t="shared" ca="1" si="73"/>
        <v>-5.7974255999999986</v>
      </c>
      <c r="BE115" s="1634">
        <f t="shared" ca="1" si="73"/>
        <v>-2.4709600800000002E-2</v>
      </c>
      <c r="BF115" s="1634">
        <f t="shared" ca="1" si="73"/>
        <v>-6.1774002000000001E-2</v>
      </c>
      <c r="BG115" s="1634">
        <f t="shared" ca="1" si="73"/>
        <v>-0.35064000000000006</v>
      </c>
      <c r="BH115" s="1634">
        <f t="shared" ca="1" si="73"/>
        <v>-27.1285785</v>
      </c>
      <c r="BI115" s="1634">
        <f t="shared" ca="1" si="73"/>
        <v>0</v>
      </c>
      <c r="BJ115" s="1634">
        <f t="shared" ca="1" si="73"/>
        <v>0</v>
      </c>
      <c r="BK115" s="1634">
        <f t="shared" ca="1" si="73"/>
        <v>-0.41862659982364236</v>
      </c>
      <c r="BL115" s="1634">
        <f t="shared" ca="1" si="73"/>
        <v>-83.362207444488604</v>
      </c>
      <c r="BN115" s="1635">
        <f ca="1">BN92+BN36+BN107</f>
        <v>121.53740828468436</v>
      </c>
      <c r="BO115" s="1635">
        <f ca="1">BO92+BO36+BO107</f>
        <v>4.4601859375893138</v>
      </c>
      <c r="BP115" s="1635">
        <f ca="1">BP92+BP36+BP107</f>
        <v>125.99759422227368</v>
      </c>
      <c r="BR115" s="3434">
        <f ca="1">BR92+BR36+BR107</f>
        <v>1.1091821905395705E-13</v>
      </c>
      <c r="BS115" s="1486"/>
      <c r="BU115" s="1636">
        <v>509.46720605787289</v>
      </c>
      <c r="BV115" s="1636">
        <v>1.0312102102697414</v>
      </c>
      <c r="BW115" s="1636">
        <v>4.8883498544750488</v>
      </c>
      <c r="BX115" s="1636">
        <v>0</v>
      </c>
      <c r="BY115" s="1636">
        <v>5.0916819860234304</v>
      </c>
      <c r="BZ115" s="1636">
        <v>7.0109643253402414</v>
      </c>
      <c r="CA115" s="1636">
        <v>0</v>
      </c>
      <c r="CB115" s="1636">
        <v>0</v>
      </c>
      <c r="CC115" s="1636">
        <v>14.39565925511863</v>
      </c>
      <c r="CD115" s="1636">
        <v>0.11288744235152412</v>
      </c>
      <c r="CE115" s="1636">
        <v>2.7624692105907238</v>
      </c>
      <c r="CF115" s="1636">
        <v>10.620296151887526</v>
      </c>
      <c r="CG115" s="1636">
        <v>0</v>
      </c>
      <c r="CH115" s="1636">
        <v>0</v>
      </c>
      <c r="CI115" s="1636">
        <v>0</v>
      </c>
      <c r="CJ115" s="1636">
        <v>0</v>
      </c>
      <c r="CK115" s="1636">
        <v>0</v>
      </c>
      <c r="CL115" s="1636">
        <v>20.026732599999995</v>
      </c>
      <c r="CM115" s="1636">
        <v>23.28</v>
      </c>
      <c r="CN115" s="1636">
        <v>0</v>
      </c>
      <c r="CO115" s="1636">
        <v>-1.8247953999999991</v>
      </c>
      <c r="CP115" s="1636">
        <v>0</v>
      </c>
      <c r="CQ115" s="1636">
        <v>0</v>
      </c>
      <c r="CR115" s="1636">
        <v>0</v>
      </c>
      <c r="CS115" s="1636">
        <v>0</v>
      </c>
      <c r="CT115" s="1636">
        <v>21.652248115789206</v>
      </c>
      <c r="CU115" s="1636">
        <v>1.2204197534285715</v>
      </c>
      <c r="CV115" s="1636">
        <v>0</v>
      </c>
      <c r="CW115" s="1636">
        <v>0</v>
      </c>
      <c r="CX115" s="1636">
        <v>0</v>
      </c>
      <c r="CY115" s="1636">
        <v>0</v>
      </c>
      <c r="CZ115" s="1636">
        <v>0</v>
      </c>
      <c r="DA115" s="1636">
        <v>51.739539271814301</v>
      </c>
      <c r="DB115" s="1636">
        <v>6.441552213858226E-2</v>
      </c>
      <c r="DC115" s="1636">
        <v>0.93090033050516818</v>
      </c>
      <c r="DD115" s="1636">
        <v>0</v>
      </c>
      <c r="DE115" s="1636">
        <v>-6.9140653412492146</v>
      </c>
      <c r="DF115" s="1636">
        <v>0</v>
      </c>
      <c r="DG115" s="1636">
        <v>0</v>
      </c>
      <c r="DH115" s="1636">
        <v>0</v>
      </c>
      <c r="DI115" s="1636">
        <v>0</v>
      </c>
      <c r="DJ115" s="1636">
        <v>0</v>
      </c>
      <c r="DK115" s="1636">
        <v>0</v>
      </c>
      <c r="DL115" s="1636">
        <v>0</v>
      </c>
      <c r="DN115" s="1562">
        <v>665.55611934635658</v>
      </c>
    </row>
    <row r="116" spans="2:118" s="14" customFormat="1" x14ac:dyDescent="0.2">
      <c r="C116" s="1429"/>
      <c r="D116" s="1430"/>
      <c r="E116" s="1430"/>
      <c r="G116" s="1637"/>
      <c r="H116" s="1637"/>
      <c r="I116" s="1637"/>
      <c r="J116" s="1637"/>
      <c r="K116" s="1637"/>
      <c r="L116" s="1637"/>
      <c r="M116" s="1637"/>
      <c r="N116" s="1637"/>
      <c r="O116" s="1638"/>
      <c r="P116" s="1637"/>
      <c r="Q116" s="1637"/>
      <c r="R116" s="1637"/>
      <c r="S116" s="1637"/>
      <c r="T116" s="1637"/>
      <c r="U116" s="1637"/>
      <c r="V116" s="1637"/>
      <c r="W116" s="1637"/>
      <c r="Y116" s="1639"/>
      <c r="Z116" s="1639"/>
      <c r="AA116" s="1639"/>
      <c r="AB116" s="1639"/>
      <c r="AC116" s="1639"/>
      <c r="AD116" s="1639"/>
      <c r="AE116" s="1639"/>
      <c r="AF116" s="1639"/>
      <c r="AG116" s="1639"/>
      <c r="AH116" s="1639"/>
      <c r="AI116" s="1639"/>
      <c r="AJ116" s="1639"/>
      <c r="AK116" s="1639"/>
      <c r="AL116" s="1639"/>
      <c r="AM116" s="1639"/>
      <c r="AN116" s="1639"/>
      <c r="AO116" s="1639"/>
      <c r="AP116" s="1639"/>
      <c r="AQ116" s="1639"/>
      <c r="AS116" s="1640"/>
      <c r="AT116" s="1640"/>
      <c r="AU116" s="1640"/>
      <c r="AV116" s="1640"/>
      <c r="AW116" s="1640"/>
      <c r="AX116" s="1640"/>
      <c r="AY116" s="1640"/>
      <c r="AZ116" s="1640"/>
      <c r="BA116" s="1640"/>
      <c r="BB116" s="1640"/>
      <c r="BC116" s="1640"/>
      <c r="BD116" s="1640"/>
      <c r="BE116" s="1640"/>
      <c r="BF116" s="1640"/>
      <c r="BG116" s="1640"/>
      <c r="BH116" s="1640"/>
      <c r="BI116" s="1640"/>
      <c r="BJ116" s="1640"/>
      <c r="BK116" s="1640"/>
      <c r="BL116" s="1640"/>
      <c r="BN116" s="1641"/>
      <c r="BO116" s="1641"/>
      <c r="BP116" s="1641"/>
      <c r="BR116" s="1957"/>
      <c r="BS116" s="1493"/>
      <c r="BU116" s="1642"/>
      <c r="BV116" s="1642"/>
      <c r="BW116" s="1642"/>
      <c r="BX116" s="1642"/>
      <c r="BY116" s="1642"/>
      <c r="BZ116" s="1642"/>
      <c r="CA116" s="1642"/>
      <c r="CB116" s="1642"/>
      <c r="CC116" s="1642"/>
      <c r="CD116" s="1642"/>
      <c r="CE116" s="1642"/>
      <c r="CF116" s="1642"/>
      <c r="CG116" s="1642"/>
      <c r="CH116" s="1642"/>
      <c r="CI116" s="1642"/>
      <c r="CJ116" s="1642"/>
      <c r="CK116" s="1642"/>
      <c r="CL116" s="1642"/>
      <c r="CM116" s="1642"/>
      <c r="CN116" s="1642"/>
      <c r="CO116" s="1642"/>
      <c r="CP116" s="1642"/>
      <c r="CQ116" s="1642"/>
      <c r="CR116" s="1642"/>
      <c r="CS116" s="1642"/>
      <c r="CT116" s="1642"/>
      <c r="CU116" s="1642"/>
      <c r="CV116" s="1642"/>
      <c r="CW116" s="1642"/>
      <c r="CX116" s="1642"/>
      <c r="CY116" s="1642"/>
      <c r="CZ116" s="1642"/>
      <c r="DA116" s="1642"/>
      <c r="DB116" s="1642"/>
      <c r="DC116" s="1642"/>
      <c r="DD116" s="1642"/>
      <c r="DE116" s="1642"/>
      <c r="DF116" s="1642"/>
      <c r="DG116" s="1642"/>
      <c r="DH116" s="1642"/>
      <c r="DI116" s="1642"/>
      <c r="DJ116" s="1642"/>
      <c r="DK116" s="1642"/>
      <c r="DL116" s="1642"/>
    </row>
    <row r="117" spans="2:118" x14ac:dyDescent="0.2">
      <c r="G117" s="1493"/>
      <c r="H117" s="1493"/>
      <c r="I117" s="1493"/>
      <c r="J117" s="1493"/>
      <c r="K117" s="1493"/>
      <c r="L117" s="1493"/>
      <c r="M117" s="1493"/>
      <c r="N117" s="1493"/>
      <c r="O117" s="1643"/>
      <c r="P117" s="1493"/>
      <c r="Q117" s="1493"/>
      <c r="R117" s="1493"/>
      <c r="S117" s="1493"/>
      <c r="T117" s="1493"/>
      <c r="U117" s="1493"/>
      <c r="V117" s="1493"/>
      <c r="W117" s="1493"/>
      <c r="Y117" s="1493"/>
      <c r="Z117" s="1493"/>
      <c r="AA117" s="1493"/>
      <c r="AB117" s="1493"/>
      <c r="AC117" s="1493"/>
      <c r="AD117" s="1493"/>
      <c r="AE117" s="1493"/>
      <c r="AF117" s="1493"/>
      <c r="AG117" s="1493"/>
      <c r="AH117" s="1493"/>
      <c r="AI117" s="1493"/>
      <c r="AJ117" s="1493"/>
      <c r="AK117" s="1493"/>
      <c r="AL117" s="1493"/>
      <c r="AM117" s="1493"/>
      <c r="AN117" s="1493"/>
      <c r="AO117" s="1493"/>
      <c r="AP117" s="1493"/>
      <c r="AQ117" s="1493"/>
      <c r="AS117" s="1493"/>
      <c r="AT117" s="1493"/>
      <c r="AU117" s="1493"/>
      <c r="AV117" s="1493"/>
      <c r="AW117" s="1493"/>
      <c r="AX117" s="1493"/>
      <c r="AY117" s="1493"/>
      <c r="AZ117" s="1493"/>
      <c r="BA117" s="1493"/>
      <c r="BB117" s="1493"/>
      <c r="BC117" s="1493"/>
      <c r="BD117" s="1493"/>
      <c r="BE117" s="1493"/>
      <c r="BF117" s="1493"/>
      <c r="BG117" s="1493"/>
      <c r="BH117" s="1493"/>
      <c r="BI117" s="1493"/>
      <c r="BJ117" s="1493"/>
      <c r="BK117" s="1493"/>
      <c r="BL117" s="1493"/>
      <c r="BN117" s="1493"/>
      <c r="BO117" s="1493"/>
      <c r="BP117" s="1493"/>
      <c r="BR117" s="1957"/>
      <c r="BS117" s="1493"/>
    </row>
    <row r="118" spans="2:118" x14ac:dyDescent="0.2">
      <c r="G118" s="1493"/>
      <c r="H118" s="1493"/>
      <c r="I118" s="1493"/>
      <c r="J118" s="1493"/>
      <c r="K118" s="1493"/>
      <c r="L118" s="1493"/>
      <c r="M118" s="1493"/>
      <c r="N118" s="1493"/>
      <c r="O118" s="1643"/>
      <c r="P118" s="1493"/>
      <c r="Q118" s="1493"/>
      <c r="R118" s="1493"/>
      <c r="S118" s="1493"/>
      <c r="T118" s="1493"/>
      <c r="U118" s="1493"/>
      <c r="V118" s="1493"/>
      <c r="W118" s="1493"/>
      <c r="Y118" s="1493"/>
      <c r="Z118" s="1493"/>
      <c r="AA118" s="1493"/>
      <c r="AB118" s="1493"/>
      <c r="AC118" s="1493"/>
      <c r="AD118" s="1493"/>
      <c r="AE118" s="1493"/>
      <c r="AF118" s="1493"/>
      <c r="AG118" s="1493"/>
      <c r="AH118" s="1493"/>
      <c r="AI118" s="1493"/>
      <c r="AJ118" s="1493"/>
      <c r="AK118" s="1493"/>
      <c r="AL118" s="1493"/>
      <c r="AM118" s="1493"/>
      <c r="AN118" s="1493"/>
      <c r="AO118" s="1493"/>
      <c r="AP118" s="1493"/>
      <c r="AQ118" s="1493"/>
      <c r="AS118" s="1493"/>
      <c r="AT118" s="1493"/>
      <c r="AU118" s="1493"/>
      <c r="AV118" s="1493"/>
      <c r="AW118" s="1493"/>
      <c r="AX118" s="1493"/>
      <c r="AY118" s="1493"/>
      <c r="AZ118" s="1493"/>
      <c r="BA118" s="1493"/>
      <c r="BB118" s="1493"/>
      <c r="BC118" s="1493"/>
      <c r="BD118" s="1493"/>
      <c r="BE118" s="1493"/>
      <c r="BF118" s="1493"/>
      <c r="BG118" s="1493"/>
      <c r="BH118" s="1493"/>
      <c r="BI118" s="1493"/>
      <c r="BJ118" s="1493"/>
      <c r="BK118" s="1493"/>
      <c r="BL118" s="1493"/>
      <c r="BN118" s="1493"/>
      <c r="BO118" s="1493"/>
      <c r="BP118" s="1493"/>
      <c r="BR118" s="1957"/>
      <c r="BS118" s="1493"/>
    </row>
    <row r="119" spans="2:118" ht="15.75" x14ac:dyDescent="0.25">
      <c r="B119" s="456"/>
      <c r="G119" s="1493"/>
      <c r="H119" s="1493"/>
      <c r="I119" s="1493"/>
      <c r="J119" s="1493"/>
      <c r="K119" s="1493"/>
      <c r="L119" s="1493"/>
      <c r="M119" s="1493"/>
      <c r="N119" s="1493"/>
      <c r="O119" s="1643"/>
      <c r="P119" s="1493"/>
      <c r="Q119" s="1493"/>
      <c r="R119" s="1493"/>
      <c r="S119" s="1493"/>
      <c r="T119" s="1493"/>
      <c r="U119" s="1493"/>
      <c r="V119" s="1493"/>
      <c r="W119" s="1493"/>
      <c r="Y119" s="1493"/>
      <c r="Z119" s="1493"/>
      <c r="AA119" s="1493"/>
      <c r="AB119" s="1493"/>
      <c r="AC119" s="1493"/>
      <c r="AD119" s="1493"/>
      <c r="AE119" s="1493"/>
      <c r="AF119" s="1493"/>
      <c r="AG119" s="1493"/>
      <c r="AH119" s="1493"/>
      <c r="AI119" s="1493"/>
      <c r="AJ119" s="1493"/>
      <c r="AK119" s="1493"/>
      <c r="AL119" s="1493"/>
      <c r="AM119" s="1493"/>
      <c r="AN119" s="1493"/>
      <c r="AO119" s="1493"/>
      <c r="AP119" s="1493"/>
      <c r="AQ119" s="1493"/>
      <c r="AS119" s="1493"/>
      <c r="AT119" s="1493"/>
      <c r="AU119" s="1493"/>
      <c r="AV119" s="1493"/>
      <c r="AW119" s="1493"/>
      <c r="AX119" s="1493"/>
      <c r="AY119" s="1493"/>
      <c r="AZ119" s="1493"/>
      <c r="BA119" s="1493"/>
      <c r="BB119" s="1493"/>
      <c r="BC119" s="1493"/>
      <c r="BD119" s="1493"/>
      <c r="BE119" s="1493"/>
      <c r="BF119" s="1493"/>
      <c r="BG119" s="1493"/>
      <c r="BH119" s="1493"/>
      <c r="BI119" s="1493"/>
      <c r="BJ119" s="1493"/>
      <c r="BK119" s="1493"/>
      <c r="BL119" s="1493"/>
      <c r="BN119" s="1493"/>
      <c r="BO119" s="1493"/>
      <c r="BP119" s="1493"/>
      <c r="BR119" s="1957"/>
      <c r="BS119" s="1493"/>
    </row>
    <row r="120" spans="2:118" ht="15.75" x14ac:dyDescent="0.25">
      <c r="B120" s="456"/>
      <c r="G120" s="1493"/>
      <c r="H120" s="1493"/>
      <c r="I120" s="1493"/>
      <c r="J120" s="1493"/>
      <c r="K120" s="1493"/>
      <c r="L120" s="1493"/>
      <c r="M120" s="1493"/>
      <c r="N120" s="1493"/>
      <c r="O120" s="1643"/>
      <c r="P120" s="1493"/>
      <c r="Q120" s="1493"/>
      <c r="R120" s="1493"/>
      <c r="S120" s="1493"/>
      <c r="T120" s="1493"/>
      <c r="U120" s="1493"/>
      <c r="V120" s="1493"/>
      <c r="W120" s="1493"/>
      <c r="Y120" s="1493"/>
      <c r="Z120" s="1493"/>
      <c r="AA120" s="1493"/>
      <c r="AB120" s="1493"/>
      <c r="AC120" s="1493"/>
      <c r="AD120" s="1493"/>
      <c r="AE120" s="1493"/>
      <c r="AF120" s="1493"/>
      <c r="AG120" s="1493"/>
      <c r="AH120" s="1493"/>
      <c r="AI120" s="1493"/>
      <c r="AJ120" s="1493"/>
      <c r="AK120" s="1493"/>
      <c r="AL120" s="1493"/>
      <c r="AM120" s="1493"/>
      <c r="AN120" s="1493"/>
      <c r="AO120" s="1493"/>
      <c r="AP120" s="1493"/>
      <c r="AQ120" s="1493"/>
      <c r="AS120" s="1493"/>
      <c r="AT120" s="1493"/>
      <c r="AU120" s="1493"/>
      <c r="AV120" s="1493"/>
      <c r="AW120" s="1493"/>
      <c r="AX120" s="1493"/>
      <c r="AY120" s="1493"/>
      <c r="AZ120" s="1493"/>
      <c r="BA120" s="1493"/>
      <c r="BB120" s="1493"/>
      <c r="BC120" s="1493"/>
      <c r="BD120" s="1493"/>
      <c r="BE120" s="1493"/>
      <c r="BF120" s="1493"/>
      <c r="BG120" s="1493"/>
      <c r="BH120" s="1493"/>
      <c r="BI120" s="1493"/>
      <c r="BJ120" s="1493"/>
      <c r="BK120" s="1493"/>
      <c r="BL120" s="1493"/>
      <c r="BN120" s="1493"/>
      <c r="BO120" s="1493"/>
      <c r="BP120" s="1493"/>
      <c r="BR120" s="1957"/>
      <c r="BS120" s="1493"/>
    </row>
    <row r="121" spans="2:118" ht="15.75" x14ac:dyDescent="0.25">
      <c r="B121" s="456"/>
      <c r="G121" s="1493"/>
      <c r="H121" s="1493"/>
      <c r="I121" s="1493"/>
      <c r="J121" s="1493"/>
      <c r="K121" s="1493"/>
      <c r="L121" s="1493"/>
      <c r="M121" s="1493"/>
      <c r="N121" s="1493"/>
      <c r="O121" s="1643"/>
      <c r="P121" s="1493"/>
      <c r="Q121" s="1493"/>
      <c r="R121" s="1493"/>
      <c r="S121" s="1493"/>
      <c r="T121" s="1493"/>
      <c r="U121" s="1493"/>
      <c r="V121" s="1493"/>
      <c r="W121" s="1493"/>
      <c r="Y121" s="1493"/>
      <c r="Z121" s="1493"/>
      <c r="AA121" s="1493"/>
      <c r="AB121" s="1493"/>
      <c r="AC121" s="1493"/>
      <c r="AD121" s="1493"/>
      <c r="AE121" s="1493"/>
      <c r="AF121" s="1493"/>
      <c r="AG121" s="1493"/>
      <c r="AH121" s="1493"/>
      <c r="AI121" s="1493"/>
      <c r="AJ121" s="1493"/>
      <c r="AK121" s="1493"/>
      <c r="AL121" s="1493"/>
      <c r="AM121" s="1493"/>
      <c r="AN121" s="1493"/>
      <c r="AO121" s="1493"/>
      <c r="AP121" s="1493"/>
      <c r="AQ121" s="1493"/>
      <c r="AS121" s="1493"/>
      <c r="AT121" s="1493"/>
      <c r="AU121" s="1493"/>
      <c r="AV121" s="1493"/>
      <c r="AW121" s="1493"/>
      <c r="AX121" s="1493"/>
      <c r="AY121" s="1493"/>
      <c r="AZ121" s="1493"/>
      <c r="BA121" s="1493"/>
      <c r="BB121" s="1493"/>
      <c r="BC121" s="1493"/>
      <c r="BD121" s="1493"/>
      <c r="BE121" s="1493"/>
      <c r="BF121" s="1493"/>
      <c r="BG121" s="1493"/>
      <c r="BH121" s="1493"/>
      <c r="BI121" s="1493"/>
      <c r="BJ121" s="1493"/>
      <c r="BK121" s="1493"/>
      <c r="BL121" s="1493"/>
      <c r="BN121" s="1493"/>
      <c r="BO121" s="1493"/>
      <c r="BP121" s="1493"/>
      <c r="BR121" s="1957"/>
      <c r="BS121" s="1493"/>
    </row>
    <row r="122" spans="2:118" ht="15.75" x14ac:dyDescent="0.25">
      <c r="B122" s="456"/>
      <c r="G122" s="1493"/>
      <c r="H122" s="1493"/>
      <c r="I122" s="1493"/>
      <c r="J122" s="1493"/>
      <c r="K122" s="1493"/>
      <c r="L122" s="1493"/>
      <c r="M122" s="1493"/>
      <c r="N122" s="1493"/>
      <c r="O122" s="1643"/>
      <c r="P122" s="1493"/>
      <c r="Q122" s="1493"/>
      <c r="R122" s="1493"/>
      <c r="S122" s="1493"/>
      <c r="T122" s="1493"/>
      <c r="U122" s="1493"/>
      <c r="V122" s="1493"/>
      <c r="W122" s="1493"/>
      <c r="Y122" s="1493"/>
      <c r="Z122" s="1493"/>
      <c r="AA122" s="1493"/>
      <c r="AB122" s="1493"/>
      <c r="AC122" s="1493"/>
      <c r="AD122" s="1493"/>
      <c r="AE122" s="1493"/>
      <c r="AF122" s="1493"/>
      <c r="AG122" s="1493"/>
      <c r="AH122" s="1493"/>
      <c r="AI122" s="1493"/>
      <c r="AJ122" s="1493"/>
      <c r="AK122" s="1493"/>
      <c r="AL122" s="1493"/>
      <c r="AM122" s="1493"/>
      <c r="AN122" s="1493"/>
      <c r="AO122" s="1493"/>
      <c r="AP122" s="1493"/>
      <c r="AQ122" s="1493"/>
      <c r="AS122" s="1493"/>
      <c r="AT122" s="1493"/>
      <c r="AU122" s="1493"/>
      <c r="AV122" s="1493"/>
      <c r="AW122" s="1493"/>
      <c r="AX122" s="1493"/>
      <c r="AY122" s="1493"/>
      <c r="AZ122" s="1493"/>
      <c r="BA122" s="1493"/>
      <c r="BB122" s="1493"/>
      <c r="BC122" s="1493"/>
      <c r="BD122" s="1493"/>
      <c r="BE122" s="1493"/>
      <c r="BF122" s="1493"/>
      <c r="BG122" s="1493"/>
      <c r="BH122" s="1493"/>
      <c r="BI122" s="1493"/>
      <c r="BJ122" s="1493"/>
      <c r="BK122" s="1493"/>
      <c r="BL122" s="1493"/>
      <c r="BN122" s="1493"/>
      <c r="BO122" s="1493"/>
      <c r="BP122" s="1493"/>
      <c r="BR122" s="1957"/>
      <c r="BS122" s="1493"/>
    </row>
    <row r="123" spans="2:118" ht="15.75" x14ac:dyDescent="0.25">
      <c r="B123" s="456"/>
      <c r="G123" s="1493"/>
      <c r="H123" s="1493"/>
      <c r="I123" s="1493"/>
      <c r="J123" s="1493"/>
      <c r="K123" s="1493"/>
      <c r="L123" s="1493"/>
      <c r="M123" s="1493"/>
      <c r="N123" s="1493"/>
      <c r="O123" s="1643"/>
      <c r="P123" s="1493"/>
      <c r="Q123" s="1493"/>
      <c r="R123" s="1493"/>
      <c r="S123" s="1493"/>
      <c r="T123" s="1493"/>
      <c r="U123" s="1493"/>
      <c r="V123" s="1493"/>
      <c r="W123" s="1493"/>
      <c r="Y123" s="1493"/>
      <c r="Z123" s="1493"/>
      <c r="AA123" s="1493"/>
      <c r="AB123" s="1493"/>
      <c r="AC123" s="1493"/>
      <c r="AD123" s="1493"/>
      <c r="AE123" s="1493"/>
      <c r="AF123" s="1493"/>
      <c r="AG123" s="1493"/>
      <c r="AH123" s="1493"/>
      <c r="AI123" s="1493"/>
      <c r="AJ123" s="1493"/>
      <c r="AK123" s="1493"/>
      <c r="AL123" s="1493"/>
      <c r="AM123" s="1493"/>
      <c r="AN123" s="1493"/>
      <c r="AO123" s="1493"/>
      <c r="AP123" s="1493"/>
      <c r="AQ123" s="1493"/>
      <c r="AS123" s="1493"/>
      <c r="AT123" s="1493"/>
      <c r="AU123" s="1493"/>
      <c r="AV123" s="1493"/>
      <c r="AW123" s="1493"/>
      <c r="AX123" s="1493"/>
      <c r="AY123" s="1493"/>
      <c r="AZ123" s="1493"/>
      <c r="BA123" s="1493"/>
      <c r="BB123" s="1493"/>
      <c r="BC123" s="1493"/>
      <c r="BD123" s="1493"/>
      <c r="BE123" s="1493"/>
      <c r="BF123" s="1493"/>
      <c r="BG123" s="1493"/>
      <c r="BH123" s="1493"/>
      <c r="BI123" s="1493"/>
      <c r="BJ123" s="1493"/>
      <c r="BK123" s="1493"/>
      <c r="BL123" s="1493"/>
      <c r="BN123" s="1493"/>
      <c r="BO123" s="1493"/>
      <c r="BP123" s="1493"/>
      <c r="BR123" s="1957"/>
      <c r="BS123" s="1493"/>
    </row>
    <row r="124" spans="2:118" ht="15.75" x14ac:dyDescent="0.25">
      <c r="B124" s="456"/>
      <c r="G124" s="1493"/>
      <c r="H124" s="1493"/>
      <c r="I124" s="1493"/>
      <c r="J124" s="1493"/>
      <c r="K124" s="1493"/>
      <c r="L124" s="1493"/>
      <c r="M124" s="1493"/>
      <c r="N124" s="1493"/>
      <c r="O124" s="1643"/>
      <c r="P124" s="1493"/>
      <c r="Q124" s="1493"/>
      <c r="R124" s="1493"/>
      <c r="S124" s="1493"/>
      <c r="T124" s="1493"/>
      <c r="U124" s="1493"/>
      <c r="V124" s="1493"/>
      <c r="W124" s="1493"/>
      <c r="Y124" s="1493"/>
      <c r="Z124" s="1493"/>
      <c r="AA124" s="1493"/>
      <c r="AB124" s="1493"/>
      <c r="AC124" s="1493"/>
      <c r="AD124" s="1493"/>
      <c r="AE124" s="1493"/>
      <c r="AF124" s="1493"/>
      <c r="AG124" s="1493"/>
      <c r="AH124" s="1493"/>
      <c r="AI124" s="1493"/>
      <c r="AJ124" s="1493"/>
      <c r="AK124" s="1493"/>
      <c r="AL124" s="1493"/>
      <c r="AM124" s="1493"/>
      <c r="AN124" s="1493"/>
      <c r="AO124" s="1493"/>
      <c r="AP124" s="1493"/>
      <c r="AQ124" s="1493"/>
      <c r="AS124" s="1493"/>
      <c r="AT124" s="1493"/>
      <c r="AU124" s="1493"/>
      <c r="AV124" s="1493"/>
      <c r="AW124" s="1493"/>
      <c r="AX124" s="1493"/>
      <c r="AY124" s="1493"/>
      <c r="AZ124" s="1493"/>
      <c r="BA124" s="1493"/>
      <c r="BB124" s="1493"/>
      <c r="BC124" s="1493"/>
      <c r="BD124" s="1493"/>
      <c r="BE124" s="1493"/>
      <c r="BF124" s="1493"/>
      <c r="BG124" s="1493"/>
      <c r="BH124" s="1493"/>
      <c r="BI124" s="1493"/>
      <c r="BJ124" s="1493"/>
      <c r="BK124" s="1493"/>
      <c r="BL124" s="1493"/>
      <c r="BN124" s="1493"/>
      <c r="BO124" s="1493"/>
      <c r="BP124" s="1493"/>
      <c r="BR124" s="1957"/>
      <c r="BS124" s="1493"/>
    </row>
    <row r="125" spans="2:118" x14ac:dyDescent="0.2">
      <c r="G125" s="1493"/>
      <c r="H125" s="1493"/>
      <c r="I125" s="1493"/>
      <c r="J125" s="1493"/>
      <c r="K125" s="1493"/>
      <c r="L125" s="1493"/>
      <c r="M125" s="1493"/>
      <c r="N125" s="1493"/>
      <c r="O125" s="1643"/>
      <c r="P125" s="1493"/>
      <c r="Q125" s="1493"/>
      <c r="R125" s="1493"/>
      <c r="S125" s="1493"/>
      <c r="T125" s="1493"/>
      <c r="U125" s="1493"/>
      <c r="V125" s="1493"/>
      <c r="W125" s="1493"/>
      <c r="Y125" s="1493"/>
      <c r="Z125" s="1493"/>
      <c r="AA125" s="1493"/>
      <c r="AB125" s="1493"/>
      <c r="AC125" s="1493"/>
      <c r="AD125" s="1493"/>
      <c r="AE125" s="1493"/>
      <c r="AF125" s="1493"/>
      <c r="AG125" s="1493"/>
      <c r="AH125" s="1493"/>
      <c r="AI125" s="1493"/>
      <c r="AJ125" s="1493"/>
      <c r="AK125" s="1493"/>
      <c r="AL125" s="1493"/>
      <c r="AM125" s="1493"/>
      <c r="AN125" s="1493"/>
      <c r="AO125" s="1493"/>
      <c r="AP125" s="1493"/>
      <c r="AQ125" s="1493"/>
      <c r="AS125" s="1493"/>
      <c r="AT125" s="1493"/>
      <c r="AU125" s="1493"/>
      <c r="AV125" s="1493"/>
      <c r="AW125" s="1493"/>
      <c r="AX125" s="1493"/>
      <c r="AY125" s="1493"/>
      <c r="AZ125" s="1493"/>
      <c r="BA125" s="1493"/>
      <c r="BB125" s="1493"/>
      <c r="BC125" s="1493"/>
      <c r="BD125" s="1493"/>
      <c r="BE125" s="1493"/>
      <c r="BF125" s="1493"/>
      <c r="BG125" s="1493"/>
      <c r="BH125" s="1493"/>
      <c r="BI125" s="1493"/>
      <c r="BJ125" s="1493"/>
      <c r="BK125" s="1493"/>
      <c r="BL125" s="1493"/>
      <c r="BN125" s="1493"/>
      <c r="BO125" s="1493"/>
      <c r="BP125" s="1493"/>
      <c r="BR125" s="1957"/>
      <c r="BS125" s="1493"/>
    </row>
    <row r="126" spans="2:118" ht="24" customHeight="1" x14ac:dyDescent="0.2">
      <c r="G126" s="1493"/>
      <c r="H126" s="1493"/>
      <c r="I126" s="1493"/>
      <c r="J126" s="1493"/>
      <c r="K126" s="1493"/>
      <c r="L126" s="1493"/>
      <c r="M126" s="1493"/>
      <c r="N126" s="1493"/>
      <c r="O126" s="1643"/>
      <c r="P126" s="1493"/>
      <c r="Q126" s="1493"/>
      <c r="R126" s="1493"/>
      <c r="S126" s="1493"/>
      <c r="T126" s="1493"/>
      <c r="U126" s="1493"/>
      <c r="V126" s="1493"/>
      <c r="W126" s="1493"/>
      <c r="Y126" s="1493"/>
      <c r="Z126" s="1493"/>
      <c r="AA126" s="1493"/>
      <c r="AB126" s="1493"/>
      <c r="AC126" s="1493"/>
      <c r="AD126" s="1493"/>
      <c r="AE126" s="1493"/>
      <c r="AF126" s="1493"/>
      <c r="AG126" s="1493"/>
      <c r="AH126" s="1493"/>
      <c r="AI126" s="1493"/>
      <c r="AJ126" s="1493"/>
      <c r="AK126" s="1493"/>
      <c r="AL126" s="1493"/>
      <c r="AM126" s="1493"/>
      <c r="AN126" s="1493"/>
      <c r="AO126" s="1493"/>
      <c r="AP126" s="1493"/>
      <c r="AQ126" s="1493"/>
      <c r="AS126" s="1493"/>
      <c r="AT126" s="1493"/>
      <c r="AU126" s="1493"/>
      <c r="AV126" s="1493"/>
      <c r="AW126" s="1493"/>
      <c r="AX126" s="1493"/>
      <c r="AY126" s="1493"/>
      <c r="AZ126" s="1493"/>
      <c r="BA126" s="1493"/>
      <c r="BB126" s="1493"/>
      <c r="BC126" s="1493"/>
      <c r="BD126" s="1493"/>
      <c r="BE126" s="1493"/>
      <c r="BF126" s="1493"/>
      <c r="BG126" s="1493"/>
      <c r="BH126" s="1493"/>
      <c r="BI126" s="1493"/>
      <c r="BJ126" s="1493"/>
      <c r="BK126" s="1493"/>
      <c r="BL126" s="1493"/>
      <c r="BN126" s="1493"/>
      <c r="BO126" s="1493"/>
      <c r="BP126" s="1493"/>
      <c r="BR126" s="1957"/>
      <c r="BS126" s="1493"/>
    </row>
    <row r="127" spans="2:118" x14ac:dyDescent="0.2">
      <c r="G127" s="1493"/>
      <c r="H127" s="1493"/>
      <c r="I127" s="1493"/>
      <c r="J127" s="1493"/>
      <c r="K127" s="1493"/>
      <c r="L127" s="1493"/>
      <c r="M127" s="1493"/>
      <c r="N127" s="1493"/>
      <c r="O127" s="1643"/>
      <c r="P127" s="1493"/>
      <c r="Q127" s="1493"/>
      <c r="R127" s="1493"/>
      <c r="S127" s="1493"/>
      <c r="T127" s="1493"/>
      <c r="U127" s="1493"/>
      <c r="V127" s="1493"/>
      <c r="W127" s="1493"/>
      <c r="Y127" s="1493"/>
      <c r="Z127" s="1493"/>
      <c r="AA127" s="1493"/>
      <c r="AB127" s="1493"/>
      <c r="AC127" s="1493"/>
      <c r="AD127" s="1493"/>
      <c r="AE127" s="1493"/>
      <c r="AF127" s="1493"/>
      <c r="AG127" s="1493"/>
      <c r="AH127" s="1493"/>
      <c r="AI127" s="1493"/>
      <c r="AJ127" s="1493"/>
      <c r="AK127" s="1493"/>
      <c r="AL127" s="1493"/>
      <c r="AM127" s="1493"/>
      <c r="AN127" s="1493"/>
      <c r="AO127" s="1493"/>
      <c r="AP127" s="1493"/>
      <c r="AQ127" s="1493"/>
      <c r="AS127" s="1493"/>
      <c r="AT127" s="1493"/>
      <c r="AU127" s="1493"/>
      <c r="AV127" s="1493"/>
      <c r="AW127" s="1493"/>
      <c r="AX127" s="1493"/>
      <c r="AY127" s="1493"/>
      <c r="AZ127" s="1493"/>
      <c r="BA127" s="1493"/>
      <c r="BB127" s="1493"/>
      <c r="BC127" s="1493"/>
      <c r="BD127" s="1493"/>
      <c r="BE127" s="1493"/>
      <c r="BF127" s="1493"/>
      <c r="BG127" s="1493"/>
      <c r="BH127" s="1493"/>
      <c r="BI127" s="1493"/>
      <c r="BJ127" s="1493"/>
      <c r="BK127" s="1493"/>
      <c r="BL127" s="1493"/>
      <c r="BN127" s="1493"/>
      <c r="BO127" s="1493"/>
      <c r="BP127" s="1493"/>
      <c r="BR127" s="1957"/>
      <c r="BS127" s="1493"/>
    </row>
    <row r="128" spans="2:118" x14ac:dyDescent="0.2">
      <c r="C128" s="1580"/>
      <c r="D128" s="746"/>
      <c r="G128" s="1493"/>
      <c r="H128" s="1493"/>
      <c r="I128" s="1493"/>
      <c r="J128" s="1493"/>
      <c r="K128" s="1493"/>
      <c r="L128" s="1493"/>
      <c r="M128" s="1493"/>
      <c r="N128" s="1493"/>
      <c r="O128" s="1643"/>
      <c r="P128" s="1493"/>
      <c r="Q128" s="1493"/>
      <c r="R128" s="1493"/>
      <c r="S128" s="1493"/>
      <c r="T128" s="1493"/>
      <c r="U128" s="1493"/>
      <c r="V128" s="1493"/>
      <c r="W128" s="1493"/>
      <c r="Y128" s="1493"/>
      <c r="Z128" s="1493"/>
      <c r="AA128" s="1493"/>
      <c r="AB128" s="1493"/>
      <c r="AC128" s="1493"/>
      <c r="AD128" s="1493"/>
      <c r="AE128" s="1493"/>
      <c r="AF128" s="1493"/>
      <c r="AG128" s="1493"/>
      <c r="AH128" s="1493"/>
      <c r="AI128" s="1493"/>
      <c r="AJ128" s="1493"/>
      <c r="AK128" s="1493"/>
      <c r="AL128" s="1493"/>
      <c r="AM128" s="1493"/>
      <c r="AN128" s="1493"/>
      <c r="AO128" s="1493"/>
      <c r="AP128" s="1493"/>
      <c r="AQ128" s="1493"/>
      <c r="AS128" s="1493"/>
      <c r="AT128" s="1493"/>
      <c r="AU128" s="1493"/>
      <c r="AV128" s="1493"/>
      <c r="AW128" s="1493"/>
      <c r="AX128" s="1493"/>
      <c r="AY128" s="1493"/>
      <c r="AZ128" s="1493"/>
      <c r="BA128" s="1493"/>
      <c r="BB128" s="1493"/>
      <c r="BC128" s="1493"/>
      <c r="BD128" s="1493"/>
      <c r="BE128" s="1493"/>
      <c r="BF128" s="1493"/>
      <c r="BG128" s="1493"/>
      <c r="BH128" s="1493"/>
      <c r="BI128" s="1493"/>
      <c r="BJ128" s="1493"/>
      <c r="BK128" s="1493"/>
      <c r="BL128" s="1493"/>
      <c r="BN128" s="1493"/>
      <c r="BO128" s="1493"/>
      <c r="BP128" s="1493"/>
      <c r="BR128" s="1957"/>
      <c r="BS128" s="1493"/>
    </row>
    <row r="129" spans="7:71" x14ac:dyDescent="0.2">
      <c r="G129" s="1493"/>
      <c r="H129" s="1493"/>
      <c r="I129" s="1493"/>
      <c r="J129" s="1493"/>
      <c r="K129" s="1493"/>
      <c r="L129" s="1493"/>
      <c r="M129" s="1493"/>
      <c r="N129" s="1493"/>
      <c r="O129" s="1643"/>
      <c r="P129" s="1493"/>
      <c r="Q129" s="1493"/>
      <c r="R129" s="1493"/>
      <c r="S129" s="1493"/>
      <c r="T129" s="1493"/>
      <c r="U129" s="1493"/>
      <c r="V129" s="1493"/>
      <c r="W129" s="1493"/>
      <c r="Y129" s="1493"/>
      <c r="Z129" s="1493"/>
      <c r="AA129" s="1493"/>
      <c r="AB129" s="1493"/>
      <c r="AC129" s="1493"/>
      <c r="AD129" s="1493"/>
      <c r="AE129" s="1493"/>
      <c r="AF129" s="1493"/>
      <c r="AG129" s="1493"/>
      <c r="AH129" s="1493"/>
      <c r="AI129" s="1493"/>
      <c r="AJ129" s="1493"/>
      <c r="AK129" s="1493"/>
      <c r="AL129" s="1493"/>
      <c r="AM129" s="1493"/>
      <c r="AN129" s="1493"/>
      <c r="AO129" s="1493"/>
      <c r="AP129" s="1493"/>
      <c r="AQ129" s="1493"/>
      <c r="AS129" s="1493"/>
      <c r="AT129" s="1493"/>
      <c r="AU129" s="1493"/>
      <c r="AV129" s="1493"/>
      <c r="AW129" s="1493"/>
      <c r="AX129" s="1493"/>
      <c r="AY129" s="1493"/>
      <c r="AZ129" s="1493"/>
      <c r="BA129" s="1493"/>
      <c r="BB129" s="1493"/>
      <c r="BC129" s="1493"/>
      <c r="BD129" s="1493"/>
      <c r="BE129" s="1493"/>
      <c r="BF129" s="1493"/>
      <c r="BG129" s="1493"/>
      <c r="BH129" s="1493"/>
      <c r="BI129" s="1493"/>
      <c r="BJ129" s="1493"/>
      <c r="BK129" s="1493"/>
      <c r="BL129" s="1493"/>
      <c r="BN129" s="1493"/>
      <c r="BO129" s="1493"/>
      <c r="BP129" s="1493"/>
      <c r="BR129" s="1957"/>
      <c r="BS129" s="1493"/>
    </row>
    <row r="130" spans="7:71" x14ac:dyDescent="0.2">
      <c r="G130" s="1493"/>
      <c r="H130" s="1493"/>
      <c r="I130" s="1493"/>
      <c r="J130" s="1493"/>
      <c r="K130" s="1493"/>
      <c r="L130" s="1493"/>
      <c r="M130" s="1493"/>
      <c r="N130" s="1493"/>
      <c r="O130" s="1643"/>
      <c r="P130" s="1493"/>
      <c r="Q130" s="1493"/>
      <c r="R130" s="1493"/>
      <c r="S130" s="1493"/>
      <c r="T130" s="1493"/>
      <c r="U130" s="1493"/>
      <c r="V130" s="1493"/>
      <c r="W130" s="1493"/>
      <c r="Y130" s="1493"/>
      <c r="Z130" s="1493"/>
      <c r="AA130" s="1493"/>
      <c r="AB130" s="1493"/>
      <c r="AC130" s="1493"/>
      <c r="AD130" s="1493"/>
      <c r="AE130" s="1493"/>
      <c r="AF130" s="1493"/>
      <c r="AG130" s="1493"/>
      <c r="AH130" s="1493"/>
      <c r="AI130" s="1493"/>
      <c r="AJ130" s="1493"/>
      <c r="AK130" s="1493"/>
      <c r="AL130" s="1493"/>
      <c r="AM130" s="1493"/>
      <c r="AN130" s="1493"/>
      <c r="AO130" s="1493"/>
      <c r="AP130" s="1493"/>
      <c r="AQ130" s="1493"/>
      <c r="AS130" s="1493"/>
      <c r="AT130" s="1493"/>
      <c r="AU130" s="1493"/>
      <c r="AV130" s="1493"/>
      <c r="AW130" s="1493"/>
      <c r="AX130" s="1493"/>
      <c r="AY130" s="1493"/>
      <c r="AZ130" s="1493"/>
      <c r="BA130" s="1493"/>
      <c r="BB130" s="1493"/>
      <c r="BC130" s="1493"/>
      <c r="BD130" s="1493"/>
      <c r="BE130" s="1493"/>
      <c r="BF130" s="1493"/>
      <c r="BG130" s="1493"/>
      <c r="BH130" s="1493"/>
      <c r="BI130" s="1493"/>
      <c r="BJ130" s="1493"/>
      <c r="BK130" s="1493"/>
      <c r="BL130" s="1493"/>
      <c r="BN130" s="1493"/>
      <c r="BO130" s="1493"/>
      <c r="BP130" s="1493"/>
      <c r="BR130" s="1957"/>
      <c r="BS130" s="1493"/>
    </row>
    <row r="131" spans="7:71" x14ac:dyDescent="0.2">
      <c r="G131" s="1493"/>
      <c r="H131" s="1493"/>
      <c r="I131" s="1493"/>
      <c r="J131" s="1493"/>
      <c r="K131" s="1493"/>
      <c r="L131" s="1493"/>
      <c r="M131" s="1493"/>
      <c r="N131" s="1493"/>
      <c r="O131" s="1643"/>
      <c r="P131" s="1493"/>
      <c r="Q131" s="1493"/>
      <c r="R131" s="1493"/>
      <c r="S131" s="1493"/>
      <c r="T131" s="1493"/>
      <c r="U131" s="1493"/>
      <c r="V131" s="1493"/>
      <c r="W131" s="1493"/>
      <c r="Y131" s="1493"/>
      <c r="Z131" s="1493"/>
      <c r="AA131" s="1493"/>
      <c r="AB131" s="1493"/>
      <c r="AC131" s="1493"/>
      <c r="AD131" s="1493"/>
      <c r="AE131" s="1493"/>
      <c r="AF131" s="1493"/>
      <c r="AG131" s="1493"/>
      <c r="AH131" s="1493"/>
      <c r="AI131" s="1493"/>
      <c r="AJ131" s="1493"/>
      <c r="AK131" s="1493"/>
      <c r="AL131" s="1493"/>
      <c r="AM131" s="1493"/>
      <c r="AN131" s="1493"/>
      <c r="AO131" s="1493"/>
      <c r="AP131" s="1493"/>
      <c r="AQ131" s="1493"/>
      <c r="AS131" s="1493"/>
      <c r="AT131" s="1493"/>
      <c r="AU131" s="1493"/>
      <c r="AV131" s="1493"/>
      <c r="AW131" s="1493"/>
      <c r="AX131" s="1493"/>
      <c r="AY131" s="1493"/>
      <c r="AZ131" s="1493"/>
      <c r="BA131" s="1493"/>
      <c r="BB131" s="1493"/>
      <c r="BC131" s="1493"/>
      <c r="BD131" s="1493"/>
      <c r="BE131" s="1493"/>
      <c r="BF131" s="1493"/>
      <c r="BG131" s="1493"/>
      <c r="BH131" s="1493"/>
      <c r="BI131" s="1493"/>
      <c r="BJ131" s="1493"/>
      <c r="BK131" s="1493"/>
      <c r="BL131" s="1493"/>
      <c r="BN131" s="1493"/>
      <c r="BO131" s="1493"/>
      <c r="BP131" s="1493"/>
      <c r="BR131" s="1957"/>
      <c r="BS131" s="1493"/>
    </row>
    <row r="132" spans="7:71" x14ac:dyDescent="0.2">
      <c r="G132" s="1493"/>
      <c r="H132" s="1493"/>
      <c r="I132" s="1493"/>
      <c r="J132" s="1493"/>
      <c r="K132" s="1493"/>
      <c r="L132" s="1493"/>
      <c r="M132" s="1493"/>
      <c r="N132" s="1493"/>
      <c r="O132" s="1643"/>
      <c r="P132" s="1493"/>
      <c r="Q132" s="1493"/>
      <c r="R132" s="1493"/>
      <c r="S132" s="1493"/>
      <c r="T132" s="1493"/>
      <c r="U132" s="1493"/>
      <c r="V132" s="1493"/>
      <c r="W132" s="1493"/>
      <c r="Y132" s="1493"/>
      <c r="Z132" s="1493"/>
      <c r="AA132" s="1493"/>
      <c r="AB132" s="1493"/>
      <c r="AC132" s="1493"/>
      <c r="AD132" s="1493"/>
      <c r="AE132" s="1493"/>
      <c r="AF132" s="1493"/>
      <c r="AG132" s="1493"/>
      <c r="AH132" s="1493"/>
      <c r="AI132" s="1493"/>
      <c r="AJ132" s="1493"/>
      <c r="AK132" s="1493"/>
      <c r="AL132" s="1493"/>
      <c r="AM132" s="1493"/>
      <c r="AN132" s="1493"/>
      <c r="AO132" s="1493"/>
      <c r="AP132" s="1493"/>
      <c r="AQ132" s="1493"/>
      <c r="AS132" s="1493"/>
      <c r="AT132" s="1493"/>
      <c r="AU132" s="1493"/>
      <c r="AV132" s="1493"/>
      <c r="AW132" s="1493"/>
      <c r="AX132" s="1493"/>
      <c r="AY132" s="1493"/>
      <c r="AZ132" s="1493"/>
      <c r="BA132" s="1493"/>
      <c r="BB132" s="1493"/>
      <c r="BC132" s="1493"/>
      <c r="BD132" s="1493"/>
      <c r="BE132" s="1493"/>
      <c r="BF132" s="1493"/>
      <c r="BG132" s="1493"/>
      <c r="BH132" s="1493"/>
      <c r="BI132" s="1493"/>
      <c r="BJ132" s="1493"/>
      <c r="BK132" s="1493"/>
      <c r="BL132" s="1493"/>
      <c r="BN132" s="1493"/>
      <c r="BO132" s="1493"/>
      <c r="BP132" s="1493"/>
      <c r="BR132" s="1957"/>
      <c r="BS132" s="1493"/>
    </row>
    <row r="133" spans="7:71" x14ac:dyDescent="0.2">
      <c r="G133" s="1493"/>
      <c r="H133" s="1493"/>
      <c r="I133" s="1493"/>
      <c r="J133" s="1493"/>
      <c r="K133" s="1493"/>
      <c r="L133" s="1493"/>
      <c r="M133" s="1493"/>
      <c r="N133" s="1493"/>
      <c r="O133" s="1643"/>
      <c r="P133" s="1493"/>
      <c r="Q133" s="1493"/>
      <c r="R133" s="1493"/>
      <c r="S133" s="1493"/>
      <c r="T133" s="1493"/>
      <c r="U133" s="1493"/>
      <c r="V133" s="1493"/>
      <c r="W133" s="1493"/>
      <c r="Y133" s="1493"/>
      <c r="Z133" s="1493"/>
      <c r="AA133" s="1493"/>
      <c r="AB133" s="1493"/>
      <c r="AC133" s="1493"/>
      <c r="AD133" s="1493"/>
      <c r="AE133" s="1493"/>
      <c r="AF133" s="1493"/>
      <c r="AG133" s="1493"/>
      <c r="AH133" s="1493"/>
      <c r="AI133" s="1493"/>
      <c r="AJ133" s="1493"/>
      <c r="AK133" s="1493"/>
      <c r="AL133" s="1493"/>
      <c r="AM133" s="1493"/>
      <c r="AN133" s="1493"/>
      <c r="AO133" s="1493"/>
      <c r="AP133" s="1493"/>
      <c r="AQ133" s="1493"/>
      <c r="AS133" s="1493"/>
      <c r="AT133" s="1493"/>
      <c r="AU133" s="1493"/>
      <c r="AV133" s="1493"/>
      <c r="AW133" s="1493"/>
      <c r="AX133" s="1493"/>
      <c r="AY133" s="1493"/>
      <c r="AZ133" s="1493"/>
      <c r="BA133" s="1493"/>
      <c r="BB133" s="1493"/>
      <c r="BC133" s="1493"/>
      <c r="BD133" s="1493"/>
      <c r="BE133" s="1493"/>
      <c r="BF133" s="1493"/>
      <c r="BG133" s="1493"/>
      <c r="BH133" s="1493"/>
      <c r="BI133" s="1493"/>
      <c r="BJ133" s="1493"/>
      <c r="BK133" s="1493"/>
      <c r="BL133" s="1493"/>
      <c r="BN133" s="1493"/>
      <c r="BO133" s="1493"/>
      <c r="BP133" s="1493"/>
      <c r="BR133" s="1957"/>
      <c r="BS133" s="1493"/>
    </row>
    <row r="134" spans="7:71" x14ac:dyDescent="0.2">
      <c r="G134" s="1493"/>
      <c r="H134" s="1493"/>
      <c r="I134" s="1493"/>
      <c r="J134" s="1493"/>
      <c r="K134" s="1493"/>
      <c r="L134" s="1493"/>
      <c r="M134" s="1493"/>
      <c r="N134" s="1493"/>
      <c r="O134" s="1643"/>
      <c r="P134" s="1493"/>
      <c r="Q134" s="1493"/>
      <c r="R134" s="1493"/>
      <c r="S134" s="1493"/>
      <c r="T134" s="1493"/>
      <c r="U134" s="1493"/>
      <c r="V134" s="1493"/>
      <c r="W134" s="1493"/>
      <c r="Y134" s="1493"/>
      <c r="Z134" s="1493"/>
      <c r="AA134" s="1493"/>
      <c r="AB134" s="1493"/>
      <c r="AC134" s="1493"/>
      <c r="AD134" s="1493"/>
      <c r="AE134" s="1493"/>
      <c r="AF134" s="1493"/>
      <c r="AG134" s="1493"/>
      <c r="AH134" s="1493"/>
      <c r="AI134" s="1493"/>
      <c r="AJ134" s="1493"/>
      <c r="AK134" s="1493"/>
      <c r="AL134" s="1493"/>
      <c r="AM134" s="1493"/>
      <c r="AN134" s="1493"/>
      <c r="AO134" s="1493"/>
      <c r="AP134" s="1493"/>
      <c r="AQ134" s="1493"/>
      <c r="AS134" s="1493"/>
      <c r="AT134" s="1493"/>
      <c r="AU134" s="1493"/>
      <c r="AV134" s="1493"/>
      <c r="AW134" s="1493"/>
      <c r="AX134" s="1493"/>
      <c r="AY134" s="1493"/>
      <c r="AZ134" s="1493"/>
      <c r="BA134" s="1493"/>
      <c r="BB134" s="1493"/>
      <c r="BC134" s="1493"/>
      <c r="BD134" s="1493"/>
      <c r="BE134" s="1493"/>
      <c r="BF134" s="1493"/>
      <c r="BG134" s="1493"/>
      <c r="BH134" s="1493"/>
      <c r="BI134" s="1493"/>
      <c r="BJ134" s="1493"/>
      <c r="BK134" s="1493"/>
      <c r="BL134" s="1493"/>
      <c r="BN134" s="1493"/>
      <c r="BO134" s="1493"/>
      <c r="BP134" s="1493"/>
      <c r="BR134" s="1957"/>
      <c r="BS134" s="1493"/>
    </row>
    <row r="135" spans="7:71" x14ac:dyDescent="0.2">
      <c r="G135" s="1493"/>
      <c r="H135" s="1493"/>
      <c r="I135" s="1493"/>
      <c r="J135" s="1493"/>
      <c r="K135" s="1493"/>
      <c r="L135" s="1493"/>
      <c r="M135" s="1493"/>
      <c r="N135" s="1493"/>
      <c r="O135" s="1643"/>
      <c r="P135" s="1493"/>
      <c r="Q135" s="1493"/>
      <c r="R135" s="1493"/>
      <c r="S135" s="1493"/>
      <c r="T135" s="1493"/>
      <c r="U135" s="1493"/>
      <c r="V135" s="1493"/>
      <c r="W135" s="1493"/>
      <c r="Y135" s="1493"/>
      <c r="Z135" s="1493"/>
      <c r="AA135" s="1493"/>
      <c r="AB135" s="1493"/>
      <c r="AC135" s="1493"/>
      <c r="AD135" s="1493"/>
      <c r="AE135" s="1493"/>
      <c r="AF135" s="1493"/>
      <c r="AG135" s="1493"/>
      <c r="AH135" s="1493"/>
      <c r="AI135" s="1493"/>
      <c r="AJ135" s="1493"/>
      <c r="AK135" s="1493"/>
      <c r="AL135" s="1493"/>
      <c r="AM135" s="1493"/>
      <c r="AN135" s="1493"/>
      <c r="AO135" s="1493"/>
      <c r="AP135" s="1493"/>
      <c r="AQ135" s="1493"/>
      <c r="AS135" s="1493"/>
      <c r="AT135" s="1493"/>
      <c r="AU135" s="1493"/>
      <c r="AV135" s="1493"/>
      <c r="AW135" s="1493"/>
      <c r="AX135" s="1493"/>
      <c r="AY135" s="1493"/>
      <c r="AZ135" s="1493"/>
      <c r="BA135" s="1493"/>
      <c r="BB135" s="1493"/>
      <c r="BC135" s="1493"/>
      <c r="BD135" s="1493"/>
      <c r="BE135" s="1493"/>
      <c r="BF135" s="1493"/>
      <c r="BG135" s="1493"/>
      <c r="BH135" s="1493"/>
      <c r="BI135" s="1493"/>
      <c r="BJ135" s="1493"/>
      <c r="BK135" s="1493"/>
      <c r="BL135" s="1493"/>
      <c r="BN135" s="1493"/>
      <c r="BO135" s="1493"/>
      <c r="BP135" s="1493"/>
      <c r="BR135" s="1957"/>
      <c r="BS135" s="1493"/>
    </row>
    <row r="136" spans="7:71" x14ac:dyDescent="0.2">
      <c r="G136" s="1493"/>
      <c r="H136" s="1493"/>
      <c r="I136" s="1493"/>
      <c r="J136" s="1493"/>
      <c r="K136" s="1493"/>
      <c r="L136" s="1493"/>
      <c r="M136" s="1493"/>
      <c r="N136" s="1493"/>
      <c r="O136" s="1643"/>
      <c r="P136" s="1493"/>
      <c r="Q136" s="1493"/>
      <c r="R136" s="1493"/>
      <c r="S136" s="1493"/>
      <c r="T136" s="1493"/>
      <c r="U136" s="1493"/>
      <c r="V136" s="1493"/>
      <c r="W136" s="1493"/>
      <c r="Y136" s="1493"/>
      <c r="Z136" s="1493"/>
      <c r="AA136" s="1493"/>
      <c r="AB136" s="1493"/>
      <c r="AC136" s="1493"/>
      <c r="AD136" s="1493"/>
      <c r="AE136" s="1493"/>
      <c r="AF136" s="1493"/>
      <c r="AG136" s="1493"/>
      <c r="AH136" s="1493"/>
      <c r="AI136" s="1493"/>
      <c r="AJ136" s="1493"/>
      <c r="AK136" s="1493"/>
      <c r="AL136" s="1493"/>
      <c r="AM136" s="1493"/>
      <c r="AN136" s="1493"/>
      <c r="AO136" s="1493"/>
      <c r="AP136" s="1493"/>
      <c r="AQ136" s="1493"/>
      <c r="AS136" s="1493"/>
      <c r="AT136" s="1493"/>
      <c r="AU136" s="1493"/>
      <c r="AV136" s="1493"/>
      <c r="AW136" s="1493"/>
      <c r="AX136" s="1493"/>
      <c r="AY136" s="1493"/>
      <c r="AZ136" s="1493"/>
      <c r="BA136" s="1493"/>
      <c r="BB136" s="1493"/>
      <c r="BC136" s="1493"/>
      <c r="BD136" s="1493"/>
      <c r="BE136" s="1493"/>
      <c r="BF136" s="1493"/>
      <c r="BG136" s="1493"/>
      <c r="BH136" s="1493"/>
      <c r="BI136" s="1493"/>
      <c r="BJ136" s="1493"/>
      <c r="BK136" s="1493"/>
      <c r="BL136" s="1493"/>
      <c r="BN136" s="1493"/>
      <c r="BO136" s="1493"/>
      <c r="BP136" s="1493"/>
      <c r="BR136" s="1957"/>
      <c r="BS136" s="1493"/>
    </row>
    <row r="137" spans="7:71" x14ac:dyDescent="0.2">
      <c r="G137" s="1493"/>
      <c r="H137" s="1493"/>
      <c r="I137" s="1493"/>
      <c r="J137" s="1493"/>
      <c r="K137" s="1493"/>
      <c r="L137" s="1493"/>
      <c r="M137" s="1493"/>
      <c r="N137" s="1493"/>
      <c r="O137" s="1643"/>
      <c r="P137" s="1493"/>
      <c r="Q137" s="1493"/>
      <c r="R137" s="1493"/>
      <c r="S137" s="1493"/>
      <c r="T137" s="1493"/>
      <c r="U137" s="1493"/>
      <c r="V137" s="1493"/>
      <c r="W137" s="1493"/>
      <c r="Y137" s="1493"/>
      <c r="Z137" s="1493"/>
      <c r="AA137" s="1493"/>
      <c r="AB137" s="1493"/>
      <c r="AC137" s="1493"/>
      <c r="AD137" s="1493"/>
      <c r="AE137" s="1493"/>
      <c r="AF137" s="1493"/>
      <c r="AG137" s="1493"/>
      <c r="AH137" s="1493"/>
      <c r="AI137" s="1493"/>
      <c r="AJ137" s="1493"/>
      <c r="AK137" s="1493"/>
      <c r="AL137" s="1493"/>
      <c r="AM137" s="1493"/>
      <c r="AN137" s="1493"/>
      <c r="AO137" s="1493"/>
      <c r="AP137" s="1493"/>
      <c r="AQ137" s="1493"/>
      <c r="AS137" s="1493"/>
      <c r="AT137" s="1493"/>
      <c r="AU137" s="1493"/>
      <c r="AV137" s="1493"/>
      <c r="AW137" s="1493"/>
      <c r="AX137" s="1493"/>
      <c r="AY137" s="1493"/>
      <c r="AZ137" s="1493"/>
      <c r="BA137" s="1493"/>
      <c r="BB137" s="1493"/>
      <c r="BC137" s="1493"/>
      <c r="BD137" s="1493"/>
      <c r="BE137" s="1493"/>
      <c r="BF137" s="1493"/>
      <c r="BG137" s="1493"/>
      <c r="BH137" s="1493"/>
      <c r="BI137" s="1493"/>
      <c r="BJ137" s="1493"/>
      <c r="BK137" s="1493"/>
      <c r="BL137" s="1493"/>
      <c r="BN137" s="1493"/>
      <c r="BO137" s="1493"/>
      <c r="BP137" s="1493"/>
      <c r="BR137" s="1957"/>
      <c r="BS137" s="1493"/>
    </row>
    <row r="138" spans="7:71" x14ac:dyDescent="0.2">
      <c r="G138" s="1493"/>
      <c r="H138" s="1493"/>
      <c r="I138" s="1493"/>
      <c r="J138" s="1493"/>
      <c r="K138" s="1493"/>
      <c r="L138" s="1493"/>
      <c r="M138" s="1493"/>
      <c r="N138" s="1493"/>
      <c r="O138" s="1643"/>
      <c r="P138" s="1493"/>
      <c r="Q138" s="1493"/>
      <c r="R138" s="1493"/>
      <c r="S138" s="1493"/>
      <c r="T138" s="1493"/>
      <c r="U138" s="1493"/>
      <c r="V138" s="1493"/>
      <c r="W138" s="1493"/>
      <c r="Y138" s="1493"/>
      <c r="Z138" s="1493"/>
      <c r="AA138" s="1493"/>
      <c r="AB138" s="1493"/>
      <c r="AC138" s="1493"/>
      <c r="AD138" s="1493"/>
      <c r="AE138" s="1493"/>
      <c r="AF138" s="1493"/>
      <c r="AG138" s="1493"/>
      <c r="AH138" s="1493"/>
      <c r="AI138" s="1493"/>
      <c r="AJ138" s="1493"/>
      <c r="AK138" s="1493"/>
      <c r="AL138" s="1493"/>
      <c r="AM138" s="1493"/>
      <c r="AN138" s="1493"/>
      <c r="AO138" s="1493"/>
      <c r="AP138" s="1493"/>
      <c r="AQ138" s="1493"/>
      <c r="AS138" s="1493"/>
      <c r="AT138" s="1493"/>
      <c r="AU138" s="1493"/>
      <c r="AV138" s="1493"/>
      <c r="AW138" s="1493"/>
      <c r="AX138" s="1493"/>
      <c r="AY138" s="1493"/>
      <c r="AZ138" s="1493"/>
      <c r="BA138" s="1493"/>
      <c r="BB138" s="1493"/>
      <c r="BC138" s="1493"/>
      <c r="BD138" s="1493"/>
      <c r="BE138" s="1493"/>
      <c r="BF138" s="1493"/>
      <c r="BG138" s="1493"/>
      <c r="BH138" s="1493"/>
      <c r="BI138" s="1493"/>
      <c r="BJ138" s="1493"/>
      <c r="BK138" s="1493"/>
      <c r="BL138" s="1493"/>
      <c r="BN138" s="1493"/>
      <c r="BO138" s="1493"/>
      <c r="BP138" s="1493"/>
      <c r="BR138" s="1957"/>
      <c r="BS138" s="1493"/>
    </row>
    <row r="139" spans="7:71" x14ac:dyDescent="0.2">
      <c r="G139" s="1493"/>
      <c r="H139" s="1493"/>
      <c r="I139" s="1493"/>
      <c r="J139" s="1493"/>
      <c r="K139" s="1493"/>
      <c r="L139" s="1493"/>
      <c r="M139" s="1493"/>
      <c r="N139" s="1493"/>
      <c r="O139" s="1643"/>
      <c r="P139" s="1493"/>
      <c r="Q139" s="1493"/>
      <c r="R139" s="1493"/>
      <c r="S139" s="1493"/>
      <c r="T139" s="1493"/>
      <c r="U139" s="1493"/>
      <c r="V139" s="1493"/>
      <c r="W139" s="1493"/>
      <c r="Y139" s="1493"/>
      <c r="Z139" s="1493"/>
      <c r="AA139" s="1493"/>
      <c r="AB139" s="1493"/>
      <c r="AC139" s="1493"/>
      <c r="AD139" s="1493"/>
      <c r="AE139" s="1493"/>
      <c r="AF139" s="1493"/>
      <c r="AG139" s="1493"/>
      <c r="AH139" s="1493"/>
      <c r="AI139" s="1493"/>
      <c r="AJ139" s="1493"/>
      <c r="AK139" s="1493"/>
      <c r="AL139" s="1493"/>
      <c r="AM139" s="1493"/>
      <c r="AN139" s="1493"/>
      <c r="AO139" s="1493"/>
      <c r="AP139" s="1493"/>
      <c r="AQ139" s="1493"/>
      <c r="AS139" s="1493"/>
      <c r="AT139" s="1493"/>
      <c r="AU139" s="1493"/>
      <c r="AV139" s="1493"/>
      <c r="AW139" s="1493"/>
      <c r="AX139" s="1493"/>
      <c r="AY139" s="1493"/>
      <c r="AZ139" s="1493"/>
      <c r="BA139" s="1493"/>
      <c r="BB139" s="1493"/>
      <c r="BC139" s="1493"/>
      <c r="BD139" s="1493"/>
      <c r="BE139" s="1493"/>
      <c r="BF139" s="1493"/>
      <c r="BG139" s="1493"/>
      <c r="BH139" s="1493"/>
      <c r="BI139" s="1493"/>
      <c r="BJ139" s="1493"/>
      <c r="BK139" s="1493"/>
      <c r="BL139" s="1493"/>
      <c r="BN139" s="1493"/>
      <c r="BO139" s="1493"/>
      <c r="BP139" s="1493"/>
      <c r="BR139" s="1957"/>
      <c r="BS139" s="1493"/>
    </row>
    <row r="140" spans="7:71" x14ac:dyDescent="0.2">
      <c r="G140" s="1493"/>
      <c r="H140" s="1493"/>
      <c r="I140" s="1493"/>
      <c r="J140" s="1493"/>
      <c r="K140" s="1493"/>
      <c r="L140" s="1493"/>
      <c r="M140" s="1493"/>
      <c r="N140" s="1493"/>
      <c r="O140" s="1643"/>
      <c r="P140" s="1493"/>
      <c r="Q140" s="1493"/>
      <c r="R140" s="1493"/>
      <c r="S140" s="1493"/>
      <c r="T140" s="1493"/>
      <c r="U140" s="1493"/>
      <c r="V140" s="1493"/>
      <c r="W140" s="1493"/>
      <c r="Y140" s="1493"/>
      <c r="Z140" s="1493"/>
      <c r="AA140" s="1493"/>
      <c r="AB140" s="1493"/>
      <c r="AC140" s="1493"/>
      <c r="AD140" s="1493"/>
      <c r="AE140" s="1493"/>
      <c r="AF140" s="1493"/>
      <c r="AG140" s="1493"/>
      <c r="AH140" s="1493"/>
      <c r="AI140" s="1493"/>
      <c r="AJ140" s="1493"/>
      <c r="AK140" s="1493"/>
      <c r="AL140" s="1493"/>
      <c r="AM140" s="1493"/>
      <c r="AN140" s="1493"/>
      <c r="AO140" s="1493"/>
      <c r="AP140" s="1493"/>
      <c r="AQ140" s="1493"/>
      <c r="AS140" s="1493"/>
      <c r="AT140" s="1493"/>
      <c r="AU140" s="1493"/>
      <c r="AV140" s="1493"/>
      <c r="AW140" s="1493"/>
      <c r="AX140" s="1493"/>
      <c r="AY140" s="1493"/>
      <c r="AZ140" s="1493"/>
      <c r="BA140" s="1493"/>
      <c r="BB140" s="1493"/>
      <c r="BC140" s="1493"/>
      <c r="BD140" s="1493"/>
      <c r="BE140" s="1493"/>
      <c r="BF140" s="1493"/>
      <c r="BG140" s="1493"/>
      <c r="BH140" s="1493"/>
      <c r="BI140" s="1493"/>
      <c r="BJ140" s="1493"/>
      <c r="BK140" s="1493"/>
      <c r="BL140" s="1493"/>
      <c r="BN140" s="1493"/>
      <c r="BO140" s="1493"/>
      <c r="BP140" s="1493"/>
      <c r="BR140" s="1957"/>
      <c r="BS140" s="1493"/>
    </row>
    <row r="141" spans="7:71" x14ac:dyDescent="0.2">
      <c r="G141" s="1493"/>
      <c r="H141" s="1493"/>
      <c r="I141" s="1493"/>
      <c r="J141" s="1493"/>
      <c r="K141" s="1493"/>
      <c r="L141" s="1493"/>
      <c r="M141" s="1493"/>
      <c r="N141" s="1493"/>
      <c r="O141" s="1643"/>
      <c r="P141" s="1493"/>
      <c r="Q141" s="1493"/>
      <c r="R141" s="1493"/>
      <c r="S141" s="1493"/>
      <c r="T141" s="1493"/>
      <c r="U141" s="1493"/>
      <c r="V141" s="1493"/>
      <c r="W141" s="1493"/>
      <c r="Y141" s="1493"/>
      <c r="Z141" s="1493"/>
      <c r="AA141" s="1493"/>
      <c r="AB141" s="1493"/>
      <c r="AC141" s="1493"/>
      <c r="AD141" s="1493"/>
      <c r="AE141" s="1493"/>
      <c r="AF141" s="1493"/>
      <c r="AG141" s="1493"/>
      <c r="AH141" s="1493"/>
      <c r="AI141" s="1493"/>
      <c r="AJ141" s="1493"/>
      <c r="AK141" s="1493"/>
      <c r="AL141" s="1493"/>
      <c r="AM141" s="1493"/>
      <c r="AN141" s="1493"/>
      <c r="AO141" s="1493"/>
      <c r="AP141" s="1493"/>
      <c r="AQ141" s="1493"/>
      <c r="AS141" s="1493"/>
      <c r="AT141" s="1493"/>
      <c r="AU141" s="1493"/>
      <c r="AV141" s="1493"/>
      <c r="AW141" s="1493"/>
      <c r="AX141" s="1493"/>
      <c r="AY141" s="1493"/>
      <c r="AZ141" s="1493"/>
      <c r="BA141" s="1493"/>
      <c r="BB141" s="1493"/>
      <c r="BC141" s="1493"/>
      <c r="BD141" s="1493"/>
      <c r="BE141" s="1493"/>
      <c r="BF141" s="1493"/>
      <c r="BG141" s="1493"/>
      <c r="BH141" s="1493"/>
      <c r="BI141" s="1493"/>
      <c r="BJ141" s="1493"/>
      <c r="BK141" s="1493"/>
      <c r="BL141" s="1493"/>
      <c r="BN141" s="1493"/>
      <c r="BO141" s="1493"/>
      <c r="BP141" s="1493"/>
      <c r="BR141" s="1957"/>
      <c r="BS141" s="1493"/>
    </row>
    <row r="142" spans="7:71" x14ac:dyDescent="0.2">
      <c r="G142" s="1493"/>
      <c r="H142" s="1493"/>
      <c r="I142" s="1493"/>
      <c r="J142" s="1493"/>
      <c r="K142" s="1493"/>
      <c r="L142" s="1493"/>
      <c r="M142" s="1493"/>
      <c r="N142" s="1493"/>
      <c r="O142" s="1643"/>
      <c r="P142" s="1493"/>
      <c r="Q142" s="1493"/>
      <c r="R142" s="1493"/>
      <c r="S142" s="1493"/>
      <c r="T142" s="1493"/>
      <c r="U142" s="1493"/>
      <c r="V142" s="1493"/>
      <c r="W142" s="1493"/>
      <c r="Y142" s="1493"/>
      <c r="Z142" s="1493"/>
      <c r="AA142" s="1493"/>
      <c r="AB142" s="1493"/>
      <c r="AC142" s="1493"/>
      <c r="AD142" s="1493"/>
      <c r="AE142" s="1493"/>
      <c r="AF142" s="1493"/>
      <c r="AG142" s="1493"/>
      <c r="AH142" s="1493"/>
      <c r="AI142" s="1493"/>
      <c r="AJ142" s="1493"/>
      <c r="AK142" s="1493"/>
      <c r="AL142" s="1493"/>
      <c r="AM142" s="1493"/>
      <c r="AN142" s="1493"/>
      <c r="AO142" s="1493"/>
      <c r="AP142" s="1493"/>
      <c r="AQ142" s="1493"/>
      <c r="AS142" s="1493"/>
      <c r="AT142" s="1493"/>
      <c r="AU142" s="1493"/>
      <c r="AV142" s="1493"/>
      <c r="AW142" s="1493"/>
      <c r="AX142" s="1493"/>
      <c r="AY142" s="1493"/>
      <c r="AZ142" s="1493"/>
      <c r="BA142" s="1493"/>
      <c r="BB142" s="1493"/>
      <c r="BC142" s="1493"/>
      <c r="BD142" s="1493"/>
      <c r="BE142" s="1493"/>
      <c r="BF142" s="1493"/>
      <c r="BG142" s="1493"/>
      <c r="BH142" s="1493"/>
      <c r="BI142" s="1493"/>
      <c r="BJ142" s="1493"/>
      <c r="BK142" s="1493"/>
      <c r="BL142" s="1493"/>
      <c r="BN142" s="1493"/>
      <c r="BO142" s="1493"/>
      <c r="BP142" s="1493"/>
      <c r="BR142" s="1957"/>
      <c r="BS142" s="1493"/>
    </row>
    <row r="143" spans="7:71" x14ac:dyDescent="0.2">
      <c r="G143" s="1493"/>
      <c r="H143" s="1493"/>
      <c r="I143" s="1493"/>
      <c r="J143" s="1493"/>
      <c r="K143" s="1493"/>
      <c r="L143" s="1493"/>
      <c r="M143" s="1493"/>
      <c r="N143" s="1493"/>
      <c r="O143" s="1643"/>
      <c r="P143" s="1493"/>
      <c r="Q143" s="1493"/>
      <c r="R143" s="1493"/>
      <c r="S143" s="1493"/>
      <c r="T143" s="1493"/>
      <c r="U143" s="1493"/>
      <c r="V143" s="1493"/>
      <c r="W143" s="1493"/>
      <c r="Y143" s="1493"/>
      <c r="Z143" s="1493"/>
      <c r="AA143" s="1493"/>
      <c r="AB143" s="1493"/>
      <c r="AC143" s="1493"/>
      <c r="AD143" s="1493"/>
      <c r="AE143" s="1493"/>
      <c r="AF143" s="1493"/>
      <c r="AG143" s="1493"/>
      <c r="AH143" s="1493"/>
      <c r="AI143" s="1493"/>
      <c r="AJ143" s="1493"/>
      <c r="AK143" s="1493"/>
      <c r="AL143" s="1493"/>
      <c r="AM143" s="1493"/>
      <c r="AN143" s="1493"/>
      <c r="AO143" s="1493"/>
      <c r="AP143" s="1493"/>
      <c r="AQ143" s="1493"/>
      <c r="AS143" s="1493"/>
      <c r="AT143" s="1493"/>
      <c r="AU143" s="1493"/>
      <c r="AV143" s="1493"/>
      <c r="AW143" s="1493"/>
      <c r="AX143" s="1493"/>
      <c r="AY143" s="1493"/>
      <c r="AZ143" s="1493"/>
      <c r="BA143" s="1493"/>
      <c r="BB143" s="1493"/>
      <c r="BC143" s="1493"/>
      <c r="BD143" s="1493"/>
      <c r="BE143" s="1493"/>
      <c r="BF143" s="1493"/>
      <c r="BG143" s="1493"/>
      <c r="BH143" s="1493"/>
      <c r="BI143" s="1493"/>
      <c r="BJ143" s="1493"/>
      <c r="BK143" s="1493"/>
      <c r="BL143" s="1493"/>
      <c r="BN143" s="1493"/>
      <c r="BO143" s="1493"/>
      <c r="BP143" s="1493"/>
      <c r="BR143" s="1957"/>
      <c r="BS143" s="1493"/>
    </row>
    <row r="144" spans="7:71" x14ac:dyDescent="0.2">
      <c r="G144" s="1493"/>
      <c r="H144" s="1493"/>
      <c r="I144" s="1493"/>
      <c r="J144" s="1493"/>
      <c r="K144" s="1493"/>
      <c r="L144" s="1493"/>
      <c r="M144" s="1493"/>
      <c r="N144" s="1493"/>
      <c r="O144" s="1643"/>
      <c r="P144" s="1493"/>
      <c r="Q144" s="1493"/>
      <c r="R144" s="1493"/>
      <c r="S144" s="1493"/>
      <c r="T144" s="1493"/>
      <c r="U144" s="1493"/>
      <c r="V144" s="1493"/>
      <c r="W144" s="1493"/>
      <c r="Y144" s="1493"/>
      <c r="Z144" s="1493"/>
      <c r="AA144" s="1493"/>
      <c r="AB144" s="1493"/>
      <c r="AC144" s="1493"/>
      <c r="AD144" s="1493"/>
      <c r="AE144" s="1493"/>
      <c r="AF144" s="1493"/>
      <c r="AG144" s="1493"/>
      <c r="AH144" s="1493"/>
      <c r="AI144" s="1493"/>
      <c r="AJ144" s="1493"/>
      <c r="AK144" s="1493"/>
      <c r="AL144" s="1493"/>
      <c r="AM144" s="1493"/>
      <c r="AN144" s="1493"/>
      <c r="AO144" s="1493"/>
      <c r="AP144" s="1493"/>
      <c r="AQ144" s="1493"/>
      <c r="AS144" s="1493"/>
      <c r="AT144" s="1493"/>
      <c r="AU144" s="1493"/>
      <c r="AV144" s="1493"/>
      <c r="AW144" s="1493"/>
      <c r="AX144" s="1493"/>
      <c r="AY144" s="1493"/>
      <c r="AZ144" s="1493"/>
      <c r="BA144" s="1493"/>
      <c r="BB144" s="1493"/>
      <c r="BC144" s="1493"/>
      <c r="BD144" s="1493"/>
      <c r="BE144" s="1493"/>
      <c r="BF144" s="1493"/>
      <c r="BG144" s="1493"/>
      <c r="BH144" s="1493"/>
      <c r="BI144" s="1493"/>
      <c r="BJ144" s="1493"/>
      <c r="BK144" s="1493"/>
      <c r="BL144" s="1493"/>
      <c r="BN144" s="1493"/>
      <c r="BO144" s="1493"/>
      <c r="BP144" s="1493"/>
      <c r="BR144" s="1957"/>
      <c r="BS144" s="1493"/>
    </row>
    <row r="145" spans="7:71" x14ac:dyDescent="0.2">
      <c r="G145" s="1493"/>
      <c r="H145" s="1493"/>
      <c r="I145" s="1493"/>
      <c r="J145" s="1493"/>
      <c r="K145" s="1493"/>
      <c r="L145" s="1493"/>
      <c r="M145" s="1493"/>
      <c r="N145" s="1493"/>
      <c r="O145" s="1643"/>
      <c r="P145" s="1493"/>
      <c r="Q145" s="1493"/>
      <c r="R145" s="1493"/>
      <c r="S145" s="1493"/>
      <c r="T145" s="1493"/>
      <c r="U145" s="1493"/>
      <c r="V145" s="1493"/>
      <c r="W145" s="1493"/>
      <c r="Y145" s="1493"/>
      <c r="Z145" s="1493"/>
      <c r="AA145" s="1493"/>
      <c r="AB145" s="1493"/>
      <c r="AC145" s="1493"/>
      <c r="AD145" s="1493"/>
      <c r="AE145" s="1493"/>
      <c r="AF145" s="1493"/>
      <c r="AG145" s="1493"/>
      <c r="AH145" s="1493"/>
      <c r="AI145" s="1493"/>
      <c r="AJ145" s="1493"/>
      <c r="AK145" s="1493"/>
      <c r="AL145" s="1493"/>
      <c r="AM145" s="1493"/>
      <c r="AN145" s="1493"/>
      <c r="AO145" s="1493"/>
      <c r="AP145" s="1493"/>
      <c r="AQ145" s="1493"/>
      <c r="AS145" s="1493"/>
      <c r="AT145" s="1493"/>
      <c r="AU145" s="1493"/>
      <c r="AV145" s="1493"/>
      <c r="AW145" s="1493"/>
      <c r="AX145" s="1493"/>
      <c r="AY145" s="1493"/>
      <c r="AZ145" s="1493"/>
      <c r="BA145" s="1493"/>
      <c r="BB145" s="1493"/>
      <c r="BC145" s="1493"/>
      <c r="BD145" s="1493"/>
      <c r="BE145" s="1493"/>
      <c r="BF145" s="1493"/>
      <c r="BG145" s="1493"/>
      <c r="BH145" s="1493"/>
      <c r="BI145" s="1493"/>
      <c r="BJ145" s="1493"/>
      <c r="BK145" s="1493"/>
      <c r="BL145" s="1493"/>
      <c r="BN145" s="1493"/>
      <c r="BO145" s="1493"/>
      <c r="BP145" s="1493"/>
      <c r="BR145" s="1957"/>
      <c r="BS145" s="1493"/>
    </row>
    <row r="146" spans="7:71" x14ac:dyDescent="0.2">
      <c r="G146" s="1493"/>
      <c r="H146" s="1493"/>
      <c r="I146" s="1493"/>
      <c r="J146" s="1493"/>
      <c r="K146" s="1493"/>
      <c r="L146" s="1493"/>
      <c r="M146" s="1493"/>
      <c r="N146" s="1493"/>
      <c r="O146" s="1643"/>
      <c r="P146" s="1493"/>
      <c r="Q146" s="1493"/>
      <c r="R146" s="1493"/>
      <c r="S146" s="1493"/>
      <c r="T146" s="1493"/>
      <c r="U146" s="1493"/>
      <c r="V146" s="1493"/>
      <c r="W146" s="1493"/>
      <c r="Y146" s="1493"/>
      <c r="Z146" s="1493"/>
      <c r="AA146" s="1493"/>
      <c r="AB146" s="1493"/>
      <c r="AC146" s="1493"/>
      <c r="AD146" s="1493"/>
      <c r="AE146" s="1493"/>
      <c r="AF146" s="1493"/>
      <c r="AG146" s="1493"/>
      <c r="AH146" s="1493"/>
      <c r="AI146" s="1493"/>
      <c r="AJ146" s="1493"/>
      <c r="AK146" s="1493"/>
      <c r="AL146" s="1493"/>
      <c r="AM146" s="1493"/>
      <c r="AN146" s="1493"/>
      <c r="AO146" s="1493"/>
      <c r="AP146" s="1493"/>
      <c r="AQ146" s="1493"/>
      <c r="AS146" s="1493"/>
      <c r="AT146" s="1493"/>
      <c r="AU146" s="1493"/>
      <c r="AV146" s="1493"/>
      <c r="AW146" s="1493"/>
      <c r="AX146" s="1493"/>
      <c r="AY146" s="1493"/>
      <c r="AZ146" s="1493"/>
      <c r="BA146" s="1493"/>
      <c r="BB146" s="1493"/>
      <c r="BC146" s="1493"/>
      <c r="BD146" s="1493"/>
      <c r="BE146" s="1493"/>
      <c r="BF146" s="1493"/>
      <c r="BG146" s="1493"/>
      <c r="BH146" s="1493"/>
      <c r="BI146" s="1493"/>
      <c r="BJ146" s="1493"/>
      <c r="BK146" s="1493"/>
      <c r="BL146" s="1493"/>
      <c r="BN146" s="1493"/>
      <c r="BO146" s="1493"/>
      <c r="BP146" s="1493"/>
      <c r="BR146" s="1957"/>
      <c r="BS146" s="1493"/>
    </row>
    <row r="147" spans="7:71" x14ac:dyDescent="0.2">
      <c r="G147" s="1493"/>
      <c r="H147" s="1493"/>
      <c r="I147" s="1493"/>
      <c r="J147" s="1493"/>
      <c r="K147" s="1493"/>
      <c r="L147" s="1493"/>
      <c r="M147" s="1493"/>
      <c r="N147" s="1493"/>
      <c r="O147" s="1643"/>
      <c r="P147" s="1493"/>
      <c r="Q147" s="1493"/>
      <c r="R147" s="1493"/>
      <c r="S147" s="1493"/>
      <c r="T147" s="1493"/>
      <c r="U147" s="1493"/>
      <c r="V147" s="1493"/>
      <c r="W147" s="1493"/>
      <c r="Y147" s="1493"/>
      <c r="Z147" s="1493"/>
      <c r="AA147" s="1493"/>
      <c r="AB147" s="1493"/>
      <c r="AC147" s="1493"/>
      <c r="AD147" s="1493"/>
      <c r="AE147" s="1493"/>
      <c r="AF147" s="1493"/>
      <c r="AG147" s="1493"/>
      <c r="AH147" s="1493"/>
      <c r="AI147" s="1493"/>
      <c r="AJ147" s="1493"/>
      <c r="AK147" s="1493"/>
      <c r="AL147" s="1493"/>
      <c r="AM147" s="1493"/>
      <c r="AN147" s="1493"/>
      <c r="AO147" s="1493"/>
      <c r="AP147" s="1493"/>
      <c r="AQ147" s="1493"/>
      <c r="AS147" s="1493"/>
      <c r="AT147" s="1493"/>
      <c r="AU147" s="1493"/>
      <c r="AV147" s="1493"/>
      <c r="AW147" s="1493"/>
      <c r="AX147" s="1493"/>
      <c r="AY147" s="1493"/>
      <c r="AZ147" s="1493"/>
      <c r="BA147" s="1493"/>
      <c r="BB147" s="1493"/>
      <c r="BC147" s="1493"/>
      <c r="BD147" s="1493"/>
      <c r="BE147" s="1493"/>
      <c r="BF147" s="1493"/>
      <c r="BG147" s="1493"/>
      <c r="BH147" s="1493"/>
      <c r="BI147" s="1493"/>
      <c r="BJ147" s="1493"/>
      <c r="BK147" s="1493"/>
      <c r="BL147" s="1493"/>
      <c r="BN147" s="1493"/>
      <c r="BO147" s="1493"/>
      <c r="BP147" s="1493"/>
      <c r="BR147" s="1957"/>
      <c r="BS147" s="1493"/>
    </row>
    <row r="148" spans="7:71" x14ac:dyDescent="0.2">
      <c r="G148" s="1493"/>
      <c r="H148" s="1493"/>
      <c r="I148" s="1493"/>
      <c r="J148" s="1493"/>
      <c r="K148" s="1493"/>
      <c r="L148" s="1493"/>
      <c r="M148" s="1493"/>
      <c r="N148" s="1493"/>
      <c r="O148" s="1643"/>
      <c r="P148" s="1493"/>
      <c r="Q148" s="1493"/>
      <c r="R148" s="1493"/>
      <c r="S148" s="1493"/>
      <c r="T148" s="1493"/>
      <c r="U148" s="1493"/>
      <c r="V148" s="1493"/>
      <c r="W148" s="1493"/>
      <c r="Y148" s="1493"/>
      <c r="Z148" s="1493"/>
      <c r="AA148" s="1493"/>
      <c r="AB148" s="1493"/>
      <c r="AC148" s="1493"/>
      <c r="AD148" s="1493"/>
      <c r="AE148" s="1493"/>
      <c r="AF148" s="1493"/>
      <c r="AG148" s="1493"/>
      <c r="AH148" s="1493"/>
      <c r="AI148" s="1493"/>
      <c r="AJ148" s="1493"/>
      <c r="AK148" s="1493"/>
      <c r="AL148" s="1493"/>
      <c r="AM148" s="1493"/>
      <c r="AN148" s="1493"/>
      <c r="AO148" s="1493"/>
      <c r="AP148" s="1493"/>
      <c r="AQ148" s="1493"/>
      <c r="AS148" s="1493"/>
      <c r="AT148" s="1493"/>
      <c r="AU148" s="1493"/>
      <c r="AV148" s="1493"/>
      <c r="AW148" s="1493"/>
      <c r="AX148" s="1493"/>
      <c r="AY148" s="1493"/>
      <c r="AZ148" s="1493"/>
      <c r="BA148" s="1493"/>
      <c r="BB148" s="1493"/>
      <c r="BC148" s="1493"/>
      <c r="BD148" s="1493"/>
      <c r="BE148" s="1493"/>
      <c r="BF148" s="1493"/>
      <c r="BG148" s="1493"/>
      <c r="BH148" s="1493"/>
      <c r="BI148" s="1493"/>
      <c r="BJ148" s="1493"/>
      <c r="BK148" s="1493"/>
      <c r="BL148" s="1493"/>
      <c r="BN148" s="1493"/>
      <c r="BO148" s="1493"/>
      <c r="BP148" s="1493"/>
      <c r="BR148" s="1957"/>
      <c r="BS148" s="1493"/>
    </row>
    <row r="149" spans="7:71" x14ac:dyDescent="0.2">
      <c r="G149" s="1493"/>
      <c r="H149" s="1493"/>
      <c r="I149" s="1493"/>
      <c r="J149" s="1493"/>
      <c r="K149" s="1493"/>
      <c r="L149" s="1493"/>
      <c r="M149" s="1493"/>
      <c r="N149" s="1493"/>
      <c r="O149" s="1643"/>
      <c r="P149" s="1493"/>
      <c r="Q149" s="1493"/>
      <c r="R149" s="1493"/>
      <c r="S149" s="1493"/>
      <c r="T149" s="1493"/>
      <c r="U149" s="1493"/>
      <c r="V149" s="1493"/>
      <c r="W149" s="1493"/>
      <c r="Y149" s="1493"/>
      <c r="Z149" s="1493"/>
      <c r="AA149" s="1493"/>
      <c r="AB149" s="1493"/>
      <c r="AC149" s="1493"/>
      <c r="AD149" s="1493"/>
      <c r="AE149" s="1493"/>
      <c r="AF149" s="1493"/>
      <c r="AG149" s="1493"/>
      <c r="AH149" s="1493"/>
      <c r="AI149" s="1493"/>
      <c r="AJ149" s="1493"/>
      <c r="AK149" s="1493"/>
      <c r="AL149" s="1493"/>
      <c r="AM149" s="1493"/>
      <c r="AN149" s="1493"/>
      <c r="AO149" s="1493"/>
      <c r="AP149" s="1493"/>
      <c r="AQ149" s="1493"/>
      <c r="AS149" s="1493"/>
      <c r="AT149" s="1493"/>
      <c r="AU149" s="1493"/>
      <c r="AV149" s="1493"/>
      <c r="AW149" s="1493"/>
      <c r="AX149" s="1493"/>
      <c r="AY149" s="1493"/>
      <c r="AZ149" s="1493"/>
      <c r="BA149" s="1493"/>
      <c r="BB149" s="1493"/>
      <c r="BC149" s="1493"/>
      <c r="BD149" s="1493"/>
      <c r="BE149" s="1493"/>
      <c r="BF149" s="1493"/>
      <c r="BG149" s="1493"/>
      <c r="BH149" s="1493"/>
      <c r="BI149" s="1493"/>
      <c r="BJ149" s="1493"/>
      <c r="BK149" s="1493"/>
      <c r="BL149" s="1493"/>
      <c r="BN149" s="1493"/>
      <c r="BO149" s="1493"/>
      <c r="BP149" s="1493"/>
      <c r="BR149" s="1957"/>
      <c r="BS149" s="1493"/>
    </row>
    <row r="150" spans="7:71" x14ac:dyDescent="0.2">
      <c r="G150" s="1493"/>
      <c r="H150" s="1493"/>
      <c r="I150" s="1493"/>
      <c r="J150" s="1493"/>
      <c r="K150" s="1493"/>
      <c r="L150" s="1493"/>
      <c r="M150" s="1493"/>
      <c r="N150" s="1493"/>
      <c r="O150" s="1643"/>
      <c r="P150" s="1493"/>
      <c r="Q150" s="1493"/>
      <c r="R150" s="1493"/>
      <c r="S150" s="1493"/>
      <c r="T150" s="1493"/>
      <c r="U150" s="1493"/>
      <c r="V150" s="1493"/>
      <c r="W150" s="1493"/>
      <c r="Y150" s="1493"/>
      <c r="Z150" s="1493"/>
      <c r="AA150" s="1493"/>
      <c r="AB150" s="1493"/>
      <c r="AC150" s="1493"/>
      <c r="AD150" s="1493"/>
      <c r="AE150" s="1493"/>
      <c r="AF150" s="1493"/>
      <c r="AG150" s="1493"/>
      <c r="AH150" s="1493"/>
      <c r="AI150" s="1493"/>
      <c r="AJ150" s="1493"/>
      <c r="AK150" s="1493"/>
      <c r="AL150" s="1493"/>
      <c r="AM150" s="1493"/>
      <c r="AN150" s="1493"/>
      <c r="AO150" s="1493"/>
      <c r="AP150" s="1493"/>
      <c r="AQ150" s="1493"/>
      <c r="AS150" s="1493"/>
      <c r="AT150" s="1493"/>
      <c r="AU150" s="1493"/>
      <c r="AV150" s="1493"/>
      <c r="AW150" s="1493"/>
      <c r="AX150" s="1493"/>
      <c r="AY150" s="1493"/>
      <c r="AZ150" s="1493"/>
      <c r="BA150" s="1493"/>
      <c r="BB150" s="1493"/>
      <c r="BC150" s="1493"/>
      <c r="BD150" s="1493"/>
      <c r="BE150" s="1493"/>
      <c r="BF150" s="1493"/>
      <c r="BG150" s="1493"/>
      <c r="BH150" s="1493"/>
      <c r="BI150" s="1493"/>
      <c r="BJ150" s="1493"/>
      <c r="BK150" s="1493"/>
      <c r="BL150" s="1493"/>
      <c r="BN150" s="1493"/>
      <c r="BO150" s="1493"/>
      <c r="BP150" s="1493"/>
      <c r="BR150" s="1957"/>
      <c r="BS150" s="1493"/>
    </row>
    <row r="151" spans="7:71" x14ac:dyDescent="0.2">
      <c r="G151" s="1493"/>
      <c r="H151" s="1493"/>
      <c r="I151" s="1493"/>
      <c r="J151" s="1493"/>
      <c r="K151" s="1493"/>
      <c r="L151" s="1493"/>
      <c r="M151" s="1493"/>
      <c r="N151" s="1493"/>
      <c r="O151" s="1643"/>
      <c r="P151" s="1493"/>
      <c r="Q151" s="1493"/>
      <c r="R151" s="1493"/>
      <c r="S151" s="1493"/>
      <c r="T151" s="1493"/>
      <c r="U151" s="1493"/>
      <c r="V151" s="1493"/>
      <c r="W151" s="1493"/>
      <c r="Y151" s="1493"/>
      <c r="Z151" s="1493"/>
      <c r="AA151" s="1493"/>
      <c r="AB151" s="1493"/>
      <c r="AC151" s="1493"/>
      <c r="AD151" s="1493"/>
      <c r="AE151" s="1493"/>
      <c r="AF151" s="1493"/>
      <c r="AG151" s="1493"/>
      <c r="AH151" s="1493"/>
      <c r="AI151" s="1493"/>
      <c r="AJ151" s="1493"/>
      <c r="AK151" s="1493"/>
      <c r="AL151" s="1493"/>
      <c r="AM151" s="1493"/>
      <c r="AN151" s="1493"/>
      <c r="AO151" s="1493"/>
      <c r="AP151" s="1493"/>
      <c r="AQ151" s="1493"/>
      <c r="AS151" s="1493"/>
      <c r="AT151" s="1493"/>
      <c r="AU151" s="1493"/>
      <c r="AV151" s="1493"/>
      <c r="AW151" s="1493"/>
      <c r="AX151" s="1493"/>
      <c r="AY151" s="1493"/>
      <c r="AZ151" s="1493"/>
      <c r="BA151" s="1493"/>
      <c r="BB151" s="1493"/>
      <c r="BC151" s="1493"/>
      <c r="BD151" s="1493"/>
      <c r="BE151" s="1493"/>
      <c r="BF151" s="1493"/>
      <c r="BG151" s="1493"/>
      <c r="BH151" s="1493"/>
      <c r="BI151" s="1493"/>
      <c r="BJ151" s="1493"/>
      <c r="BK151" s="1493"/>
      <c r="BL151" s="1493"/>
      <c r="BN151" s="1493"/>
      <c r="BO151" s="1493"/>
      <c r="BP151" s="1493"/>
      <c r="BR151" s="1957"/>
      <c r="BS151" s="1493"/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DP151"/>
  <sheetViews>
    <sheetView topLeftCell="A7" zoomScale="53" zoomScaleNormal="53" workbookViewId="0">
      <selection activeCell="D74" sqref="C74:D74"/>
    </sheetView>
  </sheetViews>
  <sheetFormatPr baseColWidth="10" defaultColWidth="8.85546875" defaultRowHeight="12.75" outlineLevelRow="2" outlineLevelCol="2" x14ac:dyDescent="0.2"/>
  <cols>
    <col min="1" max="1" width="15.5703125" customWidth="1"/>
    <col min="2" max="2" width="1.42578125" customWidth="1"/>
    <col min="3" max="3" width="9.28515625" style="1429" customWidth="1"/>
    <col min="4" max="4" width="28.28515625" style="1430" customWidth="1"/>
    <col min="5" max="5" width="41.7109375" style="1430" customWidth="1"/>
    <col min="6" max="6" width="1.140625" customWidth="1" outlineLevel="1"/>
    <col min="7" max="14" width="13.28515625" style="1430" hidden="1" customWidth="1" outlineLevel="2"/>
    <col min="15" max="15" width="13.28515625" style="1431" hidden="1" customWidth="1" outlineLevel="2"/>
    <col min="16" max="22" width="13.28515625" style="1430" hidden="1" customWidth="1" outlineLevel="2"/>
    <col min="23" max="23" width="13.28515625" style="1430" customWidth="1" outlineLevel="1" collapsed="1"/>
    <col min="24" max="24" width="1.140625" customWidth="1" outlineLevel="1"/>
    <col min="25" max="25" width="14.5703125" style="1430" hidden="1" customWidth="1" outlineLevel="2"/>
    <col min="26" max="26" width="12.5703125" style="1430" hidden="1" customWidth="1" outlineLevel="2"/>
    <col min="27" max="29" width="14.85546875" style="1430" hidden="1" customWidth="1" outlineLevel="2"/>
    <col min="30" max="35" width="10" style="1430" hidden="1" customWidth="1" outlineLevel="2"/>
    <col min="36" max="36" width="11.85546875" style="1430" hidden="1" customWidth="1" outlineLevel="2"/>
    <col min="37" max="42" width="10" style="1430" hidden="1" customWidth="1" outlineLevel="2"/>
    <col min="43" max="43" width="14.140625" style="1430" customWidth="1" outlineLevel="1" collapsed="1"/>
    <col min="44" max="44" width="1.140625" customWidth="1" outlineLevel="1"/>
    <col min="45" max="49" width="10" style="1430" hidden="1" customWidth="1" outlineLevel="2"/>
    <col min="50" max="50" width="10.140625" style="1430" hidden="1" customWidth="1" outlineLevel="2"/>
    <col min="51" max="51" width="10.85546875" style="1430" hidden="1" customWidth="1" outlineLevel="2"/>
    <col min="52" max="52" width="12.7109375" style="1430" hidden="1" customWidth="1" outlineLevel="2"/>
    <col min="53" max="53" width="16.5703125" style="1430" hidden="1" customWidth="1" outlineLevel="2"/>
    <col min="54" max="63" width="10" style="1430" hidden="1" customWidth="1" outlineLevel="2"/>
    <col min="64" max="64" width="11.42578125" style="1430" customWidth="1" outlineLevel="1" collapsed="1"/>
    <col min="65" max="65" width="1.140625" customWidth="1" outlineLevel="1"/>
    <col min="66" max="66" width="10" style="1430" hidden="1" customWidth="1" outlineLevel="2"/>
    <col min="67" max="67" width="13" style="1430" hidden="1" customWidth="1" outlineLevel="2"/>
    <col min="68" max="68" width="10" style="1430" customWidth="1" outlineLevel="1" collapsed="1"/>
    <col min="69" max="69" width="1.140625" customWidth="1" outlineLevel="1"/>
    <col min="70" max="70" width="18.7109375" style="1429" customWidth="1" outlineLevel="1"/>
    <col min="71" max="71" width="5.28515625" style="1430" customWidth="1"/>
    <col min="73" max="116" width="7.42578125" hidden="1" customWidth="1" outlineLevel="1"/>
    <col min="117" max="117" width="2.42578125" hidden="1" customWidth="1" outlineLevel="1"/>
    <col min="118" max="119" width="8.85546875" hidden="1" customWidth="1" outlineLevel="1"/>
    <col min="120" max="120" width="8.85546875" collapsed="1"/>
  </cols>
  <sheetData>
    <row r="1" spans="1:118" ht="6" customHeight="1" x14ac:dyDescent="0.2"/>
    <row r="2" spans="1:118" ht="21" customHeight="1" x14ac:dyDescent="0.2">
      <c r="D2" s="1432"/>
      <c r="E2" s="1433">
        <v>2045</v>
      </c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Y2" s="1434"/>
      <c r="Z2" s="1434"/>
      <c r="AA2" s="1434"/>
      <c r="AB2" s="1434"/>
      <c r="AC2" s="1434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N2"/>
      <c r="BO2"/>
      <c r="BP2"/>
      <c r="BR2" s="74"/>
      <c r="BS2" s="1435"/>
    </row>
    <row r="3" spans="1:118" ht="39" customHeight="1" x14ac:dyDescent="0.2">
      <c r="A3" s="1436"/>
      <c r="B3" s="1436"/>
      <c r="C3" s="1436"/>
      <c r="D3" s="1437"/>
      <c r="E3" s="1438" t="s">
        <v>171</v>
      </c>
      <c r="G3" s="1439" t="s">
        <v>912</v>
      </c>
      <c r="H3" s="1439"/>
      <c r="I3" s="1439"/>
      <c r="J3" s="1439"/>
      <c r="K3" s="1439"/>
      <c r="L3" s="1439"/>
      <c r="M3" s="1439"/>
      <c r="N3" s="1439"/>
      <c r="O3" s="1439"/>
      <c r="P3" s="1439"/>
      <c r="Q3" s="1439"/>
      <c r="R3" s="1439"/>
      <c r="S3" s="1439"/>
      <c r="T3" s="1439"/>
      <c r="U3" s="1439"/>
      <c r="V3" s="1439"/>
      <c r="W3" s="1439"/>
      <c r="Y3" s="1440" t="s">
        <v>913</v>
      </c>
      <c r="Z3" s="1441"/>
      <c r="AA3" s="1441"/>
      <c r="AB3" s="1441"/>
      <c r="AC3" s="1441"/>
      <c r="AD3" s="1442"/>
      <c r="AE3" s="1441"/>
      <c r="AF3" s="1441"/>
      <c r="AG3" s="1441"/>
      <c r="AH3" s="1441"/>
      <c r="AI3" s="1441"/>
      <c r="AJ3" s="1441"/>
      <c r="AK3" s="1441"/>
      <c r="AL3" s="1441"/>
      <c r="AM3" s="1441"/>
      <c r="AN3" s="1441"/>
      <c r="AO3" s="1441"/>
      <c r="AP3" s="1441"/>
      <c r="AQ3" s="1443"/>
      <c r="AS3" s="1444" t="s">
        <v>914</v>
      </c>
      <c r="AT3" s="1445"/>
      <c r="AU3" s="1445"/>
      <c r="AV3" s="1446"/>
      <c r="AW3" s="1445"/>
      <c r="AX3" s="1445"/>
      <c r="AY3" s="1445"/>
      <c r="AZ3" s="1445"/>
      <c r="BA3" s="1445"/>
      <c r="BB3" s="1445"/>
      <c r="BC3" s="1445"/>
      <c r="BD3" s="1445"/>
      <c r="BE3" s="1445"/>
      <c r="BF3" s="1445"/>
      <c r="BG3" s="1445"/>
      <c r="BH3" s="1445"/>
      <c r="BI3" s="1445"/>
      <c r="BJ3" s="1445"/>
      <c r="BK3" s="1445"/>
      <c r="BL3" s="1447"/>
      <c r="BN3" s="1448" t="s">
        <v>915</v>
      </c>
      <c r="BO3" s="1449"/>
      <c r="BP3" s="1449"/>
      <c r="BR3" s="1450"/>
      <c r="BS3" s="1450"/>
      <c r="BT3" s="1436"/>
      <c r="BU3" s="1451" t="s">
        <v>918</v>
      </c>
      <c r="BV3" s="1452"/>
      <c r="BW3" s="1452"/>
      <c r="BX3" s="1452"/>
      <c r="BY3" s="1452"/>
      <c r="BZ3" s="1452"/>
      <c r="CA3" s="1452"/>
      <c r="CB3" s="1452"/>
      <c r="CC3" s="1452"/>
      <c r="CD3" s="1452"/>
      <c r="CE3" s="1452"/>
      <c r="CF3" s="1452"/>
      <c r="CG3" s="1452"/>
      <c r="CH3" s="1452"/>
      <c r="CI3" s="1452"/>
      <c r="CJ3" s="1452"/>
      <c r="CK3" s="1452"/>
      <c r="CL3" s="1452"/>
      <c r="CM3" s="1452"/>
      <c r="CN3" s="1452"/>
      <c r="CO3" s="1452"/>
      <c r="CP3" s="1452"/>
      <c r="CQ3" s="1452"/>
      <c r="CR3" s="1452"/>
      <c r="CS3" s="1452"/>
      <c r="CT3" s="1452"/>
      <c r="CU3" s="1452"/>
      <c r="CV3" s="1452"/>
      <c r="CW3" s="1452"/>
      <c r="CX3" s="1452"/>
      <c r="CY3" s="1452"/>
      <c r="CZ3" s="1452"/>
      <c r="DA3" s="1452"/>
      <c r="DB3" s="1452"/>
      <c r="DC3" s="1452"/>
      <c r="DD3" s="1452"/>
      <c r="DE3" s="1452"/>
      <c r="DF3" s="1452"/>
      <c r="DG3" s="1452"/>
      <c r="DH3" s="1452"/>
      <c r="DI3" s="1453"/>
      <c r="DJ3" s="1453"/>
      <c r="DK3" s="1453"/>
      <c r="DL3" s="1453"/>
    </row>
    <row r="4" spans="1:118" ht="63.75" customHeight="1" x14ac:dyDescent="0.2">
      <c r="C4" s="1454"/>
      <c r="D4" s="1454"/>
      <c r="G4" s="1455" t="str">
        <f>INDEX(Vectors[Descripción], MATCH(G$5,Vectors[Código],FALSE))</f>
        <v>Climatización</v>
      </c>
      <c r="H4" s="1455" t="str">
        <f>INDEX(Vectors[Descripción], MATCH(H$5,Vectors[Código],FALSE))</f>
        <v>Iluminación</v>
      </c>
      <c r="I4" s="1455" t="str">
        <f>INDEX(Vectors[Descripción], MATCH(I$5,Vectors[Código],FALSE))</f>
        <v>Refrigeración</v>
      </c>
      <c r="J4" s="1455" t="str">
        <f>INDEX(Vectors[Descripción], MATCH(J$5,Vectors[Código],FALSE))</f>
        <v>ACS</v>
      </c>
      <c r="K4" s="1455" t="str">
        <f>INDEX(Vectors[Descripción], MATCH(K$5,Vectors[Código],FALSE))</f>
        <v>Cocción</v>
      </c>
      <c r="L4" s="1455" t="str">
        <f>INDEX(Vectors[Descripción], MATCH(L$5,Vectors[Código],FALSE))</f>
        <v>Otros Electrodomésticos</v>
      </c>
      <c r="M4" s="1455" t="str">
        <f>INDEX(Vectors[Descripción], MATCH(M$5,Vectors[Código],FALSE))</f>
        <v>Industria y minería</v>
      </c>
      <c r="N4" s="1455" t="str">
        <f>INDEX(Vectors[Descripción], MATCH(N$5,Vectors[Código],FALSE))</f>
        <v>Transporte pasajeros caminero Urbano</v>
      </c>
      <c r="O4" s="1455" t="str">
        <f>INDEX(Vectors[Descripción], MATCH(O$5,Vectors[Código],FALSE))</f>
        <v>Transporte pasajeros caminero Interurbano</v>
      </c>
      <c r="P4" s="1455" t="str">
        <f>INDEX(Vectors[Descripción], MATCH(P$5,Vectors[Código],FALSE))</f>
        <v>Transporte pasajeros ferroviario Urbano</v>
      </c>
      <c r="Q4" s="1455" t="str">
        <f>INDEX(Vectors[Descripción], MATCH(Q$5,Vectors[Código],FALSE))</f>
        <v>Transporte pasajeros ferroviario Interurbano</v>
      </c>
      <c r="R4" s="1455" t="str">
        <f>INDEX(Vectors[Descripción], MATCH(R$5,Vectors[Código],FALSE))</f>
        <v>Transporte pasajeros Aéreo Interurbano</v>
      </c>
      <c r="S4" s="1455" t="str">
        <f>INDEX(Vectors[Descripción], MATCH(S$5,Vectors[Código],FALSE))</f>
        <v>Transporte de carga caminero Urbano</v>
      </c>
      <c r="T4" s="1455" t="str">
        <f>INDEX(Vectors[Descripción], MATCH(T$5,Vectors[Código],FALSE))</f>
        <v>Transporte de carga caminero Interurbano</v>
      </c>
      <c r="U4" s="1455" t="str">
        <f>INDEX(Vectors[Descripción], MATCH(U$5,Vectors[Código],FALSE))</f>
        <v>Transporte de carga ferroviario</v>
      </c>
      <c r="V4" s="1455" t="str">
        <f>INDEX(Vectors[Descripción], MATCH(V$5,Vectors[Código],FALSE))</f>
        <v>Transporte de carga maritimo</v>
      </c>
      <c r="W4" s="3169" t="s">
        <v>2218</v>
      </c>
      <c r="Y4" s="1456" t="str">
        <f>INDEX(Vectors[Descripción], MATCH(Y$5,Vectors[Código],FALSE))</f>
        <v>Electricidad (consumo final)</v>
      </c>
      <c r="Z4" s="1456" t="str">
        <f>INDEX(Vectors[Descripción], MATCH(Z5,Vectors[Código],FALSE))</f>
        <v>Electricidad (suministrada a la red)</v>
      </c>
      <c r="AA4" s="1456" t="str">
        <f>INDEX(Vectors[Descripción], MATCH(AA5,Vectors[Código],FALSE))</f>
        <v>Hidrocarburo Sólido</v>
      </c>
      <c r="AB4" s="1456" t="str">
        <f>INDEX(Vectors[Descripción], MATCH(AB5,Vectors[Código],FALSE))</f>
        <v>Hidrocarburo Líquido</v>
      </c>
      <c r="AC4" s="1456" t="str">
        <f>INDEX(Vectors[Descripción], MATCH(AC5,Vectors[Código],FALSE))</f>
        <v>Hidrocarburo Gaseoso</v>
      </c>
      <c r="AD4" s="1456" t="str">
        <f>INDEX(Vectors[Descripción], MATCH(AD5,Vectors[Código],FALSE))</f>
        <v>Carbón y  residuos fósiles</v>
      </c>
      <c r="AE4" s="1456" t="str">
        <f>INDEX(Vectors[Descripción], MATCH(AE5,Vectors[Código],FALSE))</f>
        <v>Derivados del petróleo</v>
      </c>
      <c r="AF4" s="1456" t="str">
        <f>INDEX(Vectors[Descripción], MATCH(AF5,Vectors[Código],FALSE))</f>
        <v>Gas Natural</v>
      </c>
      <c r="AG4" s="1456" t="str">
        <f>INDEX(Vectors[Descripción], MATCH(AG5,Vectors[Código],FALSE))</f>
        <v>Blast furnace gas</v>
      </c>
      <c r="AH4" s="1456" t="str">
        <f>INDEX(Vectors[Descripción], MATCH(AH5,Vectors[Código],FALSE))</f>
        <v>Heat transport</v>
      </c>
      <c r="AI4" s="1456" t="str">
        <f>INDEX(Vectors[Descripción], MATCH(AI5,Vectors[Código],FALSE))</f>
        <v>Biomasa comestible</v>
      </c>
      <c r="AJ4" s="1456" t="str">
        <f>INDEX(Vectors[Descripción], MATCH(AJ5,Vectors[Código],FALSE))</f>
        <v>Cultivos para Energía (segunda generación)</v>
      </c>
      <c r="AK4" s="1456" t="str">
        <f>INDEX(Vectors[Descripción], MATCH(AK5,Vectors[Código],FALSE))</f>
        <v>Cultivos para Energía (primera generación)</v>
      </c>
      <c r="AL4" s="1456" t="str">
        <f>INDEX(Vectors[Descripción], MATCH(AL5,Vectors[Código],FALSE))</f>
        <v>Biomasa</v>
      </c>
      <c r="AM4" s="1456" t="str">
        <f>INDEX(Vectors[Descripción], MATCH(AM5,Vectors[Código],FALSE))</f>
        <v>Biomasa seca y residuos</v>
      </c>
      <c r="AN4" s="1456" t="str">
        <f>INDEX(Vectors[Descripción], MATCH(AN5,Vectors[Código],FALSE))</f>
        <v>Residuos gaseosos</v>
      </c>
      <c r="AO4" s="1456" t="str">
        <f>INDEX(Vectors[Descripción], MATCH(AO5,Vectors[Código],FALSE))</f>
        <v>Solar para uso térmico domestico</v>
      </c>
      <c r="AP4" s="1456" t="str">
        <f>INDEX(Vectors[Descripción], MATCH(AP5,Vectors[Código],FALSE))</f>
        <v>H2</v>
      </c>
      <c r="AQ4" s="3170" t="s">
        <v>976</v>
      </c>
      <c r="AS4" s="1457" t="str">
        <f>INDEX(Vectors[Descripción], MATCH(AS5,Vectors[Código],FALSE))</f>
        <v>Reservas de Carbón</v>
      </c>
      <c r="AT4" s="1457" t="str">
        <f>INDEX(Vectors[Descripción], MATCH(AT5,Vectors[Código],FALSE))</f>
        <v>Reservas de Petroleo</v>
      </c>
      <c r="AU4" s="1457" t="str">
        <f>INDEX(Vectors[Descripción], MATCH(AU5,Vectors[Código],FALSE))</f>
        <v>Reservas de Gas</v>
      </c>
      <c r="AV4" s="1457" t="str">
        <f>INDEX(Vectors[Descripción], MATCH(AV5,Vectors[Código],FALSE))</f>
        <v>Biomasa sobreoferta  (importada)</v>
      </c>
      <c r="AW4" s="1457" t="str">
        <f>INDEX(Vectors[Descripción], MATCH(AW5,Vectors[Código],FALSE))</f>
        <v>Electricidad sobreoferta  (importada)</v>
      </c>
      <c r="AX4" s="1457" t="str">
        <f>INDEX(Vectors[Descripción], MATCH(AX5,Vectors[Código],FALSE))</f>
        <v xml:space="preserve">Dervidados del Petroleo sobreoferta </v>
      </c>
      <c r="AY4" s="1457" t="str">
        <f>INDEX(Vectors[Descripción], MATCH(AY5,Vectors[Código],FALSE))</f>
        <v>Carbón sobreoferta  (importada)</v>
      </c>
      <c r="AZ4" s="1457" t="str">
        <f>INDEX(Vectors[Descripción], MATCH(AZ5,Vectors[Código],FALSE))</f>
        <v>Carbón sobreoferta  (importada)</v>
      </c>
      <c r="BA4" s="1457">
        <f>INDEX(Vectors[Descripción], MATCH(BA5,Vectors[Código],FALSE))</f>
        <v>0</v>
      </c>
      <c r="BB4" s="1457" t="str">
        <f>INDEX(Vectors[Descripción], MATCH(BB5,Vectors[Código],FALSE))</f>
        <v>Fisión nuclear</v>
      </c>
      <c r="BC4" s="1457" t="str">
        <f>INDEX(Vectors[Descripción], MATCH(BC5,Vectors[Código],FALSE))</f>
        <v>Solar</v>
      </c>
      <c r="BD4" s="1457" t="str">
        <f>INDEX(Vectors[Descripción], MATCH(BD5,Vectors[Código],FALSE))</f>
        <v>Viento</v>
      </c>
      <c r="BE4" s="1457" t="str">
        <f>INDEX(Vectors[Descripción], MATCH(BE5,Vectors[Código],FALSE))</f>
        <v>Mareomotriz</v>
      </c>
      <c r="BF4" s="1457" t="str">
        <f>INDEX(Vectors[Descripción], MATCH(BF5,Vectors[Código],FALSE))</f>
        <v>Undimotriz</v>
      </c>
      <c r="BG4" s="1457" t="str">
        <f>INDEX(Vectors[Descripción], MATCH(BG5,Vectors[Código],FALSE))</f>
        <v>Geotermia</v>
      </c>
      <c r="BH4" s="1457" t="str">
        <f>INDEX(Vectors[Descripción], MATCH(BH5,Vectors[Código],FALSE))</f>
        <v>Hidro</v>
      </c>
      <c r="BI4" s="1457" t="str">
        <f>INDEX(Vectors[Descripción], MATCH(BI5,Vectors[Código],FALSE))</f>
        <v>Almacenamiento</v>
      </c>
      <c r="BJ4" s="1457" t="str">
        <f>INDEX(Vectors[Descripción], MATCH(BJ5,Vectors[Código],FALSE))</f>
        <v>Agropecuario</v>
      </c>
      <c r="BK4" s="1457" t="str">
        <f>INDEX(Vectors[Descripción], MATCH(BK5,Vectors[Código],FALSE))</f>
        <v>Residuos</v>
      </c>
      <c r="BL4" s="3171" t="s">
        <v>977</v>
      </c>
      <c r="BN4" s="1458" t="str">
        <f>INDEX(Vectors[Descripción], MATCH(BN5,Vectors[Código],FALSE))</f>
        <v>Perdidas por conversión</v>
      </c>
      <c r="BO4" s="1458" t="str">
        <f>INDEX(Vectors[Descripción], MATCH(BO5,Vectors[Código],FALSE))</f>
        <v>Perdidas por distribución y uso propio</v>
      </c>
      <c r="BP4" s="3172" t="s">
        <v>978</v>
      </c>
      <c r="BR4" s="1459"/>
      <c r="BS4" s="1459"/>
      <c r="BU4" s="1460" t="s">
        <v>720</v>
      </c>
      <c r="BV4" s="1461"/>
      <c r="BW4" s="1461"/>
      <c r="BX4" s="1462"/>
      <c r="BY4" s="1460" t="s">
        <v>722</v>
      </c>
      <c r="BZ4" s="1461"/>
      <c r="CA4" s="1461"/>
      <c r="CB4" s="1462"/>
      <c r="CC4" s="1460" t="s">
        <v>723</v>
      </c>
      <c r="CD4" s="1461"/>
      <c r="CE4" s="1461"/>
      <c r="CF4" s="1462"/>
      <c r="CG4" s="1460" t="s">
        <v>724</v>
      </c>
      <c r="CH4" s="1461"/>
      <c r="CI4" s="1461"/>
      <c r="CJ4" s="1462"/>
      <c r="CK4" s="1460" t="s">
        <v>544</v>
      </c>
      <c r="CL4" s="1461"/>
      <c r="CM4" s="1461"/>
      <c r="CN4" s="1462"/>
      <c r="CO4" s="1460" t="s">
        <v>725</v>
      </c>
      <c r="CP4" s="1461"/>
      <c r="CQ4" s="1461"/>
      <c r="CR4" s="1462"/>
      <c r="CS4" s="1460" t="s">
        <v>545</v>
      </c>
      <c r="CT4" s="1461"/>
      <c r="CU4" s="1461"/>
      <c r="CV4" s="1462"/>
      <c r="CW4" s="1460" t="s">
        <v>726</v>
      </c>
      <c r="CX4" s="1461"/>
      <c r="CY4" s="1461"/>
      <c r="CZ4" s="1462"/>
      <c r="DA4" s="1460" t="s">
        <v>728</v>
      </c>
      <c r="DB4" s="1461"/>
      <c r="DC4" s="1461"/>
      <c r="DD4" s="1462"/>
      <c r="DE4" s="1460" t="s">
        <v>730</v>
      </c>
      <c r="DF4" s="1461"/>
      <c r="DG4" s="1461"/>
      <c r="DH4" s="1462"/>
      <c r="DI4" s="1460" t="s">
        <v>732</v>
      </c>
      <c r="DJ4" s="1461"/>
      <c r="DK4" s="1461"/>
      <c r="DL4" s="1462"/>
      <c r="DN4" s="1463" t="s">
        <v>118</v>
      </c>
    </row>
    <row r="5" spans="1:118" x14ac:dyDescent="0.2">
      <c r="D5" s="1464" t="s">
        <v>40</v>
      </c>
      <c r="G5" s="1465" t="s">
        <v>454</v>
      </c>
      <c r="H5" s="1465" t="s">
        <v>1007</v>
      </c>
      <c r="I5" s="1465" t="s">
        <v>1008</v>
      </c>
      <c r="J5" s="1465" t="s">
        <v>1009</v>
      </c>
      <c r="K5" s="1465" t="s">
        <v>1010</v>
      </c>
      <c r="L5" s="1465" t="s">
        <v>1011</v>
      </c>
      <c r="M5" s="1465" t="s">
        <v>453</v>
      </c>
      <c r="N5" s="1465" t="s">
        <v>447</v>
      </c>
      <c r="O5" s="1465" t="s">
        <v>448</v>
      </c>
      <c r="P5" s="1465" t="s">
        <v>449</v>
      </c>
      <c r="Q5" s="1465" t="s">
        <v>450</v>
      </c>
      <c r="R5" s="1465" t="s">
        <v>451</v>
      </c>
      <c r="S5" s="1465" t="s">
        <v>452</v>
      </c>
      <c r="T5" s="1465" t="s">
        <v>984</v>
      </c>
      <c r="U5" s="1465" t="s">
        <v>985</v>
      </c>
      <c r="V5" s="1465" t="s">
        <v>986</v>
      </c>
      <c r="W5" s="1465"/>
      <c r="Y5" s="1466" t="s">
        <v>149</v>
      </c>
      <c r="Z5" s="1466" t="s">
        <v>150</v>
      </c>
      <c r="AA5" s="1466" t="s">
        <v>330</v>
      </c>
      <c r="AB5" s="1466" t="s">
        <v>333</v>
      </c>
      <c r="AC5" s="1466" t="s">
        <v>335</v>
      </c>
      <c r="AD5" s="1466" t="s">
        <v>467</v>
      </c>
      <c r="AE5" s="1466" t="s">
        <v>468</v>
      </c>
      <c r="AF5" s="1466" t="s">
        <v>469</v>
      </c>
      <c r="AG5" s="1466" t="s">
        <v>470</v>
      </c>
      <c r="AH5" s="1466" t="s">
        <v>471</v>
      </c>
      <c r="AI5" s="1466" t="s">
        <v>472</v>
      </c>
      <c r="AJ5" s="1466" t="s">
        <v>709</v>
      </c>
      <c r="AK5" s="1466" t="s">
        <v>804</v>
      </c>
      <c r="AL5" s="1466" t="s">
        <v>473</v>
      </c>
      <c r="AM5" s="1466" t="s">
        <v>474</v>
      </c>
      <c r="AN5" s="1466" t="s">
        <v>805</v>
      </c>
      <c r="AO5" s="1466" t="s">
        <v>475</v>
      </c>
      <c r="AP5" s="1466" t="s">
        <v>630</v>
      </c>
      <c r="AQ5" s="1466"/>
      <c r="AS5" s="1467" t="s">
        <v>464</v>
      </c>
      <c r="AT5" s="1467" t="s">
        <v>465</v>
      </c>
      <c r="AU5" s="1467" t="s">
        <v>466</v>
      </c>
      <c r="AV5" s="1467" t="s">
        <v>458</v>
      </c>
      <c r="AW5" s="1467" t="s">
        <v>459</v>
      </c>
      <c r="AX5" s="1467" t="s">
        <v>460</v>
      </c>
      <c r="AY5" s="1467" t="s">
        <v>461</v>
      </c>
      <c r="AZ5" s="1467" t="s">
        <v>462</v>
      </c>
      <c r="BA5" s="1467" t="s">
        <v>463</v>
      </c>
      <c r="BB5" s="1467" t="s">
        <v>157</v>
      </c>
      <c r="BC5" s="1467" t="s">
        <v>315</v>
      </c>
      <c r="BD5" s="1467" t="s">
        <v>218</v>
      </c>
      <c r="BE5" s="1467" t="s">
        <v>285</v>
      </c>
      <c r="BF5" s="1467" t="s">
        <v>286</v>
      </c>
      <c r="BG5" s="1467" t="s">
        <v>302</v>
      </c>
      <c r="BH5" s="1467" t="s">
        <v>249</v>
      </c>
      <c r="BI5" s="1467" t="s">
        <v>455</v>
      </c>
      <c r="BJ5" s="1467" t="s">
        <v>456</v>
      </c>
      <c r="BK5" s="1467" t="s">
        <v>457</v>
      </c>
      <c r="BL5" s="1467"/>
      <c r="BN5" s="1468" t="s">
        <v>184</v>
      </c>
      <c r="BO5" s="1468" t="s">
        <v>185</v>
      </c>
      <c r="BP5" s="1468"/>
      <c r="BR5" s="3173" t="s">
        <v>1017</v>
      </c>
      <c r="BS5" s="1469"/>
      <c r="BU5" s="1470" t="s">
        <v>399</v>
      </c>
      <c r="BV5" s="1471" t="s">
        <v>399</v>
      </c>
      <c r="BW5" s="1471" t="s">
        <v>399</v>
      </c>
      <c r="BX5" s="1472" t="s">
        <v>399</v>
      </c>
      <c r="BY5" s="1470" t="s">
        <v>721</v>
      </c>
      <c r="BZ5" s="1471" t="s">
        <v>721</v>
      </c>
      <c r="CA5" s="1471" t="s">
        <v>721</v>
      </c>
      <c r="CB5" s="1472" t="s">
        <v>721</v>
      </c>
      <c r="CC5" s="1470">
        <v>2</v>
      </c>
      <c r="CD5" s="1471">
        <v>2</v>
      </c>
      <c r="CE5" s="1471">
        <v>2</v>
      </c>
      <c r="CF5" s="1472">
        <v>2</v>
      </c>
      <c r="CG5" s="1470">
        <v>3</v>
      </c>
      <c r="CH5" s="1471">
        <v>3</v>
      </c>
      <c r="CI5" s="1471">
        <v>3</v>
      </c>
      <c r="CJ5" s="1472">
        <v>3</v>
      </c>
      <c r="CK5" s="1470">
        <v>4</v>
      </c>
      <c r="CL5" s="1471">
        <v>4</v>
      </c>
      <c r="CM5" s="1471">
        <v>4</v>
      </c>
      <c r="CN5" s="1472">
        <v>4</v>
      </c>
      <c r="CO5" s="1470">
        <v>5</v>
      </c>
      <c r="CP5" s="1471">
        <v>5</v>
      </c>
      <c r="CQ5" s="1471">
        <v>5</v>
      </c>
      <c r="CR5" s="1472">
        <v>5</v>
      </c>
      <c r="CS5" s="1470">
        <v>6</v>
      </c>
      <c r="CT5" s="1471">
        <v>6</v>
      </c>
      <c r="CU5" s="1471">
        <v>6</v>
      </c>
      <c r="CV5" s="1472">
        <v>6</v>
      </c>
      <c r="CW5" s="1470">
        <v>7</v>
      </c>
      <c r="CX5" s="1471">
        <v>7</v>
      </c>
      <c r="CY5" s="1471">
        <v>7</v>
      </c>
      <c r="CZ5" s="1472">
        <v>7</v>
      </c>
      <c r="DA5" s="1470" t="s">
        <v>727</v>
      </c>
      <c r="DB5" s="1471" t="s">
        <v>727</v>
      </c>
      <c r="DC5" s="1471" t="s">
        <v>727</v>
      </c>
      <c r="DD5" s="1472" t="s">
        <v>727</v>
      </c>
      <c r="DE5" s="1470" t="s">
        <v>729</v>
      </c>
      <c r="DF5" s="1471" t="s">
        <v>729</v>
      </c>
      <c r="DG5" s="1471" t="s">
        <v>729</v>
      </c>
      <c r="DH5" s="1472" t="s">
        <v>729</v>
      </c>
      <c r="DI5" s="1470" t="s">
        <v>731</v>
      </c>
      <c r="DJ5" s="1471" t="s">
        <v>731</v>
      </c>
      <c r="DK5" s="1471" t="s">
        <v>731</v>
      </c>
      <c r="DL5" s="1472" t="s">
        <v>731</v>
      </c>
    </row>
    <row r="6" spans="1:118" ht="15.75" customHeight="1" x14ac:dyDescent="0.2">
      <c r="G6" s="1473"/>
      <c r="H6" s="1473"/>
      <c r="I6" s="1473"/>
      <c r="J6" s="1473"/>
      <c r="K6" s="1473"/>
      <c r="L6" s="1473"/>
      <c r="M6" s="1473"/>
      <c r="N6" s="1473"/>
      <c r="O6" s="1474"/>
      <c r="P6" s="1473"/>
      <c r="Q6" s="1473"/>
      <c r="R6" s="1473"/>
      <c r="S6" s="1473"/>
      <c r="T6" s="1473"/>
      <c r="U6" s="1473"/>
      <c r="V6" s="1473"/>
      <c r="W6" s="1473"/>
      <c r="Y6" s="1475"/>
      <c r="Z6" s="1475"/>
      <c r="AA6" s="1475"/>
      <c r="AB6" s="1475"/>
      <c r="AC6" s="1475"/>
      <c r="AD6" s="1475"/>
      <c r="AE6" s="1475"/>
      <c r="AF6" s="1475"/>
      <c r="AG6" s="1475"/>
      <c r="AH6" s="1475"/>
      <c r="AI6" s="1475"/>
      <c r="AJ6" s="1475"/>
      <c r="AK6" s="1475"/>
      <c r="AL6" s="1475"/>
      <c r="AM6" s="1475"/>
      <c r="AN6" s="1475"/>
      <c r="AO6" s="1475"/>
      <c r="AP6" s="1475"/>
      <c r="AQ6" s="1475"/>
      <c r="AS6" s="1476"/>
      <c r="AT6" s="1476"/>
      <c r="AU6" s="1476"/>
      <c r="AV6" s="1476"/>
      <c r="AW6" s="1476"/>
      <c r="AX6" s="1476"/>
      <c r="AY6" s="1476"/>
      <c r="AZ6" s="1476"/>
      <c r="BA6" s="1476"/>
      <c r="BB6" s="1476"/>
      <c r="BC6" s="1476"/>
      <c r="BD6" s="1476"/>
      <c r="BE6" s="1476"/>
      <c r="BF6" s="1476"/>
      <c r="BG6" s="1476"/>
      <c r="BH6" s="1476"/>
      <c r="BI6" s="1476"/>
      <c r="BJ6" s="1476"/>
      <c r="BK6" s="1476"/>
      <c r="BL6" s="1476"/>
      <c r="BN6" s="1477"/>
      <c r="BO6" s="1477"/>
      <c r="BP6" s="1477"/>
      <c r="BR6" s="1956"/>
      <c r="BS6" s="1478"/>
      <c r="BU6" s="1479" t="s">
        <v>398</v>
      </c>
      <c r="BV6" s="1479" t="s">
        <v>400</v>
      </c>
      <c r="BW6" s="1479" t="s">
        <v>401</v>
      </c>
      <c r="BX6" s="1479" t="s">
        <v>806</v>
      </c>
      <c r="BY6" s="1479" t="s">
        <v>398</v>
      </c>
      <c r="BZ6" s="1479" t="s">
        <v>400</v>
      </c>
      <c r="CA6" s="1479" t="s">
        <v>401</v>
      </c>
      <c r="CB6" s="1479" t="s">
        <v>806</v>
      </c>
      <c r="CC6" s="1479" t="s">
        <v>398</v>
      </c>
      <c r="CD6" s="1479" t="s">
        <v>400</v>
      </c>
      <c r="CE6" s="1479" t="s">
        <v>401</v>
      </c>
      <c r="CF6" s="1479" t="s">
        <v>806</v>
      </c>
      <c r="CG6" s="1479" t="s">
        <v>398</v>
      </c>
      <c r="CH6" s="1479" t="s">
        <v>400</v>
      </c>
      <c r="CI6" s="1479" t="s">
        <v>401</v>
      </c>
      <c r="CJ6" s="1479" t="s">
        <v>806</v>
      </c>
      <c r="CK6" s="1479" t="s">
        <v>398</v>
      </c>
      <c r="CL6" s="1479" t="s">
        <v>400</v>
      </c>
      <c r="CM6" s="1479" t="s">
        <v>401</v>
      </c>
      <c r="CN6" s="1479" t="s">
        <v>806</v>
      </c>
      <c r="CO6" s="1479" t="s">
        <v>398</v>
      </c>
      <c r="CP6" s="1479" t="s">
        <v>400</v>
      </c>
      <c r="CQ6" s="1479" t="s">
        <v>401</v>
      </c>
      <c r="CR6" s="1479" t="s">
        <v>806</v>
      </c>
      <c r="CS6" s="1479" t="s">
        <v>398</v>
      </c>
      <c r="CT6" s="1479" t="s">
        <v>400</v>
      </c>
      <c r="CU6" s="1479" t="s">
        <v>401</v>
      </c>
      <c r="CV6" s="1479" t="s">
        <v>806</v>
      </c>
      <c r="CW6" s="1479" t="s">
        <v>398</v>
      </c>
      <c r="CX6" s="1479" t="s">
        <v>400</v>
      </c>
      <c r="CY6" s="1479" t="s">
        <v>401</v>
      </c>
      <c r="CZ6" s="1479" t="s">
        <v>806</v>
      </c>
      <c r="DA6" s="1479" t="s">
        <v>398</v>
      </c>
      <c r="DB6" s="1479" t="s">
        <v>400</v>
      </c>
      <c r="DC6" s="1479" t="s">
        <v>401</v>
      </c>
      <c r="DD6" s="1479" t="s">
        <v>806</v>
      </c>
      <c r="DE6" s="1479" t="s">
        <v>398</v>
      </c>
      <c r="DF6" s="1479" t="s">
        <v>400</v>
      </c>
      <c r="DG6" s="1479" t="s">
        <v>401</v>
      </c>
      <c r="DH6" s="1479" t="s">
        <v>806</v>
      </c>
      <c r="DI6" s="1479" t="s">
        <v>398</v>
      </c>
      <c r="DJ6" s="1479" t="s">
        <v>400</v>
      </c>
      <c r="DK6" s="1479" t="s">
        <v>401</v>
      </c>
      <c r="DL6" s="1479" t="s">
        <v>806</v>
      </c>
    </row>
    <row r="7" spans="1:118" ht="18" customHeight="1" x14ac:dyDescent="0.2">
      <c r="C7" s="1480" t="s">
        <v>405</v>
      </c>
      <c r="D7" s="1480"/>
      <c r="E7" s="1481"/>
      <c r="G7" s="1482"/>
      <c r="H7" s="1482"/>
      <c r="I7" s="1482"/>
      <c r="J7" s="1482"/>
      <c r="K7" s="1482"/>
      <c r="L7" s="1482"/>
      <c r="M7" s="1482"/>
      <c r="N7" s="1482"/>
      <c r="O7" s="1482"/>
      <c r="P7" s="1482"/>
      <c r="Q7" s="1482"/>
      <c r="R7" s="1482"/>
      <c r="S7" s="1482"/>
      <c r="T7" s="1482"/>
      <c r="U7" s="1482"/>
      <c r="V7" s="1482"/>
      <c r="W7" s="1482"/>
      <c r="Y7" s="1483"/>
      <c r="Z7" s="1483"/>
      <c r="AA7" s="1483"/>
      <c r="AB7" s="1483"/>
      <c r="AC7" s="1483"/>
      <c r="AD7" s="1483"/>
      <c r="AE7" s="1483"/>
      <c r="AF7" s="1483"/>
      <c r="AG7" s="1483"/>
      <c r="AH7" s="1483"/>
      <c r="AI7" s="1483"/>
      <c r="AJ7" s="1483"/>
      <c r="AK7" s="1483"/>
      <c r="AL7" s="1483"/>
      <c r="AM7" s="1483"/>
      <c r="AN7" s="1483"/>
      <c r="AO7" s="1483"/>
      <c r="AP7" s="1483"/>
      <c r="AQ7" s="1483"/>
      <c r="AS7" s="1484"/>
      <c r="AT7" s="1484"/>
      <c r="AU7" s="1484"/>
      <c r="AV7" s="1484"/>
      <c r="AW7" s="1484"/>
      <c r="AX7" s="1484"/>
      <c r="AY7" s="1484"/>
      <c r="AZ7" s="1484"/>
      <c r="BA7" s="1484"/>
      <c r="BB7" s="1484"/>
      <c r="BC7" s="1484"/>
      <c r="BD7" s="1484"/>
      <c r="BE7" s="1484"/>
      <c r="BF7" s="1484"/>
      <c r="BG7" s="1484"/>
      <c r="BH7" s="1484"/>
      <c r="BI7" s="1484"/>
      <c r="BJ7" s="1484"/>
      <c r="BK7" s="1484"/>
      <c r="BL7" s="1484"/>
      <c r="BN7" s="1485"/>
      <c r="BO7" s="1485"/>
      <c r="BP7" s="1485"/>
      <c r="BR7" s="3168">
        <f t="shared" ref="BR7:BR14" si="0">W7+AQ7+BL7+BP7</f>
        <v>0</v>
      </c>
      <c r="BS7" s="1486"/>
      <c r="BU7" s="1487"/>
      <c r="BV7" s="1487"/>
      <c r="BW7" s="1487"/>
      <c r="BX7" s="1487"/>
      <c r="BY7" s="1487"/>
      <c r="BZ7" s="1487"/>
      <c r="CA7" s="1487"/>
      <c r="CB7" s="1487"/>
      <c r="CC7" s="1487"/>
      <c r="CD7" s="1487"/>
      <c r="CE7" s="1487"/>
      <c r="CF7" s="1487"/>
      <c r="CG7" s="1487"/>
      <c r="CH7" s="1487"/>
      <c r="CI7" s="1487"/>
      <c r="CJ7" s="1487"/>
      <c r="CK7" s="1487"/>
      <c r="CL7" s="1487"/>
      <c r="CM7" s="1487"/>
      <c r="CN7" s="1487"/>
      <c r="CO7" s="1487"/>
      <c r="CP7" s="1487"/>
      <c r="CQ7" s="1487"/>
      <c r="CR7" s="1487"/>
      <c r="CS7" s="1487"/>
      <c r="CT7" s="1487"/>
      <c r="CU7" s="1487"/>
      <c r="CV7" s="1487"/>
      <c r="CW7" s="1487"/>
      <c r="CX7" s="1487"/>
      <c r="CY7" s="1487"/>
      <c r="CZ7" s="1487"/>
      <c r="DA7" s="1487"/>
      <c r="DB7" s="1487"/>
      <c r="DC7" s="1487"/>
      <c r="DD7" s="1487"/>
      <c r="DE7" s="1487"/>
      <c r="DF7" s="1487"/>
      <c r="DG7" s="1487"/>
      <c r="DH7" s="1487"/>
      <c r="DI7" s="1487"/>
      <c r="DJ7" s="1487"/>
      <c r="DK7" s="1487"/>
      <c r="DL7" s="1487"/>
    </row>
    <row r="8" spans="1:118" ht="12.75" customHeight="1" outlineLevel="1" x14ac:dyDescent="0.2">
      <c r="G8" s="1488"/>
      <c r="H8" s="1488"/>
      <c r="I8" s="1488"/>
      <c r="J8" s="1488"/>
      <c r="K8" s="1488"/>
      <c r="L8" s="1488"/>
      <c r="M8" s="1488"/>
      <c r="N8" s="1488"/>
      <c r="O8" s="1489"/>
      <c r="P8" s="1488"/>
      <c r="Q8" s="1488"/>
      <c r="R8" s="1488"/>
      <c r="S8" s="1488"/>
      <c r="T8" s="1488"/>
      <c r="U8" s="1488"/>
      <c r="V8" s="1488"/>
      <c r="W8" s="1488"/>
      <c r="Y8" s="1490"/>
      <c r="Z8" s="1490"/>
      <c r="AA8" s="1490"/>
      <c r="AB8" s="1490"/>
      <c r="AC8" s="1490"/>
      <c r="AD8" s="1490"/>
      <c r="AE8" s="1490"/>
      <c r="AF8" s="1490"/>
      <c r="AG8" s="1490"/>
      <c r="AH8" s="1490"/>
      <c r="AI8" s="1490"/>
      <c r="AJ8" s="1490"/>
      <c r="AK8" s="1490"/>
      <c r="AL8" s="1490"/>
      <c r="AM8" s="1490"/>
      <c r="AN8" s="1490"/>
      <c r="AO8" s="1490"/>
      <c r="AP8" s="1490"/>
      <c r="AQ8" s="1490"/>
      <c r="AS8" s="1491"/>
      <c r="AT8" s="1491"/>
      <c r="AU8" s="1491"/>
      <c r="AV8" s="1491"/>
      <c r="AW8" s="1491"/>
      <c r="AX8" s="1491"/>
      <c r="AY8" s="1491"/>
      <c r="AZ8" s="1491"/>
      <c r="BA8" s="1491"/>
      <c r="BB8" s="1491"/>
      <c r="BC8" s="1491"/>
      <c r="BD8" s="1491"/>
      <c r="BE8" s="1491"/>
      <c r="BF8" s="1491"/>
      <c r="BG8" s="1491"/>
      <c r="BH8" s="1491"/>
      <c r="BI8" s="1491"/>
      <c r="BJ8" s="1491"/>
      <c r="BK8" s="1491"/>
      <c r="BL8" s="1491"/>
      <c r="BN8" s="1492"/>
      <c r="BO8" s="1492"/>
      <c r="BP8" s="1492"/>
      <c r="BR8" s="3168">
        <f t="shared" si="0"/>
        <v>0</v>
      </c>
      <c r="BS8" s="1493"/>
      <c r="BU8" s="1494"/>
      <c r="BV8" s="1494"/>
      <c r="BW8" s="1494"/>
      <c r="BX8" s="1494"/>
      <c r="BY8" s="1494"/>
      <c r="BZ8" s="1494"/>
      <c r="CA8" s="1494"/>
      <c r="CB8" s="1494"/>
      <c r="CC8" s="1494"/>
      <c r="CD8" s="1494"/>
      <c r="CE8" s="1494"/>
      <c r="CF8" s="1494"/>
      <c r="CG8" s="1494"/>
      <c r="CH8" s="1494"/>
      <c r="CI8" s="1494"/>
      <c r="CJ8" s="1494"/>
      <c r="CK8" s="1494"/>
      <c r="CL8" s="1494"/>
      <c r="CM8" s="1494"/>
      <c r="CN8" s="1494"/>
      <c r="CO8" s="1494"/>
      <c r="CP8" s="1494"/>
      <c r="CQ8" s="1494"/>
      <c r="CR8" s="1494"/>
      <c r="CS8" s="1494"/>
      <c r="CT8" s="1494"/>
      <c r="CU8" s="1494"/>
      <c r="CV8" s="1494"/>
      <c r="CW8" s="1494"/>
      <c r="CX8" s="1494"/>
      <c r="CY8" s="1494"/>
      <c r="CZ8" s="1494"/>
      <c r="DA8" s="1494"/>
      <c r="DB8" s="1494"/>
      <c r="DC8" s="1494"/>
      <c r="DD8" s="1494"/>
      <c r="DE8" s="1494"/>
      <c r="DF8" s="1494"/>
      <c r="DG8" s="1494"/>
      <c r="DH8" s="1494"/>
      <c r="DI8" s="1494"/>
      <c r="DJ8" s="1494"/>
      <c r="DK8" s="1494"/>
      <c r="DL8" s="1494"/>
    </row>
    <row r="9" spans="1:118" s="14" customFormat="1" ht="10.5" customHeight="1" outlineLevel="2" x14ac:dyDescent="0.2">
      <c r="A9" s="1495"/>
      <c r="B9" s="1495"/>
      <c r="C9" s="1511" t="s">
        <v>86</v>
      </c>
      <c r="D9" s="14" t="str">
        <f>INDEX(Modulos[Modulos], MATCH($C9, Modulos[Código], 0))</f>
        <v>Residencial</v>
      </c>
      <c r="G9" s="1540">
        <f ca="1">IFERROR(INDEX(INDIRECT($C9&amp;".Outputs["&amp;this.Year&amp;"]"), MATCH(G$5, INDIRECT($C9&amp;".Outputs[Vector]"), 0)), 0)</f>
        <v>65.080967028316849</v>
      </c>
      <c r="H9" s="1540">
        <f t="shared" ref="H9:V9" ca="1" si="1">IFERROR(INDEX(INDIRECT($C9&amp;".Outputs["&amp;this.Year&amp;"]"), MATCH(H$5, INDIRECT($C9&amp;".Outputs[Vector]"), 0)), 0)</f>
        <v>3.2367088397741952</v>
      </c>
      <c r="I9" s="1540">
        <f t="shared" ca="1" si="1"/>
        <v>5.7798372138824927</v>
      </c>
      <c r="J9" s="1540">
        <f t="shared" ca="1" si="1"/>
        <v>20.345026992866377</v>
      </c>
      <c r="K9" s="1540">
        <f t="shared" ca="1" si="1"/>
        <v>8.7853525651013875</v>
      </c>
      <c r="L9" s="1540">
        <f t="shared" ca="1" si="1"/>
        <v>12.368851637708536</v>
      </c>
      <c r="M9" s="1540">
        <f t="shared" ca="1" si="1"/>
        <v>0</v>
      </c>
      <c r="N9" s="1540">
        <f t="shared" ca="1" si="1"/>
        <v>0</v>
      </c>
      <c r="O9" s="1540">
        <f t="shared" ca="1" si="1"/>
        <v>0</v>
      </c>
      <c r="P9" s="1540">
        <f t="shared" ca="1" si="1"/>
        <v>0</v>
      </c>
      <c r="Q9" s="1540">
        <f t="shared" ca="1" si="1"/>
        <v>0</v>
      </c>
      <c r="R9" s="1540">
        <f t="shared" ca="1" si="1"/>
        <v>0</v>
      </c>
      <c r="S9" s="1540">
        <f t="shared" ca="1" si="1"/>
        <v>0</v>
      </c>
      <c r="T9" s="1540">
        <f t="shared" ca="1" si="1"/>
        <v>0</v>
      </c>
      <c r="U9" s="1540">
        <f t="shared" ca="1" si="1"/>
        <v>0</v>
      </c>
      <c r="V9" s="1540">
        <f t="shared" ca="1" si="1"/>
        <v>0</v>
      </c>
      <c r="W9" s="1539">
        <f ca="1">SUM(G9:V9)</f>
        <v>115.59674427764983</v>
      </c>
      <c r="Y9" s="1500">
        <f ca="1">IFERROR(INDEX(INDIRECT($C9&amp;".Outputs["&amp;this.Year&amp;"]"), MATCH(Y$5, INDIRECT($C9&amp;".Outputs[Vector]"), 0)), 0)</f>
        <v>-34.981745851600444</v>
      </c>
      <c r="Z9" s="1500">
        <f t="shared" ref="Z9:AP9" ca="1" si="2">IFERROR(INDEX(INDIRECT($C9&amp;".Outputs["&amp;this.Year&amp;"]"), MATCH(Z$5, INDIRECT($C9&amp;".Outputs[Vector]"), 0)), 0)</f>
        <v>0</v>
      </c>
      <c r="AA9" s="1500">
        <f t="shared" ca="1" si="2"/>
        <v>0</v>
      </c>
      <c r="AB9" s="1500">
        <f t="shared" ca="1" si="2"/>
        <v>-14.670750415346136</v>
      </c>
      <c r="AC9" s="1500">
        <f t="shared" ca="1" si="2"/>
        <v>-57.120845529228916</v>
      </c>
      <c r="AD9" s="1500">
        <f t="shared" ca="1" si="2"/>
        <v>0</v>
      </c>
      <c r="AE9" s="1500">
        <f t="shared" ca="1" si="2"/>
        <v>0</v>
      </c>
      <c r="AF9" s="1500">
        <f t="shared" ca="1" si="2"/>
        <v>0</v>
      </c>
      <c r="AG9" s="1500">
        <f t="shared" ca="1" si="2"/>
        <v>0</v>
      </c>
      <c r="AH9" s="1500">
        <f t="shared" ca="1" si="2"/>
        <v>0</v>
      </c>
      <c r="AI9" s="1500">
        <f t="shared" ca="1" si="2"/>
        <v>0</v>
      </c>
      <c r="AJ9" s="1500">
        <f t="shared" ca="1" si="2"/>
        <v>0</v>
      </c>
      <c r="AK9" s="1500">
        <f t="shared" ca="1" si="2"/>
        <v>0</v>
      </c>
      <c r="AL9" s="1500">
        <f ca="1">IFERROR(INDEX(INDIRECT($C9&amp;".Outputs["&amp;this.Year&amp;"]"), MATCH(AL$5, INDIRECT($C9&amp;".Outputs[Vector]"), 0)), 0)</f>
        <v>-8.8234024814743535</v>
      </c>
      <c r="AM9" s="1500">
        <f t="shared" ca="1" si="2"/>
        <v>0</v>
      </c>
      <c r="AN9" s="1500">
        <f t="shared" ca="1" si="2"/>
        <v>0</v>
      </c>
      <c r="AO9" s="1500">
        <f t="shared" ca="1" si="2"/>
        <v>0</v>
      </c>
      <c r="AP9" s="1500">
        <f t="shared" ca="1" si="2"/>
        <v>0</v>
      </c>
      <c r="AQ9" s="1490">
        <f ca="1">SUM(Y9:AP9)</f>
        <v>-115.59674427764983</v>
      </c>
      <c r="AS9" s="1491">
        <f t="shared" ref="AS9:BK9" ca="1" si="3">IFERROR(INDEX(INDIRECT($C9&amp;".Outputs["&amp;this.Year&amp;"]"), MATCH(AS$5, INDIRECT($C9&amp;".Outputs[Vector]"), 0)), 0)</f>
        <v>0</v>
      </c>
      <c r="AT9" s="1491">
        <f t="shared" ca="1" si="3"/>
        <v>0</v>
      </c>
      <c r="AU9" s="1491">
        <f t="shared" ca="1" si="3"/>
        <v>0</v>
      </c>
      <c r="AV9" s="1491">
        <f t="shared" ca="1" si="3"/>
        <v>0</v>
      </c>
      <c r="AW9" s="1491">
        <f t="shared" ca="1" si="3"/>
        <v>0</v>
      </c>
      <c r="AX9" s="1491">
        <f t="shared" ca="1" si="3"/>
        <v>0</v>
      </c>
      <c r="AY9" s="1491">
        <f t="shared" ca="1" si="3"/>
        <v>0</v>
      </c>
      <c r="AZ9" s="1491">
        <f t="shared" ca="1" si="3"/>
        <v>0</v>
      </c>
      <c r="BA9" s="1491">
        <f t="shared" ca="1" si="3"/>
        <v>0</v>
      </c>
      <c r="BB9" s="1491">
        <f t="shared" ca="1" si="3"/>
        <v>0</v>
      </c>
      <c r="BC9" s="1491">
        <f t="shared" ca="1" si="3"/>
        <v>0</v>
      </c>
      <c r="BD9" s="1491">
        <f t="shared" ca="1" si="3"/>
        <v>0</v>
      </c>
      <c r="BE9" s="1491">
        <f t="shared" ca="1" si="3"/>
        <v>0</v>
      </c>
      <c r="BF9" s="1491">
        <f t="shared" ca="1" si="3"/>
        <v>0</v>
      </c>
      <c r="BG9" s="1491">
        <f t="shared" ca="1" si="3"/>
        <v>0</v>
      </c>
      <c r="BH9" s="1491">
        <f t="shared" ca="1" si="3"/>
        <v>0</v>
      </c>
      <c r="BI9" s="1491">
        <f t="shared" ca="1" si="3"/>
        <v>0</v>
      </c>
      <c r="BJ9" s="1491">
        <f t="shared" ca="1" si="3"/>
        <v>0</v>
      </c>
      <c r="BK9" s="1491">
        <f t="shared" ca="1" si="3"/>
        <v>0</v>
      </c>
      <c r="BL9" s="1503">
        <f ca="1">SUM(AS9:BK9)</f>
        <v>0</v>
      </c>
      <c r="BN9" s="1941">
        <f ca="1">IFERROR(INDEX(INDIRECT($C9&amp;".Outputs["&amp;this.Year&amp;"]"), MATCH(BN$5, INDIRECT($C9&amp;".Outputs[Vector]"), 0)), 0)</f>
        <v>0</v>
      </c>
      <c r="BO9" s="1941">
        <f ca="1">IFERROR(INDEX(INDIRECT($C9&amp;".Outputs["&amp;this.Year&amp;"]"), MATCH(BO$5, INDIRECT($C9&amp;".Outputs[Vector]"), 0)), 0)</f>
        <v>0</v>
      </c>
      <c r="BP9" s="1505">
        <f ca="1">BN9+BO9</f>
        <v>0</v>
      </c>
      <c r="BR9" s="3168">
        <f ca="1">W9+AQ9+BL9+BP9</f>
        <v>0</v>
      </c>
      <c r="BS9" s="1506"/>
      <c r="BT9" s="748"/>
      <c r="BU9" s="1507">
        <v>67.291769164453711</v>
      </c>
      <c r="BV9" s="1508">
        <v>0.13655504882378258</v>
      </c>
      <c r="BW9" s="1508">
        <v>0.22513176941521534</v>
      </c>
      <c r="BX9" s="1508">
        <v>0</v>
      </c>
      <c r="BY9" s="1508">
        <v>0</v>
      </c>
      <c r="BZ9" s="1508">
        <v>0</v>
      </c>
      <c r="CA9" s="1508">
        <v>0</v>
      </c>
      <c r="CB9" s="1508">
        <v>0</v>
      </c>
      <c r="CC9" s="1508">
        <v>0</v>
      </c>
      <c r="CD9" s="1508">
        <v>0</v>
      </c>
      <c r="CE9" s="1508">
        <v>0</v>
      </c>
      <c r="CF9" s="1508">
        <v>0</v>
      </c>
      <c r="CG9" s="1508">
        <v>0</v>
      </c>
      <c r="CH9" s="1508">
        <v>0</v>
      </c>
      <c r="CI9" s="1508">
        <v>0</v>
      </c>
      <c r="CJ9" s="1508">
        <v>0</v>
      </c>
      <c r="CK9" s="1508">
        <v>0</v>
      </c>
      <c r="CL9" s="1508">
        <v>0</v>
      </c>
      <c r="CM9" s="1508">
        <v>0</v>
      </c>
      <c r="CN9" s="1508">
        <v>0</v>
      </c>
      <c r="CO9" s="1508">
        <v>0</v>
      </c>
      <c r="CP9" s="1508">
        <v>0</v>
      </c>
      <c r="CQ9" s="1508">
        <v>0</v>
      </c>
      <c r="CR9" s="1508">
        <v>0</v>
      </c>
      <c r="CS9" s="1508">
        <v>0</v>
      </c>
      <c r="CT9" s="1508">
        <v>0</v>
      </c>
      <c r="CU9" s="1508">
        <v>0</v>
      </c>
      <c r="CV9" s="1508">
        <v>0</v>
      </c>
      <c r="CW9" s="1508">
        <v>0</v>
      </c>
      <c r="CX9" s="1508">
        <v>0</v>
      </c>
      <c r="CY9" s="1508">
        <v>0</v>
      </c>
      <c r="CZ9" s="1508">
        <v>0</v>
      </c>
      <c r="DA9" s="1508">
        <v>0</v>
      </c>
      <c r="DB9" s="1508">
        <v>0</v>
      </c>
      <c r="DC9" s="1508">
        <v>0</v>
      </c>
      <c r="DD9" s="1508">
        <v>0</v>
      </c>
      <c r="DE9" s="1508">
        <v>0</v>
      </c>
      <c r="DF9" s="1508">
        <v>0</v>
      </c>
      <c r="DG9" s="1508">
        <v>0</v>
      </c>
      <c r="DH9" s="1508">
        <v>0</v>
      </c>
      <c r="DI9" s="1508">
        <v>0</v>
      </c>
      <c r="DJ9" s="1508">
        <v>0</v>
      </c>
      <c r="DK9" s="1508">
        <v>0</v>
      </c>
      <c r="DL9" s="1508">
        <v>0</v>
      </c>
      <c r="DN9" s="1509"/>
    </row>
    <row r="10" spans="1:118" s="14" customFormat="1" ht="10.5" customHeight="1" outlineLevel="2" x14ac:dyDescent="0.2">
      <c r="A10" s="1510"/>
      <c r="B10" s="1510"/>
      <c r="C10" s="1511"/>
      <c r="D10" s="1510"/>
      <c r="E10" s="1512"/>
      <c r="G10" s="1513"/>
      <c r="H10" s="1513"/>
      <c r="I10" s="1513"/>
      <c r="J10" s="1513"/>
      <c r="K10" s="1513"/>
      <c r="L10" s="1513"/>
      <c r="M10" s="1513"/>
      <c r="N10" s="1513"/>
      <c r="O10" s="1513"/>
      <c r="P10" s="1513"/>
      <c r="Q10" s="1513"/>
      <c r="R10" s="1513"/>
      <c r="S10" s="1513"/>
      <c r="T10" s="1513"/>
      <c r="U10" s="1513"/>
      <c r="V10" s="1513"/>
      <c r="W10" s="1514"/>
      <c r="Y10" s="1515"/>
      <c r="Z10" s="1515"/>
      <c r="AA10" s="1515"/>
      <c r="AB10" s="1515"/>
      <c r="AC10" s="1515"/>
      <c r="AD10" s="1515"/>
      <c r="AE10" s="1515"/>
      <c r="AF10" s="1515"/>
      <c r="AG10" s="1515"/>
      <c r="AH10" s="1515"/>
      <c r="AI10" s="1515"/>
      <c r="AJ10" s="1515"/>
      <c r="AK10" s="1515"/>
      <c r="AL10" s="1515"/>
      <c r="AM10" s="1515"/>
      <c r="AN10" s="1515"/>
      <c r="AO10" s="1515"/>
      <c r="AP10" s="1515"/>
      <c r="AQ10" s="1516"/>
      <c r="AS10" s="1517"/>
      <c r="AT10" s="1517"/>
      <c r="AU10" s="1517"/>
      <c r="AV10" s="1517"/>
      <c r="AW10" s="1517"/>
      <c r="AX10" s="1517"/>
      <c r="AY10" s="1517"/>
      <c r="AZ10" s="1517"/>
      <c r="BA10" s="1517"/>
      <c r="BB10" s="1517"/>
      <c r="BC10" s="1517"/>
      <c r="BD10" s="1517"/>
      <c r="BE10" s="1517"/>
      <c r="BF10" s="1517"/>
      <c r="BG10" s="1517"/>
      <c r="BH10" s="1517"/>
      <c r="BI10" s="1517"/>
      <c r="BJ10" s="1517"/>
      <c r="BK10" s="1517"/>
      <c r="BL10" s="1518"/>
      <c r="BN10" s="1519"/>
      <c r="BO10" s="1519"/>
      <c r="BP10" s="1520"/>
      <c r="BR10" s="3168">
        <f t="shared" si="0"/>
        <v>0</v>
      </c>
      <c r="BS10" s="1521"/>
      <c r="BT10" s="748"/>
      <c r="BU10" s="1507">
        <v>0</v>
      </c>
      <c r="BV10" s="1508">
        <v>0</v>
      </c>
      <c r="BW10" s="1508">
        <v>0</v>
      </c>
      <c r="BX10" s="1508">
        <v>0</v>
      </c>
      <c r="BY10" s="1508">
        <v>0</v>
      </c>
      <c r="BZ10" s="1508">
        <v>0</v>
      </c>
      <c r="CA10" s="1508">
        <v>0</v>
      </c>
      <c r="CB10" s="1508">
        <v>0</v>
      </c>
      <c r="CC10" s="1508">
        <v>0</v>
      </c>
      <c r="CD10" s="1508">
        <v>0</v>
      </c>
      <c r="CE10" s="1508">
        <v>0</v>
      </c>
      <c r="CF10" s="1508">
        <v>0</v>
      </c>
      <c r="CG10" s="1508">
        <v>0</v>
      </c>
      <c r="CH10" s="1508">
        <v>0</v>
      </c>
      <c r="CI10" s="1508">
        <v>0</v>
      </c>
      <c r="CJ10" s="1508">
        <v>0</v>
      </c>
      <c r="CK10" s="1508">
        <v>0</v>
      </c>
      <c r="CL10" s="1508">
        <v>0</v>
      </c>
      <c r="CM10" s="1508">
        <v>0</v>
      </c>
      <c r="CN10" s="1508">
        <v>0</v>
      </c>
      <c r="CO10" s="1508">
        <v>0</v>
      </c>
      <c r="CP10" s="1508">
        <v>0</v>
      </c>
      <c r="CQ10" s="1508">
        <v>0</v>
      </c>
      <c r="CR10" s="1508">
        <v>0</v>
      </c>
      <c r="CS10" s="1508">
        <v>0</v>
      </c>
      <c r="CT10" s="1508">
        <v>0</v>
      </c>
      <c r="CU10" s="1508">
        <v>0</v>
      </c>
      <c r="CV10" s="1508">
        <v>0</v>
      </c>
      <c r="CW10" s="1508">
        <v>0</v>
      </c>
      <c r="CX10" s="1508">
        <v>0</v>
      </c>
      <c r="CY10" s="1508">
        <v>0</v>
      </c>
      <c r="CZ10" s="1508">
        <v>0</v>
      </c>
      <c r="DA10" s="1508">
        <v>0</v>
      </c>
      <c r="DB10" s="1508">
        <v>0</v>
      </c>
      <c r="DC10" s="1508">
        <v>0</v>
      </c>
      <c r="DD10" s="1508">
        <v>0</v>
      </c>
      <c r="DE10" s="1508">
        <v>0</v>
      </c>
      <c r="DF10" s="1508">
        <v>0</v>
      </c>
      <c r="DG10" s="1508">
        <v>0</v>
      </c>
      <c r="DH10" s="1508">
        <v>0</v>
      </c>
      <c r="DI10" s="1508">
        <v>0</v>
      </c>
      <c r="DJ10" s="1508">
        <v>0</v>
      </c>
      <c r="DK10" s="1508">
        <v>0</v>
      </c>
      <c r="DL10" s="1508">
        <v>0</v>
      </c>
      <c r="DN10" s="1509"/>
    </row>
    <row r="11" spans="1:118" s="14" customFormat="1" ht="12.75" customHeight="1" outlineLevel="1" x14ac:dyDescent="0.2">
      <c r="A11" s="1522"/>
      <c r="B11" s="1522"/>
      <c r="C11" s="1496"/>
      <c r="D11" s="1522"/>
      <c r="E11" s="1497"/>
      <c r="G11" s="1499"/>
      <c r="H11" s="1499"/>
      <c r="I11" s="1499"/>
      <c r="J11" s="1499"/>
      <c r="K11" s="1499"/>
      <c r="L11" s="1499"/>
      <c r="M11" s="1499"/>
      <c r="N11" s="1499"/>
      <c r="O11" s="1499"/>
      <c r="P11" s="1499"/>
      <c r="Q11" s="1499"/>
      <c r="R11" s="1499"/>
      <c r="S11" s="1499"/>
      <c r="T11" s="1499"/>
      <c r="U11" s="1499"/>
      <c r="V11" s="1499"/>
      <c r="W11" s="1499"/>
      <c r="Y11" s="1501"/>
      <c r="Z11" s="1501"/>
      <c r="AA11" s="1501"/>
      <c r="AB11" s="1501"/>
      <c r="AC11" s="1501"/>
      <c r="AD11" s="1501"/>
      <c r="AE11" s="1501"/>
      <c r="AF11" s="1501"/>
      <c r="AG11" s="1501"/>
      <c r="AH11" s="1501"/>
      <c r="AI11" s="1501"/>
      <c r="AJ11" s="1501"/>
      <c r="AK11" s="1501"/>
      <c r="AL11" s="1501"/>
      <c r="AM11" s="1501"/>
      <c r="AN11" s="1501"/>
      <c r="AO11" s="1501"/>
      <c r="AP11" s="1501"/>
      <c r="AQ11" s="1501"/>
      <c r="AS11" s="1523"/>
      <c r="AT11" s="1523"/>
      <c r="AU11" s="1523"/>
      <c r="AV11" s="1523"/>
      <c r="AW11" s="1523"/>
      <c r="AX11" s="1523"/>
      <c r="AY11" s="1523"/>
      <c r="AZ11" s="1523"/>
      <c r="BA11" s="1523"/>
      <c r="BB11" s="1523"/>
      <c r="BC11" s="1523"/>
      <c r="BD11" s="1523"/>
      <c r="BE11" s="1523"/>
      <c r="BF11" s="1523"/>
      <c r="BG11" s="1523"/>
      <c r="BH11" s="1523"/>
      <c r="BI11" s="1523"/>
      <c r="BJ11" s="1523"/>
      <c r="BK11" s="1523"/>
      <c r="BL11" s="1524"/>
      <c r="BN11" s="1505"/>
      <c r="BO11" s="1505"/>
      <c r="BP11" s="1505"/>
      <c r="BR11" s="3168">
        <f t="shared" si="0"/>
        <v>0</v>
      </c>
      <c r="BS11" s="1525"/>
      <c r="BT11" s="748"/>
      <c r="BU11" s="1507">
        <v>67.291769164453711</v>
      </c>
      <c r="BV11" s="1508">
        <v>0.13655504882378258</v>
      </c>
      <c r="BW11" s="1508">
        <v>0.22513176941521534</v>
      </c>
      <c r="BX11" s="1508">
        <v>0</v>
      </c>
      <c r="BY11" s="1508">
        <v>0</v>
      </c>
      <c r="BZ11" s="1508">
        <v>0</v>
      </c>
      <c r="CA11" s="1508">
        <v>0</v>
      </c>
      <c r="CB11" s="1508">
        <v>0</v>
      </c>
      <c r="CC11" s="1508">
        <v>0</v>
      </c>
      <c r="CD11" s="1508">
        <v>0</v>
      </c>
      <c r="CE11" s="1508">
        <v>0</v>
      </c>
      <c r="CF11" s="1508">
        <v>0</v>
      </c>
      <c r="CG11" s="1508">
        <v>0</v>
      </c>
      <c r="CH11" s="1508">
        <v>0</v>
      </c>
      <c r="CI11" s="1508">
        <v>0</v>
      </c>
      <c r="CJ11" s="1508">
        <v>0</v>
      </c>
      <c r="CK11" s="1508">
        <v>0</v>
      </c>
      <c r="CL11" s="1508">
        <v>0</v>
      </c>
      <c r="CM11" s="1508">
        <v>0</v>
      </c>
      <c r="CN11" s="1508">
        <v>0</v>
      </c>
      <c r="CO11" s="1508">
        <v>0</v>
      </c>
      <c r="CP11" s="1508">
        <v>0</v>
      </c>
      <c r="CQ11" s="1508">
        <v>0</v>
      </c>
      <c r="CR11" s="1508">
        <v>0</v>
      </c>
      <c r="CS11" s="1508">
        <v>0</v>
      </c>
      <c r="CT11" s="1508">
        <v>0</v>
      </c>
      <c r="CU11" s="1508">
        <v>0</v>
      </c>
      <c r="CV11" s="1508">
        <v>0</v>
      </c>
      <c r="CW11" s="1508">
        <v>0</v>
      </c>
      <c r="CX11" s="1508">
        <v>0</v>
      </c>
      <c r="CY11" s="1508">
        <v>0</v>
      </c>
      <c r="CZ11" s="1508">
        <v>0</v>
      </c>
      <c r="DA11" s="1508">
        <v>0</v>
      </c>
      <c r="DB11" s="1508">
        <v>0</v>
      </c>
      <c r="DC11" s="1508">
        <v>0</v>
      </c>
      <c r="DD11" s="1508">
        <v>0</v>
      </c>
      <c r="DE11" s="1508">
        <v>0</v>
      </c>
      <c r="DF11" s="1508">
        <v>0</v>
      </c>
      <c r="DG11" s="1508">
        <v>0</v>
      </c>
      <c r="DH11" s="1508">
        <v>0</v>
      </c>
      <c r="DI11" s="1508">
        <v>0</v>
      </c>
      <c r="DJ11" s="1508">
        <v>0</v>
      </c>
      <c r="DK11" s="1508">
        <v>0</v>
      </c>
      <c r="DL11" s="1508">
        <v>0</v>
      </c>
      <c r="DN11" s="1509"/>
    </row>
    <row r="12" spans="1:118" s="14" customFormat="1" ht="10.5" customHeight="1" outlineLevel="2" x14ac:dyDescent="0.2">
      <c r="A12" s="1495"/>
      <c r="B12" s="1495"/>
      <c r="C12" s="1496" t="s">
        <v>554</v>
      </c>
      <c r="D12" s="14" t="str">
        <f>INDEX(Modulos[Modulos], MATCH($C12, Modulos[Código], 0))</f>
        <v>Comercial y Púbico</v>
      </c>
      <c r="G12" s="1498">
        <f t="shared" ref="G12:V12" ca="1" si="4">IFERROR(INDEX(INDIRECT($C12&amp;".Outputs["&amp;this.Year&amp;"]"), MATCH(G$5, INDIRECT($C12&amp;".Outputs[Vector]"), 0)), 0)</f>
        <v>16.348742358853933</v>
      </c>
      <c r="H12" s="1498">
        <f t="shared" ca="1" si="4"/>
        <v>13.466776602324474</v>
      </c>
      <c r="I12" s="1498">
        <f t="shared" ca="1" si="4"/>
        <v>1.1109882051473137</v>
      </c>
      <c r="J12" s="1498">
        <f t="shared" ca="1" si="4"/>
        <v>2.5590833328291835</v>
      </c>
      <c r="K12" s="1498">
        <f t="shared" ca="1" si="4"/>
        <v>1.3748937342581702</v>
      </c>
      <c r="L12" s="1498">
        <f t="shared" ca="1" si="4"/>
        <v>7.9054117444530903</v>
      </c>
      <c r="M12" s="1498">
        <f t="shared" ca="1" si="4"/>
        <v>0</v>
      </c>
      <c r="N12" s="1498">
        <f t="shared" ca="1" si="4"/>
        <v>0</v>
      </c>
      <c r="O12" s="1498">
        <f t="shared" ca="1" si="4"/>
        <v>0</v>
      </c>
      <c r="P12" s="1498">
        <f t="shared" ca="1" si="4"/>
        <v>0</v>
      </c>
      <c r="Q12" s="1498">
        <f t="shared" ca="1" si="4"/>
        <v>0</v>
      </c>
      <c r="R12" s="1498">
        <f t="shared" ca="1" si="4"/>
        <v>0</v>
      </c>
      <c r="S12" s="1498">
        <f t="shared" ca="1" si="4"/>
        <v>0</v>
      </c>
      <c r="T12" s="1498">
        <f t="shared" ca="1" si="4"/>
        <v>0</v>
      </c>
      <c r="U12" s="1498">
        <f t="shared" ca="1" si="4"/>
        <v>0</v>
      </c>
      <c r="V12" s="1498">
        <f t="shared" ca="1" si="4"/>
        <v>0</v>
      </c>
      <c r="W12" s="1539">
        <f ca="1">SUM(G12:V12)</f>
        <v>42.765895977866165</v>
      </c>
      <c r="Y12" s="1500">
        <f t="shared" ref="Y12:AP12" ca="1" si="5">IFERROR(INDEX(INDIRECT($C12&amp;".Outputs["&amp;this.Year&amp;"]"), MATCH(Y$5, INDIRECT($C12&amp;".Outputs[Vector]"), 0)), 0)</f>
        <v>-24.263650809542185</v>
      </c>
      <c r="Z12" s="1500">
        <f t="shared" ca="1" si="5"/>
        <v>0</v>
      </c>
      <c r="AA12" s="1500">
        <f t="shared" ca="1" si="5"/>
        <v>0</v>
      </c>
      <c r="AB12" s="1500">
        <f t="shared" ca="1" si="5"/>
        <v>-9.1076886892744007</v>
      </c>
      <c r="AC12" s="1500">
        <f t="shared" ca="1" si="5"/>
        <v>-8.93293149883376</v>
      </c>
      <c r="AD12" s="1500">
        <f t="shared" ca="1" si="5"/>
        <v>0</v>
      </c>
      <c r="AE12" s="1500">
        <f t="shared" ca="1" si="5"/>
        <v>0</v>
      </c>
      <c r="AF12" s="1500">
        <f t="shared" ca="1" si="5"/>
        <v>0</v>
      </c>
      <c r="AG12" s="1500">
        <f t="shared" ca="1" si="5"/>
        <v>0</v>
      </c>
      <c r="AH12" s="1500">
        <f t="shared" ca="1" si="5"/>
        <v>0</v>
      </c>
      <c r="AI12" s="1500">
        <f t="shared" ca="1" si="5"/>
        <v>0</v>
      </c>
      <c r="AJ12" s="1500">
        <f t="shared" ca="1" si="5"/>
        <v>0</v>
      </c>
      <c r="AK12" s="1500">
        <f t="shared" ca="1" si="5"/>
        <v>0</v>
      </c>
      <c r="AL12" s="1500">
        <f t="shared" ca="1" si="5"/>
        <v>-0.43906978962822574</v>
      </c>
      <c r="AM12" s="1500">
        <f t="shared" ca="1" si="5"/>
        <v>0</v>
      </c>
      <c r="AN12" s="1500">
        <f t="shared" ca="1" si="5"/>
        <v>0</v>
      </c>
      <c r="AO12" s="1500">
        <f t="shared" ca="1" si="5"/>
        <v>0</v>
      </c>
      <c r="AP12" s="1500">
        <f t="shared" ca="1" si="5"/>
        <v>0</v>
      </c>
      <c r="AQ12" s="1490">
        <f ca="1">SUM(Y12:AP12)</f>
        <v>-42.743340787278569</v>
      </c>
      <c r="AS12" s="1491">
        <f t="shared" ref="AS12:BK12" ca="1" si="6">IFERROR(INDEX(INDIRECT($C12&amp;".Outputs["&amp;this.Year&amp;"]"), MATCH(AS$5, INDIRECT($C12&amp;".Outputs[Vector]"), 0)), 0)</f>
        <v>0</v>
      </c>
      <c r="AT12" s="1491">
        <f t="shared" ca="1" si="6"/>
        <v>0</v>
      </c>
      <c r="AU12" s="1491">
        <f t="shared" ca="1" si="6"/>
        <v>0</v>
      </c>
      <c r="AV12" s="1491">
        <f t="shared" ca="1" si="6"/>
        <v>0</v>
      </c>
      <c r="AW12" s="1491">
        <f t="shared" ca="1" si="6"/>
        <v>0</v>
      </c>
      <c r="AX12" s="1491">
        <f t="shared" ca="1" si="6"/>
        <v>0</v>
      </c>
      <c r="AY12" s="1491">
        <f t="shared" ca="1" si="6"/>
        <v>0</v>
      </c>
      <c r="AZ12" s="1491">
        <f t="shared" ca="1" si="6"/>
        <v>0</v>
      </c>
      <c r="BA12" s="1491">
        <f t="shared" ca="1" si="6"/>
        <v>0</v>
      </c>
      <c r="BB12" s="1491">
        <f t="shared" ca="1" si="6"/>
        <v>0</v>
      </c>
      <c r="BC12" s="1491">
        <f t="shared" ca="1" si="6"/>
        <v>-2.2555190587586187E-2</v>
      </c>
      <c r="BD12" s="1491">
        <f t="shared" ca="1" si="6"/>
        <v>0</v>
      </c>
      <c r="BE12" s="1491">
        <f t="shared" ca="1" si="6"/>
        <v>0</v>
      </c>
      <c r="BF12" s="1491">
        <f t="shared" ca="1" si="6"/>
        <v>0</v>
      </c>
      <c r="BG12" s="1491">
        <f t="shared" ca="1" si="6"/>
        <v>0</v>
      </c>
      <c r="BH12" s="1491">
        <f t="shared" ca="1" si="6"/>
        <v>0</v>
      </c>
      <c r="BI12" s="1491">
        <f t="shared" ca="1" si="6"/>
        <v>0</v>
      </c>
      <c r="BJ12" s="1491">
        <f t="shared" ca="1" si="6"/>
        <v>0</v>
      </c>
      <c r="BK12" s="1491">
        <f t="shared" ca="1" si="6"/>
        <v>0</v>
      </c>
      <c r="BL12" s="1503">
        <f ca="1">SUM(AS12:BK12)</f>
        <v>-2.2555190587586187E-2</v>
      </c>
      <c r="BN12" s="1941">
        <f ca="1">IFERROR(INDEX(INDIRECT($C12&amp;".Outputs["&amp;this.Year&amp;"]"), MATCH(BN$5, INDIRECT($C12&amp;".Outputs[Vector]"), 0)), 0)</f>
        <v>0</v>
      </c>
      <c r="BO12" s="1941">
        <f ca="1">IFERROR(INDEX(INDIRECT($C12&amp;".Outputs["&amp;this.Year&amp;"]"), MATCH(BO$5, INDIRECT($C12&amp;".Outputs[Vector]"), 0)), 0)</f>
        <v>0</v>
      </c>
      <c r="BP12" s="1505">
        <f ca="1">BN12+BO12</f>
        <v>0</v>
      </c>
      <c r="BR12" s="3168">
        <f t="shared" ca="1" si="0"/>
        <v>9.8428210026924035E-15</v>
      </c>
      <c r="BS12" s="1506"/>
      <c r="BT12" s="748"/>
      <c r="BU12" s="1507">
        <v>16.670422935762357</v>
      </c>
      <c r="BV12" s="1508">
        <v>3.1691470049996472E-2</v>
      </c>
      <c r="BW12" s="1508">
        <v>7.1890492881915569E-2</v>
      </c>
      <c r="BX12" s="1508">
        <v>0</v>
      </c>
      <c r="BY12" s="1508">
        <v>0</v>
      </c>
      <c r="BZ12" s="1508">
        <v>0</v>
      </c>
      <c r="CA12" s="1508">
        <v>0</v>
      </c>
      <c r="CB12" s="1508">
        <v>0</v>
      </c>
      <c r="CC12" s="1508">
        <v>0</v>
      </c>
      <c r="CD12" s="1508">
        <v>0</v>
      </c>
      <c r="CE12" s="1508">
        <v>0</v>
      </c>
      <c r="CF12" s="1508">
        <v>0</v>
      </c>
      <c r="CG12" s="1508">
        <v>0</v>
      </c>
      <c r="CH12" s="1508">
        <v>0</v>
      </c>
      <c r="CI12" s="1508">
        <v>0</v>
      </c>
      <c r="CJ12" s="1508">
        <v>0</v>
      </c>
      <c r="CK12" s="1508">
        <v>0</v>
      </c>
      <c r="CL12" s="1508">
        <v>0</v>
      </c>
      <c r="CM12" s="1508">
        <v>0</v>
      </c>
      <c r="CN12" s="1508">
        <v>0</v>
      </c>
      <c r="CO12" s="1508">
        <v>0</v>
      </c>
      <c r="CP12" s="1508">
        <v>0</v>
      </c>
      <c r="CQ12" s="1508">
        <v>0</v>
      </c>
      <c r="CR12" s="1508">
        <v>0</v>
      </c>
      <c r="CS12" s="1508">
        <v>0</v>
      </c>
      <c r="CT12" s="1508">
        <v>0</v>
      </c>
      <c r="CU12" s="1508">
        <v>0</v>
      </c>
      <c r="CV12" s="1508">
        <v>0</v>
      </c>
      <c r="CW12" s="1508">
        <v>0</v>
      </c>
      <c r="CX12" s="1508">
        <v>0</v>
      </c>
      <c r="CY12" s="1508">
        <v>0</v>
      </c>
      <c r="CZ12" s="1508">
        <v>0</v>
      </c>
      <c r="DA12" s="1508">
        <v>0</v>
      </c>
      <c r="DB12" s="1508">
        <v>0</v>
      </c>
      <c r="DC12" s="1508">
        <v>0</v>
      </c>
      <c r="DD12" s="1508">
        <v>0</v>
      </c>
      <c r="DE12" s="1508">
        <v>0</v>
      </c>
      <c r="DF12" s="1508">
        <v>0</v>
      </c>
      <c r="DG12" s="1508">
        <v>0</v>
      </c>
      <c r="DH12" s="1508">
        <v>0</v>
      </c>
      <c r="DI12" s="1508">
        <v>0</v>
      </c>
      <c r="DJ12" s="1508">
        <v>0</v>
      </c>
      <c r="DK12" s="1508">
        <v>0</v>
      </c>
      <c r="DL12" s="1508">
        <v>0</v>
      </c>
      <c r="DN12" s="1509"/>
    </row>
    <row r="13" spans="1:118" s="14" customFormat="1" ht="10.5" customHeight="1" outlineLevel="2" x14ac:dyDescent="0.2">
      <c r="A13" s="1510"/>
      <c r="B13" s="1510"/>
      <c r="C13" s="1511"/>
      <c r="D13" s="1510"/>
      <c r="E13" s="1512"/>
      <c r="G13" s="1513"/>
      <c r="H13" s="1513"/>
      <c r="I13" s="1513"/>
      <c r="J13" s="1513"/>
      <c r="K13" s="1513"/>
      <c r="L13" s="1513"/>
      <c r="M13" s="1513"/>
      <c r="N13" s="1513"/>
      <c r="O13" s="1513"/>
      <c r="P13" s="1513"/>
      <c r="Q13" s="1513"/>
      <c r="R13" s="1513"/>
      <c r="S13" s="1513"/>
      <c r="T13" s="1513"/>
      <c r="U13" s="1513"/>
      <c r="V13" s="1513"/>
      <c r="W13" s="1514"/>
      <c r="Y13" s="1515"/>
      <c r="Z13" s="1515"/>
      <c r="AA13" s="1515"/>
      <c r="AB13" s="1515"/>
      <c r="AC13" s="1515"/>
      <c r="AD13" s="1515"/>
      <c r="AE13" s="1515"/>
      <c r="AF13" s="1515"/>
      <c r="AG13" s="1515"/>
      <c r="AH13" s="1515"/>
      <c r="AI13" s="1515"/>
      <c r="AJ13" s="1515"/>
      <c r="AK13" s="1515"/>
      <c r="AL13" s="1515"/>
      <c r="AM13" s="1515"/>
      <c r="AN13" s="1515"/>
      <c r="AO13" s="1515"/>
      <c r="AP13" s="1515"/>
      <c r="AQ13" s="1516"/>
      <c r="AS13" s="1517"/>
      <c r="AT13" s="1517"/>
      <c r="AU13" s="1517"/>
      <c r="AV13" s="1517"/>
      <c r="AW13" s="1517"/>
      <c r="AX13" s="1517"/>
      <c r="AY13" s="1517"/>
      <c r="AZ13" s="1517"/>
      <c r="BA13" s="1517"/>
      <c r="BB13" s="1517"/>
      <c r="BC13" s="1517"/>
      <c r="BD13" s="1517"/>
      <c r="BE13" s="1517"/>
      <c r="BF13" s="1517"/>
      <c r="BG13" s="1517"/>
      <c r="BH13" s="1517"/>
      <c r="BI13" s="1517"/>
      <c r="BJ13" s="1517"/>
      <c r="BK13" s="1517"/>
      <c r="BL13" s="1518"/>
      <c r="BN13" s="1519"/>
      <c r="BO13" s="1519"/>
      <c r="BP13" s="1520"/>
      <c r="BR13" s="3168">
        <f t="shared" si="0"/>
        <v>0</v>
      </c>
      <c r="BS13" s="1521"/>
      <c r="BT13" s="748"/>
      <c r="BU13" s="1507">
        <v>0</v>
      </c>
      <c r="BV13" s="1508">
        <v>0</v>
      </c>
      <c r="BW13" s="1508">
        <v>0</v>
      </c>
      <c r="BX13" s="1508">
        <v>0</v>
      </c>
      <c r="BY13" s="1508">
        <v>0</v>
      </c>
      <c r="BZ13" s="1508">
        <v>0</v>
      </c>
      <c r="CA13" s="1508">
        <v>0</v>
      </c>
      <c r="CB13" s="1508">
        <v>0</v>
      </c>
      <c r="CC13" s="1508">
        <v>0</v>
      </c>
      <c r="CD13" s="1508">
        <v>0</v>
      </c>
      <c r="CE13" s="1508">
        <v>0</v>
      </c>
      <c r="CF13" s="1508">
        <v>0</v>
      </c>
      <c r="CG13" s="1508">
        <v>0</v>
      </c>
      <c r="CH13" s="1508">
        <v>0</v>
      </c>
      <c r="CI13" s="1508">
        <v>0</v>
      </c>
      <c r="CJ13" s="1508">
        <v>0</v>
      </c>
      <c r="CK13" s="1508">
        <v>0</v>
      </c>
      <c r="CL13" s="1508">
        <v>0</v>
      </c>
      <c r="CM13" s="1508">
        <v>0</v>
      </c>
      <c r="CN13" s="1508">
        <v>0</v>
      </c>
      <c r="CO13" s="1508">
        <v>0</v>
      </c>
      <c r="CP13" s="1508">
        <v>0</v>
      </c>
      <c r="CQ13" s="1508">
        <v>0</v>
      </c>
      <c r="CR13" s="1508">
        <v>0</v>
      </c>
      <c r="CS13" s="1508">
        <v>0</v>
      </c>
      <c r="CT13" s="1508">
        <v>0</v>
      </c>
      <c r="CU13" s="1508">
        <v>0</v>
      </c>
      <c r="CV13" s="1508">
        <v>0</v>
      </c>
      <c r="CW13" s="1508">
        <v>0</v>
      </c>
      <c r="CX13" s="1508">
        <v>0</v>
      </c>
      <c r="CY13" s="1508">
        <v>0</v>
      </c>
      <c r="CZ13" s="1508">
        <v>0</v>
      </c>
      <c r="DA13" s="1508">
        <v>0</v>
      </c>
      <c r="DB13" s="1508">
        <v>0</v>
      </c>
      <c r="DC13" s="1508">
        <v>0</v>
      </c>
      <c r="DD13" s="1508">
        <v>0</v>
      </c>
      <c r="DE13" s="1508">
        <v>0</v>
      </c>
      <c r="DF13" s="1508">
        <v>0</v>
      </c>
      <c r="DG13" s="1508">
        <v>0</v>
      </c>
      <c r="DH13" s="1508">
        <v>0</v>
      </c>
      <c r="DI13" s="1508">
        <v>0</v>
      </c>
      <c r="DJ13" s="1508">
        <v>0</v>
      </c>
      <c r="DK13" s="1508">
        <v>0</v>
      </c>
      <c r="DL13" s="1508">
        <v>0</v>
      </c>
      <c r="DN13" s="1509"/>
    </row>
    <row r="14" spans="1:118" s="14" customFormat="1" ht="12.75" customHeight="1" outlineLevel="1" x14ac:dyDescent="0.2">
      <c r="A14" s="1522"/>
      <c r="B14" s="1522"/>
      <c r="C14" s="1496"/>
      <c r="D14" s="1526"/>
      <c r="E14" s="1526"/>
      <c r="G14" s="1527"/>
      <c r="H14" s="1527"/>
      <c r="I14" s="1527"/>
      <c r="J14" s="1527"/>
      <c r="K14" s="1527"/>
      <c r="L14" s="1527"/>
      <c r="M14" s="1527"/>
      <c r="N14" s="1527"/>
      <c r="O14" s="1527"/>
      <c r="P14" s="1527"/>
      <c r="Q14" s="1527"/>
      <c r="R14" s="1527"/>
      <c r="S14" s="1527"/>
      <c r="T14" s="1527"/>
      <c r="U14" s="1527"/>
      <c r="V14" s="1527"/>
      <c r="W14" s="1527"/>
      <c r="Y14" s="1528"/>
      <c r="Z14" s="1528"/>
      <c r="AA14" s="1528"/>
      <c r="AB14" s="1528"/>
      <c r="AC14" s="1528"/>
      <c r="AD14" s="1528"/>
      <c r="AE14" s="1528"/>
      <c r="AF14" s="1528"/>
      <c r="AG14" s="1528"/>
      <c r="AH14" s="1528"/>
      <c r="AI14" s="1528"/>
      <c r="AJ14" s="1528"/>
      <c r="AK14" s="1528"/>
      <c r="AL14" s="1528"/>
      <c r="AM14" s="1528"/>
      <c r="AN14" s="1528"/>
      <c r="AO14" s="1528"/>
      <c r="AP14" s="1528"/>
      <c r="AQ14" s="1528"/>
      <c r="AS14" s="1529"/>
      <c r="AT14" s="1529"/>
      <c r="AU14" s="1529"/>
      <c r="AV14" s="1529"/>
      <c r="AW14" s="1529"/>
      <c r="AX14" s="1529"/>
      <c r="AY14" s="1529"/>
      <c r="AZ14" s="1529"/>
      <c r="BA14" s="1529"/>
      <c r="BB14" s="1529"/>
      <c r="BC14" s="1529"/>
      <c r="BD14" s="1529"/>
      <c r="BE14" s="1529"/>
      <c r="BF14" s="1529"/>
      <c r="BG14" s="1529"/>
      <c r="BH14" s="1529"/>
      <c r="BI14" s="1529"/>
      <c r="BJ14" s="1529"/>
      <c r="BK14" s="1529"/>
      <c r="BL14" s="1530"/>
      <c r="BN14" s="1531"/>
      <c r="BO14" s="1531"/>
      <c r="BP14" s="1531"/>
      <c r="BR14" s="3168">
        <f t="shared" si="0"/>
        <v>0</v>
      </c>
      <c r="BS14" s="1525"/>
      <c r="BT14" s="748"/>
      <c r="BU14" s="1532">
        <v>16.670422935762357</v>
      </c>
      <c r="BV14" s="1533">
        <v>3.1691470049996472E-2</v>
      </c>
      <c r="BW14" s="1533">
        <v>7.1890492881915569E-2</v>
      </c>
      <c r="BX14" s="1533">
        <v>0</v>
      </c>
      <c r="BY14" s="1533">
        <v>0</v>
      </c>
      <c r="BZ14" s="1533">
        <v>0</v>
      </c>
      <c r="CA14" s="1533">
        <v>0</v>
      </c>
      <c r="CB14" s="1533">
        <v>0</v>
      </c>
      <c r="CC14" s="1533">
        <v>0</v>
      </c>
      <c r="CD14" s="1533">
        <v>0</v>
      </c>
      <c r="CE14" s="1533">
        <v>0</v>
      </c>
      <c r="CF14" s="1533">
        <v>0</v>
      </c>
      <c r="CG14" s="1533">
        <v>0</v>
      </c>
      <c r="CH14" s="1533">
        <v>0</v>
      </c>
      <c r="CI14" s="1533">
        <v>0</v>
      </c>
      <c r="CJ14" s="1533">
        <v>0</v>
      </c>
      <c r="CK14" s="1533">
        <v>0</v>
      </c>
      <c r="CL14" s="1533">
        <v>0</v>
      </c>
      <c r="CM14" s="1533">
        <v>0</v>
      </c>
      <c r="CN14" s="1533">
        <v>0</v>
      </c>
      <c r="CO14" s="1533">
        <v>0</v>
      </c>
      <c r="CP14" s="1533">
        <v>0</v>
      </c>
      <c r="CQ14" s="1533">
        <v>0</v>
      </c>
      <c r="CR14" s="1533">
        <v>0</v>
      </c>
      <c r="CS14" s="1533">
        <v>0</v>
      </c>
      <c r="CT14" s="1533">
        <v>0</v>
      </c>
      <c r="CU14" s="1533">
        <v>0</v>
      </c>
      <c r="CV14" s="1533">
        <v>0</v>
      </c>
      <c r="CW14" s="1533">
        <v>0</v>
      </c>
      <c r="CX14" s="1533">
        <v>0</v>
      </c>
      <c r="CY14" s="1533">
        <v>0</v>
      </c>
      <c r="CZ14" s="1533">
        <v>0</v>
      </c>
      <c r="DA14" s="1533">
        <v>0</v>
      </c>
      <c r="DB14" s="1533">
        <v>0</v>
      </c>
      <c r="DC14" s="1533">
        <v>0</v>
      </c>
      <c r="DD14" s="1533">
        <v>0</v>
      </c>
      <c r="DE14" s="1533">
        <v>0</v>
      </c>
      <c r="DF14" s="1533">
        <v>0</v>
      </c>
      <c r="DG14" s="1533">
        <v>0</v>
      </c>
      <c r="DH14" s="1533">
        <v>0</v>
      </c>
      <c r="DI14" s="1533">
        <v>0</v>
      </c>
      <c r="DJ14" s="1533">
        <v>0</v>
      </c>
      <c r="DK14" s="1533">
        <v>0</v>
      </c>
      <c r="DL14" s="1533">
        <v>0</v>
      </c>
      <c r="DN14" s="1509"/>
    </row>
    <row r="15" spans="1:118" s="14" customFormat="1" ht="15.75" x14ac:dyDescent="0.2">
      <c r="A15" s="1534"/>
      <c r="B15" s="1535"/>
      <c r="C15" s="1536" t="s">
        <v>478</v>
      </c>
      <c r="D15" s="1537" t="str">
        <f>INDEX(Flujos[Flujos], MATCH($C15, Flujos[Código], 0))</f>
        <v>Comercial, Público y Residencial</v>
      </c>
      <c r="E15" s="1538"/>
      <c r="G15" s="1539">
        <f ca="1">G9+G12</f>
        <v>81.429709387170789</v>
      </c>
      <c r="H15" s="1539">
        <f ca="1">H9+H12</f>
        <v>16.703485442098668</v>
      </c>
      <c r="I15" s="1539">
        <f t="shared" ref="I15:V15" ca="1" si="7">I9+I12</f>
        <v>6.8908254190298059</v>
      </c>
      <c r="J15" s="1539">
        <f t="shared" ca="1" si="7"/>
        <v>22.904110325695559</v>
      </c>
      <c r="K15" s="1539">
        <f t="shared" ca="1" si="7"/>
        <v>10.160246299359558</v>
      </c>
      <c r="L15" s="1539">
        <f t="shared" ca="1" si="7"/>
        <v>20.274263382161628</v>
      </c>
      <c r="M15" s="1539">
        <f t="shared" ca="1" si="7"/>
        <v>0</v>
      </c>
      <c r="N15" s="1539">
        <f t="shared" ca="1" si="7"/>
        <v>0</v>
      </c>
      <c r="O15" s="1539">
        <f t="shared" ca="1" si="7"/>
        <v>0</v>
      </c>
      <c r="P15" s="1539">
        <f t="shared" ca="1" si="7"/>
        <v>0</v>
      </c>
      <c r="Q15" s="1539">
        <f t="shared" ca="1" si="7"/>
        <v>0</v>
      </c>
      <c r="R15" s="1539">
        <f t="shared" ca="1" si="7"/>
        <v>0</v>
      </c>
      <c r="S15" s="1539">
        <f t="shared" ca="1" si="7"/>
        <v>0</v>
      </c>
      <c r="T15" s="1539">
        <f t="shared" ca="1" si="7"/>
        <v>0</v>
      </c>
      <c r="U15" s="1539">
        <f t="shared" ca="1" si="7"/>
        <v>0</v>
      </c>
      <c r="V15" s="1539">
        <f t="shared" ca="1" si="7"/>
        <v>0</v>
      </c>
      <c r="W15" s="1539">
        <f ca="1">SUM(G15:V15)</f>
        <v>158.362640255516</v>
      </c>
      <c r="Y15" s="1490">
        <f ca="1">Y9+Y12</f>
        <v>-59.245396661142628</v>
      </c>
      <c r="Z15" s="1490">
        <f t="shared" ref="Z15:AP15" ca="1" si="8">Z9+Z12</f>
        <v>0</v>
      </c>
      <c r="AA15" s="1490">
        <f t="shared" ca="1" si="8"/>
        <v>0</v>
      </c>
      <c r="AB15" s="1490">
        <f ca="1">AB9+AB12</f>
        <v>-23.778439104620539</v>
      </c>
      <c r="AC15" s="1490">
        <f t="shared" ca="1" si="8"/>
        <v>-66.053777028062683</v>
      </c>
      <c r="AD15" s="1490">
        <f t="shared" ca="1" si="8"/>
        <v>0</v>
      </c>
      <c r="AE15" s="1490">
        <f t="shared" ca="1" si="8"/>
        <v>0</v>
      </c>
      <c r="AF15" s="1490">
        <f t="shared" ca="1" si="8"/>
        <v>0</v>
      </c>
      <c r="AG15" s="1490">
        <f t="shared" ca="1" si="8"/>
        <v>0</v>
      </c>
      <c r="AH15" s="1490">
        <f t="shared" ca="1" si="8"/>
        <v>0</v>
      </c>
      <c r="AI15" s="1490">
        <f t="shared" ca="1" si="8"/>
        <v>0</v>
      </c>
      <c r="AJ15" s="1490">
        <f t="shared" ca="1" si="8"/>
        <v>0</v>
      </c>
      <c r="AK15" s="1490">
        <f t="shared" ca="1" si="8"/>
        <v>0</v>
      </c>
      <c r="AL15" s="1490">
        <f t="shared" ca="1" si="8"/>
        <v>-9.2624722711025793</v>
      </c>
      <c r="AM15" s="1490">
        <f t="shared" ca="1" si="8"/>
        <v>0</v>
      </c>
      <c r="AN15" s="1490">
        <f t="shared" ca="1" si="8"/>
        <v>0</v>
      </c>
      <c r="AO15" s="1490">
        <f t="shared" ca="1" si="8"/>
        <v>0</v>
      </c>
      <c r="AP15" s="1490">
        <f t="shared" ca="1" si="8"/>
        <v>0</v>
      </c>
      <c r="AQ15" s="1490">
        <f ca="1">SUM(Y15:AP15)</f>
        <v>-158.34008506492842</v>
      </c>
      <c r="AS15" s="1491">
        <f ca="1">AS9+AS12</f>
        <v>0</v>
      </c>
      <c r="AT15" s="1491">
        <f t="shared" ref="AT15:BJ15" ca="1" si="9">AT9+AT12</f>
        <v>0</v>
      </c>
      <c r="AU15" s="1491">
        <f t="shared" ca="1" si="9"/>
        <v>0</v>
      </c>
      <c r="AV15" s="1491">
        <f t="shared" ca="1" si="9"/>
        <v>0</v>
      </c>
      <c r="AW15" s="1491">
        <f t="shared" ca="1" si="9"/>
        <v>0</v>
      </c>
      <c r="AX15" s="1491">
        <f t="shared" ca="1" si="9"/>
        <v>0</v>
      </c>
      <c r="AY15" s="1491">
        <f t="shared" ca="1" si="9"/>
        <v>0</v>
      </c>
      <c r="AZ15" s="1491">
        <f t="shared" ca="1" si="9"/>
        <v>0</v>
      </c>
      <c r="BA15" s="1491">
        <f t="shared" ca="1" si="9"/>
        <v>0</v>
      </c>
      <c r="BB15" s="1491">
        <f t="shared" ca="1" si="9"/>
        <v>0</v>
      </c>
      <c r="BC15" s="1491">
        <f t="shared" ca="1" si="9"/>
        <v>-2.2555190587586187E-2</v>
      </c>
      <c r="BD15" s="1491">
        <f t="shared" ca="1" si="9"/>
        <v>0</v>
      </c>
      <c r="BE15" s="1491">
        <f t="shared" ca="1" si="9"/>
        <v>0</v>
      </c>
      <c r="BF15" s="1491">
        <f t="shared" ca="1" si="9"/>
        <v>0</v>
      </c>
      <c r="BG15" s="1491">
        <f t="shared" ca="1" si="9"/>
        <v>0</v>
      </c>
      <c r="BH15" s="1491">
        <f t="shared" ca="1" si="9"/>
        <v>0</v>
      </c>
      <c r="BI15" s="1491">
        <f t="shared" ca="1" si="9"/>
        <v>0</v>
      </c>
      <c r="BJ15" s="1491">
        <f t="shared" ca="1" si="9"/>
        <v>0</v>
      </c>
      <c r="BK15" s="1491">
        <f ca="1">BK9+BK12</f>
        <v>0</v>
      </c>
      <c r="BL15" s="1491">
        <f ca="1">SUM(AS15:BK15)</f>
        <v>-2.2555190587586187E-2</v>
      </c>
      <c r="BN15" s="1941">
        <f ca="1">BN9+BN12</f>
        <v>0</v>
      </c>
      <c r="BO15" s="1941">
        <f ca="1">BO9+BO12</f>
        <v>0</v>
      </c>
      <c r="BP15" s="1505">
        <f ca="1">BN15+BO15</f>
        <v>0</v>
      </c>
      <c r="BR15" s="3168">
        <f ca="1">W15+AQ15+BL15+BP15</f>
        <v>-4.3680337125096003E-15</v>
      </c>
      <c r="BS15" s="1493"/>
      <c r="BT15" s="748"/>
      <c r="BU15" s="1508">
        <v>83.962192100216072</v>
      </c>
      <c r="BV15" s="1508">
        <v>0.16824651887377906</v>
      </c>
      <c r="BW15" s="1508">
        <v>0.29702226229713091</v>
      </c>
      <c r="BX15" s="1508">
        <v>0</v>
      </c>
      <c r="BY15" s="1508">
        <v>0</v>
      </c>
      <c r="BZ15" s="1508">
        <v>0</v>
      </c>
      <c r="CA15" s="1508">
        <v>0</v>
      </c>
      <c r="CB15" s="1508">
        <v>0</v>
      </c>
      <c r="CC15" s="1508">
        <v>0</v>
      </c>
      <c r="CD15" s="1508">
        <v>0</v>
      </c>
      <c r="CE15" s="1508">
        <v>0</v>
      </c>
      <c r="CF15" s="1508">
        <v>0</v>
      </c>
      <c r="CG15" s="1508">
        <v>0</v>
      </c>
      <c r="CH15" s="1508">
        <v>0</v>
      </c>
      <c r="CI15" s="1508">
        <v>0</v>
      </c>
      <c r="CJ15" s="1508">
        <v>0</v>
      </c>
      <c r="CK15" s="1508">
        <v>0</v>
      </c>
      <c r="CL15" s="1508">
        <v>0</v>
      </c>
      <c r="CM15" s="1508">
        <v>0</v>
      </c>
      <c r="CN15" s="1508">
        <v>0</v>
      </c>
      <c r="CO15" s="1508">
        <v>0</v>
      </c>
      <c r="CP15" s="1508">
        <v>0</v>
      </c>
      <c r="CQ15" s="1508">
        <v>0</v>
      </c>
      <c r="CR15" s="1508">
        <v>0</v>
      </c>
      <c r="CS15" s="1508">
        <v>0</v>
      </c>
      <c r="CT15" s="1508">
        <v>0</v>
      </c>
      <c r="CU15" s="1508">
        <v>0</v>
      </c>
      <c r="CV15" s="1508">
        <v>0</v>
      </c>
      <c r="CW15" s="1508">
        <v>0</v>
      </c>
      <c r="CX15" s="1508">
        <v>0</v>
      </c>
      <c r="CY15" s="1508">
        <v>0</v>
      </c>
      <c r="CZ15" s="1508">
        <v>0</v>
      </c>
      <c r="DA15" s="1508">
        <v>0</v>
      </c>
      <c r="DB15" s="1508">
        <v>0</v>
      </c>
      <c r="DC15" s="1508">
        <v>0</v>
      </c>
      <c r="DD15" s="1508">
        <v>0</v>
      </c>
      <c r="DE15" s="1508">
        <v>0</v>
      </c>
      <c r="DF15" s="1508">
        <v>0</v>
      </c>
      <c r="DG15" s="1508">
        <v>0</v>
      </c>
      <c r="DH15" s="1508">
        <v>0</v>
      </c>
      <c r="DI15" s="1508">
        <v>0</v>
      </c>
      <c r="DJ15" s="1508">
        <v>0</v>
      </c>
      <c r="DK15" s="1508">
        <v>0</v>
      </c>
      <c r="DL15" s="1508">
        <v>0</v>
      </c>
      <c r="DN15" s="1509">
        <v>84.427460881386978</v>
      </c>
    </row>
    <row r="16" spans="1:118" s="14" customFormat="1" ht="15.75" x14ac:dyDescent="0.2">
      <c r="A16" s="1534"/>
      <c r="B16" s="1535"/>
      <c r="C16" s="1536"/>
      <c r="D16" s="1537"/>
      <c r="E16" s="1538"/>
      <c r="G16" s="1539"/>
      <c r="H16" s="1539"/>
      <c r="I16" s="1539"/>
      <c r="J16" s="1539"/>
      <c r="K16" s="1539"/>
      <c r="L16" s="1539"/>
      <c r="M16" s="1539"/>
      <c r="N16" s="1539"/>
      <c r="O16" s="1539"/>
      <c r="P16" s="1539"/>
      <c r="Q16" s="1539"/>
      <c r="R16" s="1539"/>
      <c r="S16" s="1539"/>
      <c r="T16" s="1539"/>
      <c r="U16" s="1539"/>
      <c r="V16" s="1539"/>
      <c r="W16" s="1539"/>
      <c r="Y16" s="1490"/>
      <c r="Z16" s="1490"/>
      <c r="AA16" s="1490"/>
      <c r="AB16" s="1490"/>
      <c r="AC16" s="1490"/>
      <c r="AD16" s="1490"/>
      <c r="AE16" s="1490"/>
      <c r="AF16" s="1490"/>
      <c r="AG16" s="1490"/>
      <c r="AH16" s="1490"/>
      <c r="AI16" s="1490"/>
      <c r="AJ16" s="1490"/>
      <c r="AK16" s="1490"/>
      <c r="AL16" s="1490"/>
      <c r="AM16" s="1490"/>
      <c r="AN16" s="1490"/>
      <c r="AO16" s="1490"/>
      <c r="AP16" s="1490"/>
      <c r="AQ16" s="1490"/>
      <c r="AS16" s="1491"/>
      <c r="AT16" s="1491"/>
      <c r="AU16" s="1491"/>
      <c r="AV16" s="1491"/>
      <c r="AW16" s="1491"/>
      <c r="AX16" s="1491"/>
      <c r="AY16" s="1491"/>
      <c r="AZ16" s="1491"/>
      <c r="BA16" s="1491"/>
      <c r="BB16" s="1491"/>
      <c r="BC16" s="1491"/>
      <c r="BD16" s="1491"/>
      <c r="BE16" s="1491"/>
      <c r="BF16" s="1491"/>
      <c r="BG16" s="1491"/>
      <c r="BH16" s="1491"/>
      <c r="BI16" s="1491"/>
      <c r="BJ16" s="1491"/>
      <c r="BK16" s="1491"/>
      <c r="BL16" s="1491"/>
      <c r="BN16" s="1492"/>
      <c r="BO16" s="1492"/>
      <c r="BP16" s="1492"/>
      <c r="BR16" s="3168"/>
      <c r="BS16" s="1493"/>
      <c r="BT16" s="748"/>
      <c r="BU16" s="1508"/>
      <c r="BV16" s="1508"/>
      <c r="BW16" s="1508"/>
      <c r="BX16" s="1508"/>
      <c r="BY16" s="1508"/>
      <c r="BZ16" s="1508"/>
      <c r="CA16" s="1508"/>
      <c r="CB16" s="1508"/>
      <c r="CC16" s="1508"/>
      <c r="CD16" s="1508"/>
      <c r="CE16" s="1508"/>
      <c r="CF16" s="1508"/>
      <c r="CG16" s="1508"/>
      <c r="CH16" s="1508"/>
      <c r="CI16" s="1508"/>
      <c r="CJ16" s="1508"/>
      <c r="CK16" s="1508"/>
      <c r="CL16" s="1508"/>
      <c r="CM16" s="1508"/>
      <c r="CN16" s="1508"/>
      <c r="CO16" s="1508"/>
      <c r="CP16" s="1508"/>
      <c r="CQ16" s="1508"/>
      <c r="CR16" s="1508"/>
      <c r="CS16" s="1508"/>
      <c r="CT16" s="1508"/>
      <c r="CU16" s="1508"/>
      <c r="CV16" s="1508"/>
      <c r="CW16" s="1508"/>
      <c r="CX16" s="1508"/>
      <c r="CY16" s="1508"/>
      <c r="CZ16" s="1508"/>
      <c r="DA16" s="1508"/>
      <c r="DB16" s="1508"/>
      <c r="DC16" s="1508"/>
      <c r="DD16" s="1508"/>
      <c r="DE16" s="1508"/>
      <c r="DF16" s="1508"/>
      <c r="DG16" s="1508"/>
      <c r="DH16" s="1508"/>
      <c r="DI16" s="1508"/>
      <c r="DJ16" s="1508"/>
      <c r="DK16" s="1508"/>
      <c r="DL16" s="1508"/>
      <c r="DN16" s="1509"/>
    </row>
    <row r="17" spans="1:118" s="14" customFormat="1" ht="12.75" hidden="1" customHeight="1" outlineLevel="1" x14ac:dyDescent="0.2">
      <c r="A17" s="1522"/>
      <c r="B17" s="1522"/>
      <c r="C17" s="1496"/>
      <c r="D17" s="1497"/>
      <c r="E17" s="1497"/>
      <c r="G17" s="1499"/>
      <c r="H17" s="1499"/>
      <c r="I17" s="1499"/>
      <c r="J17" s="1499"/>
      <c r="K17" s="1499"/>
      <c r="L17" s="1499"/>
      <c r="M17" s="1499"/>
      <c r="N17" s="1499"/>
      <c r="O17" s="1499"/>
      <c r="P17" s="1499"/>
      <c r="Q17" s="1499"/>
      <c r="R17" s="1499"/>
      <c r="S17" s="1499"/>
      <c r="T17" s="1499"/>
      <c r="U17" s="1499"/>
      <c r="V17" s="1499"/>
      <c r="W17" s="1539">
        <f t="shared" ref="W17:W33" si="10">SUM(G17:V17)</f>
        <v>0</v>
      </c>
      <c r="Y17" s="1501"/>
      <c r="Z17" s="1501"/>
      <c r="AA17" s="1501"/>
      <c r="AB17" s="1501"/>
      <c r="AC17" s="1501"/>
      <c r="AD17" s="1501"/>
      <c r="AE17" s="1501"/>
      <c r="AF17" s="1501"/>
      <c r="AG17" s="1501"/>
      <c r="AH17" s="1501"/>
      <c r="AI17" s="1501"/>
      <c r="AJ17" s="1501"/>
      <c r="AK17" s="1501"/>
      <c r="AL17" s="1501"/>
      <c r="AM17" s="1501"/>
      <c r="AN17" s="1501"/>
      <c r="AO17" s="1501"/>
      <c r="AP17" s="1501"/>
      <c r="AQ17" s="1490">
        <f t="shared" ref="AQ17:AQ27" si="11">SUM(Y17:AP17)</f>
        <v>0</v>
      </c>
      <c r="AS17" s="1523"/>
      <c r="AT17" s="1523"/>
      <c r="AU17" s="1523"/>
      <c r="AV17" s="1523"/>
      <c r="AW17" s="1523"/>
      <c r="AX17" s="1523"/>
      <c r="AY17" s="1523"/>
      <c r="AZ17" s="1523"/>
      <c r="BA17" s="1523"/>
      <c r="BB17" s="1523"/>
      <c r="BC17" s="1523"/>
      <c r="BD17" s="1523"/>
      <c r="BE17" s="1523"/>
      <c r="BF17" s="1523"/>
      <c r="BG17" s="1523"/>
      <c r="BH17" s="1523"/>
      <c r="BI17" s="1523"/>
      <c r="BJ17" s="1523"/>
      <c r="BK17" s="1523"/>
      <c r="BL17" s="1524"/>
      <c r="BN17" s="1505"/>
      <c r="BO17" s="1505"/>
      <c r="BP17" s="1505"/>
      <c r="BR17" s="3168">
        <f t="shared" ref="BR17:BR76" si="12">W17+AQ17+BL17+BP17</f>
        <v>0</v>
      </c>
      <c r="BS17" s="1525"/>
      <c r="BT17" s="1522"/>
      <c r="BU17" s="1507"/>
      <c r="BV17" s="1508"/>
      <c r="BW17" s="1508"/>
      <c r="BX17" s="1508"/>
      <c r="BY17" s="1508"/>
      <c r="BZ17" s="1508"/>
      <c r="CA17" s="1508"/>
      <c r="CB17" s="1508"/>
      <c r="CC17" s="1508"/>
      <c r="CD17" s="1508"/>
      <c r="CE17" s="1508"/>
      <c r="CF17" s="1508"/>
      <c r="CG17" s="1508"/>
      <c r="CH17" s="1508"/>
      <c r="CI17" s="1508"/>
      <c r="CJ17" s="1508"/>
      <c r="CK17" s="1508"/>
      <c r="CL17" s="1508"/>
      <c r="CM17" s="1508"/>
      <c r="CN17" s="1508"/>
      <c r="CO17" s="1508"/>
      <c r="CP17" s="1508"/>
      <c r="CQ17" s="1508"/>
      <c r="CR17" s="1508"/>
      <c r="CS17" s="1508"/>
      <c r="CT17" s="1508"/>
      <c r="CU17" s="1508"/>
      <c r="CV17" s="1508"/>
      <c r="CW17" s="1508"/>
      <c r="CX17" s="1508"/>
      <c r="CY17" s="1508"/>
      <c r="CZ17" s="1508"/>
      <c r="DA17" s="1508"/>
      <c r="DB17" s="1508"/>
      <c r="DC17" s="1508"/>
      <c r="DD17" s="1508"/>
      <c r="DE17" s="1508"/>
      <c r="DF17" s="1508"/>
      <c r="DG17" s="1508"/>
      <c r="DH17" s="1508"/>
      <c r="DI17" s="1508"/>
      <c r="DJ17" s="1508"/>
      <c r="DK17" s="1508"/>
      <c r="DL17" s="1508"/>
      <c r="DN17" s="1509">
        <v>0</v>
      </c>
    </row>
    <row r="18" spans="1:118" s="14" customFormat="1" ht="12.75" hidden="1" customHeight="1" outlineLevel="1" x14ac:dyDescent="0.2">
      <c r="A18" s="1522"/>
      <c r="B18" s="1522"/>
      <c r="C18" s="1496" t="s">
        <v>425</v>
      </c>
      <c r="D18" s="14" t="str">
        <f>INDEX(Modulos[Modulos], MATCH($C18, Modulos[Código], 0))</f>
        <v>Procesos Industriales</v>
      </c>
      <c r="E18" s="1526"/>
      <c r="G18" s="1540">
        <f t="shared" ref="G18:V18" ca="1" si="13">IFERROR(INDEX(INDIRECT($C18&amp;".Outputs["&amp;this.Year&amp;"]"), MATCH(G$5, INDIRECT($C18&amp;".Outputs[Vector]"), 0)), 0)</f>
        <v>0</v>
      </c>
      <c r="H18" s="1540"/>
      <c r="I18" s="1540"/>
      <c r="J18" s="1540"/>
      <c r="K18" s="1540"/>
      <c r="L18" s="1540"/>
      <c r="M18" s="1540">
        <f t="shared" ca="1" si="13"/>
        <v>262.50546954554397</v>
      </c>
      <c r="N18" s="1540">
        <f t="shared" ca="1" si="13"/>
        <v>0</v>
      </c>
      <c r="O18" s="1540">
        <f t="shared" ca="1" si="13"/>
        <v>0</v>
      </c>
      <c r="P18" s="1540">
        <f t="shared" ca="1" si="13"/>
        <v>0</v>
      </c>
      <c r="Q18" s="1540">
        <f t="shared" ca="1" si="13"/>
        <v>0</v>
      </c>
      <c r="R18" s="1540">
        <f t="shared" ca="1" si="13"/>
        <v>0</v>
      </c>
      <c r="S18" s="1540">
        <f t="shared" ca="1" si="13"/>
        <v>0</v>
      </c>
      <c r="T18" s="1540">
        <f t="shared" ca="1" si="13"/>
        <v>0</v>
      </c>
      <c r="U18" s="1540">
        <f t="shared" ca="1" si="13"/>
        <v>0</v>
      </c>
      <c r="V18" s="1540">
        <f t="shared" ca="1" si="13"/>
        <v>0</v>
      </c>
      <c r="W18" s="1539">
        <f t="shared" ca="1" si="10"/>
        <v>262.50546954554397</v>
      </c>
      <c r="Y18" s="1541">
        <f t="shared" ref="Y18:AP18" ca="1" si="14">IFERROR(INDEX(INDIRECT($C18&amp;".Outputs["&amp;this.Year&amp;"]"), MATCH(Y$5, INDIRECT($C18&amp;".Outputs[Vector]"), 0)), 0)</f>
        <v>-87.088518021100739</v>
      </c>
      <c r="Z18" s="1541">
        <f t="shared" ca="1" si="14"/>
        <v>0</v>
      </c>
      <c r="AA18" s="1541">
        <f t="shared" ca="1" si="14"/>
        <v>-63.684985913141524</v>
      </c>
      <c r="AB18" s="1541">
        <f t="shared" ca="1" si="14"/>
        <v>-85.546761373141365</v>
      </c>
      <c r="AC18" s="1541">
        <f t="shared" ca="1" si="14"/>
        <v>-26.185204238160328</v>
      </c>
      <c r="AD18" s="1541">
        <f t="shared" ca="1" si="14"/>
        <v>0</v>
      </c>
      <c r="AE18" s="1541">
        <f t="shared" ca="1" si="14"/>
        <v>0</v>
      </c>
      <c r="AF18" s="1541">
        <f t="shared" ca="1" si="14"/>
        <v>0</v>
      </c>
      <c r="AG18" s="1541">
        <f t="shared" ca="1" si="14"/>
        <v>0</v>
      </c>
      <c r="AH18" s="1541">
        <f t="shared" ca="1" si="14"/>
        <v>0</v>
      </c>
      <c r="AI18" s="1541">
        <f t="shared" ca="1" si="14"/>
        <v>0</v>
      </c>
      <c r="AJ18" s="1541">
        <f t="shared" ca="1" si="14"/>
        <v>0</v>
      </c>
      <c r="AK18" s="1541">
        <f t="shared" ca="1" si="14"/>
        <v>0</v>
      </c>
      <c r="AL18" s="1541">
        <f t="shared" ca="1" si="14"/>
        <v>0</v>
      </c>
      <c r="AM18" s="1541">
        <f t="shared" ca="1" si="14"/>
        <v>0</v>
      </c>
      <c r="AN18" s="1541">
        <f t="shared" ca="1" si="14"/>
        <v>0</v>
      </c>
      <c r="AO18" s="1541">
        <f t="shared" ca="1" si="14"/>
        <v>0</v>
      </c>
      <c r="AP18" s="1541">
        <f t="shared" ca="1" si="14"/>
        <v>0</v>
      </c>
      <c r="AQ18" s="1490">
        <f t="shared" ca="1" si="11"/>
        <v>-262.50546954554397</v>
      </c>
      <c r="AS18" s="1542">
        <f t="shared" ref="AS18:BK18" ca="1" si="15">IFERROR(INDEX(INDIRECT($C18&amp;".Outputs["&amp;this.Year&amp;"]"), MATCH(AS$5, INDIRECT($C18&amp;".Outputs[Vector]"), 0)), 0)</f>
        <v>0</v>
      </c>
      <c r="AT18" s="1542">
        <f t="shared" ca="1" si="15"/>
        <v>0</v>
      </c>
      <c r="AU18" s="1542">
        <f t="shared" ca="1" si="15"/>
        <v>0</v>
      </c>
      <c r="AV18" s="1542">
        <f t="shared" ca="1" si="15"/>
        <v>0</v>
      </c>
      <c r="AW18" s="1542">
        <f t="shared" ca="1" si="15"/>
        <v>0</v>
      </c>
      <c r="AX18" s="1542">
        <f t="shared" ca="1" si="15"/>
        <v>0</v>
      </c>
      <c r="AY18" s="1542">
        <f t="shared" ca="1" si="15"/>
        <v>0</v>
      </c>
      <c r="AZ18" s="1542">
        <f t="shared" ca="1" si="15"/>
        <v>0</v>
      </c>
      <c r="BA18" s="1542">
        <f t="shared" ca="1" si="15"/>
        <v>0</v>
      </c>
      <c r="BB18" s="1542">
        <f t="shared" ca="1" si="15"/>
        <v>0</v>
      </c>
      <c r="BC18" s="1542">
        <f t="shared" ca="1" si="15"/>
        <v>0</v>
      </c>
      <c r="BD18" s="1542">
        <f t="shared" ca="1" si="15"/>
        <v>0</v>
      </c>
      <c r="BE18" s="1542">
        <f t="shared" ca="1" si="15"/>
        <v>0</v>
      </c>
      <c r="BF18" s="1542">
        <f t="shared" ca="1" si="15"/>
        <v>0</v>
      </c>
      <c r="BG18" s="1542">
        <f t="shared" ca="1" si="15"/>
        <v>0</v>
      </c>
      <c r="BH18" s="1542">
        <f t="shared" ca="1" si="15"/>
        <v>0</v>
      </c>
      <c r="BI18" s="1542">
        <f t="shared" ca="1" si="15"/>
        <v>0</v>
      </c>
      <c r="BJ18" s="1542">
        <f t="shared" ca="1" si="15"/>
        <v>0</v>
      </c>
      <c r="BK18" s="1542">
        <f t="shared" ca="1" si="15"/>
        <v>0</v>
      </c>
      <c r="BL18" s="1542">
        <f ca="1">SUM(AS18:BK18)</f>
        <v>0</v>
      </c>
      <c r="BN18" s="1941">
        <f ca="1">IFERROR(INDEX(INDIRECT($C18&amp;".Outputs["&amp;this.Year&amp;"]"), MATCH(BN$5, INDIRECT($C18&amp;".Outputs[Vector]"), 0)), 0)</f>
        <v>0</v>
      </c>
      <c r="BO18" s="1941">
        <f ca="1">IFERROR(INDEX(INDIRECT($C18&amp;".Outputs["&amp;this.Year&amp;"]"), MATCH(BO$5, INDIRECT($C18&amp;".Outputs[Vector]"), 0)), 0)</f>
        <v>0</v>
      </c>
      <c r="BP18" s="1505">
        <f ca="1">BN18+BO18</f>
        <v>0</v>
      </c>
      <c r="BR18" s="3168">
        <f t="shared" ca="1" si="12"/>
        <v>0</v>
      </c>
      <c r="BS18" s="1525"/>
      <c r="BT18" s="748"/>
      <c r="BU18" s="1532">
        <v>64.817912804929591</v>
      </c>
      <c r="BV18" s="1533">
        <v>0.13010783216178268</v>
      </c>
      <c r="BW18" s="1533">
        <v>0.57551021650787848</v>
      </c>
      <c r="BX18" s="1533">
        <v>0</v>
      </c>
      <c r="BY18" s="1533">
        <v>0</v>
      </c>
      <c r="BZ18" s="1533">
        <v>0</v>
      </c>
      <c r="CA18" s="1533">
        <v>0</v>
      </c>
      <c r="CB18" s="1533">
        <v>0</v>
      </c>
      <c r="CC18" s="1533">
        <v>14.39565925511863</v>
      </c>
      <c r="CD18" s="1533">
        <v>0.11288744235152412</v>
      </c>
      <c r="CE18" s="1533">
        <v>2.7624692105907238</v>
      </c>
      <c r="CF18" s="1533">
        <v>10.620296151887526</v>
      </c>
      <c r="CG18" s="1533">
        <v>0</v>
      </c>
      <c r="CH18" s="1533">
        <v>0</v>
      </c>
      <c r="CI18" s="1533">
        <v>0</v>
      </c>
      <c r="CJ18" s="1533">
        <v>0</v>
      </c>
      <c r="CK18" s="1533">
        <v>0</v>
      </c>
      <c r="CL18" s="1533">
        <v>0</v>
      </c>
      <c r="CM18" s="1533">
        <v>0</v>
      </c>
      <c r="CN18" s="1533">
        <v>0</v>
      </c>
      <c r="CO18" s="1533">
        <v>0</v>
      </c>
      <c r="CP18" s="1533">
        <v>0</v>
      </c>
      <c r="CQ18" s="1533">
        <v>0</v>
      </c>
      <c r="CR18" s="1533">
        <v>0</v>
      </c>
      <c r="CS18" s="1533">
        <v>0</v>
      </c>
      <c r="CT18" s="1533">
        <v>0</v>
      </c>
      <c r="CU18" s="1533">
        <v>0</v>
      </c>
      <c r="CV18" s="1533">
        <v>0</v>
      </c>
      <c r="CW18" s="1533">
        <v>0</v>
      </c>
      <c r="CX18" s="1533">
        <v>0</v>
      </c>
      <c r="CY18" s="1533">
        <v>0</v>
      </c>
      <c r="CZ18" s="1533">
        <v>0</v>
      </c>
      <c r="DA18" s="1533">
        <v>0</v>
      </c>
      <c r="DB18" s="1533">
        <v>0</v>
      </c>
      <c r="DC18" s="1533">
        <v>0</v>
      </c>
      <c r="DD18" s="1533">
        <v>0</v>
      </c>
      <c r="DE18" s="1533">
        <v>0</v>
      </c>
      <c r="DF18" s="1533">
        <v>0</v>
      </c>
      <c r="DG18" s="1533">
        <v>0</v>
      </c>
      <c r="DH18" s="1533">
        <v>0</v>
      </c>
      <c r="DI18" s="1533">
        <v>0</v>
      </c>
      <c r="DJ18" s="1533">
        <v>0</v>
      </c>
      <c r="DK18" s="1533">
        <v>0</v>
      </c>
      <c r="DL18" s="1533">
        <v>0</v>
      </c>
      <c r="DN18" s="1509">
        <v>93.414842913547659</v>
      </c>
    </row>
    <row r="19" spans="1:118" s="14" customFormat="1" ht="15.75" collapsed="1" x14ac:dyDescent="0.2">
      <c r="A19" s="1534"/>
      <c r="B19" s="1535"/>
      <c r="C19" s="1536" t="s">
        <v>578</v>
      </c>
      <c r="D19" s="1537" t="str">
        <f>INDEX(Flujos[Flujos], MATCH($C19, Flujos[Código], 0))</f>
        <v>Industria y Minería</v>
      </c>
      <c r="E19" s="1538"/>
      <c r="G19" s="1539">
        <f ca="1">G18</f>
        <v>0</v>
      </c>
      <c r="H19" s="1539">
        <f t="shared" ref="H19:V19" si="16">H18</f>
        <v>0</v>
      </c>
      <c r="I19" s="1539">
        <f t="shared" si="16"/>
        <v>0</v>
      </c>
      <c r="J19" s="1539">
        <f t="shared" si="16"/>
        <v>0</v>
      </c>
      <c r="K19" s="1539">
        <f t="shared" si="16"/>
        <v>0</v>
      </c>
      <c r="L19" s="1539">
        <f t="shared" si="16"/>
        <v>0</v>
      </c>
      <c r="M19" s="1539">
        <f t="shared" ca="1" si="16"/>
        <v>262.50546954554397</v>
      </c>
      <c r="N19" s="1539">
        <f t="shared" ca="1" si="16"/>
        <v>0</v>
      </c>
      <c r="O19" s="1539">
        <f t="shared" ca="1" si="16"/>
        <v>0</v>
      </c>
      <c r="P19" s="1539">
        <f t="shared" ca="1" si="16"/>
        <v>0</v>
      </c>
      <c r="Q19" s="1539">
        <f t="shared" ca="1" si="16"/>
        <v>0</v>
      </c>
      <c r="R19" s="1539">
        <f t="shared" ca="1" si="16"/>
        <v>0</v>
      </c>
      <c r="S19" s="1539">
        <f t="shared" ca="1" si="16"/>
        <v>0</v>
      </c>
      <c r="T19" s="1539">
        <f t="shared" ca="1" si="16"/>
        <v>0</v>
      </c>
      <c r="U19" s="1539">
        <f t="shared" ca="1" si="16"/>
        <v>0</v>
      </c>
      <c r="V19" s="1539">
        <f t="shared" ca="1" si="16"/>
        <v>0</v>
      </c>
      <c r="W19" s="1539">
        <f t="shared" ca="1" si="10"/>
        <v>262.50546954554397</v>
      </c>
      <c r="Y19" s="1490">
        <f ca="1">Y18</f>
        <v>-87.088518021100739</v>
      </c>
      <c r="Z19" s="1490">
        <f t="shared" ref="Z19:AP19" ca="1" si="17">Z18</f>
        <v>0</v>
      </c>
      <c r="AA19" s="1490">
        <f t="shared" ca="1" si="17"/>
        <v>-63.684985913141524</v>
      </c>
      <c r="AB19" s="1490">
        <f t="shared" ca="1" si="17"/>
        <v>-85.546761373141365</v>
      </c>
      <c r="AC19" s="1490">
        <f t="shared" ca="1" si="17"/>
        <v>-26.185204238160328</v>
      </c>
      <c r="AD19" s="1490">
        <f t="shared" ca="1" si="17"/>
        <v>0</v>
      </c>
      <c r="AE19" s="1490">
        <f t="shared" ca="1" si="17"/>
        <v>0</v>
      </c>
      <c r="AF19" s="1490">
        <f t="shared" ca="1" si="17"/>
        <v>0</v>
      </c>
      <c r="AG19" s="1490">
        <f t="shared" ca="1" si="17"/>
        <v>0</v>
      </c>
      <c r="AH19" s="1490">
        <f t="shared" ca="1" si="17"/>
        <v>0</v>
      </c>
      <c r="AI19" s="1490">
        <f t="shared" ca="1" si="17"/>
        <v>0</v>
      </c>
      <c r="AJ19" s="1490">
        <f t="shared" ca="1" si="17"/>
        <v>0</v>
      </c>
      <c r="AK19" s="1490">
        <f t="shared" ca="1" si="17"/>
        <v>0</v>
      </c>
      <c r="AL19" s="1490">
        <f t="shared" ca="1" si="17"/>
        <v>0</v>
      </c>
      <c r="AM19" s="1490">
        <f t="shared" ca="1" si="17"/>
        <v>0</v>
      </c>
      <c r="AN19" s="1490">
        <f t="shared" ca="1" si="17"/>
        <v>0</v>
      </c>
      <c r="AO19" s="1490">
        <f t="shared" ca="1" si="17"/>
        <v>0</v>
      </c>
      <c r="AP19" s="1490">
        <f t="shared" ca="1" si="17"/>
        <v>0</v>
      </c>
      <c r="AQ19" s="1490">
        <f t="shared" ca="1" si="11"/>
        <v>-262.50546954554397</v>
      </c>
      <c r="AS19" s="1491">
        <f ca="1">AS18</f>
        <v>0</v>
      </c>
      <c r="AT19" s="1491">
        <f t="shared" ref="AT19:BM19" ca="1" si="18">AT18</f>
        <v>0</v>
      </c>
      <c r="AU19" s="1491">
        <f t="shared" ca="1" si="18"/>
        <v>0</v>
      </c>
      <c r="AV19" s="1491">
        <f t="shared" ca="1" si="18"/>
        <v>0</v>
      </c>
      <c r="AW19" s="1491">
        <f t="shared" ca="1" si="18"/>
        <v>0</v>
      </c>
      <c r="AX19" s="1491">
        <f t="shared" ca="1" si="18"/>
        <v>0</v>
      </c>
      <c r="AY19" s="1491">
        <f t="shared" ca="1" si="18"/>
        <v>0</v>
      </c>
      <c r="AZ19" s="1491">
        <f t="shared" ca="1" si="18"/>
        <v>0</v>
      </c>
      <c r="BA19" s="1491">
        <f t="shared" ca="1" si="18"/>
        <v>0</v>
      </c>
      <c r="BB19" s="1491">
        <f t="shared" ca="1" si="18"/>
        <v>0</v>
      </c>
      <c r="BC19" s="1491">
        <f t="shared" ca="1" si="18"/>
        <v>0</v>
      </c>
      <c r="BD19" s="1491">
        <f t="shared" ca="1" si="18"/>
        <v>0</v>
      </c>
      <c r="BE19" s="1491">
        <f t="shared" ca="1" si="18"/>
        <v>0</v>
      </c>
      <c r="BF19" s="1491">
        <f t="shared" ca="1" si="18"/>
        <v>0</v>
      </c>
      <c r="BG19" s="1491">
        <f t="shared" ca="1" si="18"/>
        <v>0</v>
      </c>
      <c r="BH19" s="1491">
        <f t="shared" ca="1" si="18"/>
        <v>0</v>
      </c>
      <c r="BI19" s="1491">
        <f t="shared" ca="1" si="18"/>
        <v>0</v>
      </c>
      <c r="BJ19" s="1491">
        <f t="shared" ca="1" si="18"/>
        <v>0</v>
      </c>
      <c r="BK19" s="1491">
        <f t="shared" ca="1" si="18"/>
        <v>0</v>
      </c>
      <c r="BL19" s="1491">
        <f ca="1">BL18</f>
        <v>0</v>
      </c>
      <c r="BM19" s="1491">
        <f t="shared" si="18"/>
        <v>0</v>
      </c>
      <c r="BN19" s="1941">
        <f ca="1">BN18</f>
        <v>0</v>
      </c>
      <c r="BO19" s="1941">
        <f ca="1">BO18</f>
        <v>0</v>
      </c>
      <c r="BP19" s="1505">
        <f ca="1">BN19+BO19</f>
        <v>0</v>
      </c>
      <c r="BR19" s="3168">
        <f ca="1">W19+AQ19+BL19+BP19</f>
        <v>0</v>
      </c>
      <c r="BS19" s="1493"/>
      <c r="BT19" s="748"/>
      <c r="BU19" s="1508">
        <v>64.817912804929591</v>
      </c>
      <c r="BV19" s="1508">
        <v>0.13010783216178268</v>
      </c>
      <c r="BW19" s="1508">
        <v>0.57551021650787848</v>
      </c>
      <c r="BX19" s="1508">
        <v>0</v>
      </c>
      <c r="BY19" s="1508">
        <v>0</v>
      </c>
      <c r="BZ19" s="1508">
        <v>0</v>
      </c>
      <c r="CA19" s="1508">
        <v>0</v>
      </c>
      <c r="CB19" s="1508">
        <v>0</v>
      </c>
      <c r="CC19" s="1508">
        <v>14.39565925511863</v>
      </c>
      <c r="CD19" s="1508">
        <v>0.11288744235152412</v>
      </c>
      <c r="CE19" s="1508">
        <v>2.7624692105907238</v>
      </c>
      <c r="CF19" s="1508">
        <v>10.620296151887526</v>
      </c>
      <c r="CG19" s="1508">
        <v>0</v>
      </c>
      <c r="CH19" s="1508">
        <v>0</v>
      </c>
      <c r="CI19" s="1508">
        <v>0</v>
      </c>
      <c r="CJ19" s="1508">
        <v>0</v>
      </c>
      <c r="CK19" s="1508">
        <v>0</v>
      </c>
      <c r="CL19" s="1508">
        <v>0</v>
      </c>
      <c r="CM19" s="1508">
        <v>0</v>
      </c>
      <c r="CN19" s="1508">
        <v>0</v>
      </c>
      <c r="CO19" s="1508">
        <v>0</v>
      </c>
      <c r="CP19" s="1508">
        <v>0</v>
      </c>
      <c r="CQ19" s="1508">
        <v>0</v>
      </c>
      <c r="CR19" s="1508">
        <v>0</v>
      </c>
      <c r="CS19" s="1508">
        <v>0</v>
      </c>
      <c r="CT19" s="1508">
        <v>0</v>
      </c>
      <c r="CU19" s="1508">
        <v>0</v>
      </c>
      <c r="CV19" s="1508">
        <v>0</v>
      </c>
      <c r="CW19" s="1508">
        <v>0</v>
      </c>
      <c r="CX19" s="1508">
        <v>0</v>
      </c>
      <c r="CY19" s="1508">
        <v>0</v>
      </c>
      <c r="CZ19" s="1508">
        <v>0</v>
      </c>
      <c r="DA19" s="1508">
        <v>0</v>
      </c>
      <c r="DB19" s="1508">
        <v>0</v>
      </c>
      <c r="DC19" s="1508">
        <v>0</v>
      </c>
      <c r="DD19" s="1508">
        <v>0</v>
      </c>
      <c r="DE19" s="1508">
        <v>0</v>
      </c>
      <c r="DF19" s="1508">
        <v>0</v>
      </c>
      <c r="DG19" s="1508">
        <v>0</v>
      </c>
      <c r="DH19" s="1508">
        <v>0</v>
      </c>
      <c r="DI19" s="1508">
        <v>0</v>
      </c>
      <c r="DJ19" s="1508">
        <v>0</v>
      </c>
      <c r="DK19" s="1508">
        <v>0</v>
      </c>
      <c r="DL19" s="1508">
        <v>0</v>
      </c>
      <c r="DN19" s="1509">
        <v>93.414842913547659</v>
      </c>
    </row>
    <row r="20" spans="1:118" s="14" customFormat="1" ht="15.75" x14ac:dyDescent="0.2">
      <c r="A20" s="1534"/>
      <c r="B20" s="1535"/>
      <c r="C20" s="1536"/>
      <c r="D20" s="1537"/>
      <c r="E20" s="1538"/>
      <c r="G20" s="1539"/>
      <c r="H20" s="1539"/>
      <c r="I20" s="1539"/>
      <c r="J20" s="1539"/>
      <c r="K20" s="1539"/>
      <c r="L20" s="1539"/>
      <c r="M20" s="1539"/>
      <c r="N20" s="1539"/>
      <c r="O20" s="1539"/>
      <c r="P20" s="1539"/>
      <c r="Q20" s="1539"/>
      <c r="R20" s="1539"/>
      <c r="S20" s="1539"/>
      <c r="T20" s="1539"/>
      <c r="U20" s="1539"/>
      <c r="V20" s="1539"/>
      <c r="W20" s="1539"/>
      <c r="Y20" s="1490"/>
      <c r="Z20" s="1490"/>
      <c r="AA20" s="1490"/>
      <c r="AB20" s="1490"/>
      <c r="AC20" s="1490"/>
      <c r="AD20" s="1490"/>
      <c r="AE20" s="1490"/>
      <c r="AF20" s="1490"/>
      <c r="AG20" s="1490"/>
      <c r="AH20" s="1490"/>
      <c r="AI20" s="1490"/>
      <c r="AJ20" s="1490"/>
      <c r="AK20" s="1490"/>
      <c r="AL20" s="1490"/>
      <c r="AM20" s="1490"/>
      <c r="AN20" s="1490"/>
      <c r="AO20" s="1490"/>
      <c r="AP20" s="1490"/>
      <c r="AQ20" s="1490"/>
      <c r="AS20" s="1491"/>
      <c r="AT20" s="1491"/>
      <c r="AU20" s="1491"/>
      <c r="AV20" s="1491"/>
      <c r="AW20" s="1491"/>
      <c r="AX20" s="1491"/>
      <c r="AY20" s="1491"/>
      <c r="AZ20" s="1491"/>
      <c r="BA20" s="1491"/>
      <c r="BB20" s="1491"/>
      <c r="BC20" s="1491"/>
      <c r="BD20" s="1491"/>
      <c r="BE20" s="1491"/>
      <c r="BF20" s="1491"/>
      <c r="BG20" s="1491"/>
      <c r="BH20" s="1491"/>
      <c r="BI20" s="1491"/>
      <c r="BJ20" s="1491"/>
      <c r="BK20" s="1491"/>
      <c r="BL20" s="1491"/>
      <c r="BN20" s="1492"/>
      <c r="BO20" s="1492"/>
      <c r="BP20" s="1492"/>
      <c r="BR20" s="3168"/>
      <c r="BS20" s="1493"/>
      <c r="BT20" s="748"/>
      <c r="BU20" s="1508"/>
      <c r="BV20" s="1508"/>
      <c r="BW20" s="1508"/>
      <c r="BX20" s="1508"/>
      <c r="BY20" s="1508"/>
      <c r="BZ20" s="1508"/>
      <c r="CA20" s="1508"/>
      <c r="CB20" s="1508"/>
      <c r="CC20" s="1508"/>
      <c r="CD20" s="1508"/>
      <c r="CE20" s="1508"/>
      <c r="CF20" s="1508"/>
      <c r="CG20" s="1508"/>
      <c r="CH20" s="1508"/>
      <c r="CI20" s="1508"/>
      <c r="CJ20" s="1508"/>
      <c r="CK20" s="1508"/>
      <c r="CL20" s="1508"/>
      <c r="CM20" s="1508"/>
      <c r="CN20" s="1508"/>
      <c r="CO20" s="1508"/>
      <c r="CP20" s="1508"/>
      <c r="CQ20" s="1508"/>
      <c r="CR20" s="1508"/>
      <c r="CS20" s="1508"/>
      <c r="CT20" s="1508"/>
      <c r="CU20" s="1508"/>
      <c r="CV20" s="1508"/>
      <c r="CW20" s="1508"/>
      <c r="CX20" s="1508"/>
      <c r="CY20" s="1508"/>
      <c r="CZ20" s="1508"/>
      <c r="DA20" s="1508"/>
      <c r="DB20" s="1508"/>
      <c r="DC20" s="1508"/>
      <c r="DD20" s="1508"/>
      <c r="DE20" s="1508"/>
      <c r="DF20" s="1508"/>
      <c r="DG20" s="1508"/>
      <c r="DH20" s="1508"/>
      <c r="DI20" s="1508"/>
      <c r="DJ20" s="1508"/>
      <c r="DK20" s="1508"/>
      <c r="DL20" s="1508"/>
      <c r="DN20" s="1509"/>
    </row>
    <row r="21" spans="1:118" s="14" customFormat="1" ht="10.5" hidden="1" customHeight="1" outlineLevel="2" x14ac:dyDescent="0.2">
      <c r="A21" s="1495"/>
      <c r="B21" s="1495"/>
      <c r="C21" s="1511" t="s">
        <v>421</v>
      </c>
      <c r="D21" s="14" t="str">
        <f>INDEX(Modulos[Modulos], MATCH($C21, Modulos[Código], 0))</f>
        <v>Transporte de pasajeros</v>
      </c>
      <c r="E21" s="1512"/>
      <c r="G21" s="1889">
        <f t="shared" ref="G21:V21" ca="1" si="19">IFERROR(INDEX(INDIRECT($C21&amp;".Outputs["&amp;this.Year&amp;"]"), MATCH(G$5, INDIRECT($C21&amp;".Outputs[Vector]"), 0)), 0)</f>
        <v>0</v>
      </c>
      <c r="H21" s="1889"/>
      <c r="I21" s="1889"/>
      <c r="J21" s="1889"/>
      <c r="K21" s="1889"/>
      <c r="L21" s="1889"/>
      <c r="M21" s="1889">
        <f t="shared" ca="1" si="19"/>
        <v>0</v>
      </c>
      <c r="N21" s="1889">
        <f t="shared" ca="1" si="19"/>
        <v>84.980606868956514</v>
      </c>
      <c r="O21" s="1889">
        <f t="shared" ca="1" si="19"/>
        <v>42.239823681665676</v>
      </c>
      <c r="P21" s="1889">
        <f t="shared" ca="1" si="19"/>
        <v>0.63718288562585734</v>
      </c>
      <c r="Q21" s="1889">
        <f t="shared" ca="1" si="19"/>
        <v>0.10538681092763307</v>
      </c>
      <c r="R21" s="1888">
        <f t="shared" ca="1" si="19"/>
        <v>36.125164502313076</v>
      </c>
      <c r="S21" s="1889">
        <f t="shared" ca="1" si="19"/>
        <v>0</v>
      </c>
      <c r="T21" s="1889">
        <f t="shared" ca="1" si="19"/>
        <v>0</v>
      </c>
      <c r="U21" s="1889">
        <f t="shared" ca="1" si="19"/>
        <v>0</v>
      </c>
      <c r="V21" s="1889">
        <f t="shared" ca="1" si="19"/>
        <v>0</v>
      </c>
      <c r="W21" s="1539">
        <f t="shared" ca="1" si="10"/>
        <v>164.08816474948875</v>
      </c>
      <c r="Y21" s="1500">
        <f t="shared" ref="Y21:AP21" ca="1" si="20">IFERROR(INDEX(INDIRECT($C21&amp;".Outputs["&amp;this.Year&amp;"]"), MATCH(Y$5, INDIRECT($C21&amp;".Outputs[Vector]"), 0)), 0)</f>
        <v>-1.8045008568131686</v>
      </c>
      <c r="Z21" s="1500">
        <f t="shared" ca="1" si="20"/>
        <v>0</v>
      </c>
      <c r="AA21" s="1500">
        <f t="shared" ca="1" si="20"/>
        <v>0</v>
      </c>
      <c r="AB21" s="1500">
        <f t="shared" ca="1" si="20"/>
        <v>-162.28366389267561</v>
      </c>
      <c r="AC21" s="1500">
        <f t="shared" ca="1" si="20"/>
        <v>0</v>
      </c>
      <c r="AD21" s="1500">
        <f t="shared" ca="1" si="20"/>
        <v>0</v>
      </c>
      <c r="AE21" s="1500">
        <f t="shared" ca="1" si="20"/>
        <v>0</v>
      </c>
      <c r="AF21" s="1500">
        <f t="shared" ca="1" si="20"/>
        <v>0</v>
      </c>
      <c r="AG21" s="1500">
        <f t="shared" ca="1" si="20"/>
        <v>0</v>
      </c>
      <c r="AH21" s="1500">
        <f t="shared" ca="1" si="20"/>
        <v>0</v>
      </c>
      <c r="AI21" s="1500">
        <f t="shared" ca="1" si="20"/>
        <v>0</v>
      </c>
      <c r="AJ21" s="1500">
        <f t="shared" ca="1" si="20"/>
        <v>0</v>
      </c>
      <c r="AK21" s="1500">
        <f t="shared" ca="1" si="20"/>
        <v>0</v>
      </c>
      <c r="AL21" s="1500">
        <f t="shared" ca="1" si="20"/>
        <v>0</v>
      </c>
      <c r="AM21" s="1500">
        <f t="shared" ca="1" si="20"/>
        <v>0</v>
      </c>
      <c r="AN21" s="1500">
        <f t="shared" ca="1" si="20"/>
        <v>0</v>
      </c>
      <c r="AO21" s="1500">
        <f t="shared" ca="1" si="20"/>
        <v>0</v>
      </c>
      <c r="AP21" s="1500">
        <f t="shared" ca="1" si="20"/>
        <v>0</v>
      </c>
      <c r="AQ21" s="1490">
        <f ca="1">SUM(Y21:AP21)</f>
        <v>-164.08816474948878</v>
      </c>
      <c r="AS21" s="1491">
        <f>AS20</f>
        <v>0</v>
      </c>
      <c r="AT21" s="1491">
        <f t="shared" ref="AT21:BK21" si="21">AT20</f>
        <v>0</v>
      </c>
      <c r="AU21" s="1491">
        <f t="shared" si="21"/>
        <v>0</v>
      </c>
      <c r="AV21" s="1491">
        <f t="shared" si="21"/>
        <v>0</v>
      </c>
      <c r="AW21" s="1491">
        <f t="shared" si="21"/>
        <v>0</v>
      </c>
      <c r="AX21" s="1491">
        <f t="shared" si="21"/>
        <v>0</v>
      </c>
      <c r="AY21" s="1491">
        <f t="shared" si="21"/>
        <v>0</v>
      </c>
      <c r="AZ21" s="1491">
        <f t="shared" si="21"/>
        <v>0</v>
      </c>
      <c r="BA21" s="1491">
        <f t="shared" si="21"/>
        <v>0</v>
      </c>
      <c r="BB21" s="1491">
        <f t="shared" si="21"/>
        <v>0</v>
      </c>
      <c r="BC21" s="1491">
        <f t="shared" si="21"/>
        <v>0</v>
      </c>
      <c r="BD21" s="1491">
        <f t="shared" si="21"/>
        <v>0</v>
      </c>
      <c r="BE21" s="1491">
        <f t="shared" si="21"/>
        <v>0</v>
      </c>
      <c r="BF21" s="1491">
        <f t="shared" si="21"/>
        <v>0</v>
      </c>
      <c r="BG21" s="1491">
        <f t="shared" si="21"/>
        <v>0</v>
      </c>
      <c r="BH21" s="1491">
        <f t="shared" si="21"/>
        <v>0</v>
      </c>
      <c r="BI21" s="1491">
        <f t="shared" si="21"/>
        <v>0</v>
      </c>
      <c r="BJ21" s="1491">
        <f t="shared" si="21"/>
        <v>0</v>
      </c>
      <c r="BK21" s="1491">
        <f t="shared" si="21"/>
        <v>0</v>
      </c>
      <c r="BL21" s="1503">
        <f>SUM(AS21:BK21)</f>
        <v>0</v>
      </c>
      <c r="BN21" s="1941">
        <f ca="1">IFERROR(INDEX(INDIRECT($C21&amp;".Outputs["&amp;this.Year&amp;"]"), MATCH(BN$5, INDIRECT($C21&amp;".Outputs[Vector]"), 0)), 0)</f>
        <v>0</v>
      </c>
      <c r="BO21" s="1941">
        <f ca="1">IFERROR(INDEX(INDIRECT($C21&amp;".Outputs["&amp;this.Year&amp;"]"), MATCH(BO$5, INDIRECT($C21&amp;".Outputs[Vector]"), 0)), 0)</f>
        <v>0</v>
      </c>
      <c r="BP21" s="1505">
        <f ca="1">BN21+BO21</f>
        <v>0</v>
      </c>
      <c r="BR21" s="3168">
        <f t="shared" ca="1" si="12"/>
        <v>-2.8421709430404007E-14</v>
      </c>
      <c r="BS21" s="1506"/>
      <c r="BT21" s="748"/>
      <c r="BU21" s="1507">
        <v>0</v>
      </c>
      <c r="BV21" s="1508">
        <v>0</v>
      </c>
      <c r="BW21" s="1508">
        <v>0</v>
      </c>
      <c r="BX21" s="1508">
        <v>0</v>
      </c>
      <c r="BY21" s="1508">
        <v>0</v>
      </c>
      <c r="BZ21" s="1508">
        <v>0</v>
      </c>
      <c r="CA21" s="1508">
        <v>0</v>
      </c>
      <c r="CB21" s="1508">
        <v>0</v>
      </c>
      <c r="CC21" s="1508">
        <v>0</v>
      </c>
      <c r="CD21" s="1508">
        <v>0</v>
      </c>
      <c r="CE21" s="1508">
        <v>0</v>
      </c>
      <c r="CF21" s="1508">
        <v>0</v>
      </c>
      <c r="CG21" s="1508">
        <v>0</v>
      </c>
      <c r="CH21" s="1508">
        <v>0</v>
      </c>
      <c r="CI21" s="1508">
        <v>0</v>
      </c>
      <c r="CJ21" s="1508">
        <v>0</v>
      </c>
      <c r="CK21" s="1508">
        <v>0</v>
      </c>
      <c r="CL21" s="1508">
        <v>0</v>
      </c>
      <c r="CM21" s="1508">
        <v>0</v>
      </c>
      <c r="CN21" s="1508">
        <v>0</v>
      </c>
      <c r="CO21" s="1508">
        <v>0</v>
      </c>
      <c r="CP21" s="1508">
        <v>0</v>
      </c>
      <c r="CQ21" s="1508">
        <v>0</v>
      </c>
      <c r="CR21" s="1508">
        <v>0</v>
      </c>
      <c r="CS21" s="1508">
        <v>0</v>
      </c>
      <c r="CT21" s="1508">
        <v>0</v>
      </c>
      <c r="CU21" s="1508">
        <v>0</v>
      </c>
      <c r="CV21" s="1508">
        <v>0</v>
      </c>
      <c r="CW21" s="1508">
        <v>0</v>
      </c>
      <c r="CX21" s="1508">
        <v>0</v>
      </c>
      <c r="CY21" s="1508">
        <v>0</v>
      </c>
      <c r="CZ21" s="1508">
        <v>0</v>
      </c>
      <c r="DA21" s="1508">
        <v>38.200000000000003</v>
      </c>
      <c r="DB21" s="1508">
        <v>4.7558849195905424E-2</v>
      </c>
      <c r="DC21" s="1508">
        <v>0.68729627526214465</v>
      </c>
      <c r="DD21" s="1508">
        <v>0</v>
      </c>
      <c r="DE21" s="1508">
        <v>0</v>
      </c>
      <c r="DF21" s="1508">
        <v>0</v>
      </c>
      <c r="DG21" s="1508">
        <v>0</v>
      </c>
      <c r="DH21" s="1508">
        <v>0</v>
      </c>
      <c r="DI21" s="1508">
        <v>0</v>
      </c>
      <c r="DJ21" s="1508">
        <v>0</v>
      </c>
      <c r="DK21" s="1508">
        <v>0</v>
      </c>
      <c r="DL21" s="1508">
        <v>0</v>
      </c>
      <c r="DN21" s="1509">
        <v>38.934855124458053</v>
      </c>
    </row>
    <row r="22" spans="1:118" s="14" customFormat="1" ht="10.5" hidden="1" customHeight="1" outlineLevel="2" x14ac:dyDescent="0.2">
      <c r="A22" s="1510"/>
      <c r="B22" s="1510"/>
      <c r="C22" s="1510"/>
      <c r="D22" s="1546"/>
      <c r="E22" s="1512"/>
      <c r="G22" s="1513"/>
      <c r="H22" s="1513"/>
      <c r="I22" s="1513"/>
      <c r="J22" s="1513"/>
      <c r="K22" s="1513"/>
      <c r="L22" s="1513"/>
      <c r="M22" s="1513"/>
      <c r="N22" s="1513"/>
      <c r="O22" s="1513"/>
      <c r="P22" s="1513"/>
      <c r="Q22" s="1513"/>
      <c r="R22" s="1513"/>
      <c r="S22" s="1513"/>
      <c r="T22" s="1513"/>
      <c r="U22" s="1513"/>
      <c r="V22" s="1513"/>
      <c r="W22" s="1539">
        <f t="shared" si="10"/>
        <v>0</v>
      </c>
      <c r="Y22" s="1515"/>
      <c r="Z22" s="1515"/>
      <c r="AA22" s="1515"/>
      <c r="AB22" s="1515"/>
      <c r="AC22" s="1515"/>
      <c r="AD22" s="1515"/>
      <c r="AE22" s="1515"/>
      <c r="AF22" s="1515"/>
      <c r="AG22" s="1515"/>
      <c r="AH22" s="1515"/>
      <c r="AI22" s="1515"/>
      <c r="AJ22" s="1515"/>
      <c r="AK22" s="1515"/>
      <c r="AL22" s="1515"/>
      <c r="AM22" s="1515"/>
      <c r="AN22" s="1515"/>
      <c r="AO22" s="1515"/>
      <c r="AP22" s="1515"/>
      <c r="AQ22" s="1490">
        <f t="shared" si="11"/>
        <v>0</v>
      </c>
      <c r="AS22" s="1517"/>
      <c r="AT22" s="1517"/>
      <c r="AU22" s="1517"/>
      <c r="AV22" s="1517"/>
      <c r="AW22" s="1517"/>
      <c r="AX22" s="1517"/>
      <c r="AY22" s="1517"/>
      <c r="AZ22" s="1517"/>
      <c r="BA22" s="1517"/>
      <c r="BB22" s="1517"/>
      <c r="BC22" s="1517"/>
      <c r="BD22" s="1517"/>
      <c r="BE22" s="1517"/>
      <c r="BF22" s="1517"/>
      <c r="BG22" s="1517"/>
      <c r="BH22" s="1517"/>
      <c r="BI22" s="1517"/>
      <c r="BJ22" s="1517"/>
      <c r="BK22" s="1517"/>
      <c r="BL22" s="1518"/>
      <c r="BN22" s="1519"/>
      <c r="BO22" s="1519"/>
      <c r="BP22" s="1520"/>
      <c r="BR22" s="3168">
        <f t="shared" si="12"/>
        <v>0</v>
      </c>
      <c r="BS22" s="1521"/>
      <c r="BT22" s="748"/>
      <c r="BU22" s="1507">
        <v>0</v>
      </c>
      <c r="BV22" s="1508">
        <v>0</v>
      </c>
      <c r="BW22" s="1508">
        <v>0</v>
      </c>
      <c r="BX22" s="1508">
        <v>0</v>
      </c>
      <c r="BY22" s="1508">
        <v>0</v>
      </c>
      <c r="BZ22" s="1508">
        <v>0</v>
      </c>
      <c r="CA22" s="1508">
        <v>0</v>
      </c>
      <c r="CB22" s="1508">
        <v>0</v>
      </c>
      <c r="CC22" s="1508">
        <v>0</v>
      </c>
      <c r="CD22" s="1508">
        <v>0</v>
      </c>
      <c r="CE22" s="1508">
        <v>0</v>
      </c>
      <c r="CF22" s="1508">
        <v>0</v>
      </c>
      <c r="CG22" s="1508">
        <v>0</v>
      </c>
      <c r="CH22" s="1508">
        <v>0</v>
      </c>
      <c r="CI22" s="1508">
        <v>0</v>
      </c>
      <c r="CJ22" s="1508">
        <v>0</v>
      </c>
      <c r="CK22" s="1508">
        <v>0</v>
      </c>
      <c r="CL22" s="1508">
        <v>0</v>
      </c>
      <c r="CM22" s="1508">
        <v>0</v>
      </c>
      <c r="CN22" s="1508">
        <v>0</v>
      </c>
      <c r="CO22" s="1508">
        <v>0</v>
      </c>
      <c r="CP22" s="1508">
        <v>0</v>
      </c>
      <c r="CQ22" s="1508">
        <v>0</v>
      </c>
      <c r="CR22" s="1508">
        <v>0</v>
      </c>
      <c r="CS22" s="1508">
        <v>0</v>
      </c>
      <c r="CT22" s="1508">
        <v>0</v>
      </c>
      <c r="CU22" s="1508">
        <v>0</v>
      </c>
      <c r="CV22" s="1508">
        <v>0</v>
      </c>
      <c r="CW22" s="1508">
        <v>0</v>
      </c>
      <c r="CX22" s="1508">
        <v>0</v>
      </c>
      <c r="CY22" s="1508">
        <v>0</v>
      </c>
      <c r="CZ22" s="1508">
        <v>0</v>
      </c>
      <c r="DA22" s="1508">
        <v>0</v>
      </c>
      <c r="DB22" s="1508">
        <v>0</v>
      </c>
      <c r="DC22" s="1508">
        <v>0</v>
      </c>
      <c r="DD22" s="1508">
        <v>0</v>
      </c>
      <c r="DE22" s="1508">
        <v>0</v>
      </c>
      <c r="DF22" s="1508">
        <v>0</v>
      </c>
      <c r="DG22" s="1508">
        <v>0</v>
      </c>
      <c r="DH22" s="1508">
        <v>0</v>
      </c>
      <c r="DI22" s="1508">
        <v>0</v>
      </c>
      <c r="DJ22" s="1508">
        <v>0</v>
      </c>
      <c r="DK22" s="1508">
        <v>0</v>
      </c>
      <c r="DL22" s="1508">
        <v>0</v>
      </c>
      <c r="DN22" s="1509">
        <v>0</v>
      </c>
    </row>
    <row r="23" spans="1:118" s="14" customFormat="1" ht="10.5" hidden="1" customHeight="1" outlineLevel="1" x14ac:dyDescent="0.2">
      <c r="A23" s="1522"/>
      <c r="B23" s="1522"/>
      <c r="C23" s="1522"/>
      <c r="D23" s="1545"/>
      <c r="E23" s="1512"/>
      <c r="G23" s="1499"/>
      <c r="H23" s="1499"/>
      <c r="I23" s="1499"/>
      <c r="J23" s="1499"/>
      <c r="K23" s="1499"/>
      <c r="L23" s="1499"/>
      <c r="M23" s="1499"/>
      <c r="N23" s="1499"/>
      <c r="O23" s="1499"/>
      <c r="P23" s="1499"/>
      <c r="Q23" s="1499"/>
      <c r="R23" s="1499"/>
      <c r="S23" s="1499"/>
      <c r="T23" s="1499"/>
      <c r="U23" s="1499"/>
      <c r="V23" s="1499"/>
      <c r="W23" s="1539">
        <f t="shared" si="10"/>
        <v>0</v>
      </c>
      <c r="Y23" s="1501"/>
      <c r="Z23" s="1501"/>
      <c r="AA23" s="1501"/>
      <c r="AB23" s="1501"/>
      <c r="AC23" s="1501"/>
      <c r="AD23" s="1501"/>
      <c r="AE23" s="1501"/>
      <c r="AF23" s="1501"/>
      <c r="AG23" s="1501"/>
      <c r="AH23" s="1501"/>
      <c r="AI23" s="1501"/>
      <c r="AJ23" s="1501"/>
      <c r="AK23" s="1501"/>
      <c r="AL23" s="1501"/>
      <c r="AM23" s="1501"/>
      <c r="AN23" s="1501"/>
      <c r="AO23" s="1501"/>
      <c r="AP23" s="1501"/>
      <c r="AQ23" s="1490">
        <f t="shared" si="11"/>
        <v>0</v>
      </c>
      <c r="AS23" s="1523"/>
      <c r="AT23" s="1523"/>
      <c r="AU23" s="1523"/>
      <c r="AV23" s="1523"/>
      <c r="AW23" s="1523"/>
      <c r="AX23" s="1523"/>
      <c r="AY23" s="1523"/>
      <c r="AZ23" s="1523"/>
      <c r="BA23" s="1523"/>
      <c r="BB23" s="1523"/>
      <c r="BC23" s="1523"/>
      <c r="BD23" s="1523"/>
      <c r="BE23" s="1523"/>
      <c r="BF23" s="1523"/>
      <c r="BG23" s="1523"/>
      <c r="BH23" s="1523"/>
      <c r="BI23" s="1523"/>
      <c r="BJ23" s="1523"/>
      <c r="BK23" s="1523"/>
      <c r="BL23" s="1503"/>
      <c r="BN23" s="1505"/>
      <c r="BO23" s="1505"/>
      <c r="BP23" s="1505"/>
      <c r="BR23" s="3168">
        <f t="shared" si="12"/>
        <v>0</v>
      </c>
      <c r="BS23" s="1506"/>
      <c r="BT23" s="748"/>
      <c r="BU23" s="1507">
        <v>0</v>
      </c>
      <c r="BV23" s="1508">
        <v>0</v>
      </c>
      <c r="BW23" s="1508">
        <v>0</v>
      </c>
      <c r="BX23" s="1508">
        <v>0</v>
      </c>
      <c r="BY23" s="1508">
        <v>0</v>
      </c>
      <c r="BZ23" s="1508">
        <v>0</v>
      </c>
      <c r="CA23" s="1508">
        <v>0</v>
      </c>
      <c r="CB23" s="1508">
        <v>0</v>
      </c>
      <c r="CC23" s="1508">
        <v>0</v>
      </c>
      <c r="CD23" s="1508">
        <v>0</v>
      </c>
      <c r="CE23" s="1508">
        <v>0</v>
      </c>
      <c r="CF23" s="1508">
        <v>0</v>
      </c>
      <c r="CG23" s="1508">
        <v>0</v>
      </c>
      <c r="CH23" s="1508">
        <v>0</v>
      </c>
      <c r="CI23" s="1508">
        <v>0</v>
      </c>
      <c r="CJ23" s="1508">
        <v>0</v>
      </c>
      <c r="CK23" s="1508">
        <v>0</v>
      </c>
      <c r="CL23" s="1508">
        <v>0</v>
      </c>
      <c r="CM23" s="1508">
        <v>0</v>
      </c>
      <c r="CN23" s="1508">
        <v>0</v>
      </c>
      <c r="CO23" s="1508">
        <v>0</v>
      </c>
      <c r="CP23" s="1508">
        <v>0</v>
      </c>
      <c r="CQ23" s="1508">
        <v>0</v>
      </c>
      <c r="CR23" s="1508">
        <v>0</v>
      </c>
      <c r="CS23" s="1508">
        <v>0</v>
      </c>
      <c r="CT23" s="1508">
        <v>0</v>
      </c>
      <c r="CU23" s="1508">
        <v>0</v>
      </c>
      <c r="CV23" s="1508">
        <v>0</v>
      </c>
      <c r="CW23" s="1508">
        <v>0</v>
      </c>
      <c r="CX23" s="1508">
        <v>0</v>
      </c>
      <c r="CY23" s="1508">
        <v>0</v>
      </c>
      <c r="CZ23" s="1508">
        <v>0</v>
      </c>
      <c r="DA23" s="1508">
        <v>38.200000000000003</v>
      </c>
      <c r="DB23" s="1508">
        <v>4.7558849195905424E-2</v>
      </c>
      <c r="DC23" s="1508">
        <v>0.68729627526214465</v>
      </c>
      <c r="DD23" s="1508">
        <v>0</v>
      </c>
      <c r="DE23" s="1508">
        <v>0</v>
      </c>
      <c r="DF23" s="1508">
        <v>0</v>
      </c>
      <c r="DG23" s="1508">
        <v>0</v>
      </c>
      <c r="DH23" s="1508">
        <v>0</v>
      </c>
      <c r="DI23" s="1508">
        <v>0</v>
      </c>
      <c r="DJ23" s="1508">
        <v>0</v>
      </c>
      <c r="DK23" s="1508">
        <v>0</v>
      </c>
      <c r="DL23" s="1508">
        <v>0</v>
      </c>
      <c r="DN23" s="1509">
        <v>38.934855124458053</v>
      </c>
    </row>
    <row r="24" spans="1:118" s="14" customFormat="1" ht="12.75" hidden="1" customHeight="1" outlineLevel="2" x14ac:dyDescent="0.2">
      <c r="A24" s="1495"/>
      <c r="B24" s="1495"/>
      <c r="C24" s="1496" t="s">
        <v>102</v>
      </c>
      <c r="D24" s="14" t="str">
        <f>INDEX(Modulos[Modulos], MATCH($C24, Modulos[Código], 0))</f>
        <v>Transporte de carga</v>
      </c>
      <c r="E24" s="1512"/>
      <c r="G24" s="1889">
        <f t="shared" ref="G24:V24" ca="1" si="22">IFERROR(INDEX(INDIRECT($C24&amp;".Outputs["&amp;this.Year&amp;"]"), MATCH(G$5, INDIRECT($C24&amp;".Outputs[Vector]"), 0)), 0)</f>
        <v>0</v>
      </c>
      <c r="H24" s="1889"/>
      <c r="I24" s="1889"/>
      <c r="J24" s="1889"/>
      <c r="K24" s="1889"/>
      <c r="L24" s="1889"/>
      <c r="M24" s="1889">
        <f t="shared" ca="1" si="22"/>
        <v>0</v>
      </c>
      <c r="N24" s="1889">
        <f t="shared" ca="1" si="22"/>
        <v>0</v>
      </c>
      <c r="O24" s="1889">
        <f t="shared" ca="1" si="22"/>
        <v>0</v>
      </c>
      <c r="P24" s="1889">
        <f t="shared" ca="1" si="22"/>
        <v>0</v>
      </c>
      <c r="Q24" s="1889">
        <f t="shared" ca="1" si="22"/>
        <v>0</v>
      </c>
      <c r="R24" s="1889">
        <f t="shared" ca="1" si="22"/>
        <v>0</v>
      </c>
      <c r="S24" s="1889">
        <f t="shared" ca="1" si="22"/>
        <v>11.540996944925201</v>
      </c>
      <c r="T24" s="1889">
        <f t="shared" ca="1" si="22"/>
        <v>13.08253848496264</v>
      </c>
      <c r="U24" s="1889">
        <f t="shared" ca="1" si="22"/>
        <v>7.9979504726837031E-3</v>
      </c>
      <c r="V24" s="1889">
        <f t="shared" ca="1" si="22"/>
        <v>0.49197922477980477</v>
      </c>
      <c r="W24" s="1539">
        <f t="shared" ca="1" si="10"/>
        <v>25.123512605140331</v>
      </c>
      <c r="Y24" s="1891">
        <f t="shared" ref="Y24:AP24" ca="1" si="23">IFERROR(INDEX(INDIRECT($C24&amp;".Outputs["&amp;this.Year&amp;"]"), MATCH(Y$5, INDIRECT($C24&amp;".Outputs[Vector]"), 0)), 0)</f>
        <v>0</v>
      </c>
      <c r="Z24" s="1891">
        <f t="shared" ca="1" si="23"/>
        <v>0</v>
      </c>
      <c r="AA24" s="1891">
        <f t="shared" ca="1" si="23"/>
        <v>0</v>
      </c>
      <c r="AB24" s="1891">
        <f t="shared" ca="1" si="23"/>
        <v>-25.123512605140331</v>
      </c>
      <c r="AC24" s="1891">
        <f t="shared" ca="1" si="23"/>
        <v>0</v>
      </c>
      <c r="AD24" s="1891">
        <f t="shared" ca="1" si="23"/>
        <v>0</v>
      </c>
      <c r="AE24" s="1891">
        <f t="shared" ca="1" si="23"/>
        <v>0</v>
      </c>
      <c r="AF24" s="1891">
        <f t="shared" ca="1" si="23"/>
        <v>0</v>
      </c>
      <c r="AG24" s="1891">
        <f t="shared" ca="1" si="23"/>
        <v>0</v>
      </c>
      <c r="AH24" s="1891">
        <f t="shared" ca="1" si="23"/>
        <v>0</v>
      </c>
      <c r="AI24" s="1891">
        <f t="shared" ca="1" si="23"/>
        <v>0</v>
      </c>
      <c r="AJ24" s="1891">
        <f t="shared" ca="1" si="23"/>
        <v>0</v>
      </c>
      <c r="AK24" s="1891">
        <f t="shared" ca="1" si="23"/>
        <v>0</v>
      </c>
      <c r="AL24" s="1891">
        <f t="shared" ca="1" si="23"/>
        <v>0</v>
      </c>
      <c r="AM24" s="1891">
        <f t="shared" ca="1" si="23"/>
        <v>0</v>
      </c>
      <c r="AN24" s="1891">
        <f t="shared" ca="1" si="23"/>
        <v>0</v>
      </c>
      <c r="AO24" s="1891">
        <f t="shared" ca="1" si="23"/>
        <v>0</v>
      </c>
      <c r="AP24" s="1891">
        <f t="shared" ca="1" si="23"/>
        <v>0</v>
      </c>
      <c r="AQ24" s="1490">
        <f t="shared" ca="1" si="11"/>
        <v>-25.123512605140331</v>
      </c>
      <c r="AS24" s="1491">
        <f>AS23</f>
        <v>0</v>
      </c>
      <c r="AT24" s="1491">
        <f t="shared" ref="AT24:BK24" si="24">AT23</f>
        <v>0</v>
      </c>
      <c r="AU24" s="1491">
        <f t="shared" si="24"/>
        <v>0</v>
      </c>
      <c r="AV24" s="1491">
        <f t="shared" si="24"/>
        <v>0</v>
      </c>
      <c r="AW24" s="1491">
        <f t="shared" si="24"/>
        <v>0</v>
      </c>
      <c r="AX24" s="1491">
        <f t="shared" si="24"/>
        <v>0</v>
      </c>
      <c r="AY24" s="1491">
        <f t="shared" si="24"/>
        <v>0</v>
      </c>
      <c r="AZ24" s="1491">
        <f t="shared" si="24"/>
        <v>0</v>
      </c>
      <c r="BA24" s="1491">
        <f t="shared" si="24"/>
        <v>0</v>
      </c>
      <c r="BB24" s="1491">
        <f t="shared" si="24"/>
        <v>0</v>
      </c>
      <c r="BC24" s="1491">
        <f t="shared" si="24"/>
        <v>0</v>
      </c>
      <c r="BD24" s="1491">
        <f t="shared" si="24"/>
        <v>0</v>
      </c>
      <c r="BE24" s="1491">
        <f t="shared" si="24"/>
        <v>0</v>
      </c>
      <c r="BF24" s="1491">
        <f t="shared" si="24"/>
        <v>0</v>
      </c>
      <c r="BG24" s="1491">
        <f t="shared" si="24"/>
        <v>0</v>
      </c>
      <c r="BH24" s="1491">
        <f t="shared" si="24"/>
        <v>0</v>
      </c>
      <c r="BI24" s="1491">
        <f t="shared" si="24"/>
        <v>0</v>
      </c>
      <c r="BJ24" s="1491">
        <f t="shared" si="24"/>
        <v>0</v>
      </c>
      <c r="BK24" s="1491">
        <f t="shared" si="24"/>
        <v>0</v>
      </c>
      <c r="BL24" s="1503">
        <f>SUM(AS24:BK24)</f>
        <v>0</v>
      </c>
      <c r="BN24" s="1941">
        <f ca="1">IFERROR(INDEX(INDIRECT($C24&amp;".Outputs["&amp;this.Year&amp;"]"), MATCH(BN$5, INDIRECT($C24&amp;".Outputs[Vector]"), 0)), 0)</f>
        <v>0</v>
      </c>
      <c r="BO24" s="1941">
        <f ca="1">IFERROR(INDEX(INDIRECT($C24&amp;".Outputs["&amp;this.Year&amp;"]"), MATCH(BO$5, INDIRECT($C24&amp;".Outputs[Vector]"), 0)), 0)</f>
        <v>0</v>
      </c>
      <c r="BP24" s="1505">
        <f ca="1">BN24+BO24</f>
        <v>0</v>
      </c>
      <c r="BR24" s="3168">
        <f t="shared" ca="1" si="12"/>
        <v>0</v>
      </c>
      <c r="BS24" s="1525"/>
      <c r="BT24" s="748"/>
      <c r="BU24" s="1507">
        <v>0</v>
      </c>
      <c r="BV24" s="1508">
        <v>0</v>
      </c>
      <c r="BW24" s="1508">
        <v>0</v>
      </c>
      <c r="BX24" s="1508">
        <v>0</v>
      </c>
      <c r="BY24" s="1508">
        <v>0</v>
      </c>
      <c r="BZ24" s="1508">
        <v>0</v>
      </c>
      <c r="CA24" s="1508">
        <v>0</v>
      </c>
      <c r="CB24" s="1508">
        <v>0</v>
      </c>
      <c r="CC24" s="1508">
        <v>0</v>
      </c>
      <c r="CD24" s="1508">
        <v>0</v>
      </c>
      <c r="CE24" s="1508">
        <v>0</v>
      </c>
      <c r="CF24" s="1508">
        <v>0</v>
      </c>
      <c r="CG24" s="1508">
        <v>0</v>
      </c>
      <c r="CH24" s="1508">
        <v>0</v>
      </c>
      <c r="CI24" s="1508">
        <v>0</v>
      </c>
      <c r="CJ24" s="1508">
        <v>0</v>
      </c>
      <c r="CK24" s="1508">
        <v>0</v>
      </c>
      <c r="CL24" s="1508">
        <v>0</v>
      </c>
      <c r="CM24" s="1508">
        <v>0</v>
      </c>
      <c r="CN24" s="1508">
        <v>0</v>
      </c>
      <c r="CO24" s="1508">
        <v>0</v>
      </c>
      <c r="CP24" s="1508">
        <v>0</v>
      </c>
      <c r="CQ24" s="1508">
        <v>0</v>
      </c>
      <c r="CR24" s="1508">
        <v>0</v>
      </c>
      <c r="CS24" s="1508">
        <v>0</v>
      </c>
      <c r="CT24" s="1508">
        <v>0</v>
      </c>
      <c r="CU24" s="1508">
        <v>0</v>
      </c>
      <c r="CV24" s="1508">
        <v>0</v>
      </c>
      <c r="CW24" s="1508">
        <v>0</v>
      </c>
      <c r="CX24" s="1508">
        <v>0</v>
      </c>
      <c r="CY24" s="1508">
        <v>0</v>
      </c>
      <c r="CZ24" s="1508">
        <v>0</v>
      </c>
      <c r="DA24" s="1508">
        <v>13.5395392718143</v>
      </c>
      <c r="DB24" s="1508">
        <v>1.6856672942676842E-2</v>
      </c>
      <c r="DC24" s="1508">
        <v>0.2436040552430235</v>
      </c>
      <c r="DD24" s="1508">
        <v>0</v>
      </c>
      <c r="DE24" s="1508">
        <v>0</v>
      </c>
      <c r="DF24" s="1508">
        <v>0</v>
      </c>
      <c r="DG24" s="1508">
        <v>0</v>
      </c>
      <c r="DH24" s="1508">
        <v>0</v>
      </c>
      <c r="DI24" s="1508">
        <v>0</v>
      </c>
      <c r="DJ24" s="1508">
        <v>0</v>
      </c>
      <c r="DK24" s="1508">
        <v>0</v>
      </c>
      <c r="DL24" s="1508">
        <v>0</v>
      </c>
      <c r="DN24" s="1509">
        <v>13.8</v>
      </c>
    </row>
    <row r="25" spans="1:118" s="14" customFormat="1" ht="10.5" hidden="1" customHeight="1" outlineLevel="2" x14ac:dyDescent="0.2">
      <c r="A25" s="1510"/>
      <c r="B25" s="1510"/>
      <c r="C25" s="1511"/>
      <c r="D25" s="1546"/>
      <c r="E25" s="1512"/>
      <c r="G25" s="1513"/>
      <c r="H25" s="1513"/>
      <c r="I25" s="1513"/>
      <c r="J25" s="1513"/>
      <c r="K25" s="1513"/>
      <c r="L25" s="1513"/>
      <c r="M25" s="1513"/>
      <c r="N25" s="1513"/>
      <c r="O25" s="1513"/>
      <c r="P25" s="1513"/>
      <c r="Q25" s="1513"/>
      <c r="R25" s="1513"/>
      <c r="S25" s="1513"/>
      <c r="T25" s="1513"/>
      <c r="U25" s="1513"/>
      <c r="V25" s="1513"/>
      <c r="W25" s="1539">
        <f t="shared" si="10"/>
        <v>0</v>
      </c>
      <c r="Y25" s="1515"/>
      <c r="Z25" s="1515"/>
      <c r="AA25" s="1515"/>
      <c r="AB25" s="1515"/>
      <c r="AC25" s="1515"/>
      <c r="AD25" s="1515"/>
      <c r="AE25" s="1515"/>
      <c r="AF25" s="1515"/>
      <c r="AG25" s="1515"/>
      <c r="AH25" s="1515"/>
      <c r="AI25" s="1515"/>
      <c r="AJ25" s="1515"/>
      <c r="AK25" s="1515"/>
      <c r="AL25" s="1515"/>
      <c r="AM25" s="1515"/>
      <c r="AN25" s="1515"/>
      <c r="AO25" s="1515"/>
      <c r="AP25" s="1515"/>
      <c r="AQ25" s="1490">
        <f t="shared" si="11"/>
        <v>0</v>
      </c>
      <c r="AS25" s="1517"/>
      <c r="AT25" s="1517"/>
      <c r="AU25" s="1517"/>
      <c r="AV25" s="1517"/>
      <c r="AW25" s="1517"/>
      <c r="AX25" s="1517"/>
      <c r="AY25" s="1517"/>
      <c r="AZ25" s="1517"/>
      <c r="BA25" s="1517"/>
      <c r="BB25" s="1517"/>
      <c r="BC25" s="1517"/>
      <c r="BD25" s="1517"/>
      <c r="BE25" s="1517"/>
      <c r="BF25" s="1517"/>
      <c r="BG25" s="1517"/>
      <c r="BH25" s="1517"/>
      <c r="BI25" s="1517"/>
      <c r="BJ25" s="1517"/>
      <c r="BK25" s="1517"/>
      <c r="BL25" s="1518"/>
      <c r="BN25" s="1519"/>
      <c r="BO25" s="1519"/>
      <c r="BP25" s="1520"/>
      <c r="BR25" s="3168">
        <f t="shared" si="12"/>
        <v>0</v>
      </c>
      <c r="BS25" s="1521"/>
      <c r="BT25" s="748"/>
      <c r="BU25" s="1507">
        <v>0</v>
      </c>
      <c r="BV25" s="1508">
        <v>0</v>
      </c>
      <c r="BW25" s="1508">
        <v>0</v>
      </c>
      <c r="BX25" s="1508">
        <v>0</v>
      </c>
      <c r="BY25" s="1508">
        <v>0</v>
      </c>
      <c r="BZ25" s="1508">
        <v>0</v>
      </c>
      <c r="CA25" s="1508">
        <v>0</v>
      </c>
      <c r="CB25" s="1508">
        <v>0</v>
      </c>
      <c r="CC25" s="1508">
        <v>0</v>
      </c>
      <c r="CD25" s="1508">
        <v>0</v>
      </c>
      <c r="CE25" s="1508">
        <v>0</v>
      </c>
      <c r="CF25" s="1508">
        <v>0</v>
      </c>
      <c r="CG25" s="1508">
        <v>0</v>
      </c>
      <c r="CH25" s="1508">
        <v>0</v>
      </c>
      <c r="CI25" s="1508">
        <v>0</v>
      </c>
      <c r="CJ25" s="1508">
        <v>0</v>
      </c>
      <c r="CK25" s="1508">
        <v>0</v>
      </c>
      <c r="CL25" s="1508">
        <v>0</v>
      </c>
      <c r="CM25" s="1508">
        <v>0</v>
      </c>
      <c r="CN25" s="1508">
        <v>0</v>
      </c>
      <c r="CO25" s="1508">
        <v>0</v>
      </c>
      <c r="CP25" s="1508">
        <v>0</v>
      </c>
      <c r="CQ25" s="1508">
        <v>0</v>
      </c>
      <c r="CR25" s="1508">
        <v>0</v>
      </c>
      <c r="CS25" s="1508">
        <v>0</v>
      </c>
      <c r="CT25" s="1508">
        <v>0</v>
      </c>
      <c r="CU25" s="1508">
        <v>0</v>
      </c>
      <c r="CV25" s="1508">
        <v>0</v>
      </c>
      <c r="CW25" s="1508">
        <v>0</v>
      </c>
      <c r="CX25" s="1508">
        <v>0</v>
      </c>
      <c r="CY25" s="1508">
        <v>0</v>
      </c>
      <c r="CZ25" s="1508">
        <v>0</v>
      </c>
      <c r="DA25" s="1508">
        <v>0</v>
      </c>
      <c r="DB25" s="1508">
        <v>0</v>
      </c>
      <c r="DC25" s="1508">
        <v>0</v>
      </c>
      <c r="DD25" s="1508">
        <v>0</v>
      </c>
      <c r="DE25" s="1508">
        <v>0</v>
      </c>
      <c r="DF25" s="1508">
        <v>0</v>
      </c>
      <c r="DG25" s="1508">
        <v>0</v>
      </c>
      <c r="DH25" s="1508">
        <v>0</v>
      </c>
      <c r="DI25" s="1508">
        <v>0</v>
      </c>
      <c r="DJ25" s="1508">
        <v>0</v>
      </c>
      <c r="DK25" s="1508">
        <v>0</v>
      </c>
      <c r="DL25" s="1508">
        <v>0</v>
      </c>
      <c r="DN25" s="1509">
        <v>0</v>
      </c>
    </row>
    <row r="26" spans="1:118" s="14" customFormat="1" ht="11.25" hidden="1" customHeight="1" outlineLevel="1" x14ac:dyDescent="0.2">
      <c r="A26" s="1522"/>
      <c r="B26" s="1522"/>
      <c r="D26" s="1547"/>
      <c r="E26" s="1526"/>
      <c r="G26" s="1527"/>
      <c r="H26" s="1527"/>
      <c r="I26" s="1527"/>
      <c r="J26" s="1527"/>
      <c r="K26" s="1527"/>
      <c r="L26" s="1527"/>
      <c r="M26" s="1527"/>
      <c r="N26" s="1527"/>
      <c r="O26" s="1527"/>
      <c r="P26" s="1527"/>
      <c r="Q26" s="1527"/>
      <c r="R26" s="1527"/>
      <c r="S26" s="1527"/>
      <c r="T26" s="1527"/>
      <c r="U26" s="1527"/>
      <c r="V26" s="1527"/>
      <c r="W26" s="1539">
        <f t="shared" si="10"/>
        <v>0</v>
      </c>
      <c r="Y26" s="1528"/>
      <c r="Z26" s="1528"/>
      <c r="AA26" s="1528"/>
      <c r="AB26" s="1528"/>
      <c r="AC26" s="1528"/>
      <c r="AD26" s="1548"/>
      <c r="AE26" s="1548"/>
      <c r="AF26" s="1548"/>
      <c r="AG26" s="1528"/>
      <c r="AH26" s="1528"/>
      <c r="AI26" s="1528"/>
      <c r="AJ26" s="1528"/>
      <c r="AK26" s="1528"/>
      <c r="AL26" s="1528"/>
      <c r="AM26" s="1528"/>
      <c r="AN26" s="1528"/>
      <c r="AO26" s="1528"/>
      <c r="AP26" s="1528"/>
      <c r="AQ26" s="1490">
        <f t="shared" si="11"/>
        <v>0</v>
      </c>
      <c r="AS26" s="1549"/>
      <c r="AT26" s="1549"/>
      <c r="AU26" s="1549"/>
      <c r="AV26" s="1549"/>
      <c r="AW26" s="1549"/>
      <c r="AX26" s="1549"/>
      <c r="AY26" s="1549"/>
      <c r="AZ26" s="1549"/>
      <c r="BA26" s="1549"/>
      <c r="BB26" s="1549"/>
      <c r="BC26" s="1549"/>
      <c r="BD26" s="1549"/>
      <c r="BE26" s="1549"/>
      <c r="BF26" s="1549"/>
      <c r="BG26" s="1549"/>
      <c r="BH26" s="1549"/>
      <c r="BI26" s="1549"/>
      <c r="BJ26" s="1549"/>
      <c r="BK26" s="1549"/>
      <c r="BL26" s="1550"/>
      <c r="BN26" s="1551"/>
      <c r="BO26" s="1551"/>
      <c r="BP26" s="1531"/>
      <c r="BR26" s="3168">
        <f t="shared" si="12"/>
        <v>0</v>
      </c>
      <c r="BS26" s="1506"/>
      <c r="BT26" s="1522"/>
      <c r="BU26" s="1532">
        <v>0</v>
      </c>
      <c r="BV26" s="1533">
        <v>0</v>
      </c>
      <c r="BW26" s="1533">
        <v>0</v>
      </c>
      <c r="BX26" s="1533">
        <v>0</v>
      </c>
      <c r="BY26" s="1533">
        <v>0</v>
      </c>
      <c r="BZ26" s="1533">
        <v>0</v>
      </c>
      <c r="CA26" s="1533">
        <v>0</v>
      </c>
      <c r="CB26" s="1533">
        <v>0</v>
      </c>
      <c r="CC26" s="1533">
        <v>0</v>
      </c>
      <c r="CD26" s="1533">
        <v>0</v>
      </c>
      <c r="CE26" s="1533">
        <v>0</v>
      </c>
      <c r="CF26" s="1533">
        <v>0</v>
      </c>
      <c r="CG26" s="1533">
        <v>0</v>
      </c>
      <c r="CH26" s="1533">
        <v>0</v>
      </c>
      <c r="CI26" s="1533">
        <v>0</v>
      </c>
      <c r="CJ26" s="1533">
        <v>0</v>
      </c>
      <c r="CK26" s="1533">
        <v>0</v>
      </c>
      <c r="CL26" s="1533">
        <v>0</v>
      </c>
      <c r="CM26" s="1533">
        <v>0</v>
      </c>
      <c r="CN26" s="1533">
        <v>0</v>
      </c>
      <c r="CO26" s="1533">
        <v>0</v>
      </c>
      <c r="CP26" s="1533">
        <v>0</v>
      </c>
      <c r="CQ26" s="1533">
        <v>0</v>
      </c>
      <c r="CR26" s="1533">
        <v>0</v>
      </c>
      <c r="CS26" s="1533">
        <v>0</v>
      </c>
      <c r="CT26" s="1533">
        <v>0</v>
      </c>
      <c r="CU26" s="1533">
        <v>0</v>
      </c>
      <c r="CV26" s="1533">
        <v>0</v>
      </c>
      <c r="CW26" s="1533">
        <v>0</v>
      </c>
      <c r="CX26" s="1533">
        <v>0</v>
      </c>
      <c r="CY26" s="1533">
        <v>0</v>
      </c>
      <c r="CZ26" s="1533">
        <v>0</v>
      </c>
      <c r="DA26" s="1533">
        <v>13.5395392718143</v>
      </c>
      <c r="DB26" s="1533">
        <v>1.6856672942676842E-2</v>
      </c>
      <c r="DC26" s="1533">
        <v>0.2436040552430235</v>
      </c>
      <c r="DD26" s="1533">
        <v>0</v>
      </c>
      <c r="DE26" s="1533">
        <v>0</v>
      </c>
      <c r="DF26" s="1533">
        <v>0</v>
      </c>
      <c r="DG26" s="1533">
        <v>0</v>
      </c>
      <c r="DH26" s="1533">
        <v>0</v>
      </c>
      <c r="DI26" s="1533">
        <v>0</v>
      </c>
      <c r="DJ26" s="1533">
        <v>0</v>
      </c>
      <c r="DK26" s="1533">
        <v>0</v>
      </c>
      <c r="DL26" s="1533">
        <v>0</v>
      </c>
      <c r="DN26" s="1509">
        <v>13.8</v>
      </c>
    </row>
    <row r="27" spans="1:118" s="14" customFormat="1" ht="15.75" collapsed="1" x14ac:dyDescent="0.2">
      <c r="A27" s="1534"/>
      <c r="B27" s="1535"/>
      <c r="C27" s="1536" t="s">
        <v>579</v>
      </c>
      <c r="D27" s="1537" t="str">
        <f>INDEX(Flujos[Flujos], MATCH($C27, Flujos[Código], 0))</f>
        <v>Transporte</v>
      </c>
      <c r="E27" s="1538"/>
      <c r="G27" s="1539">
        <f ca="1">G21+G24</f>
        <v>0</v>
      </c>
      <c r="H27" s="1539">
        <f t="shared" ref="H27:V27" si="25">H21+H24</f>
        <v>0</v>
      </c>
      <c r="I27" s="1539">
        <f t="shared" si="25"/>
        <v>0</v>
      </c>
      <c r="J27" s="1539">
        <f t="shared" si="25"/>
        <v>0</v>
      </c>
      <c r="K27" s="1539">
        <f t="shared" si="25"/>
        <v>0</v>
      </c>
      <c r="L27" s="1539">
        <f t="shared" si="25"/>
        <v>0</v>
      </c>
      <c r="M27" s="1539">
        <f t="shared" ca="1" si="25"/>
        <v>0</v>
      </c>
      <c r="N27" s="1892">
        <f t="shared" ca="1" si="25"/>
        <v>84.980606868956514</v>
      </c>
      <c r="O27" s="1892">
        <f t="shared" ca="1" si="25"/>
        <v>42.239823681665676</v>
      </c>
      <c r="P27" s="1892">
        <f t="shared" ca="1" si="25"/>
        <v>0.63718288562585734</v>
      </c>
      <c r="Q27" s="1892">
        <f t="shared" ca="1" si="25"/>
        <v>0.10538681092763307</v>
      </c>
      <c r="R27" s="1892">
        <f t="shared" ca="1" si="25"/>
        <v>36.125164502313076</v>
      </c>
      <c r="S27" s="1892">
        <f t="shared" ca="1" si="25"/>
        <v>11.540996944925201</v>
      </c>
      <c r="T27" s="1892">
        <f t="shared" ca="1" si="25"/>
        <v>13.08253848496264</v>
      </c>
      <c r="U27" s="1892">
        <f t="shared" ca="1" si="25"/>
        <v>7.9979504726837031E-3</v>
      </c>
      <c r="V27" s="1892">
        <f t="shared" ca="1" si="25"/>
        <v>0.49197922477980477</v>
      </c>
      <c r="W27" s="1539">
        <f t="shared" ca="1" si="10"/>
        <v>189.2116773546291</v>
      </c>
      <c r="Y27" s="1893">
        <f ca="1">Y21+Y24</f>
        <v>-1.8045008568131686</v>
      </c>
      <c r="Z27" s="1893">
        <f t="shared" ref="Z27:AP27" ca="1" si="26">Z21+Z24</f>
        <v>0</v>
      </c>
      <c r="AA27" s="1893">
        <f t="shared" ca="1" si="26"/>
        <v>0</v>
      </c>
      <c r="AB27" s="1893">
        <f ca="1">AB21+AB24</f>
        <v>-187.40717649781593</v>
      </c>
      <c r="AC27" s="1893">
        <f t="shared" ca="1" si="26"/>
        <v>0</v>
      </c>
      <c r="AD27" s="1893">
        <f t="shared" ca="1" si="26"/>
        <v>0</v>
      </c>
      <c r="AE27" s="1893">
        <f t="shared" ca="1" si="26"/>
        <v>0</v>
      </c>
      <c r="AF27" s="1893">
        <f t="shared" ca="1" si="26"/>
        <v>0</v>
      </c>
      <c r="AG27" s="1893">
        <f t="shared" ca="1" si="26"/>
        <v>0</v>
      </c>
      <c r="AH27" s="1893">
        <f t="shared" ca="1" si="26"/>
        <v>0</v>
      </c>
      <c r="AI27" s="1893">
        <f t="shared" ca="1" si="26"/>
        <v>0</v>
      </c>
      <c r="AJ27" s="1893">
        <f t="shared" ca="1" si="26"/>
        <v>0</v>
      </c>
      <c r="AK27" s="1893">
        <f t="shared" ca="1" si="26"/>
        <v>0</v>
      </c>
      <c r="AL27" s="1893">
        <f t="shared" ca="1" si="26"/>
        <v>0</v>
      </c>
      <c r="AM27" s="1893">
        <f t="shared" ca="1" si="26"/>
        <v>0</v>
      </c>
      <c r="AN27" s="1893">
        <f t="shared" ca="1" si="26"/>
        <v>0</v>
      </c>
      <c r="AO27" s="1893">
        <f t="shared" ca="1" si="26"/>
        <v>0</v>
      </c>
      <c r="AP27" s="1893">
        <f t="shared" ca="1" si="26"/>
        <v>0</v>
      </c>
      <c r="AQ27" s="1490">
        <f t="shared" ca="1" si="11"/>
        <v>-189.2116773546291</v>
      </c>
      <c r="AS27" s="1491">
        <f>AS26</f>
        <v>0</v>
      </c>
      <c r="AT27" s="1491">
        <f t="shared" ref="AT27:BK27" si="27">AT26</f>
        <v>0</v>
      </c>
      <c r="AU27" s="1491">
        <f t="shared" si="27"/>
        <v>0</v>
      </c>
      <c r="AV27" s="1491">
        <f t="shared" si="27"/>
        <v>0</v>
      </c>
      <c r="AW27" s="1491">
        <f t="shared" si="27"/>
        <v>0</v>
      </c>
      <c r="AX27" s="1491">
        <f t="shared" si="27"/>
        <v>0</v>
      </c>
      <c r="AY27" s="1491">
        <f t="shared" si="27"/>
        <v>0</v>
      </c>
      <c r="AZ27" s="1491">
        <f t="shared" si="27"/>
        <v>0</v>
      </c>
      <c r="BA27" s="1491">
        <f t="shared" si="27"/>
        <v>0</v>
      </c>
      <c r="BB27" s="1491">
        <f t="shared" si="27"/>
        <v>0</v>
      </c>
      <c r="BC27" s="1491">
        <f t="shared" si="27"/>
        <v>0</v>
      </c>
      <c r="BD27" s="1491">
        <f t="shared" si="27"/>
        <v>0</v>
      </c>
      <c r="BE27" s="1491">
        <f t="shared" si="27"/>
        <v>0</v>
      </c>
      <c r="BF27" s="1491">
        <f t="shared" si="27"/>
        <v>0</v>
      </c>
      <c r="BG27" s="1491">
        <f t="shared" si="27"/>
        <v>0</v>
      </c>
      <c r="BH27" s="1491">
        <f t="shared" si="27"/>
        <v>0</v>
      </c>
      <c r="BI27" s="1491">
        <f t="shared" si="27"/>
        <v>0</v>
      </c>
      <c r="BJ27" s="1491">
        <f t="shared" si="27"/>
        <v>0</v>
      </c>
      <c r="BK27" s="1491">
        <f t="shared" si="27"/>
        <v>0</v>
      </c>
      <c r="BL27" s="1503">
        <f>SUM(AS27:BK27)</f>
        <v>0</v>
      </c>
      <c r="BN27" s="1941">
        <f ca="1">BN24+BN21</f>
        <v>0</v>
      </c>
      <c r="BO27" s="1941">
        <f ca="1">BO24+BO21</f>
        <v>0</v>
      </c>
      <c r="BP27" s="1505">
        <f ca="1">BN27+BO27</f>
        <v>0</v>
      </c>
      <c r="BR27" s="3168">
        <f t="shared" ca="1" si="12"/>
        <v>0</v>
      </c>
      <c r="BS27" s="1493"/>
      <c r="BT27" s="748"/>
      <c r="BU27" s="1508">
        <v>131.46551968326995</v>
      </c>
      <c r="BV27" s="1508">
        <v>0.16367405301251234</v>
      </c>
      <c r="BW27" s="1508">
        <v>2.365334083866848</v>
      </c>
      <c r="BX27" s="1508">
        <v>0</v>
      </c>
      <c r="BY27" s="1508">
        <v>0</v>
      </c>
      <c r="BZ27" s="1508">
        <v>0</v>
      </c>
      <c r="CA27" s="1508">
        <v>0</v>
      </c>
      <c r="CB27" s="1508">
        <v>0</v>
      </c>
      <c r="CC27" s="1508">
        <v>0</v>
      </c>
      <c r="CD27" s="1508">
        <v>0</v>
      </c>
      <c r="CE27" s="1508">
        <v>0</v>
      </c>
      <c r="CF27" s="1508">
        <v>0</v>
      </c>
      <c r="CG27" s="1508">
        <v>0</v>
      </c>
      <c r="CH27" s="1508">
        <v>0</v>
      </c>
      <c r="CI27" s="1508">
        <v>0</v>
      </c>
      <c r="CJ27" s="1508">
        <v>0</v>
      </c>
      <c r="CK27" s="1508">
        <v>0</v>
      </c>
      <c r="CL27" s="1508">
        <v>0</v>
      </c>
      <c r="CM27" s="1508">
        <v>0</v>
      </c>
      <c r="CN27" s="1508">
        <v>0</v>
      </c>
      <c r="CO27" s="1508">
        <v>0</v>
      </c>
      <c r="CP27" s="1508">
        <v>0</v>
      </c>
      <c r="CQ27" s="1508">
        <v>0</v>
      </c>
      <c r="CR27" s="1508">
        <v>0</v>
      </c>
      <c r="CS27" s="1508">
        <v>0</v>
      </c>
      <c r="CT27" s="1508">
        <v>0</v>
      </c>
      <c r="CU27" s="1508">
        <v>0</v>
      </c>
      <c r="CV27" s="1508">
        <v>0</v>
      </c>
      <c r="CW27" s="1508">
        <v>0</v>
      </c>
      <c r="CX27" s="1508">
        <v>0</v>
      </c>
      <c r="CY27" s="1508">
        <v>0</v>
      </c>
      <c r="CZ27" s="1508">
        <v>0</v>
      </c>
      <c r="DA27" s="1508">
        <v>51.739539271814301</v>
      </c>
      <c r="DB27" s="1508">
        <v>6.441552213858226E-2</v>
      </c>
      <c r="DC27" s="1508">
        <v>0.93090033050516818</v>
      </c>
      <c r="DD27" s="1508">
        <v>0</v>
      </c>
      <c r="DE27" s="1508">
        <v>0</v>
      </c>
      <c r="DF27" s="1508">
        <v>0</v>
      </c>
      <c r="DG27" s="1508">
        <v>0</v>
      </c>
      <c r="DH27" s="1508">
        <v>0</v>
      </c>
      <c r="DI27" s="1508">
        <v>0</v>
      </c>
      <c r="DJ27" s="1508">
        <v>0</v>
      </c>
      <c r="DK27" s="1508">
        <v>0</v>
      </c>
      <c r="DL27" s="1508">
        <v>0</v>
      </c>
      <c r="DN27" s="1509">
        <v>186.72938294460735</v>
      </c>
    </row>
    <row r="28" spans="1:118" s="14" customFormat="1" ht="15.75" x14ac:dyDescent="0.2">
      <c r="A28" s="1534"/>
      <c r="B28" s="1535"/>
      <c r="C28" s="1536"/>
      <c r="D28" s="1537"/>
      <c r="E28" s="1538"/>
      <c r="G28" s="1539"/>
      <c r="H28" s="1539"/>
      <c r="I28" s="1539"/>
      <c r="J28" s="1539"/>
      <c r="K28" s="1539"/>
      <c r="L28" s="1539"/>
      <c r="M28" s="1539"/>
      <c r="N28" s="1539"/>
      <c r="O28" s="1539"/>
      <c r="P28" s="1539"/>
      <c r="Q28" s="1539"/>
      <c r="R28" s="1539"/>
      <c r="S28" s="1539"/>
      <c r="T28" s="1539"/>
      <c r="U28" s="1539"/>
      <c r="V28" s="1539"/>
      <c r="W28" s="1539"/>
      <c r="Y28" s="1490"/>
      <c r="Z28" s="1490"/>
      <c r="AA28" s="1490"/>
      <c r="AB28" s="1490"/>
      <c r="AC28" s="1490"/>
      <c r="AD28" s="1490"/>
      <c r="AE28" s="1490"/>
      <c r="AF28" s="1490"/>
      <c r="AG28" s="1490"/>
      <c r="AH28" s="1490"/>
      <c r="AI28" s="1490"/>
      <c r="AJ28" s="1490"/>
      <c r="AK28" s="1490"/>
      <c r="AL28" s="1490"/>
      <c r="AM28" s="1490"/>
      <c r="AN28" s="1490"/>
      <c r="AO28" s="1490"/>
      <c r="AP28" s="1490"/>
      <c r="AQ28" s="1490"/>
      <c r="AS28" s="1491"/>
      <c r="AT28" s="1491"/>
      <c r="AU28" s="1491"/>
      <c r="AV28" s="1491"/>
      <c r="AW28" s="1491"/>
      <c r="AX28" s="1491"/>
      <c r="AY28" s="1491"/>
      <c r="AZ28" s="1491"/>
      <c r="BA28" s="1491"/>
      <c r="BB28" s="1491"/>
      <c r="BC28" s="1491"/>
      <c r="BD28" s="1491"/>
      <c r="BE28" s="1491"/>
      <c r="BF28" s="1491"/>
      <c r="BG28" s="1491"/>
      <c r="BH28" s="1491"/>
      <c r="BI28" s="1491"/>
      <c r="BJ28" s="1491"/>
      <c r="BK28" s="1491"/>
      <c r="BL28" s="1491"/>
      <c r="BN28" s="1492"/>
      <c r="BO28" s="1492"/>
      <c r="BP28" s="1492"/>
      <c r="BR28" s="3168"/>
      <c r="BS28" s="1493"/>
      <c r="BT28" s="748"/>
      <c r="BU28" s="1508"/>
      <c r="BV28" s="1508"/>
      <c r="BW28" s="1508"/>
      <c r="BX28" s="1508"/>
      <c r="BY28" s="1508"/>
      <c r="BZ28" s="1508"/>
      <c r="CA28" s="1508"/>
      <c r="CB28" s="1508"/>
      <c r="CC28" s="1508"/>
      <c r="CD28" s="1508"/>
      <c r="CE28" s="1508"/>
      <c r="CF28" s="1508"/>
      <c r="CG28" s="1508"/>
      <c r="CH28" s="1508"/>
      <c r="CI28" s="1508"/>
      <c r="CJ28" s="1508"/>
      <c r="CK28" s="1508"/>
      <c r="CL28" s="1508"/>
      <c r="CM28" s="1508"/>
      <c r="CN28" s="1508"/>
      <c r="CO28" s="1508"/>
      <c r="CP28" s="1508"/>
      <c r="CQ28" s="1508"/>
      <c r="CR28" s="1508"/>
      <c r="CS28" s="1508"/>
      <c r="CT28" s="1508"/>
      <c r="CU28" s="1508"/>
      <c r="CV28" s="1508"/>
      <c r="CW28" s="1508"/>
      <c r="CX28" s="1508"/>
      <c r="CY28" s="1508"/>
      <c r="CZ28" s="1508"/>
      <c r="DA28" s="1508"/>
      <c r="DB28" s="1508"/>
      <c r="DC28" s="1508"/>
      <c r="DD28" s="1508"/>
      <c r="DE28" s="1508"/>
      <c r="DF28" s="1508"/>
      <c r="DG28" s="1508"/>
      <c r="DH28" s="1508"/>
      <c r="DI28" s="1508"/>
      <c r="DJ28" s="1508"/>
      <c r="DK28" s="1508"/>
      <c r="DL28" s="1508"/>
      <c r="DN28" s="1509"/>
    </row>
    <row r="29" spans="1:118" s="14" customFormat="1" ht="12.75" hidden="1" customHeight="1" outlineLevel="1" x14ac:dyDescent="0.2">
      <c r="A29" s="1534"/>
      <c r="B29" s="1534"/>
      <c r="C29" s="1544"/>
      <c r="D29" s="1538"/>
      <c r="E29" s="1538"/>
      <c r="G29" s="1539"/>
      <c r="H29" s="1539"/>
      <c r="I29" s="1539"/>
      <c r="J29" s="1539"/>
      <c r="K29" s="1539"/>
      <c r="L29" s="1539"/>
      <c r="M29" s="1539"/>
      <c r="N29" s="1539"/>
      <c r="O29" s="1539"/>
      <c r="P29" s="1539"/>
      <c r="Q29" s="1539"/>
      <c r="R29" s="1539"/>
      <c r="S29" s="1539"/>
      <c r="T29" s="1539"/>
      <c r="U29" s="1539"/>
      <c r="V29" s="1539"/>
      <c r="W29" s="1539">
        <f t="shared" si="10"/>
        <v>0</v>
      </c>
      <c r="Y29" s="1490"/>
      <c r="Z29" s="1490"/>
      <c r="AA29" s="1490"/>
      <c r="AB29" s="1490"/>
      <c r="AC29" s="1490"/>
      <c r="AD29" s="1490"/>
      <c r="AE29" s="1490"/>
      <c r="AF29" s="1490"/>
      <c r="AG29" s="1490"/>
      <c r="AH29" s="1490"/>
      <c r="AI29" s="1490"/>
      <c r="AJ29" s="1490"/>
      <c r="AK29" s="1490"/>
      <c r="AL29" s="1490"/>
      <c r="AM29" s="1490"/>
      <c r="AN29" s="1490"/>
      <c r="AO29" s="1490"/>
      <c r="AP29" s="1490"/>
      <c r="AQ29" s="1490"/>
      <c r="AS29" s="1491"/>
      <c r="AT29" s="1491"/>
      <c r="AU29" s="1491"/>
      <c r="AV29" s="1491"/>
      <c r="AW29" s="1491"/>
      <c r="AX29" s="1491"/>
      <c r="AY29" s="1491"/>
      <c r="AZ29" s="1491"/>
      <c r="BA29" s="1491"/>
      <c r="BB29" s="1491"/>
      <c r="BC29" s="1491"/>
      <c r="BD29" s="1491"/>
      <c r="BE29" s="1491"/>
      <c r="BF29" s="1491"/>
      <c r="BG29" s="1491"/>
      <c r="BH29" s="1491"/>
      <c r="BI29" s="1491"/>
      <c r="BJ29" s="1491"/>
      <c r="BK29" s="1491"/>
      <c r="BL29" s="1491"/>
      <c r="BN29" s="1492"/>
      <c r="BO29" s="1492"/>
      <c r="BP29" s="1492"/>
      <c r="BR29" s="3168">
        <f t="shared" si="12"/>
        <v>0</v>
      </c>
      <c r="BS29" s="1493"/>
      <c r="BT29" s="1534"/>
      <c r="BU29" s="1508"/>
      <c r="BV29" s="1508"/>
      <c r="BW29" s="1508"/>
      <c r="BX29" s="1508"/>
      <c r="BY29" s="1508"/>
      <c r="BZ29" s="1508"/>
      <c r="CA29" s="1508"/>
      <c r="CB29" s="1508"/>
      <c r="CC29" s="1508"/>
      <c r="CD29" s="1508"/>
      <c r="CE29" s="1508"/>
      <c r="CF29" s="1508"/>
      <c r="CG29" s="1508"/>
      <c r="CH29" s="1508"/>
      <c r="CI29" s="1508"/>
      <c r="CJ29" s="1508"/>
      <c r="CK29" s="1508"/>
      <c r="CL29" s="1508"/>
      <c r="CM29" s="1508"/>
      <c r="CN29" s="1508"/>
      <c r="CO29" s="1508"/>
      <c r="CP29" s="1508"/>
      <c r="CQ29" s="1508"/>
      <c r="CR29" s="1508"/>
      <c r="CS29" s="1508"/>
      <c r="CT29" s="1508"/>
      <c r="CU29" s="1508"/>
      <c r="CV29" s="1508"/>
      <c r="CW29" s="1508"/>
      <c r="CX29" s="1508"/>
      <c r="CY29" s="1508"/>
      <c r="CZ29" s="1508"/>
      <c r="DA29" s="1508"/>
      <c r="DB29" s="1508"/>
      <c r="DC29" s="1508"/>
      <c r="DD29" s="1508"/>
      <c r="DE29" s="1508"/>
      <c r="DF29" s="1508"/>
      <c r="DG29" s="1508"/>
      <c r="DH29" s="1508"/>
      <c r="DI29" s="1508"/>
      <c r="DJ29" s="1508"/>
      <c r="DK29" s="1508"/>
      <c r="DL29" s="1508"/>
      <c r="DN29" s="1509">
        <v>0</v>
      </c>
    </row>
    <row r="30" spans="1:118" s="14" customFormat="1" ht="12.75" hidden="1" customHeight="1" outlineLevel="1" x14ac:dyDescent="0.2">
      <c r="A30" s="1522"/>
      <c r="B30" s="1522"/>
      <c r="C30" s="1496"/>
      <c r="D30" s="1526"/>
      <c r="E30" s="1526"/>
      <c r="G30" s="1540">
        <v>0</v>
      </c>
      <c r="H30" s="1540"/>
      <c r="I30" s="1540"/>
      <c r="J30" s="1540"/>
      <c r="K30" s="1540"/>
      <c r="L30" s="1540"/>
      <c r="M30" s="1540">
        <v>0</v>
      </c>
      <c r="N30" s="1540">
        <v>0</v>
      </c>
      <c r="O30" s="1540">
        <v>0</v>
      </c>
      <c r="P30" s="1540">
        <v>0</v>
      </c>
      <c r="Q30" s="1540">
        <v>0</v>
      </c>
      <c r="R30" s="1540">
        <v>0</v>
      </c>
      <c r="S30" s="1540"/>
      <c r="T30" s="1540"/>
      <c r="U30" s="1540"/>
      <c r="V30" s="1540"/>
      <c r="W30" s="1539">
        <f t="shared" si="10"/>
        <v>0</v>
      </c>
      <c r="Y30" s="1541"/>
      <c r="Z30" s="1541"/>
      <c r="AA30" s="1541"/>
      <c r="AB30" s="1541"/>
      <c r="AC30" s="1541"/>
      <c r="AD30" s="1541"/>
      <c r="AE30" s="1541"/>
      <c r="AF30" s="1541"/>
      <c r="AG30" s="1541"/>
      <c r="AH30" s="1541"/>
      <c r="AI30" s="1541"/>
      <c r="AJ30" s="1541"/>
      <c r="AK30" s="1541"/>
      <c r="AL30" s="1541"/>
      <c r="AM30" s="1541"/>
      <c r="AN30" s="1541"/>
      <c r="AO30" s="1541"/>
      <c r="AP30" s="1541"/>
      <c r="AQ30" s="1528"/>
      <c r="AS30" s="1542"/>
      <c r="AT30" s="1542"/>
      <c r="AU30" s="1542"/>
      <c r="AV30" s="1542"/>
      <c r="AW30" s="1542"/>
      <c r="AX30" s="1542"/>
      <c r="AY30" s="1542"/>
      <c r="AZ30" s="1542"/>
      <c r="BA30" s="1542"/>
      <c r="BB30" s="1542"/>
      <c r="BC30" s="1542"/>
      <c r="BD30" s="1542"/>
      <c r="BE30" s="1542"/>
      <c r="BF30" s="1542"/>
      <c r="BG30" s="1542"/>
      <c r="BH30" s="1542"/>
      <c r="BI30" s="1542"/>
      <c r="BJ30" s="1542"/>
      <c r="BK30" s="1542"/>
      <c r="BL30" s="1530"/>
      <c r="BN30" s="1543">
        <v>0</v>
      </c>
      <c r="BO30" s="1543">
        <v>0</v>
      </c>
      <c r="BP30" s="1531">
        <v>0</v>
      </c>
      <c r="BR30" s="3168">
        <f t="shared" si="12"/>
        <v>0</v>
      </c>
      <c r="BS30" s="1525"/>
      <c r="BT30" s="748"/>
      <c r="BU30" s="1532">
        <v>0</v>
      </c>
      <c r="BV30" s="1533">
        <v>0</v>
      </c>
      <c r="BW30" s="1533">
        <v>0</v>
      </c>
      <c r="BX30" s="1533">
        <v>0</v>
      </c>
      <c r="BY30" s="1533">
        <v>0</v>
      </c>
      <c r="BZ30" s="1533">
        <v>0</v>
      </c>
      <c r="CA30" s="1533">
        <v>0</v>
      </c>
      <c r="CB30" s="1533">
        <v>0</v>
      </c>
      <c r="CC30" s="1533">
        <v>0</v>
      </c>
      <c r="CD30" s="1533">
        <v>0</v>
      </c>
      <c r="CE30" s="1533">
        <v>0</v>
      </c>
      <c r="CF30" s="1533">
        <v>0</v>
      </c>
      <c r="CG30" s="1533">
        <v>0</v>
      </c>
      <c r="CH30" s="1533">
        <v>0</v>
      </c>
      <c r="CI30" s="1533">
        <v>0</v>
      </c>
      <c r="CJ30" s="1533">
        <v>0</v>
      </c>
      <c r="CK30" s="1533">
        <v>0</v>
      </c>
      <c r="CL30" s="1533">
        <v>0</v>
      </c>
      <c r="CM30" s="1533">
        <v>0</v>
      </c>
      <c r="CN30" s="1533">
        <v>0</v>
      </c>
      <c r="CO30" s="1533">
        <v>0</v>
      </c>
      <c r="CP30" s="1533">
        <v>0</v>
      </c>
      <c r="CQ30" s="1533">
        <v>0</v>
      </c>
      <c r="CR30" s="1533">
        <v>0</v>
      </c>
      <c r="CS30" s="1533">
        <v>0</v>
      </c>
      <c r="CT30" s="1533">
        <v>0</v>
      </c>
      <c r="CU30" s="1533">
        <v>0</v>
      </c>
      <c r="CV30" s="1533">
        <v>0</v>
      </c>
      <c r="CW30" s="1533">
        <v>0</v>
      </c>
      <c r="CX30" s="1533">
        <v>0</v>
      </c>
      <c r="CY30" s="1533">
        <v>0</v>
      </c>
      <c r="CZ30" s="1533">
        <v>0</v>
      </c>
      <c r="DA30" s="1533">
        <v>0</v>
      </c>
      <c r="DB30" s="1533">
        <v>0</v>
      </c>
      <c r="DC30" s="1533">
        <v>0</v>
      </c>
      <c r="DD30" s="1533">
        <v>0</v>
      </c>
      <c r="DE30" s="1533">
        <v>0</v>
      </c>
      <c r="DF30" s="1533">
        <v>0</v>
      </c>
      <c r="DG30" s="1533">
        <v>0</v>
      </c>
      <c r="DH30" s="1533">
        <v>0</v>
      </c>
      <c r="DI30" s="1533">
        <v>0</v>
      </c>
      <c r="DJ30" s="1533">
        <v>0</v>
      </c>
      <c r="DK30" s="1533">
        <v>0</v>
      </c>
      <c r="DL30" s="1533">
        <v>0</v>
      </c>
      <c r="DN30" s="1509">
        <v>0</v>
      </c>
    </row>
    <row r="31" spans="1:118" s="14" customFormat="1" ht="15.75" collapsed="1" x14ac:dyDescent="0.2">
      <c r="A31" s="1534"/>
      <c r="B31" s="1535"/>
      <c r="C31" s="1536"/>
      <c r="D31" s="1537"/>
      <c r="E31" s="1538"/>
      <c r="G31" s="1539"/>
      <c r="H31" s="1539"/>
      <c r="I31" s="1539"/>
      <c r="J31" s="1539"/>
      <c r="K31" s="1539"/>
      <c r="L31" s="1539"/>
      <c r="M31" s="1539"/>
      <c r="N31" s="1539"/>
      <c r="O31" s="1539"/>
      <c r="P31" s="1539"/>
      <c r="Q31" s="1539"/>
      <c r="R31" s="1539"/>
      <c r="S31" s="1539"/>
      <c r="T31" s="1539"/>
      <c r="U31" s="1539"/>
      <c r="V31" s="1539"/>
      <c r="W31" s="1539"/>
      <c r="Y31" s="1490"/>
      <c r="Z31" s="1490"/>
      <c r="AA31" s="1490"/>
      <c r="AB31" s="1490"/>
      <c r="AC31" s="1490"/>
      <c r="AD31" s="1490"/>
      <c r="AE31" s="1490"/>
      <c r="AF31" s="1490"/>
      <c r="AG31" s="1490"/>
      <c r="AH31" s="1490"/>
      <c r="AI31" s="1490"/>
      <c r="AJ31" s="1490"/>
      <c r="AK31" s="1490"/>
      <c r="AL31" s="1490"/>
      <c r="AM31" s="1490"/>
      <c r="AN31" s="1490"/>
      <c r="AO31" s="1490"/>
      <c r="AP31" s="1490"/>
      <c r="AQ31" s="1490"/>
      <c r="AS31" s="1491"/>
      <c r="AT31" s="1491"/>
      <c r="AU31" s="1491"/>
      <c r="AV31" s="1491"/>
      <c r="AW31" s="1491"/>
      <c r="AX31" s="1491"/>
      <c r="AY31" s="1491"/>
      <c r="AZ31" s="1491"/>
      <c r="BA31" s="1491"/>
      <c r="BB31" s="1491"/>
      <c r="BC31" s="1491"/>
      <c r="BD31" s="1491"/>
      <c r="BE31" s="1491"/>
      <c r="BF31" s="1491"/>
      <c r="BG31" s="1491"/>
      <c r="BH31" s="1491"/>
      <c r="BI31" s="1491"/>
      <c r="BJ31" s="1491"/>
      <c r="BK31" s="1491"/>
      <c r="BL31" s="1491"/>
      <c r="BN31" s="1492"/>
      <c r="BO31" s="1492"/>
      <c r="BP31" s="1492"/>
      <c r="BR31" s="3168"/>
      <c r="BS31" s="1493"/>
      <c r="BT31" s="748"/>
      <c r="BU31" s="1508"/>
      <c r="BV31" s="1508"/>
      <c r="BW31" s="1508"/>
      <c r="BX31" s="1508"/>
      <c r="BY31" s="1508"/>
      <c r="BZ31" s="1508"/>
      <c r="CA31" s="1508"/>
      <c r="CB31" s="1508"/>
      <c r="CC31" s="1508"/>
      <c r="CD31" s="1508"/>
      <c r="CE31" s="1508"/>
      <c r="CF31" s="1508"/>
      <c r="CG31" s="1508"/>
      <c r="CH31" s="1508"/>
      <c r="CI31" s="1508"/>
      <c r="CJ31" s="1508"/>
      <c r="CK31" s="1508"/>
      <c r="CL31" s="1508"/>
      <c r="CM31" s="1508"/>
      <c r="CN31" s="1508"/>
      <c r="CO31" s="1508"/>
      <c r="CP31" s="1508"/>
      <c r="CQ31" s="1508"/>
      <c r="CR31" s="1508"/>
      <c r="CS31" s="1508"/>
      <c r="CT31" s="1508"/>
      <c r="CU31" s="1508"/>
      <c r="CV31" s="1508"/>
      <c r="CW31" s="1508"/>
      <c r="CX31" s="1508"/>
      <c r="CY31" s="1508"/>
      <c r="CZ31" s="1508"/>
      <c r="DA31" s="1508"/>
      <c r="DB31" s="1508"/>
      <c r="DC31" s="1508"/>
      <c r="DD31" s="1508"/>
      <c r="DE31" s="1508"/>
      <c r="DF31" s="1508"/>
      <c r="DG31" s="1508"/>
      <c r="DH31" s="1508"/>
      <c r="DI31" s="1508"/>
      <c r="DJ31" s="1508"/>
      <c r="DK31" s="1508"/>
      <c r="DL31" s="1508"/>
      <c r="DN31" s="1509"/>
    </row>
    <row r="32" spans="1:118" s="14" customFormat="1" ht="12.75" hidden="1" customHeight="1" outlineLevel="1" x14ac:dyDescent="0.2">
      <c r="A32" s="1534"/>
      <c r="B32" s="1534"/>
      <c r="C32" s="1544"/>
      <c r="D32" s="1538"/>
      <c r="E32" s="1538"/>
      <c r="G32" s="1539"/>
      <c r="H32" s="1539"/>
      <c r="I32" s="1539"/>
      <c r="J32" s="1539"/>
      <c r="K32" s="1539"/>
      <c r="L32" s="1539"/>
      <c r="M32" s="1539"/>
      <c r="N32" s="1539"/>
      <c r="O32" s="1539"/>
      <c r="P32" s="1539"/>
      <c r="Q32" s="1539"/>
      <c r="R32" s="1539"/>
      <c r="S32" s="1539"/>
      <c r="T32" s="1539"/>
      <c r="U32" s="1539"/>
      <c r="V32" s="1539"/>
      <c r="W32" s="1539">
        <f t="shared" si="10"/>
        <v>0</v>
      </c>
      <c r="Y32" s="1490"/>
      <c r="Z32" s="1490"/>
      <c r="AA32" s="1490"/>
      <c r="AB32" s="1490"/>
      <c r="AC32" s="1490"/>
      <c r="AD32" s="1490"/>
      <c r="AE32" s="1490"/>
      <c r="AF32" s="1490"/>
      <c r="AG32" s="1490"/>
      <c r="AH32" s="1490"/>
      <c r="AI32" s="1490"/>
      <c r="AJ32" s="1490"/>
      <c r="AK32" s="1490"/>
      <c r="AL32" s="1490"/>
      <c r="AM32" s="1490"/>
      <c r="AN32" s="1490"/>
      <c r="AO32" s="1490"/>
      <c r="AP32" s="1490"/>
      <c r="AQ32" s="1490"/>
      <c r="AS32" s="1491"/>
      <c r="AT32" s="1491"/>
      <c r="AU32" s="1491"/>
      <c r="AV32" s="1491"/>
      <c r="AW32" s="1491"/>
      <c r="AX32" s="1491"/>
      <c r="AY32" s="1491"/>
      <c r="AZ32" s="1491"/>
      <c r="BA32" s="1491"/>
      <c r="BB32" s="1491"/>
      <c r="BC32" s="1491"/>
      <c r="BD32" s="1491"/>
      <c r="BE32" s="1491"/>
      <c r="BF32" s="1491"/>
      <c r="BG32" s="1491"/>
      <c r="BH32" s="1491"/>
      <c r="BI32" s="1491"/>
      <c r="BJ32" s="1491"/>
      <c r="BK32" s="1491"/>
      <c r="BL32" s="1491"/>
      <c r="BN32" s="1492"/>
      <c r="BO32" s="1492"/>
      <c r="BP32" s="1492"/>
      <c r="BR32" s="3168">
        <f t="shared" si="12"/>
        <v>0</v>
      </c>
      <c r="BS32" s="1493"/>
      <c r="BT32" s="1534"/>
      <c r="BU32" s="1507"/>
      <c r="BV32" s="1508"/>
      <c r="BW32" s="1508"/>
      <c r="BX32" s="1508"/>
      <c r="BY32" s="1508"/>
      <c r="BZ32" s="1508"/>
      <c r="CA32" s="1508"/>
      <c r="CB32" s="1508"/>
      <c r="CC32" s="1508"/>
      <c r="CD32" s="1508"/>
      <c r="CE32" s="1508"/>
      <c r="CF32" s="1508"/>
      <c r="CG32" s="1508"/>
      <c r="CH32" s="1508"/>
      <c r="CI32" s="1508"/>
      <c r="CJ32" s="1508"/>
      <c r="CK32" s="1508"/>
      <c r="CL32" s="1508"/>
      <c r="CM32" s="1508"/>
      <c r="CN32" s="1508"/>
      <c r="CO32" s="1508"/>
      <c r="CP32" s="1508"/>
      <c r="CQ32" s="1508"/>
      <c r="CR32" s="1508"/>
      <c r="CS32" s="1508"/>
      <c r="CT32" s="1508"/>
      <c r="CU32" s="1508"/>
      <c r="CV32" s="1508"/>
      <c r="CW32" s="1508"/>
      <c r="CX32" s="1508"/>
      <c r="CY32" s="1508"/>
      <c r="CZ32" s="1508"/>
      <c r="DA32" s="1508"/>
      <c r="DB32" s="1508"/>
      <c r="DC32" s="1508"/>
      <c r="DD32" s="1508"/>
      <c r="DE32" s="1508"/>
      <c r="DF32" s="1508"/>
      <c r="DG32" s="1508"/>
      <c r="DH32" s="1508"/>
      <c r="DI32" s="1508"/>
      <c r="DJ32" s="1508"/>
      <c r="DK32" s="1508"/>
      <c r="DL32" s="1508"/>
      <c r="DN32" s="1509"/>
    </row>
    <row r="33" spans="1:118" s="14" customFormat="1" ht="12.75" hidden="1" customHeight="1" outlineLevel="1" x14ac:dyDescent="0.2">
      <c r="A33" s="1522"/>
      <c r="B33" s="1522"/>
      <c r="C33" s="1496"/>
      <c r="D33" s="1526"/>
      <c r="E33" s="1526"/>
      <c r="G33" s="1540"/>
      <c r="H33" s="1540"/>
      <c r="I33" s="1540"/>
      <c r="J33" s="1540"/>
      <c r="K33" s="1540"/>
      <c r="L33" s="1540"/>
      <c r="M33" s="1540"/>
      <c r="N33" s="1540"/>
      <c r="O33" s="1540"/>
      <c r="P33" s="1540"/>
      <c r="Q33" s="1540"/>
      <c r="R33" s="1540"/>
      <c r="S33" s="1540"/>
      <c r="T33" s="1540"/>
      <c r="U33" s="1540"/>
      <c r="V33" s="1540"/>
      <c r="W33" s="1539">
        <f t="shared" si="10"/>
        <v>0</v>
      </c>
      <c r="Y33" s="1541"/>
      <c r="Z33" s="1541"/>
      <c r="AA33" s="1541"/>
      <c r="AB33" s="1541"/>
      <c r="AC33" s="1541"/>
      <c r="AD33" s="1541"/>
      <c r="AE33" s="1541"/>
      <c r="AF33" s="1541"/>
      <c r="AG33" s="1541"/>
      <c r="AH33" s="1541"/>
      <c r="AI33" s="1541"/>
      <c r="AJ33" s="1541"/>
      <c r="AK33" s="1541"/>
      <c r="AL33" s="1541"/>
      <c r="AM33" s="1541"/>
      <c r="AN33" s="1541"/>
      <c r="AO33" s="1541"/>
      <c r="AP33" s="1541"/>
      <c r="AQ33" s="1528"/>
      <c r="AS33" s="1542"/>
      <c r="AT33" s="1542"/>
      <c r="AU33" s="1542"/>
      <c r="AV33" s="1542"/>
      <c r="AW33" s="1542"/>
      <c r="AX33" s="1542"/>
      <c r="AY33" s="1542"/>
      <c r="AZ33" s="1542"/>
      <c r="BA33" s="1542"/>
      <c r="BB33" s="1542"/>
      <c r="BC33" s="1542"/>
      <c r="BD33" s="1542"/>
      <c r="BE33" s="1542"/>
      <c r="BF33" s="1542"/>
      <c r="BG33" s="1542"/>
      <c r="BH33" s="1542"/>
      <c r="BI33" s="1542"/>
      <c r="BJ33" s="1542"/>
      <c r="BK33" s="1542"/>
      <c r="BL33" s="1530"/>
      <c r="BN33" s="1543"/>
      <c r="BO33" s="1543"/>
      <c r="BP33" s="1531"/>
      <c r="BR33" s="3168">
        <f t="shared" si="12"/>
        <v>0</v>
      </c>
      <c r="BS33" s="1525"/>
      <c r="BT33" s="748"/>
      <c r="BU33" s="1532"/>
      <c r="BV33" s="1533"/>
      <c r="BW33" s="1533"/>
      <c r="BX33" s="1533"/>
      <c r="BY33" s="1533"/>
      <c r="BZ33" s="1533"/>
      <c r="CA33" s="1533"/>
      <c r="CB33" s="1533"/>
      <c r="CC33" s="1533"/>
      <c r="CD33" s="1533"/>
      <c r="CE33" s="1533"/>
      <c r="CF33" s="1533"/>
      <c r="CG33" s="1533"/>
      <c r="CH33" s="1533"/>
      <c r="CI33" s="1533"/>
      <c r="CJ33" s="1533"/>
      <c r="CK33" s="1533"/>
      <c r="CL33" s="1533"/>
      <c r="CM33" s="1533"/>
      <c r="CN33" s="1533"/>
      <c r="CO33" s="1533"/>
      <c r="CP33" s="1533"/>
      <c r="CQ33" s="1533"/>
      <c r="CR33" s="1533"/>
      <c r="CS33" s="1533"/>
      <c r="CT33" s="1533"/>
      <c r="CU33" s="1533"/>
      <c r="CV33" s="1533"/>
      <c r="CW33" s="1533"/>
      <c r="CX33" s="1533"/>
      <c r="CY33" s="1533"/>
      <c r="CZ33" s="1533"/>
      <c r="DA33" s="1533"/>
      <c r="DB33" s="1533"/>
      <c r="DC33" s="1533"/>
      <c r="DD33" s="1533"/>
      <c r="DE33" s="1533"/>
      <c r="DF33" s="1533"/>
      <c r="DG33" s="1533"/>
      <c r="DH33" s="1533"/>
      <c r="DI33" s="1533"/>
      <c r="DJ33" s="1533"/>
      <c r="DK33" s="1533"/>
      <c r="DL33" s="1533"/>
      <c r="DN33" s="1509"/>
    </row>
    <row r="34" spans="1:118" s="14" customFormat="1" ht="15.75" collapsed="1" x14ac:dyDescent="0.2">
      <c r="A34" s="1534"/>
      <c r="B34" s="1535"/>
      <c r="C34" s="1536"/>
      <c r="D34" s="1537"/>
      <c r="E34" s="1538"/>
      <c r="G34" s="1539"/>
      <c r="H34" s="1539"/>
      <c r="I34" s="1539"/>
      <c r="J34" s="1539"/>
      <c r="K34" s="1539"/>
      <c r="L34" s="1539"/>
      <c r="M34" s="1539"/>
      <c r="N34" s="1539"/>
      <c r="O34" s="1539"/>
      <c r="P34" s="1539"/>
      <c r="Q34" s="1539"/>
      <c r="R34" s="1539"/>
      <c r="S34" s="1539"/>
      <c r="T34" s="1539"/>
      <c r="U34" s="1539"/>
      <c r="V34" s="1539"/>
      <c r="W34" s="1539"/>
      <c r="Y34" s="1490"/>
      <c r="Z34" s="1490"/>
      <c r="AA34" s="1490"/>
      <c r="AB34" s="1490"/>
      <c r="AC34" s="1490"/>
      <c r="AD34" s="1490"/>
      <c r="AE34" s="1490"/>
      <c r="AF34" s="1490"/>
      <c r="AG34" s="1490"/>
      <c r="AH34" s="1490"/>
      <c r="AI34" s="1490"/>
      <c r="AJ34" s="1490"/>
      <c r="AK34" s="1490"/>
      <c r="AL34" s="1490"/>
      <c r="AM34" s="1490"/>
      <c r="AN34" s="1490"/>
      <c r="AO34" s="1490"/>
      <c r="AP34" s="1490"/>
      <c r="AQ34" s="1490"/>
      <c r="AS34" s="1491"/>
      <c r="AT34" s="1491"/>
      <c r="AU34" s="1491"/>
      <c r="AV34" s="1491"/>
      <c r="AW34" s="1491"/>
      <c r="AX34" s="1491"/>
      <c r="AY34" s="1491"/>
      <c r="AZ34" s="1491"/>
      <c r="BA34" s="1491"/>
      <c r="BB34" s="1491"/>
      <c r="BC34" s="1491"/>
      <c r="BD34" s="1491"/>
      <c r="BE34" s="1491"/>
      <c r="BF34" s="1491"/>
      <c r="BG34" s="1491"/>
      <c r="BH34" s="1491"/>
      <c r="BI34" s="1491"/>
      <c r="BJ34" s="1491"/>
      <c r="BK34" s="1491"/>
      <c r="BL34" s="1491"/>
      <c r="BN34" s="1492"/>
      <c r="BO34" s="1492"/>
      <c r="BP34" s="1492"/>
      <c r="BR34" s="3168"/>
      <c r="BS34" s="1493"/>
      <c r="BT34" s="748"/>
      <c r="BU34" s="1508"/>
      <c r="BV34" s="1508"/>
      <c r="BW34" s="1508"/>
      <c r="BX34" s="1508"/>
      <c r="BY34" s="1508"/>
      <c r="BZ34" s="1508"/>
      <c r="CA34" s="1508"/>
      <c r="CB34" s="1508"/>
      <c r="CC34" s="1508"/>
      <c r="CD34" s="1508"/>
      <c r="CE34" s="1508"/>
      <c r="CF34" s="1508"/>
      <c r="CG34" s="1508"/>
      <c r="CH34" s="1508"/>
      <c r="CI34" s="1508"/>
      <c r="CJ34" s="1508"/>
      <c r="CK34" s="1508"/>
      <c r="CL34" s="1508"/>
      <c r="CM34" s="1508"/>
      <c r="CN34" s="1508"/>
      <c r="CO34" s="1508"/>
      <c r="CP34" s="1508"/>
      <c r="CQ34" s="1508"/>
      <c r="CR34" s="1508"/>
      <c r="CS34" s="1508"/>
      <c r="CT34" s="1508"/>
      <c r="CU34" s="1508"/>
      <c r="CV34" s="1508"/>
      <c r="CW34" s="1508"/>
      <c r="CX34" s="1508"/>
      <c r="CY34" s="1508"/>
      <c r="CZ34" s="1508"/>
      <c r="DA34" s="1508"/>
      <c r="DB34" s="1508"/>
      <c r="DC34" s="1508"/>
      <c r="DD34" s="1508"/>
      <c r="DE34" s="1508"/>
      <c r="DF34" s="1508"/>
      <c r="DG34" s="1508"/>
      <c r="DH34" s="1508"/>
      <c r="DI34" s="1508"/>
      <c r="DJ34" s="1508"/>
      <c r="DK34" s="1508"/>
      <c r="DL34" s="1508"/>
      <c r="DN34" s="1509"/>
    </row>
    <row r="35" spans="1:118" s="14" customFormat="1" ht="6" customHeight="1" x14ac:dyDescent="0.2">
      <c r="C35" s="1552"/>
      <c r="D35" s="1537"/>
      <c r="E35" s="1430"/>
      <c r="G35" s="1539"/>
      <c r="H35" s="1539"/>
      <c r="I35" s="1539"/>
      <c r="J35" s="1539"/>
      <c r="K35" s="1539"/>
      <c r="L35" s="1539"/>
      <c r="M35" s="1539"/>
      <c r="N35" s="1539"/>
      <c r="O35" s="1539"/>
      <c r="P35" s="1539"/>
      <c r="Q35" s="1539"/>
      <c r="R35" s="1539"/>
      <c r="S35" s="1539"/>
      <c r="T35" s="1539"/>
      <c r="U35" s="1539"/>
      <c r="V35" s="1539"/>
      <c r="W35" s="1539"/>
      <c r="Y35" s="1490"/>
      <c r="Z35" s="1490"/>
      <c r="AA35" s="1490"/>
      <c r="AB35" s="1490"/>
      <c r="AC35" s="1490"/>
      <c r="AD35" s="1490"/>
      <c r="AE35" s="1490"/>
      <c r="AF35" s="1490"/>
      <c r="AG35" s="1490"/>
      <c r="AH35" s="1490"/>
      <c r="AI35" s="1490"/>
      <c r="AJ35" s="1490"/>
      <c r="AK35" s="1490"/>
      <c r="AL35" s="1490"/>
      <c r="AM35" s="1490"/>
      <c r="AN35" s="1490"/>
      <c r="AO35" s="1490"/>
      <c r="AP35" s="1490"/>
      <c r="AQ35" s="1490"/>
      <c r="AS35" s="1491"/>
      <c r="AT35" s="1491"/>
      <c r="AU35" s="1491"/>
      <c r="AV35" s="1491"/>
      <c r="AW35" s="1491"/>
      <c r="AX35" s="1491"/>
      <c r="AY35" s="1491"/>
      <c r="AZ35" s="1491"/>
      <c r="BA35" s="1491"/>
      <c r="BB35" s="1491"/>
      <c r="BC35" s="1491"/>
      <c r="BD35" s="1491"/>
      <c r="BE35" s="1491"/>
      <c r="BF35" s="1491"/>
      <c r="BG35" s="1491"/>
      <c r="BH35" s="1491"/>
      <c r="BI35" s="1491"/>
      <c r="BJ35" s="1491"/>
      <c r="BK35" s="1491"/>
      <c r="BL35" s="1491"/>
      <c r="BN35" s="1492"/>
      <c r="BO35" s="1492"/>
      <c r="BP35" s="1492"/>
      <c r="BR35" s="3168"/>
      <c r="BS35" s="1493"/>
      <c r="BU35" s="1508"/>
      <c r="BV35" s="1508"/>
      <c r="BW35" s="1508"/>
      <c r="BX35" s="1508"/>
      <c r="BY35" s="1508"/>
      <c r="BZ35" s="1508"/>
      <c r="CA35" s="1508"/>
      <c r="CB35" s="1508"/>
      <c r="CC35" s="1508"/>
      <c r="CD35" s="1508"/>
      <c r="CE35" s="1508"/>
      <c r="CF35" s="1508"/>
      <c r="CG35" s="1508"/>
      <c r="CH35" s="1508"/>
      <c r="CI35" s="1508"/>
      <c r="CJ35" s="1508"/>
      <c r="CK35" s="1508"/>
      <c r="CL35" s="1508"/>
      <c r="CM35" s="1508"/>
      <c r="CN35" s="1508"/>
      <c r="CO35" s="1508"/>
      <c r="CP35" s="1508"/>
      <c r="CQ35" s="1508"/>
      <c r="CR35" s="1508"/>
      <c r="CS35" s="1508"/>
      <c r="CT35" s="1508"/>
      <c r="CU35" s="1508"/>
      <c r="CV35" s="1508"/>
      <c r="CW35" s="1508"/>
      <c r="CX35" s="1508"/>
      <c r="CY35" s="1508"/>
      <c r="CZ35" s="1508"/>
      <c r="DA35" s="1508"/>
      <c r="DB35" s="1508"/>
      <c r="DC35" s="1508"/>
      <c r="DD35" s="1508"/>
      <c r="DE35" s="1508"/>
      <c r="DF35" s="1508"/>
      <c r="DG35" s="1508"/>
      <c r="DH35" s="1508"/>
      <c r="DI35" s="1508"/>
      <c r="DJ35" s="1508"/>
      <c r="DK35" s="1508"/>
      <c r="DL35" s="1508"/>
      <c r="DN35" s="1509"/>
    </row>
    <row r="36" spans="1:118" s="14" customFormat="1" ht="15.75" x14ac:dyDescent="0.2">
      <c r="B36" s="1535"/>
      <c r="C36" s="1553"/>
      <c r="D36" s="1554" t="s">
        <v>916</v>
      </c>
      <c r="E36" s="1555"/>
      <c r="G36" s="1929">
        <f t="shared" ref="G36:V36" ca="1" si="28">G15+G19+G27</f>
        <v>81.429709387170789</v>
      </c>
      <c r="H36" s="1929">
        <f t="shared" ca="1" si="28"/>
        <v>16.703485442098668</v>
      </c>
      <c r="I36" s="1929">
        <f t="shared" ca="1" si="28"/>
        <v>6.8908254190298059</v>
      </c>
      <c r="J36" s="1929">
        <f t="shared" ca="1" si="28"/>
        <v>22.904110325695559</v>
      </c>
      <c r="K36" s="1929">
        <f t="shared" ca="1" si="28"/>
        <v>10.160246299359558</v>
      </c>
      <c r="L36" s="1929">
        <f t="shared" ca="1" si="28"/>
        <v>20.274263382161628</v>
      </c>
      <c r="M36" s="1929">
        <f t="shared" ca="1" si="28"/>
        <v>262.50546954554397</v>
      </c>
      <c r="N36" s="1929">
        <f t="shared" ca="1" si="28"/>
        <v>84.980606868956514</v>
      </c>
      <c r="O36" s="1929">
        <f t="shared" ca="1" si="28"/>
        <v>42.239823681665676</v>
      </c>
      <c r="P36" s="1929">
        <f t="shared" ca="1" si="28"/>
        <v>0.63718288562585734</v>
      </c>
      <c r="Q36" s="1929">
        <f t="shared" ca="1" si="28"/>
        <v>0.10538681092763307</v>
      </c>
      <c r="R36" s="1929">
        <f t="shared" ca="1" si="28"/>
        <v>36.125164502313076</v>
      </c>
      <c r="S36" s="1929">
        <f ca="1">S15+S19+S27</f>
        <v>11.540996944925201</v>
      </c>
      <c r="T36" s="1929">
        <f t="shared" ca="1" si="28"/>
        <v>13.08253848496264</v>
      </c>
      <c r="U36" s="1929">
        <f t="shared" ca="1" si="28"/>
        <v>7.9979504726837031E-3</v>
      </c>
      <c r="V36" s="1929">
        <f t="shared" ca="1" si="28"/>
        <v>0.49197922477980477</v>
      </c>
      <c r="W36" s="1929">
        <f ca="1">SUM(G36:V36)</f>
        <v>610.07978715568902</v>
      </c>
      <c r="Y36" s="1937">
        <f t="shared" ref="Y36:AP36" ca="1" si="29">Y27+Y19+Y15</f>
        <v>-148.13841553905652</v>
      </c>
      <c r="Z36" s="1937">
        <f t="shared" ca="1" si="29"/>
        <v>0</v>
      </c>
      <c r="AA36" s="1937">
        <f t="shared" ca="1" si="29"/>
        <v>-63.684985913141524</v>
      </c>
      <c r="AB36" s="1937">
        <f t="shared" ca="1" si="29"/>
        <v>-296.73237697557784</v>
      </c>
      <c r="AC36" s="1937">
        <f t="shared" ca="1" si="29"/>
        <v>-92.238981266223007</v>
      </c>
      <c r="AD36" s="1937">
        <f t="shared" ca="1" si="29"/>
        <v>0</v>
      </c>
      <c r="AE36" s="1937">
        <f t="shared" ca="1" si="29"/>
        <v>0</v>
      </c>
      <c r="AF36" s="1937">
        <f t="shared" ca="1" si="29"/>
        <v>0</v>
      </c>
      <c r="AG36" s="1937">
        <f t="shared" ca="1" si="29"/>
        <v>0</v>
      </c>
      <c r="AH36" s="1937">
        <f t="shared" ca="1" si="29"/>
        <v>0</v>
      </c>
      <c r="AI36" s="1937">
        <f t="shared" ca="1" si="29"/>
        <v>0</v>
      </c>
      <c r="AJ36" s="1937">
        <f t="shared" ca="1" si="29"/>
        <v>0</v>
      </c>
      <c r="AK36" s="1937">
        <f t="shared" ca="1" si="29"/>
        <v>0</v>
      </c>
      <c r="AL36" s="1937">
        <f ca="1">AL27+AL19+AL15</f>
        <v>-9.2624722711025793</v>
      </c>
      <c r="AM36" s="1937">
        <f t="shared" ca="1" si="29"/>
        <v>0</v>
      </c>
      <c r="AN36" s="1937">
        <f t="shared" ca="1" si="29"/>
        <v>0</v>
      </c>
      <c r="AO36" s="1937">
        <f t="shared" ca="1" si="29"/>
        <v>0</v>
      </c>
      <c r="AP36" s="1937">
        <f t="shared" ca="1" si="29"/>
        <v>0</v>
      </c>
      <c r="AQ36" s="1937">
        <f ca="1">SUM(Y36:AP36)</f>
        <v>-610.05723196510144</v>
      </c>
      <c r="AS36" s="1558">
        <f ca="1">AS15+AS19+AS27</f>
        <v>0</v>
      </c>
      <c r="AT36" s="1558">
        <f t="shared" ref="AT36:BK36" ca="1" si="30">AT15+AT19+AT27</f>
        <v>0</v>
      </c>
      <c r="AU36" s="1558">
        <f t="shared" ca="1" si="30"/>
        <v>0</v>
      </c>
      <c r="AV36" s="1558">
        <f t="shared" ca="1" si="30"/>
        <v>0</v>
      </c>
      <c r="AW36" s="1558">
        <f t="shared" ca="1" si="30"/>
        <v>0</v>
      </c>
      <c r="AX36" s="1558">
        <f t="shared" ca="1" si="30"/>
        <v>0</v>
      </c>
      <c r="AY36" s="1558">
        <f t="shared" ca="1" si="30"/>
        <v>0</v>
      </c>
      <c r="AZ36" s="1558">
        <f t="shared" ca="1" si="30"/>
        <v>0</v>
      </c>
      <c r="BA36" s="1558">
        <f t="shared" ca="1" si="30"/>
        <v>0</v>
      </c>
      <c r="BB36" s="1558">
        <f t="shared" ca="1" si="30"/>
        <v>0</v>
      </c>
      <c r="BC36" s="1558">
        <f t="shared" ca="1" si="30"/>
        <v>-2.2555190587586187E-2</v>
      </c>
      <c r="BD36" s="1558">
        <f t="shared" ca="1" si="30"/>
        <v>0</v>
      </c>
      <c r="BE36" s="1558">
        <f t="shared" ca="1" si="30"/>
        <v>0</v>
      </c>
      <c r="BF36" s="1558">
        <f t="shared" ca="1" si="30"/>
        <v>0</v>
      </c>
      <c r="BG36" s="1558">
        <f t="shared" ca="1" si="30"/>
        <v>0</v>
      </c>
      <c r="BH36" s="1558">
        <f t="shared" ca="1" si="30"/>
        <v>0</v>
      </c>
      <c r="BI36" s="1558">
        <f t="shared" ca="1" si="30"/>
        <v>0</v>
      </c>
      <c r="BJ36" s="1558">
        <f t="shared" ca="1" si="30"/>
        <v>0</v>
      </c>
      <c r="BK36" s="1558">
        <f t="shared" ca="1" si="30"/>
        <v>0</v>
      </c>
      <c r="BL36" s="3166">
        <f ca="1">SUM(AS36:BK36)</f>
        <v>-2.2555190587586187E-2</v>
      </c>
      <c r="BN36" s="1559">
        <f ca="1">BN27+BN19+BN15</f>
        <v>0</v>
      </c>
      <c r="BO36" s="1559">
        <f ca="1">BO27+BO19+BO15</f>
        <v>0</v>
      </c>
      <c r="BP36" s="1505">
        <f ca="1">BN36+BO36</f>
        <v>0</v>
      </c>
      <c r="BR36" s="3168">
        <f ca="1">W36+AQ36+BL36+BP36</f>
        <v>-4.3680337125096003E-15</v>
      </c>
      <c r="BS36" s="1560"/>
      <c r="BU36" s="1561">
        <v>283.37379437292333</v>
      </c>
      <c r="BV36" s="1561">
        <v>0.46829877567433276</v>
      </c>
      <c r="BW36" s="1561">
        <v>3.244610652199623</v>
      </c>
      <c r="BX36" s="1561">
        <v>0</v>
      </c>
      <c r="BY36" s="1561">
        <v>0</v>
      </c>
      <c r="BZ36" s="1561">
        <v>0</v>
      </c>
      <c r="CA36" s="1561">
        <v>0</v>
      </c>
      <c r="CB36" s="1561">
        <v>0</v>
      </c>
      <c r="CC36" s="1561">
        <v>14.39565925511863</v>
      </c>
      <c r="CD36" s="1561">
        <v>0.11288744235152412</v>
      </c>
      <c r="CE36" s="1561">
        <v>2.7624692105907238</v>
      </c>
      <c r="CF36" s="1561">
        <v>10.620296151887526</v>
      </c>
      <c r="CG36" s="1561">
        <v>0</v>
      </c>
      <c r="CH36" s="1561">
        <v>0</v>
      </c>
      <c r="CI36" s="1561">
        <v>0</v>
      </c>
      <c r="CJ36" s="1561">
        <v>0</v>
      </c>
      <c r="CK36" s="1561">
        <v>0</v>
      </c>
      <c r="CL36" s="1561">
        <v>0</v>
      </c>
      <c r="CM36" s="1561">
        <v>0</v>
      </c>
      <c r="CN36" s="1561">
        <v>0</v>
      </c>
      <c r="CO36" s="1561">
        <v>0</v>
      </c>
      <c r="CP36" s="1561">
        <v>0</v>
      </c>
      <c r="CQ36" s="1561">
        <v>0</v>
      </c>
      <c r="CR36" s="1561">
        <v>0</v>
      </c>
      <c r="CS36" s="1561">
        <v>0</v>
      </c>
      <c r="CT36" s="1561">
        <v>0</v>
      </c>
      <c r="CU36" s="1561">
        <v>0</v>
      </c>
      <c r="CV36" s="1561">
        <v>0</v>
      </c>
      <c r="CW36" s="1561">
        <v>0</v>
      </c>
      <c r="CX36" s="1561">
        <v>0</v>
      </c>
      <c r="CY36" s="1561">
        <v>0</v>
      </c>
      <c r="CZ36" s="1561">
        <v>0</v>
      </c>
      <c r="DA36" s="1561">
        <v>51.739539271814301</v>
      </c>
      <c r="DB36" s="1561">
        <v>6.441552213858226E-2</v>
      </c>
      <c r="DC36" s="1561">
        <v>0.93090033050516818</v>
      </c>
      <c r="DD36" s="1561">
        <v>0</v>
      </c>
      <c r="DE36" s="1561">
        <v>0</v>
      </c>
      <c r="DF36" s="1561">
        <v>0</v>
      </c>
      <c r="DG36" s="1561">
        <v>0</v>
      </c>
      <c r="DH36" s="1561">
        <v>0</v>
      </c>
      <c r="DI36" s="1561">
        <v>0</v>
      </c>
      <c r="DJ36" s="1561">
        <v>0</v>
      </c>
      <c r="DK36" s="1561">
        <v>0</v>
      </c>
      <c r="DL36" s="1561">
        <v>0</v>
      </c>
      <c r="DN36" s="1562">
        <v>367.71287098520372</v>
      </c>
    </row>
    <row r="37" spans="1:118" s="14" customFormat="1" ht="6" customHeight="1" x14ac:dyDescent="0.2">
      <c r="C37" s="1430"/>
      <c r="D37" s="1430"/>
      <c r="E37" s="1430"/>
      <c r="G37" s="1488"/>
      <c r="H37" s="1488"/>
      <c r="I37" s="1488"/>
      <c r="J37" s="1488"/>
      <c r="K37" s="1488"/>
      <c r="L37" s="1488"/>
      <c r="M37" s="1488"/>
      <c r="N37" s="1488"/>
      <c r="O37" s="1563"/>
      <c r="P37" s="1488"/>
      <c r="Q37" s="1488"/>
      <c r="R37" s="1488"/>
      <c r="S37" s="1488"/>
      <c r="T37" s="1488"/>
      <c r="U37" s="1488"/>
      <c r="V37" s="1488"/>
      <c r="W37" s="1488"/>
      <c r="Y37" s="1490"/>
      <c r="Z37" s="1490"/>
      <c r="AA37" s="1490"/>
      <c r="AB37" s="1490"/>
      <c r="AC37" s="1490"/>
      <c r="AD37" s="1490"/>
      <c r="AE37" s="1490"/>
      <c r="AF37" s="1490"/>
      <c r="AG37" s="1490"/>
      <c r="AH37" s="1490"/>
      <c r="AI37" s="1490"/>
      <c r="AJ37" s="1490"/>
      <c r="AK37" s="1490"/>
      <c r="AL37" s="1490"/>
      <c r="AM37" s="1490"/>
      <c r="AN37" s="1490"/>
      <c r="AO37" s="1490"/>
      <c r="AP37" s="1490"/>
      <c r="AQ37" s="1490"/>
      <c r="AS37" s="1491"/>
      <c r="AT37" s="1491"/>
      <c r="AU37" s="1491"/>
      <c r="AV37" s="1491"/>
      <c r="AW37" s="1491"/>
      <c r="AX37" s="1491"/>
      <c r="AY37" s="1491"/>
      <c r="AZ37" s="1491"/>
      <c r="BA37" s="1491"/>
      <c r="BB37" s="1491"/>
      <c r="BC37" s="1491"/>
      <c r="BD37" s="1491"/>
      <c r="BE37" s="1491"/>
      <c r="BF37" s="1491"/>
      <c r="BG37" s="1491"/>
      <c r="BH37" s="1491"/>
      <c r="BI37" s="1491"/>
      <c r="BJ37" s="1491"/>
      <c r="BK37" s="1491"/>
      <c r="BL37" s="1491"/>
      <c r="BN37" s="1492"/>
      <c r="BO37" s="1492"/>
      <c r="BP37" s="1492"/>
      <c r="BR37" s="3168"/>
      <c r="BS37" s="1493"/>
      <c r="BU37" s="1508"/>
      <c r="BV37" s="1508"/>
      <c r="BW37" s="1508"/>
      <c r="BX37" s="1508"/>
      <c r="BY37" s="1508"/>
      <c r="BZ37" s="1508"/>
      <c r="CA37" s="1508"/>
      <c r="CB37" s="1508"/>
      <c r="CC37" s="1508"/>
      <c r="CD37" s="1508"/>
      <c r="CE37" s="1508"/>
      <c r="CF37" s="1508"/>
      <c r="CG37" s="1508"/>
      <c r="CH37" s="1508"/>
      <c r="CI37" s="1508"/>
      <c r="CJ37" s="1508"/>
      <c r="CK37" s="1508"/>
      <c r="CL37" s="1508"/>
      <c r="CM37" s="1508"/>
      <c r="CN37" s="1508"/>
      <c r="CO37" s="1508"/>
      <c r="CP37" s="1508"/>
      <c r="CQ37" s="1508"/>
      <c r="CR37" s="1508"/>
      <c r="CS37" s="1508"/>
      <c r="CT37" s="1508"/>
      <c r="CU37" s="1508"/>
      <c r="CV37" s="1508"/>
      <c r="CW37" s="1508"/>
      <c r="CX37" s="1508"/>
      <c r="CY37" s="1508"/>
      <c r="CZ37" s="1508"/>
      <c r="DA37" s="1508"/>
      <c r="DB37" s="1508"/>
      <c r="DC37" s="1508"/>
      <c r="DD37" s="1508"/>
      <c r="DE37" s="1508"/>
      <c r="DF37" s="1508"/>
      <c r="DG37" s="1508"/>
      <c r="DH37" s="1508"/>
      <c r="DI37" s="1508"/>
      <c r="DJ37" s="1508"/>
      <c r="DK37" s="1508"/>
      <c r="DL37" s="1508"/>
      <c r="DN37" s="1509"/>
    </row>
    <row r="38" spans="1:118" s="14" customFormat="1" ht="17.25" customHeight="1" x14ac:dyDescent="0.2">
      <c r="C38" s="1480" t="s">
        <v>404</v>
      </c>
      <c r="D38" s="1430"/>
      <c r="E38" s="1430"/>
      <c r="G38" s="1488"/>
      <c r="H38" s="1488"/>
      <c r="I38" s="1488"/>
      <c r="J38" s="1488"/>
      <c r="K38" s="1488"/>
      <c r="L38" s="1488"/>
      <c r="M38" s="1488"/>
      <c r="N38" s="1488"/>
      <c r="O38" s="1563"/>
      <c r="P38" s="1488"/>
      <c r="Q38" s="1488"/>
      <c r="R38" s="1488"/>
      <c r="S38" s="1488"/>
      <c r="T38" s="1488"/>
      <c r="U38" s="1488"/>
      <c r="V38" s="1488"/>
      <c r="W38" s="1488"/>
      <c r="Y38" s="1490"/>
      <c r="Z38" s="1490"/>
      <c r="AA38" s="1490"/>
      <c r="AB38" s="1490"/>
      <c r="AC38" s="1490"/>
      <c r="AD38" s="1490"/>
      <c r="AE38" s="1490"/>
      <c r="AF38" s="1490"/>
      <c r="AG38" s="1490"/>
      <c r="AH38" s="1490"/>
      <c r="AI38" s="1490"/>
      <c r="AJ38" s="1490"/>
      <c r="AK38" s="1490"/>
      <c r="AL38" s="1490"/>
      <c r="AM38" s="1490"/>
      <c r="AN38" s="1490"/>
      <c r="AO38" s="1490"/>
      <c r="AP38" s="1490"/>
      <c r="AQ38" s="1490"/>
      <c r="AS38" s="1491"/>
      <c r="AT38" s="1491"/>
      <c r="AU38" s="1491"/>
      <c r="AV38" s="1491"/>
      <c r="AW38" s="1491"/>
      <c r="AX38" s="1491"/>
      <c r="AY38" s="1491"/>
      <c r="AZ38" s="1491"/>
      <c r="BA38" s="1491"/>
      <c r="BB38" s="1491"/>
      <c r="BC38" s="1491"/>
      <c r="BD38" s="1491"/>
      <c r="BE38" s="1491"/>
      <c r="BF38" s="1491"/>
      <c r="BG38" s="1491"/>
      <c r="BH38" s="1491"/>
      <c r="BI38" s="1491"/>
      <c r="BJ38" s="1491"/>
      <c r="BK38" s="1491"/>
      <c r="BL38" s="1491"/>
      <c r="BN38" s="1492"/>
      <c r="BO38" s="1492"/>
      <c r="BP38" s="1492"/>
      <c r="BR38" s="3168"/>
      <c r="BS38" s="1493"/>
      <c r="BU38" s="1508"/>
      <c r="BV38" s="1508"/>
      <c r="BW38" s="1508"/>
      <c r="BX38" s="1508"/>
      <c r="BY38" s="1508"/>
      <c r="BZ38" s="1508"/>
      <c r="CA38" s="1508"/>
      <c r="CB38" s="1508"/>
      <c r="CC38" s="1508"/>
      <c r="CD38" s="1508"/>
      <c r="CE38" s="1508"/>
      <c r="CF38" s="1508"/>
      <c r="CG38" s="1508"/>
      <c r="CH38" s="1508"/>
      <c r="CI38" s="1508"/>
      <c r="CJ38" s="1508"/>
      <c r="CK38" s="1508"/>
      <c r="CL38" s="1508"/>
      <c r="CM38" s="1508"/>
      <c r="CN38" s="1508"/>
      <c r="CO38" s="1508"/>
      <c r="CP38" s="1508"/>
      <c r="CQ38" s="1508"/>
      <c r="CR38" s="1508"/>
      <c r="CS38" s="1508"/>
      <c r="CT38" s="1508"/>
      <c r="CU38" s="1508"/>
      <c r="CV38" s="1508"/>
      <c r="CW38" s="1508"/>
      <c r="CX38" s="1508"/>
      <c r="CY38" s="1508"/>
      <c r="CZ38" s="1508"/>
      <c r="DA38" s="1508"/>
      <c r="DB38" s="1508"/>
      <c r="DC38" s="1508"/>
      <c r="DD38" s="1508"/>
      <c r="DE38" s="1508"/>
      <c r="DF38" s="1508"/>
      <c r="DG38" s="1508"/>
      <c r="DH38" s="1508"/>
      <c r="DI38" s="1508"/>
      <c r="DJ38" s="1508"/>
      <c r="DK38" s="1508"/>
      <c r="DL38" s="1508"/>
      <c r="DN38" s="1509"/>
    </row>
    <row r="39" spans="1:118" s="14" customFormat="1" ht="24" hidden="1" customHeight="1" outlineLevel="1" x14ac:dyDescent="0.2">
      <c r="D39" s="1480"/>
      <c r="E39" s="1481"/>
      <c r="G39" s="1482"/>
      <c r="H39" s="1482"/>
      <c r="I39" s="1482"/>
      <c r="J39" s="1482"/>
      <c r="K39" s="1482"/>
      <c r="L39" s="1482"/>
      <c r="M39" s="1482"/>
      <c r="N39" s="1482"/>
      <c r="O39" s="1482"/>
      <c r="P39" s="1482"/>
      <c r="Q39" s="1482"/>
      <c r="R39" s="1482"/>
      <c r="S39" s="1482"/>
      <c r="T39" s="1482"/>
      <c r="U39" s="1482"/>
      <c r="V39" s="1482"/>
      <c r="W39" s="1482"/>
      <c r="Y39" s="1483"/>
      <c r="Z39" s="1483"/>
      <c r="AA39" s="1483"/>
      <c r="AB39" s="1483"/>
      <c r="AC39" s="1483"/>
      <c r="AD39" s="1483"/>
      <c r="AE39" s="1483"/>
      <c r="AF39" s="1483"/>
      <c r="AG39" s="1483"/>
      <c r="AH39" s="1483"/>
      <c r="AI39" s="1483"/>
      <c r="AJ39" s="1483"/>
      <c r="AK39" s="1483"/>
      <c r="AL39" s="1483"/>
      <c r="AM39" s="1483"/>
      <c r="AN39" s="1483"/>
      <c r="AO39" s="1483"/>
      <c r="AP39" s="1483"/>
      <c r="AQ39" s="1483"/>
      <c r="AS39" s="1484"/>
      <c r="AT39" s="1484"/>
      <c r="AU39" s="1484"/>
      <c r="AV39" s="1484"/>
      <c r="AW39" s="1484"/>
      <c r="AX39" s="1484"/>
      <c r="AY39" s="1484"/>
      <c r="AZ39" s="1484"/>
      <c r="BA39" s="1484"/>
      <c r="BB39" s="1484"/>
      <c r="BC39" s="1484"/>
      <c r="BD39" s="1484"/>
      <c r="BE39" s="1484"/>
      <c r="BF39" s="1484"/>
      <c r="BG39" s="1484"/>
      <c r="BH39" s="1484"/>
      <c r="BI39" s="1484"/>
      <c r="BJ39" s="1484"/>
      <c r="BK39" s="1484"/>
      <c r="BL39" s="1484"/>
      <c r="BN39" s="1485"/>
      <c r="BO39" s="1485"/>
      <c r="BP39" s="1485"/>
      <c r="BR39" s="3168">
        <f t="shared" si="12"/>
        <v>0</v>
      </c>
      <c r="BS39" s="1486"/>
      <c r="BU39" s="1508"/>
      <c r="BV39" s="1508"/>
      <c r="BW39" s="1508"/>
      <c r="BX39" s="1508"/>
      <c r="BY39" s="1508"/>
      <c r="BZ39" s="1508"/>
      <c r="CA39" s="1508"/>
      <c r="CB39" s="1508"/>
      <c r="CC39" s="1508"/>
      <c r="CD39" s="1508"/>
      <c r="CE39" s="1508"/>
      <c r="CF39" s="1508"/>
      <c r="CG39" s="1508"/>
      <c r="CH39" s="1508"/>
      <c r="CI39" s="1508"/>
      <c r="CJ39" s="1508"/>
      <c r="CK39" s="1508"/>
      <c r="CL39" s="1508"/>
      <c r="CM39" s="1508"/>
      <c r="CN39" s="1508"/>
      <c r="CO39" s="1508"/>
      <c r="CP39" s="1508"/>
      <c r="CQ39" s="1508"/>
      <c r="CR39" s="1508"/>
      <c r="CS39" s="1508"/>
      <c r="CT39" s="1508"/>
      <c r="CU39" s="1508"/>
      <c r="CV39" s="1508"/>
      <c r="CW39" s="1508"/>
      <c r="CX39" s="1508"/>
      <c r="CY39" s="1508"/>
      <c r="CZ39" s="1508"/>
      <c r="DA39" s="1508"/>
      <c r="DB39" s="1508"/>
      <c r="DC39" s="1508"/>
      <c r="DD39" s="1508"/>
      <c r="DE39" s="1508"/>
      <c r="DF39" s="1508"/>
      <c r="DG39" s="1508"/>
      <c r="DH39" s="1508"/>
      <c r="DI39" s="1508"/>
      <c r="DJ39" s="1508"/>
      <c r="DK39" s="1508"/>
      <c r="DL39" s="1508"/>
      <c r="DN39" s="1509"/>
    </row>
    <row r="40" spans="1:118" s="14" customFormat="1" ht="15.75" hidden="1" customHeight="1" outlineLevel="2" x14ac:dyDescent="0.2">
      <c r="A40" s="1534"/>
      <c r="B40" s="1534"/>
      <c r="C40" s="1544"/>
      <c r="D40" s="1538"/>
      <c r="E40" s="1538"/>
      <c r="G40" s="1488"/>
      <c r="H40" s="1488"/>
      <c r="I40" s="1488"/>
      <c r="J40" s="1488"/>
      <c r="K40" s="1488"/>
      <c r="L40" s="1488"/>
      <c r="M40" s="1488"/>
      <c r="N40" s="1488"/>
      <c r="O40" s="1563"/>
      <c r="P40" s="1488"/>
      <c r="Q40" s="1488"/>
      <c r="R40" s="1488"/>
      <c r="S40" s="1488"/>
      <c r="T40" s="1488"/>
      <c r="U40" s="1488"/>
      <c r="V40" s="1488"/>
      <c r="W40" s="1488"/>
      <c r="Y40" s="1490"/>
      <c r="Z40" s="1490"/>
      <c r="AA40" s="1490"/>
      <c r="AB40" s="1490"/>
      <c r="AC40" s="1490"/>
      <c r="AD40" s="1490"/>
      <c r="AE40" s="1490"/>
      <c r="AF40" s="1490"/>
      <c r="AG40" s="1490"/>
      <c r="AH40" s="1490"/>
      <c r="AI40" s="1490"/>
      <c r="AJ40" s="1490"/>
      <c r="AK40" s="1490"/>
      <c r="AL40" s="1490"/>
      <c r="AM40" s="1490"/>
      <c r="AN40" s="1490"/>
      <c r="AO40" s="1490"/>
      <c r="AP40" s="1490"/>
      <c r="AQ40" s="1490"/>
      <c r="AS40" s="1491"/>
      <c r="AT40" s="1491"/>
      <c r="AU40" s="1491"/>
      <c r="AV40" s="1491"/>
      <c r="AW40" s="1491"/>
      <c r="AX40" s="1491"/>
      <c r="AY40" s="1491"/>
      <c r="AZ40" s="1491"/>
      <c r="BA40" s="1491"/>
      <c r="BB40" s="1491"/>
      <c r="BC40" s="1491"/>
      <c r="BD40" s="1491"/>
      <c r="BE40" s="1491"/>
      <c r="BF40" s="1491"/>
      <c r="BG40" s="1491"/>
      <c r="BH40" s="1491"/>
      <c r="BI40" s="1491"/>
      <c r="BJ40" s="1491"/>
      <c r="BK40" s="1491"/>
      <c r="BL40" s="1491"/>
      <c r="BN40" s="1492"/>
      <c r="BO40" s="1492"/>
      <c r="BP40" s="1492"/>
      <c r="BR40" s="3168">
        <f t="shared" si="12"/>
        <v>0</v>
      </c>
      <c r="BS40" s="1493"/>
      <c r="BT40" s="1534"/>
      <c r="BU40" s="1508"/>
      <c r="BV40" s="1508"/>
      <c r="BW40" s="1508"/>
      <c r="BX40" s="1508"/>
      <c r="BY40" s="1508"/>
      <c r="BZ40" s="1508"/>
      <c r="CA40" s="1508"/>
      <c r="CB40" s="1508"/>
      <c r="CC40" s="1508"/>
      <c r="CD40" s="1508"/>
      <c r="CE40" s="1508"/>
      <c r="CF40" s="1508"/>
      <c r="CG40" s="1508"/>
      <c r="CH40" s="1508"/>
      <c r="CI40" s="1508"/>
      <c r="CJ40" s="1508"/>
      <c r="CK40" s="1508"/>
      <c r="CL40" s="1508"/>
      <c r="CM40" s="1508"/>
      <c r="CN40" s="1508"/>
      <c r="CO40" s="1508"/>
      <c r="CP40" s="1508"/>
      <c r="CQ40" s="1508"/>
      <c r="CR40" s="1508"/>
      <c r="CS40" s="1508"/>
      <c r="CT40" s="1508"/>
      <c r="CU40" s="1508"/>
      <c r="CV40" s="1508"/>
      <c r="CW40" s="1508"/>
      <c r="CX40" s="1508"/>
      <c r="CY40" s="1508"/>
      <c r="CZ40" s="1508"/>
      <c r="DA40" s="1508"/>
      <c r="DB40" s="1508"/>
      <c r="DC40" s="1508"/>
      <c r="DD40" s="1508"/>
      <c r="DE40" s="1508"/>
      <c r="DF40" s="1508"/>
      <c r="DG40" s="1508"/>
      <c r="DH40" s="1508"/>
      <c r="DI40" s="1508"/>
      <c r="DJ40" s="1508"/>
      <c r="DK40" s="1508"/>
      <c r="DL40" s="1508"/>
      <c r="DN40" s="1509"/>
    </row>
    <row r="41" spans="1:118" s="1564" customFormat="1" ht="21" hidden="1" customHeight="1" outlineLevel="2" x14ac:dyDescent="0.2">
      <c r="C41" s="1565" t="s">
        <v>807</v>
      </c>
      <c r="D41" s="1566" t="s">
        <v>808</v>
      </c>
      <c r="E41" s="1566"/>
      <c r="F41" s="1567"/>
      <c r="G41" s="1568"/>
      <c r="H41" s="1568"/>
      <c r="I41" s="1568"/>
      <c r="J41" s="1568"/>
      <c r="K41" s="1568"/>
      <c r="L41" s="1568"/>
      <c r="M41" s="1568"/>
      <c r="N41" s="1568"/>
      <c r="O41" s="1569"/>
      <c r="P41" s="1568"/>
      <c r="Q41" s="1568"/>
      <c r="R41" s="1568"/>
      <c r="S41" s="1568"/>
      <c r="T41" s="1568"/>
      <c r="U41" s="1568"/>
      <c r="V41" s="1568"/>
      <c r="W41" s="1568"/>
      <c r="X41" s="1567"/>
      <c r="Y41" s="1570"/>
      <c r="Z41" s="1570"/>
      <c r="AA41" s="1570"/>
      <c r="AB41" s="1570"/>
      <c r="AC41" s="1570"/>
      <c r="AD41" s="1570"/>
      <c r="AE41" s="1570"/>
      <c r="AF41" s="1570"/>
      <c r="AG41" s="1570"/>
      <c r="AH41" s="1570"/>
      <c r="AI41" s="1570"/>
      <c r="AJ41" s="1570"/>
      <c r="AK41" s="1570"/>
      <c r="AL41" s="1570"/>
      <c r="AM41" s="1570"/>
      <c r="AN41" s="1570"/>
      <c r="AO41" s="1570"/>
      <c r="AP41" s="1570"/>
      <c r="AQ41" s="1570"/>
      <c r="AR41" s="1567"/>
      <c r="AS41" s="1571"/>
      <c r="AT41" s="1571"/>
      <c r="AU41" s="1571"/>
      <c r="AV41" s="1571"/>
      <c r="AW41" s="1571"/>
      <c r="AX41" s="1571"/>
      <c r="AY41" s="1571"/>
      <c r="AZ41" s="1571"/>
      <c r="BA41" s="1571"/>
      <c r="BB41" s="1571"/>
      <c r="BC41" s="1571"/>
      <c r="BD41" s="1571"/>
      <c r="BE41" s="1571"/>
      <c r="BF41" s="1571"/>
      <c r="BG41" s="1571"/>
      <c r="BH41" s="1571"/>
      <c r="BI41" s="1571"/>
      <c r="BJ41" s="1571"/>
      <c r="BK41" s="1571"/>
      <c r="BL41" s="1571"/>
      <c r="BM41" s="1567"/>
      <c r="BN41" s="1572"/>
      <c r="BO41" s="1572"/>
      <c r="BP41" s="1572"/>
      <c r="BQ41" s="1567"/>
      <c r="BR41" s="3168">
        <f t="shared" si="12"/>
        <v>0</v>
      </c>
      <c r="BS41" s="1573"/>
      <c r="BU41" s="1574"/>
      <c r="BV41" s="1574"/>
      <c r="BW41" s="1574"/>
      <c r="BX41" s="1574"/>
      <c r="BY41" s="1574"/>
      <c r="BZ41" s="1574"/>
      <c r="CA41" s="1574"/>
      <c r="CB41" s="1574"/>
      <c r="CC41" s="1574"/>
      <c r="CD41" s="1574"/>
      <c r="CE41" s="1574"/>
      <c r="CF41" s="1574"/>
      <c r="CG41" s="1574"/>
      <c r="CH41" s="1574"/>
      <c r="CI41" s="1574"/>
      <c r="CJ41" s="1574"/>
      <c r="CK41" s="1574"/>
      <c r="CL41" s="1574"/>
      <c r="CM41" s="1574"/>
      <c r="CN41" s="1574"/>
      <c r="CO41" s="1574"/>
      <c r="CP41" s="1574"/>
      <c r="CQ41" s="1574"/>
      <c r="CR41" s="1574"/>
      <c r="CS41" s="1574"/>
      <c r="CT41" s="1574"/>
      <c r="CU41" s="1574"/>
      <c r="CV41" s="1574"/>
      <c r="CW41" s="1574"/>
      <c r="CX41" s="1574"/>
      <c r="CY41" s="1574"/>
      <c r="CZ41" s="1574"/>
      <c r="DA41" s="1574"/>
      <c r="DB41" s="1574"/>
      <c r="DC41" s="1574"/>
      <c r="DD41" s="1574"/>
      <c r="DE41" s="1574"/>
      <c r="DF41" s="1574"/>
      <c r="DG41" s="1574"/>
      <c r="DH41" s="1574"/>
      <c r="DI41" s="1574"/>
      <c r="DJ41" s="1574"/>
      <c r="DK41" s="1574"/>
      <c r="DL41" s="1574"/>
      <c r="DN41" s="1575">
        <v>0</v>
      </c>
    </row>
    <row r="42" spans="1:118" s="14" customFormat="1" ht="25.5" hidden="1" customHeight="1" outlineLevel="2" x14ac:dyDescent="0.2">
      <c r="A42" s="1534"/>
      <c r="B42" s="1534"/>
      <c r="C42" s="1496" t="s">
        <v>78</v>
      </c>
      <c r="D42" s="1526" t="s">
        <v>794</v>
      </c>
      <c r="E42" s="1576"/>
      <c r="G42" s="1540"/>
      <c r="H42" s="1540"/>
      <c r="I42" s="1540"/>
      <c r="J42" s="1540"/>
      <c r="K42" s="1540"/>
      <c r="L42" s="1540"/>
      <c r="M42" s="1540"/>
      <c r="N42" s="1540"/>
      <c r="O42" s="1540"/>
      <c r="P42" s="1540"/>
      <c r="Q42" s="1540"/>
      <c r="R42" s="1540"/>
      <c r="S42" s="1540"/>
      <c r="T42" s="1540"/>
      <c r="U42" s="1540"/>
      <c r="V42" s="1540"/>
      <c r="W42" s="1527"/>
      <c r="Y42" s="1541"/>
      <c r="Z42" s="1541"/>
      <c r="AA42" s="1541"/>
      <c r="AB42" s="1541"/>
      <c r="AC42" s="1541"/>
      <c r="AD42" s="1541"/>
      <c r="AE42" s="1541"/>
      <c r="AF42" s="1541"/>
      <c r="AG42" s="1541"/>
      <c r="AH42" s="1541"/>
      <c r="AI42" s="1541"/>
      <c r="AJ42" s="1541"/>
      <c r="AK42" s="1541"/>
      <c r="AL42" s="1541"/>
      <c r="AM42" s="1541"/>
      <c r="AN42" s="1541"/>
      <c r="AO42" s="1541"/>
      <c r="AP42" s="1541"/>
      <c r="AQ42" s="1528"/>
      <c r="AS42" s="1542"/>
      <c r="AT42" s="1542"/>
      <c r="AU42" s="1542"/>
      <c r="AV42" s="1542"/>
      <c r="AW42" s="1542"/>
      <c r="AX42" s="1542"/>
      <c r="AY42" s="1542"/>
      <c r="AZ42" s="1542"/>
      <c r="BA42" s="1542"/>
      <c r="BB42" s="1542"/>
      <c r="BC42" s="1542"/>
      <c r="BD42" s="1542"/>
      <c r="BE42" s="1542"/>
      <c r="BF42" s="1542"/>
      <c r="BG42" s="1542"/>
      <c r="BH42" s="1542"/>
      <c r="BI42" s="1542"/>
      <c r="BJ42" s="1542"/>
      <c r="BK42" s="1542"/>
      <c r="BL42" s="1530"/>
      <c r="BN42" s="1543"/>
      <c r="BO42" s="1543"/>
      <c r="BP42" s="1531"/>
      <c r="BR42" s="3168">
        <f t="shared" si="12"/>
        <v>0</v>
      </c>
      <c r="BS42" s="1493"/>
      <c r="BT42" s="748"/>
      <c r="BU42" s="1532">
        <v>0</v>
      </c>
      <c r="BV42" s="1533">
        <v>0</v>
      </c>
      <c r="BW42" s="1533">
        <v>0</v>
      </c>
      <c r="BX42" s="1533">
        <v>0</v>
      </c>
      <c r="BY42" s="1533">
        <v>0</v>
      </c>
      <c r="BZ42" s="1533">
        <v>0</v>
      </c>
      <c r="CA42" s="1533">
        <v>0</v>
      </c>
      <c r="CB42" s="1533">
        <v>0</v>
      </c>
      <c r="CC42" s="1533">
        <v>0</v>
      </c>
      <c r="CD42" s="1533">
        <v>0</v>
      </c>
      <c r="CE42" s="1533">
        <v>0</v>
      </c>
      <c r="CF42" s="1533">
        <v>0</v>
      </c>
      <c r="CG42" s="1533">
        <v>0</v>
      </c>
      <c r="CH42" s="1533">
        <v>0</v>
      </c>
      <c r="CI42" s="1533">
        <v>0</v>
      </c>
      <c r="CJ42" s="1533">
        <v>0</v>
      </c>
      <c r="CK42" s="1533">
        <v>0</v>
      </c>
      <c r="CL42" s="1533">
        <v>0</v>
      </c>
      <c r="CM42" s="1533">
        <v>0</v>
      </c>
      <c r="CN42" s="1533">
        <v>0</v>
      </c>
      <c r="CO42" s="1533">
        <v>0</v>
      </c>
      <c r="CP42" s="1533">
        <v>0</v>
      </c>
      <c r="CQ42" s="1533">
        <v>0</v>
      </c>
      <c r="CR42" s="1533">
        <v>0</v>
      </c>
      <c r="CS42" s="1533">
        <v>0</v>
      </c>
      <c r="CT42" s="1533">
        <v>0</v>
      </c>
      <c r="CU42" s="1533">
        <v>0</v>
      </c>
      <c r="CV42" s="1533">
        <v>0</v>
      </c>
      <c r="CW42" s="1533">
        <v>0</v>
      </c>
      <c r="CX42" s="1533">
        <v>0</v>
      </c>
      <c r="CY42" s="1533">
        <v>0</v>
      </c>
      <c r="CZ42" s="1533">
        <v>0</v>
      </c>
      <c r="DA42" s="1533">
        <v>0</v>
      </c>
      <c r="DB42" s="1533">
        <v>0</v>
      </c>
      <c r="DC42" s="1533">
        <v>0</v>
      </c>
      <c r="DD42" s="1533">
        <v>0</v>
      </c>
      <c r="DE42" s="1533">
        <v>0</v>
      </c>
      <c r="DF42" s="1533">
        <v>0</v>
      </c>
      <c r="DG42" s="1533">
        <v>0</v>
      </c>
      <c r="DH42" s="1533">
        <v>0</v>
      </c>
      <c r="DI42" s="1533">
        <v>0</v>
      </c>
      <c r="DJ42" s="1533">
        <v>0</v>
      </c>
      <c r="DK42" s="1533">
        <v>0</v>
      </c>
      <c r="DL42" s="1533">
        <v>0</v>
      </c>
      <c r="DN42" s="1509"/>
    </row>
    <row r="43" spans="1:118" s="14" customFormat="1" ht="15.75" hidden="1" outlineLevel="1" collapsed="1" x14ac:dyDescent="0.2">
      <c r="A43" s="1845" t="s">
        <v>816</v>
      </c>
      <c r="B43" s="1846"/>
      <c r="C43" s="1842" t="s">
        <v>740</v>
      </c>
      <c r="D43" s="1843" t="s">
        <v>862</v>
      </c>
      <c r="E43" s="1844"/>
      <c r="G43" s="1539"/>
      <c r="H43" s="1539"/>
      <c r="I43" s="1539"/>
      <c r="J43" s="1539"/>
      <c r="K43" s="1539"/>
      <c r="L43" s="1539"/>
      <c r="M43" s="1539"/>
      <c r="N43" s="1539"/>
      <c r="O43" s="1539"/>
      <c r="P43" s="1539"/>
      <c r="Q43" s="1539"/>
      <c r="R43" s="1539"/>
      <c r="S43" s="1539"/>
      <c r="T43" s="1539"/>
      <c r="U43" s="1539"/>
      <c r="V43" s="1539"/>
      <c r="W43" s="1539"/>
      <c r="Y43" s="1490"/>
      <c r="Z43" s="1490"/>
      <c r="AA43" s="1490"/>
      <c r="AB43" s="1490"/>
      <c r="AC43" s="1490"/>
      <c r="AD43" s="1490"/>
      <c r="AE43" s="1490"/>
      <c r="AF43" s="1490"/>
      <c r="AG43" s="1490"/>
      <c r="AH43" s="1490"/>
      <c r="AI43" s="1490"/>
      <c r="AJ43" s="1490"/>
      <c r="AK43" s="1490"/>
      <c r="AL43" s="1490"/>
      <c r="AM43" s="1490"/>
      <c r="AN43" s="1490"/>
      <c r="AO43" s="1490"/>
      <c r="AP43" s="1490"/>
      <c r="AQ43" s="1490"/>
      <c r="AS43" s="1491"/>
      <c r="AT43" s="1491"/>
      <c r="AU43" s="1491"/>
      <c r="AV43" s="1491"/>
      <c r="AW43" s="1491"/>
      <c r="AX43" s="1491"/>
      <c r="AY43" s="1491"/>
      <c r="AZ43" s="1491"/>
      <c r="BA43" s="1491"/>
      <c r="BB43" s="1491"/>
      <c r="BC43" s="1491"/>
      <c r="BD43" s="1491"/>
      <c r="BE43" s="1491"/>
      <c r="BF43" s="1491"/>
      <c r="BG43" s="1491"/>
      <c r="BH43" s="1491"/>
      <c r="BI43" s="1491"/>
      <c r="BJ43" s="1491"/>
      <c r="BK43" s="1491"/>
      <c r="BL43" s="1491"/>
      <c r="BN43" s="1492"/>
      <c r="BO43" s="1492"/>
      <c r="BP43" s="1492"/>
      <c r="BR43" s="3168">
        <f t="shared" si="12"/>
        <v>0</v>
      </c>
      <c r="BS43" s="1493"/>
      <c r="BT43" s="748"/>
      <c r="BU43" s="1508"/>
      <c r="BV43" s="1508"/>
      <c r="BW43" s="1508"/>
      <c r="BX43" s="1508"/>
      <c r="BY43" s="1508"/>
      <c r="BZ43" s="1508"/>
      <c r="CA43" s="1508"/>
      <c r="CB43" s="1508"/>
      <c r="CC43" s="1508"/>
      <c r="CD43" s="1508"/>
      <c r="CE43" s="1508"/>
      <c r="CF43" s="1508"/>
      <c r="CG43" s="1508"/>
      <c r="CH43" s="1508"/>
      <c r="CI43" s="1508"/>
      <c r="CJ43" s="1508"/>
      <c r="CK43" s="1508"/>
      <c r="CL43" s="1508"/>
      <c r="CM43" s="1508"/>
      <c r="CN43" s="1508"/>
      <c r="CO43" s="1508"/>
      <c r="CP43" s="1508"/>
      <c r="CQ43" s="1508"/>
      <c r="CR43" s="1508"/>
      <c r="CS43" s="1508"/>
      <c r="CT43" s="1508"/>
      <c r="CU43" s="1508"/>
      <c r="CV43" s="1508"/>
      <c r="CW43" s="1508"/>
      <c r="CX43" s="1508"/>
      <c r="CY43" s="1508"/>
      <c r="CZ43" s="1508"/>
      <c r="DA43" s="1508"/>
      <c r="DB43" s="1508"/>
      <c r="DC43" s="1508"/>
      <c r="DD43" s="1508"/>
      <c r="DE43" s="1508"/>
      <c r="DF43" s="1508"/>
      <c r="DG43" s="1508"/>
      <c r="DH43" s="1508"/>
      <c r="DI43" s="1508"/>
      <c r="DJ43" s="1508"/>
      <c r="DK43" s="1508"/>
      <c r="DL43" s="1508"/>
      <c r="DN43" s="1509"/>
    </row>
    <row r="44" spans="1:118" s="14" customFormat="1" ht="15.75" hidden="1" customHeight="1" outlineLevel="2" x14ac:dyDescent="0.2">
      <c r="A44" s="1534"/>
      <c r="B44" s="1534"/>
      <c r="C44" s="1544"/>
      <c r="D44" s="1538"/>
      <c r="E44" s="1538"/>
      <c r="G44" s="1488"/>
      <c r="H44" s="1488"/>
      <c r="I44" s="1488"/>
      <c r="J44" s="1488"/>
      <c r="K44" s="1488"/>
      <c r="L44" s="1488"/>
      <c r="M44" s="1488"/>
      <c r="N44" s="1488"/>
      <c r="O44" s="1563"/>
      <c r="P44" s="1488"/>
      <c r="Q44" s="1488"/>
      <c r="R44" s="1488"/>
      <c r="S44" s="1488"/>
      <c r="T44" s="1488"/>
      <c r="U44" s="1488"/>
      <c r="V44" s="1488"/>
      <c r="W44" s="1488"/>
      <c r="Y44" s="1490"/>
      <c r="Z44" s="1490"/>
      <c r="AA44" s="1490"/>
      <c r="AB44" s="1490"/>
      <c r="AC44" s="1490"/>
      <c r="AD44" s="1490"/>
      <c r="AE44" s="1490"/>
      <c r="AF44" s="1490"/>
      <c r="AG44" s="1490"/>
      <c r="AH44" s="1490"/>
      <c r="AI44" s="1490"/>
      <c r="AJ44" s="1490"/>
      <c r="AK44" s="1490"/>
      <c r="AL44" s="1490"/>
      <c r="AM44" s="1490"/>
      <c r="AN44" s="1490"/>
      <c r="AO44" s="1490"/>
      <c r="AP44" s="1490"/>
      <c r="AQ44" s="1490"/>
      <c r="AS44" s="1491"/>
      <c r="AT44" s="1491"/>
      <c r="AU44" s="1491"/>
      <c r="AV44" s="1491"/>
      <c r="AW44" s="1491"/>
      <c r="AX44" s="1491"/>
      <c r="AY44" s="1491"/>
      <c r="AZ44" s="1491"/>
      <c r="BA44" s="1491"/>
      <c r="BB44" s="1491"/>
      <c r="BC44" s="1491"/>
      <c r="BD44" s="1491"/>
      <c r="BE44" s="1491"/>
      <c r="BF44" s="1491"/>
      <c r="BG44" s="1491"/>
      <c r="BH44" s="1491"/>
      <c r="BI44" s="1491"/>
      <c r="BJ44" s="1491"/>
      <c r="BK44" s="1491"/>
      <c r="BL44" s="1491"/>
      <c r="BN44" s="1492"/>
      <c r="BO44" s="1492"/>
      <c r="BP44" s="1492"/>
      <c r="BR44" s="3168">
        <f t="shared" si="12"/>
        <v>0</v>
      </c>
      <c r="BS44" s="1493"/>
      <c r="BT44" s="1534"/>
      <c r="BU44" s="1508"/>
      <c r="BV44" s="1508"/>
      <c r="BW44" s="1508"/>
      <c r="BX44" s="1508"/>
      <c r="BY44" s="1508"/>
      <c r="BZ44" s="1508"/>
      <c r="CA44" s="1508"/>
      <c r="CB44" s="1508"/>
      <c r="CC44" s="1508"/>
      <c r="CD44" s="1508"/>
      <c r="CE44" s="1508"/>
      <c r="CF44" s="1508"/>
      <c r="CG44" s="1508"/>
      <c r="CH44" s="1508"/>
      <c r="CI44" s="1508"/>
      <c r="CJ44" s="1508"/>
      <c r="CK44" s="1508"/>
      <c r="CL44" s="1508"/>
      <c r="CM44" s="1508"/>
      <c r="CN44" s="1508"/>
      <c r="CO44" s="1508"/>
      <c r="CP44" s="1508"/>
      <c r="CQ44" s="1508"/>
      <c r="CR44" s="1508"/>
      <c r="CS44" s="1508"/>
      <c r="CT44" s="1508"/>
      <c r="CU44" s="1508"/>
      <c r="CV44" s="1508"/>
      <c r="CW44" s="1508"/>
      <c r="CX44" s="1508"/>
      <c r="CY44" s="1508"/>
      <c r="CZ44" s="1508"/>
      <c r="DA44" s="1508"/>
      <c r="DB44" s="1508"/>
      <c r="DC44" s="1508"/>
      <c r="DD44" s="1508"/>
      <c r="DE44" s="1508"/>
      <c r="DF44" s="1508"/>
      <c r="DG44" s="1508"/>
      <c r="DH44" s="1508"/>
      <c r="DI44" s="1508"/>
      <c r="DJ44" s="1508"/>
      <c r="DK44" s="1508"/>
      <c r="DL44" s="1508"/>
      <c r="DN44" s="1509"/>
    </row>
    <row r="45" spans="1:118" s="14" customFormat="1" ht="11.25" hidden="1" customHeight="1" outlineLevel="2" x14ac:dyDescent="0.2">
      <c r="A45" s="1522"/>
      <c r="B45" s="1522"/>
      <c r="C45" s="1577" t="s">
        <v>108</v>
      </c>
      <c r="D45" s="1497" t="s">
        <v>109</v>
      </c>
      <c r="E45" s="1497"/>
      <c r="G45" s="1498"/>
      <c r="H45" s="1498"/>
      <c r="I45" s="1498"/>
      <c r="J45" s="1498"/>
      <c r="K45" s="1498"/>
      <c r="L45" s="1498"/>
      <c r="M45" s="1498"/>
      <c r="N45" s="1498"/>
      <c r="O45" s="1498"/>
      <c r="P45" s="1498"/>
      <c r="Q45" s="1498"/>
      <c r="R45" s="1498"/>
      <c r="S45" s="1498"/>
      <c r="T45" s="1498"/>
      <c r="U45" s="1498"/>
      <c r="V45" s="1498"/>
      <c r="W45" s="1499"/>
      <c r="Y45" s="1500"/>
      <c r="Z45" s="1500"/>
      <c r="AA45" s="1500"/>
      <c r="AB45" s="1500"/>
      <c r="AC45" s="1500"/>
      <c r="AD45" s="1500"/>
      <c r="AE45" s="1500"/>
      <c r="AF45" s="1500"/>
      <c r="AG45" s="1500"/>
      <c r="AH45" s="1500"/>
      <c r="AI45" s="1500"/>
      <c r="AJ45" s="1500"/>
      <c r="AK45" s="1500"/>
      <c r="AL45" s="1500"/>
      <c r="AM45" s="1500"/>
      <c r="AN45" s="1500"/>
      <c r="AO45" s="1500"/>
      <c r="AP45" s="1500"/>
      <c r="AQ45" s="1501"/>
      <c r="AS45" s="1502"/>
      <c r="AT45" s="1502"/>
      <c r="AU45" s="1502"/>
      <c r="AV45" s="1502"/>
      <c r="AW45" s="1502"/>
      <c r="AX45" s="1502"/>
      <c r="AY45" s="1502"/>
      <c r="AZ45" s="1502"/>
      <c r="BA45" s="1502"/>
      <c r="BB45" s="1502"/>
      <c r="BC45" s="1502"/>
      <c r="BD45" s="1502"/>
      <c r="BE45" s="1502"/>
      <c r="BF45" s="1502"/>
      <c r="BG45" s="1502"/>
      <c r="BH45" s="1502"/>
      <c r="BI45" s="1502"/>
      <c r="BJ45" s="1502"/>
      <c r="BK45" s="1502"/>
      <c r="BL45" s="1524"/>
      <c r="BN45" s="1504"/>
      <c r="BO45" s="1504"/>
      <c r="BP45" s="1505"/>
      <c r="BR45" s="3168">
        <f t="shared" si="12"/>
        <v>0</v>
      </c>
      <c r="BS45" s="1525"/>
      <c r="BT45" s="748"/>
      <c r="BU45" s="1507"/>
      <c r="BV45" s="1508"/>
      <c r="BW45" s="1508"/>
      <c r="BX45" s="1508"/>
      <c r="BY45" s="1508"/>
      <c r="BZ45" s="1508"/>
      <c r="CA45" s="1508"/>
      <c r="CB45" s="1508"/>
      <c r="CC45" s="1508"/>
      <c r="CD45" s="1508"/>
      <c r="CE45" s="1508"/>
      <c r="CF45" s="1508"/>
      <c r="CG45" s="1508"/>
      <c r="CH45" s="1508"/>
      <c r="CI45" s="1508"/>
      <c r="CJ45" s="1508"/>
      <c r="CK45" s="1508"/>
      <c r="CL45" s="1508"/>
      <c r="CM45" s="1508"/>
      <c r="CN45" s="1508"/>
      <c r="CO45" s="1508"/>
      <c r="CP45" s="1508"/>
      <c r="CQ45" s="1508"/>
      <c r="CR45" s="1508"/>
      <c r="CS45" s="1508"/>
      <c r="CT45" s="1508"/>
      <c r="CU45" s="1508"/>
      <c r="CV45" s="1508"/>
      <c r="CW45" s="1508"/>
      <c r="CX45" s="1508"/>
      <c r="CY45" s="1508"/>
      <c r="CZ45" s="1508"/>
      <c r="DA45" s="1508"/>
      <c r="DB45" s="1508"/>
      <c r="DC45" s="1508"/>
      <c r="DD45" s="1508"/>
      <c r="DE45" s="1508"/>
      <c r="DF45" s="1508"/>
      <c r="DG45" s="1508"/>
      <c r="DH45" s="1508"/>
      <c r="DI45" s="1508"/>
      <c r="DJ45" s="1508"/>
      <c r="DK45" s="1508"/>
      <c r="DL45" s="1508"/>
      <c r="DN45" s="1509"/>
    </row>
    <row r="46" spans="1:118" s="14" customFormat="1" ht="16.5" hidden="1" customHeight="1" outlineLevel="2" x14ac:dyDescent="0.2">
      <c r="A46" s="1522"/>
      <c r="B46" s="1522"/>
      <c r="C46" s="1577" t="s">
        <v>801</v>
      </c>
      <c r="D46" s="1526" t="s">
        <v>802</v>
      </c>
      <c r="E46" s="1526"/>
      <c r="G46" s="1540"/>
      <c r="H46" s="1540"/>
      <c r="I46" s="1540"/>
      <c r="J46" s="1540"/>
      <c r="K46" s="1540"/>
      <c r="L46" s="1540"/>
      <c r="M46" s="1540"/>
      <c r="N46" s="1540"/>
      <c r="O46" s="1540"/>
      <c r="P46" s="1540"/>
      <c r="Q46" s="1540"/>
      <c r="R46" s="1540"/>
      <c r="S46" s="1540"/>
      <c r="T46" s="1540"/>
      <c r="U46" s="1540"/>
      <c r="V46" s="1540"/>
      <c r="W46" s="1527"/>
      <c r="Y46" s="1541"/>
      <c r="Z46" s="1541"/>
      <c r="AA46" s="1541"/>
      <c r="AB46" s="1541"/>
      <c r="AC46" s="1541"/>
      <c r="AD46" s="1541"/>
      <c r="AE46" s="1541"/>
      <c r="AF46" s="1541"/>
      <c r="AG46" s="1541"/>
      <c r="AH46" s="1541"/>
      <c r="AI46" s="1541"/>
      <c r="AJ46" s="1541"/>
      <c r="AK46" s="1541"/>
      <c r="AL46" s="1541"/>
      <c r="AM46" s="1541"/>
      <c r="AN46" s="1541"/>
      <c r="AO46" s="1541"/>
      <c r="AP46" s="1541"/>
      <c r="AQ46" s="1528"/>
      <c r="AS46" s="1542"/>
      <c r="AT46" s="1542"/>
      <c r="AU46" s="1542"/>
      <c r="AV46" s="1542"/>
      <c r="AW46" s="1542"/>
      <c r="AX46" s="1542"/>
      <c r="AY46" s="1542"/>
      <c r="AZ46" s="1542"/>
      <c r="BA46" s="1542"/>
      <c r="BB46" s="1542"/>
      <c r="BC46" s="1542"/>
      <c r="BD46" s="1542"/>
      <c r="BE46" s="1542"/>
      <c r="BF46" s="1542"/>
      <c r="BG46" s="1542"/>
      <c r="BH46" s="1542"/>
      <c r="BI46" s="1542"/>
      <c r="BJ46" s="1542"/>
      <c r="BK46" s="1542"/>
      <c r="BL46" s="1530"/>
      <c r="BN46" s="1543"/>
      <c r="BO46" s="1543"/>
      <c r="BP46" s="1531"/>
      <c r="BR46" s="3168">
        <f t="shared" si="12"/>
        <v>0</v>
      </c>
      <c r="BS46" s="1525"/>
      <c r="BT46" s="748"/>
      <c r="BU46" s="1532"/>
      <c r="BV46" s="1533"/>
      <c r="BW46" s="1533"/>
      <c r="BX46" s="1533"/>
      <c r="BY46" s="1533"/>
      <c r="BZ46" s="1533"/>
      <c r="CA46" s="1533"/>
      <c r="CB46" s="1533"/>
      <c r="CC46" s="1533"/>
      <c r="CD46" s="1533"/>
      <c r="CE46" s="1533"/>
      <c r="CF46" s="1533"/>
      <c r="CG46" s="1533"/>
      <c r="CH46" s="1533"/>
      <c r="CI46" s="1533"/>
      <c r="CJ46" s="1533"/>
      <c r="CK46" s="1533"/>
      <c r="CL46" s="1533"/>
      <c r="CM46" s="1533"/>
      <c r="CN46" s="1533"/>
      <c r="CO46" s="1533"/>
      <c r="CP46" s="1533"/>
      <c r="CQ46" s="1533"/>
      <c r="CR46" s="1533"/>
      <c r="CS46" s="1533"/>
      <c r="CT46" s="1533"/>
      <c r="CU46" s="1533"/>
      <c r="CV46" s="1533"/>
      <c r="CW46" s="1533"/>
      <c r="CX46" s="1533"/>
      <c r="CY46" s="1533"/>
      <c r="CZ46" s="1533"/>
      <c r="DA46" s="1533"/>
      <c r="DB46" s="1533"/>
      <c r="DC46" s="1533"/>
      <c r="DD46" s="1533"/>
      <c r="DE46" s="1533"/>
      <c r="DF46" s="1533"/>
      <c r="DG46" s="1533"/>
      <c r="DH46" s="1533"/>
      <c r="DI46" s="1533"/>
      <c r="DJ46" s="1533"/>
      <c r="DK46" s="1533"/>
      <c r="DL46" s="1533"/>
      <c r="DN46" s="1509"/>
    </row>
    <row r="47" spans="1:118" s="14" customFormat="1" ht="15.75" hidden="1" outlineLevel="1" collapsed="1" x14ac:dyDescent="0.2">
      <c r="A47" s="1845" t="s">
        <v>816</v>
      </c>
      <c r="B47" s="1847"/>
      <c r="C47" s="1842" t="s">
        <v>745</v>
      </c>
      <c r="D47" s="1843" t="s">
        <v>863</v>
      </c>
      <c r="E47" s="1844"/>
      <c r="G47" s="1539"/>
      <c r="H47" s="1539"/>
      <c r="I47" s="1539"/>
      <c r="J47" s="1539"/>
      <c r="K47" s="1539"/>
      <c r="L47" s="1539"/>
      <c r="M47" s="1539"/>
      <c r="N47" s="1539"/>
      <c r="O47" s="1539"/>
      <c r="P47" s="1539"/>
      <c r="Q47" s="1539"/>
      <c r="R47" s="1539"/>
      <c r="S47" s="1539"/>
      <c r="T47" s="1539"/>
      <c r="U47" s="1539"/>
      <c r="V47" s="1539"/>
      <c r="W47" s="1539"/>
      <c r="Y47" s="1490"/>
      <c r="Z47" s="1490"/>
      <c r="AA47" s="1490"/>
      <c r="AB47" s="1490"/>
      <c r="AC47" s="1490"/>
      <c r="AD47" s="1490"/>
      <c r="AE47" s="1490"/>
      <c r="AF47" s="1490"/>
      <c r="AG47" s="1490"/>
      <c r="AH47" s="1490"/>
      <c r="AI47" s="1490"/>
      <c r="AJ47" s="1490"/>
      <c r="AK47" s="1490"/>
      <c r="AL47" s="1490"/>
      <c r="AM47" s="1490"/>
      <c r="AN47" s="1490"/>
      <c r="AO47" s="1490"/>
      <c r="AP47" s="1490"/>
      <c r="AQ47" s="1490"/>
      <c r="AS47" s="1491"/>
      <c r="AT47" s="1491"/>
      <c r="AU47" s="1491"/>
      <c r="AV47" s="1491"/>
      <c r="AW47" s="1491"/>
      <c r="AX47" s="1491"/>
      <c r="AY47" s="1491"/>
      <c r="AZ47" s="1491"/>
      <c r="BA47" s="1491"/>
      <c r="BB47" s="1491"/>
      <c r="BC47" s="1491"/>
      <c r="BD47" s="1491"/>
      <c r="BE47" s="1491"/>
      <c r="BF47" s="1491"/>
      <c r="BG47" s="1491"/>
      <c r="BH47" s="1491"/>
      <c r="BI47" s="1491"/>
      <c r="BJ47" s="1491"/>
      <c r="BK47" s="1491"/>
      <c r="BL47" s="1491"/>
      <c r="BN47" s="1492"/>
      <c r="BO47" s="1492"/>
      <c r="BP47" s="1492"/>
      <c r="BR47" s="3168">
        <f t="shared" si="12"/>
        <v>0</v>
      </c>
      <c r="BS47" s="1579"/>
      <c r="BT47" s="748"/>
      <c r="BU47" s="1507"/>
      <c r="BV47" s="1508"/>
      <c r="BW47" s="1508"/>
      <c r="BX47" s="1508"/>
      <c r="BY47" s="1508"/>
      <c r="BZ47" s="1508"/>
      <c r="CA47" s="1508"/>
      <c r="CB47" s="1508"/>
      <c r="CC47" s="1508"/>
      <c r="CD47" s="1508"/>
      <c r="CE47" s="1508"/>
      <c r="CF47" s="1508"/>
      <c r="CG47" s="1508"/>
      <c r="CH47" s="1508"/>
      <c r="CI47" s="1508"/>
      <c r="CJ47" s="1508"/>
      <c r="CK47" s="1508"/>
      <c r="CL47" s="1508"/>
      <c r="CM47" s="1508"/>
      <c r="CN47" s="1508"/>
      <c r="CO47" s="1508"/>
      <c r="CP47" s="1508"/>
      <c r="CQ47" s="1508"/>
      <c r="CR47" s="1508"/>
      <c r="CS47" s="1508"/>
      <c r="CT47" s="1508"/>
      <c r="CU47" s="1508"/>
      <c r="CV47" s="1508"/>
      <c r="CW47" s="1508"/>
      <c r="CX47" s="1508"/>
      <c r="CY47" s="1508"/>
      <c r="CZ47" s="1508"/>
      <c r="DA47" s="1508"/>
      <c r="DB47" s="1508"/>
      <c r="DC47" s="1508"/>
      <c r="DD47" s="1508"/>
      <c r="DE47" s="1508"/>
      <c r="DF47" s="1508"/>
      <c r="DG47" s="1508"/>
      <c r="DH47" s="1508"/>
      <c r="DI47" s="1508"/>
      <c r="DJ47" s="1508"/>
      <c r="DK47" s="1508"/>
      <c r="DL47" s="1508"/>
      <c r="DN47" s="1509"/>
    </row>
    <row r="48" spans="1:118" s="14" customFormat="1" ht="15.75" collapsed="1" x14ac:dyDescent="0.2">
      <c r="A48" s="1845"/>
      <c r="B48" s="1847"/>
      <c r="C48" s="1842"/>
      <c r="D48" s="1843"/>
      <c r="E48" s="1844"/>
      <c r="G48" s="1539"/>
      <c r="H48" s="1539"/>
      <c r="I48" s="1539"/>
      <c r="J48" s="1539"/>
      <c r="K48" s="1539"/>
      <c r="L48" s="1539"/>
      <c r="M48" s="1539"/>
      <c r="N48" s="1539"/>
      <c r="O48" s="1539"/>
      <c r="P48" s="1539"/>
      <c r="Q48" s="1539"/>
      <c r="R48" s="1539"/>
      <c r="S48" s="1539"/>
      <c r="T48" s="1539"/>
      <c r="U48" s="1539"/>
      <c r="V48" s="1539"/>
      <c r="W48" s="1539"/>
      <c r="Y48" s="1490"/>
      <c r="Z48" s="1490"/>
      <c r="AA48" s="1490"/>
      <c r="AB48" s="1490"/>
      <c r="AC48" s="1490"/>
      <c r="AD48" s="1490"/>
      <c r="AE48" s="1490"/>
      <c r="AF48" s="1490"/>
      <c r="AG48" s="1490"/>
      <c r="AH48" s="1490"/>
      <c r="AI48" s="1490"/>
      <c r="AJ48" s="1490"/>
      <c r="AK48" s="1490"/>
      <c r="AL48" s="1490"/>
      <c r="AM48" s="1490"/>
      <c r="AN48" s="1490"/>
      <c r="AO48" s="1490"/>
      <c r="AP48" s="1490"/>
      <c r="AQ48" s="1490"/>
      <c r="AS48" s="1491"/>
      <c r="AT48" s="1491"/>
      <c r="AU48" s="1491"/>
      <c r="AV48" s="1491"/>
      <c r="AW48" s="1491"/>
      <c r="AX48" s="1491"/>
      <c r="AY48" s="1491"/>
      <c r="AZ48" s="1491"/>
      <c r="BA48" s="1491"/>
      <c r="BB48" s="1491"/>
      <c r="BC48" s="1491"/>
      <c r="BD48" s="1491"/>
      <c r="BE48" s="1491"/>
      <c r="BF48" s="1491"/>
      <c r="BG48" s="1491"/>
      <c r="BH48" s="1491"/>
      <c r="BI48" s="1491"/>
      <c r="BJ48" s="1491"/>
      <c r="BK48" s="1491"/>
      <c r="BL48" s="1491"/>
      <c r="BN48" s="1492"/>
      <c r="BO48" s="1492"/>
      <c r="BP48" s="1492"/>
      <c r="BR48" s="3168"/>
      <c r="BS48" s="1579"/>
      <c r="BT48" s="748"/>
      <c r="BU48" s="1507"/>
      <c r="BV48" s="1508"/>
      <c r="BW48" s="1508"/>
      <c r="BX48" s="1508"/>
      <c r="BY48" s="1508"/>
      <c r="BZ48" s="1508"/>
      <c r="CA48" s="1508"/>
      <c r="CB48" s="1508"/>
      <c r="CC48" s="1508"/>
      <c r="CD48" s="1508"/>
      <c r="CE48" s="1508"/>
      <c r="CF48" s="1508"/>
      <c r="CG48" s="1508"/>
      <c r="CH48" s="1508"/>
      <c r="CI48" s="1508"/>
      <c r="CJ48" s="1508"/>
      <c r="CK48" s="1508"/>
      <c r="CL48" s="1508"/>
      <c r="CM48" s="1508"/>
      <c r="CN48" s="1508"/>
      <c r="CO48" s="1508"/>
      <c r="CP48" s="1508"/>
      <c r="CQ48" s="1508"/>
      <c r="CR48" s="1508"/>
      <c r="CS48" s="1508"/>
      <c r="CT48" s="1508"/>
      <c r="CU48" s="1508"/>
      <c r="CV48" s="1508"/>
      <c r="CW48" s="1508"/>
      <c r="CX48" s="1508"/>
      <c r="CY48" s="1508"/>
      <c r="CZ48" s="1508"/>
      <c r="DA48" s="1508"/>
      <c r="DB48" s="1508"/>
      <c r="DC48" s="1508"/>
      <c r="DD48" s="1508"/>
      <c r="DE48" s="1508"/>
      <c r="DF48" s="1508"/>
      <c r="DG48" s="1508"/>
      <c r="DH48" s="1508"/>
      <c r="DI48" s="1508"/>
      <c r="DJ48" s="1508"/>
      <c r="DK48" s="1508"/>
      <c r="DL48" s="1508"/>
      <c r="DN48" s="1509"/>
    </row>
    <row r="49" spans="1:118" s="14" customFormat="1" ht="15.75" x14ac:dyDescent="0.2">
      <c r="A49" s="1534"/>
      <c r="B49" s="1535"/>
      <c r="C49" s="1536"/>
      <c r="D49" s="1537"/>
      <c r="E49" s="1538"/>
      <c r="G49" s="1539"/>
      <c r="H49" s="1539"/>
      <c r="I49" s="1539"/>
      <c r="J49" s="1539"/>
      <c r="K49" s="1539"/>
      <c r="L49" s="1539"/>
      <c r="M49" s="1539"/>
      <c r="N49" s="1539"/>
      <c r="O49" s="1539"/>
      <c r="P49" s="1539"/>
      <c r="Q49" s="1539"/>
      <c r="R49" s="1539"/>
      <c r="S49" s="1539"/>
      <c r="T49" s="1539"/>
      <c r="U49" s="1539"/>
      <c r="V49" s="1539"/>
      <c r="W49" s="1539"/>
      <c r="Y49" s="1490"/>
      <c r="Z49" s="1490"/>
      <c r="AA49" s="1490"/>
      <c r="AB49" s="1490"/>
      <c r="AC49" s="1490"/>
      <c r="AD49" s="1490"/>
      <c r="AE49" s="1490"/>
      <c r="AF49" s="1490"/>
      <c r="AG49" s="1490"/>
      <c r="AH49" s="1490"/>
      <c r="AI49" s="1490"/>
      <c r="AJ49" s="1490"/>
      <c r="AK49" s="1490"/>
      <c r="AL49" s="1490"/>
      <c r="AM49" s="1490"/>
      <c r="AN49" s="1490"/>
      <c r="AO49" s="1490"/>
      <c r="AP49" s="1490"/>
      <c r="AQ49" s="1893"/>
      <c r="AS49" s="1491"/>
      <c r="AT49" s="1491"/>
      <c r="AU49" s="1491"/>
      <c r="AV49" s="1491"/>
      <c r="AW49" s="1491"/>
      <c r="AX49" s="1491"/>
      <c r="AY49" s="1491"/>
      <c r="AZ49" s="1491"/>
      <c r="BA49" s="1491"/>
      <c r="BB49" s="1491"/>
      <c r="BC49" s="1491"/>
      <c r="BD49" s="1491"/>
      <c r="BE49" s="1491"/>
      <c r="BF49" s="1491"/>
      <c r="BG49" s="1491"/>
      <c r="BH49" s="1491"/>
      <c r="BI49" s="1491"/>
      <c r="BJ49" s="1491"/>
      <c r="BK49" s="1491"/>
      <c r="BL49" s="1491"/>
      <c r="BN49" s="1492"/>
      <c r="BO49" s="1492"/>
      <c r="BP49" s="1492"/>
      <c r="BR49" s="3168"/>
      <c r="BS49" s="1493"/>
      <c r="BT49" s="748"/>
      <c r="BU49" s="1508"/>
      <c r="BV49" s="1508"/>
      <c r="BW49" s="1508"/>
      <c r="BX49" s="1508"/>
      <c r="BY49" s="1508"/>
      <c r="BZ49" s="1508"/>
      <c r="CA49" s="1508"/>
      <c r="CB49" s="1508"/>
      <c r="CC49" s="1508"/>
      <c r="CD49" s="1508"/>
      <c r="CE49" s="1508"/>
      <c r="CF49" s="1508"/>
      <c r="CG49" s="1508"/>
      <c r="CH49" s="1508"/>
      <c r="CI49" s="1508"/>
      <c r="CJ49" s="1508"/>
      <c r="CK49" s="1508"/>
      <c r="CL49" s="1508"/>
      <c r="CM49" s="1508"/>
      <c r="CN49" s="1508"/>
      <c r="CO49" s="1508"/>
      <c r="CP49" s="1508"/>
      <c r="CQ49" s="1508"/>
      <c r="CR49" s="1508"/>
      <c r="CS49" s="1508"/>
      <c r="CT49" s="1508"/>
      <c r="CU49" s="1508"/>
      <c r="CV49" s="1508"/>
      <c r="CW49" s="1508"/>
      <c r="CX49" s="1508"/>
      <c r="CY49" s="1508"/>
      <c r="CZ49" s="1508"/>
      <c r="DA49" s="1508"/>
      <c r="DB49" s="1508"/>
      <c r="DC49" s="1508"/>
      <c r="DD49" s="1508"/>
      <c r="DE49" s="1508"/>
      <c r="DF49" s="1508"/>
      <c r="DG49" s="1508"/>
      <c r="DH49" s="1508"/>
      <c r="DI49" s="1508"/>
      <c r="DJ49" s="1508"/>
      <c r="DK49" s="1508"/>
      <c r="DL49" s="1508"/>
      <c r="DN49" s="1509"/>
    </row>
    <row r="50" spans="1:118" s="14" customFormat="1" ht="12.75" hidden="1" customHeight="1" outlineLevel="1" x14ac:dyDescent="0.2">
      <c r="A50" s="1534"/>
      <c r="B50" s="1534"/>
      <c r="C50" s="1544"/>
      <c r="D50" s="1538"/>
      <c r="E50" s="1538"/>
      <c r="G50" s="1488"/>
      <c r="H50" s="1488"/>
      <c r="I50" s="1488"/>
      <c r="J50" s="1488"/>
      <c r="K50" s="1488"/>
      <c r="L50" s="1488"/>
      <c r="M50" s="1488"/>
      <c r="N50" s="1488"/>
      <c r="O50" s="1563"/>
      <c r="P50" s="1488"/>
      <c r="Q50" s="1488"/>
      <c r="R50" s="1488"/>
      <c r="S50" s="1488"/>
      <c r="T50" s="1488"/>
      <c r="U50" s="1488"/>
      <c r="V50" s="1488"/>
      <c r="W50" s="1488"/>
      <c r="Y50" s="1490"/>
      <c r="Z50" s="1490"/>
      <c r="AA50" s="1490"/>
      <c r="AB50" s="1490"/>
      <c r="AC50" s="1490"/>
      <c r="AD50" s="1490"/>
      <c r="AE50" s="1490"/>
      <c r="AF50" s="1490"/>
      <c r="AG50" s="1490"/>
      <c r="AH50" s="1490"/>
      <c r="AI50" s="1490"/>
      <c r="AJ50" s="1490"/>
      <c r="AK50" s="1490"/>
      <c r="AL50" s="1490"/>
      <c r="AM50" s="1490"/>
      <c r="AN50" s="1490"/>
      <c r="AO50" s="1490"/>
      <c r="AP50" s="1490"/>
      <c r="AQ50" s="1893"/>
      <c r="AS50" s="1491"/>
      <c r="AT50" s="1491"/>
      <c r="AU50" s="1491"/>
      <c r="AV50" s="1491"/>
      <c r="AW50" s="1491"/>
      <c r="AX50" s="1491"/>
      <c r="AY50" s="1491"/>
      <c r="AZ50" s="1491"/>
      <c r="BA50" s="1491"/>
      <c r="BB50" s="1491"/>
      <c r="BC50" s="1491"/>
      <c r="BD50" s="1491"/>
      <c r="BE50" s="1491"/>
      <c r="BF50" s="1491"/>
      <c r="BG50" s="1491"/>
      <c r="BH50" s="1491"/>
      <c r="BI50" s="1491"/>
      <c r="BJ50" s="1491"/>
      <c r="BK50" s="1491"/>
      <c r="BL50" s="1491"/>
      <c r="BN50" s="1492"/>
      <c r="BO50" s="1492"/>
      <c r="BP50" s="1492"/>
      <c r="BR50" s="3168">
        <f>W50+AQ50+BL50+BP50</f>
        <v>0</v>
      </c>
      <c r="BS50" s="1493"/>
      <c r="BT50" s="1534"/>
      <c r="BU50" s="1508"/>
      <c r="BV50" s="1508"/>
      <c r="BW50" s="1508"/>
      <c r="BX50" s="1508"/>
      <c r="BY50" s="1508"/>
      <c r="BZ50" s="1508"/>
      <c r="CA50" s="1508"/>
      <c r="CB50" s="1508"/>
      <c r="CC50" s="1508"/>
      <c r="CD50" s="1508"/>
      <c r="CE50" s="1508"/>
      <c r="CF50" s="1508"/>
      <c r="CG50" s="1508"/>
      <c r="CH50" s="1508"/>
      <c r="CI50" s="1508"/>
      <c r="CJ50" s="1508"/>
      <c r="CK50" s="1508"/>
      <c r="CL50" s="1508"/>
      <c r="CM50" s="1508"/>
      <c r="CN50" s="1508"/>
      <c r="CO50" s="1508"/>
      <c r="CP50" s="1508"/>
      <c r="CQ50" s="1508"/>
      <c r="CR50" s="1508"/>
      <c r="CS50" s="1508"/>
      <c r="CT50" s="1508"/>
      <c r="CU50" s="1508"/>
      <c r="CV50" s="1508"/>
      <c r="CW50" s="1508"/>
      <c r="CX50" s="1508"/>
      <c r="CY50" s="1508"/>
      <c r="CZ50" s="1508"/>
      <c r="DA50" s="1508"/>
      <c r="DB50" s="1508"/>
      <c r="DC50" s="1508"/>
      <c r="DD50" s="1508"/>
      <c r="DE50" s="1508"/>
      <c r="DF50" s="1508"/>
      <c r="DG50" s="1508"/>
      <c r="DH50" s="1508"/>
      <c r="DI50" s="1508"/>
      <c r="DJ50" s="1508"/>
      <c r="DK50" s="1508"/>
      <c r="DL50" s="1508"/>
      <c r="DN50" s="1509">
        <v>0</v>
      </c>
    </row>
    <row r="51" spans="1:118" s="1564" customFormat="1" ht="12.75" hidden="1" customHeight="1" outlineLevel="1" x14ac:dyDescent="0.2">
      <c r="C51" s="1565"/>
      <c r="D51" s="1592"/>
      <c r="E51" s="1566"/>
      <c r="F51" s="1567"/>
      <c r="G51" s="1568"/>
      <c r="H51" s="1568"/>
      <c r="I51" s="1568"/>
      <c r="J51" s="1568"/>
      <c r="K51" s="1568"/>
      <c r="L51" s="1568"/>
      <c r="M51" s="1568"/>
      <c r="N51" s="1568"/>
      <c r="O51" s="1569"/>
      <c r="P51" s="1568"/>
      <c r="Q51" s="1568"/>
      <c r="R51" s="1568"/>
      <c r="S51" s="1568"/>
      <c r="T51" s="1568"/>
      <c r="U51" s="1568"/>
      <c r="V51" s="1568"/>
      <c r="W51" s="1568"/>
      <c r="X51" s="1567"/>
      <c r="Y51" s="1570"/>
      <c r="Z51" s="1570"/>
      <c r="AA51" s="1570"/>
      <c r="AB51" s="1570"/>
      <c r="AC51" s="1570"/>
      <c r="AD51" s="1570"/>
      <c r="AE51" s="1570"/>
      <c r="AF51" s="1570"/>
      <c r="AG51" s="1570"/>
      <c r="AH51" s="1570"/>
      <c r="AI51" s="1570"/>
      <c r="AJ51" s="1570"/>
      <c r="AK51" s="1570"/>
      <c r="AL51" s="1570"/>
      <c r="AM51" s="1570"/>
      <c r="AN51" s="1570"/>
      <c r="AO51" s="1570"/>
      <c r="AP51" s="1570"/>
      <c r="AQ51" s="1955"/>
      <c r="AR51" s="1567"/>
      <c r="AS51" s="1571"/>
      <c r="AT51" s="1571"/>
      <c r="AU51" s="1571"/>
      <c r="AV51" s="1571"/>
      <c r="AW51" s="1571"/>
      <c r="AX51" s="1571"/>
      <c r="AY51" s="1571"/>
      <c r="AZ51" s="1571"/>
      <c r="BA51" s="1571"/>
      <c r="BB51" s="1571"/>
      <c r="BC51" s="1571"/>
      <c r="BD51" s="1571"/>
      <c r="BE51" s="1571"/>
      <c r="BF51" s="1571"/>
      <c r="BG51" s="1571"/>
      <c r="BH51" s="1571"/>
      <c r="BI51" s="1571"/>
      <c r="BJ51" s="1571"/>
      <c r="BK51" s="1571"/>
      <c r="BL51" s="1571"/>
      <c r="BM51" s="1567"/>
      <c r="BN51" s="1572"/>
      <c r="BO51" s="1572"/>
      <c r="BP51" s="1572"/>
      <c r="BQ51" s="1567"/>
      <c r="BR51" s="3168">
        <f>W51+AQ51+BL51+BP51</f>
        <v>0</v>
      </c>
      <c r="BS51" s="1573"/>
      <c r="BU51" s="1574"/>
      <c r="BV51" s="1574"/>
      <c r="BW51" s="1574"/>
      <c r="BX51" s="1574"/>
      <c r="BY51" s="1574"/>
      <c r="BZ51" s="1574"/>
      <c r="CA51" s="1574"/>
      <c r="CB51" s="1574"/>
      <c r="CC51" s="1574"/>
      <c r="CD51" s="1574"/>
      <c r="CE51" s="1574"/>
      <c r="CF51" s="1574"/>
      <c r="CG51" s="1574"/>
      <c r="CH51" s="1574"/>
      <c r="CI51" s="1574"/>
      <c r="CJ51" s="1574"/>
      <c r="CK51" s="1574"/>
      <c r="CL51" s="1574"/>
      <c r="CM51" s="1574"/>
      <c r="CN51" s="1574"/>
      <c r="CO51" s="1574"/>
      <c r="CP51" s="1574"/>
      <c r="CQ51" s="1574"/>
      <c r="CR51" s="1574"/>
      <c r="CS51" s="1574"/>
      <c r="CT51" s="1574"/>
      <c r="CU51" s="1574"/>
      <c r="CV51" s="1574"/>
      <c r="CW51" s="1574"/>
      <c r="CX51" s="1574"/>
      <c r="CY51" s="1574"/>
      <c r="CZ51" s="1574"/>
      <c r="DA51" s="1574"/>
      <c r="DB51" s="1574"/>
      <c r="DC51" s="1574"/>
      <c r="DD51" s="1574"/>
      <c r="DE51" s="1574"/>
      <c r="DF51" s="1574"/>
      <c r="DG51" s="1574"/>
      <c r="DH51" s="1574"/>
      <c r="DI51" s="1574"/>
      <c r="DJ51" s="1574"/>
      <c r="DK51" s="1574"/>
      <c r="DL51" s="1574"/>
      <c r="DN51" s="1575">
        <v>0</v>
      </c>
    </row>
    <row r="52" spans="1:118" s="1877" customFormat="1" ht="12.75" hidden="1" customHeight="1" outlineLevel="1" x14ac:dyDescent="0.2">
      <c r="C52" s="1496" t="s">
        <v>46</v>
      </c>
      <c r="D52" s="14" t="str">
        <f>INDEX(Modulos[Modulos], MATCH($C52, Modulos[Código], 0))</f>
        <v>Termoelectricidad</v>
      </c>
      <c r="E52" s="1600"/>
      <c r="F52" s="56"/>
      <c r="G52" s="1601"/>
      <c r="H52" s="1601"/>
      <c r="I52" s="1601"/>
      <c r="J52" s="1601"/>
      <c r="K52" s="1601"/>
      <c r="L52" s="1601"/>
      <c r="M52" s="1601"/>
      <c r="N52" s="1601"/>
      <c r="O52" s="1602"/>
      <c r="P52" s="1601"/>
      <c r="Q52" s="1601"/>
      <c r="R52" s="1601"/>
      <c r="S52" s="1601"/>
      <c r="T52" s="1601"/>
      <c r="U52" s="1601"/>
      <c r="V52" s="1601"/>
      <c r="W52" s="1601"/>
      <c r="X52" s="56"/>
      <c r="Y52" s="1490">
        <f t="shared" ref="Y52:AP52" ca="1" si="31">IFERROR(INDEX(INDIRECT($C52&amp;".Outputs["&amp;this.Year&amp;"]"), MATCH(Y$5, INDIRECT($C52&amp;".Outputs[Vector]"), 0)), 0)</f>
        <v>0</v>
      </c>
      <c r="Z52" s="1490">
        <f ca="1">IFERROR(INDEX(INDIRECT($C52&amp;".Outputs["&amp;this.Year&amp;"]"), MATCH(Z$5, INDIRECT($C52&amp;".Outputs[Vector]"), 0)), 0)</f>
        <v>102.73513492528677</v>
      </c>
      <c r="AA52" s="1490">
        <f t="shared" ca="1" si="31"/>
        <v>-144.27010667328963</v>
      </c>
      <c r="AB52" s="1490">
        <f t="shared" ca="1" si="31"/>
        <v>-18.033763334161208</v>
      </c>
      <c r="AC52" s="1490">
        <f t="shared" ca="1" si="31"/>
        <v>-82.44006095616551</v>
      </c>
      <c r="AD52" s="1490">
        <f t="shared" ca="1" si="31"/>
        <v>0</v>
      </c>
      <c r="AE52" s="1490">
        <f t="shared" ca="1" si="31"/>
        <v>0</v>
      </c>
      <c r="AF52" s="1490">
        <f t="shared" ca="1" si="31"/>
        <v>0</v>
      </c>
      <c r="AG52" s="1490">
        <f t="shared" ca="1" si="31"/>
        <v>0</v>
      </c>
      <c r="AH52" s="1490">
        <f t="shared" ca="1" si="31"/>
        <v>0</v>
      </c>
      <c r="AI52" s="1490">
        <f t="shared" ca="1" si="31"/>
        <v>0</v>
      </c>
      <c r="AJ52" s="1490">
        <f t="shared" ca="1" si="31"/>
        <v>0</v>
      </c>
      <c r="AK52" s="1490">
        <f t="shared" ca="1" si="31"/>
        <v>0</v>
      </c>
      <c r="AL52" s="1490">
        <f t="shared" ca="1" si="31"/>
        <v>-2.9453760000000004</v>
      </c>
      <c r="AM52" s="1490">
        <f t="shared" ca="1" si="31"/>
        <v>0</v>
      </c>
      <c r="AN52" s="1490">
        <f t="shared" ca="1" si="31"/>
        <v>0</v>
      </c>
      <c r="AO52" s="1490">
        <f t="shared" ca="1" si="31"/>
        <v>0</v>
      </c>
      <c r="AP52" s="1490">
        <f t="shared" ca="1" si="31"/>
        <v>0</v>
      </c>
      <c r="AQ52" s="1893">
        <f ca="1">SUM(Y52:AP52)</f>
        <v>-144.9541720383296</v>
      </c>
      <c r="AR52" s="56"/>
      <c r="AS52" s="1940">
        <f t="shared" ref="AS52:BK52" ca="1" si="32">IFERROR(INDEX(INDIRECT($C52&amp;".Outputs["&amp;this.Year&amp;"]"), MATCH(AS$5, INDIRECT($C52&amp;".Outputs[Vector]"), 0)), 0)</f>
        <v>0</v>
      </c>
      <c r="AT52" s="1940">
        <f t="shared" ca="1" si="32"/>
        <v>0</v>
      </c>
      <c r="AU52" s="1940">
        <f t="shared" ca="1" si="32"/>
        <v>0</v>
      </c>
      <c r="AV52" s="1940">
        <f t="shared" ca="1" si="32"/>
        <v>0</v>
      </c>
      <c r="AW52" s="1940">
        <f t="shared" ca="1" si="32"/>
        <v>0</v>
      </c>
      <c r="AX52" s="1940">
        <f t="shared" ca="1" si="32"/>
        <v>0</v>
      </c>
      <c r="AY52" s="1940">
        <f t="shared" ca="1" si="32"/>
        <v>0</v>
      </c>
      <c r="AZ52" s="1940">
        <f t="shared" ca="1" si="32"/>
        <v>0</v>
      </c>
      <c r="BA52" s="1940">
        <f t="shared" ca="1" si="32"/>
        <v>0</v>
      </c>
      <c r="BB52" s="1940">
        <f t="shared" ca="1" si="32"/>
        <v>0</v>
      </c>
      <c r="BC52" s="1940">
        <f t="shared" ca="1" si="32"/>
        <v>0</v>
      </c>
      <c r="BD52" s="1940">
        <f t="shared" ca="1" si="32"/>
        <v>0</v>
      </c>
      <c r="BE52" s="1940">
        <f t="shared" ca="1" si="32"/>
        <v>0</v>
      </c>
      <c r="BF52" s="1940">
        <f t="shared" ca="1" si="32"/>
        <v>0</v>
      </c>
      <c r="BG52" s="1940">
        <f t="shared" ca="1" si="32"/>
        <v>0</v>
      </c>
      <c r="BH52" s="1940">
        <f t="shared" ca="1" si="32"/>
        <v>0</v>
      </c>
      <c r="BI52" s="1940">
        <f t="shared" ca="1" si="32"/>
        <v>0</v>
      </c>
      <c r="BJ52" s="1940">
        <f t="shared" ca="1" si="32"/>
        <v>0</v>
      </c>
      <c r="BK52" s="1940">
        <f t="shared" ca="1" si="32"/>
        <v>0</v>
      </c>
      <c r="BL52" s="1952">
        <f ca="1">SUM(AS52:BK52)</f>
        <v>0</v>
      </c>
      <c r="BM52" s="56"/>
      <c r="BN52" s="1941">
        <f ca="1">IFERROR(INDEX(INDIRECT($C52&amp;".Outputs["&amp;this.Year&amp;"]"), MATCH(BN$5, INDIRECT($C52&amp;".Outputs[Vector]"), 0)), 0)</f>
        <v>139.81741529206522</v>
      </c>
      <c r="BO52" s="1941">
        <f ca="1">IFERROR(INDEX(INDIRECT($C52&amp;".Outputs["&amp;this.Year&amp;"]"), MATCH(BO$5, INDIRECT($C52&amp;".Outputs[Vector]"), 0)), 0)</f>
        <v>5.1367567462643358</v>
      </c>
      <c r="BP52" s="1505">
        <f ca="1">BN52+BO52</f>
        <v>144.95417203832955</v>
      </c>
      <c r="BQ52" s="56"/>
      <c r="BR52" s="3168">
        <f ca="1">W52+AQ52+BL52+BP52</f>
        <v>0</v>
      </c>
      <c r="BS52" s="1579"/>
      <c r="BU52" s="1595"/>
      <c r="BV52" s="1595"/>
      <c r="BW52" s="1595"/>
      <c r="BX52" s="1595"/>
      <c r="BY52" s="1595"/>
      <c r="BZ52" s="1595"/>
      <c r="CA52" s="1595"/>
      <c r="CB52" s="1595"/>
      <c r="CC52" s="1595"/>
      <c r="CD52" s="1595"/>
      <c r="CE52" s="1595"/>
      <c r="CF52" s="1595"/>
      <c r="CG52" s="1595"/>
      <c r="CH52" s="1595"/>
      <c r="CI52" s="1595"/>
      <c r="CJ52" s="1595"/>
      <c r="CK52" s="1595"/>
      <c r="CL52" s="1595"/>
      <c r="CM52" s="1595"/>
      <c r="CN52" s="1595"/>
      <c r="CO52" s="1595"/>
      <c r="CP52" s="1595"/>
      <c r="CQ52" s="1595"/>
      <c r="CR52" s="1595"/>
      <c r="CS52" s="1595"/>
      <c r="CT52" s="1595"/>
      <c r="CU52" s="1595"/>
      <c r="CV52" s="1595"/>
      <c r="CW52" s="1595"/>
      <c r="CX52" s="1595"/>
      <c r="CY52" s="1595"/>
      <c r="CZ52" s="1595"/>
      <c r="DA52" s="1595"/>
      <c r="DB52" s="1595"/>
      <c r="DC52" s="1595"/>
      <c r="DD52" s="1595"/>
      <c r="DE52" s="1595"/>
      <c r="DF52" s="1595"/>
      <c r="DG52" s="1595"/>
      <c r="DH52" s="1595"/>
      <c r="DI52" s="1595"/>
      <c r="DJ52" s="1595"/>
      <c r="DK52" s="1595"/>
      <c r="DL52" s="1595"/>
      <c r="DN52" s="1878"/>
    </row>
    <row r="53" spans="1:118" s="1522" customFormat="1" ht="12.75" hidden="1" customHeight="1" outlineLevel="1" x14ac:dyDescent="0.2">
      <c r="E53" s="1497"/>
      <c r="F53" s="14"/>
      <c r="G53" s="1540"/>
      <c r="H53" s="1540"/>
      <c r="I53" s="1540"/>
      <c r="J53" s="1540"/>
      <c r="K53" s="1540"/>
      <c r="L53" s="1540"/>
      <c r="M53" s="1540"/>
      <c r="N53" s="1540"/>
      <c r="O53" s="1540"/>
      <c r="P53" s="1540"/>
      <c r="Q53" s="1540"/>
      <c r="R53" s="1540"/>
      <c r="S53" s="1540"/>
      <c r="T53" s="1540"/>
      <c r="U53" s="1540"/>
      <c r="V53" s="1540"/>
      <c r="W53" s="1527"/>
      <c r="X53" s="14"/>
      <c r="Y53" s="1541"/>
      <c r="Z53" s="1541"/>
      <c r="AA53" s="1541"/>
      <c r="AB53" s="1541"/>
      <c r="AC53" s="1541"/>
      <c r="AD53" s="1541"/>
      <c r="AE53" s="1541"/>
      <c r="AF53" s="1541"/>
      <c r="AG53" s="1541"/>
      <c r="AH53" s="1541"/>
      <c r="AI53" s="1541"/>
      <c r="AJ53" s="1541"/>
      <c r="AK53" s="1541"/>
      <c r="AL53" s="1541"/>
      <c r="AM53" s="1541"/>
      <c r="AN53" s="1541"/>
      <c r="AO53" s="1541"/>
      <c r="AP53" s="1541"/>
      <c r="AQ53" s="1953"/>
      <c r="AR53" s="14"/>
      <c r="AS53" s="1542"/>
      <c r="AT53" s="1542"/>
      <c r="AU53" s="1542"/>
      <c r="AV53" s="1542"/>
      <c r="AW53" s="1542"/>
      <c r="AX53" s="1542"/>
      <c r="AY53" s="1542"/>
      <c r="AZ53" s="1542"/>
      <c r="BA53" s="1542"/>
      <c r="BB53" s="1542"/>
      <c r="BC53" s="1542"/>
      <c r="BD53" s="1542"/>
      <c r="BE53" s="1542"/>
      <c r="BF53" s="1542"/>
      <c r="BG53" s="1542"/>
      <c r="BH53" s="1542"/>
      <c r="BI53" s="1542"/>
      <c r="BJ53" s="1542"/>
      <c r="BK53" s="1542"/>
      <c r="BL53" s="1530"/>
      <c r="BM53" s="14"/>
      <c r="BN53" s="1543"/>
      <c r="BO53" s="1543"/>
      <c r="BP53" s="1531"/>
      <c r="BQ53" s="14"/>
      <c r="BR53" s="3168">
        <f>W53+AQ53+BL53+BP53</f>
        <v>0</v>
      </c>
      <c r="BS53" s="1525"/>
      <c r="BT53" s="748"/>
      <c r="BU53" s="1532">
        <v>198.26548259420858</v>
      </c>
      <c r="BV53" s="1533">
        <v>0.5182280295123709</v>
      </c>
      <c r="BW53" s="1533">
        <v>1.345630535228558</v>
      </c>
      <c r="BX53" s="1533">
        <v>0</v>
      </c>
      <c r="BY53" s="1533">
        <v>0</v>
      </c>
      <c r="BZ53" s="1533">
        <v>0</v>
      </c>
      <c r="CA53" s="1533">
        <v>0</v>
      </c>
      <c r="CB53" s="1533">
        <v>0</v>
      </c>
      <c r="CC53" s="1533">
        <v>0</v>
      </c>
      <c r="CD53" s="1533">
        <v>0</v>
      </c>
      <c r="CE53" s="1533">
        <v>0</v>
      </c>
      <c r="CF53" s="1533">
        <v>0</v>
      </c>
      <c r="CG53" s="1533">
        <v>0</v>
      </c>
      <c r="CH53" s="1533">
        <v>0</v>
      </c>
      <c r="CI53" s="1533">
        <v>0</v>
      </c>
      <c r="CJ53" s="1533">
        <v>0</v>
      </c>
      <c r="CK53" s="1533">
        <v>0</v>
      </c>
      <c r="CL53" s="1533">
        <v>0</v>
      </c>
      <c r="CM53" s="1533">
        <v>0</v>
      </c>
      <c r="CN53" s="1533">
        <v>0</v>
      </c>
      <c r="CO53" s="1533">
        <v>0</v>
      </c>
      <c r="CP53" s="1533">
        <v>0</v>
      </c>
      <c r="CQ53" s="1533">
        <v>0</v>
      </c>
      <c r="CR53" s="1533">
        <v>0</v>
      </c>
      <c r="CS53" s="1533">
        <v>0</v>
      </c>
      <c r="CT53" s="1533">
        <v>0</v>
      </c>
      <c r="CU53" s="1533">
        <v>0</v>
      </c>
      <c r="CV53" s="1533">
        <v>0</v>
      </c>
      <c r="CW53" s="1533">
        <v>0</v>
      </c>
      <c r="CX53" s="1533">
        <v>0</v>
      </c>
      <c r="CY53" s="1533">
        <v>0</v>
      </c>
      <c r="CZ53" s="1533">
        <v>0</v>
      </c>
      <c r="DA53" s="1533">
        <v>0</v>
      </c>
      <c r="DB53" s="1533">
        <v>0</v>
      </c>
      <c r="DC53" s="1533">
        <v>0</v>
      </c>
      <c r="DD53" s="1533">
        <v>0</v>
      </c>
      <c r="DE53" s="1533">
        <v>0</v>
      </c>
      <c r="DF53" s="1533">
        <v>0</v>
      </c>
      <c r="DG53" s="1533">
        <v>0</v>
      </c>
      <c r="DH53" s="1533">
        <v>0</v>
      </c>
      <c r="DI53" s="1533">
        <v>0</v>
      </c>
      <c r="DJ53" s="1533">
        <v>0</v>
      </c>
      <c r="DK53" s="1533">
        <v>0</v>
      </c>
      <c r="DL53" s="1533">
        <v>0</v>
      </c>
      <c r="DN53" s="1509">
        <v>200.1293411589495</v>
      </c>
    </row>
    <row r="54" spans="1:118" s="14" customFormat="1" ht="15.75" collapsed="1" x14ac:dyDescent="0.2">
      <c r="A54" s="1534"/>
      <c r="B54" s="1535"/>
      <c r="C54" s="1536" t="s">
        <v>322</v>
      </c>
      <c r="D54" s="1537" t="str">
        <f>INDEX(Flujos[Flujos], MATCH($C54, Flujos[Código], 0))</f>
        <v>Generación por Termoelectricidad</v>
      </c>
      <c r="E54" s="1538"/>
      <c r="G54" s="1539"/>
      <c r="H54" s="1539"/>
      <c r="I54" s="1539"/>
      <c r="J54" s="1539"/>
      <c r="K54" s="1539"/>
      <c r="L54" s="1539"/>
      <c r="M54" s="1539"/>
      <c r="N54" s="1539"/>
      <c r="O54" s="1539"/>
      <c r="P54" s="1539"/>
      <c r="Q54" s="1539"/>
      <c r="R54" s="1539"/>
      <c r="S54" s="1539"/>
      <c r="T54" s="1539"/>
      <c r="U54" s="1539"/>
      <c r="V54" s="1539"/>
      <c r="W54" s="1539"/>
      <c r="Y54" s="1490">
        <f ca="1">Y52</f>
        <v>0</v>
      </c>
      <c r="Z54" s="1490">
        <f t="shared" ref="Z54:AP54" ca="1" si="33">Z52</f>
        <v>102.73513492528677</v>
      </c>
      <c r="AA54" s="1490">
        <f t="shared" ca="1" si="33"/>
        <v>-144.27010667328963</v>
      </c>
      <c r="AB54" s="1490">
        <f t="shared" ca="1" si="33"/>
        <v>-18.033763334161208</v>
      </c>
      <c r="AC54" s="1490">
        <f t="shared" ca="1" si="33"/>
        <v>-82.44006095616551</v>
      </c>
      <c r="AD54" s="1490">
        <f t="shared" ca="1" si="33"/>
        <v>0</v>
      </c>
      <c r="AE54" s="1490">
        <f t="shared" ca="1" si="33"/>
        <v>0</v>
      </c>
      <c r="AF54" s="1490">
        <f t="shared" ca="1" si="33"/>
        <v>0</v>
      </c>
      <c r="AG54" s="1490">
        <f t="shared" ca="1" si="33"/>
        <v>0</v>
      </c>
      <c r="AH54" s="1490">
        <f t="shared" ca="1" si="33"/>
        <v>0</v>
      </c>
      <c r="AI54" s="1490">
        <f t="shared" ca="1" si="33"/>
        <v>0</v>
      </c>
      <c r="AJ54" s="1490">
        <f t="shared" ca="1" si="33"/>
        <v>0</v>
      </c>
      <c r="AK54" s="1490">
        <f t="shared" ca="1" si="33"/>
        <v>0</v>
      </c>
      <c r="AL54" s="1490">
        <f t="shared" ca="1" si="33"/>
        <v>-2.9453760000000004</v>
      </c>
      <c r="AM54" s="1490">
        <f t="shared" ca="1" si="33"/>
        <v>0</v>
      </c>
      <c r="AN54" s="1490">
        <f t="shared" ca="1" si="33"/>
        <v>0</v>
      </c>
      <c r="AO54" s="1490">
        <f t="shared" ca="1" si="33"/>
        <v>0</v>
      </c>
      <c r="AP54" s="1490">
        <f t="shared" ca="1" si="33"/>
        <v>0</v>
      </c>
      <c r="AQ54" s="2608">
        <f ca="1">SUM(Y54:AP54)</f>
        <v>-144.9541720383296</v>
      </c>
      <c r="AS54" s="1491">
        <f ca="1">AS52</f>
        <v>0</v>
      </c>
      <c r="AT54" s="1491">
        <f t="shared" ref="AT54:BK54" ca="1" si="34">AT52</f>
        <v>0</v>
      </c>
      <c r="AU54" s="1491">
        <f t="shared" ca="1" si="34"/>
        <v>0</v>
      </c>
      <c r="AV54" s="1491">
        <f t="shared" ca="1" si="34"/>
        <v>0</v>
      </c>
      <c r="AW54" s="1491">
        <f t="shared" ca="1" si="34"/>
        <v>0</v>
      </c>
      <c r="AX54" s="1491">
        <f t="shared" ca="1" si="34"/>
        <v>0</v>
      </c>
      <c r="AY54" s="1491">
        <f t="shared" ca="1" si="34"/>
        <v>0</v>
      </c>
      <c r="AZ54" s="1491">
        <f t="shared" ca="1" si="34"/>
        <v>0</v>
      </c>
      <c r="BA54" s="1491">
        <f t="shared" ca="1" si="34"/>
        <v>0</v>
      </c>
      <c r="BB54" s="1491">
        <f t="shared" ca="1" si="34"/>
        <v>0</v>
      </c>
      <c r="BC54" s="1491">
        <f t="shared" ca="1" si="34"/>
        <v>0</v>
      </c>
      <c r="BD54" s="1491">
        <f t="shared" ca="1" si="34"/>
        <v>0</v>
      </c>
      <c r="BE54" s="1491">
        <f t="shared" ca="1" si="34"/>
        <v>0</v>
      </c>
      <c r="BF54" s="1491">
        <f t="shared" ca="1" si="34"/>
        <v>0</v>
      </c>
      <c r="BG54" s="1491">
        <f t="shared" ca="1" si="34"/>
        <v>0</v>
      </c>
      <c r="BH54" s="1491">
        <f t="shared" ca="1" si="34"/>
        <v>0</v>
      </c>
      <c r="BI54" s="1491">
        <f t="shared" ca="1" si="34"/>
        <v>0</v>
      </c>
      <c r="BJ54" s="1491">
        <f t="shared" ca="1" si="34"/>
        <v>0</v>
      </c>
      <c r="BK54" s="1491">
        <f t="shared" ca="1" si="34"/>
        <v>0</v>
      </c>
      <c r="BL54" s="1952">
        <f ca="1">SUM(AS54:BK54)</f>
        <v>0</v>
      </c>
      <c r="BN54" s="1492">
        <f ca="1">BN52</f>
        <v>139.81741529206522</v>
      </c>
      <c r="BO54" s="1492">
        <f ca="1">BO52</f>
        <v>5.1367567462643358</v>
      </c>
      <c r="BP54" s="2615">
        <f ca="1">BN54+BO54</f>
        <v>144.95417203832955</v>
      </c>
      <c r="BR54" s="3168">
        <f ca="1">W54+AQ54+BL54+BP54</f>
        <v>0</v>
      </c>
      <c r="BS54" s="1493"/>
      <c r="BT54" s="748"/>
      <c r="BU54" s="1508">
        <v>198.26548259420858</v>
      </c>
      <c r="BV54" s="1508">
        <v>0.5182280295123709</v>
      </c>
      <c r="BW54" s="1508">
        <v>1.345630535228558</v>
      </c>
      <c r="BX54" s="1508">
        <v>0</v>
      </c>
      <c r="BY54" s="1508">
        <v>0</v>
      </c>
      <c r="BZ54" s="1508">
        <v>0</v>
      </c>
      <c r="CA54" s="1508">
        <v>0</v>
      </c>
      <c r="CB54" s="1508">
        <v>0</v>
      </c>
      <c r="CC54" s="1508">
        <v>0</v>
      </c>
      <c r="CD54" s="1508">
        <v>0</v>
      </c>
      <c r="CE54" s="1508">
        <v>0</v>
      </c>
      <c r="CF54" s="1508">
        <v>0</v>
      </c>
      <c r="CG54" s="1508">
        <v>0</v>
      </c>
      <c r="CH54" s="1508">
        <v>0</v>
      </c>
      <c r="CI54" s="1508">
        <v>0</v>
      </c>
      <c r="CJ54" s="1508">
        <v>0</v>
      </c>
      <c r="CK54" s="1508">
        <v>0</v>
      </c>
      <c r="CL54" s="1508">
        <v>0</v>
      </c>
      <c r="CM54" s="1508">
        <v>0</v>
      </c>
      <c r="CN54" s="1508">
        <v>0</v>
      </c>
      <c r="CO54" s="1508">
        <v>0</v>
      </c>
      <c r="CP54" s="1508">
        <v>0</v>
      </c>
      <c r="CQ54" s="1508">
        <v>0</v>
      </c>
      <c r="CR54" s="1508">
        <v>0</v>
      </c>
      <c r="CS54" s="1508">
        <v>0</v>
      </c>
      <c r="CT54" s="1508">
        <v>0</v>
      </c>
      <c r="CU54" s="1508">
        <v>0</v>
      </c>
      <c r="CV54" s="1508">
        <v>0</v>
      </c>
      <c r="CW54" s="1508">
        <v>0</v>
      </c>
      <c r="CX54" s="1508">
        <v>0</v>
      </c>
      <c r="CY54" s="1508">
        <v>0</v>
      </c>
      <c r="CZ54" s="1508">
        <v>0</v>
      </c>
      <c r="DA54" s="1508">
        <v>0</v>
      </c>
      <c r="DB54" s="1508">
        <v>0</v>
      </c>
      <c r="DC54" s="1508">
        <v>0</v>
      </c>
      <c r="DD54" s="1508">
        <v>0</v>
      </c>
      <c r="DE54" s="1508">
        <v>0</v>
      </c>
      <c r="DF54" s="1508">
        <v>0</v>
      </c>
      <c r="DG54" s="1508">
        <v>0</v>
      </c>
      <c r="DH54" s="1508">
        <v>0</v>
      </c>
      <c r="DI54" s="1508">
        <v>0</v>
      </c>
      <c r="DJ54" s="1508">
        <v>0</v>
      </c>
      <c r="DK54" s="1508">
        <v>0</v>
      </c>
      <c r="DL54" s="1508">
        <v>0</v>
      </c>
      <c r="DN54" s="1509">
        <v>200.1293411589495</v>
      </c>
    </row>
    <row r="55" spans="1:118" s="14" customFormat="1" ht="15.75" x14ac:dyDescent="0.2">
      <c r="A55" s="1534"/>
      <c r="B55" s="1535"/>
      <c r="C55" s="1536"/>
      <c r="D55" s="1537"/>
      <c r="E55" s="1538"/>
      <c r="G55" s="1539"/>
      <c r="H55" s="1539"/>
      <c r="I55" s="1539"/>
      <c r="J55" s="1539"/>
      <c r="K55" s="1539"/>
      <c r="L55" s="1539"/>
      <c r="M55" s="1539"/>
      <c r="N55" s="1539"/>
      <c r="O55" s="1539"/>
      <c r="P55" s="1539"/>
      <c r="Q55" s="1539"/>
      <c r="R55" s="1539"/>
      <c r="S55" s="1539"/>
      <c r="T55" s="1539"/>
      <c r="U55" s="1539"/>
      <c r="V55" s="1539"/>
      <c r="W55" s="1539"/>
      <c r="Y55" s="1490"/>
      <c r="Z55" s="1490"/>
      <c r="AA55" s="1490"/>
      <c r="AB55" s="1490"/>
      <c r="AC55" s="1490"/>
      <c r="AD55" s="1490"/>
      <c r="AE55" s="1490"/>
      <c r="AF55" s="1490"/>
      <c r="AG55" s="1490"/>
      <c r="AH55" s="1490"/>
      <c r="AI55" s="1490"/>
      <c r="AJ55" s="1490"/>
      <c r="AK55" s="1490"/>
      <c r="AL55" s="1490"/>
      <c r="AM55" s="1490"/>
      <c r="AN55" s="1490"/>
      <c r="AO55" s="1490"/>
      <c r="AP55" s="1490"/>
      <c r="AQ55" s="1893"/>
      <c r="AS55" s="1491"/>
      <c r="AT55" s="1491"/>
      <c r="AU55" s="1491"/>
      <c r="AV55" s="1491"/>
      <c r="AW55" s="1491"/>
      <c r="AX55" s="1491"/>
      <c r="AY55" s="1491"/>
      <c r="AZ55" s="1491"/>
      <c r="BA55" s="1491"/>
      <c r="BB55" s="1491"/>
      <c r="BC55" s="1491"/>
      <c r="BD55" s="1491"/>
      <c r="BE55" s="1491"/>
      <c r="BF55" s="1491"/>
      <c r="BG55" s="1491"/>
      <c r="BH55" s="1491"/>
      <c r="BI55" s="1491"/>
      <c r="BJ55" s="1491"/>
      <c r="BK55" s="1491"/>
      <c r="BL55" s="1491"/>
      <c r="BN55" s="1492"/>
      <c r="BO55" s="1492"/>
      <c r="BP55" s="1492"/>
      <c r="BR55" s="3168"/>
      <c r="BS55" s="1493"/>
      <c r="BT55" s="748"/>
      <c r="BU55" s="1508"/>
      <c r="BV55" s="1508"/>
      <c r="BW55" s="1508"/>
      <c r="BX55" s="1508"/>
      <c r="BY55" s="1508"/>
      <c r="BZ55" s="1508"/>
      <c r="CA55" s="1508"/>
      <c r="CB55" s="1508"/>
      <c r="CC55" s="1508"/>
      <c r="CD55" s="1508"/>
      <c r="CE55" s="1508"/>
      <c r="CF55" s="1508"/>
      <c r="CG55" s="1508"/>
      <c r="CH55" s="1508"/>
      <c r="CI55" s="1508"/>
      <c r="CJ55" s="1508"/>
      <c r="CK55" s="1508"/>
      <c r="CL55" s="1508"/>
      <c r="CM55" s="1508"/>
      <c r="CN55" s="1508"/>
      <c r="CO55" s="1508"/>
      <c r="CP55" s="1508"/>
      <c r="CQ55" s="1508"/>
      <c r="CR55" s="1508"/>
      <c r="CS55" s="1508"/>
      <c r="CT55" s="1508"/>
      <c r="CU55" s="1508"/>
      <c r="CV55" s="1508"/>
      <c r="CW55" s="1508"/>
      <c r="CX55" s="1508"/>
      <c r="CY55" s="1508"/>
      <c r="CZ55" s="1508"/>
      <c r="DA55" s="1508"/>
      <c r="DB55" s="1508"/>
      <c r="DC55" s="1508"/>
      <c r="DD55" s="1508"/>
      <c r="DE55" s="1508"/>
      <c r="DF55" s="1508"/>
      <c r="DG55" s="1508"/>
      <c r="DH55" s="1508"/>
      <c r="DI55" s="1508"/>
      <c r="DJ55" s="1508"/>
      <c r="DK55" s="1508"/>
      <c r="DL55" s="1508"/>
      <c r="DN55" s="1509"/>
    </row>
    <row r="56" spans="1:118" s="14" customFormat="1" ht="12.75" hidden="1" customHeight="1" outlineLevel="1" x14ac:dyDescent="0.2">
      <c r="A56" s="1534"/>
      <c r="B56" s="1534"/>
      <c r="C56" s="1544"/>
      <c r="D56" s="1538"/>
      <c r="E56" s="1538"/>
      <c r="G56" s="1488"/>
      <c r="H56" s="1488"/>
      <c r="I56" s="1488"/>
      <c r="J56" s="1488"/>
      <c r="K56" s="1488"/>
      <c r="L56" s="1488"/>
      <c r="M56" s="1488"/>
      <c r="N56" s="1488"/>
      <c r="O56" s="1563"/>
      <c r="P56" s="1488"/>
      <c r="Q56" s="1488"/>
      <c r="R56" s="1488"/>
      <c r="S56" s="1488"/>
      <c r="T56" s="1488"/>
      <c r="U56" s="1488"/>
      <c r="V56" s="1488"/>
      <c r="W56" s="1488"/>
      <c r="Y56" s="1490"/>
      <c r="Z56" s="1490"/>
      <c r="AA56" s="1490"/>
      <c r="AB56" s="1490"/>
      <c r="AC56" s="1490"/>
      <c r="AD56" s="1490"/>
      <c r="AE56" s="1490"/>
      <c r="AF56" s="1490"/>
      <c r="AG56" s="1490"/>
      <c r="AH56" s="1490"/>
      <c r="AI56" s="1490"/>
      <c r="AJ56" s="1490"/>
      <c r="AK56" s="1490"/>
      <c r="AL56" s="1490"/>
      <c r="AM56" s="1490"/>
      <c r="AN56" s="1490"/>
      <c r="AO56" s="1490"/>
      <c r="AP56" s="1490"/>
      <c r="AQ56" s="1893"/>
      <c r="AS56" s="1491"/>
      <c r="AT56" s="1491"/>
      <c r="AU56" s="1491"/>
      <c r="AV56" s="1491"/>
      <c r="AW56" s="1491"/>
      <c r="AX56" s="1491"/>
      <c r="AY56" s="1491"/>
      <c r="AZ56" s="1491"/>
      <c r="BA56" s="1491"/>
      <c r="BB56" s="1491"/>
      <c r="BC56" s="1491"/>
      <c r="BD56" s="1491"/>
      <c r="BE56" s="1491"/>
      <c r="BF56" s="1491"/>
      <c r="BG56" s="1491"/>
      <c r="BH56" s="1491"/>
      <c r="BI56" s="1491"/>
      <c r="BJ56" s="1491"/>
      <c r="BK56" s="1491"/>
      <c r="BL56" s="1491"/>
      <c r="BN56" s="1492"/>
      <c r="BO56" s="1492"/>
      <c r="BP56" s="1492"/>
      <c r="BR56" s="3168">
        <f>W56+AQ56+BL56+BP56</f>
        <v>0</v>
      </c>
      <c r="BS56" s="1493"/>
      <c r="BT56" s="1534"/>
      <c r="BU56" s="1508"/>
      <c r="BV56" s="1508"/>
      <c r="BW56" s="1508"/>
      <c r="BX56" s="1508"/>
      <c r="BY56" s="1508"/>
      <c r="BZ56" s="1508"/>
      <c r="CA56" s="1508"/>
      <c r="CB56" s="1508"/>
      <c r="CC56" s="1508"/>
      <c r="CD56" s="1508"/>
      <c r="CE56" s="1508"/>
      <c r="CF56" s="1508"/>
      <c r="CG56" s="1508"/>
      <c r="CH56" s="1508"/>
      <c r="CI56" s="1508"/>
      <c r="CJ56" s="1508"/>
      <c r="CK56" s="1508"/>
      <c r="CL56" s="1508"/>
      <c r="CM56" s="1508"/>
      <c r="CN56" s="1508"/>
      <c r="CO56" s="1508"/>
      <c r="CP56" s="1508"/>
      <c r="CQ56" s="1508"/>
      <c r="CR56" s="1508"/>
      <c r="CS56" s="1508"/>
      <c r="CT56" s="1508"/>
      <c r="CU56" s="1508"/>
      <c r="CV56" s="1508"/>
      <c r="CW56" s="1508"/>
      <c r="CX56" s="1508"/>
      <c r="CY56" s="1508"/>
      <c r="CZ56" s="1508"/>
      <c r="DA56" s="1508"/>
      <c r="DB56" s="1508"/>
      <c r="DC56" s="1508"/>
      <c r="DD56" s="1508"/>
      <c r="DE56" s="1508"/>
      <c r="DF56" s="1508"/>
      <c r="DG56" s="1508"/>
      <c r="DH56" s="1508"/>
      <c r="DI56" s="1508"/>
      <c r="DJ56" s="1508"/>
      <c r="DK56" s="1508"/>
      <c r="DL56" s="1508"/>
      <c r="DN56" s="1509">
        <v>0</v>
      </c>
    </row>
    <row r="57" spans="1:118" s="1578" customFormat="1" ht="12.75" hidden="1" customHeight="1" outlineLevel="1" x14ac:dyDescent="0.2">
      <c r="C57" s="1496" t="s">
        <v>50</v>
      </c>
      <c r="D57" s="14" t="e">
        <f>INDEX(Modulos[Modulos], MATCH($C57, Modulos[Código], 0))</f>
        <v>#N/A</v>
      </c>
      <c r="E57" s="1592"/>
      <c r="F57" s="14"/>
      <c r="G57" s="1593"/>
      <c r="H57" s="1593"/>
      <c r="I57" s="1593"/>
      <c r="J57" s="1593"/>
      <c r="K57" s="1593"/>
      <c r="L57" s="1593"/>
      <c r="M57" s="1593"/>
      <c r="N57" s="1593"/>
      <c r="O57" s="1594"/>
      <c r="P57" s="1593"/>
      <c r="Q57" s="1593"/>
      <c r="R57" s="1593"/>
      <c r="S57" s="1593"/>
      <c r="T57" s="1593"/>
      <c r="U57" s="1593"/>
      <c r="V57" s="1593"/>
      <c r="W57" s="1593"/>
      <c r="X57" s="14"/>
      <c r="Y57" s="1490">
        <f t="shared" ref="Y57:AP57" ca="1" si="35">IFERROR(INDEX(INDIRECT($C57&amp;".Outputs["&amp;this.Year&amp;"]"), MATCH(Y$5, INDIRECT($C57&amp;".Outputs[Vector]"), 0)), 0)</f>
        <v>0</v>
      </c>
      <c r="Z57" s="1490">
        <f t="shared" ca="1" si="35"/>
        <v>0</v>
      </c>
      <c r="AA57" s="1490">
        <f t="shared" ca="1" si="35"/>
        <v>0</v>
      </c>
      <c r="AB57" s="1490">
        <f t="shared" ca="1" si="35"/>
        <v>0</v>
      </c>
      <c r="AC57" s="1490">
        <f t="shared" ca="1" si="35"/>
        <v>0</v>
      </c>
      <c r="AD57" s="1490">
        <f t="shared" ca="1" si="35"/>
        <v>0</v>
      </c>
      <c r="AE57" s="1490">
        <f t="shared" ca="1" si="35"/>
        <v>0</v>
      </c>
      <c r="AF57" s="1490">
        <f t="shared" ca="1" si="35"/>
        <v>0</v>
      </c>
      <c r="AG57" s="1490">
        <f t="shared" ca="1" si="35"/>
        <v>0</v>
      </c>
      <c r="AH57" s="1490">
        <f t="shared" ca="1" si="35"/>
        <v>0</v>
      </c>
      <c r="AI57" s="1490">
        <f t="shared" ca="1" si="35"/>
        <v>0</v>
      </c>
      <c r="AJ57" s="1490">
        <f t="shared" ca="1" si="35"/>
        <v>0</v>
      </c>
      <c r="AK57" s="1490">
        <f t="shared" ca="1" si="35"/>
        <v>0</v>
      </c>
      <c r="AL57" s="1490">
        <f t="shared" ca="1" si="35"/>
        <v>0</v>
      </c>
      <c r="AM57" s="1490">
        <f t="shared" ca="1" si="35"/>
        <v>0</v>
      </c>
      <c r="AN57" s="1490">
        <f t="shared" ca="1" si="35"/>
        <v>0</v>
      </c>
      <c r="AO57" s="1490">
        <f t="shared" ca="1" si="35"/>
        <v>0</v>
      </c>
      <c r="AP57" s="1490">
        <f t="shared" ca="1" si="35"/>
        <v>0</v>
      </c>
      <c r="AQ57" s="1893">
        <f ca="1">SUM(Y57:AP57)</f>
        <v>0</v>
      </c>
      <c r="AR57" s="14"/>
      <c r="AS57" s="1940">
        <f t="shared" ref="AS57:BK57" ca="1" si="36">IFERROR(INDEX(INDIRECT($C57&amp;".Outputs["&amp;this.Year&amp;"]"), MATCH(AS$5, INDIRECT($C57&amp;".Outputs[Vector]"), 0)), 0)</f>
        <v>0</v>
      </c>
      <c r="AT57" s="1940">
        <f t="shared" ca="1" si="36"/>
        <v>0</v>
      </c>
      <c r="AU57" s="1940">
        <f t="shared" ca="1" si="36"/>
        <v>0</v>
      </c>
      <c r="AV57" s="1940">
        <f t="shared" ca="1" si="36"/>
        <v>0</v>
      </c>
      <c r="AW57" s="1940">
        <f t="shared" ca="1" si="36"/>
        <v>0</v>
      </c>
      <c r="AX57" s="1940">
        <f t="shared" ca="1" si="36"/>
        <v>0</v>
      </c>
      <c r="AY57" s="1940">
        <f t="shared" ca="1" si="36"/>
        <v>0</v>
      </c>
      <c r="AZ57" s="1940">
        <f t="shared" ca="1" si="36"/>
        <v>0</v>
      </c>
      <c r="BA57" s="1940">
        <f t="shared" ca="1" si="36"/>
        <v>0</v>
      </c>
      <c r="BB57" s="1940">
        <f t="shared" ca="1" si="36"/>
        <v>0</v>
      </c>
      <c r="BC57" s="1940">
        <f t="shared" ca="1" si="36"/>
        <v>0</v>
      </c>
      <c r="BD57" s="1940">
        <f t="shared" ca="1" si="36"/>
        <v>0</v>
      </c>
      <c r="BE57" s="1940">
        <f t="shared" ca="1" si="36"/>
        <v>0</v>
      </c>
      <c r="BF57" s="1940">
        <f t="shared" ca="1" si="36"/>
        <v>0</v>
      </c>
      <c r="BG57" s="1940">
        <f t="shared" ca="1" si="36"/>
        <v>0</v>
      </c>
      <c r="BH57" s="1940">
        <f t="shared" ca="1" si="36"/>
        <v>0</v>
      </c>
      <c r="BI57" s="1940">
        <f t="shared" ca="1" si="36"/>
        <v>0</v>
      </c>
      <c r="BJ57" s="1940">
        <f t="shared" ca="1" si="36"/>
        <v>0</v>
      </c>
      <c r="BK57" s="1940">
        <f t="shared" ca="1" si="36"/>
        <v>0</v>
      </c>
      <c r="BL57" s="1952">
        <f ca="1">SUM(AS57:BK57)</f>
        <v>0</v>
      </c>
      <c r="BM57" s="14"/>
      <c r="BN57" s="1941">
        <f ca="1">IFERROR(INDEX(INDIRECT($C57&amp;".Outputs["&amp;this.Year&amp;"]"), MATCH(BN$5, INDIRECT($C57&amp;".Outputs[Vector]"), 0)), 0)</f>
        <v>0</v>
      </c>
      <c r="BO57" s="1941">
        <f ca="1">IFERROR(INDEX(INDIRECT($C57&amp;".Outputs["&amp;this.Year&amp;"]"), MATCH(BO$5, INDIRECT($C57&amp;".Outputs[Vector]"), 0)), 0)</f>
        <v>0</v>
      </c>
      <c r="BP57" s="1505">
        <f ca="1">BN57+BO57</f>
        <v>0</v>
      </c>
      <c r="BQ57" s="14"/>
      <c r="BR57" s="3168">
        <f ca="1">W57+AQ57+BL57+BP57</f>
        <v>0</v>
      </c>
      <c r="BS57" s="1579"/>
      <c r="BU57" s="1595"/>
      <c r="BV57" s="1595"/>
      <c r="BW57" s="1595"/>
      <c r="BX57" s="1595"/>
      <c r="BY57" s="1595"/>
      <c r="BZ57" s="1595"/>
      <c r="CA57" s="1595"/>
      <c r="CB57" s="1595"/>
      <c r="CC57" s="1595"/>
      <c r="CD57" s="1595"/>
      <c r="CE57" s="1595"/>
      <c r="CF57" s="1595"/>
      <c r="CG57" s="1595"/>
      <c r="CH57" s="1595"/>
      <c r="CI57" s="1595"/>
      <c r="CJ57" s="1595"/>
      <c r="CK57" s="1595"/>
      <c r="CL57" s="1595"/>
      <c r="CM57" s="1595"/>
      <c r="CN57" s="1595"/>
      <c r="CO57" s="1595"/>
      <c r="CP57" s="1595"/>
      <c r="CQ57" s="1595"/>
      <c r="CR57" s="1595"/>
      <c r="CS57" s="1595"/>
      <c r="CT57" s="1595"/>
      <c r="CU57" s="1595"/>
      <c r="CV57" s="1595"/>
      <c r="CW57" s="1595"/>
      <c r="CX57" s="1595"/>
      <c r="CY57" s="1595"/>
      <c r="CZ57" s="1595"/>
      <c r="DA57" s="1595"/>
      <c r="DB57" s="1595"/>
      <c r="DC57" s="1595"/>
      <c r="DD57" s="1595"/>
      <c r="DE57" s="1595"/>
      <c r="DF57" s="1595"/>
      <c r="DG57" s="1595"/>
      <c r="DH57" s="1595"/>
      <c r="DI57" s="1595"/>
      <c r="DJ57" s="1595"/>
      <c r="DK57" s="1595"/>
      <c r="DL57" s="1595"/>
      <c r="DN57" s="1509">
        <v>0</v>
      </c>
    </row>
    <row r="58" spans="1:118" s="1522" customFormat="1" ht="12.75" hidden="1" customHeight="1" outlineLevel="1" x14ac:dyDescent="0.2">
      <c r="E58" s="1526"/>
      <c r="F58" s="14"/>
      <c r="G58" s="1540"/>
      <c r="H58" s="1540"/>
      <c r="I58" s="1540"/>
      <c r="J58" s="1540"/>
      <c r="K58" s="1540"/>
      <c r="L58" s="1540"/>
      <c r="M58" s="1540"/>
      <c r="N58" s="1540"/>
      <c r="O58" s="1540"/>
      <c r="P58" s="1540"/>
      <c r="Q58" s="1540"/>
      <c r="R58" s="1540"/>
      <c r="S58" s="1540"/>
      <c r="T58" s="1540"/>
      <c r="U58" s="1540"/>
      <c r="V58" s="1540"/>
      <c r="W58" s="1527"/>
      <c r="X58" s="14"/>
      <c r="Y58" s="1541"/>
      <c r="Z58" s="1541"/>
      <c r="AA58" s="1541"/>
      <c r="AB58" s="1541"/>
      <c r="AC58" s="1541"/>
      <c r="AD58" s="1541"/>
      <c r="AE58" s="1541"/>
      <c r="AF58" s="1541"/>
      <c r="AG58" s="1541"/>
      <c r="AH58" s="1541"/>
      <c r="AI58" s="1541"/>
      <c r="AJ58" s="1541"/>
      <c r="AK58" s="1541"/>
      <c r="AL58" s="1541"/>
      <c r="AM58" s="1541"/>
      <c r="AN58" s="1541"/>
      <c r="AO58" s="1541"/>
      <c r="AP58" s="1541"/>
      <c r="AQ58" s="1953"/>
      <c r="AR58" s="14"/>
      <c r="AS58" s="1542"/>
      <c r="AT58" s="1542"/>
      <c r="AU58" s="1542"/>
      <c r="AV58" s="1542"/>
      <c r="AW58" s="1542"/>
      <c r="AX58" s="1542"/>
      <c r="AY58" s="1542"/>
      <c r="AZ58" s="1542"/>
      <c r="BA58" s="1542"/>
      <c r="BB58" s="1542"/>
      <c r="BC58" s="1542"/>
      <c r="BD58" s="1542"/>
      <c r="BE58" s="1542"/>
      <c r="BF58" s="1542"/>
      <c r="BG58" s="1542"/>
      <c r="BH58" s="1542"/>
      <c r="BI58" s="1542"/>
      <c r="BJ58" s="1542"/>
      <c r="BK58" s="1542"/>
      <c r="BL58" s="1530"/>
      <c r="BM58" s="14"/>
      <c r="BN58" s="1543"/>
      <c r="BO58" s="1543"/>
      <c r="BP58" s="1531"/>
      <c r="BQ58" s="14"/>
      <c r="BR58" s="3168">
        <f>W58+AQ58+BL58+BP58</f>
        <v>0</v>
      </c>
      <c r="BS58" s="1525"/>
      <c r="BT58" s="748"/>
      <c r="BU58" s="1532">
        <v>0</v>
      </c>
      <c r="BV58" s="1533">
        <v>0</v>
      </c>
      <c r="BW58" s="1533">
        <v>0</v>
      </c>
      <c r="BX58" s="1533">
        <v>0</v>
      </c>
      <c r="BY58" s="1533">
        <v>0</v>
      </c>
      <c r="BZ58" s="1533">
        <v>0</v>
      </c>
      <c r="CA58" s="1533">
        <v>0</v>
      </c>
      <c r="CB58" s="1533">
        <v>0</v>
      </c>
      <c r="CC58" s="1533">
        <v>0</v>
      </c>
      <c r="CD58" s="1533">
        <v>0</v>
      </c>
      <c r="CE58" s="1533">
        <v>0</v>
      </c>
      <c r="CF58" s="1533">
        <v>0</v>
      </c>
      <c r="CG58" s="1533">
        <v>0</v>
      </c>
      <c r="CH58" s="1533">
        <v>0</v>
      </c>
      <c r="CI58" s="1533">
        <v>0</v>
      </c>
      <c r="CJ58" s="1533">
        <v>0</v>
      </c>
      <c r="CK58" s="1533">
        <v>0</v>
      </c>
      <c r="CL58" s="1533">
        <v>0</v>
      </c>
      <c r="CM58" s="1533">
        <v>0</v>
      </c>
      <c r="CN58" s="1533">
        <v>0</v>
      </c>
      <c r="CO58" s="1533">
        <v>0</v>
      </c>
      <c r="CP58" s="1533">
        <v>0</v>
      </c>
      <c r="CQ58" s="1533">
        <v>0</v>
      </c>
      <c r="CR58" s="1533">
        <v>0</v>
      </c>
      <c r="CS58" s="1533">
        <v>0</v>
      </c>
      <c r="CT58" s="1533">
        <v>0</v>
      </c>
      <c r="CU58" s="1533">
        <v>0</v>
      </c>
      <c r="CV58" s="1533">
        <v>0</v>
      </c>
      <c r="CW58" s="1533">
        <v>0</v>
      </c>
      <c r="CX58" s="1533">
        <v>0</v>
      </c>
      <c r="CY58" s="1533">
        <v>0</v>
      </c>
      <c r="CZ58" s="1533">
        <v>0</v>
      </c>
      <c r="DA58" s="1533">
        <v>0</v>
      </c>
      <c r="DB58" s="1533">
        <v>0</v>
      </c>
      <c r="DC58" s="1533">
        <v>0</v>
      </c>
      <c r="DD58" s="1533">
        <v>0</v>
      </c>
      <c r="DE58" s="1533">
        <v>0</v>
      </c>
      <c r="DF58" s="1533">
        <v>0</v>
      </c>
      <c r="DG58" s="1533">
        <v>0</v>
      </c>
      <c r="DH58" s="1533">
        <v>0</v>
      </c>
      <c r="DI58" s="1533">
        <v>0</v>
      </c>
      <c r="DJ58" s="1533">
        <v>0</v>
      </c>
      <c r="DK58" s="1533">
        <v>0</v>
      </c>
      <c r="DL58" s="1533">
        <v>0</v>
      </c>
      <c r="DN58" s="1509">
        <v>0</v>
      </c>
    </row>
    <row r="59" spans="1:118" s="14" customFormat="1" ht="15.75" collapsed="1" x14ac:dyDescent="0.2">
      <c r="A59" s="1534"/>
      <c r="B59" s="1535"/>
      <c r="C59" s="1536"/>
      <c r="D59" s="1537"/>
      <c r="E59" s="1538"/>
      <c r="G59" s="1539"/>
      <c r="H59" s="1539"/>
      <c r="I59" s="1539"/>
      <c r="J59" s="1539"/>
      <c r="K59" s="1539"/>
      <c r="L59" s="1539"/>
      <c r="M59" s="1539"/>
      <c r="N59" s="1539"/>
      <c r="O59" s="1539"/>
      <c r="P59" s="1539"/>
      <c r="Q59" s="1539"/>
      <c r="R59" s="1539"/>
      <c r="S59" s="1539"/>
      <c r="T59" s="1539"/>
      <c r="U59" s="1539"/>
      <c r="V59" s="1539"/>
      <c r="W59" s="1539"/>
      <c r="Y59" s="1490">
        <f ca="1">Y57</f>
        <v>0</v>
      </c>
      <c r="Z59" s="1490">
        <f t="shared" ref="Z59:AP59" ca="1" si="37">Z57</f>
        <v>0</v>
      </c>
      <c r="AA59" s="1490">
        <f t="shared" ca="1" si="37"/>
        <v>0</v>
      </c>
      <c r="AB59" s="1490">
        <f t="shared" ca="1" si="37"/>
        <v>0</v>
      </c>
      <c r="AC59" s="1490">
        <f t="shared" ca="1" si="37"/>
        <v>0</v>
      </c>
      <c r="AD59" s="1490">
        <f t="shared" ca="1" si="37"/>
        <v>0</v>
      </c>
      <c r="AE59" s="1490">
        <f t="shared" ca="1" si="37"/>
        <v>0</v>
      </c>
      <c r="AF59" s="1490">
        <f t="shared" ca="1" si="37"/>
        <v>0</v>
      </c>
      <c r="AG59" s="1490">
        <f t="shared" ca="1" si="37"/>
        <v>0</v>
      </c>
      <c r="AH59" s="1490">
        <f t="shared" ca="1" si="37"/>
        <v>0</v>
      </c>
      <c r="AI59" s="1490">
        <f t="shared" ca="1" si="37"/>
        <v>0</v>
      </c>
      <c r="AJ59" s="1490">
        <f t="shared" ca="1" si="37"/>
        <v>0</v>
      </c>
      <c r="AK59" s="1490">
        <f t="shared" ca="1" si="37"/>
        <v>0</v>
      </c>
      <c r="AL59" s="1490">
        <f t="shared" ca="1" si="37"/>
        <v>0</v>
      </c>
      <c r="AM59" s="1490">
        <f t="shared" ca="1" si="37"/>
        <v>0</v>
      </c>
      <c r="AN59" s="1490">
        <f t="shared" ca="1" si="37"/>
        <v>0</v>
      </c>
      <c r="AO59" s="1490">
        <f t="shared" ca="1" si="37"/>
        <v>0</v>
      </c>
      <c r="AP59" s="1490">
        <f t="shared" ca="1" si="37"/>
        <v>0</v>
      </c>
      <c r="AQ59" s="1893">
        <f ca="1">SUM(Y59:AP59)</f>
        <v>0</v>
      </c>
      <c r="AS59" s="1491">
        <f ca="1">AS57</f>
        <v>0</v>
      </c>
      <c r="AT59" s="1491">
        <f t="shared" ref="AT59:BK59" ca="1" si="38">AT57</f>
        <v>0</v>
      </c>
      <c r="AU59" s="1491">
        <f t="shared" ca="1" si="38"/>
        <v>0</v>
      </c>
      <c r="AV59" s="1491">
        <f t="shared" ca="1" si="38"/>
        <v>0</v>
      </c>
      <c r="AW59" s="1491">
        <f t="shared" ca="1" si="38"/>
        <v>0</v>
      </c>
      <c r="AX59" s="1491">
        <f t="shared" ca="1" si="38"/>
        <v>0</v>
      </c>
      <c r="AY59" s="1491">
        <f t="shared" ca="1" si="38"/>
        <v>0</v>
      </c>
      <c r="AZ59" s="1491">
        <f t="shared" ca="1" si="38"/>
        <v>0</v>
      </c>
      <c r="BA59" s="1491">
        <f t="shared" ca="1" si="38"/>
        <v>0</v>
      </c>
      <c r="BB59" s="1491">
        <f t="shared" ca="1" si="38"/>
        <v>0</v>
      </c>
      <c r="BC59" s="1491">
        <f t="shared" ca="1" si="38"/>
        <v>0</v>
      </c>
      <c r="BD59" s="1491">
        <f t="shared" ca="1" si="38"/>
        <v>0</v>
      </c>
      <c r="BE59" s="1491">
        <f t="shared" ca="1" si="38"/>
        <v>0</v>
      </c>
      <c r="BF59" s="1491">
        <f t="shared" ca="1" si="38"/>
        <v>0</v>
      </c>
      <c r="BG59" s="1491">
        <f t="shared" ca="1" si="38"/>
        <v>0</v>
      </c>
      <c r="BH59" s="1491">
        <f t="shared" ca="1" si="38"/>
        <v>0</v>
      </c>
      <c r="BI59" s="1491">
        <f t="shared" ca="1" si="38"/>
        <v>0</v>
      </c>
      <c r="BJ59" s="1491">
        <f t="shared" ca="1" si="38"/>
        <v>0</v>
      </c>
      <c r="BK59" s="1491">
        <f t="shared" ca="1" si="38"/>
        <v>0</v>
      </c>
      <c r="BL59" s="1952">
        <f ca="1">SUM(AS59:BK59)</f>
        <v>0</v>
      </c>
      <c r="BN59" s="1492">
        <f ca="1">BN57</f>
        <v>0</v>
      </c>
      <c r="BO59" s="1492">
        <f ca="1">BO57</f>
        <v>0</v>
      </c>
      <c r="BP59" s="1505">
        <f ca="1">BN59+BO59</f>
        <v>0</v>
      </c>
      <c r="BR59" s="3168">
        <f ca="1">W59+AQ59+BL59+BP59</f>
        <v>0</v>
      </c>
      <c r="BS59" s="1493"/>
      <c r="BT59" s="748"/>
      <c r="BU59" s="1508">
        <v>0</v>
      </c>
      <c r="BV59" s="1508">
        <v>0</v>
      </c>
      <c r="BW59" s="1508">
        <v>0</v>
      </c>
      <c r="BX59" s="1508">
        <v>0</v>
      </c>
      <c r="BY59" s="1508">
        <v>0</v>
      </c>
      <c r="BZ59" s="1508">
        <v>0</v>
      </c>
      <c r="CA59" s="1508">
        <v>0</v>
      </c>
      <c r="CB59" s="1508">
        <v>0</v>
      </c>
      <c r="CC59" s="1508">
        <v>0</v>
      </c>
      <c r="CD59" s="1508">
        <v>0</v>
      </c>
      <c r="CE59" s="1508">
        <v>0</v>
      </c>
      <c r="CF59" s="1508">
        <v>0</v>
      </c>
      <c r="CG59" s="1508">
        <v>0</v>
      </c>
      <c r="CH59" s="1508">
        <v>0</v>
      </c>
      <c r="CI59" s="1508">
        <v>0</v>
      </c>
      <c r="CJ59" s="1508">
        <v>0</v>
      </c>
      <c r="CK59" s="1508">
        <v>0</v>
      </c>
      <c r="CL59" s="1508">
        <v>0</v>
      </c>
      <c r="CM59" s="1508">
        <v>0</v>
      </c>
      <c r="CN59" s="1508">
        <v>0</v>
      </c>
      <c r="CO59" s="1508">
        <v>0</v>
      </c>
      <c r="CP59" s="1508">
        <v>0</v>
      </c>
      <c r="CQ59" s="1508">
        <v>0</v>
      </c>
      <c r="CR59" s="1508">
        <v>0</v>
      </c>
      <c r="CS59" s="1508">
        <v>0</v>
      </c>
      <c r="CT59" s="1508">
        <v>0</v>
      </c>
      <c r="CU59" s="1508">
        <v>0</v>
      </c>
      <c r="CV59" s="1508">
        <v>0</v>
      </c>
      <c r="CW59" s="1508">
        <v>0</v>
      </c>
      <c r="CX59" s="1508">
        <v>0</v>
      </c>
      <c r="CY59" s="1508">
        <v>0</v>
      </c>
      <c r="CZ59" s="1508">
        <v>0</v>
      </c>
      <c r="DA59" s="1508">
        <v>0</v>
      </c>
      <c r="DB59" s="1508">
        <v>0</v>
      </c>
      <c r="DC59" s="1508">
        <v>0</v>
      </c>
      <c r="DD59" s="1508">
        <v>0</v>
      </c>
      <c r="DE59" s="1508">
        <v>0</v>
      </c>
      <c r="DF59" s="1508">
        <v>0</v>
      </c>
      <c r="DG59" s="1508">
        <v>0</v>
      </c>
      <c r="DH59" s="1508">
        <v>0</v>
      </c>
      <c r="DI59" s="1508">
        <v>0</v>
      </c>
      <c r="DJ59" s="1508">
        <v>0</v>
      </c>
      <c r="DK59" s="1508">
        <v>0</v>
      </c>
      <c r="DL59" s="1508">
        <v>0</v>
      </c>
      <c r="DN59" s="1509">
        <v>0</v>
      </c>
    </row>
    <row r="60" spans="1:118" s="14" customFormat="1" ht="15.75" x14ac:dyDescent="0.2">
      <c r="A60" s="1845"/>
      <c r="B60" s="1847"/>
      <c r="C60" s="1842"/>
      <c r="D60" s="1843"/>
      <c r="E60" s="1844"/>
      <c r="G60" s="1539"/>
      <c r="H60" s="1539"/>
      <c r="I60" s="1539"/>
      <c r="J60" s="1539"/>
      <c r="K60" s="1539"/>
      <c r="L60" s="1539"/>
      <c r="M60" s="1539"/>
      <c r="N60" s="1539"/>
      <c r="O60" s="1539"/>
      <c r="P60" s="1539"/>
      <c r="Q60" s="1539"/>
      <c r="R60" s="1539"/>
      <c r="S60" s="1539"/>
      <c r="T60" s="1539"/>
      <c r="U60" s="1539"/>
      <c r="V60" s="1539"/>
      <c r="W60" s="1539"/>
      <c r="Y60" s="1490"/>
      <c r="Z60" s="1490"/>
      <c r="AA60" s="1490"/>
      <c r="AB60" s="1490"/>
      <c r="AC60" s="1490"/>
      <c r="AD60" s="1490"/>
      <c r="AE60" s="1490"/>
      <c r="AF60" s="1490"/>
      <c r="AG60" s="1490"/>
      <c r="AH60" s="1490"/>
      <c r="AI60" s="1490"/>
      <c r="AJ60" s="1490"/>
      <c r="AK60" s="1490"/>
      <c r="AL60" s="1490"/>
      <c r="AM60" s="1490"/>
      <c r="AN60" s="1490"/>
      <c r="AO60" s="1490"/>
      <c r="AP60" s="1490"/>
      <c r="AQ60" s="1490"/>
      <c r="AS60" s="1491"/>
      <c r="AT60" s="1491"/>
      <c r="AU60" s="1491"/>
      <c r="AV60" s="1491"/>
      <c r="AW60" s="1491"/>
      <c r="AX60" s="1491"/>
      <c r="AY60" s="1491"/>
      <c r="AZ60" s="1491"/>
      <c r="BA60" s="1491"/>
      <c r="BB60" s="1491"/>
      <c r="BC60" s="1491"/>
      <c r="BD60" s="1491"/>
      <c r="BE60" s="1491"/>
      <c r="BF60" s="1491"/>
      <c r="BG60" s="1491"/>
      <c r="BH60" s="1491"/>
      <c r="BI60" s="1491"/>
      <c r="BJ60" s="1491"/>
      <c r="BK60" s="1491"/>
      <c r="BL60" s="1491"/>
      <c r="BN60" s="1492"/>
      <c r="BO60" s="1492"/>
      <c r="BP60" s="1492"/>
      <c r="BR60" s="3168"/>
      <c r="BS60" s="1579"/>
      <c r="BT60" s="748"/>
      <c r="BU60" s="1507"/>
      <c r="BV60" s="1508"/>
      <c r="BW60" s="1508"/>
      <c r="BX60" s="1508"/>
      <c r="BY60" s="1508"/>
      <c r="BZ60" s="1508"/>
      <c r="CA60" s="1508"/>
      <c r="CB60" s="1508"/>
      <c r="CC60" s="1508"/>
      <c r="CD60" s="1508"/>
      <c r="CE60" s="1508"/>
      <c r="CF60" s="1508"/>
      <c r="CG60" s="1508"/>
      <c r="CH60" s="1508"/>
      <c r="CI60" s="1508"/>
      <c r="CJ60" s="1508"/>
      <c r="CK60" s="1508"/>
      <c r="CL60" s="1508"/>
      <c r="CM60" s="1508"/>
      <c r="CN60" s="1508"/>
      <c r="CO60" s="1508"/>
      <c r="CP60" s="1508"/>
      <c r="CQ60" s="1508"/>
      <c r="CR60" s="1508"/>
      <c r="CS60" s="1508"/>
      <c r="CT60" s="1508"/>
      <c r="CU60" s="1508"/>
      <c r="CV60" s="1508"/>
      <c r="CW60" s="1508"/>
      <c r="CX60" s="1508"/>
      <c r="CY60" s="1508"/>
      <c r="CZ60" s="1508"/>
      <c r="DA60" s="1508"/>
      <c r="DB60" s="1508"/>
      <c r="DC60" s="1508"/>
      <c r="DD60" s="1508"/>
      <c r="DE60" s="1508"/>
      <c r="DF60" s="1508"/>
      <c r="DG60" s="1508"/>
      <c r="DH60" s="1508"/>
      <c r="DI60" s="1508"/>
      <c r="DJ60" s="1508"/>
      <c r="DK60" s="1508"/>
      <c r="DL60" s="1508"/>
      <c r="DN60" s="1509"/>
    </row>
    <row r="61" spans="1:118" s="14" customFormat="1" outlineLevel="1" x14ac:dyDescent="0.2">
      <c r="C61" s="1580"/>
      <c r="D61" s="746"/>
      <c r="E61" s="1430"/>
      <c r="G61" s="1488"/>
      <c r="H61" s="1488"/>
      <c r="I61" s="1488"/>
      <c r="J61" s="1488"/>
      <c r="K61" s="1488"/>
      <c r="L61" s="1488"/>
      <c r="M61" s="1488"/>
      <c r="N61" s="1488"/>
      <c r="O61" s="1563"/>
      <c r="P61" s="1488"/>
      <c r="Q61" s="1488"/>
      <c r="R61" s="1488"/>
      <c r="S61" s="1488"/>
      <c r="T61" s="1488"/>
      <c r="U61" s="1488"/>
      <c r="V61" s="1488"/>
      <c r="W61" s="1488"/>
      <c r="Y61" s="1490"/>
      <c r="Z61" s="1490"/>
      <c r="AA61" s="1490"/>
      <c r="AB61" s="1490"/>
      <c r="AC61" s="1490"/>
      <c r="AD61" s="1490"/>
      <c r="AE61" s="1490"/>
      <c r="AF61" s="1490"/>
      <c r="AG61" s="1490"/>
      <c r="AH61" s="1490"/>
      <c r="AI61" s="1490"/>
      <c r="AJ61" s="1490"/>
      <c r="AK61" s="1490"/>
      <c r="AL61" s="1490"/>
      <c r="AM61" s="1490"/>
      <c r="AN61" s="1490"/>
      <c r="AO61" s="1490"/>
      <c r="AP61" s="1490"/>
      <c r="AQ61" s="1490"/>
      <c r="AS61" s="1491"/>
      <c r="AT61" s="1491"/>
      <c r="AU61" s="1491"/>
      <c r="AV61" s="1491"/>
      <c r="AW61" s="1491"/>
      <c r="AX61" s="1491"/>
      <c r="AY61" s="1491"/>
      <c r="AZ61" s="1491"/>
      <c r="BA61" s="1491"/>
      <c r="BB61" s="1491"/>
      <c r="BC61" s="1491"/>
      <c r="BD61" s="1491"/>
      <c r="BE61" s="1491"/>
      <c r="BF61" s="1491"/>
      <c r="BG61" s="1491"/>
      <c r="BH61" s="1491"/>
      <c r="BI61" s="1491"/>
      <c r="BJ61" s="1491"/>
      <c r="BK61" s="1491"/>
      <c r="BL61" s="1491"/>
      <c r="BN61" s="1492"/>
      <c r="BO61" s="1492"/>
      <c r="BP61" s="1492"/>
      <c r="BR61" s="3168">
        <f t="shared" si="12"/>
        <v>0</v>
      </c>
      <c r="BS61" s="1493"/>
      <c r="BU61" s="1508"/>
      <c r="BV61" s="1508"/>
      <c r="BW61" s="1508"/>
      <c r="BX61" s="1508"/>
      <c r="BY61" s="1508"/>
      <c r="BZ61" s="1508"/>
      <c r="CA61" s="1508"/>
      <c r="CB61" s="1508"/>
      <c r="CC61" s="1508"/>
      <c r="CD61" s="1508"/>
      <c r="CE61" s="1508"/>
      <c r="CF61" s="1508"/>
      <c r="CG61" s="1508"/>
      <c r="CH61" s="1508"/>
      <c r="CI61" s="1508"/>
      <c r="CJ61" s="1508"/>
      <c r="CK61" s="1508"/>
      <c r="CL61" s="1508"/>
      <c r="CM61" s="1508"/>
      <c r="CN61" s="1508"/>
      <c r="CO61" s="1508"/>
      <c r="CP61" s="1508"/>
      <c r="CQ61" s="1508"/>
      <c r="CR61" s="1508"/>
      <c r="CS61" s="1508"/>
      <c r="CT61" s="1508"/>
      <c r="CU61" s="1508"/>
      <c r="CV61" s="1508"/>
      <c r="CW61" s="1508"/>
      <c r="CX61" s="1508"/>
      <c r="CY61" s="1508"/>
      <c r="CZ61" s="1508"/>
      <c r="DA61" s="1508"/>
      <c r="DB61" s="1508"/>
      <c r="DC61" s="1508"/>
      <c r="DD61" s="1508"/>
      <c r="DE61" s="1508"/>
      <c r="DF61" s="1508"/>
      <c r="DG61" s="1508"/>
      <c r="DH61" s="1508"/>
      <c r="DI61" s="1508"/>
      <c r="DJ61" s="1508"/>
      <c r="DK61" s="1508"/>
      <c r="DL61" s="1508"/>
      <c r="DN61" s="1509"/>
    </row>
    <row r="62" spans="1:118" s="1522" customFormat="1" ht="12.75" customHeight="1" outlineLevel="1" x14ac:dyDescent="0.2">
      <c r="C62" s="1496" t="s">
        <v>208</v>
      </c>
      <c r="D62" s="14" t="str">
        <f>INDEX(Modulos[Modulos], MATCH($C62, Modulos[Código], 0))</f>
        <v>Plantas Eólicas</v>
      </c>
      <c r="E62" s="1497"/>
      <c r="F62" s="14"/>
      <c r="G62" s="1498"/>
      <c r="H62" s="1498"/>
      <c r="I62" s="1498"/>
      <c r="J62" s="1498"/>
      <c r="K62" s="1498"/>
      <c r="L62" s="1498"/>
      <c r="M62" s="1498"/>
      <c r="N62" s="1498"/>
      <c r="O62" s="1498"/>
      <c r="P62" s="1498"/>
      <c r="Q62" s="1498"/>
      <c r="R62" s="1498"/>
      <c r="S62" s="1498"/>
      <c r="T62" s="1498"/>
      <c r="U62" s="1498"/>
      <c r="V62" s="1498"/>
      <c r="W62" s="1499"/>
      <c r="X62" s="14"/>
      <c r="Y62" s="1893">
        <f t="shared" ref="Y62:AN69" ca="1" si="39">IFERROR(INDEX(INDIRECT($C62&amp;".Outputs["&amp;this.Year&amp;"]"), MATCH(Y$5, INDIRECT($C62&amp;".Outputs[Vector]"), 0)), 0)</f>
        <v>0</v>
      </c>
      <c r="Z62" s="1893">
        <f t="shared" ca="1" si="39"/>
        <v>6.0765023999999981</v>
      </c>
      <c r="AA62" s="1893">
        <f t="shared" ca="1" si="39"/>
        <v>0</v>
      </c>
      <c r="AB62" s="1893">
        <f t="shared" ca="1" si="39"/>
        <v>0</v>
      </c>
      <c r="AC62" s="1893">
        <f t="shared" ca="1" si="39"/>
        <v>0</v>
      </c>
      <c r="AD62" s="1893">
        <f t="shared" ca="1" si="39"/>
        <v>0</v>
      </c>
      <c r="AE62" s="1893">
        <f t="shared" ca="1" si="39"/>
        <v>0</v>
      </c>
      <c r="AF62" s="1893">
        <f t="shared" ca="1" si="39"/>
        <v>0</v>
      </c>
      <c r="AG62" s="1893">
        <f t="shared" ca="1" si="39"/>
        <v>0</v>
      </c>
      <c r="AH62" s="1893">
        <f t="shared" ca="1" si="39"/>
        <v>0</v>
      </c>
      <c r="AI62" s="1893">
        <f t="shared" ref="AI62:AP69" ca="1" si="40">IFERROR(INDEX(INDIRECT($C62&amp;".Outputs["&amp;this.Year&amp;"]"), MATCH(AI$5, INDIRECT($C62&amp;".Outputs[Vector]"), 0)), 0)</f>
        <v>0</v>
      </c>
      <c r="AJ62" s="1893">
        <f t="shared" ca="1" si="40"/>
        <v>0</v>
      </c>
      <c r="AK62" s="1893">
        <f t="shared" ca="1" si="40"/>
        <v>0</v>
      </c>
      <c r="AL62" s="1893">
        <f t="shared" ca="1" si="40"/>
        <v>0</v>
      </c>
      <c r="AM62" s="1893">
        <f t="shared" ca="1" si="40"/>
        <v>0</v>
      </c>
      <c r="AN62" s="1893">
        <f t="shared" ca="1" si="40"/>
        <v>0</v>
      </c>
      <c r="AO62" s="1893">
        <f t="shared" ca="1" si="40"/>
        <v>0</v>
      </c>
      <c r="AP62" s="1893">
        <f t="shared" ca="1" si="40"/>
        <v>0</v>
      </c>
      <c r="AQ62" s="1951">
        <f t="shared" ref="AQ62:AQ70" ca="1" si="41">SUM(Y62:AP62)</f>
        <v>6.0765023999999981</v>
      </c>
      <c r="AR62" s="14"/>
      <c r="AS62" s="1948">
        <f t="shared" ref="AS62:BH69" ca="1" si="42">IFERROR(INDEX(INDIRECT($C62&amp;".Outputs["&amp;this.Year&amp;"]"), MATCH(AS$5, INDIRECT($C62&amp;".Outputs[Vector]"), 0)), 0)</f>
        <v>0</v>
      </c>
      <c r="AT62" s="1948">
        <f t="shared" ca="1" si="42"/>
        <v>0</v>
      </c>
      <c r="AU62" s="1948">
        <f t="shared" ca="1" si="42"/>
        <v>0</v>
      </c>
      <c r="AV62" s="1948">
        <f t="shared" ca="1" si="42"/>
        <v>0</v>
      </c>
      <c r="AW62" s="1948">
        <f t="shared" ca="1" si="42"/>
        <v>0</v>
      </c>
      <c r="AX62" s="1948">
        <f t="shared" ca="1" si="42"/>
        <v>0</v>
      </c>
      <c r="AY62" s="1948">
        <f t="shared" ca="1" si="42"/>
        <v>0</v>
      </c>
      <c r="AZ62" s="1948">
        <f t="shared" ca="1" si="42"/>
        <v>0</v>
      </c>
      <c r="BA62" s="1948">
        <f t="shared" ca="1" si="42"/>
        <v>0</v>
      </c>
      <c r="BB62" s="1948">
        <f t="shared" ca="1" si="42"/>
        <v>0</v>
      </c>
      <c r="BC62" s="1948">
        <f t="shared" ref="BC62:BK69" ca="1" si="43">IFERROR(INDEX(INDIRECT($C62&amp;".Outputs["&amp;this.Year&amp;"]"), MATCH(BC$5, INDIRECT($C62&amp;".Outputs[Vector]"), 0)), 0)</f>
        <v>0</v>
      </c>
      <c r="BD62" s="1948">
        <f t="shared" ca="1" si="43"/>
        <v>-6.0765023999999981</v>
      </c>
      <c r="BE62" s="1948">
        <f t="shared" ca="1" si="43"/>
        <v>0</v>
      </c>
      <c r="BF62" s="1948">
        <f t="shared" ca="1" si="43"/>
        <v>0</v>
      </c>
      <c r="BG62" s="1948">
        <f t="shared" ca="1" si="43"/>
        <v>0</v>
      </c>
      <c r="BH62" s="1948">
        <f t="shared" ca="1" si="43"/>
        <v>0</v>
      </c>
      <c r="BI62" s="1948">
        <f t="shared" ca="1" si="43"/>
        <v>0</v>
      </c>
      <c r="BJ62" s="1948">
        <f t="shared" ca="1" si="43"/>
        <v>0</v>
      </c>
      <c r="BK62" s="1948">
        <f t="shared" ca="1" si="43"/>
        <v>0</v>
      </c>
      <c r="BL62" s="1952">
        <f t="shared" ref="BL62:BL70" ca="1" si="44">SUM(AS62:BK62)</f>
        <v>-6.0765023999999981</v>
      </c>
      <c r="BM62" s="14"/>
      <c r="BN62" s="1941">
        <f t="shared" ref="BN62:BO68" ca="1" si="45">IFERROR(INDEX(INDIRECT($C62&amp;".Outputs["&amp;this.Year&amp;"]"), MATCH(BN$5, INDIRECT($C62&amp;".Outputs[Vector]"), 0)), 0)</f>
        <v>0</v>
      </c>
      <c r="BO62" s="1941">
        <f t="shared" ca="1" si="45"/>
        <v>0</v>
      </c>
      <c r="BP62" s="1505">
        <f ca="1">BN62+BO62</f>
        <v>0</v>
      </c>
      <c r="BQ62" s="14"/>
      <c r="BR62" s="3168">
        <f t="shared" ca="1" si="12"/>
        <v>0</v>
      </c>
      <c r="BS62" s="1525"/>
      <c r="BT62" s="748"/>
      <c r="BU62" s="1507">
        <v>0</v>
      </c>
      <c r="BV62" s="1508">
        <v>0</v>
      </c>
      <c r="BW62" s="1508">
        <v>0</v>
      </c>
      <c r="BX62" s="1508">
        <v>0</v>
      </c>
      <c r="BY62" s="1508">
        <v>0</v>
      </c>
      <c r="BZ62" s="1508">
        <v>0</v>
      </c>
      <c r="CA62" s="1508">
        <v>0</v>
      </c>
      <c r="CB62" s="1508">
        <v>0</v>
      </c>
      <c r="CC62" s="1508">
        <v>0</v>
      </c>
      <c r="CD62" s="1508">
        <v>0</v>
      </c>
      <c r="CE62" s="1508">
        <v>0</v>
      </c>
      <c r="CF62" s="1508">
        <v>0</v>
      </c>
      <c r="CG62" s="1508">
        <v>0</v>
      </c>
      <c r="CH62" s="1508">
        <v>0</v>
      </c>
      <c r="CI62" s="1508">
        <v>0</v>
      </c>
      <c r="CJ62" s="1508">
        <v>0</v>
      </c>
      <c r="CK62" s="1508">
        <v>0</v>
      </c>
      <c r="CL62" s="1508">
        <v>0</v>
      </c>
      <c r="CM62" s="1508">
        <v>0</v>
      </c>
      <c r="CN62" s="1508">
        <v>0</v>
      </c>
      <c r="CO62" s="1508">
        <v>0</v>
      </c>
      <c r="CP62" s="1508">
        <v>0</v>
      </c>
      <c r="CQ62" s="1508">
        <v>0</v>
      </c>
      <c r="CR62" s="1508">
        <v>0</v>
      </c>
      <c r="CS62" s="1508">
        <v>0</v>
      </c>
      <c r="CT62" s="1508">
        <v>0</v>
      </c>
      <c r="CU62" s="1508">
        <v>0</v>
      </c>
      <c r="CV62" s="1508">
        <v>0</v>
      </c>
      <c r="CW62" s="1508">
        <v>0</v>
      </c>
      <c r="CX62" s="1508">
        <v>0</v>
      </c>
      <c r="CY62" s="1508">
        <v>0</v>
      </c>
      <c r="CZ62" s="1508">
        <v>0</v>
      </c>
      <c r="DA62" s="1508">
        <v>0</v>
      </c>
      <c r="DB62" s="1508">
        <v>0</v>
      </c>
      <c r="DC62" s="1508">
        <v>0</v>
      </c>
      <c r="DD62" s="1508">
        <v>0</v>
      </c>
      <c r="DE62" s="1508">
        <v>0</v>
      </c>
      <c r="DF62" s="1508">
        <v>0</v>
      </c>
      <c r="DG62" s="1508">
        <v>0</v>
      </c>
      <c r="DH62" s="1508">
        <v>0</v>
      </c>
      <c r="DI62" s="1508">
        <v>0</v>
      </c>
      <c r="DJ62" s="1508">
        <v>0</v>
      </c>
      <c r="DK62" s="1508">
        <v>0</v>
      </c>
      <c r="DL62" s="1508">
        <v>0</v>
      </c>
      <c r="DN62" s="1509">
        <v>0</v>
      </c>
    </row>
    <row r="63" spans="1:118" s="1522" customFormat="1" ht="12.75" customHeight="1" outlineLevel="1" x14ac:dyDescent="0.2">
      <c r="C63" s="1496" t="s">
        <v>246</v>
      </c>
      <c r="D63" s="14" t="str">
        <f>INDEX(Modulos[Modulos], MATCH($C63, Modulos[Código], 0))</f>
        <v>Mini Hidráulica de Pasada</v>
      </c>
      <c r="E63" s="1497"/>
      <c r="F63" s="14"/>
      <c r="G63" s="1498"/>
      <c r="H63" s="1498"/>
      <c r="I63" s="1498"/>
      <c r="J63" s="1498"/>
      <c r="K63" s="1498"/>
      <c r="L63" s="1498"/>
      <c r="M63" s="1498"/>
      <c r="N63" s="1498"/>
      <c r="O63" s="1498"/>
      <c r="P63" s="1498"/>
      <c r="Q63" s="1498"/>
      <c r="R63" s="1498"/>
      <c r="S63" s="1498"/>
      <c r="T63" s="1498"/>
      <c r="U63" s="1498"/>
      <c r="V63" s="1498"/>
      <c r="W63" s="1499"/>
      <c r="X63" s="14"/>
      <c r="Y63" s="1893">
        <f t="shared" ca="1" si="39"/>
        <v>0</v>
      </c>
      <c r="Z63" s="1893">
        <f t="shared" ca="1" si="39"/>
        <v>4.4355960000000012</v>
      </c>
      <c r="AA63" s="1893">
        <f t="shared" ca="1" si="39"/>
        <v>0</v>
      </c>
      <c r="AB63" s="1893">
        <f t="shared" ca="1" si="39"/>
        <v>0</v>
      </c>
      <c r="AC63" s="1893">
        <f t="shared" ca="1" si="39"/>
        <v>0</v>
      </c>
      <c r="AD63" s="1893">
        <f t="shared" ca="1" si="39"/>
        <v>0</v>
      </c>
      <c r="AE63" s="1893">
        <f t="shared" ca="1" si="39"/>
        <v>0</v>
      </c>
      <c r="AF63" s="1893">
        <f t="shared" ca="1" si="39"/>
        <v>0</v>
      </c>
      <c r="AG63" s="1893">
        <f t="shared" ca="1" si="39"/>
        <v>0</v>
      </c>
      <c r="AH63" s="1893">
        <f t="shared" ca="1" si="39"/>
        <v>0</v>
      </c>
      <c r="AI63" s="1893">
        <f t="shared" ca="1" si="40"/>
        <v>0</v>
      </c>
      <c r="AJ63" s="1893">
        <f t="shared" ca="1" si="40"/>
        <v>0</v>
      </c>
      <c r="AK63" s="1893">
        <f t="shared" ca="1" si="40"/>
        <v>0</v>
      </c>
      <c r="AL63" s="1893">
        <f t="shared" ca="1" si="40"/>
        <v>0</v>
      </c>
      <c r="AM63" s="1893">
        <f t="shared" ca="1" si="40"/>
        <v>0</v>
      </c>
      <c r="AN63" s="1893">
        <f t="shared" ca="1" si="40"/>
        <v>0</v>
      </c>
      <c r="AO63" s="1893">
        <f t="shared" ca="1" si="40"/>
        <v>0</v>
      </c>
      <c r="AP63" s="1893">
        <f t="shared" ca="1" si="40"/>
        <v>0</v>
      </c>
      <c r="AQ63" s="1951">
        <f t="shared" ca="1" si="41"/>
        <v>4.4355960000000012</v>
      </c>
      <c r="AR63" s="14"/>
      <c r="AS63" s="1948">
        <f t="shared" ca="1" si="42"/>
        <v>0</v>
      </c>
      <c r="AT63" s="1948">
        <f t="shared" ca="1" si="42"/>
        <v>0</v>
      </c>
      <c r="AU63" s="1948">
        <f t="shared" ca="1" si="42"/>
        <v>0</v>
      </c>
      <c r="AV63" s="1948">
        <f t="shared" ca="1" si="42"/>
        <v>0</v>
      </c>
      <c r="AW63" s="1948">
        <f t="shared" ca="1" si="42"/>
        <v>0</v>
      </c>
      <c r="AX63" s="1948">
        <f t="shared" ca="1" si="42"/>
        <v>0</v>
      </c>
      <c r="AY63" s="1948">
        <f t="shared" ca="1" si="42"/>
        <v>0</v>
      </c>
      <c r="AZ63" s="1948">
        <f t="shared" ca="1" si="42"/>
        <v>0</v>
      </c>
      <c r="BA63" s="1948">
        <f t="shared" ca="1" si="42"/>
        <v>0</v>
      </c>
      <c r="BB63" s="1948">
        <f t="shared" ca="1" si="42"/>
        <v>0</v>
      </c>
      <c r="BC63" s="1948">
        <f t="shared" ca="1" si="43"/>
        <v>0</v>
      </c>
      <c r="BD63" s="1948">
        <f t="shared" ca="1" si="43"/>
        <v>0</v>
      </c>
      <c r="BE63" s="1948">
        <f t="shared" ca="1" si="43"/>
        <v>0</v>
      </c>
      <c r="BF63" s="1948">
        <f t="shared" ca="1" si="43"/>
        <v>0</v>
      </c>
      <c r="BG63" s="1948">
        <f t="shared" ca="1" si="43"/>
        <v>0</v>
      </c>
      <c r="BH63" s="1948">
        <f t="shared" ca="1" si="43"/>
        <v>-4.4355960000000012</v>
      </c>
      <c r="BI63" s="1948">
        <f t="shared" ca="1" si="43"/>
        <v>0</v>
      </c>
      <c r="BJ63" s="1948">
        <f t="shared" ca="1" si="43"/>
        <v>0</v>
      </c>
      <c r="BK63" s="1948">
        <f t="shared" ca="1" si="43"/>
        <v>0</v>
      </c>
      <c r="BL63" s="1952">
        <f t="shared" ca="1" si="44"/>
        <v>-4.4355960000000012</v>
      </c>
      <c r="BM63" s="14"/>
      <c r="BN63" s="1941">
        <f t="shared" ca="1" si="45"/>
        <v>0</v>
      </c>
      <c r="BO63" s="1941">
        <f t="shared" ca="1" si="45"/>
        <v>0</v>
      </c>
      <c r="BP63" s="1505">
        <f t="shared" ref="BP63:BP68" ca="1" si="46">BN63+BO63</f>
        <v>0</v>
      </c>
      <c r="BQ63" s="14"/>
      <c r="BR63" s="3168">
        <f t="shared" ca="1" si="12"/>
        <v>0</v>
      </c>
      <c r="BS63" s="1525"/>
      <c r="BT63" s="748"/>
      <c r="BU63" s="1507">
        <v>0</v>
      </c>
      <c r="BV63" s="1508">
        <v>0</v>
      </c>
      <c r="BW63" s="1508">
        <v>0</v>
      </c>
      <c r="BX63" s="1508">
        <v>0</v>
      </c>
      <c r="BY63" s="1508">
        <v>0</v>
      </c>
      <c r="BZ63" s="1508">
        <v>0</v>
      </c>
      <c r="CA63" s="1508">
        <v>0</v>
      </c>
      <c r="CB63" s="1508">
        <v>0</v>
      </c>
      <c r="CC63" s="1508">
        <v>0</v>
      </c>
      <c r="CD63" s="1508">
        <v>0</v>
      </c>
      <c r="CE63" s="1508">
        <v>0</v>
      </c>
      <c r="CF63" s="1508">
        <v>0</v>
      </c>
      <c r="CG63" s="1508">
        <v>0</v>
      </c>
      <c r="CH63" s="1508">
        <v>0</v>
      </c>
      <c r="CI63" s="1508">
        <v>0</v>
      </c>
      <c r="CJ63" s="1508">
        <v>0</v>
      </c>
      <c r="CK63" s="1508">
        <v>0</v>
      </c>
      <c r="CL63" s="1508">
        <v>0</v>
      </c>
      <c r="CM63" s="1508">
        <v>0</v>
      </c>
      <c r="CN63" s="1508">
        <v>0</v>
      </c>
      <c r="CO63" s="1508">
        <v>0</v>
      </c>
      <c r="CP63" s="1508">
        <v>0</v>
      </c>
      <c r="CQ63" s="1508">
        <v>0</v>
      </c>
      <c r="CR63" s="1508">
        <v>0</v>
      </c>
      <c r="CS63" s="1508">
        <v>0</v>
      </c>
      <c r="CT63" s="1508">
        <v>0</v>
      </c>
      <c r="CU63" s="1508">
        <v>0</v>
      </c>
      <c r="CV63" s="1508">
        <v>0</v>
      </c>
      <c r="CW63" s="1508">
        <v>0</v>
      </c>
      <c r="CX63" s="1508">
        <v>0</v>
      </c>
      <c r="CY63" s="1508">
        <v>0</v>
      </c>
      <c r="CZ63" s="1508">
        <v>0</v>
      </c>
      <c r="DA63" s="1508">
        <v>0</v>
      </c>
      <c r="DB63" s="1508">
        <v>0</v>
      </c>
      <c r="DC63" s="1508">
        <v>0</v>
      </c>
      <c r="DD63" s="1508">
        <v>0</v>
      </c>
      <c r="DE63" s="1508">
        <v>0</v>
      </c>
      <c r="DF63" s="1508">
        <v>0</v>
      </c>
      <c r="DG63" s="1508">
        <v>0</v>
      </c>
      <c r="DH63" s="1508">
        <v>0</v>
      </c>
      <c r="DI63" s="1508">
        <v>0</v>
      </c>
      <c r="DJ63" s="1508">
        <v>0</v>
      </c>
      <c r="DK63" s="1508">
        <v>0</v>
      </c>
      <c r="DL63" s="1508">
        <v>0</v>
      </c>
      <c r="DN63" s="1509">
        <v>0</v>
      </c>
    </row>
    <row r="64" spans="1:118" s="1522" customFormat="1" ht="12.75" customHeight="1" outlineLevel="1" x14ac:dyDescent="0.2">
      <c r="C64" s="1496" t="s">
        <v>258</v>
      </c>
      <c r="D64" s="14" t="str">
        <f>INDEX(Modulos[Modulos], MATCH($C64, Modulos[Código], 0))</f>
        <v>Hidráulica de Pasada</v>
      </c>
      <c r="E64" s="1497"/>
      <c r="F64" s="14"/>
      <c r="G64" s="1498"/>
      <c r="H64" s="1498"/>
      <c r="I64" s="1498"/>
      <c r="J64" s="1498"/>
      <c r="K64" s="1498"/>
      <c r="L64" s="1498"/>
      <c r="M64" s="1498"/>
      <c r="N64" s="1498"/>
      <c r="O64" s="1498"/>
      <c r="P64" s="1498"/>
      <c r="Q64" s="1498"/>
      <c r="R64" s="1498"/>
      <c r="S64" s="1498"/>
      <c r="T64" s="1498"/>
      <c r="U64" s="1498"/>
      <c r="V64" s="1498"/>
      <c r="W64" s="1499"/>
      <c r="X64" s="14"/>
      <c r="Y64" s="1893">
        <f t="shared" ca="1" si="39"/>
        <v>0</v>
      </c>
      <c r="Z64" s="1893">
        <f t="shared" ca="1" si="39"/>
        <v>7.9831962000000036</v>
      </c>
      <c r="AA64" s="1893">
        <f t="shared" ca="1" si="39"/>
        <v>0</v>
      </c>
      <c r="AB64" s="1893">
        <f t="shared" ca="1" si="39"/>
        <v>0</v>
      </c>
      <c r="AC64" s="1893">
        <f t="shared" ca="1" si="39"/>
        <v>0</v>
      </c>
      <c r="AD64" s="1893">
        <f t="shared" ca="1" si="39"/>
        <v>0</v>
      </c>
      <c r="AE64" s="1893">
        <f t="shared" ca="1" si="39"/>
        <v>0</v>
      </c>
      <c r="AF64" s="1893">
        <f t="shared" ca="1" si="39"/>
        <v>0</v>
      </c>
      <c r="AG64" s="1893">
        <f t="shared" ca="1" si="39"/>
        <v>0</v>
      </c>
      <c r="AH64" s="1893">
        <f t="shared" ca="1" si="39"/>
        <v>0</v>
      </c>
      <c r="AI64" s="1893">
        <f t="shared" ca="1" si="40"/>
        <v>0</v>
      </c>
      <c r="AJ64" s="1893">
        <f t="shared" ca="1" si="40"/>
        <v>0</v>
      </c>
      <c r="AK64" s="1893">
        <f t="shared" ca="1" si="40"/>
        <v>0</v>
      </c>
      <c r="AL64" s="1893">
        <f t="shared" ca="1" si="40"/>
        <v>0</v>
      </c>
      <c r="AM64" s="1893">
        <f t="shared" ca="1" si="40"/>
        <v>0</v>
      </c>
      <c r="AN64" s="1893">
        <f t="shared" ca="1" si="40"/>
        <v>0</v>
      </c>
      <c r="AO64" s="1893">
        <f t="shared" ca="1" si="40"/>
        <v>0</v>
      </c>
      <c r="AP64" s="1893">
        <f t="shared" ca="1" si="40"/>
        <v>0</v>
      </c>
      <c r="AQ64" s="1951">
        <f t="shared" ca="1" si="41"/>
        <v>7.9831962000000036</v>
      </c>
      <c r="AR64" s="14"/>
      <c r="AS64" s="1948">
        <f t="shared" ca="1" si="42"/>
        <v>0</v>
      </c>
      <c r="AT64" s="1948">
        <f t="shared" ca="1" si="42"/>
        <v>0</v>
      </c>
      <c r="AU64" s="1948">
        <f t="shared" ca="1" si="42"/>
        <v>0</v>
      </c>
      <c r="AV64" s="1948">
        <f t="shared" ca="1" si="42"/>
        <v>0</v>
      </c>
      <c r="AW64" s="1948">
        <f t="shared" ca="1" si="42"/>
        <v>0</v>
      </c>
      <c r="AX64" s="1948">
        <f t="shared" ca="1" si="42"/>
        <v>0</v>
      </c>
      <c r="AY64" s="1948">
        <f t="shared" ca="1" si="42"/>
        <v>0</v>
      </c>
      <c r="AZ64" s="1948">
        <f t="shared" ca="1" si="42"/>
        <v>0</v>
      </c>
      <c r="BA64" s="1948">
        <f t="shared" ca="1" si="42"/>
        <v>0</v>
      </c>
      <c r="BB64" s="1948">
        <f t="shared" ca="1" si="42"/>
        <v>0</v>
      </c>
      <c r="BC64" s="1948">
        <f t="shared" ca="1" si="43"/>
        <v>0</v>
      </c>
      <c r="BD64" s="1948">
        <f t="shared" ca="1" si="43"/>
        <v>0</v>
      </c>
      <c r="BE64" s="1948">
        <f t="shared" ca="1" si="43"/>
        <v>0</v>
      </c>
      <c r="BF64" s="1948">
        <f t="shared" ca="1" si="43"/>
        <v>0</v>
      </c>
      <c r="BG64" s="1948">
        <f t="shared" ca="1" si="43"/>
        <v>0</v>
      </c>
      <c r="BH64" s="1948">
        <f t="shared" ca="1" si="43"/>
        <v>-7.9831962000000036</v>
      </c>
      <c r="BI64" s="1948">
        <f t="shared" ca="1" si="43"/>
        <v>0</v>
      </c>
      <c r="BJ64" s="1948">
        <f t="shared" ca="1" si="43"/>
        <v>0</v>
      </c>
      <c r="BK64" s="1948">
        <f t="shared" ca="1" si="43"/>
        <v>0</v>
      </c>
      <c r="BL64" s="1952">
        <f t="shared" ca="1" si="44"/>
        <v>-7.9831962000000036</v>
      </c>
      <c r="BM64" s="14"/>
      <c r="BN64" s="1941">
        <f t="shared" ca="1" si="45"/>
        <v>0</v>
      </c>
      <c r="BO64" s="1941">
        <f t="shared" ca="1" si="45"/>
        <v>0</v>
      </c>
      <c r="BP64" s="1505">
        <f t="shared" ca="1" si="46"/>
        <v>0</v>
      </c>
      <c r="BQ64" s="14"/>
      <c r="BR64" s="3168">
        <f t="shared" ca="1" si="12"/>
        <v>0</v>
      </c>
      <c r="BS64" s="1525"/>
      <c r="BT64" s="748"/>
      <c r="BU64" s="1507">
        <v>0</v>
      </c>
      <c r="BV64" s="1508">
        <v>0</v>
      </c>
      <c r="BW64" s="1508">
        <v>0</v>
      </c>
      <c r="BX64" s="1508">
        <v>0</v>
      </c>
      <c r="BY64" s="1508">
        <v>0</v>
      </c>
      <c r="BZ64" s="1508">
        <v>0</v>
      </c>
      <c r="CA64" s="1508">
        <v>0</v>
      </c>
      <c r="CB64" s="1508">
        <v>0</v>
      </c>
      <c r="CC64" s="1508">
        <v>0</v>
      </c>
      <c r="CD64" s="1508">
        <v>0</v>
      </c>
      <c r="CE64" s="1508">
        <v>0</v>
      </c>
      <c r="CF64" s="1508">
        <v>0</v>
      </c>
      <c r="CG64" s="1508">
        <v>0</v>
      </c>
      <c r="CH64" s="1508">
        <v>0</v>
      </c>
      <c r="CI64" s="1508">
        <v>0</v>
      </c>
      <c r="CJ64" s="1508">
        <v>0</v>
      </c>
      <c r="CK64" s="1508">
        <v>0</v>
      </c>
      <c r="CL64" s="1508">
        <v>0</v>
      </c>
      <c r="CM64" s="1508">
        <v>0</v>
      </c>
      <c r="CN64" s="1508">
        <v>0</v>
      </c>
      <c r="CO64" s="1508">
        <v>0</v>
      </c>
      <c r="CP64" s="1508">
        <v>0</v>
      </c>
      <c r="CQ64" s="1508">
        <v>0</v>
      </c>
      <c r="CR64" s="1508">
        <v>0</v>
      </c>
      <c r="CS64" s="1508">
        <v>0</v>
      </c>
      <c r="CT64" s="1508">
        <v>0</v>
      </c>
      <c r="CU64" s="1508">
        <v>0</v>
      </c>
      <c r="CV64" s="1508">
        <v>0</v>
      </c>
      <c r="CW64" s="1508">
        <v>0</v>
      </c>
      <c r="CX64" s="1508">
        <v>0</v>
      </c>
      <c r="CY64" s="1508">
        <v>0</v>
      </c>
      <c r="CZ64" s="1508">
        <v>0</v>
      </c>
      <c r="DA64" s="1508">
        <v>0</v>
      </c>
      <c r="DB64" s="1508">
        <v>0</v>
      </c>
      <c r="DC64" s="1508">
        <v>0</v>
      </c>
      <c r="DD64" s="1508">
        <v>0</v>
      </c>
      <c r="DE64" s="1508">
        <v>0</v>
      </c>
      <c r="DF64" s="1508">
        <v>0</v>
      </c>
      <c r="DG64" s="1508">
        <v>0</v>
      </c>
      <c r="DH64" s="1508">
        <v>0</v>
      </c>
      <c r="DI64" s="1508">
        <v>0</v>
      </c>
      <c r="DJ64" s="1508">
        <v>0</v>
      </c>
      <c r="DK64" s="1508">
        <v>0</v>
      </c>
      <c r="DL64" s="1508">
        <v>0</v>
      </c>
      <c r="DN64" s="1509">
        <v>0</v>
      </c>
    </row>
    <row r="65" spans="1:118" s="1522" customFormat="1" ht="12.75" customHeight="1" outlineLevel="1" x14ac:dyDescent="0.2">
      <c r="C65" s="1496" t="s">
        <v>267</v>
      </c>
      <c r="D65" s="14" t="str">
        <f>INDEX(Modulos[Modulos], MATCH($C65, Modulos[Código], 0))</f>
        <v>Hidráulica de Embalse</v>
      </c>
      <c r="E65" s="1497"/>
      <c r="F65" s="14"/>
      <c r="G65" s="1498"/>
      <c r="H65" s="1498"/>
      <c r="I65" s="1498"/>
      <c r="J65" s="1498"/>
      <c r="K65" s="1498"/>
      <c r="L65" s="1498"/>
      <c r="M65" s="1498"/>
      <c r="N65" s="1498"/>
      <c r="O65" s="1498"/>
      <c r="P65" s="1498"/>
      <c r="Q65" s="1498"/>
      <c r="R65" s="1498"/>
      <c r="S65" s="1498"/>
      <c r="T65" s="1498"/>
      <c r="U65" s="1498"/>
      <c r="V65" s="1498"/>
      <c r="W65" s="1499"/>
      <c r="X65" s="14"/>
      <c r="Y65" s="1893">
        <f t="shared" ca="1" si="39"/>
        <v>0</v>
      </c>
      <c r="Z65" s="1893">
        <f t="shared" ca="1" si="39"/>
        <v>15.715684799999996</v>
      </c>
      <c r="AA65" s="1893">
        <f t="shared" ca="1" si="39"/>
        <v>0</v>
      </c>
      <c r="AB65" s="1893">
        <f t="shared" ca="1" si="39"/>
        <v>0</v>
      </c>
      <c r="AC65" s="1893">
        <f t="shared" ca="1" si="39"/>
        <v>0</v>
      </c>
      <c r="AD65" s="1893">
        <f t="shared" ca="1" si="39"/>
        <v>0</v>
      </c>
      <c r="AE65" s="1893">
        <f t="shared" ca="1" si="39"/>
        <v>0</v>
      </c>
      <c r="AF65" s="1893">
        <f t="shared" ca="1" si="39"/>
        <v>0</v>
      </c>
      <c r="AG65" s="1893">
        <f t="shared" ca="1" si="39"/>
        <v>0</v>
      </c>
      <c r="AH65" s="1893">
        <f t="shared" ca="1" si="39"/>
        <v>0</v>
      </c>
      <c r="AI65" s="1893">
        <f t="shared" ca="1" si="40"/>
        <v>0</v>
      </c>
      <c r="AJ65" s="1893">
        <f t="shared" ca="1" si="40"/>
        <v>0</v>
      </c>
      <c r="AK65" s="1893">
        <f t="shared" ca="1" si="40"/>
        <v>0</v>
      </c>
      <c r="AL65" s="1893">
        <f t="shared" ca="1" si="40"/>
        <v>0</v>
      </c>
      <c r="AM65" s="1893">
        <f t="shared" ca="1" si="40"/>
        <v>0</v>
      </c>
      <c r="AN65" s="1893">
        <f t="shared" ca="1" si="40"/>
        <v>0</v>
      </c>
      <c r="AO65" s="1893">
        <f t="shared" ca="1" si="40"/>
        <v>0</v>
      </c>
      <c r="AP65" s="1893">
        <f t="shared" ca="1" si="40"/>
        <v>0</v>
      </c>
      <c r="AQ65" s="1951">
        <f t="shared" ca="1" si="41"/>
        <v>15.715684799999996</v>
      </c>
      <c r="AR65" s="14"/>
      <c r="AS65" s="1948">
        <f t="shared" ca="1" si="42"/>
        <v>0</v>
      </c>
      <c r="AT65" s="1948">
        <f t="shared" ca="1" si="42"/>
        <v>0</v>
      </c>
      <c r="AU65" s="1948">
        <f t="shared" ca="1" si="42"/>
        <v>0</v>
      </c>
      <c r="AV65" s="1948">
        <f t="shared" ca="1" si="42"/>
        <v>0</v>
      </c>
      <c r="AW65" s="1948">
        <f t="shared" ca="1" si="42"/>
        <v>0</v>
      </c>
      <c r="AX65" s="1948">
        <f t="shared" ca="1" si="42"/>
        <v>0</v>
      </c>
      <c r="AY65" s="1948">
        <f t="shared" ca="1" si="42"/>
        <v>0</v>
      </c>
      <c r="AZ65" s="1948">
        <f t="shared" ca="1" si="42"/>
        <v>0</v>
      </c>
      <c r="BA65" s="1948">
        <f t="shared" ca="1" si="42"/>
        <v>0</v>
      </c>
      <c r="BB65" s="1948">
        <f t="shared" ca="1" si="42"/>
        <v>0</v>
      </c>
      <c r="BC65" s="1948">
        <f t="shared" ca="1" si="43"/>
        <v>0</v>
      </c>
      <c r="BD65" s="1948">
        <f t="shared" ca="1" si="43"/>
        <v>0</v>
      </c>
      <c r="BE65" s="1948">
        <f t="shared" ca="1" si="43"/>
        <v>0</v>
      </c>
      <c r="BF65" s="1948">
        <f t="shared" ca="1" si="43"/>
        <v>0</v>
      </c>
      <c r="BG65" s="1948">
        <f t="shared" ca="1" si="43"/>
        <v>0</v>
      </c>
      <c r="BH65" s="1948">
        <f t="shared" ca="1" si="43"/>
        <v>-15.715684799999996</v>
      </c>
      <c r="BI65" s="1948">
        <f t="shared" ca="1" si="43"/>
        <v>0</v>
      </c>
      <c r="BJ65" s="1948">
        <f t="shared" ca="1" si="43"/>
        <v>0</v>
      </c>
      <c r="BK65" s="1948">
        <f t="shared" ca="1" si="43"/>
        <v>0</v>
      </c>
      <c r="BL65" s="1952">
        <f t="shared" ca="1" si="44"/>
        <v>-15.715684799999996</v>
      </c>
      <c r="BM65" s="14"/>
      <c r="BN65" s="1941">
        <f t="shared" ca="1" si="45"/>
        <v>0</v>
      </c>
      <c r="BO65" s="1941">
        <f t="shared" ca="1" si="45"/>
        <v>0</v>
      </c>
      <c r="BP65" s="1505">
        <f t="shared" ca="1" si="46"/>
        <v>0</v>
      </c>
      <c r="BQ65" s="14"/>
      <c r="BR65" s="3168">
        <f t="shared" ca="1" si="12"/>
        <v>0</v>
      </c>
      <c r="BS65" s="1525"/>
      <c r="BT65" s="748"/>
      <c r="BU65" s="1507">
        <v>0</v>
      </c>
      <c r="BV65" s="1508">
        <v>0</v>
      </c>
      <c r="BW65" s="1508">
        <v>0</v>
      </c>
      <c r="BX65" s="1508">
        <v>0</v>
      </c>
      <c r="BY65" s="1508">
        <v>0</v>
      </c>
      <c r="BZ65" s="1508">
        <v>0</v>
      </c>
      <c r="CA65" s="1508">
        <v>0</v>
      </c>
      <c r="CB65" s="1508">
        <v>0</v>
      </c>
      <c r="CC65" s="1508">
        <v>0</v>
      </c>
      <c r="CD65" s="1508">
        <v>0</v>
      </c>
      <c r="CE65" s="1508">
        <v>0</v>
      </c>
      <c r="CF65" s="1508">
        <v>0</v>
      </c>
      <c r="CG65" s="1508">
        <v>0</v>
      </c>
      <c r="CH65" s="1508">
        <v>0</v>
      </c>
      <c r="CI65" s="1508">
        <v>0</v>
      </c>
      <c r="CJ65" s="1508">
        <v>0</v>
      </c>
      <c r="CK65" s="1508">
        <v>0</v>
      </c>
      <c r="CL65" s="1508">
        <v>0</v>
      </c>
      <c r="CM65" s="1508">
        <v>0</v>
      </c>
      <c r="CN65" s="1508">
        <v>0</v>
      </c>
      <c r="CO65" s="1508">
        <v>0</v>
      </c>
      <c r="CP65" s="1508">
        <v>0</v>
      </c>
      <c r="CQ65" s="1508">
        <v>0</v>
      </c>
      <c r="CR65" s="1508">
        <v>0</v>
      </c>
      <c r="CS65" s="1508">
        <v>0</v>
      </c>
      <c r="CT65" s="1508">
        <v>0</v>
      </c>
      <c r="CU65" s="1508">
        <v>0</v>
      </c>
      <c r="CV65" s="1508">
        <v>0</v>
      </c>
      <c r="CW65" s="1508">
        <v>0</v>
      </c>
      <c r="CX65" s="1508">
        <v>0</v>
      </c>
      <c r="CY65" s="1508">
        <v>0</v>
      </c>
      <c r="CZ65" s="1508">
        <v>0</v>
      </c>
      <c r="DA65" s="1508">
        <v>0</v>
      </c>
      <c r="DB65" s="1508">
        <v>0</v>
      </c>
      <c r="DC65" s="1508">
        <v>0</v>
      </c>
      <c r="DD65" s="1508">
        <v>0</v>
      </c>
      <c r="DE65" s="1508">
        <v>0</v>
      </c>
      <c r="DF65" s="1508">
        <v>0</v>
      </c>
      <c r="DG65" s="1508">
        <v>0</v>
      </c>
      <c r="DH65" s="1508">
        <v>0</v>
      </c>
      <c r="DI65" s="1508">
        <v>0</v>
      </c>
      <c r="DJ65" s="1508">
        <v>0</v>
      </c>
      <c r="DK65" s="1508">
        <v>0</v>
      </c>
      <c r="DL65" s="1508">
        <v>0</v>
      </c>
      <c r="DN65" s="1509">
        <v>0</v>
      </c>
    </row>
    <row r="66" spans="1:118" s="1522" customFormat="1" ht="12.75" customHeight="1" outlineLevel="1" x14ac:dyDescent="0.2">
      <c r="C66" s="1496" t="s">
        <v>58</v>
      </c>
      <c r="D66" s="14" t="str">
        <f>INDEX(Modulos[Modulos], MATCH($C66, Modulos[Código], 0))</f>
        <v>Mareomotriz y Undimotriz</v>
      </c>
      <c r="E66" s="1497"/>
      <c r="F66" s="14"/>
      <c r="G66" s="1498"/>
      <c r="H66" s="1498"/>
      <c r="I66" s="1498"/>
      <c r="J66" s="1498"/>
      <c r="K66" s="1498"/>
      <c r="L66" s="1498"/>
      <c r="M66" s="1498"/>
      <c r="N66" s="1498"/>
      <c r="O66" s="1498"/>
      <c r="P66" s="1498"/>
      <c r="Q66" s="1498"/>
      <c r="R66" s="1498"/>
      <c r="S66" s="1498"/>
      <c r="T66" s="1498"/>
      <c r="U66" s="1498"/>
      <c r="V66" s="1498"/>
      <c r="W66" s="1499"/>
      <c r="X66" s="14"/>
      <c r="Y66" s="1893">
        <f t="shared" ca="1" si="39"/>
        <v>0</v>
      </c>
      <c r="Z66" s="1893">
        <f t="shared" ca="1" si="39"/>
        <v>0.1770854724</v>
      </c>
      <c r="AA66" s="1893">
        <f t="shared" ca="1" si="39"/>
        <v>0</v>
      </c>
      <c r="AB66" s="1893">
        <f t="shared" ca="1" si="39"/>
        <v>0</v>
      </c>
      <c r="AC66" s="1893">
        <f t="shared" ca="1" si="39"/>
        <v>0</v>
      </c>
      <c r="AD66" s="1893">
        <f t="shared" ca="1" si="39"/>
        <v>0</v>
      </c>
      <c r="AE66" s="1893">
        <f t="shared" ca="1" si="39"/>
        <v>0</v>
      </c>
      <c r="AF66" s="1893">
        <f t="shared" ca="1" si="39"/>
        <v>0</v>
      </c>
      <c r="AG66" s="1893">
        <f t="shared" ca="1" si="39"/>
        <v>0</v>
      </c>
      <c r="AH66" s="1893">
        <f t="shared" ca="1" si="39"/>
        <v>0</v>
      </c>
      <c r="AI66" s="1893">
        <f t="shared" ca="1" si="40"/>
        <v>0</v>
      </c>
      <c r="AJ66" s="1893">
        <f t="shared" ca="1" si="40"/>
        <v>0</v>
      </c>
      <c r="AK66" s="1893">
        <f t="shared" ca="1" si="40"/>
        <v>0</v>
      </c>
      <c r="AL66" s="1893">
        <f t="shared" ca="1" si="40"/>
        <v>0</v>
      </c>
      <c r="AM66" s="1893">
        <f t="shared" ca="1" si="40"/>
        <v>0</v>
      </c>
      <c r="AN66" s="1893">
        <f t="shared" ca="1" si="40"/>
        <v>0</v>
      </c>
      <c r="AO66" s="1893">
        <f t="shared" ca="1" si="40"/>
        <v>0</v>
      </c>
      <c r="AP66" s="1893">
        <f t="shared" ca="1" si="40"/>
        <v>0</v>
      </c>
      <c r="AQ66" s="1951">
        <f t="shared" ca="1" si="41"/>
        <v>0.1770854724</v>
      </c>
      <c r="AR66" s="14"/>
      <c r="AS66" s="1948">
        <f t="shared" ca="1" si="42"/>
        <v>0</v>
      </c>
      <c r="AT66" s="1948">
        <f t="shared" ca="1" si="42"/>
        <v>0</v>
      </c>
      <c r="AU66" s="1948">
        <f t="shared" ca="1" si="42"/>
        <v>0</v>
      </c>
      <c r="AV66" s="1948">
        <f t="shared" ca="1" si="42"/>
        <v>0</v>
      </c>
      <c r="AW66" s="1948">
        <f t="shared" ca="1" si="42"/>
        <v>0</v>
      </c>
      <c r="AX66" s="1948">
        <f t="shared" ca="1" si="42"/>
        <v>0</v>
      </c>
      <c r="AY66" s="1948">
        <f t="shared" ca="1" si="42"/>
        <v>0</v>
      </c>
      <c r="AZ66" s="1948">
        <f t="shared" ca="1" si="42"/>
        <v>0</v>
      </c>
      <c r="BA66" s="1948">
        <f t="shared" ca="1" si="42"/>
        <v>0</v>
      </c>
      <c r="BB66" s="1948">
        <f t="shared" ca="1" si="42"/>
        <v>0</v>
      </c>
      <c r="BC66" s="1948">
        <f t="shared" ca="1" si="43"/>
        <v>0</v>
      </c>
      <c r="BD66" s="1948">
        <f t="shared" ca="1" si="43"/>
        <v>0</v>
      </c>
      <c r="BE66" s="1948">
        <f t="shared" ca="1" si="43"/>
        <v>-4.3241801400000002E-2</v>
      </c>
      <c r="BF66" s="1948">
        <f t="shared" ca="1" si="43"/>
        <v>-0.133843671</v>
      </c>
      <c r="BG66" s="1948">
        <f t="shared" ca="1" si="43"/>
        <v>0</v>
      </c>
      <c r="BH66" s="1948">
        <f t="shared" ca="1" si="43"/>
        <v>0</v>
      </c>
      <c r="BI66" s="1948">
        <f t="shared" ca="1" si="43"/>
        <v>0</v>
      </c>
      <c r="BJ66" s="1948">
        <f t="shared" ca="1" si="43"/>
        <v>0</v>
      </c>
      <c r="BK66" s="1948">
        <f t="shared" ca="1" si="43"/>
        <v>0</v>
      </c>
      <c r="BL66" s="1952">
        <f t="shared" ca="1" si="44"/>
        <v>-0.1770854724</v>
      </c>
      <c r="BM66" s="14"/>
      <c r="BN66" s="1941">
        <f t="shared" ca="1" si="45"/>
        <v>0</v>
      </c>
      <c r="BO66" s="1941">
        <f t="shared" ca="1" si="45"/>
        <v>0</v>
      </c>
      <c r="BP66" s="1505">
        <f t="shared" ca="1" si="46"/>
        <v>0</v>
      </c>
      <c r="BQ66" s="14"/>
      <c r="BR66" s="3168">
        <f t="shared" ca="1" si="12"/>
        <v>0</v>
      </c>
      <c r="BS66" s="1525"/>
      <c r="BT66" s="748"/>
      <c r="BU66" s="1507">
        <v>0</v>
      </c>
      <c r="BV66" s="1508">
        <v>0</v>
      </c>
      <c r="BW66" s="1508">
        <v>0</v>
      </c>
      <c r="BX66" s="1508">
        <v>0</v>
      </c>
      <c r="BY66" s="1508">
        <v>0</v>
      </c>
      <c r="BZ66" s="1508">
        <v>0</v>
      </c>
      <c r="CA66" s="1508">
        <v>0</v>
      </c>
      <c r="CB66" s="1508">
        <v>0</v>
      </c>
      <c r="CC66" s="1508">
        <v>0</v>
      </c>
      <c r="CD66" s="1508">
        <v>0</v>
      </c>
      <c r="CE66" s="1508">
        <v>0</v>
      </c>
      <c r="CF66" s="1508">
        <v>0</v>
      </c>
      <c r="CG66" s="1508">
        <v>0</v>
      </c>
      <c r="CH66" s="1508">
        <v>0</v>
      </c>
      <c r="CI66" s="1508">
        <v>0</v>
      </c>
      <c r="CJ66" s="1508">
        <v>0</v>
      </c>
      <c r="CK66" s="1508">
        <v>0</v>
      </c>
      <c r="CL66" s="1508">
        <v>0</v>
      </c>
      <c r="CM66" s="1508">
        <v>0</v>
      </c>
      <c r="CN66" s="1508">
        <v>0</v>
      </c>
      <c r="CO66" s="1508">
        <v>0</v>
      </c>
      <c r="CP66" s="1508">
        <v>0</v>
      </c>
      <c r="CQ66" s="1508">
        <v>0</v>
      </c>
      <c r="CR66" s="1508">
        <v>0</v>
      </c>
      <c r="CS66" s="1508">
        <v>0</v>
      </c>
      <c r="CT66" s="1508">
        <v>0</v>
      </c>
      <c r="CU66" s="1508">
        <v>0</v>
      </c>
      <c r="CV66" s="1508">
        <v>0</v>
      </c>
      <c r="CW66" s="1508">
        <v>0</v>
      </c>
      <c r="CX66" s="1508">
        <v>0</v>
      </c>
      <c r="CY66" s="1508">
        <v>0</v>
      </c>
      <c r="CZ66" s="1508">
        <v>0</v>
      </c>
      <c r="DA66" s="1508">
        <v>0</v>
      </c>
      <c r="DB66" s="1508">
        <v>0</v>
      </c>
      <c r="DC66" s="1508">
        <v>0</v>
      </c>
      <c r="DD66" s="1508">
        <v>0</v>
      </c>
      <c r="DE66" s="1508">
        <v>0</v>
      </c>
      <c r="DF66" s="1508">
        <v>0</v>
      </c>
      <c r="DG66" s="1508">
        <v>0</v>
      </c>
      <c r="DH66" s="1508">
        <v>0</v>
      </c>
      <c r="DI66" s="1508">
        <v>0</v>
      </c>
      <c r="DJ66" s="1508">
        <v>0</v>
      </c>
      <c r="DK66" s="1508">
        <v>0</v>
      </c>
      <c r="DL66" s="1508">
        <v>0</v>
      </c>
      <c r="DN66" s="1509">
        <v>0</v>
      </c>
    </row>
    <row r="67" spans="1:118" s="1522" customFormat="1" ht="12.75" customHeight="1" outlineLevel="1" x14ac:dyDescent="0.2">
      <c r="C67" s="1496" t="s">
        <v>60</v>
      </c>
      <c r="D67" s="14" t="str">
        <f>INDEX(Modulos[Modulos], MATCH($C67, Modulos[Código], 0))</f>
        <v>Geotérmica</v>
      </c>
      <c r="E67" s="1497"/>
      <c r="F67" s="14"/>
      <c r="G67" s="1498"/>
      <c r="H67" s="1498"/>
      <c r="I67" s="1498"/>
      <c r="J67" s="1498"/>
      <c r="K67" s="1498"/>
      <c r="L67" s="1498"/>
      <c r="M67" s="1498"/>
      <c r="N67" s="1498"/>
      <c r="O67" s="1498"/>
      <c r="P67" s="1498"/>
      <c r="Q67" s="1498"/>
      <c r="R67" s="1498"/>
      <c r="S67" s="1498"/>
      <c r="T67" s="1498"/>
      <c r="U67" s="1498"/>
      <c r="V67" s="1498"/>
      <c r="W67" s="1499"/>
      <c r="X67" s="14"/>
      <c r="Y67" s="1893">
        <f t="shared" ca="1" si="39"/>
        <v>0</v>
      </c>
      <c r="Z67" s="1893">
        <f t="shared" ca="1" si="39"/>
        <v>0.35064000000000006</v>
      </c>
      <c r="AA67" s="1893">
        <f t="shared" ca="1" si="39"/>
        <v>0</v>
      </c>
      <c r="AB67" s="1893">
        <f t="shared" ca="1" si="39"/>
        <v>0</v>
      </c>
      <c r="AC67" s="1893">
        <f t="shared" ca="1" si="39"/>
        <v>0</v>
      </c>
      <c r="AD67" s="1893">
        <f t="shared" ca="1" si="39"/>
        <v>0</v>
      </c>
      <c r="AE67" s="1893">
        <f t="shared" ca="1" si="39"/>
        <v>0</v>
      </c>
      <c r="AF67" s="1893">
        <f t="shared" ca="1" si="39"/>
        <v>0</v>
      </c>
      <c r="AG67" s="1893">
        <f t="shared" ca="1" si="39"/>
        <v>0</v>
      </c>
      <c r="AH67" s="1893">
        <f t="shared" ca="1" si="39"/>
        <v>0</v>
      </c>
      <c r="AI67" s="1893">
        <f t="shared" ca="1" si="40"/>
        <v>0</v>
      </c>
      <c r="AJ67" s="1893">
        <f t="shared" ca="1" si="40"/>
        <v>0</v>
      </c>
      <c r="AK67" s="1893">
        <f t="shared" ca="1" si="40"/>
        <v>0</v>
      </c>
      <c r="AL67" s="1893">
        <f t="shared" ca="1" si="40"/>
        <v>0</v>
      </c>
      <c r="AM67" s="1893">
        <f t="shared" ca="1" si="40"/>
        <v>0</v>
      </c>
      <c r="AN67" s="1893">
        <f t="shared" ca="1" si="40"/>
        <v>0</v>
      </c>
      <c r="AO67" s="1893">
        <f t="shared" ca="1" si="40"/>
        <v>0</v>
      </c>
      <c r="AP67" s="1893">
        <f t="shared" ca="1" si="40"/>
        <v>0</v>
      </c>
      <c r="AQ67" s="1951">
        <f t="shared" ca="1" si="41"/>
        <v>0.35064000000000006</v>
      </c>
      <c r="AR67" s="14"/>
      <c r="AS67" s="1948">
        <f t="shared" ca="1" si="42"/>
        <v>0</v>
      </c>
      <c r="AT67" s="1948">
        <f t="shared" ca="1" si="42"/>
        <v>0</v>
      </c>
      <c r="AU67" s="1948">
        <f t="shared" ca="1" si="42"/>
        <v>0</v>
      </c>
      <c r="AV67" s="1948">
        <f t="shared" ca="1" si="42"/>
        <v>0</v>
      </c>
      <c r="AW67" s="1948">
        <f t="shared" ca="1" si="42"/>
        <v>0</v>
      </c>
      <c r="AX67" s="1948">
        <f t="shared" ca="1" si="42"/>
        <v>0</v>
      </c>
      <c r="AY67" s="1948">
        <f t="shared" ca="1" si="42"/>
        <v>0</v>
      </c>
      <c r="AZ67" s="1948">
        <f t="shared" ca="1" si="42"/>
        <v>0</v>
      </c>
      <c r="BA67" s="1948">
        <f t="shared" ca="1" si="42"/>
        <v>0</v>
      </c>
      <c r="BB67" s="1948">
        <f t="shared" ca="1" si="42"/>
        <v>0</v>
      </c>
      <c r="BC67" s="1948">
        <f t="shared" ca="1" si="43"/>
        <v>0</v>
      </c>
      <c r="BD67" s="1948">
        <f t="shared" ca="1" si="43"/>
        <v>0</v>
      </c>
      <c r="BE67" s="1948">
        <f t="shared" ca="1" si="43"/>
        <v>0</v>
      </c>
      <c r="BF67" s="1948">
        <f t="shared" ca="1" si="43"/>
        <v>0</v>
      </c>
      <c r="BG67" s="1948">
        <f t="shared" ca="1" si="43"/>
        <v>-0.35064000000000006</v>
      </c>
      <c r="BH67" s="1948">
        <f t="shared" ca="1" si="43"/>
        <v>0</v>
      </c>
      <c r="BI67" s="1948">
        <f t="shared" ca="1" si="43"/>
        <v>0</v>
      </c>
      <c r="BJ67" s="1948">
        <f t="shared" ca="1" si="43"/>
        <v>0</v>
      </c>
      <c r="BK67" s="1948">
        <f t="shared" ca="1" si="43"/>
        <v>0</v>
      </c>
      <c r="BL67" s="1952">
        <f t="shared" ca="1" si="44"/>
        <v>-0.35064000000000006</v>
      </c>
      <c r="BM67" s="14"/>
      <c r="BN67" s="1941">
        <f t="shared" ca="1" si="45"/>
        <v>0</v>
      </c>
      <c r="BO67" s="1941">
        <f t="shared" ca="1" si="45"/>
        <v>0</v>
      </c>
      <c r="BP67" s="1505">
        <f t="shared" ca="1" si="46"/>
        <v>0</v>
      </c>
      <c r="BQ67" s="14"/>
      <c r="BR67" s="3168">
        <f t="shared" ca="1" si="12"/>
        <v>0</v>
      </c>
      <c r="BS67" s="1525"/>
      <c r="BT67" s="748"/>
      <c r="BU67" s="1507"/>
      <c r="BV67" s="1508"/>
      <c r="BW67" s="1508"/>
      <c r="BX67" s="1508"/>
      <c r="BY67" s="1508"/>
      <c r="BZ67" s="1508"/>
      <c r="CA67" s="1508"/>
      <c r="CB67" s="1508"/>
      <c r="CC67" s="1508"/>
      <c r="CD67" s="1508"/>
      <c r="CE67" s="1508"/>
      <c r="CF67" s="1508"/>
      <c r="CG67" s="1508"/>
      <c r="CH67" s="1508"/>
      <c r="CI67" s="1508"/>
      <c r="CJ67" s="1508"/>
      <c r="CK67" s="1508"/>
      <c r="CL67" s="1508"/>
      <c r="CM67" s="1508"/>
      <c r="CN67" s="1508"/>
      <c r="CO67" s="1508"/>
      <c r="CP67" s="1508"/>
      <c r="CQ67" s="1508"/>
      <c r="CR67" s="1508"/>
      <c r="CS67" s="1508"/>
      <c r="CT67" s="1508"/>
      <c r="CU67" s="1508"/>
      <c r="CV67" s="1508"/>
      <c r="CW67" s="1508"/>
      <c r="CX67" s="1508"/>
      <c r="CY67" s="1508"/>
      <c r="CZ67" s="1508"/>
      <c r="DA67" s="1508"/>
      <c r="DB67" s="1508"/>
      <c r="DC67" s="1508"/>
      <c r="DD67" s="1508"/>
      <c r="DE67" s="1508"/>
      <c r="DF67" s="1508"/>
      <c r="DG67" s="1508"/>
      <c r="DH67" s="1508"/>
      <c r="DI67" s="1508"/>
      <c r="DJ67" s="1508"/>
      <c r="DK67" s="1508"/>
      <c r="DL67" s="1508"/>
      <c r="DN67" s="1509"/>
    </row>
    <row r="68" spans="1:118" s="1522" customFormat="1" ht="12.75" customHeight="1" outlineLevel="1" x14ac:dyDescent="0.2">
      <c r="C68" s="1496" t="s">
        <v>311</v>
      </c>
      <c r="D68" s="14" t="str">
        <f>INDEX(Modulos[Modulos], MATCH($C68, Modulos[Código], 0))</f>
        <v>Plantas Solares</v>
      </c>
      <c r="E68" s="1497"/>
      <c r="F68" s="14"/>
      <c r="G68" s="1498"/>
      <c r="H68" s="1498"/>
      <c r="I68" s="1498"/>
      <c r="J68" s="1498"/>
      <c r="K68" s="1498"/>
      <c r="L68" s="1498"/>
      <c r="M68" s="1498"/>
      <c r="N68" s="1498"/>
      <c r="O68" s="1498"/>
      <c r="P68" s="1498"/>
      <c r="Q68" s="1498"/>
      <c r="R68" s="1498"/>
      <c r="S68" s="1498"/>
      <c r="T68" s="1498"/>
      <c r="U68" s="1498"/>
      <c r="V68" s="1498"/>
      <c r="W68" s="1499"/>
      <c r="X68" s="14"/>
      <c r="Y68" s="1893">
        <f ca="1">IFERROR(INDEX(INDIRECT($C68&amp;".Outputs["&amp;this.Year&amp;"]"), MATCH(Y$5, INDIRECT($C68&amp;".Outputs[Vector]"), 0)), 0)</f>
        <v>0</v>
      </c>
      <c r="Z68" s="1893">
        <f t="shared" ca="1" si="39"/>
        <v>9.8520197399999976</v>
      </c>
      <c r="AA68" s="1893">
        <f t="shared" ca="1" si="39"/>
        <v>0</v>
      </c>
      <c r="AB68" s="1893">
        <f t="shared" ca="1" si="39"/>
        <v>0</v>
      </c>
      <c r="AC68" s="1893">
        <f t="shared" ca="1" si="39"/>
        <v>0</v>
      </c>
      <c r="AD68" s="1893">
        <f t="shared" ca="1" si="39"/>
        <v>0</v>
      </c>
      <c r="AE68" s="1893">
        <f t="shared" ca="1" si="39"/>
        <v>0</v>
      </c>
      <c r="AF68" s="1893">
        <f t="shared" ca="1" si="39"/>
        <v>0</v>
      </c>
      <c r="AG68" s="1893">
        <f t="shared" ca="1" si="39"/>
        <v>0</v>
      </c>
      <c r="AH68" s="1893">
        <f t="shared" ca="1" si="39"/>
        <v>0</v>
      </c>
      <c r="AI68" s="1893">
        <f t="shared" ca="1" si="40"/>
        <v>0</v>
      </c>
      <c r="AJ68" s="1893">
        <f t="shared" ca="1" si="40"/>
        <v>0</v>
      </c>
      <c r="AK68" s="1893">
        <f t="shared" ca="1" si="40"/>
        <v>0</v>
      </c>
      <c r="AL68" s="1893">
        <f t="shared" ca="1" si="40"/>
        <v>0</v>
      </c>
      <c r="AM68" s="1893">
        <f t="shared" ca="1" si="40"/>
        <v>0</v>
      </c>
      <c r="AN68" s="1893">
        <f t="shared" ca="1" si="40"/>
        <v>0</v>
      </c>
      <c r="AO68" s="1893">
        <f t="shared" ca="1" si="40"/>
        <v>0</v>
      </c>
      <c r="AP68" s="1893">
        <f t="shared" ca="1" si="40"/>
        <v>0</v>
      </c>
      <c r="AQ68" s="1951">
        <f t="shared" ca="1" si="41"/>
        <v>9.8520197399999976</v>
      </c>
      <c r="AR68" s="14"/>
      <c r="AS68" s="1948">
        <f ca="1">IFERROR(INDEX(INDIRECT($C68&amp;".Outputs["&amp;this.Year&amp;"]"), MATCH(AS$5, INDIRECT($C68&amp;".Outputs[Vector]"), 0)), 0)</f>
        <v>0</v>
      </c>
      <c r="AT68" s="1948">
        <f t="shared" ca="1" si="42"/>
        <v>0</v>
      </c>
      <c r="AU68" s="1948">
        <f t="shared" ca="1" si="42"/>
        <v>0</v>
      </c>
      <c r="AV68" s="1948">
        <f t="shared" ca="1" si="42"/>
        <v>0</v>
      </c>
      <c r="AW68" s="1948">
        <f t="shared" ca="1" si="42"/>
        <v>0</v>
      </c>
      <c r="AX68" s="1948">
        <f t="shared" ca="1" si="42"/>
        <v>0</v>
      </c>
      <c r="AY68" s="1948">
        <f t="shared" ca="1" si="42"/>
        <v>0</v>
      </c>
      <c r="AZ68" s="1948">
        <f t="shared" ca="1" si="42"/>
        <v>0</v>
      </c>
      <c r="BA68" s="1948">
        <f t="shared" ca="1" si="42"/>
        <v>0</v>
      </c>
      <c r="BB68" s="1948">
        <f t="shared" ca="1" si="42"/>
        <v>0</v>
      </c>
      <c r="BC68" s="1948">
        <f t="shared" ca="1" si="43"/>
        <v>-10.045835999999998</v>
      </c>
      <c r="BD68" s="1948">
        <f t="shared" ca="1" si="43"/>
        <v>0</v>
      </c>
      <c r="BE68" s="1948">
        <f t="shared" ca="1" si="43"/>
        <v>0</v>
      </c>
      <c r="BF68" s="1948">
        <f t="shared" ca="1" si="43"/>
        <v>0</v>
      </c>
      <c r="BG68" s="1948">
        <f t="shared" ca="1" si="43"/>
        <v>0</v>
      </c>
      <c r="BH68" s="1948">
        <f t="shared" ca="1" si="43"/>
        <v>0</v>
      </c>
      <c r="BI68" s="1948">
        <f t="shared" ca="1" si="43"/>
        <v>0</v>
      </c>
      <c r="BJ68" s="1948">
        <f t="shared" ca="1" si="43"/>
        <v>0</v>
      </c>
      <c r="BK68" s="1948">
        <f t="shared" ca="1" si="43"/>
        <v>0</v>
      </c>
      <c r="BL68" s="1952">
        <f t="shared" ca="1" si="44"/>
        <v>-10.045835999999998</v>
      </c>
      <c r="BM68" s="14"/>
      <c r="BN68" s="1941">
        <f t="shared" ca="1" si="45"/>
        <v>0.19381625999999999</v>
      </c>
      <c r="BO68" s="1941">
        <f t="shared" ca="1" si="45"/>
        <v>0</v>
      </c>
      <c r="BP68" s="1505">
        <f t="shared" ca="1" si="46"/>
        <v>0.19381625999999999</v>
      </c>
      <c r="BQ68" s="14"/>
      <c r="BR68" s="3168">
        <f t="shared" ca="1" si="12"/>
        <v>0</v>
      </c>
      <c r="BS68" s="1525"/>
      <c r="BT68" s="748"/>
      <c r="BU68" s="1507"/>
      <c r="BV68" s="1508"/>
      <c r="BW68" s="1508"/>
      <c r="BX68" s="1508"/>
      <c r="BY68" s="1508"/>
      <c r="BZ68" s="1508"/>
      <c r="CA68" s="1508"/>
      <c r="CB68" s="1508"/>
      <c r="CC68" s="1508"/>
      <c r="CD68" s="1508"/>
      <c r="CE68" s="1508"/>
      <c r="CF68" s="1508"/>
      <c r="CG68" s="1508"/>
      <c r="CH68" s="1508"/>
      <c r="CI68" s="1508"/>
      <c r="CJ68" s="1508"/>
      <c r="CK68" s="1508"/>
      <c r="CL68" s="1508"/>
      <c r="CM68" s="1508"/>
      <c r="CN68" s="1508"/>
      <c r="CO68" s="1508"/>
      <c r="CP68" s="1508"/>
      <c r="CQ68" s="1508"/>
      <c r="CR68" s="1508"/>
      <c r="CS68" s="1508"/>
      <c r="CT68" s="1508"/>
      <c r="CU68" s="1508"/>
      <c r="CV68" s="1508"/>
      <c r="CW68" s="1508"/>
      <c r="CX68" s="1508"/>
      <c r="CY68" s="1508"/>
      <c r="CZ68" s="1508"/>
      <c r="DA68" s="1508"/>
      <c r="DB68" s="1508"/>
      <c r="DC68" s="1508"/>
      <c r="DD68" s="1508"/>
      <c r="DE68" s="1508"/>
      <c r="DF68" s="1508"/>
      <c r="DG68" s="1508"/>
      <c r="DH68" s="1508"/>
      <c r="DI68" s="1508"/>
      <c r="DJ68" s="1508"/>
      <c r="DK68" s="1508"/>
      <c r="DL68" s="1508"/>
      <c r="DN68" s="1509"/>
    </row>
    <row r="69" spans="1:118" s="14" customFormat="1" ht="12.75" customHeight="1" outlineLevel="1" x14ac:dyDescent="0.2">
      <c r="A69" s="1522"/>
      <c r="B69" s="1522"/>
      <c r="C69" s="1496"/>
      <c r="E69" s="1526"/>
      <c r="G69" s="1540"/>
      <c r="H69" s="1540"/>
      <c r="I69" s="1540"/>
      <c r="J69" s="1540"/>
      <c r="K69" s="1540"/>
      <c r="L69" s="1540"/>
      <c r="M69" s="1540"/>
      <c r="N69" s="1540"/>
      <c r="O69" s="1540"/>
      <c r="P69" s="1540"/>
      <c r="Q69" s="1540"/>
      <c r="R69" s="1540"/>
      <c r="S69" s="1540"/>
      <c r="T69" s="1540"/>
      <c r="U69" s="1540"/>
      <c r="V69" s="1540"/>
      <c r="W69" s="1527"/>
      <c r="Y69" s="1541">
        <f ca="1">IFERROR(INDEX(INDIRECT($C69&amp;".Outputs["&amp;this.Year&amp;"]"), MATCH(Y$5, INDIRECT($C69&amp;".Outputs[Vector]"), 0)), 0)</f>
        <v>0</v>
      </c>
      <c r="Z69" s="1541">
        <f t="shared" ca="1" si="39"/>
        <v>0</v>
      </c>
      <c r="AA69" s="1541">
        <f t="shared" ca="1" si="39"/>
        <v>0</v>
      </c>
      <c r="AB69" s="1541">
        <f t="shared" ca="1" si="39"/>
        <v>0</v>
      </c>
      <c r="AC69" s="1541">
        <f t="shared" ca="1" si="39"/>
        <v>0</v>
      </c>
      <c r="AD69" s="1541">
        <f t="shared" ca="1" si="39"/>
        <v>0</v>
      </c>
      <c r="AE69" s="1541">
        <f t="shared" ca="1" si="39"/>
        <v>0</v>
      </c>
      <c r="AF69" s="1541">
        <f t="shared" ca="1" si="39"/>
        <v>0</v>
      </c>
      <c r="AG69" s="1541">
        <f t="shared" ca="1" si="39"/>
        <v>0</v>
      </c>
      <c r="AH69" s="1541">
        <f t="shared" ca="1" si="39"/>
        <v>0</v>
      </c>
      <c r="AI69" s="1541">
        <f t="shared" ca="1" si="39"/>
        <v>0</v>
      </c>
      <c r="AJ69" s="1541">
        <f t="shared" ca="1" si="39"/>
        <v>0</v>
      </c>
      <c r="AK69" s="1541">
        <f t="shared" ca="1" si="40"/>
        <v>0</v>
      </c>
      <c r="AL69" s="1541">
        <f t="shared" ca="1" si="39"/>
        <v>0</v>
      </c>
      <c r="AM69" s="1541">
        <f t="shared" ca="1" si="39"/>
        <v>0</v>
      </c>
      <c r="AN69" s="1541">
        <f t="shared" ca="1" si="39"/>
        <v>0</v>
      </c>
      <c r="AO69" s="1541">
        <f t="shared" ca="1" si="40"/>
        <v>0</v>
      </c>
      <c r="AP69" s="1541">
        <f t="shared" ca="1" si="40"/>
        <v>0</v>
      </c>
      <c r="AQ69" s="1951">
        <f t="shared" ca="1" si="41"/>
        <v>0</v>
      </c>
      <c r="AS69" s="1542">
        <f ca="1">IFERROR(INDEX(INDIRECT($C69&amp;".Outputs["&amp;this.Year&amp;"]"), MATCH(AS$5, INDIRECT($C69&amp;".Outputs[Vector]"), 0)), 0)</f>
        <v>0</v>
      </c>
      <c r="AT69" s="1542">
        <f t="shared" ca="1" si="42"/>
        <v>0</v>
      </c>
      <c r="AU69" s="1542">
        <f t="shared" ca="1" si="42"/>
        <v>0</v>
      </c>
      <c r="AV69" s="1542">
        <f t="shared" ca="1" si="42"/>
        <v>0</v>
      </c>
      <c r="AW69" s="1542">
        <f t="shared" ca="1" si="42"/>
        <v>0</v>
      </c>
      <c r="AX69" s="1542">
        <f t="shared" ca="1" si="42"/>
        <v>0</v>
      </c>
      <c r="AY69" s="1542">
        <f t="shared" ca="1" si="42"/>
        <v>0</v>
      </c>
      <c r="AZ69" s="1542">
        <f t="shared" ca="1" si="42"/>
        <v>0</v>
      </c>
      <c r="BA69" s="1542">
        <f t="shared" ca="1" si="42"/>
        <v>0</v>
      </c>
      <c r="BB69" s="1542">
        <f t="shared" ca="1" si="42"/>
        <v>0</v>
      </c>
      <c r="BC69" s="1542">
        <f t="shared" ca="1" si="42"/>
        <v>0</v>
      </c>
      <c r="BD69" s="1542">
        <f t="shared" ca="1" si="42"/>
        <v>0</v>
      </c>
      <c r="BE69" s="1542">
        <f t="shared" ca="1" si="42"/>
        <v>0</v>
      </c>
      <c r="BF69" s="1542">
        <f t="shared" ca="1" si="42"/>
        <v>0</v>
      </c>
      <c r="BG69" s="1542">
        <f t="shared" ca="1" si="42"/>
        <v>0</v>
      </c>
      <c r="BH69" s="1542">
        <f t="shared" ca="1" si="42"/>
        <v>0</v>
      </c>
      <c r="BI69" s="1542">
        <f t="shared" ca="1" si="43"/>
        <v>0</v>
      </c>
      <c r="BJ69" s="1542">
        <f t="shared" ca="1" si="43"/>
        <v>0</v>
      </c>
      <c r="BK69" s="1542">
        <f t="shared" ca="1" si="43"/>
        <v>0</v>
      </c>
      <c r="BL69" s="1952">
        <f t="shared" ca="1" si="44"/>
        <v>0</v>
      </c>
      <c r="BN69" s="1543"/>
      <c r="BO69" s="1543"/>
      <c r="BP69" s="1531"/>
      <c r="BR69" s="3168">
        <f t="shared" ca="1" si="12"/>
        <v>0</v>
      </c>
      <c r="BS69" s="1525"/>
      <c r="BT69" s="748"/>
      <c r="BU69" s="1532">
        <v>0</v>
      </c>
      <c r="BV69" s="1533">
        <v>0</v>
      </c>
      <c r="BW69" s="1533">
        <v>0</v>
      </c>
      <c r="BX69" s="1533">
        <v>0</v>
      </c>
      <c r="BY69" s="1533">
        <v>0</v>
      </c>
      <c r="BZ69" s="1533">
        <v>0</v>
      </c>
      <c r="CA69" s="1533">
        <v>0</v>
      </c>
      <c r="CB69" s="1533">
        <v>0</v>
      </c>
      <c r="CC69" s="1533">
        <v>0</v>
      </c>
      <c r="CD69" s="1533">
        <v>0</v>
      </c>
      <c r="CE69" s="1533">
        <v>0</v>
      </c>
      <c r="CF69" s="1533">
        <v>0</v>
      </c>
      <c r="CG69" s="1533">
        <v>0</v>
      </c>
      <c r="CH69" s="1533">
        <v>0</v>
      </c>
      <c r="CI69" s="1533">
        <v>0</v>
      </c>
      <c r="CJ69" s="1533">
        <v>0</v>
      </c>
      <c r="CK69" s="1533">
        <v>0</v>
      </c>
      <c r="CL69" s="1533">
        <v>0</v>
      </c>
      <c r="CM69" s="1533">
        <v>0</v>
      </c>
      <c r="CN69" s="1533">
        <v>0</v>
      </c>
      <c r="CO69" s="1533">
        <v>0</v>
      </c>
      <c r="CP69" s="1533">
        <v>0</v>
      </c>
      <c r="CQ69" s="1533">
        <v>0</v>
      </c>
      <c r="CR69" s="1533">
        <v>0</v>
      </c>
      <c r="CS69" s="1533">
        <v>0</v>
      </c>
      <c r="CT69" s="1533">
        <v>0</v>
      </c>
      <c r="CU69" s="1533">
        <v>0</v>
      </c>
      <c r="CV69" s="1533">
        <v>0</v>
      </c>
      <c r="CW69" s="1533">
        <v>0</v>
      </c>
      <c r="CX69" s="1533">
        <v>0</v>
      </c>
      <c r="CY69" s="1533">
        <v>0</v>
      </c>
      <c r="CZ69" s="1533">
        <v>0</v>
      </c>
      <c r="DA69" s="1533">
        <v>0</v>
      </c>
      <c r="DB69" s="1533">
        <v>0</v>
      </c>
      <c r="DC69" s="1533">
        <v>0</v>
      </c>
      <c r="DD69" s="1533">
        <v>0</v>
      </c>
      <c r="DE69" s="1533">
        <v>0</v>
      </c>
      <c r="DF69" s="1533">
        <v>0</v>
      </c>
      <c r="DG69" s="1533">
        <v>0</v>
      </c>
      <c r="DH69" s="1533">
        <v>0</v>
      </c>
      <c r="DI69" s="1533">
        <v>0</v>
      </c>
      <c r="DJ69" s="1533">
        <v>0</v>
      </c>
      <c r="DK69" s="1533">
        <v>0</v>
      </c>
      <c r="DL69" s="1533">
        <v>0</v>
      </c>
      <c r="DN69" s="1509">
        <v>0</v>
      </c>
    </row>
    <row r="70" spans="1:118" s="14" customFormat="1" ht="15.75" x14ac:dyDescent="0.2">
      <c r="A70" s="1534"/>
      <c r="B70" s="1535"/>
      <c r="C70" s="1536" t="s">
        <v>206</v>
      </c>
      <c r="D70" s="1537" t="str">
        <f>INDEX(Flujos[Flujos], MATCH($C70, Flujos[Código], 0))</f>
        <v>Energía Renovable</v>
      </c>
      <c r="E70" s="1538"/>
      <c r="G70" s="1488"/>
      <c r="H70" s="1488"/>
      <c r="I70" s="1488"/>
      <c r="J70" s="1488"/>
      <c r="K70" s="1488"/>
      <c r="L70" s="1488"/>
      <c r="M70" s="1488"/>
      <c r="N70" s="1488"/>
      <c r="O70" s="1488"/>
      <c r="P70" s="1488"/>
      <c r="Q70" s="1488"/>
      <c r="R70" s="1488"/>
      <c r="S70" s="1488"/>
      <c r="T70" s="1488"/>
      <c r="U70" s="1488"/>
      <c r="V70" s="1488"/>
      <c r="W70" s="1539"/>
      <c r="Y70" s="1490">
        <f ca="1">SUM(Y62:Y69)</f>
        <v>0</v>
      </c>
      <c r="Z70" s="1490">
        <f t="shared" ref="Z70:AP70" ca="1" si="47">SUM(Z62:Z69)</f>
        <v>44.590724612399995</v>
      </c>
      <c r="AA70" s="1490">
        <f t="shared" ca="1" si="47"/>
        <v>0</v>
      </c>
      <c r="AB70" s="1490">
        <f t="shared" ca="1" si="47"/>
        <v>0</v>
      </c>
      <c r="AC70" s="1490">
        <f t="shared" ca="1" si="47"/>
        <v>0</v>
      </c>
      <c r="AD70" s="1490">
        <f t="shared" ca="1" si="47"/>
        <v>0</v>
      </c>
      <c r="AE70" s="1490">
        <f t="shared" ca="1" si="47"/>
        <v>0</v>
      </c>
      <c r="AF70" s="1490">
        <f t="shared" ca="1" si="47"/>
        <v>0</v>
      </c>
      <c r="AG70" s="1490">
        <f t="shared" ca="1" si="47"/>
        <v>0</v>
      </c>
      <c r="AH70" s="1490">
        <f t="shared" ca="1" si="47"/>
        <v>0</v>
      </c>
      <c r="AI70" s="1490">
        <f t="shared" ca="1" si="47"/>
        <v>0</v>
      </c>
      <c r="AJ70" s="1490">
        <f t="shared" ca="1" si="47"/>
        <v>0</v>
      </c>
      <c r="AK70" s="1490">
        <f t="shared" ca="1" si="47"/>
        <v>0</v>
      </c>
      <c r="AL70" s="1490">
        <f t="shared" ca="1" si="47"/>
        <v>0</v>
      </c>
      <c r="AM70" s="1490">
        <f t="shared" ca="1" si="47"/>
        <v>0</v>
      </c>
      <c r="AN70" s="1490">
        <f t="shared" ca="1" si="47"/>
        <v>0</v>
      </c>
      <c r="AO70" s="1490">
        <f t="shared" ca="1" si="47"/>
        <v>0</v>
      </c>
      <c r="AP70" s="1490">
        <f t="shared" ca="1" si="47"/>
        <v>0</v>
      </c>
      <c r="AQ70" s="1893">
        <f t="shared" ca="1" si="41"/>
        <v>44.590724612399995</v>
      </c>
      <c r="AS70" s="1491">
        <f ca="1">SUM(AS62:AS69)</f>
        <v>0</v>
      </c>
      <c r="AT70" s="1491">
        <f t="shared" ref="AT70:BK70" ca="1" si="48">SUM(AT62:AT69)</f>
        <v>0</v>
      </c>
      <c r="AU70" s="1491">
        <f t="shared" ca="1" si="48"/>
        <v>0</v>
      </c>
      <c r="AV70" s="1491">
        <f t="shared" ca="1" si="48"/>
        <v>0</v>
      </c>
      <c r="AW70" s="1491">
        <f t="shared" ca="1" si="48"/>
        <v>0</v>
      </c>
      <c r="AX70" s="1491">
        <f t="shared" ca="1" si="48"/>
        <v>0</v>
      </c>
      <c r="AY70" s="1491">
        <f t="shared" ca="1" si="48"/>
        <v>0</v>
      </c>
      <c r="AZ70" s="1491">
        <f t="shared" ca="1" si="48"/>
        <v>0</v>
      </c>
      <c r="BA70" s="1491">
        <f t="shared" ca="1" si="48"/>
        <v>0</v>
      </c>
      <c r="BB70" s="1491">
        <f t="shared" ca="1" si="48"/>
        <v>0</v>
      </c>
      <c r="BC70" s="1491">
        <f t="shared" ca="1" si="48"/>
        <v>-10.045835999999998</v>
      </c>
      <c r="BD70" s="1491">
        <f t="shared" ca="1" si="48"/>
        <v>-6.0765023999999981</v>
      </c>
      <c r="BE70" s="1491">
        <f t="shared" ca="1" si="48"/>
        <v>-4.3241801400000002E-2</v>
      </c>
      <c r="BF70" s="1491">
        <f t="shared" ca="1" si="48"/>
        <v>-0.133843671</v>
      </c>
      <c r="BG70" s="1491">
        <f t="shared" ca="1" si="48"/>
        <v>-0.35064000000000006</v>
      </c>
      <c r="BH70" s="1491">
        <f t="shared" ca="1" si="48"/>
        <v>-28.134477000000004</v>
      </c>
      <c r="BI70" s="1491">
        <f t="shared" ca="1" si="48"/>
        <v>0</v>
      </c>
      <c r="BJ70" s="1491">
        <f t="shared" ca="1" si="48"/>
        <v>0</v>
      </c>
      <c r="BK70" s="1491">
        <f t="shared" ca="1" si="48"/>
        <v>0</v>
      </c>
      <c r="BL70" s="1952">
        <f t="shared" ca="1" si="44"/>
        <v>-44.784540872400001</v>
      </c>
      <c r="BN70" s="1941">
        <f ca="1">SUM(BN62:BN68)</f>
        <v>0.19381625999999999</v>
      </c>
      <c r="BO70" s="1941">
        <f ca="1">SUM(BO62:BO68)</f>
        <v>0</v>
      </c>
      <c r="BP70" s="1505">
        <f ca="1">BN70+BO70</f>
        <v>0.19381625999999999</v>
      </c>
      <c r="BR70" s="3168">
        <f t="shared" ca="1" si="12"/>
        <v>-5.5233595475101538E-15</v>
      </c>
      <c r="BS70" s="1493"/>
      <c r="BT70" s="748"/>
      <c r="BU70" s="1508">
        <v>0</v>
      </c>
      <c r="BV70" s="1508">
        <v>0</v>
      </c>
      <c r="BW70" s="1508">
        <v>0</v>
      </c>
      <c r="BX70" s="1508">
        <v>0</v>
      </c>
      <c r="BY70" s="1508">
        <v>0</v>
      </c>
      <c r="BZ70" s="1508">
        <v>0</v>
      </c>
      <c r="CA70" s="1508">
        <v>0</v>
      </c>
      <c r="CB70" s="1508">
        <v>0</v>
      </c>
      <c r="CC70" s="1508">
        <v>0</v>
      </c>
      <c r="CD70" s="1508">
        <v>0</v>
      </c>
      <c r="CE70" s="1508">
        <v>0</v>
      </c>
      <c r="CF70" s="1508">
        <v>0</v>
      </c>
      <c r="CG70" s="1508">
        <v>0</v>
      </c>
      <c r="CH70" s="1508">
        <v>0</v>
      </c>
      <c r="CI70" s="1508">
        <v>0</v>
      </c>
      <c r="CJ70" s="1508">
        <v>0</v>
      </c>
      <c r="CK70" s="1508">
        <v>0</v>
      </c>
      <c r="CL70" s="1508">
        <v>0</v>
      </c>
      <c r="CM70" s="1508">
        <v>0</v>
      </c>
      <c r="CN70" s="1508">
        <v>0</v>
      </c>
      <c r="CO70" s="1508">
        <v>0</v>
      </c>
      <c r="CP70" s="1508">
        <v>0</v>
      </c>
      <c r="CQ70" s="1508">
        <v>0</v>
      </c>
      <c r="CR70" s="1508">
        <v>0</v>
      </c>
      <c r="CS70" s="1508">
        <v>0</v>
      </c>
      <c r="CT70" s="1508">
        <v>0</v>
      </c>
      <c r="CU70" s="1508">
        <v>0</v>
      </c>
      <c r="CV70" s="1508">
        <v>0</v>
      </c>
      <c r="CW70" s="1508">
        <v>0</v>
      </c>
      <c r="CX70" s="1508">
        <v>0</v>
      </c>
      <c r="CY70" s="1508">
        <v>0</v>
      </c>
      <c r="CZ70" s="1508">
        <v>0</v>
      </c>
      <c r="DA70" s="1508">
        <v>0</v>
      </c>
      <c r="DB70" s="1508">
        <v>0</v>
      </c>
      <c r="DC70" s="1508">
        <v>0</v>
      </c>
      <c r="DD70" s="1508">
        <v>0</v>
      </c>
      <c r="DE70" s="1508">
        <v>0</v>
      </c>
      <c r="DF70" s="1508">
        <v>0</v>
      </c>
      <c r="DG70" s="1508">
        <v>0</v>
      </c>
      <c r="DH70" s="1508">
        <v>0</v>
      </c>
      <c r="DI70" s="1508">
        <v>0</v>
      </c>
      <c r="DJ70" s="1508">
        <v>0</v>
      </c>
      <c r="DK70" s="1508">
        <v>0</v>
      </c>
      <c r="DL70" s="1508">
        <v>0</v>
      </c>
      <c r="DN70" s="1509">
        <v>0</v>
      </c>
    </row>
    <row r="71" spans="1:118" s="14" customFormat="1" ht="15.75" x14ac:dyDescent="0.2">
      <c r="A71" s="1534"/>
      <c r="B71" s="1535"/>
      <c r="C71" s="1536"/>
      <c r="D71" s="1537"/>
      <c r="E71" s="1538"/>
      <c r="G71" s="1488"/>
      <c r="H71" s="1488"/>
      <c r="I71" s="1488"/>
      <c r="J71" s="1488"/>
      <c r="K71" s="1488"/>
      <c r="L71" s="1488"/>
      <c r="M71" s="1488"/>
      <c r="N71" s="1488"/>
      <c r="O71" s="1488"/>
      <c r="P71" s="1488"/>
      <c r="Q71" s="1488"/>
      <c r="R71" s="1488"/>
      <c r="S71" s="1488"/>
      <c r="T71" s="1488"/>
      <c r="U71" s="1488"/>
      <c r="V71" s="1488"/>
      <c r="W71" s="1539"/>
      <c r="Y71" s="1490"/>
      <c r="Z71" s="1490"/>
      <c r="AA71" s="1490"/>
      <c r="AB71" s="1490"/>
      <c r="AC71" s="1490"/>
      <c r="AD71" s="1490"/>
      <c r="AE71" s="1490"/>
      <c r="AF71" s="1490"/>
      <c r="AG71" s="1490"/>
      <c r="AH71" s="1490"/>
      <c r="AI71" s="1490"/>
      <c r="AJ71" s="1490"/>
      <c r="AK71" s="1490"/>
      <c r="AL71" s="1490"/>
      <c r="AM71" s="1490"/>
      <c r="AN71" s="1490"/>
      <c r="AO71" s="1490"/>
      <c r="AP71" s="1490"/>
      <c r="AQ71" s="1893"/>
      <c r="AS71" s="1491"/>
      <c r="AT71" s="1491"/>
      <c r="AU71" s="1491"/>
      <c r="AV71" s="1491"/>
      <c r="AW71" s="1491"/>
      <c r="AX71" s="1491"/>
      <c r="AY71" s="1491"/>
      <c r="AZ71" s="1491"/>
      <c r="BA71" s="1491"/>
      <c r="BB71" s="1491"/>
      <c r="BC71" s="1491"/>
      <c r="BD71" s="1491"/>
      <c r="BE71" s="1491"/>
      <c r="BF71" s="1491"/>
      <c r="BG71" s="1491"/>
      <c r="BH71" s="1491"/>
      <c r="BI71" s="1491"/>
      <c r="BJ71" s="1491"/>
      <c r="BK71" s="1491"/>
      <c r="BL71" s="1491"/>
      <c r="BN71" s="1492"/>
      <c r="BO71" s="1492"/>
      <c r="BP71" s="1492"/>
      <c r="BR71" s="3168"/>
      <c r="BS71" s="1493"/>
      <c r="BT71" s="748"/>
      <c r="BU71" s="1508"/>
      <c r="BV71" s="1508"/>
      <c r="BW71" s="1508"/>
      <c r="BX71" s="1508"/>
      <c r="BY71" s="1508"/>
      <c r="BZ71" s="1508"/>
      <c r="CA71" s="1508"/>
      <c r="CB71" s="1508"/>
      <c r="CC71" s="1508"/>
      <c r="CD71" s="1508"/>
      <c r="CE71" s="1508"/>
      <c r="CF71" s="1508"/>
      <c r="CG71" s="1508"/>
      <c r="CH71" s="1508"/>
      <c r="CI71" s="1508"/>
      <c r="CJ71" s="1508"/>
      <c r="CK71" s="1508"/>
      <c r="CL71" s="1508"/>
      <c r="CM71" s="1508"/>
      <c r="CN71" s="1508"/>
      <c r="CO71" s="1508"/>
      <c r="CP71" s="1508"/>
      <c r="CQ71" s="1508"/>
      <c r="CR71" s="1508"/>
      <c r="CS71" s="1508"/>
      <c r="CT71" s="1508"/>
      <c r="CU71" s="1508"/>
      <c r="CV71" s="1508"/>
      <c r="CW71" s="1508"/>
      <c r="CX71" s="1508"/>
      <c r="CY71" s="1508"/>
      <c r="CZ71" s="1508"/>
      <c r="DA71" s="1508"/>
      <c r="DB71" s="1508"/>
      <c r="DC71" s="1508"/>
      <c r="DD71" s="1508"/>
      <c r="DE71" s="1508"/>
      <c r="DF71" s="1508"/>
      <c r="DG71" s="1508"/>
      <c r="DH71" s="1508"/>
      <c r="DI71" s="1508"/>
      <c r="DJ71" s="1508"/>
      <c r="DK71" s="1508"/>
      <c r="DL71" s="1508"/>
      <c r="DN71" s="1509"/>
    </row>
    <row r="72" spans="1:118" s="14" customFormat="1" ht="12.75" customHeight="1" outlineLevel="1" x14ac:dyDescent="0.2">
      <c r="A72" s="1534"/>
      <c r="B72" s="1534"/>
      <c r="C72" s="1544"/>
      <c r="D72" s="1538"/>
      <c r="E72" s="1538"/>
      <c r="G72" s="1488"/>
      <c r="H72" s="1488"/>
      <c r="I72" s="1488"/>
      <c r="J72" s="1488"/>
      <c r="K72" s="1488"/>
      <c r="L72" s="1488"/>
      <c r="M72" s="1488"/>
      <c r="N72" s="1488"/>
      <c r="O72" s="1563"/>
      <c r="P72" s="1488"/>
      <c r="Q72" s="1488"/>
      <c r="R72" s="1488"/>
      <c r="S72" s="1488"/>
      <c r="T72" s="1488"/>
      <c r="U72" s="1488"/>
      <c r="V72" s="1488"/>
      <c r="W72" s="1488"/>
      <c r="Y72" s="1490"/>
      <c r="Z72" s="1490"/>
      <c r="AA72" s="1490"/>
      <c r="AB72" s="1490"/>
      <c r="AC72" s="1490"/>
      <c r="AD72" s="1490"/>
      <c r="AE72" s="1490"/>
      <c r="AF72" s="1490"/>
      <c r="AG72" s="1490"/>
      <c r="AH72" s="1490"/>
      <c r="AI72" s="1490"/>
      <c r="AJ72" s="1490"/>
      <c r="AK72" s="1490"/>
      <c r="AL72" s="1490"/>
      <c r="AM72" s="1490"/>
      <c r="AN72" s="1490"/>
      <c r="AO72" s="1490"/>
      <c r="AP72" s="1490"/>
      <c r="AQ72" s="1893"/>
      <c r="AS72" s="1491"/>
      <c r="AT72" s="1491"/>
      <c r="AU72" s="1491"/>
      <c r="AV72" s="1491"/>
      <c r="AW72" s="1491"/>
      <c r="AX72" s="1491"/>
      <c r="AY72" s="1491"/>
      <c r="AZ72" s="1491"/>
      <c r="BA72" s="1491"/>
      <c r="BB72" s="1491"/>
      <c r="BC72" s="1491"/>
      <c r="BD72" s="1491"/>
      <c r="BE72" s="1491"/>
      <c r="BF72" s="1491"/>
      <c r="BG72" s="1491"/>
      <c r="BH72" s="1491"/>
      <c r="BI72" s="1491"/>
      <c r="BJ72" s="1491"/>
      <c r="BK72" s="1491"/>
      <c r="BL72" s="1491"/>
      <c r="BN72" s="1492"/>
      <c r="BO72" s="1492"/>
      <c r="BP72" s="1492"/>
      <c r="BR72" s="3168">
        <f t="shared" si="12"/>
        <v>0</v>
      </c>
      <c r="BS72" s="1493"/>
      <c r="BT72" s="1534"/>
      <c r="BU72" s="1508"/>
      <c r="BV72" s="1508"/>
      <c r="BW72" s="1508"/>
      <c r="BX72" s="1508"/>
      <c r="BY72" s="1508"/>
      <c r="BZ72" s="1508"/>
      <c r="CA72" s="1508"/>
      <c r="CB72" s="1508"/>
      <c r="CC72" s="1508"/>
      <c r="CD72" s="1508"/>
      <c r="CE72" s="1508"/>
      <c r="CF72" s="1508"/>
      <c r="CG72" s="1508"/>
      <c r="CH72" s="1508"/>
      <c r="CI72" s="1508"/>
      <c r="CJ72" s="1508"/>
      <c r="CK72" s="1508"/>
      <c r="CL72" s="1508"/>
      <c r="CM72" s="1508"/>
      <c r="CN72" s="1508"/>
      <c r="CO72" s="1508"/>
      <c r="CP72" s="1508"/>
      <c r="CQ72" s="1508"/>
      <c r="CR72" s="1508"/>
      <c r="CS72" s="1508"/>
      <c r="CT72" s="1508"/>
      <c r="CU72" s="1508"/>
      <c r="CV72" s="1508"/>
      <c r="CW72" s="1508"/>
      <c r="CX72" s="1508"/>
      <c r="CY72" s="1508"/>
      <c r="CZ72" s="1508"/>
      <c r="DA72" s="1508"/>
      <c r="DB72" s="1508"/>
      <c r="DC72" s="1508"/>
      <c r="DD72" s="1508"/>
      <c r="DE72" s="1508"/>
      <c r="DF72" s="1508"/>
      <c r="DG72" s="1508"/>
      <c r="DH72" s="1508"/>
      <c r="DI72" s="1508"/>
      <c r="DJ72" s="1508"/>
      <c r="DK72" s="1508"/>
      <c r="DL72" s="1508"/>
      <c r="DN72" s="1509">
        <v>0</v>
      </c>
    </row>
    <row r="73" spans="1:118" s="1522" customFormat="1" ht="12.75" customHeight="1" outlineLevel="1" x14ac:dyDescent="0.2">
      <c r="C73" s="1496" t="s">
        <v>62</v>
      </c>
      <c r="D73" s="14" t="str">
        <f>INDEX(Modulos[Modulos], MATCH($C73, Modulos[Código], 0))</f>
        <v>Solar de menor escala (GD)</v>
      </c>
      <c r="E73" s="1497"/>
      <c r="G73" s="1581"/>
      <c r="H73" s="1581"/>
      <c r="I73" s="1581"/>
      <c r="J73" s="1581"/>
      <c r="K73" s="1581"/>
      <c r="L73" s="1581"/>
      <c r="M73" s="1581"/>
      <c r="N73" s="1581"/>
      <c r="O73" s="1582"/>
      <c r="P73" s="1581"/>
      <c r="Q73" s="1581"/>
      <c r="R73" s="1581"/>
      <c r="S73" s="1581"/>
      <c r="T73" s="1581"/>
      <c r="U73" s="1581"/>
      <c r="V73" s="1581"/>
      <c r="W73" s="1583"/>
      <c r="Y73" s="1893">
        <f t="shared" ref="Y73:AH74" ca="1" si="49">IFERROR(INDEX(INDIRECT($C73&amp;".Outputs["&amp;this.Year&amp;"]"), MATCH(Y$5, INDIRECT($C73&amp;".Outputs[Vector]"), 0)), 0)</f>
        <v>0</v>
      </c>
      <c r="Z73" s="1893">
        <f t="shared" ca="1" si="49"/>
        <v>0.39335245918156653</v>
      </c>
      <c r="AA73" s="1893">
        <f t="shared" ca="1" si="49"/>
        <v>0</v>
      </c>
      <c r="AB73" s="1893">
        <f t="shared" ca="1" si="49"/>
        <v>0</v>
      </c>
      <c r="AC73" s="1893">
        <f t="shared" ca="1" si="49"/>
        <v>0</v>
      </c>
      <c r="AD73" s="1893">
        <f t="shared" ca="1" si="49"/>
        <v>0</v>
      </c>
      <c r="AE73" s="1893">
        <f t="shared" ca="1" si="49"/>
        <v>0</v>
      </c>
      <c r="AF73" s="1893">
        <f t="shared" ca="1" si="49"/>
        <v>0</v>
      </c>
      <c r="AG73" s="1893">
        <f t="shared" ca="1" si="49"/>
        <v>0</v>
      </c>
      <c r="AH73" s="1893">
        <f t="shared" ca="1" si="49"/>
        <v>0</v>
      </c>
      <c r="AI73" s="1893">
        <f t="shared" ref="AI73:AP74" ca="1" si="50">IFERROR(INDEX(INDIRECT($C73&amp;".Outputs["&amp;this.Year&amp;"]"), MATCH(AI$5, INDIRECT($C73&amp;".Outputs[Vector]"), 0)), 0)</f>
        <v>0</v>
      </c>
      <c r="AJ73" s="1893">
        <f t="shared" ca="1" si="50"/>
        <v>0</v>
      </c>
      <c r="AK73" s="1893">
        <f t="shared" ca="1" si="50"/>
        <v>0</v>
      </c>
      <c r="AL73" s="1893">
        <f t="shared" ca="1" si="50"/>
        <v>0</v>
      </c>
      <c r="AM73" s="1893">
        <f t="shared" ca="1" si="50"/>
        <v>0</v>
      </c>
      <c r="AN73" s="1893">
        <f t="shared" ca="1" si="50"/>
        <v>0</v>
      </c>
      <c r="AO73" s="1893">
        <f t="shared" ca="1" si="50"/>
        <v>0</v>
      </c>
      <c r="AP73" s="1893">
        <f t="shared" ca="1" si="50"/>
        <v>0</v>
      </c>
      <c r="AQ73" s="1893">
        <f ca="1">SUM(Y73:AP73)</f>
        <v>0.39335245918156653</v>
      </c>
      <c r="AS73" s="1948">
        <f t="shared" ref="AS73:BB74" ca="1" si="51">IFERROR(INDEX(INDIRECT($C73&amp;".Outputs["&amp;this.Year&amp;"]"), MATCH(AS$5, INDIRECT($C73&amp;".Outputs[Vector]"), 0)), 0)</f>
        <v>0</v>
      </c>
      <c r="AT73" s="1948">
        <f t="shared" ca="1" si="51"/>
        <v>0</v>
      </c>
      <c r="AU73" s="1948">
        <f t="shared" ca="1" si="51"/>
        <v>0</v>
      </c>
      <c r="AV73" s="1948">
        <f t="shared" ca="1" si="51"/>
        <v>0</v>
      </c>
      <c r="AW73" s="1948">
        <f t="shared" ca="1" si="51"/>
        <v>0</v>
      </c>
      <c r="AX73" s="1948">
        <f t="shared" ca="1" si="51"/>
        <v>0</v>
      </c>
      <c r="AY73" s="1948">
        <f t="shared" ca="1" si="51"/>
        <v>0</v>
      </c>
      <c r="AZ73" s="1948">
        <f t="shared" ca="1" si="51"/>
        <v>0</v>
      </c>
      <c r="BA73" s="1948">
        <f t="shared" ca="1" si="51"/>
        <v>0</v>
      </c>
      <c r="BB73" s="1948">
        <f t="shared" ca="1" si="51"/>
        <v>0</v>
      </c>
      <c r="BC73" s="1948">
        <f t="shared" ref="BC73:BK74" ca="1" si="52">IFERROR(INDEX(INDIRECT($C73&amp;".Outputs["&amp;this.Year&amp;"]"), MATCH(BC$5, INDIRECT($C73&amp;".Outputs[Vector]"), 0)), 0)</f>
        <v>-0.39335245918156653</v>
      </c>
      <c r="BD73" s="1948">
        <f t="shared" ca="1" si="52"/>
        <v>0</v>
      </c>
      <c r="BE73" s="1948">
        <f t="shared" ca="1" si="52"/>
        <v>0</v>
      </c>
      <c r="BF73" s="1948">
        <f t="shared" ca="1" si="52"/>
        <v>0</v>
      </c>
      <c r="BG73" s="1948">
        <f t="shared" ca="1" si="52"/>
        <v>0</v>
      </c>
      <c r="BH73" s="1948">
        <f t="shared" ca="1" si="52"/>
        <v>0</v>
      </c>
      <c r="BI73" s="1948">
        <f t="shared" ca="1" si="52"/>
        <v>0</v>
      </c>
      <c r="BJ73" s="1948">
        <f t="shared" ca="1" si="52"/>
        <v>0</v>
      </c>
      <c r="BK73" s="1948">
        <f t="shared" ca="1" si="52"/>
        <v>0</v>
      </c>
      <c r="BL73" s="1952">
        <f ca="1">SUM(AS73:BK73)</f>
        <v>-0.39335245918156653</v>
      </c>
      <c r="BN73" s="1941">
        <f ca="1">IFERROR(INDEX(INDIRECT($C73&amp;".Outputs["&amp;this.Year&amp;"]"), MATCH(BN$5, INDIRECT($C73&amp;".Outputs[Vector]"), 0)), 0)</f>
        <v>0</v>
      </c>
      <c r="BO73" s="1941">
        <f ca="1">IFERROR(INDEX(INDIRECT($C73&amp;".Outputs["&amp;this.Year&amp;"]"), MATCH(BO$5, INDIRECT($C73&amp;".Outputs[Vector]"), 0)), 0)</f>
        <v>0</v>
      </c>
      <c r="BP73" s="1505">
        <f ca="1">BN73+BO73</f>
        <v>0</v>
      </c>
      <c r="BR73" s="3168">
        <f t="shared" ca="1" si="12"/>
        <v>0</v>
      </c>
      <c r="BS73" s="1525"/>
      <c r="BU73" s="1589">
        <v>0</v>
      </c>
      <c r="BV73" s="1589">
        <v>0</v>
      </c>
      <c r="BW73" s="1589">
        <v>0</v>
      </c>
      <c r="BX73" s="1589">
        <v>0</v>
      </c>
      <c r="BY73" s="1589">
        <v>0</v>
      </c>
      <c r="BZ73" s="1589">
        <v>0</v>
      </c>
      <c r="CA73" s="1589">
        <v>0</v>
      </c>
      <c r="CB73" s="1589">
        <v>0</v>
      </c>
      <c r="CC73" s="1589">
        <v>0</v>
      </c>
      <c r="CD73" s="1589">
        <v>0</v>
      </c>
      <c r="CE73" s="1589">
        <v>0</v>
      </c>
      <c r="CF73" s="1589">
        <v>0</v>
      </c>
      <c r="CG73" s="1589">
        <v>0</v>
      </c>
      <c r="CH73" s="1589">
        <v>0</v>
      </c>
      <c r="CI73" s="1589">
        <v>0</v>
      </c>
      <c r="CJ73" s="1589">
        <v>0</v>
      </c>
      <c r="CK73" s="1589">
        <v>0</v>
      </c>
      <c r="CL73" s="1589">
        <v>0</v>
      </c>
      <c r="CM73" s="1589">
        <v>0</v>
      </c>
      <c r="CN73" s="1589">
        <v>0</v>
      </c>
      <c r="CO73" s="1589">
        <v>0</v>
      </c>
      <c r="CP73" s="1589">
        <v>0</v>
      </c>
      <c r="CQ73" s="1589">
        <v>0</v>
      </c>
      <c r="CR73" s="1589">
        <v>0</v>
      </c>
      <c r="CS73" s="1589">
        <v>0</v>
      </c>
      <c r="CT73" s="1589">
        <v>0</v>
      </c>
      <c r="CU73" s="1589">
        <v>0</v>
      </c>
      <c r="CV73" s="1589">
        <v>0</v>
      </c>
      <c r="CW73" s="1589">
        <v>0</v>
      </c>
      <c r="CX73" s="1589">
        <v>0</v>
      </c>
      <c r="CY73" s="1589">
        <v>0</v>
      </c>
      <c r="CZ73" s="1589">
        <v>0</v>
      </c>
      <c r="DA73" s="1589">
        <v>0</v>
      </c>
      <c r="DB73" s="1589">
        <v>0</v>
      </c>
      <c r="DC73" s="1589">
        <v>0</v>
      </c>
      <c r="DD73" s="1589">
        <v>0</v>
      </c>
      <c r="DE73" s="1589">
        <v>0</v>
      </c>
      <c r="DF73" s="1589">
        <v>0</v>
      </c>
      <c r="DG73" s="1589">
        <v>0</v>
      </c>
      <c r="DH73" s="1589">
        <v>0</v>
      </c>
      <c r="DI73" s="1589">
        <v>0</v>
      </c>
      <c r="DJ73" s="1589">
        <v>0</v>
      </c>
      <c r="DK73" s="1589">
        <v>0</v>
      </c>
      <c r="DL73" s="1589">
        <v>0</v>
      </c>
      <c r="DN73" s="1590">
        <v>0</v>
      </c>
    </row>
    <row r="74" spans="1:118" s="1522" customFormat="1" ht="12.75" customHeight="1" outlineLevel="1" x14ac:dyDescent="0.2">
      <c r="C74" s="1496"/>
      <c r="D74" s="14"/>
      <c r="E74" s="1497"/>
      <c r="G74" s="1581"/>
      <c r="H74" s="1581"/>
      <c r="I74" s="1581"/>
      <c r="J74" s="1581"/>
      <c r="K74" s="1581"/>
      <c r="L74" s="1581"/>
      <c r="M74" s="1581"/>
      <c r="N74" s="1581"/>
      <c r="O74" s="1582"/>
      <c r="P74" s="1581"/>
      <c r="Q74" s="1581"/>
      <c r="R74" s="1581"/>
      <c r="S74" s="1581"/>
      <c r="T74" s="1581"/>
      <c r="U74" s="1581"/>
      <c r="V74" s="1581"/>
      <c r="W74" s="1583"/>
      <c r="Y74" s="1893">
        <f t="shared" ca="1" si="49"/>
        <v>0</v>
      </c>
      <c r="Z74" s="1893">
        <f t="shared" ca="1" si="49"/>
        <v>0</v>
      </c>
      <c r="AA74" s="1893">
        <f t="shared" ca="1" si="49"/>
        <v>0</v>
      </c>
      <c r="AB74" s="1893">
        <f t="shared" ca="1" si="49"/>
        <v>0</v>
      </c>
      <c r="AC74" s="1893">
        <f t="shared" ca="1" si="49"/>
        <v>0</v>
      </c>
      <c r="AD74" s="1893">
        <f t="shared" ca="1" si="49"/>
        <v>0</v>
      </c>
      <c r="AE74" s="1893">
        <f t="shared" ca="1" si="49"/>
        <v>0</v>
      </c>
      <c r="AF74" s="1893">
        <f t="shared" ca="1" si="49"/>
        <v>0</v>
      </c>
      <c r="AG74" s="1893">
        <f t="shared" ca="1" si="49"/>
        <v>0</v>
      </c>
      <c r="AH74" s="1893">
        <f t="shared" ca="1" si="49"/>
        <v>0</v>
      </c>
      <c r="AI74" s="1893">
        <f t="shared" ca="1" si="50"/>
        <v>0</v>
      </c>
      <c r="AJ74" s="1893">
        <f t="shared" ca="1" si="50"/>
        <v>0</v>
      </c>
      <c r="AK74" s="1893">
        <f t="shared" ca="1" si="50"/>
        <v>0</v>
      </c>
      <c r="AL74" s="1893">
        <f t="shared" ca="1" si="50"/>
        <v>0</v>
      </c>
      <c r="AM74" s="1893">
        <f t="shared" ca="1" si="50"/>
        <v>0</v>
      </c>
      <c r="AN74" s="1893">
        <f t="shared" ca="1" si="50"/>
        <v>0</v>
      </c>
      <c r="AO74" s="1893">
        <f t="shared" ca="1" si="50"/>
        <v>0</v>
      </c>
      <c r="AP74" s="1893">
        <f t="shared" ca="1" si="50"/>
        <v>0</v>
      </c>
      <c r="AQ74" s="1893">
        <f ca="1">SUM(Y74:AP74)</f>
        <v>0</v>
      </c>
      <c r="AS74" s="1948">
        <f t="shared" ca="1" si="51"/>
        <v>0</v>
      </c>
      <c r="AT74" s="1948">
        <f t="shared" ca="1" si="51"/>
        <v>0</v>
      </c>
      <c r="AU74" s="1948">
        <f t="shared" ca="1" si="51"/>
        <v>0</v>
      </c>
      <c r="AV74" s="1948">
        <f t="shared" ca="1" si="51"/>
        <v>0</v>
      </c>
      <c r="AW74" s="1948">
        <f t="shared" ca="1" si="51"/>
        <v>0</v>
      </c>
      <c r="AX74" s="1948">
        <f t="shared" ca="1" si="51"/>
        <v>0</v>
      </c>
      <c r="AY74" s="1948">
        <f t="shared" ca="1" si="51"/>
        <v>0</v>
      </c>
      <c r="AZ74" s="1948">
        <f t="shared" ca="1" si="51"/>
        <v>0</v>
      </c>
      <c r="BA74" s="1948">
        <f t="shared" ca="1" si="51"/>
        <v>0</v>
      </c>
      <c r="BB74" s="1948">
        <f t="shared" ca="1" si="51"/>
        <v>0</v>
      </c>
      <c r="BC74" s="1948">
        <f t="shared" ca="1" si="52"/>
        <v>0</v>
      </c>
      <c r="BD74" s="1948">
        <f t="shared" ca="1" si="52"/>
        <v>0</v>
      </c>
      <c r="BE74" s="1948">
        <f t="shared" ca="1" si="52"/>
        <v>0</v>
      </c>
      <c r="BF74" s="1948">
        <f t="shared" ca="1" si="52"/>
        <v>0</v>
      </c>
      <c r="BG74" s="1948">
        <f t="shared" ca="1" si="52"/>
        <v>0</v>
      </c>
      <c r="BH74" s="1948">
        <f t="shared" ca="1" si="52"/>
        <v>0</v>
      </c>
      <c r="BI74" s="1948">
        <f t="shared" ca="1" si="52"/>
        <v>0</v>
      </c>
      <c r="BJ74" s="1948">
        <f t="shared" ca="1" si="52"/>
        <v>0</v>
      </c>
      <c r="BK74" s="1948">
        <f t="shared" ca="1" si="52"/>
        <v>0</v>
      </c>
      <c r="BL74" s="1952">
        <f ca="1">SUM(AS74:BK74)</f>
        <v>0</v>
      </c>
      <c r="BN74" s="1941">
        <f ca="1">IFERROR(INDEX(INDIRECT($C74&amp;".Outputs["&amp;this.Year&amp;"]"), MATCH(BN$5, INDIRECT($C74&amp;".Outputs[Vector]"), 0)), 0)</f>
        <v>0</v>
      </c>
      <c r="BO74" s="1941">
        <f ca="1">IFERROR(INDEX(INDIRECT($C74&amp;".Outputs["&amp;this.Year&amp;"]"), MATCH(BO$5, INDIRECT($C74&amp;".Outputs[Vector]"), 0)), 0)</f>
        <v>0</v>
      </c>
      <c r="BP74" s="1505">
        <f ca="1">BN74+BO74</f>
        <v>0</v>
      </c>
      <c r="BR74" s="3168">
        <f t="shared" ca="1" si="12"/>
        <v>0</v>
      </c>
      <c r="BS74" s="1525"/>
      <c r="BU74" s="1589">
        <v>0</v>
      </c>
      <c r="BV74" s="1589">
        <v>0</v>
      </c>
      <c r="BW74" s="1589">
        <v>0</v>
      </c>
      <c r="BX74" s="1589">
        <v>0</v>
      </c>
      <c r="BY74" s="1589">
        <v>0</v>
      </c>
      <c r="BZ74" s="1589">
        <v>0</v>
      </c>
      <c r="CA74" s="1589">
        <v>0</v>
      </c>
      <c r="CB74" s="1589">
        <v>0</v>
      </c>
      <c r="CC74" s="1589">
        <v>0</v>
      </c>
      <c r="CD74" s="1589">
        <v>0</v>
      </c>
      <c r="CE74" s="1589">
        <v>0</v>
      </c>
      <c r="CF74" s="1589">
        <v>0</v>
      </c>
      <c r="CG74" s="1589">
        <v>0</v>
      </c>
      <c r="CH74" s="1589">
        <v>0</v>
      </c>
      <c r="CI74" s="1589">
        <v>0</v>
      </c>
      <c r="CJ74" s="1589">
        <v>0</v>
      </c>
      <c r="CK74" s="1589">
        <v>0</v>
      </c>
      <c r="CL74" s="1589">
        <v>0</v>
      </c>
      <c r="CM74" s="1589">
        <v>0</v>
      </c>
      <c r="CN74" s="1589">
        <v>0</v>
      </c>
      <c r="CO74" s="1589">
        <v>0</v>
      </c>
      <c r="CP74" s="1589">
        <v>0</v>
      </c>
      <c r="CQ74" s="1589">
        <v>0</v>
      </c>
      <c r="CR74" s="1589">
        <v>0</v>
      </c>
      <c r="CS74" s="1589">
        <v>0</v>
      </c>
      <c r="CT74" s="1589">
        <v>0</v>
      </c>
      <c r="CU74" s="1589">
        <v>0</v>
      </c>
      <c r="CV74" s="1589">
        <v>0</v>
      </c>
      <c r="CW74" s="1589">
        <v>0</v>
      </c>
      <c r="CX74" s="1589">
        <v>0</v>
      </c>
      <c r="CY74" s="1589">
        <v>0</v>
      </c>
      <c r="CZ74" s="1589">
        <v>0</v>
      </c>
      <c r="DA74" s="1589">
        <v>0</v>
      </c>
      <c r="DB74" s="1589">
        <v>0</v>
      </c>
      <c r="DC74" s="1589">
        <v>0</v>
      </c>
      <c r="DD74" s="1589">
        <v>0</v>
      </c>
      <c r="DE74" s="1589">
        <v>0</v>
      </c>
      <c r="DF74" s="1589">
        <v>0</v>
      </c>
      <c r="DG74" s="1589">
        <v>0</v>
      </c>
      <c r="DH74" s="1589">
        <v>0</v>
      </c>
      <c r="DI74" s="1589">
        <v>0</v>
      </c>
      <c r="DJ74" s="1589">
        <v>0</v>
      </c>
      <c r="DK74" s="1589">
        <v>0</v>
      </c>
      <c r="DL74" s="1589">
        <v>0</v>
      </c>
      <c r="DN74" s="1590">
        <v>0</v>
      </c>
    </row>
    <row r="75" spans="1:118" s="1522" customFormat="1" ht="12.75" customHeight="1" outlineLevel="1" x14ac:dyDescent="0.2">
      <c r="C75" s="1496"/>
      <c r="D75" s="1497"/>
      <c r="E75" s="1497"/>
      <c r="G75" s="1581"/>
      <c r="H75" s="1581"/>
      <c r="I75" s="1581"/>
      <c r="J75" s="1581"/>
      <c r="K75" s="1581"/>
      <c r="L75" s="1581"/>
      <c r="M75" s="1581"/>
      <c r="N75" s="1581"/>
      <c r="O75" s="1582"/>
      <c r="P75" s="1581"/>
      <c r="Q75" s="1581"/>
      <c r="R75" s="1581"/>
      <c r="S75" s="1581"/>
      <c r="T75" s="1581"/>
      <c r="U75" s="1581"/>
      <c r="V75" s="1581"/>
      <c r="W75" s="1583"/>
      <c r="Y75" s="1584"/>
      <c r="Z75" s="1584"/>
      <c r="AA75" s="1584"/>
      <c r="AB75" s="1584"/>
      <c r="AC75" s="1584"/>
      <c r="AD75" s="1584"/>
      <c r="AE75" s="1584"/>
      <c r="AF75" s="1584"/>
      <c r="AG75" s="1584"/>
      <c r="AH75" s="1584"/>
      <c r="AI75" s="1584"/>
      <c r="AJ75" s="1584"/>
      <c r="AK75" s="1584"/>
      <c r="AL75" s="1584"/>
      <c r="AM75" s="1584"/>
      <c r="AN75" s="1584"/>
      <c r="AO75" s="1584"/>
      <c r="AP75" s="1584"/>
      <c r="AQ75" s="1954"/>
      <c r="AS75" s="1586"/>
      <c r="AT75" s="1586"/>
      <c r="AU75" s="1586"/>
      <c r="AV75" s="1586"/>
      <c r="AW75" s="1586"/>
      <c r="AX75" s="1586"/>
      <c r="AY75" s="1586"/>
      <c r="AZ75" s="1586"/>
      <c r="BA75" s="1586"/>
      <c r="BB75" s="1586"/>
      <c r="BC75" s="1586"/>
      <c r="BD75" s="1586"/>
      <c r="BE75" s="1586"/>
      <c r="BF75" s="1586"/>
      <c r="BG75" s="1586"/>
      <c r="BH75" s="1586"/>
      <c r="BI75" s="1586"/>
      <c r="BJ75" s="1586"/>
      <c r="BK75" s="1586"/>
      <c r="BL75" s="1524"/>
      <c r="BN75" s="1587"/>
      <c r="BO75" s="1587"/>
      <c r="BP75" s="1588"/>
      <c r="BR75" s="3168">
        <f t="shared" si="12"/>
        <v>0</v>
      </c>
      <c r="BS75" s="1525"/>
      <c r="BU75" s="1589"/>
      <c r="BV75" s="1589"/>
      <c r="BW75" s="1589"/>
      <c r="BX75" s="1589"/>
      <c r="BY75" s="1589"/>
      <c r="BZ75" s="1589"/>
      <c r="CA75" s="1589"/>
      <c r="CB75" s="1589"/>
      <c r="CC75" s="1589"/>
      <c r="CD75" s="1589"/>
      <c r="CE75" s="1589"/>
      <c r="CF75" s="1589"/>
      <c r="CG75" s="1589"/>
      <c r="CH75" s="1589"/>
      <c r="CI75" s="1589"/>
      <c r="CJ75" s="1589"/>
      <c r="CK75" s="1589"/>
      <c r="CL75" s="1589"/>
      <c r="CM75" s="1589"/>
      <c r="CN75" s="1589"/>
      <c r="CO75" s="1589"/>
      <c r="CP75" s="1589"/>
      <c r="CQ75" s="1589"/>
      <c r="CR75" s="1589"/>
      <c r="CS75" s="1589"/>
      <c r="CT75" s="1589"/>
      <c r="CU75" s="1589"/>
      <c r="CV75" s="1589"/>
      <c r="CW75" s="1589"/>
      <c r="CX75" s="1589"/>
      <c r="CY75" s="1589"/>
      <c r="CZ75" s="1589"/>
      <c r="DA75" s="1589"/>
      <c r="DB75" s="1589"/>
      <c r="DC75" s="1589"/>
      <c r="DD75" s="1589"/>
      <c r="DE75" s="1589"/>
      <c r="DF75" s="1589"/>
      <c r="DG75" s="1589"/>
      <c r="DH75" s="1589"/>
      <c r="DI75" s="1589"/>
      <c r="DJ75" s="1589"/>
      <c r="DK75" s="1589"/>
      <c r="DL75" s="1589"/>
      <c r="DN75" s="1590"/>
    </row>
    <row r="76" spans="1:118" s="14" customFormat="1" ht="15.75" x14ac:dyDescent="0.2">
      <c r="A76" s="1534"/>
      <c r="B76" s="1535"/>
      <c r="C76" s="1536" t="s">
        <v>736</v>
      </c>
      <c r="D76" s="1537" t="str">
        <f>INDEX(Flujos[Flujos], MATCH($C76, Flujos[Código], 0))</f>
        <v>Generación Distribuida</v>
      </c>
      <c r="E76" s="1538"/>
      <c r="G76" s="1539"/>
      <c r="H76" s="1539"/>
      <c r="I76" s="1539"/>
      <c r="J76" s="1539"/>
      <c r="K76" s="1539"/>
      <c r="L76" s="1539"/>
      <c r="M76" s="1539"/>
      <c r="N76" s="1539"/>
      <c r="O76" s="1539"/>
      <c r="P76" s="1539"/>
      <c r="Q76" s="1539"/>
      <c r="R76" s="1539"/>
      <c r="S76" s="1539"/>
      <c r="T76" s="1539"/>
      <c r="U76" s="1539"/>
      <c r="V76" s="1539"/>
      <c r="W76" s="1539"/>
      <c r="Y76" s="1490">
        <f ca="1">Y73+Y74</f>
        <v>0</v>
      </c>
      <c r="Z76" s="1490">
        <f t="shared" ref="Z76:AP76" ca="1" si="53">Z73+Z74</f>
        <v>0.39335245918156653</v>
      </c>
      <c r="AA76" s="1490">
        <f t="shared" ca="1" si="53"/>
        <v>0</v>
      </c>
      <c r="AB76" s="1490">
        <f t="shared" ca="1" si="53"/>
        <v>0</v>
      </c>
      <c r="AC76" s="1490">
        <f t="shared" ca="1" si="53"/>
        <v>0</v>
      </c>
      <c r="AD76" s="1490">
        <f t="shared" ca="1" si="53"/>
        <v>0</v>
      </c>
      <c r="AE76" s="1490">
        <f t="shared" ca="1" si="53"/>
        <v>0</v>
      </c>
      <c r="AF76" s="1490">
        <f t="shared" ca="1" si="53"/>
        <v>0</v>
      </c>
      <c r="AG76" s="1490">
        <f t="shared" ca="1" si="53"/>
        <v>0</v>
      </c>
      <c r="AH76" s="1490">
        <f t="shared" ca="1" si="53"/>
        <v>0</v>
      </c>
      <c r="AI76" s="1490">
        <f t="shared" ca="1" si="53"/>
        <v>0</v>
      </c>
      <c r="AJ76" s="1490">
        <f t="shared" ca="1" si="53"/>
        <v>0</v>
      </c>
      <c r="AK76" s="1490">
        <f t="shared" ca="1" si="53"/>
        <v>0</v>
      </c>
      <c r="AL76" s="1490">
        <f t="shared" ca="1" si="53"/>
        <v>0</v>
      </c>
      <c r="AM76" s="1490">
        <f t="shared" ca="1" si="53"/>
        <v>0</v>
      </c>
      <c r="AN76" s="1490">
        <f t="shared" ca="1" si="53"/>
        <v>0</v>
      </c>
      <c r="AO76" s="1490">
        <f t="shared" ca="1" si="53"/>
        <v>0</v>
      </c>
      <c r="AP76" s="1490">
        <f t="shared" ca="1" si="53"/>
        <v>0</v>
      </c>
      <c r="AQ76" s="1893">
        <f ca="1">SUM(Y76:AP76)</f>
        <v>0.39335245918156653</v>
      </c>
      <c r="AS76" s="1491">
        <f ca="1">AS73+AS74</f>
        <v>0</v>
      </c>
      <c r="AT76" s="1491">
        <f t="shared" ref="AT76:BK76" ca="1" si="54">AT73+AT74</f>
        <v>0</v>
      </c>
      <c r="AU76" s="1491">
        <f t="shared" ca="1" si="54"/>
        <v>0</v>
      </c>
      <c r="AV76" s="1491">
        <f t="shared" ca="1" si="54"/>
        <v>0</v>
      </c>
      <c r="AW76" s="1491">
        <f t="shared" ca="1" si="54"/>
        <v>0</v>
      </c>
      <c r="AX76" s="1491">
        <f t="shared" ca="1" si="54"/>
        <v>0</v>
      </c>
      <c r="AY76" s="1491">
        <f t="shared" ca="1" si="54"/>
        <v>0</v>
      </c>
      <c r="AZ76" s="1491">
        <f t="shared" ca="1" si="54"/>
        <v>0</v>
      </c>
      <c r="BA76" s="1491">
        <f t="shared" ca="1" si="54"/>
        <v>0</v>
      </c>
      <c r="BB76" s="1491">
        <f t="shared" ca="1" si="54"/>
        <v>0</v>
      </c>
      <c r="BC76" s="1949">
        <f t="shared" ca="1" si="54"/>
        <v>-0.39335245918156653</v>
      </c>
      <c r="BD76" s="1949">
        <f t="shared" ca="1" si="54"/>
        <v>0</v>
      </c>
      <c r="BE76" s="1491">
        <f t="shared" ca="1" si="54"/>
        <v>0</v>
      </c>
      <c r="BF76" s="1491">
        <f t="shared" ca="1" si="54"/>
        <v>0</v>
      </c>
      <c r="BG76" s="1491">
        <f t="shared" ca="1" si="54"/>
        <v>0</v>
      </c>
      <c r="BH76" s="1491">
        <f t="shared" ca="1" si="54"/>
        <v>0</v>
      </c>
      <c r="BI76" s="1491">
        <f t="shared" ca="1" si="54"/>
        <v>0</v>
      </c>
      <c r="BJ76" s="1491">
        <f t="shared" ca="1" si="54"/>
        <v>0</v>
      </c>
      <c r="BK76" s="1491">
        <f t="shared" ca="1" si="54"/>
        <v>0</v>
      </c>
      <c r="BL76" s="1952">
        <f ca="1">SUM(AS76:BK76)</f>
        <v>-0.39335245918156653</v>
      </c>
      <c r="BN76" s="1492">
        <f ca="1">BN73+BN74</f>
        <v>0</v>
      </c>
      <c r="BO76" s="1492">
        <f ca="1">BO73+BO74</f>
        <v>0</v>
      </c>
      <c r="BP76" s="1505">
        <f ca="1">BN76+BO76</f>
        <v>0</v>
      </c>
      <c r="BR76" s="3168">
        <f t="shared" ca="1" si="12"/>
        <v>0</v>
      </c>
      <c r="BS76" s="1493"/>
      <c r="BT76" s="748"/>
      <c r="BU76" s="1508">
        <v>0</v>
      </c>
      <c r="BV76" s="1508">
        <v>0</v>
      </c>
      <c r="BW76" s="1508">
        <v>0</v>
      </c>
      <c r="BX76" s="1508">
        <v>0</v>
      </c>
      <c r="BY76" s="1508">
        <v>0</v>
      </c>
      <c r="BZ76" s="1508">
        <v>0</v>
      </c>
      <c r="CA76" s="1508">
        <v>0</v>
      </c>
      <c r="CB76" s="1508">
        <v>0</v>
      </c>
      <c r="CC76" s="1508">
        <v>0</v>
      </c>
      <c r="CD76" s="1508">
        <v>0</v>
      </c>
      <c r="CE76" s="1508">
        <v>0</v>
      </c>
      <c r="CF76" s="1508">
        <v>0</v>
      </c>
      <c r="CG76" s="1508">
        <v>0</v>
      </c>
      <c r="CH76" s="1508">
        <v>0</v>
      </c>
      <c r="CI76" s="1508">
        <v>0</v>
      </c>
      <c r="CJ76" s="1508">
        <v>0</v>
      </c>
      <c r="CK76" s="1508">
        <v>0</v>
      </c>
      <c r="CL76" s="1508">
        <v>0</v>
      </c>
      <c r="CM76" s="1508">
        <v>0</v>
      </c>
      <c r="CN76" s="1508">
        <v>0</v>
      </c>
      <c r="CO76" s="1508">
        <v>0</v>
      </c>
      <c r="CP76" s="1508">
        <v>0</v>
      </c>
      <c r="CQ76" s="1508">
        <v>0</v>
      </c>
      <c r="CR76" s="1508">
        <v>0</v>
      </c>
      <c r="CS76" s="1508">
        <v>0</v>
      </c>
      <c r="CT76" s="1508">
        <v>0</v>
      </c>
      <c r="CU76" s="1508">
        <v>0</v>
      </c>
      <c r="CV76" s="1508">
        <v>0</v>
      </c>
      <c r="CW76" s="1508">
        <v>0</v>
      </c>
      <c r="CX76" s="1508">
        <v>0</v>
      </c>
      <c r="CY76" s="1508">
        <v>0</v>
      </c>
      <c r="CZ76" s="1508">
        <v>0</v>
      </c>
      <c r="DA76" s="1508">
        <v>0</v>
      </c>
      <c r="DB76" s="1508">
        <v>0</v>
      </c>
      <c r="DC76" s="1508">
        <v>0</v>
      </c>
      <c r="DD76" s="1508">
        <v>0</v>
      </c>
      <c r="DE76" s="1508">
        <v>0</v>
      </c>
      <c r="DF76" s="1508">
        <v>0</v>
      </c>
      <c r="DG76" s="1508">
        <v>0</v>
      </c>
      <c r="DH76" s="1508">
        <v>0</v>
      </c>
      <c r="DI76" s="1508">
        <v>0</v>
      </c>
      <c r="DJ76" s="1508">
        <v>0</v>
      </c>
      <c r="DK76" s="1508">
        <v>0</v>
      </c>
      <c r="DL76" s="1508">
        <v>0</v>
      </c>
      <c r="DN76" s="1509">
        <v>0</v>
      </c>
    </row>
    <row r="77" spans="1:118" s="14" customFormat="1" ht="15.75" x14ac:dyDescent="0.2">
      <c r="A77" s="1845"/>
      <c r="B77" s="1847"/>
      <c r="C77" s="1842"/>
      <c r="D77" s="1843"/>
      <c r="E77" s="1844"/>
      <c r="G77" s="1539"/>
      <c r="H77" s="1539"/>
      <c r="I77" s="1539"/>
      <c r="J77" s="1539"/>
      <c r="K77" s="1539"/>
      <c r="L77" s="1539"/>
      <c r="M77" s="1539"/>
      <c r="N77" s="1539"/>
      <c r="O77" s="1539"/>
      <c r="P77" s="1539"/>
      <c r="Q77" s="1539"/>
      <c r="R77" s="1539"/>
      <c r="S77" s="1539"/>
      <c r="T77" s="1539"/>
      <c r="U77" s="1539"/>
      <c r="V77" s="1539"/>
      <c r="W77" s="1539"/>
      <c r="Y77" s="1490"/>
      <c r="Z77" s="1490"/>
      <c r="AA77" s="1490"/>
      <c r="AB77" s="1490"/>
      <c r="AC77" s="1490"/>
      <c r="AD77" s="1490"/>
      <c r="AE77" s="1490"/>
      <c r="AF77" s="1490"/>
      <c r="AG77" s="1490"/>
      <c r="AH77" s="1490"/>
      <c r="AI77" s="1490"/>
      <c r="AJ77" s="1490"/>
      <c r="AK77" s="1490"/>
      <c r="AL77" s="1490"/>
      <c r="AM77" s="1490"/>
      <c r="AN77" s="1490"/>
      <c r="AO77" s="1490"/>
      <c r="AP77" s="1490"/>
      <c r="AQ77" s="1490"/>
      <c r="AS77" s="1491"/>
      <c r="AT77" s="1491"/>
      <c r="AU77" s="1491"/>
      <c r="AV77" s="1491"/>
      <c r="AW77" s="1491"/>
      <c r="AX77" s="1491"/>
      <c r="AY77" s="1491"/>
      <c r="AZ77" s="1491"/>
      <c r="BA77" s="1491"/>
      <c r="BB77" s="1491"/>
      <c r="BC77" s="1491"/>
      <c r="BD77" s="1491"/>
      <c r="BE77" s="1491"/>
      <c r="BF77" s="1491"/>
      <c r="BG77" s="1491"/>
      <c r="BH77" s="1491"/>
      <c r="BI77" s="1491"/>
      <c r="BJ77" s="1491"/>
      <c r="BK77" s="1491"/>
      <c r="BL77" s="1491"/>
      <c r="BN77" s="1492"/>
      <c r="BO77" s="1492"/>
      <c r="BP77" s="1492"/>
      <c r="BR77" s="3168"/>
      <c r="BS77" s="1579"/>
      <c r="BT77" s="748"/>
      <c r="BU77" s="1507"/>
      <c r="BV77" s="1508"/>
      <c r="BW77" s="1508"/>
      <c r="BX77" s="1508"/>
      <c r="BY77" s="1508"/>
      <c r="BZ77" s="1508"/>
      <c r="CA77" s="1508"/>
      <c r="CB77" s="1508"/>
      <c r="CC77" s="1508"/>
      <c r="CD77" s="1508"/>
      <c r="CE77" s="1508"/>
      <c r="CF77" s="1508"/>
      <c r="CG77" s="1508"/>
      <c r="CH77" s="1508"/>
      <c r="CI77" s="1508"/>
      <c r="CJ77" s="1508"/>
      <c r="CK77" s="1508"/>
      <c r="CL77" s="1508"/>
      <c r="CM77" s="1508"/>
      <c r="CN77" s="1508"/>
      <c r="CO77" s="1508"/>
      <c r="CP77" s="1508"/>
      <c r="CQ77" s="1508"/>
      <c r="CR77" s="1508"/>
      <c r="CS77" s="1508"/>
      <c r="CT77" s="1508"/>
      <c r="CU77" s="1508"/>
      <c r="CV77" s="1508"/>
      <c r="CW77" s="1508"/>
      <c r="CX77" s="1508"/>
      <c r="CY77" s="1508"/>
      <c r="CZ77" s="1508"/>
      <c r="DA77" s="1508"/>
      <c r="DB77" s="1508"/>
      <c r="DC77" s="1508"/>
      <c r="DD77" s="1508"/>
      <c r="DE77" s="1508"/>
      <c r="DF77" s="1508"/>
      <c r="DG77" s="1508"/>
      <c r="DH77" s="1508"/>
      <c r="DI77" s="1508"/>
      <c r="DJ77" s="1508"/>
      <c r="DK77" s="1508"/>
      <c r="DL77" s="1508"/>
      <c r="DN77" s="1509"/>
    </row>
    <row r="78" spans="1:118" s="14" customFormat="1" hidden="1" outlineLevel="1" x14ac:dyDescent="0.2">
      <c r="A78" s="1522"/>
      <c r="B78" s="1522"/>
      <c r="C78" s="1496" t="s">
        <v>68</v>
      </c>
      <c r="D78" s="1497" t="str">
        <f>INDEX(Modulos[Modulos], MATCH($C78, Modulos[Código], 0))</f>
        <v>Residuos</v>
      </c>
      <c r="E78" s="1497"/>
      <c r="G78" s="1498"/>
      <c r="H78" s="1498"/>
      <c r="I78" s="1498"/>
      <c r="J78" s="1498"/>
      <c r="K78" s="1498"/>
      <c r="L78" s="1498"/>
      <c r="M78" s="1498"/>
      <c r="N78" s="1498"/>
      <c r="O78" s="1498"/>
      <c r="P78" s="1498"/>
      <c r="Q78" s="1498"/>
      <c r="R78" s="1498"/>
      <c r="S78" s="1498"/>
      <c r="T78" s="1498"/>
      <c r="U78" s="1498"/>
      <c r="V78" s="1498"/>
      <c r="W78" s="1499"/>
      <c r="Y78" s="1893">
        <f t="shared" ref="Y78:AH80" ca="1" si="55">IFERROR(INDEX(INDIRECT($C78&amp;".Outputs["&amp;this.Year&amp;"]"), MATCH(Y$5, INDIRECT($C78&amp;".Outputs[Vector]"), 0)), 0)</f>
        <v>0</v>
      </c>
      <c r="Z78" s="1893">
        <f t="shared" ca="1" si="55"/>
        <v>0.41172000000000003</v>
      </c>
      <c r="AA78" s="1893">
        <f t="shared" ca="1" si="55"/>
        <v>0</v>
      </c>
      <c r="AB78" s="1893">
        <f t="shared" ca="1" si="55"/>
        <v>0</v>
      </c>
      <c r="AC78" s="1893">
        <f t="shared" ca="1" si="55"/>
        <v>0</v>
      </c>
      <c r="AD78" s="1893">
        <f t="shared" ca="1" si="55"/>
        <v>0</v>
      </c>
      <c r="AE78" s="1893">
        <f t="shared" ca="1" si="55"/>
        <v>0</v>
      </c>
      <c r="AF78" s="1893">
        <f t="shared" ca="1" si="55"/>
        <v>0</v>
      </c>
      <c r="AG78" s="1893">
        <f t="shared" ca="1" si="55"/>
        <v>0</v>
      </c>
      <c r="AH78" s="1893">
        <f t="shared" ca="1" si="55"/>
        <v>0</v>
      </c>
      <c r="AI78" s="1893">
        <f t="shared" ref="AI78:AP80" ca="1" si="56">IFERROR(INDEX(INDIRECT($C78&amp;".Outputs["&amp;this.Year&amp;"]"), MATCH(AI$5, INDIRECT($C78&amp;".Outputs[Vector]"), 0)), 0)</f>
        <v>0</v>
      </c>
      <c r="AJ78" s="1893">
        <f t="shared" ca="1" si="56"/>
        <v>0</v>
      </c>
      <c r="AK78" s="1893">
        <f t="shared" ca="1" si="56"/>
        <v>0</v>
      </c>
      <c r="AL78" s="1893">
        <f t="shared" ca="1" si="56"/>
        <v>0</v>
      </c>
      <c r="AM78" s="1893">
        <f t="shared" ca="1" si="56"/>
        <v>0</v>
      </c>
      <c r="AN78" s="1893">
        <f t="shared" ca="1" si="56"/>
        <v>0</v>
      </c>
      <c r="AO78" s="1893">
        <f t="shared" ca="1" si="56"/>
        <v>0</v>
      </c>
      <c r="AP78" s="1893">
        <f t="shared" ca="1" si="56"/>
        <v>0</v>
      </c>
      <c r="AQ78" s="1951">
        <f ca="1">SUM(Y78:AP78)</f>
        <v>0.41172000000000003</v>
      </c>
      <c r="AS78" s="1948">
        <f t="shared" ref="AS78:BB80" ca="1" si="57">IFERROR(INDEX(INDIRECT($C78&amp;".Outputs["&amp;this.Year&amp;"]"), MATCH(AS$5, INDIRECT($C78&amp;".Outputs[Vector]"), 0)), 0)</f>
        <v>0</v>
      </c>
      <c r="AT78" s="1948">
        <f t="shared" ca="1" si="57"/>
        <v>0</v>
      </c>
      <c r="AU78" s="1948">
        <f t="shared" ca="1" si="57"/>
        <v>0</v>
      </c>
      <c r="AV78" s="1948">
        <f t="shared" ca="1" si="57"/>
        <v>0</v>
      </c>
      <c r="AW78" s="1948">
        <f t="shared" ca="1" si="57"/>
        <v>0</v>
      </c>
      <c r="AX78" s="1948">
        <f t="shared" ca="1" si="57"/>
        <v>0</v>
      </c>
      <c r="AY78" s="1948">
        <f t="shared" ca="1" si="57"/>
        <v>0</v>
      </c>
      <c r="AZ78" s="1948">
        <f t="shared" ca="1" si="57"/>
        <v>0</v>
      </c>
      <c r="BA78" s="1948">
        <f t="shared" ca="1" si="57"/>
        <v>0</v>
      </c>
      <c r="BB78" s="1948">
        <f t="shared" ca="1" si="57"/>
        <v>0</v>
      </c>
      <c r="BC78" s="1948">
        <f t="shared" ref="BC78:BK80" ca="1" si="58">IFERROR(INDEX(INDIRECT($C78&amp;".Outputs["&amp;this.Year&amp;"]"), MATCH(BC$5, INDIRECT($C78&amp;".Outputs[Vector]"), 0)), 0)</f>
        <v>0</v>
      </c>
      <c r="BD78" s="1948">
        <f t="shared" ca="1" si="58"/>
        <v>0</v>
      </c>
      <c r="BE78" s="1948">
        <f t="shared" ca="1" si="58"/>
        <v>0</v>
      </c>
      <c r="BF78" s="1948">
        <f t="shared" ca="1" si="58"/>
        <v>0</v>
      </c>
      <c r="BG78" s="1948">
        <f t="shared" ca="1" si="58"/>
        <v>0</v>
      </c>
      <c r="BH78" s="1948">
        <f t="shared" ca="1" si="58"/>
        <v>0</v>
      </c>
      <c r="BI78" s="1948">
        <f t="shared" ca="1" si="58"/>
        <v>0</v>
      </c>
      <c r="BJ78" s="1948">
        <f t="shared" ca="1" si="58"/>
        <v>0</v>
      </c>
      <c r="BK78" s="1948">
        <f t="shared" ca="1" si="58"/>
        <v>-0.41172000000000003</v>
      </c>
      <c r="BL78" s="1952">
        <f ca="1">SUM(AS78:BK78)</f>
        <v>-0.41172000000000003</v>
      </c>
      <c r="BN78" s="1941">
        <f t="shared" ref="BN78:BO80" ca="1" si="59">IFERROR(INDEX(INDIRECT($C78&amp;".Outputs["&amp;this.Year&amp;"]"), MATCH(BN$5, INDIRECT($C78&amp;".Outputs[Vector]"), 0)), 0)</f>
        <v>0</v>
      </c>
      <c r="BO78" s="1941">
        <f t="shared" ca="1" si="59"/>
        <v>0</v>
      </c>
      <c r="BP78" s="1505">
        <f ca="1">BN78+BO78</f>
        <v>0</v>
      </c>
      <c r="BR78" s="3168">
        <f ca="1">W78+AQ78+BL78+BP78</f>
        <v>0</v>
      </c>
      <c r="BS78" s="1525"/>
      <c r="BT78" s="748"/>
      <c r="BU78" s="1507"/>
      <c r="BV78" s="1508"/>
      <c r="BW78" s="1508"/>
      <c r="BX78" s="1508"/>
      <c r="BY78" s="1508"/>
      <c r="BZ78" s="1508"/>
      <c r="CA78" s="1508"/>
      <c r="CB78" s="1508"/>
      <c r="CC78" s="1508"/>
      <c r="CD78" s="1508"/>
      <c r="CE78" s="1508"/>
      <c r="CF78" s="1508"/>
      <c r="CG78" s="1508"/>
      <c r="CH78" s="1508"/>
      <c r="CI78" s="1508"/>
      <c r="CJ78" s="1508"/>
      <c r="CK78" s="1508"/>
      <c r="CL78" s="1508"/>
      <c r="CM78" s="1508"/>
      <c r="CN78" s="1508"/>
      <c r="CO78" s="1508"/>
      <c r="CP78" s="1508"/>
      <c r="CQ78" s="1508"/>
      <c r="CR78" s="1508"/>
      <c r="CS78" s="1508"/>
      <c r="CT78" s="1508"/>
      <c r="CU78" s="1508"/>
      <c r="CV78" s="1508"/>
      <c r="CW78" s="1508"/>
      <c r="CX78" s="1508"/>
      <c r="CY78" s="1508"/>
      <c r="CZ78" s="1508"/>
      <c r="DA78" s="1508"/>
      <c r="DB78" s="1508"/>
      <c r="DC78" s="1508"/>
      <c r="DD78" s="1508"/>
      <c r="DE78" s="1508"/>
      <c r="DF78" s="1508"/>
      <c r="DG78" s="1508"/>
      <c r="DH78" s="1508"/>
      <c r="DI78" s="1508"/>
      <c r="DJ78" s="1508"/>
      <c r="DK78" s="1508"/>
      <c r="DL78" s="1508"/>
      <c r="DN78" s="1509"/>
    </row>
    <row r="79" spans="1:118" s="14" customFormat="1" hidden="1" outlineLevel="1" x14ac:dyDescent="0.2">
      <c r="A79" s="1522"/>
      <c r="B79" s="1522"/>
      <c r="C79" s="1496" t="s">
        <v>764</v>
      </c>
      <c r="D79" s="1497" t="str">
        <f>INDEX(Modulos[Modulos], MATCH($C79, Modulos[Código], 0))</f>
        <v>Agropecuario</v>
      </c>
      <c r="E79" s="1497"/>
      <c r="G79" s="1498"/>
      <c r="H79" s="1498"/>
      <c r="I79" s="1498"/>
      <c r="J79" s="1498"/>
      <c r="K79" s="1498"/>
      <c r="L79" s="1498"/>
      <c r="M79" s="1498"/>
      <c r="N79" s="1498"/>
      <c r="O79" s="1498"/>
      <c r="P79" s="1498"/>
      <c r="Q79" s="1498"/>
      <c r="R79" s="1498"/>
      <c r="S79" s="1498"/>
      <c r="T79" s="1498"/>
      <c r="U79" s="1498"/>
      <c r="V79" s="1498"/>
      <c r="W79" s="1499"/>
      <c r="Y79" s="2610">
        <f t="shared" ca="1" si="55"/>
        <v>0</v>
      </c>
      <c r="Z79" s="2610">
        <f t="shared" ca="1" si="55"/>
        <v>7.4835421882092018E-3</v>
      </c>
      <c r="AA79" s="2610">
        <f t="shared" ca="1" si="55"/>
        <v>0</v>
      </c>
      <c r="AB79" s="2610">
        <f t="shared" ca="1" si="55"/>
        <v>0</v>
      </c>
      <c r="AC79" s="2610">
        <f t="shared" ca="1" si="55"/>
        <v>0</v>
      </c>
      <c r="AD79" s="2610">
        <f t="shared" ca="1" si="55"/>
        <v>0</v>
      </c>
      <c r="AE79" s="2610">
        <f t="shared" ca="1" si="55"/>
        <v>0</v>
      </c>
      <c r="AF79" s="2610">
        <f t="shared" ca="1" si="55"/>
        <v>0</v>
      </c>
      <c r="AG79" s="2610">
        <f t="shared" ca="1" si="55"/>
        <v>0</v>
      </c>
      <c r="AH79" s="2610">
        <f t="shared" ca="1" si="55"/>
        <v>0</v>
      </c>
      <c r="AI79" s="2610">
        <f t="shared" ca="1" si="56"/>
        <v>0</v>
      </c>
      <c r="AJ79" s="2610">
        <f t="shared" ca="1" si="56"/>
        <v>0</v>
      </c>
      <c r="AK79" s="2610">
        <f t="shared" ca="1" si="56"/>
        <v>0</v>
      </c>
      <c r="AL79" s="2610">
        <f t="shared" ca="1" si="56"/>
        <v>0</v>
      </c>
      <c r="AM79" s="2610">
        <f t="shared" ca="1" si="56"/>
        <v>0</v>
      </c>
      <c r="AN79" s="2610">
        <f t="shared" ca="1" si="56"/>
        <v>0</v>
      </c>
      <c r="AO79" s="2610">
        <f t="shared" ca="1" si="56"/>
        <v>0</v>
      </c>
      <c r="AP79" s="2610">
        <f t="shared" ca="1" si="56"/>
        <v>0</v>
      </c>
      <c r="AQ79" s="1951">
        <f ca="1">SUM(Y79:AP79)</f>
        <v>7.4835421882092018E-3</v>
      </c>
      <c r="AS79" s="1948">
        <f t="shared" ca="1" si="57"/>
        <v>0</v>
      </c>
      <c r="AT79" s="1948">
        <f t="shared" ca="1" si="57"/>
        <v>0</v>
      </c>
      <c r="AU79" s="1948">
        <f t="shared" ca="1" si="57"/>
        <v>0</v>
      </c>
      <c r="AV79" s="1948">
        <f t="shared" ca="1" si="57"/>
        <v>0</v>
      </c>
      <c r="AW79" s="1948">
        <f t="shared" ca="1" si="57"/>
        <v>0</v>
      </c>
      <c r="AX79" s="1948">
        <f t="shared" ca="1" si="57"/>
        <v>0</v>
      </c>
      <c r="AY79" s="1948">
        <f t="shared" ca="1" si="57"/>
        <v>0</v>
      </c>
      <c r="AZ79" s="1948">
        <f t="shared" ca="1" si="57"/>
        <v>0</v>
      </c>
      <c r="BA79" s="1948">
        <f t="shared" ca="1" si="57"/>
        <v>0</v>
      </c>
      <c r="BB79" s="1948">
        <f t="shared" ca="1" si="57"/>
        <v>0</v>
      </c>
      <c r="BC79" s="1948">
        <f t="shared" ca="1" si="58"/>
        <v>0</v>
      </c>
      <c r="BD79" s="1948">
        <f t="shared" ca="1" si="58"/>
        <v>0</v>
      </c>
      <c r="BE79" s="1948">
        <f t="shared" ca="1" si="58"/>
        <v>0</v>
      </c>
      <c r="BF79" s="1948">
        <f t="shared" ca="1" si="58"/>
        <v>0</v>
      </c>
      <c r="BG79" s="1948">
        <f t="shared" ca="1" si="58"/>
        <v>0</v>
      </c>
      <c r="BH79" s="1948">
        <f t="shared" ca="1" si="58"/>
        <v>0</v>
      </c>
      <c r="BI79" s="1948">
        <f t="shared" ca="1" si="58"/>
        <v>0</v>
      </c>
      <c r="BJ79" s="1948">
        <f t="shared" ca="1" si="58"/>
        <v>0</v>
      </c>
      <c r="BK79" s="1948">
        <f t="shared" ca="1" si="58"/>
        <v>-7.4835421882092018E-3</v>
      </c>
      <c r="BL79" s="1952">
        <f ca="1">SUM(AS79:BK79)</f>
        <v>-7.4835421882092018E-3</v>
      </c>
      <c r="BN79" s="1941">
        <f t="shared" ca="1" si="59"/>
        <v>0</v>
      </c>
      <c r="BO79" s="1941">
        <f t="shared" ca="1" si="59"/>
        <v>0</v>
      </c>
      <c r="BP79" s="1505">
        <f ca="1">BN79+BO79</f>
        <v>0</v>
      </c>
      <c r="BR79" s="3168">
        <f ca="1">W79+AQ79+BL79+BP79</f>
        <v>0</v>
      </c>
      <c r="BS79" s="1525"/>
      <c r="BT79" s="748"/>
      <c r="BU79" s="1507"/>
      <c r="BV79" s="1508"/>
      <c r="BW79" s="1508"/>
      <c r="BX79" s="1508"/>
      <c r="BY79" s="1508"/>
      <c r="BZ79" s="1508"/>
      <c r="CA79" s="1508"/>
      <c r="CB79" s="1508"/>
      <c r="CC79" s="1508"/>
      <c r="CD79" s="1508"/>
      <c r="CE79" s="1508"/>
      <c r="CF79" s="1508"/>
      <c r="CG79" s="1508"/>
      <c r="CH79" s="1508"/>
      <c r="CI79" s="1508"/>
      <c r="CJ79" s="1508"/>
      <c r="CK79" s="1508"/>
      <c r="CL79" s="1508"/>
      <c r="CM79" s="1508"/>
      <c r="CN79" s="1508"/>
      <c r="CO79" s="1508"/>
      <c r="CP79" s="1508"/>
      <c r="CQ79" s="1508"/>
      <c r="CR79" s="1508"/>
      <c r="CS79" s="1508"/>
      <c r="CT79" s="1508"/>
      <c r="CU79" s="1508"/>
      <c r="CV79" s="1508"/>
      <c r="CW79" s="1508"/>
      <c r="CX79" s="1508"/>
      <c r="CY79" s="1508"/>
      <c r="CZ79" s="1508"/>
      <c r="DA79" s="1508"/>
      <c r="DB79" s="1508"/>
      <c r="DC79" s="1508"/>
      <c r="DD79" s="1508"/>
      <c r="DE79" s="1508"/>
      <c r="DF79" s="1508"/>
      <c r="DG79" s="1508"/>
      <c r="DH79" s="1508"/>
      <c r="DI79" s="1508"/>
      <c r="DJ79" s="1508"/>
      <c r="DK79" s="1508"/>
      <c r="DL79" s="1508"/>
      <c r="DN79" s="1509"/>
    </row>
    <row r="80" spans="1:118" s="14" customFormat="1" ht="12.75" hidden="1" customHeight="1" outlineLevel="1" x14ac:dyDescent="0.2">
      <c r="A80" s="1522"/>
      <c r="B80" s="1522"/>
      <c r="C80" s="1496" t="s">
        <v>1620</v>
      </c>
      <c r="D80" s="1497" t="str">
        <f>INDEX(Modulos[Modulos], MATCH($C80, Modulos[Código], 0))</f>
        <v>Forestal</v>
      </c>
      <c r="E80" s="1526"/>
      <c r="G80" s="1540"/>
      <c r="H80" s="1540"/>
      <c r="I80" s="1540"/>
      <c r="J80" s="1540"/>
      <c r="K80" s="1540"/>
      <c r="L80" s="1540"/>
      <c r="M80" s="1540"/>
      <c r="N80" s="1540"/>
      <c r="O80" s="1540"/>
      <c r="P80" s="1540"/>
      <c r="Q80" s="1540"/>
      <c r="R80" s="1540"/>
      <c r="S80" s="1540"/>
      <c r="T80" s="1540"/>
      <c r="U80" s="1540"/>
      <c r="V80" s="1540"/>
      <c r="W80" s="1527"/>
      <c r="Y80" s="2614">
        <f t="shared" ca="1" si="55"/>
        <v>0</v>
      </c>
      <c r="Z80" s="2614">
        <f t="shared" ca="1" si="55"/>
        <v>0</v>
      </c>
      <c r="AA80" s="2614">
        <f t="shared" ca="1" si="55"/>
        <v>0</v>
      </c>
      <c r="AB80" s="2614">
        <f t="shared" ca="1" si="55"/>
        <v>0</v>
      </c>
      <c r="AC80" s="2614">
        <f t="shared" ca="1" si="55"/>
        <v>0</v>
      </c>
      <c r="AD80" s="2614">
        <f t="shared" ca="1" si="55"/>
        <v>0</v>
      </c>
      <c r="AE80" s="2614">
        <f t="shared" ca="1" si="55"/>
        <v>0</v>
      </c>
      <c r="AF80" s="2614">
        <f t="shared" ca="1" si="55"/>
        <v>0</v>
      </c>
      <c r="AG80" s="2614">
        <f t="shared" ca="1" si="55"/>
        <v>0</v>
      </c>
      <c r="AH80" s="2614">
        <f t="shared" ca="1" si="55"/>
        <v>0</v>
      </c>
      <c r="AI80" s="2614">
        <f t="shared" ca="1" si="56"/>
        <v>0</v>
      </c>
      <c r="AJ80" s="2614">
        <f t="shared" ca="1" si="56"/>
        <v>0</v>
      </c>
      <c r="AK80" s="2614">
        <f t="shared" ca="1" si="56"/>
        <v>0</v>
      </c>
      <c r="AL80" s="2614">
        <f t="shared" ca="1" si="56"/>
        <v>0</v>
      </c>
      <c r="AM80" s="2614">
        <f t="shared" ca="1" si="56"/>
        <v>0</v>
      </c>
      <c r="AN80" s="2614">
        <f t="shared" ca="1" si="56"/>
        <v>0</v>
      </c>
      <c r="AO80" s="2614">
        <f t="shared" ca="1" si="56"/>
        <v>0</v>
      </c>
      <c r="AP80" s="2614">
        <f t="shared" ca="1" si="56"/>
        <v>0</v>
      </c>
      <c r="AQ80" s="1951">
        <f ca="1">SUM(Y80:AP80)</f>
        <v>0</v>
      </c>
      <c r="AS80" s="1542">
        <f t="shared" ca="1" si="57"/>
        <v>0</v>
      </c>
      <c r="AT80" s="1542">
        <f t="shared" ca="1" si="57"/>
        <v>0</v>
      </c>
      <c r="AU80" s="1542">
        <f t="shared" ca="1" si="57"/>
        <v>0</v>
      </c>
      <c r="AV80" s="1542">
        <f t="shared" ca="1" si="57"/>
        <v>0</v>
      </c>
      <c r="AW80" s="1542">
        <f t="shared" ca="1" si="57"/>
        <v>0</v>
      </c>
      <c r="AX80" s="1542">
        <f t="shared" ca="1" si="57"/>
        <v>0</v>
      </c>
      <c r="AY80" s="1542">
        <f t="shared" ca="1" si="57"/>
        <v>0</v>
      </c>
      <c r="AZ80" s="1542">
        <f t="shared" ca="1" si="57"/>
        <v>0</v>
      </c>
      <c r="BA80" s="1542">
        <f t="shared" ca="1" si="57"/>
        <v>0</v>
      </c>
      <c r="BB80" s="1542">
        <f t="shared" ca="1" si="57"/>
        <v>0</v>
      </c>
      <c r="BC80" s="1542">
        <f t="shared" ca="1" si="58"/>
        <v>0</v>
      </c>
      <c r="BD80" s="1542">
        <f t="shared" ca="1" si="58"/>
        <v>0</v>
      </c>
      <c r="BE80" s="1542">
        <f t="shared" ca="1" si="58"/>
        <v>0</v>
      </c>
      <c r="BF80" s="1542">
        <f t="shared" ca="1" si="58"/>
        <v>0</v>
      </c>
      <c r="BG80" s="1542">
        <f t="shared" ca="1" si="58"/>
        <v>0</v>
      </c>
      <c r="BH80" s="1542">
        <f t="shared" ca="1" si="58"/>
        <v>0</v>
      </c>
      <c r="BI80" s="1542">
        <f t="shared" ca="1" si="58"/>
        <v>0</v>
      </c>
      <c r="BJ80" s="1542">
        <f t="shared" ca="1" si="58"/>
        <v>0</v>
      </c>
      <c r="BK80" s="1542">
        <f t="shared" ca="1" si="58"/>
        <v>0</v>
      </c>
      <c r="BL80" s="1952">
        <f ca="1">SUM(AS80:BK80)</f>
        <v>0</v>
      </c>
      <c r="BN80" s="1941">
        <f t="shared" ca="1" si="59"/>
        <v>0</v>
      </c>
      <c r="BO80" s="1941">
        <f t="shared" ca="1" si="59"/>
        <v>0</v>
      </c>
      <c r="BP80" s="1505">
        <f ca="1">BN80+BO80</f>
        <v>0</v>
      </c>
      <c r="BR80" s="3168">
        <f ca="1">W80+AQ80+BL80+BP80</f>
        <v>0</v>
      </c>
      <c r="BS80" s="1525"/>
      <c r="BT80" s="748"/>
      <c r="BU80" s="1532"/>
      <c r="BV80" s="1533"/>
      <c r="BW80" s="1533"/>
      <c r="BX80" s="1533"/>
      <c r="BY80" s="1533"/>
      <c r="BZ80" s="1533"/>
      <c r="CA80" s="1533"/>
      <c r="CB80" s="1533"/>
      <c r="CC80" s="1533"/>
      <c r="CD80" s="1533"/>
      <c r="CE80" s="1533"/>
      <c r="CF80" s="1533"/>
      <c r="CG80" s="1533"/>
      <c r="CH80" s="1533"/>
      <c r="CI80" s="1533"/>
      <c r="CJ80" s="1533"/>
      <c r="CK80" s="1533"/>
      <c r="CL80" s="1533"/>
      <c r="CM80" s="1533"/>
      <c r="CN80" s="1533"/>
      <c r="CO80" s="1533"/>
      <c r="CP80" s="1533"/>
      <c r="CQ80" s="1533"/>
      <c r="CR80" s="1533"/>
      <c r="CS80" s="1533"/>
      <c r="CT80" s="1533"/>
      <c r="CU80" s="1533"/>
      <c r="CV80" s="1533"/>
      <c r="CW80" s="1533"/>
      <c r="CX80" s="1533"/>
      <c r="CY80" s="1533"/>
      <c r="CZ80" s="1533"/>
      <c r="DA80" s="1533"/>
      <c r="DB80" s="1533"/>
      <c r="DC80" s="1533"/>
      <c r="DD80" s="1533"/>
      <c r="DE80" s="1533"/>
      <c r="DF80" s="1533"/>
      <c r="DG80" s="1533"/>
      <c r="DH80" s="1533"/>
      <c r="DI80" s="1533"/>
      <c r="DJ80" s="1533"/>
      <c r="DK80" s="1533"/>
      <c r="DL80" s="1533"/>
      <c r="DN80" s="1509"/>
    </row>
    <row r="81" spans="1:118" s="14" customFormat="1" ht="3" hidden="1" customHeight="1" outlineLevel="1" x14ac:dyDescent="0.2">
      <c r="A81" s="1522"/>
      <c r="B81" s="1522"/>
      <c r="C81" s="1496"/>
      <c r="D81" s="1497"/>
      <c r="E81" s="1497"/>
      <c r="G81" s="1498"/>
      <c r="H81" s="1498"/>
      <c r="I81" s="1498"/>
      <c r="J81" s="1498"/>
      <c r="K81" s="1498"/>
      <c r="L81" s="1498"/>
      <c r="M81" s="1498"/>
      <c r="N81" s="1498"/>
      <c r="O81" s="1498"/>
      <c r="P81" s="1498"/>
      <c r="Q81" s="1498"/>
      <c r="R81" s="1498"/>
      <c r="S81" s="1498"/>
      <c r="T81" s="1498"/>
      <c r="U81" s="1498"/>
      <c r="V81" s="1498"/>
      <c r="W81" s="1499"/>
      <c r="Y81" s="1500"/>
      <c r="Z81" s="1500"/>
      <c r="AA81" s="1500"/>
      <c r="AB81" s="1500"/>
      <c r="AC81" s="1500"/>
      <c r="AD81" s="1500"/>
      <c r="AE81" s="1500"/>
      <c r="AF81" s="1500"/>
      <c r="AG81" s="1500"/>
      <c r="AH81" s="1500"/>
      <c r="AI81" s="1500"/>
      <c r="AJ81" s="1500"/>
      <c r="AK81" s="1500"/>
      <c r="AL81" s="1500"/>
      <c r="AM81" s="1500"/>
      <c r="AN81" s="1500"/>
      <c r="AO81" s="1500"/>
      <c r="AP81" s="1500"/>
      <c r="AQ81" s="1501"/>
      <c r="AS81" s="1502"/>
      <c r="AT81" s="1502"/>
      <c r="AU81" s="1502"/>
      <c r="AV81" s="1502"/>
      <c r="AW81" s="1502"/>
      <c r="AX81" s="1502"/>
      <c r="AY81" s="1502"/>
      <c r="AZ81" s="1502"/>
      <c r="BA81" s="1502"/>
      <c r="BB81" s="1502"/>
      <c r="BC81" s="1502"/>
      <c r="BD81" s="1502"/>
      <c r="BE81" s="1502"/>
      <c r="BF81" s="1502"/>
      <c r="BG81" s="1502"/>
      <c r="BH81" s="1502"/>
      <c r="BI81" s="1502"/>
      <c r="BJ81" s="1502"/>
      <c r="BK81" s="1502"/>
      <c r="BL81" s="1524"/>
      <c r="BN81" s="1504"/>
      <c r="BO81" s="1504"/>
      <c r="BP81" s="1505"/>
      <c r="BR81" s="3168"/>
      <c r="BS81" s="1525"/>
      <c r="BT81" s="748"/>
      <c r="BU81" s="1507"/>
      <c r="BV81" s="1508"/>
      <c r="BW81" s="1508"/>
      <c r="BX81" s="1508"/>
      <c r="BY81" s="1508"/>
      <c r="BZ81" s="1508"/>
      <c r="CA81" s="1508"/>
      <c r="CB81" s="1508"/>
      <c r="CC81" s="1508"/>
      <c r="CD81" s="1508"/>
      <c r="CE81" s="1508"/>
      <c r="CF81" s="1508"/>
      <c r="CG81" s="1508"/>
      <c r="CH81" s="1508"/>
      <c r="CI81" s="1508"/>
      <c r="CJ81" s="1508"/>
      <c r="CK81" s="1508"/>
      <c r="CL81" s="1508"/>
      <c r="CM81" s="1508"/>
      <c r="CN81" s="1508"/>
      <c r="CO81" s="1508"/>
      <c r="CP81" s="1508"/>
      <c r="CQ81" s="1508"/>
      <c r="CR81" s="1508"/>
      <c r="CS81" s="1508"/>
      <c r="CT81" s="1508"/>
      <c r="CU81" s="1508"/>
      <c r="CV81" s="1508"/>
      <c r="CW81" s="1508"/>
      <c r="CX81" s="1508"/>
      <c r="CY81" s="1508"/>
      <c r="CZ81" s="1508"/>
      <c r="DA81" s="1508"/>
      <c r="DB81" s="1508"/>
      <c r="DC81" s="1508"/>
      <c r="DD81" s="1508"/>
      <c r="DE81" s="1508"/>
      <c r="DF81" s="1508"/>
      <c r="DG81" s="1508"/>
      <c r="DH81" s="1508"/>
      <c r="DI81" s="1508"/>
      <c r="DJ81" s="1508"/>
      <c r="DK81" s="1508"/>
      <c r="DL81" s="1508"/>
      <c r="DN81" s="1509"/>
    </row>
    <row r="82" spans="1:118" s="14" customFormat="1" ht="20.25" customHeight="1" collapsed="1" x14ac:dyDescent="0.2">
      <c r="A82" s="1534"/>
      <c r="B82" s="1535"/>
      <c r="C82" s="1536" t="s">
        <v>737</v>
      </c>
      <c r="D82" s="1537" t="str">
        <f>INDEX(Flujos[Flujos], MATCH($C82, Flujos[Código], 0))</f>
        <v>Otros Sectores</v>
      </c>
      <c r="E82" s="1843"/>
      <c r="G82" s="1539"/>
      <c r="H82" s="1539"/>
      <c r="I82" s="1539"/>
      <c r="J82" s="1539"/>
      <c r="K82" s="1539"/>
      <c r="L82" s="1539"/>
      <c r="M82" s="1539"/>
      <c r="N82" s="1539"/>
      <c r="O82" s="1539"/>
      <c r="P82" s="1539"/>
      <c r="Q82" s="1539"/>
      <c r="R82" s="1539"/>
      <c r="S82" s="1539"/>
      <c r="T82" s="1539"/>
      <c r="U82" s="1539"/>
      <c r="V82" s="1539"/>
      <c r="W82" s="1539"/>
      <c r="Y82" s="2609">
        <f ca="1">Y78+Y79+Y80</f>
        <v>0</v>
      </c>
      <c r="Z82" s="2609">
        <f t="shared" ref="Z82:AQ82" ca="1" si="60">Z78+Z79+Z80</f>
        <v>0.41920354218820921</v>
      </c>
      <c r="AA82" s="2609">
        <f t="shared" ca="1" si="60"/>
        <v>0</v>
      </c>
      <c r="AB82" s="2609">
        <f t="shared" ca="1" si="60"/>
        <v>0</v>
      </c>
      <c r="AC82" s="2609">
        <f t="shared" ca="1" si="60"/>
        <v>0</v>
      </c>
      <c r="AD82" s="2609">
        <f t="shared" ca="1" si="60"/>
        <v>0</v>
      </c>
      <c r="AE82" s="2609">
        <f t="shared" ca="1" si="60"/>
        <v>0</v>
      </c>
      <c r="AF82" s="2609">
        <f t="shared" ca="1" si="60"/>
        <v>0</v>
      </c>
      <c r="AG82" s="2609">
        <f t="shared" ca="1" si="60"/>
        <v>0</v>
      </c>
      <c r="AH82" s="2609">
        <f t="shared" ca="1" si="60"/>
        <v>0</v>
      </c>
      <c r="AI82" s="2609">
        <f t="shared" ca="1" si="60"/>
        <v>0</v>
      </c>
      <c r="AJ82" s="2609">
        <f t="shared" ca="1" si="60"/>
        <v>0</v>
      </c>
      <c r="AK82" s="2609">
        <f t="shared" ca="1" si="60"/>
        <v>0</v>
      </c>
      <c r="AL82" s="2609">
        <f t="shared" ca="1" si="60"/>
        <v>0</v>
      </c>
      <c r="AM82" s="2609">
        <f t="shared" ca="1" si="60"/>
        <v>0</v>
      </c>
      <c r="AN82" s="2609">
        <f t="shared" ca="1" si="60"/>
        <v>0</v>
      </c>
      <c r="AO82" s="2609">
        <f t="shared" ca="1" si="60"/>
        <v>0</v>
      </c>
      <c r="AP82" s="2609">
        <f t="shared" ca="1" si="60"/>
        <v>0</v>
      </c>
      <c r="AQ82" s="2608">
        <f t="shared" ca="1" si="60"/>
        <v>0.41920354218820921</v>
      </c>
      <c r="AS82" s="1491">
        <f ca="1">AS78+AS79+AS80</f>
        <v>0</v>
      </c>
      <c r="AT82" s="1491">
        <f t="shared" ref="AT82:BJ82" ca="1" si="61">AT78+AT79+AT80</f>
        <v>0</v>
      </c>
      <c r="AU82" s="1491">
        <f t="shared" ca="1" si="61"/>
        <v>0</v>
      </c>
      <c r="AV82" s="1491">
        <f t="shared" ca="1" si="61"/>
        <v>0</v>
      </c>
      <c r="AW82" s="1491">
        <f t="shared" ca="1" si="61"/>
        <v>0</v>
      </c>
      <c r="AX82" s="1491">
        <f t="shared" ca="1" si="61"/>
        <v>0</v>
      </c>
      <c r="AY82" s="1491">
        <f t="shared" ca="1" si="61"/>
        <v>0</v>
      </c>
      <c r="AZ82" s="1491">
        <f t="shared" ca="1" si="61"/>
        <v>0</v>
      </c>
      <c r="BA82" s="1491">
        <f t="shared" ca="1" si="61"/>
        <v>0</v>
      </c>
      <c r="BB82" s="1491">
        <f t="shared" ca="1" si="61"/>
        <v>0</v>
      </c>
      <c r="BC82" s="1491">
        <f t="shared" ca="1" si="61"/>
        <v>0</v>
      </c>
      <c r="BD82" s="1491">
        <f t="shared" ca="1" si="61"/>
        <v>0</v>
      </c>
      <c r="BE82" s="1491">
        <f t="shared" ca="1" si="61"/>
        <v>0</v>
      </c>
      <c r="BF82" s="1491">
        <f t="shared" ca="1" si="61"/>
        <v>0</v>
      </c>
      <c r="BG82" s="1491">
        <f t="shared" ca="1" si="61"/>
        <v>0</v>
      </c>
      <c r="BH82" s="1491">
        <f t="shared" ca="1" si="61"/>
        <v>0</v>
      </c>
      <c r="BI82" s="1491">
        <f t="shared" ca="1" si="61"/>
        <v>0</v>
      </c>
      <c r="BJ82" s="1491">
        <f t="shared" ca="1" si="61"/>
        <v>0</v>
      </c>
      <c r="BK82" s="3167">
        <f ca="1">BK78+BK79+BK80</f>
        <v>-0.41920354218820921</v>
      </c>
      <c r="BL82" s="1491">
        <f ca="1">BL78+BL79+BL80</f>
        <v>-0.41920354218820921</v>
      </c>
      <c r="BN82" s="1492">
        <f ca="1">BN78+BN79+BN80</f>
        <v>0</v>
      </c>
      <c r="BO82" s="1492">
        <f ca="1">BO78+BO79+BO80</f>
        <v>0</v>
      </c>
      <c r="BP82" s="1492">
        <f ca="1">BP78+BP79+BP80</f>
        <v>0</v>
      </c>
      <c r="BR82" s="3168">
        <f ca="1">W82+AQ82+BL82+BP82</f>
        <v>0</v>
      </c>
      <c r="BS82" s="1493"/>
      <c r="BT82" s="748"/>
      <c r="BU82" s="1508"/>
      <c r="BV82" s="1508"/>
      <c r="BW82" s="1508"/>
      <c r="BX82" s="1508"/>
      <c r="BY82" s="1508"/>
      <c r="BZ82" s="1508"/>
      <c r="CA82" s="1508"/>
      <c r="CB82" s="1508"/>
      <c r="CC82" s="1508"/>
      <c r="CD82" s="1508"/>
      <c r="CE82" s="1508"/>
      <c r="CF82" s="1508"/>
      <c r="CG82" s="1508"/>
      <c r="CH82" s="1508"/>
      <c r="CI82" s="1508"/>
      <c r="CJ82" s="1508"/>
      <c r="CK82" s="1508"/>
      <c r="CL82" s="1508"/>
      <c r="CM82" s="1508"/>
      <c r="CN82" s="1508"/>
      <c r="CO82" s="1508"/>
      <c r="CP82" s="1508"/>
      <c r="CQ82" s="1508"/>
      <c r="CR82" s="1508"/>
      <c r="CS82" s="1508"/>
      <c r="CT82" s="1508"/>
      <c r="CU82" s="1508"/>
      <c r="CV82" s="1508"/>
      <c r="CW82" s="1508"/>
      <c r="CX82" s="1508"/>
      <c r="CY82" s="1508"/>
      <c r="CZ82" s="1508"/>
      <c r="DA82" s="1508"/>
      <c r="DB82" s="1508"/>
      <c r="DC82" s="1508"/>
      <c r="DD82" s="1508"/>
      <c r="DE82" s="1508"/>
      <c r="DF82" s="1508"/>
      <c r="DG82" s="1508"/>
      <c r="DH82" s="1508"/>
      <c r="DI82" s="1508"/>
      <c r="DJ82" s="1508"/>
      <c r="DK82" s="1508"/>
      <c r="DL82" s="1508"/>
      <c r="DN82" s="1509"/>
    </row>
    <row r="83" spans="1:118" s="14" customFormat="1" ht="15.75" x14ac:dyDescent="0.2">
      <c r="A83" s="1845"/>
      <c r="B83" s="1847"/>
      <c r="C83" s="1842"/>
      <c r="D83" s="1843"/>
      <c r="E83" s="1844"/>
      <c r="G83" s="1539"/>
      <c r="H83" s="1539"/>
      <c r="I83" s="1539"/>
      <c r="J83" s="1539"/>
      <c r="K83" s="1539"/>
      <c r="L83" s="1539"/>
      <c r="M83" s="1539"/>
      <c r="N83" s="1539"/>
      <c r="O83" s="1539"/>
      <c r="P83" s="1539"/>
      <c r="Q83" s="1539"/>
      <c r="R83" s="1539"/>
      <c r="S83" s="1539"/>
      <c r="T83" s="1539"/>
      <c r="U83" s="1539"/>
      <c r="V83" s="1539"/>
      <c r="W83" s="1539"/>
      <c r="Y83" s="1490"/>
      <c r="Z83" s="1490"/>
      <c r="AA83" s="1490"/>
      <c r="AB83" s="1490"/>
      <c r="AC83" s="1490"/>
      <c r="AD83" s="1490"/>
      <c r="AE83" s="1490"/>
      <c r="AF83" s="1490"/>
      <c r="AG83" s="1490"/>
      <c r="AH83" s="1490"/>
      <c r="AI83" s="1490"/>
      <c r="AJ83" s="1490"/>
      <c r="AK83" s="1490"/>
      <c r="AL83" s="1490"/>
      <c r="AM83" s="1490"/>
      <c r="AN83" s="1490"/>
      <c r="AO83" s="1490"/>
      <c r="AP83" s="1490"/>
      <c r="AQ83" s="1490"/>
      <c r="AS83" s="1491"/>
      <c r="AT83" s="1491"/>
      <c r="AU83" s="1491"/>
      <c r="AV83" s="1491"/>
      <c r="AW83" s="1491"/>
      <c r="AX83" s="1491"/>
      <c r="AY83" s="1491"/>
      <c r="AZ83" s="1491"/>
      <c r="BA83" s="1491"/>
      <c r="BB83" s="1491"/>
      <c r="BC83" s="1491"/>
      <c r="BD83" s="1491"/>
      <c r="BE83" s="1491"/>
      <c r="BF83" s="1491"/>
      <c r="BG83" s="1491"/>
      <c r="BH83" s="1491"/>
      <c r="BI83" s="1491"/>
      <c r="BJ83" s="1491"/>
      <c r="BK83" s="1491"/>
      <c r="BL83" s="1491"/>
      <c r="BN83" s="1492"/>
      <c r="BO83" s="1492"/>
      <c r="BP83" s="1492"/>
      <c r="BR83" s="3168"/>
      <c r="BS83" s="1579"/>
      <c r="BT83" s="748"/>
      <c r="BU83" s="1507"/>
      <c r="BV83" s="1508"/>
      <c r="BW83" s="1508"/>
      <c r="BX83" s="1508"/>
      <c r="BY83" s="1508"/>
      <c r="BZ83" s="1508"/>
      <c r="CA83" s="1508"/>
      <c r="CB83" s="1508"/>
      <c r="CC83" s="1508"/>
      <c r="CD83" s="1508"/>
      <c r="CE83" s="1508"/>
      <c r="CF83" s="1508"/>
      <c r="CG83" s="1508"/>
      <c r="CH83" s="1508"/>
      <c r="CI83" s="1508"/>
      <c r="CJ83" s="1508"/>
      <c r="CK83" s="1508"/>
      <c r="CL83" s="1508"/>
      <c r="CM83" s="1508"/>
      <c r="CN83" s="1508"/>
      <c r="CO83" s="1508"/>
      <c r="CP83" s="1508"/>
      <c r="CQ83" s="1508"/>
      <c r="CR83" s="1508"/>
      <c r="CS83" s="1508"/>
      <c r="CT83" s="1508"/>
      <c r="CU83" s="1508"/>
      <c r="CV83" s="1508"/>
      <c r="CW83" s="1508"/>
      <c r="CX83" s="1508"/>
      <c r="CY83" s="1508"/>
      <c r="CZ83" s="1508"/>
      <c r="DA83" s="1508"/>
      <c r="DB83" s="1508"/>
      <c r="DC83" s="1508"/>
      <c r="DD83" s="1508"/>
      <c r="DE83" s="1508"/>
      <c r="DF83" s="1508"/>
      <c r="DG83" s="1508"/>
      <c r="DH83" s="1508"/>
      <c r="DI83" s="1508"/>
      <c r="DJ83" s="1508"/>
      <c r="DK83" s="1508"/>
      <c r="DL83" s="1508"/>
      <c r="DN83" s="1509"/>
    </row>
    <row r="84" spans="1:118" s="14" customFormat="1" ht="15.75" hidden="1" outlineLevel="1" x14ac:dyDescent="0.2">
      <c r="A84" s="1534"/>
      <c r="B84" s="1535"/>
      <c r="C84" s="1536"/>
      <c r="D84" s="1537"/>
      <c r="E84" s="1538"/>
      <c r="G84" s="1539"/>
      <c r="H84" s="1539"/>
      <c r="I84" s="1539"/>
      <c r="J84" s="1539"/>
      <c r="K84" s="1539"/>
      <c r="L84" s="1539"/>
      <c r="M84" s="1539"/>
      <c r="N84" s="1539"/>
      <c r="O84" s="1539"/>
      <c r="P84" s="1539"/>
      <c r="Q84" s="1539"/>
      <c r="R84" s="1539"/>
      <c r="S84" s="1539"/>
      <c r="T84" s="1539"/>
      <c r="U84" s="1539"/>
      <c r="V84" s="1539"/>
      <c r="W84" s="1539"/>
      <c r="Y84" s="1490"/>
      <c r="Z84" s="1490"/>
      <c r="AA84" s="1490"/>
      <c r="AB84" s="1490"/>
      <c r="AC84" s="1490"/>
      <c r="AD84" s="1490"/>
      <c r="AE84" s="1490"/>
      <c r="AF84" s="1490"/>
      <c r="AG84" s="1490"/>
      <c r="AH84" s="1490"/>
      <c r="AI84" s="1490"/>
      <c r="AJ84" s="1490"/>
      <c r="AK84" s="1490"/>
      <c r="AL84" s="1490"/>
      <c r="AM84" s="1490"/>
      <c r="AN84" s="1490"/>
      <c r="AO84" s="1490"/>
      <c r="AP84" s="1490"/>
      <c r="AQ84" s="1490"/>
      <c r="AS84" s="1491"/>
      <c r="AT84" s="1491"/>
      <c r="AU84" s="1491"/>
      <c r="AV84" s="1491"/>
      <c r="AW84" s="1491"/>
      <c r="AX84" s="1491"/>
      <c r="AY84" s="1491"/>
      <c r="AZ84" s="1491"/>
      <c r="BA84" s="1491"/>
      <c r="BB84" s="1491"/>
      <c r="BC84" s="1491"/>
      <c r="BD84" s="1491"/>
      <c r="BE84" s="1491"/>
      <c r="BF84" s="1491"/>
      <c r="BG84" s="1491"/>
      <c r="BH84" s="1491"/>
      <c r="BI84" s="1491"/>
      <c r="BJ84" s="1491"/>
      <c r="BK84" s="1491"/>
      <c r="BL84" s="1491"/>
      <c r="BN84" s="1492"/>
      <c r="BO84" s="1492"/>
      <c r="BP84" s="1492"/>
      <c r="BR84" s="3168">
        <f t="shared" ref="BR84:BR89" si="62">W84+AQ84+BL84+BP84</f>
        <v>0</v>
      </c>
      <c r="BS84" s="1493"/>
      <c r="BT84" s="748"/>
      <c r="BU84" s="1508"/>
      <c r="BV84" s="1508"/>
      <c r="BW84" s="1508"/>
      <c r="BX84" s="1508"/>
      <c r="BY84" s="1508"/>
      <c r="BZ84" s="1508"/>
      <c r="CA84" s="1508"/>
      <c r="CB84" s="1508"/>
      <c r="CC84" s="1508"/>
      <c r="CD84" s="1508"/>
      <c r="CE84" s="1508"/>
      <c r="CF84" s="1508"/>
      <c r="CG84" s="1508"/>
      <c r="CH84" s="1508"/>
      <c r="CI84" s="1508"/>
      <c r="CJ84" s="1508"/>
      <c r="CK84" s="1508"/>
      <c r="CL84" s="1508"/>
      <c r="CM84" s="1508"/>
      <c r="CN84" s="1508"/>
      <c r="CO84" s="1508"/>
      <c r="CP84" s="1508"/>
      <c r="CQ84" s="1508"/>
      <c r="CR84" s="1508"/>
      <c r="CS84" s="1508"/>
      <c r="CT84" s="1508"/>
      <c r="CU84" s="1508"/>
      <c r="CV84" s="1508"/>
      <c r="CW84" s="1508"/>
      <c r="CX84" s="1508"/>
      <c r="CY84" s="1508"/>
      <c r="CZ84" s="1508"/>
      <c r="DA84" s="1508"/>
      <c r="DB84" s="1508"/>
      <c r="DC84" s="1508"/>
      <c r="DD84" s="1508"/>
      <c r="DE84" s="1508"/>
      <c r="DF84" s="1508"/>
      <c r="DG84" s="1508"/>
      <c r="DH84" s="1508"/>
      <c r="DI84" s="1508"/>
      <c r="DJ84" s="1508"/>
      <c r="DK84" s="1508"/>
      <c r="DL84" s="1508"/>
      <c r="DN84" s="1509"/>
    </row>
    <row r="85" spans="1:118" s="14" customFormat="1" ht="12.75" hidden="1" customHeight="1" outlineLevel="2" x14ac:dyDescent="0.2">
      <c r="A85" s="1534"/>
      <c r="B85" s="1534"/>
      <c r="C85" s="1544"/>
      <c r="D85" s="1538"/>
      <c r="E85" s="1538"/>
      <c r="G85" s="1488"/>
      <c r="H85" s="1488"/>
      <c r="I85" s="1488"/>
      <c r="J85" s="1488"/>
      <c r="K85" s="1488"/>
      <c r="L85" s="1488"/>
      <c r="M85" s="1488"/>
      <c r="N85" s="1488"/>
      <c r="O85" s="1563"/>
      <c r="P85" s="1488"/>
      <c r="Q85" s="1488"/>
      <c r="R85" s="1488"/>
      <c r="S85" s="1488"/>
      <c r="T85" s="1488"/>
      <c r="U85" s="1488"/>
      <c r="V85" s="1488"/>
      <c r="W85" s="1488"/>
      <c r="Y85" s="1490"/>
      <c r="Z85" s="1490"/>
      <c r="AA85" s="1490"/>
      <c r="AB85" s="1490"/>
      <c r="AC85" s="1490"/>
      <c r="AD85" s="1490"/>
      <c r="AE85" s="1490"/>
      <c r="AF85" s="1490"/>
      <c r="AG85" s="1490"/>
      <c r="AH85" s="1490"/>
      <c r="AI85" s="1490"/>
      <c r="AJ85" s="1490"/>
      <c r="AK85" s="1490"/>
      <c r="AL85" s="1490"/>
      <c r="AM85" s="1490"/>
      <c r="AN85" s="1490"/>
      <c r="AO85" s="1490"/>
      <c r="AP85" s="1490"/>
      <c r="AQ85" s="1490"/>
      <c r="AS85" s="1491"/>
      <c r="AT85" s="1491"/>
      <c r="AU85" s="1491"/>
      <c r="AV85" s="1491"/>
      <c r="AW85" s="1491"/>
      <c r="AX85" s="1491"/>
      <c r="AY85" s="1491"/>
      <c r="AZ85" s="1491"/>
      <c r="BA85" s="1491"/>
      <c r="BB85" s="1491"/>
      <c r="BC85" s="1491"/>
      <c r="BD85" s="1491"/>
      <c r="BE85" s="1491"/>
      <c r="BF85" s="1491"/>
      <c r="BG85" s="1491"/>
      <c r="BH85" s="1491"/>
      <c r="BI85" s="1491"/>
      <c r="BJ85" s="1491"/>
      <c r="BK85" s="1491"/>
      <c r="BL85" s="1491"/>
      <c r="BN85" s="1492"/>
      <c r="BO85" s="1492"/>
      <c r="BP85" s="1492"/>
      <c r="BR85" s="3168">
        <f t="shared" si="62"/>
        <v>0</v>
      </c>
      <c r="BS85" s="1493"/>
      <c r="BT85" s="1534"/>
      <c r="BU85" s="1508"/>
      <c r="BV85" s="1508"/>
      <c r="BW85" s="1508"/>
      <c r="BX85" s="1508"/>
      <c r="BY85" s="1508"/>
      <c r="BZ85" s="1508"/>
      <c r="CA85" s="1508"/>
      <c r="CB85" s="1508"/>
      <c r="CC85" s="1508"/>
      <c r="CD85" s="1508"/>
      <c r="CE85" s="1508"/>
      <c r="CF85" s="1508"/>
      <c r="CG85" s="1508"/>
      <c r="CH85" s="1508"/>
      <c r="CI85" s="1508"/>
      <c r="CJ85" s="1508"/>
      <c r="CK85" s="1508"/>
      <c r="CL85" s="1508"/>
      <c r="CM85" s="1508"/>
      <c r="CN85" s="1508"/>
      <c r="CO85" s="1508"/>
      <c r="CP85" s="1508"/>
      <c r="CQ85" s="1508"/>
      <c r="CR85" s="1508"/>
      <c r="CS85" s="1508"/>
      <c r="CT85" s="1508"/>
      <c r="CU85" s="1508"/>
      <c r="CV85" s="1508"/>
      <c r="CW85" s="1508"/>
      <c r="CX85" s="1508"/>
      <c r="CY85" s="1508"/>
      <c r="CZ85" s="1508"/>
      <c r="DA85" s="1508"/>
      <c r="DB85" s="1508"/>
      <c r="DC85" s="1508"/>
      <c r="DD85" s="1508"/>
      <c r="DE85" s="1508"/>
      <c r="DF85" s="1508"/>
      <c r="DG85" s="1508"/>
      <c r="DH85" s="1508"/>
      <c r="DI85" s="1508"/>
      <c r="DJ85" s="1508"/>
      <c r="DK85" s="1508"/>
      <c r="DL85" s="1508"/>
      <c r="DN85" s="1509">
        <v>0</v>
      </c>
    </row>
    <row r="86" spans="1:118" s="1564" customFormat="1" ht="12.75" hidden="1" customHeight="1" outlineLevel="2" x14ac:dyDescent="0.2">
      <c r="C86" s="1565" t="s">
        <v>809</v>
      </c>
      <c r="D86" s="1566" t="s">
        <v>810</v>
      </c>
      <c r="E86" s="1566"/>
      <c r="F86" s="1567"/>
      <c r="G86" s="1568"/>
      <c r="H86" s="1568"/>
      <c r="I86" s="1568"/>
      <c r="J86" s="1568"/>
      <c r="K86" s="1568"/>
      <c r="L86" s="1568"/>
      <c r="M86" s="1568"/>
      <c r="N86" s="1568"/>
      <c r="O86" s="1569"/>
      <c r="P86" s="1568"/>
      <c r="Q86" s="1568"/>
      <c r="R86" s="1568"/>
      <c r="S86" s="1568"/>
      <c r="T86" s="1568"/>
      <c r="U86" s="1568"/>
      <c r="V86" s="1568"/>
      <c r="W86" s="1568"/>
      <c r="X86" s="1567"/>
      <c r="Y86" s="1570"/>
      <c r="Z86" s="1570"/>
      <c r="AA86" s="1570"/>
      <c r="AB86" s="1570"/>
      <c r="AC86" s="1570"/>
      <c r="AD86" s="1570"/>
      <c r="AE86" s="1570"/>
      <c r="AF86" s="1570"/>
      <c r="AG86" s="1570"/>
      <c r="AH86" s="1570"/>
      <c r="AI86" s="1570"/>
      <c r="AJ86" s="1570"/>
      <c r="AK86" s="1570"/>
      <c r="AL86" s="1570"/>
      <c r="AM86" s="1570"/>
      <c r="AN86" s="1570"/>
      <c r="AO86" s="1570"/>
      <c r="AP86" s="1570"/>
      <c r="AQ86" s="1570"/>
      <c r="AR86" s="1567"/>
      <c r="AS86" s="1571"/>
      <c r="AT86" s="1571"/>
      <c r="AU86" s="1571"/>
      <c r="AV86" s="1571"/>
      <c r="AW86" s="1571"/>
      <c r="AX86" s="1571"/>
      <c r="AY86" s="1571"/>
      <c r="AZ86" s="1571"/>
      <c r="BA86" s="1571"/>
      <c r="BB86" s="1571"/>
      <c r="BC86" s="1571"/>
      <c r="BD86" s="1571"/>
      <c r="BE86" s="1571"/>
      <c r="BF86" s="1571"/>
      <c r="BG86" s="1571"/>
      <c r="BH86" s="1571"/>
      <c r="BI86" s="1571"/>
      <c r="BJ86" s="1571"/>
      <c r="BK86" s="1571"/>
      <c r="BL86" s="1571"/>
      <c r="BM86" s="1567"/>
      <c r="BN86" s="1572"/>
      <c r="BO86" s="1572"/>
      <c r="BP86" s="1572"/>
      <c r="BQ86" s="1567"/>
      <c r="BR86" s="3168">
        <f t="shared" si="62"/>
        <v>0</v>
      </c>
      <c r="BS86" s="1573"/>
      <c r="BU86" s="1574"/>
      <c r="BV86" s="1574"/>
      <c r="BW86" s="1574"/>
      <c r="BX86" s="1574"/>
      <c r="BY86" s="1574"/>
      <c r="BZ86" s="1574"/>
      <c r="CA86" s="1574"/>
      <c r="CB86" s="1574"/>
      <c r="CC86" s="1574"/>
      <c r="CD86" s="1574"/>
      <c r="CE86" s="1574"/>
      <c r="CF86" s="1574"/>
      <c r="CG86" s="1574"/>
      <c r="CH86" s="1574"/>
      <c r="CI86" s="1574"/>
      <c r="CJ86" s="1574"/>
      <c r="CK86" s="1574"/>
      <c r="CL86" s="1574"/>
      <c r="CM86" s="1574"/>
      <c r="CN86" s="1574"/>
      <c r="CO86" s="1574"/>
      <c r="CP86" s="1574"/>
      <c r="CQ86" s="1574"/>
      <c r="CR86" s="1574"/>
      <c r="CS86" s="1574"/>
      <c r="CT86" s="1574"/>
      <c r="CU86" s="1574"/>
      <c r="CV86" s="1574"/>
      <c r="CW86" s="1574"/>
      <c r="CX86" s="1574"/>
      <c r="CY86" s="1574"/>
      <c r="CZ86" s="1574"/>
      <c r="DA86" s="1574"/>
      <c r="DB86" s="1574"/>
      <c r="DC86" s="1574"/>
      <c r="DD86" s="1574"/>
      <c r="DE86" s="1574"/>
      <c r="DF86" s="1574"/>
      <c r="DG86" s="1574"/>
      <c r="DH86" s="1574"/>
      <c r="DI86" s="1574"/>
      <c r="DJ86" s="1574"/>
      <c r="DK86" s="1574"/>
      <c r="DL86" s="1574"/>
      <c r="DN86" s="1575">
        <v>0</v>
      </c>
    </row>
    <row r="87" spans="1:118" s="1522" customFormat="1" ht="12.75" hidden="1" customHeight="1" outlineLevel="2" x14ac:dyDescent="0.2">
      <c r="C87" s="1496" t="s">
        <v>112</v>
      </c>
      <c r="D87" s="1526" t="s">
        <v>113</v>
      </c>
      <c r="E87" s="1526"/>
      <c r="F87" s="14"/>
      <c r="G87" s="1540"/>
      <c r="H87" s="1540"/>
      <c r="I87" s="1540"/>
      <c r="J87" s="1540"/>
      <c r="K87" s="1540"/>
      <c r="L87" s="1540"/>
      <c r="M87" s="1540"/>
      <c r="N87" s="1540"/>
      <c r="O87" s="1540"/>
      <c r="P87" s="1540"/>
      <c r="Q87" s="1540"/>
      <c r="R87" s="1540"/>
      <c r="S87" s="1540"/>
      <c r="T87" s="1540"/>
      <c r="U87" s="1540"/>
      <c r="V87" s="1540"/>
      <c r="W87" s="1527"/>
      <c r="X87" s="14"/>
      <c r="Y87" s="1541"/>
      <c r="Z87" s="1541"/>
      <c r="AA87" s="1541"/>
      <c r="AB87" s="1541"/>
      <c r="AC87" s="1541"/>
      <c r="AD87" s="1541"/>
      <c r="AE87" s="1541"/>
      <c r="AF87" s="1541"/>
      <c r="AG87" s="1541"/>
      <c r="AH87" s="1541"/>
      <c r="AI87" s="1541"/>
      <c r="AJ87" s="1541"/>
      <c r="AK87" s="1541"/>
      <c r="AL87" s="1541"/>
      <c r="AM87" s="1541"/>
      <c r="AN87" s="1541"/>
      <c r="AO87" s="1541"/>
      <c r="AP87" s="1541"/>
      <c r="AQ87" s="1528"/>
      <c r="AR87" s="14"/>
      <c r="AS87" s="1542"/>
      <c r="AT87" s="1542"/>
      <c r="AU87" s="1542"/>
      <c r="AV87" s="1542"/>
      <c r="AW87" s="1542"/>
      <c r="AX87" s="1542"/>
      <c r="AY87" s="1542"/>
      <c r="AZ87" s="1542"/>
      <c r="BA87" s="1542"/>
      <c r="BB87" s="1542"/>
      <c r="BC87" s="1542"/>
      <c r="BD87" s="1542"/>
      <c r="BE87" s="1542"/>
      <c r="BF87" s="1542"/>
      <c r="BG87" s="1542"/>
      <c r="BH87" s="1542"/>
      <c r="BI87" s="1542"/>
      <c r="BJ87" s="1542"/>
      <c r="BK87" s="1542"/>
      <c r="BL87" s="1530"/>
      <c r="BM87" s="14"/>
      <c r="BN87" s="1543"/>
      <c r="BO87" s="1543"/>
      <c r="BP87" s="1531"/>
      <c r="BQ87" s="14"/>
      <c r="BR87" s="3168">
        <f t="shared" si="62"/>
        <v>0</v>
      </c>
      <c r="BS87" s="1525"/>
      <c r="BT87" s="748"/>
      <c r="BU87" s="1532">
        <v>0</v>
      </c>
      <c r="BV87" s="1533">
        <v>0</v>
      </c>
      <c r="BW87" s="1533">
        <v>0</v>
      </c>
      <c r="BX87" s="1533">
        <v>0</v>
      </c>
      <c r="BY87" s="1533">
        <v>0</v>
      </c>
      <c r="BZ87" s="1533">
        <v>0</v>
      </c>
      <c r="CA87" s="1533">
        <v>0</v>
      </c>
      <c r="CB87" s="1533">
        <v>0</v>
      </c>
      <c r="CC87" s="1533">
        <v>0</v>
      </c>
      <c r="CD87" s="1533">
        <v>0</v>
      </c>
      <c r="CE87" s="1533">
        <v>0</v>
      </c>
      <c r="CF87" s="1533">
        <v>0</v>
      </c>
      <c r="CG87" s="1533">
        <v>0</v>
      </c>
      <c r="CH87" s="1533">
        <v>0</v>
      </c>
      <c r="CI87" s="1533">
        <v>0</v>
      </c>
      <c r="CJ87" s="1533">
        <v>0</v>
      </c>
      <c r="CK87" s="1533">
        <v>0</v>
      </c>
      <c r="CL87" s="1533">
        <v>0</v>
      </c>
      <c r="CM87" s="1533">
        <v>0</v>
      </c>
      <c r="CN87" s="1533">
        <v>0</v>
      </c>
      <c r="CO87" s="1533">
        <v>0</v>
      </c>
      <c r="CP87" s="1533">
        <v>0</v>
      </c>
      <c r="CQ87" s="1533">
        <v>0</v>
      </c>
      <c r="CR87" s="1533">
        <v>0</v>
      </c>
      <c r="CS87" s="1533">
        <v>0</v>
      </c>
      <c r="CT87" s="1533">
        <v>0</v>
      </c>
      <c r="CU87" s="1533">
        <v>0</v>
      </c>
      <c r="CV87" s="1533">
        <v>0</v>
      </c>
      <c r="CW87" s="1533">
        <v>0</v>
      </c>
      <c r="CX87" s="1533">
        <v>0</v>
      </c>
      <c r="CY87" s="1533">
        <v>0</v>
      </c>
      <c r="CZ87" s="1533">
        <v>0</v>
      </c>
      <c r="DA87" s="1533">
        <v>0</v>
      </c>
      <c r="DB87" s="1533">
        <v>0</v>
      </c>
      <c r="DC87" s="1533">
        <v>0</v>
      </c>
      <c r="DD87" s="1533">
        <v>0</v>
      </c>
      <c r="DE87" s="1533">
        <v>0</v>
      </c>
      <c r="DF87" s="1533">
        <v>0</v>
      </c>
      <c r="DG87" s="1533">
        <v>0</v>
      </c>
      <c r="DH87" s="1533">
        <v>0</v>
      </c>
      <c r="DI87" s="1533">
        <v>0</v>
      </c>
      <c r="DJ87" s="1533">
        <v>0</v>
      </c>
      <c r="DK87" s="1533">
        <v>0</v>
      </c>
      <c r="DL87" s="1533">
        <v>0</v>
      </c>
      <c r="DN87" s="1509">
        <v>0</v>
      </c>
    </row>
    <row r="88" spans="1:118" s="14" customFormat="1" ht="15.75" hidden="1" outlineLevel="1" collapsed="1" x14ac:dyDescent="0.2">
      <c r="A88" s="1845"/>
      <c r="B88" s="1846"/>
      <c r="C88" s="1842" t="s">
        <v>746</v>
      </c>
      <c r="D88" s="1843" t="s">
        <v>2283</v>
      </c>
      <c r="E88" s="1844"/>
      <c r="G88" s="1539"/>
      <c r="H88" s="1539"/>
      <c r="I88" s="1539"/>
      <c r="J88" s="1539"/>
      <c r="K88" s="1539"/>
      <c r="L88" s="1539"/>
      <c r="M88" s="1539"/>
      <c r="N88" s="1539"/>
      <c r="O88" s="1539"/>
      <c r="P88" s="1539"/>
      <c r="Q88" s="1539"/>
      <c r="R88" s="1539"/>
      <c r="S88" s="1539"/>
      <c r="T88" s="1539"/>
      <c r="U88" s="1539"/>
      <c r="V88" s="1539"/>
      <c r="W88" s="1539"/>
      <c r="Y88" s="1490"/>
      <c r="Z88" s="1490"/>
      <c r="AA88" s="1490"/>
      <c r="AB88" s="1490"/>
      <c r="AC88" s="1490"/>
      <c r="AD88" s="1490"/>
      <c r="AE88" s="1490"/>
      <c r="AF88" s="1490"/>
      <c r="AG88" s="1490"/>
      <c r="AH88" s="1490"/>
      <c r="AI88" s="1490"/>
      <c r="AJ88" s="1490"/>
      <c r="AK88" s="1490"/>
      <c r="AL88" s="1490"/>
      <c r="AM88" s="1490"/>
      <c r="AN88" s="1490"/>
      <c r="AO88" s="1490"/>
      <c r="AP88" s="1490"/>
      <c r="AQ88" s="1490"/>
      <c r="AS88" s="1491"/>
      <c r="AT88" s="1491"/>
      <c r="AU88" s="1491"/>
      <c r="AV88" s="1491"/>
      <c r="AW88" s="1491"/>
      <c r="AX88" s="1491"/>
      <c r="AY88" s="1491"/>
      <c r="AZ88" s="1491"/>
      <c r="BA88" s="1491"/>
      <c r="BB88" s="1491"/>
      <c r="BC88" s="1491"/>
      <c r="BD88" s="1491"/>
      <c r="BE88" s="1491"/>
      <c r="BF88" s="1491"/>
      <c r="BG88" s="1491"/>
      <c r="BH88" s="1491"/>
      <c r="BI88" s="1491"/>
      <c r="BJ88" s="1491"/>
      <c r="BK88" s="1491"/>
      <c r="BL88" s="1491"/>
      <c r="BN88" s="1492"/>
      <c r="BO88" s="1492"/>
      <c r="BP88" s="1492"/>
      <c r="BR88" s="3168">
        <f t="shared" si="62"/>
        <v>0</v>
      </c>
      <c r="BS88" s="1493"/>
      <c r="BT88" s="748"/>
      <c r="BU88" s="1508">
        <v>0</v>
      </c>
      <c r="BV88" s="1508">
        <v>0</v>
      </c>
      <c r="BW88" s="1508">
        <v>0</v>
      </c>
      <c r="BX88" s="1508">
        <v>0</v>
      </c>
      <c r="BY88" s="1508">
        <v>0</v>
      </c>
      <c r="BZ88" s="1508">
        <v>0</v>
      </c>
      <c r="CA88" s="1508">
        <v>0</v>
      </c>
      <c r="CB88" s="1508">
        <v>0</v>
      </c>
      <c r="CC88" s="1508">
        <v>0</v>
      </c>
      <c r="CD88" s="1508">
        <v>0</v>
      </c>
      <c r="CE88" s="1508">
        <v>0</v>
      </c>
      <c r="CF88" s="1508">
        <v>0</v>
      </c>
      <c r="CG88" s="1508">
        <v>0</v>
      </c>
      <c r="CH88" s="1508">
        <v>0</v>
      </c>
      <c r="CI88" s="1508">
        <v>0</v>
      </c>
      <c r="CJ88" s="1508">
        <v>0</v>
      </c>
      <c r="CK88" s="1508">
        <v>0</v>
      </c>
      <c r="CL88" s="1508">
        <v>0</v>
      </c>
      <c r="CM88" s="1508">
        <v>0</v>
      </c>
      <c r="CN88" s="1508">
        <v>0</v>
      </c>
      <c r="CO88" s="1508">
        <v>0</v>
      </c>
      <c r="CP88" s="1508">
        <v>0</v>
      </c>
      <c r="CQ88" s="1508">
        <v>0</v>
      </c>
      <c r="CR88" s="1508">
        <v>0</v>
      </c>
      <c r="CS88" s="1508">
        <v>0</v>
      </c>
      <c r="CT88" s="1508">
        <v>0</v>
      </c>
      <c r="CU88" s="1508">
        <v>0</v>
      </c>
      <c r="CV88" s="1508">
        <v>0</v>
      </c>
      <c r="CW88" s="1508">
        <v>0</v>
      </c>
      <c r="CX88" s="1508">
        <v>0</v>
      </c>
      <c r="CY88" s="1508">
        <v>0</v>
      </c>
      <c r="CZ88" s="1508">
        <v>0</v>
      </c>
      <c r="DA88" s="1508">
        <v>0</v>
      </c>
      <c r="DB88" s="1508">
        <v>0</v>
      </c>
      <c r="DC88" s="1508">
        <v>0</v>
      </c>
      <c r="DD88" s="1508">
        <v>0</v>
      </c>
      <c r="DE88" s="1508">
        <v>0</v>
      </c>
      <c r="DF88" s="1508">
        <v>0</v>
      </c>
      <c r="DG88" s="1508">
        <v>0</v>
      </c>
      <c r="DH88" s="1508">
        <v>0</v>
      </c>
      <c r="DI88" s="1508">
        <v>0</v>
      </c>
      <c r="DJ88" s="1508">
        <v>0</v>
      </c>
      <c r="DK88" s="1508">
        <v>0</v>
      </c>
      <c r="DL88" s="1508">
        <v>0</v>
      </c>
      <c r="DN88" s="1509">
        <v>0</v>
      </c>
    </row>
    <row r="89" spans="1:118" s="14" customFormat="1" ht="15.75" hidden="1" outlineLevel="1" x14ac:dyDescent="0.2">
      <c r="A89" s="1845"/>
      <c r="B89" s="1846"/>
      <c r="C89" s="1842"/>
      <c r="D89" s="1843"/>
      <c r="E89" s="1844"/>
      <c r="G89" s="1539"/>
      <c r="H89" s="1539"/>
      <c r="I89" s="1539"/>
      <c r="J89" s="1539"/>
      <c r="K89" s="1539"/>
      <c r="L89" s="1539"/>
      <c r="M89" s="1539"/>
      <c r="N89" s="1539"/>
      <c r="O89" s="1539"/>
      <c r="P89" s="1539"/>
      <c r="Q89" s="1539"/>
      <c r="R89" s="1539"/>
      <c r="S89" s="1539"/>
      <c r="T89" s="1539"/>
      <c r="U89" s="1539"/>
      <c r="V89" s="1539"/>
      <c r="W89" s="1539"/>
      <c r="Y89" s="1490"/>
      <c r="Z89" s="1490"/>
      <c r="AA89" s="1490"/>
      <c r="AB89" s="1490"/>
      <c r="AC89" s="1490"/>
      <c r="AD89" s="1490"/>
      <c r="AE89" s="1490"/>
      <c r="AF89" s="1490"/>
      <c r="AG89" s="1490"/>
      <c r="AH89" s="1490"/>
      <c r="AI89" s="1490"/>
      <c r="AJ89" s="1490"/>
      <c r="AK89" s="1490"/>
      <c r="AL89" s="1490"/>
      <c r="AM89" s="1490"/>
      <c r="AN89" s="1490"/>
      <c r="AO89" s="1490"/>
      <c r="AP89" s="1490"/>
      <c r="AQ89" s="1490"/>
      <c r="AS89" s="1491"/>
      <c r="AT89" s="1491"/>
      <c r="AU89" s="1491"/>
      <c r="AV89" s="1491"/>
      <c r="AW89" s="1491"/>
      <c r="AX89" s="1491"/>
      <c r="AY89" s="1491"/>
      <c r="AZ89" s="1491"/>
      <c r="BA89" s="1491"/>
      <c r="BB89" s="1491"/>
      <c r="BC89" s="1491"/>
      <c r="BD89" s="1491"/>
      <c r="BE89" s="1491"/>
      <c r="BF89" s="1491"/>
      <c r="BG89" s="1491"/>
      <c r="BH89" s="1491"/>
      <c r="BI89" s="1491"/>
      <c r="BJ89" s="1491"/>
      <c r="BK89" s="1491"/>
      <c r="BL89" s="1491"/>
      <c r="BN89" s="1492"/>
      <c r="BO89" s="1492"/>
      <c r="BP89" s="1492"/>
      <c r="BR89" s="3168">
        <f t="shared" si="62"/>
        <v>0</v>
      </c>
      <c r="BS89" s="1493"/>
      <c r="BT89" s="748"/>
      <c r="BU89" s="1508"/>
      <c r="BV89" s="1508"/>
      <c r="BW89" s="1508"/>
      <c r="BX89" s="1508"/>
      <c r="BY89" s="1508"/>
      <c r="BZ89" s="1508"/>
      <c r="CA89" s="1508"/>
      <c r="CB89" s="1508"/>
      <c r="CC89" s="1508"/>
      <c r="CD89" s="1508"/>
      <c r="CE89" s="1508"/>
      <c r="CF89" s="1508"/>
      <c r="CG89" s="1508"/>
      <c r="CH89" s="1508"/>
      <c r="CI89" s="1508"/>
      <c r="CJ89" s="1508"/>
      <c r="CK89" s="1508"/>
      <c r="CL89" s="1508"/>
      <c r="CM89" s="1508"/>
      <c r="CN89" s="1508"/>
      <c r="CO89" s="1508"/>
      <c r="CP89" s="1508"/>
      <c r="CQ89" s="1508"/>
      <c r="CR89" s="1508"/>
      <c r="CS89" s="1508"/>
      <c r="CT89" s="1508"/>
      <c r="CU89" s="1508"/>
      <c r="CV89" s="1508"/>
      <c r="CW89" s="1508"/>
      <c r="CX89" s="1508"/>
      <c r="CY89" s="1508"/>
      <c r="CZ89" s="1508"/>
      <c r="DA89" s="1508"/>
      <c r="DB89" s="1508"/>
      <c r="DC89" s="1508"/>
      <c r="DD89" s="1508"/>
      <c r="DE89" s="1508"/>
      <c r="DF89" s="1508"/>
      <c r="DG89" s="1508"/>
      <c r="DH89" s="1508"/>
      <c r="DI89" s="1508"/>
      <c r="DJ89" s="1508"/>
      <c r="DK89" s="1508"/>
      <c r="DL89" s="1508"/>
      <c r="DN89" s="1509"/>
    </row>
    <row r="90" spans="1:118" s="14" customFormat="1" ht="15.75" collapsed="1" x14ac:dyDescent="0.2">
      <c r="A90" s="1845"/>
      <c r="B90" s="1846"/>
      <c r="C90" s="1842"/>
      <c r="D90" s="1843"/>
      <c r="E90" s="1844"/>
      <c r="G90" s="1539"/>
      <c r="H90" s="1539"/>
      <c r="I90" s="1539"/>
      <c r="J90" s="1539"/>
      <c r="K90" s="1539"/>
      <c r="L90" s="1539"/>
      <c r="M90" s="1539"/>
      <c r="N90" s="1539"/>
      <c r="O90" s="1539"/>
      <c r="P90" s="1539"/>
      <c r="Q90" s="1539"/>
      <c r="R90" s="1539"/>
      <c r="S90" s="1539"/>
      <c r="T90" s="1539"/>
      <c r="U90" s="1539"/>
      <c r="V90" s="1539"/>
      <c r="W90" s="1539"/>
      <c r="Y90" s="1490"/>
      <c r="Z90" s="1490"/>
      <c r="AA90" s="1490"/>
      <c r="AB90" s="1490"/>
      <c r="AC90" s="1490"/>
      <c r="AD90" s="1490"/>
      <c r="AE90" s="1490"/>
      <c r="AF90" s="1490"/>
      <c r="AG90" s="1490"/>
      <c r="AH90" s="1490"/>
      <c r="AI90" s="1490"/>
      <c r="AJ90" s="1490"/>
      <c r="AK90" s="1490"/>
      <c r="AL90" s="1490"/>
      <c r="AM90" s="1490"/>
      <c r="AN90" s="1490"/>
      <c r="AO90" s="1490"/>
      <c r="AP90" s="1490"/>
      <c r="AQ90" s="1490"/>
      <c r="AS90" s="1491"/>
      <c r="AT90" s="1491"/>
      <c r="AU90" s="1491"/>
      <c r="AV90" s="1491"/>
      <c r="AW90" s="1491"/>
      <c r="AX90" s="1491"/>
      <c r="AY90" s="1491"/>
      <c r="AZ90" s="1491"/>
      <c r="BA90" s="1491"/>
      <c r="BB90" s="1491"/>
      <c r="BC90" s="1491"/>
      <c r="BD90" s="1491"/>
      <c r="BE90" s="1491"/>
      <c r="BF90" s="1491"/>
      <c r="BG90" s="1491"/>
      <c r="BH90" s="1491"/>
      <c r="BI90" s="1491"/>
      <c r="BJ90" s="1491"/>
      <c r="BK90" s="1491"/>
      <c r="BL90" s="1491"/>
      <c r="BN90" s="1492"/>
      <c r="BO90" s="1492"/>
      <c r="BP90" s="1492"/>
      <c r="BR90" s="3168"/>
      <c r="BS90" s="1493"/>
      <c r="BT90" s="748"/>
      <c r="BU90" s="1508"/>
      <c r="BV90" s="1508"/>
      <c r="BW90" s="1508"/>
      <c r="BX90" s="1508"/>
      <c r="BY90" s="1508"/>
      <c r="BZ90" s="1508"/>
      <c r="CA90" s="1508"/>
      <c r="CB90" s="1508"/>
      <c r="CC90" s="1508"/>
      <c r="CD90" s="1508"/>
      <c r="CE90" s="1508"/>
      <c r="CF90" s="1508"/>
      <c r="CG90" s="1508"/>
      <c r="CH90" s="1508"/>
      <c r="CI90" s="1508"/>
      <c r="CJ90" s="1508"/>
      <c r="CK90" s="1508"/>
      <c r="CL90" s="1508"/>
      <c r="CM90" s="1508"/>
      <c r="CN90" s="1508"/>
      <c r="CO90" s="1508"/>
      <c r="CP90" s="1508"/>
      <c r="CQ90" s="1508"/>
      <c r="CR90" s="1508"/>
      <c r="CS90" s="1508"/>
      <c r="CT90" s="1508"/>
      <c r="CU90" s="1508"/>
      <c r="CV90" s="1508"/>
      <c r="CW90" s="1508"/>
      <c r="CX90" s="1508"/>
      <c r="CY90" s="1508"/>
      <c r="CZ90" s="1508"/>
      <c r="DA90" s="1508"/>
      <c r="DB90" s="1508"/>
      <c r="DC90" s="1508"/>
      <c r="DD90" s="1508"/>
      <c r="DE90" s="1508"/>
      <c r="DF90" s="1508"/>
      <c r="DG90" s="1508"/>
      <c r="DH90" s="1508"/>
      <c r="DI90" s="1508"/>
      <c r="DJ90" s="1508"/>
      <c r="DK90" s="1508"/>
      <c r="DL90" s="1508"/>
      <c r="DN90" s="1509"/>
    </row>
    <row r="91" spans="1:118" s="14" customFormat="1" ht="6" customHeight="1" x14ac:dyDescent="0.2">
      <c r="C91" s="1552"/>
      <c r="D91" s="1537"/>
      <c r="E91" s="1430"/>
      <c r="G91" s="1488"/>
      <c r="H91" s="1488"/>
      <c r="I91" s="1488"/>
      <c r="J91" s="1488"/>
      <c r="K91" s="1488"/>
      <c r="L91" s="1488"/>
      <c r="M91" s="1488"/>
      <c r="N91" s="1488"/>
      <c r="O91" s="1563"/>
      <c r="P91" s="1488"/>
      <c r="Q91" s="1488"/>
      <c r="R91" s="1488"/>
      <c r="S91" s="1488"/>
      <c r="T91" s="1488"/>
      <c r="U91" s="1488"/>
      <c r="V91" s="1488"/>
      <c r="W91" s="1488"/>
      <c r="Y91" s="1490"/>
      <c r="Z91" s="1490"/>
      <c r="AA91" s="1490"/>
      <c r="AB91" s="1490"/>
      <c r="AC91" s="1490"/>
      <c r="AD91" s="1490"/>
      <c r="AE91" s="1490"/>
      <c r="AF91" s="1490"/>
      <c r="AG91" s="1490"/>
      <c r="AH91" s="1490"/>
      <c r="AI91" s="1490"/>
      <c r="AJ91" s="1490"/>
      <c r="AK91" s="1490"/>
      <c r="AL91" s="1490"/>
      <c r="AM91" s="1490"/>
      <c r="AN91" s="1490"/>
      <c r="AO91" s="1490"/>
      <c r="AP91" s="1490"/>
      <c r="AQ91" s="1490"/>
      <c r="AS91" s="1491"/>
      <c r="AT91" s="1491"/>
      <c r="AU91" s="1491"/>
      <c r="AV91" s="1491"/>
      <c r="AW91" s="1491"/>
      <c r="AX91" s="1491"/>
      <c r="AY91" s="1491"/>
      <c r="AZ91" s="1491"/>
      <c r="BA91" s="1491"/>
      <c r="BB91" s="1491"/>
      <c r="BC91" s="1491"/>
      <c r="BD91" s="1491"/>
      <c r="BE91" s="1491"/>
      <c r="BF91" s="1491"/>
      <c r="BG91" s="1491"/>
      <c r="BH91" s="1491"/>
      <c r="BI91" s="1491"/>
      <c r="BJ91" s="1491"/>
      <c r="BK91" s="1491"/>
      <c r="BL91" s="1491"/>
      <c r="BN91" s="1492"/>
      <c r="BO91" s="1492"/>
      <c r="BP91" s="1492"/>
      <c r="BR91" s="3168"/>
      <c r="BS91" s="1493"/>
      <c r="BU91" s="1508"/>
      <c r="BV91" s="1508"/>
      <c r="BW91" s="1508"/>
      <c r="BX91" s="1508"/>
      <c r="BY91" s="1508"/>
      <c r="BZ91" s="1508"/>
      <c r="CA91" s="1508"/>
      <c r="CB91" s="1508"/>
      <c r="CC91" s="1508"/>
      <c r="CD91" s="1508"/>
      <c r="CE91" s="1508"/>
      <c r="CF91" s="1508"/>
      <c r="CG91" s="1508"/>
      <c r="CH91" s="1508"/>
      <c r="CI91" s="1508"/>
      <c r="CJ91" s="1508"/>
      <c r="CK91" s="1508"/>
      <c r="CL91" s="1508"/>
      <c r="CM91" s="1508"/>
      <c r="CN91" s="1508"/>
      <c r="CO91" s="1508"/>
      <c r="CP91" s="1508"/>
      <c r="CQ91" s="1508"/>
      <c r="CR91" s="1508"/>
      <c r="CS91" s="1508"/>
      <c r="CT91" s="1508"/>
      <c r="CU91" s="1508"/>
      <c r="CV91" s="1508"/>
      <c r="CW91" s="1508"/>
      <c r="CX91" s="1508"/>
      <c r="CY91" s="1508"/>
      <c r="CZ91" s="1508"/>
      <c r="DA91" s="1508"/>
      <c r="DB91" s="1508"/>
      <c r="DC91" s="1508"/>
      <c r="DD91" s="1508"/>
      <c r="DE91" s="1508"/>
      <c r="DF91" s="1508"/>
      <c r="DG91" s="1508"/>
      <c r="DH91" s="1508"/>
      <c r="DI91" s="1508"/>
      <c r="DJ91" s="1508"/>
      <c r="DK91" s="1508"/>
      <c r="DL91" s="1508"/>
      <c r="DN91" s="1509"/>
    </row>
    <row r="92" spans="1:118" s="14" customFormat="1" ht="15.75" x14ac:dyDescent="0.2">
      <c r="B92" s="1535"/>
      <c r="C92" s="1553"/>
      <c r="D92" s="1554" t="s">
        <v>917</v>
      </c>
      <c r="E92" s="1555"/>
      <c r="F92" s="1556">
        <f t="shared" ref="F92:V92" si="63">F54+F59+F76+F70+F82</f>
        <v>0</v>
      </c>
      <c r="G92" s="1556">
        <f t="shared" si="63"/>
        <v>0</v>
      </c>
      <c r="H92" s="1556">
        <f t="shared" si="63"/>
        <v>0</v>
      </c>
      <c r="I92" s="1556">
        <f t="shared" si="63"/>
        <v>0</v>
      </c>
      <c r="J92" s="1556">
        <f t="shared" si="63"/>
        <v>0</v>
      </c>
      <c r="K92" s="1556">
        <f t="shared" si="63"/>
        <v>0</v>
      </c>
      <c r="L92" s="1556">
        <f t="shared" si="63"/>
        <v>0</v>
      </c>
      <c r="M92" s="1556">
        <f t="shared" si="63"/>
        <v>0</v>
      </c>
      <c r="N92" s="1556">
        <f t="shared" si="63"/>
        <v>0</v>
      </c>
      <c r="O92" s="1556">
        <f t="shared" si="63"/>
        <v>0</v>
      </c>
      <c r="P92" s="1556">
        <f t="shared" si="63"/>
        <v>0</v>
      </c>
      <c r="Q92" s="1556">
        <f t="shared" si="63"/>
        <v>0</v>
      </c>
      <c r="R92" s="1556">
        <f t="shared" si="63"/>
        <v>0</v>
      </c>
      <c r="S92" s="1556">
        <f t="shared" si="63"/>
        <v>0</v>
      </c>
      <c r="T92" s="1556">
        <f t="shared" si="63"/>
        <v>0</v>
      </c>
      <c r="U92" s="1556">
        <f t="shared" si="63"/>
        <v>0</v>
      </c>
      <c r="V92" s="1556">
        <f t="shared" si="63"/>
        <v>0</v>
      </c>
      <c r="W92" s="1556">
        <f>W54+W59+W76+W70+W82</f>
        <v>0</v>
      </c>
      <c r="Y92" s="1557">
        <f ca="1">Y54+Y59+Y76+Y70+Y82</f>
        <v>0</v>
      </c>
      <c r="Z92" s="1557">
        <f t="shared" ref="Z92:AP92" ca="1" si="64">Z54+Z59+Z76+Z70+Z82</f>
        <v>148.13841553905655</v>
      </c>
      <c r="AA92" s="1557">
        <f t="shared" ca="1" si="64"/>
        <v>-144.27010667328963</v>
      </c>
      <c r="AB92" s="1557">
        <f t="shared" ca="1" si="64"/>
        <v>-18.033763334161208</v>
      </c>
      <c r="AC92" s="1557">
        <f t="shared" ca="1" si="64"/>
        <v>-82.44006095616551</v>
      </c>
      <c r="AD92" s="1557">
        <f t="shared" ca="1" si="64"/>
        <v>0</v>
      </c>
      <c r="AE92" s="1557">
        <f t="shared" ca="1" si="64"/>
        <v>0</v>
      </c>
      <c r="AF92" s="1557">
        <f t="shared" ca="1" si="64"/>
        <v>0</v>
      </c>
      <c r="AG92" s="1557">
        <f t="shared" ca="1" si="64"/>
        <v>0</v>
      </c>
      <c r="AH92" s="1557">
        <f t="shared" ca="1" si="64"/>
        <v>0</v>
      </c>
      <c r="AI92" s="1557">
        <f t="shared" ca="1" si="64"/>
        <v>0</v>
      </c>
      <c r="AJ92" s="1557">
        <f t="shared" ca="1" si="64"/>
        <v>0</v>
      </c>
      <c r="AK92" s="1557">
        <f t="shared" ca="1" si="64"/>
        <v>0</v>
      </c>
      <c r="AL92" s="1557">
        <f t="shared" ca="1" si="64"/>
        <v>-2.9453760000000004</v>
      </c>
      <c r="AM92" s="1557">
        <f t="shared" ca="1" si="64"/>
        <v>0</v>
      </c>
      <c r="AN92" s="1557">
        <f t="shared" ca="1" si="64"/>
        <v>0</v>
      </c>
      <c r="AO92" s="1557">
        <f t="shared" ca="1" si="64"/>
        <v>0</v>
      </c>
      <c r="AP92" s="1557">
        <f t="shared" ca="1" si="64"/>
        <v>0</v>
      </c>
      <c r="AQ92" s="1557">
        <f ca="1">AQ54+AQ59+AQ76+AQ70+AQ82</f>
        <v>-99.550891424559836</v>
      </c>
      <c r="AS92" s="1558">
        <f ca="1">AS54+AS59+AS76+AS70+AS82</f>
        <v>0</v>
      </c>
      <c r="AT92" s="1558">
        <f t="shared" ref="AT92:BK92" ca="1" si="65">AT54+AT59+AT76+AT70+AT82</f>
        <v>0</v>
      </c>
      <c r="AU92" s="1558">
        <f t="shared" ca="1" si="65"/>
        <v>0</v>
      </c>
      <c r="AV92" s="1558">
        <f t="shared" ca="1" si="65"/>
        <v>0</v>
      </c>
      <c r="AW92" s="1558">
        <f t="shared" ca="1" si="65"/>
        <v>0</v>
      </c>
      <c r="AX92" s="1558">
        <f t="shared" ca="1" si="65"/>
        <v>0</v>
      </c>
      <c r="AY92" s="1558">
        <f t="shared" ca="1" si="65"/>
        <v>0</v>
      </c>
      <c r="AZ92" s="1558">
        <f t="shared" ca="1" si="65"/>
        <v>0</v>
      </c>
      <c r="BA92" s="1558">
        <f t="shared" ca="1" si="65"/>
        <v>0</v>
      </c>
      <c r="BB92" s="1558">
        <f t="shared" ca="1" si="65"/>
        <v>0</v>
      </c>
      <c r="BC92" s="1558">
        <f t="shared" ca="1" si="65"/>
        <v>-10.439188459181564</v>
      </c>
      <c r="BD92" s="1558">
        <f t="shared" ca="1" si="65"/>
        <v>-6.0765023999999981</v>
      </c>
      <c r="BE92" s="1558">
        <f t="shared" ca="1" si="65"/>
        <v>-4.3241801400000002E-2</v>
      </c>
      <c r="BF92" s="1558">
        <f t="shared" ca="1" si="65"/>
        <v>-0.133843671</v>
      </c>
      <c r="BG92" s="1558">
        <f t="shared" ca="1" si="65"/>
        <v>-0.35064000000000006</v>
      </c>
      <c r="BH92" s="1558">
        <f t="shared" ca="1" si="65"/>
        <v>-28.134477000000004</v>
      </c>
      <c r="BI92" s="1558">
        <f t="shared" ca="1" si="65"/>
        <v>0</v>
      </c>
      <c r="BJ92" s="1558">
        <f t="shared" ca="1" si="65"/>
        <v>0</v>
      </c>
      <c r="BK92" s="1558">
        <f t="shared" ca="1" si="65"/>
        <v>-0.41920354218820921</v>
      </c>
      <c r="BL92" s="1558">
        <f ca="1">BL54+BL59+BL76+BL70+BL82</f>
        <v>-45.597096873769772</v>
      </c>
      <c r="BN92" s="1559">
        <f ca="1">BN70+BN76+BN59+BN54+BN82</f>
        <v>140.01123155206523</v>
      </c>
      <c r="BO92" s="1559">
        <f ca="1">BO70+BO76+BO59+BO54+BO82</f>
        <v>5.1367567462643358</v>
      </c>
      <c r="BP92" s="1559">
        <f ca="1">BP54+BP59+BP76+BP70</f>
        <v>145.14798829832955</v>
      </c>
      <c r="BR92" s="3168">
        <f ca="1">W92+AQ92+BL92+BP92</f>
        <v>0</v>
      </c>
      <c r="BS92" s="1560"/>
      <c r="BU92" s="1561">
        <v>226.09341168494953</v>
      </c>
      <c r="BV92" s="1561">
        <v>0.56291143459540849</v>
      </c>
      <c r="BW92" s="1561">
        <v>1.6437392022754262</v>
      </c>
      <c r="BX92" s="1561">
        <v>0</v>
      </c>
      <c r="BY92" s="1561">
        <v>5.0916819860234304</v>
      </c>
      <c r="BZ92" s="1561">
        <v>2.6403129612517775</v>
      </c>
      <c r="CA92" s="1561">
        <v>0</v>
      </c>
      <c r="CB92" s="1561">
        <v>0</v>
      </c>
      <c r="CC92" s="1561">
        <v>0</v>
      </c>
      <c r="CD92" s="1561">
        <v>0</v>
      </c>
      <c r="CE92" s="1561">
        <v>0</v>
      </c>
      <c r="CF92" s="1561">
        <v>0</v>
      </c>
      <c r="CG92" s="1561">
        <v>0</v>
      </c>
      <c r="CH92" s="1561">
        <v>0</v>
      </c>
      <c r="CI92" s="1561">
        <v>0</v>
      </c>
      <c r="CJ92" s="1561">
        <v>0</v>
      </c>
      <c r="CK92" s="1561">
        <v>0</v>
      </c>
      <c r="CL92" s="1561">
        <v>20.026732599999995</v>
      </c>
      <c r="CM92" s="1561">
        <v>23.28</v>
      </c>
      <c r="CN92" s="1561">
        <v>0</v>
      </c>
      <c r="CO92" s="1561">
        <v>-1.8247953999999991</v>
      </c>
      <c r="CP92" s="1561">
        <v>0</v>
      </c>
      <c r="CQ92" s="1561">
        <v>0</v>
      </c>
      <c r="CR92" s="1561">
        <v>0</v>
      </c>
      <c r="CS92" s="1561">
        <v>0</v>
      </c>
      <c r="CT92" s="1561">
        <v>21.652248115789206</v>
      </c>
      <c r="CU92" s="1561">
        <v>1.2204197534285715</v>
      </c>
      <c r="CV92" s="1561">
        <v>0</v>
      </c>
      <c r="CW92" s="1561">
        <v>0</v>
      </c>
      <c r="CX92" s="1561">
        <v>0</v>
      </c>
      <c r="CY92" s="1561">
        <v>0</v>
      </c>
      <c r="CZ92" s="1561">
        <v>0</v>
      </c>
      <c r="DA92" s="1561">
        <v>0</v>
      </c>
      <c r="DB92" s="1561">
        <v>0</v>
      </c>
      <c r="DC92" s="1561">
        <v>0</v>
      </c>
      <c r="DD92" s="1561">
        <v>0</v>
      </c>
      <c r="DE92" s="1561">
        <v>0</v>
      </c>
      <c r="DF92" s="1561">
        <v>0</v>
      </c>
      <c r="DG92" s="1561">
        <v>0</v>
      </c>
      <c r="DH92" s="1561">
        <v>0</v>
      </c>
      <c r="DI92" s="1561">
        <v>0</v>
      </c>
      <c r="DJ92" s="1561">
        <v>0</v>
      </c>
      <c r="DK92" s="1561">
        <v>0</v>
      </c>
      <c r="DL92" s="1561">
        <v>0</v>
      </c>
      <c r="DN92" s="1562">
        <v>300.38666233831339</v>
      </c>
    </row>
    <row r="93" spans="1:118" s="14" customFormat="1" ht="6" customHeight="1" x14ac:dyDescent="0.2">
      <c r="C93" s="1552"/>
      <c r="D93" s="1537"/>
      <c r="E93" s="1430"/>
      <c r="G93" s="1488"/>
      <c r="H93" s="1488"/>
      <c r="I93" s="1488"/>
      <c r="J93" s="1488"/>
      <c r="K93" s="1488"/>
      <c r="L93" s="1488"/>
      <c r="M93" s="1488"/>
      <c r="N93" s="1488"/>
      <c r="O93" s="1563"/>
      <c r="P93" s="1488"/>
      <c r="Q93" s="1488"/>
      <c r="R93" s="1488"/>
      <c r="S93" s="1488"/>
      <c r="T93" s="1488"/>
      <c r="U93" s="1488"/>
      <c r="V93" s="1488"/>
      <c r="W93" s="1488"/>
      <c r="Y93" s="1490"/>
      <c r="Z93" s="1490"/>
      <c r="AA93" s="1490"/>
      <c r="AB93" s="1490"/>
      <c r="AC93" s="1490"/>
      <c r="AD93" s="1490"/>
      <c r="AE93" s="1490"/>
      <c r="AF93" s="1490"/>
      <c r="AG93" s="1490"/>
      <c r="AH93" s="1490"/>
      <c r="AI93" s="1490"/>
      <c r="AJ93" s="1490"/>
      <c r="AK93" s="1490"/>
      <c r="AL93" s="1490"/>
      <c r="AM93" s="1490"/>
      <c r="AN93" s="1490"/>
      <c r="AO93" s="1490"/>
      <c r="AP93" s="1490"/>
      <c r="AQ93" s="1490"/>
      <c r="AS93" s="1491"/>
      <c r="AT93" s="1491"/>
      <c r="AU93" s="1491"/>
      <c r="AV93" s="1491"/>
      <c r="AW93" s="1491"/>
      <c r="AX93" s="1491"/>
      <c r="AY93" s="1491"/>
      <c r="AZ93" s="1491"/>
      <c r="BA93" s="1491"/>
      <c r="BB93" s="1491"/>
      <c r="BC93" s="1491"/>
      <c r="BD93" s="1491"/>
      <c r="BE93" s="1491"/>
      <c r="BF93" s="1491"/>
      <c r="BG93" s="1491"/>
      <c r="BH93" s="1491"/>
      <c r="BI93" s="1491"/>
      <c r="BJ93" s="1491"/>
      <c r="BK93" s="1491"/>
      <c r="BL93" s="1491"/>
      <c r="BN93" s="1492"/>
      <c r="BO93" s="1492"/>
      <c r="BP93" s="1492"/>
      <c r="BR93" s="3168"/>
      <c r="BS93" s="1493"/>
      <c r="BU93" s="1508"/>
      <c r="BV93" s="1508"/>
      <c r="BW93" s="1508"/>
      <c r="BX93" s="1508"/>
      <c r="BY93" s="1508"/>
      <c r="BZ93" s="1508"/>
      <c r="CA93" s="1508"/>
      <c r="CB93" s="1508"/>
      <c r="CC93" s="1508"/>
      <c r="CD93" s="1508"/>
      <c r="CE93" s="1508"/>
      <c r="CF93" s="1508"/>
      <c r="CG93" s="1508"/>
      <c r="CH93" s="1508"/>
      <c r="CI93" s="1508"/>
      <c r="CJ93" s="1508"/>
      <c r="CK93" s="1508"/>
      <c r="CL93" s="1508"/>
      <c r="CM93" s="1508"/>
      <c r="CN93" s="1508"/>
      <c r="CO93" s="1508"/>
      <c r="CP93" s="1508"/>
      <c r="CQ93" s="1508"/>
      <c r="CR93" s="1508"/>
      <c r="CS93" s="1508"/>
      <c r="CT93" s="1508"/>
      <c r="CU93" s="1508"/>
      <c r="CV93" s="1508"/>
      <c r="CW93" s="1508"/>
      <c r="CX93" s="1508"/>
      <c r="CY93" s="1508"/>
      <c r="CZ93" s="1508"/>
      <c r="DA93" s="1508"/>
      <c r="DB93" s="1508"/>
      <c r="DC93" s="1508"/>
      <c r="DD93" s="1508"/>
      <c r="DE93" s="1508"/>
      <c r="DF93" s="1508"/>
      <c r="DG93" s="1508"/>
      <c r="DH93" s="1508"/>
      <c r="DI93" s="1508"/>
      <c r="DJ93" s="1508"/>
      <c r="DK93" s="1508"/>
      <c r="DL93" s="1508"/>
      <c r="DN93" s="1509"/>
    </row>
    <row r="94" spans="1:118" s="14" customFormat="1" ht="24" customHeight="1" outlineLevel="1" x14ac:dyDescent="0.2">
      <c r="C94" s="1480"/>
      <c r="D94" s="1480"/>
      <c r="E94" s="1481"/>
      <c r="G94" s="1482"/>
      <c r="H94" s="1482"/>
      <c r="I94" s="1482"/>
      <c r="J94" s="1482"/>
      <c r="K94" s="1482"/>
      <c r="L94" s="1482"/>
      <c r="M94" s="1482"/>
      <c r="N94" s="1482"/>
      <c r="O94" s="1482"/>
      <c r="P94" s="1482"/>
      <c r="Q94" s="1482"/>
      <c r="R94" s="1482"/>
      <c r="S94" s="1482"/>
      <c r="T94" s="1482"/>
      <c r="U94" s="1482"/>
      <c r="V94" s="1482"/>
      <c r="W94" s="1482"/>
      <c r="Y94" s="1596"/>
      <c r="Z94" s="1596"/>
      <c r="AA94" s="1596"/>
      <c r="AB94" s="1596"/>
      <c r="AC94" s="1596"/>
      <c r="AD94" s="1483"/>
      <c r="AE94" s="1483"/>
      <c r="AF94" s="1483"/>
      <c r="AG94" s="1596"/>
      <c r="AH94" s="1596"/>
      <c r="AI94" s="1596"/>
      <c r="AJ94" s="1596"/>
      <c r="AK94" s="1596"/>
      <c r="AL94" s="1596"/>
      <c r="AM94" s="1596"/>
      <c r="AN94" s="1596"/>
      <c r="AO94" s="1596"/>
      <c r="AP94" s="1596"/>
      <c r="AQ94" s="1596"/>
      <c r="AS94" s="1597"/>
      <c r="AT94" s="1597"/>
      <c r="AU94" s="1597"/>
      <c r="AV94" s="1597"/>
      <c r="AW94" s="1597"/>
      <c r="AX94" s="1597"/>
      <c r="AY94" s="1597"/>
      <c r="AZ94" s="1597"/>
      <c r="BA94" s="1597"/>
      <c r="BB94" s="1597"/>
      <c r="BC94" s="1484"/>
      <c r="BD94" s="1484"/>
      <c r="BE94" s="1484"/>
      <c r="BF94" s="1484"/>
      <c r="BG94" s="1484"/>
      <c r="BH94" s="1484"/>
      <c r="BI94" s="1484"/>
      <c r="BJ94" s="1484"/>
      <c r="BK94" s="1484"/>
      <c r="BL94" s="1597"/>
      <c r="BN94" s="1598"/>
      <c r="BO94" s="1598"/>
      <c r="BP94" s="1598"/>
      <c r="BR94" s="3168"/>
      <c r="BS94" s="1486"/>
      <c r="BU94" s="1508"/>
      <c r="BV94" s="1508"/>
      <c r="BW94" s="1508"/>
      <c r="BX94" s="1508"/>
      <c r="BY94" s="1508"/>
      <c r="BZ94" s="1508"/>
      <c r="CA94" s="1508"/>
      <c r="CB94" s="1508"/>
      <c r="CC94" s="1508"/>
      <c r="CD94" s="1508"/>
      <c r="CE94" s="1508"/>
      <c r="CF94" s="1508"/>
      <c r="CG94" s="1508"/>
      <c r="CH94" s="1508"/>
      <c r="CI94" s="1508"/>
      <c r="CJ94" s="1508"/>
      <c r="CK94" s="1508"/>
      <c r="CL94" s="1508"/>
      <c r="CM94" s="1508"/>
      <c r="CN94" s="1508"/>
      <c r="CO94" s="1508"/>
      <c r="CP94" s="1508"/>
      <c r="CQ94" s="1508"/>
      <c r="CR94" s="1508"/>
      <c r="CS94" s="1508"/>
      <c r="CT94" s="1508"/>
      <c r="CU94" s="1508"/>
      <c r="CV94" s="1508"/>
      <c r="CW94" s="1508"/>
      <c r="CX94" s="1508"/>
      <c r="CY94" s="1508"/>
      <c r="CZ94" s="1508"/>
      <c r="DA94" s="1508"/>
      <c r="DB94" s="1508"/>
      <c r="DC94" s="1508"/>
      <c r="DD94" s="1508"/>
      <c r="DE94" s="1508"/>
      <c r="DF94" s="1508"/>
      <c r="DG94" s="1508"/>
      <c r="DH94" s="1508"/>
      <c r="DI94" s="1508"/>
      <c r="DJ94" s="1508"/>
      <c r="DK94" s="1508"/>
      <c r="DL94" s="1508"/>
      <c r="DN94" s="1509"/>
    </row>
    <row r="95" spans="1:118" s="14" customFormat="1" ht="6" customHeight="1" outlineLevel="1" x14ac:dyDescent="0.2">
      <c r="C95" s="1580"/>
      <c r="D95" s="746"/>
      <c r="E95" s="1430"/>
      <c r="G95" s="1488"/>
      <c r="H95" s="1488"/>
      <c r="I95" s="1488"/>
      <c r="J95" s="1488"/>
      <c r="K95" s="1488"/>
      <c r="L95" s="1488"/>
      <c r="M95" s="1488"/>
      <c r="N95" s="1488"/>
      <c r="O95" s="1563"/>
      <c r="P95" s="1488"/>
      <c r="Q95" s="1488"/>
      <c r="R95" s="1488"/>
      <c r="S95" s="1488"/>
      <c r="T95" s="1488"/>
      <c r="U95" s="1488"/>
      <c r="V95" s="1488"/>
      <c r="W95" s="1488"/>
      <c r="Y95" s="1490"/>
      <c r="Z95" s="1490"/>
      <c r="AA95" s="1490"/>
      <c r="AB95" s="1490"/>
      <c r="AC95" s="1490"/>
      <c r="AD95" s="1490"/>
      <c r="AE95" s="1490"/>
      <c r="AF95" s="1490"/>
      <c r="AG95" s="1490"/>
      <c r="AH95" s="1490"/>
      <c r="AI95" s="1490"/>
      <c r="AJ95" s="1490"/>
      <c r="AK95" s="1490"/>
      <c r="AL95" s="1490"/>
      <c r="AM95" s="1490"/>
      <c r="AN95" s="1490"/>
      <c r="AO95" s="1490"/>
      <c r="AP95" s="1490"/>
      <c r="AQ95" s="1490"/>
      <c r="AS95" s="1491"/>
      <c r="AT95" s="1491"/>
      <c r="AU95" s="1491"/>
      <c r="AV95" s="1491"/>
      <c r="AW95" s="1491"/>
      <c r="AX95" s="1491"/>
      <c r="AY95" s="1491"/>
      <c r="AZ95" s="1491"/>
      <c r="BA95" s="1491"/>
      <c r="BB95" s="1491"/>
      <c r="BC95" s="1491"/>
      <c r="BD95" s="1491"/>
      <c r="BE95" s="1491"/>
      <c r="BF95" s="1491"/>
      <c r="BG95" s="1491"/>
      <c r="BH95" s="1491"/>
      <c r="BI95" s="1491"/>
      <c r="BJ95" s="1491"/>
      <c r="BK95" s="1491"/>
      <c r="BL95" s="1491"/>
      <c r="BN95" s="1492"/>
      <c r="BO95" s="1492"/>
      <c r="BP95" s="1492"/>
      <c r="BR95" s="3168"/>
      <c r="BS95" s="1493"/>
      <c r="BU95" s="1508"/>
      <c r="BV95" s="1508"/>
      <c r="BW95" s="1508"/>
      <c r="BX95" s="1508"/>
      <c r="BY95" s="1508"/>
      <c r="BZ95" s="1508"/>
      <c r="CA95" s="1508"/>
      <c r="CB95" s="1508"/>
      <c r="CC95" s="1508"/>
      <c r="CD95" s="1508"/>
      <c r="CE95" s="1508"/>
      <c r="CF95" s="1508"/>
      <c r="CG95" s="1508"/>
      <c r="CH95" s="1508"/>
      <c r="CI95" s="1508"/>
      <c r="CJ95" s="1508"/>
      <c r="CK95" s="1508"/>
      <c r="CL95" s="1508"/>
      <c r="CM95" s="1508"/>
      <c r="CN95" s="1508"/>
      <c r="CO95" s="1508"/>
      <c r="CP95" s="1508"/>
      <c r="CQ95" s="1508"/>
      <c r="CR95" s="1508"/>
      <c r="CS95" s="1508"/>
      <c r="CT95" s="1508"/>
      <c r="CU95" s="1508"/>
      <c r="CV95" s="1508"/>
      <c r="CW95" s="1508"/>
      <c r="CX95" s="1508"/>
      <c r="CY95" s="1508"/>
      <c r="CZ95" s="1508"/>
      <c r="DA95" s="1508"/>
      <c r="DB95" s="1508"/>
      <c r="DC95" s="1508"/>
      <c r="DD95" s="1508"/>
      <c r="DE95" s="1508"/>
      <c r="DF95" s="1508"/>
      <c r="DG95" s="1508"/>
      <c r="DH95" s="1508"/>
      <c r="DI95" s="1508"/>
      <c r="DJ95" s="1508"/>
      <c r="DK95" s="1508"/>
      <c r="DL95" s="1508"/>
      <c r="DN95" s="1509"/>
    </row>
    <row r="96" spans="1:118" s="14" customFormat="1" hidden="1" outlineLevel="2" x14ac:dyDescent="0.2">
      <c r="A96" s="1578"/>
      <c r="B96" s="1578"/>
      <c r="C96" s="1599"/>
      <c r="D96" s="1600"/>
      <c r="E96" s="1600"/>
      <c r="G96" s="1601"/>
      <c r="H96" s="1601"/>
      <c r="I96" s="1601"/>
      <c r="J96" s="1601"/>
      <c r="K96" s="1601"/>
      <c r="L96" s="1601"/>
      <c r="M96" s="1601"/>
      <c r="N96" s="1601"/>
      <c r="O96" s="1602"/>
      <c r="P96" s="1601"/>
      <c r="Q96" s="1601"/>
      <c r="R96" s="1601"/>
      <c r="S96" s="1601"/>
      <c r="T96" s="1601"/>
      <c r="U96" s="1601"/>
      <c r="V96" s="1601"/>
      <c r="W96" s="1601"/>
      <c r="Y96" s="1603"/>
      <c r="Z96" s="1603"/>
      <c r="AA96" s="1603"/>
      <c r="AB96" s="1603"/>
      <c r="AC96" s="1603"/>
      <c r="AD96" s="1603"/>
      <c r="AE96" s="1603"/>
      <c r="AF96" s="1603"/>
      <c r="AG96" s="1603"/>
      <c r="AH96" s="1603"/>
      <c r="AI96" s="1603"/>
      <c r="AJ96" s="1603"/>
      <c r="AK96" s="1603"/>
      <c r="AL96" s="1603"/>
      <c r="AM96" s="1603"/>
      <c r="AN96" s="1603"/>
      <c r="AO96" s="1603"/>
      <c r="AP96" s="1603"/>
      <c r="AQ96" s="1603"/>
      <c r="AS96" s="1604"/>
      <c r="AT96" s="1604"/>
      <c r="AU96" s="1604"/>
      <c r="AV96" s="1604"/>
      <c r="AW96" s="1604"/>
      <c r="AX96" s="1604"/>
      <c r="AY96" s="1604"/>
      <c r="AZ96" s="1604"/>
      <c r="BA96" s="1604"/>
      <c r="BB96" s="1604"/>
      <c r="BC96" s="1604"/>
      <c r="BD96" s="1604"/>
      <c r="BE96" s="1604"/>
      <c r="BF96" s="1604"/>
      <c r="BG96" s="1604"/>
      <c r="BH96" s="1604"/>
      <c r="BI96" s="1604"/>
      <c r="BJ96" s="1604"/>
      <c r="BK96" s="1604"/>
      <c r="BL96" s="1604"/>
      <c r="BN96" s="1605"/>
      <c r="BO96" s="1605"/>
      <c r="BP96" s="1605"/>
      <c r="BR96" s="3168"/>
      <c r="BS96" s="1579"/>
      <c r="BT96" s="1578"/>
      <c r="BU96" s="1595"/>
      <c r="BV96" s="1508"/>
      <c r="BW96" s="1508"/>
      <c r="BX96" s="1508"/>
      <c r="BY96" s="1508"/>
      <c r="BZ96" s="1508"/>
      <c r="CA96" s="1508"/>
      <c r="CB96" s="1508"/>
      <c r="CC96" s="1508"/>
      <c r="CD96" s="1508"/>
      <c r="CE96" s="1508"/>
      <c r="CF96" s="1508"/>
      <c r="CG96" s="1508"/>
      <c r="CH96" s="1508"/>
      <c r="CI96" s="1508"/>
      <c r="CJ96" s="1508"/>
      <c r="CK96" s="1508"/>
      <c r="CL96" s="1508"/>
      <c r="CM96" s="1508"/>
      <c r="CN96" s="1508"/>
      <c r="CO96" s="1508"/>
      <c r="CP96" s="1508"/>
      <c r="CQ96" s="1508"/>
      <c r="CR96" s="1508"/>
      <c r="CS96" s="1508"/>
      <c r="CT96" s="1508"/>
      <c r="CU96" s="1508"/>
      <c r="CV96" s="1508"/>
      <c r="CW96" s="1508"/>
      <c r="CX96" s="1508"/>
      <c r="CY96" s="1508"/>
      <c r="CZ96" s="1508"/>
      <c r="DA96" s="1508"/>
      <c r="DB96" s="1508"/>
      <c r="DC96" s="1508"/>
      <c r="DD96" s="1508"/>
      <c r="DE96" s="1508"/>
      <c r="DF96" s="1508"/>
      <c r="DG96" s="1508"/>
      <c r="DH96" s="1508"/>
      <c r="DI96" s="1508"/>
      <c r="DJ96" s="1508"/>
      <c r="DK96" s="1508"/>
      <c r="DL96" s="1508"/>
      <c r="DN96" s="1509"/>
    </row>
    <row r="97" spans="1:118" s="1522" customFormat="1" hidden="1" outlineLevel="2" x14ac:dyDescent="0.2">
      <c r="C97" s="1577" t="s">
        <v>716</v>
      </c>
      <c r="D97" s="1497" t="s">
        <v>717</v>
      </c>
      <c r="E97" s="1497"/>
      <c r="F97" s="14"/>
      <c r="G97" s="1498"/>
      <c r="H97" s="1498"/>
      <c r="I97" s="1498"/>
      <c r="J97" s="1498"/>
      <c r="K97" s="1498"/>
      <c r="L97" s="1498"/>
      <c r="M97" s="1498"/>
      <c r="N97" s="1498"/>
      <c r="O97" s="1498"/>
      <c r="P97" s="1498"/>
      <c r="Q97" s="1498"/>
      <c r="R97" s="1498"/>
      <c r="S97" s="1498"/>
      <c r="T97" s="1498"/>
      <c r="U97" s="1498"/>
      <c r="V97" s="1498"/>
      <c r="W97" s="1499"/>
      <c r="X97" s="14"/>
      <c r="Y97" s="1500"/>
      <c r="Z97" s="1500"/>
      <c r="AA97" s="1500"/>
      <c r="AB97" s="1500"/>
      <c r="AC97" s="1500"/>
      <c r="AD97" s="1500"/>
      <c r="AE97" s="1500"/>
      <c r="AF97" s="1500"/>
      <c r="AG97" s="1500"/>
      <c r="AH97" s="1500"/>
      <c r="AI97" s="1500"/>
      <c r="AJ97" s="1500"/>
      <c r="AK97" s="1500"/>
      <c r="AL97" s="1500"/>
      <c r="AM97" s="1500"/>
      <c r="AN97" s="1500"/>
      <c r="AO97" s="1500"/>
      <c r="AP97" s="1500"/>
      <c r="AQ97" s="1501"/>
      <c r="AR97" s="14"/>
      <c r="AS97" s="1502"/>
      <c r="AT97" s="1502"/>
      <c r="AU97" s="1502"/>
      <c r="AV97" s="1502"/>
      <c r="AW97" s="1502"/>
      <c r="AX97" s="1502"/>
      <c r="AY97" s="1502"/>
      <c r="AZ97" s="1502"/>
      <c r="BA97" s="1502"/>
      <c r="BB97" s="1502"/>
      <c r="BC97" s="1502"/>
      <c r="BD97" s="1502"/>
      <c r="BE97" s="1502"/>
      <c r="BF97" s="1502"/>
      <c r="BG97" s="1502"/>
      <c r="BH97" s="1502"/>
      <c r="BI97" s="1502"/>
      <c r="BJ97" s="1502"/>
      <c r="BK97" s="1502"/>
      <c r="BL97" s="1524"/>
      <c r="BM97" s="14"/>
      <c r="BN97" s="1504"/>
      <c r="BO97" s="1504"/>
      <c r="BP97" s="1505"/>
      <c r="BQ97" s="14"/>
      <c r="BR97" s="3168"/>
      <c r="BS97" s="1525"/>
      <c r="BU97" s="1507">
        <v>0</v>
      </c>
      <c r="BV97" s="1508">
        <v>0</v>
      </c>
      <c r="BW97" s="1508">
        <v>0</v>
      </c>
      <c r="BX97" s="1508">
        <v>0</v>
      </c>
      <c r="BY97" s="1508">
        <v>0</v>
      </c>
      <c r="BZ97" s="1508">
        <v>0</v>
      </c>
      <c r="CA97" s="1508">
        <v>0</v>
      </c>
      <c r="CB97" s="1508">
        <v>0</v>
      </c>
      <c r="CC97" s="1508">
        <v>0</v>
      </c>
      <c r="CD97" s="1508">
        <v>0</v>
      </c>
      <c r="CE97" s="1508">
        <v>0</v>
      </c>
      <c r="CF97" s="1508">
        <v>0</v>
      </c>
      <c r="CG97" s="1508">
        <v>0</v>
      </c>
      <c r="CH97" s="1508">
        <v>0</v>
      </c>
      <c r="CI97" s="1508">
        <v>0</v>
      </c>
      <c r="CJ97" s="1508">
        <v>0</v>
      </c>
      <c r="CK97" s="1508">
        <v>0</v>
      </c>
      <c r="CL97" s="1508">
        <v>0</v>
      </c>
      <c r="CM97" s="1508">
        <v>0</v>
      </c>
      <c r="CN97" s="1508">
        <v>0</v>
      </c>
      <c r="CO97" s="1508">
        <v>0</v>
      </c>
      <c r="CP97" s="1508">
        <v>0</v>
      </c>
      <c r="CQ97" s="1508">
        <v>0</v>
      </c>
      <c r="CR97" s="1508">
        <v>0</v>
      </c>
      <c r="CS97" s="1508">
        <v>0</v>
      </c>
      <c r="CT97" s="1508">
        <v>0</v>
      </c>
      <c r="CU97" s="1508">
        <v>0</v>
      </c>
      <c r="CV97" s="1508">
        <v>0</v>
      </c>
      <c r="CW97" s="1508">
        <v>0</v>
      </c>
      <c r="CX97" s="1508">
        <v>0</v>
      </c>
      <c r="CY97" s="1508">
        <v>0</v>
      </c>
      <c r="CZ97" s="1508">
        <v>0</v>
      </c>
      <c r="DA97" s="1508">
        <v>0</v>
      </c>
      <c r="DB97" s="1508">
        <v>0</v>
      </c>
      <c r="DC97" s="1508">
        <v>0</v>
      </c>
      <c r="DD97" s="1508">
        <v>0</v>
      </c>
      <c r="DE97" s="1508">
        <v>0</v>
      </c>
      <c r="DF97" s="1508">
        <v>0</v>
      </c>
      <c r="DG97" s="1508">
        <v>0</v>
      </c>
      <c r="DH97" s="1508">
        <v>0</v>
      </c>
      <c r="DI97" s="1508">
        <v>0</v>
      </c>
      <c r="DJ97" s="1508">
        <v>0</v>
      </c>
      <c r="DK97" s="1508">
        <v>0</v>
      </c>
      <c r="DL97" s="1508">
        <v>0</v>
      </c>
      <c r="DN97" s="1509"/>
    </row>
    <row r="98" spans="1:118" s="1578" customFormat="1" ht="12.75" hidden="1" customHeight="1" outlineLevel="2" x14ac:dyDescent="0.2">
      <c r="C98" s="1591" t="s">
        <v>811</v>
      </c>
      <c r="D98" s="1592" t="s">
        <v>812</v>
      </c>
      <c r="E98" s="1592"/>
      <c r="F98" s="14"/>
      <c r="G98" s="1568"/>
      <c r="H98" s="1568"/>
      <c r="I98" s="1568"/>
      <c r="J98" s="1568"/>
      <c r="K98" s="1568"/>
      <c r="L98" s="1568"/>
      <c r="M98" s="1568"/>
      <c r="N98" s="1568"/>
      <c r="O98" s="1569"/>
      <c r="P98" s="1568"/>
      <c r="Q98" s="1568"/>
      <c r="R98" s="1568"/>
      <c r="S98" s="1568"/>
      <c r="T98" s="1568"/>
      <c r="U98" s="1568"/>
      <c r="V98" s="1568"/>
      <c r="W98" s="1568"/>
      <c r="X98" s="14"/>
      <c r="Y98" s="1570"/>
      <c r="Z98" s="1570"/>
      <c r="AA98" s="1570"/>
      <c r="AB98" s="1570"/>
      <c r="AC98" s="1570"/>
      <c r="AD98" s="1570"/>
      <c r="AE98" s="1570"/>
      <c r="AF98" s="1570"/>
      <c r="AG98" s="1570"/>
      <c r="AH98" s="1570"/>
      <c r="AI98" s="1570"/>
      <c r="AJ98" s="1570"/>
      <c r="AK98" s="1570"/>
      <c r="AL98" s="1570"/>
      <c r="AM98" s="1570"/>
      <c r="AN98" s="1570"/>
      <c r="AO98" s="1570"/>
      <c r="AP98" s="1570"/>
      <c r="AQ98" s="1570"/>
      <c r="AR98" s="14"/>
      <c r="AS98" s="1571"/>
      <c r="AT98" s="1571"/>
      <c r="AU98" s="1571"/>
      <c r="AV98" s="1571"/>
      <c r="AW98" s="1571"/>
      <c r="AX98" s="1571"/>
      <c r="AY98" s="1571"/>
      <c r="AZ98" s="1571"/>
      <c r="BA98" s="1571"/>
      <c r="BB98" s="1571"/>
      <c r="BC98" s="1571"/>
      <c r="BD98" s="1571"/>
      <c r="BE98" s="1571"/>
      <c r="BF98" s="1571"/>
      <c r="BG98" s="1571"/>
      <c r="BH98" s="1571"/>
      <c r="BI98" s="1571"/>
      <c r="BJ98" s="1571"/>
      <c r="BK98" s="1571"/>
      <c r="BL98" s="1571"/>
      <c r="BM98" s="14"/>
      <c r="BN98" s="1572"/>
      <c r="BO98" s="1572"/>
      <c r="BP98" s="1572"/>
      <c r="BQ98" s="14"/>
      <c r="BR98" s="3168"/>
      <c r="BS98" s="1579"/>
      <c r="BU98" s="1595"/>
      <c r="BV98" s="1595"/>
      <c r="BW98" s="1595"/>
      <c r="BX98" s="1595"/>
      <c r="BY98" s="1595"/>
      <c r="BZ98" s="1595"/>
      <c r="CA98" s="1595"/>
      <c r="CB98" s="1595"/>
      <c r="CC98" s="1595"/>
      <c r="CD98" s="1595"/>
      <c r="CE98" s="1595"/>
      <c r="CF98" s="1595"/>
      <c r="CG98" s="1595"/>
      <c r="CH98" s="1595"/>
      <c r="CI98" s="1595"/>
      <c r="CJ98" s="1595"/>
      <c r="CK98" s="1595"/>
      <c r="CL98" s="1595"/>
      <c r="CM98" s="1595"/>
      <c r="CN98" s="1595"/>
      <c r="CO98" s="1595"/>
      <c r="CP98" s="1595"/>
      <c r="CQ98" s="1595"/>
      <c r="CR98" s="1595"/>
      <c r="CS98" s="1595"/>
      <c r="CT98" s="1595"/>
      <c r="CU98" s="1595"/>
      <c r="CV98" s="1595"/>
      <c r="CW98" s="1595"/>
      <c r="CX98" s="1595"/>
      <c r="CY98" s="1595"/>
      <c r="CZ98" s="1595"/>
      <c r="DA98" s="1595"/>
      <c r="DB98" s="1595"/>
      <c r="DC98" s="1595"/>
      <c r="DD98" s="1595"/>
      <c r="DE98" s="1595"/>
      <c r="DF98" s="1595"/>
      <c r="DG98" s="1595"/>
      <c r="DH98" s="1595"/>
      <c r="DI98" s="1595"/>
      <c r="DJ98" s="1595"/>
      <c r="DK98" s="1595"/>
      <c r="DL98" s="1595"/>
      <c r="DN98" s="1509"/>
    </row>
    <row r="99" spans="1:118" s="1522" customFormat="1" hidden="1" outlineLevel="2" x14ac:dyDescent="0.2">
      <c r="C99" s="1577" t="s">
        <v>74</v>
      </c>
      <c r="D99" s="1497" t="s">
        <v>75</v>
      </c>
      <c r="E99" s="1497"/>
      <c r="F99" s="14"/>
      <c r="G99" s="1498"/>
      <c r="H99" s="1498"/>
      <c r="I99" s="1498"/>
      <c r="J99" s="1498"/>
      <c r="K99" s="1498"/>
      <c r="L99" s="1498"/>
      <c r="M99" s="1498"/>
      <c r="N99" s="1498"/>
      <c r="O99" s="1498"/>
      <c r="P99" s="1498"/>
      <c r="Q99" s="1498"/>
      <c r="R99" s="1498"/>
      <c r="S99" s="1498"/>
      <c r="T99" s="1498"/>
      <c r="U99" s="1498"/>
      <c r="V99" s="1498"/>
      <c r="W99" s="1499"/>
      <c r="X99" s="14"/>
      <c r="Y99" s="1500"/>
      <c r="Z99" s="1500"/>
      <c r="AA99" s="1500"/>
      <c r="AB99" s="1500"/>
      <c r="AC99" s="1500"/>
      <c r="AD99" s="1500"/>
      <c r="AE99" s="1500"/>
      <c r="AF99" s="1500"/>
      <c r="AG99" s="1500"/>
      <c r="AH99" s="1500"/>
      <c r="AI99" s="1500"/>
      <c r="AJ99" s="1500"/>
      <c r="AK99" s="1500"/>
      <c r="AL99" s="1500"/>
      <c r="AM99" s="1500"/>
      <c r="AN99" s="1500"/>
      <c r="AO99" s="1500"/>
      <c r="AP99" s="1500"/>
      <c r="AQ99" s="1501"/>
      <c r="AR99" s="14"/>
      <c r="AS99" s="1502"/>
      <c r="AT99" s="1502"/>
      <c r="AU99" s="1502"/>
      <c r="AV99" s="1502"/>
      <c r="AW99" s="1502"/>
      <c r="AX99" s="1502"/>
      <c r="AY99" s="1502"/>
      <c r="AZ99" s="1502"/>
      <c r="BA99" s="1502"/>
      <c r="BB99" s="1502"/>
      <c r="BC99" s="1502"/>
      <c r="BD99" s="1502"/>
      <c r="BE99" s="1502"/>
      <c r="BF99" s="1502"/>
      <c r="BG99" s="1502"/>
      <c r="BH99" s="1502"/>
      <c r="BI99" s="1502"/>
      <c r="BJ99" s="1502"/>
      <c r="BK99" s="1502"/>
      <c r="BL99" s="1524"/>
      <c r="BM99" s="14"/>
      <c r="BN99" s="1504"/>
      <c r="BO99" s="1504"/>
      <c r="BP99" s="1505"/>
      <c r="BQ99" s="14"/>
      <c r="BR99" s="3168"/>
      <c r="BS99" s="1525"/>
      <c r="BU99" s="1507">
        <v>0</v>
      </c>
      <c r="BV99" s="1508">
        <v>0</v>
      </c>
      <c r="BW99" s="1508">
        <v>0</v>
      </c>
      <c r="BX99" s="1508">
        <v>0</v>
      </c>
      <c r="BY99" s="1508">
        <v>0</v>
      </c>
      <c r="BZ99" s="1508">
        <v>0</v>
      </c>
      <c r="CA99" s="1508">
        <v>0</v>
      </c>
      <c r="CB99" s="1508">
        <v>0</v>
      </c>
      <c r="CC99" s="1508">
        <v>0</v>
      </c>
      <c r="CD99" s="1508">
        <v>0</v>
      </c>
      <c r="CE99" s="1508">
        <v>0</v>
      </c>
      <c r="CF99" s="1508">
        <v>0</v>
      </c>
      <c r="CG99" s="1508">
        <v>0</v>
      </c>
      <c r="CH99" s="1508">
        <v>0</v>
      </c>
      <c r="CI99" s="1508">
        <v>0</v>
      </c>
      <c r="CJ99" s="1508">
        <v>0</v>
      </c>
      <c r="CK99" s="1508">
        <v>0</v>
      </c>
      <c r="CL99" s="1508">
        <v>0</v>
      </c>
      <c r="CM99" s="1508">
        <v>0</v>
      </c>
      <c r="CN99" s="1508">
        <v>0</v>
      </c>
      <c r="CO99" s="1508">
        <v>0</v>
      </c>
      <c r="CP99" s="1508">
        <v>0</v>
      </c>
      <c r="CQ99" s="1508">
        <v>0</v>
      </c>
      <c r="CR99" s="1508">
        <v>0</v>
      </c>
      <c r="CS99" s="1508">
        <v>0</v>
      </c>
      <c r="CT99" s="1508">
        <v>0</v>
      </c>
      <c r="CU99" s="1508">
        <v>0</v>
      </c>
      <c r="CV99" s="1508">
        <v>0</v>
      </c>
      <c r="CW99" s="1508">
        <v>0</v>
      </c>
      <c r="CX99" s="1508">
        <v>0</v>
      </c>
      <c r="CY99" s="1508">
        <v>0</v>
      </c>
      <c r="CZ99" s="1508">
        <v>0</v>
      </c>
      <c r="DA99" s="1508">
        <v>0</v>
      </c>
      <c r="DB99" s="1508">
        <v>0</v>
      </c>
      <c r="DC99" s="1508">
        <v>0</v>
      </c>
      <c r="DD99" s="1508">
        <v>0</v>
      </c>
      <c r="DE99" s="1508">
        <v>0</v>
      </c>
      <c r="DF99" s="1508">
        <v>0</v>
      </c>
      <c r="DG99" s="1508">
        <v>0</v>
      </c>
      <c r="DH99" s="1508">
        <v>0</v>
      </c>
      <c r="DI99" s="1508">
        <v>0</v>
      </c>
      <c r="DJ99" s="1508">
        <v>0</v>
      </c>
      <c r="DK99" s="1508">
        <v>0</v>
      </c>
      <c r="DL99" s="1508">
        <v>0</v>
      </c>
      <c r="DN99" s="1509"/>
    </row>
    <row r="100" spans="1:118" s="1522" customFormat="1" hidden="1" outlineLevel="2" x14ac:dyDescent="0.2">
      <c r="C100" s="1577" t="s">
        <v>76</v>
      </c>
      <c r="D100" s="1526" t="s">
        <v>813</v>
      </c>
      <c r="E100" s="1526"/>
      <c r="F100" s="14"/>
      <c r="G100" s="1540"/>
      <c r="H100" s="1540"/>
      <c r="I100" s="1540"/>
      <c r="J100" s="1540"/>
      <c r="K100" s="1540"/>
      <c r="L100" s="1540"/>
      <c r="M100" s="1540"/>
      <c r="N100" s="1540"/>
      <c r="O100" s="1540"/>
      <c r="P100" s="1540"/>
      <c r="Q100" s="1540"/>
      <c r="R100" s="1540"/>
      <c r="S100" s="1540"/>
      <c r="T100" s="1540"/>
      <c r="U100" s="1540"/>
      <c r="V100" s="1540"/>
      <c r="W100" s="1527"/>
      <c r="X100" s="14"/>
      <c r="Y100" s="1541"/>
      <c r="Z100" s="1541"/>
      <c r="AA100" s="1541"/>
      <c r="AB100" s="1541"/>
      <c r="AC100" s="1541"/>
      <c r="AD100" s="1541"/>
      <c r="AE100" s="1541"/>
      <c r="AF100" s="1541"/>
      <c r="AG100" s="1541"/>
      <c r="AH100" s="1541"/>
      <c r="AI100" s="1541"/>
      <c r="AJ100" s="1541"/>
      <c r="AK100" s="1541"/>
      <c r="AL100" s="1541"/>
      <c r="AM100" s="1541"/>
      <c r="AN100" s="1541"/>
      <c r="AO100" s="1541"/>
      <c r="AP100" s="1541"/>
      <c r="AQ100" s="1528"/>
      <c r="AR100" s="14"/>
      <c r="AS100" s="1542"/>
      <c r="AT100" s="1542"/>
      <c r="AU100" s="1542"/>
      <c r="AV100" s="1542"/>
      <c r="AW100" s="1542"/>
      <c r="AX100" s="1542"/>
      <c r="AY100" s="1542"/>
      <c r="AZ100" s="1542"/>
      <c r="BA100" s="1542"/>
      <c r="BB100" s="1542"/>
      <c r="BC100" s="1542"/>
      <c r="BD100" s="1542"/>
      <c r="BE100" s="1542"/>
      <c r="BF100" s="1542"/>
      <c r="BG100" s="1542"/>
      <c r="BH100" s="1542"/>
      <c r="BI100" s="1542"/>
      <c r="BJ100" s="1542"/>
      <c r="BK100" s="1542"/>
      <c r="BL100" s="1530"/>
      <c r="BM100" s="14"/>
      <c r="BN100" s="1543"/>
      <c r="BO100" s="1543"/>
      <c r="BP100" s="1531"/>
      <c r="BQ100" s="14"/>
      <c r="BR100" s="3168"/>
      <c r="BS100" s="1525"/>
      <c r="BU100" s="1532">
        <v>0</v>
      </c>
      <c r="BV100" s="1533">
        <v>0</v>
      </c>
      <c r="BW100" s="1533">
        <v>0</v>
      </c>
      <c r="BX100" s="1533">
        <v>0</v>
      </c>
      <c r="BY100" s="1533">
        <v>0</v>
      </c>
      <c r="BZ100" s="1533">
        <v>0</v>
      </c>
      <c r="CA100" s="1533">
        <v>0</v>
      </c>
      <c r="CB100" s="1533">
        <v>0</v>
      </c>
      <c r="CC100" s="1533">
        <v>0</v>
      </c>
      <c r="CD100" s="1533">
        <v>0</v>
      </c>
      <c r="CE100" s="1533">
        <v>0</v>
      </c>
      <c r="CF100" s="1533">
        <v>0</v>
      </c>
      <c r="CG100" s="1533">
        <v>0</v>
      </c>
      <c r="CH100" s="1533">
        <v>0</v>
      </c>
      <c r="CI100" s="1533">
        <v>0</v>
      </c>
      <c r="CJ100" s="1533">
        <v>0</v>
      </c>
      <c r="CK100" s="1533">
        <v>0</v>
      </c>
      <c r="CL100" s="1533">
        <v>0</v>
      </c>
      <c r="CM100" s="1533">
        <v>0</v>
      </c>
      <c r="CN100" s="1533">
        <v>0</v>
      </c>
      <c r="CO100" s="1533">
        <v>0</v>
      </c>
      <c r="CP100" s="1533">
        <v>0</v>
      </c>
      <c r="CQ100" s="1533">
        <v>0</v>
      </c>
      <c r="CR100" s="1533">
        <v>0</v>
      </c>
      <c r="CS100" s="1533">
        <v>0</v>
      </c>
      <c r="CT100" s="1533">
        <v>0</v>
      </c>
      <c r="CU100" s="1533">
        <v>0</v>
      </c>
      <c r="CV100" s="1533">
        <v>0</v>
      </c>
      <c r="CW100" s="1533">
        <v>0</v>
      </c>
      <c r="CX100" s="1533">
        <v>0</v>
      </c>
      <c r="CY100" s="1533">
        <v>0</v>
      </c>
      <c r="CZ100" s="1533">
        <v>0</v>
      </c>
      <c r="DA100" s="1533">
        <v>0</v>
      </c>
      <c r="DB100" s="1533">
        <v>0</v>
      </c>
      <c r="DC100" s="1533">
        <v>0</v>
      </c>
      <c r="DD100" s="1533">
        <v>0</v>
      </c>
      <c r="DE100" s="1533">
        <v>0</v>
      </c>
      <c r="DF100" s="1533">
        <v>0</v>
      </c>
      <c r="DG100" s="1533">
        <v>0</v>
      </c>
      <c r="DH100" s="1533">
        <v>0</v>
      </c>
      <c r="DI100" s="1533">
        <v>0</v>
      </c>
      <c r="DJ100" s="1533">
        <v>0</v>
      </c>
      <c r="DK100" s="1533">
        <v>0</v>
      </c>
      <c r="DL100" s="1533">
        <v>0</v>
      </c>
      <c r="DN100" s="1509"/>
    </row>
    <row r="101" spans="1:118" s="1534" customFormat="1" ht="12.75" customHeight="1" outlineLevel="1" collapsed="1" x14ac:dyDescent="0.2">
      <c r="B101" s="1535"/>
      <c r="C101" s="1536"/>
      <c r="D101" s="1537"/>
      <c r="E101" s="1538"/>
      <c r="F101" s="14"/>
      <c r="G101" s="1488"/>
      <c r="H101" s="1488"/>
      <c r="I101" s="1488"/>
      <c r="J101" s="1488"/>
      <c r="K101" s="1488"/>
      <c r="L101" s="1488"/>
      <c r="M101" s="1488"/>
      <c r="N101" s="1488"/>
      <c r="O101" s="1563"/>
      <c r="P101" s="1488"/>
      <c r="Q101" s="1488"/>
      <c r="R101" s="1488"/>
      <c r="S101" s="1488"/>
      <c r="T101" s="1488"/>
      <c r="U101" s="1488"/>
      <c r="V101" s="1488"/>
      <c r="W101" s="1539"/>
      <c r="X101" s="14"/>
      <c r="Y101" s="1490"/>
      <c r="Z101" s="1490"/>
      <c r="AA101" s="1490"/>
      <c r="AB101" s="1490"/>
      <c r="AC101" s="1490"/>
      <c r="AD101" s="1490"/>
      <c r="AE101" s="1490"/>
      <c r="AF101" s="1490"/>
      <c r="AG101" s="1490"/>
      <c r="AH101" s="1490"/>
      <c r="AI101" s="1490"/>
      <c r="AJ101" s="1490"/>
      <c r="AK101" s="1490"/>
      <c r="AL101" s="1490"/>
      <c r="AM101" s="1490"/>
      <c r="AN101" s="1490"/>
      <c r="AO101" s="1490"/>
      <c r="AP101" s="1490"/>
      <c r="AQ101" s="1490"/>
      <c r="AR101" s="14"/>
      <c r="AS101" s="1491"/>
      <c r="AT101" s="1491"/>
      <c r="AU101" s="1491"/>
      <c r="AV101" s="1491"/>
      <c r="AW101" s="1491"/>
      <c r="AX101" s="1491"/>
      <c r="AY101" s="1491"/>
      <c r="AZ101" s="1491"/>
      <c r="BA101" s="1491"/>
      <c r="BB101" s="1491"/>
      <c r="BC101" s="1491"/>
      <c r="BD101" s="1491"/>
      <c r="BE101" s="1491"/>
      <c r="BF101" s="1491"/>
      <c r="BG101" s="1491"/>
      <c r="BH101" s="1491"/>
      <c r="BI101" s="1491"/>
      <c r="BJ101" s="1491"/>
      <c r="BK101" s="1491"/>
      <c r="BL101" s="1491"/>
      <c r="BM101" s="14"/>
      <c r="BN101" s="1492"/>
      <c r="BO101" s="1492"/>
      <c r="BP101" s="1492"/>
      <c r="BQ101" s="14"/>
      <c r="BR101" s="3168"/>
      <c r="BS101" s="1493"/>
      <c r="BT101" s="748"/>
      <c r="BU101" s="1508">
        <v>0</v>
      </c>
      <c r="BV101" s="1508">
        <v>0</v>
      </c>
      <c r="BW101" s="1508">
        <v>0</v>
      </c>
      <c r="BX101" s="1508">
        <v>0</v>
      </c>
      <c r="BY101" s="1508">
        <v>0</v>
      </c>
      <c r="BZ101" s="1508">
        <v>0</v>
      </c>
      <c r="CA101" s="1508">
        <v>0</v>
      </c>
      <c r="CB101" s="1508">
        <v>0</v>
      </c>
      <c r="CC101" s="1508">
        <v>0</v>
      </c>
      <c r="CD101" s="1508">
        <v>0</v>
      </c>
      <c r="CE101" s="1508">
        <v>0</v>
      </c>
      <c r="CF101" s="1508">
        <v>0</v>
      </c>
      <c r="CG101" s="1508">
        <v>0</v>
      </c>
      <c r="CH101" s="1508">
        <v>0</v>
      </c>
      <c r="CI101" s="1508">
        <v>0</v>
      </c>
      <c r="CJ101" s="1508">
        <v>0</v>
      </c>
      <c r="CK101" s="1508">
        <v>0</v>
      </c>
      <c r="CL101" s="1508">
        <v>0</v>
      </c>
      <c r="CM101" s="1508">
        <v>0</v>
      </c>
      <c r="CN101" s="1508">
        <v>0</v>
      </c>
      <c r="CO101" s="1508">
        <v>0</v>
      </c>
      <c r="CP101" s="1508">
        <v>0</v>
      </c>
      <c r="CQ101" s="1508">
        <v>0</v>
      </c>
      <c r="CR101" s="1508">
        <v>0</v>
      </c>
      <c r="CS101" s="1508">
        <v>0</v>
      </c>
      <c r="CT101" s="1508">
        <v>0</v>
      </c>
      <c r="CU101" s="1508">
        <v>0</v>
      </c>
      <c r="CV101" s="1508">
        <v>0</v>
      </c>
      <c r="CW101" s="1508">
        <v>0</v>
      </c>
      <c r="CX101" s="1508">
        <v>0</v>
      </c>
      <c r="CY101" s="1508">
        <v>0</v>
      </c>
      <c r="CZ101" s="1508">
        <v>0</v>
      </c>
      <c r="DA101" s="1508">
        <v>0</v>
      </c>
      <c r="DB101" s="1508">
        <v>0</v>
      </c>
      <c r="DC101" s="1508">
        <v>0</v>
      </c>
      <c r="DD101" s="1508">
        <v>0</v>
      </c>
      <c r="DE101" s="1508">
        <v>0</v>
      </c>
      <c r="DF101" s="1508">
        <v>0</v>
      </c>
      <c r="DG101" s="1508">
        <v>0</v>
      </c>
      <c r="DH101" s="1508">
        <v>0</v>
      </c>
      <c r="DI101" s="1508">
        <v>0</v>
      </c>
      <c r="DJ101" s="1508">
        <v>0</v>
      </c>
      <c r="DK101" s="1508">
        <v>0</v>
      </c>
      <c r="DL101" s="1508">
        <v>0</v>
      </c>
      <c r="DN101" s="1509">
        <v>0</v>
      </c>
    </row>
    <row r="102" spans="1:118" s="14" customFormat="1" ht="12.75" hidden="1" customHeight="1" outlineLevel="2" x14ac:dyDescent="0.2">
      <c r="A102" s="1534"/>
      <c r="B102" s="1534"/>
      <c r="C102" s="1544"/>
      <c r="D102" s="1538"/>
      <c r="E102" s="1538"/>
      <c r="G102" s="1488"/>
      <c r="H102" s="1488"/>
      <c r="I102" s="1488"/>
      <c r="J102" s="1488"/>
      <c r="K102" s="1488"/>
      <c r="L102" s="1488"/>
      <c r="M102" s="1488"/>
      <c r="N102" s="1488"/>
      <c r="O102" s="1563"/>
      <c r="P102" s="1488"/>
      <c r="Q102" s="1488"/>
      <c r="R102" s="1488"/>
      <c r="S102" s="1488"/>
      <c r="T102" s="1488"/>
      <c r="U102" s="1488"/>
      <c r="V102" s="1488"/>
      <c r="W102" s="1488"/>
      <c r="Y102" s="1490"/>
      <c r="Z102" s="1490"/>
      <c r="AA102" s="1490"/>
      <c r="AB102" s="1490"/>
      <c r="AC102" s="1490"/>
      <c r="AD102" s="1490"/>
      <c r="AE102" s="1490"/>
      <c r="AF102" s="1490"/>
      <c r="AG102" s="1490"/>
      <c r="AH102" s="1490"/>
      <c r="AI102" s="1490"/>
      <c r="AJ102" s="1490"/>
      <c r="AK102" s="1490"/>
      <c r="AL102" s="1490"/>
      <c r="AM102" s="1490"/>
      <c r="AN102" s="1490"/>
      <c r="AO102" s="1490"/>
      <c r="AP102" s="1490"/>
      <c r="AQ102" s="1490"/>
      <c r="AS102" s="1491"/>
      <c r="AT102" s="1491"/>
      <c r="AU102" s="1491"/>
      <c r="AV102" s="1491"/>
      <c r="AW102" s="1491"/>
      <c r="AX102" s="1491"/>
      <c r="AY102" s="1491"/>
      <c r="AZ102" s="1491"/>
      <c r="BA102" s="1491"/>
      <c r="BB102" s="1491"/>
      <c r="BC102" s="1491"/>
      <c r="BD102" s="1491"/>
      <c r="BE102" s="1491"/>
      <c r="BF102" s="1491"/>
      <c r="BG102" s="1491"/>
      <c r="BH102" s="1491"/>
      <c r="BI102" s="1491"/>
      <c r="BJ102" s="1491"/>
      <c r="BK102" s="1491"/>
      <c r="BL102" s="1491"/>
      <c r="BN102" s="1492"/>
      <c r="BO102" s="1492"/>
      <c r="BP102" s="1492"/>
      <c r="BR102" s="3168"/>
      <c r="BS102" s="1493"/>
      <c r="BT102" s="748"/>
      <c r="BU102" s="1508"/>
      <c r="BV102" s="1508"/>
      <c r="BW102" s="1508"/>
      <c r="BX102" s="1508"/>
      <c r="BY102" s="1508"/>
      <c r="BZ102" s="1508"/>
      <c r="CA102" s="1508"/>
      <c r="CB102" s="1508"/>
      <c r="CC102" s="1508"/>
      <c r="CD102" s="1508"/>
      <c r="CE102" s="1508"/>
      <c r="CF102" s="1508"/>
      <c r="CG102" s="1508"/>
      <c r="CH102" s="1508"/>
      <c r="CI102" s="1508"/>
      <c r="CJ102" s="1508"/>
      <c r="CK102" s="1508"/>
      <c r="CL102" s="1508"/>
      <c r="CM102" s="1508"/>
      <c r="CN102" s="1508"/>
      <c r="CO102" s="1508"/>
      <c r="CP102" s="1508"/>
      <c r="CQ102" s="1508"/>
      <c r="CR102" s="1508"/>
      <c r="CS102" s="1508"/>
      <c r="CT102" s="1508"/>
      <c r="CU102" s="1508"/>
      <c r="CV102" s="1508"/>
      <c r="CW102" s="1508"/>
      <c r="CX102" s="1508"/>
      <c r="CY102" s="1508"/>
      <c r="CZ102" s="1508"/>
      <c r="DA102" s="1508"/>
      <c r="DB102" s="1508"/>
      <c r="DC102" s="1508"/>
      <c r="DD102" s="1508"/>
      <c r="DE102" s="1508"/>
      <c r="DF102" s="1508"/>
      <c r="DG102" s="1508"/>
      <c r="DH102" s="1508"/>
      <c r="DI102" s="1508"/>
      <c r="DJ102" s="1508"/>
      <c r="DK102" s="1508"/>
      <c r="DL102" s="1508"/>
      <c r="DN102" s="1509">
        <v>0</v>
      </c>
    </row>
    <row r="103" spans="1:118" s="1564" customFormat="1" ht="12.75" hidden="1" customHeight="1" outlineLevel="2" x14ac:dyDescent="0.2">
      <c r="C103" s="1565"/>
      <c r="D103" s="1566"/>
      <c r="E103" s="1566"/>
      <c r="G103" s="1568"/>
      <c r="H103" s="1568"/>
      <c r="I103" s="1568"/>
      <c r="J103" s="1568"/>
      <c r="K103" s="1568"/>
      <c r="L103" s="1568"/>
      <c r="M103" s="1568"/>
      <c r="N103" s="1568"/>
      <c r="O103" s="1569"/>
      <c r="P103" s="1568"/>
      <c r="Q103" s="1568"/>
      <c r="R103" s="1568"/>
      <c r="S103" s="1568"/>
      <c r="T103" s="1568"/>
      <c r="U103" s="1568"/>
      <c r="V103" s="1568"/>
      <c r="W103" s="1568"/>
      <c r="Y103" s="1570"/>
      <c r="Z103" s="1570"/>
      <c r="AA103" s="1570"/>
      <c r="AB103" s="1570"/>
      <c r="AC103" s="1570"/>
      <c r="AD103" s="1570"/>
      <c r="AE103" s="1570"/>
      <c r="AF103" s="1570"/>
      <c r="AG103" s="1570"/>
      <c r="AH103" s="1570"/>
      <c r="AI103" s="1570"/>
      <c r="AJ103" s="1570"/>
      <c r="AK103" s="1570"/>
      <c r="AL103" s="1570"/>
      <c r="AM103" s="1570"/>
      <c r="AN103" s="1570"/>
      <c r="AO103" s="1570"/>
      <c r="AP103" s="1570"/>
      <c r="AQ103" s="1570"/>
      <c r="AS103" s="1571"/>
      <c r="AT103" s="1571"/>
      <c r="AU103" s="1571"/>
      <c r="AV103" s="1571"/>
      <c r="AW103" s="1571"/>
      <c r="AX103" s="1571"/>
      <c r="AY103" s="1571"/>
      <c r="AZ103" s="1571"/>
      <c r="BA103" s="1571"/>
      <c r="BB103" s="1571"/>
      <c r="BC103" s="1571"/>
      <c r="BD103" s="1571"/>
      <c r="BE103" s="1571"/>
      <c r="BF103" s="1571"/>
      <c r="BG103" s="1571"/>
      <c r="BH103" s="1571"/>
      <c r="BI103" s="1571"/>
      <c r="BJ103" s="1571"/>
      <c r="BK103" s="1571"/>
      <c r="BL103" s="1571"/>
      <c r="BN103" s="1572"/>
      <c r="BO103" s="1572"/>
      <c r="BP103" s="1572"/>
      <c r="BR103" s="3168"/>
      <c r="BS103" s="1573"/>
      <c r="BT103" s="1606"/>
      <c r="BU103" s="1607"/>
      <c r="BV103" s="1607"/>
      <c r="BW103" s="1607"/>
      <c r="BX103" s="1607"/>
      <c r="BY103" s="1607"/>
      <c r="BZ103" s="1607"/>
      <c r="CA103" s="1607"/>
      <c r="CB103" s="1607"/>
      <c r="CC103" s="1607"/>
      <c r="CD103" s="1607"/>
      <c r="CE103" s="1607"/>
      <c r="CF103" s="1607"/>
      <c r="CG103" s="1607"/>
      <c r="CH103" s="1607"/>
      <c r="CI103" s="1607"/>
      <c r="CJ103" s="1607"/>
      <c r="CK103" s="1607"/>
      <c r="CL103" s="1607"/>
      <c r="CM103" s="1607"/>
      <c r="CN103" s="1607"/>
      <c r="CO103" s="1607"/>
      <c r="CP103" s="1607"/>
      <c r="CQ103" s="1607"/>
      <c r="CR103" s="1607"/>
      <c r="CS103" s="1607"/>
      <c r="CT103" s="1607"/>
      <c r="CU103" s="1607"/>
      <c r="CV103" s="1607"/>
      <c r="CW103" s="1607"/>
      <c r="CX103" s="1607"/>
      <c r="CY103" s="1607"/>
      <c r="CZ103" s="1607"/>
      <c r="DA103" s="1607"/>
      <c r="DB103" s="1607"/>
      <c r="DC103" s="1607"/>
      <c r="DD103" s="1607"/>
      <c r="DE103" s="1607"/>
      <c r="DF103" s="1607"/>
      <c r="DG103" s="1607"/>
      <c r="DH103" s="1607"/>
      <c r="DI103" s="1607"/>
      <c r="DJ103" s="1607"/>
      <c r="DK103" s="1607"/>
      <c r="DL103" s="1607"/>
      <c r="DN103" s="1606">
        <v>0</v>
      </c>
    </row>
    <row r="104" spans="1:118" s="1567" customFormat="1" ht="12.75" hidden="1" customHeight="1" outlineLevel="2" x14ac:dyDescent="0.2">
      <c r="A104" s="1608"/>
      <c r="B104" s="1608"/>
      <c r="D104" s="1609"/>
      <c r="E104" s="1609"/>
      <c r="G104" s="1610"/>
      <c r="H104" s="1610"/>
      <c r="I104" s="1610"/>
      <c r="J104" s="1610"/>
      <c r="K104" s="1610"/>
      <c r="L104" s="1610"/>
      <c r="M104" s="1610"/>
      <c r="N104" s="1610"/>
      <c r="O104" s="1610"/>
      <c r="P104" s="1610"/>
      <c r="Q104" s="1610"/>
      <c r="R104" s="1610"/>
      <c r="S104" s="1610"/>
      <c r="T104" s="1610"/>
      <c r="U104" s="1610"/>
      <c r="V104" s="1610"/>
      <c r="W104" s="1611"/>
      <c r="Y104" s="1612"/>
      <c r="Z104" s="1612"/>
      <c r="AA104" s="1612"/>
      <c r="AB104" s="1612"/>
      <c r="AC104" s="1612"/>
      <c r="AD104" s="1612"/>
      <c r="AE104" s="1612"/>
      <c r="AF104" s="1612"/>
      <c r="AG104" s="1612"/>
      <c r="AH104" s="1612"/>
      <c r="AI104" s="1612"/>
      <c r="AJ104" s="1612"/>
      <c r="AK104" s="1612"/>
      <c r="AL104" s="1612"/>
      <c r="AM104" s="1612"/>
      <c r="AN104" s="1612"/>
      <c r="AO104" s="1612"/>
      <c r="AP104" s="1612"/>
      <c r="AQ104" s="1613"/>
      <c r="AS104" s="1614"/>
      <c r="AT104" s="1614"/>
      <c r="AU104" s="1614"/>
      <c r="AV104" s="1614"/>
      <c r="AW104" s="1614"/>
      <c r="AX104" s="1614"/>
      <c r="AY104" s="1614"/>
      <c r="AZ104" s="1614"/>
      <c r="BA104" s="1614"/>
      <c r="BB104" s="1614"/>
      <c r="BC104" s="1614"/>
      <c r="BD104" s="1614"/>
      <c r="BE104" s="1614"/>
      <c r="BF104" s="1614"/>
      <c r="BG104" s="1614"/>
      <c r="BH104" s="1614"/>
      <c r="BI104" s="1614"/>
      <c r="BJ104" s="1614"/>
      <c r="BK104" s="1614"/>
      <c r="BL104" s="1615"/>
      <c r="BN104" s="1616"/>
      <c r="BO104" s="1616"/>
      <c r="BP104" s="1617"/>
      <c r="BR104" s="3168"/>
      <c r="BS104" s="1618"/>
      <c r="BT104" s="1619"/>
      <c r="BU104" s="1620">
        <v>0</v>
      </c>
      <c r="BV104" s="1621">
        <v>0</v>
      </c>
      <c r="BW104" s="1621">
        <v>0</v>
      </c>
      <c r="BX104" s="1621">
        <v>0</v>
      </c>
      <c r="BY104" s="1621">
        <v>0</v>
      </c>
      <c r="BZ104" s="1621">
        <v>0</v>
      </c>
      <c r="CA104" s="1621">
        <v>0</v>
      </c>
      <c r="CB104" s="1621">
        <v>0</v>
      </c>
      <c r="CC104" s="1621">
        <v>0</v>
      </c>
      <c r="CD104" s="1621">
        <v>0</v>
      </c>
      <c r="CE104" s="1621">
        <v>0</v>
      </c>
      <c r="CF104" s="1621">
        <v>0</v>
      </c>
      <c r="CG104" s="1621">
        <v>0</v>
      </c>
      <c r="CH104" s="1621">
        <v>0</v>
      </c>
      <c r="CI104" s="1621">
        <v>0</v>
      </c>
      <c r="CJ104" s="1621">
        <v>0</v>
      </c>
      <c r="CK104" s="1621">
        <v>0</v>
      </c>
      <c r="CL104" s="1621">
        <v>0</v>
      </c>
      <c r="CM104" s="1621">
        <v>0</v>
      </c>
      <c r="CN104" s="1621">
        <v>0</v>
      </c>
      <c r="CO104" s="1621">
        <v>0</v>
      </c>
      <c r="CP104" s="1621">
        <v>0</v>
      </c>
      <c r="CQ104" s="1621">
        <v>0</v>
      </c>
      <c r="CR104" s="1621">
        <v>0</v>
      </c>
      <c r="CS104" s="1621">
        <v>0</v>
      </c>
      <c r="CT104" s="1621">
        <v>0</v>
      </c>
      <c r="CU104" s="1621">
        <v>0</v>
      </c>
      <c r="CV104" s="1621">
        <v>0</v>
      </c>
      <c r="CW104" s="1621">
        <v>0</v>
      </c>
      <c r="CX104" s="1621">
        <v>0</v>
      </c>
      <c r="CY104" s="1621">
        <v>0</v>
      </c>
      <c r="CZ104" s="1621">
        <v>0</v>
      </c>
      <c r="DA104" s="1621">
        <v>0</v>
      </c>
      <c r="DB104" s="1621">
        <v>0</v>
      </c>
      <c r="DC104" s="1621">
        <v>0</v>
      </c>
      <c r="DD104" s="1621">
        <v>0</v>
      </c>
      <c r="DE104" s="1621">
        <v>-5.5600542212492146</v>
      </c>
      <c r="DF104" s="1621">
        <v>0</v>
      </c>
      <c r="DG104" s="1621">
        <v>0</v>
      </c>
      <c r="DH104" s="1621">
        <v>0</v>
      </c>
      <c r="DI104" s="1621">
        <v>0</v>
      </c>
      <c r="DJ104" s="1621">
        <v>0</v>
      </c>
      <c r="DK104" s="1621">
        <v>0</v>
      </c>
      <c r="DL104" s="1621">
        <v>0</v>
      </c>
      <c r="DN104" s="1575">
        <v>-5.5600542212492146</v>
      </c>
    </row>
    <row r="105" spans="1:118" s="1564" customFormat="1" ht="12.75" hidden="1" customHeight="1" outlineLevel="2" x14ac:dyDescent="0.2">
      <c r="D105" s="1566"/>
      <c r="E105" s="1566"/>
      <c r="G105" s="1568"/>
      <c r="H105" s="1568"/>
      <c r="I105" s="1568"/>
      <c r="J105" s="1568"/>
      <c r="K105" s="1568"/>
      <c r="L105" s="1568"/>
      <c r="M105" s="1568"/>
      <c r="N105" s="1568"/>
      <c r="O105" s="1569"/>
      <c r="P105" s="1568"/>
      <c r="Q105" s="1568"/>
      <c r="R105" s="1568"/>
      <c r="S105" s="1568"/>
      <c r="T105" s="1568"/>
      <c r="U105" s="1568"/>
      <c r="V105" s="1568"/>
      <c r="W105" s="1568"/>
      <c r="Y105" s="1570"/>
      <c r="Z105" s="1570"/>
      <c r="AA105" s="1570"/>
      <c r="AB105" s="1570"/>
      <c r="AC105" s="1570"/>
      <c r="AD105" s="1570"/>
      <c r="AE105" s="1570"/>
      <c r="AF105" s="1570"/>
      <c r="AG105" s="1570"/>
      <c r="AH105" s="1570"/>
      <c r="AI105" s="1570"/>
      <c r="AJ105" s="1570"/>
      <c r="AK105" s="1570"/>
      <c r="AL105" s="1570"/>
      <c r="AM105" s="1570"/>
      <c r="AN105" s="1570"/>
      <c r="AO105" s="1570"/>
      <c r="AP105" s="1570"/>
      <c r="AQ105" s="1570"/>
      <c r="AS105" s="1571"/>
      <c r="AT105" s="1571"/>
      <c r="AU105" s="1571"/>
      <c r="AV105" s="1571"/>
      <c r="AW105" s="1571"/>
      <c r="AX105" s="1571"/>
      <c r="AY105" s="1571"/>
      <c r="AZ105" s="1571"/>
      <c r="BA105" s="1571"/>
      <c r="BB105" s="1571"/>
      <c r="BC105" s="1571"/>
      <c r="BD105" s="1571"/>
      <c r="BE105" s="1571"/>
      <c r="BF105" s="1571"/>
      <c r="BG105" s="1571"/>
      <c r="BH105" s="1571"/>
      <c r="BI105" s="1571"/>
      <c r="BJ105" s="1571"/>
      <c r="BK105" s="1571"/>
      <c r="BL105" s="1571"/>
      <c r="BN105" s="1572"/>
      <c r="BO105" s="1572"/>
      <c r="BP105" s="1572"/>
      <c r="BR105" s="3168"/>
      <c r="BS105" s="1573"/>
      <c r="BT105" s="1606"/>
      <c r="BU105" s="1607"/>
      <c r="BV105" s="1607"/>
      <c r="BW105" s="1607"/>
      <c r="BX105" s="1607"/>
      <c r="BY105" s="1607"/>
      <c r="BZ105" s="1607"/>
      <c r="CA105" s="1607"/>
      <c r="CB105" s="1607"/>
      <c r="CC105" s="1607"/>
      <c r="CD105" s="1607"/>
      <c r="CE105" s="1607"/>
      <c r="CF105" s="1607"/>
      <c r="CG105" s="1607"/>
      <c r="CH105" s="1607"/>
      <c r="CI105" s="1607"/>
      <c r="CJ105" s="1607"/>
      <c r="CK105" s="1607"/>
      <c r="CL105" s="1607"/>
      <c r="CM105" s="1607"/>
      <c r="CN105" s="1607"/>
      <c r="CO105" s="1607"/>
      <c r="CP105" s="1607"/>
      <c r="CQ105" s="1607"/>
      <c r="CR105" s="1607"/>
      <c r="CS105" s="1607"/>
      <c r="CT105" s="1607"/>
      <c r="CU105" s="1607"/>
      <c r="CV105" s="1607"/>
      <c r="CW105" s="1607"/>
      <c r="CX105" s="1607"/>
      <c r="CY105" s="1607"/>
      <c r="CZ105" s="1607"/>
      <c r="DA105" s="1607"/>
      <c r="DB105" s="1607"/>
      <c r="DC105" s="1607"/>
      <c r="DD105" s="1607"/>
      <c r="DE105" s="1607"/>
      <c r="DF105" s="1607"/>
      <c r="DG105" s="1607"/>
      <c r="DH105" s="1607"/>
      <c r="DI105" s="1607"/>
      <c r="DJ105" s="1607"/>
      <c r="DK105" s="1607"/>
      <c r="DL105" s="1607"/>
      <c r="DN105" s="1606">
        <v>0</v>
      </c>
    </row>
    <row r="106" spans="1:118" s="14" customFormat="1" ht="12.75" hidden="1" customHeight="1" outlineLevel="2" x14ac:dyDescent="0.2">
      <c r="A106" s="1522"/>
      <c r="B106" s="1522"/>
      <c r="C106" s="1577" t="s">
        <v>801</v>
      </c>
      <c r="D106" s="1526" t="str">
        <f>INDEX(Modulos[Modulos], MATCH($C106, Modulos[Código], 0))</f>
        <v>Producción nacional combustibles fósiles</v>
      </c>
      <c r="E106" s="1526"/>
      <c r="G106" s="1540"/>
      <c r="H106" s="1540"/>
      <c r="I106" s="1540"/>
      <c r="J106" s="1540"/>
      <c r="K106" s="1540"/>
      <c r="L106" s="1540"/>
      <c r="M106" s="1540"/>
      <c r="N106" s="1540"/>
      <c r="O106" s="1540"/>
      <c r="P106" s="1540"/>
      <c r="Q106" s="1540"/>
      <c r="R106" s="1540"/>
      <c r="S106" s="1540"/>
      <c r="T106" s="1540"/>
      <c r="U106" s="1540"/>
      <c r="V106" s="1540"/>
      <c r="W106" s="1527"/>
      <c r="Y106" s="1541">
        <f t="shared" ref="Y106:AP106" ca="1" si="66">IFERROR(INDEX(INDIRECT($C106&amp;".Outputs["&amp;this.Year&amp;"]"), MATCH(Y$5, INDIRECT($C106&amp;".Outputs[Vector]"), 0)), 0)</f>
        <v>0</v>
      </c>
      <c r="Z106" s="1541">
        <f t="shared" ca="1" si="66"/>
        <v>0</v>
      </c>
      <c r="AA106" s="1541">
        <f t="shared" ca="1" si="66"/>
        <v>0</v>
      </c>
      <c r="AB106" s="1541">
        <f t="shared" ca="1" si="66"/>
        <v>0</v>
      </c>
      <c r="AC106" s="1541">
        <f t="shared" ca="1" si="66"/>
        <v>0</v>
      </c>
      <c r="AD106" s="1541">
        <f t="shared" ca="1" si="66"/>
        <v>25.584695004942699</v>
      </c>
      <c r="AE106" s="1541">
        <f t="shared" ca="1" si="66"/>
        <v>3.0761179275455</v>
      </c>
      <c r="AF106" s="1541">
        <f t="shared" ca="1" si="66"/>
        <v>10.934465313717508</v>
      </c>
      <c r="AG106" s="1541">
        <f t="shared" ca="1" si="66"/>
        <v>0</v>
      </c>
      <c r="AH106" s="1541">
        <f t="shared" ca="1" si="66"/>
        <v>0</v>
      </c>
      <c r="AI106" s="1541">
        <f t="shared" ca="1" si="66"/>
        <v>0</v>
      </c>
      <c r="AJ106" s="1541">
        <f t="shared" ca="1" si="66"/>
        <v>0</v>
      </c>
      <c r="AK106" s="1541">
        <f t="shared" ca="1" si="66"/>
        <v>0</v>
      </c>
      <c r="AL106" s="1541">
        <f t="shared" ca="1" si="66"/>
        <v>0</v>
      </c>
      <c r="AM106" s="1541">
        <f t="shared" ca="1" si="66"/>
        <v>0</v>
      </c>
      <c r="AN106" s="1541">
        <f t="shared" ca="1" si="66"/>
        <v>0</v>
      </c>
      <c r="AO106" s="1541">
        <f t="shared" ca="1" si="66"/>
        <v>0</v>
      </c>
      <c r="AP106" s="1541">
        <f t="shared" ca="1" si="66"/>
        <v>0</v>
      </c>
      <c r="AQ106" s="1528">
        <f ca="1">SUM(Y106:AP106)</f>
        <v>39.595278246205709</v>
      </c>
      <c r="AS106" s="1542">
        <f t="shared" ref="AS106:BK106" ca="1" si="67">IFERROR(INDEX(INDIRECT($C106&amp;".Outputs["&amp;this.Year&amp;"]"), MATCH(AS$5, INDIRECT($C106&amp;".Outputs[Vector]"), 0)), 0)</f>
        <v>-25.584695004942699</v>
      </c>
      <c r="AT106" s="1542">
        <f t="shared" ca="1" si="67"/>
        <v>-3.0761179275455</v>
      </c>
      <c r="AU106" s="1542">
        <f t="shared" ca="1" si="67"/>
        <v>-10.934465313717508</v>
      </c>
      <c r="AV106" s="1542">
        <f t="shared" ca="1" si="67"/>
        <v>0</v>
      </c>
      <c r="AW106" s="1542">
        <f t="shared" ca="1" si="67"/>
        <v>0</v>
      </c>
      <c r="AX106" s="1542">
        <f t="shared" ca="1" si="67"/>
        <v>0</v>
      </c>
      <c r="AY106" s="1542">
        <f t="shared" ca="1" si="67"/>
        <v>0</v>
      </c>
      <c r="AZ106" s="1542">
        <f t="shared" ca="1" si="67"/>
        <v>0</v>
      </c>
      <c r="BA106" s="1542">
        <f t="shared" ca="1" si="67"/>
        <v>0</v>
      </c>
      <c r="BB106" s="1542">
        <f t="shared" ca="1" si="67"/>
        <v>0</v>
      </c>
      <c r="BC106" s="1542">
        <f t="shared" ca="1" si="67"/>
        <v>0</v>
      </c>
      <c r="BD106" s="1542">
        <f t="shared" ca="1" si="67"/>
        <v>0</v>
      </c>
      <c r="BE106" s="1542">
        <f t="shared" ca="1" si="67"/>
        <v>0</v>
      </c>
      <c r="BF106" s="1542">
        <f t="shared" ca="1" si="67"/>
        <v>0</v>
      </c>
      <c r="BG106" s="1542">
        <f t="shared" ca="1" si="67"/>
        <v>0</v>
      </c>
      <c r="BH106" s="1542">
        <f t="shared" ca="1" si="67"/>
        <v>0</v>
      </c>
      <c r="BI106" s="1542">
        <f t="shared" ca="1" si="67"/>
        <v>0</v>
      </c>
      <c r="BJ106" s="1542">
        <f t="shared" ca="1" si="67"/>
        <v>0</v>
      </c>
      <c r="BK106" s="1542">
        <f t="shared" ca="1" si="67"/>
        <v>0</v>
      </c>
      <c r="BL106" s="1542">
        <f ca="1">SUM(AS106:BK106)</f>
        <v>-39.595278246205709</v>
      </c>
      <c r="BN106" s="1543"/>
      <c r="BO106" s="1543"/>
      <c r="BP106" s="1531"/>
      <c r="BR106" s="3168">
        <f ca="1">W106+AQ106+BL106+BP106</f>
        <v>0</v>
      </c>
      <c r="BS106" s="1525"/>
      <c r="BT106" s="748"/>
      <c r="BU106" s="1532">
        <v>0</v>
      </c>
      <c r="BV106" s="1533">
        <v>0</v>
      </c>
      <c r="BW106" s="1533">
        <v>0</v>
      </c>
      <c r="BX106" s="1533">
        <v>0</v>
      </c>
      <c r="BY106" s="1533">
        <v>0</v>
      </c>
      <c r="BZ106" s="1533">
        <v>0</v>
      </c>
      <c r="CA106" s="1533">
        <v>0</v>
      </c>
      <c r="CB106" s="1533">
        <v>0</v>
      </c>
      <c r="CC106" s="1533">
        <v>0</v>
      </c>
      <c r="CD106" s="1533">
        <v>0</v>
      </c>
      <c r="CE106" s="1533">
        <v>0</v>
      </c>
      <c r="CF106" s="1533">
        <v>0</v>
      </c>
      <c r="CG106" s="1533">
        <v>0</v>
      </c>
      <c r="CH106" s="1533">
        <v>0</v>
      </c>
      <c r="CI106" s="1533">
        <v>0</v>
      </c>
      <c r="CJ106" s="1533">
        <v>0</v>
      </c>
      <c r="CK106" s="1533">
        <v>0</v>
      </c>
      <c r="CL106" s="1533">
        <v>0</v>
      </c>
      <c r="CM106" s="1533">
        <v>0</v>
      </c>
      <c r="CN106" s="1533">
        <v>0</v>
      </c>
      <c r="CO106" s="1533">
        <v>0</v>
      </c>
      <c r="CP106" s="1533">
        <v>0</v>
      </c>
      <c r="CQ106" s="1533">
        <v>0</v>
      </c>
      <c r="CR106" s="1533">
        <v>0</v>
      </c>
      <c r="CS106" s="1533">
        <v>0</v>
      </c>
      <c r="CT106" s="1533">
        <v>0</v>
      </c>
      <c r="CU106" s="1533">
        <v>0</v>
      </c>
      <c r="CV106" s="1533">
        <v>0</v>
      </c>
      <c r="CW106" s="1533">
        <v>0</v>
      </c>
      <c r="CX106" s="1533">
        <v>0</v>
      </c>
      <c r="CY106" s="1533">
        <v>0</v>
      </c>
      <c r="CZ106" s="1533">
        <v>0</v>
      </c>
      <c r="DA106" s="1533">
        <v>0</v>
      </c>
      <c r="DB106" s="1533">
        <v>0</v>
      </c>
      <c r="DC106" s="1533">
        <v>0</v>
      </c>
      <c r="DD106" s="1533">
        <v>0</v>
      </c>
      <c r="DE106" s="1533">
        <v>-1.3540111199999998</v>
      </c>
      <c r="DF106" s="1533">
        <v>0</v>
      </c>
      <c r="DG106" s="1533">
        <v>0</v>
      </c>
      <c r="DH106" s="1533">
        <v>0</v>
      </c>
      <c r="DI106" s="1533">
        <v>0</v>
      </c>
      <c r="DJ106" s="1533">
        <v>0</v>
      </c>
      <c r="DK106" s="1533">
        <v>0</v>
      </c>
      <c r="DL106" s="1533">
        <v>0</v>
      </c>
      <c r="DN106" s="1509">
        <v>-1.3540111199999998</v>
      </c>
    </row>
    <row r="107" spans="1:118" s="14" customFormat="1" ht="15.75" outlineLevel="1" collapsed="1" x14ac:dyDescent="0.2">
      <c r="A107" s="1534"/>
      <c r="B107" s="1535"/>
      <c r="C107" s="1552"/>
      <c r="D107" s="1526"/>
      <c r="E107" s="1538"/>
      <c r="G107" s="1539"/>
      <c r="H107" s="1539"/>
      <c r="I107" s="1539"/>
      <c r="J107" s="1539"/>
      <c r="K107" s="1539"/>
      <c r="L107" s="1539"/>
      <c r="M107" s="1539"/>
      <c r="N107" s="1539"/>
      <c r="O107" s="1539"/>
      <c r="P107" s="1539"/>
      <c r="Q107" s="1539"/>
      <c r="R107" s="1539"/>
      <c r="S107" s="1539"/>
      <c r="T107" s="1539"/>
      <c r="U107" s="1539"/>
      <c r="V107" s="1539"/>
      <c r="W107" s="1539"/>
      <c r="Y107" s="1490">
        <f ca="1">Y106</f>
        <v>0</v>
      </c>
      <c r="Z107" s="1490">
        <f t="shared" ref="Z107:AQ107" ca="1" si="68">Z106</f>
        <v>0</v>
      </c>
      <c r="AA107" s="1490">
        <f t="shared" ca="1" si="68"/>
        <v>0</v>
      </c>
      <c r="AB107" s="1490">
        <f t="shared" ca="1" si="68"/>
        <v>0</v>
      </c>
      <c r="AC107" s="1490">
        <f t="shared" ca="1" si="68"/>
        <v>0</v>
      </c>
      <c r="AD107" s="1490">
        <f t="shared" ca="1" si="68"/>
        <v>25.584695004942699</v>
      </c>
      <c r="AE107" s="1490">
        <f t="shared" ca="1" si="68"/>
        <v>3.0761179275455</v>
      </c>
      <c r="AF107" s="1490">
        <f t="shared" ca="1" si="68"/>
        <v>10.934465313717508</v>
      </c>
      <c r="AG107" s="1490">
        <f t="shared" ca="1" si="68"/>
        <v>0</v>
      </c>
      <c r="AH107" s="1490">
        <f t="shared" ca="1" si="68"/>
        <v>0</v>
      </c>
      <c r="AI107" s="1490">
        <f t="shared" ca="1" si="68"/>
        <v>0</v>
      </c>
      <c r="AJ107" s="1490">
        <f t="shared" ca="1" si="68"/>
        <v>0</v>
      </c>
      <c r="AK107" s="1490">
        <f t="shared" ca="1" si="68"/>
        <v>0</v>
      </c>
      <c r="AL107" s="1490">
        <f t="shared" ca="1" si="68"/>
        <v>0</v>
      </c>
      <c r="AM107" s="1490">
        <f t="shared" ca="1" si="68"/>
        <v>0</v>
      </c>
      <c r="AN107" s="1490">
        <f t="shared" ca="1" si="68"/>
        <v>0</v>
      </c>
      <c r="AO107" s="1490">
        <f t="shared" ca="1" si="68"/>
        <v>0</v>
      </c>
      <c r="AP107" s="1490">
        <f t="shared" ca="1" si="68"/>
        <v>0</v>
      </c>
      <c r="AQ107" s="1490">
        <f t="shared" ca="1" si="68"/>
        <v>39.595278246205709</v>
      </c>
      <c r="AS107" s="1491">
        <f ca="1">AS106</f>
        <v>-25.584695004942699</v>
      </c>
      <c r="AT107" s="1491">
        <f t="shared" ref="AT107:BD107" ca="1" si="69">AT106</f>
        <v>-3.0761179275455</v>
      </c>
      <c r="AU107" s="1491">
        <f t="shared" ca="1" si="69"/>
        <v>-10.934465313717508</v>
      </c>
      <c r="AV107" s="1491">
        <f t="shared" ca="1" si="69"/>
        <v>0</v>
      </c>
      <c r="AW107" s="1491">
        <f t="shared" ca="1" si="69"/>
        <v>0</v>
      </c>
      <c r="AX107" s="1491">
        <f t="shared" ca="1" si="69"/>
        <v>0</v>
      </c>
      <c r="AY107" s="1491">
        <f t="shared" ca="1" si="69"/>
        <v>0</v>
      </c>
      <c r="AZ107" s="1491">
        <f t="shared" ca="1" si="69"/>
        <v>0</v>
      </c>
      <c r="BA107" s="1491">
        <f t="shared" ca="1" si="69"/>
        <v>0</v>
      </c>
      <c r="BB107" s="1491">
        <f t="shared" ca="1" si="69"/>
        <v>0</v>
      </c>
      <c r="BC107" s="1491">
        <f t="shared" ca="1" si="69"/>
        <v>0</v>
      </c>
      <c r="BD107" s="1491">
        <f t="shared" ca="1" si="69"/>
        <v>0</v>
      </c>
      <c r="BE107" s="1491">
        <f ca="1">BE106</f>
        <v>0</v>
      </c>
      <c r="BF107" s="1491">
        <f t="shared" ref="BF107:BL107" ca="1" si="70">BF106</f>
        <v>0</v>
      </c>
      <c r="BG107" s="1491">
        <f t="shared" ca="1" si="70"/>
        <v>0</v>
      </c>
      <c r="BH107" s="1491">
        <f t="shared" ca="1" si="70"/>
        <v>0</v>
      </c>
      <c r="BI107" s="1491">
        <f t="shared" ca="1" si="70"/>
        <v>0</v>
      </c>
      <c r="BJ107" s="1491">
        <f t="shared" ca="1" si="70"/>
        <v>0</v>
      </c>
      <c r="BK107" s="1491">
        <f t="shared" ca="1" si="70"/>
        <v>0</v>
      </c>
      <c r="BL107" s="1491">
        <f t="shared" ca="1" si="70"/>
        <v>-39.595278246205709</v>
      </c>
      <c r="BN107" s="1492"/>
      <c r="BO107" s="1492"/>
      <c r="BP107" s="1492"/>
      <c r="BR107" s="3168">
        <f ca="1">W107+AQ107+BL107+BP107</f>
        <v>0</v>
      </c>
      <c r="BS107" s="1493"/>
      <c r="BT107" s="748"/>
      <c r="BU107" s="1508">
        <v>0</v>
      </c>
      <c r="BV107" s="1508">
        <v>0</v>
      </c>
      <c r="BW107" s="1508">
        <v>0</v>
      </c>
      <c r="BX107" s="1508">
        <v>0</v>
      </c>
      <c r="BY107" s="1508">
        <v>0</v>
      </c>
      <c r="BZ107" s="1508">
        <v>0</v>
      </c>
      <c r="CA107" s="1508">
        <v>0</v>
      </c>
      <c r="CB107" s="1508">
        <v>0</v>
      </c>
      <c r="CC107" s="1508">
        <v>0</v>
      </c>
      <c r="CD107" s="1508">
        <v>0</v>
      </c>
      <c r="CE107" s="1508">
        <v>0</v>
      </c>
      <c r="CF107" s="1508">
        <v>0</v>
      </c>
      <c r="CG107" s="1508">
        <v>0</v>
      </c>
      <c r="CH107" s="1508">
        <v>0</v>
      </c>
      <c r="CI107" s="1508">
        <v>0</v>
      </c>
      <c r="CJ107" s="1508">
        <v>0</v>
      </c>
      <c r="CK107" s="1508">
        <v>0</v>
      </c>
      <c r="CL107" s="1508">
        <v>0</v>
      </c>
      <c r="CM107" s="1508">
        <v>0</v>
      </c>
      <c r="CN107" s="1508">
        <v>0</v>
      </c>
      <c r="CO107" s="1508">
        <v>0</v>
      </c>
      <c r="CP107" s="1508">
        <v>0</v>
      </c>
      <c r="CQ107" s="1508">
        <v>0</v>
      </c>
      <c r="CR107" s="1508">
        <v>0</v>
      </c>
      <c r="CS107" s="1508">
        <v>0</v>
      </c>
      <c r="CT107" s="1508">
        <v>0</v>
      </c>
      <c r="CU107" s="1508">
        <v>0</v>
      </c>
      <c r="CV107" s="1508">
        <v>0</v>
      </c>
      <c r="CW107" s="1508">
        <v>0</v>
      </c>
      <c r="CX107" s="1508">
        <v>0</v>
      </c>
      <c r="CY107" s="1508">
        <v>0</v>
      </c>
      <c r="CZ107" s="1508">
        <v>0</v>
      </c>
      <c r="DA107" s="1508">
        <v>0</v>
      </c>
      <c r="DB107" s="1508">
        <v>0</v>
      </c>
      <c r="DC107" s="1508">
        <v>0</v>
      </c>
      <c r="DD107" s="1508">
        <v>0</v>
      </c>
      <c r="DE107" s="1508">
        <v>-6.9140653412492146</v>
      </c>
      <c r="DF107" s="1508">
        <v>0</v>
      </c>
      <c r="DG107" s="1508">
        <v>0</v>
      </c>
      <c r="DH107" s="1508">
        <v>0</v>
      </c>
      <c r="DI107" s="1508">
        <v>0</v>
      </c>
      <c r="DJ107" s="1508">
        <v>0</v>
      </c>
      <c r="DK107" s="1508">
        <v>0</v>
      </c>
      <c r="DL107" s="1508">
        <v>0</v>
      </c>
      <c r="DN107" s="1509">
        <v>-6.9140653412492146</v>
      </c>
    </row>
    <row r="108" spans="1:118" s="1534" customFormat="1" ht="12.75" hidden="1" customHeight="1" outlineLevel="2" x14ac:dyDescent="0.2">
      <c r="B108" s="1535"/>
      <c r="C108" s="1536"/>
      <c r="D108" s="1537"/>
      <c r="E108" s="1538"/>
      <c r="F108" s="14"/>
      <c r="G108" s="1488"/>
      <c r="H108" s="1488"/>
      <c r="I108" s="1488"/>
      <c r="J108" s="1488"/>
      <c r="K108" s="1488"/>
      <c r="L108" s="1488"/>
      <c r="M108" s="1488"/>
      <c r="N108" s="1488"/>
      <c r="O108" s="1563"/>
      <c r="P108" s="1488"/>
      <c r="Q108" s="1488"/>
      <c r="R108" s="1488"/>
      <c r="S108" s="1488"/>
      <c r="T108" s="1488"/>
      <c r="U108" s="1488"/>
      <c r="V108" s="1488"/>
      <c r="W108" s="1539"/>
      <c r="X108" s="14"/>
      <c r="Y108" s="1490"/>
      <c r="Z108" s="1490"/>
      <c r="AA108" s="1490"/>
      <c r="AB108" s="1490"/>
      <c r="AC108" s="1490"/>
      <c r="AD108" s="1490"/>
      <c r="AE108" s="1490"/>
      <c r="AF108" s="1490"/>
      <c r="AG108" s="1490"/>
      <c r="AH108" s="1490"/>
      <c r="AI108" s="1490"/>
      <c r="AJ108" s="1490"/>
      <c r="AK108" s="1490"/>
      <c r="AL108" s="1490"/>
      <c r="AM108" s="1490"/>
      <c r="AN108" s="1490"/>
      <c r="AO108" s="1490"/>
      <c r="AP108" s="1490"/>
      <c r="AQ108" s="1490"/>
      <c r="AR108" s="14"/>
      <c r="AS108" s="1491"/>
      <c r="AT108" s="1491"/>
      <c r="AU108" s="1491"/>
      <c r="AV108" s="1491"/>
      <c r="AW108" s="1491"/>
      <c r="AX108" s="1491"/>
      <c r="AY108" s="1491"/>
      <c r="AZ108" s="1491"/>
      <c r="BA108" s="1491"/>
      <c r="BB108" s="1491"/>
      <c r="BC108" s="1491"/>
      <c r="BD108" s="1491"/>
      <c r="BE108" s="1491"/>
      <c r="BF108" s="1491"/>
      <c r="BG108" s="1491"/>
      <c r="BH108" s="1491"/>
      <c r="BI108" s="1491"/>
      <c r="BJ108" s="1491"/>
      <c r="BK108" s="1491"/>
      <c r="BL108" s="1491"/>
      <c r="BM108" s="14"/>
      <c r="BN108" s="1492"/>
      <c r="BO108" s="1492"/>
      <c r="BP108" s="1492"/>
      <c r="BQ108" s="14"/>
      <c r="BR108" s="3168"/>
      <c r="BS108" s="1493"/>
      <c r="BU108" s="1508"/>
      <c r="BV108" s="1508"/>
      <c r="BW108" s="1508"/>
      <c r="BX108" s="1508"/>
      <c r="BY108" s="1508"/>
      <c r="BZ108" s="1508"/>
      <c r="CA108" s="1508"/>
      <c r="CB108" s="1508"/>
      <c r="CC108" s="1508"/>
      <c r="CD108" s="1508"/>
      <c r="CE108" s="1508"/>
      <c r="CF108" s="1508"/>
      <c r="CG108" s="1508"/>
      <c r="CH108" s="1508"/>
      <c r="CI108" s="1508"/>
      <c r="CJ108" s="1508"/>
      <c r="CK108" s="1508"/>
      <c r="CL108" s="1508"/>
      <c r="CM108" s="1508"/>
      <c r="CN108" s="1508"/>
      <c r="CO108" s="1508"/>
      <c r="CP108" s="1508"/>
      <c r="CQ108" s="1508"/>
      <c r="CR108" s="1508"/>
      <c r="CS108" s="1508"/>
      <c r="CT108" s="1508"/>
      <c r="CU108" s="1508"/>
      <c r="CV108" s="1508"/>
      <c r="CW108" s="1508"/>
      <c r="CX108" s="1508"/>
      <c r="CY108" s="1508"/>
      <c r="CZ108" s="1508"/>
      <c r="DA108" s="1508"/>
      <c r="DB108" s="1508"/>
      <c r="DC108" s="1508"/>
      <c r="DD108" s="1508"/>
      <c r="DE108" s="1508"/>
      <c r="DF108" s="1508"/>
      <c r="DG108" s="1508"/>
      <c r="DH108" s="1508"/>
      <c r="DI108" s="1508"/>
      <c r="DJ108" s="1508"/>
      <c r="DK108" s="1508"/>
      <c r="DL108" s="1508"/>
      <c r="DN108" s="1509">
        <v>0</v>
      </c>
    </row>
    <row r="109" spans="1:118" s="1578" customFormat="1" ht="12.75" hidden="1" customHeight="1" outlineLevel="2" x14ac:dyDescent="0.2">
      <c r="C109" s="1591"/>
      <c r="D109" s="1566"/>
      <c r="E109" s="1600"/>
      <c r="G109" s="1568"/>
      <c r="H109" s="1568"/>
      <c r="I109" s="1568"/>
      <c r="J109" s="1568"/>
      <c r="K109" s="1568"/>
      <c r="L109" s="1568"/>
      <c r="M109" s="1568"/>
      <c r="N109" s="1568"/>
      <c r="O109" s="1569"/>
      <c r="P109" s="1568"/>
      <c r="Q109" s="1568"/>
      <c r="R109" s="1568"/>
      <c r="S109" s="1568"/>
      <c r="T109" s="1568"/>
      <c r="U109" s="1568"/>
      <c r="V109" s="1568"/>
      <c r="W109" s="1622"/>
      <c r="X109" s="1564"/>
      <c r="Y109" s="1570"/>
      <c r="Z109" s="1570"/>
      <c r="AA109" s="1570"/>
      <c r="AB109" s="1570"/>
      <c r="AC109" s="1570"/>
      <c r="AD109" s="1570"/>
      <c r="AE109" s="1570"/>
      <c r="AF109" s="1570"/>
      <c r="AG109" s="1570"/>
      <c r="AH109" s="1570"/>
      <c r="AI109" s="1570"/>
      <c r="AJ109" s="1570"/>
      <c r="AK109" s="1570"/>
      <c r="AL109" s="1570"/>
      <c r="AM109" s="1570"/>
      <c r="AN109" s="1570"/>
      <c r="AO109" s="1570"/>
      <c r="AP109" s="1570"/>
      <c r="AQ109" s="1570"/>
      <c r="AR109" s="1564"/>
      <c r="AS109" s="1571"/>
      <c r="AT109" s="1571"/>
      <c r="AU109" s="1571"/>
      <c r="AV109" s="1571"/>
      <c r="AW109" s="1571"/>
      <c r="AX109" s="1571"/>
      <c r="AY109" s="1571"/>
      <c r="AZ109" s="1571"/>
      <c r="BA109" s="1571"/>
      <c r="BB109" s="1571"/>
      <c r="BC109" s="1571"/>
      <c r="BD109" s="1571"/>
      <c r="BE109" s="1571"/>
      <c r="BF109" s="1571"/>
      <c r="BG109" s="1571"/>
      <c r="BH109" s="1571"/>
      <c r="BI109" s="1571"/>
      <c r="BJ109" s="1571"/>
      <c r="BK109" s="1571"/>
      <c r="BL109" s="1571"/>
      <c r="BM109" s="1564"/>
      <c r="BN109" s="1572"/>
      <c r="BO109" s="1572"/>
      <c r="BP109" s="1572"/>
      <c r="BR109" s="3168"/>
      <c r="BS109" s="1579"/>
      <c r="BU109" s="1595"/>
      <c r="BV109" s="1595"/>
      <c r="BW109" s="1595"/>
      <c r="BX109" s="1595"/>
      <c r="BY109" s="1595"/>
      <c r="BZ109" s="1595"/>
      <c r="CA109" s="1595"/>
      <c r="CB109" s="1595"/>
      <c r="CC109" s="1595"/>
      <c r="CD109" s="1595"/>
      <c r="CE109" s="1595"/>
      <c r="CF109" s="1595"/>
      <c r="CG109" s="1595"/>
      <c r="CH109" s="1595"/>
      <c r="CI109" s="1595"/>
      <c r="CJ109" s="1595"/>
      <c r="CK109" s="1595"/>
      <c r="CL109" s="1595"/>
      <c r="CM109" s="1595"/>
      <c r="CN109" s="1595"/>
      <c r="CO109" s="1595"/>
      <c r="CP109" s="1595"/>
      <c r="CQ109" s="1595"/>
      <c r="CR109" s="1595"/>
      <c r="CS109" s="1595"/>
      <c r="CT109" s="1595"/>
      <c r="CU109" s="1595"/>
      <c r="CV109" s="1595"/>
      <c r="CW109" s="1595"/>
      <c r="CX109" s="1595"/>
      <c r="CY109" s="1595"/>
      <c r="CZ109" s="1595"/>
      <c r="DA109" s="1595"/>
      <c r="DB109" s="1595"/>
      <c r="DC109" s="1595"/>
      <c r="DD109" s="1595"/>
      <c r="DE109" s="1595"/>
      <c r="DF109" s="1595"/>
      <c r="DG109" s="1595"/>
      <c r="DH109" s="1595"/>
      <c r="DI109" s="1595"/>
      <c r="DJ109" s="1595"/>
      <c r="DK109" s="1595"/>
      <c r="DL109" s="1595"/>
      <c r="DN109" s="1509">
        <v>0</v>
      </c>
    </row>
    <row r="110" spans="1:118" s="1522" customFormat="1" ht="12.75" hidden="1" customHeight="1" outlineLevel="2" x14ac:dyDescent="0.2">
      <c r="B110" s="1623"/>
      <c r="C110" s="1577"/>
      <c r="D110" s="1497"/>
      <c r="E110" s="1497"/>
      <c r="F110" s="14"/>
      <c r="G110" s="1583"/>
      <c r="H110" s="1583"/>
      <c r="I110" s="1583"/>
      <c r="J110" s="1583"/>
      <c r="K110" s="1583"/>
      <c r="L110" s="1583"/>
      <c r="M110" s="1583"/>
      <c r="N110" s="1583"/>
      <c r="O110" s="1624"/>
      <c r="P110" s="1583"/>
      <c r="Q110" s="1583"/>
      <c r="R110" s="1583"/>
      <c r="S110" s="1583"/>
      <c r="T110" s="1583"/>
      <c r="U110" s="1583"/>
      <c r="V110" s="1583"/>
      <c r="W110" s="1625"/>
      <c r="X110" s="14"/>
      <c r="Y110" s="1585"/>
      <c r="Z110" s="1585"/>
      <c r="AA110" s="1585"/>
      <c r="AB110" s="1585"/>
      <c r="AC110" s="1585"/>
      <c r="AD110" s="1585"/>
      <c r="AE110" s="1585"/>
      <c r="AF110" s="1585"/>
      <c r="AG110" s="1585"/>
      <c r="AH110" s="1585"/>
      <c r="AI110" s="1585"/>
      <c r="AJ110" s="1585"/>
      <c r="AK110" s="1585"/>
      <c r="AL110" s="1585"/>
      <c r="AM110" s="1585"/>
      <c r="AN110" s="1585"/>
      <c r="AO110" s="1585"/>
      <c r="AP110" s="1585"/>
      <c r="AQ110" s="1585"/>
      <c r="AR110" s="14"/>
      <c r="AS110" s="1524"/>
      <c r="AT110" s="1524"/>
      <c r="AU110" s="1524"/>
      <c r="AV110" s="1524"/>
      <c r="AW110" s="1524"/>
      <c r="AX110" s="1524"/>
      <c r="AY110" s="1524"/>
      <c r="AZ110" s="1524"/>
      <c r="BA110" s="1524"/>
      <c r="BB110" s="1524"/>
      <c r="BC110" s="1524"/>
      <c r="BD110" s="1524"/>
      <c r="BE110" s="1524"/>
      <c r="BF110" s="1524"/>
      <c r="BG110" s="1524"/>
      <c r="BH110" s="1524"/>
      <c r="BI110" s="1524"/>
      <c r="BJ110" s="1524"/>
      <c r="BK110" s="1524"/>
      <c r="BL110" s="1524"/>
      <c r="BM110" s="14"/>
      <c r="BN110" s="1588"/>
      <c r="BO110" s="1588"/>
      <c r="BP110" s="1588"/>
      <c r="BQ110" s="14"/>
      <c r="BR110" s="3168"/>
      <c r="BS110" s="1525"/>
      <c r="BU110" s="1507">
        <v>0</v>
      </c>
      <c r="BV110" s="1508">
        <v>0</v>
      </c>
      <c r="BW110" s="1508">
        <v>0</v>
      </c>
      <c r="BX110" s="1508">
        <v>0</v>
      </c>
      <c r="BY110" s="1508">
        <v>0</v>
      </c>
      <c r="BZ110" s="1508">
        <v>4.3706513640884639</v>
      </c>
      <c r="CA110" s="1508">
        <v>0</v>
      </c>
      <c r="CB110" s="1508">
        <v>0</v>
      </c>
      <c r="CC110" s="1508">
        <v>0</v>
      </c>
      <c r="CD110" s="1508">
        <v>0</v>
      </c>
      <c r="CE110" s="1508">
        <v>0</v>
      </c>
      <c r="CF110" s="1508">
        <v>0</v>
      </c>
      <c r="CG110" s="1508">
        <v>0</v>
      </c>
      <c r="CH110" s="1508">
        <v>0</v>
      </c>
      <c r="CI110" s="1508">
        <v>0</v>
      </c>
      <c r="CJ110" s="1508">
        <v>0</v>
      </c>
      <c r="CK110" s="1508">
        <v>0</v>
      </c>
      <c r="CL110" s="1508">
        <v>0</v>
      </c>
      <c r="CM110" s="1508">
        <v>0</v>
      </c>
      <c r="CN110" s="1508">
        <v>0</v>
      </c>
      <c r="CO110" s="1508">
        <v>0</v>
      </c>
      <c r="CP110" s="1508">
        <v>0</v>
      </c>
      <c r="CQ110" s="1508">
        <v>0</v>
      </c>
      <c r="CR110" s="1508">
        <v>0</v>
      </c>
      <c r="CS110" s="1508">
        <v>0</v>
      </c>
      <c r="CT110" s="1508">
        <v>0</v>
      </c>
      <c r="CU110" s="1508">
        <v>0</v>
      </c>
      <c r="CV110" s="1508">
        <v>0</v>
      </c>
      <c r="CW110" s="1508">
        <v>0</v>
      </c>
      <c r="CX110" s="1508">
        <v>0</v>
      </c>
      <c r="CY110" s="1508">
        <v>0</v>
      </c>
      <c r="CZ110" s="1508">
        <v>0</v>
      </c>
      <c r="DA110" s="1508">
        <v>0</v>
      </c>
      <c r="DB110" s="1508">
        <v>0</v>
      </c>
      <c r="DC110" s="1508">
        <v>0</v>
      </c>
      <c r="DD110" s="1508">
        <v>0</v>
      </c>
      <c r="DE110" s="1508">
        <v>0</v>
      </c>
      <c r="DF110" s="1508">
        <v>0</v>
      </c>
      <c r="DG110" s="1508">
        <v>0</v>
      </c>
      <c r="DH110" s="1508">
        <v>0</v>
      </c>
      <c r="DI110" s="1508">
        <v>0</v>
      </c>
      <c r="DJ110" s="1508">
        <v>0</v>
      </c>
      <c r="DK110" s="1508">
        <v>0</v>
      </c>
      <c r="DL110" s="1508">
        <v>0</v>
      </c>
      <c r="DN110" s="1509">
        <v>4.3706513640884639</v>
      </c>
    </row>
    <row r="111" spans="1:118" s="1522" customFormat="1" ht="12.75" hidden="1" customHeight="1" outlineLevel="2" x14ac:dyDescent="0.2">
      <c r="B111" s="1623" t="s">
        <v>816</v>
      </c>
      <c r="C111" s="1577"/>
      <c r="D111" s="1526"/>
      <c r="E111" s="1526"/>
      <c r="F111" s="14"/>
      <c r="G111" s="1626"/>
      <c r="H111" s="1626"/>
      <c r="I111" s="1626"/>
      <c r="J111" s="1626"/>
      <c r="K111" s="1626"/>
      <c r="L111" s="1626"/>
      <c r="M111" s="1626"/>
      <c r="N111" s="1626"/>
      <c r="O111" s="1627"/>
      <c r="P111" s="1626"/>
      <c r="Q111" s="1626"/>
      <c r="R111" s="1626"/>
      <c r="S111" s="1626"/>
      <c r="T111" s="1626"/>
      <c r="U111" s="1626"/>
      <c r="V111" s="1626"/>
      <c r="W111" s="1628"/>
      <c r="X111" s="14"/>
      <c r="Y111" s="1629"/>
      <c r="Z111" s="1629"/>
      <c r="AA111" s="1629"/>
      <c r="AB111" s="1629"/>
      <c r="AC111" s="1629"/>
      <c r="AD111" s="1629"/>
      <c r="AE111" s="1629"/>
      <c r="AF111" s="1629"/>
      <c r="AG111" s="1629"/>
      <c r="AH111" s="1629"/>
      <c r="AI111" s="1629"/>
      <c r="AJ111" s="1629"/>
      <c r="AK111" s="1629"/>
      <c r="AL111" s="1629"/>
      <c r="AM111" s="1629"/>
      <c r="AN111" s="1629"/>
      <c r="AO111" s="1629"/>
      <c r="AP111" s="1629"/>
      <c r="AQ111" s="1629"/>
      <c r="AR111" s="14"/>
      <c r="AS111" s="1530"/>
      <c r="AT111" s="1530"/>
      <c r="AU111" s="1530"/>
      <c r="AV111" s="1530"/>
      <c r="AW111" s="1530"/>
      <c r="AX111" s="1530"/>
      <c r="AY111" s="1530"/>
      <c r="AZ111" s="1530"/>
      <c r="BA111" s="1530"/>
      <c r="BB111" s="1530"/>
      <c r="BC111" s="1530"/>
      <c r="BD111" s="1530"/>
      <c r="BE111" s="1530"/>
      <c r="BF111" s="1530"/>
      <c r="BG111" s="1530"/>
      <c r="BH111" s="1530"/>
      <c r="BI111" s="1530"/>
      <c r="BJ111" s="1530"/>
      <c r="BK111" s="1530"/>
      <c r="BL111" s="1530"/>
      <c r="BM111" s="14"/>
      <c r="BN111" s="1630"/>
      <c r="BO111" s="1630"/>
      <c r="BP111" s="1630"/>
      <c r="BQ111" s="14"/>
      <c r="BR111" s="3168"/>
      <c r="BS111" s="1525"/>
      <c r="BU111" s="1532">
        <v>0</v>
      </c>
      <c r="BV111" s="1533">
        <v>0</v>
      </c>
      <c r="BW111" s="1533">
        <v>0</v>
      </c>
      <c r="BX111" s="1533">
        <v>0</v>
      </c>
      <c r="BY111" s="1533">
        <v>0</v>
      </c>
      <c r="BZ111" s="1533">
        <v>0</v>
      </c>
      <c r="CA111" s="1533">
        <v>0</v>
      </c>
      <c r="CB111" s="1533">
        <v>0</v>
      </c>
      <c r="CC111" s="1533">
        <v>0</v>
      </c>
      <c r="CD111" s="1533">
        <v>0</v>
      </c>
      <c r="CE111" s="1533">
        <v>0</v>
      </c>
      <c r="CF111" s="1533">
        <v>0</v>
      </c>
      <c r="CG111" s="1533">
        <v>0</v>
      </c>
      <c r="CH111" s="1533">
        <v>0</v>
      </c>
      <c r="CI111" s="1533">
        <v>0</v>
      </c>
      <c r="CJ111" s="1533">
        <v>0</v>
      </c>
      <c r="CK111" s="1533">
        <v>0</v>
      </c>
      <c r="CL111" s="1533">
        <v>0</v>
      </c>
      <c r="CM111" s="1533">
        <v>0</v>
      </c>
      <c r="CN111" s="1533">
        <v>0</v>
      </c>
      <c r="CO111" s="1533">
        <v>0</v>
      </c>
      <c r="CP111" s="1533">
        <v>0</v>
      </c>
      <c r="CQ111" s="1533">
        <v>0</v>
      </c>
      <c r="CR111" s="1533">
        <v>0</v>
      </c>
      <c r="CS111" s="1533">
        <v>0</v>
      </c>
      <c r="CT111" s="1533">
        <v>0</v>
      </c>
      <c r="CU111" s="1533">
        <v>0</v>
      </c>
      <c r="CV111" s="1533">
        <v>0</v>
      </c>
      <c r="CW111" s="1533">
        <v>0</v>
      </c>
      <c r="CX111" s="1533">
        <v>0</v>
      </c>
      <c r="CY111" s="1533">
        <v>0</v>
      </c>
      <c r="CZ111" s="1533">
        <v>0</v>
      </c>
      <c r="DA111" s="1533">
        <v>0</v>
      </c>
      <c r="DB111" s="1533">
        <v>0</v>
      </c>
      <c r="DC111" s="1533">
        <v>0</v>
      </c>
      <c r="DD111" s="1533">
        <v>0</v>
      </c>
      <c r="DE111" s="1533">
        <v>0</v>
      </c>
      <c r="DF111" s="1533">
        <v>0</v>
      </c>
      <c r="DG111" s="1533">
        <v>0</v>
      </c>
      <c r="DH111" s="1533">
        <v>0</v>
      </c>
      <c r="DI111" s="1533">
        <v>0</v>
      </c>
      <c r="DJ111" s="1533">
        <v>0</v>
      </c>
      <c r="DK111" s="1533">
        <v>0</v>
      </c>
      <c r="DL111" s="1533">
        <v>0</v>
      </c>
      <c r="DN111" s="1509">
        <v>0</v>
      </c>
    </row>
    <row r="112" spans="1:118" s="14" customFormat="1" ht="15.75" outlineLevel="1" collapsed="1" x14ac:dyDescent="0.2">
      <c r="B112" s="1535" t="s">
        <v>816</v>
      </c>
      <c r="C112" s="1552"/>
      <c r="D112" s="1537"/>
      <c r="E112" s="1430"/>
      <c r="G112" s="1539"/>
      <c r="H112" s="1539"/>
      <c r="I112" s="1539"/>
      <c r="J112" s="1539"/>
      <c r="K112" s="1539"/>
      <c r="L112" s="1539"/>
      <c r="M112" s="1539"/>
      <c r="N112" s="1539"/>
      <c r="O112" s="1539"/>
      <c r="P112" s="1539"/>
      <c r="Q112" s="1539"/>
      <c r="R112" s="1539"/>
      <c r="S112" s="1539"/>
      <c r="T112" s="1539"/>
      <c r="U112" s="1539"/>
      <c r="V112" s="1539"/>
      <c r="W112" s="1539"/>
      <c r="Y112" s="1490"/>
      <c r="Z112" s="1490"/>
      <c r="AA112" s="1490"/>
      <c r="AB112" s="1490"/>
      <c r="AC112" s="1490"/>
      <c r="AD112" s="1490"/>
      <c r="AE112" s="1490"/>
      <c r="AF112" s="1490"/>
      <c r="AG112" s="1490"/>
      <c r="AH112" s="1490"/>
      <c r="AI112" s="1490"/>
      <c r="AJ112" s="1490"/>
      <c r="AK112" s="1490"/>
      <c r="AL112" s="1490"/>
      <c r="AM112" s="1490"/>
      <c r="AN112" s="1490"/>
      <c r="AO112" s="1490"/>
      <c r="AP112" s="1490"/>
      <c r="AQ112" s="1490"/>
      <c r="AS112" s="1491"/>
      <c r="AT112" s="1491"/>
      <c r="AU112" s="1491"/>
      <c r="AV112" s="1491"/>
      <c r="AW112" s="1491"/>
      <c r="AX112" s="1491"/>
      <c r="AY112" s="1491"/>
      <c r="AZ112" s="1491"/>
      <c r="BA112" s="1491"/>
      <c r="BB112" s="1491"/>
      <c r="BC112" s="1491"/>
      <c r="BD112" s="1491"/>
      <c r="BE112" s="1491"/>
      <c r="BF112" s="1491"/>
      <c r="BG112" s="1491"/>
      <c r="BH112" s="1491"/>
      <c r="BI112" s="1491"/>
      <c r="BJ112" s="1491"/>
      <c r="BK112" s="1491"/>
      <c r="BL112" s="1491"/>
      <c r="BN112" s="1492"/>
      <c r="BO112" s="1492"/>
      <c r="BP112" s="1492"/>
      <c r="BR112" s="3168"/>
      <c r="BS112" s="1493"/>
      <c r="BT112" s="748"/>
      <c r="BU112" s="1508">
        <v>0</v>
      </c>
      <c r="BV112" s="1508">
        <v>0</v>
      </c>
      <c r="BW112" s="1508">
        <v>0</v>
      </c>
      <c r="BX112" s="1508">
        <v>0</v>
      </c>
      <c r="BY112" s="1508">
        <v>0</v>
      </c>
      <c r="BZ112" s="1508">
        <v>4.3706513640884639</v>
      </c>
      <c r="CA112" s="1508">
        <v>0</v>
      </c>
      <c r="CB112" s="1508">
        <v>0</v>
      </c>
      <c r="CC112" s="1508">
        <v>0</v>
      </c>
      <c r="CD112" s="1508">
        <v>0</v>
      </c>
      <c r="CE112" s="1508">
        <v>0</v>
      </c>
      <c r="CF112" s="1508">
        <v>0</v>
      </c>
      <c r="CG112" s="1508">
        <v>0</v>
      </c>
      <c r="CH112" s="1508">
        <v>0</v>
      </c>
      <c r="CI112" s="1508">
        <v>0</v>
      </c>
      <c r="CJ112" s="1508">
        <v>0</v>
      </c>
      <c r="CK112" s="1508">
        <v>0</v>
      </c>
      <c r="CL112" s="1508">
        <v>0</v>
      </c>
      <c r="CM112" s="1508">
        <v>0</v>
      </c>
      <c r="CN112" s="1508">
        <v>0</v>
      </c>
      <c r="CO112" s="1508">
        <v>0</v>
      </c>
      <c r="CP112" s="1508">
        <v>0</v>
      </c>
      <c r="CQ112" s="1508">
        <v>0</v>
      </c>
      <c r="CR112" s="1508">
        <v>0</v>
      </c>
      <c r="CS112" s="1508">
        <v>0</v>
      </c>
      <c r="CT112" s="1508">
        <v>0</v>
      </c>
      <c r="CU112" s="1508">
        <v>0</v>
      </c>
      <c r="CV112" s="1508">
        <v>0</v>
      </c>
      <c r="CW112" s="1508">
        <v>0</v>
      </c>
      <c r="CX112" s="1508">
        <v>0</v>
      </c>
      <c r="CY112" s="1508">
        <v>0</v>
      </c>
      <c r="CZ112" s="1508">
        <v>0</v>
      </c>
      <c r="DA112" s="1508">
        <v>0</v>
      </c>
      <c r="DB112" s="1508">
        <v>0</v>
      </c>
      <c r="DC112" s="1508">
        <v>0</v>
      </c>
      <c r="DD112" s="1508">
        <v>0</v>
      </c>
      <c r="DE112" s="1508">
        <v>0</v>
      </c>
      <c r="DF112" s="1508">
        <v>0</v>
      </c>
      <c r="DG112" s="1508">
        <v>0</v>
      </c>
      <c r="DH112" s="1508">
        <v>0</v>
      </c>
      <c r="DI112" s="1508">
        <v>0</v>
      </c>
      <c r="DJ112" s="1508">
        <v>0</v>
      </c>
      <c r="DK112" s="1508">
        <v>0</v>
      </c>
      <c r="DL112" s="1508">
        <v>0</v>
      </c>
      <c r="DN112" s="1509">
        <v>4.3706513640884639</v>
      </c>
    </row>
    <row r="113" spans="2:118" s="14" customFormat="1" ht="6" customHeight="1" outlineLevel="1" x14ac:dyDescent="0.2">
      <c r="C113" s="1429"/>
      <c r="D113" s="1430"/>
      <c r="E113" s="1430"/>
      <c r="G113" s="1488"/>
      <c r="H113" s="1488"/>
      <c r="I113" s="1488"/>
      <c r="J113" s="1488"/>
      <c r="K113" s="1488"/>
      <c r="L113" s="1488"/>
      <c r="M113" s="1488"/>
      <c r="N113" s="1488"/>
      <c r="O113" s="1563"/>
      <c r="P113" s="1488"/>
      <c r="Q113" s="1488"/>
      <c r="R113" s="1488"/>
      <c r="S113" s="1488"/>
      <c r="T113" s="1488"/>
      <c r="U113" s="1488"/>
      <c r="V113" s="1488"/>
      <c r="W113" s="1488"/>
      <c r="Y113" s="1490"/>
      <c r="Z113" s="1490"/>
      <c r="AA113" s="1490"/>
      <c r="AB113" s="1490"/>
      <c r="AC113" s="1490"/>
      <c r="AD113" s="1490"/>
      <c r="AE113" s="1490"/>
      <c r="AF113" s="1490"/>
      <c r="AG113" s="1490"/>
      <c r="AH113" s="1490"/>
      <c r="AI113" s="1490"/>
      <c r="AJ113" s="1490"/>
      <c r="AK113" s="1490"/>
      <c r="AL113" s="1490"/>
      <c r="AM113" s="1490"/>
      <c r="AN113" s="1490"/>
      <c r="AO113" s="1490"/>
      <c r="AP113" s="1490"/>
      <c r="AQ113" s="1490"/>
      <c r="AS113" s="1491"/>
      <c r="AT113" s="1491"/>
      <c r="AU113" s="1491"/>
      <c r="AV113" s="1491"/>
      <c r="AW113" s="1491"/>
      <c r="AX113" s="1491"/>
      <c r="AY113" s="1491"/>
      <c r="AZ113" s="1491"/>
      <c r="BA113" s="1491"/>
      <c r="BB113" s="1491"/>
      <c r="BC113" s="1491"/>
      <c r="BD113" s="1491"/>
      <c r="BE113" s="1491"/>
      <c r="BF113" s="1491"/>
      <c r="BG113" s="1491"/>
      <c r="BH113" s="1491"/>
      <c r="BI113" s="1491"/>
      <c r="BJ113" s="1491"/>
      <c r="BK113" s="1491"/>
      <c r="BL113" s="1491"/>
      <c r="BN113" s="1492"/>
      <c r="BO113" s="1492"/>
      <c r="BP113" s="1492"/>
      <c r="BR113" s="3168"/>
      <c r="BS113" s="1493"/>
      <c r="BU113" s="1508"/>
      <c r="BV113" s="1508"/>
      <c r="BW113" s="1508"/>
      <c r="BX113" s="1508"/>
      <c r="BY113" s="1508"/>
      <c r="BZ113" s="1508"/>
      <c r="CA113" s="1508"/>
      <c r="CB113" s="1508"/>
      <c r="CC113" s="1508"/>
      <c r="CD113" s="1508"/>
      <c r="CE113" s="1508"/>
      <c r="CF113" s="1508"/>
      <c r="CG113" s="1508"/>
      <c r="CH113" s="1508"/>
      <c r="CI113" s="1508"/>
      <c r="CJ113" s="1508"/>
      <c r="CK113" s="1508"/>
      <c r="CL113" s="1508"/>
      <c r="CM113" s="1508"/>
      <c r="CN113" s="1508"/>
      <c r="CO113" s="1508"/>
      <c r="CP113" s="1508"/>
      <c r="CQ113" s="1508"/>
      <c r="CR113" s="1508"/>
      <c r="CS113" s="1508"/>
      <c r="CT113" s="1508"/>
      <c r="CU113" s="1508"/>
      <c r="CV113" s="1508"/>
      <c r="CW113" s="1508"/>
      <c r="CX113" s="1508"/>
      <c r="CY113" s="1508"/>
      <c r="CZ113" s="1508"/>
      <c r="DA113" s="1508"/>
      <c r="DB113" s="1508"/>
      <c r="DC113" s="1508"/>
      <c r="DD113" s="1508"/>
      <c r="DE113" s="1508"/>
      <c r="DF113" s="1508"/>
      <c r="DG113" s="1508"/>
      <c r="DH113" s="1508"/>
      <c r="DI113" s="1508"/>
      <c r="DJ113" s="1508"/>
      <c r="DK113" s="1508"/>
      <c r="DL113" s="1508"/>
      <c r="DN113" s="1509"/>
    </row>
    <row r="114" spans="2:118" s="14" customFormat="1" ht="13.5" thickBot="1" x14ac:dyDescent="0.25">
      <c r="C114" s="1429"/>
      <c r="D114" s="1430"/>
      <c r="E114" s="1430"/>
      <c r="G114" s="1488"/>
      <c r="H114" s="1488"/>
      <c r="I114" s="1488"/>
      <c r="J114" s="1488"/>
      <c r="K114" s="1488"/>
      <c r="L114" s="1488"/>
      <c r="M114" s="1488"/>
      <c r="N114" s="1488"/>
      <c r="O114" s="1563"/>
      <c r="P114" s="1488"/>
      <c r="Q114" s="1488"/>
      <c r="R114" s="1488"/>
      <c r="S114" s="1488"/>
      <c r="T114" s="1488"/>
      <c r="U114" s="1488"/>
      <c r="V114" s="1488"/>
      <c r="W114" s="1488"/>
      <c r="Y114" s="1490"/>
      <c r="Z114" s="1490"/>
      <c r="AA114" s="1490"/>
      <c r="AB114" s="1490"/>
      <c r="AC114" s="1490"/>
      <c r="AD114" s="1490"/>
      <c r="AE114" s="1490"/>
      <c r="AF114" s="1490"/>
      <c r="AG114" s="1490"/>
      <c r="AH114" s="1490"/>
      <c r="AI114" s="1490"/>
      <c r="AJ114" s="1490"/>
      <c r="AK114" s="1490"/>
      <c r="AL114" s="1490"/>
      <c r="AM114" s="1490"/>
      <c r="AN114" s="1490"/>
      <c r="AO114" s="1490"/>
      <c r="AP114" s="1490"/>
      <c r="AQ114" s="1490"/>
      <c r="AS114" s="1491"/>
      <c r="AT114" s="1491"/>
      <c r="AU114" s="1491"/>
      <c r="AV114" s="1491"/>
      <c r="AW114" s="1491"/>
      <c r="AX114" s="1491"/>
      <c r="AY114" s="1491"/>
      <c r="AZ114" s="1491"/>
      <c r="BA114" s="1491"/>
      <c r="BB114" s="1491"/>
      <c r="BC114" s="1491"/>
      <c r="BD114" s="1491"/>
      <c r="BE114" s="1491"/>
      <c r="BF114" s="1491"/>
      <c r="BG114" s="1491"/>
      <c r="BH114" s="1491"/>
      <c r="BI114" s="1491"/>
      <c r="BJ114" s="1491"/>
      <c r="BK114" s="1491"/>
      <c r="BL114" s="1491"/>
      <c r="BN114" s="1492"/>
      <c r="BO114" s="1492"/>
      <c r="BP114" s="1492"/>
      <c r="BR114" s="3168"/>
      <c r="BS114" s="1493"/>
      <c r="BU114" s="1508"/>
      <c r="BV114" s="1508"/>
      <c r="BW114" s="1508"/>
      <c r="BX114" s="1508"/>
      <c r="BY114" s="1508"/>
      <c r="BZ114" s="1508"/>
      <c r="CA114" s="1508"/>
      <c r="CB114" s="1508"/>
      <c r="CC114" s="1508"/>
      <c r="CD114" s="1508"/>
      <c r="CE114" s="1508"/>
      <c r="CF114" s="1508"/>
      <c r="CG114" s="1508"/>
      <c r="CH114" s="1508"/>
      <c r="CI114" s="1508"/>
      <c r="CJ114" s="1508"/>
      <c r="CK114" s="1508"/>
      <c r="CL114" s="1508"/>
      <c r="CM114" s="1508"/>
      <c r="CN114" s="1508"/>
      <c r="CO114" s="1508"/>
      <c r="CP114" s="1508"/>
      <c r="CQ114" s="1508"/>
      <c r="CR114" s="1508"/>
      <c r="CS114" s="1508"/>
      <c r="CT114" s="1508"/>
      <c r="CU114" s="1508"/>
      <c r="CV114" s="1508"/>
      <c r="CW114" s="1508"/>
      <c r="CX114" s="1508"/>
      <c r="CY114" s="1508"/>
      <c r="CZ114" s="1508"/>
      <c r="DA114" s="1508"/>
      <c r="DB114" s="1508"/>
      <c r="DC114" s="1508"/>
      <c r="DD114" s="1508"/>
      <c r="DE114" s="1508"/>
      <c r="DF114" s="1508"/>
      <c r="DG114" s="1508"/>
      <c r="DH114" s="1508"/>
      <c r="DI114" s="1508"/>
      <c r="DJ114" s="1508"/>
      <c r="DK114" s="1508"/>
      <c r="DL114" s="1508"/>
      <c r="DN114" s="1509"/>
    </row>
    <row r="115" spans="2:118" s="14" customFormat="1" ht="24" customHeight="1" thickBot="1" x14ac:dyDescent="0.25">
      <c r="C115" s="1631" t="s">
        <v>869</v>
      </c>
      <c r="D115" s="1631"/>
      <c r="E115" s="1631"/>
      <c r="G115" s="1632">
        <f t="shared" ref="G115:V115" ca="1" si="71">G36+G92</f>
        <v>81.429709387170789</v>
      </c>
      <c r="H115" s="1632">
        <f t="shared" ca="1" si="71"/>
        <v>16.703485442098668</v>
      </c>
      <c r="I115" s="1632">
        <f t="shared" ca="1" si="71"/>
        <v>6.8908254190298059</v>
      </c>
      <c r="J115" s="1632">
        <f t="shared" ca="1" si="71"/>
        <v>22.904110325695559</v>
      </c>
      <c r="K115" s="1632">
        <f t="shared" ca="1" si="71"/>
        <v>10.160246299359558</v>
      </c>
      <c r="L115" s="1632">
        <f t="shared" ca="1" si="71"/>
        <v>20.274263382161628</v>
      </c>
      <c r="M115" s="1632">
        <f t="shared" ca="1" si="71"/>
        <v>262.50546954554397</v>
      </c>
      <c r="N115" s="1632">
        <f t="shared" ca="1" si="71"/>
        <v>84.980606868956514</v>
      </c>
      <c r="O115" s="1632">
        <f t="shared" ca="1" si="71"/>
        <v>42.239823681665676</v>
      </c>
      <c r="P115" s="1632">
        <f t="shared" ca="1" si="71"/>
        <v>0.63718288562585734</v>
      </c>
      <c r="Q115" s="1632">
        <f t="shared" ca="1" si="71"/>
        <v>0.10538681092763307</v>
      </c>
      <c r="R115" s="1632">
        <f t="shared" ca="1" si="71"/>
        <v>36.125164502313076</v>
      </c>
      <c r="S115" s="1632">
        <f t="shared" ca="1" si="71"/>
        <v>11.540996944925201</v>
      </c>
      <c r="T115" s="1632">
        <f t="shared" ca="1" si="71"/>
        <v>13.08253848496264</v>
      </c>
      <c r="U115" s="1632">
        <f t="shared" ca="1" si="71"/>
        <v>7.9979504726837031E-3</v>
      </c>
      <c r="V115" s="1632">
        <f t="shared" ca="1" si="71"/>
        <v>0.49197922477980477</v>
      </c>
      <c r="W115" s="1632">
        <f ca="1">W36+W92+W107</f>
        <v>610.07978715568902</v>
      </c>
      <c r="Y115" s="1633">
        <f t="shared" ref="Y115:AQ115" ca="1" si="72">Y92+Y36+Y107</f>
        <v>-148.13841553905652</v>
      </c>
      <c r="Z115" s="1633">
        <f t="shared" ca="1" si="72"/>
        <v>148.13841553905655</v>
      </c>
      <c r="AA115" s="1633">
        <f t="shared" ca="1" si="72"/>
        <v>-207.95509258643116</v>
      </c>
      <c r="AB115" s="1633">
        <f t="shared" ca="1" si="72"/>
        <v>-314.76614030973906</v>
      </c>
      <c r="AC115" s="1633">
        <f t="shared" ca="1" si="72"/>
        <v>-174.67904222238852</v>
      </c>
      <c r="AD115" s="1633">
        <f t="shared" ca="1" si="72"/>
        <v>25.584695004942699</v>
      </c>
      <c r="AE115" s="1633">
        <f t="shared" ca="1" si="72"/>
        <v>3.0761179275455</v>
      </c>
      <c r="AF115" s="1633">
        <f t="shared" ca="1" si="72"/>
        <v>10.934465313717508</v>
      </c>
      <c r="AG115" s="1633">
        <f t="shared" ca="1" si="72"/>
        <v>0</v>
      </c>
      <c r="AH115" s="1633">
        <f t="shared" ca="1" si="72"/>
        <v>0</v>
      </c>
      <c r="AI115" s="1633">
        <f t="shared" ca="1" si="72"/>
        <v>0</v>
      </c>
      <c r="AJ115" s="1633">
        <f t="shared" ca="1" si="72"/>
        <v>0</v>
      </c>
      <c r="AK115" s="1633">
        <f t="shared" ca="1" si="72"/>
        <v>0</v>
      </c>
      <c r="AL115" s="1633">
        <f t="shared" ca="1" si="72"/>
        <v>-12.207848271102581</v>
      </c>
      <c r="AM115" s="1633">
        <f t="shared" ca="1" si="72"/>
        <v>0</v>
      </c>
      <c r="AN115" s="1633">
        <f t="shared" ca="1" si="72"/>
        <v>0</v>
      </c>
      <c r="AO115" s="1633">
        <f t="shared" ca="1" si="72"/>
        <v>0</v>
      </c>
      <c r="AP115" s="1633">
        <f t="shared" ca="1" si="72"/>
        <v>0</v>
      </c>
      <c r="AQ115" s="1633">
        <f t="shared" ca="1" si="72"/>
        <v>-670.01284514345559</v>
      </c>
      <c r="AS115" s="1634">
        <f t="shared" ref="AS115:BL115" ca="1" si="73">AS92+AS36+AS107</f>
        <v>-25.584695004942699</v>
      </c>
      <c r="AT115" s="1634">
        <f t="shared" ca="1" si="73"/>
        <v>-3.0761179275455</v>
      </c>
      <c r="AU115" s="1634">
        <f t="shared" ca="1" si="73"/>
        <v>-10.934465313717508</v>
      </c>
      <c r="AV115" s="1634">
        <f t="shared" ca="1" si="73"/>
        <v>0</v>
      </c>
      <c r="AW115" s="1634">
        <f t="shared" ca="1" si="73"/>
        <v>0</v>
      </c>
      <c r="AX115" s="1634">
        <f t="shared" ca="1" si="73"/>
        <v>0</v>
      </c>
      <c r="AY115" s="1634">
        <f t="shared" ca="1" si="73"/>
        <v>0</v>
      </c>
      <c r="AZ115" s="1634">
        <f t="shared" ca="1" si="73"/>
        <v>0</v>
      </c>
      <c r="BA115" s="1634">
        <f t="shared" ca="1" si="73"/>
        <v>0</v>
      </c>
      <c r="BB115" s="1634">
        <f t="shared" ca="1" si="73"/>
        <v>0</v>
      </c>
      <c r="BC115" s="1634">
        <f t="shared" ca="1" si="73"/>
        <v>-10.461743649769149</v>
      </c>
      <c r="BD115" s="1634">
        <f t="shared" ca="1" si="73"/>
        <v>-6.0765023999999981</v>
      </c>
      <c r="BE115" s="1634">
        <f t="shared" ca="1" si="73"/>
        <v>-4.3241801400000002E-2</v>
      </c>
      <c r="BF115" s="1634">
        <f t="shared" ca="1" si="73"/>
        <v>-0.133843671</v>
      </c>
      <c r="BG115" s="1634">
        <f t="shared" ca="1" si="73"/>
        <v>-0.35064000000000006</v>
      </c>
      <c r="BH115" s="1634">
        <f t="shared" ca="1" si="73"/>
        <v>-28.134477000000004</v>
      </c>
      <c r="BI115" s="1634">
        <f t="shared" ca="1" si="73"/>
        <v>0</v>
      </c>
      <c r="BJ115" s="1634">
        <f t="shared" ca="1" si="73"/>
        <v>0</v>
      </c>
      <c r="BK115" s="1634">
        <f t="shared" ca="1" si="73"/>
        <v>-0.41920354218820921</v>
      </c>
      <c r="BL115" s="1634">
        <f t="shared" ca="1" si="73"/>
        <v>-85.214930310563062</v>
      </c>
      <c r="BN115" s="1635">
        <f ca="1">BN92+BN36+BN107</f>
        <v>140.01123155206523</v>
      </c>
      <c r="BO115" s="1635">
        <f ca="1">BO92+BO36+BO107</f>
        <v>5.1367567462643358</v>
      </c>
      <c r="BP115" s="1635">
        <f ca="1">BP92+BP36+BP107</f>
        <v>145.14798829832955</v>
      </c>
      <c r="BR115" s="3434">
        <f ca="1">BR92+BR36+BR107</f>
        <v>-4.3680337125096003E-15</v>
      </c>
      <c r="BS115" s="1486"/>
      <c r="BU115" s="1636">
        <v>509.46720605787289</v>
      </c>
      <c r="BV115" s="1636">
        <v>1.0312102102697414</v>
      </c>
      <c r="BW115" s="1636">
        <v>4.8883498544750488</v>
      </c>
      <c r="BX115" s="1636">
        <v>0</v>
      </c>
      <c r="BY115" s="1636">
        <v>5.0916819860234304</v>
      </c>
      <c r="BZ115" s="1636">
        <v>7.0109643253402414</v>
      </c>
      <c r="CA115" s="1636">
        <v>0</v>
      </c>
      <c r="CB115" s="1636">
        <v>0</v>
      </c>
      <c r="CC115" s="1636">
        <v>14.39565925511863</v>
      </c>
      <c r="CD115" s="1636">
        <v>0.11288744235152412</v>
      </c>
      <c r="CE115" s="1636">
        <v>2.7624692105907238</v>
      </c>
      <c r="CF115" s="1636">
        <v>10.620296151887526</v>
      </c>
      <c r="CG115" s="1636">
        <v>0</v>
      </c>
      <c r="CH115" s="1636">
        <v>0</v>
      </c>
      <c r="CI115" s="1636">
        <v>0</v>
      </c>
      <c r="CJ115" s="1636">
        <v>0</v>
      </c>
      <c r="CK115" s="1636">
        <v>0</v>
      </c>
      <c r="CL115" s="1636">
        <v>20.026732599999995</v>
      </c>
      <c r="CM115" s="1636">
        <v>23.28</v>
      </c>
      <c r="CN115" s="1636">
        <v>0</v>
      </c>
      <c r="CO115" s="1636">
        <v>-1.8247953999999991</v>
      </c>
      <c r="CP115" s="1636">
        <v>0</v>
      </c>
      <c r="CQ115" s="1636">
        <v>0</v>
      </c>
      <c r="CR115" s="1636">
        <v>0</v>
      </c>
      <c r="CS115" s="1636">
        <v>0</v>
      </c>
      <c r="CT115" s="1636">
        <v>21.652248115789206</v>
      </c>
      <c r="CU115" s="1636">
        <v>1.2204197534285715</v>
      </c>
      <c r="CV115" s="1636">
        <v>0</v>
      </c>
      <c r="CW115" s="1636">
        <v>0</v>
      </c>
      <c r="CX115" s="1636">
        <v>0</v>
      </c>
      <c r="CY115" s="1636">
        <v>0</v>
      </c>
      <c r="CZ115" s="1636">
        <v>0</v>
      </c>
      <c r="DA115" s="1636">
        <v>51.739539271814301</v>
      </c>
      <c r="DB115" s="1636">
        <v>6.441552213858226E-2</v>
      </c>
      <c r="DC115" s="1636">
        <v>0.93090033050516818</v>
      </c>
      <c r="DD115" s="1636">
        <v>0</v>
      </c>
      <c r="DE115" s="1636">
        <v>-6.9140653412492146</v>
      </c>
      <c r="DF115" s="1636">
        <v>0</v>
      </c>
      <c r="DG115" s="1636">
        <v>0</v>
      </c>
      <c r="DH115" s="1636">
        <v>0</v>
      </c>
      <c r="DI115" s="1636">
        <v>0</v>
      </c>
      <c r="DJ115" s="1636">
        <v>0</v>
      </c>
      <c r="DK115" s="1636">
        <v>0</v>
      </c>
      <c r="DL115" s="1636">
        <v>0</v>
      </c>
      <c r="DN115" s="1562">
        <v>665.55611934635658</v>
      </c>
    </row>
    <row r="116" spans="2:118" s="14" customFormat="1" x14ac:dyDescent="0.2">
      <c r="C116" s="1429"/>
      <c r="D116" s="1430"/>
      <c r="E116" s="1430"/>
      <c r="G116" s="1637"/>
      <c r="H116" s="1637"/>
      <c r="I116" s="1637"/>
      <c r="J116" s="1637"/>
      <c r="K116" s="1637"/>
      <c r="L116" s="1637"/>
      <c r="M116" s="1637"/>
      <c r="N116" s="1637"/>
      <c r="O116" s="1638"/>
      <c r="P116" s="1637"/>
      <c r="Q116" s="1637"/>
      <c r="R116" s="1637"/>
      <c r="S116" s="1637"/>
      <c r="T116" s="1637"/>
      <c r="U116" s="1637"/>
      <c r="V116" s="1637"/>
      <c r="W116" s="1637"/>
      <c r="Y116" s="1639"/>
      <c r="Z116" s="1639"/>
      <c r="AA116" s="1639"/>
      <c r="AB116" s="1639"/>
      <c r="AC116" s="1639"/>
      <c r="AD116" s="1639"/>
      <c r="AE116" s="1639"/>
      <c r="AF116" s="1639"/>
      <c r="AG116" s="1639"/>
      <c r="AH116" s="1639"/>
      <c r="AI116" s="1639"/>
      <c r="AJ116" s="1639"/>
      <c r="AK116" s="1639"/>
      <c r="AL116" s="1639"/>
      <c r="AM116" s="1639"/>
      <c r="AN116" s="1639"/>
      <c r="AO116" s="1639"/>
      <c r="AP116" s="1639"/>
      <c r="AQ116" s="1639"/>
      <c r="AS116" s="1640"/>
      <c r="AT116" s="1640"/>
      <c r="AU116" s="1640"/>
      <c r="AV116" s="1640"/>
      <c r="AW116" s="1640"/>
      <c r="AX116" s="1640"/>
      <c r="AY116" s="1640"/>
      <c r="AZ116" s="1640"/>
      <c r="BA116" s="1640"/>
      <c r="BB116" s="1640"/>
      <c r="BC116" s="1640"/>
      <c r="BD116" s="1640"/>
      <c r="BE116" s="1640"/>
      <c r="BF116" s="1640"/>
      <c r="BG116" s="1640"/>
      <c r="BH116" s="1640"/>
      <c r="BI116" s="1640"/>
      <c r="BJ116" s="1640"/>
      <c r="BK116" s="1640"/>
      <c r="BL116" s="1640"/>
      <c r="BN116" s="1641"/>
      <c r="BO116" s="1641"/>
      <c r="BP116" s="1641"/>
      <c r="BR116" s="1957"/>
      <c r="BS116" s="1493"/>
      <c r="BU116" s="1642"/>
      <c r="BV116" s="1642"/>
      <c r="BW116" s="1642"/>
      <c r="BX116" s="1642"/>
      <c r="BY116" s="1642"/>
      <c r="BZ116" s="1642"/>
      <c r="CA116" s="1642"/>
      <c r="CB116" s="1642"/>
      <c r="CC116" s="1642"/>
      <c r="CD116" s="1642"/>
      <c r="CE116" s="1642"/>
      <c r="CF116" s="1642"/>
      <c r="CG116" s="1642"/>
      <c r="CH116" s="1642"/>
      <c r="CI116" s="1642"/>
      <c r="CJ116" s="1642"/>
      <c r="CK116" s="1642"/>
      <c r="CL116" s="1642"/>
      <c r="CM116" s="1642"/>
      <c r="CN116" s="1642"/>
      <c r="CO116" s="1642"/>
      <c r="CP116" s="1642"/>
      <c r="CQ116" s="1642"/>
      <c r="CR116" s="1642"/>
      <c r="CS116" s="1642"/>
      <c r="CT116" s="1642"/>
      <c r="CU116" s="1642"/>
      <c r="CV116" s="1642"/>
      <c r="CW116" s="1642"/>
      <c r="CX116" s="1642"/>
      <c r="CY116" s="1642"/>
      <c r="CZ116" s="1642"/>
      <c r="DA116" s="1642"/>
      <c r="DB116" s="1642"/>
      <c r="DC116" s="1642"/>
      <c r="DD116" s="1642"/>
      <c r="DE116" s="1642"/>
      <c r="DF116" s="1642"/>
      <c r="DG116" s="1642"/>
      <c r="DH116" s="1642"/>
      <c r="DI116" s="1642"/>
      <c r="DJ116" s="1642"/>
      <c r="DK116" s="1642"/>
      <c r="DL116" s="1642"/>
    </row>
    <row r="117" spans="2:118" x14ac:dyDescent="0.2">
      <c r="G117" s="1493"/>
      <c r="H117" s="1493"/>
      <c r="I117" s="1493"/>
      <c r="J117" s="1493"/>
      <c r="K117" s="1493"/>
      <c r="L117" s="1493"/>
      <c r="M117" s="1493"/>
      <c r="N117" s="1493"/>
      <c r="O117" s="1643"/>
      <c r="P117" s="1493"/>
      <c r="Q117" s="1493"/>
      <c r="R117" s="1493"/>
      <c r="S117" s="1493"/>
      <c r="T117" s="1493"/>
      <c r="U117" s="1493"/>
      <c r="V117" s="1493"/>
      <c r="W117" s="1493"/>
      <c r="Y117" s="1493"/>
      <c r="Z117" s="1493"/>
      <c r="AA117" s="1493"/>
      <c r="AB117" s="1493"/>
      <c r="AC117" s="1493"/>
      <c r="AD117" s="1493"/>
      <c r="AE117" s="1493"/>
      <c r="AF117" s="1493"/>
      <c r="AG117" s="1493"/>
      <c r="AH117" s="1493"/>
      <c r="AI117" s="1493"/>
      <c r="AJ117" s="1493"/>
      <c r="AK117" s="1493"/>
      <c r="AL117" s="1493"/>
      <c r="AM117" s="1493"/>
      <c r="AN117" s="1493"/>
      <c r="AO117" s="1493"/>
      <c r="AP117" s="1493"/>
      <c r="AQ117" s="1493"/>
      <c r="AS117" s="1493"/>
      <c r="AT117" s="1493"/>
      <c r="AU117" s="1493"/>
      <c r="AV117" s="1493"/>
      <c r="AW117" s="1493"/>
      <c r="AX117" s="1493"/>
      <c r="AY117" s="1493"/>
      <c r="AZ117" s="1493"/>
      <c r="BA117" s="1493"/>
      <c r="BB117" s="1493"/>
      <c r="BC117" s="1493"/>
      <c r="BD117" s="1493"/>
      <c r="BE117" s="1493"/>
      <c r="BF117" s="1493"/>
      <c r="BG117" s="1493"/>
      <c r="BH117" s="1493"/>
      <c r="BI117" s="1493"/>
      <c r="BJ117" s="1493"/>
      <c r="BK117" s="1493"/>
      <c r="BL117" s="1493"/>
      <c r="BN117" s="1493"/>
      <c r="BO117" s="1493"/>
      <c r="BP117" s="1493"/>
      <c r="BR117" s="1957"/>
      <c r="BS117" s="1493"/>
    </row>
    <row r="118" spans="2:118" x14ac:dyDescent="0.2">
      <c r="G118" s="1493"/>
      <c r="H118" s="1493"/>
      <c r="I118" s="1493"/>
      <c r="J118" s="1493"/>
      <c r="K118" s="1493"/>
      <c r="L118" s="1493"/>
      <c r="M118" s="1493"/>
      <c r="N118" s="1493"/>
      <c r="O118" s="1643"/>
      <c r="P118" s="1493"/>
      <c r="Q118" s="1493"/>
      <c r="R118" s="1493"/>
      <c r="S118" s="1493"/>
      <c r="T118" s="1493"/>
      <c r="U118" s="1493"/>
      <c r="V118" s="1493"/>
      <c r="W118" s="1493"/>
      <c r="Y118" s="1493"/>
      <c r="Z118" s="1493"/>
      <c r="AA118" s="1493"/>
      <c r="AB118" s="1493"/>
      <c r="AC118" s="1493"/>
      <c r="AD118" s="1493"/>
      <c r="AE118" s="1493"/>
      <c r="AF118" s="1493"/>
      <c r="AG118" s="1493"/>
      <c r="AH118" s="1493"/>
      <c r="AI118" s="1493"/>
      <c r="AJ118" s="1493"/>
      <c r="AK118" s="1493"/>
      <c r="AL118" s="1493"/>
      <c r="AM118" s="1493"/>
      <c r="AN118" s="1493"/>
      <c r="AO118" s="1493"/>
      <c r="AP118" s="1493"/>
      <c r="AQ118" s="1493"/>
      <c r="AS118" s="1493"/>
      <c r="AT118" s="1493"/>
      <c r="AU118" s="1493"/>
      <c r="AV118" s="1493"/>
      <c r="AW118" s="1493"/>
      <c r="AX118" s="1493"/>
      <c r="AY118" s="1493"/>
      <c r="AZ118" s="1493"/>
      <c r="BA118" s="1493"/>
      <c r="BB118" s="1493"/>
      <c r="BC118" s="1493"/>
      <c r="BD118" s="1493"/>
      <c r="BE118" s="1493"/>
      <c r="BF118" s="1493"/>
      <c r="BG118" s="1493"/>
      <c r="BH118" s="1493"/>
      <c r="BI118" s="1493"/>
      <c r="BJ118" s="1493"/>
      <c r="BK118" s="1493"/>
      <c r="BL118" s="1493"/>
      <c r="BN118" s="1493"/>
      <c r="BO118" s="1493"/>
      <c r="BP118" s="1493"/>
      <c r="BR118" s="1957"/>
      <c r="BS118" s="1493"/>
    </row>
    <row r="119" spans="2:118" ht="15.75" x14ac:dyDescent="0.25">
      <c r="B119" s="456"/>
      <c r="G119" s="1493"/>
      <c r="H119" s="1493"/>
      <c r="I119" s="1493"/>
      <c r="J119" s="1493"/>
      <c r="K119" s="1493"/>
      <c r="L119" s="1493"/>
      <c r="M119" s="1493"/>
      <c r="N119" s="1493"/>
      <c r="O119" s="1643"/>
      <c r="P119" s="1493"/>
      <c r="Q119" s="1493"/>
      <c r="R119" s="1493"/>
      <c r="S119" s="1493"/>
      <c r="T119" s="1493"/>
      <c r="U119" s="1493"/>
      <c r="V119" s="1493"/>
      <c r="W119" s="1493"/>
      <c r="Y119" s="1493"/>
      <c r="Z119" s="1493"/>
      <c r="AA119" s="1493"/>
      <c r="AB119" s="1493"/>
      <c r="AC119" s="1493"/>
      <c r="AD119" s="1493"/>
      <c r="AE119" s="1493"/>
      <c r="AF119" s="1493"/>
      <c r="AG119" s="1493"/>
      <c r="AH119" s="1493"/>
      <c r="AI119" s="1493"/>
      <c r="AJ119" s="1493"/>
      <c r="AK119" s="1493"/>
      <c r="AL119" s="1493"/>
      <c r="AM119" s="1493"/>
      <c r="AN119" s="1493"/>
      <c r="AO119" s="1493"/>
      <c r="AP119" s="1493"/>
      <c r="AQ119" s="1493"/>
      <c r="AS119" s="1493"/>
      <c r="AT119" s="1493"/>
      <c r="AU119" s="1493"/>
      <c r="AV119" s="1493"/>
      <c r="AW119" s="1493"/>
      <c r="AX119" s="1493"/>
      <c r="AY119" s="1493"/>
      <c r="AZ119" s="1493"/>
      <c r="BA119" s="1493"/>
      <c r="BB119" s="1493"/>
      <c r="BC119" s="1493"/>
      <c r="BD119" s="1493"/>
      <c r="BE119" s="1493"/>
      <c r="BF119" s="1493"/>
      <c r="BG119" s="1493"/>
      <c r="BH119" s="1493"/>
      <c r="BI119" s="1493"/>
      <c r="BJ119" s="1493"/>
      <c r="BK119" s="1493"/>
      <c r="BL119" s="1493"/>
      <c r="BN119" s="1493"/>
      <c r="BO119" s="1493"/>
      <c r="BP119" s="1493"/>
      <c r="BR119" s="1957"/>
      <c r="BS119" s="1493"/>
    </row>
    <row r="120" spans="2:118" ht="15.75" x14ac:dyDescent="0.25">
      <c r="B120" s="456"/>
      <c r="G120" s="1493"/>
      <c r="H120" s="1493"/>
      <c r="I120" s="1493"/>
      <c r="J120" s="1493"/>
      <c r="K120" s="1493"/>
      <c r="L120" s="1493"/>
      <c r="M120" s="1493"/>
      <c r="N120" s="1493"/>
      <c r="O120" s="1643"/>
      <c r="P120" s="1493"/>
      <c r="Q120" s="1493"/>
      <c r="R120" s="1493"/>
      <c r="S120" s="1493"/>
      <c r="T120" s="1493"/>
      <c r="U120" s="1493"/>
      <c r="V120" s="1493"/>
      <c r="W120" s="1493"/>
      <c r="Y120" s="1493"/>
      <c r="Z120" s="1493"/>
      <c r="AA120" s="1493"/>
      <c r="AB120" s="1493"/>
      <c r="AC120" s="1493"/>
      <c r="AD120" s="1493"/>
      <c r="AE120" s="1493"/>
      <c r="AF120" s="1493"/>
      <c r="AG120" s="1493"/>
      <c r="AH120" s="1493"/>
      <c r="AI120" s="1493"/>
      <c r="AJ120" s="1493"/>
      <c r="AK120" s="1493"/>
      <c r="AL120" s="1493"/>
      <c r="AM120" s="1493"/>
      <c r="AN120" s="1493"/>
      <c r="AO120" s="1493"/>
      <c r="AP120" s="1493"/>
      <c r="AQ120" s="1493"/>
      <c r="AS120" s="1493"/>
      <c r="AT120" s="1493"/>
      <c r="AU120" s="1493"/>
      <c r="AV120" s="1493"/>
      <c r="AW120" s="1493"/>
      <c r="AX120" s="1493"/>
      <c r="AY120" s="1493"/>
      <c r="AZ120" s="1493"/>
      <c r="BA120" s="1493"/>
      <c r="BB120" s="1493"/>
      <c r="BC120" s="1493"/>
      <c r="BD120" s="1493"/>
      <c r="BE120" s="1493"/>
      <c r="BF120" s="1493"/>
      <c r="BG120" s="1493"/>
      <c r="BH120" s="1493"/>
      <c r="BI120" s="1493"/>
      <c r="BJ120" s="1493"/>
      <c r="BK120" s="1493"/>
      <c r="BL120" s="1493"/>
      <c r="BN120" s="1493"/>
      <c r="BO120" s="1493"/>
      <c r="BP120" s="1493"/>
      <c r="BR120" s="1957"/>
      <c r="BS120" s="1493"/>
    </row>
    <row r="121" spans="2:118" ht="15.75" x14ac:dyDescent="0.25">
      <c r="B121" s="456"/>
      <c r="G121" s="1493"/>
      <c r="H121" s="1493"/>
      <c r="I121" s="1493"/>
      <c r="J121" s="1493"/>
      <c r="K121" s="1493"/>
      <c r="L121" s="1493"/>
      <c r="M121" s="1493"/>
      <c r="N121" s="1493"/>
      <c r="O121" s="1643"/>
      <c r="P121" s="1493"/>
      <c r="Q121" s="1493"/>
      <c r="R121" s="1493"/>
      <c r="S121" s="1493"/>
      <c r="T121" s="1493"/>
      <c r="U121" s="1493"/>
      <c r="V121" s="1493"/>
      <c r="W121" s="1493"/>
      <c r="Y121" s="1493"/>
      <c r="Z121" s="1493"/>
      <c r="AA121" s="1493"/>
      <c r="AB121" s="1493"/>
      <c r="AC121" s="1493"/>
      <c r="AD121" s="1493"/>
      <c r="AE121" s="1493"/>
      <c r="AF121" s="1493"/>
      <c r="AG121" s="1493"/>
      <c r="AH121" s="1493"/>
      <c r="AI121" s="1493"/>
      <c r="AJ121" s="1493"/>
      <c r="AK121" s="1493"/>
      <c r="AL121" s="1493"/>
      <c r="AM121" s="1493"/>
      <c r="AN121" s="1493"/>
      <c r="AO121" s="1493"/>
      <c r="AP121" s="1493"/>
      <c r="AQ121" s="1493"/>
      <c r="AS121" s="1493"/>
      <c r="AT121" s="1493"/>
      <c r="AU121" s="1493"/>
      <c r="AV121" s="1493"/>
      <c r="AW121" s="1493"/>
      <c r="AX121" s="1493"/>
      <c r="AY121" s="1493"/>
      <c r="AZ121" s="1493"/>
      <c r="BA121" s="1493"/>
      <c r="BB121" s="1493"/>
      <c r="BC121" s="1493"/>
      <c r="BD121" s="1493"/>
      <c r="BE121" s="1493"/>
      <c r="BF121" s="1493"/>
      <c r="BG121" s="1493"/>
      <c r="BH121" s="1493"/>
      <c r="BI121" s="1493"/>
      <c r="BJ121" s="1493"/>
      <c r="BK121" s="1493"/>
      <c r="BL121" s="1493"/>
      <c r="BN121" s="1493"/>
      <c r="BO121" s="1493"/>
      <c r="BP121" s="1493"/>
      <c r="BR121" s="1957"/>
      <c r="BS121" s="1493"/>
    </row>
    <row r="122" spans="2:118" ht="15.75" x14ac:dyDescent="0.25">
      <c r="B122" s="456"/>
      <c r="G122" s="1493"/>
      <c r="H122" s="1493"/>
      <c r="I122" s="1493"/>
      <c r="J122" s="1493"/>
      <c r="K122" s="1493"/>
      <c r="L122" s="1493"/>
      <c r="M122" s="1493"/>
      <c r="N122" s="1493"/>
      <c r="O122" s="1643"/>
      <c r="P122" s="1493"/>
      <c r="Q122" s="1493"/>
      <c r="R122" s="1493"/>
      <c r="S122" s="1493"/>
      <c r="T122" s="1493"/>
      <c r="U122" s="1493"/>
      <c r="V122" s="1493"/>
      <c r="W122" s="1493"/>
      <c r="Y122" s="1493"/>
      <c r="Z122" s="1493"/>
      <c r="AA122" s="1493"/>
      <c r="AB122" s="1493"/>
      <c r="AC122" s="1493"/>
      <c r="AD122" s="1493"/>
      <c r="AE122" s="1493"/>
      <c r="AF122" s="1493"/>
      <c r="AG122" s="1493"/>
      <c r="AH122" s="1493"/>
      <c r="AI122" s="1493"/>
      <c r="AJ122" s="1493"/>
      <c r="AK122" s="1493"/>
      <c r="AL122" s="1493"/>
      <c r="AM122" s="1493"/>
      <c r="AN122" s="1493"/>
      <c r="AO122" s="1493"/>
      <c r="AP122" s="1493"/>
      <c r="AQ122" s="1493"/>
      <c r="AS122" s="1493"/>
      <c r="AT122" s="1493"/>
      <c r="AU122" s="1493"/>
      <c r="AV122" s="1493"/>
      <c r="AW122" s="1493"/>
      <c r="AX122" s="1493"/>
      <c r="AY122" s="1493"/>
      <c r="AZ122" s="1493"/>
      <c r="BA122" s="1493"/>
      <c r="BB122" s="1493"/>
      <c r="BC122" s="1493"/>
      <c r="BD122" s="1493"/>
      <c r="BE122" s="1493"/>
      <c r="BF122" s="1493"/>
      <c r="BG122" s="1493"/>
      <c r="BH122" s="1493"/>
      <c r="BI122" s="1493"/>
      <c r="BJ122" s="1493"/>
      <c r="BK122" s="1493"/>
      <c r="BL122" s="1493"/>
      <c r="BN122" s="1493"/>
      <c r="BO122" s="1493"/>
      <c r="BP122" s="1493"/>
      <c r="BR122" s="1957"/>
      <c r="BS122" s="1493"/>
    </row>
    <row r="123" spans="2:118" ht="15.75" x14ac:dyDescent="0.25">
      <c r="B123" s="456"/>
      <c r="G123" s="1493"/>
      <c r="H123" s="1493"/>
      <c r="I123" s="1493"/>
      <c r="J123" s="1493"/>
      <c r="K123" s="1493"/>
      <c r="L123" s="1493"/>
      <c r="M123" s="1493"/>
      <c r="N123" s="1493"/>
      <c r="O123" s="1643"/>
      <c r="P123" s="1493"/>
      <c r="Q123" s="1493"/>
      <c r="R123" s="1493"/>
      <c r="S123" s="1493"/>
      <c r="T123" s="1493"/>
      <c r="U123" s="1493"/>
      <c r="V123" s="1493"/>
      <c r="W123" s="1493"/>
      <c r="Y123" s="1493"/>
      <c r="Z123" s="1493"/>
      <c r="AA123" s="1493"/>
      <c r="AB123" s="1493"/>
      <c r="AC123" s="1493"/>
      <c r="AD123" s="1493"/>
      <c r="AE123" s="1493"/>
      <c r="AF123" s="1493"/>
      <c r="AG123" s="1493"/>
      <c r="AH123" s="1493"/>
      <c r="AI123" s="1493"/>
      <c r="AJ123" s="1493"/>
      <c r="AK123" s="1493"/>
      <c r="AL123" s="1493"/>
      <c r="AM123" s="1493"/>
      <c r="AN123" s="1493"/>
      <c r="AO123" s="1493"/>
      <c r="AP123" s="1493"/>
      <c r="AQ123" s="1493"/>
      <c r="AS123" s="1493"/>
      <c r="AT123" s="1493"/>
      <c r="AU123" s="1493"/>
      <c r="AV123" s="1493"/>
      <c r="AW123" s="1493"/>
      <c r="AX123" s="1493"/>
      <c r="AY123" s="1493"/>
      <c r="AZ123" s="1493"/>
      <c r="BA123" s="1493"/>
      <c r="BB123" s="1493"/>
      <c r="BC123" s="1493"/>
      <c r="BD123" s="1493"/>
      <c r="BE123" s="1493"/>
      <c r="BF123" s="1493"/>
      <c r="BG123" s="1493"/>
      <c r="BH123" s="1493"/>
      <c r="BI123" s="1493"/>
      <c r="BJ123" s="1493"/>
      <c r="BK123" s="1493"/>
      <c r="BL123" s="1493"/>
      <c r="BN123" s="1493"/>
      <c r="BO123" s="1493"/>
      <c r="BP123" s="1493"/>
      <c r="BR123" s="1957"/>
      <c r="BS123" s="1493"/>
    </row>
    <row r="124" spans="2:118" ht="15.75" x14ac:dyDescent="0.25">
      <c r="B124" s="456"/>
      <c r="G124" s="1493"/>
      <c r="H124" s="1493"/>
      <c r="I124" s="1493"/>
      <c r="J124" s="1493"/>
      <c r="K124" s="1493"/>
      <c r="L124" s="1493"/>
      <c r="M124" s="1493"/>
      <c r="N124" s="1493"/>
      <c r="O124" s="1643"/>
      <c r="P124" s="1493"/>
      <c r="Q124" s="1493"/>
      <c r="R124" s="1493"/>
      <c r="S124" s="1493"/>
      <c r="T124" s="1493"/>
      <c r="U124" s="1493"/>
      <c r="V124" s="1493"/>
      <c r="W124" s="1493"/>
      <c r="Y124" s="1493"/>
      <c r="Z124" s="1493"/>
      <c r="AA124" s="1493"/>
      <c r="AB124" s="1493"/>
      <c r="AC124" s="1493"/>
      <c r="AD124" s="1493"/>
      <c r="AE124" s="1493"/>
      <c r="AF124" s="1493"/>
      <c r="AG124" s="1493"/>
      <c r="AH124" s="1493"/>
      <c r="AI124" s="1493"/>
      <c r="AJ124" s="1493"/>
      <c r="AK124" s="1493"/>
      <c r="AL124" s="1493"/>
      <c r="AM124" s="1493"/>
      <c r="AN124" s="1493"/>
      <c r="AO124" s="1493"/>
      <c r="AP124" s="1493"/>
      <c r="AQ124" s="1493"/>
      <c r="AS124" s="1493"/>
      <c r="AT124" s="1493"/>
      <c r="AU124" s="1493"/>
      <c r="AV124" s="1493"/>
      <c r="AW124" s="1493"/>
      <c r="AX124" s="1493"/>
      <c r="AY124" s="1493"/>
      <c r="AZ124" s="1493"/>
      <c r="BA124" s="1493"/>
      <c r="BB124" s="1493"/>
      <c r="BC124" s="1493"/>
      <c r="BD124" s="1493"/>
      <c r="BE124" s="1493"/>
      <c r="BF124" s="1493"/>
      <c r="BG124" s="1493"/>
      <c r="BH124" s="1493"/>
      <c r="BI124" s="1493"/>
      <c r="BJ124" s="1493"/>
      <c r="BK124" s="1493"/>
      <c r="BL124" s="1493"/>
      <c r="BN124" s="1493"/>
      <c r="BO124" s="1493"/>
      <c r="BP124" s="1493"/>
      <c r="BR124" s="1957"/>
      <c r="BS124" s="1493"/>
    </row>
    <row r="125" spans="2:118" x14ac:dyDescent="0.2">
      <c r="G125" s="1493"/>
      <c r="H125" s="1493"/>
      <c r="I125" s="1493"/>
      <c r="J125" s="1493"/>
      <c r="K125" s="1493"/>
      <c r="L125" s="1493"/>
      <c r="M125" s="1493"/>
      <c r="N125" s="1493"/>
      <c r="O125" s="1643"/>
      <c r="P125" s="1493"/>
      <c r="Q125" s="1493"/>
      <c r="R125" s="1493"/>
      <c r="S125" s="1493"/>
      <c r="T125" s="1493"/>
      <c r="U125" s="1493"/>
      <c r="V125" s="1493"/>
      <c r="W125" s="1493"/>
      <c r="Y125" s="1493"/>
      <c r="Z125" s="1493"/>
      <c r="AA125" s="1493"/>
      <c r="AB125" s="1493"/>
      <c r="AC125" s="1493"/>
      <c r="AD125" s="1493"/>
      <c r="AE125" s="1493"/>
      <c r="AF125" s="1493"/>
      <c r="AG125" s="1493"/>
      <c r="AH125" s="1493"/>
      <c r="AI125" s="1493"/>
      <c r="AJ125" s="1493"/>
      <c r="AK125" s="1493"/>
      <c r="AL125" s="1493"/>
      <c r="AM125" s="1493"/>
      <c r="AN125" s="1493"/>
      <c r="AO125" s="1493"/>
      <c r="AP125" s="1493"/>
      <c r="AQ125" s="1493"/>
      <c r="AS125" s="1493"/>
      <c r="AT125" s="1493"/>
      <c r="AU125" s="1493"/>
      <c r="AV125" s="1493"/>
      <c r="AW125" s="1493"/>
      <c r="AX125" s="1493"/>
      <c r="AY125" s="1493"/>
      <c r="AZ125" s="1493"/>
      <c r="BA125" s="1493"/>
      <c r="BB125" s="1493"/>
      <c r="BC125" s="1493"/>
      <c r="BD125" s="1493"/>
      <c r="BE125" s="1493"/>
      <c r="BF125" s="1493"/>
      <c r="BG125" s="1493"/>
      <c r="BH125" s="1493"/>
      <c r="BI125" s="1493"/>
      <c r="BJ125" s="1493"/>
      <c r="BK125" s="1493"/>
      <c r="BL125" s="1493"/>
      <c r="BN125" s="1493"/>
      <c r="BO125" s="1493"/>
      <c r="BP125" s="1493"/>
      <c r="BR125" s="1957"/>
      <c r="BS125" s="1493"/>
    </row>
    <row r="126" spans="2:118" ht="24" customHeight="1" x14ac:dyDescent="0.2">
      <c r="G126" s="1493"/>
      <c r="H126" s="1493"/>
      <c r="I126" s="1493"/>
      <c r="J126" s="1493"/>
      <c r="K126" s="1493"/>
      <c r="L126" s="1493"/>
      <c r="M126" s="1493"/>
      <c r="N126" s="1493"/>
      <c r="O126" s="1643"/>
      <c r="P126" s="1493"/>
      <c r="Q126" s="1493"/>
      <c r="R126" s="1493"/>
      <c r="S126" s="1493"/>
      <c r="T126" s="1493"/>
      <c r="U126" s="1493"/>
      <c r="V126" s="1493"/>
      <c r="W126" s="1493"/>
      <c r="Y126" s="1493"/>
      <c r="Z126" s="1493"/>
      <c r="AA126" s="1493"/>
      <c r="AB126" s="1493"/>
      <c r="AC126" s="1493"/>
      <c r="AD126" s="1493"/>
      <c r="AE126" s="1493"/>
      <c r="AF126" s="1493"/>
      <c r="AG126" s="1493"/>
      <c r="AH126" s="1493"/>
      <c r="AI126" s="1493"/>
      <c r="AJ126" s="1493"/>
      <c r="AK126" s="1493"/>
      <c r="AL126" s="1493"/>
      <c r="AM126" s="1493"/>
      <c r="AN126" s="1493"/>
      <c r="AO126" s="1493"/>
      <c r="AP126" s="1493"/>
      <c r="AQ126" s="1493"/>
      <c r="AS126" s="1493"/>
      <c r="AT126" s="1493"/>
      <c r="AU126" s="1493"/>
      <c r="AV126" s="1493"/>
      <c r="AW126" s="1493"/>
      <c r="AX126" s="1493"/>
      <c r="AY126" s="1493"/>
      <c r="AZ126" s="1493"/>
      <c r="BA126" s="1493"/>
      <c r="BB126" s="1493"/>
      <c r="BC126" s="1493"/>
      <c r="BD126" s="1493"/>
      <c r="BE126" s="1493"/>
      <c r="BF126" s="1493"/>
      <c r="BG126" s="1493"/>
      <c r="BH126" s="1493"/>
      <c r="BI126" s="1493"/>
      <c r="BJ126" s="1493"/>
      <c r="BK126" s="1493"/>
      <c r="BL126" s="1493"/>
      <c r="BN126" s="1493"/>
      <c r="BO126" s="1493"/>
      <c r="BP126" s="1493"/>
      <c r="BR126" s="1957"/>
      <c r="BS126" s="1493"/>
    </row>
    <row r="127" spans="2:118" x14ac:dyDescent="0.2">
      <c r="G127" s="1493"/>
      <c r="H127" s="1493"/>
      <c r="I127" s="1493"/>
      <c r="J127" s="1493"/>
      <c r="K127" s="1493"/>
      <c r="L127" s="1493"/>
      <c r="M127" s="1493"/>
      <c r="N127" s="1493"/>
      <c r="O127" s="1643"/>
      <c r="P127" s="1493"/>
      <c r="Q127" s="1493"/>
      <c r="R127" s="1493"/>
      <c r="S127" s="1493"/>
      <c r="T127" s="1493"/>
      <c r="U127" s="1493"/>
      <c r="V127" s="1493"/>
      <c r="W127" s="1493"/>
      <c r="Y127" s="1493"/>
      <c r="Z127" s="1493"/>
      <c r="AA127" s="1493"/>
      <c r="AB127" s="1493"/>
      <c r="AC127" s="1493"/>
      <c r="AD127" s="1493"/>
      <c r="AE127" s="1493"/>
      <c r="AF127" s="1493"/>
      <c r="AG127" s="1493"/>
      <c r="AH127" s="1493"/>
      <c r="AI127" s="1493"/>
      <c r="AJ127" s="1493"/>
      <c r="AK127" s="1493"/>
      <c r="AL127" s="1493"/>
      <c r="AM127" s="1493"/>
      <c r="AN127" s="1493"/>
      <c r="AO127" s="1493"/>
      <c r="AP127" s="1493"/>
      <c r="AQ127" s="1493"/>
      <c r="AS127" s="1493"/>
      <c r="AT127" s="1493"/>
      <c r="AU127" s="1493"/>
      <c r="AV127" s="1493"/>
      <c r="AW127" s="1493"/>
      <c r="AX127" s="1493"/>
      <c r="AY127" s="1493"/>
      <c r="AZ127" s="1493"/>
      <c r="BA127" s="1493"/>
      <c r="BB127" s="1493"/>
      <c r="BC127" s="1493"/>
      <c r="BD127" s="1493"/>
      <c r="BE127" s="1493"/>
      <c r="BF127" s="1493"/>
      <c r="BG127" s="1493"/>
      <c r="BH127" s="1493"/>
      <c r="BI127" s="1493"/>
      <c r="BJ127" s="1493"/>
      <c r="BK127" s="1493"/>
      <c r="BL127" s="1493"/>
      <c r="BN127" s="1493"/>
      <c r="BO127" s="1493"/>
      <c r="BP127" s="1493"/>
      <c r="BR127" s="1957"/>
      <c r="BS127" s="1493"/>
    </row>
    <row r="128" spans="2:118" x14ac:dyDescent="0.2">
      <c r="C128" s="1580"/>
      <c r="D128" s="746"/>
      <c r="G128" s="1493"/>
      <c r="H128" s="1493"/>
      <c r="I128" s="1493"/>
      <c r="J128" s="1493"/>
      <c r="K128" s="1493"/>
      <c r="L128" s="1493"/>
      <c r="M128" s="1493"/>
      <c r="N128" s="1493"/>
      <c r="O128" s="1643"/>
      <c r="P128" s="1493"/>
      <c r="Q128" s="1493"/>
      <c r="R128" s="1493"/>
      <c r="S128" s="1493"/>
      <c r="T128" s="1493"/>
      <c r="U128" s="1493"/>
      <c r="V128" s="1493"/>
      <c r="W128" s="1493"/>
      <c r="Y128" s="1493"/>
      <c r="Z128" s="1493"/>
      <c r="AA128" s="1493"/>
      <c r="AB128" s="1493"/>
      <c r="AC128" s="1493"/>
      <c r="AD128" s="1493"/>
      <c r="AE128" s="1493"/>
      <c r="AF128" s="1493"/>
      <c r="AG128" s="1493"/>
      <c r="AH128" s="1493"/>
      <c r="AI128" s="1493"/>
      <c r="AJ128" s="1493"/>
      <c r="AK128" s="1493"/>
      <c r="AL128" s="1493"/>
      <c r="AM128" s="1493"/>
      <c r="AN128" s="1493"/>
      <c r="AO128" s="1493"/>
      <c r="AP128" s="1493"/>
      <c r="AQ128" s="1493"/>
      <c r="AS128" s="1493"/>
      <c r="AT128" s="1493"/>
      <c r="AU128" s="1493"/>
      <c r="AV128" s="1493"/>
      <c r="AW128" s="1493"/>
      <c r="AX128" s="1493"/>
      <c r="AY128" s="1493"/>
      <c r="AZ128" s="1493"/>
      <c r="BA128" s="1493"/>
      <c r="BB128" s="1493"/>
      <c r="BC128" s="1493"/>
      <c r="BD128" s="1493"/>
      <c r="BE128" s="1493"/>
      <c r="BF128" s="1493"/>
      <c r="BG128" s="1493"/>
      <c r="BH128" s="1493"/>
      <c r="BI128" s="1493"/>
      <c r="BJ128" s="1493"/>
      <c r="BK128" s="1493"/>
      <c r="BL128" s="1493"/>
      <c r="BN128" s="1493"/>
      <c r="BO128" s="1493"/>
      <c r="BP128" s="1493"/>
      <c r="BR128" s="1957"/>
      <c r="BS128" s="1493"/>
    </row>
    <row r="129" spans="7:71" x14ac:dyDescent="0.2">
      <c r="G129" s="1493"/>
      <c r="H129" s="1493"/>
      <c r="I129" s="1493"/>
      <c r="J129" s="1493"/>
      <c r="K129" s="1493"/>
      <c r="L129" s="1493"/>
      <c r="M129" s="1493"/>
      <c r="N129" s="1493"/>
      <c r="O129" s="1643"/>
      <c r="P129" s="1493"/>
      <c r="Q129" s="1493"/>
      <c r="R129" s="1493"/>
      <c r="S129" s="1493"/>
      <c r="T129" s="1493"/>
      <c r="U129" s="1493"/>
      <c r="V129" s="1493"/>
      <c r="W129" s="1493"/>
      <c r="Y129" s="1493"/>
      <c r="Z129" s="1493"/>
      <c r="AA129" s="1493"/>
      <c r="AB129" s="1493"/>
      <c r="AC129" s="1493"/>
      <c r="AD129" s="1493"/>
      <c r="AE129" s="1493"/>
      <c r="AF129" s="1493"/>
      <c r="AG129" s="1493"/>
      <c r="AH129" s="1493"/>
      <c r="AI129" s="1493"/>
      <c r="AJ129" s="1493"/>
      <c r="AK129" s="1493"/>
      <c r="AL129" s="1493"/>
      <c r="AM129" s="1493"/>
      <c r="AN129" s="1493"/>
      <c r="AO129" s="1493"/>
      <c r="AP129" s="1493"/>
      <c r="AQ129" s="1493"/>
      <c r="AS129" s="1493"/>
      <c r="AT129" s="1493"/>
      <c r="AU129" s="1493"/>
      <c r="AV129" s="1493"/>
      <c r="AW129" s="1493"/>
      <c r="AX129" s="1493"/>
      <c r="AY129" s="1493"/>
      <c r="AZ129" s="1493"/>
      <c r="BA129" s="1493"/>
      <c r="BB129" s="1493"/>
      <c r="BC129" s="1493"/>
      <c r="BD129" s="1493"/>
      <c r="BE129" s="1493"/>
      <c r="BF129" s="1493"/>
      <c r="BG129" s="1493"/>
      <c r="BH129" s="1493"/>
      <c r="BI129" s="1493"/>
      <c r="BJ129" s="1493"/>
      <c r="BK129" s="1493"/>
      <c r="BL129" s="1493"/>
      <c r="BN129" s="1493"/>
      <c r="BO129" s="1493"/>
      <c r="BP129" s="1493"/>
      <c r="BR129" s="1957"/>
      <c r="BS129" s="1493"/>
    </row>
    <row r="130" spans="7:71" x14ac:dyDescent="0.2">
      <c r="G130" s="1493"/>
      <c r="H130" s="1493"/>
      <c r="I130" s="1493"/>
      <c r="J130" s="1493"/>
      <c r="K130" s="1493"/>
      <c r="L130" s="1493"/>
      <c r="M130" s="1493"/>
      <c r="N130" s="1493"/>
      <c r="O130" s="1643"/>
      <c r="P130" s="1493"/>
      <c r="Q130" s="1493"/>
      <c r="R130" s="1493"/>
      <c r="S130" s="1493"/>
      <c r="T130" s="1493"/>
      <c r="U130" s="1493"/>
      <c r="V130" s="1493"/>
      <c r="W130" s="1493"/>
      <c r="Y130" s="1493"/>
      <c r="Z130" s="1493"/>
      <c r="AA130" s="1493"/>
      <c r="AB130" s="1493"/>
      <c r="AC130" s="1493"/>
      <c r="AD130" s="1493"/>
      <c r="AE130" s="1493"/>
      <c r="AF130" s="1493"/>
      <c r="AG130" s="1493"/>
      <c r="AH130" s="1493"/>
      <c r="AI130" s="1493"/>
      <c r="AJ130" s="1493"/>
      <c r="AK130" s="1493"/>
      <c r="AL130" s="1493"/>
      <c r="AM130" s="1493"/>
      <c r="AN130" s="1493"/>
      <c r="AO130" s="1493"/>
      <c r="AP130" s="1493"/>
      <c r="AQ130" s="1493"/>
      <c r="AS130" s="1493"/>
      <c r="AT130" s="1493"/>
      <c r="AU130" s="1493"/>
      <c r="AV130" s="1493"/>
      <c r="AW130" s="1493"/>
      <c r="AX130" s="1493"/>
      <c r="AY130" s="1493"/>
      <c r="AZ130" s="1493"/>
      <c r="BA130" s="1493"/>
      <c r="BB130" s="1493"/>
      <c r="BC130" s="1493"/>
      <c r="BD130" s="1493"/>
      <c r="BE130" s="1493"/>
      <c r="BF130" s="1493"/>
      <c r="BG130" s="1493"/>
      <c r="BH130" s="1493"/>
      <c r="BI130" s="1493"/>
      <c r="BJ130" s="1493"/>
      <c r="BK130" s="1493"/>
      <c r="BL130" s="1493"/>
      <c r="BN130" s="1493"/>
      <c r="BO130" s="1493"/>
      <c r="BP130" s="1493"/>
      <c r="BR130" s="1957"/>
      <c r="BS130" s="1493"/>
    </row>
    <row r="131" spans="7:71" x14ac:dyDescent="0.2">
      <c r="G131" s="1493"/>
      <c r="H131" s="1493"/>
      <c r="I131" s="1493"/>
      <c r="J131" s="1493"/>
      <c r="K131" s="1493"/>
      <c r="L131" s="1493"/>
      <c r="M131" s="1493"/>
      <c r="N131" s="1493"/>
      <c r="O131" s="1643"/>
      <c r="P131" s="1493"/>
      <c r="Q131" s="1493"/>
      <c r="R131" s="1493"/>
      <c r="S131" s="1493"/>
      <c r="T131" s="1493"/>
      <c r="U131" s="1493"/>
      <c r="V131" s="1493"/>
      <c r="W131" s="1493"/>
      <c r="Y131" s="1493"/>
      <c r="Z131" s="1493"/>
      <c r="AA131" s="1493"/>
      <c r="AB131" s="1493"/>
      <c r="AC131" s="1493"/>
      <c r="AD131" s="1493"/>
      <c r="AE131" s="1493"/>
      <c r="AF131" s="1493"/>
      <c r="AG131" s="1493"/>
      <c r="AH131" s="1493"/>
      <c r="AI131" s="1493"/>
      <c r="AJ131" s="1493"/>
      <c r="AK131" s="1493"/>
      <c r="AL131" s="1493"/>
      <c r="AM131" s="1493"/>
      <c r="AN131" s="1493"/>
      <c r="AO131" s="1493"/>
      <c r="AP131" s="1493"/>
      <c r="AQ131" s="1493"/>
      <c r="AS131" s="1493"/>
      <c r="AT131" s="1493"/>
      <c r="AU131" s="1493"/>
      <c r="AV131" s="1493"/>
      <c r="AW131" s="1493"/>
      <c r="AX131" s="1493"/>
      <c r="AY131" s="1493"/>
      <c r="AZ131" s="1493"/>
      <c r="BA131" s="1493"/>
      <c r="BB131" s="1493"/>
      <c r="BC131" s="1493"/>
      <c r="BD131" s="1493"/>
      <c r="BE131" s="1493"/>
      <c r="BF131" s="1493"/>
      <c r="BG131" s="1493"/>
      <c r="BH131" s="1493"/>
      <c r="BI131" s="1493"/>
      <c r="BJ131" s="1493"/>
      <c r="BK131" s="1493"/>
      <c r="BL131" s="1493"/>
      <c r="BN131" s="1493"/>
      <c r="BO131" s="1493"/>
      <c r="BP131" s="1493"/>
      <c r="BR131" s="1957"/>
      <c r="BS131" s="1493"/>
    </row>
    <row r="132" spans="7:71" x14ac:dyDescent="0.2">
      <c r="G132" s="1493"/>
      <c r="H132" s="1493"/>
      <c r="I132" s="1493"/>
      <c r="J132" s="1493"/>
      <c r="K132" s="1493"/>
      <c r="L132" s="1493"/>
      <c r="M132" s="1493"/>
      <c r="N132" s="1493"/>
      <c r="O132" s="1643"/>
      <c r="P132" s="1493"/>
      <c r="Q132" s="1493"/>
      <c r="R132" s="1493"/>
      <c r="S132" s="1493"/>
      <c r="T132" s="1493"/>
      <c r="U132" s="1493"/>
      <c r="V132" s="1493"/>
      <c r="W132" s="1493"/>
      <c r="Y132" s="1493"/>
      <c r="Z132" s="1493"/>
      <c r="AA132" s="1493"/>
      <c r="AB132" s="1493"/>
      <c r="AC132" s="1493"/>
      <c r="AD132" s="1493"/>
      <c r="AE132" s="1493"/>
      <c r="AF132" s="1493"/>
      <c r="AG132" s="1493"/>
      <c r="AH132" s="1493"/>
      <c r="AI132" s="1493"/>
      <c r="AJ132" s="1493"/>
      <c r="AK132" s="1493"/>
      <c r="AL132" s="1493"/>
      <c r="AM132" s="1493"/>
      <c r="AN132" s="1493"/>
      <c r="AO132" s="1493"/>
      <c r="AP132" s="1493"/>
      <c r="AQ132" s="1493"/>
      <c r="AS132" s="1493"/>
      <c r="AT132" s="1493"/>
      <c r="AU132" s="1493"/>
      <c r="AV132" s="1493"/>
      <c r="AW132" s="1493"/>
      <c r="AX132" s="1493"/>
      <c r="AY132" s="1493"/>
      <c r="AZ132" s="1493"/>
      <c r="BA132" s="1493"/>
      <c r="BB132" s="1493"/>
      <c r="BC132" s="1493"/>
      <c r="BD132" s="1493"/>
      <c r="BE132" s="1493"/>
      <c r="BF132" s="1493"/>
      <c r="BG132" s="1493"/>
      <c r="BH132" s="1493"/>
      <c r="BI132" s="1493"/>
      <c r="BJ132" s="1493"/>
      <c r="BK132" s="1493"/>
      <c r="BL132" s="1493"/>
      <c r="BN132" s="1493"/>
      <c r="BO132" s="1493"/>
      <c r="BP132" s="1493"/>
      <c r="BR132" s="1957"/>
      <c r="BS132" s="1493"/>
    </row>
    <row r="133" spans="7:71" x14ac:dyDescent="0.2">
      <c r="G133" s="1493"/>
      <c r="H133" s="1493"/>
      <c r="I133" s="1493"/>
      <c r="J133" s="1493"/>
      <c r="K133" s="1493"/>
      <c r="L133" s="1493"/>
      <c r="M133" s="1493"/>
      <c r="N133" s="1493"/>
      <c r="O133" s="1643"/>
      <c r="P133" s="1493"/>
      <c r="Q133" s="1493"/>
      <c r="R133" s="1493"/>
      <c r="S133" s="1493"/>
      <c r="T133" s="1493"/>
      <c r="U133" s="1493"/>
      <c r="V133" s="1493"/>
      <c r="W133" s="1493"/>
      <c r="Y133" s="1493"/>
      <c r="Z133" s="1493"/>
      <c r="AA133" s="1493"/>
      <c r="AB133" s="1493"/>
      <c r="AC133" s="1493"/>
      <c r="AD133" s="1493"/>
      <c r="AE133" s="1493"/>
      <c r="AF133" s="1493"/>
      <c r="AG133" s="1493"/>
      <c r="AH133" s="1493"/>
      <c r="AI133" s="1493"/>
      <c r="AJ133" s="1493"/>
      <c r="AK133" s="1493"/>
      <c r="AL133" s="1493"/>
      <c r="AM133" s="1493"/>
      <c r="AN133" s="1493"/>
      <c r="AO133" s="1493"/>
      <c r="AP133" s="1493"/>
      <c r="AQ133" s="1493"/>
      <c r="AS133" s="1493"/>
      <c r="AT133" s="1493"/>
      <c r="AU133" s="1493"/>
      <c r="AV133" s="1493"/>
      <c r="AW133" s="1493"/>
      <c r="AX133" s="1493"/>
      <c r="AY133" s="1493"/>
      <c r="AZ133" s="1493"/>
      <c r="BA133" s="1493"/>
      <c r="BB133" s="1493"/>
      <c r="BC133" s="1493"/>
      <c r="BD133" s="1493"/>
      <c r="BE133" s="1493"/>
      <c r="BF133" s="1493"/>
      <c r="BG133" s="1493"/>
      <c r="BH133" s="1493"/>
      <c r="BI133" s="1493"/>
      <c r="BJ133" s="1493"/>
      <c r="BK133" s="1493"/>
      <c r="BL133" s="1493"/>
      <c r="BN133" s="1493"/>
      <c r="BO133" s="1493"/>
      <c r="BP133" s="1493"/>
      <c r="BR133" s="1957"/>
      <c r="BS133" s="1493"/>
    </row>
    <row r="134" spans="7:71" x14ac:dyDescent="0.2">
      <c r="G134" s="1493"/>
      <c r="H134" s="1493"/>
      <c r="I134" s="1493"/>
      <c r="J134" s="1493"/>
      <c r="K134" s="1493"/>
      <c r="L134" s="1493"/>
      <c r="M134" s="1493"/>
      <c r="N134" s="1493"/>
      <c r="O134" s="1643"/>
      <c r="P134" s="1493"/>
      <c r="Q134" s="1493"/>
      <c r="R134" s="1493"/>
      <c r="S134" s="1493"/>
      <c r="T134" s="1493"/>
      <c r="U134" s="1493"/>
      <c r="V134" s="1493"/>
      <c r="W134" s="1493"/>
      <c r="Y134" s="1493"/>
      <c r="Z134" s="1493"/>
      <c r="AA134" s="1493"/>
      <c r="AB134" s="1493"/>
      <c r="AC134" s="1493"/>
      <c r="AD134" s="1493"/>
      <c r="AE134" s="1493"/>
      <c r="AF134" s="1493"/>
      <c r="AG134" s="1493"/>
      <c r="AH134" s="1493"/>
      <c r="AI134" s="1493"/>
      <c r="AJ134" s="1493"/>
      <c r="AK134" s="1493"/>
      <c r="AL134" s="1493"/>
      <c r="AM134" s="1493"/>
      <c r="AN134" s="1493"/>
      <c r="AO134" s="1493"/>
      <c r="AP134" s="1493"/>
      <c r="AQ134" s="1493"/>
      <c r="AS134" s="1493"/>
      <c r="AT134" s="1493"/>
      <c r="AU134" s="1493"/>
      <c r="AV134" s="1493"/>
      <c r="AW134" s="1493"/>
      <c r="AX134" s="1493"/>
      <c r="AY134" s="1493"/>
      <c r="AZ134" s="1493"/>
      <c r="BA134" s="1493"/>
      <c r="BB134" s="1493"/>
      <c r="BC134" s="1493"/>
      <c r="BD134" s="1493"/>
      <c r="BE134" s="1493"/>
      <c r="BF134" s="1493"/>
      <c r="BG134" s="1493"/>
      <c r="BH134" s="1493"/>
      <c r="BI134" s="1493"/>
      <c r="BJ134" s="1493"/>
      <c r="BK134" s="1493"/>
      <c r="BL134" s="1493"/>
      <c r="BN134" s="1493"/>
      <c r="BO134" s="1493"/>
      <c r="BP134" s="1493"/>
      <c r="BR134" s="1957"/>
      <c r="BS134" s="1493"/>
    </row>
    <row r="135" spans="7:71" x14ac:dyDescent="0.2">
      <c r="G135" s="1493"/>
      <c r="H135" s="1493"/>
      <c r="I135" s="1493"/>
      <c r="J135" s="1493"/>
      <c r="K135" s="1493"/>
      <c r="L135" s="1493"/>
      <c r="M135" s="1493"/>
      <c r="N135" s="1493"/>
      <c r="O135" s="1643"/>
      <c r="P135" s="1493"/>
      <c r="Q135" s="1493"/>
      <c r="R135" s="1493"/>
      <c r="S135" s="1493"/>
      <c r="T135" s="1493"/>
      <c r="U135" s="1493"/>
      <c r="V135" s="1493"/>
      <c r="W135" s="1493"/>
      <c r="Y135" s="1493"/>
      <c r="Z135" s="1493"/>
      <c r="AA135" s="1493"/>
      <c r="AB135" s="1493"/>
      <c r="AC135" s="1493"/>
      <c r="AD135" s="1493"/>
      <c r="AE135" s="1493"/>
      <c r="AF135" s="1493"/>
      <c r="AG135" s="1493"/>
      <c r="AH135" s="1493"/>
      <c r="AI135" s="1493"/>
      <c r="AJ135" s="1493"/>
      <c r="AK135" s="1493"/>
      <c r="AL135" s="1493"/>
      <c r="AM135" s="1493"/>
      <c r="AN135" s="1493"/>
      <c r="AO135" s="1493"/>
      <c r="AP135" s="1493"/>
      <c r="AQ135" s="1493"/>
      <c r="AS135" s="1493"/>
      <c r="AT135" s="1493"/>
      <c r="AU135" s="1493"/>
      <c r="AV135" s="1493"/>
      <c r="AW135" s="1493"/>
      <c r="AX135" s="1493"/>
      <c r="AY135" s="1493"/>
      <c r="AZ135" s="1493"/>
      <c r="BA135" s="1493"/>
      <c r="BB135" s="1493"/>
      <c r="BC135" s="1493"/>
      <c r="BD135" s="1493"/>
      <c r="BE135" s="1493"/>
      <c r="BF135" s="1493"/>
      <c r="BG135" s="1493"/>
      <c r="BH135" s="1493"/>
      <c r="BI135" s="1493"/>
      <c r="BJ135" s="1493"/>
      <c r="BK135" s="1493"/>
      <c r="BL135" s="1493"/>
      <c r="BN135" s="1493"/>
      <c r="BO135" s="1493"/>
      <c r="BP135" s="1493"/>
      <c r="BR135" s="1957"/>
      <c r="BS135" s="1493"/>
    </row>
    <row r="136" spans="7:71" x14ac:dyDescent="0.2">
      <c r="G136" s="1493"/>
      <c r="H136" s="1493"/>
      <c r="I136" s="1493"/>
      <c r="J136" s="1493"/>
      <c r="K136" s="1493"/>
      <c r="L136" s="1493"/>
      <c r="M136" s="1493"/>
      <c r="N136" s="1493"/>
      <c r="O136" s="1643"/>
      <c r="P136" s="1493"/>
      <c r="Q136" s="1493"/>
      <c r="R136" s="1493"/>
      <c r="S136" s="1493"/>
      <c r="T136" s="1493"/>
      <c r="U136" s="1493"/>
      <c r="V136" s="1493"/>
      <c r="W136" s="1493"/>
      <c r="Y136" s="1493"/>
      <c r="Z136" s="1493"/>
      <c r="AA136" s="1493"/>
      <c r="AB136" s="1493"/>
      <c r="AC136" s="1493"/>
      <c r="AD136" s="1493"/>
      <c r="AE136" s="1493"/>
      <c r="AF136" s="1493"/>
      <c r="AG136" s="1493"/>
      <c r="AH136" s="1493"/>
      <c r="AI136" s="1493"/>
      <c r="AJ136" s="1493"/>
      <c r="AK136" s="1493"/>
      <c r="AL136" s="1493"/>
      <c r="AM136" s="1493"/>
      <c r="AN136" s="1493"/>
      <c r="AO136" s="1493"/>
      <c r="AP136" s="1493"/>
      <c r="AQ136" s="1493"/>
      <c r="AS136" s="1493"/>
      <c r="AT136" s="1493"/>
      <c r="AU136" s="1493"/>
      <c r="AV136" s="1493"/>
      <c r="AW136" s="1493"/>
      <c r="AX136" s="1493"/>
      <c r="AY136" s="1493"/>
      <c r="AZ136" s="1493"/>
      <c r="BA136" s="1493"/>
      <c r="BB136" s="1493"/>
      <c r="BC136" s="1493"/>
      <c r="BD136" s="1493"/>
      <c r="BE136" s="1493"/>
      <c r="BF136" s="1493"/>
      <c r="BG136" s="1493"/>
      <c r="BH136" s="1493"/>
      <c r="BI136" s="1493"/>
      <c r="BJ136" s="1493"/>
      <c r="BK136" s="1493"/>
      <c r="BL136" s="1493"/>
      <c r="BN136" s="1493"/>
      <c r="BO136" s="1493"/>
      <c r="BP136" s="1493"/>
      <c r="BR136" s="1957"/>
      <c r="BS136" s="1493"/>
    </row>
    <row r="137" spans="7:71" x14ac:dyDescent="0.2">
      <c r="G137" s="1493"/>
      <c r="H137" s="1493"/>
      <c r="I137" s="1493"/>
      <c r="J137" s="1493"/>
      <c r="K137" s="1493"/>
      <c r="L137" s="1493"/>
      <c r="M137" s="1493"/>
      <c r="N137" s="1493"/>
      <c r="O137" s="1643"/>
      <c r="P137" s="1493"/>
      <c r="Q137" s="1493"/>
      <c r="R137" s="1493"/>
      <c r="S137" s="1493"/>
      <c r="T137" s="1493"/>
      <c r="U137" s="1493"/>
      <c r="V137" s="1493"/>
      <c r="W137" s="1493"/>
      <c r="Y137" s="1493"/>
      <c r="Z137" s="1493"/>
      <c r="AA137" s="1493"/>
      <c r="AB137" s="1493"/>
      <c r="AC137" s="1493"/>
      <c r="AD137" s="1493"/>
      <c r="AE137" s="1493"/>
      <c r="AF137" s="1493"/>
      <c r="AG137" s="1493"/>
      <c r="AH137" s="1493"/>
      <c r="AI137" s="1493"/>
      <c r="AJ137" s="1493"/>
      <c r="AK137" s="1493"/>
      <c r="AL137" s="1493"/>
      <c r="AM137" s="1493"/>
      <c r="AN137" s="1493"/>
      <c r="AO137" s="1493"/>
      <c r="AP137" s="1493"/>
      <c r="AQ137" s="1493"/>
      <c r="AS137" s="1493"/>
      <c r="AT137" s="1493"/>
      <c r="AU137" s="1493"/>
      <c r="AV137" s="1493"/>
      <c r="AW137" s="1493"/>
      <c r="AX137" s="1493"/>
      <c r="AY137" s="1493"/>
      <c r="AZ137" s="1493"/>
      <c r="BA137" s="1493"/>
      <c r="BB137" s="1493"/>
      <c r="BC137" s="1493"/>
      <c r="BD137" s="1493"/>
      <c r="BE137" s="1493"/>
      <c r="BF137" s="1493"/>
      <c r="BG137" s="1493"/>
      <c r="BH137" s="1493"/>
      <c r="BI137" s="1493"/>
      <c r="BJ137" s="1493"/>
      <c r="BK137" s="1493"/>
      <c r="BL137" s="1493"/>
      <c r="BN137" s="1493"/>
      <c r="BO137" s="1493"/>
      <c r="BP137" s="1493"/>
      <c r="BR137" s="1957"/>
      <c r="BS137" s="1493"/>
    </row>
    <row r="138" spans="7:71" x14ac:dyDescent="0.2">
      <c r="G138" s="1493"/>
      <c r="H138" s="1493"/>
      <c r="I138" s="1493"/>
      <c r="J138" s="1493"/>
      <c r="K138" s="1493"/>
      <c r="L138" s="1493"/>
      <c r="M138" s="1493"/>
      <c r="N138" s="1493"/>
      <c r="O138" s="1643"/>
      <c r="P138" s="1493"/>
      <c r="Q138" s="1493"/>
      <c r="R138" s="1493"/>
      <c r="S138" s="1493"/>
      <c r="T138" s="1493"/>
      <c r="U138" s="1493"/>
      <c r="V138" s="1493"/>
      <c r="W138" s="1493"/>
      <c r="Y138" s="1493"/>
      <c r="Z138" s="1493"/>
      <c r="AA138" s="1493"/>
      <c r="AB138" s="1493"/>
      <c r="AC138" s="1493"/>
      <c r="AD138" s="1493"/>
      <c r="AE138" s="1493"/>
      <c r="AF138" s="1493"/>
      <c r="AG138" s="1493"/>
      <c r="AH138" s="1493"/>
      <c r="AI138" s="1493"/>
      <c r="AJ138" s="1493"/>
      <c r="AK138" s="1493"/>
      <c r="AL138" s="1493"/>
      <c r="AM138" s="1493"/>
      <c r="AN138" s="1493"/>
      <c r="AO138" s="1493"/>
      <c r="AP138" s="1493"/>
      <c r="AQ138" s="1493"/>
      <c r="AS138" s="1493"/>
      <c r="AT138" s="1493"/>
      <c r="AU138" s="1493"/>
      <c r="AV138" s="1493"/>
      <c r="AW138" s="1493"/>
      <c r="AX138" s="1493"/>
      <c r="AY138" s="1493"/>
      <c r="AZ138" s="1493"/>
      <c r="BA138" s="1493"/>
      <c r="BB138" s="1493"/>
      <c r="BC138" s="1493"/>
      <c r="BD138" s="1493"/>
      <c r="BE138" s="1493"/>
      <c r="BF138" s="1493"/>
      <c r="BG138" s="1493"/>
      <c r="BH138" s="1493"/>
      <c r="BI138" s="1493"/>
      <c r="BJ138" s="1493"/>
      <c r="BK138" s="1493"/>
      <c r="BL138" s="1493"/>
      <c r="BN138" s="1493"/>
      <c r="BO138" s="1493"/>
      <c r="BP138" s="1493"/>
      <c r="BR138" s="1957"/>
      <c r="BS138" s="1493"/>
    </row>
    <row r="139" spans="7:71" x14ac:dyDescent="0.2">
      <c r="G139" s="1493"/>
      <c r="H139" s="1493"/>
      <c r="I139" s="1493"/>
      <c r="J139" s="1493"/>
      <c r="K139" s="1493"/>
      <c r="L139" s="1493"/>
      <c r="M139" s="1493"/>
      <c r="N139" s="1493"/>
      <c r="O139" s="1643"/>
      <c r="P139" s="1493"/>
      <c r="Q139" s="1493"/>
      <c r="R139" s="1493"/>
      <c r="S139" s="1493"/>
      <c r="T139" s="1493"/>
      <c r="U139" s="1493"/>
      <c r="V139" s="1493"/>
      <c r="W139" s="1493"/>
      <c r="Y139" s="1493"/>
      <c r="Z139" s="1493"/>
      <c r="AA139" s="1493"/>
      <c r="AB139" s="1493"/>
      <c r="AC139" s="1493"/>
      <c r="AD139" s="1493"/>
      <c r="AE139" s="1493"/>
      <c r="AF139" s="1493"/>
      <c r="AG139" s="1493"/>
      <c r="AH139" s="1493"/>
      <c r="AI139" s="1493"/>
      <c r="AJ139" s="1493"/>
      <c r="AK139" s="1493"/>
      <c r="AL139" s="1493"/>
      <c r="AM139" s="1493"/>
      <c r="AN139" s="1493"/>
      <c r="AO139" s="1493"/>
      <c r="AP139" s="1493"/>
      <c r="AQ139" s="1493"/>
      <c r="AS139" s="1493"/>
      <c r="AT139" s="1493"/>
      <c r="AU139" s="1493"/>
      <c r="AV139" s="1493"/>
      <c r="AW139" s="1493"/>
      <c r="AX139" s="1493"/>
      <c r="AY139" s="1493"/>
      <c r="AZ139" s="1493"/>
      <c r="BA139" s="1493"/>
      <c r="BB139" s="1493"/>
      <c r="BC139" s="1493"/>
      <c r="BD139" s="1493"/>
      <c r="BE139" s="1493"/>
      <c r="BF139" s="1493"/>
      <c r="BG139" s="1493"/>
      <c r="BH139" s="1493"/>
      <c r="BI139" s="1493"/>
      <c r="BJ139" s="1493"/>
      <c r="BK139" s="1493"/>
      <c r="BL139" s="1493"/>
      <c r="BN139" s="1493"/>
      <c r="BO139" s="1493"/>
      <c r="BP139" s="1493"/>
      <c r="BR139" s="1957"/>
      <c r="BS139" s="1493"/>
    </row>
    <row r="140" spans="7:71" x14ac:dyDescent="0.2">
      <c r="G140" s="1493"/>
      <c r="H140" s="1493"/>
      <c r="I140" s="1493"/>
      <c r="J140" s="1493"/>
      <c r="K140" s="1493"/>
      <c r="L140" s="1493"/>
      <c r="M140" s="1493"/>
      <c r="N140" s="1493"/>
      <c r="O140" s="1643"/>
      <c r="P140" s="1493"/>
      <c r="Q140" s="1493"/>
      <c r="R140" s="1493"/>
      <c r="S140" s="1493"/>
      <c r="T140" s="1493"/>
      <c r="U140" s="1493"/>
      <c r="V140" s="1493"/>
      <c r="W140" s="1493"/>
      <c r="Y140" s="1493"/>
      <c r="Z140" s="1493"/>
      <c r="AA140" s="1493"/>
      <c r="AB140" s="1493"/>
      <c r="AC140" s="1493"/>
      <c r="AD140" s="1493"/>
      <c r="AE140" s="1493"/>
      <c r="AF140" s="1493"/>
      <c r="AG140" s="1493"/>
      <c r="AH140" s="1493"/>
      <c r="AI140" s="1493"/>
      <c r="AJ140" s="1493"/>
      <c r="AK140" s="1493"/>
      <c r="AL140" s="1493"/>
      <c r="AM140" s="1493"/>
      <c r="AN140" s="1493"/>
      <c r="AO140" s="1493"/>
      <c r="AP140" s="1493"/>
      <c r="AQ140" s="1493"/>
      <c r="AS140" s="1493"/>
      <c r="AT140" s="1493"/>
      <c r="AU140" s="1493"/>
      <c r="AV140" s="1493"/>
      <c r="AW140" s="1493"/>
      <c r="AX140" s="1493"/>
      <c r="AY140" s="1493"/>
      <c r="AZ140" s="1493"/>
      <c r="BA140" s="1493"/>
      <c r="BB140" s="1493"/>
      <c r="BC140" s="1493"/>
      <c r="BD140" s="1493"/>
      <c r="BE140" s="1493"/>
      <c r="BF140" s="1493"/>
      <c r="BG140" s="1493"/>
      <c r="BH140" s="1493"/>
      <c r="BI140" s="1493"/>
      <c r="BJ140" s="1493"/>
      <c r="BK140" s="1493"/>
      <c r="BL140" s="1493"/>
      <c r="BN140" s="1493"/>
      <c r="BO140" s="1493"/>
      <c r="BP140" s="1493"/>
      <c r="BR140" s="1957"/>
      <c r="BS140" s="1493"/>
    </row>
    <row r="141" spans="7:71" x14ac:dyDescent="0.2">
      <c r="G141" s="1493"/>
      <c r="H141" s="1493"/>
      <c r="I141" s="1493"/>
      <c r="J141" s="1493"/>
      <c r="K141" s="1493"/>
      <c r="L141" s="1493"/>
      <c r="M141" s="1493"/>
      <c r="N141" s="1493"/>
      <c r="O141" s="1643"/>
      <c r="P141" s="1493"/>
      <c r="Q141" s="1493"/>
      <c r="R141" s="1493"/>
      <c r="S141" s="1493"/>
      <c r="T141" s="1493"/>
      <c r="U141" s="1493"/>
      <c r="V141" s="1493"/>
      <c r="W141" s="1493"/>
      <c r="Y141" s="1493"/>
      <c r="Z141" s="1493"/>
      <c r="AA141" s="1493"/>
      <c r="AB141" s="1493"/>
      <c r="AC141" s="1493"/>
      <c r="AD141" s="1493"/>
      <c r="AE141" s="1493"/>
      <c r="AF141" s="1493"/>
      <c r="AG141" s="1493"/>
      <c r="AH141" s="1493"/>
      <c r="AI141" s="1493"/>
      <c r="AJ141" s="1493"/>
      <c r="AK141" s="1493"/>
      <c r="AL141" s="1493"/>
      <c r="AM141" s="1493"/>
      <c r="AN141" s="1493"/>
      <c r="AO141" s="1493"/>
      <c r="AP141" s="1493"/>
      <c r="AQ141" s="1493"/>
      <c r="AS141" s="1493"/>
      <c r="AT141" s="1493"/>
      <c r="AU141" s="1493"/>
      <c r="AV141" s="1493"/>
      <c r="AW141" s="1493"/>
      <c r="AX141" s="1493"/>
      <c r="AY141" s="1493"/>
      <c r="AZ141" s="1493"/>
      <c r="BA141" s="1493"/>
      <c r="BB141" s="1493"/>
      <c r="BC141" s="1493"/>
      <c r="BD141" s="1493"/>
      <c r="BE141" s="1493"/>
      <c r="BF141" s="1493"/>
      <c r="BG141" s="1493"/>
      <c r="BH141" s="1493"/>
      <c r="BI141" s="1493"/>
      <c r="BJ141" s="1493"/>
      <c r="BK141" s="1493"/>
      <c r="BL141" s="1493"/>
      <c r="BN141" s="1493"/>
      <c r="BO141" s="1493"/>
      <c r="BP141" s="1493"/>
      <c r="BR141" s="1957"/>
      <c r="BS141" s="1493"/>
    </row>
    <row r="142" spans="7:71" x14ac:dyDescent="0.2">
      <c r="G142" s="1493"/>
      <c r="H142" s="1493"/>
      <c r="I142" s="1493"/>
      <c r="J142" s="1493"/>
      <c r="K142" s="1493"/>
      <c r="L142" s="1493"/>
      <c r="M142" s="1493"/>
      <c r="N142" s="1493"/>
      <c r="O142" s="1643"/>
      <c r="P142" s="1493"/>
      <c r="Q142" s="1493"/>
      <c r="R142" s="1493"/>
      <c r="S142" s="1493"/>
      <c r="T142" s="1493"/>
      <c r="U142" s="1493"/>
      <c r="V142" s="1493"/>
      <c r="W142" s="1493"/>
      <c r="Y142" s="1493"/>
      <c r="Z142" s="1493"/>
      <c r="AA142" s="1493"/>
      <c r="AB142" s="1493"/>
      <c r="AC142" s="1493"/>
      <c r="AD142" s="1493"/>
      <c r="AE142" s="1493"/>
      <c r="AF142" s="1493"/>
      <c r="AG142" s="1493"/>
      <c r="AH142" s="1493"/>
      <c r="AI142" s="1493"/>
      <c r="AJ142" s="1493"/>
      <c r="AK142" s="1493"/>
      <c r="AL142" s="1493"/>
      <c r="AM142" s="1493"/>
      <c r="AN142" s="1493"/>
      <c r="AO142" s="1493"/>
      <c r="AP142" s="1493"/>
      <c r="AQ142" s="1493"/>
      <c r="AS142" s="1493"/>
      <c r="AT142" s="1493"/>
      <c r="AU142" s="1493"/>
      <c r="AV142" s="1493"/>
      <c r="AW142" s="1493"/>
      <c r="AX142" s="1493"/>
      <c r="AY142" s="1493"/>
      <c r="AZ142" s="1493"/>
      <c r="BA142" s="1493"/>
      <c r="BB142" s="1493"/>
      <c r="BC142" s="1493"/>
      <c r="BD142" s="1493"/>
      <c r="BE142" s="1493"/>
      <c r="BF142" s="1493"/>
      <c r="BG142" s="1493"/>
      <c r="BH142" s="1493"/>
      <c r="BI142" s="1493"/>
      <c r="BJ142" s="1493"/>
      <c r="BK142" s="1493"/>
      <c r="BL142" s="1493"/>
      <c r="BN142" s="1493"/>
      <c r="BO142" s="1493"/>
      <c r="BP142" s="1493"/>
      <c r="BR142" s="1957"/>
      <c r="BS142" s="1493"/>
    </row>
    <row r="143" spans="7:71" x14ac:dyDescent="0.2">
      <c r="G143" s="1493"/>
      <c r="H143" s="1493"/>
      <c r="I143" s="1493"/>
      <c r="J143" s="1493"/>
      <c r="K143" s="1493"/>
      <c r="L143" s="1493"/>
      <c r="M143" s="1493"/>
      <c r="N143" s="1493"/>
      <c r="O143" s="1643"/>
      <c r="P143" s="1493"/>
      <c r="Q143" s="1493"/>
      <c r="R143" s="1493"/>
      <c r="S143" s="1493"/>
      <c r="T143" s="1493"/>
      <c r="U143" s="1493"/>
      <c r="V143" s="1493"/>
      <c r="W143" s="1493"/>
      <c r="Y143" s="1493"/>
      <c r="Z143" s="1493"/>
      <c r="AA143" s="1493"/>
      <c r="AB143" s="1493"/>
      <c r="AC143" s="1493"/>
      <c r="AD143" s="1493"/>
      <c r="AE143" s="1493"/>
      <c r="AF143" s="1493"/>
      <c r="AG143" s="1493"/>
      <c r="AH143" s="1493"/>
      <c r="AI143" s="1493"/>
      <c r="AJ143" s="1493"/>
      <c r="AK143" s="1493"/>
      <c r="AL143" s="1493"/>
      <c r="AM143" s="1493"/>
      <c r="AN143" s="1493"/>
      <c r="AO143" s="1493"/>
      <c r="AP143" s="1493"/>
      <c r="AQ143" s="1493"/>
      <c r="AS143" s="1493"/>
      <c r="AT143" s="1493"/>
      <c r="AU143" s="1493"/>
      <c r="AV143" s="1493"/>
      <c r="AW143" s="1493"/>
      <c r="AX143" s="1493"/>
      <c r="AY143" s="1493"/>
      <c r="AZ143" s="1493"/>
      <c r="BA143" s="1493"/>
      <c r="BB143" s="1493"/>
      <c r="BC143" s="1493"/>
      <c r="BD143" s="1493"/>
      <c r="BE143" s="1493"/>
      <c r="BF143" s="1493"/>
      <c r="BG143" s="1493"/>
      <c r="BH143" s="1493"/>
      <c r="BI143" s="1493"/>
      <c r="BJ143" s="1493"/>
      <c r="BK143" s="1493"/>
      <c r="BL143" s="1493"/>
      <c r="BN143" s="1493"/>
      <c r="BO143" s="1493"/>
      <c r="BP143" s="1493"/>
      <c r="BR143" s="1957"/>
      <c r="BS143" s="1493"/>
    </row>
    <row r="144" spans="7:71" x14ac:dyDescent="0.2">
      <c r="G144" s="1493"/>
      <c r="H144" s="1493"/>
      <c r="I144" s="1493"/>
      <c r="J144" s="1493"/>
      <c r="K144" s="1493"/>
      <c r="L144" s="1493"/>
      <c r="M144" s="1493"/>
      <c r="N144" s="1493"/>
      <c r="O144" s="1643"/>
      <c r="P144" s="1493"/>
      <c r="Q144" s="1493"/>
      <c r="R144" s="1493"/>
      <c r="S144" s="1493"/>
      <c r="T144" s="1493"/>
      <c r="U144" s="1493"/>
      <c r="V144" s="1493"/>
      <c r="W144" s="1493"/>
      <c r="Y144" s="1493"/>
      <c r="Z144" s="1493"/>
      <c r="AA144" s="1493"/>
      <c r="AB144" s="1493"/>
      <c r="AC144" s="1493"/>
      <c r="AD144" s="1493"/>
      <c r="AE144" s="1493"/>
      <c r="AF144" s="1493"/>
      <c r="AG144" s="1493"/>
      <c r="AH144" s="1493"/>
      <c r="AI144" s="1493"/>
      <c r="AJ144" s="1493"/>
      <c r="AK144" s="1493"/>
      <c r="AL144" s="1493"/>
      <c r="AM144" s="1493"/>
      <c r="AN144" s="1493"/>
      <c r="AO144" s="1493"/>
      <c r="AP144" s="1493"/>
      <c r="AQ144" s="1493"/>
      <c r="AS144" s="1493"/>
      <c r="AT144" s="1493"/>
      <c r="AU144" s="1493"/>
      <c r="AV144" s="1493"/>
      <c r="AW144" s="1493"/>
      <c r="AX144" s="1493"/>
      <c r="AY144" s="1493"/>
      <c r="AZ144" s="1493"/>
      <c r="BA144" s="1493"/>
      <c r="BB144" s="1493"/>
      <c r="BC144" s="1493"/>
      <c r="BD144" s="1493"/>
      <c r="BE144" s="1493"/>
      <c r="BF144" s="1493"/>
      <c r="BG144" s="1493"/>
      <c r="BH144" s="1493"/>
      <c r="BI144" s="1493"/>
      <c r="BJ144" s="1493"/>
      <c r="BK144" s="1493"/>
      <c r="BL144" s="1493"/>
      <c r="BN144" s="1493"/>
      <c r="BO144" s="1493"/>
      <c r="BP144" s="1493"/>
      <c r="BR144" s="1957"/>
      <c r="BS144" s="1493"/>
    </row>
    <row r="145" spans="7:71" x14ac:dyDescent="0.2">
      <c r="G145" s="1493"/>
      <c r="H145" s="1493"/>
      <c r="I145" s="1493"/>
      <c r="J145" s="1493"/>
      <c r="K145" s="1493"/>
      <c r="L145" s="1493"/>
      <c r="M145" s="1493"/>
      <c r="N145" s="1493"/>
      <c r="O145" s="1643"/>
      <c r="P145" s="1493"/>
      <c r="Q145" s="1493"/>
      <c r="R145" s="1493"/>
      <c r="S145" s="1493"/>
      <c r="T145" s="1493"/>
      <c r="U145" s="1493"/>
      <c r="V145" s="1493"/>
      <c r="W145" s="1493"/>
      <c r="Y145" s="1493"/>
      <c r="Z145" s="1493"/>
      <c r="AA145" s="1493"/>
      <c r="AB145" s="1493"/>
      <c r="AC145" s="1493"/>
      <c r="AD145" s="1493"/>
      <c r="AE145" s="1493"/>
      <c r="AF145" s="1493"/>
      <c r="AG145" s="1493"/>
      <c r="AH145" s="1493"/>
      <c r="AI145" s="1493"/>
      <c r="AJ145" s="1493"/>
      <c r="AK145" s="1493"/>
      <c r="AL145" s="1493"/>
      <c r="AM145" s="1493"/>
      <c r="AN145" s="1493"/>
      <c r="AO145" s="1493"/>
      <c r="AP145" s="1493"/>
      <c r="AQ145" s="1493"/>
      <c r="AS145" s="1493"/>
      <c r="AT145" s="1493"/>
      <c r="AU145" s="1493"/>
      <c r="AV145" s="1493"/>
      <c r="AW145" s="1493"/>
      <c r="AX145" s="1493"/>
      <c r="AY145" s="1493"/>
      <c r="AZ145" s="1493"/>
      <c r="BA145" s="1493"/>
      <c r="BB145" s="1493"/>
      <c r="BC145" s="1493"/>
      <c r="BD145" s="1493"/>
      <c r="BE145" s="1493"/>
      <c r="BF145" s="1493"/>
      <c r="BG145" s="1493"/>
      <c r="BH145" s="1493"/>
      <c r="BI145" s="1493"/>
      <c r="BJ145" s="1493"/>
      <c r="BK145" s="1493"/>
      <c r="BL145" s="1493"/>
      <c r="BN145" s="1493"/>
      <c r="BO145" s="1493"/>
      <c r="BP145" s="1493"/>
      <c r="BR145" s="1957"/>
      <c r="BS145" s="1493"/>
    </row>
    <row r="146" spans="7:71" x14ac:dyDescent="0.2">
      <c r="G146" s="1493"/>
      <c r="H146" s="1493"/>
      <c r="I146" s="1493"/>
      <c r="J146" s="1493"/>
      <c r="K146" s="1493"/>
      <c r="L146" s="1493"/>
      <c r="M146" s="1493"/>
      <c r="N146" s="1493"/>
      <c r="O146" s="1643"/>
      <c r="P146" s="1493"/>
      <c r="Q146" s="1493"/>
      <c r="R146" s="1493"/>
      <c r="S146" s="1493"/>
      <c r="T146" s="1493"/>
      <c r="U146" s="1493"/>
      <c r="V146" s="1493"/>
      <c r="W146" s="1493"/>
      <c r="Y146" s="1493"/>
      <c r="Z146" s="1493"/>
      <c r="AA146" s="1493"/>
      <c r="AB146" s="1493"/>
      <c r="AC146" s="1493"/>
      <c r="AD146" s="1493"/>
      <c r="AE146" s="1493"/>
      <c r="AF146" s="1493"/>
      <c r="AG146" s="1493"/>
      <c r="AH146" s="1493"/>
      <c r="AI146" s="1493"/>
      <c r="AJ146" s="1493"/>
      <c r="AK146" s="1493"/>
      <c r="AL146" s="1493"/>
      <c r="AM146" s="1493"/>
      <c r="AN146" s="1493"/>
      <c r="AO146" s="1493"/>
      <c r="AP146" s="1493"/>
      <c r="AQ146" s="1493"/>
      <c r="AS146" s="1493"/>
      <c r="AT146" s="1493"/>
      <c r="AU146" s="1493"/>
      <c r="AV146" s="1493"/>
      <c r="AW146" s="1493"/>
      <c r="AX146" s="1493"/>
      <c r="AY146" s="1493"/>
      <c r="AZ146" s="1493"/>
      <c r="BA146" s="1493"/>
      <c r="BB146" s="1493"/>
      <c r="BC146" s="1493"/>
      <c r="BD146" s="1493"/>
      <c r="BE146" s="1493"/>
      <c r="BF146" s="1493"/>
      <c r="BG146" s="1493"/>
      <c r="BH146" s="1493"/>
      <c r="BI146" s="1493"/>
      <c r="BJ146" s="1493"/>
      <c r="BK146" s="1493"/>
      <c r="BL146" s="1493"/>
      <c r="BN146" s="1493"/>
      <c r="BO146" s="1493"/>
      <c r="BP146" s="1493"/>
      <c r="BR146" s="1957"/>
      <c r="BS146" s="1493"/>
    </row>
    <row r="147" spans="7:71" x14ac:dyDescent="0.2">
      <c r="G147" s="1493"/>
      <c r="H147" s="1493"/>
      <c r="I147" s="1493"/>
      <c r="J147" s="1493"/>
      <c r="K147" s="1493"/>
      <c r="L147" s="1493"/>
      <c r="M147" s="1493"/>
      <c r="N147" s="1493"/>
      <c r="O147" s="1643"/>
      <c r="P147" s="1493"/>
      <c r="Q147" s="1493"/>
      <c r="R147" s="1493"/>
      <c r="S147" s="1493"/>
      <c r="T147" s="1493"/>
      <c r="U147" s="1493"/>
      <c r="V147" s="1493"/>
      <c r="W147" s="1493"/>
      <c r="Y147" s="1493"/>
      <c r="Z147" s="1493"/>
      <c r="AA147" s="1493"/>
      <c r="AB147" s="1493"/>
      <c r="AC147" s="1493"/>
      <c r="AD147" s="1493"/>
      <c r="AE147" s="1493"/>
      <c r="AF147" s="1493"/>
      <c r="AG147" s="1493"/>
      <c r="AH147" s="1493"/>
      <c r="AI147" s="1493"/>
      <c r="AJ147" s="1493"/>
      <c r="AK147" s="1493"/>
      <c r="AL147" s="1493"/>
      <c r="AM147" s="1493"/>
      <c r="AN147" s="1493"/>
      <c r="AO147" s="1493"/>
      <c r="AP147" s="1493"/>
      <c r="AQ147" s="1493"/>
      <c r="AS147" s="1493"/>
      <c r="AT147" s="1493"/>
      <c r="AU147" s="1493"/>
      <c r="AV147" s="1493"/>
      <c r="AW147" s="1493"/>
      <c r="AX147" s="1493"/>
      <c r="AY147" s="1493"/>
      <c r="AZ147" s="1493"/>
      <c r="BA147" s="1493"/>
      <c r="BB147" s="1493"/>
      <c r="BC147" s="1493"/>
      <c r="BD147" s="1493"/>
      <c r="BE147" s="1493"/>
      <c r="BF147" s="1493"/>
      <c r="BG147" s="1493"/>
      <c r="BH147" s="1493"/>
      <c r="BI147" s="1493"/>
      <c r="BJ147" s="1493"/>
      <c r="BK147" s="1493"/>
      <c r="BL147" s="1493"/>
      <c r="BN147" s="1493"/>
      <c r="BO147" s="1493"/>
      <c r="BP147" s="1493"/>
      <c r="BR147" s="1957"/>
      <c r="BS147" s="1493"/>
    </row>
    <row r="148" spans="7:71" x14ac:dyDescent="0.2">
      <c r="G148" s="1493"/>
      <c r="H148" s="1493"/>
      <c r="I148" s="1493"/>
      <c r="J148" s="1493"/>
      <c r="K148" s="1493"/>
      <c r="L148" s="1493"/>
      <c r="M148" s="1493"/>
      <c r="N148" s="1493"/>
      <c r="O148" s="1643"/>
      <c r="P148" s="1493"/>
      <c r="Q148" s="1493"/>
      <c r="R148" s="1493"/>
      <c r="S148" s="1493"/>
      <c r="T148" s="1493"/>
      <c r="U148" s="1493"/>
      <c r="V148" s="1493"/>
      <c r="W148" s="1493"/>
      <c r="Y148" s="1493"/>
      <c r="Z148" s="1493"/>
      <c r="AA148" s="1493"/>
      <c r="AB148" s="1493"/>
      <c r="AC148" s="1493"/>
      <c r="AD148" s="1493"/>
      <c r="AE148" s="1493"/>
      <c r="AF148" s="1493"/>
      <c r="AG148" s="1493"/>
      <c r="AH148" s="1493"/>
      <c r="AI148" s="1493"/>
      <c r="AJ148" s="1493"/>
      <c r="AK148" s="1493"/>
      <c r="AL148" s="1493"/>
      <c r="AM148" s="1493"/>
      <c r="AN148" s="1493"/>
      <c r="AO148" s="1493"/>
      <c r="AP148" s="1493"/>
      <c r="AQ148" s="1493"/>
      <c r="AS148" s="1493"/>
      <c r="AT148" s="1493"/>
      <c r="AU148" s="1493"/>
      <c r="AV148" s="1493"/>
      <c r="AW148" s="1493"/>
      <c r="AX148" s="1493"/>
      <c r="AY148" s="1493"/>
      <c r="AZ148" s="1493"/>
      <c r="BA148" s="1493"/>
      <c r="BB148" s="1493"/>
      <c r="BC148" s="1493"/>
      <c r="BD148" s="1493"/>
      <c r="BE148" s="1493"/>
      <c r="BF148" s="1493"/>
      <c r="BG148" s="1493"/>
      <c r="BH148" s="1493"/>
      <c r="BI148" s="1493"/>
      <c r="BJ148" s="1493"/>
      <c r="BK148" s="1493"/>
      <c r="BL148" s="1493"/>
      <c r="BN148" s="1493"/>
      <c r="BO148" s="1493"/>
      <c r="BP148" s="1493"/>
      <c r="BR148" s="1957"/>
      <c r="BS148" s="1493"/>
    </row>
    <row r="149" spans="7:71" x14ac:dyDescent="0.2">
      <c r="G149" s="1493"/>
      <c r="H149" s="1493"/>
      <c r="I149" s="1493"/>
      <c r="J149" s="1493"/>
      <c r="K149" s="1493"/>
      <c r="L149" s="1493"/>
      <c r="M149" s="1493"/>
      <c r="N149" s="1493"/>
      <c r="O149" s="1643"/>
      <c r="P149" s="1493"/>
      <c r="Q149" s="1493"/>
      <c r="R149" s="1493"/>
      <c r="S149" s="1493"/>
      <c r="T149" s="1493"/>
      <c r="U149" s="1493"/>
      <c r="V149" s="1493"/>
      <c r="W149" s="1493"/>
      <c r="Y149" s="1493"/>
      <c r="Z149" s="1493"/>
      <c r="AA149" s="1493"/>
      <c r="AB149" s="1493"/>
      <c r="AC149" s="1493"/>
      <c r="AD149" s="1493"/>
      <c r="AE149" s="1493"/>
      <c r="AF149" s="1493"/>
      <c r="AG149" s="1493"/>
      <c r="AH149" s="1493"/>
      <c r="AI149" s="1493"/>
      <c r="AJ149" s="1493"/>
      <c r="AK149" s="1493"/>
      <c r="AL149" s="1493"/>
      <c r="AM149" s="1493"/>
      <c r="AN149" s="1493"/>
      <c r="AO149" s="1493"/>
      <c r="AP149" s="1493"/>
      <c r="AQ149" s="1493"/>
      <c r="AS149" s="1493"/>
      <c r="AT149" s="1493"/>
      <c r="AU149" s="1493"/>
      <c r="AV149" s="1493"/>
      <c r="AW149" s="1493"/>
      <c r="AX149" s="1493"/>
      <c r="AY149" s="1493"/>
      <c r="AZ149" s="1493"/>
      <c r="BA149" s="1493"/>
      <c r="BB149" s="1493"/>
      <c r="BC149" s="1493"/>
      <c r="BD149" s="1493"/>
      <c r="BE149" s="1493"/>
      <c r="BF149" s="1493"/>
      <c r="BG149" s="1493"/>
      <c r="BH149" s="1493"/>
      <c r="BI149" s="1493"/>
      <c r="BJ149" s="1493"/>
      <c r="BK149" s="1493"/>
      <c r="BL149" s="1493"/>
      <c r="BN149" s="1493"/>
      <c r="BO149" s="1493"/>
      <c r="BP149" s="1493"/>
      <c r="BR149" s="1957"/>
      <c r="BS149" s="1493"/>
    </row>
    <row r="150" spans="7:71" x14ac:dyDescent="0.2">
      <c r="G150" s="1493"/>
      <c r="H150" s="1493"/>
      <c r="I150" s="1493"/>
      <c r="J150" s="1493"/>
      <c r="K150" s="1493"/>
      <c r="L150" s="1493"/>
      <c r="M150" s="1493"/>
      <c r="N150" s="1493"/>
      <c r="O150" s="1643"/>
      <c r="P150" s="1493"/>
      <c r="Q150" s="1493"/>
      <c r="R150" s="1493"/>
      <c r="S150" s="1493"/>
      <c r="T150" s="1493"/>
      <c r="U150" s="1493"/>
      <c r="V150" s="1493"/>
      <c r="W150" s="1493"/>
      <c r="Y150" s="1493"/>
      <c r="Z150" s="1493"/>
      <c r="AA150" s="1493"/>
      <c r="AB150" s="1493"/>
      <c r="AC150" s="1493"/>
      <c r="AD150" s="1493"/>
      <c r="AE150" s="1493"/>
      <c r="AF150" s="1493"/>
      <c r="AG150" s="1493"/>
      <c r="AH150" s="1493"/>
      <c r="AI150" s="1493"/>
      <c r="AJ150" s="1493"/>
      <c r="AK150" s="1493"/>
      <c r="AL150" s="1493"/>
      <c r="AM150" s="1493"/>
      <c r="AN150" s="1493"/>
      <c r="AO150" s="1493"/>
      <c r="AP150" s="1493"/>
      <c r="AQ150" s="1493"/>
      <c r="AS150" s="1493"/>
      <c r="AT150" s="1493"/>
      <c r="AU150" s="1493"/>
      <c r="AV150" s="1493"/>
      <c r="AW150" s="1493"/>
      <c r="AX150" s="1493"/>
      <c r="AY150" s="1493"/>
      <c r="AZ150" s="1493"/>
      <c r="BA150" s="1493"/>
      <c r="BB150" s="1493"/>
      <c r="BC150" s="1493"/>
      <c r="BD150" s="1493"/>
      <c r="BE150" s="1493"/>
      <c r="BF150" s="1493"/>
      <c r="BG150" s="1493"/>
      <c r="BH150" s="1493"/>
      <c r="BI150" s="1493"/>
      <c r="BJ150" s="1493"/>
      <c r="BK150" s="1493"/>
      <c r="BL150" s="1493"/>
      <c r="BN150" s="1493"/>
      <c r="BO150" s="1493"/>
      <c r="BP150" s="1493"/>
      <c r="BR150" s="1957"/>
      <c r="BS150" s="1493"/>
    </row>
    <row r="151" spans="7:71" x14ac:dyDescent="0.2">
      <c r="G151" s="1493"/>
      <c r="H151" s="1493"/>
      <c r="I151" s="1493"/>
      <c r="J151" s="1493"/>
      <c r="K151" s="1493"/>
      <c r="L151" s="1493"/>
      <c r="M151" s="1493"/>
      <c r="N151" s="1493"/>
      <c r="O151" s="1643"/>
      <c r="P151" s="1493"/>
      <c r="Q151" s="1493"/>
      <c r="R151" s="1493"/>
      <c r="S151" s="1493"/>
      <c r="T151" s="1493"/>
      <c r="U151" s="1493"/>
      <c r="V151" s="1493"/>
      <c r="W151" s="1493"/>
      <c r="Y151" s="1493"/>
      <c r="Z151" s="1493"/>
      <c r="AA151" s="1493"/>
      <c r="AB151" s="1493"/>
      <c r="AC151" s="1493"/>
      <c r="AD151" s="1493"/>
      <c r="AE151" s="1493"/>
      <c r="AF151" s="1493"/>
      <c r="AG151" s="1493"/>
      <c r="AH151" s="1493"/>
      <c r="AI151" s="1493"/>
      <c r="AJ151" s="1493"/>
      <c r="AK151" s="1493"/>
      <c r="AL151" s="1493"/>
      <c r="AM151" s="1493"/>
      <c r="AN151" s="1493"/>
      <c r="AO151" s="1493"/>
      <c r="AP151" s="1493"/>
      <c r="AQ151" s="1493"/>
      <c r="AS151" s="1493"/>
      <c r="AT151" s="1493"/>
      <c r="AU151" s="1493"/>
      <c r="AV151" s="1493"/>
      <c r="AW151" s="1493"/>
      <c r="AX151" s="1493"/>
      <c r="AY151" s="1493"/>
      <c r="AZ151" s="1493"/>
      <c r="BA151" s="1493"/>
      <c r="BB151" s="1493"/>
      <c r="BC151" s="1493"/>
      <c r="BD151" s="1493"/>
      <c r="BE151" s="1493"/>
      <c r="BF151" s="1493"/>
      <c r="BG151" s="1493"/>
      <c r="BH151" s="1493"/>
      <c r="BI151" s="1493"/>
      <c r="BJ151" s="1493"/>
      <c r="BK151" s="1493"/>
      <c r="BL151" s="1493"/>
      <c r="BN151" s="1493"/>
      <c r="BO151" s="1493"/>
      <c r="BP151" s="1493"/>
      <c r="BR151" s="1957"/>
      <c r="BS151" s="1493"/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DP151"/>
  <sheetViews>
    <sheetView zoomScale="53" zoomScaleNormal="53" workbookViewId="0">
      <selection activeCell="D70" sqref="D70"/>
    </sheetView>
  </sheetViews>
  <sheetFormatPr baseColWidth="10" defaultColWidth="8.85546875" defaultRowHeight="12.75" outlineLevelRow="2" outlineLevelCol="2" x14ac:dyDescent="0.2"/>
  <cols>
    <col min="1" max="1" width="15.5703125" customWidth="1"/>
    <col min="2" max="2" width="1.42578125" customWidth="1"/>
    <col min="3" max="3" width="9.28515625" style="1429" customWidth="1"/>
    <col min="4" max="4" width="28.28515625" style="1430" customWidth="1"/>
    <col min="5" max="5" width="41.7109375" style="1430" customWidth="1"/>
    <col min="6" max="6" width="1.140625" customWidth="1" outlineLevel="1"/>
    <col min="7" max="14" width="13.28515625" style="1430" hidden="1" customWidth="1" outlineLevel="2"/>
    <col min="15" max="15" width="13.28515625" style="1431" hidden="1" customWidth="1" outlineLevel="2"/>
    <col min="16" max="22" width="13.28515625" style="1430" hidden="1" customWidth="1" outlineLevel="2"/>
    <col min="23" max="23" width="13.28515625" style="1430" customWidth="1" outlineLevel="1" collapsed="1"/>
    <col min="24" max="24" width="1.140625" customWidth="1" outlineLevel="1"/>
    <col min="25" max="25" width="14.5703125" style="1430" hidden="1" customWidth="1" outlineLevel="2"/>
    <col min="26" max="26" width="12.5703125" style="1430" hidden="1" customWidth="1" outlineLevel="2"/>
    <col min="27" max="29" width="14.85546875" style="1430" hidden="1" customWidth="1" outlineLevel="2"/>
    <col min="30" max="35" width="10" style="1430" hidden="1" customWidth="1" outlineLevel="2"/>
    <col min="36" max="36" width="11.85546875" style="1430" hidden="1" customWidth="1" outlineLevel="2"/>
    <col min="37" max="42" width="10" style="1430" hidden="1" customWidth="1" outlineLevel="2"/>
    <col min="43" max="43" width="14.140625" style="1430" customWidth="1" outlineLevel="1" collapsed="1"/>
    <col min="44" max="44" width="1.140625" customWidth="1" outlineLevel="1"/>
    <col min="45" max="49" width="10" style="1430" hidden="1" customWidth="1" outlineLevel="2"/>
    <col min="50" max="50" width="10.140625" style="1430" hidden="1" customWidth="1" outlineLevel="2"/>
    <col min="51" max="51" width="10.85546875" style="1430" hidden="1" customWidth="1" outlineLevel="2"/>
    <col min="52" max="52" width="12.7109375" style="1430" hidden="1" customWidth="1" outlineLevel="2"/>
    <col min="53" max="53" width="16.5703125" style="1430" hidden="1" customWidth="1" outlineLevel="2"/>
    <col min="54" max="63" width="10" style="1430" hidden="1" customWidth="1" outlineLevel="2"/>
    <col min="64" max="64" width="11.42578125" style="1430" customWidth="1" outlineLevel="1" collapsed="1"/>
    <col min="65" max="65" width="1.140625" customWidth="1" outlineLevel="1"/>
    <col min="66" max="66" width="10" style="1430" hidden="1" customWidth="1" outlineLevel="2"/>
    <col min="67" max="67" width="13" style="1430" hidden="1" customWidth="1" outlineLevel="2"/>
    <col min="68" max="68" width="10" style="1430" customWidth="1" outlineLevel="1" collapsed="1"/>
    <col min="69" max="69" width="1.140625" customWidth="1" outlineLevel="1"/>
    <col min="70" max="70" width="18.7109375" style="1429" customWidth="1" outlineLevel="1"/>
    <col min="71" max="71" width="5.28515625" style="1430" customWidth="1"/>
    <col min="73" max="116" width="7.42578125" hidden="1" customWidth="1" outlineLevel="1"/>
    <col min="117" max="117" width="2.42578125" hidden="1" customWidth="1" outlineLevel="1"/>
    <col min="118" max="119" width="8.85546875" hidden="1" customWidth="1" outlineLevel="1"/>
    <col min="120" max="120" width="8.85546875" collapsed="1"/>
  </cols>
  <sheetData>
    <row r="1" spans="1:118" ht="6" customHeight="1" x14ac:dyDescent="0.2"/>
    <row r="2" spans="1:118" ht="21" customHeight="1" x14ac:dyDescent="0.2">
      <c r="D2" s="1432"/>
      <c r="E2" s="1433">
        <v>2050</v>
      </c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Y2" s="1434"/>
      <c r="Z2" s="1434"/>
      <c r="AA2" s="1434"/>
      <c r="AB2" s="1434"/>
      <c r="AC2" s="1434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N2"/>
      <c r="BO2"/>
      <c r="BP2"/>
      <c r="BR2" s="74"/>
      <c r="BS2" s="1435"/>
    </row>
    <row r="3" spans="1:118" ht="39" customHeight="1" x14ac:dyDescent="0.2">
      <c r="A3" s="1436"/>
      <c r="B3" s="1436"/>
      <c r="C3" s="1436"/>
      <c r="D3" s="1437"/>
      <c r="E3" s="1438" t="s">
        <v>171</v>
      </c>
      <c r="G3" s="1439" t="s">
        <v>912</v>
      </c>
      <c r="H3" s="1439"/>
      <c r="I3" s="1439"/>
      <c r="J3" s="1439"/>
      <c r="K3" s="1439"/>
      <c r="L3" s="1439"/>
      <c r="M3" s="1439"/>
      <c r="N3" s="1439"/>
      <c r="O3" s="1439"/>
      <c r="P3" s="1439"/>
      <c r="Q3" s="1439"/>
      <c r="R3" s="1439"/>
      <c r="S3" s="1439"/>
      <c r="T3" s="1439"/>
      <c r="U3" s="1439"/>
      <c r="V3" s="1439"/>
      <c r="W3" s="1439"/>
      <c r="Y3" s="1440" t="s">
        <v>913</v>
      </c>
      <c r="Z3" s="1441"/>
      <c r="AA3" s="1441"/>
      <c r="AB3" s="1441"/>
      <c r="AC3" s="1441"/>
      <c r="AD3" s="1442"/>
      <c r="AE3" s="1441"/>
      <c r="AF3" s="1441"/>
      <c r="AG3" s="1441"/>
      <c r="AH3" s="1441"/>
      <c r="AI3" s="1441"/>
      <c r="AJ3" s="1441"/>
      <c r="AK3" s="1441"/>
      <c r="AL3" s="1441"/>
      <c r="AM3" s="1441"/>
      <c r="AN3" s="1441"/>
      <c r="AO3" s="1441"/>
      <c r="AP3" s="1441"/>
      <c r="AQ3" s="1443"/>
      <c r="AS3" s="1444" t="s">
        <v>914</v>
      </c>
      <c r="AT3" s="1445"/>
      <c r="AU3" s="1445"/>
      <c r="AV3" s="1446"/>
      <c r="AW3" s="1445"/>
      <c r="AX3" s="1445"/>
      <c r="AY3" s="1445"/>
      <c r="AZ3" s="1445"/>
      <c r="BA3" s="1445"/>
      <c r="BB3" s="1445"/>
      <c r="BC3" s="1445"/>
      <c r="BD3" s="1445"/>
      <c r="BE3" s="1445"/>
      <c r="BF3" s="1445"/>
      <c r="BG3" s="1445"/>
      <c r="BH3" s="1445"/>
      <c r="BI3" s="1445"/>
      <c r="BJ3" s="1445"/>
      <c r="BK3" s="1445"/>
      <c r="BL3" s="1447"/>
      <c r="BN3" s="1448" t="s">
        <v>915</v>
      </c>
      <c r="BO3" s="1449"/>
      <c r="BP3" s="1449"/>
      <c r="BR3" s="1450"/>
      <c r="BS3" s="1450"/>
      <c r="BT3" s="1436"/>
      <c r="BU3" s="1451" t="s">
        <v>918</v>
      </c>
      <c r="BV3" s="1452"/>
      <c r="BW3" s="1452"/>
      <c r="BX3" s="1452"/>
      <c r="BY3" s="1452"/>
      <c r="BZ3" s="1452"/>
      <c r="CA3" s="1452"/>
      <c r="CB3" s="1452"/>
      <c r="CC3" s="1452"/>
      <c r="CD3" s="1452"/>
      <c r="CE3" s="1452"/>
      <c r="CF3" s="1452"/>
      <c r="CG3" s="1452"/>
      <c r="CH3" s="1452"/>
      <c r="CI3" s="1452"/>
      <c r="CJ3" s="1452"/>
      <c r="CK3" s="1452"/>
      <c r="CL3" s="1452"/>
      <c r="CM3" s="1452"/>
      <c r="CN3" s="1452"/>
      <c r="CO3" s="1452"/>
      <c r="CP3" s="1452"/>
      <c r="CQ3" s="1452"/>
      <c r="CR3" s="1452"/>
      <c r="CS3" s="1452"/>
      <c r="CT3" s="1452"/>
      <c r="CU3" s="1452"/>
      <c r="CV3" s="1452"/>
      <c r="CW3" s="1452"/>
      <c r="CX3" s="1452"/>
      <c r="CY3" s="1452"/>
      <c r="CZ3" s="1452"/>
      <c r="DA3" s="1452"/>
      <c r="DB3" s="1452"/>
      <c r="DC3" s="1452"/>
      <c r="DD3" s="1452"/>
      <c r="DE3" s="1452"/>
      <c r="DF3" s="1452"/>
      <c r="DG3" s="1452"/>
      <c r="DH3" s="1452"/>
      <c r="DI3" s="1453"/>
      <c r="DJ3" s="1453"/>
      <c r="DK3" s="1453"/>
      <c r="DL3" s="1453"/>
    </row>
    <row r="4" spans="1:118" ht="63.75" customHeight="1" x14ac:dyDescent="0.2">
      <c r="C4" s="1454"/>
      <c r="D4" s="1454"/>
      <c r="G4" s="1455" t="str">
        <f>INDEX(Vectors[Descripción], MATCH(G$5,Vectors[Código],FALSE))</f>
        <v>Climatización</v>
      </c>
      <c r="H4" s="1455" t="str">
        <f>INDEX(Vectors[Descripción], MATCH(H$5,Vectors[Código],FALSE))</f>
        <v>Iluminación</v>
      </c>
      <c r="I4" s="1455" t="str">
        <f>INDEX(Vectors[Descripción], MATCH(I$5,Vectors[Código],FALSE))</f>
        <v>Refrigeración</v>
      </c>
      <c r="J4" s="1455" t="str">
        <f>INDEX(Vectors[Descripción], MATCH(J$5,Vectors[Código],FALSE))</f>
        <v>ACS</v>
      </c>
      <c r="K4" s="1455" t="str">
        <f>INDEX(Vectors[Descripción], MATCH(K$5,Vectors[Código],FALSE))</f>
        <v>Cocción</v>
      </c>
      <c r="L4" s="1455" t="str">
        <f>INDEX(Vectors[Descripción], MATCH(L$5,Vectors[Código],FALSE))</f>
        <v>Otros Electrodomésticos</v>
      </c>
      <c r="M4" s="1455" t="str">
        <f>INDEX(Vectors[Descripción], MATCH(M$5,Vectors[Código],FALSE))</f>
        <v>Industria y minería</v>
      </c>
      <c r="N4" s="1455" t="str">
        <f>INDEX(Vectors[Descripción], MATCH(N$5,Vectors[Código],FALSE))</f>
        <v>Transporte pasajeros caminero Urbano</v>
      </c>
      <c r="O4" s="1455" t="str">
        <f>INDEX(Vectors[Descripción], MATCH(O$5,Vectors[Código],FALSE))</f>
        <v>Transporte pasajeros caminero Interurbano</v>
      </c>
      <c r="P4" s="1455" t="str">
        <f>INDEX(Vectors[Descripción], MATCH(P$5,Vectors[Código],FALSE))</f>
        <v>Transporte pasajeros ferroviario Urbano</v>
      </c>
      <c r="Q4" s="1455" t="str">
        <f>INDEX(Vectors[Descripción], MATCH(Q$5,Vectors[Código],FALSE))</f>
        <v>Transporte pasajeros ferroviario Interurbano</v>
      </c>
      <c r="R4" s="1455" t="str">
        <f>INDEX(Vectors[Descripción], MATCH(R$5,Vectors[Código],FALSE))</f>
        <v>Transporte pasajeros Aéreo Interurbano</v>
      </c>
      <c r="S4" s="1455" t="str">
        <f>INDEX(Vectors[Descripción], MATCH(S$5,Vectors[Código],FALSE))</f>
        <v>Transporte de carga caminero Urbano</v>
      </c>
      <c r="T4" s="1455" t="str">
        <f>INDEX(Vectors[Descripción], MATCH(T$5,Vectors[Código],FALSE))</f>
        <v>Transporte de carga caminero Interurbano</v>
      </c>
      <c r="U4" s="1455" t="str">
        <f>INDEX(Vectors[Descripción], MATCH(U$5,Vectors[Código],FALSE))</f>
        <v>Transporte de carga ferroviario</v>
      </c>
      <c r="V4" s="1455" t="str">
        <f>INDEX(Vectors[Descripción], MATCH(V$5,Vectors[Código],FALSE))</f>
        <v>Transporte de carga maritimo</v>
      </c>
      <c r="W4" s="3169" t="s">
        <v>2218</v>
      </c>
      <c r="Y4" s="1456" t="str">
        <f>INDEX(Vectors[Descripción], MATCH(Y$5,Vectors[Código],FALSE))</f>
        <v>Electricidad (consumo final)</v>
      </c>
      <c r="Z4" s="1456" t="str">
        <f>INDEX(Vectors[Descripción], MATCH(Z5,Vectors[Código],FALSE))</f>
        <v>Electricidad (suministrada a la red)</v>
      </c>
      <c r="AA4" s="1456" t="str">
        <f>INDEX(Vectors[Descripción], MATCH(AA5,Vectors[Código],FALSE))</f>
        <v>Hidrocarburo Sólido</v>
      </c>
      <c r="AB4" s="1456" t="str">
        <f>INDEX(Vectors[Descripción], MATCH(AB5,Vectors[Código],FALSE))</f>
        <v>Hidrocarburo Líquido</v>
      </c>
      <c r="AC4" s="1456" t="str">
        <f>INDEX(Vectors[Descripción], MATCH(AC5,Vectors[Código],FALSE))</f>
        <v>Hidrocarburo Gaseoso</v>
      </c>
      <c r="AD4" s="1456" t="str">
        <f>INDEX(Vectors[Descripción], MATCH(AD5,Vectors[Código],FALSE))</f>
        <v>Carbón y  residuos fósiles</v>
      </c>
      <c r="AE4" s="1456" t="str">
        <f>INDEX(Vectors[Descripción], MATCH(AE5,Vectors[Código],FALSE))</f>
        <v>Derivados del petróleo</v>
      </c>
      <c r="AF4" s="1456" t="str">
        <f>INDEX(Vectors[Descripción], MATCH(AF5,Vectors[Código],FALSE))</f>
        <v>Gas Natural</v>
      </c>
      <c r="AG4" s="1456" t="str">
        <f>INDEX(Vectors[Descripción], MATCH(AG5,Vectors[Código],FALSE))</f>
        <v>Blast furnace gas</v>
      </c>
      <c r="AH4" s="1456" t="str">
        <f>INDEX(Vectors[Descripción], MATCH(AH5,Vectors[Código],FALSE))</f>
        <v>Heat transport</v>
      </c>
      <c r="AI4" s="1456" t="str">
        <f>INDEX(Vectors[Descripción], MATCH(AI5,Vectors[Código],FALSE))</f>
        <v>Biomasa comestible</v>
      </c>
      <c r="AJ4" s="1456" t="str">
        <f>INDEX(Vectors[Descripción], MATCH(AJ5,Vectors[Código],FALSE))</f>
        <v>Cultivos para Energía (segunda generación)</v>
      </c>
      <c r="AK4" s="1456" t="str">
        <f>INDEX(Vectors[Descripción], MATCH(AK5,Vectors[Código],FALSE))</f>
        <v>Cultivos para Energía (primera generación)</v>
      </c>
      <c r="AL4" s="1456" t="str">
        <f>INDEX(Vectors[Descripción], MATCH(AL5,Vectors[Código],FALSE))</f>
        <v>Biomasa</v>
      </c>
      <c r="AM4" s="1456" t="str">
        <f>INDEX(Vectors[Descripción], MATCH(AM5,Vectors[Código],FALSE))</f>
        <v>Biomasa seca y residuos</v>
      </c>
      <c r="AN4" s="1456" t="str">
        <f>INDEX(Vectors[Descripción], MATCH(AN5,Vectors[Código],FALSE))</f>
        <v>Residuos gaseosos</v>
      </c>
      <c r="AO4" s="1456" t="str">
        <f>INDEX(Vectors[Descripción], MATCH(AO5,Vectors[Código],FALSE))</f>
        <v>Solar para uso térmico domestico</v>
      </c>
      <c r="AP4" s="1456" t="str">
        <f>INDEX(Vectors[Descripción], MATCH(AP5,Vectors[Código],FALSE))</f>
        <v>H2</v>
      </c>
      <c r="AQ4" s="3170" t="s">
        <v>976</v>
      </c>
      <c r="AS4" s="1457" t="str">
        <f>INDEX(Vectors[Descripción], MATCH(AS5,Vectors[Código],FALSE))</f>
        <v>Reservas de Carbón</v>
      </c>
      <c r="AT4" s="1457" t="str">
        <f>INDEX(Vectors[Descripción], MATCH(AT5,Vectors[Código],FALSE))</f>
        <v>Reservas de Petroleo</v>
      </c>
      <c r="AU4" s="1457" t="str">
        <f>INDEX(Vectors[Descripción], MATCH(AU5,Vectors[Código],FALSE))</f>
        <v>Reservas de Gas</v>
      </c>
      <c r="AV4" s="1457" t="str">
        <f>INDEX(Vectors[Descripción], MATCH(AV5,Vectors[Código],FALSE))</f>
        <v>Biomasa sobreoferta  (importada)</v>
      </c>
      <c r="AW4" s="1457" t="str">
        <f>INDEX(Vectors[Descripción], MATCH(AW5,Vectors[Código],FALSE))</f>
        <v>Electricidad sobreoferta  (importada)</v>
      </c>
      <c r="AX4" s="1457" t="str">
        <f>INDEX(Vectors[Descripción], MATCH(AX5,Vectors[Código],FALSE))</f>
        <v xml:space="preserve">Dervidados del Petroleo sobreoferta </v>
      </c>
      <c r="AY4" s="1457" t="str">
        <f>INDEX(Vectors[Descripción], MATCH(AY5,Vectors[Código],FALSE))</f>
        <v>Carbón sobreoferta  (importada)</v>
      </c>
      <c r="AZ4" s="1457" t="str">
        <f>INDEX(Vectors[Descripción], MATCH(AZ5,Vectors[Código],FALSE))</f>
        <v>Carbón sobreoferta  (importada)</v>
      </c>
      <c r="BA4" s="1457">
        <f>INDEX(Vectors[Descripción], MATCH(BA5,Vectors[Código],FALSE))</f>
        <v>0</v>
      </c>
      <c r="BB4" s="1457" t="str">
        <f>INDEX(Vectors[Descripción], MATCH(BB5,Vectors[Código],FALSE))</f>
        <v>Fisión nuclear</v>
      </c>
      <c r="BC4" s="1457" t="str">
        <f>INDEX(Vectors[Descripción], MATCH(BC5,Vectors[Código],FALSE))</f>
        <v>Solar</v>
      </c>
      <c r="BD4" s="1457" t="str">
        <f>INDEX(Vectors[Descripción], MATCH(BD5,Vectors[Código],FALSE))</f>
        <v>Viento</v>
      </c>
      <c r="BE4" s="1457" t="str">
        <f>INDEX(Vectors[Descripción], MATCH(BE5,Vectors[Código],FALSE))</f>
        <v>Mareomotriz</v>
      </c>
      <c r="BF4" s="1457" t="str">
        <f>INDEX(Vectors[Descripción], MATCH(BF5,Vectors[Código],FALSE))</f>
        <v>Undimotriz</v>
      </c>
      <c r="BG4" s="1457" t="str">
        <f>INDEX(Vectors[Descripción], MATCH(BG5,Vectors[Código],FALSE))</f>
        <v>Geotermia</v>
      </c>
      <c r="BH4" s="1457" t="str">
        <f>INDEX(Vectors[Descripción], MATCH(BH5,Vectors[Código],FALSE))</f>
        <v>Hidro</v>
      </c>
      <c r="BI4" s="1457" t="str">
        <f>INDEX(Vectors[Descripción], MATCH(BI5,Vectors[Código],FALSE))</f>
        <v>Almacenamiento</v>
      </c>
      <c r="BJ4" s="1457" t="str">
        <f>INDEX(Vectors[Descripción], MATCH(BJ5,Vectors[Código],FALSE))</f>
        <v>Agropecuario</v>
      </c>
      <c r="BK4" s="1457" t="str">
        <f>INDEX(Vectors[Descripción], MATCH(BK5,Vectors[Código],FALSE))</f>
        <v>Residuos</v>
      </c>
      <c r="BL4" s="3171" t="s">
        <v>977</v>
      </c>
      <c r="BN4" s="1458" t="str">
        <f>INDEX(Vectors[Descripción], MATCH(BN5,Vectors[Código],FALSE))</f>
        <v>Perdidas por conversión</v>
      </c>
      <c r="BO4" s="1458" t="str">
        <f>INDEX(Vectors[Descripción], MATCH(BO5,Vectors[Código],FALSE))</f>
        <v>Perdidas por distribución y uso propio</v>
      </c>
      <c r="BP4" s="3172" t="s">
        <v>978</v>
      </c>
      <c r="BR4" s="1459"/>
      <c r="BS4" s="1459"/>
      <c r="BU4" s="1460" t="s">
        <v>720</v>
      </c>
      <c r="BV4" s="1461"/>
      <c r="BW4" s="1461"/>
      <c r="BX4" s="1462"/>
      <c r="BY4" s="1460" t="s">
        <v>722</v>
      </c>
      <c r="BZ4" s="1461"/>
      <c r="CA4" s="1461"/>
      <c r="CB4" s="1462"/>
      <c r="CC4" s="1460" t="s">
        <v>723</v>
      </c>
      <c r="CD4" s="1461"/>
      <c r="CE4" s="1461"/>
      <c r="CF4" s="1462"/>
      <c r="CG4" s="1460" t="s">
        <v>724</v>
      </c>
      <c r="CH4" s="1461"/>
      <c r="CI4" s="1461"/>
      <c r="CJ4" s="1462"/>
      <c r="CK4" s="1460" t="s">
        <v>544</v>
      </c>
      <c r="CL4" s="1461"/>
      <c r="CM4" s="1461"/>
      <c r="CN4" s="1462"/>
      <c r="CO4" s="1460" t="s">
        <v>725</v>
      </c>
      <c r="CP4" s="1461"/>
      <c r="CQ4" s="1461"/>
      <c r="CR4" s="1462"/>
      <c r="CS4" s="1460" t="s">
        <v>545</v>
      </c>
      <c r="CT4" s="1461"/>
      <c r="CU4" s="1461"/>
      <c r="CV4" s="1462"/>
      <c r="CW4" s="1460" t="s">
        <v>726</v>
      </c>
      <c r="CX4" s="1461"/>
      <c r="CY4" s="1461"/>
      <c r="CZ4" s="1462"/>
      <c r="DA4" s="1460" t="s">
        <v>728</v>
      </c>
      <c r="DB4" s="1461"/>
      <c r="DC4" s="1461"/>
      <c r="DD4" s="1462"/>
      <c r="DE4" s="1460" t="s">
        <v>730</v>
      </c>
      <c r="DF4" s="1461"/>
      <c r="DG4" s="1461"/>
      <c r="DH4" s="1462"/>
      <c r="DI4" s="1460" t="s">
        <v>732</v>
      </c>
      <c r="DJ4" s="1461"/>
      <c r="DK4" s="1461"/>
      <c r="DL4" s="1462"/>
      <c r="DN4" s="1463" t="s">
        <v>118</v>
      </c>
    </row>
    <row r="5" spans="1:118" x14ac:dyDescent="0.2">
      <c r="D5" s="1464" t="s">
        <v>40</v>
      </c>
      <c r="G5" s="1465" t="s">
        <v>454</v>
      </c>
      <c r="H5" s="1465" t="s">
        <v>1007</v>
      </c>
      <c r="I5" s="1465" t="s">
        <v>1008</v>
      </c>
      <c r="J5" s="1465" t="s">
        <v>1009</v>
      </c>
      <c r="K5" s="1465" t="s">
        <v>1010</v>
      </c>
      <c r="L5" s="1465" t="s">
        <v>1011</v>
      </c>
      <c r="M5" s="1465" t="s">
        <v>453</v>
      </c>
      <c r="N5" s="1465" t="s">
        <v>447</v>
      </c>
      <c r="O5" s="1465" t="s">
        <v>448</v>
      </c>
      <c r="P5" s="1465" t="s">
        <v>449</v>
      </c>
      <c r="Q5" s="1465" t="s">
        <v>450</v>
      </c>
      <c r="R5" s="1465" t="s">
        <v>451</v>
      </c>
      <c r="S5" s="1465" t="s">
        <v>452</v>
      </c>
      <c r="T5" s="1465" t="s">
        <v>984</v>
      </c>
      <c r="U5" s="1465" t="s">
        <v>985</v>
      </c>
      <c r="V5" s="1465" t="s">
        <v>986</v>
      </c>
      <c r="W5" s="1465"/>
      <c r="Y5" s="1466" t="s">
        <v>149</v>
      </c>
      <c r="Z5" s="1466" t="s">
        <v>150</v>
      </c>
      <c r="AA5" s="1466" t="s">
        <v>330</v>
      </c>
      <c r="AB5" s="1466" t="s">
        <v>333</v>
      </c>
      <c r="AC5" s="1466" t="s">
        <v>335</v>
      </c>
      <c r="AD5" s="1466" t="s">
        <v>467</v>
      </c>
      <c r="AE5" s="1466" t="s">
        <v>468</v>
      </c>
      <c r="AF5" s="1466" t="s">
        <v>469</v>
      </c>
      <c r="AG5" s="1466" t="s">
        <v>470</v>
      </c>
      <c r="AH5" s="1466" t="s">
        <v>471</v>
      </c>
      <c r="AI5" s="1466" t="s">
        <v>472</v>
      </c>
      <c r="AJ5" s="1466" t="s">
        <v>709</v>
      </c>
      <c r="AK5" s="1466" t="s">
        <v>804</v>
      </c>
      <c r="AL5" s="1466" t="s">
        <v>473</v>
      </c>
      <c r="AM5" s="1466" t="s">
        <v>474</v>
      </c>
      <c r="AN5" s="1466" t="s">
        <v>805</v>
      </c>
      <c r="AO5" s="1466" t="s">
        <v>475</v>
      </c>
      <c r="AP5" s="1466" t="s">
        <v>630</v>
      </c>
      <c r="AQ5" s="1466"/>
      <c r="AS5" s="1467" t="s">
        <v>464</v>
      </c>
      <c r="AT5" s="1467" t="s">
        <v>465</v>
      </c>
      <c r="AU5" s="1467" t="s">
        <v>466</v>
      </c>
      <c r="AV5" s="1467" t="s">
        <v>458</v>
      </c>
      <c r="AW5" s="1467" t="s">
        <v>459</v>
      </c>
      <c r="AX5" s="1467" t="s">
        <v>460</v>
      </c>
      <c r="AY5" s="1467" t="s">
        <v>461</v>
      </c>
      <c r="AZ5" s="1467" t="s">
        <v>462</v>
      </c>
      <c r="BA5" s="1467" t="s">
        <v>463</v>
      </c>
      <c r="BB5" s="1467" t="s">
        <v>157</v>
      </c>
      <c r="BC5" s="1467" t="s">
        <v>315</v>
      </c>
      <c r="BD5" s="1467" t="s">
        <v>218</v>
      </c>
      <c r="BE5" s="1467" t="s">
        <v>285</v>
      </c>
      <c r="BF5" s="1467" t="s">
        <v>286</v>
      </c>
      <c r="BG5" s="1467" t="s">
        <v>302</v>
      </c>
      <c r="BH5" s="1467" t="s">
        <v>249</v>
      </c>
      <c r="BI5" s="1467" t="s">
        <v>455</v>
      </c>
      <c r="BJ5" s="1467" t="s">
        <v>456</v>
      </c>
      <c r="BK5" s="1467" t="s">
        <v>457</v>
      </c>
      <c r="BL5" s="1467"/>
      <c r="BN5" s="1468" t="s">
        <v>184</v>
      </c>
      <c r="BO5" s="1468" t="s">
        <v>185</v>
      </c>
      <c r="BP5" s="1468"/>
      <c r="BR5" s="3173" t="s">
        <v>1017</v>
      </c>
      <c r="BS5" s="1469"/>
      <c r="BU5" s="1470" t="s">
        <v>399</v>
      </c>
      <c r="BV5" s="1471" t="s">
        <v>399</v>
      </c>
      <c r="BW5" s="1471" t="s">
        <v>399</v>
      </c>
      <c r="BX5" s="1472" t="s">
        <v>399</v>
      </c>
      <c r="BY5" s="1470" t="s">
        <v>721</v>
      </c>
      <c r="BZ5" s="1471" t="s">
        <v>721</v>
      </c>
      <c r="CA5" s="1471" t="s">
        <v>721</v>
      </c>
      <c r="CB5" s="1472" t="s">
        <v>721</v>
      </c>
      <c r="CC5" s="1470">
        <v>2</v>
      </c>
      <c r="CD5" s="1471">
        <v>2</v>
      </c>
      <c r="CE5" s="1471">
        <v>2</v>
      </c>
      <c r="CF5" s="1472">
        <v>2</v>
      </c>
      <c r="CG5" s="1470">
        <v>3</v>
      </c>
      <c r="CH5" s="1471">
        <v>3</v>
      </c>
      <c r="CI5" s="1471">
        <v>3</v>
      </c>
      <c r="CJ5" s="1472">
        <v>3</v>
      </c>
      <c r="CK5" s="1470">
        <v>4</v>
      </c>
      <c r="CL5" s="1471">
        <v>4</v>
      </c>
      <c r="CM5" s="1471">
        <v>4</v>
      </c>
      <c r="CN5" s="1472">
        <v>4</v>
      </c>
      <c r="CO5" s="1470">
        <v>5</v>
      </c>
      <c r="CP5" s="1471">
        <v>5</v>
      </c>
      <c r="CQ5" s="1471">
        <v>5</v>
      </c>
      <c r="CR5" s="1472">
        <v>5</v>
      </c>
      <c r="CS5" s="1470">
        <v>6</v>
      </c>
      <c r="CT5" s="1471">
        <v>6</v>
      </c>
      <c r="CU5" s="1471">
        <v>6</v>
      </c>
      <c r="CV5" s="1472">
        <v>6</v>
      </c>
      <c r="CW5" s="1470">
        <v>7</v>
      </c>
      <c r="CX5" s="1471">
        <v>7</v>
      </c>
      <c r="CY5" s="1471">
        <v>7</v>
      </c>
      <c r="CZ5" s="1472">
        <v>7</v>
      </c>
      <c r="DA5" s="1470" t="s">
        <v>727</v>
      </c>
      <c r="DB5" s="1471" t="s">
        <v>727</v>
      </c>
      <c r="DC5" s="1471" t="s">
        <v>727</v>
      </c>
      <c r="DD5" s="1472" t="s">
        <v>727</v>
      </c>
      <c r="DE5" s="1470" t="s">
        <v>729</v>
      </c>
      <c r="DF5" s="1471" t="s">
        <v>729</v>
      </c>
      <c r="DG5" s="1471" t="s">
        <v>729</v>
      </c>
      <c r="DH5" s="1472" t="s">
        <v>729</v>
      </c>
      <c r="DI5" s="1470" t="s">
        <v>731</v>
      </c>
      <c r="DJ5" s="1471" t="s">
        <v>731</v>
      </c>
      <c r="DK5" s="1471" t="s">
        <v>731</v>
      </c>
      <c r="DL5" s="1472" t="s">
        <v>731</v>
      </c>
    </row>
    <row r="6" spans="1:118" ht="15.75" customHeight="1" x14ac:dyDescent="0.2">
      <c r="G6" s="1473"/>
      <c r="H6" s="1473"/>
      <c r="I6" s="1473"/>
      <c r="J6" s="1473"/>
      <c r="K6" s="1473"/>
      <c r="L6" s="1473"/>
      <c r="M6" s="1473"/>
      <c r="N6" s="1473"/>
      <c r="O6" s="1474"/>
      <c r="P6" s="1473"/>
      <c r="Q6" s="1473"/>
      <c r="R6" s="1473"/>
      <c r="S6" s="1473"/>
      <c r="T6" s="1473"/>
      <c r="U6" s="1473"/>
      <c r="V6" s="1473"/>
      <c r="W6" s="1473"/>
      <c r="Y6" s="1475"/>
      <c r="Z6" s="1475"/>
      <c r="AA6" s="1475"/>
      <c r="AB6" s="1475"/>
      <c r="AC6" s="1475"/>
      <c r="AD6" s="1475"/>
      <c r="AE6" s="1475"/>
      <c r="AF6" s="1475"/>
      <c r="AG6" s="1475"/>
      <c r="AH6" s="1475"/>
      <c r="AI6" s="1475"/>
      <c r="AJ6" s="1475"/>
      <c r="AK6" s="1475"/>
      <c r="AL6" s="1475"/>
      <c r="AM6" s="1475"/>
      <c r="AN6" s="1475"/>
      <c r="AO6" s="1475"/>
      <c r="AP6" s="1475"/>
      <c r="AQ6" s="1475"/>
      <c r="AS6" s="1476"/>
      <c r="AT6" s="1476"/>
      <c r="AU6" s="1476"/>
      <c r="AV6" s="1476"/>
      <c r="AW6" s="1476"/>
      <c r="AX6" s="1476"/>
      <c r="AY6" s="1476"/>
      <c r="AZ6" s="1476"/>
      <c r="BA6" s="1476"/>
      <c r="BB6" s="1476"/>
      <c r="BC6" s="1476"/>
      <c r="BD6" s="1476"/>
      <c r="BE6" s="1476"/>
      <c r="BF6" s="1476"/>
      <c r="BG6" s="1476"/>
      <c r="BH6" s="1476"/>
      <c r="BI6" s="1476"/>
      <c r="BJ6" s="1476"/>
      <c r="BK6" s="1476"/>
      <c r="BL6" s="1476"/>
      <c r="BN6" s="1477"/>
      <c r="BO6" s="1477"/>
      <c r="BP6" s="1477"/>
      <c r="BR6" s="1956"/>
      <c r="BS6" s="1478"/>
      <c r="BU6" s="1479" t="s">
        <v>398</v>
      </c>
      <c r="BV6" s="1479" t="s">
        <v>400</v>
      </c>
      <c r="BW6" s="1479" t="s">
        <v>401</v>
      </c>
      <c r="BX6" s="1479" t="s">
        <v>806</v>
      </c>
      <c r="BY6" s="1479" t="s">
        <v>398</v>
      </c>
      <c r="BZ6" s="1479" t="s">
        <v>400</v>
      </c>
      <c r="CA6" s="1479" t="s">
        <v>401</v>
      </c>
      <c r="CB6" s="1479" t="s">
        <v>806</v>
      </c>
      <c r="CC6" s="1479" t="s">
        <v>398</v>
      </c>
      <c r="CD6" s="1479" t="s">
        <v>400</v>
      </c>
      <c r="CE6" s="1479" t="s">
        <v>401</v>
      </c>
      <c r="CF6" s="1479" t="s">
        <v>806</v>
      </c>
      <c r="CG6" s="1479" t="s">
        <v>398</v>
      </c>
      <c r="CH6" s="1479" t="s">
        <v>400</v>
      </c>
      <c r="CI6" s="1479" t="s">
        <v>401</v>
      </c>
      <c r="CJ6" s="1479" t="s">
        <v>806</v>
      </c>
      <c r="CK6" s="1479" t="s">
        <v>398</v>
      </c>
      <c r="CL6" s="1479" t="s">
        <v>400</v>
      </c>
      <c r="CM6" s="1479" t="s">
        <v>401</v>
      </c>
      <c r="CN6" s="1479" t="s">
        <v>806</v>
      </c>
      <c r="CO6" s="1479" t="s">
        <v>398</v>
      </c>
      <c r="CP6" s="1479" t="s">
        <v>400</v>
      </c>
      <c r="CQ6" s="1479" t="s">
        <v>401</v>
      </c>
      <c r="CR6" s="1479" t="s">
        <v>806</v>
      </c>
      <c r="CS6" s="1479" t="s">
        <v>398</v>
      </c>
      <c r="CT6" s="1479" t="s">
        <v>400</v>
      </c>
      <c r="CU6" s="1479" t="s">
        <v>401</v>
      </c>
      <c r="CV6" s="1479" t="s">
        <v>806</v>
      </c>
      <c r="CW6" s="1479" t="s">
        <v>398</v>
      </c>
      <c r="CX6" s="1479" t="s">
        <v>400</v>
      </c>
      <c r="CY6" s="1479" t="s">
        <v>401</v>
      </c>
      <c r="CZ6" s="1479" t="s">
        <v>806</v>
      </c>
      <c r="DA6" s="1479" t="s">
        <v>398</v>
      </c>
      <c r="DB6" s="1479" t="s">
        <v>400</v>
      </c>
      <c r="DC6" s="1479" t="s">
        <v>401</v>
      </c>
      <c r="DD6" s="1479" t="s">
        <v>806</v>
      </c>
      <c r="DE6" s="1479" t="s">
        <v>398</v>
      </c>
      <c r="DF6" s="1479" t="s">
        <v>400</v>
      </c>
      <c r="DG6" s="1479" t="s">
        <v>401</v>
      </c>
      <c r="DH6" s="1479" t="s">
        <v>806</v>
      </c>
      <c r="DI6" s="1479" t="s">
        <v>398</v>
      </c>
      <c r="DJ6" s="1479" t="s">
        <v>400</v>
      </c>
      <c r="DK6" s="1479" t="s">
        <v>401</v>
      </c>
      <c r="DL6" s="1479" t="s">
        <v>806</v>
      </c>
    </row>
    <row r="7" spans="1:118" ht="18" customHeight="1" x14ac:dyDescent="0.2">
      <c r="C7" s="1480" t="s">
        <v>405</v>
      </c>
      <c r="D7" s="1480"/>
      <c r="E7" s="1481"/>
      <c r="G7" s="1482"/>
      <c r="H7" s="1482"/>
      <c r="I7" s="1482"/>
      <c r="J7" s="1482"/>
      <c r="K7" s="1482"/>
      <c r="L7" s="1482"/>
      <c r="M7" s="1482"/>
      <c r="N7" s="1482"/>
      <c r="O7" s="1482"/>
      <c r="P7" s="1482"/>
      <c r="Q7" s="1482"/>
      <c r="R7" s="1482"/>
      <c r="S7" s="1482"/>
      <c r="T7" s="1482"/>
      <c r="U7" s="1482"/>
      <c r="V7" s="1482"/>
      <c r="W7" s="1482"/>
      <c r="Y7" s="1483"/>
      <c r="Z7" s="1483"/>
      <c r="AA7" s="1483"/>
      <c r="AB7" s="1483"/>
      <c r="AC7" s="1483"/>
      <c r="AD7" s="1483"/>
      <c r="AE7" s="1483"/>
      <c r="AF7" s="1483"/>
      <c r="AG7" s="1483"/>
      <c r="AH7" s="1483"/>
      <c r="AI7" s="1483"/>
      <c r="AJ7" s="1483"/>
      <c r="AK7" s="1483"/>
      <c r="AL7" s="1483"/>
      <c r="AM7" s="1483"/>
      <c r="AN7" s="1483"/>
      <c r="AO7" s="1483"/>
      <c r="AP7" s="1483"/>
      <c r="AQ7" s="1483"/>
      <c r="AS7" s="1484"/>
      <c r="AT7" s="1484"/>
      <c r="AU7" s="1484"/>
      <c r="AV7" s="1484"/>
      <c r="AW7" s="1484"/>
      <c r="AX7" s="1484"/>
      <c r="AY7" s="1484"/>
      <c r="AZ7" s="1484"/>
      <c r="BA7" s="1484"/>
      <c r="BB7" s="1484"/>
      <c r="BC7" s="1484"/>
      <c r="BD7" s="1484"/>
      <c r="BE7" s="1484"/>
      <c r="BF7" s="1484"/>
      <c r="BG7" s="1484"/>
      <c r="BH7" s="1484"/>
      <c r="BI7" s="1484"/>
      <c r="BJ7" s="1484"/>
      <c r="BK7" s="1484"/>
      <c r="BL7" s="1484"/>
      <c r="BN7" s="1485"/>
      <c r="BO7" s="1485"/>
      <c r="BP7" s="1485"/>
      <c r="BR7" s="3168">
        <f t="shared" ref="BR7:BR14" si="0">W7+AQ7+BL7+BP7</f>
        <v>0</v>
      </c>
      <c r="BS7" s="1486"/>
      <c r="BU7" s="1487"/>
      <c r="BV7" s="1487"/>
      <c r="BW7" s="1487"/>
      <c r="BX7" s="1487"/>
      <c r="BY7" s="1487"/>
      <c r="BZ7" s="1487"/>
      <c r="CA7" s="1487"/>
      <c r="CB7" s="1487"/>
      <c r="CC7" s="1487"/>
      <c r="CD7" s="1487"/>
      <c r="CE7" s="1487"/>
      <c r="CF7" s="1487"/>
      <c r="CG7" s="1487"/>
      <c r="CH7" s="1487"/>
      <c r="CI7" s="1487"/>
      <c r="CJ7" s="1487"/>
      <c r="CK7" s="1487"/>
      <c r="CL7" s="1487"/>
      <c r="CM7" s="1487"/>
      <c r="CN7" s="1487"/>
      <c r="CO7" s="1487"/>
      <c r="CP7" s="1487"/>
      <c r="CQ7" s="1487"/>
      <c r="CR7" s="1487"/>
      <c r="CS7" s="1487"/>
      <c r="CT7" s="1487"/>
      <c r="CU7" s="1487"/>
      <c r="CV7" s="1487"/>
      <c r="CW7" s="1487"/>
      <c r="CX7" s="1487"/>
      <c r="CY7" s="1487"/>
      <c r="CZ7" s="1487"/>
      <c r="DA7" s="1487"/>
      <c r="DB7" s="1487"/>
      <c r="DC7" s="1487"/>
      <c r="DD7" s="1487"/>
      <c r="DE7" s="1487"/>
      <c r="DF7" s="1487"/>
      <c r="DG7" s="1487"/>
      <c r="DH7" s="1487"/>
      <c r="DI7" s="1487"/>
      <c r="DJ7" s="1487"/>
      <c r="DK7" s="1487"/>
      <c r="DL7" s="1487"/>
    </row>
    <row r="8" spans="1:118" ht="12.75" customHeight="1" outlineLevel="1" x14ac:dyDescent="0.2">
      <c r="G8" s="1488"/>
      <c r="H8" s="1488"/>
      <c r="I8" s="1488"/>
      <c r="J8" s="1488"/>
      <c r="K8" s="1488"/>
      <c r="L8" s="1488"/>
      <c r="M8" s="1488"/>
      <c r="N8" s="1488"/>
      <c r="O8" s="1489"/>
      <c r="P8" s="1488"/>
      <c r="Q8" s="1488"/>
      <c r="R8" s="1488"/>
      <c r="S8" s="1488"/>
      <c r="T8" s="1488"/>
      <c r="U8" s="1488"/>
      <c r="V8" s="1488"/>
      <c r="W8" s="1488"/>
      <c r="Y8" s="1490"/>
      <c r="Z8" s="1490"/>
      <c r="AA8" s="1490"/>
      <c r="AB8" s="1490"/>
      <c r="AC8" s="1490"/>
      <c r="AD8" s="1490"/>
      <c r="AE8" s="1490"/>
      <c r="AF8" s="1490"/>
      <c r="AG8" s="1490"/>
      <c r="AH8" s="1490"/>
      <c r="AI8" s="1490"/>
      <c r="AJ8" s="1490"/>
      <c r="AK8" s="1490"/>
      <c r="AL8" s="1490"/>
      <c r="AM8" s="1490"/>
      <c r="AN8" s="1490"/>
      <c r="AO8" s="1490"/>
      <c r="AP8" s="1490"/>
      <c r="AQ8" s="1490"/>
      <c r="AS8" s="1491"/>
      <c r="AT8" s="1491"/>
      <c r="AU8" s="1491"/>
      <c r="AV8" s="1491"/>
      <c r="AW8" s="1491"/>
      <c r="AX8" s="1491"/>
      <c r="AY8" s="1491"/>
      <c r="AZ8" s="1491"/>
      <c r="BA8" s="1491"/>
      <c r="BB8" s="1491"/>
      <c r="BC8" s="1491"/>
      <c r="BD8" s="1491"/>
      <c r="BE8" s="1491"/>
      <c r="BF8" s="1491"/>
      <c r="BG8" s="1491"/>
      <c r="BH8" s="1491"/>
      <c r="BI8" s="1491"/>
      <c r="BJ8" s="1491"/>
      <c r="BK8" s="1491"/>
      <c r="BL8" s="1491"/>
      <c r="BN8" s="1492"/>
      <c r="BO8" s="1492"/>
      <c r="BP8" s="1492"/>
      <c r="BR8" s="3168">
        <f t="shared" si="0"/>
        <v>0</v>
      </c>
      <c r="BS8" s="1493"/>
      <c r="BU8" s="1494"/>
      <c r="BV8" s="1494"/>
      <c r="BW8" s="1494"/>
      <c r="BX8" s="1494"/>
      <c r="BY8" s="1494"/>
      <c r="BZ8" s="1494"/>
      <c r="CA8" s="1494"/>
      <c r="CB8" s="1494"/>
      <c r="CC8" s="1494"/>
      <c r="CD8" s="1494"/>
      <c r="CE8" s="1494"/>
      <c r="CF8" s="1494"/>
      <c r="CG8" s="1494"/>
      <c r="CH8" s="1494"/>
      <c r="CI8" s="1494"/>
      <c r="CJ8" s="1494"/>
      <c r="CK8" s="1494"/>
      <c r="CL8" s="1494"/>
      <c r="CM8" s="1494"/>
      <c r="CN8" s="1494"/>
      <c r="CO8" s="1494"/>
      <c r="CP8" s="1494"/>
      <c r="CQ8" s="1494"/>
      <c r="CR8" s="1494"/>
      <c r="CS8" s="1494"/>
      <c r="CT8" s="1494"/>
      <c r="CU8" s="1494"/>
      <c r="CV8" s="1494"/>
      <c r="CW8" s="1494"/>
      <c r="CX8" s="1494"/>
      <c r="CY8" s="1494"/>
      <c r="CZ8" s="1494"/>
      <c r="DA8" s="1494"/>
      <c r="DB8" s="1494"/>
      <c r="DC8" s="1494"/>
      <c r="DD8" s="1494"/>
      <c r="DE8" s="1494"/>
      <c r="DF8" s="1494"/>
      <c r="DG8" s="1494"/>
      <c r="DH8" s="1494"/>
      <c r="DI8" s="1494"/>
      <c r="DJ8" s="1494"/>
      <c r="DK8" s="1494"/>
      <c r="DL8" s="1494"/>
    </row>
    <row r="9" spans="1:118" s="14" customFormat="1" ht="10.5" customHeight="1" outlineLevel="2" x14ac:dyDescent="0.2">
      <c r="A9" s="1495"/>
      <c r="B9" s="1495"/>
      <c r="C9" s="1511" t="s">
        <v>86</v>
      </c>
      <c r="D9" s="14" t="str">
        <f>INDEX(Modulos[Modulos], MATCH($C9, Modulos[Código], 0))</f>
        <v>Residencial</v>
      </c>
      <c r="G9" s="1540">
        <f ca="1">IFERROR(INDEX(INDIRECT($C9&amp;".Outputs["&amp;this.Year&amp;"]"), MATCH(G$5, INDIRECT($C9&amp;".Outputs[Vector]"), 0)), 0)</f>
        <v>75.121073790278658</v>
      </c>
      <c r="H9" s="1540">
        <f t="shared" ref="H9:V9" ca="1" si="1">IFERROR(INDEX(INDIRECT($C9&amp;".Outputs["&amp;this.Year&amp;"]"), MATCH(H$5, INDIRECT($C9&amp;".Outputs[Vector]"), 0)), 0)</f>
        <v>3.7360391938326862</v>
      </c>
      <c r="I9" s="1540">
        <f t="shared" ca="1" si="1"/>
        <v>6.6714985604155119</v>
      </c>
      <c r="J9" s="1540">
        <f t="shared" ca="1" si="1"/>
        <v>23.483674932662602</v>
      </c>
      <c r="K9" s="1540">
        <f t="shared" ca="1" si="1"/>
        <v>10.140677811831578</v>
      </c>
      <c r="L9" s="1540">
        <f t="shared" ca="1" si="1"/>
        <v>14.277006919289198</v>
      </c>
      <c r="M9" s="1540">
        <f t="shared" ca="1" si="1"/>
        <v>0</v>
      </c>
      <c r="N9" s="1540">
        <f t="shared" ca="1" si="1"/>
        <v>0</v>
      </c>
      <c r="O9" s="1540">
        <f t="shared" ca="1" si="1"/>
        <v>0</v>
      </c>
      <c r="P9" s="1540">
        <f t="shared" ca="1" si="1"/>
        <v>0</v>
      </c>
      <c r="Q9" s="1540">
        <f t="shared" ca="1" si="1"/>
        <v>0</v>
      </c>
      <c r="R9" s="1540">
        <f t="shared" ca="1" si="1"/>
        <v>0</v>
      </c>
      <c r="S9" s="1540">
        <f t="shared" ca="1" si="1"/>
        <v>0</v>
      </c>
      <c r="T9" s="1540">
        <f t="shared" ca="1" si="1"/>
        <v>0</v>
      </c>
      <c r="U9" s="1540">
        <f t="shared" ca="1" si="1"/>
        <v>0</v>
      </c>
      <c r="V9" s="1540">
        <f t="shared" ca="1" si="1"/>
        <v>0</v>
      </c>
      <c r="W9" s="1539">
        <f ca="1">SUM(G9:V9)</f>
        <v>133.42997120831023</v>
      </c>
      <c r="Y9" s="1500">
        <f ca="1">IFERROR(INDEX(INDIRECT($C9&amp;".Outputs["&amp;this.Year&amp;"]"), MATCH(Y$5, INDIRECT($C9&amp;".Outputs[Vector]"), 0)), 0)</f>
        <v>-40.495901185063246</v>
      </c>
      <c r="Z9" s="1500">
        <f t="shared" ref="Z9:AP9" ca="1" si="2">IFERROR(INDEX(INDIRECT($C9&amp;".Outputs["&amp;this.Year&amp;"]"), MATCH(Z$5, INDIRECT($C9&amp;".Outputs[Vector]"), 0)), 0)</f>
        <v>0</v>
      </c>
      <c r="AA9" s="1500">
        <f t="shared" ca="1" si="2"/>
        <v>0</v>
      </c>
      <c r="AB9" s="1500">
        <f t="shared" ca="1" si="2"/>
        <v>-17.009771427664695</v>
      </c>
      <c r="AC9" s="1500">
        <f t="shared" ca="1" si="2"/>
        <v>-66.129863835618607</v>
      </c>
      <c r="AD9" s="1500">
        <f t="shared" ca="1" si="2"/>
        <v>0</v>
      </c>
      <c r="AE9" s="1500">
        <f t="shared" ca="1" si="2"/>
        <v>0</v>
      </c>
      <c r="AF9" s="1500">
        <f t="shared" ca="1" si="2"/>
        <v>0</v>
      </c>
      <c r="AG9" s="1500">
        <f t="shared" ca="1" si="2"/>
        <v>0</v>
      </c>
      <c r="AH9" s="1500">
        <f t="shared" ca="1" si="2"/>
        <v>0</v>
      </c>
      <c r="AI9" s="1500">
        <f t="shared" ca="1" si="2"/>
        <v>0</v>
      </c>
      <c r="AJ9" s="1500">
        <f t="shared" ca="1" si="2"/>
        <v>0</v>
      </c>
      <c r="AK9" s="1500">
        <f t="shared" ca="1" si="2"/>
        <v>0</v>
      </c>
      <c r="AL9" s="1500">
        <f ca="1">IFERROR(INDEX(INDIRECT($C9&amp;".Outputs["&amp;this.Year&amp;"]"), MATCH(AL$5, INDIRECT($C9&amp;".Outputs[Vector]"), 0)), 0)</f>
        <v>-9.7944347599636945</v>
      </c>
      <c r="AM9" s="1500">
        <f t="shared" ca="1" si="2"/>
        <v>0</v>
      </c>
      <c r="AN9" s="1500">
        <f t="shared" ca="1" si="2"/>
        <v>0</v>
      </c>
      <c r="AO9" s="1500">
        <f t="shared" ca="1" si="2"/>
        <v>0</v>
      </c>
      <c r="AP9" s="1500">
        <f t="shared" ca="1" si="2"/>
        <v>0</v>
      </c>
      <c r="AQ9" s="1490">
        <f ca="1">SUM(Y9:AP9)</f>
        <v>-133.42997120831026</v>
      </c>
      <c r="AS9" s="1491">
        <f t="shared" ref="AS9:BK9" ca="1" si="3">IFERROR(INDEX(INDIRECT($C9&amp;".Outputs["&amp;this.Year&amp;"]"), MATCH(AS$5, INDIRECT($C9&amp;".Outputs[Vector]"), 0)), 0)</f>
        <v>0</v>
      </c>
      <c r="AT9" s="1491">
        <f t="shared" ca="1" si="3"/>
        <v>0</v>
      </c>
      <c r="AU9" s="1491">
        <f t="shared" ca="1" si="3"/>
        <v>0</v>
      </c>
      <c r="AV9" s="1491">
        <f t="shared" ca="1" si="3"/>
        <v>0</v>
      </c>
      <c r="AW9" s="1491">
        <f t="shared" ca="1" si="3"/>
        <v>0</v>
      </c>
      <c r="AX9" s="1491">
        <f t="shared" ca="1" si="3"/>
        <v>0</v>
      </c>
      <c r="AY9" s="1491">
        <f t="shared" ca="1" si="3"/>
        <v>0</v>
      </c>
      <c r="AZ9" s="1491">
        <f t="shared" ca="1" si="3"/>
        <v>0</v>
      </c>
      <c r="BA9" s="1491">
        <f t="shared" ca="1" si="3"/>
        <v>0</v>
      </c>
      <c r="BB9" s="1491">
        <f t="shared" ca="1" si="3"/>
        <v>0</v>
      </c>
      <c r="BC9" s="1491">
        <f t="shared" ca="1" si="3"/>
        <v>0</v>
      </c>
      <c r="BD9" s="1491">
        <f t="shared" ca="1" si="3"/>
        <v>0</v>
      </c>
      <c r="BE9" s="1491">
        <f t="shared" ca="1" si="3"/>
        <v>0</v>
      </c>
      <c r="BF9" s="1491">
        <f t="shared" ca="1" si="3"/>
        <v>0</v>
      </c>
      <c r="BG9" s="1491">
        <f t="shared" ca="1" si="3"/>
        <v>0</v>
      </c>
      <c r="BH9" s="1491">
        <f t="shared" ca="1" si="3"/>
        <v>0</v>
      </c>
      <c r="BI9" s="1491">
        <f t="shared" ca="1" si="3"/>
        <v>0</v>
      </c>
      <c r="BJ9" s="1491">
        <f t="shared" ca="1" si="3"/>
        <v>0</v>
      </c>
      <c r="BK9" s="1491">
        <f t="shared" ca="1" si="3"/>
        <v>0</v>
      </c>
      <c r="BL9" s="1503">
        <f ca="1">SUM(AS9:BK9)</f>
        <v>0</v>
      </c>
      <c r="BN9" s="1941">
        <f ca="1">IFERROR(INDEX(INDIRECT($C9&amp;".Outputs["&amp;this.Year&amp;"]"), MATCH(BN$5, INDIRECT($C9&amp;".Outputs[Vector]"), 0)), 0)</f>
        <v>0</v>
      </c>
      <c r="BO9" s="1941">
        <f ca="1">IFERROR(INDEX(INDIRECT($C9&amp;".Outputs["&amp;this.Year&amp;"]"), MATCH(BO$5, INDIRECT($C9&amp;".Outputs[Vector]"), 0)), 0)</f>
        <v>0</v>
      </c>
      <c r="BP9" s="1505">
        <f ca="1">BN9+BO9</f>
        <v>0</v>
      </c>
      <c r="BR9" s="3168">
        <f ca="1">W9+AQ9+BL9+BP9</f>
        <v>-2.8421709430404007E-14</v>
      </c>
      <c r="BS9" s="1506"/>
      <c r="BT9" s="748"/>
      <c r="BU9" s="1507">
        <v>67.291769164453711</v>
      </c>
      <c r="BV9" s="1508">
        <v>0.13655504882378258</v>
      </c>
      <c r="BW9" s="1508">
        <v>0.22513176941521534</v>
      </c>
      <c r="BX9" s="1508">
        <v>0</v>
      </c>
      <c r="BY9" s="1508">
        <v>0</v>
      </c>
      <c r="BZ9" s="1508">
        <v>0</v>
      </c>
      <c r="CA9" s="1508">
        <v>0</v>
      </c>
      <c r="CB9" s="1508">
        <v>0</v>
      </c>
      <c r="CC9" s="1508">
        <v>0</v>
      </c>
      <c r="CD9" s="1508">
        <v>0</v>
      </c>
      <c r="CE9" s="1508">
        <v>0</v>
      </c>
      <c r="CF9" s="1508">
        <v>0</v>
      </c>
      <c r="CG9" s="1508">
        <v>0</v>
      </c>
      <c r="CH9" s="1508">
        <v>0</v>
      </c>
      <c r="CI9" s="1508">
        <v>0</v>
      </c>
      <c r="CJ9" s="1508">
        <v>0</v>
      </c>
      <c r="CK9" s="1508">
        <v>0</v>
      </c>
      <c r="CL9" s="1508">
        <v>0</v>
      </c>
      <c r="CM9" s="1508">
        <v>0</v>
      </c>
      <c r="CN9" s="1508">
        <v>0</v>
      </c>
      <c r="CO9" s="1508">
        <v>0</v>
      </c>
      <c r="CP9" s="1508">
        <v>0</v>
      </c>
      <c r="CQ9" s="1508">
        <v>0</v>
      </c>
      <c r="CR9" s="1508">
        <v>0</v>
      </c>
      <c r="CS9" s="1508">
        <v>0</v>
      </c>
      <c r="CT9" s="1508">
        <v>0</v>
      </c>
      <c r="CU9" s="1508">
        <v>0</v>
      </c>
      <c r="CV9" s="1508">
        <v>0</v>
      </c>
      <c r="CW9" s="1508">
        <v>0</v>
      </c>
      <c r="CX9" s="1508">
        <v>0</v>
      </c>
      <c r="CY9" s="1508">
        <v>0</v>
      </c>
      <c r="CZ9" s="1508">
        <v>0</v>
      </c>
      <c r="DA9" s="1508">
        <v>0</v>
      </c>
      <c r="DB9" s="1508">
        <v>0</v>
      </c>
      <c r="DC9" s="1508">
        <v>0</v>
      </c>
      <c r="DD9" s="1508">
        <v>0</v>
      </c>
      <c r="DE9" s="1508">
        <v>0</v>
      </c>
      <c r="DF9" s="1508">
        <v>0</v>
      </c>
      <c r="DG9" s="1508">
        <v>0</v>
      </c>
      <c r="DH9" s="1508">
        <v>0</v>
      </c>
      <c r="DI9" s="1508">
        <v>0</v>
      </c>
      <c r="DJ9" s="1508">
        <v>0</v>
      </c>
      <c r="DK9" s="1508">
        <v>0</v>
      </c>
      <c r="DL9" s="1508">
        <v>0</v>
      </c>
      <c r="DN9" s="1509"/>
    </row>
    <row r="10" spans="1:118" s="14" customFormat="1" ht="10.5" customHeight="1" outlineLevel="2" x14ac:dyDescent="0.2">
      <c r="A10" s="1510"/>
      <c r="B10" s="1510"/>
      <c r="C10" s="1511"/>
      <c r="D10" s="1510"/>
      <c r="E10" s="1512"/>
      <c r="G10" s="1513"/>
      <c r="H10" s="1513"/>
      <c r="I10" s="1513"/>
      <c r="J10" s="1513"/>
      <c r="K10" s="1513"/>
      <c r="L10" s="1513"/>
      <c r="M10" s="1513"/>
      <c r="N10" s="1513"/>
      <c r="O10" s="1513"/>
      <c r="P10" s="1513"/>
      <c r="Q10" s="1513"/>
      <c r="R10" s="1513"/>
      <c r="S10" s="1513"/>
      <c r="T10" s="1513"/>
      <c r="U10" s="1513"/>
      <c r="V10" s="1513"/>
      <c r="W10" s="1514"/>
      <c r="Y10" s="1515"/>
      <c r="Z10" s="1515"/>
      <c r="AA10" s="1515"/>
      <c r="AB10" s="1515"/>
      <c r="AC10" s="1515"/>
      <c r="AD10" s="1515"/>
      <c r="AE10" s="1515"/>
      <c r="AF10" s="1515"/>
      <c r="AG10" s="1515"/>
      <c r="AH10" s="1515"/>
      <c r="AI10" s="1515"/>
      <c r="AJ10" s="1515"/>
      <c r="AK10" s="1515"/>
      <c r="AL10" s="1515"/>
      <c r="AM10" s="1515"/>
      <c r="AN10" s="1515"/>
      <c r="AO10" s="1515"/>
      <c r="AP10" s="1515"/>
      <c r="AQ10" s="1516"/>
      <c r="AS10" s="1517"/>
      <c r="AT10" s="1517"/>
      <c r="AU10" s="1517"/>
      <c r="AV10" s="1517"/>
      <c r="AW10" s="1517"/>
      <c r="AX10" s="1517"/>
      <c r="AY10" s="1517"/>
      <c r="AZ10" s="1517"/>
      <c r="BA10" s="1517"/>
      <c r="BB10" s="1517"/>
      <c r="BC10" s="1517"/>
      <c r="BD10" s="1517"/>
      <c r="BE10" s="1517"/>
      <c r="BF10" s="1517"/>
      <c r="BG10" s="1517"/>
      <c r="BH10" s="1517"/>
      <c r="BI10" s="1517"/>
      <c r="BJ10" s="1517"/>
      <c r="BK10" s="1517"/>
      <c r="BL10" s="1518"/>
      <c r="BN10" s="1519"/>
      <c r="BO10" s="1519"/>
      <c r="BP10" s="1520"/>
      <c r="BR10" s="3168">
        <f t="shared" si="0"/>
        <v>0</v>
      </c>
      <c r="BS10" s="1521"/>
      <c r="BT10" s="748"/>
      <c r="BU10" s="1507">
        <v>0</v>
      </c>
      <c r="BV10" s="1508">
        <v>0</v>
      </c>
      <c r="BW10" s="1508">
        <v>0</v>
      </c>
      <c r="BX10" s="1508">
        <v>0</v>
      </c>
      <c r="BY10" s="1508">
        <v>0</v>
      </c>
      <c r="BZ10" s="1508">
        <v>0</v>
      </c>
      <c r="CA10" s="1508">
        <v>0</v>
      </c>
      <c r="CB10" s="1508">
        <v>0</v>
      </c>
      <c r="CC10" s="1508">
        <v>0</v>
      </c>
      <c r="CD10" s="1508">
        <v>0</v>
      </c>
      <c r="CE10" s="1508">
        <v>0</v>
      </c>
      <c r="CF10" s="1508">
        <v>0</v>
      </c>
      <c r="CG10" s="1508">
        <v>0</v>
      </c>
      <c r="CH10" s="1508">
        <v>0</v>
      </c>
      <c r="CI10" s="1508">
        <v>0</v>
      </c>
      <c r="CJ10" s="1508">
        <v>0</v>
      </c>
      <c r="CK10" s="1508">
        <v>0</v>
      </c>
      <c r="CL10" s="1508">
        <v>0</v>
      </c>
      <c r="CM10" s="1508">
        <v>0</v>
      </c>
      <c r="CN10" s="1508">
        <v>0</v>
      </c>
      <c r="CO10" s="1508">
        <v>0</v>
      </c>
      <c r="CP10" s="1508">
        <v>0</v>
      </c>
      <c r="CQ10" s="1508">
        <v>0</v>
      </c>
      <c r="CR10" s="1508">
        <v>0</v>
      </c>
      <c r="CS10" s="1508">
        <v>0</v>
      </c>
      <c r="CT10" s="1508">
        <v>0</v>
      </c>
      <c r="CU10" s="1508">
        <v>0</v>
      </c>
      <c r="CV10" s="1508">
        <v>0</v>
      </c>
      <c r="CW10" s="1508">
        <v>0</v>
      </c>
      <c r="CX10" s="1508">
        <v>0</v>
      </c>
      <c r="CY10" s="1508">
        <v>0</v>
      </c>
      <c r="CZ10" s="1508">
        <v>0</v>
      </c>
      <c r="DA10" s="1508">
        <v>0</v>
      </c>
      <c r="DB10" s="1508">
        <v>0</v>
      </c>
      <c r="DC10" s="1508">
        <v>0</v>
      </c>
      <c r="DD10" s="1508">
        <v>0</v>
      </c>
      <c r="DE10" s="1508">
        <v>0</v>
      </c>
      <c r="DF10" s="1508">
        <v>0</v>
      </c>
      <c r="DG10" s="1508">
        <v>0</v>
      </c>
      <c r="DH10" s="1508">
        <v>0</v>
      </c>
      <c r="DI10" s="1508">
        <v>0</v>
      </c>
      <c r="DJ10" s="1508">
        <v>0</v>
      </c>
      <c r="DK10" s="1508">
        <v>0</v>
      </c>
      <c r="DL10" s="1508">
        <v>0</v>
      </c>
      <c r="DN10" s="1509"/>
    </row>
    <row r="11" spans="1:118" s="14" customFormat="1" ht="12.75" customHeight="1" outlineLevel="1" x14ac:dyDescent="0.2">
      <c r="A11" s="1522"/>
      <c r="B11" s="1522"/>
      <c r="C11" s="1496"/>
      <c r="D11" s="1522"/>
      <c r="E11" s="1497"/>
      <c r="G11" s="1499"/>
      <c r="H11" s="1499"/>
      <c r="I11" s="1499"/>
      <c r="J11" s="1499"/>
      <c r="K11" s="1499"/>
      <c r="L11" s="1499"/>
      <c r="M11" s="1499"/>
      <c r="N11" s="1499"/>
      <c r="O11" s="1499"/>
      <c r="P11" s="1499"/>
      <c r="Q11" s="1499"/>
      <c r="R11" s="1499"/>
      <c r="S11" s="1499"/>
      <c r="T11" s="1499"/>
      <c r="U11" s="1499"/>
      <c r="V11" s="1499"/>
      <c r="W11" s="1499"/>
      <c r="Y11" s="1501"/>
      <c r="Z11" s="1501"/>
      <c r="AA11" s="1501"/>
      <c r="AB11" s="1501"/>
      <c r="AC11" s="1501"/>
      <c r="AD11" s="1501"/>
      <c r="AE11" s="1501"/>
      <c r="AF11" s="1501"/>
      <c r="AG11" s="1501"/>
      <c r="AH11" s="1501"/>
      <c r="AI11" s="1501"/>
      <c r="AJ11" s="1501"/>
      <c r="AK11" s="1501"/>
      <c r="AL11" s="1501"/>
      <c r="AM11" s="1501"/>
      <c r="AN11" s="1501"/>
      <c r="AO11" s="1501"/>
      <c r="AP11" s="1501"/>
      <c r="AQ11" s="1501"/>
      <c r="AS11" s="1523"/>
      <c r="AT11" s="1523"/>
      <c r="AU11" s="1523"/>
      <c r="AV11" s="1523"/>
      <c r="AW11" s="1523"/>
      <c r="AX11" s="1523"/>
      <c r="AY11" s="1523"/>
      <c r="AZ11" s="1523"/>
      <c r="BA11" s="1523"/>
      <c r="BB11" s="1523"/>
      <c r="BC11" s="1523"/>
      <c r="BD11" s="1523"/>
      <c r="BE11" s="1523"/>
      <c r="BF11" s="1523"/>
      <c r="BG11" s="1523"/>
      <c r="BH11" s="1523"/>
      <c r="BI11" s="1523"/>
      <c r="BJ11" s="1523"/>
      <c r="BK11" s="1523"/>
      <c r="BL11" s="1524"/>
      <c r="BN11" s="1505"/>
      <c r="BO11" s="1505"/>
      <c r="BP11" s="1505"/>
      <c r="BR11" s="3168">
        <f t="shared" si="0"/>
        <v>0</v>
      </c>
      <c r="BS11" s="1525"/>
      <c r="BT11" s="748"/>
      <c r="BU11" s="1507">
        <v>67.291769164453711</v>
      </c>
      <c r="BV11" s="1508">
        <v>0.13655504882378258</v>
      </c>
      <c r="BW11" s="1508">
        <v>0.22513176941521534</v>
      </c>
      <c r="BX11" s="1508">
        <v>0</v>
      </c>
      <c r="BY11" s="1508">
        <v>0</v>
      </c>
      <c r="BZ11" s="1508">
        <v>0</v>
      </c>
      <c r="CA11" s="1508">
        <v>0</v>
      </c>
      <c r="CB11" s="1508">
        <v>0</v>
      </c>
      <c r="CC11" s="1508">
        <v>0</v>
      </c>
      <c r="CD11" s="1508">
        <v>0</v>
      </c>
      <c r="CE11" s="1508">
        <v>0</v>
      </c>
      <c r="CF11" s="1508">
        <v>0</v>
      </c>
      <c r="CG11" s="1508">
        <v>0</v>
      </c>
      <c r="CH11" s="1508">
        <v>0</v>
      </c>
      <c r="CI11" s="1508">
        <v>0</v>
      </c>
      <c r="CJ11" s="1508">
        <v>0</v>
      </c>
      <c r="CK11" s="1508">
        <v>0</v>
      </c>
      <c r="CL11" s="1508">
        <v>0</v>
      </c>
      <c r="CM11" s="1508">
        <v>0</v>
      </c>
      <c r="CN11" s="1508">
        <v>0</v>
      </c>
      <c r="CO11" s="1508">
        <v>0</v>
      </c>
      <c r="CP11" s="1508">
        <v>0</v>
      </c>
      <c r="CQ11" s="1508">
        <v>0</v>
      </c>
      <c r="CR11" s="1508">
        <v>0</v>
      </c>
      <c r="CS11" s="1508">
        <v>0</v>
      </c>
      <c r="CT11" s="1508">
        <v>0</v>
      </c>
      <c r="CU11" s="1508">
        <v>0</v>
      </c>
      <c r="CV11" s="1508">
        <v>0</v>
      </c>
      <c r="CW11" s="1508">
        <v>0</v>
      </c>
      <c r="CX11" s="1508">
        <v>0</v>
      </c>
      <c r="CY11" s="1508">
        <v>0</v>
      </c>
      <c r="CZ11" s="1508">
        <v>0</v>
      </c>
      <c r="DA11" s="1508">
        <v>0</v>
      </c>
      <c r="DB11" s="1508">
        <v>0</v>
      </c>
      <c r="DC11" s="1508">
        <v>0</v>
      </c>
      <c r="DD11" s="1508">
        <v>0</v>
      </c>
      <c r="DE11" s="1508">
        <v>0</v>
      </c>
      <c r="DF11" s="1508">
        <v>0</v>
      </c>
      <c r="DG11" s="1508">
        <v>0</v>
      </c>
      <c r="DH11" s="1508">
        <v>0</v>
      </c>
      <c r="DI11" s="1508">
        <v>0</v>
      </c>
      <c r="DJ11" s="1508">
        <v>0</v>
      </c>
      <c r="DK11" s="1508">
        <v>0</v>
      </c>
      <c r="DL11" s="1508">
        <v>0</v>
      </c>
      <c r="DN11" s="1509"/>
    </row>
    <row r="12" spans="1:118" s="14" customFormat="1" ht="10.5" customHeight="1" outlineLevel="2" x14ac:dyDescent="0.2">
      <c r="A12" s="1495"/>
      <c r="B12" s="1495"/>
      <c r="C12" s="1496" t="s">
        <v>554</v>
      </c>
      <c r="D12" s="14" t="str">
        <f>INDEX(Modulos[Modulos], MATCH($C12, Modulos[Código], 0))</f>
        <v>Comercial y Púbico</v>
      </c>
      <c r="G12" s="1498">
        <f t="shared" ref="G12:V12" ca="1" si="4">IFERROR(INDEX(INDIRECT($C12&amp;".Outputs["&amp;this.Year&amp;"]"), MATCH(G$5, INDIRECT($C12&amp;".Outputs[Vector]"), 0)), 0)</f>
        <v>17.487568659698969</v>
      </c>
      <c r="H12" s="1498">
        <f t="shared" ca="1" si="4"/>
        <v>14.413018636064249</v>
      </c>
      <c r="I12" s="1498">
        <f t="shared" ca="1" si="4"/>
        <v>1.1886178856086362</v>
      </c>
      <c r="J12" s="1498">
        <f t="shared" ca="1" si="4"/>
        <v>2.7251821128442231</v>
      </c>
      <c r="K12" s="1498">
        <f t="shared" ca="1" si="4"/>
        <v>1.467026534291678</v>
      </c>
      <c r="L12" s="1498">
        <f t="shared" ca="1" si="4"/>
        <v>8.4379638522379636</v>
      </c>
      <c r="M12" s="1498">
        <f t="shared" ca="1" si="4"/>
        <v>0</v>
      </c>
      <c r="N12" s="1498">
        <f t="shared" ca="1" si="4"/>
        <v>0</v>
      </c>
      <c r="O12" s="1498">
        <f t="shared" ca="1" si="4"/>
        <v>0</v>
      </c>
      <c r="P12" s="1498">
        <f t="shared" ca="1" si="4"/>
        <v>0</v>
      </c>
      <c r="Q12" s="1498">
        <f t="shared" ca="1" si="4"/>
        <v>0</v>
      </c>
      <c r="R12" s="1498">
        <f t="shared" ca="1" si="4"/>
        <v>0</v>
      </c>
      <c r="S12" s="1498">
        <f t="shared" ca="1" si="4"/>
        <v>0</v>
      </c>
      <c r="T12" s="1498">
        <f t="shared" ca="1" si="4"/>
        <v>0</v>
      </c>
      <c r="U12" s="1498">
        <f t="shared" ca="1" si="4"/>
        <v>0</v>
      </c>
      <c r="V12" s="1498">
        <f t="shared" ca="1" si="4"/>
        <v>0</v>
      </c>
      <c r="W12" s="1539">
        <f ca="1">SUM(G12:V12)</f>
        <v>45.719377680745716</v>
      </c>
      <c r="Y12" s="1500">
        <f t="shared" ref="Y12:AP12" ca="1" si="5">IFERROR(INDEX(INDIRECT($C12&amp;".Outputs["&amp;this.Year&amp;"]"), MATCH(Y$5, INDIRECT($C12&amp;".Outputs[Vector]"), 0)), 0)</f>
        <v>-26.062119503181826</v>
      </c>
      <c r="Z12" s="1500">
        <f t="shared" ca="1" si="5"/>
        <v>0</v>
      </c>
      <c r="AA12" s="1500">
        <f t="shared" ca="1" si="5"/>
        <v>0</v>
      </c>
      <c r="AB12" s="1500">
        <f t="shared" ca="1" si="5"/>
        <v>-9.7497819290894121</v>
      </c>
      <c r="AC12" s="1500">
        <f t="shared" ca="1" si="5"/>
        <v>-9.5506359975768369</v>
      </c>
      <c r="AD12" s="1500">
        <f t="shared" ca="1" si="5"/>
        <v>0</v>
      </c>
      <c r="AE12" s="1500">
        <f t="shared" ca="1" si="5"/>
        <v>0</v>
      </c>
      <c r="AF12" s="1500">
        <f t="shared" ca="1" si="5"/>
        <v>0</v>
      </c>
      <c r="AG12" s="1500">
        <f t="shared" ca="1" si="5"/>
        <v>0</v>
      </c>
      <c r="AH12" s="1500">
        <f t="shared" ca="1" si="5"/>
        <v>0</v>
      </c>
      <c r="AI12" s="1500">
        <f t="shared" ca="1" si="5"/>
        <v>0</v>
      </c>
      <c r="AJ12" s="1500">
        <f t="shared" ca="1" si="5"/>
        <v>0</v>
      </c>
      <c r="AK12" s="1500">
        <f t="shared" ca="1" si="5"/>
        <v>0</v>
      </c>
      <c r="AL12" s="1500">
        <f t="shared" ca="1" si="5"/>
        <v>-0.33311271764073619</v>
      </c>
      <c r="AM12" s="1500">
        <f t="shared" ca="1" si="5"/>
        <v>0</v>
      </c>
      <c r="AN12" s="1500">
        <f t="shared" ca="1" si="5"/>
        <v>0</v>
      </c>
      <c r="AO12" s="1500">
        <f t="shared" ca="1" si="5"/>
        <v>0</v>
      </c>
      <c r="AP12" s="1500">
        <f t="shared" ca="1" si="5"/>
        <v>0</v>
      </c>
      <c r="AQ12" s="1490">
        <f ca="1">SUM(Y12:AP12)</f>
        <v>-45.695650147488813</v>
      </c>
      <c r="AS12" s="1491">
        <f t="shared" ref="AS12:BK12" ca="1" si="6">IFERROR(INDEX(INDIRECT($C12&amp;".Outputs["&amp;this.Year&amp;"]"), MATCH(AS$5, INDIRECT($C12&amp;".Outputs[Vector]"), 0)), 0)</f>
        <v>0</v>
      </c>
      <c r="AT12" s="1491">
        <f t="shared" ca="1" si="6"/>
        <v>0</v>
      </c>
      <c r="AU12" s="1491">
        <f t="shared" ca="1" si="6"/>
        <v>0</v>
      </c>
      <c r="AV12" s="1491">
        <f t="shared" ca="1" si="6"/>
        <v>0</v>
      </c>
      <c r="AW12" s="1491">
        <f t="shared" ca="1" si="6"/>
        <v>0</v>
      </c>
      <c r="AX12" s="1491">
        <f t="shared" ca="1" si="6"/>
        <v>0</v>
      </c>
      <c r="AY12" s="1491">
        <f t="shared" ca="1" si="6"/>
        <v>0</v>
      </c>
      <c r="AZ12" s="1491">
        <f t="shared" ca="1" si="6"/>
        <v>0</v>
      </c>
      <c r="BA12" s="1491">
        <f t="shared" ca="1" si="6"/>
        <v>0</v>
      </c>
      <c r="BB12" s="1491">
        <f t="shared" ca="1" si="6"/>
        <v>0</v>
      </c>
      <c r="BC12" s="1491">
        <f t="shared" ca="1" si="6"/>
        <v>-2.3727533256899493E-2</v>
      </c>
      <c r="BD12" s="1491">
        <f t="shared" ca="1" si="6"/>
        <v>0</v>
      </c>
      <c r="BE12" s="1491">
        <f t="shared" ca="1" si="6"/>
        <v>0</v>
      </c>
      <c r="BF12" s="1491">
        <f t="shared" ca="1" si="6"/>
        <v>0</v>
      </c>
      <c r="BG12" s="1491">
        <f t="shared" ca="1" si="6"/>
        <v>0</v>
      </c>
      <c r="BH12" s="1491">
        <f t="shared" ca="1" si="6"/>
        <v>0</v>
      </c>
      <c r="BI12" s="1491">
        <f t="shared" ca="1" si="6"/>
        <v>0</v>
      </c>
      <c r="BJ12" s="1491">
        <f t="shared" ca="1" si="6"/>
        <v>0</v>
      </c>
      <c r="BK12" s="1491">
        <f t="shared" ca="1" si="6"/>
        <v>0</v>
      </c>
      <c r="BL12" s="1503">
        <f ca="1">SUM(AS12:BK12)</f>
        <v>-2.3727533256899493E-2</v>
      </c>
      <c r="BN12" s="1941">
        <f ca="1">IFERROR(INDEX(INDIRECT($C12&amp;".Outputs["&amp;this.Year&amp;"]"), MATCH(BN$5, INDIRECT($C12&amp;".Outputs[Vector]"), 0)), 0)</f>
        <v>0</v>
      </c>
      <c r="BO12" s="1941">
        <f ca="1">IFERROR(INDEX(INDIRECT($C12&amp;".Outputs["&amp;this.Year&amp;"]"), MATCH(BO$5, INDIRECT($C12&amp;".Outputs[Vector]"), 0)), 0)</f>
        <v>0</v>
      </c>
      <c r="BP12" s="1505">
        <f ca="1">BN12+BO12</f>
        <v>0</v>
      </c>
      <c r="BR12" s="3168">
        <f t="shared" ca="1" si="0"/>
        <v>3.1953606427492787E-15</v>
      </c>
      <c r="BS12" s="1506"/>
      <c r="BT12" s="748"/>
      <c r="BU12" s="1507">
        <v>16.670422935762357</v>
      </c>
      <c r="BV12" s="1508">
        <v>3.1691470049996472E-2</v>
      </c>
      <c r="BW12" s="1508">
        <v>7.1890492881915569E-2</v>
      </c>
      <c r="BX12" s="1508">
        <v>0</v>
      </c>
      <c r="BY12" s="1508">
        <v>0</v>
      </c>
      <c r="BZ12" s="1508">
        <v>0</v>
      </c>
      <c r="CA12" s="1508">
        <v>0</v>
      </c>
      <c r="CB12" s="1508">
        <v>0</v>
      </c>
      <c r="CC12" s="1508">
        <v>0</v>
      </c>
      <c r="CD12" s="1508">
        <v>0</v>
      </c>
      <c r="CE12" s="1508">
        <v>0</v>
      </c>
      <c r="CF12" s="1508">
        <v>0</v>
      </c>
      <c r="CG12" s="1508">
        <v>0</v>
      </c>
      <c r="CH12" s="1508">
        <v>0</v>
      </c>
      <c r="CI12" s="1508">
        <v>0</v>
      </c>
      <c r="CJ12" s="1508">
        <v>0</v>
      </c>
      <c r="CK12" s="1508">
        <v>0</v>
      </c>
      <c r="CL12" s="1508">
        <v>0</v>
      </c>
      <c r="CM12" s="1508">
        <v>0</v>
      </c>
      <c r="CN12" s="1508">
        <v>0</v>
      </c>
      <c r="CO12" s="1508">
        <v>0</v>
      </c>
      <c r="CP12" s="1508">
        <v>0</v>
      </c>
      <c r="CQ12" s="1508">
        <v>0</v>
      </c>
      <c r="CR12" s="1508">
        <v>0</v>
      </c>
      <c r="CS12" s="1508">
        <v>0</v>
      </c>
      <c r="CT12" s="1508">
        <v>0</v>
      </c>
      <c r="CU12" s="1508">
        <v>0</v>
      </c>
      <c r="CV12" s="1508">
        <v>0</v>
      </c>
      <c r="CW12" s="1508">
        <v>0</v>
      </c>
      <c r="CX12" s="1508">
        <v>0</v>
      </c>
      <c r="CY12" s="1508">
        <v>0</v>
      </c>
      <c r="CZ12" s="1508">
        <v>0</v>
      </c>
      <c r="DA12" s="1508">
        <v>0</v>
      </c>
      <c r="DB12" s="1508">
        <v>0</v>
      </c>
      <c r="DC12" s="1508">
        <v>0</v>
      </c>
      <c r="DD12" s="1508">
        <v>0</v>
      </c>
      <c r="DE12" s="1508">
        <v>0</v>
      </c>
      <c r="DF12" s="1508">
        <v>0</v>
      </c>
      <c r="DG12" s="1508">
        <v>0</v>
      </c>
      <c r="DH12" s="1508">
        <v>0</v>
      </c>
      <c r="DI12" s="1508">
        <v>0</v>
      </c>
      <c r="DJ12" s="1508">
        <v>0</v>
      </c>
      <c r="DK12" s="1508">
        <v>0</v>
      </c>
      <c r="DL12" s="1508">
        <v>0</v>
      </c>
      <c r="DN12" s="1509"/>
    </row>
    <row r="13" spans="1:118" s="14" customFormat="1" ht="10.5" customHeight="1" outlineLevel="2" x14ac:dyDescent="0.2">
      <c r="A13" s="1510"/>
      <c r="B13" s="1510"/>
      <c r="C13" s="1511"/>
      <c r="D13" s="1510"/>
      <c r="E13" s="1512"/>
      <c r="G13" s="1513"/>
      <c r="H13" s="1513"/>
      <c r="I13" s="1513"/>
      <c r="J13" s="1513"/>
      <c r="K13" s="1513"/>
      <c r="L13" s="1513"/>
      <c r="M13" s="1513"/>
      <c r="N13" s="1513"/>
      <c r="O13" s="1513"/>
      <c r="P13" s="1513"/>
      <c r="Q13" s="1513"/>
      <c r="R13" s="1513"/>
      <c r="S13" s="1513"/>
      <c r="T13" s="1513"/>
      <c r="U13" s="1513"/>
      <c r="V13" s="1513"/>
      <c r="W13" s="1514"/>
      <c r="Y13" s="1515"/>
      <c r="Z13" s="1515"/>
      <c r="AA13" s="1515"/>
      <c r="AB13" s="1515"/>
      <c r="AC13" s="1515"/>
      <c r="AD13" s="1515"/>
      <c r="AE13" s="1515"/>
      <c r="AF13" s="1515"/>
      <c r="AG13" s="1515"/>
      <c r="AH13" s="1515"/>
      <c r="AI13" s="1515"/>
      <c r="AJ13" s="1515"/>
      <c r="AK13" s="1515"/>
      <c r="AL13" s="1515"/>
      <c r="AM13" s="1515"/>
      <c r="AN13" s="1515"/>
      <c r="AO13" s="1515"/>
      <c r="AP13" s="1515"/>
      <c r="AQ13" s="1516"/>
      <c r="AS13" s="1517"/>
      <c r="AT13" s="1517"/>
      <c r="AU13" s="1517"/>
      <c r="AV13" s="1517"/>
      <c r="AW13" s="1517"/>
      <c r="AX13" s="1517"/>
      <c r="AY13" s="1517"/>
      <c r="AZ13" s="1517"/>
      <c r="BA13" s="1517"/>
      <c r="BB13" s="1517"/>
      <c r="BC13" s="1517"/>
      <c r="BD13" s="1517"/>
      <c r="BE13" s="1517"/>
      <c r="BF13" s="1517"/>
      <c r="BG13" s="1517"/>
      <c r="BH13" s="1517"/>
      <c r="BI13" s="1517"/>
      <c r="BJ13" s="1517"/>
      <c r="BK13" s="1517"/>
      <c r="BL13" s="1518"/>
      <c r="BN13" s="1519"/>
      <c r="BO13" s="1519"/>
      <c r="BP13" s="1520"/>
      <c r="BR13" s="3168">
        <f t="shared" si="0"/>
        <v>0</v>
      </c>
      <c r="BS13" s="1521"/>
      <c r="BT13" s="748"/>
      <c r="BU13" s="1507">
        <v>0</v>
      </c>
      <c r="BV13" s="1508">
        <v>0</v>
      </c>
      <c r="BW13" s="1508">
        <v>0</v>
      </c>
      <c r="BX13" s="1508">
        <v>0</v>
      </c>
      <c r="BY13" s="1508">
        <v>0</v>
      </c>
      <c r="BZ13" s="1508">
        <v>0</v>
      </c>
      <c r="CA13" s="1508">
        <v>0</v>
      </c>
      <c r="CB13" s="1508">
        <v>0</v>
      </c>
      <c r="CC13" s="1508">
        <v>0</v>
      </c>
      <c r="CD13" s="1508">
        <v>0</v>
      </c>
      <c r="CE13" s="1508">
        <v>0</v>
      </c>
      <c r="CF13" s="1508">
        <v>0</v>
      </c>
      <c r="CG13" s="1508">
        <v>0</v>
      </c>
      <c r="CH13" s="1508">
        <v>0</v>
      </c>
      <c r="CI13" s="1508">
        <v>0</v>
      </c>
      <c r="CJ13" s="1508">
        <v>0</v>
      </c>
      <c r="CK13" s="1508">
        <v>0</v>
      </c>
      <c r="CL13" s="1508">
        <v>0</v>
      </c>
      <c r="CM13" s="1508">
        <v>0</v>
      </c>
      <c r="CN13" s="1508">
        <v>0</v>
      </c>
      <c r="CO13" s="1508">
        <v>0</v>
      </c>
      <c r="CP13" s="1508">
        <v>0</v>
      </c>
      <c r="CQ13" s="1508">
        <v>0</v>
      </c>
      <c r="CR13" s="1508">
        <v>0</v>
      </c>
      <c r="CS13" s="1508">
        <v>0</v>
      </c>
      <c r="CT13" s="1508">
        <v>0</v>
      </c>
      <c r="CU13" s="1508">
        <v>0</v>
      </c>
      <c r="CV13" s="1508">
        <v>0</v>
      </c>
      <c r="CW13" s="1508">
        <v>0</v>
      </c>
      <c r="CX13" s="1508">
        <v>0</v>
      </c>
      <c r="CY13" s="1508">
        <v>0</v>
      </c>
      <c r="CZ13" s="1508">
        <v>0</v>
      </c>
      <c r="DA13" s="1508">
        <v>0</v>
      </c>
      <c r="DB13" s="1508">
        <v>0</v>
      </c>
      <c r="DC13" s="1508">
        <v>0</v>
      </c>
      <c r="DD13" s="1508">
        <v>0</v>
      </c>
      <c r="DE13" s="1508">
        <v>0</v>
      </c>
      <c r="DF13" s="1508">
        <v>0</v>
      </c>
      <c r="DG13" s="1508">
        <v>0</v>
      </c>
      <c r="DH13" s="1508">
        <v>0</v>
      </c>
      <c r="DI13" s="1508">
        <v>0</v>
      </c>
      <c r="DJ13" s="1508">
        <v>0</v>
      </c>
      <c r="DK13" s="1508">
        <v>0</v>
      </c>
      <c r="DL13" s="1508">
        <v>0</v>
      </c>
      <c r="DN13" s="1509"/>
    </row>
    <row r="14" spans="1:118" s="14" customFormat="1" ht="12.75" customHeight="1" outlineLevel="1" x14ac:dyDescent="0.2">
      <c r="A14" s="1522"/>
      <c r="B14" s="1522"/>
      <c r="C14" s="1496"/>
      <c r="D14" s="1526"/>
      <c r="E14" s="1526"/>
      <c r="G14" s="1527"/>
      <c r="H14" s="1527"/>
      <c r="I14" s="1527"/>
      <c r="J14" s="1527"/>
      <c r="K14" s="1527"/>
      <c r="L14" s="1527"/>
      <c r="M14" s="1527"/>
      <c r="N14" s="1527"/>
      <c r="O14" s="1527"/>
      <c r="P14" s="1527"/>
      <c r="Q14" s="1527"/>
      <c r="R14" s="1527"/>
      <c r="S14" s="1527"/>
      <c r="T14" s="1527"/>
      <c r="U14" s="1527"/>
      <c r="V14" s="1527"/>
      <c r="W14" s="1527"/>
      <c r="Y14" s="1528"/>
      <c r="Z14" s="1528"/>
      <c r="AA14" s="1528"/>
      <c r="AB14" s="1528"/>
      <c r="AC14" s="1528"/>
      <c r="AD14" s="1528"/>
      <c r="AE14" s="1528"/>
      <c r="AF14" s="1528"/>
      <c r="AG14" s="1528"/>
      <c r="AH14" s="1528"/>
      <c r="AI14" s="1528"/>
      <c r="AJ14" s="1528"/>
      <c r="AK14" s="1528"/>
      <c r="AL14" s="1528"/>
      <c r="AM14" s="1528"/>
      <c r="AN14" s="1528"/>
      <c r="AO14" s="1528"/>
      <c r="AP14" s="1528"/>
      <c r="AQ14" s="1528"/>
      <c r="AS14" s="1529"/>
      <c r="AT14" s="1529"/>
      <c r="AU14" s="1529"/>
      <c r="AV14" s="1529"/>
      <c r="AW14" s="1529"/>
      <c r="AX14" s="1529"/>
      <c r="AY14" s="1529"/>
      <c r="AZ14" s="1529"/>
      <c r="BA14" s="1529"/>
      <c r="BB14" s="1529"/>
      <c r="BC14" s="1529"/>
      <c r="BD14" s="1529"/>
      <c r="BE14" s="1529"/>
      <c r="BF14" s="1529"/>
      <c r="BG14" s="1529"/>
      <c r="BH14" s="1529"/>
      <c r="BI14" s="1529"/>
      <c r="BJ14" s="1529"/>
      <c r="BK14" s="1529"/>
      <c r="BL14" s="1530"/>
      <c r="BN14" s="1531"/>
      <c r="BO14" s="1531"/>
      <c r="BP14" s="1531"/>
      <c r="BR14" s="3168">
        <f t="shared" si="0"/>
        <v>0</v>
      </c>
      <c r="BS14" s="1525"/>
      <c r="BT14" s="748"/>
      <c r="BU14" s="1532">
        <v>16.670422935762357</v>
      </c>
      <c r="BV14" s="1533">
        <v>3.1691470049996472E-2</v>
      </c>
      <c r="BW14" s="1533">
        <v>7.1890492881915569E-2</v>
      </c>
      <c r="BX14" s="1533">
        <v>0</v>
      </c>
      <c r="BY14" s="1533">
        <v>0</v>
      </c>
      <c r="BZ14" s="1533">
        <v>0</v>
      </c>
      <c r="CA14" s="1533">
        <v>0</v>
      </c>
      <c r="CB14" s="1533">
        <v>0</v>
      </c>
      <c r="CC14" s="1533">
        <v>0</v>
      </c>
      <c r="CD14" s="1533">
        <v>0</v>
      </c>
      <c r="CE14" s="1533">
        <v>0</v>
      </c>
      <c r="CF14" s="1533">
        <v>0</v>
      </c>
      <c r="CG14" s="1533">
        <v>0</v>
      </c>
      <c r="CH14" s="1533">
        <v>0</v>
      </c>
      <c r="CI14" s="1533">
        <v>0</v>
      </c>
      <c r="CJ14" s="1533">
        <v>0</v>
      </c>
      <c r="CK14" s="1533">
        <v>0</v>
      </c>
      <c r="CL14" s="1533">
        <v>0</v>
      </c>
      <c r="CM14" s="1533">
        <v>0</v>
      </c>
      <c r="CN14" s="1533">
        <v>0</v>
      </c>
      <c r="CO14" s="1533">
        <v>0</v>
      </c>
      <c r="CP14" s="1533">
        <v>0</v>
      </c>
      <c r="CQ14" s="1533">
        <v>0</v>
      </c>
      <c r="CR14" s="1533">
        <v>0</v>
      </c>
      <c r="CS14" s="1533">
        <v>0</v>
      </c>
      <c r="CT14" s="1533">
        <v>0</v>
      </c>
      <c r="CU14" s="1533">
        <v>0</v>
      </c>
      <c r="CV14" s="1533">
        <v>0</v>
      </c>
      <c r="CW14" s="1533">
        <v>0</v>
      </c>
      <c r="CX14" s="1533">
        <v>0</v>
      </c>
      <c r="CY14" s="1533">
        <v>0</v>
      </c>
      <c r="CZ14" s="1533">
        <v>0</v>
      </c>
      <c r="DA14" s="1533">
        <v>0</v>
      </c>
      <c r="DB14" s="1533">
        <v>0</v>
      </c>
      <c r="DC14" s="1533">
        <v>0</v>
      </c>
      <c r="DD14" s="1533">
        <v>0</v>
      </c>
      <c r="DE14" s="1533">
        <v>0</v>
      </c>
      <c r="DF14" s="1533">
        <v>0</v>
      </c>
      <c r="DG14" s="1533">
        <v>0</v>
      </c>
      <c r="DH14" s="1533">
        <v>0</v>
      </c>
      <c r="DI14" s="1533">
        <v>0</v>
      </c>
      <c r="DJ14" s="1533">
        <v>0</v>
      </c>
      <c r="DK14" s="1533">
        <v>0</v>
      </c>
      <c r="DL14" s="1533">
        <v>0</v>
      </c>
      <c r="DN14" s="1509"/>
    </row>
    <row r="15" spans="1:118" s="14" customFormat="1" ht="15.75" x14ac:dyDescent="0.2">
      <c r="A15" s="1534"/>
      <c r="B15" s="1535"/>
      <c r="C15" s="1536" t="s">
        <v>478</v>
      </c>
      <c r="D15" s="1537" t="str">
        <f>INDEX(Flujos[Flujos], MATCH($C15, Flujos[Código], 0))</f>
        <v>Comercial, Público y Residencial</v>
      </c>
      <c r="E15" s="1538"/>
      <c r="G15" s="1539">
        <f ca="1">G9+G12</f>
        <v>92.608642449977623</v>
      </c>
      <c r="H15" s="1539">
        <f ca="1">H9+H12</f>
        <v>18.149057829896936</v>
      </c>
      <c r="I15" s="1539">
        <f t="shared" ref="I15:V15" ca="1" si="7">I9+I12</f>
        <v>7.8601164460241479</v>
      </c>
      <c r="J15" s="1539">
        <f t="shared" ca="1" si="7"/>
        <v>26.208857045506825</v>
      </c>
      <c r="K15" s="1539">
        <f t="shared" ca="1" si="7"/>
        <v>11.607704346123256</v>
      </c>
      <c r="L15" s="1539">
        <f t="shared" ca="1" si="7"/>
        <v>22.714970771527163</v>
      </c>
      <c r="M15" s="1539">
        <f t="shared" ca="1" si="7"/>
        <v>0</v>
      </c>
      <c r="N15" s="1539">
        <f t="shared" ca="1" si="7"/>
        <v>0</v>
      </c>
      <c r="O15" s="1539">
        <f t="shared" ca="1" si="7"/>
        <v>0</v>
      </c>
      <c r="P15" s="1539">
        <f t="shared" ca="1" si="7"/>
        <v>0</v>
      </c>
      <c r="Q15" s="1539">
        <f t="shared" ca="1" si="7"/>
        <v>0</v>
      </c>
      <c r="R15" s="1539">
        <f t="shared" ca="1" si="7"/>
        <v>0</v>
      </c>
      <c r="S15" s="1539">
        <f t="shared" ca="1" si="7"/>
        <v>0</v>
      </c>
      <c r="T15" s="1539">
        <f t="shared" ca="1" si="7"/>
        <v>0</v>
      </c>
      <c r="U15" s="1539">
        <f t="shared" ca="1" si="7"/>
        <v>0</v>
      </c>
      <c r="V15" s="1539">
        <f t="shared" ca="1" si="7"/>
        <v>0</v>
      </c>
      <c r="W15" s="1539">
        <f ca="1">SUM(G15:V15)</f>
        <v>179.14934888905594</v>
      </c>
      <c r="Y15" s="1490">
        <f ca="1">Y9+Y12</f>
        <v>-66.55802068824508</v>
      </c>
      <c r="Z15" s="1490">
        <f t="shared" ref="Z15:AP15" ca="1" si="8">Z9+Z12</f>
        <v>0</v>
      </c>
      <c r="AA15" s="1490">
        <f t="shared" ca="1" si="8"/>
        <v>0</v>
      </c>
      <c r="AB15" s="1490">
        <f ca="1">AB9+AB12</f>
        <v>-26.759553356754108</v>
      </c>
      <c r="AC15" s="1490">
        <f t="shared" ca="1" si="8"/>
        <v>-75.680499833195441</v>
      </c>
      <c r="AD15" s="1490">
        <f t="shared" ca="1" si="8"/>
        <v>0</v>
      </c>
      <c r="AE15" s="1490">
        <f t="shared" ca="1" si="8"/>
        <v>0</v>
      </c>
      <c r="AF15" s="1490">
        <f t="shared" ca="1" si="8"/>
        <v>0</v>
      </c>
      <c r="AG15" s="1490">
        <f t="shared" ca="1" si="8"/>
        <v>0</v>
      </c>
      <c r="AH15" s="1490">
        <f t="shared" ca="1" si="8"/>
        <v>0</v>
      </c>
      <c r="AI15" s="1490">
        <f t="shared" ca="1" si="8"/>
        <v>0</v>
      </c>
      <c r="AJ15" s="1490">
        <f t="shared" ca="1" si="8"/>
        <v>0</v>
      </c>
      <c r="AK15" s="1490">
        <f t="shared" ca="1" si="8"/>
        <v>0</v>
      </c>
      <c r="AL15" s="1490">
        <f t="shared" ca="1" si="8"/>
        <v>-10.127547477604431</v>
      </c>
      <c r="AM15" s="1490">
        <f t="shared" ca="1" si="8"/>
        <v>0</v>
      </c>
      <c r="AN15" s="1490">
        <f t="shared" ca="1" si="8"/>
        <v>0</v>
      </c>
      <c r="AO15" s="1490">
        <f t="shared" ca="1" si="8"/>
        <v>0</v>
      </c>
      <c r="AP15" s="1490">
        <f t="shared" ca="1" si="8"/>
        <v>0</v>
      </c>
      <c r="AQ15" s="1490">
        <f ca="1">SUM(Y15:AP15)</f>
        <v>-179.12562135579907</v>
      </c>
      <c r="AS15" s="1491">
        <f ca="1">AS9+AS12</f>
        <v>0</v>
      </c>
      <c r="AT15" s="1491">
        <f t="shared" ref="AT15:BJ15" ca="1" si="9">AT9+AT12</f>
        <v>0</v>
      </c>
      <c r="AU15" s="1491">
        <f t="shared" ca="1" si="9"/>
        <v>0</v>
      </c>
      <c r="AV15" s="1491">
        <f t="shared" ca="1" si="9"/>
        <v>0</v>
      </c>
      <c r="AW15" s="1491">
        <f t="shared" ca="1" si="9"/>
        <v>0</v>
      </c>
      <c r="AX15" s="1491">
        <f t="shared" ca="1" si="9"/>
        <v>0</v>
      </c>
      <c r="AY15" s="1491">
        <f t="shared" ca="1" si="9"/>
        <v>0</v>
      </c>
      <c r="AZ15" s="1491">
        <f t="shared" ca="1" si="9"/>
        <v>0</v>
      </c>
      <c r="BA15" s="1491">
        <f t="shared" ca="1" si="9"/>
        <v>0</v>
      </c>
      <c r="BB15" s="1491">
        <f t="shared" ca="1" si="9"/>
        <v>0</v>
      </c>
      <c r="BC15" s="1491">
        <f t="shared" ca="1" si="9"/>
        <v>-2.3727533256899493E-2</v>
      </c>
      <c r="BD15" s="1491">
        <f t="shared" ca="1" si="9"/>
        <v>0</v>
      </c>
      <c r="BE15" s="1491">
        <f t="shared" ca="1" si="9"/>
        <v>0</v>
      </c>
      <c r="BF15" s="1491">
        <f t="shared" ca="1" si="9"/>
        <v>0</v>
      </c>
      <c r="BG15" s="1491">
        <f t="shared" ca="1" si="9"/>
        <v>0</v>
      </c>
      <c r="BH15" s="1491">
        <f t="shared" ca="1" si="9"/>
        <v>0</v>
      </c>
      <c r="BI15" s="1491">
        <f t="shared" ca="1" si="9"/>
        <v>0</v>
      </c>
      <c r="BJ15" s="1491">
        <f t="shared" ca="1" si="9"/>
        <v>0</v>
      </c>
      <c r="BK15" s="1491">
        <f ca="1">BK9+BK12</f>
        <v>0</v>
      </c>
      <c r="BL15" s="1491">
        <f ca="1">SUM(AS15:BK15)</f>
        <v>-2.3727533256899493E-2</v>
      </c>
      <c r="BN15" s="1941">
        <f ca="1">BN9+BN12</f>
        <v>0</v>
      </c>
      <c r="BO15" s="1941">
        <f ca="1">BO9+BO12</f>
        <v>0</v>
      </c>
      <c r="BP15" s="1505">
        <f ca="1">BN15+BO15</f>
        <v>0</v>
      </c>
      <c r="BR15" s="3168">
        <f ca="1">W15+AQ15+BL15+BP15</f>
        <v>-2.5226348787654729E-14</v>
      </c>
      <c r="BS15" s="1493"/>
      <c r="BT15" s="748"/>
      <c r="BU15" s="1508">
        <v>83.962192100216072</v>
      </c>
      <c r="BV15" s="1508">
        <v>0.16824651887377906</v>
      </c>
      <c r="BW15" s="1508">
        <v>0.29702226229713091</v>
      </c>
      <c r="BX15" s="1508">
        <v>0</v>
      </c>
      <c r="BY15" s="1508">
        <v>0</v>
      </c>
      <c r="BZ15" s="1508">
        <v>0</v>
      </c>
      <c r="CA15" s="1508">
        <v>0</v>
      </c>
      <c r="CB15" s="1508">
        <v>0</v>
      </c>
      <c r="CC15" s="1508">
        <v>0</v>
      </c>
      <c r="CD15" s="1508">
        <v>0</v>
      </c>
      <c r="CE15" s="1508">
        <v>0</v>
      </c>
      <c r="CF15" s="1508">
        <v>0</v>
      </c>
      <c r="CG15" s="1508">
        <v>0</v>
      </c>
      <c r="CH15" s="1508">
        <v>0</v>
      </c>
      <c r="CI15" s="1508">
        <v>0</v>
      </c>
      <c r="CJ15" s="1508">
        <v>0</v>
      </c>
      <c r="CK15" s="1508">
        <v>0</v>
      </c>
      <c r="CL15" s="1508">
        <v>0</v>
      </c>
      <c r="CM15" s="1508">
        <v>0</v>
      </c>
      <c r="CN15" s="1508">
        <v>0</v>
      </c>
      <c r="CO15" s="1508">
        <v>0</v>
      </c>
      <c r="CP15" s="1508">
        <v>0</v>
      </c>
      <c r="CQ15" s="1508">
        <v>0</v>
      </c>
      <c r="CR15" s="1508">
        <v>0</v>
      </c>
      <c r="CS15" s="1508">
        <v>0</v>
      </c>
      <c r="CT15" s="1508">
        <v>0</v>
      </c>
      <c r="CU15" s="1508">
        <v>0</v>
      </c>
      <c r="CV15" s="1508">
        <v>0</v>
      </c>
      <c r="CW15" s="1508">
        <v>0</v>
      </c>
      <c r="CX15" s="1508">
        <v>0</v>
      </c>
      <c r="CY15" s="1508">
        <v>0</v>
      </c>
      <c r="CZ15" s="1508">
        <v>0</v>
      </c>
      <c r="DA15" s="1508">
        <v>0</v>
      </c>
      <c r="DB15" s="1508">
        <v>0</v>
      </c>
      <c r="DC15" s="1508">
        <v>0</v>
      </c>
      <c r="DD15" s="1508">
        <v>0</v>
      </c>
      <c r="DE15" s="1508">
        <v>0</v>
      </c>
      <c r="DF15" s="1508">
        <v>0</v>
      </c>
      <c r="DG15" s="1508">
        <v>0</v>
      </c>
      <c r="DH15" s="1508">
        <v>0</v>
      </c>
      <c r="DI15" s="1508">
        <v>0</v>
      </c>
      <c r="DJ15" s="1508">
        <v>0</v>
      </c>
      <c r="DK15" s="1508">
        <v>0</v>
      </c>
      <c r="DL15" s="1508">
        <v>0</v>
      </c>
      <c r="DN15" s="1509">
        <v>84.427460881386978</v>
      </c>
    </row>
    <row r="16" spans="1:118" s="14" customFormat="1" ht="15.75" x14ac:dyDescent="0.2">
      <c r="A16" s="1534"/>
      <c r="B16" s="1535"/>
      <c r="C16" s="1536"/>
      <c r="D16" s="1537"/>
      <c r="E16" s="1538"/>
      <c r="G16" s="1539"/>
      <c r="H16" s="1539"/>
      <c r="I16" s="1539"/>
      <c r="J16" s="1539"/>
      <c r="K16" s="1539"/>
      <c r="L16" s="1539"/>
      <c r="M16" s="1539"/>
      <c r="N16" s="1539"/>
      <c r="O16" s="1539"/>
      <c r="P16" s="1539"/>
      <c r="Q16" s="1539"/>
      <c r="R16" s="1539"/>
      <c r="S16" s="1539"/>
      <c r="T16" s="1539"/>
      <c r="U16" s="1539"/>
      <c r="V16" s="1539"/>
      <c r="W16" s="1539"/>
      <c r="Y16" s="1490"/>
      <c r="Z16" s="1490"/>
      <c r="AA16" s="1490"/>
      <c r="AB16" s="1490"/>
      <c r="AC16" s="1490"/>
      <c r="AD16" s="1490"/>
      <c r="AE16" s="1490"/>
      <c r="AF16" s="1490"/>
      <c r="AG16" s="1490"/>
      <c r="AH16" s="1490"/>
      <c r="AI16" s="1490"/>
      <c r="AJ16" s="1490"/>
      <c r="AK16" s="1490"/>
      <c r="AL16" s="1490"/>
      <c r="AM16" s="1490"/>
      <c r="AN16" s="1490"/>
      <c r="AO16" s="1490"/>
      <c r="AP16" s="1490"/>
      <c r="AQ16" s="1490"/>
      <c r="AS16" s="1491"/>
      <c r="AT16" s="1491"/>
      <c r="AU16" s="1491"/>
      <c r="AV16" s="1491"/>
      <c r="AW16" s="1491"/>
      <c r="AX16" s="1491"/>
      <c r="AY16" s="1491"/>
      <c r="AZ16" s="1491"/>
      <c r="BA16" s="1491"/>
      <c r="BB16" s="1491"/>
      <c r="BC16" s="1491"/>
      <c r="BD16" s="1491"/>
      <c r="BE16" s="1491"/>
      <c r="BF16" s="1491"/>
      <c r="BG16" s="1491"/>
      <c r="BH16" s="1491"/>
      <c r="BI16" s="1491"/>
      <c r="BJ16" s="1491"/>
      <c r="BK16" s="1491"/>
      <c r="BL16" s="1491"/>
      <c r="BN16" s="1492"/>
      <c r="BO16" s="1492"/>
      <c r="BP16" s="1492"/>
      <c r="BR16" s="3168"/>
      <c r="BS16" s="1493"/>
      <c r="BT16" s="748"/>
      <c r="BU16" s="1508"/>
      <c r="BV16" s="1508"/>
      <c r="BW16" s="1508"/>
      <c r="BX16" s="1508"/>
      <c r="BY16" s="1508"/>
      <c r="BZ16" s="1508"/>
      <c r="CA16" s="1508"/>
      <c r="CB16" s="1508"/>
      <c r="CC16" s="1508"/>
      <c r="CD16" s="1508"/>
      <c r="CE16" s="1508"/>
      <c r="CF16" s="1508"/>
      <c r="CG16" s="1508"/>
      <c r="CH16" s="1508"/>
      <c r="CI16" s="1508"/>
      <c r="CJ16" s="1508"/>
      <c r="CK16" s="1508"/>
      <c r="CL16" s="1508"/>
      <c r="CM16" s="1508"/>
      <c r="CN16" s="1508"/>
      <c r="CO16" s="1508"/>
      <c r="CP16" s="1508"/>
      <c r="CQ16" s="1508"/>
      <c r="CR16" s="1508"/>
      <c r="CS16" s="1508"/>
      <c r="CT16" s="1508"/>
      <c r="CU16" s="1508"/>
      <c r="CV16" s="1508"/>
      <c r="CW16" s="1508"/>
      <c r="CX16" s="1508"/>
      <c r="CY16" s="1508"/>
      <c r="CZ16" s="1508"/>
      <c r="DA16" s="1508"/>
      <c r="DB16" s="1508"/>
      <c r="DC16" s="1508"/>
      <c r="DD16" s="1508"/>
      <c r="DE16" s="1508"/>
      <c r="DF16" s="1508"/>
      <c r="DG16" s="1508"/>
      <c r="DH16" s="1508"/>
      <c r="DI16" s="1508"/>
      <c r="DJ16" s="1508"/>
      <c r="DK16" s="1508"/>
      <c r="DL16" s="1508"/>
      <c r="DN16" s="1509"/>
    </row>
    <row r="17" spans="1:118" s="14" customFormat="1" ht="12.75" hidden="1" customHeight="1" outlineLevel="1" x14ac:dyDescent="0.2">
      <c r="A17" s="1522"/>
      <c r="B17" s="1522"/>
      <c r="C17" s="1496"/>
      <c r="D17" s="1497"/>
      <c r="E17" s="1497"/>
      <c r="G17" s="1499"/>
      <c r="H17" s="1499"/>
      <c r="I17" s="1499"/>
      <c r="J17" s="1499"/>
      <c r="K17" s="1499"/>
      <c r="L17" s="1499"/>
      <c r="M17" s="1499"/>
      <c r="N17" s="1499"/>
      <c r="O17" s="1499"/>
      <c r="P17" s="1499"/>
      <c r="Q17" s="1499"/>
      <c r="R17" s="1499"/>
      <c r="S17" s="1499"/>
      <c r="T17" s="1499"/>
      <c r="U17" s="1499"/>
      <c r="V17" s="1499"/>
      <c r="W17" s="1539">
        <f t="shared" ref="W17:W33" si="10">SUM(G17:V17)</f>
        <v>0</v>
      </c>
      <c r="Y17" s="1501"/>
      <c r="Z17" s="1501"/>
      <c r="AA17" s="1501"/>
      <c r="AB17" s="1501"/>
      <c r="AC17" s="1501"/>
      <c r="AD17" s="1501"/>
      <c r="AE17" s="1501"/>
      <c r="AF17" s="1501"/>
      <c r="AG17" s="1501"/>
      <c r="AH17" s="1501"/>
      <c r="AI17" s="1501"/>
      <c r="AJ17" s="1501"/>
      <c r="AK17" s="1501"/>
      <c r="AL17" s="1501"/>
      <c r="AM17" s="1501"/>
      <c r="AN17" s="1501"/>
      <c r="AO17" s="1501"/>
      <c r="AP17" s="1501"/>
      <c r="AQ17" s="1490">
        <f t="shared" ref="AQ17:AQ27" si="11">SUM(Y17:AP17)</f>
        <v>0</v>
      </c>
      <c r="AS17" s="1523"/>
      <c r="AT17" s="1523"/>
      <c r="AU17" s="1523"/>
      <c r="AV17" s="1523"/>
      <c r="AW17" s="1523"/>
      <c r="AX17" s="1523"/>
      <c r="AY17" s="1523"/>
      <c r="AZ17" s="1523"/>
      <c r="BA17" s="1523"/>
      <c r="BB17" s="1523"/>
      <c r="BC17" s="1523"/>
      <c r="BD17" s="1523"/>
      <c r="BE17" s="1523"/>
      <c r="BF17" s="1523"/>
      <c r="BG17" s="1523"/>
      <c r="BH17" s="1523"/>
      <c r="BI17" s="1523"/>
      <c r="BJ17" s="1523"/>
      <c r="BK17" s="1523"/>
      <c r="BL17" s="1524"/>
      <c r="BN17" s="1505"/>
      <c r="BO17" s="1505"/>
      <c r="BP17" s="1505"/>
      <c r="BR17" s="3168">
        <f t="shared" ref="BR17:BR76" si="12">W17+AQ17+BL17+BP17</f>
        <v>0</v>
      </c>
      <c r="BS17" s="1525"/>
      <c r="BT17" s="1522"/>
      <c r="BU17" s="1507"/>
      <c r="BV17" s="1508"/>
      <c r="BW17" s="1508"/>
      <c r="BX17" s="1508"/>
      <c r="BY17" s="1508"/>
      <c r="BZ17" s="1508"/>
      <c r="CA17" s="1508"/>
      <c r="CB17" s="1508"/>
      <c r="CC17" s="1508"/>
      <c r="CD17" s="1508"/>
      <c r="CE17" s="1508"/>
      <c r="CF17" s="1508"/>
      <c r="CG17" s="1508"/>
      <c r="CH17" s="1508"/>
      <c r="CI17" s="1508"/>
      <c r="CJ17" s="1508"/>
      <c r="CK17" s="1508"/>
      <c r="CL17" s="1508"/>
      <c r="CM17" s="1508"/>
      <c r="CN17" s="1508"/>
      <c r="CO17" s="1508"/>
      <c r="CP17" s="1508"/>
      <c r="CQ17" s="1508"/>
      <c r="CR17" s="1508"/>
      <c r="CS17" s="1508"/>
      <c r="CT17" s="1508"/>
      <c r="CU17" s="1508"/>
      <c r="CV17" s="1508"/>
      <c r="CW17" s="1508"/>
      <c r="CX17" s="1508"/>
      <c r="CY17" s="1508"/>
      <c r="CZ17" s="1508"/>
      <c r="DA17" s="1508"/>
      <c r="DB17" s="1508"/>
      <c r="DC17" s="1508"/>
      <c r="DD17" s="1508"/>
      <c r="DE17" s="1508"/>
      <c r="DF17" s="1508"/>
      <c r="DG17" s="1508"/>
      <c r="DH17" s="1508"/>
      <c r="DI17" s="1508"/>
      <c r="DJ17" s="1508"/>
      <c r="DK17" s="1508"/>
      <c r="DL17" s="1508"/>
      <c r="DN17" s="1509">
        <v>0</v>
      </c>
    </row>
    <row r="18" spans="1:118" s="14" customFormat="1" ht="12.75" hidden="1" customHeight="1" outlineLevel="1" x14ac:dyDescent="0.2">
      <c r="A18" s="1522"/>
      <c r="B18" s="1522"/>
      <c r="C18" s="1496" t="s">
        <v>425</v>
      </c>
      <c r="D18" s="14" t="str">
        <f>INDEX(Modulos[Modulos], MATCH($C18, Modulos[Código], 0))</f>
        <v>Procesos Industriales</v>
      </c>
      <c r="E18" s="1526"/>
      <c r="G18" s="1540">
        <f t="shared" ref="G18:V18" ca="1" si="13">IFERROR(INDEX(INDIRECT($C18&amp;".Outputs["&amp;this.Year&amp;"]"), MATCH(G$5, INDIRECT($C18&amp;".Outputs[Vector]"), 0)), 0)</f>
        <v>0</v>
      </c>
      <c r="H18" s="1540"/>
      <c r="I18" s="1540"/>
      <c r="J18" s="1540"/>
      <c r="K18" s="1540"/>
      <c r="L18" s="1540"/>
      <c r="M18" s="1540">
        <f t="shared" ca="1" si="13"/>
        <v>282.57731267178247</v>
      </c>
      <c r="N18" s="1540">
        <f t="shared" ca="1" si="13"/>
        <v>0</v>
      </c>
      <c r="O18" s="1540">
        <f t="shared" ca="1" si="13"/>
        <v>0</v>
      </c>
      <c r="P18" s="1540">
        <f t="shared" ca="1" si="13"/>
        <v>0</v>
      </c>
      <c r="Q18" s="1540">
        <f t="shared" ca="1" si="13"/>
        <v>0</v>
      </c>
      <c r="R18" s="1540">
        <f t="shared" ca="1" si="13"/>
        <v>0</v>
      </c>
      <c r="S18" s="1540">
        <f t="shared" ca="1" si="13"/>
        <v>0</v>
      </c>
      <c r="T18" s="1540">
        <f t="shared" ca="1" si="13"/>
        <v>0</v>
      </c>
      <c r="U18" s="1540">
        <f t="shared" ca="1" si="13"/>
        <v>0</v>
      </c>
      <c r="V18" s="1540">
        <f t="shared" ca="1" si="13"/>
        <v>0</v>
      </c>
      <c r="W18" s="1539">
        <f t="shared" ca="1" si="10"/>
        <v>282.57731267178247</v>
      </c>
      <c r="Y18" s="1541">
        <f t="shared" ref="Y18:AP18" ca="1" si="14">IFERROR(INDEX(INDIRECT($C18&amp;".Outputs["&amp;this.Year&amp;"]"), MATCH(Y$5, INDIRECT($C18&amp;".Outputs[Vector]"), 0)), 0)</f>
        <v>-93.747530021278692</v>
      </c>
      <c r="Z18" s="1541">
        <f t="shared" ca="1" si="14"/>
        <v>0</v>
      </c>
      <c r="AA18" s="1541">
        <f t="shared" ca="1" si="14"/>
        <v>-68.554503675793342</v>
      </c>
      <c r="AB18" s="1541">
        <f t="shared" ca="1" si="14"/>
        <v>-92.087886696023617</v>
      </c>
      <c r="AC18" s="1541">
        <f t="shared" ca="1" si="14"/>
        <v>-28.187392278686779</v>
      </c>
      <c r="AD18" s="1541">
        <f t="shared" ca="1" si="14"/>
        <v>0</v>
      </c>
      <c r="AE18" s="1541">
        <f t="shared" ca="1" si="14"/>
        <v>0</v>
      </c>
      <c r="AF18" s="1541">
        <f t="shared" ca="1" si="14"/>
        <v>0</v>
      </c>
      <c r="AG18" s="1541">
        <f t="shared" ca="1" si="14"/>
        <v>0</v>
      </c>
      <c r="AH18" s="1541">
        <f t="shared" ca="1" si="14"/>
        <v>0</v>
      </c>
      <c r="AI18" s="1541">
        <f t="shared" ca="1" si="14"/>
        <v>0</v>
      </c>
      <c r="AJ18" s="1541">
        <f t="shared" ca="1" si="14"/>
        <v>0</v>
      </c>
      <c r="AK18" s="1541">
        <f t="shared" ca="1" si="14"/>
        <v>0</v>
      </c>
      <c r="AL18" s="1541">
        <f t="shared" ca="1" si="14"/>
        <v>0</v>
      </c>
      <c r="AM18" s="1541">
        <f t="shared" ca="1" si="14"/>
        <v>0</v>
      </c>
      <c r="AN18" s="1541">
        <f t="shared" ca="1" si="14"/>
        <v>0</v>
      </c>
      <c r="AO18" s="1541">
        <f t="shared" ca="1" si="14"/>
        <v>0</v>
      </c>
      <c r="AP18" s="1541">
        <f t="shared" ca="1" si="14"/>
        <v>0</v>
      </c>
      <c r="AQ18" s="1490">
        <f t="shared" ca="1" si="11"/>
        <v>-282.57731267178241</v>
      </c>
      <c r="AS18" s="1542">
        <f t="shared" ref="AS18:BK18" ca="1" si="15">IFERROR(INDEX(INDIRECT($C18&amp;".Outputs["&amp;this.Year&amp;"]"), MATCH(AS$5, INDIRECT($C18&amp;".Outputs[Vector]"), 0)), 0)</f>
        <v>0</v>
      </c>
      <c r="AT18" s="1542">
        <f t="shared" ca="1" si="15"/>
        <v>0</v>
      </c>
      <c r="AU18" s="1542">
        <f t="shared" ca="1" si="15"/>
        <v>0</v>
      </c>
      <c r="AV18" s="1542">
        <f t="shared" ca="1" si="15"/>
        <v>0</v>
      </c>
      <c r="AW18" s="1542">
        <f t="shared" ca="1" si="15"/>
        <v>0</v>
      </c>
      <c r="AX18" s="1542">
        <f t="shared" ca="1" si="15"/>
        <v>0</v>
      </c>
      <c r="AY18" s="1542">
        <f t="shared" ca="1" si="15"/>
        <v>0</v>
      </c>
      <c r="AZ18" s="1542">
        <f t="shared" ca="1" si="15"/>
        <v>0</v>
      </c>
      <c r="BA18" s="1542">
        <f t="shared" ca="1" si="15"/>
        <v>0</v>
      </c>
      <c r="BB18" s="1542">
        <f t="shared" ca="1" si="15"/>
        <v>0</v>
      </c>
      <c r="BC18" s="1542">
        <f t="shared" ca="1" si="15"/>
        <v>0</v>
      </c>
      <c r="BD18" s="1542">
        <f t="shared" ca="1" si="15"/>
        <v>0</v>
      </c>
      <c r="BE18" s="1542">
        <f t="shared" ca="1" si="15"/>
        <v>0</v>
      </c>
      <c r="BF18" s="1542">
        <f t="shared" ca="1" si="15"/>
        <v>0</v>
      </c>
      <c r="BG18" s="1542">
        <f t="shared" ca="1" si="15"/>
        <v>0</v>
      </c>
      <c r="BH18" s="1542">
        <f t="shared" ca="1" si="15"/>
        <v>0</v>
      </c>
      <c r="BI18" s="1542">
        <f t="shared" ca="1" si="15"/>
        <v>0</v>
      </c>
      <c r="BJ18" s="1542">
        <f t="shared" ca="1" si="15"/>
        <v>0</v>
      </c>
      <c r="BK18" s="1542">
        <f t="shared" ca="1" si="15"/>
        <v>0</v>
      </c>
      <c r="BL18" s="1542">
        <f ca="1">SUM(AS18:BK18)</f>
        <v>0</v>
      </c>
      <c r="BN18" s="1941">
        <f ca="1">IFERROR(INDEX(INDIRECT($C18&amp;".Outputs["&amp;this.Year&amp;"]"), MATCH(BN$5, INDIRECT($C18&amp;".Outputs[Vector]"), 0)), 0)</f>
        <v>0</v>
      </c>
      <c r="BO18" s="1941">
        <f ca="1">IFERROR(INDEX(INDIRECT($C18&amp;".Outputs["&amp;this.Year&amp;"]"), MATCH(BO$5, INDIRECT($C18&amp;".Outputs[Vector]"), 0)), 0)</f>
        <v>0</v>
      </c>
      <c r="BP18" s="1505">
        <f ca="1">BN18+BO18</f>
        <v>0</v>
      </c>
      <c r="BR18" s="3168">
        <f t="shared" ca="1" si="12"/>
        <v>5.6843418860808015E-14</v>
      </c>
      <c r="BS18" s="1525"/>
      <c r="BT18" s="748"/>
      <c r="BU18" s="1532">
        <v>64.817912804929591</v>
      </c>
      <c r="BV18" s="1533">
        <v>0.13010783216178268</v>
      </c>
      <c r="BW18" s="1533">
        <v>0.57551021650787848</v>
      </c>
      <c r="BX18" s="1533">
        <v>0</v>
      </c>
      <c r="BY18" s="1533">
        <v>0</v>
      </c>
      <c r="BZ18" s="1533">
        <v>0</v>
      </c>
      <c r="CA18" s="1533">
        <v>0</v>
      </c>
      <c r="CB18" s="1533">
        <v>0</v>
      </c>
      <c r="CC18" s="1533">
        <v>14.39565925511863</v>
      </c>
      <c r="CD18" s="1533">
        <v>0.11288744235152412</v>
      </c>
      <c r="CE18" s="1533">
        <v>2.7624692105907238</v>
      </c>
      <c r="CF18" s="1533">
        <v>10.620296151887526</v>
      </c>
      <c r="CG18" s="1533">
        <v>0</v>
      </c>
      <c r="CH18" s="1533">
        <v>0</v>
      </c>
      <c r="CI18" s="1533">
        <v>0</v>
      </c>
      <c r="CJ18" s="1533">
        <v>0</v>
      </c>
      <c r="CK18" s="1533">
        <v>0</v>
      </c>
      <c r="CL18" s="1533">
        <v>0</v>
      </c>
      <c r="CM18" s="1533">
        <v>0</v>
      </c>
      <c r="CN18" s="1533">
        <v>0</v>
      </c>
      <c r="CO18" s="1533">
        <v>0</v>
      </c>
      <c r="CP18" s="1533">
        <v>0</v>
      </c>
      <c r="CQ18" s="1533">
        <v>0</v>
      </c>
      <c r="CR18" s="1533">
        <v>0</v>
      </c>
      <c r="CS18" s="1533">
        <v>0</v>
      </c>
      <c r="CT18" s="1533">
        <v>0</v>
      </c>
      <c r="CU18" s="1533">
        <v>0</v>
      </c>
      <c r="CV18" s="1533">
        <v>0</v>
      </c>
      <c r="CW18" s="1533">
        <v>0</v>
      </c>
      <c r="CX18" s="1533">
        <v>0</v>
      </c>
      <c r="CY18" s="1533">
        <v>0</v>
      </c>
      <c r="CZ18" s="1533">
        <v>0</v>
      </c>
      <c r="DA18" s="1533">
        <v>0</v>
      </c>
      <c r="DB18" s="1533">
        <v>0</v>
      </c>
      <c r="DC18" s="1533">
        <v>0</v>
      </c>
      <c r="DD18" s="1533">
        <v>0</v>
      </c>
      <c r="DE18" s="1533">
        <v>0</v>
      </c>
      <c r="DF18" s="1533">
        <v>0</v>
      </c>
      <c r="DG18" s="1533">
        <v>0</v>
      </c>
      <c r="DH18" s="1533">
        <v>0</v>
      </c>
      <c r="DI18" s="1533">
        <v>0</v>
      </c>
      <c r="DJ18" s="1533">
        <v>0</v>
      </c>
      <c r="DK18" s="1533">
        <v>0</v>
      </c>
      <c r="DL18" s="1533">
        <v>0</v>
      </c>
      <c r="DN18" s="1509">
        <v>93.414842913547659</v>
      </c>
    </row>
    <row r="19" spans="1:118" s="14" customFormat="1" ht="15.75" collapsed="1" x14ac:dyDescent="0.2">
      <c r="A19" s="1534"/>
      <c r="B19" s="1535"/>
      <c r="C19" s="1536" t="s">
        <v>578</v>
      </c>
      <c r="D19" s="1537" t="str">
        <f>INDEX(Flujos[Flujos], MATCH($C19, Flujos[Código], 0))</f>
        <v>Industria y Minería</v>
      </c>
      <c r="E19" s="1538"/>
      <c r="G19" s="1539">
        <f ca="1">G18</f>
        <v>0</v>
      </c>
      <c r="H19" s="1539">
        <f t="shared" ref="H19:V19" si="16">H18</f>
        <v>0</v>
      </c>
      <c r="I19" s="1539">
        <f t="shared" si="16"/>
        <v>0</v>
      </c>
      <c r="J19" s="1539">
        <f t="shared" si="16"/>
        <v>0</v>
      </c>
      <c r="K19" s="1539">
        <f t="shared" si="16"/>
        <v>0</v>
      </c>
      <c r="L19" s="1539">
        <f t="shared" si="16"/>
        <v>0</v>
      </c>
      <c r="M19" s="1539">
        <f t="shared" ca="1" si="16"/>
        <v>282.57731267178247</v>
      </c>
      <c r="N19" s="1539">
        <f t="shared" ca="1" si="16"/>
        <v>0</v>
      </c>
      <c r="O19" s="1539">
        <f t="shared" ca="1" si="16"/>
        <v>0</v>
      </c>
      <c r="P19" s="1539">
        <f t="shared" ca="1" si="16"/>
        <v>0</v>
      </c>
      <c r="Q19" s="1539">
        <f t="shared" ca="1" si="16"/>
        <v>0</v>
      </c>
      <c r="R19" s="1539">
        <f t="shared" ca="1" si="16"/>
        <v>0</v>
      </c>
      <c r="S19" s="1539">
        <f t="shared" ca="1" si="16"/>
        <v>0</v>
      </c>
      <c r="T19" s="1539">
        <f t="shared" ca="1" si="16"/>
        <v>0</v>
      </c>
      <c r="U19" s="1539">
        <f t="shared" ca="1" si="16"/>
        <v>0</v>
      </c>
      <c r="V19" s="1539">
        <f t="shared" ca="1" si="16"/>
        <v>0</v>
      </c>
      <c r="W19" s="1539">
        <f t="shared" ca="1" si="10"/>
        <v>282.57731267178247</v>
      </c>
      <c r="Y19" s="1490">
        <f ca="1">Y18</f>
        <v>-93.747530021278692</v>
      </c>
      <c r="Z19" s="1490">
        <f t="shared" ref="Z19:AP19" ca="1" si="17">Z18</f>
        <v>0</v>
      </c>
      <c r="AA19" s="1490">
        <f t="shared" ca="1" si="17"/>
        <v>-68.554503675793342</v>
      </c>
      <c r="AB19" s="1490">
        <f t="shared" ca="1" si="17"/>
        <v>-92.087886696023617</v>
      </c>
      <c r="AC19" s="1490">
        <f t="shared" ca="1" si="17"/>
        <v>-28.187392278686779</v>
      </c>
      <c r="AD19" s="1490">
        <f t="shared" ca="1" si="17"/>
        <v>0</v>
      </c>
      <c r="AE19" s="1490">
        <f t="shared" ca="1" si="17"/>
        <v>0</v>
      </c>
      <c r="AF19" s="1490">
        <f t="shared" ca="1" si="17"/>
        <v>0</v>
      </c>
      <c r="AG19" s="1490">
        <f t="shared" ca="1" si="17"/>
        <v>0</v>
      </c>
      <c r="AH19" s="1490">
        <f t="shared" ca="1" si="17"/>
        <v>0</v>
      </c>
      <c r="AI19" s="1490">
        <f t="shared" ca="1" si="17"/>
        <v>0</v>
      </c>
      <c r="AJ19" s="1490">
        <f t="shared" ca="1" si="17"/>
        <v>0</v>
      </c>
      <c r="AK19" s="1490">
        <f t="shared" ca="1" si="17"/>
        <v>0</v>
      </c>
      <c r="AL19" s="1490">
        <f t="shared" ca="1" si="17"/>
        <v>0</v>
      </c>
      <c r="AM19" s="1490">
        <f t="shared" ca="1" si="17"/>
        <v>0</v>
      </c>
      <c r="AN19" s="1490">
        <f t="shared" ca="1" si="17"/>
        <v>0</v>
      </c>
      <c r="AO19" s="1490">
        <f t="shared" ca="1" si="17"/>
        <v>0</v>
      </c>
      <c r="AP19" s="1490">
        <f t="shared" ca="1" si="17"/>
        <v>0</v>
      </c>
      <c r="AQ19" s="1490">
        <f t="shared" ca="1" si="11"/>
        <v>-282.57731267178241</v>
      </c>
      <c r="AS19" s="1491">
        <f ca="1">AS18</f>
        <v>0</v>
      </c>
      <c r="AT19" s="1491">
        <f t="shared" ref="AT19:BM19" ca="1" si="18">AT18</f>
        <v>0</v>
      </c>
      <c r="AU19" s="1491">
        <f t="shared" ca="1" si="18"/>
        <v>0</v>
      </c>
      <c r="AV19" s="1491">
        <f t="shared" ca="1" si="18"/>
        <v>0</v>
      </c>
      <c r="AW19" s="1491">
        <f t="shared" ca="1" si="18"/>
        <v>0</v>
      </c>
      <c r="AX19" s="1491">
        <f t="shared" ca="1" si="18"/>
        <v>0</v>
      </c>
      <c r="AY19" s="1491">
        <f t="shared" ca="1" si="18"/>
        <v>0</v>
      </c>
      <c r="AZ19" s="1491">
        <f t="shared" ca="1" si="18"/>
        <v>0</v>
      </c>
      <c r="BA19" s="1491">
        <f t="shared" ca="1" si="18"/>
        <v>0</v>
      </c>
      <c r="BB19" s="1491">
        <f t="shared" ca="1" si="18"/>
        <v>0</v>
      </c>
      <c r="BC19" s="1491">
        <f t="shared" ca="1" si="18"/>
        <v>0</v>
      </c>
      <c r="BD19" s="1491">
        <f t="shared" ca="1" si="18"/>
        <v>0</v>
      </c>
      <c r="BE19" s="1491">
        <f t="shared" ca="1" si="18"/>
        <v>0</v>
      </c>
      <c r="BF19" s="1491">
        <f t="shared" ca="1" si="18"/>
        <v>0</v>
      </c>
      <c r="BG19" s="1491">
        <f t="shared" ca="1" si="18"/>
        <v>0</v>
      </c>
      <c r="BH19" s="1491">
        <f t="shared" ca="1" si="18"/>
        <v>0</v>
      </c>
      <c r="BI19" s="1491">
        <f t="shared" ca="1" si="18"/>
        <v>0</v>
      </c>
      <c r="BJ19" s="1491">
        <f t="shared" ca="1" si="18"/>
        <v>0</v>
      </c>
      <c r="BK19" s="1491">
        <f t="shared" ca="1" si="18"/>
        <v>0</v>
      </c>
      <c r="BL19" s="1491">
        <f ca="1">BL18</f>
        <v>0</v>
      </c>
      <c r="BM19" s="1491">
        <f t="shared" si="18"/>
        <v>0</v>
      </c>
      <c r="BN19" s="1941">
        <f ca="1">BN18</f>
        <v>0</v>
      </c>
      <c r="BO19" s="1941">
        <f ca="1">BO18</f>
        <v>0</v>
      </c>
      <c r="BP19" s="1505">
        <f ca="1">BN19+BO19</f>
        <v>0</v>
      </c>
      <c r="BR19" s="3168">
        <f ca="1">W19+AQ19+BL19+BP19</f>
        <v>5.6843418860808015E-14</v>
      </c>
      <c r="BS19" s="1493"/>
      <c r="BT19" s="748"/>
      <c r="BU19" s="1508">
        <v>64.817912804929591</v>
      </c>
      <c r="BV19" s="1508">
        <v>0.13010783216178268</v>
      </c>
      <c r="BW19" s="1508">
        <v>0.57551021650787848</v>
      </c>
      <c r="BX19" s="1508">
        <v>0</v>
      </c>
      <c r="BY19" s="1508">
        <v>0</v>
      </c>
      <c r="BZ19" s="1508">
        <v>0</v>
      </c>
      <c r="CA19" s="1508">
        <v>0</v>
      </c>
      <c r="CB19" s="1508">
        <v>0</v>
      </c>
      <c r="CC19" s="1508">
        <v>14.39565925511863</v>
      </c>
      <c r="CD19" s="1508">
        <v>0.11288744235152412</v>
      </c>
      <c r="CE19" s="1508">
        <v>2.7624692105907238</v>
      </c>
      <c r="CF19" s="1508">
        <v>10.620296151887526</v>
      </c>
      <c r="CG19" s="1508">
        <v>0</v>
      </c>
      <c r="CH19" s="1508">
        <v>0</v>
      </c>
      <c r="CI19" s="1508">
        <v>0</v>
      </c>
      <c r="CJ19" s="1508">
        <v>0</v>
      </c>
      <c r="CK19" s="1508">
        <v>0</v>
      </c>
      <c r="CL19" s="1508">
        <v>0</v>
      </c>
      <c r="CM19" s="1508">
        <v>0</v>
      </c>
      <c r="CN19" s="1508">
        <v>0</v>
      </c>
      <c r="CO19" s="1508">
        <v>0</v>
      </c>
      <c r="CP19" s="1508">
        <v>0</v>
      </c>
      <c r="CQ19" s="1508">
        <v>0</v>
      </c>
      <c r="CR19" s="1508">
        <v>0</v>
      </c>
      <c r="CS19" s="1508">
        <v>0</v>
      </c>
      <c r="CT19" s="1508">
        <v>0</v>
      </c>
      <c r="CU19" s="1508">
        <v>0</v>
      </c>
      <c r="CV19" s="1508">
        <v>0</v>
      </c>
      <c r="CW19" s="1508">
        <v>0</v>
      </c>
      <c r="CX19" s="1508">
        <v>0</v>
      </c>
      <c r="CY19" s="1508">
        <v>0</v>
      </c>
      <c r="CZ19" s="1508">
        <v>0</v>
      </c>
      <c r="DA19" s="1508">
        <v>0</v>
      </c>
      <c r="DB19" s="1508">
        <v>0</v>
      </c>
      <c r="DC19" s="1508">
        <v>0</v>
      </c>
      <c r="DD19" s="1508">
        <v>0</v>
      </c>
      <c r="DE19" s="1508">
        <v>0</v>
      </c>
      <c r="DF19" s="1508">
        <v>0</v>
      </c>
      <c r="DG19" s="1508">
        <v>0</v>
      </c>
      <c r="DH19" s="1508">
        <v>0</v>
      </c>
      <c r="DI19" s="1508">
        <v>0</v>
      </c>
      <c r="DJ19" s="1508">
        <v>0</v>
      </c>
      <c r="DK19" s="1508">
        <v>0</v>
      </c>
      <c r="DL19" s="1508">
        <v>0</v>
      </c>
      <c r="DN19" s="1509">
        <v>93.414842913547659</v>
      </c>
    </row>
    <row r="20" spans="1:118" s="14" customFormat="1" ht="15.75" x14ac:dyDescent="0.2">
      <c r="A20" s="1534"/>
      <c r="B20" s="1535"/>
      <c r="C20" s="1536"/>
      <c r="D20" s="1537"/>
      <c r="E20" s="1538"/>
      <c r="G20" s="1539"/>
      <c r="H20" s="1539"/>
      <c r="I20" s="1539"/>
      <c r="J20" s="1539"/>
      <c r="K20" s="1539"/>
      <c r="L20" s="1539"/>
      <c r="M20" s="1539"/>
      <c r="N20" s="1539"/>
      <c r="O20" s="1539"/>
      <c r="P20" s="1539"/>
      <c r="Q20" s="1539"/>
      <c r="R20" s="1539"/>
      <c r="S20" s="1539"/>
      <c r="T20" s="1539"/>
      <c r="U20" s="1539"/>
      <c r="V20" s="1539"/>
      <c r="W20" s="1539"/>
      <c r="Y20" s="1490"/>
      <c r="Z20" s="1490"/>
      <c r="AA20" s="1490"/>
      <c r="AB20" s="1490"/>
      <c r="AC20" s="1490"/>
      <c r="AD20" s="1490"/>
      <c r="AE20" s="1490"/>
      <c r="AF20" s="1490"/>
      <c r="AG20" s="1490"/>
      <c r="AH20" s="1490"/>
      <c r="AI20" s="1490"/>
      <c r="AJ20" s="1490"/>
      <c r="AK20" s="1490"/>
      <c r="AL20" s="1490"/>
      <c r="AM20" s="1490"/>
      <c r="AN20" s="1490"/>
      <c r="AO20" s="1490"/>
      <c r="AP20" s="1490"/>
      <c r="AQ20" s="1490"/>
      <c r="AS20" s="1491"/>
      <c r="AT20" s="1491"/>
      <c r="AU20" s="1491"/>
      <c r="AV20" s="1491"/>
      <c r="AW20" s="1491"/>
      <c r="AX20" s="1491"/>
      <c r="AY20" s="1491"/>
      <c r="AZ20" s="1491"/>
      <c r="BA20" s="1491"/>
      <c r="BB20" s="1491"/>
      <c r="BC20" s="1491"/>
      <c r="BD20" s="1491"/>
      <c r="BE20" s="1491"/>
      <c r="BF20" s="1491"/>
      <c r="BG20" s="1491"/>
      <c r="BH20" s="1491"/>
      <c r="BI20" s="1491"/>
      <c r="BJ20" s="1491"/>
      <c r="BK20" s="1491"/>
      <c r="BL20" s="1491"/>
      <c r="BN20" s="1492"/>
      <c r="BO20" s="1492"/>
      <c r="BP20" s="1492"/>
      <c r="BR20" s="3168"/>
      <c r="BS20" s="1493"/>
      <c r="BT20" s="748"/>
      <c r="BU20" s="1508"/>
      <c r="BV20" s="1508"/>
      <c r="BW20" s="1508"/>
      <c r="BX20" s="1508"/>
      <c r="BY20" s="1508"/>
      <c r="BZ20" s="1508"/>
      <c r="CA20" s="1508"/>
      <c r="CB20" s="1508"/>
      <c r="CC20" s="1508"/>
      <c r="CD20" s="1508"/>
      <c r="CE20" s="1508"/>
      <c r="CF20" s="1508"/>
      <c r="CG20" s="1508"/>
      <c r="CH20" s="1508"/>
      <c r="CI20" s="1508"/>
      <c r="CJ20" s="1508"/>
      <c r="CK20" s="1508"/>
      <c r="CL20" s="1508"/>
      <c r="CM20" s="1508"/>
      <c r="CN20" s="1508"/>
      <c r="CO20" s="1508"/>
      <c r="CP20" s="1508"/>
      <c r="CQ20" s="1508"/>
      <c r="CR20" s="1508"/>
      <c r="CS20" s="1508"/>
      <c r="CT20" s="1508"/>
      <c r="CU20" s="1508"/>
      <c r="CV20" s="1508"/>
      <c r="CW20" s="1508"/>
      <c r="CX20" s="1508"/>
      <c r="CY20" s="1508"/>
      <c r="CZ20" s="1508"/>
      <c r="DA20" s="1508"/>
      <c r="DB20" s="1508"/>
      <c r="DC20" s="1508"/>
      <c r="DD20" s="1508"/>
      <c r="DE20" s="1508"/>
      <c r="DF20" s="1508"/>
      <c r="DG20" s="1508"/>
      <c r="DH20" s="1508"/>
      <c r="DI20" s="1508"/>
      <c r="DJ20" s="1508"/>
      <c r="DK20" s="1508"/>
      <c r="DL20" s="1508"/>
      <c r="DN20" s="1509"/>
    </row>
    <row r="21" spans="1:118" s="14" customFormat="1" ht="10.5" hidden="1" customHeight="1" outlineLevel="2" x14ac:dyDescent="0.2">
      <c r="A21" s="1495"/>
      <c r="B21" s="1495"/>
      <c r="C21" s="1511" t="s">
        <v>421</v>
      </c>
      <c r="D21" s="14" t="str">
        <f>INDEX(Modulos[Modulos], MATCH($C21, Modulos[Código], 0))</f>
        <v>Transporte de pasajeros</v>
      </c>
      <c r="E21" s="1512"/>
      <c r="G21" s="1889">
        <f t="shared" ref="G21:V21" ca="1" si="19">IFERROR(INDEX(INDIRECT($C21&amp;".Outputs["&amp;this.Year&amp;"]"), MATCH(G$5, INDIRECT($C21&amp;".Outputs[Vector]"), 0)), 0)</f>
        <v>0</v>
      </c>
      <c r="H21" s="1889"/>
      <c r="I21" s="1889"/>
      <c r="J21" s="1889"/>
      <c r="K21" s="1889"/>
      <c r="L21" s="1889"/>
      <c r="M21" s="1889">
        <f t="shared" ca="1" si="19"/>
        <v>0</v>
      </c>
      <c r="N21" s="1889">
        <f t="shared" ca="1" si="19"/>
        <v>85.289096073503785</v>
      </c>
      <c r="O21" s="1889">
        <f t="shared" ca="1" si="19"/>
        <v>51.51391648078021</v>
      </c>
      <c r="P21" s="1889">
        <f t="shared" ca="1" si="19"/>
        <v>0.61399268455243872</v>
      </c>
      <c r="Q21" s="1889">
        <f t="shared" ca="1" si="19"/>
        <v>0.12275791095265887</v>
      </c>
      <c r="R21" s="1888">
        <f t="shared" ca="1" si="19"/>
        <v>33.490878768279792</v>
      </c>
      <c r="S21" s="1889">
        <f t="shared" ca="1" si="19"/>
        <v>0</v>
      </c>
      <c r="T21" s="1889">
        <f t="shared" ca="1" si="19"/>
        <v>0</v>
      </c>
      <c r="U21" s="1889">
        <f t="shared" ca="1" si="19"/>
        <v>0</v>
      </c>
      <c r="V21" s="1889">
        <f t="shared" ca="1" si="19"/>
        <v>0</v>
      </c>
      <c r="W21" s="1539">
        <f t="shared" ca="1" si="10"/>
        <v>171.03064191806891</v>
      </c>
      <c r="Y21" s="1500">
        <f t="shared" ref="Y21:AP21" ca="1" si="20">IFERROR(INDEX(INDIRECT($C21&amp;".Outputs["&amp;this.Year&amp;"]"), MATCH(Y$5, INDIRECT($C21&amp;".Outputs[Vector]"), 0)), 0)</f>
        <v>-1.8828172100523621</v>
      </c>
      <c r="Z21" s="1500">
        <f t="shared" ca="1" si="20"/>
        <v>0</v>
      </c>
      <c r="AA21" s="1500">
        <f t="shared" ca="1" si="20"/>
        <v>0</v>
      </c>
      <c r="AB21" s="1500">
        <f t="shared" ca="1" si="20"/>
        <v>-169.14782470801654</v>
      </c>
      <c r="AC21" s="1500">
        <f t="shared" ca="1" si="20"/>
        <v>0</v>
      </c>
      <c r="AD21" s="1500">
        <f t="shared" ca="1" si="20"/>
        <v>0</v>
      </c>
      <c r="AE21" s="1500">
        <f t="shared" ca="1" si="20"/>
        <v>0</v>
      </c>
      <c r="AF21" s="1500">
        <f t="shared" ca="1" si="20"/>
        <v>0</v>
      </c>
      <c r="AG21" s="1500">
        <f t="shared" ca="1" si="20"/>
        <v>0</v>
      </c>
      <c r="AH21" s="1500">
        <f t="shared" ca="1" si="20"/>
        <v>0</v>
      </c>
      <c r="AI21" s="1500">
        <f t="shared" ca="1" si="20"/>
        <v>0</v>
      </c>
      <c r="AJ21" s="1500">
        <f t="shared" ca="1" si="20"/>
        <v>0</v>
      </c>
      <c r="AK21" s="1500">
        <f t="shared" ca="1" si="20"/>
        <v>0</v>
      </c>
      <c r="AL21" s="1500">
        <f t="shared" ca="1" si="20"/>
        <v>0</v>
      </c>
      <c r="AM21" s="1500">
        <f t="shared" ca="1" si="20"/>
        <v>0</v>
      </c>
      <c r="AN21" s="1500">
        <f t="shared" ca="1" si="20"/>
        <v>0</v>
      </c>
      <c r="AO21" s="1500">
        <f t="shared" ca="1" si="20"/>
        <v>0</v>
      </c>
      <c r="AP21" s="1500">
        <f t="shared" ca="1" si="20"/>
        <v>0</v>
      </c>
      <c r="AQ21" s="1490">
        <f ca="1">SUM(Y21:AP21)</f>
        <v>-171.03064191806891</v>
      </c>
      <c r="AS21" s="1491">
        <f>AS20</f>
        <v>0</v>
      </c>
      <c r="AT21" s="1491">
        <f t="shared" ref="AT21:BK21" si="21">AT20</f>
        <v>0</v>
      </c>
      <c r="AU21" s="1491">
        <f t="shared" si="21"/>
        <v>0</v>
      </c>
      <c r="AV21" s="1491">
        <f t="shared" si="21"/>
        <v>0</v>
      </c>
      <c r="AW21" s="1491">
        <f t="shared" si="21"/>
        <v>0</v>
      </c>
      <c r="AX21" s="1491">
        <f t="shared" si="21"/>
        <v>0</v>
      </c>
      <c r="AY21" s="1491">
        <f t="shared" si="21"/>
        <v>0</v>
      </c>
      <c r="AZ21" s="1491">
        <f t="shared" si="21"/>
        <v>0</v>
      </c>
      <c r="BA21" s="1491">
        <f t="shared" si="21"/>
        <v>0</v>
      </c>
      <c r="BB21" s="1491">
        <f t="shared" si="21"/>
        <v>0</v>
      </c>
      <c r="BC21" s="1491">
        <f t="shared" si="21"/>
        <v>0</v>
      </c>
      <c r="BD21" s="1491">
        <f t="shared" si="21"/>
        <v>0</v>
      </c>
      <c r="BE21" s="1491">
        <f t="shared" si="21"/>
        <v>0</v>
      </c>
      <c r="BF21" s="1491">
        <f t="shared" si="21"/>
        <v>0</v>
      </c>
      <c r="BG21" s="1491">
        <f t="shared" si="21"/>
        <v>0</v>
      </c>
      <c r="BH21" s="1491">
        <f t="shared" si="21"/>
        <v>0</v>
      </c>
      <c r="BI21" s="1491">
        <f t="shared" si="21"/>
        <v>0</v>
      </c>
      <c r="BJ21" s="1491">
        <f t="shared" si="21"/>
        <v>0</v>
      </c>
      <c r="BK21" s="1491">
        <f t="shared" si="21"/>
        <v>0</v>
      </c>
      <c r="BL21" s="1503">
        <f>SUM(AS21:BK21)</f>
        <v>0</v>
      </c>
      <c r="BN21" s="1941">
        <f ca="1">IFERROR(INDEX(INDIRECT($C21&amp;".Outputs["&amp;this.Year&amp;"]"), MATCH(BN$5, INDIRECT($C21&amp;".Outputs[Vector]"), 0)), 0)</f>
        <v>0</v>
      </c>
      <c r="BO21" s="1941">
        <f ca="1">IFERROR(INDEX(INDIRECT($C21&amp;".Outputs["&amp;this.Year&amp;"]"), MATCH(BO$5, INDIRECT($C21&amp;".Outputs[Vector]"), 0)), 0)</f>
        <v>0</v>
      </c>
      <c r="BP21" s="1505">
        <f ca="1">BN21+BO21</f>
        <v>0</v>
      </c>
      <c r="BR21" s="3168">
        <f t="shared" ca="1" si="12"/>
        <v>0</v>
      </c>
      <c r="BS21" s="1506"/>
      <c r="BT21" s="748"/>
      <c r="BU21" s="1507">
        <v>0</v>
      </c>
      <c r="BV21" s="1508">
        <v>0</v>
      </c>
      <c r="BW21" s="1508">
        <v>0</v>
      </c>
      <c r="BX21" s="1508">
        <v>0</v>
      </c>
      <c r="BY21" s="1508">
        <v>0</v>
      </c>
      <c r="BZ21" s="1508">
        <v>0</v>
      </c>
      <c r="CA21" s="1508">
        <v>0</v>
      </c>
      <c r="CB21" s="1508">
        <v>0</v>
      </c>
      <c r="CC21" s="1508">
        <v>0</v>
      </c>
      <c r="CD21" s="1508">
        <v>0</v>
      </c>
      <c r="CE21" s="1508">
        <v>0</v>
      </c>
      <c r="CF21" s="1508">
        <v>0</v>
      </c>
      <c r="CG21" s="1508">
        <v>0</v>
      </c>
      <c r="CH21" s="1508">
        <v>0</v>
      </c>
      <c r="CI21" s="1508">
        <v>0</v>
      </c>
      <c r="CJ21" s="1508">
        <v>0</v>
      </c>
      <c r="CK21" s="1508">
        <v>0</v>
      </c>
      <c r="CL21" s="1508">
        <v>0</v>
      </c>
      <c r="CM21" s="1508">
        <v>0</v>
      </c>
      <c r="CN21" s="1508">
        <v>0</v>
      </c>
      <c r="CO21" s="1508">
        <v>0</v>
      </c>
      <c r="CP21" s="1508">
        <v>0</v>
      </c>
      <c r="CQ21" s="1508">
        <v>0</v>
      </c>
      <c r="CR21" s="1508">
        <v>0</v>
      </c>
      <c r="CS21" s="1508">
        <v>0</v>
      </c>
      <c r="CT21" s="1508">
        <v>0</v>
      </c>
      <c r="CU21" s="1508">
        <v>0</v>
      </c>
      <c r="CV21" s="1508">
        <v>0</v>
      </c>
      <c r="CW21" s="1508">
        <v>0</v>
      </c>
      <c r="CX21" s="1508">
        <v>0</v>
      </c>
      <c r="CY21" s="1508">
        <v>0</v>
      </c>
      <c r="CZ21" s="1508">
        <v>0</v>
      </c>
      <c r="DA21" s="1508">
        <v>38.200000000000003</v>
      </c>
      <c r="DB21" s="1508">
        <v>4.7558849195905424E-2</v>
      </c>
      <c r="DC21" s="1508">
        <v>0.68729627526214465</v>
      </c>
      <c r="DD21" s="1508">
        <v>0</v>
      </c>
      <c r="DE21" s="1508">
        <v>0</v>
      </c>
      <c r="DF21" s="1508">
        <v>0</v>
      </c>
      <c r="DG21" s="1508">
        <v>0</v>
      </c>
      <c r="DH21" s="1508">
        <v>0</v>
      </c>
      <c r="DI21" s="1508">
        <v>0</v>
      </c>
      <c r="DJ21" s="1508">
        <v>0</v>
      </c>
      <c r="DK21" s="1508">
        <v>0</v>
      </c>
      <c r="DL21" s="1508">
        <v>0</v>
      </c>
      <c r="DN21" s="1509">
        <v>38.934855124458053</v>
      </c>
    </row>
    <row r="22" spans="1:118" s="14" customFormat="1" ht="10.5" hidden="1" customHeight="1" outlineLevel="2" x14ac:dyDescent="0.2">
      <c r="A22" s="1510"/>
      <c r="B22" s="1510"/>
      <c r="C22" s="1510"/>
      <c r="D22" s="1546"/>
      <c r="E22" s="1512"/>
      <c r="G22" s="1513"/>
      <c r="H22" s="1513"/>
      <c r="I22" s="1513"/>
      <c r="J22" s="1513"/>
      <c r="K22" s="1513"/>
      <c r="L22" s="1513"/>
      <c r="M22" s="1513"/>
      <c r="N22" s="1513"/>
      <c r="O22" s="1513"/>
      <c r="P22" s="1513"/>
      <c r="Q22" s="1513"/>
      <c r="R22" s="1513"/>
      <c r="S22" s="1513"/>
      <c r="T22" s="1513"/>
      <c r="U22" s="1513"/>
      <c r="V22" s="1513"/>
      <c r="W22" s="1539">
        <f t="shared" si="10"/>
        <v>0</v>
      </c>
      <c r="Y22" s="1515"/>
      <c r="Z22" s="1515"/>
      <c r="AA22" s="1515"/>
      <c r="AB22" s="1515"/>
      <c r="AC22" s="1515"/>
      <c r="AD22" s="1515"/>
      <c r="AE22" s="1515"/>
      <c r="AF22" s="1515"/>
      <c r="AG22" s="1515"/>
      <c r="AH22" s="1515"/>
      <c r="AI22" s="1515"/>
      <c r="AJ22" s="1515"/>
      <c r="AK22" s="1515"/>
      <c r="AL22" s="1515"/>
      <c r="AM22" s="1515"/>
      <c r="AN22" s="1515"/>
      <c r="AO22" s="1515"/>
      <c r="AP22" s="1515"/>
      <c r="AQ22" s="1490">
        <f t="shared" si="11"/>
        <v>0</v>
      </c>
      <c r="AS22" s="1517"/>
      <c r="AT22" s="1517"/>
      <c r="AU22" s="1517"/>
      <c r="AV22" s="1517"/>
      <c r="AW22" s="1517"/>
      <c r="AX22" s="1517"/>
      <c r="AY22" s="1517"/>
      <c r="AZ22" s="1517"/>
      <c r="BA22" s="1517"/>
      <c r="BB22" s="1517"/>
      <c r="BC22" s="1517"/>
      <c r="BD22" s="1517"/>
      <c r="BE22" s="1517"/>
      <c r="BF22" s="1517"/>
      <c r="BG22" s="1517"/>
      <c r="BH22" s="1517"/>
      <c r="BI22" s="1517"/>
      <c r="BJ22" s="1517"/>
      <c r="BK22" s="1517"/>
      <c r="BL22" s="1518"/>
      <c r="BN22" s="1519"/>
      <c r="BO22" s="1519"/>
      <c r="BP22" s="1520"/>
      <c r="BR22" s="3168">
        <f t="shared" si="12"/>
        <v>0</v>
      </c>
      <c r="BS22" s="1521"/>
      <c r="BT22" s="748"/>
      <c r="BU22" s="1507">
        <v>0</v>
      </c>
      <c r="BV22" s="1508">
        <v>0</v>
      </c>
      <c r="BW22" s="1508">
        <v>0</v>
      </c>
      <c r="BX22" s="1508">
        <v>0</v>
      </c>
      <c r="BY22" s="1508">
        <v>0</v>
      </c>
      <c r="BZ22" s="1508">
        <v>0</v>
      </c>
      <c r="CA22" s="1508">
        <v>0</v>
      </c>
      <c r="CB22" s="1508">
        <v>0</v>
      </c>
      <c r="CC22" s="1508">
        <v>0</v>
      </c>
      <c r="CD22" s="1508">
        <v>0</v>
      </c>
      <c r="CE22" s="1508">
        <v>0</v>
      </c>
      <c r="CF22" s="1508">
        <v>0</v>
      </c>
      <c r="CG22" s="1508">
        <v>0</v>
      </c>
      <c r="CH22" s="1508">
        <v>0</v>
      </c>
      <c r="CI22" s="1508">
        <v>0</v>
      </c>
      <c r="CJ22" s="1508">
        <v>0</v>
      </c>
      <c r="CK22" s="1508">
        <v>0</v>
      </c>
      <c r="CL22" s="1508">
        <v>0</v>
      </c>
      <c r="CM22" s="1508">
        <v>0</v>
      </c>
      <c r="CN22" s="1508">
        <v>0</v>
      </c>
      <c r="CO22" s="1508">
        <v>0</v>
      </c>
      <c r="CP22" s="1508">
        <v>0</v>
      </c>
      <c r="CQ22" s="1508">
        <v>0</v>
      </c>
      <c r="CR22" s="1508">
        <v>0</v>
      </c>
      <c r="CS22" s="1508">
        <v>0</v>
      </c>
      <c r="CT22" s="1508">
        <v>0</v>
      </c>
      <c r="CU22" s="1508">
        <v>0</v>
      </c>
      <c r="CV22" s="1508">
        <v>0</v>
      </c>
      <c r="CW22" s="1508">
        <v>0</v>
      </c>
      <c r="CX22" s="1508">
        <v>0</v>
      </c>
      <c r="CY22" s="1508">
        <v>0</v>
      </c>
      <c r="CZ22" s="1508">
        <v>0</v>
      </c>
      <c r="DA22" s="1508">
        <v>0</v>
      </c>
      <c r="DB22" s="1508">
        <v>0</v>
      </c>
      <c r="DC22" s="1508">
        <v>0</v>
      </c>
      <c r="DD22" s="1508">
        <v>0</v>
      </c>
      <c r="DE22" s="1508">
        <v>0</v>
      </c>
      <c r="DF22" s="1508">
        <v>0</v>
      </c>
      <c r="DG22" s="1508">
        <v>0</v>
      </c>
      <c r="DH22" s="1508">
        <v>0</v>
      </c>
      <c r="DI22" s="1508">
        <v>0</v>
      </c>
      <c r="DJ22" s="1508">
        <v>0</v>
      </c>
      <c r="DK22" s="1508">
        <v>0</v>
      </c>
      <c r="DL22" s="1508">
        <v>0</v>
      </c>
      <c r="DN22" s="1509">
        <v>0</v>
      </c>
    </row>
    <row r="23" spans="1:118" s="14" customFormat="1" ht="10.5" hidden="1" customHeight="1" outlineLevel="1" x14ac:dyDescent="0.2">
      <c r="A23" s="1522"/>
      <c r="B23" s="1522"/>
      <c r="C23" s="1522"/>
      <c r="D23" s="1545"/>
      <c r="E23" s="1512"/>
      <c r="G23" s="1499"/>
      <c r="H23" s="1499"/>
      <c r="I23" s="1499"/>
      <c r="J23" s="1499"/>
      <c r="K23" s="1499"/>
      <c r="L23" s="1499"/>
      <c r="M23" s="1499"/>
      <c r="N23" s="1499"/>
      <c r="O23" s="1499"/>
      <c r="P23" s="1499"/>
      <c r="Q23" s="1499"/>
      <c r="R23" s="1499"/>
      <c r="S23" s="1499"/>
      <c r="T23" s="1499"/>
      <c r="U23" s="1499"/>
      <c r="V23" s="1499"/>
      <c r="W23" s="1539">
        <f t="shared" si="10"/>
        <v>0</v>
      </c>
      <c r="Y23" s="1501"/>
      <c r="Z23" s="1501"/>
      <c r="AA23" s="1501"/>
      <c r="AB23" s="1501"/>
      <c r="AC23" s="1501"/>
      <c r="AD23" s="1501"/>
      <c r="AE23" s="1501"/>
      <c r="AF23" s="1501"/>
      <c r="AG23" s="1501"/>
      <c r="AH23" s="1501"/>
      <c r="AI23" s="1501"/>
      <c r="AJ23" s="1501"/>
      <c r="AK23" s="1501"/>
      <c r="AL23" s="1501"/>
      <c r="AM23" s="1501"/>
      <c r="AN23" s="1501"/>
      <c r="AO23" s="1501"/>
      <c r="AP23" s="1501"/>
      <c r="AQ23" s="1490">
        <f t="shared" si="11"/>
        <v>0</v>
      </c>
      <c r="AS23" s="1523"/>
      <c r="AT23" s="1523"/>
      <c r="AU23" s="1523"/>
      <c r="AV23" s="1523"/>
      <c r="AW23" s="1523"/>
      <c r="AX23" s="1523"/>
      <c r="AY23" s="1523"/>
      <c r="AZ23" s="1523"/>
      <c r="BA23" s="1523"/>
      <c r="BB23" s="1523"/>
      <c r="BC23" s="1523"/>
      <c r="BD23" s="1523"/>
      <c r="BE23" s="1523"/>
      <c r="BF23" s="1523"/>
      <c r="BG23" s="1523"/>
      <c r="BH23" s="1523"/>
      <c r="BI23" s="1523"/>
      <c r="BJ23" s="1523"/>
      <c r="BK23" s="1523"/>
      <c r="BL23" s="1503"/>
      <c r="BN23" s="1505"/>
      <c r="BO23" s="1505"/>
      <c r="BP23" s="1505"/>
      <c r="BR23" s="3168">
        <f t="shared" si="12"/>
        <v>0</v>
      </c>
      <c r="BS23" s="1506"/>
      <c r="BT23" s="748"/>
      <c r="BU23" s="1507">
        <v>0</v>
      </c>
      <c r="BV23" s="1508">
        <v>0</v>
      </c>
      <c r="BW23" s="1508">
        <v>0</v>
      </c>
      <c r="BX23" s="1508">
        <v>0</v>
      </c>
      <c r="BY23" s="1508">
        <v>0</v>
      </c>
      <c r="BZ23" s="1508">
        <v>0</v>
      </c>
      <c r="CA23" s="1508">
        <v>0</v>
      </c>
      <c r="CB23" s="1508">
        <v>0</v>
      </c>
      <c r="CC23" s="1508">
        <v>0</v>
      </c>
      <c r="CD23" s="1508">
        <v>0</v>
      </c>
      <c r="CE23" s="1508">
        <v>0</v>
      </c>
      <c r="CF23" s="1508">
        <v>0</v>
      </c>
      <c r="CG23" s="1508">
        <v>0</v>
      </c>
      <c r="CH23" s="1508">
        <v>0</v>
      </c>
      <c r="CI23" s="1508">
        <v>0</v>
      </c>
      <c r="CJ23" s="1508">
        <v>0</v>
      </c>
      <c r="CK23" s="1508">
        <v>0</v>
      </c>
      <c r="CL23" s="1508">
        <v>0</v>
      </c>
      <c r="CM23" s="1508">
        <v>0</v>
      </c>
      <c r="CN23" s="1508">
        <v>0</v>
      </c>
      <c r="CO23" s="1508">
        <v>0</v>
      </c>
      <c r="CP23" s="1508">
        <v>0</v>
      </c>
      <c r="CQ23" s="1508">
        <v>0</v>
      </c>
      <c r="CR23" s="1508">
        <v>0</v>
      </c>
      <c r="CS23" s="1508">
        <v>0</v>
      </c>
      <c r="CT23" s="1508">
        <v>0</v>
      </c>
      <c r="CU23" s="1508">
        <v>0</v>
      </c>
      <c r="CV23" s="1508">
        <v>0</v>
      </c>
      <c r="CW23" s="1508">
        <v>0</v>
      </c>
      <c r="CX23" s="1508">
        <v>0</v>
      </c>
      <c r="CY23" s="1508">
        <v>0</v>
      </c>
      <c r="CZ23" s="1508">
        <v>0</v>
      </c>
      <c r="DA23" s="1508">
        <v>38.200000000000003</v>
      </c>
      <c r="DB23" s="1508">
        <v>4.7558849195905424E-2</v>
      </c>
      <c r="DC23" s="1508">
        <v>0.68729627526214465</v>
      </c>
      <c r="DD23" s="1508">
        <v>0</v>
      </c>
      <c r="DE23" s="1508">
        <v>0</v>
      </c>
      <c r="DF23" s="1508">
        <v>0</v>
      </c>
      <c r="DG23" s="1508">
        <v>0</v>
      </c>
      <c r="DH23" s="1508">
        <v>0</v>
      </c>
      <c r="DI23" s="1508">
        <v>0</v>
      </c>
      <c r="DJ23" s="1508">
        <v>0</v>
      </c>
      <c r="DK23" s="1508">
        <v>0</v>
      </c>
      <c r="DL23" s="1508">
        <v>0</v>
      </c>
      <c r="DN23" s="1509">
        <v>38.934855124458053</v>
      </c>
    </row>
    <row r="24" spans="1:118" s="14" customFormat="1" ht="12.75" hidden="1" customHeight="1" outlineLevel="2" x14ac:dyDescent="0.2">
      <c r="A24" s="1495"/>
      <c r="B24" s="1495"/>
      <c r="C24" s="1496" t="s">
        <v>102</v>
      </c>
      <c r="D24" s="14" t="str">
        <f>INDEX(Modulos[Modulos], MATCH($C24, Modulos[Código], 0))</f>
        <v>Transporte de carga</v>
      </c>
      <c r="E24" s="1512"/>
      <c r="G24" s="1889">
        <f t="shared" ref="G24:V24" ca="1" si="22">IFERROR(INDEX(INDIRECT($C24&amp;".Outputs["&amp;this.Year&amp;"]"), MATCH(G$5, INDIRECT($C24&amp;".Outputs[Vector]"), 0)), 0)</f>
        <v>0</v>
      </c>
      <c r="H24" s="1889"/>
      <c r="I24" s="1889"/>
      <c r="J24" s="1889"/>
      <c r="K24" s="1889"/>
      <c r="L24" s="1889"/>
      <c r="M24" s="1889">
        <f t="shared" ca="1" si="22"/>
        <v>0</v>
      </c>
      <c r="N24" s="1889">
        <f t="shared" ca="1" si="22"/>
        <v>0</v>
      </c>
      <c r="O24" s="1889">
        <f t="shared" ca="1" si="22"/>
        <v>0</v>
      </c>
      <c r="P24" s="1889">
        <f t="shared" ca="1" si="22"/>
        <v>0</v>
      </c>
      <c r="Q24" s="1889">
        <f t="shared" ca="1" si="22"/>
        <v>0</v>
      </c>
      <c r="R24" s="1889">
        <f t="shared" ca="1" si="22"/>
        <v>0</v>
      </c>
      <c r="S24" s="1889">
        <f t="shared" ca="1" si="22"/>
        <v>12.475499139011452</v>
      </c>
      <c r="T24" s="1889">
        <f t="shared" ca="1" si="22"/>
        <v>14.141862993647409</v>
      </c>
      <c r="U24" s="1889">
        <f t="shared" ca="1" si="22"/>
        <v>8.2883472481640463E-3</v>
      </c>
      <c r="V24" s="1889">
        <f t="shared" ca="1" si="22"/>
        <v>0.53715543706052005</v>
      </c>
      <c r="W24" s="1539">
        <f t="shared" ca="1" si="10"/>
        <v>27.162805916967546</v>
      </c>
      <c r="Y24" s="1891">
        <f t="shared" ref="Y24:AP24" ca="1" si="23">IFERROR(INDEX(INDIRECT($C24&amp;".Outputs["&amp;this.Year&amp;"]"), MATCH(Y$5, INDIRECT($C24&amp;".Outputs[Vector]"), 0)), 0)</f>
        <v>0</v>
      </c>
      <c r="Z24" s="1891">
        <f t="shared" ca="1" si="23"/>
        <v>0</v>
      </c>
      <c r="AA24" s="1891">
        <f t="shared" ca="1" si="23"/>
        <v>0</v>
      </c>
      <c r="AB24" s="1891">
        <f t="shared" ca="1" si="23"/>
        <v>-27.162805916967546</v>
      </c>
      <c r="AC24" s="1891">
        <f t="shared" ca="1" si="23"/>
        <v>0</v>
      </c>
      <c r="AD24" s="1891">
        <f t="shared" ca="1" si="23"/>
        <v>0</v>
      </c>
      <c r="AE24" s="1891">
        <f t="shared" ca="1" si="23"/>
        <v>0</v>
      </c>
      <c r="AF24" s="1891">
        <f t="shared" ca="1" si="23"/>
        <v>0</v>
      </c>
      <c r="AG24" s="1891">
        <f t="shared" ca="1" si="23"/>
        <v>0</v>
      </c>
      <c r="AH24" s="1891">
        <f t="shared" ca="1" si="23"/>
        <v>0</v>
      </c>
      <c r="AI24" s="1891">
        <f t="shared" ca="1" si="23"/>
        <v>0</v>
      </c>
      <c r="AJ24" s="1891">
        <f t="shared" ca="1" si="23"/>
        <v>0</v>
      </c>
      <c r="AK24" s="1891">
        <f t="shared" ca="1" si="23"/>
        <v>0</v>
      </c>
      <c r="AL24" s="1891">
        <f t="shared" ca="1" si="23"/>
        <v>0</v>
      </c>
      <c r="AM24" s="1891">
        <f t="shared" ca="1" si="23"/>
        <v>0</v>
      </c>
      <c r="AN24" s="1891">
        <f t="shared" ca="1" si="23"/>
        <v>0</v>
      </c>
      <c r="AO24" s="1891">
        <f t="shared" ca="1" si="23"/>
        <v>0</v>
      </c>
      <c r="AP24" s="1891">
        <f t="shared" ca="1" si="23"/>
        <v>0</v>
      </c>
      <c r="AQ24" s="1490">
        <f t="shared" ca="1" si="11"/>
        <v>-27.162805916967546</v>
      </c>
      <c r="AS24" s="1491">
        <f>AS23</f>
        <v>0</v>
      </c>
      <c r="AT24" s="1491">
        <f t="shared" ref="AT24:BK24" si="24">AT23</f>
        <v>0</v>
      </c>
      <c r="AU24" s="1491">
        <f t="shared" si="24"/>
        <v>0</v>
      </c>
      <c r="AV24" s="1491">
        <f t="shared" si="24"/>
        <v>0</v>
      </c>
      <c r="AW24" s="1491">
        <f t="shared" si="24"/>
        <v>0</v>
      </c>
      <c r="AX24" s="1491">
        <f t="shared" si="24"/>
        <v>0</v>
      </c>
      <c r="AY24" s="1491">
        <f t="shared" si="24"/>
        <v>0</v>
      </c>
      <c r="AZ24" s="1491">
        <f t="shared" si="24"/>
        <v>0</v>
      </c>
      <c r="BA24" s="1491">
        <f t="shared" si="24"/>
        <v>0</v>
      </c>
      <c r="BB24" s="1491">
        <f t="shared" si="24"/>
        <v>0</v>
      </c>
      <c r="BC24" s="1491">
        <f t="shared" si="24"/>
        <v>0</v>
      </c>
      <c r="BD24" s="1491">
        <f t="shared" si="24"/>
        <v>0</v>
      </c>
      <c r="BE24" s="1491">
        <f t="shared" si="24"/>
        <v>0</v>
      </c>
      <c r="BF24" s="1491">
        <f t="shared" si="24"/>
        <v>0</v>
      </c>
      <c r="BG24" s="1491">
        <f t="shared" si="24"/>
        <v>0</v>
      </c>
      <c r="BH24" s="1491">
        <f t="shared" si="24"/>
        <v>0</v>
      </c>
      <c r="BI24" s="1491">
        <f t="shared" si="24"/>
        <v>0</v>
      </c>
      <c r="BJ24" s="1491">
        <f t="shared" si="24"/>
        <v>0</v>
      </c>
      <c r="BK24" s="1491">
        <f t="shared" si="24"/>
        <v>0</v>
      </c>
      <c r="BL24" s="1503">
        <f>SUM(AS24:BK24)</f>
        <v>0</v>
      </c>
      <c r="BN24" s="1941">
        <f ca="1">IFERROR(INDEX(INDIRECT($C24&amp;".Outputs["&amp;this.Year&amp;"]"), MATCH(BN$5, INDIRECT($C24&amp;".Outputs[Vector]"), 0)), 0)</f>
        <v>0</v>
      </c>
      <c r="BO24" s="1941">
        <f ca="1">IFERROR(INDEX(INDIRECT($C24&amp;".Outputs["&amp;this.Year&amp;"]"), MATCH(BO$5, INDIRECT($C24&amp;".Outputs[Vector]"), 0)), 0)</f>
        <v>0</v>
      </c>
      <c r="BP24" s="1505">
        <f ca="1">BN24+BO24</f>
        <v>0</v>
      </c>
      <c r="BR24" s="3168">
        <f t="shared" ca="1" si="12"/>
        <v>0</v>
      </c>
      <c r="BS24" s="1525"/>
      <c r="BT24" s="748"/>
      <c r="BU24" s="1507">
        <v>0</v>
      </c>
      <c r="BV24" s="1508">
        <v>0</v>
      </c>
      <c r="BW24" s="1508">
        <v>0</v>
      </c>
      <c r="BX24" s="1508">
        <v>0</v>
      </c>
      <c r="BY24" s="1508">
        <v>0</v>
      </c>
      <c r="BZ24" s="1508">
        <v>0</v>
      </c>
      <c r="CA24" s="1508">
        <v>0</v>
      </c>
      <c r="CB24" s="1508">
        <v>0</v>
      </c>
      <c r="CC24" s="1508">
        <v>0</v>
      </c>
      <c r="CD24" s="1508">
        <v>0</v>
      </c>
      <c r="CE24" s="1508">
        <v>0</v>
      </c>
      <c r="CF24" s="1508">
        <v>0</v>
      </c>
      <c r="CG24" s="1508">
        <v>0</v>
      </c>
      <c r="CH24" s="1508">
        <v>0</v>
      </c>
      <c r="CI24" s="1508">
        <v>0</v>
      </c>
      <c r="CJ24" s="1508">
        <v>0</v>
      </c>
      <c r="CK24" s="1508">
        <v>0</v>
      </c>
      <c r="CL24" s="1508">
        <v>0</v>
      </c>
      <c r="CM24" s="1508">
        <v>0</v>
      </c>
      <c r="CN24" s="1508">
        <v>0</v>
      </c>
      <c r="CO24" s="1508">
        <v>0</v>
      </c>
      <c r="CP24" s="1508">
        <v>0</v>
      </c>
      <c r="CQ24" s="1508">
        <v>0</v>
      </c>
      <c r="CR24" s="1508">
        <v>0</v>
      </c>
      <c r="CS24" s="1508">
        <v>0</v>
      </c>
      <c r="CT24" s="1508">
        <v>0</v>
      </c>
      <c r="CU24" s="1508">
        <v>0</v>
      </c>
      <c r="CV24" s="1508">
        <v>0</v>
      </c>
      <c r="CW24" s="1508">
        <v>0</v>
      </c>
      <c r="CX24" s="1508">
        <v>0</v>
      </c>
      <c r="CY24" s="1508">
        <v>0</v>
      </c>
      <c r="CZ24" s="1508">
        <v>0</v>
      </c>
      <c r="DA24" s="1508">
        <v>13.5395392718143</v>
      </c>
      <c r="DB24" s="1508">
        <v>1.6856672942676842E-2</v>
      </c>
      <c r="DC24" s="1508">
        <v>0.2436040552430235</v>
      </c>
      <c r="DD24" s="1508">
        <v>0</v>
      </c>
      <c r="DE24" s="1508">
        <v>0</v>
      </c>
      <c r="DF24" s="1508">
        <v>0</v>
      </c>
      <c r="DG24" s="1508">
        <v>0</v>
      </c>
      <c r="DH24" s="1508">
        <v>0</v>
      </c>
      <c r="DI24" s="1508">
        <v>0</v>
      </c>
      <c r="DJ24" s="1508">
        <v>0</v>
      </c>
      <c r="DK24" s="1508">
        <v>0</v>
      </c>
      <c r="DL24" s="1508">
        <v>0</v>
      </c>
      <c r="DN24" s="1509">
        <v>13.8</v>
      </c>
    </row>
    <row r="25" spans="1:118" s="14" customFormat="1" ht="10.5" hidden="1" customHeight="1" outlineLevel="2" x14ac:dyDescent="0.2">
      <c r="A25" s="1510"/>
      <c r="B25" s="1510"/>
      <c r="C25" s="1511"/>
      <c r="D25" s="1546"/>
      <c r="E25" s="1512"/>
      <c r="G25" s="1513"/>
      <c r="H25" s="1513"/>
      <c r="I25" s="1513"/>
      <c r="J25" s="1513"/>
      <c r="K25" s="1513"/>
      <c r="L25" s="1513"/>
      <c r="M25" s="1513"/>
      <c r="N25" s="1513"/>
      <c r="O25" s="1513"/>
      <c r="P25" s="1513"/>
      <c r="Q25" s="1513"/>
      <c r="R25" s="1513"/>
      <c r="S25" s="1513"/>
      <c r="T25" s="1513"/>
      <c r="U25" s="1513"/>
      <c r="V25" s="1513"/>
      <c r="W25" s="1539">
        <f t="shared" si="10"/>
        <v>0</v>
      </c>
      <c r="Y25" s="1515"/>
      <c r="Z25" s="1515"/>
      <c r="AA25" s="1515"/>
      <c r="AB25" s="1515"/>
      <c r="AC25" s="1515"/>
      <c r="AD25" s="1515"/>
      <c r="AE25" s="1515"/>
      <c r="AF25" s="1515"/>
      <c r="AG25" s="1515"/>
      <c r="AH25" s="1515"/>
      <c r="AI25" s="1515"/>
      <c r="AJ25" s="1515"/>
      <c r="AK25" s="1515"/>
      <c r="AL25" s="1515"/>
      <c r="AM25" s="1515"/>
      <c r="AN25" s="1515"/>
      <c r="AO25" s="1515"/>
      <c r="AP25" s="1515"/>
      <c r="AQ25" s="1490">
        <f t="shared" si="11"/>
        <v>0</v>
      </c>
      <c r="AS25" s="1517"/>
      <c r="AT25" s="1517"/>
      <c r="AU25" s="1517"/>
      <c r="AV25" s="1517"/>
      <c r="AW25" s="1517"/>
      <c r="AX25" s="1517"/>
      <c r="AY25" s="1517"/>
      <c r="AZ25" s="1517"/>
      <c r="BA25" s="1517"/>
      <c r="BB25" s="1517"/>
      <c r="BC25" s="1517"/>
      <c r="BD25" s="1517"/>
      <c r="BE25" s="1517"/>
      <c r="BF25" s="1517"/>
      <c r="BG25" s="1517"/>
      <c r="BH25" s="1517"/>
      <c r="BI25" s="1517"/>
      <c r="BJ25" s="1517"/>
      <c r="BK25" s="1517"/>
      <c r="BL25" s="1518"/>
      <c r="BN25" s="1519"/>
      <c r="BO25" s="1519"/>
      <c r="BP25" s="1520"/>
      <c r="BR25" s="3168">
        <f t="shared" si="12"/>
        <v>0</v>
      </c>
      <c r="BS25" s="1521"/>
      <c r="BT25" s="748"/>
      <c r="BU25" s="1507">
        <v>0</v>
      </c>
      <c r="BV25" s="1508">
        <v>0</v>
      </c>
      <c r="BW25" s="1508">
        <v>0</v>
      </c>
      <c r="BX25" s="1508">
        <v>0</v>
      </c>
      <c r="BY25" s="1508">
        <v>0</v>
      </c>
      <c r="BZ25" s="1508">
        <v>0</v>
      </c>
      <c r="CA25" s="1508">
        <v>0</v>
      </c>
      <c r="CB25" s="1508">
        <v>0</v>
      </c>
      <c r="CC25" s="1508">
        <v>0</v>
      </c>
      <c r="CD25" s="1508">
        <v>0</v>
      </c>
      <c r="CE25" s="1508">
        <v>0</v>
      </c>
      <c r="CF25" s="1508">
        <v>0</v>
      </c>
      <c r="CG25" s="1508">
        <v>0</v>
      </c>
      <c r="CH25" s="1508">
        <v>0</v>
      </c>
      <c r="CI25" s="1508">
        <v>0</v>
      </c>
      <c r="CJ25" s="1508">
        <v>0</v>
      </c>
      <c r="CK25" s="1508">
        <v>0</v>
      </c>
      <c r="CL25" s="1508">
        <v>0</v>
      </c>
      <c r="CM25" s="1508">
        <v>0</v>
      </c>
      <c r="CN25" s="1508">
        <v>0</v>
      </c>
      <c r="CO25" s="1508">
        <v>0</v>
      </c>
      <c r="CP25" s="1508">
        <v>0</v>
      </c>
      <c r="CQ25" s="1508">
        <v>0</v>
      </c>
      <c r="CR25" s="1508">
        <v>0</v>
      </c>
      <c r="CS25" s="1508">
        <v>0</v>
      </c>
      <c r="CT25" s="1508">
        <v>0</v>
      </c>
      <c r="CU25" s="1508">
        <v>0</v>
      </c>
      <c r="CV25" s="1508">
        <v>0</v>
      </c>
      <c r="CW25" s="1508">
        <v>0</v>
      </c>
      <c r="CX25" s="1508">
        <v>0</v>
      </c>
      <c r="CY25" s="1508">
        <v>0</v>
      </c>
      <c r="CZ25" s="1508">
        <v>0</v>
      </c>
      <c r="DA25" s="1508">
        <v>0</v>
      </c>
      <c r="DB25" s="1508">
        <v>0</v>
      </c>
      <c r="DC25" s="1508">
        <v>0</v>
      </c>
      <c r="DD25" s="1508">
        <v>0</v>
      </c>
      <c r="DE25" s="1508">
        <v>0</v>
      </c>
      <c r="DF25" s="1508">
        <v>0</v>
      </c>
      <c r="DG25" s="1508">
        <v>0</v>
      </c>
      <c r="DH25" s="1508">
        <v>0</v>
      </c>
      <c r="DI25" s="1508">
        <v>0</v>
      </c>
      <c r="DJ25" s="1508">
        <v>0</v>
      </c>
      <c r="DK25" s="1508">
        <v>0</v>
      </c>
      <c r="DL25" s="1508">
        <v>0</v>
      </c>
      <c r="DN25" s="1509">
        <v>0</v>
      </c>
    </row>
    <row r="26" spans="1:118" s="14" customFormat="1" ht="11.25" hidden="1" customHeight="1" outlineLevel="1" x14ac:dyDescent="0.2">
      <c r="A26" s="1522"/>
      <c r="B26" s="1522"/>
      <c r="D26" s="1547"/>
      <c r="E26" s="1526"/>
      <c r="G26" s="1527"/>
      <c r="H26" s="1527"/>
      <c r="I26" s="1527"/>
      <c r="J26" s="1527"/>
      <c r="K26" s="1527"/>
      <c r="L26" s="1527"/>
      <c r="M26" s="1527"/>
      <c r="N26" s="1527"/>
      <c r="O26" s="1527"/>
      <c r="P26" s="1527"/>
      <c r="Q26" s="1527"/>
      <c r="R26" s="1527"/>
      <c r="S26" s="1527"/>
      <c r="T26" s="1527"/>
      <c r="U26" s="1527"/>
      <c r="V26" s="1527"/>
      <c r="W26" s="1539">
        <f t="shared" si="10"/>
        <v>0</v>
      </c>
      <c r="Y26" s="1528"/>
      <c r="Z26" s="1528"/>
      <c r="AA26" s="1528"/>
      <c r="AB26" s="1528"/>
      <c r="AC26" s="1528"/>
      <c r="AD26" s="1548"/>
      <c r="AE26" s="1548"/>
      <c r="AF26" s="1548"/>
      <c r="AG26" s="1528"/>
      <c r="AH26" s="1528"/>
      <c r="AI26" s="1528"/>
      <c r="AJ26" s="1528"/>
      <c r="AK26" s="1528"/>
      <c r="AL26" s="1528"/>
      <c r="AM26" s="1528"/>
      <c r="AN26" s="1528"/>
      <c r="AO26" s="1528"/>
      <c r="AP26" s="1528"/>
      <c r="AQ26" s="1490">
        <f t="shared" si="11"/>
        <v>0</v>
      </c>
      <c r="AS26" s="1549"/>
      <c r="AT26" s="1549"/>
      <c r="AU26" s="1549"/>
      <c r="AV26" s="1549"/>
      <c r="AW26" s="1549"/>
      <c r="AX26" s="1549"/>
      <c r="AY26" s="1549"/>
      <c r="AZ26" s="1549"/>
      <c r="BA26" s="1549"/>
      <c r="BB26" s="1549"/>
      <c r="BC26" s="1549"/>
      <c r="BD26" s="1549"/>
      <c r="BE26" s="1549"/>
      <c r="BF26" s="1549"/>
      <c r="BG26" s="1549"/>
      <c r="BH26" s="1549"/>
      <c r="BI26" s="1549"/>
      <c r="BJ26" s="1549"/>
      <c r="BK26" s="1549"/>
      <c r="BL26" s="1550"/>
      <c r="BN26" s="1551"/>
      <c r="BO26" s="1551"/>
      <c r="BP26" s="1531"/>
      <c r="BR26" s="3168">
        <f t="shared" si="12"/>
        <v>0</v>
      </c>
      <c r="BS26" s="1506"/>
      <c r="BT26" s="1522"/>
      <c r="BU26" s="1532">
        <v>0</v>
      </c>
      <c r="BV26" s="1533">
        <v>0</v>
      </c>
      <c r="BW26" s="1533">
        <v>0</v>
      </c>
      <c r="BX26" s="1533">
        <v>0</v>
      </c>
      <c r="BY26" s="1533">
        <v>0</v>
      </c>
      <c r="BZ26" s="1533">
        <v>0</v>
      </c>
      <c r="CA26" s="1533">
        <v>0</v>
      </c>
      <c r="CB26" s="1533">
        <v>0</v>
      </c>
      <c r="CC26" s="1533">
        <v>0</v>
      </c>
      <c r="CD26" s="1533">
        <v>0</v>
      </c>
      <c r="CE26" s="1533">
        <v>0</v>
      </c>
      <c r="CF26" s="1533">
        <v>0</v>
      </c>
      <c r="CG26" s="1533">
        <v>0</v>
      </c>
      <c r="CH26" s="1533">
        <v>0</v>
      </c>
      <c r="CI26" s="1533">
        <v>0</v>
      </c>
      <c r="CJ26" s="1533">
        <v>0</v>
      </c>
      <c r="CK26" s="1533">
        <v>0</v>
      </c>
      <c r="CL26" s="1533">
        <v>0</v>
      </c>
      <c r="CM26" s="1533">
        <v>0</v>
      </c>
      <c r="CN26" s="1533">
        <v>0</v>
      </c>
      <c r="CO26" s="1533">
        <v>0</v>
      </c>
      <c r="CP26" s="1533">
        <v>0</v>
      </c>
      <c r="CQ26" s="1533">
        <v>0</v>
      </c>
      <c r="CR26" s="1533">
        <v>0</v>
      </c>
      <c r="CS26" s="1533">
        <v>0</v>
      </c>
      <c r="CT26" s="1533">
        <v>0</v>
      </c>
      <c r="CU26" s="1533">
        <v>0</v>
      </c>
      <c r="CV26" s="1533">
        <v>0</v>
      </c>
      <c r="CW26" s="1533">
        <v>0</v>
      </c>
      <c r="CX26" s="1533">
        <v>0</v>
      </c>
      <c r="CY26" s="1533">
        <v>0</v>
      </c>
      <c r="CZ26" s="1533">
        <v>0</v>
      </c>
      <c r="DA26" s="1533">
        <v>13.5395392718143</v>
      </c>
      <c r="DB26" s="1533">
        <v>1.6856672942676842E-2</v>
      </c>
      <c r="DC26" s="1533">
        <v>0.2436040552430235</v>
      </c>
      <c r="DD26" s="1533">
        <v>0</v>
      </c>
      <c r="DE26" s="1533">
        <v>0</v>
      </c>
      <c r="DF26" s="1533">
        <v>0</v>
      </c>
      <c r="DG26" s="1533">
        <v>0</v>
      </c>
      <c r="DH26" s="1533">
        <v>0</v>
      </c>
      <c r="DI26" s="1533">
        <v>0</v>
      </c>
      <c r="DJ26" s="1533">
        <v>0</v>
      </c>
      <c r="DK26" s="1533">
        <v>0</v>
      </c>
      <c r="DL26" s="1533">
        <v>0</v>
      </c>
      <c r="DN26" s="1509">
        <v>13.8</v>
      </c>
    </row>
    <row r="27" spans="1:118" s="14" customFormat="1" ht="15.75" collapsed="1" x14ac:dyDescent="0.2">
      <c r="A27" s="1534"/>
      <c r="B27" s="1535"/>
      <c r="C27" s="1536" t="s">
        <v>579</v>
      </c>
      <c r="D27" s="1537" t="str">
        <f>INDEX(Flujos[Flujos], MATCH($C27, Flujos[Código], 0))</f>
        <v>Transporte</v>
      </c>
      <c r="E27" s="1538"/>
      <c r="G27" s="1539">
        <f ca="1">G21+G24</f>
        <v>0</v>
      </c>
      <c r="H27" s="1539">
        <f t="shared" ref="H27:V27" si="25">H21+H24</f>
        <v>0</v>
      </c>
      <c r="I27" s="1539">
        <f t="shared" si="25"/>
        <v>0</v>
      </c>
      <c r="J27" s="1539">
        <f t="shared" si="25"/>
        <v>0</v>
      </c>
      <c r="K27" s="1539">
        <f t="shared" si="25"/>
        <v>0</v>
      </c>
      <c r="L27" s="1539">
        <f t="shared" si="25"/>
        <v>0</v>
      </c>
      <c r="M27" s="1539">
        <f t="shared" ca="1" si="25"/>
        <v>0</v>
      </c>
      <c r="N27" s="1892">
        <f t="shared" ca="1" si="25"/>
        <v>85.289096073503785</v>
      </c>
      <c r="O27" s="1892">
        <f t="shared" ca="1" si="25"/>
        <v>51.51391648078021</v>
      </c>
      <c r="P27" s="1892">
        <f t="shared" ca="1" si="25"/>
        <v>0.61399268455243872</v>
      </c>
      <c r="Q27" s="1892">
        <f t="shared" ca="1" si="25"/>
        <v>0.12275791095265887</v>
      </c>
      <c r="R27" s="1892">
        <f t="shared" ca="1" si="25"/>
        <v>33.490878768279792</v>
      </c>
      <c r="S27" s="1892">
        <f t="shared" ca="1" si="25"/>
        <v>12.475499139011452</v>
      </c>
      <c r="T27" s="1892">
        <f t="shared" ca="1" si="25"/>
        <v>14.141862993647409</v>
      </c>
      <c r="U27" s="1892">
        <f t="shared" ca="1" si="25"/>
        <v>8.2883472481640463E-3</v>
      </c>
      <c r="V27" s="1892">
        <f t="shared" ca="1" si="25"/>
        <v>0.53715543706052005</v>
      </c>
      <c r="W27" s="1539">
        <f t="shared" ca="1" si="10"/>
        <v>198.19344783503647</v>
      </c>
      <c r="Y27" s="1893">
        <f ca="1">Y21+Y24</f>
        <v>-1.8828172100523621</v>
      </c>
      <c r="Z27" s="1893">
        <f t="shared" ref="Z27:AP27" ca="1" si="26">Z21+Z24</f>
        <v>0</v>
      </c>
      <c r="AA27" s="1893">
        <f t="shared" ca="1" si="26"/>
        <v>0</v>
      </c>
      <c r="AB27" s="1893">
        <f ca="1">AB21+AB24</f>
        <v>-196.3106306249841</v>
      </c>
      <c r="AC27" s="1893">
        <f t="shared" ca="1" si="26"/>
        <v>0</v>
      </c>
      <c r="AD27" s="1893">
        <f t="shared" ca="1" si="26"/>
        <v>0</v>
      </c>
      <c r="AE27" s="1893">
        <f t="shared" ca="1" si="26"/>
        <v>0</v>
      </c>
      <c r="AF27" s="1893">
        <f t="shared" ca="1" si="26"/>
        <v>0</v>
      </c>
      <c r="AG27" s="1893">
        <f t="shared" ca="1" si="26"/>
        <v>0</v>
      </c>
      <c r="AH27" s="1893">
        <f t="shared" ca="1" si="26"/>
        <v>0</v>
      </c>
      <c r="AI27" s="1893">
        <f t="shared" ca="1" si="26"/>
        <v>0</v>
      </c>
      <c r="AJ27" s="1893">
        <f t="shared" ca="1" si="26"/>
        <v>0</v>
      </c>
      <c r="AK27" s="1893">
        <f t="shared" ca="1" si="26"/>
        <v>0</v>
      </c>
      <c r="AL27" s="1893">
        <f t="shared" ca="1" si="26"/>
        <v>0</v>
      </c>
      <c r="AM27" s="1893">
        <f t="shared" ca="1" si="26"/>
        <v>0</v>
      </c>
      <c r="AN27" s="1893">
        <f t="shared" ca="1" si="26"/>
        <v>0</v>
      </c>
      <c r="AO27" s="1893">
        <f t="shared" ca="1" si="26"/>
        <v>0</v>
      </c>
      <c r="AP27" s="1893">
        <f t="shared" ca="1" si="26"/>
        <v>0</v>
      </c>
      <c r="AQ27" s="1490">
        <f t="shared" ca="1" si="11"/>
        <v>-198.19344783503647</v>
      </c>
      <c r="AS27" s="1491">
        <f>AS26</f>
        <v>0</v>
      </c>
      <c r="AT27" s="1491">
        <f t="shared" ref="AT27:BK27" si="27">AT26</f>
        <v>0</v>
      </c>
      <c r="AU27" s="1491">
        <f t="shared" si="27"/>
        <v>0</v>
      </c>
      <c r="AV27" s="1491">
        <f t="shared" si="27"/>
        <v>0</v>
      </c>
      <c r="AW27" s="1491">
        <f t="shared" si="27"/>
        <v>0</v>
      </c>
      <c r="AX27" s="1491">
        <f t="shared" si="27"/>
        <v>0</v>
      </c>
      <c r="AY27" s="1491">
        <f t="shared" si="27"/>
        <v>0</v>
      </c>
      <c r="AZ27" s="1491">
        <f t="shared" si="27"/>
        <v>0</v>
      </c>
      <c r="BA27" s="1491">
        <f t="shared" si="27"/>
        <v>0</v>
      </c>
      <c r="BB27" s="1491">
        <f t="shared" si="27"/>
        <v>0</v>
      </c>
      <c r="BC27" s="1491">
        <f t="shared" si="27"/>
        <v>0</v>
      </c>
      <c r="BD27" s="1491">
        <f t="shared" si="27"/>
        <v>0</v>
      </c>
      <c r="BE27" s="1491">
        <f t="shared" si="27"/>
        <v>0</v>
      </c>
      <c r="BF27" s="1491">
        <f t="shared" si="27"/>
        <v>0</v>
      </c>
      <c r="BG27" s="1491">
        <f t="shared" si="27"/>
        <v>0</v>
      </c>
      <c r="BH27" s="1491">
        <f t="shared" si="27"/>
        <v>0</v>
      </c>
      <c r="BI27" s="1491">
        <f t="shared" si="27"/>
        <v>0</v>
      </c>
      <c r="BJ27" s="1491">
        <f t="shared" si="27"/>
        <v>0</v>
      </c>
      <c r="BK27" s="1491">
        <f t="shared" si="27"/>
        <v>0</v>
      </c>
      <c r="BL27" s="1503">
        <f>SUM(AS27:BK27)</f>
        <v>0</v>
      </c>
      <c r="BN27" s="1941">
        <f ca="1">BN24+BN21</f>
        <v>0</v>
      </c>
      <c r="BO27" s="1941">
        <f ca="1">BO24+BO21</f>
        <v>0</v>
      </c>
      <c r="BP27" s="1505">
        <f ca="1">BN27+BO27</f>
        <v>0</v>
      </c>
      <c r="BR27" s="3168">
        <f t="shared" ca="1" si="12"/>
        <v>0</v>
      </c>
      <c r="BS27" s="1493"/>
      <c r="BT27" s="748"/>
      <c r="BU27" s="1508">
        <v>131.46551968326995</v>
      </c>
      <c r="BV27" s="1508">
        <v>0.16367405301251234</v>
      </c>
      <c r="BW27" s="1508">
        <v>2.365334083866848</v>
      </c>
      <c r="BX27" s="1508">
        <v>0</v>
      </c>
      <c r="BY27" s="1508">
        <v>0</v>
      </c>
      <c r="BZ27" s="1508">
        <v>0</v>
      </c>
      <c r="CA27" s="1508">
        <v>0</v>
      </c>
      <c r="CB27" s="1508">
        <v>0</v>
      </c>
      <c r="CC27" s="1508">
        <v>0</v>
      </c>
      <c r="CD27" s="1508">
        <v>0</v>
      </c>
      <c r="CE27" s="1508">
        <v>0</v>
      </c>
      <c r="CF27" s="1508">
        <v>0</v>
      </c>
      <c r="CG27" s="1508">
        <v>0</v>
      </c>
      <c r="CH27" s="1508">
        <v>0</v>
      </c>
      <c r="CI27" s="1508">
        <v>0</v>
      </c>
      <c r="CJ27" s="1508">
        <v>0</v>
      </c>
      <c r="CK27" s="1508">
        <v>0</v>
      </c>
      <c r="CL27" s="1508">
        <v>0</v>
      </c>
      <c r="CM27" s="1508">
        <v>0</v>
      </c>
      <c r="CN27" s="1508">
        <v>0</v>
      </c>
      <c r="CO27" s="1508">
        <v>0</v>
      </c>
      <c r="CP27" s="1508">
        <v>0</v>
      </c>
      <c r="CQ27" s="1508">
        <v>0</v>
      </c>
      <c r="CR27" s="1508">
        <v>0</v>
      </c>
      <c r="CS27" s="1508">
        <v>0</v>
      </c>
      <c r="CT27" s="1508">
        <v>0</v>
      </c>
      <c r="CU27" s="1508">
        <v>0</v>
      </c>
      <c r="CV27" s="1508">
        <v>0</v>
      </c>
      <c r="CW27" s="1508">
        <v>0</v>
      </c>
      <c r="CX27" s="1508">
        <v>0</v>
      </c>
      <c r="CY27" s="1508">
        <v>0</v>
      </c>
      <c r="CZ27" s="1508">
        <v>0</v>
      </c>
      <c r="DA27" s="1508">
        <v>51.739539271814301</v>
      </c>
      <c r="DB27" s="1508">
        <v>6.441552213858226E-2</v>
      </c>
      <c r="DC27" s="1508">
        <v>0.93090033050516818</v>
      </c>
      <c r="DD27" s="1508">
        <v>0</v>
      </c>
      <c r="DE27" s="1508">
        <v>0</v>
      </c>
      <c r="DF27" s="1508">
        <v>0</v>
      </c>
      <c r="DG27" s="1508">
        <v>0</v>
      </c>
      <c r="DH27" s="1508">
        <v>0</v>
      </c>
      <c r="DI27" s="1508">
        <v>0</v>
      </c>
      <c r="DJ27" s="1508">
        <v>0</v>
      </c>
      <c r="DK27" s="1508">
        <v>0</v>
      </c>
      <c r="DL27" s="1508">
        <v>0</v>
      </c>
      <c r="DN27" s="1509">
        <v>186.72938294460735</v>
      </c>
    </row>
    <row r="28" spans="1:118" s="14" customFormat="1" ht="15.75" x14ac:dyDescent="0.2">
      <c r="A28" s="1534"/>
      <c r="B28" s="1535"/>
      <c r="C28" s="1536"/>
      <c r="D28" s="1537"/>
      <c r="E28" s="1538"/>
      <c r="G28" s="1539"/>
      <c r="H28" s="1539"/>
      <c r="I28" s="1539"/>
      <c r="J28" s="1539"/>
      <c r="K28" s="1539"/>
      <c r="L28" s="1539"/>
      <c r="M28" s="1539"/>
      <c r="N28" s="1539"/>
      <c r="O28" s="1539"/>
      <c r="P28" s="1539"/>
      <c r="Q28" s="1539"/>
      <c r="R28" s="1539"/>
      <c r="S28" s="1539"/>
      <c r="T28" s="1539"/>
      <c r="U28" s="1539"/>
      <c r="V28" s="1539"/>
      <c r="W28" s="1539"/>
      <c r="Y28" s="1490"/>
      <c r="Z28" s="1490"/>
      <c r="AA28" s="1490"/>
      <c r="AB28" s="1490"/>
      <c r="AC28" s="1490"/>
      <c r="AD28" s="1490"/>
      <c r="AE28" s="1490"/>
      <c r="AF28" s="1490"/>
      <c r="AG28" s="1490"/>
      <c r="AH28" s="1490"/>
      <c r="AI28" s="1490"/>
      <c r="AJ28" s="1490"/>
      <c r="AK28" s="1490"/>
      <c r="AL28" s="1490"/>
      <c r="AM28" s="1490"/>
      <c r="AN28" s="1490"/>
      <c r="AO28" s="1490"/>
      <c r="AP28" s="1490"/>
      <c r="AQ28" s="1490"/>
      <c r="AS28" s="1491"/>
      <c r="AT28" s="1491"/>
      <c r="AU28" s="1491"/>
      <c r="AV28" s="1491"/>
      <c r="AW28" s="1491"/>
      <c r="AX28" s="1491"/>
      <c r="AY28" s="1491"/>
      <c r="AZ28" s="1491"/>
      <c r="BA28" s="1491"/>
      <c r="BB28" s="1491"/>
      <c r="BC28" s="1491"/>
      <c r="BD28" s="1491"/>
      <c r="BE28" s="1491"/>
      <c r="BF28" s="1491"/>
      <c r="BG28" s="1491"/>
      <c r="BH28" s="1491"/>
      <c r="BI28" s="1491"/>
      <c r="BJ28" s="1491"/>
      <c r="BK28" s="1491"/>
      <c r="BL28" s="1491"/>
      <c r="BN28" s="1492"/>
      <c r="BO28" s="1492"/>
      <c r="BP28" s="1492"/>
      <c r="BR28" s="3168"/>
      <c r="BS28" s="1493"/>
      <c r="BT28" s="748"/>
      <c r="BU28" s="1508"/>
      <c r="BV28" s="1508"/>
      <c r="BW28" s="1508"/>
      <c r="BX28" s="1508"/>
      <c r="BY28" s="1508"/>
      <c r="BZ28" s="1508"/>
      <c r="CA28" s="1508"/>
      <c r="CB28" s="1508"/>
      <c r="CC28" s="1508"/>
      <c r="CD28" s="1508"/>
      <c r="CE28" s="1508"/>
      <c r="CF28" s="1508"/>
      <c r="CG28" s="1508"/>
      <c r="CH28" s="1508"/>
      <c r="CI28" s="1508"/>
      <c r="CJ28" s="1508"/>
      <c r="CK28" s="1508"/>
      <c r="CL28" s="1508"/>
      <c r="CM28" s="1508"/>
      <c r="CN28" s="1508"/>
      <c r="CO28" s="1508"/>
      <c r="CP28" s="1508"/>
      <c r="CQ28" s="1508"/>
      <c r="CR28" s="1508"/>
      <c r="CS28" s="1508"/>
      <c r="CT28" s="1508"/>
      <c r="CU28" s="1508"/>
      <c r="CV28" s="1508"/>
      <c r="CW28" s="1508"/>
      <c r="CX28" s="1508"/>
      <c r="CY28" s="1508"/>
      <c r="CZ28" s="1508"/>
      <c r="DA28" s="1508"/>
      <c r="DB28" s="1508"/>
      <c r="DC28" s="1508"/>
      <c r="DD28" s="1508"/>
      <c r="DE28" s="1508"/>
      <c r="DF28" s="1508"/>
      <c r="DG28" s="1508"/>
      <c r="DH28" s="1508"/>
      <c r="DI28" s="1508"/>
      <c r="DJ28" s="1508"/>
      <c r="DK28" s="1508"/>
      <c r="DL28" s="1508"/>
      <c r="DN28" s="1509"/>
    </row>
    <row r="29" spans="1:118" s="14" customFormat="1" ht="12.75" hidden="1" customHeight="1" outlineLevel="1" x14ac:dyDescent="0.2">
      <c r="A29" s="1534"/>
      <c r="B29" s="1534"/>
      <c r="C29" s="1544"/>
      <c r="D29" s="1538"/>
      <c r="E29" s="1538"/>
      <c r="G29" s="1539"/>
      <c r="H29" s="1539"/>
      <c r="I29" s="1539"/>
      <c r="J29" s="1539"/>
      <c r="K29" s="1539"/>
      <c r="L29" s="1539"/>
      <c r="M29" s="1539"/>
      <c r="N29" s="1539"/>
      <c r="O29" s="1539"/>
      <c r="P29" s="1539"/>
      <c r="Q29" s="1539"/>
      <c r="R29" s="1539"/>
      <c r="S29" s="1539"/>
      <c r="T29" s="1539"/>
      <c r="U29" s="1539"/>
      <c r="V29" s="1539"/>
      <c r="W29" s="1539">
        <f t="shared" si="10"/>
        <v>0</v>
      </c>
      <c r="Y29" s="1490"/>
      <c r="Z29" s="1490"/>
      <c r="AA29" s="1490"/>
      <c r="AB29" s="1490"/>
      <c r="AC29" s="1490"/>
      <c r="AD29" s="1490"/>
      <c r="AE29" s="1490"/>
      <c r="AF29" s="1490"/>
      <c r="AG29" s="1490"/>
      <c r="AH29" s="1490"/>
      <c r="AI29" s="1490"/>
      <c r="AJ29" s="1490"/>
      <c r="AK29" s="1490"/>
      <c r="AL29" s="1490"/>
      <c r="AM29" s="1490"/>
      <c r="AN29" s="1490"/>
      <c r="AO29" s="1490"/>
      <c r="AP29" s="1490"/>
      <c r="AQ29" s="1490"/>
      <c r="AS29" s="1491"/>
      <c r="AT29" s="1491"/>
      <c r="AU29" s="1491"/>
      <c r="AV29" s="1491"/>
      <c r="AW29" s="1491"/>
      <c r="AX29" s="1491"/>
      <c r="AY29" s="1491"/>
      <c r="AZ29" s="1491"/>
      <c r="BA29" s="1491"/>
      <c r="BB29" s="1491"/>
      <c r="BC29" s="1491"/>
      <c r="BD29" s="1491"/>
      <c r="BE29" s="1491"/>
      <c r="BF29" s="1491"/>
      <c r="BG29" s="1491"/>
      <c r="BH29" s="1491"/>
      <c r="BI29" s="1491"/>
      <c r="BJ29" s="1491"/>
      <c r="BK29" s="1491"/>
      <c r="BL29" s="1491"/>
      <c r="BN29" s="1492"/>
      <c r="BO29" s="1492"/>
      <c r="BP29" s="1492"/>
      <c r="BR29" s="3168">
        <f t="shared" si="12"/>
        <v>0</v>
      </c>
      <c r="BS29" s="1493"/>
      <c r="BT29" s="1534"/>
      <c r="BU29" s="1508"/>
      <c r="BV29" s="1508"/>
      <c r="BW29" s="1508"/>
      <c r="BX29" s="1508"/>
      <c r="BY29" s="1508"/>
      <c r="BZ29" s="1508"/>
      <c r="CA29" s="1508"/>
      <c r="CB29" s="1508"/>
      <c r="CC29" s="1508"/>
      <c r="CD29" s="1508"/>
      <c r="CE29" s="1508"/>
      <c r="CF29" s="1508"/>
      <c r="CG29" s="1508"/>
      <c r="CH29" s="1508"/>
      <c r="CI29" s="1508"/>
      <c r="CJ29" s="1508"/>
      <c r="CK29" s="1508"/>
      <c r="CL29" s="1508"/>
      <c r="CM29" s="1508"/>
      <c r="CN29" s="1508"/>
      <c r="CO29" s="1508"/>
      <c r="CP29" s="1508"/>
      <c r="CQ29" s="1508"/>
      <c r="CR29" s="1508"/>
      <c r="CS29" s="1508"/>
      <c r="CT29" s="1508"/>
      <c r="CU29" s="1508"/>
      <c r="CV29" s="1508"/>
      <c r="CW29" s="1508"/>
      <c r="CX29" s="1508"/>
      <c r="CY29" s="1508"/>
      <c r="CZ29" s="1508"/>
      <c r="DA29" s="1508"/>
      <c r="DB29" s="1508"/>
      <c r="DC29" s="1508"/>
      <c r="DD29" s="1508"/>
      <c r="DE29" s="1508"/>
      <c r="DF29" s="1508"/>
      <c r="DG29" s="1508"/>
      <c r="DH29" s="1508"/>
      <c r="DI29" s="1508"/>
      <c r="DJ29" s="1508"/>
      <c r="DK29" s="1508"/>
      <c r="DL29" s="1508"/>
      <c r="DN29" s="1509">
        <v>0</v>
      </c>
    </row>
    <row r="30" spans="1:118" s="14" customFormat="1" ht="12.75" hidden="1" customHeight="1" outlineLevel="1" x14ac:dyDescent="0.2">
      <c r="A30" s="1522"/>
      <c r="B30" s="1522"/>
      <c r="C30" s="1496"/>
      <c r="D30" s="1526"/>
      <c r="E30" s="1526"/>
      <c r="G30" s="1540">
        <v>0</v>
      </c>
      <c r="H30" s="1540"/>
      <c r="I30" s="1540"/>
      <c r="J30" s="1540"/>
      <c r="K30" s="1540"/>
      <c r="L30" s="1540"/>
      <c r="M30" s="1540">
        <v>0</v>
      </c>
      <c r="N30" s="1540">
        <v>0</v>
      </c>
      <c r="O30" s="1540">
        <v>0</v>
      </c>
      <c r="P30" s="1540">
        <v>0</v>
      </c>
      <c r="Q30" s="1540">
        <v>0</v>
      </c>
      <c r="R30" s="1540">
        <v>0</v>
      </c>
      <c r="S30" s="1540"/>
      <c r="T30" s="1540"/>
      <c r="U30" s="1540"/>
      <c r="V30" s="1540"/>
      <c r="W30" s="1539">
        <f t="shared" si="10"/>
        <v>0</v>
      </c>
      <c r="Y30" s="1541"/>
      <c r="Z30" s="1541"/>
      <c r="AA30" s="1541"/>
      <c r="AB30" s="1541"/>
      <c r="AC30" s="1541"/>
      <c r="AD30" s="1541"/>
      <c r="AE30" s="1541"/>
      <c r="AF30" s="1541"/>
      <c r="AG30" s="1541"/>
      <c r="AH30" s="1541"/>
      <c r="AI30" s="1541"/>
      <c r="AJ30" s="1541"/>
      <c r="AK30" s="1541"/>
      <c r="AL30" s="1541"/>
      <c r="AM30" s="1541"/>
      <c r="AN30" s="1541"/>
      <c r="AO30" s="1541"/>
      <c r="AP30" s="1541"/>
      <c r="AQ30" s="1528"/>
      <c r="AS30" s="1542"/>
      <c r="AT30" s="1542"/>
      <c r="AU30" s="1542"/>
      <c r="AV30" s="1542"/>
      <c r="AW30" s="1542"/>
      <c r="AX30" s="1542"/>
      <c r="AY30" s="1542"/>
      <c r="AZ30" s="1542"/>
      <c r="BA30" s="1542"/>
      <c r="BB30" s="1542"/>
      <c r="BC30" s="1542"/>
      <c r="BD30" s="1542"/>
      <c r="BE30" s="1542"/>
      <c r="BF30" s="1542"/>
      <c r="BG30" s="1542"/>
      <c r="BH30" s="1542"/>
      <c r="BI30" s="1542"/>
      <c r="BJ30" s="1542"/>
      <c r="BK30" s="1542"/>
      <c r="BL30" s="1530"/>
      <c r="BN30" s="1543">
        <v>0</v>
      </c>
      <c r="BO30" s="1543">
        <v>0</v>
      </c>
      <c r="BP30" s="1531">
        <v>0</v>
      </c>
      <c r="BR30" s="3168">
        <f t="shared" si="12"/>
        <v>0</v>
      </c>
      <c r="BS30" s="1525"/>
      <c r="BT30" s="748"/>
      <c r="BU30" s="1532">
        <v>0</v>
      </c>
      <c r="BV30" s="1533">
        <v>0</v>
      </c>
      <c r="BW30" s="1533">
        <v>0</v>
      </c>
      <c r="BX30" s="1533">
        <v>0</v>
      </c>
      <c r="BY30" s="1533">
        <v>0</v>
      </c>
      <c r="BZ30" s="1533">
        <v>0</v>
      </c>
      <c r="CA30" s="1533">
        <v>0</v>
      </c>
      <c r="CB30" s="1533">
        <v>0</v>
      </c>
      <c r="CC30" s="1533">
        <v>0</v>
      </c>
      <c r="CD30" s="1533">
        <v>0</v>
      </c>
      <c r="CE30" s="1533">
        <v>0</v>
      </c>
      <c r="CF30" s="1533">
        <v>0</v>
      </c>
      <c r="CG30" s="1533">
        <v>0</v>
      </c>
      <c r="CH30" s="1533">
        <v>0</v>
      </c>
      <c r="CI30" s="1533">
        <v>0</v>
      </c>
      <c r="CJ30" s="1533">
        <v>0</v>
      </c>
      <c r="CK30" s="1533">
        <v>0</v>
      </c>
      <c r="CL30" s="1533">
        <v>0</v>
      </c>
      <c r="CM30" s="1533">
        <v>0</v>
      </c>
      <c r="CN30" s="1533">
        <v>0</v>
      </c>
      <c r="CO30" s="1533">
        <v>0</v>
      </c>
      <c r="CP30" s="1533">
        <v>0</v>
      </c>
      <c r="CQ30" s="1533">
        <v>0</v>
      </c>
      <c r="CR30" s="1533">
        <v>0</v>
      </c>
      <c r="CS30" s="1533">
        <v>0</v>
      </c>
      <c r="CT30" s="1533">
        <v>0</v>
      </c>
      <c r="CU30" s="1533">
        <v>0</v>
      </c>
      <c r="CV30" s="1533">
        <v>0</v>
      </c>
      <c r="CW30" s="1533">
        <v>0</v>
      </c>
      <c r="CX30" s="1533">
        <v>0</v>
      </c>
      <c r="CY30" s="1533">
        <v>0</v>
      </c>
      <c r="CZ30" s="1533">
        <v>0</v>
      </c>
      <c r="DA30" s="1533">
        <v>0</v>
      </c>
      <c r="DB30" s="1533">
        <v>0</v>
      </c>
      <c r="DC30" s="1533">
        <v>0</v>
      </c>
      <c r="DD30" s="1533">
        <v>0</v>
      </c>
      <c r="DE30" s="1533">
        <v>0</v>
      </c>
      <c r="DF30" s="1533">
        <v>0</v>
      </c>
      <c r="DG30" s="1533">
        <v>0</v>
      </c>
      <c r="DH30" s="1533">
        <v>0</v>
      </c>
      <c r="DI30" s="1533">
        <v>0</v>
      </c>
      <c r="DJ30" s="1533">
        <v>0</v>
      </c>
      <c r="DK30" s="1533">
        <v>0</v>
      </c>
      <c r="DL30" s="1533">
        <v>0</v>
      </c>
      <c r="DN30" s="1509">
        <v>0</v>
      </c>
    </row>
    <row r="31" spans="1:118" s="14" customFormat="1" ht="15.75" collapsed="1" x14ac:dyDescent="0.2">
      <c r="A31" s="1534"/>
      <c r="B31" s="1535"/>
      <c r="C31" s="1536"/>
      <c r="D31" s="1537"/>
      <c r="E31" s="1538"/>
      <c r="G31" s="1539"/>
      <c r="H31" s="1539"/>
      <c r="I31" s="1539"/>
      <c r="J31" s="1539"/>
      <c r="K31" s="1539"/>
      <c r="L31" s="1539"/>
      <c r="M31" s="1539"/>
      <c r="N31" s="1539"/>
      <c r="O31" s="1539"/>
      <c r="P31" s="1539"/>
      <c r="Q31" s="1539"/>
      <c r="R31" s="1539"/>
      <c r="S31" s="1539"/>
      <c r="T31" s="1539"/>
      <c r="U31" s="1539"/>
      <c r="V31" s="1539"/>
      <c r="W31" s="1539"/>
      <c r="Y31" s="1490"/>
      <c r="Z31" s="1490"/>
      <c r="AA31" s="1490"/>
      <c r="AB31" s="1490"/>
      <c r="AC31" s="1490"/>
      <c r="AD31" s="1490"/>
      <c r="AE31" s="1490"/>
      <c r="AF31" s="1490"/>
      <c r="AG31" s="1490"/>
      <c r="AH31" s="1490"/>
      <c r="AI31" s="1490"/>
      <c r="AJ31" s="1490"/>
      <c r="AK31" s="1490"/>
      <c r="AL31" s="1490"/>
      <c r="AM31" s="1490"/>
      <c r="AN31" s="1490"/>
      <c r="AO31" s="1490"/>
      <c r="AP31" s="1490"/>
      <c r="AQ31" s="1490"/>
      <c r="AS31" s="1491"/>
      <c r="AT31" s="1491"/>
      <c r="AU31" s="1491"/>
      <c r="AV31" s="1491"/>
      <c r="AW31" s="1491"/>
      <c r="AX31" s="1491"/>
      <c r="AY31" s="1491"/>
      <c r="AZ31" s="1491"/>
      <c r="BA31" s="1491"/>
      <c r="BB31" s="1491"/>
      <c r="BC31" s="1491"/>
      <c r="BD31" s="1491"/>
      <c r="BE31" s="1491"/>
      <c r="BF31" s="1491"/>
      <c r="BG31" s="1491"/>
      <c r="BH31" s="1491"/>
      <c r="BI31" s="1491"/>
      <c r="BJ31" s="1491"/>
      <c r="BK31" s="1491"/>
      <c r="BL31" s="1491"/>
      <c r="BN31" s="1492"/>
      <c r="BO31" s="1492"/>
      <c r="BP31" s="1492"/>
      <c r="BR31" s="3168"/>
      <c r="BS31" s="1493"/>
      <c r="BT31" s="748"/>
      <c r="BU31" s="1508"/>
      <c r="BV31" s="1508"/>
      <c r="BW31" s="1508"/>
      <c r="BX31" s="1508"/>
      <c r="BY31" s="1508"/>
      <c r="BZ31" s="1508"/>
      <c r="CA31" s="1508"/>
      <c r="CB31" s="1508"/>
      <c r="CC31" s="1508"/>
      <c r="CD31" s="1508"/>
      <c r="CE31" s="1508"/>
      <c r="CF31" s="1508"/>
      <c r="CG31" s="1508"/>
      <c r="CH31" s="1508"/>
      <c r="CI31" s="1508"/>
      <c r="CJ31" s="1508"/>
      <c r="CK31" s="1508"/>
      <c r="CL31" s="1508"/>
      <c r="CM31" s="1508"/>
      <c r="CN31" s="1508"/>
      <c r="CO31" s="1508"/>
      <c r="CP31" s="1508"/>
      <c r="CQ31" s="1508"/>
      <c r="CR31" s="1508"/>
      <c r="CS31" s="1508"/>
      <c r="CT31" s="1508"/>
      <c r="CU31" s="1508"/>
      <c r="CV31" s="1508"/>
      <c r="CW31" s="1508"/>
      <c r="CX31" s="1508"/>
      <c r="CY31" s="1508"/>
      <c r="CZ31" s="1508"/>
      <c r="DA31" s="1508"/>
      <c r="DB31" s="1508"/>
      <c r="DC31" s="1508"/>
      <c r="DD31" s="1508"/>
      <c r="DE31" s="1508"/>
      <c r="DF31" s="1508"/>
      <c r="DG31" s="1508"/>
      <c r="DH31" s="1508"/>
      <c r="DI31" s="1508"/>
      <c r="DJ31" s="1508"/>
      <c r="DK31" s="1508"/>
      <c r="DL31" s="1508"/>
      <c r="DN31" s="1509"/>
    </row>
    <row r="32" spans="1:118" s="14" customFormat="1" ht="12.75" hidden="1" customHeight="1" outlineLevel="1" x14ac:dyDescent="0.2">
      <c r="A32" s="1534"/>
      <c r="B32" s="1534"/>
      <c r="C32" s="1544"/>
      <c r="D32" s="1538"/>
      <c r="E32" s="1538"/>
      <c r="G32" s="1539"/>
      <c r="H32" s="1539"/>
      <c r="I32" s="1539"/>
      <c r="J32" s="1539"/>
      <c r="K32" s="1539"/>
      <c r="L32" s="1539"/>
      <c r="M32" s="1539"/>
      <c r="N32" s="1539"/>
      <c r="O32" s="1539"/>
      <c r="P32" s="1539"/>
      <c r="Q32" s="1539"/>
      <c r="R32" s="1539"/>
      <c r="S32" s="1539"/>
      <c r="T32" s="1539"/>
      <c r="U32" s="1539"/>
      <c r="V32" s="1539"/>
      <c r="W32" s="1539">
        <f t="shared" si="10"/>
        <v>0</v>
      </c>
      <c r="Y32" s="1490"/>
      <c r="Z32" s="1490"/>
      <c r="AA32" s="1490"/>
      <c r="AB32" s="1490"/>
      <c r="AC32" s="1490"/>
      <c r="AD32" s="1490"/>
      <c r="AE32" s="1490"/>
      <c r="AF32" s="1490"/>
      <c r="AG32" s="1490"/>
      <c r="AH32" s="1490"/>
      <c r="AI32" s="1490"/>
      <c r="AJ32" s="1490"/>
      <c r="AK32" s="1490"/>
      <c r="AL32" s="1490"/>
      <c r="AM32" s="1490"/>
      <c r="AN32" s="1490"/>
      <c r="AO32" s="1490"/>
      <c r="AP32" s="1490"/>
      <c r="AQ32" s="1490"/>
      <c r="AS32" s="1491"/>
      <c r="AT32" s="1491"/>
      <c r="AU32" s="1491"/>
      <c r="AV32" s="1491"/>
      <c r="AW32" s="1491"/>
      <c r="AX32" s="1491"/>
      <c r="AY32" s="1491"/>
      <c r="AZ32" s="1491"/>
      <c r="BA32" s="1491"/>
      <c r="BB32" s="1491"/>
      <c r="BC32" s="1491"/>
      <c r="BD32" s="1491"/>
      <c r="BE32" s="1491"/>
      <c r="BF32" s="1491"/>
      <c r="BG32" s="1491"/>
      <c r="BH32" s="1491"/>
      <c r="BI32" s="1491"/>
      <c r="BJ32" s="1491"/>
      <c r="BK32" s="1491"/>
      <c r="BL32" s="1491"/>
      <c r="BN32" s="1492"/>
      <c r="BO32" s="1492"/>
      <c r="BP32" s="1492"/>
      <c r="BR32" s="3168">
        <f t="shared" si="12"/>
        <v>0</v>
      </c>
      <c r="BS32" s="1493"/>
      <c r="BT32" s="1534"/>
      <c r="BU32" s="1507"/>
      <c r="BV32" s="1508"/>
      <c r="BW32" s="1508"/>
      <c r="BX32" s="1508"/>
      <c r="BY32" s="1508"/>
      <c r="BZ32" s="1508"/>
      <c r="CA32" s="1508"/>
      <c r="CB32" s="1508"/>
      <c r="CC32" s="1508"/>
      <c r="CD32" s="1508"/>
      <c r="CE32" s="1508"/>
      <c r="CF32" s="1508"/>
      <c r="CG32" s="1508"/>
      <c r="CH32" s="1508"/>
      <c r="CI32" s="1508"/>
      <c r="CJ32" s="1508"/>
      <c r="CK32" s="1508"/>
      <c r="CL32" s="1508"/>
      <c r="CM32" s="1508"/>
      <c r="CN32" s="1508"/>
      <c r="CO32" s="1508"/>
      <c r="CP32" s="1508"/>
      <c r="CQ32" s="1508"/>
      <c r="CR32" s="1508"/>
      <c r="CS32" s="1508"/>
      <c r="CT32" s="1508"/>
      <c r="CU32" s="1508"/>
      <c r="CV32" s="1508"/>
      <c r="CW32" s="1508"/>
      <c r="CX32" s="1508"/>
      <c r="CY32" s="1508"/>
      <c r="CZ32" s="1508"/>
      <c r="DA32" s="1508"/>
      <c r="DB32" s="1508"/>
      <c r="DC32" s="1508"/>
      <c r="DD32" s="1508"/>
      <c r="DE32" s="1508"/>
      <c r="DF32" s="1508"/>
      <c r="DG32" s="1508"/>
      <c r="DH32" s="1508"/>
      <c r="DI32" s="1508"/>
      <c r="DJ32" s="1508"/>
      <c r="DK32" s="1508"/>
      <c r="DL32" s="1508"/>
      <c r="DN32" s="1509"/>
    </row>
    <row r="33" spans="1:118" s="14" customFormat="1" ht="12.75" hidden="1" customHeight="1" outlineLevel="1" x14ac:dyDescent="0.2">
      <c r="A33" s="1522"/>
      <c r="B33" s="1522"/>
      <c r="C33" s="1496"/>
      <c r="D33" s="1526"/>
      <c r="E33" s="1526"/>
      <c r="G33" s="1540"/>
      <c r="H33" s="1540"/>
      <c r="I33" s="1540"/>
      <c r="J33" s="1540"/>
      <c r="K33" s="1540"/>
      <c r="L33" s="1540"/>
      <c r="M33" s="1540"/>
      <c r="N33" s="1540"/>
      <c r="O33" s="1540"/>
      <c r="P33" s="1540"/>
      <c r="Q33" s="1540"/>
      <c r="R33" s="1540"/>
      <c r="S33" s="1540"/>
      <c r="T33" s="1540"/>
      <c r="U33" s="1540"/>
      <c r="V33" s="1540"/>
      <c r="W33" s="1539">
        <f t="shared" si="10"/>
        <v>0</v>
      </c>
      <c r="Y33" s="1541"/>
      <c r="Z33" s="1541"/>
      <c r="AA33" s="1541"/>
      <c r="AB33" s="1541"/>
      <c r="AC33" s="1541"/>
      <c r="AD33" s="1541"/>
      <c r="AE33" s="1541"/>
      <c r="AF33" s="1541"/>
      <c r="AG33" s="1541"/>
      <c r="AH33" s="1541"/>
      <c r="AI33" s="1541"/>
      <c r="AJ33" s="1541"/>
      <c r="AK33" s="1541"/>
      <c r="AL33" s="1541"/>
      <c r="AM33" s="1541"/>
      <c r="AN33" s="1541"/>
      <c r="AO33" s="1541"/>
      <c r="AP33" s="1541"/>
      <c r="AQ33" s="1528"/>
      <c r="AS33" s="1542"/>
      <c r="AT33" s="1542"/>
      <c r="AU33" s="1542"/>
      <c r="AV33" s="1542"/>
      <c r="AW33" s="1542"/>
      <c r="AX33" s="1542"/>
      <c r="AY33" s="1542"/>
      <c r="AZ33" s="1542"/>
      <c r="BA33" s="1542"/>
      <c r="BB33" s="1542"/>
      <c r="BC33" s="1542"/>
      <c r="BD33" s="1542"/>
      <c r="BE33" s="1542"/>
      <c r="BF33" s="1542"/>
      <c r="BG33" s="1542"/>
      <c r="BH33" s="1542"/>
      <c r="BI33" s="1542"/>
      <c r="BJ33" s="1542"/>
      <c r="BK33" s="1542"/>
      <c r="BL33" s="1530"/>
      <c r="BN33" s="1543"/>
      <c r="BO33" s="1543"/>
      <c r="BP33" s="1531"/>
      <c r="BR33" s="3168">
        <f t="shared" si="12"/>
        <v>0</v>
      </c>
      <c r="BS33" s="1525"/>
      <c r="BT33" s="748"/>
      <c r="BU33" s="1532"/>
      <c r="BV33" s="1533"/>
      <c r="BW33" s="1533"/>
      <c r="BX33" s="1533"/>
      <c r="BY33" s="1533"/>
      <c r="BZ33" s="1533"/>
      <c r="CA33" s="1533"/>
      <c r="CB33" s="1533"/>
      <c r="CC33" s="1533"/>
      <c r="CD33" s="1533"/>
      <c r="CE33" s="1533"/>
      <c r="CF33" s="1533"/>
      <c r="CG33" s="1533"/>
      <c r="CH33" s="1533"/>
      <c r="CI33" s="1533"/>
      <c r="CJ33" s="1533"/>
      <c r="CK33" s="1533"/>
      <c r="CL33" s="1533"/>
      <c r="CM33" s="1533"/>
      <c r="CN33" s="1533"/>
      <c r="CO33" s="1533"/>
      <c r="CP33" s="1533"/>
      <c r="CQ33" s="1533"/>
      <c r="CR33" s="1533"/>
      <c r="CS33" s="1533"/>
      <c r="CT33" s="1533"/>
      <c r="CU33" s="1533"/>
      <c r="CV33" s="1533"/>
      <c r="CW33" s="1533"/>
      <c r="CX33" s="1533"/>
      <c r="CY33" s="1533"/>
      <c r="CZ33" s="1533"/>
      <c r="DA33" s="1533"/>
      <c r="DB33" s="1533"/>
      <c r="DC33" s="1533"/>
      <c r="DD33" s="1533"/>
      <c r="DE33" s="1533"/>
      <c r="DF33" s="1533"/>
      <c r="DG33" s="1533"/>
      <c r="DH33" s="1533"/>
      <c r="DI33" s="1533"/>
      <c r="DJ33" s="1533"/>
      <c r="DK33" s="1533"/>
      <c r="DL33" s="1533"/>
      <c r="DN33" s="1509"/>
    </row>
    <row r="34" spans="1:118" s="14" customFormat="1" ht="15.75" collapsed="1" x14ac:dyDescent="0.2">
      <c r="A34" s="1534"/>
      <c r="B34" s="1535"/>
      <c r="C34" s="1536"/>
      <c r="D34" s="1537"/>
      <c r="E34" s="1538"/>
      <c r="G34" s="1539"/>
      <c r="H34" s="1539"/>
      <c r="I34" s="1539"/>
      <c r="J34" s="1539"/>
      <c r="K34" s="1539"/>
      <c r="L34" s="1539"/>
      <c r="M34" s="1539"/>
      <c r="N34" s="1539"/>
      <c r="O34" s="1539"/>
      <c r="P34" s="1539"/>
      <c r="Q34" s="1539"/>
      <c r="R34" s="1539"/>
      <c r="S34" s="1539"/>
      <c r="T34" s="1539"/>
      <c r="U34" s="1539"/>
      <c r="V34" s="1539"/>
      <c r="W34" s="1539"/>
      <c r="Y34" s="1490"/>
      <c r="Z34" s="1490"/>
      <c r="AA34" s="1490"/>
      <c r="AB34" s="1490"/>
      <c r="AC34" s="1490"/>
      <c r="AD34" s="1490"/>
      <c r="AE34" s="1490"/>
      <c r="AF34" s="1490"/>
      <c r="AG34" s="1490"/>
      <c r="AH34" s="1490"/>
      <c r="AI34" s="1490"/>
      <c r="AJ34" s="1490"/>
      <c r="AK34" s="1490"/>
      <c r="AL34" s="1490"/>
      <c r="AM34" s="1490"/>
      <c r="AN34" s="1490"/>
      <c r="AO34" s="1490"/>
      <c r="AP34" s="1490"/>
      <c r="AQ34" s="1490"/>
      <c r="AS34" s="1491"/>
      <c r="AT34" s="1491"/>
      <c r="AU34" s="1491"/>
      <c r="AV34" s="1491"/>
      <c r="AW34" s="1491"/>
      <c r="AX34" s="1491"/>
      <c r="AY34" s="1491"/>
      <c r="AZ34" s="1491"/>
      <c r="BA34" s="1491"/>
      <c r="BB34" s="1491"/>
      <c r="BC34" s="1491"/>
      <c r="BD34" s="1491"/>
      <c r="BE34" s="1491"/>
      <c r="BF34" s="1491"/>
      <c r="BG34" s="1491"/>
      <c r="BH34" s="1491"/>
      <c r="BI34" s="1491"/>
      <c r="BJ34" s="1491"/>
      <c r="BK34" s="1491"/>
      <c r="BL34" s="1491"/>
      <c r="BN34" s="1492"/>
      <c r="BO34" s="1492"/>
      <c r="BP34" s="1492"/>
      <c r="BR34" s="3168"/>
      <c r="BS34" s="1493"/>
      <c r="BT34" s="748"/>
      <c r="BU34" s="1508"/>
      <c r="BV34" s="1508"/>
      <c r="BW34" s="1508"/>
      <c r="BX34" s="1508"/>
      <c r="BY34" s="1508"/>
      <c r="BZ34" s="1508"/>
      <c r="CA34" s="1508"/>
      <c r="CB34" s="1508"/>
      <c r="CC34" s="1508"/>
      <c r="CD34" s="1508"/>
      <c r="CE34" s="1508"/>
      <c r="CF34" s="1508"/>
      <c r="CG34" s="1508"/>
      <c r="CH34" s="1508"/>
      <c r="CI34" s="1508"/>
      <c r="CJ34" s="1508"/>
      <c r="CK34" s="1508"/>
      <c r="CL34" s="1508"/>
      <c r="CM34" s="1508"/>
      <c r="CN34" s="1508"/>
      <c r="CO34" s="1508"/>
      <c r="CP34" s="1508"/>
      <c r="CQ34" s="1508"/>
      <c r="CR34" s="1508"/>
      <c r="CS34" s="1508"/>
      <c r="CT34" s="1508"/>
      <c r="CU34" s="1508"/>
      <c r="CV34" s="1508"/>
      <c r="CW34" s="1508"/>
      <c r="CX34" s="1508"/>
      <c r="CY34" s="1508"/>
      <c r="CZ34" s="1508"/>
      <c r="DA34" s="1508"/>
      <c r="DB34" s="1508"/>
      <c r="DC34" s="1508"/>
      <c r="DD34" s="1508"/>
      <c r="DE34" s="1508"/>
      <c r="DF34" s="1508"/>
      <c r="DG34" s="1508"/>
      <c r="DH34" s="1508"/>
      <c r="DI34" s="1508"/>
      <c r="DJ34" s="1508"/>
      <c r="DK34" s="1508"/>
      <c r="DL34" s="1508"/>
      <c r="DN34" s="1509"/>
    </row>
    <row r="35" spans="1:118" s="14" customFormat="1" ht="6" customHeight="1" x14ac:dyDescent="0.2">
      <c r="C35" s="1552"/>
      <c r="D35" s="1537"/>
      <c r="E35" s="1430"/>
      <c r="G35" s="1539"/>
      <c r="H35" s="1539"/>
      <c r="I35" s="1539"/>
      <c r="J35" s="1539"/>
      <c r="K35" s="1539"/>
      <c r="L35" s="1539"/>
      <c r="M35" s="1539"/>
      <c r="N35" s="1539"/>
      <c r="O35" s="1539"/>
      <c r="P35" s="1539"/>
      <c r="Q35" s="1539"/>
      <c r="R35" s="1539"/>
      <c r="S35" s="1539"/>
      <c r="T35" s="1539"/>
      <c r="U35" s="1539"/>
      <c r="V35" s="1539"/>
      <c r="W35" s="1539"/>
      <c r="Y35" s="1490"/>
      <c r="Z35" s="1490"/>
      <c r="AA35" s="1490"/>
      <c r="AB35" s="1490"/>
      <c r="AC35" s="1490"/>
      <c r="AD35" s="1490"/>
      <c r="AE35" s="1490"/>
      <c r="AF35" s="1490"/>
      <c r="AG35" s="1490"/>
      <c r="AH35" s="1490"/>
      <c r="AI35" s="1490"/>
      <c r="AJ35" s="1490"/>
      <c r="AK35" s="1490"/>
      <c r="AL35" s="1490"/>
      <c r="AM35" s="1490"/>
      <c r="AN35" s="1490"/>
      <c r="AO35" s="1490"/>
      <c r="AP35" s="1490"/>
      <c r="AQ35" s="1490"/>
      <c r="AS35" s="1491"/>
      <c r="AT35" s="1491"/>
      <c r="AU35" s="1491"/>
      <c r="AV35" s="1491"/>
      <c r="AW35" s="1491"/>
      <c r="AX35" s="1491"/>
      <c r="AY35" s="1491"/>
      <c r="AZ35" s="1491"/>
      <c r="BA35" s="1491"/>
      <c r="BB35" s="1491"/>
      <c r="BC35" s="1491"/>
      <c r="BD35" s="1491"/>
      <c r="BE35" s="1491"/>
      <c r="BF35" s="1491"/>
      <c r="BG35" s="1491"/>
      <c r="BH35" s="1491"/>
      <c r="BI35" s="1491"/>
      <c r="BJ35" s="1491"/>
      <c r="BK35" s="1491"/>
      <c r="BL35" s="1491"/>
      <c r="BN35" s="1492"/>
      <c r="BO35" s="1492"/>
      <c r="BP35" s="1492"/>
      <c r="BR35" s="3168"/>
      <c r="BS35" s="1493"/>
      <c r="BU35" s="1508"/>
      <c r="BV35" s="1508"/>
      <c r="BW35" s="1508"/>
      <c r="BX35" s="1508"/>
      <c r="BY35" s="1508"/>
      <c r="BZ35" s="1508"/>
      <c r="CA35" s="1508"/>
      <c r="CB35" s="1508"/>
      <c r="CC35" s="1508"/>
      <c r="CD35" s="1508"/>
      <c r="CE35" s="1508"/>
      <c r="CF35" s="1508"/>
      <c r="CG35" s="1508"/>
      <c r="CH35" s="1508"/>
      <c r="CI35" s="1508"/>
      <c r="CJ35" s="1508"/>
      <c r="CK35" s="1508"/>
      <c r="CL35" s="1508"/>
      <c r="CM35" s="1508"/>
      <c r="CN35" s="1508"/>
      <c r="CO35" s="1508"/>
      <c r="CP35" s="1508"/>
      <c r="CQ35" s="1508"/>
      <c r="CR35" s="1508"/>
      <c r="CS35" s="1508"/>
      <c r="CT35" s="1508"/>
      <c r="CU35" s="1508"/>
      <c r="CV35" s="1508"/>
      <c r="CW35" s="1508"/>
      <c r="CX35" s="1508"/>
      <c r="CY35" s="1508"/>
      <c r="CZ35" s="1508"/>
      <c r="DA35" s="1508"/>
      <c r="DB35" s="1508"/>
      <c r="DC35" s="1508"/>
      <c r="DD35" s="1508"/>
      <c r="DE35" s="1508"/>
      <c r="DF35" s="1508"/>
      <c r="DG35" s="1508"/>
      <c r="DH35" s="1508"/>
      <c r="DI35" s="1508"/>
      <c r="DJ35" s="1508"/>
      <c r="DK35" s="1508"/>
      <c r="DL35" s="1508"/>
      <c r="DN35" s="1509"/>
    </row>
    <row r="36" spans="1:118" s="14" customFormat="1" ht="15.75" x14ac:dyDescent="0.2">
      <c r="B36" s="1535"/>
      <c r="C36" s="1553"/>
      <c r="D36" s="1554" t="s">
        <v>916</v>
      </c>
      <c r="E36" s="1555"/>
      <c r="G36" s="1929">
        <f t="shared" ref="G36:V36" ca="1" si="28">G15+G19+G27</f>
        <v>92.608642449977623</v>
      </c>
      <c r="H36" s="1929">
        <f t="shared" ca="1" si="28"/>
        <v>18.149057829896936</v>
      </c>
      <c r="I36" s="1929">
        <f t="shared" ca="1" si="28"/>
        <v>7.8601164460241479</v>
      </c>
      <c r="J36" s="1929">
        <f t="shared" ca="1" si="28"/>
        <v>26.208857045506825</v>
      </c>
      <c r="K36" s="1929">
        <f t="shared" ca="1" si="28"/>
        <v>11.607704346123256</v>
      </c>
      <c r="L36" s="1929">
        <f t="shared" ca="1" si="28"/>
        <v>22.714970771527163</v>
      </c>
      <c r="M36" s="1929">
        <f t="shared" ca="1" si="28"/>
        <v>282.57731267178247</v>
      </c>
      <c r="N36" s="1929">
        <f t="shared" ca="1" si="28"/>
        <v>85.289096073503785</v>
      </c>
      <c r="O36" s="1929">
        <f t="shared" ca="1" si="28"/>
        <v>51.51391648078021</v>
      </c>
      <c r="P36" s="1929">
        <f t="shared" ca="1" si="28"/>
        <v>0.61399268455243872</v>
      </c>
      <c r="Q36" s="1929">
        <f t="shared" ca="1" si="28"/>
        <v>0.12275791095265887</v>
      </c>
      <c r="R36" s="1929">
        <f t="shared" ca="1" si="28"/>
        <v>33.490878768279792</v>
      </c>
      <c r="S36" s="1929">
        <f ca="1">S15+S19+S27</f>
        <v>12.475499139011452</v>
      </c>
      <c r="T36" s="1929">
        <f t="shared" ca="1" si="28"/>
        <v>14.141862993647409</v>
      </c>
      <c r="U36" s="1929">
        <f t="shared" ca="1" si="28"/>
        <v>8.2883472481640463E-3</v>
      </c>
      <c r="V36" s="1929">
        <f t="shared" ca="1" si="28"/>
        <v>0.53715543706052005</v>
      </c>
      <c r="W36" s="1929">
        <f ca="1">SUM(G36:V36)</f>
        <v>659.92010939587487</v>
      </c>
      <c r="Y36" s="1937">
        <f t="shared" ref="Y36:AP36" ca="1" si="29">Y27+Y19+Y15</f>
        <v>-162.18836791957614</v>
      </c>
      <c r="Z36" s="1937">
        <f t="shared" ca="1" si="29"/>
        <v>0</v>
      </c>
      <c r="AA36" s="1937">
        <f t="shared" ca="1" si="29"/>
        <v>-68.554503675793342</v>
      </c>
      <c r="AB36" s="1937">
        <f t="shared" ca="1" si="29"/>
        <v>-315.15807067776183</v>
      </c>
      <c r="AC36" s="1937">
        <f t="shared" ca="1" si="29"/>
        <v>-103.86789211188221</v>
      </c>
      <c r="AD36" s="1937">
        <f t="shared" ca="1" si="29"/>
        <v>0</v>
      </c>
      <c r="AE36" s="1937">
        <f t="shared" ca="1" si="29"/>
        <v>0</v>
      </c>
      <c r="AF36" s="1937">
        <f t="shared" ca="1" si="29"/>
        <v>0</v>
      </c>
      <c r="AG36" s="1937">
        <f t="shared" ca="1" si="29"/>
        <v>0</v>
      </c>
      <c r="AH36" s="1937">
        <f t="shared" ca="1" si="29"/>
        <v>0</v>
      </c>
      <c r="AI36" s="1937">
        <f t="shared" ca="1" si="29"/>
        <v>0</v>
      </c>
      <c r="AJ36" s="1937">
        <f t="shared" ca="1" si="29"/>
        <v>0</v>
      </c>
      <c r="AK36" s="1937">
        <f t="shared" ca="1" si="29"/>
        <v>0</v>
      </c>
      <c r="AL36" s="1937">
        <f ca="1">AL27+AL19+AL15</f>
        <v>-10.127547477604431</v>
      </c>
      <c r="AM36" s="1937">
        <f t="shared" ca="1" si="29"/>
        <v>0</v>
      </c>
      <c r="AN36" s="1937">
        <f t="shared" ca="1" si="29"/>
        <v>0</v>
      </c>
      <c r="AO36" s="1937">
        <f t="shared" ca="1" si="29"/>
        <v>0</v>
      </c>
      <c r="AP36" s="1937">
        <f t="shared" ca="1" si="29"/>
        <v>0</v>
      </c>
      <c r="AQ36" s="1937">
        <f ca="1">SUM(Y36:AP36)</f>
        <v>-659.89638186261789</v>
      </c>
      <c r="AS36" s="1558">
        <f ca="1">AS15+AS19+AS27</f>
        <v>0</v>
      </c>
      <c r="AT36" s="1558">
        <f t="shared" ref="AT36:BK36" ca="1" si="30">AT15+AT19+AT27</f>
        <v>0</v>
      </c>
      <c r="AU36" s="1558">
        <f t="shared" ca="1" si="30"/>
        <v>0</v>
      </c>
      <c r="AV36" s="1558">
        <f t="shared" ca="1" si="30"/>
        <v>0</v>
      </c>
      <c r="AW36" s="1558">
        <f t="shared" ca="1" si="30"/>
        <v>0</v>
      </c>
      <c r="AX36" s="1558">
        <f t="shared" ca="1" si="30"/>
        <v>0</v>
      </c>
      <c r="AY36" s="1558">
        <f t="shared" ca="1" si="30"/>
        <v>0</v>
      </c>
      <c r="AZ36" s="1558">
        <f t="shared" ca="1" si="30"/>
        <v>0</v>
      </c>
      <c r="BA36" s="1558">
        <f t="shared" ca="1" si="30"/>
        <v>0</v>
      </c>
      <c r="BB36" s="1558">
        <f t="shared" ca="1" si="30"/>
        <v>0</v>
      </c>
      <c r="BC36" s="1558">
        <f t="shared" ca="1" si="30"/>
        <v>-2.3727533256899493E-2</v>
      </c>
      <c r="BD36" s="1558">
        <f t="shared" ca="1" si="30"/>
        <v>0</v>
      </c>
      <c r="BE36" s="1558">
        <f t="shared" ca="1" si="30"/>
        <v>0</v>
      </c>
      <c r="BF36" s="1558">
        <f t="shared" ca="1" si="30"/>
        <v>0</v>
      </c>
      <c r="BG36" s="1558">
        <f t="shared" ca="1" si="30"/>
        <v>0</v>
      </c>
      <c r="BH36" s="1558">
        <f t="shared" ca="1" si="30"/>
        <v>0</v>
      </c>
      <c r="BI36" s="1558">
        <f t="shared" ca="1" si="30"/>
        <v>0</v>
      </c>
      <c r="BJ36" s="1558">
        <f t="shared" ca="1" si="30"/>
        <v>0</v>
      </c>
      <c r="BK36" s="1558">
        <f t="shared" ca="1" si="30"/>
        <v>0</v>
      </c>
      <c r="BL36" s="3166">
        <f ca="1">SUM(AS36:BK36)</f>
        <v>-2.3727533256899493E-2</v>
      </c>
      <c r="BN36" s="1559">
        <f ca="1">BN27+BN19+BN15</f>
        <v>0</v>
      </c>
      <c r="BO36" s="1559">
        <f ca="1">BO27+BO19+BO15</f>
        <v>0</v>
      </c>
      <c r="BP36" s="1505">
        <f ca="1">BN36+BO36</f>
        <v>0</v>
      </c>
      <c r="BR36" s="3168">
        <f ca="1">W36+AQ36+BL36+BP36</f>
        <v>8.8460488933961301E-14</v>
      </c>
      <c r="BS36" s="1560"/>
      <c r="BU36" s="1561">
        <v>283.37379437292333</v>
      </c>
      <c r="BV36" s="1561">
        <v>0.46829877567433276</v>
      </c>
      <c r="BW36" s="1561">
        <v>3.244610652199623</v>
      </c>
      <c r="BX36" s="1561">
        <v>0</v>
      </c>
      <c r="BY36" s="1561">
        <v>0</v>
      </c>
      <c r="BZ36" s="1561">
        <v>0</v>
      </c>
      <c r="CA36" s="1561">
        <v>0</v>
      </c>
      <c r="CB36" s="1561">
        <v>0</v>
      </c>
      <c r="CC36" s="1561">
        <v>14.39565925511863</v>
      </c>
      <c r="CD36" s="1561">
        <v>0.11288744235152412</v>
      </c>
      <c r="CE36" s="1561">
        <v>2.7624692105907238</v>
      </c>
      <c r="CF36" s="1561">
        <v>10.620296151887526</v>
      </c>
      <c r="CG36" s="1561">
        <v>0</v>
      </c>
      <c r="CH36" s="1561">
        <v>0</v>
      </c>
      <c r="CI36" s="1561">
        <v>0</v>
      </c>
      <c r="CJ36" s="1561">
        <v>0</v>
      </c>
      <c r="CK36" s="1561">
        <v>0</v>
      </c>
      <c r="CL36" s="1561">
        <v>0</v>
      </c>
      <c r="CM36" s="1561">
        <v>0</v>
      </c>
      <c r="CN36" s="1561">
        <v>0</v>
      </c>
      <c r="CO36" s="1561">
        <v>0</v>
      </c>
      <c r="CP36" s="1561">
        <v>0</v>
      </c>
      <c r="CQ36" s="1561">
        <v>0</v>
      </c>
      <c r="CR36" s="1561">
        <v>0</v>
      </c>
      <c r="CS36" s="1561">
        <v>0</v>
      </c>
      <c r="CT36" s="1561">
        <v>0</v>
      </c>
      <c r="CU36" s="1561">
        <v>0</v>
      </c>
      <c r="CV36" s="1561">
        <v>0</v>
      </c>
      <c r="CW36" s="1561">
        <v>0</v>
      </c>
      <c r="CX36" s="1561">
        <v>0</v>
      </c>
      <c r="CY36" s="1561">
        <v>0</v>
      </c>
      <c r="CZ36" s="1561">
        <v>0</v>
      </c>
      <c r="DA36" s="1561">
        <v>51.739539271814301</v>
      </c>
      <c r="DB36" s="1561">
        <v>6.441552213858226E-2</v>
      </c>
      <c r="DC36" s="1561">
        <v>0.93090033050516818</v>
      </c>
      <c r="DD36" s="1561">
        <v>0</v>
      </c>
      <c r="DE36" s="1561">
        <v>0</v>
      </c>
      <c r="DF36" s="1561">
        <v>0</v>
      </c>
      <c r="DG36" s="1561">
        <v>0</v>
      </c>
      <c r="DH36" s="1561">
        <v>0</v>
      </c>
      <c r="DI36" s="1561">
        <v>0</v>
      </c>
      <c r="DJ36" s="1561">
        <v>0</v>
      </c>
      <c r="DK36" s="1561">
        <v>0</v>
      </c>
      <c r="DL36" s="1561">
        <v>0</v>
      </c>
      <c r="DN36" s="1562">
        <v>367.71287098520372</v>
      </c>
    </row>
    <row r="37" spans="1:118" s="14" customFormat="1" ht="6" customHeight="1" x14ac:dyDescent="0.2">
      <c r="C37" s="1430"/>
      <c r="D37" s="1430"/>
      <c r="E37" s="1430"/>
      <c r="G37" s="1488"/>
      <c r="H37" s="1488"/>
      <c r="I37" s="1488"/>
      <c r="J37" s="1488"/>
      <c r="K37" s="1488"/>
      <c r="L37" s="1488"/>
      <c r="M37" s="1488"/>
      <c r="N37" s="1488"/>
      <c r="O37" s="1563"/>
      <c r="P37" s="1488"/>
      <c r="Q37" s="1488"/>
      <c r="R37" s="1488"/>
      <c r="S37" s="1488"/>
      <c r="T37" s="1488"/>
      <c r="U37" s="1488"/>
      <c r="V37" s="1488"/>
      <c r="W37" s="1488"/>
      <c r="Y37" s="1490"/>
      <c r="Z37" s="1490"/>
      <c r="AA37" s="1490"/>
      <c r="AB37" s="1490"/>
      <c r="AC37" s="1490"/>
      <c r="AD37" s="1490"/>
      <c r="AE37" s="1490"/>
      <c r="AF37" s="1490"/>
      <c r="AG37" s="1490"/>
      <c r="AH37" s="1490"/>
      <c r="AI37" s="1490"/>
      <c r="AJ37" s="1490"/>
      <c r="AK37" s="1490"/>
      <c r="AL37" s="1490"/>
      <c r="AM37" s="1490"/>
      <c r="AN37" s="1490"/>
      <c r="AO37" s="1490"/>
      <c r="AP37" s="1490"/>
      <c r="AQ37" s="1490"/>
      <c r="AS37" s="1491"/>
      <c r="AT37" s="1491"/>
      <c r="AU37" s="1491"/>
      <c r="AV37" s="1491"/>
      <c r="AW37" s="1491"/>
      <c r="AX37" s="1491"/>
      <c r="AY37" s="1491"/>
      <c r="AZ37" s="1491"/>
      <c r="BA37" s="1491"/>
      <c r="BB37" s="1491"/>
      <c r="BC37" s="1491"/>
      <c r="BD37" s="1491"/>
      <c r="BE37" s="1491"/>
      <c r="BF37" s="1491"/>
      <c r="BG37" s="1491"/>
      <c r="BH37" s="1491"/>
      <c r="BI37" s="1491"/>
      <c r="BJ37" s="1491"/>
      <c r="BK37" s="1491"/>
      <c r="BL37" s="1491"/>
      <c r="BN37" s="1492"/>
      <c r="BO37" s="1492"/>
      <c r="BP37" s="1492"/>
      <c r="BR37" s="3168"/>
      <c r="BS37" s="1493"/>
      <c r="BU37" s="1508"/>
      <c r="BV37" s="1508"/>
      <c r="BW37" s="1508"/>
      <c r="BX37" s="1508"/>
      <c r="BY37" s="1508"/>
      <c r="BZ37" s="1508"/>
      <c r="CA37" s="1508"/>
      <c r="CB37" s="1508"/>
      <c r="CC37" s="1508"/>
      <c r="CD37" s="1508"/>
      <c r="CE37" s="1508"/>
      <c r="CF37" s="1508"/>
      <c r="CG37" s="1508"/>
      <c r="CH37" s="1508"/>
      <c r="CI37" s="1508"/>
      <c r="CJ37" s="1508"/>
      <c r="CK37" s="1508"/>
      <c r="CL37" s="1508"/>
      <c r="CM37" s="1508"/>
      <c r="CN37" s="1508"/>
      <c r="CO37" s="1508"/>
      <c r="CP37" s="1508"/>
      <c r="CQ37" s="1508"/>
      <c r="CR37" s="1508"/>
      <c r="CS37" s="1508"/>
      <c r="CT37" s="1508"/>
      <c r="CU37" s="1508"/>
      <c r="CV37" s="1508"/>
      <c r="CW37" s="1508"/>
      <c r="CX37" s="1508"/>
      <c r="CY37" s="1508"/>
      <c r="CZ37" s="1508"/>
      <c r="DA37" s="1508"/>
      <c r="DB37" s="1508"/>
      <c r="DC37" s="1508"/>
      <c r="DD37" s="1508"/>
      <c r="DE37" s="1508"/>
      <c r="DF37" s="1508"/>
      <c r="DG37" s="1508"/>
      <c r="DH37" s="1508"/>
      <c r="DI37" s="1508"/>
      <c r="DJ37" s="1508"/>
      <c r="DK37" s="1508"/>
      <c r="DL37" s="1508"/>
      <c r="DN37" s="1509"/>
    </row>
    <row r="38" spans="1:118" s="14" customFormat="1" ht="17.25" customHeight="1" x14ac:dyDescent="0.2">
      <c r="C38" s="1480" t="s">
        <v>404</v>
      </c>
      <c r="D38" s="1430"/>
      <c r="E38" s="1430"/>
      <c r="G38" s="1488"/>
      <c r="H38" s="1488"/>
      <c r="I38" s="1488"/>
      <c r="J38" s="1488"/>
      <c r="K38" s="1488"/>
      <c r="L38" s="1488"/>
      <c r="M38" s="1488"/>
      <c r="N38" s="1488"/>
      <c r="O38" s="1563"/>
      <c r="P38" s="1488"/>
      <c r="Q38" s="1488"/>
      <c r="R38" s="1488"/>
      <c r="S38" s="1488"/>
      <c r="T38" s="1488"/>
      <c r="U38" s="1488"/>
      <c r="V38" s="1488"/>
      <c r="W38" s="1488"/>
      <c r="Y38" s="1490"/>
      <c r="Z38" s="1490"/>
      <c r="AA38" s="1490"/>
      <c r="AB38" s="1490"/>
      <c r="AC38" s="1490"/>
      <c r="AD38" s="1490"/>
      <c r="AE38" s="1490"/>
      <c r="AF38" s="1490"/>
      <c r="AG38" s="1490"/>
      <c r="AH38" s="1490"/>
      <c r="AI38" s="1490"/>
      <c r="AJ38" s="1490"/>
      <c r="AK38" s="1490"/>
      <c r="AL38" s="1490"/>
      <c r="AM38" s="1490"/>
      <c r="AN38" s="1490"/>
      <c r="AO38" s="1490"/>
      <c r="AP38" s="1490"/>
      <c r="AQ38" s="1490"/>
      <c r="AS38" s="1491"/>
      <c r="AT38" s="1491"/>
      <c r="AU38" s="1491"/>
      <c r="AV38" s="1491"/>
      <c r="AW38" s="1491"/>
      <c r="AX38" s="1491"/>
      <c r="AY38" s="1491"/>
      <c r="AZ38" s="1491"/>
      <c r="BA38" s="1491"/>
      <c r="BB38" s="1491"/>
      <c r="BC38" s="1491"/>
      <c r="BD38" s="1491"/>
      <c r="BE38" s="1491"/>
      <c r="BF38" s="1491"/>
      <c r="BG38" s="1491"/>
      <c r="BH38" s="1491"/>
      <c r="BI38" s="1491"/>
      <c r="BJ38" s="1491"/>
      <c r="BK38" s="1491"/>
      <c r="BL38" s="1491"/>
      <c r="BN38" s="1492"/>
      <c r="BO38" s="1492"/>
      <c r="BP38" s="1492"/>
      <c r="BR38" s="3168"/>
      <c r="BS38" s="1493"/>
      <c r="BU38" s="1508"/>
      <c r="BV38" s="1508"/>
      <c r="BW38" s="1508"/>
      <c r="BX38" s="1508"/>
      <c r="BY38" s="1508"/>
      <c r="BZ38" s="1508"/>
      <c r="CA38" s="1508"/>
      <c r="CB38" s="1508"/>
      <c r="CC38" s="1508"/>
      <c r="CD38" s="1508"/>
      <c r="CE38" s="1508"/>
      <c r="CF38" s="1508"/>
      <c r="CG38" s="1508"/>
      <c r="CH38" s="1508"/>
      <c r="CI38" s="1508"/>
      <c r="CJ38" s="1508"/>
      <c r="CK38" s="1508"/>
      <c r="CL38" s="1508"/>
      <c r="CM38" s="1508"/>
      <c r="CN38" s="1508"/>
      <c r="CO38" s="1508"/>
      <c r="CP38" s="1508"/>
      <c r="CQ38" s="1508"/>
      <c r="CR38" s="1508"/>
      <c r="CS38" s="1508"/>
      <c r="CT38" s="1508"/>
      <c r="CU38" s="1508"/>
      <c r="CV38" s="1508"/>
      <c r="CW38" s="1508"/>
      <c r="CX38" s="1508"/>
      <c r="CY38" s="1508"/>
      <c r="CZ38" s="1508"/>
      <c r="DA38" s="1508"/>
      <c r="DB38" s="1508"/>
      <c r="DC38" s="1508"/>
      <c r="DD38" s="1508"/>
      <c r="DE38" s="1508"/>
      <c r="DF38" s="1508"/>
      <c r="DG38" s="1508"/>
      <c r="DH38" s="1508"/>
      <c r="DI38" s="1508"/>
      <c r="DJ38" s="1508"/>
      <c r="DK38" s="1508"/>
      <c r="DL38" s="1508"/>
      <c r="DN38" s="1509"/>
    </row>
    <row r="39" spans="1:118" s="14" customFormat="1" ht="24" hidden="1" customHeight="1" outlineLevel="1" x14ac:dyDescent="0.2">
      <c r="D39" s="1480"/>
      <c r="E39" s="1481"/>
      <c r="G39" s="1482"/>
      <c r="H39" s="1482"/>
      <c r="I39" s="1482"/>
      <c r="J39" s="1482"/>
      <c r="K39" s="1482"/>
      <c r="L39" s="1482"/>
      <c r="M39" s="1482"/>
      <c r="N39" s="1482"/>
      <c r="O39" s="1482"/>
      <c r="P39" s="1482"/>
      <c r="Q39" s="1482"/>
      <c r="R39" s="1482"/>
      <c r="S39" s="1482"/>
      <c r="T39" s="1482"/>
      <c r="U39" s="1482"/>
      <c r="V39" s="1482"/>
      <c r="W39" s="1482"/>
      <c r="Y39" s="1483"/>
      <c r="Z39" s="1483"/>
      <c r="AA39" s="1483"/>
      <c r="AB39" s="1483"/>
      <c r="AC39" s="1483"/>
      <c r="AD39" s="1483"/>
      <c r="AE39" s="1483"/>
      <c r="AF39" s="1483"/>
      <c r="AG39" s="1483"/>
      <c r="AH39" s="1483"/>
      <c r="AI39" s="1483"/>
      <c r="AJ39" s="1483"/>
      <c r="AK39" s="1483"/>
      <c r="AL39" s="1483"/>
      <c r="AM39" s="1483"/>
      <c r="AN39" s="1483"/>
      <c r="AO39" s="1483"/>
      <c r="AP39" s="1483"/>
      <c r="AQ39" s="1483"/>
      <c r="AS39" s="1484"/>
      <c r="AT39" s="1484"/>
      <c r="AU39" s="1484"/>
      <c r="AV39" s="1484"/>
      <c r="AW39" s="1484"/>
      <c r="AX39" s="1484"/>
      <c r="AY39" s="1484"/>
      <c r="AZ39" s="1484"/>
      <c r="BA39" s="1484"/>
      <c r="BB39" s="1484"/>
      <c r="BC39" s="1484"/>
      <c r="BD39" s="1484"/>
      <c r="BE39" s="1484"/>
      <c r="BF39" s="1484"/>
      <c r="BG39" s="1484"/>
      <c r="BH39" s="1484"/>
      <c r="BI39" s="1484"/>
      <c r="BJ39" s="1484"/>
      <c r="BK39" s="1484"/>
      <c r="BL39" s="1484"/>
      <c r="BN39" s="1485"/>
      <c r="BO39" s="1485"/>
      <c r="BP39" s="1485"/>
      <c r="BR39" s="3168">
        <f t="shared" si="12"/>
        <v>0</v>
      </c>
      <c r="BS39" s="1486"/>
      <c r="BU39" s="1508"/>
      <c r="BV39" s="1508"/>
      <c r="BW39" s="1508"/>
      <c r="BX39" s="1508"/>
      <c r="BY39" s="1508"/>
      <c r="BZ39" s="1508"/>
      <c r="CA39" s="1508"/>
      <c r="CB39" s="1508"/>
      <c r="CC39" s="1508"/>
      <c r="CD39" s="1508"/>
      <c r="CE39" s="1508"/>
      <c r="CF39" s="1508"/>
      <c r="CG39" s="1508"/>
      <c r="CH39" s="1508"/>
      <c r="CI39" s="1508"/>
      <c r="CJ39" s="1508"/>
      <c r="CK39" s="1508"/>
      <c r="CL39" s="1508"/>
      <c r="CM39" s="1508"/>
      <c r="CN39" s="1508"/>
      <c r="CO39" s="1508"/>
      <c r="CP39" s="1508"/>
      <c r="CQ39" s="1508"/>
      <c r="CR39" s="1508"/>
      <c r="CS39" s="1508"/>
      <c r="CT39" s="1508"/>
      <c r="CU39" s="1508"/>
      <c r="CV39" s="1508"/>
      <c r="CW39" s="1508"/>
      <c r="CX39" s="1508"/>
      <c r="CY39" s="1508"/>
      <c r="CZ39" s="1508"/>
      <c r="DA39" s="1508"/>
      <c r="DB39" s="1508"/>
      <c r="DC39" s="1508"/>
      <c r="DD39" s="1508"/>
      <c r="DE39" s="1508"/>
      <c r="DF39" s="1508"/>
      <c r="DG39" s="1508"/>
      <c r="DH39" s="1508"/>
      <c r="DI39" s="1508"/>
      <c r="DJ39" s="1508"/>
      <c r="DK39" s="1508"/>
      <c r="DL39" s="1508"/>
      <c r="DN39" s="1509"/>
    </row>
    <row r="40" spans="1:118" s="14" customFormat="1" ht="15.75" hidden="1" customHeight="1" outlineLevel="2" x14ac:dyDescent="0.2">
      <c r="A40" s="1534"/>
      <c r="B40" s="1534"/>
      <c r="C40" s="1544"/>
      <c r="D40" s="1538"/>
      <c r="E40" s="1538"/>
      <c r="G40" s="1488"/>
      <c r="H40" s="1488"/>
      <c r="I40" s="1488"/>
      <c r="J40" s="1488"/>
      <c r="K40" s="1488"/>
      <c r="L40" s="1488"/>
      <c r="M40" s="1488"/>
      <c r="N40" s="1488"/>
      <c r="O40" s="1563"/>
      <c r="P40" s="1488"/>
      <c r="Q40" s="1488"/>
      <c r="R40" s="1488"/>
      <c r="S40" s="1488"/>
      <c r="T40" s="1488"/>
      <c r="U40" s="1488"/>
      <c r="V40" s="1488"/>
      <c r="W40" s="1488"/>
      <c r="Y40" s="1490"/>
      <c r="Z40" s="1490"/>
      <c r="AA40" s="1490"/>
      <c r="AB40" s="1490"/>
      <c r="AC40" s="1490"/>
      <c r="AD40" s="1490"/>
      <c r="AE40" s="1490"/>
      <c r="AF40" s="1490"/>
      <c r="AG40" s="1490"/>
      <c r="AH40" s="1490"/>
      <c r="AI40" s="1490"/>
      <c r="AJ40" s="1490"/>
      <c r="AK40" s="1490"/>
      <c r="AL40" s="1490"/>
      <c r="AM40" s="1490"/>
      <c r="AN40" s="1490"/>
      <c r="AO40" s="1490"/>
      <c r="AP40" s="1490"/>
      <c r="AQ40" s="1490"/>
      <c r="AS40" s="1491"/>
      <c r="AT40" s="1491"/>
      <c r="AU40" s="1491"/>
      <c r="AV40" s="1491"/>
      <c r="AW40" s="1491"/>
      <c r="AX40" s="1491"/>
      <c r="AY40" s="1491"/>
      <c r="AZ40" s="1491"/>
      <c r="BA40" s="1491"/>
      <c r="BB40" s="1491"/>
      <c r="BC40" s="1491"/>
      <c r="BD40" s="1491"/>
      <c r="BE40" s="1491"/>
      <c r="BF40" s="1491"/>
      <c r="BG40" s="1491"/>
      <c r="BH40" s="1491"/>
      <c r="BI40" s="1491"/>
      <c r="BJ40" s="1491"/>
      <c r="BK40" s="1491"/>
      <c r="BL40" s="1491"/>
      <c r="BN40" s="1492"/>
      <c r="BO40" s="1492"/>
      <c r="BP40" s="1492"/>
      <c r="BR40" s="3168">
        <f t="shared" si="12"/>
        <v>0</v>
      </c>
      <c r="BS40" s="1493"/>
      <c r="BT40" s="1534"/>
      <c r="BU40" s="1508"/>
      <c r="BV40" s="1508"/>
      <c r="BW40" s="1508"/>
      <c r="BX40" s="1508"/>
      <c r="BY40" s="1508"/>
      <c r="BZ40" s="1508"/>
      <c r="CA40" s="1508"/>
      <c r="CB40" s="1508"/>
      <c r="CC40" s="1508"/>
      <c r="CD40" s="1508"/>
      <c r="CE40" s="1508"/>
      <c r="CF40" s="1508"/>
      <c r="CG40" s="1508"/>
      <c r="CH40" s="1508"/>
      <c r="CI40" s="1508"/>
      <c r="CJ40" s="1508"/>
      <c r="CK40" s="1508"/>
      <c r="CL40" s="1508"/>
      <c r="CM40" s="1508"/>
      <c r="CN40" s="1508"/>
      <c r="CO40" s="1508"/>
      <c r="CP40" s="1508"/>
      <c r="CQ40" s="1508"/>
      <c r="CR40" s="1508"/>
      <c r="CS40" s="1508"/>
      <c r="CT40" s="1508"/>
      <c r="CU40" s="1508"/>
      <c r="CV40" s="1508"/>
      <c r="CW40" s="1508"/>
      <c r="CX40" s="1508"/>
      <c r="CY40" s="1508"/>
      <c r="CZ40" s="1508"/>
      <c r="DA40" s="1508"/>
      <c r="DB40" s="1508"/>
      <c r="DC40" s="1508"/>
      <c r="DD40" s="1508"/>
      <c r="DE40" s="1508"/>
      <c r="DF40" s="1508"/>
      <c r="DG40" s="1508"/>
      <c r="DH40" s="1508"/>
      <c r="DI40" s="1508"/>
      <c r="DJ40" s="1508"/>
      <c r="DK40" s="1508"/>
      <c r="DL40" s="1508"/>
      <c r="DN40" s="1509"/>
    </row>
    <row r="41" spans="1:118" s="1564" customFormat="1" ht="21" hidden="1" customHeight="1" outlineLevel="2" x14ac:dyDescent="0.2">
      <c r="C41" s="1565" t="s">
        <v>807</v>
      </c>
      <c r="D41" s="1566" t="s">
        <v>808</v>
      </c>
      <c r="E41" s="1566"/>
      <c r="F41" s="1567"/>
      <c r="G41" s="1568"/>
      <c r="H41" s="1568"/>
      <c r="I41" s="1568"/>
      <c r="J41" s="1568"/>
      <c r="K41" s="1568"/>
      <c r="L41" s="1568"/>
      <c r="M41" s="1568"/>
      <c r="N41" s="1568"/>
      <c r="O41" s="1569"/>
      <c r="P41" s="1568"/>
      <c r="Q41" s="1568"/>
      <c r="R41" s="1568"/>
      <c r="S41" s="1568"/>
      <c r="T41" s="1568"/>
      <c r="U41" s="1568"/>
      <c r="V41" s="1568"/>
      <c r="W41" s="1568"/>
      <c r="X41" s="1567"/>
      <c r="Y41" s="1570"/>
      <c r="Z41" s="1570"/>
      <c r="AA41" s="1570"/>
      <c r="AB41" s="1570"/>
      <c r="AC41" s="1570"/>
      <c r="AD41" s="1570"/>
      <c r="AE41" s="1570"/>
      <c r="AF41" s="1570"/>
      <c r="AG41" s="1570"/>
      <c r="AH41" s="1570"/>
      <c r="AI41" s="1570"/>
      <c r="AJ41" s="1570"/>
      <c r="AK41" s="1570"/>
      <c r="AL41" s="1570"/>
      <c r="AM41" s="1570"/>
      <c r="AN41" s="1570"/>
      <c r="AO41" s="1570"/>
      <c r="AP41" s="1570"/>
      <c r="AQ41" s="1570"/>
      <c r="AR41" s="1567"/>
      <c r="AS41" s="1571"/>
      <c r="AT41" s="1571"/>
      <c r="AU41" s="1571"/>
      <c r="AV41" s="1571"/>
      <c r="AW41" s="1571"/>
      <c r="AX41" s="1571"/>
      <c r="AY41" s="1571"/>
      <c r="AZ41" s="1571"/>
      <c r="BA41" s="1571"/>
      <c r="BB41" s="1571"/>
      <c r="BC41" s="1571"/>
      <c r="BD41" s="1571"/>
      <c r="BE41" s="1571"/>
      <c r="BF41" s="1571"/>
      <c r="BG41" s="1571"/>
      <c r="BH41" s="1571"/>
      <c r="BI41" s="1571"/>
      <c r="BJ41" s="1571"/>
      <c r="BK41" s="1571"/>
      <c r="BL41" s="1571"/>
      <c r="BM41" s="1567"/>
      <c r="BN41" s="1572"/>
      <c r="BO41" s="1572"/>
      <c r="BP41" s="1572"/>
      <c r="BQ41" s="1567"/>
      <c r="BR41" s="3168">
        <f t="shared" si="12"/>
        <v>0</v>
      </c>
      <c r="BS41" s="1573"/>
      <c r="BU41" s="1574"/>
      <c r="BV41" s="1574"/>
      <c r="BW41" s="1574"/>
      <c r="BX41" s="1574"/>
      <c r="BY41" s="1574"/>
      <c r="BZ41" s="1574"/>
      <c r="CA41" s="1574"/>
      <c r="CB41" s="1574"/>
      <c r="CC41" s="1574"/>
      <c r="CD41" s="1574"/>
      <c r="CE41" s="1574"/>
      <c r="CF41" s="1574"/>
      <c r="CG41" s="1574"/>
      <c r="CH41" s="1574"/>
      <c r="CI41" s="1574"/>
      <c r="CJ41" s="1574"/>
      <c r="CK41" s="1574"/>
      <c r="CL41" s="1574"/>
      <c r="CM41" s="1574"/>
      <c r="CN41" s="1574"/>
      <c r="CO41" s="1574"/>
      <c r="CP41" s="1574"/>
      <c r="CQ41" s="1574"/>
      <c r="CR41" s="1574"/>
      <c r="CS41" s="1574"/>
      <c r="CT41" s="1574"/>
      <c r="CU41" s="1574"/>
      <c r="CV41" s="1574"/>
      <c r="CW41" s="1574"/>
      <c r="CX41" s="1574"/>
      <c r="CY41" s="1574"/>
      <c r="CZ41" s="1574"/>
      <c r="DA41" s="1574"/>
      <c r="DB41" s="1574"/>
      <c r="DC41" s="1574"/>
      <c r="DD41" s="1574"/>
      <c r="DE41" s="1574"/>
      <c r="DF41" s="1574"/>
      <c r="DG41" s="1574"/>
      <c r="DH41" s="1574"/>
      <c r="DI41" s="1574"/>
      <c r="DJ41" s="1574"/>
      <c r="DK41" s="1574"/>
      <c r="DL41" s="1574"/>
      <c r="DN41" s="1575">
        <v>0</v>
      </c>
    </row>
    <row r="42" spans="1:118" s="14" customFormat="1" ht="25.5" hidden="1" customHeight="1" outlineLevel="2" x14ac:dyDescent="0.2">
      <c r="A42" s="1534"/>
      <c r="B42" s="1534"/>
      <c r="C42" s="1496" t="s">
        <v>78</v>
      </c>
      <c r="D42" s="1526" t="s">
        <v>794</v>
      </c>
      <c r="E42" s="1576"/>
      <c r="G42" s="1540"/>
      <c r="H42" s="1540"/>
      <c r="I42" s="1540"/>
      <c r="J42" s="1540"/>
      <c r="K42" s="1540"/>
      <c r="L42" s="1540"/>
      <c r="M42" s="1540"/>
      <c r="N42" s="1540"/>
      <c r="O42" s="1540"/>
      <c r="P42" s="1540"/>
      <c r="Q42" s="1540"/>
      <c r="R42" s="1540"/>
      <c r="S42" s="1540"/>
      <c r="T42" s="1540"/>
      <c r="U42" s="1540"/>
      <c r="V42" s="1540"/>
      <c r="W42" s="1527"/>
      <c r="Y42" s="1541"/>
      <c r="Z42" s="1541"/>
      <c r="AA42" s="1541"/>
      <c r="AB42" s="1541"/>
      <c r="AC42" s="1541"/>
      <c r="AD42" s="1541"/>
      <c r="AE42" s="1541"/>
      <c r="AF42" s="1541"/>
      <c r="AG42" s="1541"/>
      <c r="AH42" s="1541"/>
      <c r="AI42" s="1541"/>
      <c r="AJ42" s="1541"/>
      <c r="AK42" s="1541"/>
      <c r="AL42" s="1541"/>
      <c r="AM42" s="1541"/>
      <c r="AN42" s="1541"/>
      <c r="AO42" s="1541"/>
      <c r="AP42" s="1541"/>
      <c r="AQ42" s="1528"/>
      <c r="AS42" s="1542"/>
      <c r="AT42" s="1542"/>
      <c r="AU42" s="1542"/>
      <c r="AV42" s="1542"/>
      <c r="AW42" s="1542"/>
      <c r="AX42" s="1542"/>
      <c r="AY42" s="1542"/>
      <c r="AZ42" s="1542"/>
      <c r="BA42" s="1542"/>
      <c r="BB42" s="1542"/>
      <c r="BC42" s="1542"/>
      <c r="BD42" s="1542"/>
      <c r="BE42" s="1542"/>
      <c r="BF42" s="1542"/>
      <c r="BG42" s="1542"/>
      <c r="BH42" s="1542"/>
      <c r="BI42" s="1542"/>
      <c r="BJ42" s="1542"/>
      <c r="BK42" s="1542"/>
      <c r="BL42" s="1530"/>
      <c r="BN42" s="1543"/>
      <c r="BO42" s="1543"/>
      <c r="BP42" s="1531"/>
      <c r="BR42" s="3168">
        <f t="shared" si="12"/>
        <v>0</v>
      </c>
      <c r="BS42" s="1493"/>
      <c r="BT42" s="748"/>
      <c r="BU42" s="1532">
        <v>0</v>
      </c>
      <c r="BV42" s="1533">
        <v>0</v>
      </c>
      <c r="BW42" s="1533">
        <v>0</v>
      </c>
      <c r="BX42" s="1533">
        <v>0</v>
      </c>
      <c r="BY42" s="1533">
        <v>0</v>
      </c>
      <c r="BZ42" s="1533">
        <v>0</v>
      </c>
      <c r="CA42" s="1533">
        <v>0</v>
      </c>
      <c r="CB42" s="1533">
        <v>0</v>
      </c>
      <c r="CC42" s="1533">
        <v>0</v>
      </c>
      <c r="CD42" s="1533">
        <v>0</v>
      </c>
      <c r="CE42" s="1533">
        <v>0</v>
      </c>
      <c r="CF42" s="1533">
        <v>0</v>
      </c>
      <c r="CG42" s="1533">
        <v>0</v>
      </c>
      <c r="CH42" s="1533">
        <v>0</v>
      </c>
      <c r="CI42" s="1533">
        <v>0</v>
      </c>
      <c r="CJ42" s="1533">
        <v>0</v>
      </c>
      <c r="CK42" s="1533">
        <v>0</v>
      </c>
      <c r="CL42" s="1533">
        <v>0</v>
      </c>
      <c r="CM42" s="1533">
        <v>0</v>
      </c>
      <c r="CN42" s="1533">
        <v>0</v>
      </c>
      <c r="CO42" s="1533">
        <v>0</v>
      </c>
      <c r="CP42" s="1533">
        <v>0</v>
      </c>
      <c r="CQ42" s="1533">
        <v>0</v>
      </c>
      <c r="CR42" s="1533">
        <v>0</v>
      </c>
      <c r="CS42" s="1533">
        <v>0</v>
      </c>
      <c r="CT42" s="1533">
        <v>0</v>
      </c>
      <c r="CU42" s="1533">
        <v>0</v>
      </c>
      <c r="CV42" s="1533">
        <v>0</v>
      </c>
      <c r="CW42" s="1533">
        <v>0</v>
      </c>
      <c r="CX42" s="1533">
        <v>0</v>
      </c>
      <c r="CY42" s="1533">
        <v>0</v>
      </c>
      <c r="CZ42" s="1533">
        <v>0</v>
      </c>
      <c r="DA42" s="1533">
        <v>0</v>
      </c>
      <c r="DB42" s="1533">
        <v>0</v>
      </c>
      <c r="DC42" s="1533">
        <v>0</v>
      </c>
      <c r="DD42" s="1533">
        <v>0</v>
      </c>
      <c r="DE42" s="1533">
        <v>0</v>
      </c>
      <c r="DF42" s="1533">
        <v>0</v>
      </c>
      <c r="DG42" s="1533">
        <v>0</v>
      </c>
      <c r="DH42" s="1533">
        <v>0</v>
      </c>
      <c r="DI42" s="1533">
        <v>0</v>
      </c>
      <c r="DJ42" s="1533">
        <v>0</v>
      </c>
      <c r="DK42" s="1533">
        <v>0</v>
      </c>
      <c r="DL42" s="1533">
        <v>0</v>
      </c>
      <c r="DN42" s="1509"/>
    </row>
    <row r="43" spans="1:118" s="14" customFormat="1" ht="15.75" hidden="1" outlineLevel="1" collapsed="1" x14ac:dyDescent="0.2">
      <c r="A43" s="1845" t="s">
        <v>816</v>
      </c>
      <c r="B43" s="1846"/>
      <c r="C43" s="1842" t="s">
        <v>740</v>
      </c>
      <c r="D43" s="1843" t="s">
        <v>862</v>
      </c>
      <c r="E43" s="1844"/>
      <c r="G43" s="1539"/>
      <c r="H43" s="1539"/>
      <c r="I43" s="1539"/>
      <c r="J43" s="1539"/>
      <c r="K43" s="1539"/>
      <c r="L43" s="1539"/>
      <c r="M43" s="1539"/>
      <c r="N43" s="1539"/>
      <c r="O43" s="1539"/>
      <c r="P43" s="1539"/>
      <c r="Q43" s="1539"/>
      <c r="R43" s="1539"/>
      <c r="S43" s="1539"/>
      <c r="T43" s="1539"/>
      <c r="U43" s="1539"/>
      <c r="V43" s="1539"/>
      <c r="W43" s="1539"/>
      <c r="Y43" s="1490"/>
      <c r="Z43" s="1490"/>
      <c r="AA43" s="1490"/>
      <c r="AB43" s="1490"/>
      <c r="AC43" s="1490"/>
      <c r="AD43" s="1490"/>
      <c r="AE43" s="1490"/>
      <c r="AF43" s="1490"/>
      <c r="AG43" s="1490"/>
      <c r="AH43" s="1490"/>
      <c r="AI43" s="1490"/>
      <c r="AJ43" s="1490"/>
      <c r="AK43" s="1490"/>
      <c r="AL43" s="1490"/>
      <c r="AM43" s="1490"/>
      <c r="AN43" s="1490"/>
      <c r="AO43" s="1490"/>
      <c r="AP43" s="1490"/>
      <c r="AQ43" s="1490"/>
      <c r="AS43" s="1491"/>
      <c r="AT43" s="1491"/>
      <c r="AU43" s="1491"/>
      <c r="AV43" s="1491"/>
      <c r="AW43" s="1491"/>
      <c r="AX43" s="1491"/>
      <c r="AY43" s="1491"/>
      <c r="AZ43" s="1491"/>
      <c r="BA43" s="1491"/>
      <c r="BB43" s="1491"/>
      <c r="BC43" s="1491"/>
      <c r="BD43" s="1491"/>
      <c r="BE43" s="1491"/>
      <c r="BF43" s="1491"/>
      <c r="BG43" s="1491"/>
      <c r="BH43" s="1491"/>
      <c r="BI43" s="1491"/>
      <c r="BJ43" s="1491"/>
      <c r="BK43" s="1491"/>
      <c r="BL43" s="1491"/>
      <c r="BN43" s="1492"/>
      <c r="BO43" s="1492"/>
      <c r="BP43" s="1492"/>
      <c r="BR43" s="3168">
        <f t="shared" si="12"/>
        <v>0</v>
      </c>
      <c r="BS43" s="1493"/>
      <c r="BT43" s="748"/>
      <c r="BU43" s="1508"/>
      <c r="BV43" s="1508"/>
      <c r="BW43" s="1508"/>
      <c r="BX43" s="1508"/>
      <c r="BY43" s="1508"/>
      <c r="BZ43" s="1508"/>
      <c r="CA43" s="1508"/>
      <c r="CB43" s="1508"/>
      <c r="CC43" s="1508"/>
      <c r="CD43" s="1508"/>
      <c r="CE43" s="1508"/>
      <c r="CF43" s="1508"/>
      <c r="CG43" s="1508"/>
      <c r="CH43" s="1508"/>
      <c r="CI43" s="1508"/>
      <c r="CJ43" s="1508"/>
      <c r="CK43" s="1508"/>
      <c r="CL43" s="1508"/>
      <c r="CM43" s="1508"/>
      <c r="CN43" s="1508"/>
      <c r="CO43" s="1508"/>
      <c r="CP43" s="1508"/>
      <c r="CQ43" s="1508"/>
      <c r="CR43" s="1508"/>
      <c r="CS43" s="1508"/>
      <c r="CT43" s="1508"/>
      <c r="CU43" s="1508"/>
      <c r="CV43" s="1508"/>
      <c r="CW43" s="1508"/>
      <c r="CX43" s="1508"/>
      <c r="CY43" s="1508"/>
      <c r="CZ43" s="1508"/>
      <c r="DA43" s="1508"/>
      <c r="DB43" s="1508"/>
      <c r="DC43" s="1508"/>
      <c r="DD43" s="1508"/>
      <c r="DE43" s="1508"/>
      <c r="DF43" s="1508"/>
      <c r="DG43" s="1508"/>
      <c r="DH43" s="1508"/>
      <c r="DI43" s="1508"/>
      <c r="DJ43" s="1508"/>
      <c r="DK43" s="1508"/>
      <c r="DL43" s="1508"/>
      <c r="DN43" s="1509"/>
    </row>
    <row r="44" spans="1:118" s="14" customFormat="1" ht="15.75" hidden="1" customHeight="1" outlineLevel="2" x14ac:dyDescent="0.2">
      <c r="A44" s="1534"/>
      <c r="B44" s="1534"/>
      <c r="C44" s="1544"/>
      <c r="D44" s="1538"/>
      <c r="E44" s="1538"/>
      <c r="G44" s="1488"/>
      <c r="H44" s="1488"/>
      <c r="I44" s="1488"/>
      <c r="J44" s="1488"/>
      <c r="K44" s="1488"/>
      <c r="L44" s="1488"/>
      <c r="M44" s="1488"/>
      <c r="N44" s="1488"/>
      <c r="O44" s="1563"/>
      <c r="P44" s="1488"/>
      <c r="Q44" s="1488"/>
      <c r="R44" s="1488"/>
      <c r="S44" s="1488"/>
      <c r="T44" s="1488"/>
      <c r="U44" s="1488"/>
      <c r="V44" s="1488"/>
      <c r="W44" s="1488"/>
      <c r="Y44" s="1490"/>
      <c r="Z44" s="1490"/>
      <c r="AA44" s="1490"/>
      <c r="AB44" s="1490"/>
      <c r="AC44" s="1490"/>
      <c r="AD44" s="1490"/>
      <c r="AE44" s="1490"/>
      <c r="AF44" s="1490"/>
      <c r="AG44" s="1490"/>
      <c r="AH44" s="1490"/>
      <c r="AI44" s="1490"/>
      <c r="AJ44" s="1490"/>
      <c r="AK44" s="1490"/>
      <c r="AL44" s="1490"/>
      <c r="AM44" s="1490"/>
      <c r="AN44" s="1490"/>
      <c r="AO44" s="1490"/>
      <c r="AP44" s="1490"/>
      <c r="AQ44" s="1490"/>
      <c r="AS44" s="1491"/>
      <c r="AT44" s="1491"/>
      <c r="AU44" s="1491"/>
      <c r="AV44" s="1491"/>
      <c r="AW44" s="1491"/>
      <c r="AX44" s="1491"/>
      <c r="AY44" s="1491"/>
      <c r="AZ44" s="1491"/>
      <c r="BA44" s="1491"/>
      <c r="BB44" s="1491"/>
      <c r="BC44" s="1491"/>
      <c r="BD44" s="1491"/>
      <c r="BE44" s="1491"/>
      <c r="BF44" s="1491"/>
      <c r="BG44" s="1491"/>
      <c r="BH44" s="1491"/>
      <c r="BI44" s="1491"/>
      <c r="BJ44" s="1491"/>
      <c r="BK44" s="1491"/>
      <c r="BL44" s="1491"/>
      <c r="BN44" s="1492"/>
      <c r="BO44" s="1492"/>
      <c r="BP44" s="1492"/>
      <c r="BR44" s="3168">
        <f t="shared" si="12"/>
        <v>0</v>
      </c>
      <c r="BS44" s="1493"/>
      <c r="BT44" s="1534"/>
      <c r="BU44" s="1508"/>
      <c r="BV44" s="1508"/>
      <c r="BW44" s="1508"/>
      <c r="BX44" s="1508"/>
      <c r="BY44" s="1508"/>
      <c r="BZ44" s="1508"/>
      <c r="CA44" s="1508"/>
      <c r="CB44" s="1508"/>
      <c r="CC44" s="1508"/>
      <c r="CD44" s="1508"/>
      <c r="CE44" s="1508"/>
      <c r="CF44" s="1508"/>
      <c r="CG44" s="1508"/>
      <c r="CH44" s="1508"/>
      <c r="CI44" s="1508"/>
      <c r="CJ44" s="1508"/>
      <c r="CK44" s="1508"/>
      <c r="CL44" s="1508"/>
      <c r="CM44" s="1508"/>
      <c r="CN44" s="1508"/>
      <c r="CO44" s="1508"/>
      <c r="CP44" s="1508"/>
      <c r="CQ44" s="1508"/>
      <c r="CR44" s="1508"/>
      <c r="CS44" s="1508"/>
      <c r="CT44" s="1508"/>
      <c r="CU44" s="1508"/>
      <c r="CV44" s="1508"/>
      <c r="CW44" s="1508"/>
      <c r="CX44" s="1508"/>
      <c r="CY44" s="1508"/>
      <c r="CZ44" s="1508"/>
      <c r="DA44" s="1508"/>
      <c r="DB44" s="1508"/>
      <c r="DC44" s="1508"/>
      <c r="DD44" s="1508"/>
      <c r="DE44" s="1508"/>
      <c r="DF44" s="1508"/>
      <c r="DG44" s="1508"/>
      <c r="DH44" s="1508"/>
      <c r="DI44" s="1508"/>
      <c r="DJ44" s="1508"/>
      <c r="DK44" s="1508"/>
      <c r="DL44" s="1508"/>
      <c r="DN44" s="1509"/>
    </row>
    <row r="45" spans="1:118" s="14" customFormat="1" ht="11.25" hidden="1" customHeight="1" outlineLevel="2" x14ac:dyDescent="0.2">
      <c r="A45" s="1522"/>
      <c r="B45" s="1522"/>
      <c r="C45" s="1577" t="s">
        <v>108</v>
      </c>
      <c r="D45" s="1497" t="s">
        <v>109</v>
      </c>
      <c r="E45" s="1497"/>
      <c r="G45" s="1498"/>
      <c r="H45" s="1498"/>
      <c r="I45" s="1498"/>
      <c r="J45" s="1498"/>
      <c r="K45" s="1498"/>
      <c r="L45" s="1498"/>
      <c r="M45" s="1498"/>
      <c r="N45" s="1498"/>
      <c r="O45" s="1498"/>
      <c r="P45" s="1498"/>
      <c r="Q45" s="1498"/>
      <c r="R45" s="1498"/>
      <c r="S45" s="1498"/>
      <c r="T45" s="1498"/>
      <c r="U45" s="1498"/>
      <c r="V45" s="1498"/>
      <c r="W45" s="1499"/>
      <c r="Y45" s="1500"/>
      <c r="Z45" s="1500"/>
      <c r="AA45" s="1500"/>
      <c r="AB45" s="1500"/>
      <c r="AC45" s="1500"/>
      <c r="AD45" s="1500"/>
      <c r="AE45" s="1500"/>
      <c r="AF45" s="1500"/>
      <c r="AG45" s="1500"/>
      <c r="AH45" s="1500"/>
      <c r="AI45" s="1500"/>
      <c r="AJ45" s="1500"/>
      <c r="AK45" s="1500"/>
      <c r="AL45" s="1500"/>
      <c r="AM45" s="1500"/>
      <c r="AN45" s="1500"/>
      <c r="AO45" s="1500"/>
      <c r="AP45" s="1500"/>
      <c r="AQ45" s="1501"/>
      <c r="AS45" s="1502"/>
      <c r="AT45" s="1502"/>
      <c r="AU45" s="1502"/>
      <c r="AV45" s="1502"/>
      <c r="AW45" s="1502"/>
      <c r="AX45" s="1502"/>
      <c r="AY45" s="1502"/>
      <c r="AZ45" s="1502"/>
      <c r="BA45" s="1502"/>
      <c r="BB45" s="1502"/>
      <c r="BC45" s="1502"/>
      <c r="BD45" s="1502"/>
      <c r="BE45" s="1502"/>
      <c r="BF45" s="1502"/>
      <c r="BG45" s="1502"/>
      <c r="BH45" s="1502"/>
      <c r="BI45" s="1502"/>
      <c r="BJ45" s="1502"/>
      <c r="BK45" s="1502"/>
      <c r="BL45" s="1524"/>
      <c r="BN45" s="1504"/>
      <c r="BO45" s="1504"/>
      <c r="BP45" s="1505"/>
      <c r="BR45" s="3168">
        <f t="shared" si="12"/>
        <v>0</v>
      </c>
      <c r="BS45" s="1525"/>
      <c r="BT45" s="748"/>
      <c r="BU45" s="1507"/>
      <c r="BV45" s="1508"/>
      <c r="BW45" s="1508"/>
      <c r="BX45" s="1508"/>
      <c r="BY45" s="1508"/>
      <c r="BZ45" s="1508"/>
      <c r="CA45" s="1508"/>
      <c r="CB45" s="1508"/>
      <c r="CC45" s="1508"/>
      <c r="CD45" s="1508"/>
      <c r="CE45" s="1508"/>
      <c r="CF45" s="1508"/>
      <c r="CG45" s="1508"/>
      <c r="CH45" s="1508"/>
      <c r="CI45" s="1508"/>
      <c r="CJ45" s="1508"/>
      <c r="CK45" s="1508"/>
      <c r="CL45" s="1508"/>
      <c r="CM45" s="1508"/>
      <c r="CN45" s="1508"/>
      <c r="CO45" s="1508"/>
      <c r="CP45" s="1508"/>
      <c r="CQ45" s="1508"/>
      <c r="CR45" s="1508"/>
      <c r="CS45" s="1508"/>
      <c r="CT45" s="1508"/>
      <c r="CU45" s="1508"/>
      <c r="CV45" s="1508"/>
      <c r="CW45" s="1508"/>
      <c r="CX45" s="1508"/>
      <c r="CY45" s="1508"/>
      <c r="CZ45" s="1508"/>
      <c r="DA45" s="1508"/>
      <c r="DB45" s="1508"/>
      <c r="DC45" s="1508"/>
      <c r="DD45" s="1508"/>
      <c r="DE45" s="1508"/>
      <c r="DF45" s="1508"/>
      <c r="DG45" s="1508"/>
      <c r="DH45" s="1508"/>
      <c r="DI45" s="1508"/>
      <c r="DJ45" s="1508"/>
      <c r="DK45" s="1508"/>
      <c r="DL45" s="1508"/>
      <c r="DN45" s="1509"/>
    </row>
    <row r="46" spans="1:118" s="14" customFormat="1" ht="16.5" hidden="1" customHeight="1" outlineLevel="2" x14ac:dyDescent="0.2">
      <c r="A46" s="1522"/>
      <c r="B46" s="1522"/>
      <c r="C46" s="1577" t="s">
        <v>801</v>
      </c>
      <c r="D46" s="1526" t="s">
        <v>802</v>
      </c>
      <c r="E46" s="1526"/>
      <c r="G46" s="1540"/>
      <c r="H46" s="1540"/>
      <c r="I46" s="1540"/>
      <c r="J46" s="1540"/>
      <c r="K46" s="1540"/>
      <c r="L46" s="1540"/>
      <c r="M46" s="1540"/>
      <c r="N46" s="1540"/>
      <c r="O46" s="1540"/>
      <c r="P46" s="1540"/>
      <c r="Q46" s="1540"/>
      <c r="R46" s="1540"/>
      <c r="S46" s="1540"/>
      <c r="T46" s="1540"/>
      <c r="U46" s="1540"/>
      <c r="V46" s="1540"/>
      <c r="W46" s="1527"/>
      <c r="Y46" s="1541"/>
      <c r="Z46" s="1541"/>
      <c r="AA46" s="1541"/>
      <c r="AB46" s="1541"/>
      <c r="AC46" s="1541"/>
      <c r="AD46" s="1541"/>
      <c r="AE46" s="1541"/>
      <c r="AF46" s="1541"/>
      <c r="AG46" s="1541"/>
      <c r="AH46" s="1541"/>
      <c r="AI46" s="1541"/>
      <c r="AJ46" s="1541"/>
      <c r="AK46" s="1541"/>
      <c r="AL46" s="1541"/>
      <c r="AM46" s="1541"/>
      <c r="AN46" s="1541"/>
      <c r="AO46" s="1541"/>
      <c r="AP46" s="1541"/>
      <c r="AQ46" s="1528"/>
      <c r="AS46" s="1542"/>
      <c r="AT46" s="1542"/>
      <c r="AU46" s="1542"/>
      <c r="AV46" s="1542"/>
      <c r="AW46" s="1542"/>
      <c r="AX46" s="1542"/>
      <c r="AY46" s="1542"/>
      <c r="AZ46" s="1542"/>
      <c r="BA46" s="1542"/>
      <c r="BB46" s="1542"/>
      <c r="BC46" s="1542"/>
      <c r="BD46" s="1542"/>
      <c r="BE46" s="1542"/>
      <c r="BF46" s="1542"/>
      <c r="BG46" s="1542"/>
      <c r="BH46" s="1542"/>
      <c r="BI46" s="1542"/>
      <c r="BJ46" s="1542"/>
      <c r="BK46" s="1542"/>
      <c r="BL46" s="1530"/>
      <c r="BN46" s="1543"/>
      <c r="BO46" s="1543"/>
      <c r="BP46" s="1531"/>
      <c r="BR46" s="3168">
        <f t="shared" si="12"/>
        <v>0</v>
      </c>
      <c r="BS46" s="1525"/>
      <c r="BT46" s="748"/>
      <c r="BU46" s="1532"/>
      <c r="BV46" s="1533"/>
      <c r="BW46" s="1533"/>
      <c r="BX46" s="1533"/>
      <c r="BY46" s="1533"/>
      <c r="BZ46" s="1533"/>
      <c r="CA46" s="1533"/>
      <c r="CB46" s="1533"/>
      <c r="CC46" s="1533"/>
      <c r="CD46" s="1533"/>
      <c r="CE46" s="1533"/>
      <c r="CF46" s="1533"/>
      <c r="CG46" s="1533"/>
      <c r="CH46" s="1533"/>
      <c r="CI46" s="1533"/>
      <c r="CJ46" s="1533"/>
      <c r="CK46" s="1533"/>
      <c r="CL46" s="1533"/>
      <c r="CM46" s="1533"/>
      <c r="CN46" s="1533"/>
      <c r="CO46" s="1533"/>
      <c r="CP46" s="1533"/>
      <c r="CQ46" s="1533"/>
      <c r="CR46" s="1533"/>
      <c r="CS46" s="1533"/>
      <c r="CT46" s="1533"/>
      <c r="CU46" s="1533"/>
      <c r="CV46" s="1533"/>
      <c r="CW46" s="1533"/>
      <c r="CX46" s="1533"/>
      <c r="CY46" s="1533"/>
      <c r="CZ46" s="1533"/>
      <c r="DA46" s="1533"/>
      <c r="DB46" s="1533"/>
      <c r="DC46" s="1533"/>
      <c r="DD46" s="1533"/>
      <c r="DE46" s="1533"/>
      <c r="DF46" s="1533"/>
      <c r="DG46" s="1533"/>
      <c r="DH46" s="1533"/>
      <c r="DI46" s="1533"/>
      <c r="DJ46" s="1533"/>
      <c r="DK46" s="1533"/>
      <c r="DL46" s="1533"/>
      <c r="DN46" s="1509"/>
    </row>
    <row r="47" spans="1:118" s="14" customFormat="1" ht="15.75" hidden="1" outlineLevel="1" collapsed="1" x14ac:dyDescent="0.2">
      <c r="A47" s="1845" t="s">
        <v>816</v>
      </c>
      <c r="B47" s="1847"/>
      <c r="C47" s="1842" t="s">
        <v>745</v>
      </c>
      <c r="D47" s="1843" t="s">
        <v>863</v>
      </c>
      <c r="E47" s="1844"/>
      <c r="G47" s="1539"/>
      <c r="H47" s="1539"/>
      <c r="I47" s="1539"/>
      <c r="J47" s="1539"/>
      <c r="K47" s="1539"/>
      <c r="L47" s="1539"/>
      <c r="M47" s="1539"/>
      <c r="N47" s="1539"/>
      <c r="O47" s="1539"/>
      <c r="P47" s="1539"/>
      <c r="Q47" s="1539"/>
      <c r="R47" s="1539"/>
      <c r="S47" s="1539"/>
      <c r="T47" s="1539"/>
      <c r="U47" s="1539"/>
      <c r="V47" s="1539"/>
      <c r="W47" s="1539"/>
      <c r="Y47" s="1490"/>
      <c r="Z47" s="1490"/>
      <c r="AA47" s="1490"/>
      <c r="AB47" s="1490"/>
      <c r="AC47" s="1490"/>
      <c r="AD47" s="1490"/>
      <c r="AE47" s="1490"/>
      <c r="AF47" s="1490"/>
      <c r="AG47" s="1490"/>
      <c r="AH47" s="1490"/>
      <c r="AI47" s="1490"/>
      <c r="AJ47" s="1490"/>
      <c r="AK47" s="1490"/>
      <c r="AL47" s="1490"/>
      <c r="AM47" s="1490"/>
      <c r="AN47" s="1490"/>
      <c r="AO47" s="1490"/>
      <c r="AP47" s="1490"/>
      <c r="AQ47" s="1490"/>
      <c r="AS47" s="1491"/>
      <c r="AT47" s="1491"/>
      <c r="AU47" s="1491"/>
      <c r="AV47" s="1491"/>
      <c r="AW47" s="1491"/>
      <c r="AX47" s="1491"/>
      <c r="AY47" s="1491"/>
      <c r="AZ47" s="1491"/>
      <c r="BA47" s="1491"/>
      <c r="BB47" s="1491"/>
      <c r="BC47" s="1491"/>
      <c r="BD47" s="1491"/>
      <c r="BE47" s="1491"/>
      <c r="BF47" s="1491"/>
      <c r="BG47" s="1491"/>
      <c r="BH47" s="1491"/>
      <c r="BI47" s="1491"/>
      <c r="BJ47" s="1491"/>
      <c r="BK47" s="1491"/>
      <c r="BL47" s="1491"/>
      <c r="BN47" s="1492"/>
      <c r="BO47" s="1492"/>
      <c r="BP47" s="1492"/>
      <c r="BR47" s="3168">
        <f t="shared" si="12"/>
        <v>0</v>
      </c>
      <c r="BS47" s="1579"/>
      <c r="BT47" s="748"/>
      <c r="BU47" s="1507"/>
      <c r="BV47" s="1508"/>
      <c r="BW47" s="1508"/>
      <c r="BX47" s="1508"/>
      <c r="BY47" s="1508"/>
      <c r="BZ47" s="1508"/>
      <c r="CA47" s="1508"/>
      <c r="CB47" s="1508"/>
      <c r="CC47" s="1508"/>
      <c r="CD47" s="1508"/>
      <c r="CE47" s="1508"/>
      <c r="CF47" s="1508"/>
      <c r="CG47" s="1508"/>
      <c r="CH47" s="1508"/>
      <c r="CI47" s="1508"/>
      <c r="CJ47" s="1508"/>
      <c r="CK47" s="1508"/>
      <c r="CL47" s="1508"/>
      <c r="CM47" s="1508"/>
      <c r="CN47" s="1508"/>
      <c r="CO47" s="1508"/>
      <c r="CP47" s="1508"/>
      <c r="CQ47" s="1508"/>
      <c r="CR47" s="1508"/>
      <c r="CS47" s="1508"/>
      <c r="CT47" s="1508"/>
      <c r="CU47" s="1508"/>
      <c r="CV47" s="1508"/>
      <c r="CW47" s="1508"/>
      <c r="CX47" s="1508"/>
      <c r="CY47" s="1508"/>
      <c r="CZ47" s="1508"/>
      <c r="DA47" s="1508"/>
      <c r="DB47" s="1508"/>
      <c r="DC47" s="1508"/>
      <c r="DD47" s="1508"/>
      <c r="DE47" s="1508"/>
      <c r="DF47" s="1508"/>
      <c r="DG47" s="1508"/>
      <c r="DH47" s="1508"/>
      <c r="DI47" s="1508"/>
      <c r="DJ47" s="1508"/>
      <c r="DK47" s="1508"/>
      <c r="DL47" s="1508"/>
      <c r="DN47" s="1509"/>
    </row>
    <row r="48" spans="1:118" s="14" customFormat="1" ht="15.75" collapsed="1" x14ac:dyDescent="0.2">
      <c r="A48" s="1845"/>
      <c r="B48" s="1847"/>
      <c r="C48" s="1842"/>
      <c r="D48" s="1843"/>
      <c r="E48" s="1844"/>
      <c r="G48" s="1539"/>
      <c r="H48" s="1539"/>
      <c r="I48" s="1539"/>
      <c r="J48" s="1539"/>
      <c r="K48" s="1539"/>
      <c r="L48" s="1539"/>
      <c r="M48" s="1539"/>
      <c r="N48" s="1539"/>
      <c r="O48" s="1539"/>
      <c r="P48" s="1539"/>
      <c r="Q48" s="1539"/>
      <c r="R48" s="1539"/>
      <c r="S48" s="1539"/>
      <c r="T48" s="1539"/>
      <c r="U48" s="1539"/>
      <c r="V48" s="1539"/>
      <c r="W48" s="1539"/>
      <c r="Y48" s="1490"/>
      <c r="Z48" s="1490"/>
      <c r="AA48" s="1490"/>
      <c r="AB48" s="1490"/>
      <c r="AC48" s="1490"/>
      <c r="AD48" s="1490"/>
      <c r="AE48" s="1490"/>
      <c r="AF48" s="1490"/>
      <c r="AG48" s="1490"/>
      <c r="AH48" s="1490"/>
      <c r="AI48" s="1490"/>
      <c r="AJ48" s="1490"/>
      <c r="AK48" s="1490"/>
      <c r="AL48" s="1490"/>
      <c r="AM48" s="1490"/>
      <c r="AN48" s="1490"/>
      <c r="AO48" s="1490"/>
      <c r="AP48" s="1490"/>
      <c r="AQ48" s="1490"/>
      <c r="AS48" s="1491"/>
      <c r="AT48" s="1491"/>
      <c r="AU48" s="1491"/>
      <c r="AV48" s="1491"/>
      <c r="AW48" s="1491"/>
      <c r="AX48" s="1491"/>
      <c r="AY48" s="1491"/>
      <c r="AZ48" s="1491"/>
      <c r="BA48" s="1491"/>
      <c r="BB48" s="1491"/>
      <c r="BC48" s="1491"/>
      <c r="BD48" s="1491"/>
      <c r="BE48" s="1491"/>
      <c r="BF48" s="1491"/>
      <c r="BG48" s="1491"/>
      <c r="BH48" s="1491"/>
      <c r="BI48" s="1491"/>
      <c r="BJ48" s="1491"/>
      <c r="BK48" s="1491"/>
      <c r="BL48" s="1491"/>
      <c r="BN48" s="1492"/>
      <c r="BO48" s="1492"/>
      <c r="BP48" s="1492"/>
      <c r="BR48" s="3168"/>
      <c r="BS48" s="1579"/>
      <c r="BT48" s="748"/>
      <c r="BU48" s="1507"/>
      <c r="BV48" s="1508"/>
      <c r="BW48" s="1508"/>
      <c r="BX48" s="1508"/>
      <c r="BY48" s="1508"/>
      <c r="BZ48" s="1508"/>
      <c r="CA48" s="1508"/>
      <c r="CB48" s="1508"/>
      <c r="CC48" s="1508"/>
      <c r="CD48" s="1508"/>
      <c r="CE48" s="1508"/>
      <c r="CF48" s="1508"/>
      <c r="CG48" s="1508"/>
      <c r="CH48" s="1508"/>
      <c r="CI48" s="1508"/>
      <c r="CJ48" s="1508"/>
      <c r="CK48" s="1508"/>
      <c r="CL48" s="1508"/>
      <c r="CM48" s="1508"/>
      <c r="CN48" s="1508"/>
      <c r="CO48" s="1508"/>
      <c r="CP48" s="1508"/>
      <c r="CQ48" s="1508"/>
      <c r="CR48" s="1508"/>
      <c r="CS48" s="1508"/>
      <c r="CT48" s="1508"/>
      <c r="CU48" s="1508"/>
      <c r="CV48" s="1508"/>
      <c r="CW48" s="1508"/>
      <c r="CX48" s="1508"/>
      <c r="CY48" s="1508"/>
      <c r="CZ48" s="1508"/>
      <c r="DA48" s="1508"/>
      <c r="DB48" s="1508"/>
      <c r="DC48" s="1508"/>
      <c r="DD48" s="1508"/>
      <c r="DE48" s="1508"/>
      <c r="DF48" s="1508"/>
      <c r="DG48" s="1508"/>
      <c r="DH48" s="1508"/>
      <c r="DI48" s="1508"/>
      <c r="DJ48" s="1508"/>
      <c r="DK48" s="1508"/>
      <c r="DL48" s="1508"/>
      <c r="DN48" s="1509"/>
    </row>
    <row r="49" spans="1:118" s="14" customFormat="1" ht="15.75" x14ac:dyDescent="0.2">
      <c r="A49" s="1534"/>
      <c r="B49" s="1535"/>
      <c r="C49" s="1536"/>
      <c r="D49" s="1537"/>
      <c r="E49" s="1538"/>
      <c r="G49" s="1539"/>
      <c r="H49" s="1539"/>
      <c r="I49" s="1539"/>
      <c r="J49" s="1539"/>
      <c r="K49" s="1539"/>
      <c r="L49" s="1539"/>
      <c r="M49" s="1539"/>
      <c r="N49" s="1539"/>
      <c r="O49" s="1539"/>
      <c r="P49" s="1539"/>
      <c r="Q49" s="1539"/>
      <c r="R49" s="1539"/>
      <c r="S49" s="1539"/>
      <c r="T49" s="1539"/>
      <c r="U49" s="1539"/>
      <c r="V49" s="1539"/>
      <c r="W49" s="1539"/>
      <c r="Y49" s="1490"/>
      <c r="Z49" s="1490"/>
      <c r="AA49" s="1490"/>
      <c r="AB49" s="1490"/>
      <c r="AC49" s="1490"/>
      <c r="AD49" s="1490"/>
      <c r="AE49" s="1490"/>
      <c r="AF49" s="1490"/>
      <c r="AG49" s="1490"/>
      <c r="AH49" s="1490"/>
      <c r="AI49" s="1490"/>
      <c r="AJ49" s="1490"/>
      <c r="AK49" s="1490"/>
      <c r="AL49" s="1490"/>
      <c r="AM49" s="1490"/>
      <c r="AN49" s="1490"/>
      <c r="AO49" s="1490"/>
      <c r="AP49" s="1490"/>
      <c r="AQ49" s="1893"/>
      <c r="AS49" s="1491"/>
      <c r="AT49" s="1491"/>
      <c r="AU49" s="1491"/>
      <c r="AV49" s="1491"/>
      <c r="AW49" s="1491"/>
      <c r="AX49" s="1491"/>
      <c r="AY49" s="1491"/>
      <c r="AZ49" s="1491"/>
      <c r="BA49" s="1491"/>
      <c r="BB49" s="1491"/>
      <c r="BC49" s="1491"/>
      <c r="BD49" s="1491"/>
      <c r="BE49" s="1491"/>
      <c r="BF49" s="1491"/>
      <c r="BG49" s="1491"/>
      <c r="BH49" s="1491"/>
      <c r="BI49" s="1491"/>
      <c r="BJ49" s="1491"/>
      <c r="BK49" s="1491"/>
      <c r="BL49" s="1491"/>
      <c r="BN49" s="1492"/>
      <c r="BO49" s="1492"/>
      <c r="BP49" s="1492"/>
      <c r="BR49" s="3168"/>
      <c r="BS49" s="1493"/>
      <c r="BT49" s="748"/>
      <c r="BU49" s="1508"/>
      <c r="BV49" s="1508"/>
      <c r="BW49" s="1508"/>
      <c r="BX49" s="1508"/>
      <c r="BY49" s="1508"/>
      <c r="BZ49" s="1508"/>
      <c r="CA49" s="1508"/>
      <c r="CB49" s="1508"/>
      <c r="CC49" s="1508"/>
      <c r="CD49" s="1508"/>
      <c r="CE49" s="1508"/>
      <c r="CF49" s="1508"/>
      <c r="CG49" s="1508"/>
      <c r="CH49" s="1508"/>
      <c r="CI49" s="1508"/>
      <c r="CJ49" s="1508"/>
      <c r="CK49" s="1508"/>
      <c r="CL49" s="1508"/>
      <c r="CM49" s="1508"/>
      <c r="CN49" s="1508"/>
      <c r="CO49" s="1508"/>
      <c r="CP49" s="1508"/>
      <c r="CQ49" s="1508"/>
      <c r="CR49" s="1508"/>
      <c r="CS49" s="1508"/>
      <c r="CT49" s="1508"/>
      <c r="CU49" s="1508"/>
      <c r="CV49" s="1508"/>
      <c r="CW49" s="1508"/>
      <c r="CX49" s="1508"/>
      <c r="CY49" s="1508"/>
      <c r="CZ49" s="1508"/>
      <c r="DA49" s="1508"/>
      <c r="DB49" s="1508"/>
      <c r="DC49" s="1508"/>
      <c r="DD49" s="1508"/>
      <c r="DE49" s="1508"/>
      <c r="DF49" s="1508"/>
      <c r="DG49" s="1508"/>
      <c r="DH49" s="1508"/>
      <c r="DI49" s="1508"/>
      <c r="DJ49" s="1508"/>
      <c r="DK49" s="1508"/>
      <c r="DL49" s="1508"/>
      <c r="DN49" s="1509"/>
    </row>
    <row r="50" spans="1:118" s="14" customFormat="1" ht="12.75" hidden="1" customHeight="1" outlineLevel="1" x14ac:dyDescent="0.2">
      <c r="A50" s="1534"/>
      <c r="B50" s="1534"/>
      <c r="C50" s="1544"/>
      <c r="D50" s="1538"/>
      <c r="E50" s="1538"/>
      <c r="G50" s="1488"/>
      <c r="H50" s="1488"/>
      <c r="I50" s="1488"/>
      <c r="J50" s="1488"/>
      <c r="K50" s="1488"/>
      <c r="L50" s="1488"/>
      <c r="M50" s="1488"/>
      <c r="N50" s="1488"/>
      <c r="O50" s="1563"/>
      <c r="P50" s="1488"/>
      <c r="Q50" s="1488"/>
      <c r="R50" s="1488"/>
      <c r="S50" s="1488"/>
      <c r="T50" s="1488"/>
      <c r="U50" s="1488"/>
      <c r="V50" s="1488"/>
      <c r="W50" s="1488"/>
      <c r="Y50" s="1490"/>
      <c r="Z50" s="1490"/>
      <c r="AA50" s="1490"/>
      <c r="AB50" s="1490"/>
      <c r="AC50" s="1490"/>
      <c r="AD50" s="1490"/>
      <c r="AE50" s="1490"/>
      <c r="AF50" s="1490"/>
      <c r="AG50" s="1490"/>
      <c r="AH50" s="1490"/>
      <c r="AI50" s="1490"/>
      <c r="AJ50" s="1490"/>
      <c r="AK50" s="1490"/>
      <c r="AL50" s="1490"/>
      <c r="AM50" s="1490"/>
      <c r="AN50" s="1490"/>
      <c r="AO50" s="1490"/>
      <c r="AP50" s="1490"/>
      <c r="AQ50" s="1893"/>
      <c r="AS50" s="1491"/>
      <c r="AT50" s="1491"/>
      <c r="AU50" s="1491"/>
      <c r="AV50" s="1491"/>
      <c r="AW50" s="1491"/>
      <c r="AX50" s="1491"/>
      <c r="AY50" s="1491"/>
      <c r="AZ50" s="1491"/>
      <c r="BA50" s="1491"/>
      <c r="BB50" s="1491"/>
      <c r="BC50" s="1491"/>
      <c r="BD50" s="1491"/>
      <c r="BE50" s="1491"/>
      <c r="BF50" s="1491"/>
      <c r="BG50" s="1491"/>
      <c r="BH50" s="1491"/>
      <c r="BI50" s="1491"/>
      <c r="BJ50" s="1491"/>
      <c r="BK50" s="1491"/>
      <c r="BL50" s="1491"/>
      <c r="BN50" s="1492"/>
      <c r="BO50" s="1492"/>
      <c r="BP50" s="1492"/>
      <c r="BR50" s="3168">
        <f>W50+AQ50+BL50+BP50</f>
        <v>0</v>
      </c>
      <c r="BS50" s="1493"/>
      <c r="BT50" s="1534"/>
      <c r="BU50" s="1508"/>
      <c r="BV50" s="1508"/>
      <c r="BW50" s="1508"/>
      <c r="BX50" s="1508"/>
      <c r="BY50" s="1508"/>
      <c r="BZ50" s="1508"/>
      <c r="CA50" s="1508"/>
      <c r="CB50" s="1508"/>
      <c r="CC50" s="1508"/>
      <c r="CD50" s="1508"/>
      <c r="CE50" s="1508"/>
      <c r="CF50" s="1508"/>
      <c r="CG50" s="1508"/>
      <c r="CH50" s="1508"/>
      <c r="CI50" s="1508"/>
      <c r="CJ50" s="1508"/>
      <c r="CK50" s="1508"/>
      <c r="CL50" s="1508"/>
      <c r="CM50" s="1508"/>
      <c r="CN50" s="1508"/>
      <c r="CO50" s="1508"/>
      <c r="CP50" s="1508"/>
      <c r="CQ50" s="1508"/>
      <c r="CR50" s="1508"/>
      <c r="CS50" s="1508"/>
      <c r="CT50" s="1508"/>
      <c r="CU50" s="1508"/>
      <c r="CV50" s="1508"/>
      <c r="CW50" s="1508"/>
      <c r="CX50" s="1508"/>
      <c r="CY50" s="1508"/>
      <c r="CZ50" s="1508"/>
      <c r="DA50" s="1508"/>
      <c r="DB50" s="1508"/>
      <c r="DC50" s="1508"/>
      <c r="DD50" s="1508"/>
      <c r="DE50" s="1508"/>
      <c r="DF50" s="1508"/>
      <c r="DG50" s="1508"/>
      <c r="DH50" s="1508"/>
      <c r="DI50" s="1508"/>
      <c r="DJ50" s="1508"/>
      <c r="DK50" s="1508"/>
      <c r="DL50" s="1508"/>
      <c r="DN50" s="1509">
        <v>0</v>
      </c>
    </row>
    <row r="51" spans="1:118" s="1564" customFormat="1" ht="12.75" hidden="1" customHeight="1" outlineLevel="1" x14ac:dyDescent="0.2">
      <c r="C51" s="1565"/>
      <c r="D51" s="1592"/>
      <c r="E51" s="1566"/>
      <c r="F51" s="1567"/>
      <c r="G51" s="1568"/>
      <c r="H51" s="1568"/>
      <c r="I51" s="1568"/>
      <c r="J51" s="1568"/>
      <c r="K51" s="1568"/>
      <c r="L51" s="1568"/>
      <c r="M51" s="1568"/>
      <c r="N51" s="1568"/>
      <c r="O51" s="1569"/>
      <c r="P51" s="1568"/>
      <c r="Q51" s="1568"/>
      <c r="R51" s="1568"/>
      <c r="S51" s="1568"/>
      <c r="T51" s="1568"/>
      <c r="U51" s="1568"/>
      <c r="V51" s="1568"/>
      <c r="W51" s="1568"/>
      <c r="X51" s="1567"/>
      <c r="Y51" s="1570"/>
      <c r="Z51" s="1570"/>
      <c r="AA51" s="1570"/>
      <c r="AB51" s="1570"/>
      <c r="AC51" s="1570"/>
      <c r="AD51" s="1570"/>
      <c r="AE51" s="1570"/>
      <c r="AF51" s="1570"/>
      <c r="AG51" s="1570"/>
      <c r="AH51" s="1570"/>
      <c r="AI51" s="1570"/>
      <c r="AJ51" s="1570"/>
      <c r="AK51" s="1570"/>
      <c r="AL51" s="1570"/>
      <c r="AM51" s="1570"/>
      <c r="AN51" s="1570"/>
      <c r="AO51" s="1570"/>
      <c r="AP51" s="1570"/>
      <c r="AQ51" s="1955"/>
      <c r="AR51" s="1567"/>
      <c r="AS51" s="1571"/>
      <c r="AT51" s="1571"/>
      <c r="AU51" s="1571"/>
      <c r="AV51" s="1571"/>
      <c r="AW51" s="1571"/>
      <c r="AX51" s="1571"/>
      <c r="AY51" s="1571"/>
      <c r="AZ51" s="1571"/>
      <c r="BA51" s="1571"/>
      <c r="BB51" s="1571"/>
      <c r="BC51" s="1571"/>
      <c r="BD51" s="1571"/>
      <c r="BE51" s="1571"/>
      <c r="BF51" s="1571"/>
      <c r="BG51" s="1571"/>
      <c r="BH51" s="1571"/>
      <c r="BI51" s="1571"/>
      <c r="BJ51" s="1571"/>
      <c r="BK51" s="1571"/>
      <c r="BL51" s="1571"/>
      <c r="BM51" s="1567"/>
      <c r="BN51" s="1572"/>
      <c r="BO51" s="1572"/>
      <c r="BP51" s="1572"/>
      <c r="BQ51" s="1567"/>
      <c r="BR51" s="3168">
        <f>W51+AQ51+BL51+BP51</f>
        <v>0</v>
      </c>
      <c r="BS51" s="1573"/>
      <c r="BU51" s="1574"/>
      <c r="BV51" s="1574"/>
      <c r="BW51" s="1574"/>
      <c r="BX51" s="1574"/>
      <c r="BY51" s="1574"/>
      <c r="BZ51" s="1574"/>
      <c r="CA51" s="1574"/>
      <c r="CB51" s="1574"/>
      <c r="CC51" s="1574"/>
      <c r="CD51" s="1574"/>
      <c r="CE51" s="1574"/>
      <c r="CF51" s="1574"/>
      <c r="CG51" s="1574"/>
      <c r="CH51" s="1574"/>
      <c r="CI51" s="1574"/>
      <c r="CJ51" s="1574"/>
      <c r="CK51" s="1574"/>
      <c r="CL51" s="1574"/>
      <c r="CM51" s="1574"/>
      <c r="CN51" s="1574"/>
      <c r="CO51" s="1574"/>
      <c r="CP51" s="1574"/>
      <c r="CQ51" s="1574"/>
      <c r="CR51" s="1574"/>
      <c r="CS51" s="1574"/>
      <c r="CT51" s="1574"/>
      <c r="CU51" s="1574"/>
      <c r="CV51" s="1574"/>
      <c r="CW51" s="1574"/>
      <c r="CX51" s="1574"/>
      <c r="CY51" s="1574"/>
      <c r="CZ51" s="1574"/>
      <c r="DA51" s="1574"/>
      <c r="DB51" s="1574"/>
      <c r="DC51" s="1574"/>
      <c r="DD51" s="1574"/>
      <c r="DE51" s="1574"/>
      <c r="DF51" s="1574"/>
      <c r="DG51" s="1574"/>
      <c r="DH51" s="1574"/>
      <c r="DI51" s="1574"/>
      <c r="DJ51" s="1574"/>
      <c r="DK51" s="1574"/>
      <c r="DL51" s="1574"/>
      <c r="DN51" s="1575">
        <v>0</v>
      </c>
    </row>
    <row r="52" spans="1:118" s="1877" customFormat="1" ht="12.75" hidden="1" customHeight="1" outlineLevel="1" x14ac:dyDescent="0.2">
      <c r="C52" s="1496" t="s">
        <v>46</v>
      </c>
      <c r="D52" s="14" t="str">
        <f>INDEX(Modulos[Modulos], MATCH($C52, Modulos[Código], 0))</f>
        <v>Termoelectricidad</v>
      </c>
      <c r="E52" s="1600"/>
      <c r="F52" s="56"/>
      <c r="G52" s="1601"/>
      <c r="H52" s="1601"/>
      <c r="I52" s="1601"/>
      <c r="J52" s="1601"/>
      <c r="K52" s="1601"/>
      <c r="L52" s="1601"/>
      <c r="M52" s="1601"/>
      <c r="N52" s="1601"/>
      <c r="O52" s="1602"/>
      <c r="P52" s="1601"/>
      <c r="Q52" s="1601"/>
      <c r="R52" s="1601"/>
      <c r="S52" s="1601"/>
      <c r="T52" s="1601"/>
      <c r="U52" s="1601"/>
      <c r="V52" s="1601"/>
      <c r="W52" s="1601"/>
      <c r="X52" s="56"/>
      <c r="Y52" s="1490">
        <f t="shared" ref="Y52:AP52" ca="1" si="31">IFERROR(INDEX(INDIRECT($C52&amp;".Outputs["&amp;this.Year&amp;"]"), MATCH(Y$5, INDIRECT($C52&amp;".Outputs[Vector]"), 0)), 0)</f>
        <v>0</v>
      </c>
      <c r="Z52" s="1490">
        <f ca="1">IFERROR(INDEX(INDIRECT($C52&amp;".Outputs["&amp;this.Year&amp;"]"), MATCH(Z$5, INDIRECT($C52&amp;".Outputs[Vector]"), 0)), 0)</f>
        <v>115.00589793784486</v>
      </c>
      <c r="AA52" s="1490">
        <f t="shared" ca="1" si="31"/>
        <v>-161.7403455386266</v>
      </c>
      <c r="AB52" s="1490">
        <f t="shared" ca="1" si="31"/>
        <v>-20.217543192328328</v>
      </c>
      <c r="AC52" s="1490">
        <f t="shared" ca="1" si="31"/>
        <v>-92.423054593500922</v>
      </c>
      <c r="AD52" s="1490">
        <f t="shared" ca="1" si="31"/>
        <v>0</v>
      </c>
      <c r="AE52" s="1490">
        <f t="shared" ca="1" si="31"/>
        <v>0</v>
      </c>
      <c r="AF52" s="1490">
        <f t="shared" ca="1" si="31"/>
        <v>0</v>
      </c>
      <c r="AG52" s="1490">
        <f t="shared" ca="1" si="31"/>
        <v>0</v>
      </c>
      <c r="AH52" s="1490">
        <f t="shared" ca="1" si="31"/>
        <v>0</v>
      </c>
      <c r="AI52" s="1490">
        <f t="shared" ca="1" si="31"/>
        <v>0</v>
      </c>
      <c r="AJ52" s="1490">
        <f t="shared" ca="1" si="31"/>
        <v>0</v>
      </c>
      <c r="AK52" s="1490">
        <f t="shared" ca="1" si="31"/>
        <v>0</v>
      </c>
      <c r="AL52" s="1490">
        <f t="shared" ca="1" si="31"/>
        <v>-2.9453760000000004</v>
      </c>
      <c r="AM52" s="1490">
        <f t="shared" ca="1" si="31"/>
        <v>0</v>
      </c>
      <c r="AN52" s="1490">
        <f t="shared" ca="1" si="31"/>
        <v>0</v>
      </c>
      <c r="AO52" s="1490">
        <f t="shared" ca="1" si="31"/>
        <v>0</v>
      </c>
      <c r="AP52" s="1490">
        <f t="shared" ca="1" si="31"/>
        <v>0</v>
      </c>
      <c r="AQ52" s="1893">
        <f ca="1">SUM(Y52:AP52)</f>
        <v>-162.320421386611</v>
      </c>
      <c r="AR52" s="56"/>
      <c r="AS52" s="1940">
        <f t="shared" ref="AS52:BK52" ca="1" si="32">IFERROR(INDEX(INDIRECT($C52&amp;".Outputs["&amp;this.Year&amp;"]"), MATCH(AS$5, INDIRECT($C52&amp;".Outputs[Vector]"), 0)), 0)</f>
        <v>0</v>
      </c>
      <c r="AT52" s="1940">
        <f t="shared" ca="1" si="32"/>
        <v>0</v>
      </c>
      <c r="AU52" s="1940">
        <f t="shared" ca="1" si="32"/>
        <v>0</v>
      </c>
      <c r="AV52" s="1940">
        <f t="shared" ca="1" si="32"/>
        <v>0</v>
      </c>
      <c r="AW52" s="1940">
        <f t="shared" ca="1" si="32"/>
        <v>0</v>
      </c>
      <c r="AX52" s="1940">
        <f t="shared" ca="1" si="32"/>
        <v>0</v>
      </c>
      <c r="AY52" s="1940">
        <f t="shared" ca="1" si="32"/>
        <v>0</v>
      </c>
      <c r="AZ52" s="1940">
        <f t="shared" ca="1" si="32"/>
        <v>0</v>
      </c>
      <c r="BA52" s="1940">
        <f t="shared" ca="1" si="32"/>
        <v>0</v>
      </c>
      <c r="BB52" s="1940">
        <f t="shared" ca="1" si="32"/>
        <v>0</v>
      </c>
      <c r="BC52" s="1940">
        <f t="shared" ca="1" si="32"/>
        <v>0</v>
      </c>
      <c r="BD52" s="1940">
        <f t="shared" ca="1" si="32"/>
        <v>0</v>
      </c>
      <c r="BE52" s="1940">
        <f t="shared" ca="1" si="32"/>
        <v>0</v>
      </c>
      <c r="BF52" s="1940">
        <f t="shared" ca="1" si="32"/>
        <v>0</v>
      </c>
      <c r="BG52" s="1940">
        <f t="shared" ca="1" si="32"/>
        <v>0</v>
      </c>
      <c r="BH52" s="1940">
        <f t="shared" ca="1" si="32"/>
        <v>0</v>
      </c>
      <c r="BI52" s="1940">
        <f t="shared" ca="1" si="32"/>
        <v>0</v>
      </c>
      <c r="BJ52" s="1940">
        <f t="shared" ca="1" si="32"/>
        <v>0</v>
      </c>
      <c r="BK52" s="1940">
        <f t="shared" ca="1" si="32"/>
        <v>0</v>
      </c>
      <c r="BL52" s="1952">
        <f ca="1">SUM(AS52:BK52)</f>
        <v>0</v>
      </c>
      <c r="BM52" s="56"/>
      <c r="BN52" s="1941">
        <f ca="1">IFERROR(INDEX(INDIRECT($C52&amp;".Outputs["&amp;this.Year&amp;"]"), MATCH(BN$5, INDIRECT($C52&amp;".Outputs[Vector]"), 0)), 0)</f>
        <v>156.57012648971875</v>
      </c>
      <c r="BO52" s="1941">
        <f ca="1">IFERROR(INDEX(INDIRECT($C52&amp;".Outputs["&amp;this.Year&amp;"]"), MATCH(BO$5, INDIRECT($C52&amp;".Outputs[Vector]"), 0)), 0)</f>
        <v>5.7502948968922425</v>
      </c>
      <c r="BP52" s="1505">
        <f ca="1">BN52+BO52</f>
        <v>162.32042138661097</v>
      </c>
      <c r="BQ52" s="56"/>
      <c r="BR52" s="3168">
        <f ca="1">W52+AQ52+BL52+BP52</f>
        <v>0</v>
      </c>
      <c r="BS52" s="1579"/>
      <c r="BU52" s="1595"/>
      <c r="BV52" s="1595"/>
      <c r="BW52" s="1595"/>
      <c r="BX52" s="1595"/>
      <c r="BY52" s="1595"/>
      <c r="BZ52" s="1595"/>
      <c r="CA52" s="1595"/>
      <c r="CB52" s="1595"/>
      <c r="CC52" s="1595"/>
      <c r="CD52" s="1595"/>
      <c r="CE52" s="1595"/>
      <c r="CF52" s="1595"/>
      <c r="CG52" s="1595"/>
      <c r="CH52" s="1595"/>
      <c r="CI52" s="1595"/>
      <c r="CJ52" s="1595"/>
      <c r="CK52" s="1595"/>
      <c r="CL52" s="1595"/>
      <c r="CM52" s="1595"/>
      <c r="CN52" s="1595"/>
      <c r="CO52" s="1595"/>
      <c r="CP52" s="1595"/>
      <c r="CQ52" s="1595"/>
      <c r="CR52" s="1595"/>
      <c r="CS52" s="1595"/>
      <c r="CT52" s="1595"/>
      <c r="CU52" s="1595"/>
      <c r="CV52" s="1595"/>
      <c r="CW52" s="1595"/>
      <c r="CX52" s="1595"/>
      <c r="CY52" s="1595"/>
      <c r="CZ52" s="1595"/>
      <c r="DA52" s="1595"/>
      <c r="DB52" s="1595"/>
      <c r="DC52" s="1595"/>
      <c r="DD52" s="1595"/>
      <c r="DE52" s="1595"/>
      <c r="DF52" s="1595"/>
      <c r="DG52" s="1595"/>
      <c r="DH52" s="1595"/>
      <c r="DI52" s="1595"/>
      <c r="DJ52" s="1595"/>
      <c r="DK52" s="1595"/>
      <c r="DL52" s="1595"/>
      <c r="DN52" s="1878"/>
    </row>
    <row r="53" spans="1:118" s="1522" customFormat="1" ht="12.75" hidden="1" customHeight="1" outlineLevel="1" x14ac:dyDescent="0.2">
      <c r="E53" s="1497"/>
      <c r="F53" s="14"/>
      <c r="G53" s="1540"/>
      <c r="H53" s="1540"/>
      <c r="I53" s="1540"/>
      <c r="J53" s="1540"/>
      <c r="K53" s="1540"/>
      <c r="L53" s="1540"/>
      <c r="M53" s="1540"/>
      <c r="N53" s="1540"/>
      <c r="O53" s="1540"/>
      <c r="P53" s="1540"/>
      <c r="Q53" s="1540"/>
      <c r="R53" s="1540"/>
      <c r="S53" s="1540"/>
      <c r="T53" s="1540"/>
      <c r="U53" s="1540"/>
      <c r="V53" s="1540"/>
      <c r="W53" s="1527"/>
      <c r="X53" s="14"/>
      <c r="Y53" s="1541"/>
      <c r="Z53" s="1541"/>
      <c r="AA53" s="1541"/>
      <c r="AB53" s="1541"/>
      <c r="AC53" s="1541"/>
      <c r="AD53" s="1541"/>
      <c r="AE53" s="1541"/>
      <c r="AF53" s="1541"/>
      <c r="AG53" s="1541"/>
      <c r="AH53" s="1541"/>
      <c r="AI53" s="1541"/>
      <c r="AJ53" s="1541"/>
      <c r="AK53" s="1541"/>
      <c r="AL53" s="1541"/>
      <c r="AM53" s="1541"/>
      <c r="AN53" s="1541"/>
      <c r="AO53" s="1541"/>
      <c r="AP53" s="1541"/>
      <c r="AQ53" s="1953"/>
      <c r="AR53" s="14"/>
      <c r="AS53" s="1542"/>
      <c r="AT53" s="1542"/>
      <c r="AU53" s="1542"/>
      <c r="AV53" s="1542"/>
      <c r="AW53" s="1542"/>
      <c r="AX53" s="1542"/>
      <c r="AY53" s="1542"/>
      <c r="AZ53" s="1542"/>
      <c r="BA53" s="1542"/>
      <c r="BB53" s="1542"/>
      <c r="BC53" s="1542"/>
      <c r="BD53" s="1542"/>
      <c r="BE53" s="1542"/>
      <c r="BF53" s="1542"/>
      <c r="BG53" s="1542"/>
      <c r="BH53" s="1542"/>
      <c r="BI53" s="1542"/>
      <c r="BJ53" s="1542"/>
      <c r="BK53" s="1542"/>
      <c r="BL53" s="1530"/>
      <c r="BM53" s="14"/>
      <c r="BN53" s="1543"/>
      <c r="BO53" s="1543"/>
      <c r="BP53" s="1531"/>
      <c r="BQ53" s="14"/>
      <c r="BR53" s="3168">
        <f>W53+AQ53+BL53+BP53</f>
        <v>0</v>
      </c>
      <c r="BS53" s="1525"/>
      <c r="BT53" s="748"/>
      <c r="BU53" s="1532">
        <v>198.26548259420858</v>
      </c>
      <c r="BV53" s="1533">
        <v>0.5182280295123709</v>
      </c>
      <c r="BW53" s="1533">
        <v>1.345630535228558</v>
      </c>
      <c r="BX53" s="1533">
        <v>0</v>
      </c>
      <c r="BY53" s="1533">
        <v>0</v>
      </c>
      <c r="BZ53" s="1533">
        <v>0</v>
      </c>
      <c r="CA53" s="1533">
        <v>0</v>
      </c>
      <c r="CB53" s="1533">
        <v>0</v>
      </c>
      <c r="CC53" s="1533">
        <v>0</v>
      </c>
      <c r="CD53" s="1533">
        <v>0</v>
      </c>
      <c r="CE53" s="1533">
        <v>0</v>
      </c>
      <c r="CF53" s="1533">
        <v>0</v>
      </c>
      <c r="CG53" s="1533">
        <v>0</v>
      </c>
      <c r="CH53" s="1533">
        <v>0</v>
      </c>
      <c r="CI53" s="1533">
        <v>0</v>
      </c>
      <c r="CJ53" s="1533">
        <v>0</v>
      </c>
      <c r="CK53" s="1533">
        <v>0</v>
      </c>
      <c r="CL53" s="1533">
        <v>0</v>
      </c>
      <c r="CM53" s="1533">
        <v>0</v>
      </c>
      <c r="CN53" s="1533">
        <v>0</v>
      </c>
      <c r="CO53" s="1533">
        <v>0</v>
      </c>
      <c r="CP53" s="1533">
        <v>0</v>
      </c>
      <c r="CQ53" s="1533">
        <v>0</v>
      </c>
      <c r="CR53" s="1533">
        <v>0</v>
      </c>
      <c r="CS53" s="1533">
        <v>0</v>
      </c>
      <c r="CT53" s="1533">
        <v>0</v>
      </c>
      <c r="CU53" s="1533">
        <v>0</v>
      </c>
      <c r="CV53" s="1533">
        <v>0</v>
      </c>
      <c r="CW53" s="1533">
        <v>0</v>
      </c>
      <c r="CX53" s="1533">
        <v>0</v>
      </c>
      <c r="CY53" s="1533">
        <v>0</v>
      </c>
      <c r="CZ53" s="1533">
        <v>0</v>
      </c>
      <c r="DA53" s="1533">
        <v>0</v>
      </c>
      <c r="DB53" s="1533">
        <v>0</v>
      </c>
      <c r="DC53" s="1533">
        <v>0</v>
      </c>
      <c r="DD53" s="1533">
        <v>0</v>
      </c>
      <c r="DE53" s="1533">
        <v>0</v>
      </c>
      <c r="DF53" s="1533">
        <v>0</v>
      </c>
      <c r="DG53" s="1533">
        <v>0</v>
      </c>
      <c r="DH53" s="1533">
        <v>0</v>
      </c>
      <c r="DI53" s="1533">
        <v>0</v>
      </c>
      <c r="DJ53" s="1533">
        <v>0</v>
      </c>
      <c r="DK53" s="1533">
        <v>0</v>
      </c>
      <c r="DL53" s="1533">
        <v>0</v>
      </c>
      <c r="DN53" s="1509">
        <v>200.1293411589495</v>
      </c>
    </row>
    <row r="54" spans="1:118" s="14" customFormat="1" ht="15.75" collapsed="1" x14ac:dyDescent="0.2">
      <c r="A54" s="1534"/>
      <c r="B54" s="1535"/>
      <c r="C54" s="1536" t="s">
        <v>322</v>
      </c>
      <c r="D54" s="1537" t="str">
        <f>INDEX(Flujos[Flujos], MATCH($C54, Flujos[Código], 0))</f>
        <v>Generación por Termoelectricidad</v>
      </c>
      <c r="E54" s="1538"/>
      <c r="G54" s="1539"/>
      <c r="H54" s="1539"/>
      <c r="I54" s="1539"/>
      <c r="J54" s="1539"/>
      <c r="K54" s="1539"/>
      <c r="L54" s="1539"/>
      <c r="M54" s="1539"/>
      <c r="N54" s="1539"/>
      <c r="O54" s="1539"/>
      <c r="P54" s="1539"/>
      <c r="Q54" s="1539"/>
      <c r="R54" s="1539"/>
      <c r="S54" s="1539"/>
      <c r="T54" s="1539"/>
      <c r="U54" s="1539"/>
      <c r="V54" s="1539"/>
      <c r="W54" s="1539"/>
      <c r="Y54" s="1490">
        <f ca="1">Y52</f>
        <v>0</v>
      </c>
      <c r="Z54" s="1490">
        <f t="shared" ref="Z54:AP54" ca="1" si="33">Z52</f>
        <v>115.00589793784486</v>
      </c>
      <c r="AA54" s="1490">
        <f t="shared" ca="1" si="33"/>
        <v>-161.7403455386266</v>
      </c>
      <c r="AB54" s="1490">
        <f t="shared" ca="1" si="33"/>
        <v>-20.217543192328328</v>
      </c>
      <c r="AC54" s="1490">
        <f t="shared" ca="1" si="33"/>
        <v>-92.423054593500922</v>
      </c>
      <c r="AD54" s="1490">
        <f t="shared" ca="1" si="33"/>
        <v>0</v>
      </c>
      <c r="AE54" s="1490">
        <f t="shared" ca="1" si="33"/>
        <v>0</v>
      </c>
      <c r="AF54" s="1490">
        <f t="shared" ca="1" si="33"/>
        <v>0</v>
      </c>
      <c r="AG54" s="1490">
        <f t="shared" ca="1" si="33"/>
        <v>0</v>
      </c>
      <c r="AH54" s="1490">
        <f t="shared" ca="1" si="33"/>
        <v>0</v>
      </c>
      <c r="AI54" s="1490">
        <f t="shared" ca="1" si="33"/>
        <v>0</v>
      </c>
      <c r="AJ54" s="1490">
        <f t="shared" ca="1" si="33"/>
        <v>0</v>
      </c>
      <c r="AK54" s="1490">
        <f t="shared" ca="1" si="33"/>
        <v>0</v>
      </c>
      <c r="AL54" s="1490">
        <f t="shared" ca="1" si="33"/>
        <v>-2.9453760000000004</v>
      </c>
      <c r="AM54" s="1490">
        <f t="shared" ca="1" si="33"/>
        <v>0</v>
      </c>
      <c r="AN54" s="1490">
        <f t="shared" ca="1" si="33"/>
        <v>0</v>
      </c>
      <c r="AO54" s="1490">
        <f t="shared" ca="1" si="33"/>
        <v>0</v>
      </c>
      <c r="AP54" s="1490">
        <f t="shared" ca="1" si="33"/>
        <v>0</v>
      </c>
      <c r="AQ54" s="2608">
        <f ca="1">SUM(Y54:AP54)</f>
        <v>-162.320421386611</v>
      </c>
      <c r="AS54" s="1491">
        <f ca="1">AS52</f>
        <v>0</v>
      </c>
      <c r="AT54" s="1491">
        <f t="shared" ref="AT54:BK54" ca="1" si="34">AT52</f>
        <v>0</v>
      </c>
      <c r="AU54" s="1491">
        <f t="shared" ca="1" si="34"/>
        <v>0</v>
      </c>
      <c r="AV54" s="1491">
        <f t="shared" ca="1" si="34"/>
        <v>0</v>
      </c>
      <c r="AW54" s="1491">
        <f t="shared" ca="1" si="34"/>
        <v>0</v>
      </c>
      <c r="AX54" s="1491">
        <f t="shared" ca="1" si="34"/>
        <v>0</v>
      </c>
      <c r="AY54" s="1491">
        <f t="shared" ca="1" si="34"/>
        <v>0</v>
      </c>
      <c r="AZ54" s="1491">
        <f t="shared" ca="1" si="34"/>
        <v>0</v>
      </c>
      <c r="BA54" s="1491">
        <f t="shared" ca="1" si="34"/>
        <v>0</v>
      </c>
      <c r="BB54" s="1491">
        <f t="shared" ca="1" si="34"/>
        <v>0</v>
      </c>
      <c r="BC54" s="1491">
        <f t="shared" ca="1" si="34"/>
        <v>0</v>
      </c>
      <c r="BD54" s="1491">
        <f t="shared" ca="1" si="34"/>
        <v>0</v>
      </c>
      <c r="BE54" s="1491">
        <f t="shared" ca="1" si="34"/>
        <v>0</v>
      </c>
      <c r="BF54" s="1491">
        <f t="shared" ca="1" si="34"/>
        <v>0</v>
      </c>
      <c r="BG54" s="1491">
        <f t="shared" ca="1" si="34"/>
        <v>0</v>
      </c>
      <c r="BH54" s="1491">
        <f t="shared" ca="1" si="34"/>
        <v>0</v>
      </c>
      <c r="BI54" s="1491">
        <f t="shared" ca="1" si="34"/>
        <v>0</v>
      </c>
      <c r="BJ54" s="1491">
        <f t="shared" ca="1" si="34"/>
        <v>0</v>
      </c>
      <c r="BK54" s="1491">
        <f t="shared" ca="1" si="34"/>
        <v>0</v>
      </c>
      <c r="BL54" s="1952">
        <f ca="1">SUM(AS54:BK54)</f>
        <v>0</v>
      </c>
      <c r="BN54" s="1492">
        <f ca="1">BN52</f>
        <v>156.57012648971875</v>
      </c>
      <c r="BO54" s="1492">
        <f ca="1">BO52</f>
        <v>5.7502948968922425</v>
      </c>
      <c r="BP54" s="2615">
        <f ca="1">BN54+BO54</f>
        <v>162.32042138661097</v>
      </c>
      <c r="BR54" s="3168">
        <f ca="1">W54+AQ54+BL54+BP54</f>
        <v>0</v>
      </c>
      <c r="BS54" s="1493"/>
      <c r="BT54" s="748"/>
      <c r="BU54" s="1508">
        <v>198.26548259420858</v>
      </c>
      <c r="BV54" s="1508">
        <v>0.5182280295123709</v>
      </c>
      <c r="BW54" s="1508">
        <v>1.345630535228558</v>
      </c>
      <c r="BX54" s="1508">
        <v>0</v>
      </c>
      <c r="BY54" s="1508">
        <v>0</v>
      </c>
      <c r="BZ54" s="1508">
        <v>0</v>
      </c>
      <c r="CA54" s="1508">
        <v>0</v>
      </c>
      <c r="CB54" s="1508">
        <v>0</v>
      </c>
      <c r="CC54" s="1508">
        <v>0</v>
      </c>
      <c r="CD54" s="1508">
        <v>0</v>
      </c>
      <c r="CE54" s="1508">
        <v>0</v>
      </c>
      <c r="CF54" s="1508">
        <v>0</v>
      </c>
      <c r="CG54" s="1508">
        <v>0</v>
      </c>
      <c r="CH54" s="1508">
        <v>0</v>
      </c>
      <c r="CI54" s="1508">
        <v>0</v>
      </c>
      <c r="CJ54" s="1508">
        <v>0</v>
      </c>
      <c r="CK54" s="1508">
        <v>0</v>
      </c>
      <c r="CL54" s="1508">
        <v>0</v>
      </c>
      <c r="CM54" s="1508">
        <v>0</v>
      </c>
      <c r="CN54" s="1508">
        <v>0</v>
      </c>
      <c r="CO54" s="1508">
        <v>0</v>
      </c>
      <c r="CP54" s="1508">
        <v>0</v>
      </c>
      <c r="CQ54" s="1508">
        <v>0</v>
      </c>
      <c r="CR54" s="1508">
        <v>0</v>
      </c>
      <c r="CS54" s="1508">
        <v>0</v>
      </c>
      <c r="CT54" s="1508">
        <v>0</v>
      </c>
      <c r="CU54" s="1508">
        <v>0</v>
      </c>
      <c r="CV54" s="1508">
        <v>0</v>
      </c>
      <c r="CW54" s="1508">
        <v>0</v>
      </c>
      <c r="CX54" s="1508">
        <v>0</v>
      </c>
      <c r="CY54" s="1508">
        <v>0</v>
      </c>
      <c r="CZ54" s="1508">
        <v>0</v>
      </c>
      <c r="DA54" s="1508">
        <v>0</v>
      </c>
      <c r="DB54" s="1508">
        <v>0</v>
      </c>
      <c r="DC54" s="1508">
        <v>0</v>
      </c>
      <c r="DD54" s="1508">
        <v>0</v>
      </c>
      <c r="DE54" s="1508">
        <v>0</v>
      </c>
      <c r="DF54" s="1508">
        <v>0</v>
      </c>
      <c r="DG54" s="1508">
        <v>0</v>
      </c>
      <c r="DH54" s="1508">
        <v>0</v>
      </c>
      <c r="DI54" s="1508">
        <v>0</v>
      </c>
      <c r="DJ54" s="1508">
        <v>0</v>
      </c>
      <c r="DK54" s="1508">
        <v>0</v>
      </c>
      <c r="DL54" s="1508">
        <v>0</v>
      </c>
      <c r="DN54" s="1509">
        <v>200.1293411589495</v>
      </c>
    </row>
    <row r="55" spans="1:118" s="14" customFormat="1" ht="15.75" x14ac:dyDescent="0.2">
      <c r="A55" s="1534"/>
      <c r="B55" s="1535"/>
      <c r="C55" s="1536"/>
      <c r="D55" s="1537"/>
      <c r="E55" s="1538"/>
      <c r="G55" s="1539"/>
      <c r="H55" s="1539"/>
      <c r="I55" s="1539"/>
      <c r="J55" s="1539"/>
      <c r="K55" s="1539"/>
      <c r="L55" s="1539"/>
      <c r="M55" s="1539"/>
      <c r="N55" s="1539"/>
      <c r="O55" s="1539"/>
      <c r="P55" s="1539"/>
      <c r="Q55" s="1539"/>
      <c r="R55" s="1539"/>
      <c r="S55" s="1539"/>
      <c r="T55" s="1539"/>
      <c r="U55" s="1539"/>
      <c r="V55" s="1539"/>
      <c r="W55" s="1539"/>
      <c r="Y55" s="1490"/>
      <c r="Z55" s="1490"/>
      <c r="AA55" s="1490"/>
      <c r="AB55" s="1490"/>
      <c r="AC55" s="1490"/>
      <c r="AD55" s="1490"/>
      <c r="AE55" s="1490"/>
      <c r="AF55" s="1490"/>
      <c r="AG55" s="1490"/>
      <c r="AH55" s="1490"/>
      <c r="AI55" s="1490"/>
      <c r="AJ55" s="1490"/>
      <c r="AK55" s="1490"/>
      <c r="AL55" s="1490"/>
      <c r="AM55" s="1490"/>
      <c r="AN55" s="1490"/>
      <c r="AO55" s="1490"/>
      <c r="AP55" s="1490"/>
      <c r="AQ55" s="1893"/>
      <c r="AS55" s="1491"/>
      <c r="AT55" s="1491"/>
      <c r="AU55" s="1491"/>
      <c r="AV55" s="1491"/>
      <c r="AW55" s="1491"/>
      <c r="AX55" s="1491"/>
      <c r="AY55" s="1491"/>
      <c r="AZ55" s="1491"/>
      <c r="BA55" s="1491"/>
      <c r="BB55" s="1491"/>
      <c r="BC55" s="1491"/>
      <c r="BD55" s="1491"/>
      <c r="BE55" s="1491"/>
      <c r="BF55" s="1491"/>
      <c r="BG55" s="1491"/>
      <c r="BH55" s="1491"/>
      <c r="BI55" s="1491"/>
      <c r="BJ55" s="1491"/>
      <c r="BK55" s="1491"/>
      <c r="BL55" s="1491"/>
      <c r="BN55" s="1492"/>
      <c r="BO55" s="1492"/>
      <c r="BP55" s="1492"/>
      <c r="BR55" s="3168"/>
      <c r="BS55" s="1493"/>
      <c r="BT55" s="748"/>
      <c r="BU55" s="1508"/>
      <c r="BV55" s="1508"/>
      <c r="BW55" s="1508"/>
      <c r="BX55" s="1508"/>
      <c r="BY55" s="1508"/>
      <c r="BZ55" s="1508"/>
      <c r="CA55" s="1508"/>
      <c r="CB55" s="1508"/>
      <c r="CC55" s="1508"/>
      <c r="CD55" s="1508"/>
      <c r="CE55" s="1508"/>
      <c r="CF55" s="1508"/>
      <c r="CG55" s="1508"/>
      <c r="CH55" s="1508"/>
      <c r="CI55" s="1508"/>
      <c r="CJ55" s="1508"/>
      <c r="CK55" s="1508"/>
      <c r="CL55" s="1508"/>
      <c r="CM55" s="1508"/>
      <c r="CN55" s="1508"/>
      <c r="CO55" s="1508"/>
      <c r="CP55" s="1508"/>
      <c r="CQ55" s="1508"/>
      <c r="CR55" s="1508"/>
      <c r="CS55" s="1508"/>
      <c r="CT55" s="1508"/>
      <c r="CU55" s="1508"/>
      <c r="CV55" s="1508"/>
      <c r="CW55" s="1508"/>
      <c r="CX55" s="1508"/>
      <c r="CY55" s="1508"/>
      <c r="CZ55" s="1508"/>
      <c r="DA55" s="1508"/>
      <c r="DB55" s="1508"/>
      <c r="DC55" s="1508"/>
      <c r="DD55" s="1508"/>
      <c r="DE55" s="1508"/>
      <c r="DF55" s="1508"/>
      <c r="DG55" s="1508"/>
      <c r="DH55" s="1508"/>
      <c r="DI55" s="1508"/>
      <c r="DJ55" s="1508"/>
      <c r="DK55" s="1508"/>
      <c r="DL55" s="1508"/>
      <c r="DN55" s="1509"/>
    </row>
    <row r="56" spans="1:118" s="14" customFormat="1" ht="12.75" hidden="1" customHeight="1" outlineLevel="1" x14ac:dyDescent="0.2">
      <c r="A56" s="1534"/>
      <c r="B56" s="1534"/>
      <c r="C56" s="1544"/>
      <c r="D56" s="1538"/>
      <c r="E56" s="1538"/>
      <c r="G56" s="1488"/>
      <c r="H56" s="1488"/>
      <c r="I56" s="1488"/>
      <c r="J56" s="1488"/>
      <c r="K56" s="1488"/>
      <c r="L56" s="1488"/>
      <c r="M56" s="1488"/>
      <c r="N56" s="1488"/>
      <c r="O56" s="1563"/>
      <c r="P56" s="1488"/>
      <c r="Q56" s="1488"/>
      <c r="R56" s="1488"/>
      <c r="S56" s="1488"/>
      <c r="T56" s="1488"/>
      <c r="U56" s="1488"/>
      <c r="V56" s="1488"/>
      <c r="W56" s="1488"/>
      <c r="Y56" s="1490"/>
      <c r="Z56" s="1490"/>
      <c r="AA56" s="1490"/>
      <c r="AB56" s="1490"/>
      <c r="AC56" s="1490"/>
      <c r="AD56" s="1490"/>
      <c r="AE56" s="1490"/>
      <c r="AF56" s="1490"/>
      <c r="AG56" s="1490"/>
      <c r="AH56" s="1490"/>
      <c r="AI56" s="1490"/>
      <c r="AJ56" s="1490"/>
      <c r="AK56" s="1490"/>
      <c r="AL56" s="1490"/>
      <c r="AM56" s="1490"/>
      <c r="AN56" s="1490"/>
      <c r="AO56" s="1490"/>
      <c r="AP56" s="1490"/>
      <c r="AQ56" s="1893"/>
      <c r="AS56" s="1491"/>
      <c r="AT56" s="1491"/>
      <c r="AU56" s="1491"/>
      <c r="AV56" s="1491"/>
      <c r="AW56" s="1491"/>
      <c r="AX56" s="1491"/>
      <c r="AY56" s="1491"/>
      <c r="AZ56" s="1491"/>
      <c r="BA56" s="1491"/>
      <c r="BB56" s="1491"/>
      <c r="BC56" s="1491"/>
      <c r="BD56" s="1491"/>
      <c r="BE56" s="1491"/>
      <c r="BF56" s="1491"/>
      <c r="BG56" s="1491"/>
      <c r="BH56" s="1491"/>
      <c r="BI56" s="1491"/>
      <c r="BJ56" s="1491"/>
      <c r="BK56" s="1491"/>
      <c r="BL56" s="1491"/>
      <c r="BN56" s="1492"/>
      <c r="BO56" s="1492"/>
      <c r="BP56" s="1492"/>
      <c r="BR56" s="3168">
        <f>W56+AQ56+BL56+BP56</f>
        <v>0</v>
      </c>
      <c r="BS56" s="1493"/>
      <c r="BT56" s="1534"/>
      <c r="BU56" s="1508"/>
      <c r="BV56" s="1508"/>
      <c r="BW56" s="1508"/>
      <c r="BX56" s="1508"/>
      <c r="BY56" s="1508"/>
      <c r="BZ56" s="1508"/>
      <c r="CA56" s="1508"/>
      <c r="CB56" s="1508"/>
      <c r="CC56" s="1508"/>
      <c r="CD56" s="1508"/>
      <c r="CE56" s="1508"/>
      <c r="CF56" s="1508"/>
      <c r="CG56" s="1508"/>
      <c r="CH56" s="1508"/>
      <c r="CI56" s="1508"/>
      <c r="CJ56" s="1508"/>
      <c r="CK56" s="1508"/>
      <c r="CL56" s="1508"/>
      <c r="CM56" s="1508"/>
      <c r="CN56" s="1508"/>
      <c r="CO56" s="1508"/>
      <c r="CP56" s="1508"/>
      <c r="CQ56" s="1508"/>
      <c r="CR56" s="1508"/>
      <c r="CS56" s="1508"/>
      <c r="CT56" s="1508"/>
      <c r="CU56" s="1508"/>
      <c r="CV56" s="1508"/>
      <c r="CW56" s="1508"/>
      <c r="CX56" s="1508"/>
      <c r="CY56" s="1508"/>
      <c r="CZ56" s="1508"/>
      <c r="DA56" s="1508"/>
      <c r="DB56" s="1508"/>
      <c r="DC56" s="1508"/>
      <c r="DD56" s="1508"/>
      <c r="DE56" s="1508"/>
      <c r="DF56" s="1508"/>
      <c r="DG56" s="1508"/>
      <c r="DH56" s="1508"/>
      <c r="DI56" s="1508"/>
      <c r="DJ56" s="1508"/>
      <c r="DK56" s="1508"/>
      <c r="DL56" s="1508"/>
      <c r="DN56" s="1509">
        <v>0</v>
      </c>
    </row>
    <row r="57" spans="1:118" s="1578" customFormat="1" ht="12.75" hidden="1" customHeight="1" outlineLevel="1" x14ac:dyDescent="0.2">
      <c r="C57" s="1496" t="s">
        <v>50</v>
      </c>
      <c r="D57" s="14" t="e">
        <f>INDEX(Modulos[Modulos], MATCH($C57, Modulos[Código], 0))</f>
        <v>#N/A</v>
      </c>
      <c r="E57" s="1592"/>
      <c r="F57" s="14"/>
      <c r="G57" s="1593"/>
      <c r="H57" s="1593"/>
      <c r="I57" s="1593"/>
      <c r="J57" s="1593"/>
      <c r="K57" s="1593"/>
      <c r="L57" s="1593"/>
      <c r="M57" s="1593"/>
      <c r="N57" s="1593"/>
      <c r="O57" s="1594"/>
      <c r="P57" s="1593"/>
      <c r="Q57" s="1593"/>
      <c r="R57" s="1593"/>
      <c r="S57" s="1593"/>
      <c r="T57" s="1593"/>
      <c r="U57" s="1593"/>
      <c r="V57" s="1593"/>
      <c r="W57" s="1593"/>
      <c r="X57" s="14"/>
      <c r="Y57" s="1490">
        <f t="shared" ref="Y57:AP57" ca="1" si="35">IFERROR(INDEX(INDIRECT($C57&amp;".Outputs["&amp;this.Year&amp;"]"), MATCH(Y$5, INDIRECT($C57&amp;".Outputs[Vector]"), 0)), 0)</f>
        <v>0</v>
      </c>
      <c r="Z57" s="1490">
        <f t="shared" ca="1" si="35"/>
        <v>0</v>
      </c>
      <c r="AA57" s="1490">
        <f t="shared" ca="1" si="35"/>
        <v>0</v>
      </c>
      <c r="AB57" s="1490">
        <f t="shared" ca="1" si="35"/>
        <v>0</v>
      </c>
      <c r="AC57" s="1490">
        <f t="shared" ca="1" si="35"/>
        <v>0</v>
      </c>
      <c r="AD57" s="1490">
        <f t="shared" ca="1" si="35"/>
        <v>0</v>
      </c>
      <c r="AE57" s="1490">
        <f t="shared" ca="1" si="35"/>
        <v>0</v>
      </c>
      <c r="AF57" s="1490">
        <f t="shared" ca="1" si="35"/>
        <v>0</v>
      </c>
      <c r="AG57" s="1490">
        <f t="shared" ca="1" si="35"/>
        <v>0</v>
      </c>
      <c r="AH57" s="1490">
        <f t="shared" ca="1" si="35"/>
        <v>0</v>
      </c>
      <c r="AI57" s="1490">
        <f t="shared" ca="1" si="35"/>
        <v>0</v>
      </c>
      <c r="AJ57" s="1490">
        <f t="shared" ca="1" si="35"/>
        <v>0</v>
      </c>
      <c r="AK57" s="1490">
        <f t="shared" ca="1" si="35"/>
        <v>0</v>
      </c>
      <c r="AL57" s="1490">
        <f t="shared" ca="1" si="35"/>
        <v>0</v>
      </c>
      <c r="AM57" s="1490">
        <f t="shared" ca="1" si="35"/>
        <v>0</v>
      </c>
      <c r="AN57" s="1490">
        <f t="shared" ca="1" si="35"/>
        <v>0</v>
      </c>
      <c r="AO57" s="1490">
        <f t="shared" ca="1" si="35"/>
        <v>0</v>
      </c>
      <c r="AP57" s="1490">
        <f t="shared" ca="1" si="35"/>
        <v>0</v>
      </c>
      <c r="AQ57" s="1893">
        <f ca="1">SUM(Y57:AP57)</f>
        <v>0</v>
      </c>
      <c r="AR57" s="14"/>
      <c r="AS57" s="1940">
        <f t="shared" ref="AS57:BK57" ca="1" si="36">IFERROR(INDEX(INDIRECT($C57&amp;".Outputs["&amp;this.Year&amp;"]"), MATCH(AS$5, INDIRECT($C57&amp;".Outputs[Vector]"), 0)), 0)</f>
        <v>0</v>
      </c>
      <c r="AT57" s="1940">
        <f t="shared" ca="1" si="36"/>
        <v>0</v>
      </c>
      <c r="AU57" s="1940">
        <f t="shared" ca="1" si="36"/>
        <v>0</v>
      </c>
      <c r="AV57" s="1940">
        <f t="shared" ca="1" si="36"/>
        <v>0</v>
      </c>
      <c r="AW57" s="1940">
        <f t="shared" ca="1" si="36"/>
        <v>0</v>
      </c>
      <c r="AX57" s="1940">
        <f t="shared" ca="1" si="36"/>
        <v>0</v>
      </c>
      <c r="AY57" s="1940">
        <f t="shared" ca="1" si="36"/>
        <v>0</v>
      </c>
      <c r="AZ57" s="1940">
        <f t="shared" ca="1" si="36"/>
        <v>0</v>
      </c>
      <c r="BA57" s="1940">
        <f t="shared" ca="1" si="36"/>
        <v>0</v>
      </c>
      <c r="BB57" s="1940">
        <f t="shared" ca="1" si="36"/>
        <v>0</v>
      </c>
      <c r="BC57" s="1940">
        <f t="shared" ca="1" si="36"/>
        <v>0</v>
      </c>
      <c r="BD57" s="1940">
        <f t="shared" ca="1" si="36"/>
        <v>0</v>
      </c>
      <c r="BE57" s="1940">
        <f t="shared" ca="1" si="36"/>
        <v>0</v>
      </c>
      <c r="BF57" s="1940">
        <f t="shared" ca="1" si="36"/>
        <v>0</v>
      </c>
      <c r="BG57" s="1940">
        <f t="shared" ca="1" si="36"/>
        <v>0</v>
      </c>
      <c r="BH57" s="1940">
        <f t="shared" ca="1" si="36"/>
        <v>0</v>
      </c>
      <c r="BI57" s="1940">
        <f t="shared" ca="1" si="36"/>
        <v>0</v>
      </c>
      <c r="BJ57" s="1940">
        <f t="shared" ca="1" si="36"/>
        <v>0</v>
      </c>
      <c r="BK57" s="1940">
        <f t="shared" ca="1" si="36"/>
        <v>0</v>
      </c>
      <c r="BL57" s="1952">
        <f ca="1">SUM(AS57:BK57)</f>
        <v>0</v>
      </c>
      <c r="BM57" s="14"/>
      <c r="BN57" s="1941">
        <f ca="1">IFERROR(INDEX(INDIRECT($C57&amp;".Outputs["&amp;this.Year&amp;"]"), MATCH(BN$5, INDIRECT($C57&amp;".Outputs[Vector]"), 0)), 0)</f>
        <v>0</v>
      </c>
      <c r="BO57" s="1941">
        <f ca="1">IFERROR(INDEX(INDIRECT($C57&amp;".Outputs["&amp;this.Year&amp;"]"), MATCH(BO$5, INDIRECT($C57&amp;".Outputs[Vector]"), 0)), 0)</f>
        <v>0</v>
      </c>
      <c r="BP57" s="1505">
        <f ca="1">BN57+BO57</f>
        <v>0</v>
      </c>
      <c r="BQ57" s="14"/>
      <c r="BR57" s="3168">
        <f ca="1">W57+AQ57+BL57+BP57</f>
        <v>0</v>
      </c>
      <c r="BS57" s="1579"/>
      <c r="BU57" s="1595"/>
      <c r="BV57" s="1595"/>
      <c r="BW57" s="1595"/>
      <c r="BX57" s="1595"/>
      <c r="BY57" s="1595"/>
      <c r="BZ57" s="1595"/>
      <c r="CA57" s="1595"/>
      <c r="CB57" s="1595"/>
      <c r="CC57" s="1595"/>
      <c r="CD57" s="1595"/>
      <c r="CE57" s="1595"/>
      <c r="CF57" s="1595"/>
      <c r="CG57" s="1595"/>
      <c r="CH57" s="1595"/>
      <c r="CI57" s="1595"/>
      <c r="CJ57" s="1595"/>
      <c r="CK57" s="1595"/>
      <c r="CL57" s="1595"/>
      <c r="CM57" s="1595"/>
      <c r="CN57" s="1595"/>
      <c r="CO57" s="1595"/>
      <c r="CP57" s="1595"/>
      <c r="CQ57" s="1595"/>
      <c r="CR57" s="1595"/>
      <c r="CS57" s="1595"/>
      <c r="CT57" s="1595"/>
      <c r="CU57" s="1595"/>
      <c r="CV57" s="1595"/>
      <c r="CW57" s="1595"/>
      <c r="CX57" s="1595"/>
      <c r="CY57" s="1595"/>
      <c r="CZ57" s="1595"/>
      <c r="DA57" s="1595"/>
      <c r="DB57" s="1595"/>
      <c r="DC57" s="1595"/>
      <c r="DD57" s="1595"/>
      <c r="DE57" s="1595"/>
      <c r="DF57" s="1595"/>
      <c r="DG57" s="1595"/>
      <c r="DH57" s="1595"/>
      <c r="DI57" s="1595"/>
      <c r="DJ57" s="1595"/>
      <c r="DK57" s="1595"/>
      <c r="DL57" s="1595"/>
      <c r="DN57" s="1509">
        <v>0</v>
      </c>
    </row>
    <row r="58" spans="1:118" s="1522" customFormat="1" ht="12.75" hidden="1" customHeight="1" outlineLevel="1" x14ac:dyDescent="0.2">
      <c r="E58" s="1526"/>
      <c r="F58" s="14"/>
      <c r="G58" s="1540"/>
      <c r="H58" s="1540"/>
      <c r="I58" s="1540"/>
      <c r="J58" s="1540"/>
      <c r="K58" s="1540"/>
      <c r="L58" s="1540"/>
      <c r="M58" s="1540"/>
      <c r="N58" s="1540"/>
      <c r="O58" s="1540"/>
      <c r="P58" s="1540"/>
      <c r="Q58" s="1540"/>
      <c r="R58" s="1540"/>
      <c r="S58" s="1540"/>
      <c r="T58" s="1540"/>
      <c r="U58" s="1540"/>
      <c r="V58" s="1540"/>
      <c r="W58" s="1527"/>
      <c r="X58" s="14"/>
      <c r="Y58" s="1541"/>
      <c r="Z58" s="1541"/>
      <c r="AA58" s="1541"/>
      <c r="AB58" s="1541"/>
      <c r="AC58" s="1541"/>
      <c r="AD58" s="1541"/>
      <c r="AE58" s="1541"/>
      <c r="AF58" s="1541"/>
      <c r="AG58" s="1541"/>
      <c r="AH58" s="1541"/>
      <c r="AI58" s="1541"/>
      <c r="AJ58" s="1541"/>
      <c r="AK58" s="1541"/>
      <c r="AL58" s="1541"/>
      <c r="AM58" s="1541"/>
      <c r="AN58" s="1541"/>
      <c r="AO58" s="1541"/>
      <c r="AP58" s="1541"/>
      <c r="AQ58" s="1953"/>
      <c r="AR58" s="14"/>
      <c r="AS58" s="1542"/>
      <c r="AT58" s="1542"/>
      <c r="AU58" s="1542"/>
      <c r="AV58" s="1542"/>
      <c r="AW58" s="1542"/>
      <c r="AX58" s="1542"/>
      <c r="AY58" s="1542"/>
      <c r="AZ58" s="1542"/>
      <c r="BA58" s="1542"/>
      <c r="BB58" s="1542"/>
      <c r="BC58" s="1542"/>
      <c r="BD58" s="1542"/>
      <c r="BE58" s="1542"/>
      <c r="BF58" s="1542"/>
      <c r="BG58" s="1542"/>
      <c r="BH58" s="1542"/>
      <c r="BI58" s="1542"/>
      <c r="BJ58" s="1542"/>
      <c r="BK58" s="1542"/>
      <c r="BL58" s="1530"/>
      <c r="BM58" s="14"/>
      <c r="BN58" s="1543"/>
      <c r="BO58" s="1543"/>
      <c r="BP58" s="1531"/>
      <c r="BQ58" s="14"/>
      <c r="BR58" s="3168">
        <f>W58+AQ58+BL58+BP58</f>
        <v>0</v>
      </c>
      <c r="BS58" s="1525"/>
      <c r="BT58" s="748"/>
      <c r="BU58" s="1532">
        <v>0</v>
      </c>
      <c r="BV58" s="1533">
        <v>0</v>
      </c>
      <c r="BW58" s="1533">
        <v>0</v>
      </c>
      <c r="BX58" s="1533">
        <v>0</v>
      </c>
      <c r="BY58" s="1533">
        <v>0</v>
      </c>
      <c r="BZ58" s="1533">
        <v>0</v>
      </c>
      <c r="CA58" s="1533">
        <v>0</v>
      </c>
      <c r="CB58" s="1533">
        <v>0</v>
      </c>
      <c r="CC58" s="1533">
        <v>0</v>
      </c>
      <c r="CD58" s="1533">
        <v>0</v>
      </c>
      <c r="CE58" s="1533">
        <v>0</v>
      </c>
      <c r="CF58" s="1533">
        <v>0</v>
      </c>
      <c r="CG58" s="1533">
        <v>0</v>
      </c>
      <c r="CH58" s="1533">
        <v>0</v>
      </c>
      <c r="CI58" s="1533">
        <v>0</v>
      </c>
      <c r="CJ58" s="1533">
        <v>0</v>
      </c>
      <c r="CK58" s="1533">
        <v>0</v>
      </c>
      <c r="CL58" s="1533">
        <v>0</v>
      </c>
      <c r="CM58" s="1533">
        <v>0</v>
      </c>
      <c r="CN58" s="1533">
        <v>0</v>
      </c>
      <c r="CO58" s="1533">
        <v>0</v>
      </c>
      <c r="CP58" s="1533">
        <v>0</v>
      </c>
      <c r="CQ58" s="1533">
        <v>0</v>
      </c>
      <c r="CR58" s="1533">
        <v>0</v>
      </c>
      <c r="CS58" s="1533">
        <v>0</v>
      </c>
      <c r="CT58" s="1533">
        <v>0</v>
      </c>
      <c r="CU58" s="1533">
        <v>0</v>
      </c>
      <c r="CV58" s="1533">
        <v>0</v>
      </c>
      <c r="CW58" s="1533">
        <v>0</v>
      </c>
      <c r="CX58" s="1533">
        <v>0</v>
      </c>
      <c r="CY58" s="1533">
        <v>0</v>
      </c>
      <c r="CZ58" s="1533">
        <v>0</v>
      </c>
      <c r="DA58" s="1533">
        <v>0</v>
      </c>
      <c r="DB58" s="1533">
        <v>0</v>
      </c>
      <c r="DC58" s="1533">
        <v>0</v>
      </c>
      <c r="DD58" s="1533">
        <v>0</v>
      </c>
      <c r="DE58" s="1533">
        <v>0</v>
      </c>
      <c r="DF58" s="1533">
        <v>0</v>
      </c>
      <c r="DG58" s="1533">
        <v>0</v>
      </c>
      <c r="DH58" s="1533">
        <v>0</v>
      </c>
      <c r="DI58" s="1533">
        <v>0</v>
      </c>
      <c r="DJ58" s="1533">
        <v>0</v>
      </c>
      <c r="DK58" s="1533">
        <v>0</v>
      </c>
      <c r="DL58" s="1533">
        <v>0</v>
      </c>
      <c r="DN58" s="1509">
        <v>0</v>
      </c>
    </row>
    <row r="59" spans="1:118" s="14" customFormat="1" ht="15.75" collapsed="1" x14ac:dyDescent="0.2">
      <c r="A59" s="1534"/>
      <c r="B59" s="1535"/>
      <c r="C59" s="1536"/>
      <c r="D59" s="1537"/>
      <c r="E59" s="1538"/>
      <c r="G59" s="1539"/>
      <c r="H59" s="1539"/>
      <c r="I59" s="1539"/>
      <c r="J59" s="1539"/>
      <c r="K59" s="1539"/>
      <c r="L59" s="1539"/>
      <c r="M59" s="1539"/>
      <c r="N59" s="1539"/>
      <c r="O59" s="1539"/>
      <c r="P59" s="1539"/>
      <c r="Q59" s="1539"/>
      <c r="R59" s="1539"/>
      <c r="S59" s="1539"/>
      <c r="T59" s="1539"/>
      <c r="U59" s="1539"/>
      <c r="V59" s="1539"/>
      <c r="W59" s="1539"/>
      <c r="Y59" s="1490">
        <f ca="1">Y57</f>
        <v>0</v>
      </c>
      <c r="Z59" s="1490">
        <f t="shared" ref="Z59:AP59" ca="1" si="37">Z57</f>
        <v>0</v>
      </c>
      <c r="AA59" s="1490">
        <f t="shared" ca="1" si="37"/>
        <v>0</v>
      </c>
      <c r="AB59" s="1490">
        <f t="shared" ca="1" si="37"/>
        <v>0</v>
      </c>
      <c r="AC59" s="1490">
        <f t="shared" ca="1" si="37"/>
        <v>0</v>
      </c>
      <c r="AD59" s="1490">
        <f t="shared" ca="1" si="37"/>
        <v>0</v>
      </c>
      <c r="AE59" s="1490">
        <f t="shared" ca="1" si="37"/>
        <v>0</v>
      </c>
      <c r="AF59" s="1490">
        <f t="shared" ca="1" si="37"/>
        <v>0</v>
      </c>
      <c r="AG59" s="1490">
        <f t="shared" ca="1" si="37"/>
        <v>0</v>
      </c>
      <c r="AH59" s="1490">
        <f t="shared" ca="1" si="37"/>
        <v>0</v>
      </c>
      <c r="AI59" s="1490">
        <f t="shared" ca="1" si="37"/>
        <v>0</v>
      </c>
      <c r="AJ59" s="1490">
        <f t="shared" ca="1" si="37"/>
        <v>0</v>
      </c>
      <c r="AK59" s="1490">
        <f t="shared" ca="1" si="37"/>
        <v>0</v>
      </c>
      <c r="AL59" s="1490">
        <f t="shared" ca="1" si="37"/>
        <v>0</v>
      </c>
      <c r="AM59" s="1490">
        <f t="shared" ca="1" si="37"/>
        <v>0</v>
      </c>
      <c r="AN59" s="1490">
        <f t="shared" ca="1" si="37"/>
        <v>0</v>
      </c>
      <c r="AO59" s="1490">
        <f t="shared" ca="1" si="37"/>
        <v>0</v>
      </c>
      <c r="AP59" s="1490">
        <f t="shared" ca="1" si="37"/>
        <v>0</v>
      </c>
      <c r="AQ59" s="1893">
        <f ca="1">SUM(Y59:AP59)</f>
        <v>0</v>
      </c>
      <c r="AS59" s="1491">
        <f ca="1">AS57</f>
        <v>0</v>
      </c>
      <c r="AT59" s="1491">
        <f t="shared" ref="AT59:BK59" ca="1" si="38">AT57</f>
        <v>0</v>
      </c>
      <c r="AU59" s="1491">
        <f t="shared" ca="1" si="38"/>
        <v>0</v>
      </c>
      <c r="AV59" s="1491">
        <f t="shared" ca="1" si="38"/>
        <v>0</v>
      </c>
      <c r="AW59" s="1491">
        <f t="shared" ca="1" si="38"/>
        <v>0</v>
      </c>
      <c r="AX59" s="1491">
        <f t="shared" ca="1" si="38"/>
        <v>0</v>
      </c>
      <c r="AY59" s="1491">
        <f t="shared" ca="1" si="38"/>
        <v>0</v>
      </c>
      <c r="AZ59" s="1491">
        <f t="shared" ca="1" si="38"/>
        <v>0</v>
      </c>
      <c r="BA59" s="1491">
        <f t="shared" ca="1" si="38"/>
        <v>0</v>
      </c>
      <c r="BB59" s="1491">
        <f t="shared" ca="1" si="38"/>
        <v>0</v>
      </c>
      <c r="BC59" s="1491">
        <f t="shared" ca="1" si="38"/>
        <v>0</v>
      </c>
      <c r="BD59" s="1491">
        <f t="shared" ca="1" si="38"/>
        <v>0</v>
      </c>
      <c r="BE59" s="1491">
        <f t="shared" ca="1" si="38"/>
        <v>0</v>
      </c>
      <c r="BF59" s="1491">
        <f t="shared" ca="1" si="38"/>
        <v>0</v>
      </c>
      <c r="BG59" s="1491">
        <f t="shared" ca="1" si="38"/>
        <v>0</v>
      </c>
      <c r="BH59" s="1491">
        <f t="shared" ca="1" si="38"/>
        <v>0</v>
      </c>
      <c r="BI59" s="1491">
        <f t="shared" ca="1" si="38"/>
        <v>0</v>
      </c>
      <c r="BJ59" s="1491">
        <f t="shared" ca="1" si="38"/>
        <v>0</v>
      </c>
      <c r="BK59" s="1491">
        <f t="shared" ca="1" si="38"/>
        <v>0</v>
      </c>
      <c r="BL59" s="1952">
        <f ca="1">SUM(AS59:BK59)</f>
        <v>0</v>
      </c>
      <c r="BN59" s="1492">
        <f ca="1">BN57</f>
        <v>0</v>
      </c>
      <c r="BO59" s="1492">
        <f ca="1">BO57</f>
        <v>0</v>
      </c>
      <c r="BP59" s="1505">
        <f ca="1">BN59+BO59</f>
        <v>0</v>
      </c>
      <c r="BR59" s="3168">
        <f ca="1">W59+AQ59+BL59+BP59</f>
        <v>0</v>
      </c>
      <c r="BS59" s="1493"/>
      <c r="BT59" s="748"/>
      <c r="BU59" s="1508">
        <v>0</v>
      </c>
      <c r="BV59" s="1508">
        <v>0</v>
      </c>
      <c r="BW59" s="1508">
        <v>0</v>
      </c>
      <c r="BX59" s="1508">
        <v>0</v>
      </c>
      <c r="BY59" s="1508">
        <v>0</v>
      </c>
      <c r="BZ59" s="1508">
        <v>0</v>
      </c>
      <c r="CA59" s="1508">
        <v>0</v>
      </c>
      <c r="CB59" s="1508">
        <v>0</v>
      </c>
      <c r="CC59" s="1508">
        <v>0</v>
      </c>
      <c r="CD59" s="1508">
        <v>0</v>
      </c>
      <c r="CE59" s="1508">
        <v>0</v>
      </c>
      <c r="CF59" s="1508">
        <v>0</v>
      </c>
      <c r="CG59" s="1508">
        <v>0</v>
      </c>
      <c r="CH59" s="1508">
        <v>0</v>
      </c>
      <c r="CI59" s="1508">
        <v>0</v>
      </c>
      <c r="CJ59" s="1508">
        <v>0</v>
      </c>
      <c r="CK59" s="1508">
        <v>0</v>
      </c>
      <c r="CL59" s="1508">
        <v>0</v>
      </c>
      <c r="CM59" s="1508">
        <v>0</v>
      </c>
      <c r="CN59" s="1508">
        <v>0</v>
      </c>
      <c r="CO59" s="1508">
        <v>0</v>
      </c>
      <c r="CP59" s="1508">
        <v>0</v>
      </c>
      <c r="CQ59" s="1508">
        <v>0</v>
      </c>
      <c r="CR59" s="1508">
        <v>0</v>
      </c>
      <c r="CS59" s="1508">
        <v>0</v>
      </c>
      <c r="CT59" s="1508">
        <v>0</v>
      </c>
      <c r="CU59" s="1508">
        <v>0</v>
      </c>
      <c r="CV59" s="1508">
        <v>0</v>
      </c>
      <c r="CW59" s="1508">
        <v>0</v>
      </c>
      <c r="CX59" s="1508">
        <v>0</v>
      </c>
      <c r="CY59" s="1508">
        <v>0</v>
      </c>
      <c r="CZ59" s="1508">
        <v>0</v>
      </c>
      <c r="DA59" s="1508">
        <v>0</v>
      </c>
      <c r="DB59" s="1508">
        <v>0</v>
      </c>
      <c r="DC59" s="1508">
        <v>0</v>
      </c>
      <c r="DD59" s="1508">
        <v>0</v>
      </c>
      <c r="DE59" s="1508">
        <v>0</v>
      </c>
      <c r="DF59" s="1508">
        <v>0</v>
      </c>
      <c r="DG59" s="1508">
        <v>0</v>
      </c>
      <c r="DH59" s="1508">
        <v>0</v>
      </c>
      <c r="DI59" s="1508">
        <v>0</v>
      </c>
      <c r="DJ59" s="1508">
        <v>0</v>
      </c>
      <c r="DK59" s="1508">
        <v>0</v>
      </c>
      <c r="DL59" s="1508">
        <v>0</v>
      </c>
      <c r="DN59" s="1509">
        <v>0</v>
      </c>
    </row>
    <row r="60" spans="1:118" s="14" customFormat="1" ht="15.75" x14ac:dyDescent="0.2">
      <c r="A60" s="1845"/>
      <c r="B60" s="1847"/>
      <c r="C60" s="1842"/>
      <c r="D60" s="1843"/>
      <c r="E60" s="1844"/>
      <c r="G60" s="1539"/>
      <c r="H60" s="1539"/>
      <c r="I60" s="1539"/>
      <c r="J60" s="1539"/>
      <c r="K60" s="1539"/>
      <c r="L60" s="1539"/>
      <c r="M60" s="1539"/>
      <c r="N60" s="1539"/>
      <c r="O60" s="1539"/>
      <c r="P60" s="1539"/>
      <c r="Q60" s="1539"/>
      <c r="R60" s="1539"/>
      <c r="S60" s="1539"/>
      <c r="T60" s="1539"/>
      <c r="U60" s="1539"/>
      <c r="V60" s="1539"/>
      <c r="W60" s="1539"/>
      <c r="Y60" s="1490"/>
      <c r="Z60" s="1490"/>
      <c r="AA60" s="1490"/>
      <c r="AB60" s="1490"/>
      <c r="AC60" s="1490"/>
      <c r="AD60" s="1490"/>
      <c r="AE60" s="1490"/>
      <c r="AF60" s="1490"/>
      <c r="AG60" s="1490"/>
      <c r="AH60" s="1490"/>
      <c r="AI60" s="1490"/>
      <c r="AJ60" s="1490"/>
      <c r="AK60" s="1490"/>
      <c r="AL60" s="1490"/>
      <c r="AM60" s="1490"/>
      <c r="AN60" s="1490"/>
      <c r="AO60" s="1490"/>
      <c r="AP60" s="1490"/>
      <c r="AQ60" s="1490"/>
      <c r="AS60" s="1491"/>
      <c r="AT60" s="1491"/>
      <c r="AU60" s="1491"/>
      <c r="AV60" s="1491"/>
      <c r="AW60" s="1491"/>
      <c r="AX60" s="1491"/>
      <c r="AY60" s="1491"/>
      <c r="AZ60" s="1491"/>
      <c r="BA60" s="1491"/>
      <c r="BB60" s="1491"/>
      <c r="BC60" s="1491"/>
      <c r="BD60" s="1491"/>
      <c r="BE60" s="1491"/>
      <c r="BF60" s="1491"/>
      <c r="BG60" s="1491"/>
      <c r="BH60" s="1491"/>
      <c r="BI60" s="1491"/>
      <c r="BJ60" s="1491"/>
      <c r="BK60" s="1491"/>
      <c r="BL60" s="1491"/>
      <c r="BN60" s="1492"/>
      <c r="BO60" s="1492"/>
      <c r="BP60" s="1492"/>
      <c r="BR60" s="3168"/>
      <c r="BS60" s="1579"/>
      <c r="BT60" s="748"/>
      <c r="BU60" s="1507"/>
      <c r="BV60" s="1508"/>
      <c r="BW60" s="1508"/>
      <c r="BX60" s="1508"/>
      <c r="BY60" s="1508"/>
      <c r="BZ60" s="1508"/>
      <c r="CA60" s="1508"/>
      <c r="CB60" s="1508"/>
      <c r="CC60" s="1508"/>
      <c r="CD60" s="1508"/>
      <c r="CE60" s="1508"/>
      <c r="CF60" s="1508"/>
      <c r="CG60" s="1508"/>
      <c r="CH60" s="1508"/>
      <c r="CI60" s="1508"/>
      <c r="CJ60" s="1508"/>
      <c r="CK60" s="1508"/>
      <c r="CL60" s="1508"/>
      <c r="CM60" s="1508"/>
      <c r="CN60" s="1508"/>
      <c r="CO60" s="1508"/>
      <c r="CP60" s="1508"/>
      <c r="CQ60" s="1508"/>
      <c r="CR60" s="1508"/>
      <c r="CS60" s="1508"/>
      <c r="CT60" s="1508"/>
      <c r="CU60" s="1508"/>
      <c r="CV60" s="1508"/>
      <c r="CW60" s="1508"/>
      <c r="CX60" s="1508"/>
      <c r="CY60" s="1508"/>
      <c r="CZ60" s="1508"/>
      <c r="DA60" s="1508"/>
      <c r="DB60" s="1508"/>
      <c r="DC60" s="1508"/>
      <c r="DD60" s="1508"/>
      <c r="DE60" s="1508"/>
      <c r="DF60" s="1508"/>
      <c r="DG60" s="1508"/>
      <c r="DH60" s="1508"/>
      <c r="DI60" s="1508"/>
      <c r="DJ60" s="1508"/>
      <c r="DK60" s="1508"/>
      <c r="DL60" s="1508"/>
      <c r="DN60" s="1509"/>
    </row>
    <row r="61" spans="1:118" s="14" customFormat="1" outlineLevel="1" x14ac:dyDescent="0.2">
      <c r="C61" s="1580"/>
      <c r="D61" s="746"/>
      <c r="E61" s="1430"/>
      <c r="G61" s="1488"/>
      <c r="H61" s="1488"/>
      <c r="I61" s="1488"/>
      <c r="J61" s="1488"/>
      <c r="K61" s="1488"/>
      <c r="L61" s="1488"/>
      <c r="M61" s="1488"/>
      <c r="N61" s="1488"/>
      <c r="O61" s="1563"/>
      <c r="P61" s="1488"/>
      <c r="Q61" s="1488"/>
      <c r="R61" s="1488"/>
      <c r="S61" s="1488"/>
      <c r="T61" s="1488"/>
      <c r="U61" s="1488"/>
      <c r="V61" s="1488"/>
      <c r="W61" s="1488"/>
      <c r="Y61" s="1490"/>
      <c r="Z61" s="1490"/>
      <c r="AA61" s="1490"/>
      <c r="AB61" s="1490"/>
      <c r="AC61" s="1490"/>
      <c r="AD61" s="1490"/>
      <c r="AE61" s="1490"/>
      <c r="AF61" s="1490"/>
      <c r="AG61" s="1490"/>
      <c r="AH61" s="1490"/>
      <c r="AI61" s="1490"/>
      <c r="AJ61" s="1490"/>
      <c r="AK61" s="1490"/>
      <c r="AL61" s="1490"/>
      <c r="AM61" s="1490"/>
      <c r="AN61" s="1490"/>
      <c r="AO61" s="1490"/>
      <c r="AP61" s="1490"/>
      <c r="AQ61" s="1490"/>
      <c r="AS61" s="1491"/>
      <c r="AT61" s="1491"/>
      <c r="AU61" s="1491"/>
      <c r="AV61" s="1491"/>
      <c r="AW61" s="1491"/>
      <c r="AX61" s="1491"/>
      <c r="AY61" s="1491"/>
      <c r="AZ61" s="1491"/>
      <c r="BA61" s="1491"/>
      <c r="BB61" s="1491"/>
      <c r="BC61" s="1491"/>
      <c r="BD61" s="1491"/>
      <c r="BE61" s="1491"/>
      <c r="BF61" s="1491"/>
      <c r="BG61" s="1491"/>
      <c r="BH61" s="1491"/>
      <c r="BI61" s="1491"/>
      <c r="BJ61" s="1491"/>
      <c r="BK61" s="1491"/>
      <c r="BL61" s="1491"/>
      <c r="BN61" s="1492"/>
      <c r="BO61" s="1492"/>
      <c r="BP61" s="1492"/>
      <c r="BR61" s="3168">
        <f t="shared" si="12"/>
        <v>0</v>
      </c>
      <c r="BS61" s="1493"/>
      <c r="BU61" s="1508"/>
      <c r="BV61" s="1508"/>
      <c r="BW61" s="1508"/>
      <c r="BX61" s="1508"/>
      <c r="BY61" s="1508"/>
      <c r="BZ61" s="1508"/>
      <c r="CA61" s="1508"/>
      <c r="CB61" s="1508"/>
      <c r="CC61" s="1508"/>
      <c r="CD61" s="1508"/>
      <c r="CE61" s="1508"/>
      <c r="CF61" s="1508"/>
      <c r="CG61" s="1508"/>
      <c r="CH61" s="1508"/>
      <c r="CI61" s="1508"/>
      <c r="CJ61" s="1508"/>
      <c r="CK61" s="1508"/>
      <c r="CL61" s="1508"/>
      <c r="CM61" s="1508"/>
      <c r="CN61" s="1508"/>
      <c r="CO61" s="1508"/>
      <c r="CP61" s="1508"/>
      <c r="CQ61" s="1508"/>
      <c r="CR61" s="1508"/>
      <c r="CS61" s="1508"/>
      <c r="CT61" s="1508"/>
      <c r="CU61" s="1508"/>
      <c r="CV61" s="1508"/>
      <c r="CW61" s="1508"/>
      <c r="CX61" s="1508"/>
      <c r="CY61" s="1508"/>
      <c r="CZ61" s="1508"/>
      <c r="DA61" s="1508"/>
      <c r="DB61" s="1508"/>
      <c r="DC61" s="1508"/>
      <c r="DD61" s="1508"/>
      <c r="DE61" s="1508"/>
      <c r="DF61" s="1508"/>
      <c r="DG61" s="1508"/>
      <c r="DH61" s="1508"/>
      <c r="DI61" s="1508"/>
      <c r="DJ61" s="1508"/>
      <c r="DK61" s="1508"/>
      <c r="DL61" s="1508"/>
      <c r="DN61" s="1509"/>
    </row>
    <row r="62" spans="1:118" s="1522" customFormat="1" ht="12.75" customHeight="1" outlineLevel="1" x14ac:dyDescent="0.2">
      <c r="C62" s="1496" t="s">
        <v>208</v>
      </c>
      <c r="D62" s="14" t="str">
        <f>INDEX(Modulos[Modulos], MATCH($C62, Modulos[Código], 0))</f>
        <v>Plantas Eólicas</v>
      </c>
      <c r="E62" s="1497"/>
      <c r="F62" s="14"/>
      <c r="G62" s="1498"/>
      <c r="H62" s="1498"/>
      <c r="I62" s="1498"/>
      <c r="J62" s="1498"/>
      <c r="K62" s="1498"/>
      <c r="L62" s="1498"/>
      <c r="M62" s="1498"/>
      <c r="N62" s="1498"/>
      <c r="O62" s="1498"/>
      <c r="P62" s="1498"/>
      <c r="Q62" s="1498"/>
      <c r="R62" s="1498"/>
      <c r="S62" s="1498"/>
      <c r="T62" s="1498"/>
      <c r="U62" s="1498"/>
      <c r="V62" s="1498"/>
      <c r="W62" s="1499"/>
      <c r="X62" s="14"/>
      <c r="Y62" s="1893">
        <f t="shared" ref="Y62:AN69" ca="1" si="39">IFERROR(INDEX(INDIRECT($C62&amp;".Outputs["&amp;this.Year&amp;"]"), MATCH(Y$5, INDIRECT($C62&amp;".Outputs[Vector]"), 0)), 0)</f>
        <v>0</v>
      </c>
      <c r="Z62" s="1893">
        <f t="shared" ca="1" si="39"/>
        <v>6.3555791999999975</v>
      </c>
      <c r="AA62" s="1893">
        <f t="shared" ca="1" si="39"/>
        <v>0</v>
      </c>
      <c r="AB62" s="1893">
        <f t="shared" ca="1" si="39"/>
        <v>0</v>
      </c>
      <c r="AC62" s="1893">
        <f t="shared" ca="1" si="39"/>
        <v>0</v>
      </c>
      <c r="AD62" s="1893">
        <f t="shared" ca="1" si="39"/>
        <v>0</v>
      </c>
      <c r="AE62" s="1893">
        <f t="shared" ca="1" si="39"/>
        <v>0</v>
      </c>
      <c r="AF62" s="1893">
        <f t="shared" ca="1" si="39"/>
        <v>0</v>
      </c>
      <c r="AG62" s="1893">
        <f t="shared" ca="1" si="39"/>
        <v>0</v>
      </c>
      <c r="AH62" s="1893">
        <f t="shared" ca="1" si="39"/>
        <v>0</v>
      </c>
      <c r="AI62" s="1893">
        <f t="shared" ref="AI62:AP69" ca="1" si="40">IFERROR(INDEX(INDIRECT($C62&amp;".Outputs["&amp;this.Year&amp;"]"), MATCH(AI$5, INDIRECT($C62&amp;".Outputs[Vector]"), 0)), 0)</f>
        <v>0</v>
      </c>
      <c r="AJ62" s="1893">
        <f t="shared" ca="1" si="40"/>
        <v>0</v>
      </c>
      <c r="AK62" s="1893">
        <f t="shared" ca="1" si="40"/>
        <v>0</v>
      </c>
      <c r="AL62" s="1893">
        <f t="shared" ca="1" si="40"/>
        <v>0</v>
      </c>
      <c r="AM62" s="1893">
        <f t="shared" ca="1" si="40"/>
        <v>0</v>
      </c>
      <c r="AN62" s="1893">
        <f t="shared" ca="1" si="40"/>
        <v>0</v>
      </c>
      <c r="AO62" s="1893">
        <f t="shared" ca="1" si="40"/>
        <v>0</v>
      </c>
      <c r="AP62" s="1893">
        <f t="shared" ca="1" si="40"/>
        <v>0</v>
      </c>
      <c r="AQ62" s="1951">
        <f t="shared" ref="AQ62:AQ70" ca="1" si="41">SUM(Y62:AP62)</f>
        <v>6.3555791999999975</v>
      </c>
      <c r="AR62" s="14"/>
      <c r="AS62" s="1948">
        <f t="shared" ref="AS62:BH69" ca="1" si="42">IFERROR(INDEX(INDIRECT($C62&amp;".Outputs["&amp;this.Year&amp;"]"), MATCH(AS$5, INDIRECT($C62&amp;".Outputs[Vector]"), 0)), 0)</f>
        <v>0</v>
      </c>
      <c r="AT62" s="1948">
        <f t="shared" ca="1" si="42"/>
        <v>0</v>
      </c>
      <c r="AU62" s="1948">
        <f t="shared" ca="1" si="42"/>
        <v>0</v>
      </c>
      <c r="AV62" s="1948">
        <f t="shared" ca="1" si="42"/>
        <v>0</v>
      </c>
      <c r="AW62" s="1948">
        <f t="shared" ca="1" si="42"/>
        <v>0</v>
      </c>
      <c r="AX62" s="1948">
        <f t="shared" ca="1" si="42"/>
        <v>0</v>
      </c>
      <c r="AY62" s="1948">
        <f t="shared" ca="1" si="42"/>
        <v>0</v>
      </c>
      <c r="AZ62" s="1948">
        <f t="shared" ca="1" si="42"/>
        <v>0</v>
      </c>
      <c r="BA62" s="1948">
        <f t="shared" ca="1" si="42"/>
        <v>0</v>
      </c>
      <c r="BB62" s="1948">
        <f t="shared" ca="1" si="42"/>
        <v>0</v>
      </c>
      <c r="BC62" s="1948">
        <f t="shared" ref="BC62:BK69" ca="1" si="43">IFERROR(INDEX(INDIRECT($C62&amp;".Outputs["&amp;this.Year&amp;"]"), MATCH(BC$5, INDIRECT($C62&amp;".Outputs[Vector]"), 0)), 0)</f>
        <v>0</v>
      </c>
      <c r="BD62" s="1948">
        <f t="shared" ca="1" si="43"/>
        <v>-6.3555791999999975</v>
      </c>
      <c r="BE62" s="1948">
        <f t="shared" ca="1" si="43"/>
        <v>0</v>
      </c>
      <c r="BF62" s="1948">
        <f t="shared" ca="1" si="43"/>
        <v>0</v>
      </c>
      <c r="BG62" s="1948">
        <f t="shared" ca="1" si="43"/>
        <v>0</v>
      </c>
      <c r="BH62" s="1948">
        <f t="shared" ca="1" si="43"/>
        <v>0</v>
      </c>
      <c r="BI62" s="1948">
        <f t="shared" ca="1" si="43"/>
        <v>0</v>
      </c>
      <c r="BJ62" s="1948">
        <f t="shared" ca="1" si="43"/>
        <v>0</v>
      </c>
      <c r="BK62" s="1948">
        <f t="shared" ca="1" si="43"/>
        <v>0</v>
      </c>
      <c r="BL62" s="1952">
        <f t="shared" ref="BL62:BL70" ca="1" si="44">SUM(AS62:BK62)</f>
        <v>-6.3555791999999975</v>
      </c>
      <c r="BM62" s="14"/>
      <c r="BN62" s="1941">
        <f t="shared" ref="BN62:BO68" ca="1" si="45">IFERROR(INDEX(INDIRECT($C62&amp;".Outputs["&amp;this.Year&amp;"]"), MATCH(BN$5, INDIRECT($C62&amp;".Outputs[Vector]"), 0)), 0)</f>
        <v>0</v>
      </c>
      <c r="BO62" s="1941">
        <f t="shared" ca="1" si="45"/>
        <v>0</v>
      </c>
      <c r="BP62" s="1505">
        <f ca="1">BN62+BO62</f>
        <v>0</v>
      </c>
      <c r="BQ62" s="14"/>
      <c r="BR62" s="3168">
        <f t="shared" ca="1" si="12"/>
        <v>0</v>
      </c>
      <c r="BS62" s="1525"/>
      <c r="BT62" s="748"/>
      <c r="BU62" s="1507">
        <v>0</v>
      </c>
      <c r="BV62" s="1508">
        <v>0</v>
      </c>
      <c r="BW62" s="1508">
        <v>0</v>
      </c>
      <c r="BX62" s="1508">
        <v>0</v>
      </c>
      <c r="BY62" s="1508">
        <v>0</v>
      </c>
      <c r="BZ62" s="1508">
        <v>0</v>
      </c>
      <c r="CA62" s="1508">
        <v>0</v>
      </c>
      <c r="CB62" s="1508">
        <v>0</v>
      </c>
      <c r="CC62" s="1508">
        <v>0</v>
      </c>
      <c r="CD62" s="1508">
        <v>0</v>
      </c>
      <c r="CE62" s="1508">
        <v>0</v>
      </c>
      <c r="CF62" s="1508">
        <v>0</v>
      </c>
      <c r="CG62" s="1508">
        <v>0</v>
      </c>
      <c r="CH62" s="1508">
        <v>0</v>
      </c>
      <c r="CI62" s="1508">
        <v>0</v>
      </c>
      <c r="CJ62" s="1508">
        <v>0</v>
      </c>
      <c r="CK62" s="1508">
        <v>0</v>
      </c>
      <c r="CL62" s="1508">
        <v>0</v>
      </c>
      <c r="CM62" s="1508">
        <v>0</v>
      </c>
      <c r="CN62" s="1508">
        <v>0</v>
      </c>
      <c r="CO62" s="1508">
        <v>0</v>
      </c>
      <c r="CP62" s="1508">
        <v>0</v>
      </c>
      <c r="CQ62" s="1508">
        <v>0</v>
      </c>
      <c r="CR62" s="1508">
        <v>0</v>
      </c>
      <c r="CS62" s="1508">
        <v>0</v>
      </c>
      <c r="CT62" s="1508">
        <v>0</v>
      </c>
      <c r="CU62" s="1508">
        <v>0</v>
      </c>
      <c r="CV62" s="1508">
        <v>0</v>
      </c>
      <c r="CW62" s="1508">
        <v>0</v>
      </c>
      <c r="CX62" s="1508">
        <v>0</v>
      </c>
      <c r="CY62" s="1508">
        <v>0</v>
      </c>
      <c r="CZ62" s="1508">
        <v>0</v>
      </c>
      <c r="DA62" s="1508">
        <v>0</v>
      </c>
      <c r="DB62" s="1508">
        <v>0</v>
      </c>
      <c r="DC62" s="1508">
        <v>0</v>
      </c>
      <c r="DD62" s="1508">
        <v>0</v>
      </c>
      <c r="DE62" s="1508">
        <v>0</v>
      </c>
      <c r="DF62" s="1508">
        <v>0</v>
      </c>
      <c r="DG62" s="1508">
        <v>0</v>
      </c>
      <c r="DH62" s="1508">
        <v>0</v>
      </c>
      <c r="DI62" s="1508">
        <v>0</v>
      </c>
      <c r="DJ62" s="1508">
        <v>0</v>
      </c>
      <c r="DK62" s="1508">
        <v>0</v>
      </c>
      <c r="DL62" s="1508">
        <v>0</v>
      </c>
      <c r="DN62" s="1509">
        <v>0</v>
      </c>
    </row>
    <row r="63" spans="1:118" s="1522" customFormat="1" ht="12.75" customHeight="1" outlineLevel="1" x14ac:dyDescent="0.2">
      <c r="C63" s="1496" t="s">
        <v>246</v>
      </c>
      <c r="D63" s="14" t="str">
        <f>INDEX(Modulos[Modulos], MATCH($C63, Modulos[Código], 0))</f>
        <v>Mini Hidráulica de Pasada</v>
      </c>
      <c r="E63" s="1497"/>
      <c r="F63" s="14"/>
      <c r="G63" s="1498"/>
      <c r="H63" s="1498"/>
      <c r="I63" s="1498"/>
      <c r="J63" s="1498"/>
      <c r="K63" s="1498"/>
      <c r="L63" s="1498"/>
      <c r="M63" s="1498"/>
      <c r="N63" s="1498"/>
      <c r="O63" s="1498"/>
      <c r="P63" s="1498"/>
      <c r="Q63" s="1498"/>
      <c r="R63" s="1498"/>
      <c r="S63" s="1498"/>
      <c r="T63" s="1498"/>
      <c r="U63" s="1498"/>
      <c r="V63" s="1498"/>
      <c r="W63" s="1499"/>
      <c r="X63" s="14"/>
      <c r="Y63" s="1893">
        <f t="shared" ca="1" si="39"/>
        <v>0</v>
      </c>
      <c r="Z63" s="1893">
        <f t="shared" ca="1" si="39"/>
        <v>4.8213000000000008</v>
      </c>
      <c r="AA63" s="1893">
        <f t="shared" ca="1" si="39"/>
        <v>0</v>
      </c>
      <c r="AB63" s="1893">
        <f t="shared" ca="1" si="39"/>
        <v>0</v>
      </c>
      <c r="AC63" s="1893">
        <f t="shared" ca="1" si="39"/>
        <v>0</v>
      </c>
      <c r="AD63" s="1893">
        <f t="shared" ca="1" si="39"/>
        <v>0</v>
      </c>
      <c r="AE63" s="1893">
        <f t="shared" ca="1" si="39"/>
        <v>0</v>
      </c>
      <c r="AF63" s="1893">
        <f t="shared" ca="1" si="39"/>
        <v>0</v>
      </c>
      <c r="AG63" s="1893">
        <f t="shared" ca="1" si="39"/>
        <v>0</v>
      </c>
      <c r="AH63" s="1893">
        <f t="shared" ca="1" si="39"/>
        <v>0</v>
      </c>
      <c r="AI63" s="1893">
        <f t="shared" ca="1" si="40"/>
        <v>0</v>
      </c>
      <c r="AJ63" s="1893">
        <f t="shared" ca="1" si="40"/>
        <v>0</v>
      </c>
      <c r="AK63" s="1893">
        <f t="shared" ca="1" si="40"/>
        <v>0</v>
      </c>
      <c r="AL63" s="1893">
        <f t="shared" ca="1" si="40"/>
        <v>0</v>
      </c>
      <c r="AM63" s="1893">
        <f t="shared" ca="1" si="40"/>
        <v>0</v>
      </c>
      <c r="AN63" s="1893">
        <f t="shared" ca="1" si="40"/>
        <v>0</v>
      </c>
      <c r="AO63" s="1893">
        <f t="shared" ca="1" si="40"/>
        <v>0</v>
      </c>
      <c r="AP63" s="1893">
        <f t="shared" ca="1" si="40"/>
        <v>0</v>
      </c>
      <c r="AQ63" s="1951">
        <f t="shared" ca="1" si="41"/>
        <v>4.8213000000000008</v>
      </c>
      <c r="AR63" s="14"/>
      <c r="AS63" s="1948">
        <f t="shared" ca="1" si="42"/>
        <v>0</v>
      </c>
      <c r="AT63" s="1948">
        <f t="shared" ca="1" si="42"/>
        <v>0</v>
      </c>
      <c r="AU63" s="1948">
        <f t="shared" ca="1" si="42"/>
        <v>0</v>
      </c>
      <c r="AV63" s="1948">
        <f t="shared" ca="1" si="42"/>
        <v>0</v>
      </c>
      <c r="AW63" s="1948">
        <f t="shared" ca="1" si="42"/>
        <v>0</v>
      </c>
      <c r="AX63" s="1948">
        <f t="shared" ca="1" si="42"/>
        <v>0</v>
      </c>
      <c r="AY63" s="1948">
        <f t="shared" ca="1" si="42"/>
        <v>0</v>
      </c>
      <c r="AZ63" s="1948">
        <f t="shared" ca="1" si="42"/>
        <v>0</v>
      </c>
      <c r="BA63" s="1948">
        <f t="shared" ca="1" si="42"/>
        <v>0</v>
      </c>
      <c r="BB63" s="1948">
        <f t="shared" ca="1" si="42"/>
        <v>0</v>
      </c>
      <c r="BC63" s="1948">
        <f t="shared" ca="1" si="43"/>
        <v>0</v>
      </c>
      <c r="BD63" s="1948">
        <f t="shared" ca="1" si="43"/>
        <v>0</v>
      </c>
      <c r="BE63" s="1948">
        <f t="shared" ca="1" si="43"/>
        <v>0</v>
      </c>
      <c r="BF63" s="1948">
        <f t="shared" ca="1" si="43"/>
        <v>0</v>
      </c>
      <c r="BG63" s="1948">
        <f t="shared" ca="1" si="43"/>
        <v>0</v>
      </c>
      <c r="BH63" s="1948">
        <f t="shared" ca="1" si="43"/>
        <v>-4.8213000000000008</v>
      </c>
      <c r="BI63" s="1948">
        <f t="shared" ca="1" si="43"/>
        <v>0</v>
      </c>
      <c r="BJ63" s="1948">
        <f t="shared" ca="1" si="43"/>
        <v>0</v>
      </c>
      <c r="BK63" s="1948">
        <f t="shared" ca="1" si="43"/>
        <v>0</v>
      </c>
      <c r="BL63" s="1952">
        <f t="shared" ca="1" si="44"/>
        <v>-4.8213000000000008</v>
      </c>
      <c r="BM63" s="14"/>
      <c r="BN63" s="1941">
        <f t="shared" ca="1" si="45"/>
        <v>0</v>
      </c>
      <c r="BO63" s="1941">
        <f t="shared" ca="1" si="45"/>
        <v>0</v>
      </c>
      <c r="BP63" s="1505">
        <f t="shared" ref="BP63:BP68" ca="1" si="46">BN63+BO63</f>
        <v>0</v>
      </c>
      <c r="BQ63" s="14"/>
      <c r="BR63" s="3168">
        <f t="shared" ca="1" si="12"/>
        <v>0</v>
      </c>
      <c r="BS63" s="1525"/>
      <c r="BT63" s="748"/>
      <c r="BU63" s="1507">
        <v>0</v>
      </c>
      <c r="BV63" s="1508">
        <v>0</v>
      </c>
      <c r="BW63" s="1508">
        <v>0</v>
      </c>
      <c r="BX63" s="1508">
        <v>0</v>
      </c>
      <c r="BY63" s="1508">
        <v>0</v>
      </c>
      <c r="BZ63" s="1508">
        <v>0</v>
      </c>
      <c r="CA63" s="1508">
        <v>0</v>
      </c>
      <c r="CB63" s="1508">
        <v>0</v>
      </c>
      <c r="CC63" s="1508">
        <v>0</v>
      </c>
      <c r="CD63" s="1508">
        <v>0</v>
      </c>
      <c r="CE63" s="1508">
        <v>0</v>
      </c>
      <c r="CF63" s="1508">
        <v>0</v>
      </c>
      <c r="CG63" s="1508">
        <v>0</v>
      </c>
      <c r="CH63" s="1508">
        <v>0</v>
      </c>
      <c r="CI63" s="1508">
        <v>0</v>
      </c>
      <c r="CJ63" s="1508">
        <v>0</v>
      </c>
      <c r="CK63" s="1508">
        <v>0</v>
      </c>
      <c r="CL63" s="1508">
        <v>0</v>
      </c>
      <c r="CM63" s="1508">
        <v>0</v>
      </c>
      <c r="CN63" s="1508">
        <v>0</v>
      </c>
      <c r="CO63" s="1508">
        <v>0</v>
      </c>
      <c r="CP63" s="1508">
        <v>0</v>
      </c>
      <c r="CQ63" s="1508">
        <v>0</v>
      </c>
      <c r="CR63" s="1508">
        <v>0</v>
      </c>
      <c r="CS63" s="1508">
        <v>0</v>
      </c>
      <c r="CT63" s="1508">
        <v>0</v>
      </c>
      <c r="CU63" s="1508">
        <v>0</v>
      </c>
      <c r="CV63" s="1508">
        <v>0</v>
      </c>
      <c r="CW63" s="1508">
        <v>0</v>
      </c>
      <c r="CX63" s="1508">
        <v>0</v>
      </c>
      <c r="CY63" s="1508">
        <v>0</v>
      </c>
      <c r="CZ63" s="1508">
        <v>0</v>
      </c>
      <c r="DA63" s="1508">
        <v>0</v>
      </c>
      <c r="DB63" s="1508">
        <v>0</v>
      </c>
      <c r="DC63" s="1508">
        <v>0</v>
      </c>
      <c r="DD63" s="1508">
        <v>0</v>
      </c>
      <c r="DE63" s="1508">
        <v>0</v>
      </c>
      <c r="DF63" s="1508">
        <v>0</v>
      </c>
      <c r="DG63" s="1508">
        <v>0</v>
      </c>
      <c r="DH63" s="1508">
        <v>0</v>
      </c>
      <c r="DI63" s="1508">
        <v>0</v>
      </c>
      <c r="DJ63" s="1508">
        <v>0</v>
      </c>
      <c r="DK63" s="1508">
        <v>0</v>
      </c>
      <c r="DL63" s="1508">
        <v>0</v>
      </c>
      <c r="DN63" s="1509">
        <v>0</v>
      </c>
    </row>
    <row r="64" spans="1:118" s="1522" customFormat="1" ht="12.75" customHeight="1" outlineLevel="1" x14ac:dyDescent="0.2">
      <c r="C64" s="1496" t="s">
        <v>258</v>
      </c>
      <c r="D64" s="14" t="str">
        <f>INDEX(Modulos[Modulos], MATCH($C64, Modulos[Código], 0))</f>
        <v>Hidráulica de Pasada</v>
      </c>
      <c r="E64" s="1497"/>
      <c r="F64" s="14"/>
      <c r="G64" s="1498"/>
      <c r="H64" s="1498"/>
      <c r="I64" s="1498"/>
      <c r="J64" s="1498"/>
      <c r="K64" s="1498"/>
      <c r="L64" s="1498"/>
      <c r="M64" s="1498"/>
      <c r="N64" s="1498"/>
      <c r="O64" s="1498"/>
      <c r="P64" s="1498"/>
      <c r="Q64" s="1498"/>
      <c r="R64" s="1498"/>
      <c r="S64" s="1498"/>
      <c r="T64" s="1498"/>
      <c r="U64" s="1498"/>
      <c r="V64" s="1498"/>
      <c r="W64" s="1499"/>
      <c r="X64" s="14"/>
      <c r="Y64" s="1893">
        <f t="shared" ca="1" si="39"/>
        <v>0</v>
      </c>
      <c r="Z64" s="1893">
        <f t="shared" ca="1" si="39"/>
        <v>8.2501209000000024</v>
      </c>
      <c r="AA64" s="1893">
        <f t="shared" ca="1" si="39"/>
        <v>0</v>
      </c>
      <c r="AB64" s="1893">
        <f t="shared" ca="1" si="39"/>
        <v>0</v>
      </c>
      <c r="AC64" s="1893">
        <f t="shared" ca="1" si="39"/>
        <v>0</v>
      </c>
      <c r="AD64" s="1893">
        <f t="shared" ca="1" si="39"/>
        <v>0</v>
      </c>
      <c r="AE64" s="1893">
        <f t="shared" ca="1" si="39"/>
        <v>0</v>
      </c>
      <c r="AF64" s="1893">
        <f t="shared" ca="1" si="39"/>
        <v>0</v>
      </c>
      <c r="AG64" s="1893">
        <f t="shared" ca="1" si="39"/>
        <v>0</v>
      </c>
      <c r="AH64" s="1893">
        <f t="shared" ca="1" si="39"/>
        <v>0</v>
      </c>
      <c r="AI64" s="1893">
        <f t="shared" ca="1" si="40"/>
        <v>0</v>
      </c>
      <c r="AJ64" s="1893">
        <f t="shared" ca="1" si="40"/>
        <v>0</v>
      </c>
      <c r="AK64" s="1893">
        <f t="shared" ca="1" si="40"/>
        <v>0</v>
      </c>
      <c r="AL64" s="1893">
        <f t="shared" ca="1" si="40"/>
        <v>0</v>
      </c>
      <c r="AM64" s="1893">
        <f t="shared" ca="1" si="40"/>
        <v>0</v>
      </c>
      <c r="AN64" s="1893">
        <f t="shared" ca="1" si="40"/>
        <v>0</v>
      </c>
      <c r="AO64" s="1893">
        <f t="shared" ca="1" si="40"/>
        <v>0</v>
      </c>
      <c r="AP64" s="1893">
        <f t="shared" ca="1" si="40"/>
        <v>0</v>
      </c>
      <c r="AQ64" s="1951">
        <f t="shared" ca="1" si="41"/>
        <v>8.2501209000000024</v>
      </c>
      <c r="AR64" s="14"/>
      <c r="AS64" s="1948">
        <f t="shared" ca="1" si="42"/>
        <v>0</v>
      </c>
      <c r="AT64" s="1948">
        <f t="shared" ca="1" si="42"/>
        <v>0</v>
      </c>
      <c r="AU64" s="1948">
        <f t="shared" ca="1" si="42"/>
        <v>0</v>
      </c>
      <c r="AV64" s="1948">
        <f t="shared" ca="1" si="42"/>
        <v>0</v>
      </c>
      <c r="AW64" s="1948">
        <f t="shared" ca="1" si="42"/>
        <v>0</v>
      </c>
      <c r="AX64" s="1948">
        <f t="shared" ca="1" si="42"/>
        <v>0</v>
      </c>
      <c r="AY64" s="1948">
        <f t="shared" ca="1" si="42"/>
        <v>0</v>
      </c>
      <c r="AZ64" s="1948">
        <f t="shared" ca="1" si="42"/>
        <v>0</v>
      </c>
      <c r="BA64" s="1948">
        <f t="shared" ca="1" si="42"/>
        <v>0</v>
      </c>
      <c r="BB64" s="1948">
        <f t="shared" ca="1" si="42"/>
        <v>0</v>
      </c>
      <c r="BC64" s="1948">
        <f t="shared" ca="1" si="43"/>
        <v>0</v>
      </c>
      <c r="BD64" s="1948">
        <f t="shared" ca="1" si="43"/>
        <v>0</v>
      </c>
      <c r="BE64" s="1948">
        <f t="shared" ca="1" si="43"/>
        <v>0</v>
      </c>
      <c r="BF64" s="1948">
        <f t="shared" ca="1" si="43"/>
        <v>0</v>
      </c>
      <c r="BG64" s="1948">
        <f t="shared" ca="1" si="43"/>
        <v>0</v>
      </c>
      <c r="BH64" s="1948">
        <f t="shared" ca="1" si="43"/>
        <v>-8.2501209000000024</v>
      </c>
      <c r="BI64" s="1948">
        <f t="shared" ca="1" si="43"/>
        <v>0</v>
      </c>
      <c r="BJ64" s="1948">
        <f t="shared" ca="1" si="43"/>
        <v>0</v>
      </c>
      <c r="BK64" s="1948">
        <f t="shared" ca="1" si="43"/>
        <v>0</v>
      </c>
      <c r="BL64" s="1952">
        <f t="shared" ca="1" si="44"/>
        <v>-8.2501209000000024</v>
      </c>
      <c r="BM64" s="14"/>
      <c r="BN64" s="1941">
        <f t="shared" ca="1" si="45"/>
        <v>0</v>
      </c>
      <c r="BO64" s="1941">
        <f t="shared" ca="1" si="45"/>
        <v>0</v>
      </c>
      <c r="BP64" s="1505">
        <f t="shared" ca="1" si="46"/>
        <v>0</v>
      </c>
      <c r="BQ64" s="14"/>
      <c r="BR64" s="3168">
        <f t="shared" ca="1" si="12"/>
        <v>0</v>
      </c>
      <c r="BS64" s="1525"/>
      <c r="BT64" s="748"/>
      <c r="BU64" s="1507">
        <v>0</v>
      </c>
      <c r="BV64" s="1508">
        <v>0</v>
      </c>
      <c r="BW64" s="1508">
        <v>0</v>
      </c>
      <c r="BX64" s="1508">
        <v>0</v>
      </c>
      <c r="BY64" s="1508">
        <v>0</v>
      </c>
      <c r="BZ64" s="1508">
        <v>0</v>
      </c>
      <c r="CA64" s="1508">
        <v>0</v>
      </c>
      <c r="CB64" s="1508">
        <v>0</v>
      </c>
      <c r="CC64" s="1508">
        <v>0</v>
      </c>
      <c r="CD64" s="1508">
        <v>0</v>
      </c>
      <c r="CE64" s="1508">
        <v>0</v>
      </c>
      <c r="CF64" s="1508">
        <v>0</v>
      </c>
      <c r="CG64" s="1508">
        <v>0</v>
      </c>
      <c r="CH64" s="1508">
        <v>0</v>
      </c>
      <c r="CI64" s="1508">
        <v>0</v>
      </c>
      <c r="CJ64" s="1508">
        <v>0</v>
      </c>
      <c r="CK64" s="1508">
        <v>0</v>
      </c>
      <c r="CL64" s="1508">
        <v>0</v>
      </c>
      <c r="CM64" s="1508">
        <v>0</v>
      </c>
      <c r="CN64" s="1508">
        <v>0</v>
      </c>
      <c r="CO64" s="1508">
        <v>0</v>
      </c>
      <c r="CP64" s="1508">
        <v>0</v>
      </c>
      <c r="CQ64" s="1508">
        <v>0</v>
      </c>
      <c r="CR64" s="1508">
        <v>0</v>
      </c>
      <c r="CS64" s="1508">
        <v>0</v>
      </c>
      <c r="CT64" s="1508">
        <v>0</v>
      </c>
      <c r="CU64" s="1508">
        <v>0</v>
      </c>
      <c r="CV64" s="1508">
        <v>0</v>
      </c>
      <c r="CW64" s="1508">
        <v>0</v>
      </c>
      <c r="CX64" s="1508">
        <v>0</v>
      </c>
      <c r="CY64" s="1508">
        <v>0</v>
      </c>
      <c r="CZ64" s="1508">
        <v>0</v>
      </c>
      <c r="DA64" s="1508">
        <v>0</v>
      </c>
      <c r="DB64" s="1508">
        <v>0</v>
      </c>
      <c r="DC64" s="1508">
        <v>0</v>
      </c>
      <c r="DD64" s="1508">
        <v>0</v>
      </c>
      <c r="DE64" s="1508">
        <v>0</v>
      </c>
      <c r="DF64" s="1508">
        <v>0</v>
      </c>
      <c r="DG64" s="1508">
        <v>0</v>
      </c>
      <c r="DH64" s="1508">
        <v>0</v>
      </c>
      <c r="DI64" s="1508">
        <v>0</v>
      </c>
      <c r="DJ64" s="1508">
        <v>0</v>
      </c>
      <c r="DK64" s="1508">
        <v>0</v>
      </c>
      <c r="DL64" s="1508">
        <v>0</v>
      </c>
      <c r="DN64" s="1509">
        <v>0</v>
      </c>
    </row>
    <row r="65" spans="1:118" s="1522" customFormat="1" ht="12.75" customHeight="1" outlineLevel="1" x14ac:dyDescent="0.2">
      <c r="C65" s="1496" t="s">
        <v>267</v>
      </c>
      <c r="D65" s="14" t="str">
        <f>INDEX(Modulos[Modulos], MATCH($C65, Modulos[Código], 0))</f>
        <v>Hidráulica de Embalse</v>
      </c>
      <c r="E65" s="1497"/>
      <c r="F65" s="14"/>
      <c r="G65" s="1498"/>
      <c r="H65" s="1498"/>
      <c r="I65" s="1498"/>
      <c r="J65" s="1498"/>
      <c r="K65" s="1498"/>
      <c r="L65" s="1498"/>
      <c r="M65" s="1498"/>
      <c r="N65" s="1498"/>
      <c r="O65" s="1498"/>
      <c r="P65" s="1498"/>
      <c r="Q65" s="1498"/>
      <c r="R65" s="1498"/>
      <c r="S65" s="1498"/>
      <c r="T65" s="1498"/>
      <c r="U65" s="1498"/>
      <c r="V65" s="1498"/>
      <c r="W65" s="1499"/>
      <c r="X65" s="14"/>
      <c r="Y65" s="1893">
        <f t="shared" ca="1" si="39"/>
        <v>0</v>
      </c>
      <c r="Z65" s="1893">
        <f t="shared" ca="1" si="39"/>
        <v>16.020741599999994</v>
      </c>
      <c r="AA65" s="1893">
        <f t="shared" ca="1" si="39"/>
        <v>0</v>
      </c>
      <c r="AB65" s="1893">
        <f t="shared" ca="1" si="39"/>
        <v>0</v>
      </c>
      <c r="AC65" s="1893">
        <f t="shared" ca="1" si="39"/>
        <v>0</v>
      </c>
      <c r="AD65" s="1893">
        <f t="shared" ca="1" si="39"/>
        <v>0</v>
      </c>
      <c r="AE65" s="1893">
        <f t="shared" ca="1" si="39"/>
        <v>0</v>
      </c>
      <c r="AF65" s="1893">
        <f t="shared" ca="1" si="39"/>
        <v>0</v>
      </c>
      <c r="AG65" s="1893">
        <f t="shared" ca="1" si="39"/>
        <v>0</v>
      </c>
      <c r="AH65" s="1893">
        <f t="shared" ca="1" si="39"/>
        <v>0</v>
      </c>
      <c r="AI65" s="1893">
        <f t="shared" ca="1" si="40"/>
        <v>0</v>
      </c>
      <c r="AJ65" s="1893">
        <f t="shared" ca="1" si="40"/>
        <v>0</v>
      </c>
      <c r="AK65" s="1893">
        <f t="shared" ca="1" si="40"/>
        <v>0</v>
      </c>
      <c r="AL65" s="1893">
        <f t="shared" ca="1" si="40"/>
        <v>0</v>
      </c>
      <c r="AM65" s="1893">
        <f t="shared" ca="1" si="40"/>
        <v>0</v>
      </c>
      <c r="AN65" s="1893">
        <f t="shared" ca="1" si="40"/>
        <v>0</v>
      </c>
      <c r="AO65" s="1893">
        <f t="shared" ca="1" si="40"/>
        <v>0</v>
      </c>
      <c r="AP65" s="1893">
        <f t="shared" ca="1" si="40"/>
        <v>0</v>
      </c>
      <c r="AQ65" s="1951">
        <f t="shared" ca="1" si="41"/>
        <v>16.020741599999994</v>
      </c>
      <c r="AR65" s="14"/>
      <c r="AS65" s="1948">
        <f t="shared" ca="1" si="42"/>
        <v>0</v>
      </c>
      <c r="AT65" s="1948">
        <f t="shared" ca="1" si="42"/>
        <v>0</v>
      </c>
      <c r="AU65" s="1948">
        <f t="shared" ca="1" si="42"/>
        <v>0</v>
      </c>
      <c r="AV65" s="1948">
        <f t="shared" ca="1" si="42"/>
        <v>0</v>
      </c>
      <c r="AW65" s="1948">
        <f t="shared" ca="1" si="42"/>
        <v>0</v>
      </c>
      <c r="AX65" s="1948">
        <f t="shared" ca="1" si="42"/>
        <v>0</v>
      </c>
      <c r="AY65" s="1948">
        <f t="shared" ca="1" si="42"/>
        <v>0</v>
      </c>
      <c r="AZ65" s="1948">
        <f t="shared" ca="1" si="42"/>
        <v>0</v>
      </c>
      <c r="BA65" s="1948">
        <f t="shared" ca="1" si="42"/>
        <v>0</v>
      </c>
      <c r="BB65" s="1948">
        <f t="shared" ca="1" si="42"/>
        <v>0</v>
      </c>
      <c r="BC65" s="1948">
        <f t="shared" ca="1" si="43"/>
        <v>0</v>
      </c>
      <c r="BD65" s="1948">
        <f t="shared" ca="1" si="43"/>
        <v>0</v>
      </c>
      <c r="BE65" s="1948">
        <f t="shared" ca="1" si="43"/>
        <v>0</v>
      </c>
      <c r="BF65" s="1948">
        <f t="shared" ca="1" si="43"/>
        <v>0</v>
      </c>
      <c r="BG65" s="1948">
        <f t="shared" ca="1" si="43"/>
        <v>0</v>
      </c>
      <c r="BH65" s="1948">
        <f t="shared" ca="1" si="43"/>
        <v>-16.020741599999994</v>
      </c>
      <c r="BI65" s="1948">
        <f t="shared" ca="1" si="43"/>
        <v>0</v>
      </c>
      <c r="BJ65" s="1948">
        <f t="shared" ca="1" si="43"/>
        <v>0</v>
      </c>
      <c r="BK65" s="1948">
        <f t="shared" ca="1" si="43"/>
        <v>0</v>
      </c>
      <c r="BL65" s="1952">
        <f t="shared" ca="1" si="44"/>
        <v>-16.020741599999994</v>
      </c>
      <c r="BM65" s="14"/>
      <c r="BN65" s="1941">
        <f t="shared" ca="1" si="45"/>
        <v>0</v>
      </c>
      <c r="BO65" s="1941">
        <f t="shared" ca="1" si="45"/>
        <v>0</v>
      </c>
      <c r="BP65" s="1505">
        <f t="shared" ca="1" si="46"/>
        <v>0</v>
      </c>
      <c r="BQ65" s="14"/>
      <c r="BR65" s="3168">
        <f t="shared" ca="1" si="12"/>
        <v>0</v>
      </c>
      <c r="BS65" s="1525"/>
      <c r="BT65" s="748"/>
      <c r="BU65" s="1507">
        <v>0</v>
      </c>
      <c r="BV65" s="1508">
        <v>0</v>
      </c>
      <c r="BW65" s="1508">
        <v>0</v>
      </c>
      <c r="BX65" s="1508">
        <v>0</v>
      </c>
      <c r="BY65" s="1508">
        <v>0</v>
      </c>
      <c r="BZ65" s="1508">
        <v>0</v>
      </c>
      <c r="CA65" s="1508">
        <v>0</v>
      </c>
      <c r="CB65" s="1508">
        <v>0</v>
      </c>
      <c r="CC65" s="1508">
        <v>0</v>
      </c>
      <c r="CD65" s="1508">
        <v>0</v>
      </c>
      <c r="CE65" s="1508">
        <v>0</v>
      </c>
      <c r="CF65" s="1508">
        <v>0</v>
      </c>
      <c r="CG65" s="1508">
        <v>0</v>
      </c>
      <c r="CH65" s="1508">
        <v>0</v>
      </c>
      <c r="CI65" s="1508">
        <v>0</v>
      </c>
      <c r="CJ65" s="1508">
        <v>0</v>
      </c>
      <c r="CK65" s="1508">
        <v>0</v>
      </c>
      <c r="CL65" s="1508">
        <v>0</v>
      </c>
      <c r="CM65" s="1508">
        <v>0</v>
      </c>
      <c r="CN65" s="1508">
        <v>0</v>
      </c>
      <c r="CO65" s="1508">
        <v>0</v>
      </c>
      <c r="CP65" s="1508">
        <v>0</v>
      </c>
      <c r="CQ65" s="1508">
        <v>0</v>
      </c>
      <c r="CR65" s="1508">
        <v>0</v>
      </c>
      <c r="CS65" s="1508">
        <v>0</v>
      </c>
      <c r="CT65" s="1508">
        <v>0</v>
      </c>
      <c r="CU65" s="1508">
        <v>0</v>
      </c>
      <c r="CV65" s="1508">
        <v>0</v>
      </c>
      <c r="CW65" s="1508">
        <v>0</v>
      </c>
      <c r="CX65" s="1508">
        <v>0</v>
      </c>
      <c r="CY65" s="1508">
        <v>0</v>
      </c>
      <c r="CZ65" s="1508">
        <v>0</v>
      </c>
      <c r="DA65" s="1508">
        <v>0</v>
      </c>
      <c r="DB65" s="1508">
        <v>0</v>
      </c>
      <c r="DC65" s="1508">
        <v>0</v>
      </c>
      <c r="DD65" s="1508">
        <v>0</v>
      </c>
      <c r="DE65" s="1508">
        <v>0</v>
      </c>
      <c r="DF65" s="1508">
        <v>0</v>
      </c>
      <c r="DG65" s="1508">
        <v>0</v>
      </c>
      <c r="DH65" s="1508">
        <v>0</v>
      </c>
      <c r="DI65" s="1508">
        <v>0</v>
      </c>
      <c r="DJ65" s="1508">
        <v>0</v>
      </c>
      <c r="DK65" s="1508">
        <v>0</v>
      </c>
      <c r="DL65" s="1508">
        <v>0</v>
      </c>
      <c r="DN65" s="1509">
        <v>0</v>
      </c>
    </row>
    <row r="66" spans="1:118" s="1522" customFormat="1" ht="12.75" customHeight="1" outlineLevel="1" x14ac:dyDescent="0.2">
      <c r="C66" s="1496" t="s">
        <v>58</v>
      </c>
      <c r="D66" s="14" t="str">
        <f>INDEX(Modulos[Modulos], MATCH($C66, Modulos[Código], 0))</f>
        <v>Mareomotriz y Undimotriz</v>
      </c>
      <c r="E66" s="1497"/>
      <c r="F66" s="14"/>
      <c r="G66" s="1498"/>
      <c r="H66" s="1498"/>
      <c r="I66" s="1498"/>
      <c r="J66" s="1498"/>
      <c r="K66" s="1498"/>
      <c r="L66" s="1498"/>
      <c r="M66" s="1498"/>
      <c r="N66" s="1498"/>
      <c r="O66" s="1498"/>
      <c r="P66" s="1498"/>
      <c r="Q66" s="1498"/>
      <c r="R66" s="1498"/>
      <c r="S66" s="1498"/>
      <c r="T66" s="1498"/>
      <c r="U66" s="1498"/>
      <c r="V66" s="1498"/>
      <c r="W66" s="1499"/>
      <c r="X66" s="14"/>
      <c r="Y66" s="1893">
        <f t="shared" ca="1" si="39"/>
        <v>0</v>
      </c>
      <c r="Z66" s="1893">
        <f t="shared" ca="1" si="39"/>
        <v>0.3541709448</v>
      </c>
      <c r="AA66" s="1893">
        <f t="shared" ca="1" si="39"/>
        <v>0</v>
      </c>
      <c r="AB66" s="1893">
        <f t="shared" ca="1" si="39"/>
        <v>0</v>
      </c>
      <c r="AC66" s="1893">
        <f t="shared" ca="1" si="39"/>
        <v>0</v>
      </c>
      <c r="AD66" s="1893">
        <f t="shared" ca="1" si="39"/>
        <v>0</v>
      </c>
      <c r="AE66" s="1893">
        <f t="shared" ca="1" si="39"/>
        <v>0</v>
      </c>
      <c r="AF66" s="1893">
        <f t="shared" ca="1" si="39"/>
        <v>0</v>
      </c>
      <c r="AG66" s="1893">
        <f t="shared" ca="1" si="39"/>
        <v>0</v>
      </c>
      <c r="AH66" s="1893">
        <f t="shared" ca="1" si="39"/>
        <v>0</v>
      </c>
      <c r="AI66" s="1893">
        <f t="shared" ca="1" si="40"/>
        <v>0</v>
      </c>
      <c r="AJ66" s="1893">
        <f t="shared" ca="1" si="40"/>
        <v>0</v>
      </c>
      <c r="AK66" s="1893">
        <f t="shared" ca="1" si="40"/>
        <v>0</v>
      </c>
      <c r="AL66" s="1893">
        <f t="shared" ca="1" si="40"/>
        <v>0</v>
      </c>
      <c r="AM66" s="1893">
        <f t="shared" ca="1" si="40"/>
        <v>0</v>
      </c>
      <c r="AN66" s="1893">
        <f t="shared" ca="1" si="40"/>
        <v>0</v>
      </c>
      <c r="AO66" s="1893">
        <f t="shared" ca="1" si="40"/>
        <v>0</v>
      </c>
      <c r="AP66" s="1893">
        <f t="shared" ca="1" si="40"/>
        <v>0</v>
      </c>
      <c r="AQ66" s="1951">
        <f t="shared" ca="1" si="41"/>
        <v>0.3541709448</v>
      </c>
      <c r="AR66" s="14"/>
      <c r="AS66" s="1948">
        <f t="shared" ca="1" si="42"/>
        <v>0</v>
      </c>
      <c r="AT66" s="1948">
        <f t="shared" ca="1" si="42"/>
        <v>0</v>
      </c>
      <c r="AU66" s="1948">
        <f t="shared" ca="1" si="42"/>
        <v>0</v>
      </c>
      <c r="AV66" s="1948">
        <f t="shared" ca="1" si="42"/>
        <v>0</v>
      </c>
      <c r="AW66" s="1948">
        <f t="shared" ca="1" si="42"/>
        <v>0</v>
      </c>
      <c r="AX66" s="1948">
        <f t="shared" ca="1" si="42"/>
        <v>0</v>
      </c>
      <c r="AY66" s="1948">
        <f t="shared" ca="1" si="42"/>
        <v>0</v>
      </c>
      <c r="AZ66" s="1948">
        <f t="shared" ca="1" si="42"/>
        <v>0</v>
      </c>
      <c r="BA66" s="1948">
        <f t="shared" ca="1" si="42"/>
        <v>0</v>
      </c>
      <c r="BB66" s="1948">
        <f t="shared" ca="1" si="42"/>
        <v>0</v>
      </c>
      <c r="BC66" s="1948">
        <f t="shared" ca="1" si="43"/>
        <v>0</v>
      </c>
      <c r="BD66" s="1948">
        <f t="shared" ca="1" si="43"/>
        <v>0</v>
      </c>
      <c r="BE66" s="1948">
        <f t="shared" ca="1" si="43"/>
        <v>-8.6483602800000003E-2</v>
      </c>
      <c r="BF66" s="1948">
        <f t="shared" ca="1" si="43"/>
        <v>-0.26768734199999999</v>
      </c>
      <c r="BG66" s="1948">
        <f t="shared" ca="1" si="43"/>
        <v>0</v>
      </c>
      <c r="BH66" s="1948">
        <f t="shared" ca="1" si="43"/>
        <v>0</v>
      </c>
      <c r="BI66" s="1948">
        <f t="shared" ca="1" si="43"/>
        <v>0</v>
      </c>
      <c r="BJ66" s="1948">
        <f t="shared" ca="1" si="43"/>
        <v>0</v>
      </c>
      <c r="BK66" s="1948">
        <f t="shared" ca="1" si="43"/>
        <v>0</v>
      </c>
      <c r="BL66" s="1952">
        <f t="shared" ca="1" si="44"/>
        <v>-0.3541709448</v>
      </c>
      <c r="BM66" s="14"/>
      <c r="BN66" s="1941">
        <f t="shared" ca="1" si="45"/>
        <v>0</v>
      </c>
      <c r="BO66" s="1941">
        <f t="shared" ca="1" si="45"/>
        <v>0</v>
      </c>
      <c r="BP66" s="1505">
        <f t="shared" ca="1" si="46"/>
        <v>0</v>
      </c>
      <c r="BQ66" s="14"/>
      <c r="BR66" s="3168">
        <f t="shared" ca="1" si="12"/>
        <v>0</v>
      </c>
      <c r="BS66" s="1525"/>
      <c r="BT66" s="748"/>
      <c r="BU66" s="1507">
        <v>0</v>
      </c>
      <c r="BV66" s="1508">
        <v>0</v>
      </c>
      <c r="BW66" s="1508">
        <v>0</v>
      </c>
      <c r="BX66" s="1508">
        <v>0</v>
      </c>
      <c r="BY66" s="1508">
        <v>0</v>
      </c>
      <c r="BZ66" s="1508">
        <v>0</v>
      </c>
      <c r="CA66" s="1508">
        <v>0</v>
      </c>
      <c r="CB66" s="1508">
        <v>0</v>
      </c>
      <c r="CC66" s="1508">
        <v>0</v>
      </c>
      <c r="CD66" s="1508">
        <v>0</v>
      </c>
      <c r="CE66" s="1508">
        <v>0</v>
      </c>
      <c r="CF66" s="1508">
        <v>0</v>
      </c>
      <c r="CG66" s="1508">
        <v>0</v>
      </c>
      <c r="CH66" s="1508">
        <v>0</v>
      </c>
      <c r="CI66" s="1508">
        <v>0</v>
      </c>
      <c r="CJ66" s="1508">
        <v>0</v>
      </c>
      <c r="CK66" s="1508">
        <v>0</v>
      </c>
      <c r="CL66" s="1508">
        <v>0</v>
      </c>
      <c r="CM66" s="1508">
        <v>0</v>
      </c>
      <c r="CN66" s="1508">
        <v>0</v>
      </c>
      <c r="CO66" s="1508">
        <v>0</v>
      </c>
      <c r="CP66" s="1508">
        <v>0</v>
      </c>
      <c r="CQ66" s="1508">
        <v>0</v>
      </c>
      <c r="CR66" s="1508">
        <v>0</v>
      </c>
      <c r="CS66" s="1508">
        <v>0</v>
      </c>
      <c r="CT66" s="1508">
        <v>0</v>
      </c>
      <c r="CU66" s="1508">
        <v>0</v>
      </c>
      <c r="CV66" s="1508">
        <v>0</v>
      </c>
      <c r="CW66" s="1508">
        <v>0</v>
      </c>
      <c r="CX66" s="1508">
        <v>0</v>
      </c>
      <c r="CY66" s="1508">
        <v>0</v>
      </c>
      <c r="CZ66" s="1508">
        <v>0</v>
      </c>
      <c r="DA66" s="1508">
        <v>0</v>
      </c>
      <c r="DB66" s="1508">
        <v>0</v>
      </c>
      <c r="DC66" s="1508">
        <v>0</v>
      </c>
      <c r="DD66" s="1508">
        <v>0</v>
      </c>
      <c r="DE66" s="1508">
        <v>0</v>
      </c>
      <c r="DF66" s="1508">
        <v>0</v>
      </c>
      <c r="DG66" s="1508">
        <v>0</v>
      </c>
      <c r="DH66" s="1508">
        <v>0</v>
      </c>
      <c r="DI66" s="1508">
        <v>0</v>
      </c>
      <c r="DJ66" s="1508">
        <v>0</v>
      </c>
      <c r="DK66" s="1508">
        <v>0</v>
      </c>
      <c r="DL66" s="1508">
        <v>0</v>
      </c>
      <c r="DN66" s="1509">
        <v>0</v>
      </c>
    </row>
    <row r="67" spans="1:118" s="1522" customFormat="1" ht="12.75" customHeight="1" outlineLevel="1" x14ac:dyDescent="0.2">
      <c r="C67" s="1496" t="s">
        <v>60</v>
      </c>
      <c r="D67" s="14" t="str">
        <f>INDEX(Modulos[Modulos], MATCH($C67, Modulos[Código], 0))</f>
        <v>Geotérmica</v>
      </c>
      <c r="E67" s="1497"/>
      <c r="F67" s="14"/>
      <c r="G67" s="1498"/>
      <c r="H67" s="1498"/>
      <c r="I67" s="1498"/>
      <c r="J67" s="1498"/>
      <c r="K67" s="1498"/>
      <c r="L67" s="1498"/>
      <c r="M67" s="1498"/>
      <c r="N67" s="1498"/>
      <c r="O67" s="1498"/>
      <c r="P67" s="1498"/>
      <c r="Q67" s="1498"/>
      <c r="R67" s="1498"/>
      <c r="S67" s="1498"/>
      <c r="T67" s="1498"/>
      <c r="U67" s="1498"/>
      <c r="V67" s="1498"/>
      <c r="W67" s="1499"/>
      <c r="X67" s="14"/>
      <c r="Y67" s="1893">
        <f t="shared" ca="1" si="39"/>
        <v>0</v>
      </c>
      <c r="Z67" s="1893">
        <f t="shared" ca="1" si="39"/>
        <v>0.35064000000000006</v>
      </c>
      <c r="AA67" s="1893">
        <f t="shared" ca="1" si="39"/>
        <v>0</v>
      </c>
      <c r="AB67" s="1893">
        <f t="shared" ca="1" si="39"/>
        <v>0</v>
      </c>
      <c r="AC67" s="1893">
        <f t="shared" ca="1" si="39"/>
        <v>0</v>
      </c>
      <c r="AD67" s="1893">
        <f t="shared" ca="1" si="39"/>
        <v>0</v>
      </c>
      <c r="AE67" s="1893">
        <f t="shared" ca="1" si="39"/>
        <v>0</v>
      </c>
      <c r="AF67" s="1893">
        <f t="shared" ca="1" si="39"/>
        <v>0</v>
      </c>
      <c r="AG67" s="1893">
        <f t="shared" ca="1" si="39"/>
        <v>0</v>
      </c>
      <c r="AH67" s="1893">
        <f t="shared" ca="1" si="39"/>
        <v>0</v>
      </c>
      <c r="AI67" s="1893">
        <f t="shared" ca="1" si="40"/>
        <v>0</v>
      </c>
      <c r="AJ67" s="1893">
        <f t="shared" ca="1" si="40"/>
        <v>0</v>
      </c>
      <c r="AK67" s="1893">
        <f t="shared" ca="1" si="40"/>
        <v>0</v>
      </c>
      <c r="AL67" s="1893">
        <f t="shared" ca="1" si="40"/>
        <v>0</v>
      </c>
      <c r="AM67" s="1893">
        <f t="shared" ca="1" si="40"/>
        <v>0</v>
      </c>
      <c r="AN67" s="1893">
        <f t="shared" ca="1" si="40"/>
        <v>0</v>
      </c>
      <c r="AO67" s="1893">
        <f t="shared" ca="1" si="40"/>
        <v>0</v>
      </c>
      <c r="AP67" s="1893">
        <f t="shared" ca="1" si="40"/>
        <v>0</v>
      </c>
      <c r="AQ67" s="1951">
        <f t="shared" ca="1" si="41"/>
        <v>0.35064000000000006</v>
      </c>
      <c r="AR67" s="14"/>
      <c r="AS67" s="1948">
        <f t="shared" ca="1" si="42"/>
        <v>0</v>
      </c>
      <c r="AT67" s="1948">
        <f t="shared" ca="1" si="42"/>
        <v>0</v>
      </c>
      <c r="AU67" s="1948">
        <f t="shared" ca="1" si="42"/>
        <v>0</v>
      </c>
      <c r="AV67" s="1948">
        <f t="shared" ca="1" si="42"/>
        <v>0</v>
      </c>
      <c r="AW67" s="1948">
        <f t="shared" ca="1" si="42"/>
        <v>0</v>
      </c>
      <c r="AX67" s="1948">
        <f t="shared" ca="1" si="42"/>
        <v>0</v>
      </c>
      <c r="AY67" s="1948">
        <f t="shared" ca="1" si="42"/>
        <v>0</v>
      </c>
      <c r="AZ67" s="1948">
        <f t="shared" ca="1" si="42"/>
        <v>0</v>
      </c>
      <c r="BA67" s="1948">
        <f t="shared" ca="1" si="42"/>
        <v>0</v>
      </c>
      <c r="BB67" s="1948">
        <f t="shared" ca="1" si="42"/>
        <v>0</v>
      </c>
      <c r="BC67" s="1948">
        <f t="shared" ca="1" si="43"/>
        <v>0</v>
      </c>
      <c r="BD67" s="1948">
        <f t="shared" ca="1" si="43"/>
        <v>0</v>
      </c>
      <c r="BE67" s="1948">
        <f t="shared" ca="1" si="43"/>
        <v>0</v>
      </c>
      <c r="BF67" s="1948">
        <f t="shared" ca="1" si="43"/>
        <v>0</v>
      </c>
      <c r="BG67" s="1948">
        <f t="shared" ca="1" si="43"/>
        <v>-0.35064000000000006</v>
      </c>
      <c r="BH67" s="1948">
        <f t="shared" ca="1" si="43"/>
        <v>0</v>
      </c>
      <c r="BI67" s="1948">
        <f t="shared" ca="1" si="43"/>
        <v>0</v>
      </c>
      <c r="BJ67" s="1948">
        <f t="shared" ca="1" si="43"/>
        <v>0</v>
      </c>
      <c r="BK67" s="1948">
        <f t="shared" ca="1" si="43"/>
        <v>0</v>
      </c>
      <c r="BL67" s="1952">
        <f t="shared" ca="1" si="44"/>
        <v>-0.35064000000000006</v>
      </c>
      <c r="BM67" s="14"/>
      <c r="BN67" s="1941">
        <f t="shared" ca="1" si="45"/>
        <v>0</v>
      </c>
      <c r="BO67" s="1941">
        <f t="shared" ca="1" si="45"/>
        <v>0</v>
      </c>
      <c r="BP67" s="1505">
        <f t="shared" ca="1" si="46"/>
        <v>0</v>
      </c>
      <c r="BQ67" s="14"/>
      <c r="BR67" s="3168">
        <f t="shared" ca="1" si="12"/>
        <v>0</v>
      </c>
      <c r="BS67" s="1525"/>
      <c r="BT67" s="748"/>
      <c r="BU67" s="1507"/>
      <c r="BV67" s="1508"/>
      <c r="BW67" s="1508"/>
      <c r="BX67" s="1508"/>
      <c r="BY67" s="1508"/>
      <c r="BZ67" s="1508"/>
      <c r="CA67" s="1508"/>
      <c r="CB67" s="1508"/>
      <c r="CC67" s="1508"/>
      <c r="CD67" s="1508"/>
      <c r="CE67" s="1508"/>
      <c r="CF67" s="1508"/>
      <c r="CG67" s="1508"/>
      <c r="CH67" s="1508"/>
      <c r="CI67" s="1508"/>
      <c r="CJ67" s="1508"/>
      <c r="CK67" s="1508"/>
      <c r="CL67" s="1508"/>
      <c r="CM67" s="1508"/>
      <c r="CN67" s="1508"/>
      <c r="CO67" s="1508"/>
      <c r="CP67" s="1508"/>
      <c r="CQ67" s="1508"/>
      <c r="CR67" s="1508"/>
      <c r="CS67" s="1508"/>
      <c r="CT67" s="1508"/>
      <c r="CU67" s="1508"/>
      <c r="CV67" s="1508"/>
      <c r="CW67" s="1508"/>
      <c r="CX67" s="1508"/>
      <c r="CY67" s="1508"/>
      <c r="CZ67" s="1508"/>
      <c r="DA67" s="1508"/>
      <c r="DB67" s="1508"/>
      <c r="DC67" s="1508"/>
      <c r="DD67" s="1508"/>
      <c r="DE67" s="1508"/>
      <c r="DF67" s="1508"/>
      <c r="DG67" s="1508"/>
      <c r="DH67" s="1508"/>
      <c r="DI67" s="1508"/>
      <c r="DJ67" s="1508"/>
      <c r="DK67" s="1508"/>
      <c r="DL67" s="1508"/>
      <c r="DN67" s="1509"/>
    </row>
    <row r="68" spans="1:118" s="1522" customFormat="1" ht="12.75" customHeight="1" outlineLevel="1" x14ac:dyDescent="0.2">
      <c r="C68" s="1496" t="s">
        <v>311</v>
      </c>
      <c r="D68" s="14" t="str">
        <f>INDEX(Modulos[Modulos], MATCH($C68, Modulos[Código], 0))</f>
        <v>Plantas Solares</v>
      </c>
      <c r="E68" s="1497"/>
      <c r="F68" s="14"/>
      <c r="G68" s="1498"/>
      <c r="H68" s="1498"/>
      <c r="I68" s="1498"/>
      <c r="J68" s="1498"/>
      <c r="K68" s="1498"/>
      <c r="L68" s="1498"/>
      <c r="M68" s="1498"/>
      <c r="N68" s="1498"/>
      <c r="O68" s="1498"/>
      <c r="P68" s="1498"/>
      <c r="Q68" s="1498"/>
      <c r="R68" s="1498"/>
      <c r="S68" s="1498"/>
      <c r="T68" s="1498"/>
      <c r="U68" s="1498"/>
      <c r="V68" s="1498"/>
      <c r="W68" s="1499"/>
      <c r="X68" s="14"/>
      <c r="Y68" s="1893">
        <f ca="1">IFERROR(INDEX(INDIRECT($C68&amp;".Outputs["&amp;this.Year&amp;"]"), MATCH(Y$5, INDIRECT($C68&amp;".Outputs[Vector]"), 0)), 0)</f>
        <v>0</v>
      </c>
      <c r="Z68" s="1893">
        <f t="shared" ca="1" si="39"/>
        <v>10.167595739999998</v>
      </c>
      <c r="AA68" s="1893">
        <f t="shared" ca="1" si="39"/>
        <v>0</v>
      </c>
      <c r="AB68" s="1893">
        <f t="shared" ca="1" si="39"/>
        <v>0</v>
      </c>
      <c r="AC68" s="1893">
        <f t="shared" ca="1" si="39"/>
        <v>0</v>
      </c>
      <c r="AD68" s="1893">
        <f t="shared" ca="1" si="39"/>
        <v>0</v>
      </c>
      <c r="AE68" s="1893">
        <f t="shared" ca="1" si="39"/>
        <v>0</v>
      </c>
      <c r="AF68" s="1893">
        <f t="shared" ca="1" si="39"/>
        <v>0</v>
      </c>
      <c r="AG68" s="1893">
        <f t="shared" ca="1" si="39"/>
        <v>0</v>
      </c>
      <c r="AH68" s="1893">
        <f t="shared" ca="1" si="39"/>
        <v>0</v>
      </c>
      <c r="AI68" s="1893">
        <f t="shared" ca="1" si="40"/>
        <v>0</v>
      </c>
      <c r="AJ68" s="1893">
        <f t="shared" ca="1" si="40"/>
        <v>0</v>
      </c>
      <c r="AK68" s="1893">
        <f t="shared" ca="1" si="40"/>
        <v>0</v>
      </c>
      <c r="AL68" s="1893">
        <f t="shared" ca="1" si="40"/>
        <v>0</v>
      </c>
      <c r="AM68" s="1893">
        <f t="shared" ca="1" si="40"/>
        <v>0</v>
      </c>
      <c r="AN68" s="1893">
        <f t="shared" ca="1" si="40"/>
        <v>0</v>
      </c>
      <c r="AO68" s="1893">
        <f t="shared" ca="1" si="40"/>
        <v>0</v>
      </c>
      <c r="AP68" s="1893">
        <f t="shared" ca="1" si="40"/>
        <v>0</v>
      </c>
      <c r="AQ68" s="1951">
        <f t="shared" ca="1" si="41"/>
        <v>10.167595739999998</v>
      </c>
      <c r="AR68" s="14"/>
      <c r="AS68" s="1948">
        <f ca="1">IFERROR(INDEX(INDIRECT($C68&amp;".Outputs["&amp;this.Year&amp;"]"), MATCH(AS$5, INDIRECT($C68&amp;".Outputs[Vector]"), 0)), 0)</f>
        <v>0</v>
      </c>
      <c r="AT68" s="1948">
        <f t="shared" ca="1" si="42"/>
        <v>0</v>
      </c>
      <c r="AU68" s="1948">
        <f t="shared" ca="1" si="42"/>
        <v>0</v>
      </c>
      <c r="AV68" s="1948">
        <f t="shared" ca="1" si="42"/>
        <v>0</v>
      </c>
      <c r="AW68" s="1948">
        <f t="shared" ca="1" si="42"/>
        <v>0</v>
      </c>
      <c r="AX68" s="1948">
        <f t="shared" ca="1" si="42"/>
        <v>0</v>
      </c>
      <c r="AY68" s="1948">
        <f t="shared" ca="1" si="42"/>
        <v>0</v>
      </c>
      <c r="AZ68" s="1948">
        <f t="shared" ca="1" si="42"/>
        <v>0</v>
      </c>
      <c r="BA68" s="1948">
        <f t="shared" ca="1" si="42"/>
        <v>0</v>
      </c>
      <c r="BB68" s="1948">
        <f t="shared" ca="1" si="42"/>
        <v>0</v>
      </c>
      <c r="BC68" s="1948">
        <f t="shared" ca="1" si="43"/>
        <v>-10.361411999999998</v>
      </c>
      <c r="BD68" s="1948">
        <f t="shared" ca="1" si="43"/>
        <v>0</v>
      </c>
      <c r="BE68" s="1948">
        <f t="shared" ca="1" si="43"/>
        <v>0</v>
      </c>
      <c r="BF68" s="1948">
        <f t="shared" ca="1" si="43"/>
        <v>0</v>
      </c>
      <c r="BG68" s="1948">
        <f t="shared" ca="1" si="43"/>
        <v>0</v>
      </c>
      <c r="BH68" s="1948">
        <f t="shared" ca="1" si="43"/>
        <v>0</v>
      </c>
      <c r="BI68" s="1948">
        <f t="shared" ca="1" si="43"/>
        <v>0</v>
      </c>
      <c r="BJ68" s="1948">
        <f t="shared" ca="1" si="43"/>
        <v>0</v>
      </c>
      <c r="BK68" s="1948">
        <f t="shared" ca="1" si="43"/>
        <v>0</v>
      </c>
      <c r="BL68" s="1952">
        <f t="shared" ca="1" si="44"/>
        <v>-10.361411999999998</v>
      </c>
      <c r="BM68" s="14"/>
      <c r="BN68" s="1941">
        <f t="shared" ca="1" si="45"/>
        <v>0.19381625999999999</v>
      </c>
      <c r="BO68" s="1941">
        <f t="shared" ca="1" si="45"/>
        <v>0</v>
      </c>
      <c r="BP68" s="1505">
        <f t="shared" ca="1" si="46"/>
        <v>0.19381625999999999</v>
      </c>
      <c r="BQ68" s="14"/>
      <c r="BR68" s="3168">
        <f t="shared" ca="1" si="12"/>
        <v>0</v>
      </c>
      <c r="BS68" s="1525"/>
      <c r="BT68" s="748"/>
      <c r="BU68" s="1507"/>
      <c r="BV68" s="1508"/>
      <c r="BW68" s="1508"/>
      <c r="BX68" s="1508"/>
      <c r="BY68" s="1508"/>
      <c r="BZ68" s="1508"/>
      <c r="CA68" s="1508"/>
      <c r="CB68" s="1508"/>
      <c r="CC68" s="1508"/>
      <c r="CD68" s="1508"/>
      <c r="CE68" s="1508"/>
      <c r="CF68" s="1508"/>
      <c r="CG68" s="1508"/>
      <c r="CH68" s="1508"/>
      <c r="CI68" s="1508"/>
      <c r="CJ68" s="1508"/>
      <c r="CK68" s="1508"/>
      <c r="CL68" s="1508"/>
      <c r="CM68" s="1508"/>
      <c r="CN68" s="1508"/>
      <c r="CO68" s="1508"/>
      <c r="CP68" s="1508"/>
      <c r="CQ68" s="1508"/>
      <c r="CR68" s="1508"/>
      <c r="CS68" s="1508"/>
      <c r="CT68" s="1508"/>
      <c r="CU68" s="1508"/>
      <c r="CV68" s="1508"/>
      <c r="CW68" s="1508"/>
      <c r="CX68" s="1508"/>
      <c r="CY68" s="1508"/>
      <c r="CZ68" s="1508"/>
      <c r="DA68" s="1508"/>
      <c r="DB68" s="1508"/>
      <c r="DC68" s="1508"/>
      <c r="DD68" s="1508"/>
      <c r="DE68" s="1508"/>
      <c r="DF68" s="1508"/>
      <c r="DG68" s="1508"/>
      <c r="DH68" s="1508"/>
      <c r="DI68" s="1508"/>
      <c r="DJ68" s="1508"/>
      <c r="DK68" s="1508"/>
      <c r="DL68" s="1508"/>
      <c r="DN68" s="1509"/>
    </row>
    <row r="69" spans="1:118" s="14" customFormat="1" ht="12.75" customHeight="1" outlineLevel="1" x14ac:dyDescent="0.2">
      <c r="A69" s="1522"/>
      <c r="B69" s="1522"/>
      <c r="C69" s="1496"/>
      <c r="E69" s="1526"/>
      <c r="G69" s="1540"/>
      <c r="H69" s="1540"/>
      <c r="I69" s="1540"/>
      <c r="J69" s="1540"/>
      <c r="K69" s="1540"/>
      <c r="L69" s="1540"/>
      <c r="M69" s="1540"/>
      <c r="N69" s="1540"/>
      <c r="O69" s="1540"/>
      <c r="P69" s="1540"/>
      <c r="Q69" s="1540"/>
      <c r="R69" s="1540"/>
      <c r="S69" s="1540"/>
      <c r="T69" s="1540"/>
      <c r="U69" s="1540"/>
      <c r="V69" s="1540"/>
      <c r="W69" s="1527"/>
      <c r="Y69" s="1541">
        <f ca="1">IFERROR(INDEX(INDIRECT($C69&amp;".Outputs["&amp;this.Year&amp;"]"), MATCH(Y$5, INDIRECT($C69&amp;".Outputs[Vector]"), 0)), 0)</f>
        <v>0</v>
      </c>
      <c r="Z69" s="1541">
        <f t="shared" ca="1" si="39"/>
        <v>0</v>
      </c>
      <c r="AA69" s="1541">
        <f t="shared" ca="1" si="39"/>
        <v>0</v>
      </c>
      <c r="AB69" s="1541">
        <f t="shared" ca="1" si="39"/>
        <v>0</v>
      </c>
      <c r="AC69" s="1541">
        <f t="shared" ca="1" si="39"/>
        <v>0</v>
      </c>
      <c r="AD69" s="1541">
        <f t="shared" ca="1" si="39"/>
        <v>0</v>
      </c>
      <c r="AE69" s="1541">
        <f t="shared" ca="1" si="39"/>
        <v>0</v>
      </c>
      <c r="AF69" s="1541">
        <f t="shared" ca="1" si="39"/>
        <v>0</v>
      </c>
      <c r="AG69" s="1541">
        <f t="shared" ca="1" si="39"/>
        <v>0</v>
      </c>
      <c r="AH69" s="1541">
        <f t="shared" ca="1" si="39"/>
        <v>0</v>
      </c>
      <c r="AI69" s="1541">
        <f t="shared" ca="1" si="39"/>
        <v>0</v>
      </c>
      <c r="AJ69" s="1541">
        <f t="shared" ca="1" si="39"/>
        <v>0</v>
      </c>
      <c r="AK69" s="1541">
        <f t="shared" ca="1" si="40"/>
        <v>0</v>
      </c>
      <c r="AL69" s="1541">
        <f t="shared" ca="1" si="39"/>
        <v>0</v>
      </c>
      <c r="AM69" s="1541">
        <f t="shared" ca="1" si="39"/>
        <v>0</v>
      </c>
      <c r="AN69" s="1541">
        <f t="shared" ca="1" si="39"/>
        <v>0</v>
      </c>
      <c r="AO69" s="1541">
        <f t="shared" ca="1" si="40"/>
        <v>0</v>
      </c>
      <c r="AP69" s="1541">
        <f t="shared" ca="1" si="40"/>
        <v>0</v>
      </c>
      <c r="AQ69" s="1951">
        <f t="shared" ca="1" si="41"/>
        <v>0</v>
      </c>
      <c r="AS69" s="1542">
        <f ca="1">IFERROR(INDEX(INDIRECT($C69&amp;".Outputs["&amp;this.Year&amp;"]"), MATCH(AS$5, INDIRECT($C69&amp;".Outputs[Vector]"), 0)), 0)</f>
        <v>0</v>
      </c>
      <c r="AT69" s="1542">
        <f t="shared" ca="1" si="42"/>
        <v>0</v>
      </c>
      <c r="AU69" s="1542">
        <f t="shared" ca="1" si="42"/>
        <v>0</v>
      </c>
      <c r="AV69" s="1542">
        <f t="shared" ca="1" si="42"/>
        <v>0</v>
      </c>
      <c r="AW69" s="1542">
        <f t="shared" ca="1" si="42"/>
        <v>0</v>
      </c>
      <c r="AX69" s="1542">
        <f t="shared" ca="1" si="42"/>
        <v>0</v>
      </c>
      <c r="AY69" s="1542">
        <f t="shared" ca="1" si="42"/>
        <v>0</v>
      </c>
      <c r="AZ69" s="1542">
        <f t="shared" ca="1" si="42"/>
        <v>0</v>
      </c>
      <c r="BA69" s="1542">
        <f t="shared" ca="1" si="42"/>
        <v>0</v>
      </c>
      <c r="BB69" s="1542">
        <f t="shared" ca="1" si="42"/>
        <v>0</v>
      </c>
      <c r="BC69" s="1542">
        <f t="shared" ca="1" si="42"/>
        <v>0</v>
      </c>
      <c r="BD69" s="1542">
        <f t="shared" ca="1" si="42"/>
        <v>0</v>
      </c>
      <c r="BE69" s="1542">
        <f t="shared" ca="1" si="42"/>
        <v>0</v>
      </c>
      <c r="BF69" s="1542">
        <f t="shared" ca="1" si="42"/>
        <v>0</v>
      </c>
      <c r="BG69" s="1542">
        <f t="shared" ca="1" si="42"/>
        <v>0</v>
      </c>
      <c r="BH69" s="1542">
        <f t="shared" ca="1" si="42"/>
        <v>0</v>
      </c>
      <c r="BI69" s="1542">
        <f t="shared" ca="1" si="43"/>
        <v>0</v>
      </c>
      <c r="BJ69" s="1542">
        <f t="shared" ca="1" si="43"/>
        <v>0</v>
      </c>
      <c r="BK69" s="1542">
        <f t="shared" ca="1" si="43"/>
        <v>0</v>
      </c>
      <c r="BL69" s="1952">
        <f t="shared" ca="1" si="44"/>
        <v>0</v>
      </c>
      <c r="BN69" s="1543"/>
      <c r="BO69" s="1543"/>
      <c r="BP69" s="1531"/>
      <c r="BR69" s="3168">
        <f t="shared" ca="1" si="12"/>
        <v>0</v>
      </c>
      <c r="BS69" s="1525"/>
      <c r="BT69" s="748"/>
      <c r="BU69" s="1532">
        <v>0</v>
      </c>
      <c r="BV69" s="1533">
        <v>0</v>
      </c>
      <c r="BW69" s="1533">
        <v>0</v>
      </c>
      <c r="BX69" s="1533">
        <v>0</v>
      </c>
      <c r="BY69" s="1533">
        <v>0</v>
      </c>
      <c r="BZ69" s="1533">
        <v>0</v>
      </c>
      <c r="CA69" s="1533">
        <v>0</v>
      </c>
      <c r="CB69" s="1533">
        <v>0</v>
      </c>
      <c r="CC69" s="1533">
        <v>0</v>
      </c>
      <c r="CD69" s="1533">
        <v>0</v>
      </c>
      <c r="CE69" s="1533">
        <v>0</v>
      </c>
      <c r="CF69" s="1533">
        <v>0</v>
      </c>
      <c r="CG69" s="1533">
        <v>0</v>
      </c>
      <c r="CH69" s="1533">
        <v>0</v>
      </c>
      <c r="CI69" s="1533">
        <v>0</v>
      </c>
      <c r="CJ69" s="1533">
        <v>0</v>
      </c>
      <c r="CK69" s="1533">
        <v>0</v>
      </c>
      <c r="CL69" s="1533">
        <v>0</v>
      </c>
      <c r="CM69" s="1533">
        <v>0</v>
      </c>
      <c r="CN69" s="1533">
        <v>0</v>
      </c>
      <c r="CO69" s="1533">
        <v>0</v>
      </c>
      <c r="CP69" s="1533">
        <v>0</v>
      </c>
      <c r="CQ69" s="1533">
        <v>0</v>
      </c>
      <c r="CR69" s="1533">
        <v>0</v>
      </c>
      <c r="CS69" s="1533">
        <v>0</v>
      </c>
      <c r="CT69" s="1533">
        <v>0</v>
      </c>
      <c r="CU69" s="1533">
        <v>0</v>
      </c>
      <c r="CV69" s="1533">
        <v>0</v>
      </c>
      <c r="CW69" s="1533">
        <v>0</v>
      </c>
      <c r="CX69" s="1533">
        <v>0</v>
      </c>
      <c r="CY69" s="1533">
        <v>0</v>
      </c>
      <c r="CZ69" s="1533">
        <v>0</v>
      </c>
      <c r="DA69" s="1533">
        <v>0</v>
      </c>
      <c r="DB69" s="1533">
        <v>0</v>
      </c>
      <c r="DC69" s="1533">
        <v>0</v>
      </c>
      <c r="DD69" s="1533">
        <v>0</v>
      </c>
      <c r="DE69" s="1533">
        <v>0</v>
      </c>
      <c r="DF69" s="1533">
        <v>0</v>
      </c>
      <c r="DG69" s="1533">
        <v>0</v>
      </c>
      <c r="DH69" s="1533">
        <v>0</v>
      </c>
      <c r="DI69" s="1533">
        <v>0</v>
      </c>
      <c r="DJ69" s="1533">
        <v>0</v>
      </c>
      <c r="DK69" s="1533">
        <v>0</v>
      </c>
      <c r="DL69" s="1533">
        <v>0</v>
      </c>
      <c r="DN69" s="1509">
        <v>0</v>
      </c>
    </row>
    <row r="70" spans="1:118" s="14" customFormat="1" ht="15.75" x14ac:dyDescent="0.2">
      <c r="A70" s="1534"/>
      <c r="B70" s="1535"/>
      <c r="C70" s="1536" t="s">
        <v>206</v>
      </c>
      <c r="D70" s="1537" t="str">
        <f>INDEX(Flujos[Flujos], MATCH($C70, Flujos[Código], 0))</f>
        <v>Energía Renovable</v>
      </c>
      <c r="E70" s="1538"/>
      <c r="G70" s="1488"/>
      <c r="H70" s="1488"/>
      <c r="I70" s="1488"/>
      <c r="J70" s="1488"/>
      <c r="K70" s="1488"/>
      <c r="L70" s="1488"/>
      <c r="M70" s="1488"/>
      <c r="N70" s="1488"/>
      <c r="O70" s="1488"/>
      <c r="P70" s="1488"/>
      <c r="Q70" s="1488"/>
      <c r="R70" s="1488"/>
      <c r="S70" s="1488"/>
      <c r="T70" s="1488"/>
      <c r="U70" s="1488"/>
      <c r="V70" s="1488"/>
      <c r="W70" s="1539"/>
      <c r="Y70" s="1490">
        <f ca="1">SUM(Y62:Y69)</f>
        <v>0</v>
      </c>
      <c r="Z70" s="1490">
        <f t="shared" ref="Z70:AP70" ca="1" si="47">SUM(Z62:Z69)</f>
        <v>46.320148384799992</v>
      </c>
      <c r="AA70" s="1490">
        <f t="shared" ca="1" si="47"/>
        <v>0</v>
      </c>
      <c r="AB70" s="1490">
        <f t="shared" ca="1" si="47"/>
        <v>0</v>
      </c>
      <c r="AC70" s="1490">
        <f t="shared" ca="1" si="47"/>
        <v>0</v>
      </c>
      <c r="AD70" s="1490">
        <f t="shared" ca="1" si="47"/>
        <v>0</v>
      </c>
      <c r="AE70" s="1490">
        <f t="shared" ca="1" si="47"/>
        <v>0</v>
      </c>
      <c r="AF70" s="1490">
        <f t="shared" ca="1" si="47"/>
        <v>0</v>
      </c>
      <c r="AG70" s="1490">
        <f t="shared" ca="1" si="47"/>
        <v>0</v>
      </c>
      <c r="AH70" s="1490">
        <f t="shared" ca="1" si="47"/>
        <v>0</v>
      </c>
      <c r="AI70" s="1490">
        <f t="shared" ca="1" si="47"/>
        <v>0</v>
      </c>
      <c r="AJ70" s="1490">
        <f t="shared" ca="1" si="47"/>
        <v>0</v>
      </c>
      <c r="AK70" s="1490">
        <f t="shared" ca="1" si="47"/>
        <v>0</v>
      </c>
      <c r="AL70" s="1490">
        <f t="shared" ca="1" si="47"/>
        <v>0</v>
      </c>
      <c r="AM70" s="1490">
        <f t="shared" ca="1" si="47"/>
        <v>0</v>
      </c>
      <c r="AN70" s="1490">
        <f t="shared" ca="1" si="47"/>
        <v>0</v>
      </c>
      <c r="AO70" s="1490">
        <f t="shared" ca="1" si="47"/>
        <v>0</v>
      </c>
      <c r="AP70" s="1490">
        <f t="shared" ca="1" si="47"/>
        <v>0</v>
      </c>
      <c r="AQ70" s="1893">
        <f t="shared" ca="1" si="41"/>
        <v>46.320148384799992</v>
      </c>
      <c r="AS70" s="1491">
        <f ca="1">SUM(AS62:AS69)</f>
        <v>0</v>
      </c>
      <c r="AT70" s="1491">
        <f t="shared" ref="AT70:BK70" ca="1" si="48">SUM(AT62:AT69)</f>
        <v>0</v>
      </c>
      <c r="AU70" s="1491">
        <f t="shared" ca="1" si="48"/>
        <v>0</v>
      </c>
      <c r="AV70" s="1491">
        <f t="shared" ca="1" si="48"/>
        <v>0</v>
      </c>
      <c r="AW70" s="1491">
        <f t="shared" ca="1" si="48"/>
        <v>0</v>
      </c>
      <c r="AX70" s="1491">
        <f t="shared" ca="1" si="48"/>
        <v>0</v>
      </c>
      <c r="AY70" s="1491">
        <f t="shared" ca="1" si="48"/>
        <v>0</v>
      </c>
      <c r="AZ70" s="1491">
        <f t="shared" ca="1" si="48"/>
        <v>0</v>
      </c>
      <c r="BA70" s="1491">
        <f t="shared" ca="1" si="48"/>
        <v>0</v>
      </c>
      <c r="BB70" s="1491">
        <f t="shared" ca="1" si="48"/>
        <v>0</v>
      </c>
      <c r="BC70" s="1491">
        <f t="shared" ca="1" si="48"/>
        <v>-10.361411999999998</v>
      </c>
      <c r="BD70" s="1491">
        <f t="shared" ca="1" si="48"/>
        <v>-6.3555791999999975</v>
      </c>
      <c r="BE70" s="1491">
        <f t="shared" ca="1" si="48"/>
        <v>-8.6483602800000003E-2</v>
      </c>
      <c r="BF70" s="1491">
        <f t="shared" ca="1" si="48"/>
        <v>-0.26768734199999999</v>
      </c>
      <c r="BG70" s="1491">
        <f t="shared" ca="1" si="48"/>
        <v>-0.35064000000000006</v>
      </c>
      <c r="BH70" s="1491">
        <f t="shared" ca="1" si="48"/>
        <v>-29.092162499999997</v>
      </c>
      <c r="BI70" s="1491">
        <f t="shared" ca="1" si="48"/>
        <v>0</v>
      </c>
      <c r="BJ70" s="1491">
        <f t="shared" ca="1" si="48"/>
        <v>0</v>
      </c>
      <c r="BK70" s="1491">
        <f t="shared" ca="1" si="48"/>
        <v>0</v>
      </c>
      <c r="BL70" s="1952">
        <f t="shared" ca="1" si="44"/>
        <v>-46.513964644799991</v>
      </c>
      <c r="BN70" s="1941">
        <f ca="1">SUM(BN62:BN68)</f>
        <v>0.19381625999999999</v>
      </c>
      <c r="BO70" s="1941">
        <f ca="1">SUM(BO62:BO68)</f>
        <v>0</v>
      </c>
      <c r="BP70" s="1505">
        <f ca="1">BN70+BO70</f>
        <v>0.19381625999999999</v>
      </c>
      <c r="BR70" s="3168">
        <f t="shared" ca="1" si="12"/>
        <v>1.5820678100908481E-15</v>
      </c>
      <c r="BS70" s="1493"/>
      <c r="BT70" s="748"/>
      <c r="BU70" s="1508">
        <v>0</v>
      </c>
      <c r="BV70" s="1508">
        <v>0</v>
      </c>
      <c r="BW70" s="1508">
        <v>0</v>
      </c>
      <c r="BX70" s="1508">
        <v>0</v>
      </c>
      <c r="BY70" s="1508">
        <v>0</v>
      </c>
      <c r="BZ70" s="1508">
        <v>0</v>
      </c>
      <c r="CA70" s="1508">
        <v>0</v>
      </c>
      <c r="CB70" s="1508">
        <v>0</v>
      </c>
      <c r="CC70" s="1508">
        <v>0</v>
      </c>
      <c r="CD70" s="1508">
        <v>0</v>
      </c>
      <c r="CE70" s="1508">
        <v>0</v>
      </c>
      <c r="CF70" s="1508">
        <v>0</v>
      </c>
      <c r="CG70" s="1508">
        <v>0</v>
      </c>
      <c r="CH70" s="1508">
        <v>0</v>
      </c>
      <c r="CI70" s="1508">
        <v>0</v>
      </c>
      <c r="CJ70" s="1508">
        <v>0</v>
      </c>
      <c r="CK70" s="1508">
        <v>0</v>
      </c>
      <c r="CL70" s="1508">
        <v>0</v>
      </c>
      <c r="CM70" s="1508">
        <v>0</v>
      </c>
      <c r="CN70" s="1508">
        <v>0</v>
      </c>
      <c r="CO70" s="1508">
        <v>0</v>
      </c>
      <c r="CP70" s="1508">
        <v>0</v>
      </c>
      <c r="CQ70" s="1508">
        <v>0</v>
      </c>
      <c r="CR70" s="1508">
        <v>0</v>
      </c>
      <c r="CS70" s="1508">
        <v>0</v>
      </c>
      <c r="CT70" s="1508">
        <v>0</v>
      </c>
      <c r="CU70" s="1508">
        <v>0</v>
      </c>
      <c r="CV70" s="1508">
        <v>0</v>
      </c>
      <c r="CW70" s="1508">
        <v>0</v>
      </c>
      <c r="CX70" s="1508">
        <v>0</v>
      </c>
      <c r="CY70" s="1508">
        <v>0</v>
      </c>
      <c r="CZ70" s="1508">
        <v>0</v>
      </c>
      <c r="DA70" s="1508">
        <v>0</v>
      </c>
      <c r="DB70" s="1508">
        <v>0</v>
      </c>
      <c r="DC70" s="1508">
        <v>0</v>
      </c>
      <c r="DD70" s="1508">
        <v>0</v>
      </c>
      <c r="DE70" s="1508">
        <v>0</v>
      </c>
      <c r="DF70" s="1508">
        <v>0</v>
      </c>
      <c r="DG70" s="1508">
        <v>0</v>
      </c>
      <c r="DH70" s="1508">
        <v>0</v>
      </c>
      <c r="DI70" s="1508">
        <v>0</v>
      </c>
      <c r="DJ70" s="1508">
        <v>0</v>
      </c>
      <c r="DK70" s="1508">
        <v>0</v>
      </c>
      <c r="DL70" s="1508">
        <v>0</v>
      </c>
      <c r="DN70" s="1509">
        <v>0</v>
      </c>
    </row>
    <row r="71" spans="1:118" s="14" customFormat="1" ht="15.75" x14ac:dyDescent="0.2">
      <c r="A71" s="1534"/>
      <c r="B71" s="1535"/>
      <c r="C71" s="1536"/>
      <c r="D71" s="1537"/>
      <c r="E71" s="1538"/>
      <c r="G71" s="1488"/>
      <c r="H71" s="1488"/>
      <c r="I71" s="1488"/>
      <c r="J71" s="1488"/>
      <c r="K71" s="1488"/>
      <c r="L71" s="1488"/>
      <c r="M71" s="1488"/>
      <c r="N71" s="1488"/>
      <c r="O71" s="1488"/>
      <c r="P71" s="1488"/>
      <c r="Q71" s="1488"/>
      <c r="R71" s="1488"/>
      <c r="S71" s="1488"/>
      <c r="T71" s="1488"/>
      <c r="U71" s="1488"/>
      <c r="V71" s="1488"/>
      <c r="W71" s="1539"/>
      <c r="Y71" s="1490"/>
      <c r="Z71" s="1490"/>
      <c r="AA71" s="1490"/>
      <c r="AB71" s="1490"/>
      <c r="AC71" s="1490"/>
      <c r="AD71" s="1490"/>
      <c r="AE71" s="1490"/>
      <c r="AF71" s="1490"/>
      <c r="AG71" s="1490"/>
      <c r="AH71" s="1490"/>
      <c r="AI71" s="1490"/>
      <c r="AJ71" s="1490"/>
      <c r="AK71" s="1490"/>
      <c r="AL71" s="1490"/>
      <c r="AM71" s="1490"/>
      <c r="AN71" s="1490"/>
      <c r="AO71" s="1490"/>
      <c r="AP71" s="1490"/>
      <c r="AQ71" s="1893"/>
      <c r="AS71" s="1491"/>
      <c r="AT71" s="1491"/>
      <c r="AU71" s="1491"/>
      <c r="AV71" s="1491"/>
      <c r="AW71" s="1491"/>
      <c r="AX71" s="1491"/>
      <c r="AY71" s="1491"/>
      <c r="AZ71" s="1491"/>
      <c r="BA71" s="1491"/>
      <c r="BB71" s="1491"/>
      <c r="BC71" s="1491"/>
      <c r="BD71" s="1491"/>
      <c r="BE71" s="1491"/>
      <c r="BF71" s="1491"/>
      <c r="BG71" s="1491"/>
      <c r="BH71" s="1491"/>
      <c r="BI71" s="1491"/>
      <c r="BJ71" s="1491"/>
      <c r="BK71" s="1491"/>
      <c r="BL71" s="1491"/>
      <c r="BN71" s="1492"/>
      <c r="BO71" s="1492"/>
      <c r="BP71" s="1492"/>
      <c r="BR71" s="3168"/>
      <c r="BS71" s="1493"/>
      <c r="BT71" s="748"/>
      <c r="BU71" s="1508"/>
      <c r="BV71" s="1508"/>
      <c r="BW71" s="1508"/>
      <c r="BX71" s="1508"/>
      <c r="BY71" s="1508"/>
      <c r="BZ71" s="1508"/>
      <c r="CA71" s="1508"/>
      <c r="CB71" s="1508"/>
      <c r="CC71" s="1508"/>
      <c r="CD71" s="1508"/>
      <c r="CE71" s="1508"/>
      <c r="CF71" s="1508"/>
      <c r="CG71" s="1508"/>
      <c r="CH71" s="1508"/>
      <c r="CI71" s="1508"/>
      <c r="CJ71" s="1508"/>
      <c r="CK71" s="1508"/>
      <c r="CL71" s="1508"/>
      <c r="CM71" s="1508"/>
      <c r="CN71" s="1508"/>
      <c r="CO71" s="1508"/>
      <c r="CP71" s="1508"/>
      <c r="CQ71" s="1508"/>
      <c r="CR71" s="1508"/>
      <c r="CS71" s="1508"/>
      <c r="CT71" s="1508"/>
      <c r="CU71" s="1508"/>
      <c r="CV71" s="1508"/>
      <c r="CW71" s="1508"/>
      <c r="CX71" s="1508"/>
      <c r="CY71" s="1508"/>
      <c r="CZ71" s="1508"/>
      <c r="DA71" s="1508"/>
      <c r="DB71" s="1508"/>
      <c r="DC71" s="1508"/>
      <c r="DD71" s="1508"/>
      <c r="DE71" s="1508"/>
      <c r="DF71" s="1508"/>
      <c r="DG71" s="1508"/>
      <c r="DH71" s="1508"/>
      <c r="DI71" s="1508"/>
      <c r="DJ71" s="1508"/>
      <c r="DK71" s="1508"/>
      <c r="DL71" s="1508"/>
      <c r="DN71" s="1509"/>
    </row>
    <row r="72" spans="1:118" s="14" customFormat="1" ht="12.75" customHeight="1" outlineLevel="1" x14ac:dyDescent="0.2">
      <c r="A72" s="1534"/>
      <c r="B72" s="1534"/>
      <c r="C72" s="1544"/>
      <c r="D72" s="1538"/>
      <c r="E72" s="1538"/>
      <c r="G72" s="1488"/>
      <c r="H72" s="1488"/>
      <c r="I72" s="1488"/>
      <c r="J72" s="1488"/>
      <c r="K72" s="1488"/>
      <c r="L72" s="1488"/>
      <c r="M72" s="1488"/>
      <c r="N72" s="1488"/>
      <c r="O72" s="1563"/>
      <c r="P72" s="1488"/>
      <c r="Q72" s="1488"/>
      <c r="R72" s="1488"/>
      <c r="S72" s="1488"/>
      <c r="T72" s="1488"/>
      <c r="U72" s="1488"/>
      <c r="V72" s="1488"/>
      <c r="W72" s="1488"/>
      <c r="Y72" s="1490"/>
      <c r="Z72" s="1490"/>
      <c r="AA72" s="1490"/>
      <c r="AB72" s="1490"/>
      <c r="AC72" s="1490"/>
      <c r="AD72" s="1490"/>
      <c r="AE72" s="1490"/>
      <c r="AF72" s="1490"/>
      <c r="AG72" s="1490"/>
      <c r="AH72" s="1490"/>
      <c r="AI72" s="1490"/>
      <c r="AJ72" s="1490"/>
      <c r="AK72" s="1490"/>
      <c r="AL72" s="1490"/>
      <c r="AM72" s="1490"/>
      <c r="AN72" s="1490"/>
      <c r="AO72" s="1490"/>
      <c r="AP72" s="1490"/>
      <c r="AQ72" s="1893"/>
      <c r="AS72" s="1491"/>
      <c r="AT72" s="1491"/>
      <c r="AU72" s="1491"/>
      <c r="AV72" s="1491"/>
      <c r="AW72" s="1491"/>
      <c r="AX72" s="1491"/>
      <c r="AY72" s="1491"/>
      <c r="AZ72" s="1491"/>
      <c r="BA72" s="1491"/>
      <c r="BB72" s="1491"/>
      <c r="BC72" s="1491"/>
      <c r="BD72" s="1491"/>
      <c r="BE72" s="1491"/>
      <c r="BF72" s="1491"/>
      <c r="BG72" s="1491"/>
      <c r="BH72" s="1491"/>
      <c r="BI72" s="1491"/>
      <c r="BJ72" s="1491"/>
      <c r="BK72" s="1491"/>
      <c r="BL72" s="1491"/>
      <c r="BN72" s="1492"/>
      <c r="BO72" s="1492"/>
      <c r="BP72" s="1492"/>
      <c r="BR72" s="3168">
        <f t="shared" si="12"/>
        <v>0</v>
      </c>
      <c r="BS72" s="1493"/>
      <c r="BT72" s="1534"/>
      <c r="BU72" s="1508"/>
      <c r="BV72" s="1508"/>
      <c r="BW72" s="1508"/>
      <c r="BX72" s="1508"/>
      <c r="BY72" s="1508"/>
      <c r="BZ72" s="1508"/>
      <c r="CA72" s="1508"/>
      <c r="CB72" s="1508"/>
      <c r="CC72" s="1508"/>
      <c r="CD72" s="1508"/>
      <c r="CE72" s="1508"/>
      <c r="CF72" s="1508"/>
      <c r="CG72" s="1508"/>
      <c r="CH72" s="1508"/>
      <c r="CI72" s="1508"/>
      <c r="CJ72" s="1508"/>
      <c r="CK72" s="1508"/>
      <c r="CL72" s="1508"/>
      <c r="CM72" s="1508"/>
      <c r="CN72" s="1508"/>
      <c r="CO72" s="1508"/>
      <c r="CP72" s="1508"/>
      <c r="CQ72" s="1508"/>
      <c r="CR72" s="1508"/>
      <c r="CS72" s="1508"/>
      <c r="CT72" s="1508"/>
      <c r="CU72" s="1508"/>
      <c r="CV72" s="1508"/>
      <c r="CW72" s="1508"/>
      <c r="CX72" s="1508"/>
      <c r="CY72" s="1508"/>
      <c r="CZ72" s="1508"/>
      <c r="DA72" s="1508"/>
      <c r="DB72" s="1508"/>
      <c r="DC72" s="1508"/>
      <c r="DD72" s="1508"/>
      <c r="DE72" s="1508"/>
      <c r="DF72" s="1508"/>
      <c r="DG72" s="1508"/>
      <c r="DH72" s="1508"/>
      <c r="DI72" s="1508"/>
      <c r="DJ72" s="1508"/>
      <c r="DK72" s="1508"/>
      <c r="DL72" s="1508"/>
      <c r="DN72" s="1509">
        <v>0</v>
      </c>
    </row>
    <row r="73" spans="1:118" s="1522" customFormat="1" ht="12.75" customHeight="1" outlineLevel="1" x14ac:dyDescent="0.2">
      <c r="C73" s="1496" t="s">
        <v>62</v>
      </c>
      <c r="D73" s="14" t="str">
        <f>INDEX(Modulos[Modulos], MATCH($C73, Modulos[Código], 0))</f>
        <v>Solar de menor escala (GD)</v>
      </c>
      <c r="E73" s="1497"/>
      <c r="G73" s="1581"/>
      <c r="H73" s="1581"/>
      <c r="I73" s="1581"/>
      <c r="J73" s="1581"/>
      <c r="K73" s="1581"/>
      <c r="L73" s="1581"/>
      <c r="M73" s="1581"/>
      <c r="N73" s="1581"/>
      <c r="O73" s="1582"/>
      <c r="P73" s="1581"/>
      <c r="Q73" s="1581"/>
      <c r="R73" s="1581"/>
      <c r="S73" s="1581"/>
      <c r="T73" s="1581"/>
      <c r="U73" s="1581"/>
      <c r="V73" s="1581"/>
      <c r="W73" s="1583"/>
      <c r="Y73" s="1893">
        <f t="shared" ref="Y73:AH74" ca="1" si="49">IFERROR(INDEX(INDIRECT($C73&amp;".Outputs["&amp;this.Year&amp;"]"), MATCH(Y$5, INDIRECT($C73&amp;".Outputs[Vector]"), 0)), 0)</f>
        <v>0</v>
      </c>
      <c r="Z73" s="1893">
        <f t="shared" ca="1" si="49"/>
        <v>0.44255994096679807</v>
      </c>
      <c r="AA73" s="1893">
        <f t="shared" ca="1" si="49"/>
        <v>0</v>
      </c>
      <c r="AB73" s="1893">
        <f t="shared" ca="1" si="49"/>
        <v>0</v>
      </c>
      <c r="AC73" s="1893">
        <f t="shared" ca="1" si="49"/>
        <v>0</v>
      </c>
      <c r="AD73" s="1893">
        <f t="shared" ca="1" si="49"/>
        <v>0</v>
      </c>
      <c r="AE73" s="1893">
        <f t="shared" ca="1" si="49"/>
        <v>0</v>
      </c>
      <c r="AF73" s="1893">
        <f t="shared" ca="1" si="49"/>
        <v>0</v>
      </c>
      <c r="AG73" s="1893">
        <f t="shared" ca="1" si="49"/>
        <v>0</v>
      </c>
      <c r="AH73" s="1893">
        <f t="shared" ca="1" si="49"/>
        <v>0</v>
      </c>
      <c r="AI73" s="1893">
        <f t="shared" ref="AI73:AP74" ca="1" si="50">IFERROR(INDEX(INDIRECT($C73&amp;".Outputs["&amp;this.Year&amp;"]"), MATCH(AI$5, INDIRECT($C73&amp;".Outputs[Vector]"), 0)), 0)</f>
        <v>0</v>
      </c>
      <c r="AJ73" s="1893">
        <f t="shared" ca="1" si="50"/>
        <v>0</v>
      </c>
      <c r="AK73" s="1893">
        <f t="shared" ca="1" si="50"/>
        <v>0</v>
      </c>
      <c r="AL73" s="1893">
        <f t="shared" ca="1" si="50"/>
        <v>0</v>
      </c>
      <c r="AM73" s="1893">
        <f t="shared" ca="1" si="50"/>
        <v>0</v>
      </c>
      <c r="AN73" s="1893">
        <f t="shared" ca="1" si="50"/>
        <v>0</v>
      </c>
      <c r="AO73" s="1893">
        <f t="shared" ca="1" si="50"/>
        <v>0</v>
      </c>
      <c r="AP73" s="1893">
        <f t="shared" ca="1" si="50"/>
        <v>0</v>
      </c>
      <c r="AQ73" s="1893">
        <f ca="1">SUM(Y73:AP73)</f>
        <v>0.44255994096679807</v>
      </c>
      <c r="AS73" s="1948">
        <f t="shared" ref="AS73:BB74" ca="1" si="51">IFERROR(INDEX(INDIRECT($C73&amp;".Outputs["&amp;this.Year&amp;"]"), MATCH(AS$5, INDIRECT($C73&amp;".Outputs[Vector]"), 0)), 0)</f>
        <v>0</v>
      </c>
      <c r="AT73" s="1948">
        <f t="shared" ca="1" si="51"/>
        <v>0</v>
      </c>
      <c r="AU73" s="1948">
        <f t="shared" ca="1" si="51"/>
        <v>0</v>
      </c>
      <c r="AV73" s="1948">
        <f t="shared" ca="1" si="51"/>
        <v>0</v>
      </c>
      <c r="AW73" s="1948">
        <f t="shared" ca="1" si="51"/>
        <v>0</v>
      </c>
      <c r="AX73" s="1948">
        <f t="shared" ca="1" si="51"/>
        <v>0</v>
      </c>
      <c r="AY73" s="1948">
        <f t="shared" ca="1" si="51"/>
        <v>0</v>
      </c>
      <c r="AZ73" s="1948">
        <f t="shared" ca="1" si="51"/>
        <v>0</v>
      </c>
      <c r="BA73" s="1948">
        <f t="shared" ca="1" si="51"/>
        <v>0</v>
      </c>
      <c r="BB73" s="1948">
        <f t="shared" ca="1" si="51"/>
        <v>0</v>
      </c>
      <c r="BC73" s="1948">
        <f t="shared" ref="BC73:BK74" ca="1" si="52">IFERROR(INDEX(INDIRECT($C73&amp;".Outputs["&amp;this.Year&amp;"]"), MATCH(BC$5, INDIRECT($C73&amp;".Outputs[Vector]"), 0)), 0)</f>
        <v>-0.44255994096679807</v>
      </c>
      <c r="BD73" s="1948">
        <f t="shared" ca="1" si="52"/>
        <v>0</v>
      </c>
      <c r="BE73" s="1948">
        <f t="shared" ca="1" si="52"/>
        <v>0</v>
      </c>
      <c r="BF73" s="1948">
        <f t="shared" ca="1" si="52"/>
        <v>0</v>
      </c>
      <c r="BG73" s="1948">
        <f t="shared" ca="1" si="52"/>
        <v>0</v>
      </c>
      <c r="BH73" s="1948">
        <f t="shared" ca="1" si="52"/>
        <v>0</v>
      </c>
      <c r="BI73" s="1948">
        <f t="shared" ca="1" si="52"/>
        <v>0</v>
      </c>
      <c r="BJ73" s="1948">
        <f t="shared" ca="1" si="52"/>
        <v>0</v>
      </c>
      <c r="BK73" s="1948">
        <f t="shared" ca="1" si="52"/>
        <v>0</v>
      </c>
      <c r="BL73" s="1952">
        <f ca="1">SUM(AS73:BK73)</f>
        <v>-0.44255994096679807</v>
      </c>
      <c r="BN73" s="1941">
        <f ca="1">IFERROR(INDEX(INDIRECT($C73&amp;".Outputs["&amp;this.Year&amp;"]"), MATCH(BN$5, INDIRECT($C73&amp;".Outputs[Vector]"), 0)), 0)</f>
        <v>0</v>
      </c>
      <c r="BO73" s="1941">
        <f ca="1">IFERROR(INDEX(INDIRECT($C73&amp;".Outputs["&amp;this.Year&amp;"]"), MATCH(BO$5, INDIRECT($C73&amp;".Outputs[Vector]"), 0)), 0)</f>
        <v>0</v>
      </c>
      <c r="BP73" s="1505">
        <f ca="1">BN73+BO73</f>
        <v>0</v>
      </c>
      <c r="BR73" s="3168">
        <f t="shared" ca="1" si="12"/>
        <v>0</v>
      </c>
      <c r="BS73" s="1525"/>
      <c r="BU73" s="1589">
        <v>0</v>
      </c>
      <c r="BV73" s="1589">
        <v>0</v>
      </c>
      <c r="BW73" s="1589">
        <v>0</v>
      </c>
      <c r="BX73" s="1589">
        <v>0</v>
      </c>
      <c r="BY73" s="1589">
        <v>0</v>
      </c>
      <c r="BZ73" s="1589">
        <v>0</v>
      </c>
      <c r="CA73" s="1589">
        <v>0</v>
      </c>
      <c r="CB73" s="1589">
        <v>0</v>
      </c>
      <c r="CC73" s="1589">
        <v>0</v>
      </c>
      <c r="CD73" s="1589">
        <v>0</v>
      </c>
      <c r="CE73" s="1589">
        <v>0</v>
      </c>
      <c r="CF73" s="1589">
        <v>0</v>
      </c>
      <c r="CG73" s="1589">
        <v>0</v>
      </c>
      <c r="CH73" s="1589">
        <v>0</v>
      </c>
      <c r="CI73" s="1589">
        <v>0</v>
      </c>
      <c r="CJ73" s="1589">
        <v>0</v>
      </c>
      <c r="CK73" s="1589">
        <v>0</v>
      </c>
      <c r="CL73" s="1589">
        <v>0</v>
      </c>
      <c r="CM73" s="1589">
        <v>0</v>
      </c>
      <c r="CN73" s="1589">
        <v>0</v>
      </c>
      <c r="CO73" s="1589">
        <v>0</v>
      </c>
      <c r="CP73" s="1589">
        <v>0</v>
      </c>
      <c r="CQ73" s="1589">
        <v>0</v>
      </c>
      <c r="CR73" s="1589">
        <v>0</v>
      </c>
      <c r="CS73" s="1589">
        <v>0</v>
      </c>
      <c r="CT73" s="1589">
        <v>0</v>
      </c>
      <c r="CU73" s="1589">
        <v>0</v>
      </c>
      <c r="CV73" s="1589">
        <v>0</v>
      </c>
      <c r="CW73" s="1589">
        <v>0</v>
      </c>
      <c r="CX73" s="1589">
        <v>0</v>
      </c>
      <c r="CY73" s="1589">
        <v>0</v>
      </c>
      <c r="CZ73" s="1589">
        <v>0</v>
      </c>
      <c r="DA73" s="1589">
        <v>0</v>
      </c>
      <c r="DB73" s="1589">
        <v>0</v>
      </c>
      <c r="DC73" s="1589">
        <v>0</v>
      </c>
      <c r="DD73" s="1589">
        <v>0</v>
      </c>
      <c r="DE73" s="1589">
        <v>0</v>
      </c>
      <c r="DF73" s="1589">
        <v>0</v>
      </c>
      <c r="DG73" s="1589">
        <v>0</v>
      </c>
      <c r="DH73" s="1589">
        <v>0</v>
      </c>
      <c r="DI73" s="1589">
        <v>0</v>
      </c>
      <c r="DJ73" s="1589">
        <v>0</v>
      </c>
      <c r="DK73" s="1589">
        <v>0</v>
      </c>
      <c r="DL73" s="1589">
        <v>0</v>
      </c>
      <c r="DN73" s="1590">
        <v>0</v>
      </c>
    </row>
    <row r="74" spans="1:118" s="1522" customFormat="1" ht="12.75" customHeight="1" outlineLevel="1" x14ac:dyDescent="0.2">
      <c r="C74" s="1496"/>
      <c r="D74" s="14"/>
      <c r="E74" s="1497"/>
      <c r="G74" s="1581"/>
      <c r="H74" s="1581"/>
      <c r="I74" s="1581"/>
      <c r="J74" s="1581"/>
      <c r="K74" s="1581"/>
      <c r="L74" s="1581"/>
      <c r="M74" s="1581"/>
      <c r="N74" s="1581"/>
      <c r="O74" s="1582"/>
      <c r="P74" s="1581"/>
      <c r="Q74" s="1581"/>
      <c r="R74" s="1581"/>
      <c r="S74" s="1581"/>
      <c r="T74" s="1581"/>
      <c r="U74" s="1581"/>
      <c r="V74" s="1581"/>
      <c r="W74" s="1583"/>
      <c r="Y74" s="1893">
        <f t="shared" ca="1" si="49"/>
        <v>0</v>
      </c>
      <c r="Z74" s="1893">
        <f t="shared" ca="1" si="49"/>
        <v>0</v>
      </c>
      <c r="AA74" s="1893">
        <f t="shared" ca="1" si="49"/>
        <v>0</v>
      </c>
      <c r="AB74" s="1893">
        <f t="shared" ca="1" si="49"/>
        <v>0</v>
      </c>
      <c r="AC74" s="1893">
        <f t="shared" ca="1" si="49"/>
        <v>0</v>
      </c>
      <c r="AD74" s="1893">
        <f t="shared" ca="1" si="49"/>
        <v>0</v>
      </c>
      <c r="AE74" s="1893">
        <f t="shared" ca="1" si="49"/>
        <v>0</v>
      </c>
      <c r="AF74" s="1893">
        <f t="shared" ca="1" si="49"/>
        <v>0</v>
      </c>
      <c r="AG74" s="1893">
        <f t="shared" ca="1" si="49"/>
        <v>0</v>
      </c>
      <c r="AH74" s="1893">
        <f t="shared" ca="1" si="49"/>
        <v>0</v>
      </c>
      <c r="AI74" s="1893">
        <f t="shared" ca="1" si="50"/>
        <v>0</v>
      </c>
      <c r="AJ74" s="1893">
        <f t="shared" ca="1" si="50"/>
        <v>0</v>
      </c>
      <c r="AK74" s="1893">
        <f t="shared" ca="1" si="50"/>
        <v>0</v>
      </c>
      <c r="AL74" s="1893">
        <f t="shared" ca="1" si="50"/>
        <v>0</v>
      </c>
      <c r="AM74" s="1893">
        <f t="shared" ca="1" si="50"/>
        <v>0</v>
      </c>
      <c r="AN74" s="1893">
        <f t="shared" ca="1" si="50"/>
        <v>0</v>
      </c>
      <c r="AO74" s="1893">
        <f t="shared" ca="1" si="50"/>
        <v>0</v>
      </c>
      <c r="AP74" s="1893">
        <f t="shared" ca="1" si="50"/>
        <v>0</v>
      </c>
      <c r="AQ74" s="1893">
        <f ca="1">SUM(Y74:AP74)</f>
        <v>0</v>
      </c>
      <c r="AS74" s="1948">
        <f t="shared" ca="1" si="51"/>
        <v>0</v>
      </c>
      <c r="AT74" s="1948">
        <f t="shared" ca="1" si="51"/>
        <v>0</v>
      </c>
      <c r="AU74" s="1948">
        <f t="shared" ca="1" si="51"/>
        <v>0</v>
      </c>
      <c r="AV74" s="1948">
        <f t="shared" ca="1" si="51"/>
        <v>0</v>
      </c>
      <c r="AW74" s="1948">
        <f t="shared" ca="1" si="51"/>
        <v>0</v>
      </c>
      <c r="AX74" s="1948">
        <f t="shared" ca="1" si="51"/>
        <v>0</v>
      </c>
      <c r="AY74" s="1948">
        <f t="shared" ca="1" si="51"/>
        <v>0</v>
      </c>
      <c r="AZ74" s="1948">
        <f t="shared" ca="1" si="51"/>
        <v>0</v>
      </c>
      <c r="BA74" s="1948">
        <f t="shared" ca="1" si="51"/>
        <v>0</v>
      </c>
      <c r="BB74" s="1948">
        <f t="shared" ca="1" si="51"/>
        <v>0</v>
      </c>
      <c r="BC74" s="1948">
        <f t="shared" ca="1" si="52"/>
        <v>0</v>
      </c>
      <c r="BD74" s="1948">
        <f t="shared" ca="1" si="52"/>
        <v>0</v>
      </c>
      <c r="BE74" s="1948">
        <f t="shared" ca="1" si="52"/>
        <v>0</v>
      </c>
      <c r="BF74" s="1948">
        <f t="shared" ca="1" si="52"/>
        <v>0</v>
      </c>
      <c r="BG74" s="1948">
        <f t="shared" ca="1" si="52"/>
        <v>0</v>
      </c>
      <c r="BH74" s="1948">
        <f t="shared" ca="1" si="52"/>
        <v>0</v>
      </c>
      <c r="BI74" s="1948">
        <f t="shared" ca="1" si="52"/>
        <v>0</v>
      </c>
      <c r="BJ74" s="1948">
        <f t="shared" ca="1" si="52"/>
        <v>0</v>
      </c>
      <c r="BK74" s="1948">
        <f t="shared" ca="1" si="52"/>
        <v>0</v>
      </c>
      <c r="BL74" s="1952">
        <f ca="1">SUM(AS74:BK74)</f>
        <v>0</v>
      </c>
      <c r="BN74" s="1941">
        <f ca="1">IFERROR(INDEX(INDIRECT($C74&amp;".Outputs["&amp;this.Year&amp;"]"), MATCH(BN$5, INDIRECT($C74&amp;".Outputs[Vector]"), 0)), 0)</f>
        <v>0</v>
      </c>
      <c r="BO74" s="1941">
        <f ca="1">IFERROR(INDEX(INDIRECT($C74&amp;".Outputs["&amp;this.Year&amp;"]"), MATCH(BO$5, INDIRECT($C74&amp;".Outputs[Vector]"), 0)), 0)</f>
        <v>0</v>
      </c>
      <c r="BP74" s="1505">
        <f ca="1">BN74+BO74</f>
        <v>0</v>
      </c>
      <c r="BR74" s="3168">
        <f t="shared" ca="1" si="12"/>
        <v>0</v>
      </c>
      <c r="BS74" s="1525"/>
      <c r="BU74" s="1589">
        <v>0</v>
      </c>
      <c r="BV74" s="1589">
        <v>0</v>
      </c>
      <c r="BW74" s="1589">
        <v>0</v>
      </c>
      <c r="BX74" s="1589">
        <v>0</v>
      </c>
      <c r="BY74" s="1589">
        <v>0</v>
      </c>
      <c r="BZ74" s="1589">
        <v>0</v>
      </c>
      <c r="CA74" s="1589">
        <v>0</v>
      </c>
      <c r="CB74" s="1589">
        <v>0</v>
      </c>
      <c r="CC74" s="1589">
        <v>0</v>
      </c>
      <c r="CD74" s="1589">
        <v>0</v>
      </c>
      <c r="CE74" s="1589">
        <v>0</v>
      </c>
      <c r="CF74" s="1589">
        <v>0</v>
      </c>
      <c r="CG74" s="1589">
        <v>0</v>
      </c>
      <c r="CH74" s="1589">
        <v>0</v>
      </c>
      <c r="CI74" s="1589">
        <v>0</v>
      </c>
      <c r="CJ74" s="1589">
        <v>0</v>
      </c>
      <c r="CK74" s="1589">
        <v>0</v>
      </c>
      <c r="CL74" s="1589">
        <v>0</v>
      </c>
      <c r="CM74" s="1589">
        <v>0</v>
      </c>
      <c r="CN74" s="1589">
        <v>0</v>
      </c>
      <c r="CO74" s="1589">
        <v>0</v>
      </c>
      <c r="CP74" s="1589">
        <v>0</v>
      </c>
      <c r="CQ74" s="1589">
        <v>0</v>
      </c>
      <c r="CR74" s="1589">
        <v>0</v>
      </c>
      <c r="CS74" s="1589">
        <v>0</v>
      </c>
      <c r="CT74" s="1589">
        <v>0</v>
      </c>
      <c r="CU74" s="1589">
        <v>0</v>
      </c>
      <c r="CV74" s="1589">
        <v>0</v>
      </c>
      <c r="CW74" s="1589">
        <v>0</v>
      </c>
      <c r="CX74" s="1589">
        <v>0</v>
      </c>
      <c r="CY74" s="1589">
        <v>0</v>
      </c>
      <c r="CZ74" s="1589">
        <v>0</v>
      </c>
      <c r="DA74" s="1589">
        <v>0</v>
      </c>
      <c r="DB74" s="1589">
        <v>0</v>
      </c>
      <c r="DC74" s="1589">
        <v>0</v>
      </c>
      <c r="DD74" s="1589">
        <v>0</v>
      </c>
      <c r="DE74" s="1589">
        <v>0</v>
      </c>
      <c r="DF74" s="1589">
        <v>0</v>
      </c>
      <c r="DG74" s="1589">
        <v>0</v>
      </c>
      <c r="DH74" s="1589">
        <v>0</v>
      </c>
      <c r="DI74" s="1589">
        <v>0</v>
      </c>
      <c r="DJ74" s="1589">
        <v>0</v>
      </c>
      <c r="DK74" s="1589">
        <v>0</v>
      </c>
      <c r="DL74" s="1589">
        <v>0</v>
      </c>
      <c r="DN74" s="1590">
        <v>0</v>
      </c>
    </row>
    <row r="75" spans="1:118" s="1522" customFormat="1" ht="12.75" customHeight="1" outlineLevel="1" x14ac:dyDescent="0.2">
      <c r="C75" s="1496"/>
      <c r="D75" s="1497"/>
      <c r="E75" s="1497"/>
      <c r="G75" s="1581"/>
      <c r="H75" s="1581"/>
      <c r="I75" s="1581"/>
      <c r="J75" s="1581"/>
      <c r="K75" s="1581"/>
      <c r="L75" s="1581"/>
      <c r="M75" s="1581"/>
      <c r="N75" s="1581"/>
      <c r="O75" s="1582"/>
      <c r="P75" s="1581"/>
      <c r="Q75" s="1581"/>
      <c r="R75" s="1581"/>
      <c r="S75" s="1581"/>
      <c r="T75" s="1581"/>
      <c r="U75" s="1581"/>
      <c r="V75" s="1581"/>
      <c r="W75" s="1583"/>
      <c r="Y75" s="1584"/>
      <c r="Z75" s="1584"/>
      <c r="AA75" s="1584"/>
      <c r="AB75" s="1584"/>
      <c r="AC75" s="1584"/>
      <c r="AD75" s="1584"/>
      <c r="AE75" s="1584"/>
      <c r="AF75" s="1584"/>
      <c r="AG75" s="1584"/>
      <c r="AH75" s="1584"/>
      <c r="AI75" s="1584"/>
      <c r="AJ75" s="1584"/>
      <c r="AK75" s="1584"/>
      <c r="AL75" s="1584"/>
      <c r="AM75" s="1584"/>
      <c r="AN75" s="1584"/>
      <c r="AO75" s="1584"/>
      <c r="AP75" s="1584"/>
      <c r="AQ75" s="1954"/>
      <c r="AS75" s="1586"/>
      <c r="AT75" s="1586"/>
      <c r="AU75" s="1586"/>
      <c r="AV75" s="1586"/>
      <c r="AW75" s="1586"/>
      <c r="AX75" s="1586"/>
      <c r="AY75" s="1586"/>
      <c r="AZ75" s="1586"/>
      <c r="BA75" s="1586"/>
      <c r="BB75" s="1586"/>
      <c r="BC75" s="1586"/>
      <c r="BD75" s="1586"/>
      <c r="BE75" s="1586"/>
      <c r="BF75" s="1586"/>
      <c r="BG75" s="1586"/>
      <c r="BH75" s="1586"/>
      <c r="BI75" s="1586"/>
      <c r="BJ75" s="1586"/>
      <c r="BK75" s="1586"/>
      <c r="BL75" s="1524"/>
      <c r="BN75" s="1587"/>
      <c r="BO75" s="1587"/>
      <c r="BP75" s="1588"/>
      <c r="BR75" s="3168">
        <f t="shared" si="12"/>
        <v>0</v>
      </c>
      <c r="BS75" s="1525"/>
      <c r="BU75" s="1589"/>
      <c r="BV75" s="1589"/>
      <c r="BW75" s="1589"/>
      <c r="BX75" s="1589"/>
      <c r="BY75" s="1589"/>
      <c r="BZ75" s="1589"/>
      <c r="CA75" s="1589"/>
      <c r="CB75" s="1589"/>
      <c r="CC75" s="1589"/>
      <c r="CD75" s="1589"/>
      <c r="CE75" s="1589"/>
      <c r="CF75" s="1589"/>
      <c r="CG75" s="1589"/>
      <c r="CH75" s="1589"/>
      <c r="CI75" s="1589"/>
      <c r="CJ75" s="1589"/>
      <c r="CK75" s="1589"/>
      <c r="CL75" s="1589"/>
      <c r="CM75" s="1589"/>
      <c r="CN75" s="1589"/>
      <c r="CO75" s="1589"/>
      <c r="CP75" s="1589"/>
      <c r="CQ75" s="1589"/>
      <c r="CR75" s="1589"/>
      <c r="CS75" s="1589"/>
      <c r="CT75" s="1589"/>
      <c r="CU75" s="1589"/>
      <c r="CV75" s="1589"/>
      <c r="CW75" s="1589"/>
      <c r="CX75" s="1589"/>
      <c r="CY75" s="1589"/>
      <c r="CZ75" s="1589"/>
      <c r="DA75" s="1589"/>
      <c r="DB75" s="1589"/>
      <c r="DC75" s="1589"/>
      <c r="DD75" s="1589"/>
      <c r="DE75" s="1589"/>
      <c r="DF75" s="1589"/>
      <c r="DG75" s="1589"/>
      <c r="DH75" s="1589"/>
      <c r="DI75" s="1589"/>
      <c r="DJ75" s="1589"/>
      <c r="DK75" s="1589"/>
      <c r="DL75" s="1589"/>
      <c r="DN75" s="1590"/>
    </row>
    <row r="76" spans="1:118" s="14" customFormat="1" ht="15.75" x14ac:dyDescent="0.2">
      <c r="A76" s="1534"/>
      <c r="B76" s="1535"/>
      <c r="C76" s="1536" t="s">
        <v>736</v>
      </c>
      <c r="D76" s="1537" t="str">
        <f>INDEX(Flujos[Flujos], MATCH($C76, Flujos[Código], 0))</f>
        <v>Generación Distribuida</v>
      </c>
      <c r="E76" s="1538"/>
      <c r="G76" s="1539"/>
      <c r="H76" s="1539"/>
      <c r="I76" s="1539"/>
      <c r="J76" s="1539"/>
      <c r="K76" s="1539"/>
      <c r="L76" s="1539"/>
      <c r="M76" s="1539"/>
      <c r="N76" s="1539"/>
      <c r="O76" s="1539"/>
      <c r="P76" s="1539"/>
      <c r="Q76" s="1539"/>
      <c r="R76" s="1539"/>
      <c r="S76" s="1539"/>
      <c r="T76" s="1539"/>
      <c r="U76" s="1539"/>
      <c r="V76" s="1539"/>
      <c r="W76" s="1539"/>
      <c r="Y76" s="1490">
        <f ca="1">Y73+Y74</f>
        <v>0</v>
      </c>
      <c r="Z76" s="1490">
        <f t="shared" ref="Z76:AP76" ca="1" si="53">Z73+Z74</f>
        <v>0.44255994096679807</v>
      </c>
      <c r="AA76" s="1490">
        <f t="shared" ca="1" si="53"/>
        <v>0</v>
      </c>
      <c r="AB76" s="1490">
        <f t="shared" ca="1" si="53"/>
        <v>0</v>
      </c>
      <c r="AC76" s="1490">
        <f t="shared" ca="1" si="53"/>
        <v>0</v>
      </c>
      <c r="AD76" s="1490">
        <f t="shared" ca="1" si="53"/>
        <v>0</v>
      </c>
      <c r="AE76" s="1490">
        <f t="shared" ca="1" si="53"/>
        <v>0</v>
      </c>
      <c r="AF76" s="1490">
        <f t="shared" ca="1" si="53"/>
        <v>0</v>
      </c>
      <c r="AG76" s="1490">
        <f t="shared" ca="1" si="53"/>
        <v>0</v>
      </c>
      <c r="AH76" s="1490">
        <f t="shared" ca="1" si="53"/>
        <v>0</v>
      </c>
      <c r="AI76" s="1490">
        <f t="shared" ca="1" si="53"/>
        <v>0</v>
      </c>
      <c r="AJ76" s="1490">
        <f t="shared" ca="1" si="53"/>
        <v>0</v>
      </c>
      <c r="AK76" s="1490">
        <f t="shared" ca="1" si="53"/>
        <v>0</v>
      </c>
      <c r="AL76" s="1490">
        <f t="shared" ca="1" si="53"/>
        <v>0</v>
      </c>
      <c r="AM76" s="1490">
        <f t="shared" ca="1" si="53"/>
        <v>0</v>
      </c>
      <c r="AN76" s="1490">
        <f t="shared" ca="1" si="53"/>
        <v>0</v>
      </c>
      <c r="AO76" s="1490">
        <f t="shared" ca="1" si="53"/>
        <v>0</v>
      </c>
      <c r="AP76" s="1490">
        <f t="shared" ca="1" si="53"/>
        <v>0</v>
      </c>
      <c r="AQ76" s="1893">
        <f ca="1">SUM(Y76:AP76)</f>
        <v>0.44255994096679807</v>
      </c>
      <c r="AS76" s="1491">
        <f ca="1">AS73+AS74</f>
        <v>0</v>
      </c>
      <c r="AT76" s="1491">
        <f t="shared" ref="AT76:BK76" ca="1" si="54">AT73+AT74</f>
        <v>0</v>
      </c>
      <c r="AU76" s="1491">
        <f t="shared" ca="1" si="54"/>
        <v>0</v>
      </c>
      <c r="AV76" s="1491">
        <f t="shared" ca="1" si="54"/>
        <v>0</v>
      </c>
      <c r="AW76" s="1491">
        <f t="shared" ca="1" si="54"/>
        <v>0</v>
      </c>
      <c r="AX76" s="1491">
        <f t="shared" ca="1" si="54"/>
        <v>0</v>
      </c>
      <c r="AY76" s="1491">
        <f t="shared" ca="1" si="54"/>
        <v>0</v>
      </c>
      <c r="AZ76" s="1491">
        <f t="shared" ca="1" si="54"/>
        <v>0</v>
      </c>
      <c r="BA76" s="1491">
        <f t="shared" ca="1" si="54"/>
        <v>0</v>
      </c>
      <c r="BB76" s="1491">
        <f t="shared" ca="1" si="54"/>
        <v>0</v>
      </c>
      <c r="BC76" s="1949">
        <f t="shared" ca="1" si="54"/>
        <v>-0.44255994096679807</v>
      </c>
      <c r="BD76" s="1949">
        <f t="shared" ca="1" si="54"/>
        <v>0</v>
      </c>
      <c r="BE76" s="1491">
        <f t="shared" ca="1" si="54"/>
        <v>0</v>
      </c>
      <c r="BF76" s="1491">
        <f t="shared" ca="1" si="54"/>
        <v>0</v>
      </c>
      <c r="BG76" s="1491">
        <f t="shared" ca="1" si="54"/>
        <v>0</v>
      </c>
      <c r="BH76" s="1491">
        <f t="shared" ca="1" si="54"/>
        <v>0</v>
      </c>
      <c r="BI76" s="1491">
        <f t="shared" ca="1" si="54"/>
        <v>0</v>
      </c>
      <c r="BJ76" s="1491">
        <f t="shared" ca="1" si="54"/>
        <v>0</v>
      </c>
      <c r="BK76" s="1491">
        <f t="shared" ca="1" si="54"/>
        <v>0</v>
      </c>
      <c r="BL76" s="1952">
        <f ca="1">SUM(AS76:BK76)</f>
        <v>-0.44255994096679807</v>
      </c>
      <c r="BN76" s="1492">
        <f ca="1">BN73+BN74</f>
        <v>0</v>
      </c>
      <c r="BO76" s="1492">
        <f ca="1">BO73+BO74</f>
        <v>0</v>
      </c>
      <c r="BP76" s="1505">
        <f ca="1">BN76+BO76</f>
        <v>0</v>
      </c>
      <c r="BR76" s="3168">
        <f t="shared" ca="1" si="12"/>
        <v>0</v>
      </c>
      <c r="BS76" s="1493"/>
      <c r="BT76" s="748"/>
      <c r="BU76" s="1508">
        <v>0</v>
      </c>
      <c r="BV76" s="1508">
        <v>0</v>
      </c>
      <c r="BW76" s="1508">
        <v>0</v>
      </c>
      <c r="BX76" s="1508">
        <v>0</v>
      </c>
      <c r="BY76" s="1508">
        <v>0</v>
      </c>
      <c r="BZ76" s="1508">
        <v>0</v>
      </c>
      <c r="CA76" s="1508">
        <v>0</v>
      </c>
      <c r="CB76" s="1508">
        <v>0</v>
      </c>
      <c r="CC76" s="1508">
        <v>0</v>
      </c>
      <c r="CD76" s="1508">
        <v>0</v>
      </c>
      <c r="CE76" s="1508">
        <v>0</v>
      </c>
      <c r="CF76" s="1508">
        <v>0</v>
      </c>
      <c r="CG76" s="1508">
        <v>0</v>
      </c>
      <c r="CH76" s="1508">
        <v>0</v>
      </c>
      <c r="CI76" s="1508">
        <v>0</v>
      </c>
      <c r="CJ76" s="1508">
        <v>0</v>
      </c>
      <c r="CK76" s="1508">
        <v>0</v>
      </c>
      <c r="CL76" s="1508">
        <v>0</v>
      </c>
      <c r="CM76" s="1508">
        <v>0</v>
      </c>
      <c r="CN76" s="1508">
        <v>0</v>
      </c>
      <c r="CO76" s="1508">
        <v>0</v>
      </c>
      <c r="CP76" s="1508">
        <v>0</v>
      </c>
      <c r="CQ76" s="1508">
        <v>0</v>
      </c>
      <c r="CR76" s="1508">
        <v>0</v>
      </c>
      <c r="CS76" s="1508">
        <v>0</v>
      </c>
      <c r="CT76" s="1508">
        <v>0</v>
      </c>
      <c r="CU76" s="1508">
        <v>0</v>
      </c>
      <c r="CV76" s="1508">
        <v>0</v>
      </c>
      <c r="CW76" s="1508">
        <v>0</v>
      </c>
      <c r="CX76" s="1508">
        <v>0</v>
      </c>
      <c r="CY76" s="1508">
        <v>0</v>
      </c>
      <c r="CZ76" s="1508">
        <v>0</v>
      </c>
      <c r="DA76" s="1508">
        <v>0</v>
      </c>
      <c r="DB76" s="1508">
        <v>0</v>
      </c>
      <c r="DC76" s="1508">
        <v>0</v>
      </c>
      <c r="DD76" s="1508">
        <v>0</v>
      </c>
      <c r="DE76" s="1508">
        <v>0</v>
      </c>
      <c r="DF76" s="1508">
        <v>0</v>
      </c>
      <c r="DG76" s="1508">
        <v>0</v>
      </c>
      <c r="DH76" s="1508">
        <v>0</v>
      </c>
      <c r="DI76" s="1508">
        <v>0</v>
      </c>
      <c r="DJ76" s="1508">
        <v>0</v>
      </c>
      <c r="DK76" s="1508">
        <v>0</v>
      </c>
      <c r="DL76" s="1508">
        <v>0</v>
      </c>
      <c r="DN76" s="1509">
        <v>0</v>
      </c>
    </row>
    <row r="77" spans="1:118" s="14" customFormat="1" ht="15.75" x14ac:dyDescent="0.2">
      <c r="A77" s="1845"/>
      <c r="B77" s="1847"/>
      <c r="C77" s="1842"/>
      <c r="D77" s="1843"/>
      <c r="E77" s="1844"/>
      <c r="G77" s="1539"/>
      <c r="H77" s="1539"/>
      <c r="I77" s="1539"/>
      <c r="J77" s="1539"/>
      <c r="K77" s="1539"/>
      <c r="L77" s="1539"/>
      <c r="M77" s="1539"/>
      <c r="N77" s="1539"/>
      <c r="O77" s="1539"/>
      <c r="P77" s="1539"/>
      <c r="Q77" s="1539"/>
      <c r="R77" s="1539"/>
      <c r="S77" s="1539"/>
      <c r="T77" s="1539"/>
      <c r="U77" s="1539"/>
      <c r="V77" s="1539"/>
      <c r="W77" s="1539"/>
      <c r="Y77" s="1490"/>
      <c r="Z77" s="1490"/>
      <c r="AA77" s="1490"/>
      <c r="AB77" s="1490"/>
      <c r="AC77" s="1490"/>
      <c r="AD77" s="1490"/>
      <c r="AE77" s="1490"/>
      <c r="AF77" s="1490"/>
      <c r="AG77" s="1490"/>
      <c r="AH77" s="1490"/>
      <c r="AI77" s="1490"/>
      <c r="AJ77" s="1490"/>
      <c r="AK77" s="1490"/>
      <c r="AL77" s="1490"/>
      <c r="AM77" s="1490"/>
      <c r="AN77" s="1490"/>
      <c r="AO77" s="1490"/>
      <c r="AP77" s="1490"/>
      <c r="AQ77" s="1490"/>
      <c r="AS77" s="1491"/>
      <c r="AT77" s="1491"/>
      <c r="AU77" s="1491"/>
      <c r="AV77" s="1491"/>
      <c r="AW77" s="1491"/>
      <c r="AX77" s="1491"/>
      <c r="AY77" s="1491"/>
      <c r="AZ77" s="1491"/>
      <c r="BA77" s="1491"/>
      <c r="BB77" s="1491"/>
      <c r="BC77" s="1491"/>
      <c r="BD77" s="1491"/>
      <c r="BE77" s="1491"/>
      <c r="BF77" s="1491"/>
      <c r="BG77" s="1491"/>
      <c r="BH77" s="1491"/>
      <c r="BI77" s="1491"/>
      <c r="BJ77" s="1491"/>
      <c r="BK77" s="1491"/>
      <c r="BL77" s="1491"/>
      <c r="BN77" s="1492"/>
      <c r="BO77" s="1492"/>
      <c r="BP77" s="1492"/>
      <c r="BR77" s="3168"/>
      <c r="BS77" s="1579"/>
      <c r="BT77" s="748"/>
      <c r="BU77" s="1507"/>
      <c r="BV77" s="1508"/>
      <c r="BW77" s="1508"/>
      <c r="BX77" s="1508"/>
      <c r="BY77" s="1508"/>
      <c r="BZ77" s="1508"/>
      <c r="CA77" s="1508"/>
      <c r="CB77" s="1508"/>
      <c r="CC77" s="1508"/>
      <c r="CD77" s="1508"/>
      <c r="CE77" s="1508"/>
      <c r="CF77" s="1508"/>
      <c r="CG77" s="1508"/>
      <c r="CH77" s="1508"/>
      <c r="CI77" s="1508"/>
      <c r="CJ77" s="1508"/>
      <c r="CK77" s="1508"/>
      <c r="CL77" s="1508"/>
      <c r="CM77" s="1508"/>
      <c r="CN77" s="1508"/>
      <c r="CO77" s="1508"/>
      <c r="CP77" s="1508"/>
      <c r="CQ77" s="1508"/>
      <c r="CR77" s="1508"/>
      <c r="CS77" s="1508"/>
      <c r="CT77" s="1508"/>
      <c r="CU77" s="1508"/>
      <c r="CV77" s="1508"/>
      <c r="CW77" s="1508"/>
      <c r="CX77" s="1508"/>
      <c r="CY77" s="1508"/>
      <c r="CZ77" s="1508"/>
      <c r="DA77" s="1508"/>
      <c r="DB77" s="1508"/>
      <c r="DC77" s="1508"/>
      <c r="DD77" s="1508"/>
      <c r="DE77" s="1508"/>
      <c r="DF77" s="1508"/>
      <c r="DG77" s="1508"/>
      <c r="DH77" s="1508"/>
      <c r="DI77" s="1508"/>
      <c r="DJ77" s="1508"/>
      <c r="DK77" s="1508"/>
      <c r="DL77" s="1508"/>
      <c r="DN77" s="1509"/>
    </row>
    <row r="78" spans="1:118" s="14" customFormat="1" hidden="1" outlineLevel="1" x14ac:dyDescent="0.2">
      <c r="A78" s="1522"/>
      <c r="B78" s="1522"/>
      <c r="C78" s="1496" t="s">
        <v>68</v>
      </c>
      <c r="D78" s="1497" t="str">
        <f>INDEX(Modulos[Modulos], MATCH($C78, Modulos[Código], 0))</f>
        <v>Residuos</v>
      </c>
      <c r="E78" s="1497"/>
      <c r="G78" s="1498"/>
      <c r="H78" s="1498"/>
      <c r="I78" s="1498"/>
      <c r="J78" s="1498"/>
      <c r="K78" s="1498"/>
      <c r="L78" s="1498"/>
      <c r="M78" s="1498"/>
      <c r="N78" s="1498"/>
      <c r="O78" s="1498"/>
      <c r="P78" s="1498"/>
      <c r="Q78" s="1498"/>
      <c r="R78" s="1498"/>
      <c r="S78" s="1498"/>
      <c r="T78" s="1498"/>
      <c r="U78" s="1498"/>
      <c r="V78" s="1498"/>
      <c r="W78" s="1499"/>
      <c r="Y78" s="1893">
        <f t="shared" ref="Y78:AH80" ca="1" si="55">IFERROR(INDEX(INDIRECT($C78&amp;".Outputs["&amp;this.Year&amp;"]"), MATCH(Y$5, INDIRECT($C78&amp;".Outputs[Vector]"), 0)), 0)</f>
        <v>0</v>
      </c>
      <c r="Z78" s="1893">
        <f t="shared" ca="1" si="55"/>
        <v>0.41172000000000003</v>
      </c>
      <c r="AA78" s="1893">
        <f t="shared" ca="1" si="55"/>
        <v>0</v>
      </c>
      <c r="AB78" s="1893">
        <f t="shared" ca="1" si="55"/>
        <v>0</v>
      </c>
      <c r="AC78" s="1893">
        <f t="shared" ca="1" si="55"/>
        <v>0</v>
      </c>
      <c r="AD78" s="1893">
        <f t="shared" ca="1" si="55"/>
        <v>0</v>
      </c>
      <c r="AE78" s="1893">
        <f t="shared" ca="1" si="55"/>
        <v>0</v>
      </c>
      <c r="AF78" s="1893">
        <f t="shared" ca="1" si="55"/>
        <v>0</v>
      </c>
      <c r="AG78" s="1893">
        <f t="shared" ca="1" si="55"/>
        <v>0</v>
      </c>
      <c r="AH78" s="1893">
        <f t="shared" ca="1" si="55"/>
        <v>0</v>
      </c>
      <c r="AI78" s="1893">
        <f t="shared" ref="AI78:AP80" ca="1" si="56">IFERROR(INDEX(INDIRECT($C78&amp;".Outputs["&amp;this.Year&amp;"]"), MATCH(AI$5, INDIRECT($C78&amp;".Outputs[Vector]"), 0)), 0)</f>
        <v>0</v>
      </c>
      <c r="AJ78" s="1893">
        <f t="shared" ca="1" si="56"/>
        <v>0</v>
      </c>
      <c r="AK78" s="1893">
        <f t="shared" ca="1" si="56"/>
        <v>0</v>
      </c>
      <c r="AL78" s="1893">
        <f t="shared" ca="1" si="56"/>
        <v>0</v>
      </c>
      <c r="AM78" s="1893">
        <f t="shared" ca="1" si="56"/>
        <v>0</v>
      </c>
      <c r="AN78" s="1893">
        <f t="shared" ca="1" si="56"/>
        <v>0</v>
      </c>
      <c r="AO78" s="1893">
        <f t="shared" ca="1" si="56"/>
        <v>0</v>
      </c>
      <c r="AP78" s="1893">
        <f t="shared" ca="1" si="56"/>
        <v>0</v>
      </c>
      <c r="AQ78" s="1951">
        <f ca="1">SUM(Y78:AP78)</f>
        <v>0.41172000000000003</v>
      </c>
      <c r="AS78" s="1948">
        <f t="shared" ref="AS78:BB80" ca="1" si="57">IFERROR(INDEX(INDIRECT($C78&amp;".Outputs["&amp;this.Year&amp;"]"), MATCH(AS$5, INDIRECT($C78&amp;".Outputs[Vector]"), 0)), 0)</f>
        <v>0</v>
      </c>
      <c r="AT78" s="1948">
        <f t="shared" ca="1" si="57"/>
        <v>0</v>
      </c>
      <c r="AU78" s="1948">
        <f t="shared" ca="1" si="57"/>
        <v>0</v>
      </c>
      <c r="AV78" s="1948">
        <f t="shared" ca="1" si="57"/>
        <v>0</v>
      </c>
      <c r="AW78" s="1948">
        <f t="shared" ca="1" si="57"/>
        <v>0</v>
      </c>
      <c r="AX78" s="1948">
        <f t="shared" ca="1" si="57"/>
        <v>0</v>
      </c>
      <c r="AY78" s="1948">
        <f t="shared" ca="1" si="57"/>
        <v>0</v>
      </c>
      <c r="AZ78" s="1948">
        <f t="shared" ca="1" si="57"/>
        <v>0</v>
      </c>
      <c r="BA78" s="1948">
        <f t="shared" ca="1" si="57"/>
        <v>0</v>
      </c>
      <c r="BB78" s="1948">
        <f t="shared" ca="1" si="57"/>
        <v>0</v>
      </c>
      <c r="BC78" s="1948">
        <f t="shared" ref="BC78:BK80" ca="1" si="58">IFERROR(INDEX(INDIRECT($C78&amp;".Outputs["&amp;this.Year&amp;"]"), MATCH(BC$5, INDIRECT($C78&amp;".Outputs[Vector]"), 0)), 0)</f>
        <v>0</v>
      </c>
      <c r="BD78" s="1948">
        <f t="shared" ca="1" si="58"/>
        <v>0</v>
      </c>
      <c r="BE78" s="1948">
        <f t="shared" ca="1" si="58"/>
        <v>0</v>
      </c>
      <c r="BF78" s="1948">
        <f t="shared" ca="1" si="58"/>
        <v>0</v>
      </c>
      <c r="BG78" s="1948">
        <f t="shared" ca="1" si="58"/>
        <v>0</v>
      </c>
      <c r="BH78" s="1948">
        <f t="shared" ca="1" si="58"/>
        <v>0</v>
      </c>
      <c r="BI78" s="1948">
        <f t="shared" ca="1" si="58"/>
        <v>0</v>
      </c>
      <c r="BJ78" s="1948">
        <f t="shared" ca="1" si="58"/>
        <v>0</v>
      </c>
      <c r="BK78" s="1948">
        <f t="shared" ca="1" si="58"/>
        <v>-0.41172000000000003</v>
      </c>
      <c r="BL78" s="1952">
        <f ca="1">SUM(AS78:BK78)</f>
        <v>-0.41172000000000003</v>
      </c>
      <c r="BN78" s="1941">
        <f t="shared" ref="BN78:BO80" ca="1" si="59">IFERROR(INDEX(INDIRECT($C78&amp;".Outputs["&amp;this.Year&amp;"]"), MATCH(BN$5, INDIRECT($C78&amp;".Outputs[Vector]"), 0)), 0)</f>
        <v>0</v>
      </c>
      <c r="BO78" s="1941">
        <f t="shared" ca="1" si="59"/>
        <v>0</v>
      </c>
      <c r="BP78" s="1505">
        <f ca="1">BN78+BO78</f>
        <v>0</v>
      </c>
      <c r="BR78" s="3168">
        <f ca="1">W78+AQ78+BL78+BP78</f>
        <v>0</v>
      </c>
      <c r="BS78" s="1525"/>
      <c r="BT78" s="748"/>
      <c r="BU78" s="1507"/>
      <c r="BV78" s="1508"/>
      <c r="BW78" s="1508"/>
      <c r="BX78" s="1508"/>
      <c r="BY78" s="1508"/>
      <c r="BZ78" s="1508"/>
      <c r="CA78" s="1508"/>
      <c r="CB78" s="1508"/>
      <c r="CC78" s="1508"/>
      <c r="CD78" s="1508"/>
      <c r="CE78" s="1508"/>
      <c r="CF78" s="1508"/>
      <c r="CG78" s="1508"/>
      <c r="CH78" s="1508"/>
      <c r="CI78" s="1508"/>
      <c r="CJ78" s="1508"/>
      <c r="CK78" s="1508"/>
      <c r="CL78" s="1508"/>
      <c r="CM78" s="1508"/>
      <c r="CN78" s="1508"/>
      <c r="CO78" s="1508"/>
      <c r="CP78" s="1508"/>
      <c r="CQ78" s="1508"/>
      <c r="CR78" s="1508"/>
      <c r="CS78" s="1508"/>
      <c r="CT78" s="1508"/>
      <c r="CU78" s="1508"/>
      <c r="CV78" s="1508"/>
      <c r="CW78" s="1508"/>
      <c r="CX78" s="1508"/>
      <c r="CY78" s="1508"/>
      <c r="CZ78" s="1508"/>
      <c r="DA78" s="1508"/>
      <c r="DB78" s="1508"/>
      <c r="DC78" s="1508"/>
      <c r="DD78" s="1508"/>
      <c r="DE78" s="1508"/>
      <c r="DF78" s="1508"/>
      <c r="DG78" s="1508"/>
      <c r="DH78" s="1508"/>
      <c r="DI78" s="1508"/>
      <c r="DJ78" s="1508"/>
      <c r="DK78" s="1508"/>
      <c r="DL78" s="1508"/>
      <c r="DN78" s="1509"/>
    </row>
    <row r="79" spans="1:118" s="14" customFormat="1" hidden="1" outlineLevel="1" x14ac:dyDescent="0.2">
      <c r="A79" s="1522"/>
      <c r="B79" s="1522"/>
      <c r="C79" s="1496" t="s">
        <v>764</v>
      </c>
      <c r="D79" s="1497" t="str">
        <f>INDEX(Modulos[Modulos], MATCH($C79, Modulos[Código], 0))</f>
        <v>Agropecuario</v>
      </c>
      <c r="E79" s="1497"/>
      <c r="G79" s="1498"/>
      <c r="H79" s="1498"/>
      <c r="I79" s="1498"/>
      <c r="J79" s="1498"/>
      <c r="K79" s="1498"/>
      <c r="L79" s="1498"/>
      <c r="M79" s="1498"/>
      <c r="N79" s="1498"/>
      <c r="O79" s="1498"/>
      <c r="P79" s="1498"/>
      <c r="Q79" s="1498"/>
      <c r="R79" s="1498"/>
      <c r="S79" s="1498"/>
      <c r="T79" s="1498"/>
      <c r="U79" s="1498"/>
      <c r="V79" s="1498"/>
      <c r="W79" s="1499"/>
      <c r="Y79" s="2610">
        <f t="shared" ca="1" si="55"/>
        <v>0</v>
      </c>
      <c r="Z79" s="2610">
        <f t="shared" ca="1" si="55"/>
        <v>8.0416559644615384E-3</v>
      </c>
      <c r="AA79" s="2610">
        <f t="shared" ca="1" si="55"/>
        <v>0</v>
      </c>
      <c r="AB79" s="2610">
        <f t="shared" ca="1" si="55"/>
        <v>0</v>
      </c>
      <c r="AC79" s="2610">
        <f t="shared" ca="1" si="55"/>
        <v>0</v>
      </c>
      <c r="AD79" s="2610">
        <f t="shared" ca="1" si="55"/>
        <v>0</v>
      </c>
      <c r="AE79" s="2610">
        <f t="shared" ca="1" si="55"/>
        <v>0</v>
      </c>
      <c r="AF79" s="2610">
        <f t="shared" ca="1" si="55"/>
        <v>0</v>
      </c>
      <c r="AG79" s="2610">
        <f t="shared" ca="1" si="55"/>
        <v>0</v>
      </c>
      <c r="AH79" s="2610">
        <f t="shared" ca="1" si="55"/>
        <v>0</v>
      </c>
      <c r="AI79" s="2610">
        <f t="shared" ca="1" si="56"/>
        <v>0</v>
      </c>
      <c r="AJ79" s="2610">
        <f t="shared" ca="1" si="56"/>
        <v>0</v>
      </c>
      <c r="AK79" s="2610">
        <f t="shared" ca="1" si="56"/>
        <v>0</v>
      </c>
      <c r="AL79" s="2610">
        <f t="shared" ca="1" si="56"/>
        <v>0</v>
      </c>
      <c r="AM79" s="2610">
        <f t="shared" ca="1" si="56"/>
        <v>0</v>
      </c>
      <c r="AN79" s="2610">
        <f t="shared" ca="1" si="56"/>
        <v>0</v>
      </c>
      <c r="AO79" s="2610">
        <f t="shared" ca="1" si="56"/>
        <v>0</v>
      </c>
      <c r="AP79" s="2610">
        <f t="shared" ca="1" si="56"/>
        <v>0</v>
      </c>
      <c r="AQ79" s="1951">
        <f ca="1">SUM(Y79:AP79)</f>
        <v>8.0416559644615384E-3</v>
      </c>
      <c r="AS79" s="1948">
        <f t="shared" ca="1" si="57"/>
        <v>0</v>
      </c>
      <c r="AT79" s="1948">
        <f t="shared" ca="1" si="57"/>
        <v>0</v>
      </c>
      <c r="AU79" s="1948">
        <f t="shared" ca="1" si="57"/>
        <v>0</v>
      </c>
      <c r="AV79" s="1948">
        <f t="shared" ca="1" si="57"/>
        <v>0</v>
      </c>
      <c r="AW79" s="1948">
        <f t="shared" ca="1" si="57"/>
        <v>0</v>
      </c>
      <c r="AX79" s="1948">
        <f t="shared" ca="1" si="57"/>
        <v>0</v>
      </c>
      <c r="AY79" s="1948">
        <f t="shared" ca="1" si="57"/>
        <v>0</v>
      </c>
      <c r="AZ79" s="1948">
        <f t="shared" ca="1" si="57"/>
        <v>0</v>
      </c>
      <c r="BA79" s="1948">
        <f t="shared" ca="1" si="57"/>
        <v>0</v>
      </c>
      <c r="BB79" s="1948">
        <f t="shared" ca="1" si="57"/>
        <v>0</v>
      </c>
      <c r="BC79" s="1948">
        <f t="shared" ca="1" si="58"/>
        <v>0</v>
      </c>
      <c r="BD79" s="1948">
        <f t="shared" ca="1" si="58"/>
        <v>0</v>
      </c>
      <c r="BE79" s="1948">
        <f t="shared" ca="1" si="58"/>
        <v>0</v>
      </c>
      <c r="BF79" s="1948">
        <f t="shared" ca="1" si="58"/>
        <v>0</v>
      </c>
      <c r="BG79" s="1948">
        <f t="shared" ca="1" si="58"/>
        <v>0</v>
      </c>
      <c r="BH79" s="1948">
        <f t="shared" ca="1" si="58"/>
        <v>0</v>
      </c>
      <c r="BI79" s="1948">
        <f t="shared" ca="1" si="58"/>
        <v>0</v>
      </c>
      <c r="BJ79" s="1948">
        <f t="shared" ca="1" si="58"/>
        <v>0</v>
      </c>
      <c r="BK79" s="1948">
        <f t="shared" ca="1" si="58"/>
        <v>-8.0416559644615384E-3</v>
      </c>
      <c r="BL79" s="1952">
        <f ca="1">SUM(AS79:BK79)</f>
        <v>-8.0416559644615384E-3</v>
      </c>
      <c r="BN79" s="1941">
        <f t="shared" ca="1" si="59"/>
        <v>0</v>
      </c>
      <c r="BO79" s="1941">
        <f t="shared" ca="1" si="59"/>
        <v>0</v>
      </c>
      <c r="BP79" s="1505">
        <f ca="1">BN79+BO79</f>
        <v>0</v>
      </c>
      <c r="BR79" s="3168">
        <f ca="1">W79+AQ79+BL79+BP79</f>
        <v>0</v>
      </c>
      <c r="BS79" s="1525"/>
      <c r="BT79" s="748"/>
      <c r="BU79" s="1507"/>
      <c r="BV79" s="1508"/>
      <c r="BW79" s="1508"/>
      <c r="BX79" s="1508"/>
      <c r="BY79" s="1508"/>
      <c r="BZ79" s="1508"/>
      <c r="CA79" s="1508"/>
      <c r="CB79" s="1508"/>
      <c r="CC79" s="1508"/>
      <c r="CD79" s="1508"/>
      <c r="CE79" s="1508"/>
      <c r="CF79" s="1508"/>
      <c r="CG79" s="1508"/>
      <c r="CH79" s="1508"/>
      <c r="CI79" s="1508"/>
      <c r="CJ79" s="1508"/>
      <c r="CK79" s="1508"/>
      <c r="CL79" s="1508"/>
      <c r="CM79" s="1508"/>
      <c r="CN79" s="1508"/>
      <c r="CO79" s="1508"/>
      <c r="CP79" s="1508"/>
      <c r="CQ79" s="1508"/>
      <c r="CR79" s="1508"/>
      <c r="CS79" s="1508"/>
      <c r="CT79" s="1508"/>
      <c r="CU79" s="1508"/>
      <c r="CV79" s="1508"/>
      <c r="CW79" s="1508"/>
      <c r="CX79" s="1508"/>
      <c r="CY79" s="1508"/>
      <c r="CZ79" s="1508"/>
      <c r="DA79" s="1508"/>
      <c r="DB79" s="1508"/>
      <c r="DC79" s="1508"/>
      <c r="DD79" s="1508"/>
      <c r="DE79" s="1508"/>
      <c r="DF79" s="1508"/>
      <c r="DG79" s="1508"/>
      <c r="DH79" s="1508"/>
      <c r="DI79" s="1508"/>
      <c r="DJ79" s="1508"/>
      <c r="DK79" s="1508"/>
      <c r="DL79" s="1508"/>
      <c r="DN79" s="1509"/>
    </row>
    <row r="80" spans="1:118" s="14" customFormat="1" ht="12.75" hidden="1" customHeight="1" outlineLevel="1" x14ac:dyDescent="0.2">
      <c r="A80" s="1522"/>
      <c r="B80" s="1522"/>
      <c r="C80" s="1496" t="s">
        <v>1620</v>
      </c>
      <c r="D80" s="1497" t="str">
        <f>INDEX(Modulos[Modulos], MATCH($C80, Modulos[Código], 0))</f>
        <v>Forestal</v>
      </c>
      <c r="E80" s="1526"/>
      <c r="G80" s="1540"/>
      <c r="H80" s="1540"/>
      <c r="I80" s="1540"/>
      <c r="J80" s="1540"/>
      <c r="K80" s="1540"/>
      <c r="L80" s="1540"/>
      <c r="M80" s="1540"/>
      <c r="N80" s="1540"/>
      <c r="O80" s="1540"/>
      <c r="P80" s="1540"/>
      <c r="Q80" s="1540"/>
      <c r="R80" s="1540"/>
      <c r="S80" s="1540"/>
      <c r="T80" s="1540"/>
      <c r="U80" s="1540"/>
      <c r="V80" s="1540"/>
      <c r="W80" s="1527"/>
      <c r="Y80" s="2614">
        <f t="shared" ca="1" si="55"/>
        <v>0</v>
      </c>
      <c r="Z80" s="2614">
        <f t="shared" ca="1" si="55"/>
        <v>0</v>
      </c>
      <c r="AA80" s="2614">
        <f t="shared" ca="1" si="55"/>
        <v>0</v>
      </c>
      <c r="AB80" s="2614">
        <f t="shared" ca="1" si="55"/>
        <v>0</v>
      </c>
      <c r="AC80" s="2614">
        <f t="shared" ca="1" si="55"/>
        <v>0</v>
      </c>
      <c r="AD80" s="2614">
        <f t="shared" ca="1" si="55"/>
        <v>0</v>
      </c>
      <c r="AE80" s="2614">
        <f t="shared" ca="1" si="55"/>
        <v>0</v>
      </c>
      <c r="AF80" s="2614">
        <f t="shared" ca="1" si="55"/>
        <v>0</v>
      </c>
      <c r="AG80" s="2614">
        <f t="shared" ca="1" si="55"/>
        <v>0</v>
      </c>
      <c r="AH80" s="2614">
        <f t="shared" ca="1" si="55"/>
        <v>0</v>
      </c>
      <c r="AI80" s="2614">
        <f t="shared" ca="1" si="56"/>
        <v>0</v>
      </c>
      <c r="AJ80" s="2614">
        <f t="shared" ca="1" si="56"/>
        <v>0</v>
      </c>
      <c r="AK80" s="2614">
        <f t="shared" ca="1" si="56"/>
        <v>0</v>
      </c>
      <c r="AL80" s="2614">
        <f t="shared" ca="1" si="56"/>
        <v>0</v>
      </c>
      <c r="AM80" s="2614">
        <f t="shared" ca="1" si="56"/>
        <v>0</v>
      </c>
      <c r="AN80" s="2614">
        <f t="shared" ca="1" si="56"/>
        <v>0</v>
      </c>
      <c r="AO80" s="2614">
        <f t="shared" ca="1" si="56"/>
        <v>0</v>
      </c>
      <c r="AP80" s="2614">
        <f t="shared" ca="1" si="56"/>
        <v>0</v>
      </c>
      <c r="AQ80" s="1951">
        <f ca="1">SUM(Y80:AP80)</f>
        <v>0</v>
      </c>
      <c r="AS80" s="1542">
        <f t="shared" ca="1" si="57"/>
        <v>0</v>
      </c>
      <c r="AT80" s="1542">
        <f t="shared" ca="1" si="57"/>
        <v>0</v>
      </c>
      <c r="AU80" s="1542">
        <f t="shared" ca="1" si="57"/>
        <v>0</v>
      </c>
      <c r="AV80" s="1542">
        <f t="shared" ca="1" si="57"/>
        <v>0</v>
      </c>
      <c r="AW80" s="1542">
        <f t="shared" ca="1" si="57"/>
        <v>0</v>
      </c>
      <c r="AX80" s="1542">
        <f t="shared" ca="1" si="57"/>
        <v>0</v>
      </c>
      <c r="AY80" s="1542">
        <f t="shared" ca="1" si="57"/>
        <v>0</v>
      </c>
      <c r="AZ80" s="1542">
        <f t="shared" ca="1" si="57"/>
        <v>0</v>
      </c>
      <c r="BA80" s="1542">
        <f t="shared" ca="1" si="57"/>
        <v>0</v>
      </c>
      <c r="BB80" s="1542">
        <f t="shared" ca="1" si="57"/>
        <v>0</v>
      </c>
      <c r="BC80" s="1542">
        <f t="shared" ca="1" si="58"/>
        <v>0</v>
      </c>
      <c r="BD80" s="1542">
        <f t="shared" ca="1" si="58"/>
        <v>0</v>
      </c>
      <c r="BE80" s="1542">
        <f t="shared" ca="1" si="58"/>
        <v>0</v>
      </c>
      <c r="BF80" s="1542">
        <f t="shared" ca="1" si="58"/>
        <v>0</v>
      </c>
      <c r="BG80" s="1542">
        <f t="shared" ca="1" si="58"/>
        <v>0</v>
      </c>
      <c r="BH80" s="1542">
        <f t="shared" ca="1" si="58"/>
        <v>0</v>
      </c>
      <c r="BI80" s="1542">
        <f t="shared" ca="1" si="58"/>
        <v>0</v>
      </c>
      <c r="BJ80" s="1542">
        <f t="shared" ca="1" si="58"/>
        <v>0</v>
      </c>
      <c r="BK80" s="1542">
        <f t="shared" ca="1" si="58"/>
        <v>0</v>
      </c>
      <c r="BL80" s="1952">
        <f ca="1">SUM(AS80:BK80)</f>
        <v>0</v>
      </c>
      <c r="BN80" s="1941">
        <f t="shared" ca="1" si="59"/>
        <v>0</v>
      </c>
      <c r="BO80" s="1941">
        <f t="shared" ca="1" si="59"/>
        <v>0</v>
      </c>
      <c r="BP80" s="1505">
        <f ca="1">BN80+BO80</f>
        <v>0</v>
      </c>
      <c r="BR80" s="3168">
        <f ca="1">W80+AQ80+BL80+BP80</f>
        <v>0</v>
      </c>
      <c r="BS80" s="1525"/>
      <c r="BT80" s="748"/>
      <c r="BU80" s="1532"/>
      <c r="BV80" s="1533"/>
      <c r="BW80" s="1533"/>
      <c r="BX80" s="1533"/>
      <c r="BY80" s="1533"/>
      <c r="BZ80" s="1533"/>
      <c r="CA80" s="1533"/>
      <c r="CB80" s="1533"/>
      <c r="CC80" s="1533"/>
      <c r="CD80" s="1533"/>
      <c r="CE80" s="1533"/>
      <c r="CF80" s="1533"/>
      <c r="CG80" s="1533"/>
      <c r="CH80" s="1533"/>
      <c r="CI80" s="1533"/>
      <c r="CJ80" s="1533"/>
      <c r="CK80" s="1533"/>
      <c r="CL80" s="1533"/>
      <c r="CM80" s="1533"/>
      <c r="CN80" s="1533"/>
      <c r="CO80" s="1533"/>
      <c r="CP80" s="1533"/>
      <c r="CQ80" s="1533"/>
      <c r="CR80" s="1533"/>
      <c r="CS80" s="1533"/>
      <c r="CT80" s="1533"/>
      <c r="CU80" s="1533"/>
      <c r="CV80" s="1533"/>
      <c r="CW80" s="1533"/>
      <c r="CX80" s="1533"/>
      <c r="CY80" s="1533"/>
      <c r="CZ80" s="1533"/>
      <c r="DA80" s="1533"/>
      <c r="DB80" s="1533"/>
      <c r="DC80" s="1533"/>
      <c r="DD80" s="1533"/>
      <c r="DE80" s="1533"/>
      <c r="DF80" s="1533"/>
      <c r="DG80" s="1533"/>
      <c r="DH80" s="1533"/>
      <c r="DI80" s="1533"/>
      <c r="DJ80" s="1533"/>
      <c r="DK80" s="1533"/>
      <c r="DL80" s="1533"/>
      <c r="DN80" s="1509"/>
    </row>
    <row r="81" spans="1:118" s="14" customFormat="1" ht="3" hidden="1" customHeight="1" outlineLevel="1" x14ac:dyDescent="0.2">
      <c r="A81" s="1522"/>
      <c r="B81" s="1522"/>
      <c r="C81" s="1496"/>
      <c r="D81" s="1497"/>
      <c r="E81" s="1497"/>
      <c r="G81" s="1498"/>
      <c r="H81" s="1498"/>
      <c r="I81" s="1498"/>
      <c r="J81" s="1498"/>
      <c r="K81" s="1498"/>
      <c r="L81" s="1498"/>
      <c r="M81" s="1498"/>
      <c r="N81" s="1498"/>
      <c r="O81" s="1498"/>
      <c r="P81" s="1498"/>
      <c r="Q81" s="1498"/>
      <c r="R81" s="1498"/>
      <c r="S81" s="1498"/>
      <c r="T81" s="1498"/>
      <c r="U81" s="1498"/>
      <c r="V81" s="1498"/>
      <c r="W81" s="1499"/>
      <c r="Y81" s="1500"/>
      <c r="Z81" s="1500"/>
      <c r="AA81" s="1500"/>
      <c r="AB81" s="1500"/>
      <c r="AC81" s="1500"/>
      <c r="AD81" s="1500"/>
      <c r="AE81" s="1500"/>
      <c r="AF81" s="1500"/>
      <c r="AG81" s="1500"/>
      <c r="AH81" s="1500"/>
      <c r="AI81" s="1500"/>
      <c r="AJ81" s="1500"/>
      <c r="AK81" s="1500"/>
      <c r="AL81" s="1500"/>
      <c r="AM81" s="1500"/>
      <c r="AN81" s="1500"/>
      <c r="AO81" s="1500"/>
      <c r="AP81" s="1500"/>
      <c r="AQ81" s="1501"/>
      <c r="AS81" s="1502"/>
      <c r="AT81" s="1502"/>
      <c r="AU81" s="1502"/>
      <c r="AV81" s="1502"/>
      <c r="AW81" s="1502"/>
      <c r="AX81" s="1502"/>
      <c r="AY81" s="1502"/>
      <c r="AZ81" s="1502"/>
      <c r="BA81" s="1502"/>
      <c r="BB81" s="1502"/>
      <c r="BC81" s="1502"/>
      <c r="BD81" s="1502"/>
      <c r="BE81" s="1502"/>
      <c r="BF81" s="1502"/>
      <c r="BG81" s="1502"/>
      <c r="BH81" s="1502"/>
      <c r="BI81" s="1502"/>
      <c r="BJ81" s="1502"/>
      <c r="BK81" s="1502"/>
      <c r="BL81" s="1524"/>
      <c r="BN81" s="1504"/>
      <c r="BO81" s="1504"/>
      <c r="BP81" s="1505"/>
      <c r="BR81" s="3168"/>
      <c r="BS81" s="1525"/>
      <c r="BT81" s="748"/>
      <c r="BU81" s="1507"/>
      <c r="BV81" s="1508"/>
      <c r="BW81" s="1508"/>
      <c r="BX81" s="1508"/>
      <c r="BY81" s="1508"/>
      <c r="BZ81" s="1508"/>
      <c r="CA81" s="1508"/>
      <c r="CB81" s="1508"/>
      <c r="CC81" s="1508"/>
      <c r="CD81" s="1508"/>
      <c r="CE81" s="1508"/>
      <c r="CF81" s="1508"/>
      <c r="CG81" s="1508"/>
      <c r="CH81" s="1508"/>
      <c r="CI81" s="1508"/>
      <c r="CJ81" s="1508"/>
      <c r="CK81" s="1508"/>
      <c r="CL81" s="1508"/>
      <c r="CM81" s="1508"/>
      <c r="CN81" s="1508"/>
      <c r="CO81" s="1508"/>
      <c r="CP81" s="1508"/>
      <c r="CQ81" s="1508"/>
      <c r="CR81" s="1508"/>
      <c r="CS81" s="1508"/>
      <c r="CT81" s="1508"/>
      <c r="CU81" s="1508"/>
      <c r="CV81" s="1508"/>
      <c r="CW81" s="1508"/>
      <c r="CX81" s="1508"/>
      <c r="CY81" s="1508"/>
      <c r="CZ81" s="1508"/>
      <c r="DA81" s="1508"/>
      <c r="DB81" s="1508"/>
      <c r="DC81" s="1508"/>
      <c r="DD81" s="1508"/>
      <c r="DE81" s="1508"/>
      <c r="DF81" s="1508"/>
      <c r="DG81" s="1508"/>
      <c r="DH81" s="1508"/>
      <c r="DI81" s="1508"/>
      <c r="DJ81" s="1508"/>
      <c r="DK81" s="1508"/>
      <c r="DL81" s="1508"/>
      <c r="DN81" s="1509"/>
    </row>
    <row r="82" spans="1:118" s="14" customFormat="1" ht="20.25" customHeight="1" collapsed="1" x14ac:dyDescent="0.2">
      <c r="A82" s="1534"/>
      <c r="B82" s="1535"/>
      <c r="C82" s="1536" t="s">
        <v>737</v>
      </c>
      <c r="D82" s="1537" t="str">
        <f>INDEX(Flujos[Flujos], MATCH($C82, Flujos[Código], 0))</f>
        <v>Otros Sectores</v>
      </c>
      <c r="E82" s="1843"/>
      <c r="G82" s="1539"/>
      <c r="H82" s="1539"/>
      <c r="I82" s="1539"/>
      <c r="J82" s="1539"/>
      <c r="K82" s="1539"/>
      <c r="L82" s="1539"/>
      <c r="M82" s="1539"/>
      <c r="N82" s="1539"/>
      <c r="O82" s="1539"/>
      <c r="P82" s="1539"/>
      <c r="Q82" s="1539"/>
      <c r="R82" s="1539"/>
      <c r="S82" s="1539"/>
      <c r="T82" s="1539"/>
      <c r="U82" s="1539"/>
      <c r="V82" s="1539"/>
      <c r="W82" s="1539"/>
      <c r="Y82" s="2609">
        <f ca="1">Y78+Y79+Y80</f>
        <v>0</v>
      </c>
      <c r="Z82" s="2609">
        <f t="shared" ref="Z82:AQ82" ca="1" si="60">Z78+Z79+Z80</f>
        <v>0.41976165596446158</v>
      </c>
      <c r="AA82" s="2609">
        <f t="shared" ca="1" si="60"/>
        <v>0</v>
      </c>
      <c r="AB82" s="2609">
        <f t="shared" ca="1" si="60"/>
        <v>0</v>
      </c>
      <c r="AC82" s="2609">
        <f t="shared" ca="1" si="60"/>
        <v>0</v>
      </c>
      <c r="AD82" s="2609">
        <f t="shared" ca="1" si="60"/>
        <v>0</v>
      </c>
      <c r="AE82" s="2609">
        <f t="shared" ca="1" si="60"/>
        <v>0</v>
      </c>
      <c r="AF82" s="2609">
        <f t="shared" ca="1" si="60"/>
        <v>0</v>
      </c>
      <c r="AG82" s="2609">
        <f t="shared" ca="1" si="60"/>
        <v>0</v>
      </c>
      <c r="AH82" s="2609">
        <f t="shared" ca="1" si="60"/>
        <v>0</v>
      </c>
      <c r="AI82" s="2609">
        <f t="shared" ca="1" si="60"/>
        <v>0</v>
      </c>
      <c r="AJ82" s="2609">
        <f t="shared" ca="1" si="60"/>
        <v>0</v>
      </c>
      <c r="AK82" s="2609">
        <f t="shared" ca="1" si="60"/>
        <v>0</v>
      </c>
      <c r="AL82" s="2609">
        <f t="shared" ca="1" si="60"/>
        <v>0</v>
      </c>
      <c r="AM82" s="2609">
        <f t="shared" ca="1" si="60"/>
        <v>0</v>
      </c>
      <c r="AN82" s="2609">
        <f t="shared" ca="1" si="60"/>
        <v>0</v>
      </c>
      <c r="AO82" s="2609">
        <f t="shared" ca="1" si="60"/>
        <v>0</v>
      </c>
      <c r="AP82" s="2609">
        <f t="shared" ca="1" si="60"/>
        <v>0</v>
      </c>
      <c r="AQ82" s="2608">
        <f t="shared" ca="1" si="60"/>
        <v>0.41976165596446158</v>
      </c>
      <c r="AS82" s="1491">
        <f ca="1">AS78+AS79+AS80</f>
        <v>0</v>
      </c>
      <c r="AT82" s="1491">
        <f t="shared" ref="AT82:BJ82" ca="1" si="61">AT78+AT79+AT80</f>
        <v>0</v>
      </c>
      <c r="AU82" s="1491">
        <f t="shared" ca="1" si="61"/>
        <v>0</v>
      </c>
      <c r="AV82" s="1491">
        <f t="shared" ca="1" si="61"/>
        <v>0</v>
      </c>
      <c r="AW82" s="1491">
        <f t="shared" ca="1" si="61"/>
        <v>0</v>
      </c>
      <c r="AX82" s="1491">
        <f t="shared" ca="1" si="61"/>
        <v>0</v>
      </c>
      <c r="AY82" s="1491">
        <f t="shared" ca="1" si="61"/>
        <v>0</v>
      </c>
      <c r="AZ82" s="1491">
        <f t="shared" ca="1" si="61"/>
        <v>0</v>
      </c>
      <c r="BA82" s="1491">
        <f t="shared" ca="1" si="61"/>
        <v>0</v>
      </c>
      <c r="BB82" s="1491">
        <f t="shared" ca="1" si="61"/>
        <v>0</v>
      </c>
      <c r="BC82" s="1491">
        <f t="shared" ca="1" si="61"/>
        <v>0</v>
      </c>
      <c r="BD82" s="1491">
        <f t="shared" ca="1" si="61"/>
        <v>0</v>
      </c>
      <c r="BE82" s="1491">
        <f t="shared" ca="1" si="61"/>
        <v>0</v>
      </c>
      <c r="BF82" s="1491">
        <f t="shared" ca="1" si="61"/>
        <v>0</v>
      </c>
      <c r="BG82" s="1491">
        <f t="shared" ca="1" si="61"/>
        <v>0</v>
      </c>
      <c r="BH82" s="1491">
        <f t="shared" ca="1" si="61"/>
        <v>0</v>
      </c>
      <c r="BI82" s="1491">
        <f t="shared" ca="1" si="61"/>
        <v>0</v>
      </c>
      <c r="BJ82" s="1491">
        <f t="shared" ca="1" si="61"/>
        <v>0</v>
      </c>
      <c r="BK82" s="3167">
        <f ca="1">BK78+BK79+BK80</f>
        <v>-0.41976165596446158</v>
      </c>
      <c r="BL82" s="1491">
        <f ca="1">BL78+BL79+BL80</f>
        <v>-0.41976165596446158</v>
      </c>
      <c r="BN82" s="1492">
        <f ca="1">BN78+BN79+BN80</f>
        <v>0</v>
      </c>
      <c r="BO82" s="1492">
        <f ca="1">BO78+BO79+BO80</f>
        <v>0</v>
      </c>
      <c r="BP82" s="1492">
        <f ca="1">BP78+BP79+BP80</f>
        <v>0</v>
      </c>
      <c r="BR82" s="3168">
        <f ca="1">W82+AQ82+BL82+BP82</f>
        <v>0</v>
      </c>
      <c r="BS82" s="1493"/>
      <c r="BT82" s="748"/>
      <c r="BU82" s="1508"/>
      <c r="BV82" s="1508"/>
      <c r="BW82" s="1508"/>
      <c r="BX82" s="1508"/>
      <c r="BY82" s="1508"/>
      <c r="BZ82" s="1508"/>
      <c r="CA82" s="1508"/>
      <c r="CB82" s="1508"/>
      <c r="CC82" s="1508"/>
      <c r="CD82" s="1508"/>
      <c r="CE82" s="1508"/>
      <c r="CF82" s="1508"/>
      <c r="CG82" s="1508"/>
      <c r="CH82" s="1508"/>
      <c r="CI82" s="1508"/>
      <c r="CJ82" s="1508"/>
      <c r="CK82" s="1508"/>
      <c r="CL82" s="1508"/>
      <c r="CM82" s="1508"/>
      <c r="CN82" s="1508"/>
      <c r="CO82" s="1508"/>
      <c r="CP82" s="1508"/>
      <c r="CQ82" s="1508"/>
      <c r="CR82" s="1508"/>
      <c r="CS82" s="1508"/>
      <c r="CT82" s="1508"/>
      <c r="CU82" s="1508"/>
      <c r="CV82" s="1508"/>
      <c r="CW82" s="1508"/>
      <c r="CX82" s="1508"/>
      <c r="CY82" s="1508"/>
      <c r="CZ82" s="1508"/>
      <c r="DA82" s="1508"/>
      <c r="DB82" s="1508"/>
      <c r="DC82" s="1508"/>
      <c r="DD82" s="1508"/>
      <c r="DE82" s="1508"/>
      <c r="DF82" s="1508"/>
      <c r="DG82" s="1508"/>
      <c r="DH82" s="1508"/>
      <c r="DI82" s="1508"/>
      <c r="DJ82" s="1508"/>
      <c r="DK82" s="1508"/>
      <c r="DL82" s="1508"/>
      <c r="DN82" s="1509"/>
    </row>
    <row r="83" spans="1:118" s="14" customFormat="1" ht="15.75" x14ac:dyDescent="0.2">
      <c r="A83" s="1845"/>
      <c r="B83" s="1847"/>
      <c r="C83" s="1842"/>
      <c r="D83" s="1843"/>
      <c r="E83" s="1844"/>
      <c r="G83" s="1539"/>
      <c r="H83" s="1539"/>
      <c r="I83" s="1539"/>
      <c r="J83" s="1539"/>
      <c r="K83" s="1539"/>
      <c r="L83" s="1539"/>
      <c r="M83" s="1539"/>
      <c r="N83" s="1539"/>
      <c r="O83" s="1539"/>
      <c r="P83" s="1539"/>
      <c r="Q83" s="1539"/>
      <c r="R83" s="1539"/>
      <c r="S83" s="1539"/>
      <c r="T83" s="1539"/>
      <c r="U83" s="1539"/>
      <c r="V83" s="1539"/>
      <c r="W83" s="1539"/>
      <c r="Y83" s="1490"/>
      <c r="Z83" s="1490"/>
      <c r="AA83" s="1490"/>
      <c r="AB83" s="1490"/>
      <c r="AC83" s="1490"/>
      <c r="AD83" s="1490"/>
      <c r="AE83" s="1490"/>
      <c r="AF83" s="1490"/>
      <c r="AG83" s="1490"/>
      <c r="AH83" s="1490"/>
      <c r="AI83" s="1490"/>
      <c r="AJ83" s="1490"/>
      <c r="AK83" s="1490"/>
      <c r="AL83" s="1490"/>
      <c r="AM83" s="1490"/>
      <c r="AN83" s="1490"/>
      <c r="AO83" s="1490"/>
      <c r="AP83" s="1490"/>
      <c r="AQ83" s="1490"/>
      <c r="AS83" s="1491"/>
      <c r="AT83" s="1491"/>
      <c r="AU83" s="1491"/>
      <c r="AV83" s="1491"/>
      <c r="AW83" s="1491"/>
      <c r="AX83" s="1491"/>
      <c r="AY83" s="1491"/>
      <c r="AZ83" s="1491"/>
      <c r="BA83" s="1491"/>
      <c r="BB83" s="1491"/>
      <c r="BC83" s="1491"/>
      <c r="BD83" s="1491"/>
      <c r="BE83" s="1491"/>
      <c r="BF83" s="1491"/>
      <c r="BG83" s="1491"/>
      <c r="BH83" s="1491"/>
      <c r="BI83" s="1491"/>
      <c r="BJ83" s="1491"/>
      <c r="BK83" s="1491"/>
      <c r="BL83" s="1491"/>
      <c r="BN83" s="1492"/>
      <c r="BO83" s="1492"/>
      <c r="BP83" s="1492"/>
      <c r="BR83" s="3168"/>
      <c r="BS83" s="1579"/>
      <c r="BT83" s="748"/>
      <c r="BU83" s="1507"/>
      <c r="BV83" s="1508"/>
      <c r="BW83" s="1508"/>
      <c r="BX83" s="1508"/>
      <c r="BY83" s="1508"/>
      <c r="BZ83" s="1508"/>
      <c r="CA83" s="1508"/>
      <c r="CB83" s="1508"/>
      <c r="CC83" s="1508"/>
      <c r="CD83" s="1508"/>
      <c r="CE83" s="1508"/>
      <c r="CF83" s="1508"/>
      <c r="CG83" s="1508"/>
      <c r="CH83" s="1508"/>
      <c r="CI83" s="1508"/>
      <c r="CJ83" s="1508"/>
      <c r="CK83" s="1508"/>
      <c r="CL83" s="1508"/>
      <c r="CM83" s="1508"/>
      <c r="CN83" s="1508"/>
      <c r="CO83" s="1508"/>
      <c r="CP83" s="1508"/>
      <c r="CQ83" s="1508"/>
      <c r="CR83" s="1508"/>
      <c r="CS83" s="1508"/>
      <c r="CT83" s="1508"/>
      <c r="CU83" s="1508"/>
      <c r="CV83" s="1508"/>
      <c r="CW83" s="1508"/>
      <c r="CX83" s="1508"/>
      <c r="CY83" s="1508"/>
      <c r="CZ83" s="1508"/>
      <c r="DA83" s="1508"/>
      <c r="DB83" s="1508"/>
      <c r="DC83" s="1508"/>
      <c r="DD83" s="1508"/>
      <c r="DE83" s="1508"/>
      <c r="DF83" s="1508"/>
      <c r="DG83" s="1508"/>
      <c r="DH83" s="1508"/>
      <c r="DI83" s="1508"/>
      <c r="DJ83" s="1508"/>
      <c r="DK83" s="1508"/>
      <c r="DL83" s="1508"/>
      <c r="DN83" s="1509"/>
    </row>
    <row r="84" spans="1:118" s="14" customFormat="1" ht="15.75" hidden="1" outlineLevel="1" x14ac:dyDescent="0.2">
      <c r="A84" s="1534"/>
      <c r="B84" s="1535"/>
      <c r="C84" s="1536"/>
      <c r="D84" s="1537"/>
      <c r="E84" s="1538"/>
      <c r="G84" s="1539"/>
      <c r="H84" s="1539"/>
      <c r="I84" s="1539"/>
      <c r="J84" s="1539"/>
      <c r="K84" s="1539"/>
      <c r="L84" s="1539"/>
      <c r="M84" s="1539"/>
      <c r="N84" s="1539"/>
      <c r="O84" s="1539"/>
      <c r="P84" s="1539"/>
      <c r="Q84" s="1539"/>
      <c r="R84" s="1539"/>
      <c r="S84" s="1539"/>
      <c r="T84" s="1539"/>
      <c r="U84" s="1539"/>
      <c r="V84" s="1539"/>
      <c r="W84" s="1539"/>
      <c r="Y84" s="1490"/>
      <c r="Z84" s="1490"/>
      <c r="AA84" s="1490"/>
      <c r="AB84" s="1490"/>
      <c r="AC84" s="1490"/>
      <c r="AD84" s="1490"/>
      <c r="AE84" s="1490"/>
      <c r="AF84" s="1490"/>
      <c r="AG84" s="1490"/>
      <c r="AH84" s="1490"/>
      <c r="AI84" s="1490"/>
      <c r="AJ84" s="1490"/>
      <c r="AK84" s="1490"/>
      <c r="AL84" s="1490"/>
      <c r="AM84" s="1490"/>
      <c r="AN84" s="1490"/>
      <c r="AO84" s="1490"/>
      <c r="AP84" s="1490"/>
      <c r="AQ84" s="1490"/>
      <c r="AS84" s="1491"/>
      <c r="AT84" s="1491"/>
      <c r="AU84" s="1491"/>
      <c r="AV84" s="1491"/>
      <c r="AW84" s="1491"/>
      <c r="AX84" s="1491"/>
      <c r="AY84" s="1491"/>
      <c r="AZ84" s="1491"/>
      <c r="BA84" s="1491"/>
      <c r="BB84" s="1491"/>
      <c r="BC84" s="1491"/>
      <c r="BD84" s="1491"/>
      <c r="BE84" s="1491"/>
      <c r="BF84" s="1491"/>
      <c r="BG84" s="1491"/>
      <c r="BH84" s="1491"/>
      <c r="BI84" s="1491"/>
      <c r="BJ84" s="1491"/>
      <c r="BK84" s="1491"/>
      <c r="BL84" s="1491"/>
      <c r="BN84" s="1492"/>
      <c r="BO84" s="1492"/>
      <c r="BP84" s="1492"/>
      <c r="BR84" s="3168">
        <f t="shared" ref="BR84:BR89" si="62">W84+AQ84+BL84+BP84</f>
        <v>0</v>
      </c>
      <c r="BS84" s="1493"/>
      <c r="BT84" s="748"/>
      <c r="BU84" s="1508"/>
      <c r="BV84" s="1508"/>
      <c r="BW84" s="1508"/>
      <c r="BX84" s="1508"/>
      <c r="BY84" s="1508"/>
      <c r="BZ84" s="1508"/>
      <c r="CA84" s="1508"/>
      <c r="CB84" s="1508"/>
      <c r="CC84" s="1508"/>
      <c r="CD84" s="1508"/>
      <c r="CE84" s="1508"/>
      <c r="CF84" s="1508"/>
      <c r="CG84" s="1508"/>
      <c r="CH84" s="1508"/>
      <c r="CI84" s="1508"/>
      <c r="CJ84" s="1508"/>
      <c r="CK84" s="1508"/>
      <c r="CL84" s="1508"/>
      <c r="CM84" s="1508"/>
      <c r="CN84" s="1508"/>
      <c r="CO84" s="1508"/>
      <c r="CP84" s="1508"/>
      <c r="CQ84" s="1508"/>
      <c r="CR84" s="1508"/>
      <c r="CS84" s="1508"/>
      <c r="CT84" s="1508"/>
      <c r="CU84" s="1508"/>
      <c r="CV84" s="1508"/>
      <c r="CW84" s="1508"/>
      <c r="CX84" s="1508"/>
      <c r="CY84" s="1508"/>
      <c r="CZ84" s="1508"/>
      <c r="DA84" s="1508"/>
      <c r="DB84" s="1508"/>
      <c r="DC84" s="1508"/>
      <c r="DD84" s="1508"/>
      <c r="DE84" s="1508"/>
      <c r="DF84" s="1508"/>
      <c r="DG84" s="1508"/>
      <c r="DH84" s="1508"/>
      <c r="DI84" s="1508"/>
      <c r="DJ84" s="1508"/>
      <c r="DK84" s="1508"/>
      <c r="DL84" s="1508"/>
      <c r="DN84" s="1509"/>
    </row>
    <row r="85" spans="1:118" s="14" customFormat="1" ht="12.75" hidden="1" customHeight="1" outlineLevel="2" x14ac:dyDescent="0.2">
      <c r="A85" s="1534"/>
      <c r="B85" s="1534"/>
      <c r="C85" s="1544"/>
      <c r="D85" s="1538"/>
      <c r="E85" s="1538"/>
      <c r="G85" s="1488"/>
      <c r="H85" s="1488"/>
      <c r="I85" s="1488"/>
      <c r="J85" s="1488"/>
      <c r="K85" s="1488"/>
      <c r="L85" s="1488"/>
      <c r="M85" s="1488"/>
      <c r="N85" s="1488"/>
      <c r="O85" s="1563"/>
      <c r="P85" s="1488"/>
      <c r="Q85" s="1488"/>
      <c r="R85" s="1488"/>
      <c r="S85" s="1488"/>
      <c r="T85" s="1488"/>
      <c r="U85" s="1488"/>
      <c r="V85" s="1488"/>
      <c r="W85" s="1488"/>
      <c r="Y85" s="1490"/>
      <c r="Z85" s="1490"/>
      <c r="AA85" s="1490"/>
      <c r="AB85" s="1490"/>
      <c r="AC85" s="1490"/>
      <c r="AD85" s="1490"/>
      <c r="AE85" s="1490"/>
      <c r="AF85" s="1490"/>
      <c r="AG85" s="1490"/>
      <c r="AH85" s="1490"/>
      <c r="AI85" s="1490"/>
      <c r="AJ85" s="1490"/>
      <c r="AK85" s="1490"/>
      <c r="AL85" s="1490"/>
      <c r="AM85" s="1490"/>
      <c r="AN85" s="1490"/>
      <c r="AO85" s="1490"/>
      <c r="AP85" s="1490"/>
      <c r="AQ85" s="1490"/>
      <c r="AS85" s="1491"/>
      <c r="AT85" s="1491"/>
      <c r="AU85" s="1491"/>
      <c r="AV85" s="1491"/>
      <c r="AW85" s="1491"/>
      <c r="AX85" s="1491"/>
      <c r="AY85" s="1491"/>
      <c r="AZ85" s="1491"/>
      <c r="BA85" s="1491"/>
      <c r="BB85" s="1491"/>
      <c r="BC85" s="1491"/>
      <c r="BD85" s="1491"/>
      <c r="BE85" s="1491"/>
      <c r="BF85" s="1491"/>
      <c r="BG85" s="1491"/>
      <c r="BH85" s="1491"/>
      <c r="BI85" s="1491"/>
      <c r="BJ85" s="1491"/>
      <c r="BK85" s="1491"/>
      <c r="BL85" s="1491"/>
      <c r="BN85" s="1492"/>
      <c r="BO85" s="1492"/>
      <c r="BP85" s="1492"/>
      <c r="BR85" s="3168">
        <f t="shared" si="62"/>
        <v>0</v>
      </c>
      <c r="BS85" s="1493"/>
      <c r="BT85" s="1534"/>
      <c r="BU85" s="1508"/>
      <c r="BV85" s="1508"/>
      <c r="BW85" s="1508"/>
      <c r="BX85" s="1508"/>
      <c r="BY85" s="1508"/>
      <c r="BZ85" s="1508"/>
      <c r="CA85" s="1508"/>
      <c r="CB85" s="1508"/>
      <c r="CC85" s="1508"/>
      <c r="CD85" s="1508"/>
      <c r="CE85" s="1508"/>
      <c r="CF85" s="1508"/>
      <c r="CG85" s="1508"/>
      <c r="CH85" s="1508"/>
      <c r="CI85" s="1508"/>
      <c r="CJ85" s="1508"/>
      <c r="CK85" s="1508"/>
      <c r="CL85" s="1508"/>
      <c r="CM85" s="1508"/>
      <c r="CN85" s="1508"/>
      <c r="CO85" s="1508"/>
      <c r="CP85" s="1508"/>
      <c r="CQ85" s="1508"/>
      <c r="CR85" s="1508"/>
      <c r="CS85" s="1508"/>
      <c r="CT85" s="1508"/>
      <c r="CU85" s="1508"/>
      <c r="CV85" s="1508"/>
      <c r="CW85" s="1508"/>
      <c r="CX85" s="1508"/>
      <c r="CY85" s="1508"/>
      <c r="CZ85" s="1508"/>
      <c r="DA85" s="1508"/>
      <c r="DB85" s="1508"/>
      <c r="DC85" s="1508"/>
      <c r="DD85" s="1508"/>
      <c r="DE85" s="1508"/>
      <c r="DF85" s="1508"/>
      <c r="DG85" s="1508"/>
      <c r="DH85" s="1508"/>
      <c r="DI85" s="1508"/>
      <c r="DJ85" s="1508"/>
      <c r="DK85" s="1508"/>
      <c r="DL85" s="1508"/>
      <c r="DN85" s="1509">
        <v>0</v>
      </c>
    </row>
    <row r="86" spans="1:118" s="1564" customFormat="1" ht="12.75" hidden="1" customHeight="1" outlineLevel="2" x14ac:dyDescent="0.2">
      <c r="C86" s="1565" t="s">
        <v>809</v>
      </c>
      <c r="D86" s="1566" t="s">
        <v>810</v>
      </c>
      <c r="E86" s="1566"/>
      <c r="F86" s="1567"/>
      <c r="G86" s="1568"/>
      <c r="H86" s="1568"/>
      <c r="I86" s="1568"/>
      <c r="J86" s="1568"/>
      <c r="K86" s="1568"/>
      <c r="L86" s="1568"/>
      <c r="M86" s="1568"/>
      <c r="N86" s="1568"/>
      <c r="O86" s="1569"/>
      <c r="P86" s="1568"/>
      <c r="Q86" s="1568"/>
      <c r="R86" s="1568"/>
      <c r="S86" s="1568"/>
      <c r="T86" s="1568"/>
      <c r="U86" s="1568"/>
      <c r="V86" s="1568"/>
      <c r="W86" s="1568"/>
      <c r="X86" s="1567"/>
      <c r="Y86" s="1570"/>
      <c r="Z86" s="1570"/>
      <c r="AA86" s="1570"/>
      <c r="AB86" s="1570"/>
      <c r="AC86" s="1570"/>
      <c r="AD86" s="1570"/>
      <c r="AE86" s="1570"/>
      <c r="AF86" s="1570"/>
      <c r="AG86" s="1570"/>
      <c r="AH86" s="1570"/>
      <c r="AI86" s="1570"/>
      <c r="AJ86" s="1570"/>
      <c r="AK86" s="1570"/>
      <c r="AL86" s="1570"/>
      <c r="AM86" s="1570"/>
      <c r="AN86" s="1570"/>
      <c r="AO86" s="1570"/>
      <c r="AP86" s="1570"/>
      <c r="AQ86" s="1570"/>
      <c r="AR86" s="1567"/>
      <c r="AS86" s="1571"/>
      <c r="AT86" s="1571"/>
      <c r="AU86" s="1571"/>
      <c r="AV86" s="1571"/>
      <c r="AW86" s="1571"/>
      <c r="AX86" s="1571"/>
      <c r="AY86" s="1571"/>
      <c r="AZ86" s="1571"/>
      <c r="BA86" s="1571"/>
      <c r="BB86" s="1571"/>
      <c r="BC86" s="1571"/>
      <c r="BD86" s="1571"/>
      <c r="BE86" s="1571"/>
      <c r="BF86" s="1571"/>
      <c r="BG86" s="1571"/>
      <c r="BH86" s="1571"/>
      <c r="BI86" s="1571"/>
      <c r="BJ86" s="1571"/>
      <c r="BK86" s="1571"/>
      <c r="BL86" s="1571"/>
      <c r="BM86" s="1567"/>
      <c r="BN86" s="1572"/>
      <c r="BO86" s="1572"/>
      <c r="BP86" s="1572"/>
      <c r="BQ86" s="1567"/>
      <c r="BR86" s="3168">
        <f t="shared" si="62"/>
        <v>0</v>
      </c>
      <c r="BS86" s="1573"/>
      <c r="BU86" s="1574"/>
      <c r="BV86" s="1574"/>
      <c r="BW86" s="1574"/>
      <c r="BX86" s="1574"/>
      <c r="BY86" s="1574"/>
      <c r="BZ86" s="1574"/>
      <c r="CA86" s="1574"/>
      <c r="CB86" s="1574"/>
      <c r="CC86" s="1574"/>
      <c r="CD86" s="1574"/>
      <c r="CE86" s="1574"/>
      <c r="CF86" s="1574"/>
      <c r="CG86" s="1574"/>
      <c r="CH86" s="1574"/>
      <c r="CI86" s="1574"/>
      <c r="CJ86" s="1574"/>
      <c r="CK86" s="1574"/>
      <c r="CL86" s="1574"/>
      <c r="CM86" s="1574"/>
      <c r="CN86" s="1574"/>
      <c r="CO86" s="1574"/>
      <c r="CP86" s="1574"/>
      <c r="CQ86" s="1574"/>
      <c r="CR86" s="1574"/>
      <c r="CS86" s="1574"/>
      <c r="CT86" s="1574"/>
      <c r="CU86" s="1574"/>
      <c r="CV86" s="1574"/>
      <c r="CW86" s="1574"/>
      <c r="CX86" s="1574"/>
      <c r="CY86" s="1574"/>
      <c r="CZ86" s="1574"/>
      <c r="DA86" s="1574"/>
      <c r="DB86" s="1574"/>
      <c r="DC86" s="1574"/>
      <c r="DD86" s="1574"/>
      <c r="DE86" s="1574"/>
      <c r="DF86" s="1574"/>
      <c r="DG86" s="1574"/>
      <c r="DH86" s="1574"/>
      <c r="DI86" s="1574"/>
      <c r="DJ86" s="1574"/>
      <c r="DK86" s="1574"/>
      <c r="DL86" s="1574"/>
      <c r="DN86" s="1575">
        <v>0</v>
      </c>
    </row>
    <row r="87" spans="1:118" s="1522" customFormat="1" ht="12.75" hidden="1" customHeight="1" outlineLevel="2" x14ac:dyDescent="0.2">
      <c r="C87" s="1496" t="s">
        <v>112</v>
      </c>
      <c r="D87" s="1526" t="s">
        <v>113</v>
      </c>
      <c r="E87" s="1526"/>
      <c r="F87" s="14"/>
      <c r="G87" s="1540"/>
      <c r="H87" s="1540"/>
      <c r="I87" s="1540"/>
      <c r="J87" s="1540"/>
      <c r="K87" s="1540"/>
      <c r="L87" s="1540"/>
      <c r="M87" s="1540"/>
      <c r="N87" s="1540"/>
      <c r="O87" s="1540"/>
      <c r="P87" s="1540"/>
      <c r="Q87" s="1540"/>
      <c r="R87" s="1540"/>
      <c r="S87" s="1540"/>
      <c r="T87" s="1540"/>
      <c r="U87" s="1540"/>
      <c r="V87" s="1540"/>
      <c r="W87" s="1527"/>
      <c r="X87" s="14"/>
      <c r="Y87" s="1541"/>
      <c r="Z87" s="1541"/>
      <c r="AA87" s="1541"/>
      <c r="AB87" s="1541"/>
      <c r="AC87" s="1541"/>
      <c r="AD87" s="1541"/>
      <c r="AE87" s="1541"/>
      <c r="AF87" s="1541"/>
      <c r="AG87" s="1541"/>
      <c r="AH87" s="1541"/>
      <c r="AI87" s="1541"/>
      <c r="AJ87" s="1541"/>
      <c r="AK87" s="1541"/>
      <c r="AL87" s="1541"/>
      <c r="AM87" s="1541"/>
      <c r="AN87" s="1541"/>
      <c r="AO87" s="1541"/>
      <c r="AP87" s="1541"/>
      <c r="AQ87" s="1528"/>
      <c r="AR87" s="14"/>
      <c r="AS87" s="1542"/>
      <c r="AT87" s="1542"/>
      <c r="AU87" s="1542"/>
      <c r="AV87" s="1542"/>
      <c r="AW87" s="1542"/>
      <c r="AX87" s="1542"/>
      <c r="AY87" s="1542"/>
      <c r="AZ87" s="1542"/>
      <c r="BA87" s="1542"/>
      <c r="BB87" s="1542"/>
      <c r="BC87" s="1542"/>
      <c r="BD87" s="1542"/>
      <c r="BE87" s="1542"/>
      <c r="BF87" s="1542"/>
      <c r="BG87" s="1542"/>
      <c r="BH87" s="1542"/>
      <c r="BI87" s="1542"/>
      <c r="BJ87" s="1542"/>
      <c r="BK87" s="1542"/>
      <c r="BL87" s="1530"/>
      <c r="BM87" s="14"/>
      <c r="BN87" s="1543"/>
      <c r="BO87" s="1543"/>
      <c r="BP87" s="1531"/>
      <c r="BQ87" s="14"/>
      <c r="BR87" s="3168">
        <f t="shared" si="62"/>
        <v>0</v>
      </c>
      <c r="BS87" s="1525"/>
      <c r="BT87" s="748"/>
      <c r="BU87" s="1532">
        <v>0</v>
      </c>
      <c r="BV87" s="1533">
        <v>0</v>
      </c>
      <c r="BW87" s="1533">
        <v>0</v>
      </c>
      <c r="BX87" s="1533">
        <v>0</v>
      </c>
      <c r="BY87" s="1533">
        <v>0</v>
      </c>
      <c r="BZ87" s="1533">
        <v>0</v>
      </c>
      <c r="CA87" s="1533">
        <v>0</v>
      </c>
      <c r="CB87" s="1533">
        <v>0</v>
      </c>
      <c r="CC87" s="1533">
        <v>0</v>
      </c>
      <c r="CD87" s="1533">
        <v>0</v>
      </c>
      <c r="CE87" s="1533">
        <v>0</v>
      </c>
      <c r="CF87" s="1533">
        <v>0</v>
      </c>
      <c r="CG87" s="1533">
        <v>0</v>
      </c>
      <c r="CH87" s="1533">
        <v>0</v>
      </c>
      <c r="CI87" s="1533">
        <v>0</v>
      </c>
      <c r="CJ87" s="1533">
        <v>0</v>
      </c>
      <c r="CK87" s="1533">
        <v>0</v>
      </c>
      <c r="CL87" s="1533">
        <v>0</v>
      </c>
      <c r="CM87" s="1533">
        <v>0</v>
      </c>
      <c r="CN87" s="1533">
        <v>0</v>
      </c>
      <c r="CO87" s="1533">
        <v>0</v>
      </c>
      <c r="CP87" s="1533">
        <v>0</v>
      </c>
      <c r="CQ87" s="1533">
        <v>0</v>
      </c>
      <c r="CR87" s="1533">
        <v>0</v>
      </c>
      <c r="CS87" s="1533">
        <v>0</v>
      </c>
      <c r="CT87" s="1533">
        <v>0</v>
      </c>
      <c r="CU87" s="1533">
        <v>0</v>
      </c>
      <c r="CV87" s="1533">
        <v>0</v>
      </c>
      <c r="CW87" s="1533">
        <v>0</v>
      </c>
      <c r="CX87" s="1533">
        <v>0</v>
      </c>
      <c r="CY87" s="1533">
        <v>0</v>
      </c>
      <c r="CZ87" s="1533">
        <v>0</v>
      </c>
      <c r="DA87" s="1533">
        <v>0</v>
      </c>
      <c r="DB87" s="1533">
        <v>0</v>
      </c>
      <c r="DC87" s="1533">
        <v>0</v>
      </c>
      <c r="DD87" s="1533">
        <v>0</v>
      </c>
      <c r="DE87" s="1533">
        <v>0</v>
      </c>
      <c r="DF87" s="1533">
        <v>0</v>
      </c>
      <c r="DG87" s="1533">
        <v>0</v>
      </c>
      <c r="DH87" s="1533">
        <v>0</v>
      </c>
      <c r="DI87" s="1533">
        <v>0</v>
      </c>
      <c r="DJ87" s="1533">
        <v>0</v>
      </c>
      <c r="DK87" s="1533">
        <v>0</v>
      </c>
      <c r="DL87" s="1533">
        <v>0</v>
      </c>
      <c r="DN87" s="1509">
        <v>0</v>
      </c>
    </row>
    <row r="88" spans="1:118" s="14" customFormat="1" ht="15.75" hidden="1" outlineLevel="1" collapsed="1" x14ac:dyDescent="0.2">
      <c r="A88" s="1845"/>
      <c r="B88" s="1846"/>
      <c r="C88" s="1842" t="s">
        <v>746</v>
      </c>
      <c r="D88" s="1843" t="s">
        <v>2283</v>
      </c>
      <c r="E88" s="1844"/>
      <c r="G88" s="1539"/>
      <c r="H88" s="1539"/>
      <c r="I88" s="1539"/>
      <c r="J88" s="1539"/>
      <c r="K88" s="1539"/>
      <c r="L88" s="1539"/>
      <c r="M88" s="1539"/>
      <c r="N88" s="1539"/>
      <c r="O88" s="1539"/>
      <c r="P88" s="1539"/>
      <c r="Q88" s="1539"/>
      <c r="R88" s="1539"/>
      <c r="S88" s="1539"/>
      <c r="T88" s="1539"/>
      <c r="U88" s="1539"/>
      <c r="V88" s="1539"/>
      <c r="W88" s="1539"/>
      <c r="Y88" s="1490"/>
      <c r="Z88" s="1490"/>
      <c r="AA88" s="1490"/>
      <c r="AB88" s="1490"/>
      <c r="AC88" s="1490"/>
      <c r="AD88" s="1490"/>
      <c r="AE88" s="1490"/>
      <c r="AF88" s="1490"/>
      <c r="AG88" s="1490"/>
      <c r="AH88" s="1490"/>
      <c r="AI88" s="1490"/>
      <c r="AJ88" s="1490"/>
      <c r="AK88" s="1490"/>
      <c r="AL88" s="1490"/>
      <c r="AM88" s="1490"/>
      <c r="AN88" s="1490"/>
      <c r="AO88" s="1490"/>
      <c r="AP88" s="1490"/>
      <c r="AQ88" s="1490"/>
      <c r="AS88" s="1491"/>
      <c r="AT88" s="1491"/>
      <c r="AU88" s="1491"/>
      <c r="AV88" s="1491"/>
      <c r="AW88" s="1491"/>
      <c r="AX88" s="1491"/>
      <c r="AY88" s="1491"/>
      <c r="AZ88" s="1491"/>
      <c r="BA88" s="1491"/>
      <c r="BB88" s="1491"/>
      <c r="BC88" s="1491"/>
      <c r="BD88" s="1491"/>
      <c r="BE88" s="1491"/>
      <c r="BF88" s="1491"/>
      <c r="BG88" s="1491"/>
      <c r="BH88" s="1491"/>
      <c r="BI88" s="1491"/>
      <c r="BJ88" s="1491"/>
      <c r="BK88" s="1491"/>
      <c r="BL88" s="1491"/>
      <c r="BN88" s="1492"/>
      <c r="BO88" s="1492"/>
      <c r="BP88" s="1492"/>
      <c r="BR88" s="3168">
        <f t="shared" si="62"/>
        <v>0</v>
      </c>
      <c r="BS88" s="1493"/>
      <c r="BT88" s="748"/>
      <c r="BU88" s="1508">
        <v>0</v>
      </c>
      <c r="BV88" s="1508">
        <v>0</v>
      </c>
      <c r="BW88" s="1508">
        <v>0</v>
      </c>
      <c r="BX88" s="1508">
        <v>0</v>
      </c>
      <c r="BY88" s="1508">
        <v>0</v>
      </c>
      <c r="BZ88" s="1508">
        <v>0</v>
      </c>
      <c r="CA88" s="1508">
        <v>0</v>
      </c>
      <c r="CB88" s="1508">
        <v>0</v>
      </c>
      <c r="CC88" s="1508">
        <v>0</v>
      </c>
      <c r="CD88" s="1508">
        <v>0</v>
      </c>
      <c r="CE88" s="1508">
        <v>0</v>
      </c>
      <c r="CF88" s="1508">
        <v>0</v>
      </c>
      <c r="CG88" s="1508">
        <v>0</v>
      </c>
      <c r="CH88" s="1508">
        <v>0</v>
      </c>
      <c r="CI88" s="1508">
        <v>0</v>
      </c>
      <c r="CJ88" s="1508">
        <v>0</v>
      </c>
      <c r="CK88" s="1508">
        <v>0</v>
      </c>
      <c r="CL88" s="1508">
        <v>0</v>
      </c>
      <c r="CM88" s="1508">
        <v>0</v>
      </c>
      <c r="CN88" s="1508">
        <v>0</v>
      </c>
      <c r="CO88" s="1508">
        <v>0</v>
      </c>
      <c r="CP88" s="1508">
        <v>0</v>
      </c>
      <c r="CQ88" s="1508">
        <v>0</v>
      </c>
      <c r="CR88" s="1508">
        <v>0</v>
      </c>
      <c r="CS88" s="1508">
        <v>0</v>
      </c>
      <c r="CT88" s="1508">
        <v>0</v>
      </c>
      <c r="CU88" s="1508">
        <v>0</v>
      </c>
      <c r="CV88" s="1508">
        <v>0</v>
      </c>
      <c r="CW88" s="1508">
        <v>0</v>
      </c>
      <c r="CX88" s="1508">
        <v>0</v>
      </c>
      <c r="CY88" s="1508">
        <v>0</v>
      </c>
      <c r="CZ88" s="1508">
        <v>0</v>
      </c>
      <c r="DA88" s="1508">
        <v>0</v>
      </c>
      <c r="DB88" s="1508">
        <v>0</v>
      </c>
      <c r="DC88" s="1508">
        <v>0</v>
      </c>
      <c r="DD88" s="1508">
        <v>0</v>
      </c>
      <c r="DE88" s="1508">
        <v>0</v>
      </c>
      <c r="DF88" s="1508">
        <v>0</v>
      </c>
      <c r="DG88" s="1508">
        <v>0</v>
      </c>
      <c r="DH88" s="1508">
        <v>0</v>
      </c>
      <c r="DI88" s="1508">
        <v>0</v>
      </c>
      <c r="DJ88" s="1508">
        <v>0</v>
      </c>
      <c r="DK88" s="1508">
        <v>0</v>
      </c>
      <c r="DL88" s="1508">
        <v>0</v>
      </c>
      <c r="DN88" s="1509">
        <v>0</v>
      </c>
    </row>
    <row r="89" spans="1:118" s="14" customFormat="1" ht="15.75" hidden="1" outlineLevel="1" x14ac:dyDescent="0.2">
      <c r="A89" s="1845"/>
      <c r="B89" s="1846"/>
      <c r="C89" s="1842"/>
      <c r="D89" s="1843"/>
      <c r="E89" s="1844"/>
      <c r="G89" s="1539"/>
      <c r="H89" s="1539"/>
      <c r="I89" s="1539"/>
      <c r="J89" s="1539"/>
      <c r="K89" s="1539"/>
      <c r="L89" s="1539"/>
      <c r="M89" s="1539"/>
      <c r="N89" s="1539"/>
      <c r="O89" s="1539"/>
      <c r="P89" s="1539"/>
      <c r="Q89" s="1539"/>
      <c r="R89" s="1539"/>
      <c r="S89" s="1539"/>
      <c r="T89" s="1539"/>
      <c r="U89" s="1539"/>
      <c r="V89" s="1539"/>
      <c r="W89" s="1539"/>
      <c r="Y89" s="1490"/>
      <c r="Z89" s="1490"/>
      <c r="AA89" s="1490"/>
      <c r="AB89" s="1490"/>
      <c r="AC89" s="1490"/>
      <c r="AD89" s="1490"/>
      <c r="AE89" s="1490"/>
      <c r="AF89" s="1490"/>
      <c r="AG89" s="1490"/>
      <c r="AH89" s="1490"/>
      <c r="AI89" s="1490"/>
      <c r="AJ89" s="1490"/>
      <c r="AK89" s="1490"/>
      <c r="AL89" s="1490"/>
      <c r="AM89" s="1490"/>
      <c r="AN89" s="1490"/>
      <c r="AO89" s="1490"/>
      <c r="AP89" s="1490"/>
      <c r="AQ89" s="1490"/>
      <c r="AS89" s="1491"/>
      <c r="AT89" s="1491"/>
      <c r="AU89" s="1491"/>
      <c r="AV89" s="1491"/>
      <c r="AW89" s="1491"/>
      <c r="AX89" s="1491"/>
      <c r="AY89" s="1491"/>
      <c r="AZ89" s="1491"/>
      <c r="BA89" s="1491"/>
      <c r="BB89" s="1491"/>
      <c r="BC89" s="1491"/>
      <c r="BD89" s="1491"/>
      <c r="BE89" s="1491"/>
      <c r="BF89" s="1491"/>
      <c r="BG89" s="1491"/>
      <c r="BH89" s="1491"/>
      <c r="BI89" s="1491"/>
      <c r="BJ89" s="1491"/>
      <c r="BK89" s="1491"/>
      <c r="BL89" s="1491"/>
      <c r="BN89" s="1492"/>
      <c r="BO89" s="1492"/>
      <c r="BP89" s="1492"/>
      <c r="BR89" s="3168">
        <f t="shared" si="62"/>
        <v>0</v>
      </c>
      <c r="BS89" s="1493"/>
      <c r="BT89" s="748"/>
      <c r="BU89" s="1508"/>
      <c r="BV89" s="1508"/>
      <c r="BW89" s="1508"/>
      <c r="BX89" s="1508"/>
      <c r="BY89" s="1508"/>
      <c r="BZ89" s="1508"/>
      <c r="CA89" s="1508"/>
      <c r="CB89" s="1508"/>
      <c r="CC89" s="1508"/>
      <c r="CD89" s="1508"/>
      <c r="CE89" s="1508"/>
      <c r="CF89" s="1508"/>
      <c r="CG89" s="1508"/>
      <c r="CH89" s="1508"/>
      <c r="CI89" s="1508"/>
      <c r="CJ89" s="1508"/>
      <c r="CK89" s="1508"/>
      <c r="CL89" s="1508"/>
      <c r="CM89" s="1508"/>
      <c r="CN89" s="1508"/>
      <c r="CO89" s="1508"/>
      <c r="CP89" s="1508"/>
      <c r="CQ89" s="1508"/>
      <c r="CR89" s="1508"/>
      <c r="CS89" s="1508"/>
      <c r="CT89" s="1508"/>
      <c r="CU89" s="1508"/>
      <c r="CV89" s="1508"/>
      <c r="CW89" s="1508"/>
      <c r="CX89" s="1508"/>
      <c r="CY89" s="1508"/>
      <c r="CZ89" s="1508"/>
      <c r="DA89" s="1508"/>
      <c r="DB89" s="1508"/>
      <c r="DC89" s="1508"/>
      <c r="DD89" s="1508"/>
      <c r="DE89" s="1508"/>
      <c r="DF89" s="1508"/>
      <c r="DG89" s="1508"/>
      <c r="DH89" s="1508"/>
      <c r="DI89" s="1508"/>
      <c r="DJ89" s="1508"/>
      <c r="DK89" s="1508"/>
      <c r="DL89" s="1508"/>
      <c r="DN89" s="1509"/>
    </row>
    <row r="90" spans="1:118" s="14" customFormat="1" ht="15.75" collapsed="1" x14ac:dyDescent="0.2">
      <c r="A90" s="1845"/>
      <c r="B90" s="1846"/>
      <c r="C90" s="1842"/>
      <c r="D90" s="1843"/>
      <c r="E90" s="1844"/>
      <c r="G90" s="1539"/>
      <c r="H90" s="1539"/>
      <c r="I90" s="1539"/>
      <c r="J90" s="1539"/>
      <c r="K90" s="1539"/>
      <c r="L90" s="1539"/>
      <c r="M90" s="1539"/>
      <c r="N90" s="1539"/>
      <c r="O90" s="1539"/>
      <c r="P90" s="1539"/>
      <c r="Q90" s="1539"/>
      <c r="R90" s="1539"/>
      <c r="S90" s="1539"/>
      <c r="T90" s="1539"/>
      <c r="U90" s="1539"/>
      <c r="V90" s="1539"/>
      <c r="W90" s="1539"/>
      <c r="Y90" s="1490"/>
      <c r="Z90" s="1490"/>
      <c r="AA90" s="1490"/>
      <c r="AB90" s="1490"/>
      <c r="AC90" s="1490"/>
      <c r="AD90" s="1490"/>
      <c r="AE90" s="1490"/>
      <c r="AF90" s="1490"/>
      <c r="AG90" s="1490"/>
      <c r="AH90" s="1490"/>
      <c r="AI90" s="1490"/>
      <c r="AJ90" s="1490"/>
      <c r="AK90" s="1490"/>
      <c r="AL90" s="1490"/>
      <c r="AM90" s="1490"/>
      <c r="AN90" s="1490"/>
      <c r="AO90" s="1490"/>
      <c r="AP90" s="1490"/>
      <c r="AQ90" s="1490"/>
      <c r="AS90" s="1491"/>
      <c r="AT90" s="1491"/>
      <c r="AU90" s="1491"/>
      <c r="AV90" s="1491"/>
      <c r="AW90" s="1491"/>
      <c r="AX90" s="1491"/>
      <c r="AY90" s="1491"/>
      <c r="AZ90" s="1491"/>
      <c r="BA90" s="1491"/>
      <c r="BB90" s="1491"/>
      <c r="BC90" s="1491"/>
      <c r="BD90" s="1491"/>
      <c r="BE90" s="1491"/>
      <c r="BF90" s="1491"/>
      <c r="BG90" s="1491"/>
      <c r="BH90" s="1491"/>
      <c r="BI90" s="1491"/>
      <c r="BJ90" s="1491"/>
      <c r="BK90" s="1491"/>
      <c r="BL90" s="1491"/>
      <c r="BN90" s="1492"/>
      <c r="BO90" s="1492"/>
      <c r="BP90" s="1492"/>
      <c r="BR90" s="3168"/>
      <c r="BS90" s="1493"/>
      <c r="BT90" s="748"/>
      <c r="BU90" s="1508"/>
      <c r="BV90" s="1508"/>
      <c r="BW90" s="1508"/>
      <c r="BX90" s="1508"/>
      <c r="BY90" s="1508"/>
      <c r="BZ90" s="1508"/>
      <c r="CA90" s="1508"/>
      <c r="CB90" s="1508"/>
      <c r="CC90" s="1508"/>
      <c r="CD90" s="1508"/>
      <c r="CE90" s="1508"/>
      <c r="CF90" s="1508"/>
      <c r="CG90" s="1508"/>
      <c r="CH90" s="1508"/>
      <c r="CI90" s="1508"/>
      <c r="CJ90" s="1508"/>
      <c r="CK90" s="1508"/>
      <c r="CL90" s="1508"/>
      <c r="CM90" s="1508"/>
      <c r="CN90" s="1508"/>
      <c r="CO90" s="1508"/>
      <c r="CP90" s="1508"/>
      <c r="CQ90" s="1508"/>
      <c r="CR90" s="1508"/>
      <c r="CS90" s="1508"/>
      <c r="CT90" s="1508"/>
      <c r="CU90" s="1508"/>
      <c r="CV90" s="1508"/>
      <c r="CW90" s="1508"/>
      <c r="CX90" s="1508"/>
      <c r="CY90" s="1508"/>
      <c r="CZ90" s="1508"/>
      <c r="DA90" s="1508"/>
      <c r="DB90" s="1508"/>
      <c r="DC90" s="1508"/>
      <c r="DD90" s="1508"/>
      <c r="DE90" s="1508"/>
      <c r="DF90" s="1508"/>
      <c r="DG90" s="1508"/>
      <c r="DH90" s="1508"/>
      <c r="DI90" s="1508"/>
      <c r="DJ90" s="1508"/>
      <c r="DK90" s="1508"/>
      <c r="DL90" s="1508"/>
      <c r="DN90" s="1509"/>
    </row>
    <row r="91" spans="1:118" s="14" customFormat="1" ht="6" customHeight="1" x14ac:dyDescent="0.2">
      <c r="C91" s="1552"/>
      <c r="D91" s="1537"/>
      <c r="E91" s="1430"/>
      <c r="G91" s="1488"/>
      <c r="H91" s="1488"/>
      <c r="I91" s="1488"/>
      <c r="J91" s="1488"/>
      <c r="K91" s="1488"/>
      <c r="L91" s="1488"/>
      <c r="M91" s="1488"/>
      <c r="N91" s="1488"/>
      <c r="O91" s="1563"/>
      <c r="P91" s="1488"/>
      <c r="Q91" s="1488"/>
      <c r="R91" s="1488"/>
      <c r="S91" s="1488"/>
      <c r="T91" s="1488"/>
      <c r="U91" s="1488"/>
      <c r="V91" s="1488"/>
      <c r="W91" s="1488"/>
      <c r="Y91" s="1490"/>
      <c r="Z91" s="1490"/>
      <c r="AA91" s="1490"/>
      <c r="AB91" s="1490"/>
      <c r="AC91" s="1490"/>
      <c r="AD91" s="1490"/>
      <c r="AE91" s="1490"/>
      <c r="AF91" s="1490"/>
      <c r="AG91" s="1490"/>
      <c r="AH91" s="1490"/>
      <c r="AI91" s="1490"/>
      <c r="AJ91" s="1490"/>
      <c r="AK91" s="1490"/>
      <c r="AL91" s="1490"/>
      <c r="AM91" s="1490"/>
      <c r="AN91" s="1490"/>
      <c r="AO91" s="1490"/>
      <c r="AP91" s="1490"/>
      <c r="AQ91" s="1490"/>
      <c r="AS91" s="1491"/>
      <c r="AT91" s="1491"/>
      <c r="AU91" s="1491"/>
      <c r="AV91" s="1491"/>
      <c r="AW91" s="1491"/>
      <c r="AX91" s="1491"/>
      <c r="AY91" s="1491"/>
      <c r="AZ91" s="1491"/>
      <c r="BA91" s="1491"/>
      <c r="BB91" s="1491"/>
      <c r="BC91" s="1491"/>
      <c r="BD91" s="1491"/>
      <c r="BE91" s="1491"/>
      <c r="BF91" s="1491"/>
      <c r="BG91" s="1491"/>
      <c r="BH91" s="1491"/>
      <c r="BI91" s="1491"/>
      <c r="BJ91" s="1491"/>
      <c r="BK91" s="1491"/>
      <c r="BL91" s="1491"/>
      <c r="BN91" s="1492"/>
      <c r="BO91" s="1492"/>
      <c r="BP91" s="1492"/>
      <c r="BR91" s="3168"/>
      <c r="BS91" s="1493"/>
      <c r="BU91" s="1508"/>
      <c r="BV91" s="1508"/>
      <c r="BW91" s="1508"/>
      <c r="BX91" s="1508"/>
      <c r="BY91" s="1508"/>
      <c r="BZ91" s="1508"/>
      <c r="CA91" s="1508"/>
      <c r="CB91" s="1508"/>
      <c r="CC91" s="1508"/>
      <c r="CD91" s="1508"/>
      <c r="CE91" s="1508"/>
      <c r="CF91" s="1508"/>
      <c r="CG91" s="1508"/>
      <c r="CH91" s="1508"/>
      <c r="CI91" s="1508"/>
      <c r="CJ91" s="1508"/>
      <c r="CK91" s="1508"/>
      <c r="CL91" s="1508"/>
      <c r="CM91" s="1508"/>
      <c r="CN91" s="1508"/>
      <c r="CO91" s="1508"/>
      <c r="CP91" s="1508"/>
      <c r="CQ91" s="1508"/>
      <c r="CR91" s="1508"/>
      <c r="CS91" s="1508"/>
      <c r="CT91" s="1508"/>
      <c r="CU91" s="1508"/>
      <c r="CV91" s="1508"/>
      <c r="CW91" s="1508"/>
      <c r="CX91" s="1508"/>
      <c r="CY91" s="1508"/>
      <c r="CZ91" s="1508"/>
      <c r="DA91" s="1508"/>
      <c r="DB91" s="1508"/>
      <c r="DC91" s="1508"/>
      <c r="DD91" s="1508"/>
      <c r="DE91" s="1508"/>
      <c r="DF91" s="1508"/>
      <c r="DG91" s="1508"/>
      <c r="DH91" s="1508"/>
      <c r="DI91" s="1508"/>
      <c r="DJ91" s="1508"/>
      <c r="DK91" s="1508"/>
      <c r="DL91" s="1508"/>
      <c r="DN91" s="1509"/>
    </row>
    <row r="92" spans="1:118" s="14" customFormat="1" ht="15.75" x14ac:dyDescent="0.2">
      <c r="B92" s="1535"/>
      <c r="C92" s="1553"/>
      <c r="D92" s="1554" t="s">
        <v>917</v>
      </c>
      <c r="E92" s="1555"/>
      <c r="F92" s="1556">
        <f t="shared" ref="F92:V92" si="63">F54+F59+F76+F70+F82</f>
        <v>0</v>
      </c>
      <c r="G92" s="1556">
        <f t="shared" si="63"/>
        <v>0</v>
      </c>
      <c r="H92" s="1556">
        <f t="shared" si="63"/>
        <v>0</v>
      </c>
      <c r="I92" s="1556">
        <f t="shared" si="63"/>
        <v>0</v>
      </c>
      <c r="J92" s="1556">
        <f t="shared" si="63"/>
        <v>0</v>
      </c>
      <c r="K92" s="1556">
        <f t="shared" si="63"/>
        <v>0</v>
      </c>
      <c r="L92" s="1556">
        <f t="shared" si="63"/>
        <v>0</v>
      </c>
      <c r="M92" s="1556">
        <f t="shared" si="63"/>
        <v>0</v>
      </c>
      <c r="N92" s="1556">
        <f t="shared" si="63"/>
        <v>0</v>
      </c>
      <c r="O92" s="1556">
        <f t="shared" si="63"/>
        <v>0</v>
      </c>
      <c r="P92" s="1556">
        <f t="shared" si="63"/>
        <v>0</v>
      </c>
      <c r="Q92" s="1556">
        <f t="shared" si="63"/>
        <v>0</v>
      </c>
      <c r="R92" s="1556">
        <f t="shared" si="63"/>
        <v>0</v>
      </c>
      <c r="S92" s="1556">
        <f t="shared" si="63"/>
        <v>0</v>
      </c>
      <c r="T92" s="1556">
        <f t="shared" si="63"/>
        <v>0</v>
      </c>
      <c r="U92" s="1556">
        <f t="shared" si="63"/>
        <v>0</v>
      </c>
      <c r="V92" s="1556">
        <f t="shared" si="63"/>
        <v>0</v>
      </c>
      <c r="W92" s="1556">
        <f>W54+W59+W76+W70+W82</f>
        <v>0</v>
      </c>
      <c r="Y92" s="1557">
        <f ca="1">Y54+Y59+Y76+Y70+Y82</f>
        <v>0</v>
      </c>
      <c r="Z92" s="1557">
        <f t="shared" ref="Z92:AP92" ca="1" si="64">Z54+Z59+Z76+Z70+Z82</f>
        <v>162.18836791957614</v>
      </c>
      <c r="AA92" s="1557">
        <f t="shared" ca="1" si="64"/>
        <v>-161.7403455386266</v>
      </c>
      <c r="AB92" s="1557">
        <f t="shared" ca="1" si="64"/>
        <v>-20.217543192328328</v>
      </c>
      <c r="AC92" s="1557">
        <f t="shared" ca="1" si="64"/>
        <v>-92.423054593500922</v>
      </c>
      <c r="AD92" s="1557">
        <f t="shared" ca="1" si="64"/>
        <v>0</v>
      </c>
      <c r="AE92" s="1557">
        <f t="shared" ca="1" si="64"/>
        <v>0</v>
      </c>
      <c r="AF92" s="1557">
        <f t="shared" ca="1" si="64"/>
        <v>0</v>
      </c>
      <c r="AG92" s="1557">
        <f t="shared" ca="1" si="64"/>
        <v>0</v>
      </c>
      <c r="AH92" s="1557">
        <f t="shared" ca="1" si="64"/>
        <v>0</v>
      </c>
      <c r="AI92" s="1557">
        <f t="shared" ca="1" si="64"/>
        <v>0</v>
      </c>
      <c r="AJ92" s="1557">
        <f t="shared" ca="1" si="64"/>
        <v>0</v>
      </c>
      <c r="AK92" s="1557">
        <f t="shared" ca="1" si="64"/>
        <v>0</v>
      </c>
      <c r="AL92" s="1557">
        <f t="shared" ca="1" si="64"/>
        <v>-2.9453760000000004</v>
      </c>
      <c r="AM92" s="1557">
        <f t="shared" ca="1" si="64"/>
        <v>0</v>
      </c>
      <c r="AN92" s="1557">
        <f t="shared" ca="1" si="64"/>
        <v>0</v>
      </c>
      <c r="AO92" s="1557">
        <f t="shared" ca="1" si="64"/>
        <v>0</v>
      </c>
      <c r="AP92" s="1557">
        <f t="shared" ca="1" si="64"/>
        <v>0</v>
      </c>
      <c r="AQ92" s="1557">
        <f ca="1">AQ54+AQ59+AQ76+AQ70+AQ82</f>
        <v>-115.13795140487976</v>
      </c>
      <c r="AS92" s="1558">
        <f ca="1">AS54+AS59+AS76+AS70+AS82</f>
        <v>0</v>
      </c>
      <c r="AT92" s="1558">
        <f t="shared" ref="AT92:BK92" ca="1" si="65">AT54+AT59+AT76+AT70+AT82</f>
        <v>0</v>
      </c>
      <c r="AU92" s="1558">
        <f t="shared" ca="1" si="65"/>
        <v>0</v>
      </c>
      <c r="AV92" s="1558">
        <f t="shared" ca="1" si="65"/>
        <v>0</v>
      </c>
      <c r="AW92" s="1558">
        <f t="shared" ca="1" si="65"/>
        <v>0</v>
      </c>
      <c r="AX92" s="1558">
        <f t="shared" ca="1" si="65"/>
        <v>0</v>
      </c>
      <c r="AY92" s="1558">
        <f t="shared" ca="1" si="65"/>
        <v>0</v>
      </c>
      <c r="AZ92" s="1558">
        <f t="shared" ca="1" si="65"/>
        <v>0</v>
      </c>
      <c r="BA92" s="1558">
        <f t="shared" ca="1" si="65"/>
        <v>0</v>
      </c>
      <c r="BB92" s="1558">
        <f t="shared" ca="1" si="65"/>
        <v>0</v>
      </c>
      <c r="BC92" s="1558">
        <f t="shared" ca="1" si="65"/>
        <v>-10.803971940966797</v>
      </c>
      <c r="BD92" s="1558">
        <f t="shared" ca="1" si="65"/>
        <v>-6.3555791999999975</v>
      </c>
      <c r="BE92" s="1558">
        <f t="shared" ca="1" si="65"/>
        <v>-8.6483602800000003E-2</v>
      </c>
      <c r="BF92" s="1558">
        <f t="shared" ca="1" si="65"/>
        <v>-0.26768734199999999</v>
      </c>
      <c r="BG92" s="1558">
        <f t="shared" ca="1" si="65"/>
        <v>-0.35064000000000006</v>
      </c>
      <c r="BH92" s="1558">
        <f t="shared" ca="1" si="65"/>
        <v>-29.092162499999997</v>
      </c>
      <c r="BI92" s="1558">
        <f t="shared" ca="1" si="65"/>
        <v>0</v>
      </c>
      <c r="BJ92" s="1558">
        <f t="shared" ca="1" si="65"/>
        <v>0</v>
      </c>
      <c r="BK92" s="1558">
        <f t="shared" ca="1" si="65"/>
        <v>-0.41976165596446158</v>
      </c>
      <c r="BL92" s="1558">
        <f ca="1">BL54+BL59+BL76+BL70+BL82</f>
        <v>-47.37628624173125</v>
      </c>
      <c r="BN92" s="1559">
        <f ca="1">BN70+BN76+BN59+BN54+BN82</f>
        <v>156.76394274971875</v>
      </c>
      <c r="BO92" s="1559">
        <f ca="1">BO70+BO76+BO59+BO54+BO82</f>
        <v>5.7502948968922425</v>
      </c>
      <c r="BP92" s="1559">
        <f ca="1">BP54+BP59+BP76+BP70</f>
        <v>162.51423764661098</v>
      </c>
      <c r="BR92" s="3168">
        <f ca="1">W92+AQ92+BL92+BP92</f>
        <v>0</v>
      </c>
      <c r="BS92" s="1560"/>
      <c r="BU92" s="1561">
        <v>226.09341168494953</v>
      </c>
      <c r="BV92" s="1561">
        <v>0.56291143459540849</v>
      </c>
      <c r="BW92" s="1561">
        <v>1.6437392022754262</v>
      </c>
      <c r="BX92" s="1561">
        <v>0</v>
      </c>
      <c r="BY92" s="1561">
        <v>5.0916819860234304</v>
      </c>
      <c r="BZ92" s="1561">
        <v>2.6403129612517775</v>
      </c>
      <c r="CA92" s="1561">
        <v>0</v>
      </c>
      <c r="CB92" s="1561">
        <v>0</v>
      </c>
      <c r="CC92" s="1561">
        <v>0</v>
      </c>
      <c r="CD92" s="1561">
        <v>0</v>
      </c>
      <c r="CE92" s="1561">
        <v>0</v>
      </c>
      <c r="CF92" s="1561">
        <v>0</v>
      </c>
      <c r="CG92" s="1561">
        <v>0</v>
      </c>
      <c r="CH92" s="1561">
        <v>0</v>
      </c>
      <c r="CI92" s="1561">
        <v>0</v>
      </c>
      <c r="CJ92" s="1561">
        <v>0</v>
      </c>
      <c r="CK92" s="1561">
        <v>0</v>
      </c>
      <c r="CL92" s="1561">
        <v>20.026732599999995</v>
      </c>
      <c r="CM92" s="1561">
        <v>23.28</v>
      </c>
      <c r="CN92" s="1561">
        <v>0</v>
      </c>
      <c r="CO92" s="1561">
        <v>-1.8247953999999991</v>
      </c>
      <c r="CP92" s="1561">
        <v>0</v>
      </c>
      <c r="CQ92" s="1561">
        <v>0</v>
      </c>
      <c r="CR92" s="1561">
        <v>0</v>
      </c>
      <c r="CS92" s="1561">
        <v>0</v>
      </c>
      <c r="CT92" s="1561">
        <v>21.652248115789206</v>
      </c>
      <c r="CU92" s="1561">
        <v>1.2204197534285715</v>
      </c>
      <c r="CV92" s="1561">
        <v>0</v>
      </c>
      <c r="CW92" s="1561">
        <v>0</v>
      </c>
      <c r="CX92" s="1561">
        <v>0</v>
      </c>
      <c r="CY92" s="1561">
        <v>0</v>
      </c>
      <c r="CZ92" s="1561">
        <v>0</v>
      </c>
      <c r="DA92" s="1561">
        <v>0</v>
      </c>
      <c r="DB92" s="1561">
        <v>0</v>
      </c>
      <c r="DC92" s="1561">
        <v>0</v>
      </c>
      <c r="DD92" s="1561">
        <v>0</v>
      </c>
      <c r="DE92" s="1561">
        <v>0</v>
      </c>
      <c r="DF92" s="1561">
        <v>0</v>
      </c>
      <c r="DG92" s="1561">
        <v>0</v>
      </c>
      <c r="DH92" s="1561">
        <v>0</v>
      </c>
      <c r="DI92" s="1561">
        <v>0</v>
      </c>
      <c r="DJ92" s="1561">
        <v>0</v>
      </c>
      <c r="DK92" s="1561">
        <v>0</v>
      </c>
      <c r="DL92" s="1561">
        <v>0</v>
      </c>
      <c r="DN92" s="1562">
        <v>300.38666233831339</v>
      </c>
    </row>
    <row r="93" spans="1:118" s="14" customFormat="1" ht="6" customHeight="1" x14ac:dyDescent="0.2">
      <c r="C93" s="1552"/>
      <c r="D93" s="1537"/>
      <c r="E93" s="1430"/>
      <c r="G93" s="1488"/>
      <c r="H93" s="1488"/>
      <c r="I93" s="1488"/>
      <c r="J93" s="1488"/>
      <c r="K93" s="1488"/>
      <c r="L93" s="1488"/>
      <c r="M93" s="1488"/>
      <c r="N93" s="1488"/>
      <c r="O93" s="1563"/>
      <c r="P93" s="1488"/>
      <c r="Q93" s="1488"/>
      <c r="R93" s="1488"/>
      <c r="S93" s="1488"/>
      <c r="T93" s="1488"/>
      <c r="U93" s="1488"/>
      <c r="V93" s="1488"/>
      <c r="W93" s="1488"/>
      <c r="Y93" s="1490"/>
      <c r="Z93" s="1490"/>
      <c r="AA93" s="1490"/>
      <c r="AB93" s="1490"/>
      <c r="AC93" s="1490"/>
      <c r="AD93" s="1490"/>
      <c r="AE93" s="1490"/>
      <c r="AF93" s="1490"/>
      <c r="AG93" s="1490"/>
      <c r="AH93" s="1490"/>
      <c r="AI93" s="1490"/>
      <c r="AJ93" s="1490"/>
      <c r="AK93" s="1490"/>
      <c r="AL93" s="1490"/>
      <c r="AM93" s="1490"/>
      <c r="AN93" s="1490"/>
      <c r="AO93" s="1490"/>
      <c r="AP93" s="1490"/>
      <c r="AQ93" s="1490"/>
      <c r="AS93" s="1491"/>
      <c r="AT93" s="1491"/>
      <c r="AU93" s="1491"/>
      <c r="AV93" s="1491"/>
      <c r="AW93" s="1491"/>
      <c r="AX93" s="1491"/>
      <c r="AY93" s="1491"/>
      <c r="AZ93" s="1491"/>
      <c r="BA93" s="1491"/>
      <c r="BB93" s="1491"/>
      <c r="BC93" s="1491"/>
      <c r="BD93" s="1491"/>
      <c r="BE93" s="1491"/>
      <c r="BF93" s="1491"/>
      <c r="BG93" s="1491"/>
      <c r="BH93" s="1491"/>
      <c r="BI93" s="1491"/>
      <c r="BJ93" s="1491"/>
      <c r="BK93" s="1491"/>
      <c r="BL93" s="1491"/>
      <c r="BN93" s="1492"/>
      <c r="BO93" s="1492"/>
      <c r="BP93" s="1492"/>
      <c r="BR93" s="3168"/>
      <c r="BS93" s="1493"/>
      <c r="BU93" s="1508"/>
      <c r="BV93" s="1508"/>
      <c r="BW93" s="1508"/>
      <c r="BX93" s="1508"/>
      <c r="BY93" s="1508"/>
      <c r="BZ93" s="1508"/>
      <c r="CA93" s="1508"/>
      <c r="CB93" s="1508"/>
      <c r="CC93" s="1508"/>
      <c r="CD93" s="1508"/>
      <c r="CE93" s="1508"/>
      <c r="CF93" s="1508"/>
      <c r="CG93" s="1508"/>
      <c r="CH93" s="1508"/>
      <c r="CI93" s="1508"/>
      <c r="CJ93" s="1508"/>
      <c r="CK93" s="1508"/>
      <c r="CL93" s="1508"/>
      <c r="CM93" s="1508"/>
      <c r="CN93" s="1508"/>
      <c r="CO93" s="1508"/>
      <c r="CP93" s="1508"/>
      <c r="CQ93" s="1508"/>
      <c r="CR93" s="1508"/>
      <c r="CS93" s="1508"/>
      <c r="CT93" s="1508"/>
      <c r="CU93" s="1508"/>
      <c r="CV93" s="1508"/>
      <c r="CW93" s="1508"/>
      <c r="CX93" s="1508"/>
      <c r="CY93" s="1508"/>
      <c r="CZ93" s="1508"/>
      <c r="DA93" s="1508"/>
      <c r="DB93" s="1508"/>
      <c r="DC93" s="1508"/>
      <c r="DD93" s="1508"/>
      <c r="DE93" s="1508"/>
      <c r="DF93" s="1508"/>
      <c r="DG93" s="1508"/>
      <c r="DH93" s="1508"/>
      <c r="DI93" s="1508"/>
      <c r="DJ93" s="1508"/>
      <c r="DK93" s="1508"/>
      <c r="DL93" s="1508"/>
      <c r="DN93" s="1509"/>
    </row>
    <row r="94" spans="1:118" s="14" customFormat="1" ht="24" customHeight="1" outlineLevel="1" x14ac:dyDescent="0.2">
      <c r="C94" s="1480"/>
      <c r="D94" s="1480"/>
      <c r="E94" s="1481"/>
      <c r="G94" s="1482"/>
      <c r="H94" s="1482"/>
      <c r="I94" s="1482"/>
      <c r="J94" s="1482"/>
      <c r="K94" s="1482"/>
      <c r="L94" s="1482"/>
      <c r="M94" s="1482"/>
      <c r="N94" s="1482"/>
      <c r="O94" s="1482"/>
      <c r="P94" s="1482"/>
      <c r="Q94" s="1482"/>
      <c r="R94" s="1482"/>
      <c r="S94" s="1482"/>
      <c r="T94" s="1482"/>
      <c r="U94" s="1482"/>
      <c r="V94" s="1482"/>
      <c r="W94" s="1482"/>
      <c r="Y94" s="1596"/>
      <c r="Z94" s="1596"/>
      <c r="AA94" s="1596"/>
      <c r="AB94" s="1596"/>
      <c r="AC94" s="1596"/>
      <c r="AD94" s="1483"/>
      <c r="AE94" s="1483"/>
      <c r="AF94" s="1483"/>
      <c r="AG94" s="1596"/>
      <c r="AH94" s="1596"/>
      <c r="AI94" s="1596"/>
      <c r="AJ94" s="1596"/>
      <c r="AK94" s="1596"/>
      <c r="AL94" s="1596"/>
      <c r="AM94" s="1596"/>
      <c r="AN94" s="1596"/>
      <c r="AO94" s="1596"/>
      <c r="AP94" s="1596"/>
      <c r="AQ94" s="1596"/>
      <c r="AS94" s="1597"/>
      <c r="AT94" s="1597"/>
      <c r="AU94" s="1597"/>
      <c r="AV94" s="1597"/>
      <c r="AW94" s="1597"/>
      <c r="AX94" s="1597"/>
      <c r="AY94" s="1597"/>
      <c r="AZ94" s="1597"/>
      <c r="BA94" s="1597"/>
      <c r="BB94" s="1597"/>
      <c r="BC94" s="1484"/>
      <c r="BD94" s="1484"/>
      <c r="BE94" s="1484"/>
      <c r="BF94" s="1484"/>
      <c r="BG94" s="1484"/>
      <c r="BH94" s="1484"/>
      <c r="BI94" s="1484"/>
      <c r="BJ94" s="1484"/>
      <c r="BK94" s="1484"/>
      <c r="BL94" s="1597"/>
      <c r="BN94" s="1598"/>
      <c r="BO94" s="1598"/>
      <c r="BP94" s="1598"/>
      <c r="BR94" s="3168"/>
      <c r="BS94" s="1486"/>
      <c r="BU94" s="1508"/>
      <c r="BV94" s="1508"/>
      <c r="BW94" s="1508"/>
      <c r="BX94" s="1508"/>
      <c r="BY94" s="1508"/>
      <c r="BZ94" s="1508"/>
      <c r="CA94" s="1508"/>
      <c r="CB94" s="1508"/>
      <c r="CC94" s="1508"/>
      <c r="CD94" s="1508"/>
      <c r="CE94" s="1508"/>
      <c r="CF94" s="1508"/>
      <c r="CG94" s="1508"/>
      <c r="CH94" s="1508"/>
      <c r="CI94" s="1508"/>
      <c r="CJ94" s="1508"/>
      <c r="CK94" s="1508"/>
      <c r="CL94" s="1508"/>
      <c r="CM94" s="1508"/>
      <c r="CN94" s="1508"/>
      <c r="CO94" s="1508"/>
      <c r="CP94" s="1508"/>
      <c r="CQ94" s="1508"/>
      <c r="CR94" s="1508"/>
      <c r="CS94" s="1508"/>
      <c r="CT94" s="1508"/>
      <c r="CU94" s="1508"/>
      <c r="CV94" s="1508"/>
      <c r="CW94" s="1508"/>
      <c r="CX94" s="1508"/>
      <c r="CY94" s="1508"/>
      <c r="CZ94" s="1508"/>
      <c r="DA94" s="1508"/>
      <c r="DB94" s="1508"/>
      <c r="DC94" s="1508"/>
      <c r="DD94" s="1508"/>
      <c r="DE94" s="1508"/>
      <c r="DF94" s="1508"/>
      <c r="DG94" s="1508"/>
      <c r="DH94" s="1508"/>
      <c r="DI94" s="1508"/>
      <c r="DJ94" s="1508"/>
      <c r="DK94" s="1508"/>
      <c r="DL94" s="1508"/>
      <c r="DN94" s="1509"/>
    </row>
    <row r="95" spans="1:118" s="14" customFormat="1" ht="6" customHeight="1" outlineLevel="1" x14ac:dyDescent="0.2">
      <c r="C95" s="1580"/>
      <c r="D95" s="746"/>
      <c r="E95" s="1430"/>
      <c r="G95" s="1488"/>
      <c r="H95" s="1488"/>
      <c r="I95" s="1488"/>
      <c r="J95" s="1488"/>
      <c r="K95" s="1488"/>
      <c r="L95" s="1488"/>
      <c r="M95" s="1488"/>
      <c r="N95" s="1488"/>
      <c r="O95" s="1563"/>
      <c r="P95" s="1488"/>
      <c r="Q95" s="1488"/>
      <c r="R95" s="1488"/>
      <c r="S95" s="1488"/>
      <c r="T95" s="1488"/>
      <c r="U95" s="1488"/>
      <c r="V95" s="1488"/>
      <c r="W95" s="1488"/>
      <c r="Y95" s="1490"/>
      <c r="Z95" s="1490"/>
      <c r="AA95" s="1490"/>
      <c r="AB95" s="1490"/>
      <c r="AC95" s="1490"/>
      <c r="AD95" s="1490"/>
      <c r="AE95" s="1490"/>
      <c r="AF95" s="1490"/>
      <c r="AG95" s="1490"/>
      <c r="AH95" s="1490"/>
      <c r="AI95" s="1490"/>
      <c r="AJ95" s="1490"/>
      <c r="AK95" s="1490"/>
      <c r="AL95" s="1490"/>
      <c r="AM95" s="1490"/>
      <c r="AN95" s="1490"/>
      <c r="AO95" s="1490"/>
      <c r="AP95" s="1490"/>
      <c r="AQ95" s="1490"/>
      <c r="AS95" s="1491"/>
      <c r="AT95" s="1491"/>
      <c r="AU95" s="1491"/>
      <c r="AV95" s="1491"/>
      <c r="AW95" s="1491"/>
      <c r="AX95" s="1491"/>
      <c r="AY95" s="1491"/>
      <c r="AZ95" s="1491"/>
      <c r="BA95" s="1491"/>
      <c r="BB95" s="1491"/>
      <c r="BC95" s="1491"/>
      <c r="BD95" s="1491"/>
      <c r="BE95" s="1491"/>
      <c r="BF95" s="1491"/>
      <c r="BG95" s="1491"/>
      <c r="BH95" s="1491"/>
      <c r="BI95" s="1491"/>
      <c r="BJ95" s="1491"/>
      <c r="BK95" s="1491"/>
      <c r="BL95" s="1491"/>
      <c r="BN95" s="1492"/>
      <c r="BO95" s="1492"/>
      <c r="BP95" s="1492"/>
      <c r="BR95" s="3168"/>
      <c r="BS95" s="1493"/>
      <c r="BU95" s="1508"/>
      <c r="BV95" s="1508"/>
      <c r="BW95" s="1508"/>
      <c r="BX95" s="1508"/>
      <c r="BY95" s="1508"/>
      <c r="BZ95" s="1508"/>
      <c r="CA95" s="1508"/>
      <c r="CB95" s="1508"/>
      <c r="CC95" s="1508"/>
      <c r="CD95" s="1508"/>
      <c r="CE95" s="1508"/>
      <c r="CF95" s="1508"/>
      <c r="CG95" s="1508"/>
      <c r="CH95" s="1508"/>
      <c r="CI95" s="1508"/>
      <c r="CJ95" s="1508"/>
      <c r="CK95" s="1508"/>
      <c r="CL95" s="1508"/>
      <c r="CM95" s="1508"/>
      <c r="CN95" s="1508"/>
      <c r="CO95" s="1508"/>
      <c r="CP95" s="1508"/>
      <c r="CQ95" s="1508"/>
      <c r="CR95" s="1508"/>
      <c r="CS95" s="1508"/>
      <c r="CT95" s="1508"/>
      <c r="CU95" s="1508"/>
      <c r="CV95" s="1508"/>
      <c r="CW95" s="1508"/>
      <c r="CX95" s="1508"/>
      <c r="CY95" s="1508"/>
      <c r="CZ95" s="1508"/>
      <c r="DA95" s="1508"/>
      <c r="DB95" s="1508"/>
      <c r="DC95" s="1508"/>
      <c r="DD95" s="1508"/>
      <c r="DE95" s="1508"/>
      <c r="DF95" s="1508"/>
      <c r="DG95" s="1508"/>
      <c r="DH95" s="1508"/>
      <c r="DI95" s="1508"/>
      <c r="DJ95" s="1508"/>
      <c r="DK95" s="1508"/>
      <c r="DL95" s="1508"/>
      <c r="DN95" s="1509"/>
    </row>
    <row r="96" spans="1:118" s="14" customFormat="1" hidden="1" outlineLevel="2" x14ac:dyDescent="0.2">
      <c r="A96" s="1578"/>
      <c r="B96" s="1578"/>
      <c r="C96" s="1599"/>
      <c r="D96" s="1600"/>
      <c r="E96" s="1600"/>
      <c r="G96" s="1601"/>
      <c r="H96" s="1601"/>
      <c r="I96" s="1601"/>
      <c r="J96" s="1601"/>
      <c r="K96" s="1601"/>
      <c r="L96" s="1601"/>
      <c r="M96" s="1601"/>
      <c r="N96" s="1601"/>
      <c r="O96" s="1602"/>
      <c r="P96" s="1601"/>
      <c r="Q96" s="1601"/>
      <c r="R96" s="1601"/>
      <c r="S96" s="1601"/>
      <c r="T96" s="1601"/>
      <c r="U96" s="1601"/>
      <c r="V96" s="1601"/>
      <c r="W96" s="1601"/>
      <c r="Y96" s="1603"/>
      <c r="Z96" s="1603"/>
      <c r="AA96" s="1603"/>
      <c r="AB96" s="1603"/>
      <c r="AC96" s="1603"/>
      <c r="AD96" s="1603"/>
      <c r="AE96" s="1603"/>
      <c r="AF96" s="1603"/>
      <c r="AG96" s="1603"/>
      <c r="AH96" s="1603"/>
      <c r="AI96" s="1603"/>
      <c r="AJ96" s="1603"/>
      <c r="AK96" s="1603"/>
      <c r="AL96" s="1603"/>
      <c r="AM96" s="1603"/>
      <c r="AN96" s="1603"/>
      <c r="AO96" s="1603"/>
      <c r="AP96" s="1603"/>
      <c r="AQ96" s="1603"/>
      <c r="AS96" s="1604"/>
      <c r="AT96" s="1604"/>
      <c r="AU96" s="1604"/>
      <c r="AV96" s="1604"/>
      <c r="AW96" s="1604"/>
      <c r="AX96" s="1604"/>
      <c r="AY96" s="1604"/>
      <c r="AZ96" s="1604"/>
      <c r="BA96" s="1604"/>
      <c r="BB96" s="1604"/>
      <c r="BC96" s="1604"/>
      <c r="BD96" s="1604"/>
      <c r="BE96" s="1604"/>
      <c r="BF96" s="1604"/>
      <c r="BG96" s="1604"/>
      <c r="BH96" s="1604"/>
      <c r="BI96" s="1604"/>
      <c r="BJ96" s="1604"/>
      <c r="BK96" s="1604"/>
      <c r="BL96" s="1604"/>
      <c r="BN96" s="1605"/>
      <c r="BO96" s="1605"/>
      <c r="BP96" s="1605"/>
      <c r="BR96" s="3168"/>
      <c r="BS96" s="1579"/>
      <c r="BT96" s="1578"/>
      <c r="BU96" s="1595"/>
      <c r="BV96" s="1508"/>
      <c r="BW96" s="1508"/>
      <c r="BX96" s="1508"/>
      <c r="BY96" s="1508"/>
      <c r="BZ96" s="1508"/>
      <c r="CA96" s="1508"/>
      <c r="CB96" s="1508"/>
      <c r="CC96" s="1508"/>
      <c r="CD96" s="1508"/>
      <c r="CE96" s="1508"/>
      <c r="CF96" s="1508"/>
      <c r="CG96" s="1508"/>
      <c r="CH96" s="1508"/>
      <c r="CI96" s="1508"/>
      <c r="CJ96" s="1508"/>
      <c r="CK96" s="1508"/>
      <c r="CL96" s="1508"/>
      <c r="CM96" s="1508"/>
      <c r="CN96" s="1508"/>
      <c r="CO96" s="1508"/>
      <c r="CP96" s="1508"/>
      <c r="CQ96" s="1508"/>
      <c r="CR96" s="1508"/>
      <c r="CS96" s="1508"/>
      <c r="CT96" s="1508"/>
      <c r="CU96" s="1508"/>
      <c r="CV96" s="1508"/>
      <c r="CW96" s="1508"/>
      <c r="CX96" s="1508"/>
      <c r="CY96" s="1508"/>
      <c r="CZ96" s="1508"/>
      <c r="DA96" s="1508"/>
      <c r="DB96" s="1508"/>
      <c r="DC96" s="1508"/>
      <c r="DD96" s="1508"/>
      <c r="DE96" s="1508"/>
      <c r="DF96" s="1508"/>
      <c r="DG96" s="1508"/>
      <c r="DH96" s="1508"/>
      <c r="DI96" s="1508"/>
      <c r="DJ96" s="1508"/>
      <c r="DK96" s="1508"/>
      <c r="DL96" s="1508"/>
      <c r="DN96" s="1509"/>
    </row>
    <row r="97" spans="1:118" s="1522" customFormat="1" hidden="1" outlineLevel="2" x14ac:dyDescent="0.2">
      <c r="C97" s="1577" t="s">
        <v>716</v>
      </c>
      <c r="D97" s="1497" t="s">
        <v>717</v>
      </c>
      <c r="E97" s="1497"/>
      <c r="F97" s="14"/>
      <c r="G97" s="1498"/>
      <c r="H97" s="1498"/>
      <c r="I97" s="1498"/>
      <c r="J97" s="1498"/>
      <c r="K97" s="1498"/>
      <c r="L97" s="1498"/>
      <c r="M97" s="1498"/>
      <c r="N97" s="1498"/>
      <c r="O97" s="1498"/>
      <c r="P97" s="1498"/>
      <c r="Q97" s="1498"/>
      <c r="R97" s="1498"/>
      <c r="S97" s="1498"/>
      <c r="T97" s="1498"/>
      <c r="U97" s="1498"/>
      <c r="V97" s="1498"/>
      <c r="W97" s="1499"/>
      <c r="X97" s="14"/>
      <c r="Y97" s="1500"/>
      <c r="Z97" s="1500"/>
      <c r="AA97" s="1500"/>
      <c r="AB97" s="1500"/>
      <c r="AC97" s="1500"/>
      <c r="AD97" s="1500"/>
      <c r="AE97" s="1500"/>
      <c r="AF97" s="1500"/>
      <c r="AG97" s="1500"/>
      <c r="AH97" s="1500"/>
      <c r="AI97" s="1500"/>
      <c r="AJ97" s="1500"/>
      <c r="AK97" s="1500"/>
      <c r="AL97" s="1500"/>
      <c r="AM97" s="1500"/>
      <c r="AN97" s="1500"/>
      <c r="AO97" s="1500"/>
      <c r="AP97" s="1500"/>
      <c r="AQ97" s="1501"/>
      <c r="AR97" s="14"/>
      <c r="AS97" s="1502"/>
      <c r="AT97" s="1502"/>
      <c r="AU97" s="1502"/>
      <c r="AV97" s="1502"/>
      <c r="AW97" s="1502"/>
      <c r="AX97" s="1502"/>
      <c r="AY97" s="1502"/>
      <c r="AZ97" s="1502"/>
      <c r="BA97" s="1502"/>
      <c r="BB97" s="1502"/>
      <c r="BC97" s="1502"/>
      <c r="BD97" s="1502"/>
      <c r="BE97" s="1502"/>
      <c r="BF97" s="1502"/>
      <c r="BG97" s="1502"/>
      <c r="BH97" s="1502"/>
      <c r="BI97" s="1502"/>
      <c r="BJ97" s="1502"/>
      <c r="BK97" s="1502"/>
      <c r="BL97" s="1524"/>
      <c r="BM97" s="14"/>
      <c r="BN97" s="1504"/>
      <c r="BO97" s="1504"/>
      <c r="BP97" s="1505"/>
      <c r="BQ97" s="14"/>
      <c r="BR97" s="3168"/>
      <c r="BS97" s="1525"/>
      <c r="BU97" s="1507">
        <v>0</v>
      </c>
      <c r="BV97" s="1508">
        <v>0</v>
      </c>
      <c r="BW97" s="1508">
        <v>0</v>
      </c>
      <c r="BX97" s="1508">
        <v>0</v>
      </c>
      <c r="BY97" s="1508">
        <v>0</v>
      </c>
      <c r="BZ97" s="1508">
        <v>0</v>
      </c>
      <c r="CA97" s="1508">
        <v>0</v>
      </c>
      <c r="CB97" s="1508">
        <v>0</v>
      </c>
      <c r="CC97" s="1508">
        <v>0</v>
      </c>
      <c r="CD97" s="1508">
        <v>0</v>
      </c>
      <c r="CE97" s="1508">
        <v>0</v>
      </c>
      <c r="CF97" s="1508">
        <v>0</v>
      </c>
      <c r="CG97" s="1508">
        <v>0</v>
      </c>
      <c r="CH97" s="1508">
        <v>0</v>
      </c>
      <c r="CI97" s="1508">
        <v>0</v>
      </c>
      <c r="CJ97" s="1508">
        <v>0</v>
      </c>
      <c r="CK97" s="1508">
        <v>0</v>
      </c>
      <c r="CL97" s="1508">
        <v>0</v>
      </c>
      <c r="CM97" s="1508">
        <v>0</v>
      </c>
      <c r="CN97" s="1508">
        <v>0</v>
      </c>
      <c r="CO97" s="1508">
        <v>0</v>
      </c>
      <c r="CP97" s="1508">
        <v>0</v>
      </c>
      <c r="CQ97" s="1508">
        <v>0</v>
      </c>
      <c r="CR97" s="1508">
        <v>0</v>
      </c>
      <c r="CS97" s="1508">
        <v>0</v>
      </c>
      <c r="CT97" s="1508">
        <v>0</v>
      </c>
      <c r="CU97" s="1508">
        <v>0</v>
      </c>
      <c r="CV97" s="1508">
        <v>0</v>
      </c>
      <c r="CW97" s="1508">
        <v>0</v>
      </c>
      <c r="CX97" s="1508">
        <v>0</v>
      </c>
      <c r="CY97" s="1508">
        <v>0</v>
      </c>
      <c r="CZ97" s="1508">
        <v>0</v>
      </c>
      <c r="DA97" s="1508">
        <v>0</v>
      </c>
      <c r="DB97" s="1508">
        <v>0</v>
      </c>
      <c r="DC97" s="1508">
        <v>0</v>
      </c>
      <c r="DD97" s="1508">
        <v>0</v>
      </c>
      <c r="DE97" s="1508">
        <v>0</v>
      </c>
      <c r="DF97" s="1508">
        <v>0</v>
      </c>
      <c r="DG97" s="1508">
        <v>0</v>
      </c>
      <c r="DH97" s="1508">
        <v>0</v>
      </c>
      <c r="DI97" s="1508">
        <v>0</v>
      </c>
      <c r="DJ97" s="1508">
        <v>0</v>
      </c>
      <c r="DK97" s="1508">
        <v>0</v>
      </c>
      <c r="DL97" s="1508">
        <v>0</v>
      </c>
      <c r="DN97" s="1509"/>
    </row>
    <row r="98" spans="1:118" s="1578" customFormat="1" ht="12.75" hidden="1" customHeight="1" outlineLevel="2" x14ac:dyDescent="0.2">
      <c r="C98" s="1591" t="s">
        <v>811</v>
      </c>
      <c r="D98" s="1592" t="s">
        <v>812</v>
      </c>
      <c r="E98" s="1592"/>
      <c r="F98" s="14"/>
      <c r="G98" s="1568"/>
      <c r="H98" s="1568"/>
      <c r="I98" s="1568"/>
      <c r="J98" s="1568"/>
      <c r="K98" s="1568"/>
      <c r="L98" s="1568"/>
      <c r="M98" s="1568"/>
      <c r="N98" s="1568"/>
      <c r="O98" s="1569"/>
      <c r="P98" s="1568"/>
      <c r="Q98" s="1568"/>
      <c r="R98" s="1568"/>
      <c r="S98" s="1568"/>
      <c r="T98" s="1568"/>
      <c r="U98" s="1568"/>
      <c r="V98" s="1568"/>
      <c r="W98" s="1568"/>
      <c r="X98" s="14"/>
      <c r="Y98" s="1570"/>
      <c r="Z98" s="1570"/>
      <c r="AA98" s="1570"/>
      <c r="AB98" s="1570"/>
      <c r="AC98" s="1570"/>
      <c r="AD98" s="1570"/>
      <c r="AE98" s="1570"/>
      <c r="AF98" s="1570"/>
      <c r="AG98" s="1570"/>
      <c r="AH98" s="1570"/>
      <c r="AI98" s="1570"/>
      <c r="AJ98" s="1570"/>
      <c r="AK98" s="1570"/>
      <c r="AL98" s="1570"/>
      <c r="AM98" s="1570"/>
      <c r="AN98" s="1570"/>
      <c r="AO98" s="1570"/>
      <c r="AP98" s="1570"/>
      <c r="AQ98" s="1570"/>
      <c r="AR98" s="14"/>
      <c r="AS98" s="1571"/>
      <c r="AT98" s="1571"/>
      <c r="AU98" s="1571"/>
      <c r="AV98" s="1571"/>
      <c r="AW98" s="1571"/>
      <c r="AX98" s="1571"/>
      <c r="AY98" s="1571"/>
      <c r="AZ98" s="1571"/>
      <c r="BA98" s="1571"/>
      <c r="BB98" s="1571"/>
      <c r="BC98" s="1571"/>
      <c r="BD98" s="1571"/>
      <c r="BE98" s="1571"/>
      <c r="BF98" s="1571"/>
      <c r="BG98" s="1571"/>
      <c r="BH98" s="1571"/>
      <c r="BI98" s="1571"/>
      <c r="BJ98" s="1571"/>
      <c r="BK98" s="1571"/>
      <c r="BL98" s="1571"/>
      <c r="BM98" s="14"/>
      <c r="BN98" s="1572"/>
      <c r="BO98" s="1572"/>
      <c r="BP98" s="1572"/>
      <c r="BQ98" s="14"/>
      <c r="BR98" s="3168"/>
      <c r="BS98" s="1579"/>
      <c r="BU98" s="1595"/>
      <c r="BV98" s="1595"/>
      <c r="BW98" s="1595"/>
      <c r="BX98" s="1595"/>
      <c r="BY98" s="1595"/>
      <c r="BZ98" s="1595"/>
      <c r="CA98" s="1595"/>
      <c r="CB98" s="1595"/>
      <c r="CC98" s="1595"/>
      <c r="CD98" s="1595"/>
      <c r="CE98" s="1595"/>
      <c r="CF98" s="1595"/>
      <c r="CG98" s="1595"/>
      <c r="CH98" s="1595"/>
      <c r="CI98" s="1595"/>
      <c r="CJ98" s="1595"/>
      <c r="CK98" s="1595"/>
      <c r="CL98" s="1595"/>
      <c r="CM98" s="1595"/>
      <c r="CN98" s="1595"/>
      <c r="CO98" s="1595"/>
      <c r="CP98" s="1595"/>
      <c r="CQ98" s="1595"/>
      <c r="CR98" s="1595"/>
      <c r="CS98" s="1595"/>
      <c r="CT98" s="1595"/>
      <c r="CU98" s="1595"/>
      <c r="CV98" s="1595"/>
      <c r="CW98" s="1595"/>
      <c r="CX98" s="1595"/>
      <c r="CY98" s="1595"/>
      <c r="CZ98" s="1595"/>
      <c r="DA98" s="1595"/>
      <c r="DB98" s="1595"/>
      <c r="DC98" s="1595"/>
      <c r="DD98" s="1595"/>
      <c r="DE98" s="1595"/>
      <c r="DF98" s="1595"/>
      <c r="DG98" s="1595"/>
      <c r="DH98" s="1595"/>
      <c r="DI98" s="1595"/>
      <c r="DJ98" s="1595"/>
      <c r="DK98" s="1595"/>
      <c r="DL98" s="1595"/>
      <c r="DN98" s="1509"/>
    </row>
    <row r="99" spans="1:118" s="1522" customFormat="1" hidden="1" outlineLevel="2" x14ac:dyDescent="0.2">
      <c r="C99" s="1577" t="s">
        <v>74</v>
      </c>
      <c r="D99" s="1497" t="s">
        <v>75</v>
      </c>
      <c r="E99" s="1497"/>
      <c r="F99" s="14"/>
      <c r="G99" s="1498"/>
      <c r="H99" s="1498"/>
      <c r="I99" s="1498"/>
      <c r="J99" s="1498"/>
      <c r="K99" s="1498"/>
      <c r="L99" s="1498"/>
      <c r="M99" s="1498"/>
      <c r="N99" s="1498"/>
      <c r="O99" s="1498"/>
      <c r="P99" s="1498"/>
      <c r="Q99" s="1498"/>
      <c r="R99" s="1498"/>
      <c r="S99" s="1498"/>
      <c r="T99" s="1498"/>
      <c r="U99" s="1498"/>
      <c r="V99" s="1498"/>
      <c r="W99" s="1499"/>
      <c r="X99" s="14"/>
      <c r="Y99" s="1500"/>
      <c r="Z99" s="1500"/>
      <c r="AA99" s="1500"/>
      <c r="AB99" s="1500"/>
      <c r="AC99" s="1500"/>
      <c r="AD99" s="1500"/>
      <c r="AE99" s="1500"/>
      <c r="AF99" s="1500"/>
      <c r="AG99" s="1500"/>
      <c r="AH99" s="1500"/>
      <c r="AI99" s="1500"/>
      <c r="AJ99" s="1500"/>
      <c r="AK99" s="1500"/>
      <c r="AL99" s="1500"/>
      <c r="AM99" s="1500"/>
      <c r="AN99" s="1500"/>
      <c r="AO99" s="1500"/>
      <c r="AP99" s="1500"/>
      <c r="AQ99" s="1501"/>
      <c r="AR99" s="14"/>
      <c r="AS99" s="1502"/>
      <c r="AT99" s="1502"/>
      <c r="AU99" s="1502"/>
      <c r="AV99" s="1502"/>
      <c r="AW99" s="1502"/>
      <c r="AX99" s="1502"/>
      <c r="AY99" s="1502"/>
      <c r="AZ99" s="1502"/>
      <c r="BA99" s="1502"/>
      <c r="BB99" s="1502"/>
      <c r="BC99" s="1502"/>
      <c r="BD99" s="1502"/>
      <c r="BE99" s="1502"/>
      <c r="BF99" s="1502"/>
      <c r="BG99" s="1502"/>
      <c r="BH99" s="1502"/>
      <c r="BI99" s="1502"/>
      <c r="BJ99" s="1502"/>
      <c r="BK99" s="1502"/>
      <c r="BL99" s="1524"/>
      <c r="BM99" s="14"/>
      <c r="BN99" s="1504"/>
      <c r="BO99" s="1504"/>
      <c r="BP99" s="1505"/>
      <c r="BQ99" s="14"/>
      <c r="BR99" s="3168"/>
      <c r="BS99" s="1525"/>
      <c r="BU99" s="1507">
        <v>0</v>
      </c>
      <c r="BV99" s="1508">
        <v>0</v>
      </c>
      <c r="BW99" s="1508">
        <v>0</v>
      </c>
      <c r="BX99" s="1508">
        <v>0</v>
      </c>
      <c r="BY99" s="1508">
        <v>0</v>
      </c>
      <c r="BZ99" s="1508">
        <v>0</v>
      </c>
      <c r="CA99" s="1508">
        <v>0</v>
      </c>
      <c r="CB99" s="1508">
        <v>0</v>
      </c>
      <c r="CC99" s="1508">
        <v>0</v>
      </c>
      <c r="CD99" s="1508">
        <v>0</v>
      </c>
      <c r="CE99" s="1508">
        <v>0</v>
      </c>
      <c r="CF99" s="1508">
        <v>0</v>
      </c>
      <c r="CG99" s="1508">
        <v>0</v>
      </c>
      <c r="CH99" s="1508">
        <v>0</v>
      </c>
      <c r="CI99" s="1508">
        <v>0</v>
      </c>
      <c r="CJ99" s="1508">
        <v>0</v>
      </c>
      <c r="CK99" s="1508">
        <v>0</v>
      </c>
      <c r="CL99" s="1508">
        <v>0</v>
      </c>
      <c r="CM99" s="1508">
        <v>0</v>
      </c>
      <c r="CN99" s="1508">
        <v>0</v>
      </c>
      <c r="CO99" s="1508">
        <v>0</v>
      </c>
      <c r="CP99" s="1508">
        <v>0</v>
      </c>
      <c r="CQ99" s="1508">
        <v>0</v>
      </c>
      <c r="CR99" s="1508">
        <v>0</v>
      </c>
      <c r="CS99" s="1508">
        <v>0</v>
      </c>
      <c r="CT99" s="1508">
        <v>0</v>
      </c>
      <c r="CU99" s="1508">
        <v>0</v>
      </c>
      <c r="CV99" s="1508">
        <v>0</v>
      </c>
      <c r="CW99" s="1508">
        <v>0</v>
      </c>
      <c r="CX99" s="1508">
        <v>0</v>
      </c>
      <c r="CY99" s="1508">
        <v>0</v>
      </c>
      <c r="CZ99" s="1508">
        <v>0</v>
      </c>
      <c r="DA99" s="1508">
        <v>0</v>
      </c>
      <c r="DB99" s="1508">
        <v>0</v>
      </c>
      <c r="DC99" s="1508">
        <v>0</v>
      </c>
      <c r="DD99" s="1508">
        <v>0</v>
      </c>
      <c r="DE99" s="1508">
        <v>0</v>
      </c>
      <c r="DF99" s="1508">
        <v>0</v>
      </c>
      <c r="DG99" s="1508">
        <v>0</v>
      </c>
      <c r="DH99" s="1508">
        <v>0</v>
      </c>
      <c r="DI99" s="1508">
        <v>0</v>
      </c>
      <c r="DJ99" s="1508">
        <v>0</v>
      </c>
      <c r="DK99" s="1508">
        <v>0</v>
      </c>
      <c r="DL99" s="1508">
        <v>0</v>
      </c>
      <c r="DN99" s="1509"/>
    </row>
    <row r="100" spans="1:118" s="1522" customFormat="1" hidden="1" outlineLevel="2" x14ac:dyDescent="0.2">
      <c r="C100" s="1577" t="s">
        <v>76</v>
      </c>
      <c r="D100" s="1526" t="s">
        <v>813</v>
      </c>
      <c r="E100" s="1526"/>
      <c r="F100" s="14"/>
      <c r="G100" s="1540"/>
      <c r="H100" s="1540"/>
      <c r="I100" s="1540"/>
      <c r="J100" s="1540"/>
      <c r="K100" s="1540"/>
      <c r="L100" s="1540"/>
      <c r="M100" s="1540"/>
      <c r="N100" s="1540"/>
      <c r="O100" s="1540"/>
      <c r="P100" s="1540"/>
      <c r="Q100" s="1540"/>
      <c r="R100" s="1540"/>
      <c r="S100" s="1540"/>
      <c r="T100" s="1540"/>
      <c r="U100" s="1540"/>
      <c r="V100" s="1540"/>
      <c r="W100" s="1527"/>
      <c r="X100" s="14"/>
      <c r="Y100" s="1541"/>
      <c r="Z100" s="1541"/>
      <c r="AA100" s="1541"/>
      <c r="AB100" s="1541"/>
      <c r="AC100" s="1541"/>
      <c r="AD100" s="1541"/>
      <c r="AE100" s="1541"/>
      <c r="AF100" s="1541"/>
      <c r="AG100" s="1541"/>
      <c r="AH100" s="1541"/>
      <c r="AI100" s="1541"/>
      <c r="AJ100" s="1541"/>
      <c r="AK100" s="1541"/>
      <c r="AL100" s="1541"/>
      <c r="AM100" s="1541"/>
      <c r="AN100" s="1541"/>
      <c r="AO100" s="1541"/>
      <c r="AP100" s="1541"/>
      <c r="AQ100" s="1528"/>
      <c r="AR100" s="14"/>
      <c r="AS100" s="1542"/>
      <c r="AT100" s="1542"/>
      <c r="AU100" s="1542"/>
      <c r="AV100" s="1542"/>
      <c r="AW100" s="1542"/>
      <c r="AX100" s="1542"/>
      <c r="AY100" s="1542"/>
      <c r="AZ100" s="1542"/>
      <c r="BA100" s="1542"/>
      <c r="BB100" s="1542"/>
      <c r="BC100" s="1542"/>
      <c r="BD100" s="1542"/>
      <c r="BE100" s="1542"/>
      <c r="BF100" s="1542"/>
      <c r="BG100" s="1542"/>
      <c r="BH100" s="1542"/>
      <c r="BI100" s="1542"/>
      <c r="BJ100" s="1542"/>
      <c r="BK100" s="1542"/>
      <c r="BL100" s="1530"/>
      <c r="BM100" s="14"/>
      <c r="BN100" s="1543"/>
      <c r="BO100" s="1543"/>
      <c r="BP100" s="1531"/>
      <c r="BQ100" s="14"/>
      <c r="BR100" s="3168"/>
      <c r="BS100" s="1525"/>
      <c r="BU100" s="1532">
        <v>0</v>
      </c>
      <c r="BV100" s="1533">
        <v>0</v>
      </c>
      <c r="BW100" s="1533">
        <v>0</v>
      </c>
      <c r="BX100" s="1533">
        <v>0</v>
      </c>
      <c r="BY100" s="1533">
        <v>0</v>
      </c>
      <c r="BZ100" s="1533">
        <v>0</v>
      </c>
      <c r="CA100" s="1533">
        <v>0</v>
      </c>
      <c r="CB100" s="1533">
        <v>0</v>
      </c>
      <c r="CC100" s="1533">
        <v>0</v>
      </c>
      <c r="CD100" s="1533">
        <v>0</v>
      </c>
      <c r="CE100" s="1533">
        <v>0</v>
      </c>
      <c r="CF100" s="1533">
        <v>0</v>
      </c>
      <c r="CG100" s="1533">
        <v>0</v>
      </c>
      <c r="CH100" s="1533">
        <v>0</v>
      </c>
      <c r="CI100" s="1533">
        <v>0</v>
      </c>
      <c r="CJ100" s="1533">
        <v>0</v>
      </c>
      <c r="CK100" s="1533">
        <v>0</v>
      </c>
      <c r="CL100" s="1533">
        <v>0</v>
      </c>
      <c r="CM100" s="1533">
        <v>0</v>
      </c>
      <c r="CN100" s="1533">
        <v>0</v>
      </c>
      <c r="CO100" s="1533">
        <v>0</v>
      </c>
      <c r="CP100" s="1533">
        <v>0</v>
      </c>
      <c r="CQ100" s="1533">
        <v>0</v>
      </c>
      <c r="CR100" s="1533">
        <v>0</v>
      </c>
      <c r="CS100" s="1533">
        <v>0</v>
      </c>
      <c r="CT100" s="1533">
        <v>0</v>
      </c>
      <c r="CU100" s="1533">
        <v>0</v>
      </c>
      <c r="CV100" s="1533">
        <v>0</v>
      </c>
      <c r="CW100" s="1533">
        <v>0</v>
      </c>
      <c r="CX100" s="1533">
        <v>0</v>
      </c>
      <c r="CY100" s="1533">
        <v>0</v>
      </c>
      <c r="CZ100" s="1533">
        <v>0</v>
      </c>
      <c r="DA100" s="1533">
        <v>0</v>
      </c>
      <c r="DB100" s="1533">
        <v>0</v>
      </c>
      <c r="DC100" s="1533">
        <v>0</v>
      </c>
      <c r="DD100" s="1533">
        <v>0</v>
      </c>
      <c r="DE100" s="1533">
        <v>0</v>
      </c>
      <c r="DF100" s="1533">
        <v>0</v>
      </c>
      <c r="DG100" s="1533">
        <v>0</v>
      </c>
      <c r="DH100" s="1533">
        <v>0</v>
      </c>
      <c r="DI100" s="1533">
        <v>0</v>
      </c>
      <c r="DJ100" s="1533">
        <v>0</v>
      </c>
      <c r="DK100" s="1533">
        <v>0</v>
      </c>
      <c r="DL100" s="1533">
        <v>0</v>
      </c>
      <c r="DN100" s="1509"/>
    </row>
    <row r="101" spans="1:118" s="1534" customFormat="1" ht="12.75" customHeight="1" outlineLevel="1" collapsed="1" x14ac:dyDescent="0.2">
      <c r="B101" s="1535"/>
      <c r="C101" s="1536"/>
      <c r="D101" s="1537"/>
      <c r="E101" s="1538"/>
      <c r="F101" s="14"/>
      <c r="G101" s="1488"/>
      <c r="H101" s="1488"/>
      <c r="I101" s="1488"/>
      <c r="J101" s="1488"/>
      <c r="K101" s="1488"/>
      <c r="L101" s="1488"/>
      <c r="M101" s="1488"/>
      <c r="N101" s="1488"/>
      <c r="O101" s="1563"/>
      <c r="P101" s="1488"/>
      <c r="Q101" s="1488"/>
      <c r="R101" s="1488"/>
      <c r="S101" s="1488"/>
      <c r="T101" s="1488"/>
      <c r="U101" s="1488"/>
      <c r="V101" s="1488"/>
      <c r="W101" s="1539"/>
      <c r="X101" s="14"/>
      <c r="Y101" s="1490"/>
      <c r="Z101" s="1490"/>
      <c r="AA101" s="1490"/>
      <c r="AB101" s="1490"/>
      <c r="AC101" s="1490"/>
      <c r="AD101" s="1490"/>
      <c r="AE101" s="1490"/>
      <c r="AF101" s="1490"/>
      <c r="AG101" s="1490"/>
      <c r="AH101" s="1490"/>
      <c r="AI101" s="1490"/>
      <c r="AJ101" s="1490"/>
      <c r="AK101" s="1490"/>
      <c r="AL101" s="1490"/>
      <c r="AM101" s="1490"/>
      <c r="AN101" s="1490"/>
      <c r="AO101" s="1490"/>
      <c r="AP101" s="1490"/>
      <c r="AQ101" s="1490"/>
      <c r="AR101" s="14"/>
      <c r="AS101" s="1491"/>
      <c r="AT101" s="1491"/>
      <c r="AU101" s="1491"/>
      <c r="AV101" s="1491"/>
      <c r="AW101" s="1491"/>
      <c r="AX101" s="1491"/>
      <c r="AY101" s="1491"/>
      <c r="AZ101" s="1491"/>
      <c r="BA101" s="1491"/>
      <c r="BB101" s="1491"/>
      <c r="BC101" s="1491"/>
      <c r="BD101" s="1491"/>
      <c r="BE101" s="1491"/>
      <c r="BF101" s="1491"/>
      <c r="BG101" s="1491"/>
      <c r="BH101" s="1491"/>
      <c r="BI101" s="1491"/>
      <c r="BJ101" s="1491"/>
      <c r="BK101" s="1491"/>
      <c r="BL101" s="1491"/>
      <c r="BM101" s="14"/>
      <c r="BN101" s="1492"/>
      <c r="BO101" s="1492"/>
      <c r="BP101" s="1492"/>
      <c r="BQ101" s="14"/>
      <c r="BR101" s="3168"/>
      <c r="BS101" s="1493"/>
      <c r="BT101" s="748"/>
      <c r="BU101" s="1508">
        <v>0</v>
      </c>
      <c r="BV101" s="1508">
        <v>0</v>
      </c>
      <c r="BW101" s="1508">
        <v>0</v>
      </c>
      <c r="BX101" s="1508">
        <v>0</v>
      </c>
      <c r="BY101" s="1508">
        <v>0</v>
      </c>
      <c r="BZ101" s="1508">
        <v>0</v>
      </c>
      <c r="CA101" s="1508">
        <v>0</v>
      </c>
      <c r="CB101" s="1508">
        <v>0</v>
      </c>
      <c r="CC101" s="1508">
        <v>0</v>
      </c>
      <c r="CD101" s="1508">
        <v>0</v>
      </c>
      <c r="CE101" s="1508">
        <v>0</v>
      </c>
      <c r="CF101" s="1508">
        <v>0</v>
      </c>
      <c r="CG101" s="1508">
        <v>0</v>
      </c>
      <c r="CH101" s="1508">
        <v>0</v>
      </c>
      <c r="CI101" s="1508">
        <v>0</v>
      </c>
      <c r="CJ101" s="1508">
        <v>0</v>
      </c>
      <c r="CK101" s="1508">
        <v>0</v>
      </c>
      <c r="CL101" s="1508">
        <v>0</v>
      </c>
      <c r="CM101" s="1508">
        <v>0</v>
      </c>
      <c r="CN101" s="1508">
        <v>0</v>
      </c>
      <c r="CO101" s="1508">
        <v>0</v>
      </c>
      <c r="CP101" s="1508">
        <v>0</v>
      </c>
      <c r="CQ101" s="1508">
        <v>0</v>
      </c>
      <c r="CR101" s="1508">
        <v>0</v>
      </c>
      <c r="CS101" s="1508">
        <v>0</v>
      </c>
      <c r="CT101" s="1508">
        <v>0</v>
      </c>
      <c r="CU101" s="1508">
        <v>0</v>
      </c>
      <c r="CV101" s="1508">
        <v>0</v>
      </c>
      <c r="CW101" s="1508">
        <v>0</v>
      </c>
      <c r="CX101" s="1508">
        <v>0</v>
      </c>
      <c r="CY101" s="1508">
        <v>0</v>
      </c>
      <c r="CZ101" s="1508">
        <v>0</v>
      </c>
      <c r="DA101" s="1508">
        <v>0</v>
      </c>
      <c r="DB101" s="1508">
        <v>0</v>
      </c>
      <c r="DC101" s="1508">
        <v>0</v>
      </c>
      <c r="DD101" s="1508">
        <v>0</v>
      </c>
      <c r="DE101" s="1508">
        <v>0</v>
      </c>
      <c r="DF101" s="1508">
        <v>0</v>
      </c>
      <c r="DG101" s="1508">
        <v>0</v>
      </c>
      <c r="DH101" s="1508">
        <v>0</v>
      </c>
      <c r="DI101" s="1508">
        <v>0</v>
      </c>
      <c r="DJ101" s="1508">
        <v>0</v>
      </c>
      <c r="DK101" s="1508">
        <v>0</v>
      </c>
      <c r="DL101" s="1508">
        <v>0</v>
      </c>
      <c r="DN101" s="1509">
        <v>0</v>
      </c>
    </row>
    <row r="102" spans="1:118" s="14" customFormat="1" ht="12.75" hidden="1" customHeight="1" outlineLevel="2" x14ac:dyDescent="0.2">
      <c r="A102" s="1534"/>
      <c r="B102" s="1534"/>
      <c r="C102" s="1544"/>
      <c r="D102" s="1538"/>
      <c r="E102" s="1538"/>
      <c r="G102" s="1488"/>
      <c r="H102" s="1488"/>
      <c r="I102" s="1488"/>
      <c r="J102" s="1488"/>
      <c r="K102" s="1488"/>
      <c r="L102" s="1488"/>
      <c r="M102" s="1488"/>
      <c r="N102" s="1488"/>
      <c r="O102" s="1563"/>
      <c r="P102" s="1488"/>
      <c r="Q102" s="1488"/>
      <c r="R102" s="1488"/>
      <c r="S102" s="1488"/>
      <c r="T102" s="1488"/>
      <c r="U102" s="1488"/>
      <c r="V102" s="1488"/>
      <c r="W102" s="1488"/>
      <c r="Y102" s="1490"/>
      <c r="Z102" s="1490"/>
      <c r="AA102" s="1490"/>
      <c r="AB102" s="1490"/>
      <c r="AC102" s="1490"/>
      <c r="AD102" s="1490"/>
      <c r="AE102" s="1490"/>
      <c r="AF102" s="1490"/>
      <c r="AG102" s="1490"/>
      <c r="AH102" s="1490"/>
      <c r="AI102" s="1490"/>
      <c r="AJ102" s="1490"/>
      <c r="AK102" s="1490"/>
      <c r="AL102" s="1490"/>
      <c r="AM102" s="1490"/>
      <c r="AN102" s="1490"/>
      <c r="AO102" s="1490"/>
      <c r="AP102" s="1490"/>
      <c r="AQ102" s="1490"/>
      <c r="AS102" s="1491"/>
      <c r="AT102" s="1491"/>
      <c r="AU102" s="1491"/>
      <c r="AV102" s="1491"/>
      <c r="AW102" s="1491"/>
      <c r="AX102" s="1491"/>
      <c r="AY102" s="1491"/>
      <c r="AZ102" s="1491"/>
      <c r="BA102" s="1491"/>
      <c r="BB102" s="1491"/>
      <c r="BC102" s="1491"/>
      <c r="BD102" s="1491"/>
      <c r="BE102" s="1491"/>
      <c r="BF102" s="1491"/>
      <c r="BG102" s="1491"/>
      <c r="BH102" s="1491"/>
      <c r="BI102" s="1491"/>
      <c r="BJ102" s="1491"/>
      <c r="BK102" s="1491"/>
      <c r="BL102" s="1491"/>
      <c r="BN102" s="1492"/>
      <c r="BO102" s="1492"/>
      <c r="BP102" s="1492"/>
      <c r="BR102" s="3168"/>
      <c r="BS102" s="1493"/>
      <c r="BT102" s="748"/>
      <c r="BU102" s="1508"/>
      <c r="BV102" s="1508"/>
      <c r="BW102" s="1508"/>
      <c r="BX102" s="1508"/>
      <c r="BY102" s="1508"/>
      <c r="BZ102" s="1508"/>
      <c r="CA102" s="1508"/>
      <c r="CB102" s="1508"/>
      <c r="CC102" s="1508"/>
      <c r="CD102" s="1508"/>
      <c r="CE102" s="1508"/>
      <c r="CF102" s="1508"/>
      <c r="CG102" s="1508"/>
      <c r="CH102" s="1508"/>
      <c r="CI102" s="1508"/>
      <c r="CJ102" s="1508"/>
      <c r="CK102" s="1508"/>
      <c r="CL102" s="1508"/>
      <c r="CM102" s="1508"/>
      <c r="CN102" s="1508"/>
      <c r="CO102" s="1508"/>
      <c r="CP102" s="1508"/>
      <c r="CQ102" s="1508"/>
      <c r="CR102" s="1508"/>
      <c r="CS102" s="1508"/>
      <c r="CT102" s="1508"/>
      <c r="CU102" s="1508"/>
      <c r="CV102" s="1508"/>
      <c r="CW102" s="1508"/>
      <c r="CX102" s="1508"/>
      <c r="CY102" s="1508"/>
      <c r="CZ102" s="1508"/>
      <c r="DA102" s="1508"/>
      <c r="DB102" s="1508"/>
      <c r="DC102" s="1508"/>
      <c r="DD102" s="1508"/>
      <c r="DE102" s="1508"/>
      <c r="DF102" s="1508"/>
      <c r="DG102" s="1508"/>
      <c r="DH102" s="1508"/>
      <c r="DI102" s="1508"/>
      <c r="DJ102" s="1508"/>
      <c r="DK102" s="1508"/>
      <c r="DL102" s="1508"/>
      <c r="DN102" s="1509">
        <v>0</v>
      </c>
    </row>
    <row r="103" spans="1:118" s="1564" customFormat="1" ht="12.75" hidden="1" customHeight="1" outlineLevel="2" x14ac:dyDescent="0.2">
      <c r="C103" s="1565"/>
      <c r="D103" s="1566"/>
      <c r="E103" s="1566"/>
      <c r="G103" s="1568"/>
      <c r="H103" s="1568"/>
      <c r="I103" s="1568"/>
      <c r="J103" s="1568"/>
      <c r="K103" s="1568"/>
      <c r="L103" s="1568"/>
      <c r="M103" s="1568"/>
      <c r="N103" s="1568"/>
      <c r="O103" s="1569"/>
      <c r="P103" s="1568"/>
      <c r="Q103" s="1568"/>
      <c r="R103" s="1568"/>
      <c r="S103" s="1568"/>
      <c r="T103" s="1568"/>
      <c r="U103" s="1568"/>
      <c r="V103" s="1568"/>
      <c r="W103" s="1568"/>
      <c r="Y103" s="1570"/>
      <c r="Z103" s="1570"/>
      <c r="AA103" s="1570"/>
      <c r="AB103" s="1570"/>
      <c r="AC103" s="1570"/>
      <c r="AD103" s="1570"/>
      <c r="AE103" s="1570"/>
      <c r="AF103" s="1570"/>
      <c r="AG103" s="1570"/>
      <c r="AH103" s="1570"/>
      <c r="AI103" s="1570"/>
      <c r="AJ103" s="1570"/>
      <c r="AK103" s="1570"/>
      <c r="AL103" s="1570"/>
      <c r="AM103" s="1570"/>
      <c r="AN103" s="1570"/>
      <c r="AO103" s="1570"/>
      <c r="AP103" s="1570"/>
      <c r="AQ103" s="1570"/>
      <c r="AS103" s="1571"/>
      <c r="AT103" s="1571"/>
      <c r="AU103" s="1571"/>
      <c r="AV103" s="1571"/>
      <c r="AW103" s="1571"/>
      <c r="AX103" s="1571"/>
      <c r="AY103" s="1571"/>
      <c r="AZ103" s="1571"/>
      <c r="BA103" s="1571"/>
      <c r="BB103" s="1571"/>
      <c r="BC103" s="1571"/>
      <c r="BD103" s="1571"/>
      <c r="BE103" s="1571"/>
      <c r="BF103" s="1571"/>
      <c r="BG103" s="1571"/>
      <c r="BH103" s="1571"/>
      <c r="BI103" s="1571"/>
      <c r="BJ103" s="1571"/>
      <c r="BK103" s="1571"/>
      <c r="BL103" s="1571"/>
      <c r="BN103" s="1572"/>
      <c r="BO103" s="1572"/>
      <c r="BP103" s="1572"/>
      <c r="BR103" s="3168"/>
      <c r="BS103" s="1573"/>
      <c r="BT103" s="1606"/>
      <c r="BU103" s="1607"/>
      <c r="BV103" s="1607"/>
      <c r="BW103" s="1607"/>
      <c r="BX103" s="1607"/>
      <c r="BY103" s="1607"/>
      <c r="BZ103" s="1607"/>
      <c r="CA103" s="1607"/>
      <c r="CB103" s="1607"/>
      <c r="CC103" s="1607"/>
      <c r="CD103" s="1607"/>
      <c r="CE103" s="1607"/>
      <c r="CF103" s="1607"/>
      <c r="CG103" s="1607"/>
      <c r="CH103" s="1607"/>
      <c r="CI103" s="1607"/>
      <c r="CJ103" s="1607"/>
      <c r="CK103" s="1607"/>
      <c r="CL103" s="1607"/>
      <c r="CM103" s="1607"/>
      <c r="CN103" s="1607"/>
      <c r="CO103" s="1607"/>
      <c r="CP103" s="1607"/>
      <c r="CQ103" s="1607"/>
      <c r="CR103" s="1607"/>
      <c r="CS103" s="1607"/>
      <c r="CT103" s="1607"/>
      <c r="CU103" s="1607"/>
      <c r="CV103" s="1607"/>
      <c r="CW103" s="1607"/>
      <c r="CX103" s="1607"/>
      <c r="CY103" s="1607"/>
      <c r="CZ103" s="1607"/>
      <c r="DA103" s="1607"/>
      <c r="DB103" s="1607"/>
      <c r="DC103" s="1607"/>
      <c r="DD103" s="1607"/>
      <c r="DE103" s="1607"/>
      <c r="DF103" s="1607"/>
      <c r="DG103" s="1607"/>
      <c r="DH103" s="1607"/>
      <c r="DI103" s="1607"/>
      <c r="DJ103" s="1607"/>
      <c r="DK103" s="1607"/>
      <c r="DL103" s="1607"/>
      <c r="DN103" s="1606">
        <v>0</v>
      </c>
    </row>
    <row r="104" spans="1:118" s="1567" customFormat="1" ht="12.75" hidden="1" customHeight="1" outlineLevel="2" x14ac:dyDescent="0.2">
      <c r="A104" s="1608"/>
      <c r="B104" s="1608"/>
      <c r="D104" s="1609"/>
      <c r="E104" s="1609"/>
      <c r="G104" s="1610"/>
      <c r="H104" s="1610"/>
      <c r="I104" s="1610"/>
      <c r="J104" s="1610"/>
      <c r="K104" s="1610"/>
      <c r="L104" s="1610"/>
      <c r="M104" s="1610"/>
      <c r="N104" s="1610"/>
      <c r="O104" s="1610"/>
      <c r="P104" s="1610"/>
      <c r="Q104" s="1610"/>
      <c r="R104" s="1610"/>
      <c r="S104" s="1610"/>
      <c r="T104" s="1610"/>
      <c r="U104" s="1610"/>
      <c r="V104" s="1610"/>
      <c r="W104" s="1611"/>
      <c r="Y104" s="1612"/>
      <c r="Z104" s="1612"/>
      <c r="AA104" s="1612"/>
      <c r="AB104" s="1612"/>
      <c r="AC104" s="1612"/>
      <c r="AD104" s="1612"/>
      <c r="AE104" s="1612"/>
      <c r="AF104" s="1612"/>
      <c r="AG104" s="1612"/>
      <c r="AH104" s="1612"/>
      <c r="AI104" s="1612"/>
      <c r="AJ104" s="1612"/>
      <c r="AK104" s="1612"/>
      <c r="AL104" s="1612"/>
      <c r="AM104" s="1612"/>
      <c r="AN104" s="1612"/>
      <c r="AO104" s="1612"/>
      <c r="AP104" s="1612"/>
      <c r="AQ104" s="1613"/>
      <c r="AS104" s="1614"/>
      <c r="AT104" s="1614"/>
      <c r="AU104" s="1614"/>
      <c r="AV104" s="1614"/>
      <c r="AW104" s="1614"/>
      <c r="AX104" s="1614"/>
      <c r="AY104" s="1614"/>
      <c r="AZ104" s="1614"/>
      <c r="BA104" s="1614"/>
      <c r="BB104" s="1614"/>
      <c r="BC104" s="1614"/>
      <c r="BD104" s="1614"/>
      <c r="BE104" s="1614"/>
      <c r="BF104" s="1614"/>
      <c r="BG104" s="1614"/>
      <c r="BH104" s="1614"/>
      <c r="BI104" s="1614"/>
      <c r="BJ104" s="1614"/>
      <c r="BK104" s="1614"/>
      <c r="BL104" s="1615"/>
      <c r="BN104" s="1616"/>
      <c r="BO104" s="1616"/>
      <c r="BP104" s="1617"/>
      <c r="BR104" s="3168"/>
      <c r="BS104" s="1618"/>
      <c r="BT104" s="1619"/>
      <c r="BU104" s="1620">
        <v>0</v>
      </c>
      <c r="BV104" s="1621">
        <v>0</v>
      </c>
      <c r="BW104" s="1621">
        <v>0</v>
      </c>
      <c r="BX104" s="1621">
        <v>0</v>
      </c>
      <c r="BY104" s="1621">
        <v>0</v>
      </c>
      <c r="BZ104" s="1621">
        <v>0</v>
      </c>
      <c r="CA104" s="1621">
        <v>0</v>
      </c>
      <c r="CB104" s="1621">
        <v>0</v>
      </c>
      <c r="CC104" s="1621">
        <v>0</v>
      </c>
      <c r="CD104" s="1621">
        <v>0</v>
      </c>
      <c r="CE104" s="1621">
        <v>0</v>
      </c>
      <c r="CF104" s="1621">
        <v>0</v>
      </c>
      <c r="CG104" s="1621">
        <v>0</v>
      </c>
      <c r="CH104" s="1621">
        <v>0</v>
      </c>
      <c r="CI104" s="1621">
        <v>0</v>
      </c>
      <c r="CJ104" s="1621">
        <v>0</v>
      </c>
      <c r="CK104" s="1621">
        <v>0</v>
      </c>
      <c r="CL104" s="1621">
        <v>0</v>
      </c>
      <c r="CM104" s="1621">
        <v>0</v>
      </c>
      <c r="CN104" s="1621">
        <v>0</v>
      </c>
      <c r="CO104" s="1621">
        <v>0</v>
      </c>
      <c r="CP104" s="1621">
        <v>0</v>
      </c>
      <c r="CQ104" s="1621">
        <v>0</v>
      </c>
      <c r="CR104" s="1621">
        <v>0</v>
      </c>
      <c r="CS104" s="1621">
        <v>0</v>
      </c>
      <c r="CT104" s="1621">
        <v>0</v>
      </c>
      <c r="CU104" s="1621">
        <v>0</v>
      </c>
      <c r="CV104" s="1621">
        <v>0</v>
      </c>
      <c r="CW104" s="1621">
        <v>0</v>
      </c>
      <c r="CX104" s="1621">
        <v>0</v>
      </c>
      <c r="CY104" s="1621">
        <v>0</v>
      </c>
      <c r="CZ104" s="1621">
        <v>0</v>
      </c>
      <c r="DA104" s="1621">
        <v>0</v>
      </c>
      <c r="DB104" s="1621">
        <v>0</v>
      </c>
      <c r="DC104" s="1621">
        <v>0</v>
      </c>
      <c r="DD104" s="1621">
        <v>0</v>
      </c>
      <c r="DE104" s="1621">
        <v>-5.5600542212492146</v>
      </c>
      <c r="DF104" s="1621">
        <v>0</v>
      </c>
      <c r="DG104" s="1621">
        <v>0</v>
      </c>
      <c r="DH104" s="1621">
        <v>0</v>
      </c>
      <c r="DI104" s="1621">
        <v>0</v>
      </c>
      <c r="DJ104" s="1621">
        <v>0</v>
      </c>
      <c r="DK104" s="1621">
        <v>0</v>
      </c>
      <c r="DL104" s="1621">
        <v>0</v>
      </c>
      <c r="DN104" s="1575">
        <v>-5.5600542212492146</v>
      </c>
    </row>
    <row r="105" spans="1:118" s="1564" customFormat="1" ht="12.75" hidden="1" customHeight="1" outlineLevel="2" x14ac:dyDescent="0.2">
      <c r="D105" s="1566"/>
      <c r="E105" s="1566"/>
      <c r="G105" s="1568"/>
      <c r="H105" s="1568"/>
      <c r="I105" s="1568"/>
      <c r="J105" s="1568"/>
      <c r="K105" s="1568"/>
      <c r="L105" s="1568"/>
      <c r="M105" s="1568"/>
      <c r="N105" s="1568"/>
      <c r="O105" s="1569"/>
      <c r="P105" s="1568"/>
      <c r="Q105" s="1568"/>
      <c r="R105" s="1568"/>
      <c r="S105" s="1568"/>
      <c r="T105" s="1568"/>
      <c r="U105" s="1568"/>
      <c r="V105" s="1568"/>
      <c r="W105" s="1568"/>
      <c r="Y105" s="1570"/>
      <c r="Z105" s="1570"/>
      <c r="AA105" s="1570"/>
      <c r="AB105" s="1570"/>
      <c r="AC105" s="1570"/>
      <c r="AD105" s="1570"/>
      <c r="AE105" s="1570"/>
      <c r="AF105" s="1570"/>
      <c r="AG105" s="1570"/>
      <c r="AH105" s="1570"/>
      <c r="AI105" s="1570"/>
      <c r="AJ105" s="1570"/>
      <c r="AK105" s="1570"/>
      <c r="AL105" s="1570"/>
      <c r="AM105" s="1570"/>
      <c r="AN105" s="1570"/>
      <c r="AO105" s="1570"/>
      <c r="AP105" s="1570"/>
      <c r="AQ105" s="1570"/>
      <c r="AS105" s="1571"/>
      <c r="AT105" s="1571"/>
      <c r="AU105" s="1571"/>
      <c r="AV105" s="1571"/>
      <c r="AW105" s="1571"/>
      <c r="AX105" s="1571"/>
      <c r="AY105" s="1571"/>
      <c r="AZ105" s="1571"/>
      <c r="BA105" s="1571"/>
      <c r="BB105" s="1571"/>
      <c r="BC105" s="1571"/>
      <c r="BD105" s="1571"/>
      <c r="BE105" s="1571"/>
      <c r="BF105" s="1571"/>
      <c r="BG105" s="1571"/>
      <c r="BH105" s="1571"/>
      <c r="BI105" s="1571"/>
      <c r="BJ105" s="1571"/>
      <c r="BK105" s="1571"/>
      <c r="BL105" s="1571"/>
      <c r="BN105" s="1572"/>
      <c r="BO105" s="1572"/>
      <c r="BP105" s="1572"/>
      <c r="BR105" s="3168"/>
      <c r="BS105" s="1573"/>
      <c r="BT105" s="1606"/>
      <c r="BU105" s="1607"/>
      <c r="BV105" s="1607"/>
      <c r="BW105" s="1607"/>
      <c r="BX105" s="1607"/>
      <c r="BY105" s="1607"/>
      <c r="BZ105" s="1607"/>
      <c r="CA105" s="1607"/>
      <c r="CB105" s="1607"/>
      <c r="CC105" s="1607"/>
      <c r="CD105" s="1607"/>
      <c r="CE105" s="1607"/>
      <c r="CF105" s="1607"/>
      <c r="CG105" s="1607"/>
      <c r="CH105" s="1607"/>
      <c r="CI105" s="1607"/>
      <c r="CJ105" s="1607"/>
      <c r="CK105" s="1607"/>
      <c r="CL105" s="1607"/>
      <c r="CM105" s="1607"/>
      <c r="CN105" s="1607"/>
      <c r="CO105" s="1607"/>
      <c r="CP105" s="1607"/>
      <c r="CQ105" s="1607"/>
      <c r="CR105" s="1607"/>
      <c r="CS105" s="1607"/>
      <c r="CT105" s="1607"/>
      <c r="CU105" s="1607"/>
      <c r="CV105" s="1607"/>
      <c r="CW105" s="1607"/>
      <c r="CX105" s="1607"/>
      <c r="CY105" s="1607"/>
      <c r="CZ105" s="1607"/>
      <c r="DA105" s="1607"/>
      <c r="DB105" s="1607"/>
      <c r="DC105" s="1607"/>
      <c r="DD105" s="1607"/>
      <c r="DE105" s="1607"/>
      <c r="DF105" s="1607"/>
      <c r="DG105" s="1607"/>
      <c r="DH105" s="1607"/>
      <c r="DI105" s="1607"/>
      <c r="DJ105" s="1607"/>
      <c r="DK105" s="1607"/>
      <c r="DL105" s="1607"/>
      <c r="DN105" s="1606">
        <v>0</v>
      </c>
    </row>
    <row r="106" spans="1:118" s="14" customFormat="1" ht="12.75" hidden="1" customHeight="1" outlineLevel="2" x14ac:dyDescent="0.2">
      <c r="A106" s="1522"/>
      <c r="B106" s="1522"/>
      <c r="C106" s="1577" t="s">
        <v>801</v>
      </c>
      <c r="D106" s="1526" t="str">
        <f>INDEX(Modulos[Modulos], MATCH($C106, Modulos[Código], 0))</f>
        <v>Producción nacional combustibles fósiles</v>
      </c>
      <c r="E106" s="1526"/>
      <c r="G106" s="1540"/>
      <c r="H106" s="1540"/>
      <c r="I106" s="1540"/>
      <c r="J106" s="1540"/>
      <c r="K106" s="1540"/>
      <c r="L106" s="1540"/>
      <c r="M106" s="1540"/>
      <c r="N106" s="1540"/>
      <c r="O106" s="1540"/>
      <c r="P106" s="1540"/>
      <c r="Q106" s="1540"/>
      <c r="R106" s="1540"/>
      <c r="S106" s="1540"/>
      <c r="T106" s="1540"/>
      <c r="U106" s="1540"/>
      <c r="V106" s="1540"/>
      <c r="W106" s="1527"/>
      <c r="Y106" s="1541">
        <f t="shared" ref="Y106:AP106" ca="1" si="66">IFERROR(INDEX(INDIRECT($C106&amp;".Outputs["&amp;this.Year&amp;"]"), MATCH(Y$5, INDIRECT($C106&amp;".Outputs[Vector]"), 0)), 0)</f>
        <v>0</v>
      </c>
      <c r="Z106" s="1541">
        <f t="shared" ca="1" si="66"/>
        <v>0</v>
      </c>
      <c r="AA106" s="1541">
        <f t="shared" ca="1" si="66"/>
        <v>0</v>
      </c>
      <c r="AB106" s="1541">
        <f t="shared" ca="1" si="66"/>
        <v>0</v>
      </c>
      <c r="AC106" s="1541">
        <f t="shared" ca="1" si="66"/>
        <v>0</v>
      </c>
      <c r="AD106" s="1541">
        <f t="shared" ca="1" si="66"/>
        <v>25.584695004942699</v>
      </c>
      <c r="AE106" s="1541">
        <f t="shared" ca="1" si="66"/>
        <v>3.0761179275455</v>
      </c>
      <c r="AF106" s="1541">
        <f t="shared" ca="1" si="66"/>
        <v>10.934465313717508</v>
      </c>
      <c r="AG106" s="1541">
        <f t="shared" ca="1" si="66"/>
        <v>0</v>
      </c>
      <c r="AH106" s="1541">
        <f t="shared" ca="1" si="66"/>
        <v>0</v>
      </c>
      <c r="AI106" s="1541">
        <f t="shared" ca="1" si="66"/>
        <v>0</v>
      </c>
      <c r="AJ106" s="1541">
        <f t="shared" ca="1" si="66"/>
        <v>0</v>
      </c>
      <c r="AK106" s="1541">
        <f t="shared" ca="1" si="66"/>
        <v>0</v>
      </c>
      <c r="AL106" s="1541">
        <f t="shared" ca="1" si="66"/>
        <v>0</v>
      </c>
      <c r="AM106" s="1541">
        <f t="shared" ca="1" si="66"/>
        <v>0</v>
      </c>
      <c r="AN106" s="1541">
        <f t="shared" ca="1" si="66"/>
        <v>0</v>
      </c>
      <c r="AO106" s="1541">
        <f t="shared" ca="1" si="66"/>
        <v>0</v>
      </c>
      <c r="AP106" s="1541">
        <f t="shared" ca="1" si="66"/>
        <v>0</v>
      </c>
      <c r="AQ106" s="1528">
        <f ca="1">SUM(Y106:AP106)</f>
        <v>39.595278246205709</v>
      </c>
      <c r="AS106" s="1542">
        <f t="shared" ref="AS106:BK106" ca="1" si="67">IFERROR(INDEX(INDIRECT($C106&amp;".Outputs["&amp;this.Year&amp;"]"), MATCH(AS$5, INDIRECT($C106&amp;".Outputs[Vector]"), 0)), 0)</f>
        <v>-25.584695004942699</v>
      </c>
      <c r="AT106" s="1542">
        <f t="shared" ca="1" si="67"/>
        <v>-3.0761179275455</v>
      </c>
      <c r="AU106" s="1542">
        <f t="shared" ca="1" si="67"/>
        <v>-10.934465313717508</v>
      </c>
      <c r="AV106" s="1542">
        <f t="shared" ca="1" si="67"/>
        <v>0</v>
      </c>
      <c r="AW106" s="1542">
        <f t="shared" ca="1" si="67"/>
        <v>0</v>
      </c>
      <c r="AX106" s="1542">
        <f t="shared" ca="1" si="67"/>
        <v>0</v>
      </c>
      <c r="AY106" s="1542">
        <f t="shared" ca="1" si="67"/>
        <v>0</v>
      </c>
      <c r="AZ106" s="1542">
        <f t="shared" ca="1" si="67"/>
        <v>0</v>
      </c>
      <c r="BA106" s="1542">
        <f t="shared" ca="1" si="67"/>
        <v>0</v>
      </c>
      <c r="BB106" s="1542">
        <f t="shared" ca="1" si="67"/>
        <v>0</v>
      </c>
      <c r="BC106" s="1542">
        <f t="shared" ca="1" si="67"/>
        <v>0</v>
      </c>
      <c r="BD106" s="1542">
        <f t="shared" ca="1" si="67"/>
        <v>0</v>
      </c>
      <c r="BE106" s="1542">
        <f t="shared" ca="1" si="67"/>
        <v>0</v>
      </c>
      <c r="BF106" s="1542">
        <f t="shared" ca="1" si="67"/>
        <v>0</v>
      </c>
      <c r="BG106" s="1542">
        <f t="shared" ca="1" si="67"/>
        <v>0</v>
      </c>
      <c r="BH106" s="1542">
        <f t="shared" ca="1" si="67"/>
        <v>0</v>
      </c>
      <c r="BI106" s="1542">
        <f t="shared" ca="1" si="67"/>
        <v>0</v>
      </c>
      <c r="BJ106" s="1542">
        <f t="shared" ca="1" si="67"/>
        <v>0</v>
      </c>
      <c r="BK106" s="1542">
        <f t="shared" ca="1" si="67"/>
        <v>0</v>
      </c>
      <c r="BL106" s="1542">
        <f ca="1">SUM(AS106:BK106)</f>
        <v>-39.595278246205709</v>
      </c>
      <c r="BN106" s="1543"/>
      <c r="BO106" s="1543"/>
      <c r="BP106" s="1531"/>
      <c r="BR106" s="3168">
        <f ca="1">W106+AQ106+BL106+BP106</f>
        <v>0</v>
      </c>
      <c r="BS106" s="1525"/>
      <c r="BT106" s="748"/>
      <c r="BU106" s="1532">
        <v>0</v>
      </c>
      <c r="BV106" s="1533">
        <v>0</v>
      </c>
      <c r="BW106" s="1533">
        <v>0</v>
      </c>
      <c r="BX106" s="1533">
        <v>0</v>
      </c>
      <c r="BY106" s="1533">
        <v>0</v>
      </c>
      <c r="BZ106" s="1533">
        <v>0</v>
      </c>
      <c r="CA106" s="1533">
        <v>0</v>
      </c>
      <c r="CB106" s="1533">
        <v>0</v>
      </c>
      <c r="CC106" s="1533">
        <v>0</v>
      </c>
      <c r="CD106" s="1533">
        <v>0</v>
      </c>
      <c r="CE106" s="1533">
        <v>0</v>
      </c>
      <c r="CF106" s="1533">
        <v>0</v>
      </c>
      <c r="CG106" s="1533">
        <v>0</v>
      </c>
      <c r="CH106" s="1533">
        <v>0</v>
      </c>
      <c r="CI106" s="1533">
        <v>0</v>
      </c>
      <c r="CJ106" s="1533">
        <v>0</v>
      </c>
      <c r="CK106" s="1533">
        <v>0</v>
      </c>
      <c r="CL106" s="1533">
        <v>0</v>
      </c>
      <c r="CM106" s="1533">
        <v>0</v>
      </c>
      <c r="CN106" s="1533">
        <v>0</v>
      </c>
      <c r="CO106" s="1533">
        <v>0</v>
      </c>
      <c r="CP106" s="1533">
        <v>0</v>
      </c>
      <c r="CQ106" s="1533">
        <v>0</v>
      </c>
      <c r="CR106" s="1533">
        <v>0</v>
      </c>
      <c r="CS106" s="1533">
        <v>0</v>
      </c>
      <c r="CT106" s="1533">
        <v>0</v>
      </c>
      <c r="CU106" s="1533">
        <v>0</v>
      </c>
      <c r="CV106" s="1533">
        <v>0</v>
      </c>
      <c r="CW106" s="1533">
        <v>0</v>
      </c>
      <c r="CX106" s="1533">
        <v>0</v>
      </c>
      <c r="CY106" s="1533">
        <v>0</v>
      </c>
      <c r="CZ106" s="1533">
        <v>0</v>
      </c>
      <c r="DA106" s="1533">
        <v>0</v>
      </c>
      <c r="DB106" s="1533">
        <v>0</v>
      </c>
      <c r="DC106" s="1533">
        <v>0</v>
      </c>
      <c r="DD106" s="1533">
        <v>0</v>
      </c>
      <c r="DE106" s="1533">
        <v>-1.3540111199999998</v>
      </c>
      <c r="DF106" s="1533">
        <v>0</v>
      </c>
      <c r="DG106" s="1533">
        <v>0</v>
      </c>
      <c r="DH106" s="1533">
        <v>0</v>
      </c>
      <c r="DI106" s="1533">
        <v>0</v>
      </c>
      <c r="DJ106" s="1533">
        <v>0</v>
      </c>
      <c r="DK106" s="1533">
        <v>0</v>
      </c>
      <c r="DL106" s="1533">
        <v>0</v>
      </c>
      <c r="DN106" s="1509">
        <v>-1.3540111199999998</v>
      </c>
    </row>
    <row r="107" spans="1:118" s="14" customFormat="1" ht="15.75" outlineLevel="1" collapsed="1" x14ac:dyDescent="0.2">
      <c r="A107" s="1534"/>
      <c r="B107" s="1535"/>
      <c r="C107" s="1552"/>
      <c r="D107" s="1526"/>
      <c r="E107" s="1538"/>
      <c r="G107" s="1539"/>
      <c r="H107" s="1539"/>
      <c r="I107" s="1539"/>
      <c r="J107" s="1539"/>
      <c r="K107" s="1539"/>
      <c r="L107" s="1539"/>
      <c r="M107" s="1539"/>
      <c r="N107" s="1539"/>
      <c r="O107" s="1539"/>
      <c r="P107" s="1539"/>
      <c r="Q107" s="1539"/>
      <c r="R107" s="1539"/>
      <c r="S107" s="1539"/>
      <c r="T107" s="1539"/>
      <c r="U107" s="1539"/>
      <c r="V107" s="1539"/>
      <c r="W107" s="1539"/>
      <c r="Y107" s="1490">
        <f ca="1">Y106</f>
        <v>0</v>
      </c>
      <c r="Z107" s="1490">
        <f t="shared" ref="Z107:AQ107" ca="1" si="68">Z106</f>
        <v>0</v>
      </c>
      <c r="AA107" s="1490">
        <f t="shared" ca="1" si="68"/>
        <v>0</v>
      </c>
      <c r="AB107" s="1490">
        <f t="shared" ca="1" si="68"/>
        <v>0</v>
      </c>
      <c r="AC107" s="1490">
        <f t="shared" ca="1" si="68"/>
        <v>0</v>
      </c>
      <c r="AD107" s="1490">
        <f t="shared" ca="1" si="68"/>
        <v>25.584695004942699</v>
      </c>
      <c r="AE107" s="1490">
        <f t="shared" ca="1" si="68"/>
        <v>3.0761179275455</v>
      </c>
      <c r="AF107" s="1490">
        <f t="shared" ca="1" si="68"/>
        <v>10.934465313717508</v>
      </c>
      <c r="AG107" s="1490">
        <f t="shared" ca="1" si="68"/>
        <v>0</v>
      </c>
      <c r="AH107" s="1490">
        <f t="shared" ca="1" si="68"/>
        <v>0</v>
      </c>
      <c r="AI107" s="1490">
        <f t="shared" ca="1" si="68"/>
        <v>0</v>
      </c>
      <c r="AJ107" s="1490">
        <f t="shared" ca="1" si="68"/>
        <v>0</v>
      </c>
      <c r="AK107" s="1490">
        <f t="shared" ca="1" si="68"/>
        <v>0</v>
      </c>
      <c r="AL107" s="1490">
        <f t="shared" ca="1" si="68"/>
        <v>0</v>
      </c>
      <c r="AM107" s="1490">
        <f t="shared" ca="1" si="68"/>
        <v>0</v>
      </c>
      <c r="AN107" s="1490">
        <f t="shared" ca="1" si="68"/>
        <v>0</v>
      </c>
      <c r="AO107" s="1490">
        <f t="shared" ca="1" si="68"/>
        <v>0</v>
      </c>
      <c r="AP107" s="1490">
        <f t="shared" ca="1" si="68"/>
        <v>0</v>
      </c>
      <c r="AQ107" s="1490">
        <f t="shared" ca="1" si="68"/>
        <v>39.595278246205709</v>
      </c>
      <c r="AS107" s="1491">
        <f ca="1">AS106</f>
        <v>-25.584695004942699</v>
      </c>
      <c r="AT107" s="1491">
        <f t="shared" ref="AT107:BD107" ca="1" si="69">AT106</f>
        <v>-3.0761179275455</v>
      </c>
      <c r="AU107" s="1491">
        <f t="shared" ca="1" si="69"/>
        <v>-10.934465313717508</v>
      </c>
      <c r="AV107" s="1491">
        <f t="shared" ca="1" si="69"/>
        <v>0</v>
      </c>
      <c r="AW107" s="1491">
        <f t="shared" ca="1" si="69"/>
        <v>0</v>
      </c>
      <c r="AX107" s="1491">
        <f t="shared" ca="1" si="69"/>
        <v>0</v>
      </c>
      <c r="AY107" s="1491">
        <f t="shared" ca="1" si="69"/>
        <v>0</v>
      </c>
      <c r="AZ107" s="1491">
        <f t="shared" ca="1" si="69"/>
        <v>0</v>
      </c>
      <c r="BA107" s="1491">
        <f t="shared" ca="1" si="69"/>
        <v>0</v>
      </c>
      <c r="BB107" s="1491">
        <f t="shared" ca="1" si="69"/>
        <v>0</v>
      </c>
      <c r="BC107" s="1491">
        <f t="shared" ca="1" si="69"/>
        <v>0</v>
      </c>
      <c r="BD107" s="1491">
        <f t="shared" ca="1" si="69"/>
        <v>0</v>
      </c>
      <c r="BE107" s="1491">
        <f ca="1">BE106</f>
        <v>0</v>
      </c>
      <c r="BF107" s="1491">
        <f t="shared" ref="BF107:BL107" ca="1" si="70">BF106</f>
        <v>0</v>
      </c>
      <c r="BG107" s="1491">
        <f t="shared" ca="1" si="70"/>
        <v>0</v>
      </c>
      <c r="BH107" s="1491">
        <f t="shared" ca="1" si="70"/>
        <v>0</v>
      </c>
      <c r="BI107" s="1491">
        <f t="shared" ca="1" si="70"/>
        <v>0</v>
      </c>
      <c r="BJ107" s="1491">
        <f t="shared" ca="1" si="70"/>
        <v>0</v>
      </c>
      <c r="BK107" s="1491">
        <f t="shared" ca="1" si="70"/>
        <v>0</v>
      </c>
      <c r="BL107" s="1491">
        <f t="shared" ca="1" si="70"/>
        <v>-39.595278246205709</v>
      </c>
      <c r="BN107" s="1492"/>
      <c r="BO107" s="1492"/>
      <c r="BP107" s="1492"/>
      <c r="BR107" s="3168">
        <f ca="1">W107+AQ107+BL107+BP107</f>
        <v>0</v>
      </c>
      <c r="BS107" s="1493"/>
      <c r="BT107" s="748"/>
      <c r="BU107" s="1508">
        <v>0</v>
      </c>
      <c r="BV107" s="1508">
        <v>0</v>
      </c>
      <c r="BW107" s="1508">
        <v>0</v>
      </c>
      <c r="BX107" s="1508">
        <v>0</v>
      </c>
      <c r="BY107" s="1508">
        <v>0</v>
      </c>
      <c r="BZ107" s="1508">
        <v>0</v>
      </c>
      <c r="CA107" s="1508">
        <v>0</v>
      </c>
      <c r="CB107" s="1508">
        <v>0</v>
      </c>
      <c r="CC107" s="1508">
        <v>0</v>
      </c>
      <c r="CD107" s="1508">
        <v>0</v>
      </c>
      <c r="CE107" s="1508">
        <v>0</v>
      </c>
      <c r="CF107" s="1508">
        <v>0</v>
      </c>
      <c r="CG107" s="1508">
        <v>0</v>
      </c>
      <c r="CH107" s="1508">
        <v>0</v>
      </c>
      <c r="CI107" s="1508">
        <v>0</v>
      </c>
      <c r="CJ107" s="1508">
        <v>0</v>
      </c>
      <c r="CK107" s="1508">
        <v>0</v>
      </c>
      <c r="CL107" s="1508">
        <v>0</v>
      </c>
      <c r="CM107" s="1508">
        <v>0</v>
      </c>
      <c r="CN107" s="1508">
        <v>0</v>
      </c>
      <c r="CO107" s="1508">
        <v>0</v>
      </c>
      <c r="CP107" s="1508">
        <v>0</v>
      </c>
      <c r="CQ107" s="1508">
        <v>0</v>
      </c>
      <c r="CR107" s="1508">
        <v>0</v>
      </c>
      <c r="CS107" s="1508">
        <v>0</v>
      </c>
      <c r="CT107" s="1508">
        <v>0</v>
      </c>
      <c r="CU107" s="1508">
        <v>0</v>
      </c>
      <c r="CV107" s="1508">
        <v>0</v>
      </c>
      <c r="CW107" s="1508">
        <v>0</v>
      </c>
      <c r="CX107" s="1508">
        <v>0</v>
      </c>
      <c r="CY107" s="1508">
        <v>0</v>
      </c>
      <c r="CZ107" s="1508">
        <v>0</v>
      </c>
      <c r="DA107" s="1508">
        <v>0</v>
      </c>
      <c r="DB107" s="1508">
        <v>0</v>
      </c>
      <c r="DC107" s="1508">
        <v>0</v>
      </c>
      <c r="DD107" s="1508">
        <v>0</v>
      </c>
      <c r="DE107" s="1508">
        <v>-6.9140653412492146</v>
      </c>
      <c r="DF107" s="1508">
        <v>0</v>
      </c>
      <c r="DG107" s="1508">
        <v>0</v>
      </c>
      <c r="DH107" s="1508">
        <v>0</v>
      </c>
      <c r="DI107" s="1508">
        <v>0</v>
      </c>
      <c r="DJ107" s="1508">
        <v>0</v>
      </c>
      <c r="DK107" s="1508">
        <v>0</v>
      </c>
      <c r="DL107" s="1508">
        <v>0</v>
      </c>
      <c r="DN107" s="1509">
        <v>-6.9140653412492146</v>
      </c>
    </row>
    <row r="108" spans="1:118" s="1534" customFormat="1" ht="12.75" hidden="1" customHeight="1" outlineLevel="2" x14ac:dyDescent="0.2">
      <c r="B108" s="1535"/>
      <c r="C108" s="1536"/>
      <c r="D108" s="1537"/>
      <c r="E108" s="1538"/>
      <c r="F108" s="14"/>
      <c r="G108" s="1488"/>
      <c r="H108" s="1488"/>
      <c r="I108" s="1488"/>
      <c r="J108" s="1488"/>
      <c r="K108" s="1488"/>
      <c r="L108" s="1488"/>
      <c r="M108" s="1488"/>
      <c r="N108" s="1488"/>
      <c r="O108" s="1563"/>
      <c r="P108" s="1488"/>
      <c r="Q108" s="1488"/>
      <c r="R108" s="1488"/>
      <c r="S108" s="1488"/>
      <c r="T108" s="1488"/>
      <c r="U108" s="1488"/>
      <c r="V108" s="1488"/>
      <c r="W108" s="1539"/>
      <c r="X108" s="14"/>
      <c r="Y108" s="1490"/>
      <c r="Z108" s="1490"/>
      <c r="AA108" s="1490"/>
      <c r="AB108" s="1490"/>
      <c r="AC108" s="1490"/>
      <c r="AD108" s="1490"/>
      <c r="AE108" s="1490"/>
      <c r="AF108" s="1490"/>
      <c r="AG108" s="1490"/>
      <c r="AH108" s="1490"/>
      <c r="AI108" s="1490"/>
      <c r="AJ108" s="1490"/>
      <c r="AK108" s="1490"/>
      <c r="AL108" s="1490"/>
      <c r="AM108" s="1490"/>
      <c r="AN108" s="1490"/>
      <c r="AO108" s="1490"/>
      <c r="AP108" s="1490"/>
      <c r="AQ108" s="1490"/>
      <c r="AR108" s="14"/>
      <c r="AS108" s="1491"/>
      <c r="AT108" s="1491"/>
      <c r="AU108" s="1491"/>
      <c r="AV108" s="1491"/>
      <c r="AW108" s="1491"/>
      <c r="AX108" s="1491"/>
      <c r="AY108" s="1491"/>
      <c r="AZ108" s="1491"/>
      <c r="BA108" s="1491"/>
      <c r="BB108" s="1491"/>
      <c r="BC108" s="1491"/>
      <c r="BD108" s="1491"/>
      <c r="BE108" s="1491"/>
      <c r="BF108" s="1491"/>
      <c r="BG108" s="1491"/>
      <c r="BH108" s="1491"/>
      <c r="BI108" s="1491"/>
      <c r="BJ108" s="1491"/>
      <c r="BK108" s="1491"/>
      <c r="BL108" s="1491"/>
      <c r="BM108" s="14"/>
      <c r="BN108" s="1492"/>
      <c r="BO108" s="1492"/>
      <c r="BP108" s="1492"/>
      <c r="BQ108" s="14"/>
      <c r="BR108" s="3168"/>
      <c r="BS108" s="1493"/>
      <c r="BU108" s="1508"/>
      <c r="BV108" s="1508"/>
      <c r="BW108" s="1508"/>
      <c r="BX108" s="1508"/>
      <c r="BY108" s="1508"/>
      <c r="BZ108" s="1508"/>
      <c r="CA108" s="1508"/>
      <c r="CB108" s="1508"/>
      <c r="CC108" s="1508"/>
      <c r="CD108" s="1508"/>
      <c r="CE108" s="1508"/>
      <c r="CF108" s="1508"/>
      <c r="CG108" s="1508"/>
      <c r="CH108" s="1508"/>
      <c r="CI108" s="1508"/>
      <c r="CJ108" s="1508"/>
      <c r="CK108" s="1508"/>
      <c r="CL108" s="1508"/>
      <c r="CM108" s="1508"/>
      <c r="CN108" s="1508"/>
      <c r="CO108" s="1508"/>
      <c r="CP108" s="1508"/>
      <c r="CQ108" s="1508"/>
      <c r="CR108" s="1508"/>
      <c r="CS108" s="1508"/>
      <c r="CT108" s="1508"/>
      <c r="CU108" s="1508"/>
      <c r="CV108" s="1508"/>
      <c r="CW108" s="1508"/>
      <c r="CX108" s="1508"/>
      <c r="CY108" s="1508"/>
      <c r="CZ108" s="1508"/>
      <c r="DA108" s="1508"/>
      <c r="DB108" s="1508"/>
      <c r="DC108" s="1508"/>
      <c r="DD108" s="1508"/>
      <c r="DE108" s="1508"/>
      <c r="DF108" s="1508"/>
      <c r="DG108" s="1508"/>
      <c r="DH108" s="1508"/>
      <c r="DI108" s="1508"/>
      <c r="DJ108" s="1508"/>
      <c r="DK108" s="1508"/>
      <c r="DL108" s="1508"/>
      <c r="DN108" s="1509">
        <v>0</v>
      </c>
    </row>
    <row r="109" spans="1:118" s="1578" customFormat="1" ht="12.75" hidden="1" customHeight="1" outlineLevel="2" x14ac:dyDescent="0.2">
      <c r="C109" s="1591"/>
      <c r="D109" s="1566"/>
      <c r="E109" s="1600"/>
      <c r="G109" s="1568"/>
      <c r="H109" s="1568"/>
      <c r="I109" s="1568"/>
      <c r="J109" s="1568"/>
      <c r="K109" s="1568"/>
      <c r="L109" s="1568"/>
      <c r="M109" s="1568"/>
      <c r="N109" s="1568"/>
      <c r="O109" s="1569"/>
      <c r="P109" s="1568"/>
      <c r="Q109" s="1568"/>
      <c r="R109" s="1568"/>
      <c r="S109" s="1568"/>
      <c r="T109" s="1568"/>
      <c r="U109" s="1568"/>
      <c r="V109" s="1568"/>
      <c r="W109" s="1622"/>
      <c r="X109" s="1564"/>
      <c r="Y109" s="1570"/>
      <c r="Z109" s="1570"/>
      <c r="AA109" s="1570"/>
      <c r="AB109" s="1570"/>
      <c r="AC109" s="1570"/>
      <c r="AD109" s="1570"/>
      <c r="AE109" s="1570"/>
      <c r="AF109" s="1570"/>
      <c r="AG109" s="1570"/>
      <c r="AH109" s="1570"/>
      <c r="AI109" s="1570"/>
      <c r="AJ109" s="1570"/>
      <c r="AK109" s="1570"/>
      <c r="AL109" s="1570"/>
      <c r="AM109" s="1570"/>
      <c r="AN109" s="1570"/>
      <c r="AO109" s="1570"/>
      <c r="AP109" s="1570"/>
      <c r="AQ109" s="1570"/>
      <c r="AR109" s="1564"/>
      <c r="AS109" s="1571"/>
      <c r="AT109" s="1571"/>
      <c r="AU109" s="1571"/>
      <c r="AV109" s="1571"/>
      <c r="AW109" s="1571"/>
      <c r="AX109" s="1571"/>
      <c r="AY109" s="1571"/>
      <c r="AZ109" s="1571"/>
      <c r="BA109" s="1571"/>
      <c r="BB109" s="1571"/>
      <c r="BC109" s="1571"/>
      <c r="BD109" s="1571"/>
      <c r="BE109" s="1571"/>
      <c r="BF109" s="1571"/>
      <c r="BG109" s="1571"/>
      <c r="BH109" s="1571"/>
      <c r="BI109" s="1571"/>
      <c r="BJ109" s="1571"/>
      <c r="BK109" s="1571"/>
      <c r="BL109" s="1571"/>
      <c r="BM109" s="1564"/>
      <c r="BN109" s="1572"/>
      <c r="BO109" s="1572"/>
      <c r="BP109" s="1572"/>
      <c r="BR109" s="3168"/>
      <c r="BS109" s="1579"/>
      <c r="BU109" s="1595"/>
      <c r="BV109" s="1595"/>
      <c r="BW109" s="1595"/>
      <c r="BX109" s="1595"/>
      <c r="BY109" s="1595"/>
      <c r="BZ109" s="1595"/>
      <c r="CA109" s="1595"/>
      <c r="CB109" s="1595"/>
      <c r="CC109" s="1595"/>
      <c r="CD109" s="1595"/>
      <c r="CE109" s="1595"/>
      <c r="CF109" s="1595"/>
      <c r="CG109" s="1595"/>
      <c r="CH109" s="1595"/>
      <c r="CI109" s="1595"/>
      <c r="CJ109" s="1595"/>
      <c r="CK109" s="1595"/>
      <c r="CL109" s="1595"/>
      <c r="CM109" s="1595"/>
      <c r="CN109" s="1595"/>
      <c r="CO109" s="1595"/>
      <c r="CP109" s="1595"/>
      <c r="CQ109" s="1595"/>
      <c r="CR109" s="1595"/>
      <c r="CS109" s="1595"/>
      <c r="CT109" s="1595"/>
      <c r="CU109" s="1595"/>
      <c r="CV109" s="1595"/>
      <c r="CW109" s="1595"/>
      <c r="CX109" s="1595"/>
      <c r="CY109" s="1595"/>
      <c r="CZ109" s="1595"/>
      <c r="DA109" s="1595"/>
      <c r="DB109" s="1595"/>
      <c r="DC109" s="1595"/>
      <c r="DD109" s="1595"/>
      <c r="DE109" s="1595"/>
      <c r="DF109" s="1595"/>
      <c r="DG109" s="1595"/>
      <c r="DH109" s="1595"/>
      <c r="DI109" s="1595"/>
      <c r="DJ109" s="1595"/>
      <c r="DK109" s="1595"/>
      <c r="DL109" s="1595"/>
      <c r="DN109" s="1509">
        <v>0</v>
      </c>
    </row>
    <row r="110" spans="1:118" s="1522" customFormat="1" ht="12.75" hidden="1" customHeight="1" outlineLevel="2" x14ac:dyDescent="0.2">
      <c r="B110" s="1623"/>
      <c r="C110" s="1577"/>
      <c r="D110" s="1497"/>
      <c r="E110" s="1497"/>
      <c r="F110" s="14"/>
      <c r="G110" s="1583"/>
      <c r="H110" s="1583"/>
      <c r="I110" s="1583"/>
      <c r="J110" s="1583"/>
      <c r="K110" s="1583"/>
      <c r="L110" s="1583"/>
      <c r="M110" s="1583"/>
      <c r="N110" s="1583"/>
      <c r="O110" s="1624"/>
      <c r="P110" s="1583"/>
      <c r="Q110" s="1583"/>
      <c r="R110" s="1583"/>
      <c r="S110" s="1583"/>
      <c r="T110" s="1583"/>
      <c r="U110" s="1583"/>
      <c r="V110" s="1583"/>
      <c r="W110" s="1625"/>
      <c r="X110" s="14"/>
      <c r="Y110" s="1585"/>
      <c r="Z110" s="1585"/>
      <c r="AA110" s="1585"/>
      <c r="AB110" s="1585"/>
      <c r="AC110" s="1585"/>
      <c r="AD110" s="1585"/>
      <c r="AE110" s="1585"/>
      <c r="AF110" s="1585"/>
      <c r="AG110" s="1585"/>
      <c r="AH110" s="1585"/>
      <c r="AI110" s="1585"/>
      <c r="AJ110" s="1585"/>
      <c r="AK110" s="1585"/>
      <c r="AL110" s="1585"/>
      <c r="AM110" s="1585"/>
      <c r="AN110" s="1585"/>
      <c r="AO110" s="1585"/>
      <c r="AP110" s="1585"/>
      <c r="AQ110" s="1585"/>
      <c r="AR110" s="14"/>
      <c r="AS110" s="1524"/>
      <c r="AT110" s="1524"/>
      <c r="AU110" s="1524"/>
      <c r="AV110" s="1524"/>
      <c r="AW110" s="1524"/>
      <c r="AX110" s="1524"/>
      <c r="AY110" s="1524"/>
      <c r="AZ110" s="1524"/>
      <c r="BA110" s="1524"/>
      <c r="BB110" s="1524"/>
      <c r="BC110" s="1524"/>
      <c r="BD110" s="1524"/>
      <c r="BE110" s="1524"/>
      <c r="BF110" s="1524"/>
      <c r="BG110" s="1524"/>
      <c r="BH110" s="1524"/>
      <c r="BI110" s="1524"/>
      <c r="BJ110" s="1524"/>
      <c r="BK110" s="1524"/>
      <c r="BL110" s="1524"/>
      <c r="BM110" s="14"/>
      <c r="BN110" s="1588"/>
      <c r="BO110" s="1588"/>
      <c r="BP110" s="1588"/>
      <c r="BQ110" s="14"/>
      <c r="BR110" s="3168"/>
      <c r="BS110" s="1525"/>
      <c r="BU110" s="1507">
        <v>0</v>
      </c>
      <c r="BV110" s="1508">
        <v>0</v>
      </c>
      <c r="BW110" s="1508">
        <v>0</v>
      </c>
      <c r="BX110" s="1508">
        <v>0</v>
      </c>
      <c r="BY110" s="1508">
        <v>0</v>
      </c>
      <c r="BZ110" s="1508">
        <v>4.3706513640884639</v>
      </c>
      <c r="CA110" s="1508">
        <v>0</v>
      </c>
      <c r="CB110" s="1508">
        <v>0</v>
      </c>
      <c r="CC110" s="1508">
        <v>0</v>
      </c>
      <c r="CD110" s="1508">
        <v>0</v>
      </c>
      <c r="CE110" s="1508">
        <v>0</v>
      </c>
      <c r="CF110" s="1508">
        <v>0</v>
      </c>
      <c r="CG110" s="1508">
        <v>0</v>
      </c>
      <c r="CH110" s="1508">
        <v>0</v>
      </c>
      <c r="CI110" s="1508">
        <v>0</v>
      </c>
      <c r="CJ110" s="1508">
        <v>0</v>
      </c>
      <c r="CK110" s="1508">
        <v>0</v>
      </c>
      <c r="CL110" s="1508">
        <v>0</v>
      </c>
      <c r="CM110" s="1508">
        <v>0</v>
      </c>
      <c r="CN110" s="1508">
        <v>0</v>
      </c>
      <c r="CO110" s="1508">
        <v>0</v>
      </c>
      <c r="CP110" s="1508">
        <v>0</v>
      </c>
      <c r="CQ110" s="1508">
        <v>0</v>
      </c>
      <c r="CR110" s="1508">
        <v>0</v>
      </c>
      <c r="CS110" s="1508">
        <v>0</v>
      </c>
      <c r="CT110" s="1508">
        <v>0</v>
      </c>
      <c r="CU110" s="1508">
        <v>0</v>
      </c>
      <c r="CV110" s="1508">
        <v>0</v>
      </c>
      <c r="CW110" s="1508">
        <v>0</v>
      </c>
      <c r="CX110" s="1508">
        <v>0</v>
      </c>
      <c r="CY110" s="1508">
        <v>0</v>
      </c>
      <c r="CZ110" s="1508">
        <v>0</v>
      </c>
      <c r="DA110" s="1508">
        <v>0</v>
      </c>
      <c r="DB110" s="1508">
        <v>0</v>
      </c>
      <c r="DC110" s="1508">
        <v>0</v>
      </c>
      <c r="DD110" s="1508">
        <v>0</v>
      </c>
      <c r="DE110" s="1508">
        <v>0</v>
      </c>
      <c r="DF110" s="1508">
        <v>0</v>
      </c>
      <c r="DG110" s="1508">
        <v>0</v>
      </c>
      <c r="DH110" s="1508">
        <v>0</v>
      </c>
      <c r="DI110" s="1508">
        <v>0</v>
      </c>
      <c r="DJ110" s="1508">
        <v>0</v>
      </c>
      <c r="DK110" s="1508">
        <v>0</v>
      </c>
      <c r="DL110" s="1508">
        <v>0</v>
      </c>
      <c r="DN110" s="1509">
        <v>4.3706513640884639</v>
      </c>
    </row>
    <row r="111" spans="1:118" s="1522" customFormat="1" ht="12.75" hidden="1" customHeight="1" outlineLevel="2" x14ac:dyDescent="0.2">
      <c r="B111" s="1623" t="s">
        <v>816</v>
      </c>
      <c r="C111" s="1577"/>
      <c r="D111" s="1526"/>
      <c r="E111" s="1526"/>
      <c r="F111" s="14"/>
      <c r="G111" s="1626"/>
      <c r="H111" s="1626"/>
      <c r="I111" s="1626"/>
      <c r="J111" s="1626"/>
      <c r="K111" s="1626"/>
      <c r="L111" s="1626"/>
      <c r="M111" s="1626"/>
      <c r="N111" s="1626"/>
      <c r="O111" s="1627"/>
      <c r="P111" s="1626"/>
      <c r="Q111" s="1626"/>
      <c r="R111" s="1626"/>
      <c r="S111" s="1626"/>
      <c r="T111" s="1626"/>
      <c r="U111" s="1626"/>
      <c r="V111" s="1626"/>
      <c r="W111" s="1628"/>
      <c r="X111" s="14"/>
      <c r="Y111" s="1629"/>
      <c r="Z111" s="1629"/>
      <c r="AA111" s="1629"/>
      <c r="AB111" s="1629"/>
      <c r="AC111" s="1629"/>
      <c r="AD111" s="1629"/>
      <c r="AE111" s="1629"/>
      <c r="AF111" s="1629"/>
      <c r="AG111" s="1629"/>
      <c r="AH111" s="1629"/>
      <c r="AI111" s="1629"/>
      <c r="AJ111" s="1629"/>
      <c r="AK111" s="1629"/>
      <c r="AL111" s="1629"/>
      <c r="AM111" s="1629"/>
      <c r="AN111" s="1629"/>
      <c r="AO111" s="1629"/>
      <c r="AP111" s="1629"/>
      <c r="AQ111" s="1629"/>
      <c r="AR111" s="14"/>
      <c r="AS111" s="1530"/>
      <c r="AT111" s="1530"/>
      <c r="AU111" s="1530"/>
      <c r="AV111" s="1530"/>
      <c r="AW111" s="1530"/>
      <c r="AX111" s="1530"/>
      <c r="AY111" s="1530"/>
      <c r="AZ111" s="1530"/>
      <c r="BA111" s="1530"/>
      <c r="BB111" s="1530"/>
      <c r="BC111" s="1530"/>
      <c r="BD111" s="1530"/>
      <c r="BE111" s="1530"/>
      <c r="BF111" s="1530"/>
      <c r="BG111" s="1530"/>
      <c r="BH111" s="1530"/>
      <c r="BI111" s="1530"/>
      <c r="BJ111" s="1530"/>
      <c r="BK111" s="1530"/>
      <c r="BL111" s="1530"/>
      <c r="BM111" s="14"/>
      <c r="BN111" s="1630"/>
      <c r="BO111" s="1630"/>
      <c r="BP111" s="1630"/>
      <c r="BQ111" s="14"/>
      <c r="BR111" s="3168"/>
      <c r="BS111" s="1525"/>
      <c r="BU111" s="1532">
        <v>0</v>
      </c>
      <c r="BV111" s="1533">
        <v>0</v>
      </c>
      <c r="BW111" s="1533">
        <v>0</v>
      </c>
      <c r="BX111" s="1533">
        <v>0</v>
      </c>
      <c r="BY111" s="1533">
        <v>0</v>
      </c>
      <c r="BZ111" s="1533">
        <v>0</v>
      </c>
      <c r="CA111" s="1533">
        <v>0</v>
      </c>
      <c r="CB111" s="1533">
        <v>0</v>
      </c>
      <c r="CC111" s="1533">
        <v>0</v>
      </c>
      <c r="CD111" s="1533">
        <v>0</v>
      </c>
      <c r="CE111" s="1533">
        <v>0</v>
      </c>
      <c r="CF111" s="1533">
        <v>0</v>
      </c>
      <c r="CG111" s="1533">
        <v>0</v>
      </c>
      <c r="CH111" s="1533">
        <v>0</v>
      </c>
      <c r="CI111" s="1533">
        <v>0</v>
      </c>
      <c r="CJ111" s="1533">
        <v>0</v>
      </c>
      <c r="CK111" s="1533">
        <v>0</v>
      </c>
      <c r="CL111" s="1533">
        <v>0</v>
      </c>
      <c r="CM111" s="1533">
        <v>0</v>
      </c>
      <c r="CN111" s="1533">
        <v>0</v>
      </c>
      <c r="CO111" s="1533">
        <v>0</v>
      </c>
      <c r="CP111" s="1533">
        <v>0</v>
      </c>
      <c r="CQ111" s="1533">
        <v>0</v>
      </c>
      <c r="CR111" s="1533">
        <v>0</v>
      </c>
      <c r="CS111" s="1533">
        <v>0</v>
      </c>
      <c r="CT111" s="1533">
        <v>0</v>
      </c>
      <c r="CU111" s="1533">
        <v>0</v>
      </c>
      <c r="CV111" s="1533">
        <v>0</v>
      </c>
      <c r="CW111" s="1533">
        <v>0</v>
      </c>
      <c r="CX111" s="1533">
        <v>0</v>
      </c>
      <c r="CY111" s="1533">
        <v>0</v>
      </c>
      <c r="CZ111" s="1533">
        <v>0</v>
      </c>
      <c r="DA111" s="1533">
        <v>0</v>
      </c>
      <c r="DB111" s="1533">
        <v>0</v>
      </c>
      <c r="DC111" s="1533">
        <v>0</v>
      </c>
      <c r="DD111" s="1533">
        <v>0</v>
      </c>
      <c r="DE111" s="1533">
        <v>0</v>
      </c>
      <c r="DF111" s="1533">
        <v>0</v>
      </c>
      <c r="DG111" s="1533">
        <v>0</v>
      </c>
      <c r="DH111" s="1533">
        <v>0</v>
      </c>
      <c r="DI111" s="1533">
        <v>0</v>
      </c>
      <c r="DJ111" s="1533">
        <v>0</v>
      </c>
      <c r="DK111" s="1533">
        <v>0</v>
      </c>
      <c r="DL111" s="1533">
        <v>0</v>
      </c>
      <c r="DN111" s="1509">
        <v>0</v>
      </c>
    </row>
    <row r="112" spans="1:118" s="14" customFormat="1" ht="15.75" outlineLevel="1" collapsed="1" x14ac:dyDescent="0.2">
      <c r="B112" s="1535" t="s">
        <v>816</v>
      </c>
      <c r="C112" s="1552"/>
      <c r="D112" s="1537"/>
      <c r="E112" s="1430"/>
      <c r="G112" s="1539"/>
      <c r="H112" s="1539"/>
      <c r="I112" s="1539"/>
      <c r="J112" s="1539"/>
      <c r="K112" s="1539"/>
      <c r="L112" s="1539"/>
      <c r="M112" s="1539"/>
      <c r="N112" s="1539"/>
      <c r="O112" s="1539"/>
      <c r="P112" s="1539"/>
      <c r="Q112" s="1539"/>
      <c r="R112" s="1539"/>
      <c r="S112" s="1539"/>
      <c r="T112" s="1539"/>
      <c r="U112" s="1539"/>
      <c r="V112" s="1539"/>
      <c r="W112" s="1539"/>
      <c r="Y112" s="1490"/>
      <c r="Z112" s="1490"/>
      <c r="AA112" s="1490"/>
      <c r="AB112" s="1490"/>
      <c r="AC112" s="1490"/>
      <c r="AD112" s="1490"/>
      <c r="AE112" s="1490"/>
      <c r="AF112" s="1490"/>
      <c r="AG112" s="1490"/>
      <c r="AH112" s="1490"/>
      <c r="AI112" s="1490"/>
      <c r="AJ112" s="1490"/>
      <c r="AK112" s="1490"/>
      <c r="AL112" s="1490"/>
      <c r="AM112" s="1490"/>
      <c r="AN112" s="1490"/>
      <c r="AO112" s="1490"/>
      <c r="AP112" s="1490"/>
      <c r="AQ112" s="1490"/>
      <c r="AS112" s="1491"/>
      <c r="AT112" s="1491"/>
      <c r="AU112" s="1491"/>
      <c r="AV112" s="1491"/>
      <c r="AW112" s="1491"/>
      <c r="AX112" s="1491"/>
      <c r="AY112" s="1491"/>
      <c r="AZ112" s="1491"/>
      <c r="BA112" s="1491"/>
      <c r="BB112" s="1491"/>
      <c r="BC112" s="1491"/>
      <c r="BD112" s="1491"/>
      <c r="BE112" s="1491"/>
      <c r="BF112" s="1491"/>
      <c r="BG112" s="1491"/>
      <c r="BH112" s="1491"/>
      <c r="BI112" s="1491"/>
      <c r="BJ112" s="1491"/>
      <c r="BK112" s="1491"/>
      <c r="BL112" s="1491"/>
      <c r="BN112" s="1492"/>
      <c r="BO112" s="1492"/>
      <c r="BP112" s="1492"/>
      <c r="BR112" s="3168"/>
      <c r="BS112" s="1493"/>
      <c r="BT112" s="748"/>
      <c r="BU112" s="1508">
        <v>0</v>
      </c>
      <c r="BV112" s="1508">
        <v>0</v>
      </c>
      <c r="BW112" s="1508">
        <v>0</v>
      </c>
      <c r="BX112" s="1508">
        <v>0</v>
      </c>
      <c r="BY112" s="1508">
        <v>0</v>
      </c>
      <c r="BZ112" s="1508">
        <v>4.3706513640884639</v>
      </c>
      <c r="CA112" s="1508">
        <v>0</v>
      </c>
      <c r="CB112" s="1508">
        <v>0</v>
      </c>
      <c r="CC112" s="1508">
        <v>0</v>
      </c>
      <c r="CD112" s="1508">
        <v>0</v>
      </c>
      <c r="CE112" s="1508">
        <v>0</v>
      </c>
      <c r="CF112" s="1508">
        <v>0</v>
      </c>
      <c r="CG112" s="1508">
        <v>0</v>
      </c>
      <c r="CH112" s="1508">
        <v>0</v>
      </c>
      <c r="CI112" s="1508">
        <v>0</v>
      </c>
      <c r="CJ112" s="1508">
        <v>0</v>
      </c>
      <c r="CK112" s="1508">
        <v>0</v>
      </c>
      <c r="CL112" s="1508">
        <v>0</v>
      </c>
      <c r="CM112" s="1508">
        <v>0</v>
      </c>
      <c r="CN112" s="1508">
        <v>0</v>
      </c>
      <c r="CO112" s="1508">
        <v>0</v>
      </c>
      <c r="CP112" s="1508">
        <v>0</v>
      </c>
      <c r="CQ112" s="1508">
        <v>0</v>
      </c>
      <c r="CR112" s="1508">
        <v>0</v>
      </c>
      <c r="CS112" s="1508">
        <v>0</v>
      </c>
      <c r="CT112" s="1508">
        <v>0</v>
      </c>
      <c r="CU112" s="1508">
        <v>0</v>
      </c>
      <c r="CV112" s="1508">
        <v>0</v>
      </c>
      <c r="CW112" s="1508">
        <v>0</v>
      </c>
      <c r="CX112" s="1508">
        <v>0</v>
      </c>
      <c r="CY112" s="1508">
        <v>0</v>
      </c>
      <c r="CZ112" s="1508">
        <v>0</v>
      </c>
      <c r="DA112" s="1508">
        <v>0</v>
      </c>
      <c r="DB112" s="1508">
        <v>0</v>
      </c>
      <c r="DC112" s="1508">
        <v>0</v>
      </c>
      <c r="DD112" s="1508">
        <v>0</v>
      </c>
      <c r="DE112" s="1508">
        <v>0</v>
      </c>
      <c r="DF112" s="1508">
        <v>0</v>
      </c>
      <c r="DG112" s="1508">
        <v>0</v>
      </c>
      <c r="DH112" s="1508">
        <v>0</v>
      </c>
      <c r="DI112" s="1508">
        <v>0</v>
      </c>
      <c r="DJ112" s="1508">
        <v>0</v>
      </c>
      <c r="DK112" s="1508">
        <v>0</v>
      </c>
      <c r="DL112" s="1508">
        <v>0</v>
      </c>
      <c r="DN112" s="1509">
        <v>4.3706513640884639</v>
      </c>
    </row>
    <row r="113" spans="2:118" s="14" customFormat="1" ht="6" customHeight="1" outlineLevel="1" x14ac:dyDescent="0.2">
      <c r="C113" s="1429"/>
      <c r="D113" s="1430"/>
      <c r="E113" s="1430"/>
      <c r="G113" s="1488"/>
      <c r="H113" s="1488"/>
      <c r="I113" s="1488"/>
      <c r="J113" s="1488"/>
      <c r="K113" s="1488"/>
      <c r="L113" s="1488"/>
      <c r="M113" s="1488"/>
      <c r="N113" s="1488"/>
      <c r="O113" s="1563"/>
      <c r="P113" s="1488"/>
      <c r="Q113" s="1488"/>
      <c r="R113" s="1488"/>
      <c r="S113" s="1488"/>
      <c r="T113" s="1488"/>
      <c r="U113" s="1488"/>
      <c r="V113" s="1488"/>
      <c r="W113" s="1488"/>
      <c r="Y113" s="1490"/>
      <c r="Z113" s="1490"/>
      <c r="AA113" s="1490"/>
      <c r="AB113" s="1490"/>
      <c r="AC113" s="1490"/>
      <c r="AD113" s="1490"/>
      <c r="AE113" s="1490"/>
      <c r="AF113" s="1490"/>
      <c r="AG113" s="1490"/>
      <c r="AH113" s="1490"/>
      <c r="AI113" s="1490"/>
      <c r="AJ113" s="1490"/>
      <c r="AK113" s="1490"/>
      <c r="AL113" s="1490"/>
      <c r="AM113" s="1490"/>
      <c r="AN113" s="1490"/>
      <c r="AO113" s="1490"/>
      <c r="AP113" s="1490"/>
      <c r="AQ113" s="1490"/>
      <c r="AS113" s="1491"/>
      <c r="AT113" s="1491"/>
      <c r="AU113" s="1491"/>
      <c r="AV113" s="1491"/>
      <c r="AW113" s="1491"/>
      <c r="AX113" s="1491"/>
      <c r="AY113" s="1491"/>
      <c r="AZ113" s="1491"/>
      <c r="BA113" s="1491"/>
      <c r="BB113" s="1491"/>
      <c r="BC113" s="1491"/>
      <c r="BD113" s="1491"/>
      <c r="BE113" s="1491"/>
      <c r="BF113" s="1491"/>
      <c r="BG113" s="1491"/>
      <c r="BH113" s="1491"/>
      <c r="BI113" s="1491"/>
      <c r="BJ113" s="1491"/>
      <c r="BK113" s="1491"/>
      <c r="BL113" s="1491"/>
      <c r="BN113" s="1492"/>
      <c r="BO113" s="1492"/>
      <c r="BP113" s="1492"/>
      <c r="BR113" s="3168"/>
      <c r="BS113" s="1493"/>
      <c r="BU113" s="1508"/>
      <c r="BV113" s="1508"/>
      <c r="BW113" s="1508"/>
      <c r="BX113" s="1508"/>
      <c r="BY113" s="1508"/>
      <c r="BZ113" s="1508"/>
      <c r="CA113" s="1508"/>
      <c r="CB113" s="1508"/>
      <c r="CC113" s="1508"/>
      <c r="CD113" s="1508"/>
      <c r="CE113" s="1508"/>
      <c r="CF113" s="1508"/>
      <c r="CG113" s="1508"/>
      <c r="CH113" s="1508"/>
      <c r="CI113" s="1508"/>
      <c r="CJ113" s="1508"/>
      <c r="CK113" s="1508"/>
      <c r="CL113" s="1508"/>
      <c r="CM113" s="1508"/>
      <c r="CN113" s="1508"/>
      <c r="CO113" s="1508"/>
      <c r="CP113" s="1508"/>
      <c r="CQ113" s="1508"/>
      <c r="CR113" s="1508"/>
      <c r="CS113" s="1508"/>
      <c r="CT113" s="1508"/>
      <c r="CU113" s="1508"/>
      <c r="CV113" s="1508"/>
      <c r="CW113" s="1508"/>
      <c r="CX113" s="1508"/>
      <c r="CY113" s="1508"/>
      <c r="CZ113" s="1508"/>
      <c r="DA113" s="1508"/>
      <c r="DB113" s="1508"/>
      <c r="DC113" s="1508"/>
      <c r="DD113" s="1508"/>
      <c r="DE113" s="1508"/>
      <c r="DF113" s="1508"/>
      <c r="DG113" s="1508"/>
      <c r="DH113" s="1508"/>
      <c r="DI113" s="1508"/>
      <c r="DJ113" s="1508"/>
      <c r="DK113" s="1508"/>
      <c r="DL113" s="1508"/>
      <c r="DN113" s="1509"/>
    </row>
    <row r="114" spans="2:118" s="14" customFormat="1" ht="13.5" thickBot="1" x14ac:dyDescent="0.25">
      <c r="C114" s="1429"/>
      <c r="D114" s="1430"/>
      <c r="E114" s="1430"/>
      <c r="G114" s="1488"/>
      <c r="H114" s="1488"/>
      <c r="I114" s="1488"/>
      <c r="J114" s="1488"/>
      <c r="K114" s="1488"/>
      <c r="L114" s="1488"/>
      <c r="M114" s="1488"/>
      <c r="N114" s="1488"/>
      <c r="O114" s="1563"/>
      <c r="P114" s="1488"/>
      <c r="Q114" s="1488"/>
      <c r="R114" s="1488"/>
      <c r="S114" s="1488"/>
      <c r="T114" s="1488"/>
      <c r="U114" s="1488"/>
      <c r="V114" s="1488"/>
      <c r="W114" s="1488"/>
      <c r="Y114" s="1490"/>
      <c r="Z114" s="1490"/>
      <c r="AA114" s="1490"/>
      <c r="AB114" s="1490"/>
      <c r="AC114" s="1490"/>
      <c r="AD114" s="1490"/>
      <c r="AE114" s="1490"/>
      <c r="AF114" s="1490"/>
      <c r="AG114" s="1490"/>
      <c r="AH114" s="1490"/>
      <c r="AI114" s="1490"/>
      <c r="AJ114" s="1490"/>
      <c r="AK114" s="1490"/>
      <c r="AL114" s="1490"/>
      <c r="AM114" s="1490"/>
      <c r="AN114" s="1490"/>
      <c r="AO114" s="1490"/>
      <c r="AP114" s="1490"/>
      <c r="AQ114" s="1490"/>
      <c r="AS114" s="1491"/>
      <c r="AT114" s="1491"/>
      <c r="AU114" s="1491"/>
      <c r="AV114" s="1491"/>
      <c r="AW114" s="1491"/>
      <c r="AX114" s="1491"/>
      <c r="AY114" s="1491"/>
      <c r="AZ114" s="1491"/>
      <c r="BA114" s="1491"/>
      <c r="BB114" s="1491"/>
      <c r="BC114" s="1491"/>
      <c r="BD114" s="1491"/>
      <c r="BE114" s="1491"/>
      <c r="BF114" s="1491"/>
      <c r="BG114" s="1491"/>
      <c r="BH114" s="1491"/>
      <c r="BI114" s="1491"/>
      <c r="BJ114" s="1491"/>
      <c r="BK114" s="1491"/>
      <c r="BL114" s="1491"/>
      <c r="BN114" s="1492"/>
      <c r="BO114" s="1492"/>
      <c r="BP114" s="1492"/>
      <c r="BR114" s="3168"/>
      <c r="BS114" s="1493"/>
      <c r="BU114" s="1508"/>
      <c r="BV114" s="1508"/>
      <c r="BW114" s="1508"/>
      <c r="BX114" s="1508"/>
      <c r="BY114" s="1508"/>
      <c r="BZ114" s="1508"/>
      <c r="CA114" s="1508"/>
      <c r="CB114" s="1508"/>
      <c r="CC114" s="1508"/>
      <c r="CD114" s="1508"/>
      <c r="CE114" s="1508"/>
      <c r="CF114" s="1508"/>
      <c r="CG114" s="1508"/>
      <c r="CH114" s="1508"/>
      <c r="CI114" s="1508"/>
      <c r="CJ114" s="1508"/>
      <c r="CK114" s="1508"/>
      <c r="CL114" s="1508"/>
      <c r="CM114" s="1508"/>
      <c r="CN114" s="1508"/>
      <c r="CO114" s="1508"/>
      <c r="CP114" s="1508"/>
      <c r="CQ114" s="1508"/>
      <c r="CR114" s="1508"/>
      <c r="CS114" s="1508"/>
      <c r="CT114" s="1508"/>
      <c r="CU114" s="1508"/>
      <c r="CV114" s="1508"/>
      <c r="CW114" s="1508"/>
      <c r="CX114" s="1508"/>
      <c r="CY114" s="1508"/>
      <c r="CZ114" s="1508"/>
      <c r="DA114" s="1508"/>
      <c r="DB114" s="1508"/>
      <c r="DC114" s="1508"/>
      <c r="DD114" s="1508"/>
      <c r="DE114" s="1508"/>
      <c r="DF114" s="1508"/>
      <c r="DG114" s="1508"/>
      <c r="DH114" s="1508"/>
      <c r="DI114" s="1508"/>
      <c r="DJ114" s="1508"/>
      <c r="DK114" s="1508"/>
      <c r="DL114" s="1508"/>
      <c r="DN114" s="1509"/>
    </row>
    <row r="115" spans="2:118" s="14" customFormat="1" ht="24" customHeight="1" thickBot="1" x14ac:dyDescent="0.25">
      <c r="C115" s="1631" t="s">
        <v>869</v>
      </c>
      <c r="D115" s="1631"/>
      <c r="E115" s="1631"/>
      <c r="G115" s="1632">
        <f t="shared" ref="G115:V115" ca="1" si="71">G36+G92</f>
        <v>92.608642449977623</v>
      </c>
      <c r="H115" s="1632">
        <f t="shared" ca="1" si="71"/>
        <v>18.149057829896936</v>
      </c>
      <c r="I115" s="1632">
        <f t="shared" ca="1" si="71"/>
        <v>7.8601164460241479</v>
      </c>
      <c r="J115" s="1632">
        <f t="shared" ca="1" si="71"/>
        <v>26.208857045506825</v>
      </c>
      <c r="K115" s="1632">
        <f t="shared" ca="1" si="71"/>
        <v>11.607704346123256</v>
      </c>
      <c r="L115" s="1632">
        <f t="shared" ca="1" si="71"/>
        <v>22.714970771527163</v>
      </c>
      <c r="M115" s="1632">
        <f t="shared" ca="1" si="71"/>
        <v>282.57731267178247</v>
      </c>
      <c r="N115" s="1632">
        <f t="shared" ca="1" si="71"/>
        <v>85.289096073503785</v>
      </c>
      <c r="O115" s="1632">
        <f t="shared" ca="1" si="71"/>
        <v>51.51391648078021</v>
      </c>
      <c r="P115" s="1632">
        <f t="shared" ca="1" si="71"/>
        <v>0.61399268455243872</v>
      </c>
      <c r="Q115" s="1632">
        <f t="shared" ca="1" si="71"/>
        <v>0.12275791095265887</v>
      </c>
      <c r="R115" s="1632">
        <f t="shared" ca="1" si="71"/>
        <v>33.490878768279792</v>
      </c>
      <c r="S115" s="1632">
        <f t="shared" ca="1" si="71"/>
        <v>12.475499139011452</v>
      </c>
      <c r="T115" s="1632">
        <f t="shared" ca="1" si="71"/>
        <v>14.141862993647409</v>
      </c>
      <c r="U115" s="1632">
        <f t="shared" ca="1" si="71"/>
        <v>8.2883472481640463E-3</v>
      </c>
      <c r="V115" s="1632">
        <f t="shared" ca="1" si="71"/>
        <v>0.53715543706052005</v>
      </c>
      <c r="W115" s="1632">
        <f ca="1">W36+W92+W107</f>
        <v>659.92010939587487</v>
      </c>
      <c r="Y115" s="1633">
        <f t="shared" ref="Y115:AQ115" ca="1" si="72">Y92+Y36+Y107</f>
        <v>-162.18836791957614</v>
      </c>
      <c r="Z115" s="1633">
        <f t="shared" ca="1" si="72"/>
        <v>162.18836791957614</v>
      </c>
      <c r="AA115" s="1633">
        <f t="shared" ca="1" si="72"/>
        <v>-230.29484921441994</v>
      </c>
      <c r="AB115" s="1633">
        <f t="shared" ca="1" si="72"/>
        <v>-335.37561387009015</v>
      </c>
      <c r="AC115" s="1633">
        <f t="shared" ca="1" si="72"/>
        <v>-196.29094670538313</v>
      </c>
      <c r="AD115" s="1633">
        <f t="shared" ca="1" si="72"/>
        <v>25.584695004942699</v>
      </c>
      <c r="AE115" s="1633">
        <f t="shared" ca="1" si="72"/>
        <v>3.0761179275455</v>
      </c>
      <c r="AF115" s="1633">
        <f t="shared" ca="1" si="72"/>
        <v>10.934465313717508</v>
      </c>
      <c r="AG115" s="1633">
        <f t="shared" ca="1" si="72"/>
        <v>0</v>
      </c>
      <c r="AH115" s="1633">
        <f t="shared" ca="1" si="72"/>
        <v>0</v>
      </c>
      <c r="AI115" s="1633">
        <f t="shared" ca="1" si="72"/>
        <v>0</v>
      </c>
      <c r="AJ115" s="1633">
        <f t="shared" ca="1" si="72"/>
        <v>0</v>
      </c>
      <c r="AK115" s="1633">
        <f t="shared" ca="1" si="72"/>
        <v>0</v>
      </c>
      <c r="AL115" s="1633">
        <f t="shared" ca="1" si="72"/>
        <v>-13.07292347760443</v>
      </c>
      <c r="AM115" s="1633">
        <f t="shared" ca="1" si="72"/>
        <v>0</v>
      </c>
      <c r="AN115" s="1633">
        <f t="shared" ca="1" si="72"/>
        <v>0</v>
      </c>
      <c r="AO115" s="1633">
        <f t="shared" ca="1" si="72"/>
        <v>0</v>
      </c>
      <c r="AP115" s="1633">
        <f t="shared" ca="1" si="72"/>
        <v>0</v>
      </c>
      <c r="AQ115" s="1633">
        <f t="shared" ca="1" si="72"/>
        <v>-735.43905502129201</v>
      </c>
      <c r="AS115" s="1634">
        <f t="shared" ref="AS115:BL115" ca="1" si="73">AS92+AS36+AS107</f>
        <v>-25.584695004942699</v>
      </c>
      <c r="AT115" s="1634">
        <f t="shared" ca="1" si="73"/>
        <v>-3.0761179275455</v>
      </c>
      <c r="AU115" s="1634">
        <f t="shared" ca="1" si="73"/>
        <v>-10.934465313717508</v>
      </c>
      <c r="AV115" s="1634">
        <f t="shared" ca="1" si="73"/>
        <v>0</v>
      </c>
      <c r="AW115" s="1634">
        <f t="shared" ca="1" si="73"/>
        <v>0</v>
      </c>
      <c r="AX115" s="1634">
        <f t="shared" ca="1" si="73"/>
        <v>0</v>
      </c>
      <c r="AY115" s="1634">
        <f t="shared" ca="1" si="73"/>
        <v>0</v>
      </c>
      <c r="AZ115" s="1634">
        <f t="shared" ca="1" si="73"/>
        <v>0</v>
      </c>
      <c r="BA115" s="1634">
        <f t="shared" ca="1" si="73"/>
        <v>0</v>
      </c>
      <c r="BB115" s="1634">
        <f t="shared" ca="1" si="73"/>
        <v>0</v>
      </c>
      <c r="BC115" s="1634">
        <f t="shared" ca="1" si="73"/>
        <v>-10.827699474223696</v>
      </c>
      <c r="BD115" s="1634">
        <f t="shared" ca="1" si="73"/>
        <v>-6.3555791999999975</v>
      </c>
      <c r="BE115" s="1634">
        <f t="shared" ca="1" si="73"/>
        <v>-8.6483602800000003E-2</v>
      </c>
      <c r="BF115" s="1634">
        <f t="shared" ca="1" si="73"/>
        <v>-0.26768734199999999</v>
      </c>
      <c r="BG115" s="1634">
        <f t="shared" ca="1" si="73"/>
        <v>-0.35064000000000006</v>
      </c>
      <c r="BH115" s="1634">
        <f t="shared" ca="1" si="73"/>
        <v>-29.092162499999997</v>
      </c>
      <c r="BI115" s="1634">
        <f t="shared" ca="1" si="73"/>
        <v>0</v>
      </c>
      <c r="BJ115" s="1634">
        <f t="shared" ca="1" si="73"/>
        <v>0</v>
      </c>
      <c r="BK115" s="1634">
        <f t="shared" ca="1" si="73"/>
        <v>-0.41976165596446158</v>
      </c>
      <c r="BL115" s="1634">
        <f t="shared" ca="1" si="73"/>
        <v>-86.995292021193862</v>
      </c>
      <c r="BN115" s="1635">
        <f ca="1">BN92+BN36+BN107</f>
        <v>156.76394274971875</v>
      </c>
      <c r="BO115" s="1635">
        <f ca="1">BO92+BO36+BO107</f>
        <v>5.7502948968922425</v>
      </c>
      <c r="BP115" s="1635">
        <f ca="1">BP92+BP36+BP107</f>
        <v>162.51423764661098</v>
      </c>
      <c r="BR115" s="3434">
        <f ca="1">BR92+BR36+BR107</f>
        <v>8.8460488933961301E-14</v>
      </c>
      <c r="BS115" s="1486"/>
      <c r="BU115" s="1636">
        <v>509.46720605787289</v>
      </c>
      <c r="BV115" s="1636">
        <v>1.0312102102697414</v>
      </c>
      <c r="BW115" s="1636">
        <v>4.8883498544750488</v>
      </c>
      <c r="BX115" s="1636">
        <v>0</v>
      </c>
      <c r="BY115" s="1636">
        <v>5.0916819860234304</v>
      </c>
      <c r="BZ115" s="1636">
        <v>7.0109643253402414</v>
      </c>
      <c r="CA115" s="1636">
        <v>0</v>
      </c>
      <c r="CB115" s="1636">
        <v>0</v>
      </c>
      <c r="CC115" s="1636">
        <v>14.39565925511863</v>
      </c>
      <c r="CD115" s="1636">
        <v>0.11288744235152412</v>
      </c>
      <c r="CE115" s="1636">
        <v>2.7624692105907238</v>
      </c>
      <c r="CF115" s="1636">
        <v>10.620296151887526</v>
      </c>
      <c r="CG115" s="1636">
        <v>0</v>
      </c>
      <c r="CH115" s="1636">
        <v>0</v>
      </c>
      <c r="CI115" s="1636">
        <v>0</v>
      </c>
      <c r="CJ115" s="1636">
        <v>0</v>
      </c>
      <c r="CK115" s="1636">
        <v>0</v>
      </c>
      <c r="CL115" s="1636">
        <v>20.026732599999995</v>
      </c>
      <c r="CM115" s="1636">
        <v>23.28</v>
      </c>
      <c r="CN115" s="1636">
        <v>0</v>
      </c>
      <c r="CO115" s="1636">
        <v>-1.8247953999999991</v>
      </c>
      <c r="CP115" s="1636">
        <v>0</v>
      </c>
      <c r="CQ115" s="1636">
        <v>0</v>
      </c>
      <c r="CR115" s="1636">
        <v>0</v>
      </c>
      <c r="CS115" s="1636">
        <v>0</v>
      </c>
      <c r="CT115" s="1636">
        <v>21.652248115789206</v>
      </c>
      <c r="CU115" s="1636">
        <v>1.2204197534285715</v>
      </c>
      <c r="CV115" s="1636">
        <v>0</v>
      </c>
      <c r="CW115" s="1636">
        <v>0</v>
      </c>
      <c r="CX115" s="1636">
        <v>0</v>
      </c>
      <c r="CY115" s="1636">
        <v>0</v>
      </c>
      <c r="CZ115" s="1636">
        <v>0</v>
      </c>
      <c r="DA115" s="1636">
        <v>51.739539271814301</v>
      </c>
      <c r="DB115" s="1636">
        <v>6.441552213858226E-2</v>
      </c>
      <c r="DC115" s="1636">
        <v>0.93090033050516818</v>
      </c>
      <c r="DD115" s="1636">
        <v>0</v>
      </c>
      <c r="DE115" s="1636">
        <v>-6.9140653412492146</v>
      </c>
      <c r="DF115" s="1636">
        <v>0</v>
      </c>
      <c r="DG115" s="1636">
        <v>0</v>
      </c>
      <c r="DH115" s="1636">
        <v>0</v>
      </c>
      <c r="DI115" s="1636">
        <v>0</v>
      </c>
      <c r="DJ115" s="1636">
        <v>0</v>
      </c>
      <c r="DK115" s="1636">
        <v>0</v>
      </c>
      <c r="DL115" s="1636">
        <v>0</v>
      </c>
      <c r="DN115" s="1562">
        <v>665.55611934635658</v>
      </c>
    </row>
    <row r="116" spans="2:118" s="14" customFormat="1" x14ac:dyDescent="0.2">
      <c r="C116" s="1429"/>
      <c r="D116" s="1430"/>
      <c r="E116" s="1430"/>
      <c r="G116" s="1637"/>
      <c r="H116" s="1637"/>
      <c r="I116" s="1637"/>
      <c r="J116" s="1637"/>
      <c r="K116" s="1637"/>
      <c r="L116" s="1637"/>
      <c r="M116" s="1637"/>
      <c r="N116" s="1637"/>
      <c r="O116" s="1638"/>
      <c r="P116" s="1637"/>
      <c r="Q116" s="1637"/>
      <c r="R116" s="1637"/>
      <c r="S116" s="1637"/>
      <c r="T116" s="1637"/>
      <c r="U116" s="1637"/>
      <c r="V116" s="1637"/>
      <c r="W116" s="1637"/>
      <c r="Y116" s="1639"/>
      <c r="Z116" s="1639"/>
      <c r="AA116" s="1639"/>
      <c r="AB116" s="1639"/>
      <c r="AC116" s="1639"/>
      <c r="AD116" s="1639"/>
      <c r="AE116" s="1639"/>
      <c r="AF116" s="1639"/>
      <c r="AG116" s="1639"/>
      <c r="AH116" s="1639"/>
      <c r="AI116" s="1639"/>
      <c r="AJ116" s="1639"/>
      <c r="AK116" s="1639"/>
      <c r="AL116" s="1639"/>
      <c r="AM116" s="1639"/>
      <c r="AN116" s="1639"/>
      <c r="AO116" s="1639"/>
      <c r="AP116" s="1639"/>
      <c r="AQ116" s="1639"/>
      <c r="AS116" s="1640"/>
      <c r="AT116" s="1640"/>
      <c r="AU116" s="1640"/>
      <c r="AV116" s="1640"/>
      <c r="AW116" s="1640"/>
      <c r="AX116" s="1640"/>
      <c r="AY116" s="1640"/>
      <c r="AZ116" s="1640"/>
      <c r="BA116" s="1640"/>
      <c r="BB116" s="1640"/>
      <c r="BC116" s="1640"/>
      <c r="BD116" s="1640"/>
      <c r="BE116" s="1640"/>
      <c r="BF116" s="1640"/>
      <c r="BG116" s="1640"/>
      <c r="BH116" s="1640"/>
      <c r="BI116" s="1640"/>
      <c r="BJ116" s="1640"/>
      <c r="BK116" s="1640"/>
      <c r="BL116" s="1640"/>
      <c r="BN116" s="1641"/>
      <c r="BO116" s="1641"/>
      <c r="BP116" s="1641"/>
      <c r="BR116" s="1957"/>
      <c r="BS116" s="1493"/>
      <c r="BU116" s="1642"/>
      <c r="BV116" s="1642"/>
      <c r="BW116" s="1642"/>
      <c r="BX116" s="1642"/>
      <c r="BY116" s="1642"/>
      <c r="BZ116" s="1642"/>
      <c r="CA116" s="1642"/>
      <c r="CB116" s="1642"/>
      <c r="CC116" s="1642"/>
      <c r="CD116" s="1642"/>
      <c r="CE116" s="1642"/>
      <c r="CF116" s="1642"/>
      <c r="CG116" s="1642"/>
      <c r="CH116" s="1642"/>
      <c r="CI116" s="1642"/>
      <c r="CJ116" s="1642"/>
      <c r="CK116" s="1642"/>
      <c r="CL116" s="1642"/>
      <c r="CM116" s="1642"/>
      <c r="CN116" s="1642"/>
      <c r="CO116" s="1642"/>
      <c r="CP116" s="1642"/>
      <c r="CQ116" s="1642"/>
      <c r="CR116" s="1642"/>
      <c r="CS116" s="1642"/>
      <c r="CT116" s="1642"/>
      <c r="CU116" s="1642"/>
      <c r="CV116" s="1642"/>
      <c r="CW116" s="1642"/>
      <c r="CX116" s="1642"/>
      <c r="CY116" s="1642"/>
      <c r="CZ116" s="1642"/>
      <c r="DA116" s="1642"/>
      <c r="DB116" s="1642"/>
      <c r="DC116" s="1642"/>
      <c r="DD116" s="1642"/>
      <c r="DE116" s="1642"/>
      <c r="DF116" s="1642"/>
      <c r="DG116" s="1642"/>
      <c r="DH116" s="1642"/>
      <c r="DI116" s="1642"/>
      <c r="DJ116" s="1642"/>
      <c r="DK116" s="1642"/>
      <c r="DL116" s="1642"/>
    </row>
    <row r="117" spans="2:118" x14ac:dyDescent="0.2">
      <c r="G117" s="1493"/>
      <c r="H117" s="1493"/>
      <c r="I117" s="1493"/>
      <c r="J117" s="1493"/>
      <c r="K117" s="1493"/>
      <c r="L117" s="1493"/>
      <c r="M117" s="1493"/>
      <c r="N117" s="1493"/>
      <c r="O117" s="1643"/>
      <c r="P117" s="1493"/>
      <c r="Q117" s="1493"/>
      <c r="R117" s="1493"/>
      <c r="S117" s="1493"/>
      <c r="T117" s="1493"/>
      <c r="U117" s="1493"/>
      <c r="V117" s="1493"/>
      <c r="W117" s="1493"/>
      <c r="Y117" s="1493"/>
      <c r="Z117" s="1493"/>
      <c r="AA117" s="1493"/>
      <c r="AB117" s="1493"/>
      <c r="AC117" s="1493"/>
      <c r="AD117" s="1493"/>
      <c r="AE117" s="1493"/>
      <c r="AF117" s="1493"/>
      <c r="AG117" s="1493"/>
      <c r="AH117" s="1493"/>
      <c r="AI117" s="1493"/>
      <c r="AJ117" s="1493"/>
      <c r="AK117" s="1493"/>
      <c r="AL117" s="1493"/>
      <c r="AM117" s="1493"/>
      <c r="AN117" s="1493"/>
      <c r="AO117" s="1493"/>
      <c r="AP117" s="1493"/>
      <c r="AQ117" s="1493"/>
      <c r="AS117" s="1493"/>
      <c r="AT117" s="1493"/>
      <c r="AU117" s="1493"/>
      <c r="AV117" s="1493"/>
      <c r="AW117" s="1493"/>
      <c r="AX117" s="1493"/>
      <c r="AY117" s="1493"/>
      <c r="AZ117" s="1493"/>
      <c r="BA117" s="1493"/>
      <c r="BB117" s="1493"/>
      <c r="BC117" s="1493"/>
      <c r="BD117" s="1493"/>
      <c r="BE117" s="1493"/>
      <c r="BF117" s="1493"/>
      <c r="BG117" s="1493"/>
      <c r="BH117" s="1493"/>
      <c r="BI117" s="1493"/>
      <c r="BJ117" s="1493"/>
      <c r="BK117" s="1493"/>
      <c r="BL117" s="1493"/>
      <c r="BN117" s="1493"/>
      <c r="BO117" s="1493"/>
      <c r="BP117" s="1493"/>
      <c r="BR117" s="1957"/>
      <c r="BS117" s="1493"/>
    </row>
    <row r="118" spans="2:118" x14ac:dyDescent="0.2">
      <c r="G118" s="1493"/>
      <c r="H118" s="1493"/>
      <c r="I118" s="1493"/>
      <c r="J118" s="1493"/>
      <c r="K118" s="1493"/>
      <c r="L118" s="1493"/>
      <c r="M118" s="1493"/>
      <c r="N118" s="1493"/>
      <c r="O118" s="1643"/>
      <c r="P118" s="1493"/>
      <c r="Q118" s="1493"/>
      <c r="R118" s="1493"/>
      <c r="S118" s="1493"/>
      <c r="T118" s="1493"/>
      <c r="U118" s="1493"/>
      <c r="V118" s="1493"/>
      <c r="W118" s="1493"/>
      <c r="Y118" s="1493"/>
      <c r="Z118" s="1493"/>
      <c r="AA118" s="1493"/>
      <c r="AB118" s="1493"/>
      <c r="AC118" s="1493"/>
      <c r="AD118" s="1493"/>
      <c r="AE118" s="1493"/>
      <c r="AF118" s="1493"/>
      <c r="AG118" s="1493"/>
      <c r="AH118" s="1493"/>
      <c r="AI118" s="1493"/>
      <c r="AJ118" s="1493"/>
      <c r="AK118" s="1493"/>
      <c r="AL118" s="1493"/>
      <c r="AM118" s="1493"/>
      <c r="AN118" s="1493"/>
      <c r="AO118" s="1493"/>
      <c r="AP118" s="1493"/>
      <c r="AQ118" s="1493"/>
      <c r="AS118" s="1493"/>
      <c r="AT118" s="1493"/>
      <c r="AU118" s="1493"/>
      <c r="AV118" s="1493"/>
      <c r="AW118" s="1493"/>
      <c r="AX118" s="1493"/>
      <c r="AY118" s="1493"/>
      <c r="AZ118" s="1493"/>
      <c r="BA118" s="1493"/>
      <c r="BB118" s="1493"/>
      <c r="BC118" s="1493"/>
      <c r="BD118" s="1493"/>
      <c r="BE118" s="1493"/>
      <c r="BF118" s="1493"/>
      <c r="BG118" s="1493"/>
      <c r="BH118" s="1493"/>
      <c r="BI118" s="1493"/>
      <c r="BJ118" s="1493"/>
      <c r="BK118" s="1493"/>
      <c r="BL118" s="1493"/>
      <c r="BN118" s="1493"/>
      <c r="BO118" s="1493"/>
      <c r="BP118" s="1493"/>
      <c r="BR118" s="1957"/>
      <c r="BS118" s="1493"/>
    </row>
    <row r="119" spans="2:118" ht="15.75" x14ac:dyDescent="0.25">
      <c r="B119" s="456"/>
      <c r="G119" s="1493"/>
      <c r="H119" s="1493"/>
      <c r="I119" s="1493"/>
      <c r="J119" s="1493"/>
      <c r="K119" s="1493"/>
      <c r="L119" s="1493"/>
      <c r="M119" s="1493"/>
      <c r="N119" s="1493"/>
      <c r="O119" s="1643"/>
      <c r="P119" s="1493"/>
      <c r="Q119" s="1493"/>
      <c r="R119" s="1493"/>
      <c r="S119" s="1493"/>
      <c r="T119" s="1493"/>
      <c r="U119" s="1493"/>
      <c r="V119" s="1493"/>
      <c r="W119" s="1493"/>
      <c r="Y119" s="1493"/>
      <c r="Z119" s="1493"/>
      <c r="AA119" s="1493"/>
      <c r="AB119" s="1493"/>
      <c r="AC119" s="1493"/>
      <c r="AD119" s="1493"/>
      <c r="AE119" s="1493"/>
      <c r="AF119" s="1493"/>
      <c r="AG119" s="1493"/>
      <c r="AH119" s="1493"/>
      <c r="AI119" s="1493"/>
      <c r="AJ119" s="1493"/>
      <c r="AK119" s="1493"/>
      <c r="AL119" s="1493"/>
      <c r="AM119" s="1493"/>
      <c r="AN119" s="1493"/>
      <c r="AO119" s="1493"/>
      <c r="AP119" s="1493"/>
      <c r="AQ119" s="1493"/>
      <c r="AS119" s="1493"/>
      <c r="AT119" s="1493"/>
      <c r="AU119" s="1493"/>
      <c r="AV119" s="1493"/>
      <c r="AW119" s="1493"/>
      <c r="AX119" s="1493"/>
      <c r="AY119" s="1493"/>
      <c r="AZ119" s="1493"/>
      <c r="BA119" s="1493"/>
      <c r="BB119" s="1493"/>
      <c r="BC119" s="1493"/>
      <c r="BD119" s="1493"/>
      <c r="BE119" s="1493"/>
      <c r="BF119" s="1493"/>
      <c r="BG119" s="1493"/>
      <c r="BH119" s="1493"/>
      <c r="BI119" s="1493"/>
      <c r="BJ119" s="1493"/>
      <c r="BK119" s="1493"/>
      <c r="BL119" s="1493"/>
      <c r="BN119" s="1493"/>
      <c r="BO119" s="1493"/>
      <c r="BP119" s="1493"/>
      <c r="BR119" s="1957"/>
      <c r="BS119" s="1493"/>
    </row>
    <row r="120" spans="2:118" ht="15.75" x14ac:dyDescent="0.25">
      <c r="B120" s="456"/>
      <c r="G120" s="1493"/>
      <c r="H120" s="1493"/>
      <c r="I120" s="1493"/>
      <c r="J120" s="1493"/>
      <c r="K120" s="1493"/>
      <c r="L120" s="1493"/>
      <c r="M120" s="1493"/>
      <c r="N120" s="1493"/>
      <c r="O120" s="1643"/>
      <c r="P120" s="1493"/>
      <c r="Q120" s="1493"/>
      <c r="R120" s="1493"/>
      <c r="S120" s="1493"/>
      <c r="T120" s="1493"/>
      <c r="U120" s="1493"/>
      <c r="V120" s="1493"/>
      <c r="W120" s="1493"/>
      <c r="Y120" s="1493"/>
      <c r="Z120" s="1493"/>
      <c r="AA120" s="1493"/>
      <c r="AB120" s="1493"/>
      <c r="AC120" s="1493"/>
      <c r="AD120" s="1493"/>
      <c r="AE120" s="1493"/>
      <c r="AF120" s="1493"/>
      <c r="AG120" s="1493"/>
      <c r="AH120" s="1493"/>
      <c r="AI120" s="1493"/>
      <c r="AJ120" s="1493"/>
      <c r="AK120" s="1493"/>
      <c r="AL120" s="1493"/>
      <c r="AM120" s="1493"/>
      <c r="AN120" s="1493"/>
      <c r="AO120" s="1493"/>
      <c r="AP120" s="1493"/>
      <c r="AQ120" s="1493"/>
      <c r="AS120" s="1493"/>
      <c r="AT120" s="1493"/>
      <c r="AU120" s="1493"/>
      <c r="AV120" s="1493"/>
      <c r="AW120" s="1493"/>
      <c r="AX120" s="1493"/>
      <c r="AY120" s="1493"/>
      <c r="AZ120" s="1493"/>
      <c r="BA120" s="1493"/>
      <c r="BB120" s="1493"/>
      <c r="BC120" s="1493"/>
      <c r="BD120" s="1493"/>
      <c r="BE120" s="1493"/>
      <c r="BF120" s="1493"/>
      <c r="BG120" s="1493"/>
      <c r="BH120" s="1493"/>
      <c r="BI120" s="1493"/>
      <c r="BJ120" s="1493"/>
      <c r="BK120" s="1493"/>
      <c r="BL120" s="1493"/>
      <c r="BN120" s="1493"/>
      <c r="BO120" s="1493"/>
      <c r="BP120" s="1493"/>
      <c r="BR120" s="1957"/>
      <c r="BS120" s="1493"/>
    </row>
    <row r="121" spans="2:118" ht="15.75" x14ac:dyDescent="0.25">
      <c r="B121" s="456"/>
      <c r="G121" s="1493"/>
      <c r="H121" s="1493"/>
      <c r="I121" s="1493"/>
      <c r="J121" s="1493"/>
      <c r="K121" s="1493"/>
      <c r="L121" s="1493"/>
      <c r="M121" s="1493"/>
      <c r="N121" s="1493"/>
      <c r="O121" s="1643"/>
      <c r="P121" s="1493"/>
      <c r="Q121" s="1493"/>
      <c r="R121" s="1493"/>
      <c r="S121" s="1493"/>
      <c r="T121" s="1493"/>
      <c r="U121" s="1493"/>
      <c r="V121" s="1493"/>
      <c r="W121" s="1493"/>
      <c r="Y121" s="1493"/>
      <c r="Z121" s="1493"/>
      <c r="AA121" s="1493"/>
      <c r="AB121" s="1493"/>
      <c r="AC121" s="1493"/>
      <c r="AD121" s="1493"/>
      <c r="AE121" s="1493"/>
      <c r="AF121" s="1493"/>
      <c r="AG121" s="1493"/>
      <c r="AH121" s="1493"/>
      <c r="AI121" s="1493"/>
      <c r="AJ121" s="1493"/>
      <c r="AK121" s="1493"/>
      <c r="AL121" s="1493"/>
      <c r="AM121" s="1493"/>
      <c r="AN121" s="1493"/>
      <c r="AO121" s="1493"/>
      <c r="AP121" s="1493"/>
      <c r="AQ121" s="1493"/>
      <c r="AS121" s="1493"/>
      <c r="AT121" s="1493"/>
      <c r="AU121" s="1493"/>
      <c r="AV121" s="1493"/>
      <c r="AW121" s="1493"/>
      <c r="AX121" s="1493"/>
      <c r="AY121" s="1493"/>
      <c r="AZ121" s="1493"/>
      <c r="BA121" s="1493"/>
      <c r="BB121" s="1493"/>
      <c r="BC121" s="1493"/>
      <c r="BD121" s="1493"/>
      <c r="BE121" s="1493"/>
      <c r="BF121" s="1493"/>
      <c r="BG121" s="1493"/>
      <c r="BH121" s="1493"/>
      <c r="BI121" s="1493"/>
      <c r="BJ121" s="1493"/>
      <c r="BK121" s="1493"/>
      <c r="BL121" s="1493"/>
      <c r="BN121" s="1493"/>
      <c r="BO121" s="1493"/>
      <c r="BP121" s="1493"/>
      <c r="BR121" s="1957"/>
      <c r="BS121" s="1493"/>
    </row>
    <row r="122" spans="2:118" ht="15.75" x14ac:dyDescent="0.25">
      <c r="B122" s="456"/>
      <c r="G122" s="1493"/>
      <c r="H122" s="1493"/>
      <c r="I122" s="1493"/>
      <c r="J122" s="1493"/>
      <c r="K122" s="1493"/>
      <c r="L122" s="1493"/>
      <c r="M122" s="1493"/>
      <c r="N122" s="1493"/>
      <c r="O122" s="1643"/>
      <c r="P122" s="1493"/>
      <c r="Q122" s="1493"/>
      <c r="R122" s="1493"/>
      <c r="S122" s="1493"/>
      <c r="T122" s="1493"/>
      <c r="U122" s="1493"/>
      <c r="V122" s="1493"/>
      <c r="W122" s="1493"/>
      <c r="Y122" s="1493"/>
      <c r="Z122" s="1493"/>
      <c r="AA122" s="1493"/>
      <c r="AB122" s="1493"/>
      <c r="AC122" s="1493"/>
      <c r="AD122" s="1493"/>
      <c r="AE122" s="1493"/>
      <c r="AF122" s="1493"/>
      <c r="AG122" s="1493"/>
      <c r="AH122" s="1493"/>
      <c r="AI122" s="1493"/>
      <c r="AJ122" s="1493"/>
      <c r="AK122" s="1493"/>
      <c r="AL122" s="1493"/>
      <c r="AM122" s="1493"/>
      <c r="AN122" s="1493"/>
      <c r="AO122" s="1493"/>
      <c r="AP122" s="1493"/>
      <c r="AQ122" s="1493"/>
      <c r="AS122" s="1493"/>
      <c r="AT122" s="1493"/>
      <c r="AU122" s="1493"/>
      <c r="AV122" s="1493"/>
      <c r="AW122" s="1493"/>
      <c r="AX122" s="1493"/>
      <c r="AY122" s="1493"/>
      <c r="AZ122" s="1493"/>
      <c r="BA122" s="1493"/>
      <c r="BB122" s="1493"/>
      <c r="BC122" s="1493"/>
      <c r="BD122" s="1493"/>
      <c r="BE122" s="1493"/>
      <c r="BF122" s="1493"/>
      <c r="BG122" s="1493"/>
      <c r="BH122" s="1493"/>
      <c r="BI122" s="1493"/>
      <c r="BJ122" s="1493"/>
      <c r="BK122" s="1493"/>
      <c r="BL122" s="1493"/>
      <c r="BN122" s="1493"/>
      <c r="BO122" s="1493"/>
      <c r="BP122" s="1493"/>
      <c r="BR122" s="1957"/>
      <c r="BS122" s="1493"/>
    </row>
    <row r="123" spans="2:118" ht="15.75" x14ac:dyDescent="0.25">
      <c r="B123" s="456"/>
      <c r="G123" s="1493"/>
      <c r="H123" s="1493"/>
      <c r="I123" s="1493"/>
      <c r="J123" s="1493"/>
      <c r="K123" s="1493"/>
      <c r="L123" s="1493"/>
      <c r="M123" s="1493"/>
      <c r="N123" s="1493"/>
      <c r="O123" s="1643"/>
      <c r="P123" s="1493"/>
      <c r="Q123" s="1493"/>
      <c r="R123" s="1493"/>
      <c r="S123" s="1493"/>
      <c r="T123" s="1493"/>
      <c r="U123" s="1493"/>
      <c r="V123" s="1493"/>
      <c r="W123" s="1493"/>
      <c r="Y123" s="1493"/>
      <c r="Z123" s="1493"/>
      <c r="AA123" s="1493"/>
      <c r="AB123" s="1493"/>
      <c r="AC123" s="1493"/>
      <c r="AD123" s="1493"/>
      <c r="AE123" s="1493"/>
      <c r="AF123" s="1493"/>
      <c r="AG123" s="1493"/>
      <c r="AH123" s="1493"/>
      <c r="AI123" s="1493"/>
      <c r="AJ123" s="1493"/>
      <c r="AK123" s="1493"/>
      <c r="AL123" s="1493"/>
      <c r="AM123" s="1493"/>
      <c r="AN123" s="1493"/>
      <c r="AO123" s="1493"/>
      <c r="AP123" s="1493"/>
      <c r="AQ123" s="1493"/>
      <c r="AS123" s="1493"/>
      <c r="AT123" s="1493"/>
      <c r="AU123" s="1493"/>
      <c r="AV123" s="1493"/>
      <c r="AW123" s="1493"/>
      <c r="AX123" s="1493"/>
      <c r="AY123" s="1493"/>
      <c r="AZ123" s="1493"/>
      <c r="BA123" s="1493"/>
      <c r="BB123" s="1493"/>
      <c r="BC123" s="1493"/>
      <c r="BD123" s="1493"/>
      <c r="BE123" s="1493"/>
      <c r="BF123" s="1493"/>
      <c r="BG123" s="1493"/>
      <c r="BH123" s="1493"/>
      <c r="BI123" s="1493"/>
      <c r="BJ123" s="1493"/>
      <c r="BK123" s="1493"/>
      <c r="BL123" s="1493"/>
      <c r="BN123" s="1493"/>
      <c r="BO123" s="1493"/>
      <c r="BP123" s="1493"/>
      <c r="BR123" s="1957"/>
      <c r="BS123" s="1493"/>
    </row>
    <row r="124" spans="2:118" ht="15.75" x14ac:dyDescent="0.25">
      <c r="B124" s="456"/>
      <c r="G124" s="1493"/>
      <c r="H124" s="1493"/>
      <c r="I124" s="1493"/>
      <c r="J124" s="1493"/>
      <c r="K124" s="1493"/>
      <c r="L124" s="1493"/>
      <c r="M124" s="1493"/>
      <c r="N124" s="1493"/>
      <c r="O124" s="1643"/>
      <c r="P124" s="1493"/>
      <c r="Q124" s="1493"/>
      <c r="R124" s="1493"/>
      <c r="S124" s="1493"/>
      <c r="T124" s="1493"/>
      <c r="U124" s="1493"/>
      <c r="V124" s="1493"/>
      <c r="W124" s="1493"/>
      <c r="Y124" s="1493"/>
      <c r="Z124" s="1493"/>
      <c r="AA124" s="1493"/>
      <c r="AB124" s="1493"/>
      <c r="AC124" s="1493"/>
      <c r="AD124" s="1493"/>
      <c r="AE124" s="1493"/>
      <c r="AF124" s="1493"/>
      <c r="AG124" s="1493"/>
      <c r="AH124" s="1493"/>
      <c r="AI124" s="1493"/>
      <c r="AJ124" s="1493"/>
      <c r="AK124" s="1493"/>
      <c r="AL124" s="1493"/>
      <c r="AM124" s="1493"/>
      <c r="AN124" s="1493"/>
      <c r="AO124" s="1493"/>
      <c r="AP124" s="1493"/>
      <c r="AQ124" s="1493"/>
      <c r="AS124" s="1493"/>
      <c r="AT124" s="1493"/>
      <c r="AU124" s="1493"/>
      <c r="AV124" s="1493"/>
      <c r="AW124" s="1493"/>
      <c r="AX124" s="1493"/>
      <c r="AY124" s="1493"/>
      <c r="AZ124" s="1493"/>
      <c r="BA124" s="1493"/>
      <c r="BB124" s="1493"/>
      <c r="BC124" s="1493"/>
      <c r="BD124" s="1493"/>
      <c r="BE124" s="1493"/>
      <c r="BF124" s="1493"/>
      <c r="BG124" s="1493"/>
      <c r="BH124" s="1493"/>
      <c r="BI124" s="1493"/>
      <c r="BJ124" s="1493"/>
      <c r="BK124" s="1493"/>
      <c r="BL124" s="1493"/>
      <c r="BN124" s="1493"/>
      <c r="BO124" s="1493"/>
      <c r="BP124" s="1493"/>
      <c r="BR124" s="1957"/>
      <c r="BS124" s="1493"/>
    </row>
    <row r="125" spans="2:118" x14ac:dyDescent="0.2">
      <c r="G125" s="1493"/>
      <c r="H125" s="1493"/>
      <c r="I125" s="1493"/>
      <c r="J125" s="1493"/>
      <c r="K125" s="1493"/>
      <c r="L125" s="1493"/>
      <c r="M125" s="1493"/>
      <c r="N125" s="1493"/>
      <c r="O125" s="1643"/>
      <c r="P125" s="1493"/>
      <c r="Q125" s="1493"/>
      <c r="R125" s="1493"/>
      <c r="S125" s="1493"/>
      <c r="T125" s="1493"/>
      <c r="U125" s="1493"/>
      <c r="V125" s="1493"/>
      <c r="W125" s="1493"/>
      <c r="Y125" s="1493"/>
      <c r="Z125" s="1493"/>
      <c r="AA125" s="1493"/>
      <c r="AB125" s="1493"/>
      <c r="AC125" s="1493"/>
      <c r="AD125" s="1493"/>
      <c r="AE125" s="1493"/>
      <c r="AF125" s="1493"/>
      <c r="AG125" s="1493"/>
      <c r="AH125" s="1493"/>
      <c r="AI125" s="1493"/>
      <c r="AJ125" s="1493"/>
      <c r="AK125" s="1493"/>
      <c r="AL125" s="1493"/>
      <c r="AM125" s="1493"/>
      <c r="AN125" s="1493"/>
      <c r="AO125" s="1493"/>
      <c r="AP125" s="1493"/>
      <c r="AQ125" s="1493"/>
      <c r="AS125" s="1493"/>
      <c r="AT125" s="1493"/>
      <c r="AU125" s="1493"/>
      <c r="AV125" s="1493"/>
      <c r="AW125" s="1493"/>
      <c r="AX125" s="1493"/>
      <c r="AY125" s="1493"/>
      <c r="AZ125" s="1493"/>
      <c r="BA125" s="1493"/>
      <c r="BB125" s="1493"/>
      <c r="BC125" s="1493"/>
      <c r="BD125" s="1493"/>
      <c r="BE125" s="1493"/>
      <c r="BF125" s="1493"/>
      <c r="BG125" s="1493"/>
      <c r="BH125" s="1493"/>
      <c r="BI125" s="1493"/>
      <c r="BJ125" s="1493"/>
      <c r="BK125" s="1493"/>
      <c r="BL125" s="1493"/>
      <c r="BN125" s="1493"/>
      <c r="BO125" s="1493"/>
      <c r="BP125" s="1493"/>
      <c r="BR125" s="1957"/>
      <c r="BS125" s="1493"/>
    </row>
    <row r="126" spans="2:118" ht="24" customHeight="1" x14ac:dyDescent="0.2">
      <c r="G126" s="1493"/>
      <c r="H126" s="1493"/>
      <c r="I126" s="1493"/>
      <c r="J126" s="1493"/>
      <c r="K126" s="1493"/>
      <c r="L126" s="1493"/>
      <c r="M126" s="1493"/>
      <c r="N126" s="1493"/>
      <c r="O126" s="1643"/>
      <c r="P126" s="1493"/>
      <c r="Q126" s="1493"/>
      <c r="R126" s="1493"/>
      <c r="S126" s="1493"/>
      <c r="T126" s="1493"/>
      <c r="U126" s="1493"/>
      <c r="V126" s="1493"/>
      <c r="W126" s="1493"/>
      <c r="Y126" s="1493"/>
      <c r="Z126" s="1493"/>
      <c r="AA126" s="1493"/>
      <c r="AB126" s="1493"/>
      <c r="AC126" s="1493"/>
      <c r="AD126" s="1493"/>
      <c r="AE126" s="1493"/>
      <c r="AF126" s="1493"/>
      <c r="AG126" s="1493"/>
      <c r="AH126" s="1493"/>
      <c r="AI126" s="1493"/>
      <c r="AJ126" s="1493"/>
      <c r="AK126" s="1493"/>
      <c r="AL126" s="1493"/>
      <c r="AM126" s="1493"/>
      <c r="AN126" s="1493"/>
      <c r="AO126" s="1493"/>
      <c r="AP126" s="1493"/>
      <c r="AQ126" s="1493"/>
      <c r="AS126" s="1493"/>
      <c r="AT126" s="1493"/>
      <c r="AU126" s="1493"/>
      <c r="AV126" s="1493"/>
      <c r="AW126" s="1493"/>
      <c r="AX126" s="1493"/>
      <c r="AY126" s="1493"/>
      <c r="AZ126" s="1493"/>
      <c r="BA126" s="1493"/>
      <c r="BB126" s="1493"/>
      <c r="BC126" s="1493"/>
      <c r="BD126" s="1493"/>
      <c r="BE126" s="1493"/>
      <c r="BF126" s="1493"/>
      <c r="BG126" s="1493"/>
      <c r="BH126" s="1493"/>
      <c r="BI126" s="1493"/>
      <c r="BJ126" s="1493"/>
      <c r="BK126" s="1493"/>
      <c r="BL126" s="1493"/>
      <c r="BN126" s="1493"/>
      <c r="BO126" s="1493"/>
      <c r="BP126" s="1493"/>
      <c r="BR126" s="1957"/>
      <c r="BS126" s="1493"/>
    </row>
    <row r="127" spans="2:118" x14ac:dyDescent="0.2">
      <c r="G127" s="1493"/>
      <c r="H127" s="1493"/>
      <c r="I127" s="1493"/>
      <c r="J127" s="1493"/>
      <c r="K127" s="1493"/>
      <c r="L127" s="1493"/>
      <c r="M127" s="1493"/>
      <c r="N127" s="1493"/>
      <c r="O127" s="1643"/>
      <c r="P127" s="1493"/>
      <c r="Q127" s="1493"/>
      <c r="R127" s="1493"/>
      <c r="S127" s="1493"/>
      <c r="T127" s="1493"/>
      <c r="U127" s="1493"/>
      <c r="V127" s="1493"/>
      <c r="W127" s="1493"/>
      <c r="Y127" s="1493"/>
      <c r="Z127" s="1493"/>
      <c r="AA127" s="1493"/>
      <c r="AB127" s="1493"/>
      <c r="AC127" s="1493"/>
      <c r="AD127" s="1493"/>
      <c r="AE127" s="1493"/>
      <c r="AF127" s="1493"/>
      <c r="AG127" s="1493"/>
      <c r="AH127" s="1493"/>
      <c r="AI127" s="1493"/>
      <c r="AJ127" s="1493"/>
      <c r="AK127" s="1493"/>
      <c r="AL127" s="1493"/>
      <c r="AM127" s="1493"/>
      <c r="AN127" s="1493"/>
      <c r="AO127" s="1493"/>
      <c r="AP127" s="1493"/>
      <c r="AQ127" s="1493"/>
      <c r="AS127" s="1493"/>
      <c r="AT127" s="1493"/>
      <c r="AU127" s="1493"/>
      <c r="AV127" s="1493"/>
      <c r="AW127" s="1493"/>
      <c r="AX127" s="1493"/>
      <c r="AY127" s="1493"/>
      <c r="AZ127" s="1493"/>
      <c r="BA127" s="1493"/>
      <c r="BB127" s="1493"/>
      <c r="BC127" s="1493"/>
      <c r="BD127" s="1493"/>
      <c r="BE127" s="1493"/>
      <c r="BF127" s="1493"/>
      <c r="BG127" s="1493"/>
      <c r="BH127" s="1493"/>
      <c r="BI127" s="1493"/>
      <c r="BJ127" s="1493"/>
      <c r="BK127" s="1493"/>
      <c r="BL127" s="1493"/>
      <c r="BN127" s="1493"/>
      <c r="BO127" s="1493"/>
      <c r="BP127" s="1493"/>
      <c r="BR127" s="1957"/>
      <c r="BS127" s="1493"/>
    </row>
    <row r="128" spans="2:118" x14ac:dyDescent="0.2">
      <c r="C128" s="1580"/>
      <c r="D128" s="746"/>
      <c r="G128" s="1493"/>
      <c r="H128" s="1493"/>
      <c r="I128" s="1493"/>
      <c r="J128" s="1493"/>
      <c r="K128" s="1493"/>
      <c r="L128" s="1493"/>
      <c r="M128" s="1493"/>
      <c r="N128" s="1493"/>
      <c r="O128" s="1643"/>
      <c r="P128" s="1493"/>
      <c r="Q128" s="1493"/>
      <c r="R128" s="1493"/>
      <c r="S128" s="1493"/>
      <c r="T128" s="1493"/>
      <c r="U128" s="1493"/>
      <c r="V128" s="1493"/>
      <c r="W128" s="1493"/>
      <c r="Y128" s="1493"/>
      <c r="Z128" s="1493"/>
      <c r="AA128" s="1493"/>
      <c r="AB128" s="1493"/>
      <c r="AC128" s="1493"/>
      <c r="AD128" s="1493"/>
      <c r="AE128" s="1493"/>
      <c r="AF128" s="1493"/>
      <c r="AG128" s="1493"/>
      <c r="AH128" s="1493"/>
      <c r="AI128" s="1493"/>
      <c r="AJ128" s="1493"/>
      <c r="AK128" s="1493"/>
      <c r="AL128" s="1493"/>
      <c r="AM128" s="1493"/>
      <c r="AN128" s="1493"/>
      <c r="AO128" s="1493"/>
      <c r="AP128" s="1493"/>
      <c r="AQ128" s="1493"/>
      <c r="AS128" s="1493"/>
      <c r="AT128" s="1493"/>
      <c r="AU128" s="1493"/>
      <c r="AV128" s="1493"/>
      <c r="AW128" s="1493"/>
      <c r="AX128" s="1493"/>
      <c r="AY128" s="1493"/>
      <c r="AZ128" s="1493"/>
      <c r="BA128" s="1493"/>
      <c r="BB128" s="1493"/>
      <c r="BC128" s="1493"/>
      <c r="BD128" s="1493"/>
      <c r="BE128" s="1493"/>
      <c r="BF128" s="1493"/>
      <c r="BG128" s="1493"/>
      <c r="BH128" s="1493"/>
      <c r="BI128" s="1493"/>
      <c r="BJ128" s="1493"/>
      <c r="BK128" s="1493"/>
      <c r="BL128" s="1493"/>
      <c r="BN128" s="1493"/>
      <c r="BO128" s="1493"/>
      <c r="BP128" s="1493"/>
      <c r="BR128" s="1957"/>
      <c r="BS128" s="1493"/>
    </row>
    <row r="129" spans="7:71" x14ac:dyDescent="0.2">
      <c r="G129" s="1493"/>
      <c r="H129" s="1493"/>
      <c r="I129" s="1493"/>
      <c r="J129" s="1493"/>
      <c r="K129" s="1493"/>
      <c r="L129" s="1493"/>
      <c r="M129" s="1493"/>
      <c r="N129" s="1493"/>
      <c r="O129" s="1643"/>
      <c r="P129" s="1493"/>
      <c r="Q129" s="1493"/>
      <c r="R129" s="1493"/>
      <c r="S129" s="1493"/>
      <c r="T129" s="1493"/>
      <c r="U129" s="1493"/>
      <c r="V129" s="1493"/>
      <c r="W129" s="1493"/>
      <c r="Y129" s="1493"/>
      <c r="Z129" s="1493"/>
      <c r="AA129" s="1493"/>
      <c r="AB129" s="1493"/>
      <c r="AC129" s="1493"/>
      <c r="AD129" s="1493"/>
      <c r="AE129" s="1493"/>
      <c r="AF129" s="1493"/>
      <c r="AG129" s="1493"/>
      <c r="AH129" s="1493"/>
      <c r="AI129" s="1493"/>
      <c r="AJ129" s="1493"/>
      <c r="AK129" s="1493"/>
      <c r="AL129" s="1493"/>
      <c r="AM129" s="1493"/>
      <c r="AN129" s="1493"/>
      <c r="AO129" s="1493"/>
      <c r="AP129" s="1493"/>
      <c r="AQ129" s="1493"/>
      <c r="AS129" s="1493"/>
      <c r="AT129" s="1493"/>
      <c r="AU129" s="1493"/>
      <c r="AV129" s="1493"/>
      <c r="AW129" s="1493"/>
      <c r="AX129" s="1493"/>
      <c r="AY129" s="1493"/>
      <c r="AZ129" s="1493"/>
      <c r="BA129" s="1493"/>
      <c r="BB129" s="1493"/>
      <c r="BC129" s="1493"/>
      <c r="BD129" s="1493"/>
      <c r="BE129" s="1493"/>
      <c r="BF129" s="1493"/>
      <c r="BG129" s="1493"/>
      <c r="BH129" s="1493"/>
      <c r="BI129" s="1493"/>
      <c r="BJ129" s="1493"/>
      <c r="BK129" s="1493"/>
      <c r="BL129" s="1493"/>
      <c r="BN129" s="1493"/>
      <c r="BO129" s="1493"/>
      <c r="BP129" s="1493"/>
      <c r="BR129" s="1957"/>
      <c r="BS129" s="1493"/>
    </row>
    <row r="130" spans="7:71" x14ac:dyDescent="0.2">
      <c r="G130" s="1493"/>
      <c r="H130" s="1493"/>
      <c r="I130" s="1493"/>
      <c r="J130" s="1493"/>
      <c r="K130" s="1493"/>
      <c r="L130" s="1493"/>
      <c r="M130" s="1493"/>
      <c r="N130" s="1493"/>
      <c r="O130" s="1643"/>
      <c r="P130" s="1493"/>
      <c r="Q130" s="1493"/>
      <c r="R130" s="1493"/>
      <c r="S130" s="1493"/>
      <c r="T130" s="1493"/>
      <c r="U130" s="1493"/>
      <c r="V130" s="1493"/>
      <c r="W130" s="1493"/>
      <c r="Y130" s="1493"/>
      <c r="Z130" s="1493"/>
      <c r="AA130" s="1493"/>
      <c r="AB130" s="1493"/>
      <c r="AC130" s="1493"/>
      <c r="AD130" s="1493"/>
      <c r="AE130" s="1493"/>
      <c r="AF130" s="1493"/>
      <c r="AG130" s="1493"/>
      <c r="AH130" s="1493"/>
      <c r="AI130" s="1493"/>
      <c r="AJ130" s="1493"/>
      <c r="AK130" s="1493"/>
      <c r="AL130" s="1493"/>
      <c r="AM130" s="1493"/>
      <c r="AN130" s="1493"/>
      <c r="AO130" s="1493"/>
      <c r="AP130" s="1493"/>
      <c r="AQ130" s="1493"/>
      <c r="AS130" s="1493"/>
      <c r="AT130" s="1493"/>
      <c r="AU130" s="1493"/>
      <c r="AV130" s="1493"/>
      <c r="AW130" s="1493"/>
      <c r="AX130" s="1493"/>
      <c r="AY130" s="1493"/>
      <c r="AZ130" s="1493"/>
      <c r="BA130" s="1493"/>
      <c r="BB130" s="1493"/>
      <c r="BC130" s="1493"/>
      <c r="BD130" s="1493"/>
      <c r="BE130" s="1493"/>
      <c r="BF130" s="1493"/>
      <c r="BG130" s="1493"/>
      <c r="BH130" s="1493"/>
      <c r="BI130" s="1493"/>
      <c r="BJ130" s="1493"/>
      <c r="BK130" s="1493"/>
      <c r="BL130" s="1493"/>
      <c r="BN130" s="1493"/>
      <c r="BO130" s="1493"/>
      <c r="BP130" s="1493"/>
      <c r="BR130" s="1957"/>
      <c r="BS130" s="1493"/>
    </row>
    <row r="131" spans="7:71" x14ac:dyDescent="0.2">
      <c r="G131" s="1493"/>
      <c r="H131" s="1493"/>
      <c r="I131" s="1493"/>
      <c r="J131" s="1493"/>
      <c r="K131" s="1493"/>
      <c r="L131" s="1493"/>
      <c r="M131" s="1493"/>
      <c r="N131" s="1493"/>
      <c r="O131" s="1643"/>
      <c r="P131" s="1493"/>
      <c r="Q131" s="1493"/>
      <c r="R131" s="1493"/>
      <c r="S131" s="1493"/>
      <c r="T131" s="1493"/>
      <c r="U131" s="1493"/>
      <c r="V131" s="1493"/>
      <c r="W131" s="1493"/>
      <c r="Y131" s="1493"/>
      <c r="Z131" s="1493"/>
      <c r="AA131" s="1493"/>
      <c r="AB131" s="1493"/>
      <c r="AC131" s="1493"/>
      <c r="AD131" s="1493"/>
      <c r="AE131" s="1493"/>
      <c r="AF131" s="1493"/>
      <c r="AG131" s="1493"/>
      <c r="AH131" s="1493"/>
      <c r="AI131" s="1493"/>
      <c r="AJ131" s="1493"/>
      <c r="AK131" s="1493"/>
      <c r="AL131" s="1493"/>
      <c r="AM131" s="1493"/>
      <c r="AN131" s="1493"/>
      <c r="AO131" s="1493"/>
      <c r="AP131" s="1493"/>
      <c r="AQ131" s="1493"/>
      <c r="AS131" s="1493"/>
      <c r="AT131" s="1493"/>
      <c r="AU131" s="1493"/>
      <c r="AV131" s="1493"/>
      <c r="AW131" s="1493"/>
      <c r="AX131" s="1493"/>
      <c r="AY131" s="1493"/>
      <c r="AZ131" s="1493"/>
      <c r="BA131" s="1493"/>
      <c r="BB131" s="1493"/>
      <c r="BC131" s="1493"/>
      <c r="BD131" s="1493"/>
      <c r="BE131" s="1493"/>
      <c r="BF131" s="1493"/>
      <c r="BG131" s="1493"/>
      <c r="BH131" s="1493"/>
      <c r="BI131" s="1493"/>
      <c r="BJ131" s="1493"/>
      <c r="BK131" s="1493"/>
      <c r="BL131" s="1493"/>
      <c r="BN131" s="1493"/>
      <c r="BO131" s="1493"/>
      <c r="BP131" s="1493"/>
      <c r="BR131" s="1957"/>
      <c r="BS131" s="1493"/>
    </row>
    <row r="132" spans="7:71" x14ac:dyDescent="0.2">
      <c r="G132" s="1493"/>
      <c r="H132" s="1493"/>
      <c r="I132" s="1493"/>
      <c r="J132" s="1493"/>
      <c r="K132" s="1493"/>
      <c r="L132" s="1493"/>
      <c r="M132" s="1493"/>
      <c r="N132" s="1493"/>
      <c r="O132" s="1643"/>
      <c r="P132" s="1493"/>
      <c r="Q132" s="1493"/>
      <c r="R132" s="1493"/>
      <c r="S132" s="1493"/>
      <c r="T132" s="1493"/>
      <c r="U132" s="1493"/>
      <c r="V132" s="1493"/>
      <c r="W132" s="1493"/>
      <c r="Y132" s="1493"/>
      <c r="Z132" s="1493"/>
      <c r="AA132" s="1493"/>
      <c r="AB132" s="1493"/>
      <c r="AC132" s="1493"/>
      <c r="AD132" s="1493"/>
      <c r="AE132" s="1493"/>
      <c r="AF132" s="1493"/>
      <c r="AG132" s="1493"/>
      <c r="AH132" s="1493"/>
      <c r="AI132" s="1493"/>
      <c r="AJ132" s="1493"/>
      <c r="AK132" s="1493"/>
      <c r="AL132" s="1493"/>
      <c r="AM132" s="1493"/>
      <c r="AN132" s="1493"/>
      <c r="AO132" s="1493"/>
      <c r="AP132" s="1493"/>
      <c r="AQ132" s="1493"/>
      <c r="AS132" s="1493"/>
      <c r="AT132" s="1493"/>
      <c r="AU132" s="1493"/>
      <c r="AV132" s="1493"/>
      <c r="AW132" s="1493"/>
      <c r="AX132" s="1493"/>
      <c r="AY132" s="1493"/>
      <c r="AZ132" s="1493"/>
      <c r="BA132" s="1493"/>
      <c r="BB132" s="1493"/>
      <c r="BC132" s="1493"/>
      <c r="BD132" s="1493"/>
      <c r="BE132" s="1493"/>
      <c r="BF132" s="1493"/>
      <c r="BG132" s="1493"/>
      <c r="BH132" s="1493"/>
      <c r="BI132" s="1493"/>
      <c r="BJ132" s="1493"/>
      <c r="BK132" s="1493"/>
      <c r="BL132" s="1493"/>
      <c r="BN132" s="1493"/>
      <c r="BO132" s="1493"/>
      <c r="BP132" s="1493"/>
      <c r="BR132" s="1957"/>
      <c r="BS132" s="1493"/>
    </row>
    <row r="133" spans="7:71" x14ac:dyDescent="0.2">
      <c r="G133" s="1493"/>
      <c r="H133" s="1493"/>
      <c r="I133" s="1493"/>
      <c r="J133" s="1493"/>
      <c r="K133" s="1493"/>
      <c r="L133" s="1493"/>
      <c r="M133" s="1493"/>
      <c r="N133" s="1493"/>
      <c r="O133" s="1643"/>
      <c r="P133" s="1493"/>
      <c r="Q133" s="1493"/>
      <c r="R133" s="1493"/>
      <c r="S133" s="1493"/>
      <c r="T133" s="1493"/>
      <c r="U133" s="1493"/>
      <c r="V133" s="1493"/>
      <c r="W133" s="1493"/>
      <c r="Y133" s="1493"/>
      <c r="Z133" s="1493"/>
      <c r="AA133" s="1493"/>
      <c r="AB133" s="1493"/>
      <c r="AC133" s="1493"/>
      <c r="AD133" s="1493"/>
      <c r="AE133" s="1493"/>
      <c r="AF133" s="1493"/>
      <c r="AG133" s="1493"/>
      <c r="AH133" s="1493"/>
      <c r="AI133" s="1493"/>
      <c r="AJ133" s="1493"/>
      <c r="AK133" s="1493"/>
      <c r="AL133" s="1493"/>
      <c r="AM133" s="1493"/>
      <c r="AN133" s="1493"/>
      <c r="AO133" s="1493"/>
      <c r="AP133" s="1493"/>
      <c r="AQ133" s="1493"/>
      <c r="AS133" s="1493"/>
      <c r="AT133" s="1493"/>
      <c r="AU133" s="1493"/>
      <c r="AV133" s="1493"/>
      <c r="AW133" s="1493"/>
      <c r="AX133" s="1493"/>
      <c r="AY133" s="1493"/>
      <c r="AZ133" s="1493"/>
      <c r="BA133" s="1493"/>
      <c r="BB133" s="1493"/>
      <c r="BC133" s="1493"/>
      <c r="BD133" s="1493"/>
      <c r="BE133" s="1493"/>
      <c r="BF133" s="1493"/>
      <c r="BG133" s="1493"/>
      <c r="BH133" s="1493"/>
      <c r="BI133" s="1493"/>
      <c r="BJ133" s="1493"/>
      <c r="BK133" s="1493"/>
      <c r="BL133" s="1493"/>
      <c r="BN133" s="1493"/>
      <c r="BO133" s="1493"/>
      <c r="BP133" s="1493"/>
      <c r="BR133" s="1957"/>
      <c r="BS133" s="1493"/>
    </row>
    <row r="134" spans="7:71" x14ac:dyDescent="0.2">
      <c r="G134" s="1493"/>
      <c r="H134" s="1493"/>
      <c r="I134" s="1493"/>
      <c r="J134" s="1493"/>
      <c r="K134" s="1493"/>
      <c r="L134" s="1493"/>
      <c r="M134" s="1493"/>
      <c r="N134" s="1493"/>
      <c r="O134" s="1643"/>
      <c r="P134" s="1493"/>
      <c r="Q134" s="1493"/>
      <c r="R134" s="1493"/>
      <c r="S134" s="1493"/>
      <c r="T134" s="1493"/>
      <c r="U134" s="1493"/>
      <c r="V134" s="1493"/>
      <c r="W134" s="1493"/>
      <c r="Y134" s="1493"/>
      <c r="Z134" s="1493"/>
      <c r="AA134" s="1493"/>
      <c r="AB134" s="1493"/>
      <c r="AC134" s="1493"/>
      <c r="AD134" s="1493"/>
      <c r="AE134" s="1493"/>
      <c r="AF134" s="1493"/>
      <c r="AG134" s="1493"/>
      <c r="AH134" s="1493"/>
      <c r="AI134" s="1493"/>
      <c r="AJ134" s="1493"/>
      <c r="AK134" s="1493"/>
      <c r="AL134" s="1493"/>
      <c r="AM134" s="1493"/>
      <c r="AN134" s="1493"/>
      <c r="AO134" s="1493"/>
      <c r="AP134" s="1493"/>
      <c r="AQ134" s="1493"/>
      <c r="AS134" s="1493"/>
      <c r="AT134" s="1493"/>
      <c r="AU134" s="1493"/>
      <c r="AV134" s="1493"/>
      <c r="AW134" s="1493"/>
      <c r="AX134" s="1493"/>
      <c r="AY134" s="1493"/>
      <c r="AZ134" s="1493"/>
      <c r="BA134" s="1493"/>
      <c r="BB134" s="1493"/>
      <c r="BC134" s="1493"/>
      <c r="BD134" s="1493"/>
      <c r="BE134" s="1493"/>
      <c r="BF134" s="1493"/>
      <c r="BG134" s="1493"/>
      <c r="BH134" s="1493"/>
      <c r="BI134" s="1493"/>
      <c r="BJ134" s="1493"/>
      <c r="BK134" s="1493"/>
      <c r="BL134" s="1493"/>
      <c r="BN134" s="1493"/>
      <c r="BO134" s="1493"/>
      <c r="BP134" s="1493"/>
      <c r="BR134" s="1957"/>
      <c r="BS134" s="1493"/>
    </row>
    <row r="135" spans="7:71" x14ac:dyDescent="0.2">
      <c r="G135" s="1493"/>
      <c r="H135" s="1493"/>
      <c r="I135" s="1493"/>
      <c r="J135" s="1493"/>
      <c r="K135" s="1493"/>
      <c r="L135" s="1493"/>
      <c r="M135" s="1493"/>
      <c r="N135" s="1493"/>
      <c r="O135" s="1643"/>
      <c r="P135" s="1493"/>
      <c r="Q135" s="1493"/>
      <c r="R135" s="1493"/>
      <c r="S135" s="1493"/>
      <c r="T135" s="1493"/>
      <c r="U135" s="1493"/>
      <c r="V135" s="1493"/>
      <c r="W135" s="1493"/>
      <c r="Y135" s="1493"/>
      <c r="Z135" s="1493"/>
      <c r="AA135" s="1493"/>
      <c r="AB135" s="1493"/>
      <c r="AC135" s="1493"/>
      <c r="AD135" s="1493"/>
      <c r="AE135" s="1493"/>
      <c r="AF135" s="1493"/>
      <c r="AG135" s="1493"/>
      <c r="AH135" s="1493"/>
      <c r="AI135" s="1493"/>
      <c r="AJ135" s="1493"/>
      <c r="AK135" s="1493"/>
      <c r="AL135" s="1493"/>
      <c r="AM135" s="1493"/>
      <c r="AN135" s="1493"/>
      <c r="AO135" s="1493"/>
      <c r="AP135" s="1493"/>
      <c r="AQ135" s="1493"/>
      <c r="AS135" s="1493"/>
      <c r="AT135" s="1493"/>
      <c r="AU135" s="1493"/>
      <c r="AV135" s="1493"/>
      <c r="AW135" s="1493"/>
      <c r="AX135" s="1493"/>
      <c r="AY135" s="1493"/>
      <c r="AZ135" s="1493"/>
      <c r="BA135" s="1493"/>
      <c r="BB135" s="1493"/>
      <c r="BC135" s="1493"/>
      <c r="BD135" s="1493"/>
      <c r="BE135" s="1493"/>
      <c r="BF135" s="1493"/>
      <c r="BG135" s="1493"/>
      <c r="BH135" s="1493"/>
      <c r="BI135" s="1493"/>
      <c r="BJ135" s="1493"/>
      <c r="BK135" s="1493"/>
      <c r="BL135" s="1493"/>
      <c r="BN135" s="1493"/>
      <c r="BO135" s="1493"/>
      <c r="BP135" s="1493"/>
      <c r="BR135" s="1957"/>
      <c r="BS135" s="1493"/>
    </row>
    <row r="136" spans="7:71" x14ac:dyDescent="0.2">
      <c r="G136" s="1493"/>
      <c r="H136" s="1493"/>
      <c r="I136" s="1493"/>
      <c r="J136" s="1493"/>
      <c r="K136" s="1493"/>
      <c r="L136" s="1493"/>
      <c r="M136" s="1493"/>
      <c r="N136" s="1493"/>
      <c r="O136" s="1643"/>
      <c r="P136" s="1493"/>
      <c r="Q136" s="1493"/>
      <c r="R136" s="1493"/>
      <c r="S136" s="1493"/>
      <c r="T136" s="1493"/>
      <c r="U136" s="1493"/>
      <c r="V136" s="1493"/>
      <c r="W136" s="1493"/>
      <c r="Y136" s="1493"/>
      <c r="Z136" s="1493"/>
      <c r="AA136" s="1493"/>
      <c r="AB136" s="1493"/>
      <c r="AC136" s="1493"/>
      <c r="AD136" s="1493"/>
      <c r="AE136" s="1493"/>
      <c r="AF136" s="1493"/>
      <c r="AG136" s="1493"/>
      <c r="AH136" s="1493"/>
      <c r="AI136" s="1493"/>
      <c r="AJ136" s="1493"/>
      <c r="AK136" s="1493"/>
      <c r="AL136" s="1493"/>
      <c r="AM136" s="1493"/>
      <c r="AN136" s="1493"/>
      <c r="AO136" s="1493"/>
      <c r="AP136" s="1493"/>
      <c r="AQ136" s="1493"/>
      <c r="AS136" s="1493"/>
      <c r="AT136" s="1493"/>
      <c r="AU136" s="1493"/>
      <c r="AV136" s="1493"/>
      <c r="AW136" s="1493"/>
      <c r="AX136" s="1493"/>
      <c r="AY136" s="1493"/>
      <c r="AZ136" s="1493"/>
      <c r="BA136" s="1493"/>
      <c r="BB136" s="1493"/>
      <c r="BC136" s="1493"/>
      <c r="BD136" s="1493"/>
      <c r="BE136" s="1493"/>
      <c r="BF136" s="1493"/>
      <c r="BG136" s="1493"/>
      <c r="BH136" s="1493"/>
      <c r="BI136" s="1493"/>
      <c r="BJ136" s="1493"/>
      <c r="BK136" s="1493"/>
      <c r="BL136" s="1493"/>
      <c r="BN136" s="1493"/>
      <c r="BO136" s="1493"/>
      <c r="BP136" s="1493"/>
      <c r="BR136" s="1957"/>
      <c r="BS136" s="1493"/>
    </row>
    <row r="137" spans="7:71" x14ac:dyDescent="0.2">
      <c r="G137" s="1493"/>
      <c r="H137" s="1493"/>
      <c r="I137" s="1493"/>
      <c r="J137" s="1493"/>
      <c r="K137" s="1493"/>
      <c r="L137" s="1493"/>
      <c r="M137" s="1493"/>
      <c r="N137" s="1493"/>
      <c r="O137" s="1643"/>
      <c r="P137" s="1493"/>
      <c r="Q137" s="1493"/>
      <c r="R137" s="1493"/>
      <c r="S137" s="1493"/>
      <c r="T137" s="1493"/>
      <c r="U137" s="1493"/>
      <c r="V137" s="1493"/>
      <c r="W137" s="1493"/>
      <c r="Y137" s="1493"/>
      <c r="Z137" s="1493"/>
      <c r="AA137" s="1493"/>
      <c r="AB137" s="1493"/>
      <c r="AC137" s="1493"/>
      <c r="AD137" s="1493"/>
      <c r="AE137" s="1493"/>
      <c r="AF137" s="1493"/>
      <c r="AG137" s="1493"/>
      <c r="AH137" s="1493"/>
      <c r="AI137" s="1493"/>
      <c r="AJ137" s="1493"/>
      <c r="AK137" s="1493"/>
      <c r="AL137" s="1493"/>
      <c r="AM137" s="1493"/>
      <c r="AN137" s="1493"/>
      <c r="AO137" s="1493"/>
      <c r="AP137" s="1493"/>
      <c r="AQ137" s="1493"/>
      <c r="AS137" s="1493"/>
      <c r="AT137" s="1493"/>
      <c r="AU137" s="1493"/>
      <c r="AV137" s="1493"/>
      <c r="AW137" s="1493"/>
      <c r="AX137" s="1493"/>
      <c r="AY137" s="1493"/>
      <c r="AZ137" s="1493"/>
      <c r="BA137" s="1493"/>
      <c r="BB137" s="1493"/>
      <c r="BC137" s="1493"/>
      <c r="BD137" s="1493"/>
      <c r="BE137" s="1493"/>
      <c r="BF137" s="1493"/>
      <c r="BG137" s="1493"/>
      <c r="BH137" s="1493"/>
      <c r="BI137" s="1493"/>
      <c r="BJ137" s="1493"/>
      <c r="BK137" s="1493"/>
      <c r="BL137" s="1493"/>
      <c r="BN137" s="1493"/>
      <c r="BO137" s="1493"/>
      <c r="BP137" s="1493"/>
      <c r="BR137" s="1957"/>
      <c r="BS137" s="1493"/>
    </row>
    <row r="138" spans="7:71" x14ac:dyDescent="0.2">
      <c r="G138" s="1493"/>
      <c r="H138" s="1493"/>
      <c r="I138" s="1493"/>
      <c r="J138" s="1493"/>
      <c r="K138" s="1493"/>
      <c r="L138" s="1493"/>
      <c r="M138" s="1493"/>
      <c r="N138" s="1493"/>
      <c r="O138" s="1643"/>
      <c r="P138" s="1493"/>
      <c r="Q138" s="1493"/>
      <c r="R138" s="1493"/>
      <c r="S138" s="1493"/>
      <c r="T138" s="1493"/>
      <c r="U138" s="1493"/>
      <c r="V138" s="1493"/>
      <c r="W138" s="1493"/>
      <c r="Y138" s="1493"/>
      <c r="Z138" s="1493"/>
      <c r="AA138" s="1493"/>
      <c r="AB138" s="1493"/>
      <c r="AC138" s="1493"/>
      <c r="AD138" s="1493"/>
      <c r="AE138" s="1493"/>
      <c r="AF138" s="1493"/>
      <c r="AG138" s="1493"/>
      <c r="AH138" s="1493"/>
      <c r="AI138" s="1493"/>
      <c r="AJ138" s="1493"/>
      <c r="AK138" s="1493"/>
      <c r="AL138" s="1493"/>
      <c r="AM138" s="1493"/>
      <c r="AN138" s="1493"/>
      <c r="AO138" s="1493"/>
      <c r="AP138" s="1493"/>
      <c r="AQ138" s="1493"/>
      <c r="AS138" s="1493"/>
      <c r="AT138" s="1493"/>
      <c r="AU138" s="1493"/>
      <c r="AV138" s="1493"/>
      <c r="AW138" s="1493"/>
      <c r="AX138" s="1493"/>
      <c r="AY138" s="1493"/>
      <c r="AZ138" s="1493"/>
      <c r="BA138" s="1493"/>
      <c r="BB138" s="1493"/>
      <c r="BC138" s="1493"/>
      <c r="BD138" s="1493"/>
      <c r="BE138" s="1493"/>
      <c r="BF138" s="1493"/>
      <c r="BG138" s="1493"/>
      <c r="BH138" s="1493"/>
      <c r="BI138" s="1493"/>
      <c r="BJ138" s="1493"/>
      <c r="BK138" s="1493"/>
      <c r="BL138" s="1493"/>
      <c r="BN138" s="1493"/>
      <c r="BO138" s="1493"/>
      <c r="BP138" s="1493"/>
      <c r="BR138" s="1957"/>
      <c r="BS138" s="1493"/>
    </row>
    <row r="139" spans="7:71" x14ac:dyDescent="0.2">
      <c r="G139" s="1493"/>
      <c r="H139" s="1493"/>
      <c r="I139" s="1493"/>
      <c r="J139" s="1493"/>
      <c r="K139" s="1493"/>
      <c r="L139" s="1493"/>
      <c r="M139" s="1493"/>
      <c r="N139" s="1493"/>
      <c r="O139" s="1643"/>
      <c r="P139" s="1493"/>
      <c r="Q139" s="1493"/>
      <c r="R139" s="1493"/>
      <c r="S139" s="1493"/>
      <c r="T139" s="1493"/>
      <c r="U139" s="1493"/>
      <c r="V139" s="1493"/>
      <c r="W139" s="1493"/>
      <c r="Y139" s="1493"/>
      <c r="Z139" s="1493"/>
      <c r="AA139" s="1493"/>
      <c r="AB139" s="1493"/>
      <c r="AC139" s="1493"/>
      <c r="AD139" s="1493"/>
      <c r="AE139" s="1493"/>
      <c r="AF139" s="1493"/>
      <c r="AG139" s="1493"/>
      <c r="AH139" s="1493"/>
      <c r="AI139" s="1493"/>
      <c r="AJ139" s="1493"/>
      <c r="AK139" s="1493"/>
      <c r="AL139" s="1493"/>
      <c r="AM139" s="1493"/>
      <c r="AN139" s="1493"/>
      <c r="AO139" s="1493"/>
      <c r="AP139" s="1493"/>
      <c r="AQ139" s="1493"/>
      <c r="AS139" s="1493"/>
      <c r="AT139" s="1493"/>
      <c r="AU139" s="1493"/>
      <c r="AV139" s="1493"/>
      <c r="AW139" s="1493"/>
      <c r="AX139" s="1493"/>
      <c r="AY139" s="1493"/>
      <c r="AZ139" s="1493"/>
      <c r="BA139" s="1493"/>
      <c r="BB139" s="1493"/>
      <c r="BC139" s="1493"/>
      <c r="BD139" s="1493"/>
      <c r="BE139" s="1493"/>
      <c r="BF139" s="1493"/>
      <c r="BG139" s="1493"/>
      <c r="BH139" s="1493"/>
      <c r="BI139" s="1493"/>
      <c r="BJ139" s="1493"/>
      <c r="BK139" s="1493"/>
      <c r="BL139" s="1493"/>
      <c r="BN139" s="1493"/>
      <c r="BO139" s="1493"/>
      <c r="BP139" s="1493"/>
      <c r="BR139" s="1957"/>
      <c r="BS139" s="1493"/>
    </row>
    <row r="140" spans="7:71" x14ac:dyDescent="0.2">
      <c r="G140" s="1493"/>
      <c r="H140" s="1493"/>
      <c r="I140" s="1493"/>
      <c r="J140" s="1493"/>
      <c r="K140" s="1493"/>
      <c r="L140" s="1493"/>
      <c r="M140" s="1493"/>
      <c r="N140" s="1493"/>
      <c r="O140" s="1643"/>
      <c r="P140" s="1493"/>
      <c r="Q140" s="1493"/>
      <c r="R140" s="1493"/>
      <c r="S140" s="1493"/>
      <c r="T140" s="1493"/>
      <c r="U140" s="1493"/>
      <c r="V140" s="1493"/>
      <c r="W140" s="1493"/>
      <c r="Y140" s="1493"/>
      <c r="Z140" s="1493"/>
      <c r="AA140" s="1493"/>
      <c r="AB140" s="1493"/>
      <c r="AC140" s="1493"/>
      <c r="AD140" s="1493"/>
      <c r="AE140" s="1493"/>
      <c r="AF140" s="1493"/>
      <c r="AG140" s="1493"/>
      <c r="AH140" s="1493"/>
      <c r="AI140" s="1493"/>
      <c r="AJ140" s="1493"/>
      <c r="AK140" s="1493"/>
      <c r="AL140" s="1493"/>
      <c r="AM140" s="1493"/>
      <c r="AN140" s="1493"/>
      <c r="AO140" s="1493"/>
      <c r="AP140" s="1493"/>
      <c r="AQ140" s="1493"/>
      <c r="AS140" s="1493"/>
      <c r="AT140" s="1493"/>
      <c r="AU140" s="1493"/>
      <c r="AV140" s="1493"/>
      <c r="AW140" s="1493"/>
      <c r="AX140" s="1493"/>
      <c r="AY140" s="1493"/>
      <c r="AZ140" s="1493"/>
      <c r="BA140" s="1493"/>
      <c r="BB140" s="1493"/>
      <c r="BC140" s="1493"/>
      <c r="BD140" s="1493"/>
      <c r="BE140" s="1493"/>
      <c r="BF140" s="1493"/>
      <c r="BG140" s="1493"/>
      <c r="BH140" s="1493"/>
      <c r="BI140" s="1493"/>
      <c r="BJ140" s="1493"/>
      <c r="BK140" s="1493"/>
      <c r="BL140" s="1493"/>
      <c r="BN140" s="1493"/>
      <c r="BO140" s="1493"/>
      <c r="BP140" s="1493"/>
      <c r="BR140" s="1957"/>
      <c r="BS140" s="1493"/>
    </row>
    <row r="141" spans="7:71" x14ac:dyDescent="0.2">
      <c r="G141" s="1493"/>
      <c r="H141" s="1493"/>
      <c r="I141" s="1493"/>
      <c r="J141" s="1493"/>
      <c r="K141" s="1493"/>
      <c r="L141" s="1493"/>
      <c r="M141" s="1493"/>
      <c r="N141" s="1493"/>
      <c r="O141" s="1643"/>
      <c r="P141" s="1493"/>
      <c r="Q141" s="1493"/>
      <c r="R141" s="1493"/>
      <c r="S141" s="1493"/>
      <c r="T141" s="1493"/>
      <c r="U141" s="1493"/>
      <c r="V141" s="1493"/>
      <c r="W141" s="1493"/>
      <c r="Y141" s="1493"/>
      <c r="Z141" s="1493"/>
      <c r="AA141" s="1493"/>
      <c r="AB141" s="1493"/>
      <c r="AC141" s="1493"/>
      <c r="AD141" s="1493"/>
      <c r="AE141" s="1493"/>
      <c r="AF141" s="1493"/>
      <c r="AG141" s="1493"/>
      <c r="AH141" s="1493"/>
      <c r="AI141" s="1493"/>
      <c r="AJ141" s="1493"/>
      <c r="AK141" s="1493"/>
      <c r="AL141" s="1493"/>
      <c r="AM141" s="1493"/>
      <c r="AN141" s="1493"/>
      <c r="AO141" s="1493"/>
      <c r="AP141" s="1493"/>
      <c r="AQ141" s="1493"/>
      <c r="AS141" s="1493"/>
      <c r="AT141" s="1493"/>
      <c r="AU141" s="1493"/>
      <c r="AV141" s="1493"/>
      <c r="AW141" s="1493"/>
      <c r="AX141" s="1493"/>
      <c r="AY141" s="1493"/>
      <c r="AZ141" s="1493"/>
      <c r="BA141" s="1493"/>
      <c r="BB141" s="1493"/>
      <c r="BC141" s="1493"/>
      <c r="BD141" s="1493"/>
      <c r="BE141" s="1493"/>
      <c r="BF141" s="1493"/>
      <c r="BG141" s="1493"/>
      <c r="BH141" s="1493"/>
      <c r="BI141" s="1493"/>
      <c r="BJ141" s="1493"/>
      <c r="BK141" s="1493"/>
      <c r="BL141" s="1493"/>
      <c r="BN141" s="1493"/>
      <c r="BO141" s="1493"/>
      <c r="BP141" s="1493"/>
      <c r="BR141" s="1957"/>
      <c r="BS141" s="1493"/>
    </row>
    <row r="142" spans="7:71" x14ac:dyDescent="0.2">
      <c r="G142" s="1493"/>
      <c r="H142" s="1493"/>
      <c r="I142" s="1493"/>
      <c r="J142" s="1493"/>
      <c r="K142" s="1493"/>
      <c r="L142" s="1493"/>
      <c r="M142" s="1493"/>
      <c r="N142" s="1493"/>
      <c r="O142" s="1643"/>
      <c r="P142" s="1493"/>
      <c r="Q142" s="1493"/>
      <c r="R142" s="1493"/>
      <c r="S142" s="1493"/>
      <c r="T142" s="1493"/>
      <c r="U142" s="1493"/>
      <c r="V142" s="1493"/>
      <c r="W142" s="1493"/>
      <c r="Y142" s="1493"/>
      <c r="Z142" s="1493"/>
      <c r="AA142" s="1493"/>
      <c r="AB142" s="1493"/>
      <c r="AC142" s="1493"/>
      <c r="AD142" s="1493"/>
      <c r="AE142" s="1493"/>
      <c r="AF142" s="1493"/>
      <c r="AG142" s="1493"/>
      <c r="AH142" s="1493"/>
      <c r="AI142" s="1493"/>
      <c r="AJ142" s="1493"/>
      <c r="AK142" s="1493"/>
      <c r="AL142" s="1493"/>
      <c r="AM142" s="1493"/>
      <c r="AN142" s="1493"/>
      <c r="AO142" s="1493"/>
      <c r="AP142" s="1493"/>
      <c r="AQ142" s="1493"/>
      <c r="AS142" s="1493"/>
      <c r="AT142" s="1493"/>
      <c r="AU142" s="1493"/>
      <c r="AV142" s="1493"/>
      <c r="AW142" s="1493"/>
      <c r="AX142" s="1493"/>
      <c r="AY142" s="1493"/>
      <c r="AZ142" s="1493"/>
      <c r="BA142" s="1493"/>
      <c r="BB142" s="1493"/>
      <c r="BC142" s="1493"/>
      <c r="BD142" s="1493"/>
      <c r="BE142" s="1493"/>
      <c r="BF142" s="1493"/>
      <c r="BG142" s="1493"/>
      <c r="BH142" s="1493"/>
      <c r="BI142" s="1493"/>
      <c r="BJ142" s="1493"/>
      <c r="BK142" s="1493"/>
      <c r="BL142" s="1493"/>
      <c r="BN142" s="1493"/>
      <c r="BO142" s="1493"/>
      <c r="BP142" s="1493"/>
      <c r="BR142" s="1957"/>
      <c r="BS142" s="1493"/>
    </row>
    <row r="143" spans="7:71" x14ac:dyDescent="0.2">
      <c r="G143" s="1493"/>
      <c r="H143" s="1493"/>
      <c r="I143" s="1493"/>
      <c r="J143" s="1493"/>
      <c r="K143" s="1493"/>
      <c r="L143" s="1493"/>
      <c r="M143" s="1493"/>
      <c r="N143" s="1493"/>
      <c r="O143" s="1643"/>
      <c r="P143" s="1493"/>
      <c r="Q143" s="1493"/>
      <c r="R143" s="1493"/>
      <c r="S143" s="1493"/>
      <c r="T143" s="1493"/>
      <c r="U143" s="1493"/>
      <c r="V143" s="1493"/>
      <c r="W143" s="1493"/>
      <c r="Y143" s="1493"/>
      <c r="Z143" s="1493"/>
      <c r="AA143" s="1493"/>
      <c r="AB143" s="1493"/>
      <c r="AC143" s="1493"/>
      <c r="AD143" s="1493"/>
      <c r="AE143" s="1493"/>
      <c r="AF143" s="1493"/>
      <c r="AG143" s="1493"/>
      <c r="AH143" s="1493"/>
      <c r="AI143" s="1493"/>
      <c r="AJ143" s="1493"/>
      <c r="AK143" s="1493"/>
      <c r="AL143" s="1493"/>
      <c r="AM143" s="1493"/>
      <c r="AN143" s="1493"/>
      <c r="AO143" s="1493"/>
      <c r="AP143" s="1493"/>
      <c r="AQ143" s="1493"/>
      <c r="AS143" s="1493"/>
      <c r="AT143" s="1493"/>
      <c r="AU143" s="1493"/>
      <c r="AV143" s="1493"/>
      <c r="AW143" s="1493"/>
      <c r="AX143" s="1493"/>
      <c r="AY143" s="1493"/>
      <c r="AZ143" s="1493"/>
      <c r="BA143" s="1493"/>
      <c r="BB143" s="1493"/>
      <c r="BC143" s="1493"/>
      <c r="BD143" s="1493"/>
      <c r="BE143" s="1493"/>
      <c r="BF143" s="1493"/>
      <c r="BG143" s="1493"/>
      <c r="BH143" s="1493"/>
      <c r="BI143" s="1493"/>
      <c r="BJ143" s="1493"/>
      <c r="BK143" s="1493"/>
      <c r="BL143" s="1493"/>
      <c r="BN143" s="1493"/>
      <c r="BO143" s="1493"/>
      <c r="BP143" s="1493"/>
      <c r="BR143" s="1957"/>
      <c r="BS143" s="1493"/>
    </row>
    <row r="144" spans="7:71" x14ac:dyDescent="0.2">
      <c r="G144" s="1493"/>
      <c r="H144" s="1493"/>
      <c r="I144" s="1493"/>
      <c r="J144" s="1493"/>
      <c r="K144" s="1493"/>
      <c r="L144" s="1493"/>
      <c r="M144" s="1493"/>
      <c r="N144" s="1493"/>
      <c r="O144" s="1643"/>
      <c r="P144" s="1493"/>
      <c r="Q144" s="1493"/>
      <c r="R144" s="1493"/>
      <c r="S144" s="1493"/>
      <c r="T144" s="1493"/>
      <c r="U144" s="1493"/>
      <c r="V144" s="1493"/>
      <c r="W144" s="1493"/>
      <c r="Y144" s="1493"/>
      <c r="Z144" s="1493"/>
      <c r="AA144" s="1493"/>
      <c r="AB144" s="1493"/>
      <c r="AC144" s="1493"/>
      <c r="AD144" s="1493"/>
      <c r="AE144" s="1493"/>
      <c r="AF144" s="1493"/>
      <c r="AG144" s="1493"/>
      <c r="AH144" s="1493"/>
      <c r="AI144" s="1493"/>
      <c r="AJ144" s="1493"/>
      <c r="AK144" s="1493"/>
      <c r="AL144" s="1493"/>
      <c r="AM144" s="1493"/>
      <c r="AN144" s="1493"/>
      <c r="AO144" s="1493"/>
      <c r="AP144" s="1493"/>
      <c r="AQ144" s="1493"/>
      <c r="AS144" s="1493"/>
      <c r="AT144" s="1493"/>
      <c r="AU144" s="1493"/>
      <c r="AV144" s="1493"/>
      <c r="AW144" s="1493"/>
      <c r="AX144" s="1493"/>
      <c r="AY144" s="1493"/>
      <c r="AZ144" s="1493"/>
      <c r="BA144" s="1493"/>
      <c r="BB144" s="1493"/>
      <c r="BC144" s="1493"/>
      <c r="BD144" s="1493"/>
      <c r="BE144" s="1493"/>
      <c r="BF144" s="1493"/>
      <c r="BG144" s="1493"/>
      <c r="BH144" s="1493"/>
      <c r="BI144" s="1493"/>
      <c r="BJ144" s="1493"/>
      <c r="BK144" s="1493"/>
      <c r="BL144" s="1493"/>
      <c r="BN144" s="1493"/>
      <c r="BO144" s="1493"/>
      <c r="BP144" s="1493"/>
      <c r="BR144" s="1957"/>
      <c r="BS144" s="1493"/>
    </row>
    <row r="145" spans="7:71" x14ac:dyDescent="0.2">
      <c r="G145" s="1493"/>
      <c r="H145" s="1493"/>
      <c r="I145" s="1493"/>
      <c r="J145" s="1493"/>
      <c r="K145" s="1493"/>
      <c r="L145" s="1493"/>
      <c r="M145" s="1493"/>
      <c r="N145" s="1493"/>
      <c r="O145" s="1643"/>
      <c r="P145" s="1493"/>
      <c r="Q145" s="1493"/>
      <c r="R145" s="1493"/>
      <c r="S145" s="1493"/>
      <c r="T145" s="1493"/>
      <c r="U145" s="1493"/>
      <c r="V145" s="1493"/>
      <c r="W145" s="1493"/>
      <c r="Y145" s="1493"/>
      <c r="Z145" s="1493"/>
      <c r="AA145" s="1493"/>
      <c r="AB145" s="1493"/>
      <c r="AC145" s="1493"/>
      <c r="AD145" s="1493"/>
      <c r="AE145" s="1493"/>
      <c r="AF145" s="1493"/>
      <c r="AG145" s="1493"/>
      <c r="AH145" s="1493"/>
      <c r="AI145" s="1493"/>
      <c r="AJ145" s="1493"/>
      <c r="AK145" s="1493"/>
      <c r="AL145" s="1493"/>
      <c r="AM145" s="1493"/>
      <c r="AN145" s="1493"/>
      <c r="AO145" s="1493"/>
      <c r="AP145" s="1493"/>
      <c r="AQ145" s="1493"/>
      <c r="AS145" s="1493"/>
      <c r="AT145" s="1493"/>
      <c r="AU145" s="1493"/>
      <c r="AV145" s="1493"/>
      <c r="AW145" s="1493"/>
      <c r="AX145" s="1493"/>
      <c r="AY145" s="1493"/>
      <c r="AZ145" s="1493"/>
      <c r="BA145" s="1493"/>
      <c r="BB145" s="1493"/>
      <c r="BC145" s="1493"/>
      <c r="BD145" s="1493"/>
      <c r="BE145" s="1493"/>
      <c r="BF145" s="1493"/>
      <c r="BG145" s="1493"/>
      <c r="BH145" s="1493"/>
      <c r="BI145" s="1493"/>
      <c r="BJ145" s="1493"/>
      <c r="BK145" s="1493"/>
      <c r="BL145" s="1493"/>
      <c r="BN145" s="1493"/>
      <c r="BO145" s="1493"/>
      <c r="BP145" s="1493"/>
      <c r="BR145" s="1957"/>
      <c r="BS145" s="1493"/>
    </row>
    <row r="146" spans="7:71" x14ac:dyDescent="0.2">
      <c r="G146" s="1493"/>
      <c r="H146" s="1493"/>
      <c r="I146" s="1493"/>
      <c r="J146" s="1493"/>
      <c r="K146" s="1493"/>
      <c r="L146" s="1493"/>
      <c r="M146" s="1493"/>
      <c r="N146" s="1493"/>
      <c r="O146" s="1643"/>
      <c r="P146" s="1493"/>
      <c r="Q146" s="1493"/>
      <c r="R146" s="1493"/>
      <c r="S146" s="1493"/>
      <c r="T146" s="1493"/>
      <c r="U146" s="1493"/>
      <c r="V146" s="1493"/>
      <c r="W146" s="1493"/>
      <c r="Y146" s="1493"/>
      <c r="Z146" s="1493"/>
      <c r="AA146" s="1493"/>
      <c r="AB146" s="1493"/>
      <c r="AC146" s="1493"/>
      <c r="AD146" s="1493"/>
      <c r="AE146" s="1493"/>
      <c r="AF146" s="1493"/>
      <c r="AG146" s="1493"/>
      <c r="AH146" s="1493"/>
      <c r="AI146" s="1493"/>
      <c r="AJ146" s="1493"/>
      <c r="AK146" s="1493"/>
      <c r="AL146" s="1493"/>
      <c r="AM146" s="1493"/>
      <c r="AN146" s="1493"/>
      <c r="AO146" s="1493"/>
      <c r="AP146" s="1493"/>
      <c r="AQ146" s="1493"/>
      <c r="AS146" s="1493"/>
      <c r="AT146" s="1493"/>
      <c r="AU146" s="1493"/>
      <c r="AV146" s="1493"/>
      <c r="AW146" s="1493"/>
      <c r="AX146" s="1493"/>
      <c r="AY146" s="1493"/>
      <c r="AZ146" s="1493"/>
      <c r="BA146" s="1493"/>
      <c r="BB146" s="1493"/>
      <c r="BC146" s="1493"/>
      <c r="BD146" s="1493"/>
      <c r="BE146" s="1493"/>
      <c r="BF146" s="1493"/>
      <c r="BG146" s="1493"/>
      <c r="BH146" s="1493"/>
      <c r="BI146" s="1493"/>
      <c r="BJ146" s="1493"/>
      <c r="BK146" s="1493"/>
      <c r="BL146" s="1493"/>
      <c r="BN146" s="1493"/>
      <c r="BO146" s="1493"/>
      <c r="BP146" s="1493"/>
      <c r="BR146" s="1957"/>
      <c r="BS146" s="1493"/>
    </row>
    <row r="147" spans="7:71" x14ac:dyDescent="0.2">
      <c r="G147" s="1493"/>
      <c r="H147" s="1493"/>
      <c r="I147" s="1493"/>
      <c r="J147" s="1493"/>
      <c r="K147" s="1493"/>
      <c r="L147" s="1493"/>
      <c r="M147" s="1493"/>
      <c r="N147" s="1493"/>
      <c r="O147" s="1643"/>
      <c r="P147" s="1493"/>
      <c r="Q147" s="1493"/>
      <c r="R147" s="1493"/>
      <c r="S147" s="1493"/>
      <c r="T147" s="1493"/>
      <c r="U147" s="1493"/>
      <c r="V147" s="1493"/>
      <c r="W147" s="1493"/>
      <c r="Y147" s="1493"/>
      <c r="Z147" s="1493"/>
      <c r="AA147" s="1493"/>
      <c r="AB147" s="1493"/>
      <c r="AC147" s="1493"/>
      <c r="AD147" s="1493"/>
      <c r="AE147" s="1493"/>
      <c r="AF147" s="1493"/>
      <c r="AG147" s="1493"/>
      <c r="AH147" s="1493"/>
      <c r="AI147" s="1493"/>
      <c r="AJ147" s="1493"/>
      <c r="AK147" s="1493"/>
      <c r="AL147" s="1493"/>
      <c r="AM147" s="1493"/>
      <c r="AN147" s="1493"/>
      <c r="AO147" s="1493"/>
      <c r="AP147" s="1493"/>
      <c r="AQ147" s="1493"/>
      <c r="AS147" s="1493"/>
      <c r="AT147" s="1493"/>
      <c r="AU147" s="1493"/>
      <c r="AV147" s="1493"/>
      <c r="AW147" s="1493"/>
      <c r="AX147" s="1493"/>
      <c r="AY147" s="1493"/>
      <c r="AZ147" s="1493"/>
      <c r="BA147" s="1493"/>
      <c r="BB147" s="1493"/>
      <c r="BC147" s="1493"/>
      <c r="BD147" s="1493"/>
      <c r="BE147" s="1493"/>
      <c r="BF147" s="1493"/>
      <c r="BG147" s="1493"/>
      <c r="BH147" s="1493"/>
      <c r="BI147" s="1493"/>
      <c r="BJ147" s="1493"/>
      <c r="BK147" s="1493"/>
      <c r="BL147" s="1493"/>
      <c r="BN147" s="1493"/>
      <c r="BO147" s="1493"/>
      <c r="BP147" s="1493"/>
      <c r="BR147" s="1957"/>
      <c r="BS147" s="1493"/>
    </row>
    <row r="148" spans="7:71" x14ac:dyDescent="0.2">
      <c r="G148" s="1493"/>
      <c r="H148" s="1493"/>
      <c r="I148" s="1493"/>
      <c r="J148" s="1493"/>
      <c r="K148" s="1493"/>
      <c r="L148" s="1493"/>
      <c r="M148" s="1493"/>
      <c r="N148" s="1493"/>
      <c r="O148" s="1643"/>
      <c r="P148" s="1493"/>
      <c r="Q148" s="1493"/>
      <c r="R148" s="1493"/>
      <c r="S148" s="1493"/>
      <c r="T148" s="1493"/>
      <c r="U148" s="1493"/>
      <c r="V148" s="1493"/>
      <c r="W148" s="1493"/>
      <c r="Y148" s="1493"/>
      <c r="Z148" s="1493"/>
      <c r="AA148" s="1493"/>
      <c r="AB148" s="1493"/>
      <c r="AC148" s="1493"/>
      <c r="AD148" s="1493"/>
      <c r="AE148" s="1493"/>
      <c r="AF148" s="1493"/>
      <c r="AG148" s="1493"/>
      <c r="AH148" s="1493"/>
      <c r="AI148" s="1493"/>
      <c r="AJ148" s="1493"/>
      <c r="AK148" s="1493"/>
      <c r="AL148" s="1493"/>
      <c r="AM148" s="1493"/>
      <c r="AN148" s="1493"/>
      <c r="AO148" s="1493"/>
      <c r="AP148" s="1493"/>
      <c r="AQ148" s="1493"/>
      <c r="AS148" s="1493"/>
      <c r="AT148" s="1493"/>
      <c r="AU148" s="1493"/>
      <c r="AV148" s="1493"/>
      <c r="AW148" s="1493"/>
      <c r="AX148" s="1493"/>
      <c r="AY148" s="1493"/>
      <c r="AZ148" s="1493"/>
      <c r="BA148" s="1493"/>
      <c r="BB148" s="1493"/>
      <c r="BC148" s="1493"/>
      <c r="BD148" s="1493"/>
      <c r="BE148" s="1493"/>
      <c r="BF148" s="1493"/>
      <c r="BG148" s="1493"/>
      <c r="BH148" s="1493"/>
      <c r="BI148" s="1493"/>
      <c r="BJ148" s="1493"/>
      <c r="BK148" s="1493"/>
      <c r="BL148" s="1493"/>
      <c r="BN148" s="1493"/>
      <c r="BO148" s="1493"/>
      <c r="BP148" s="1493"/>
      <c r="BR148" s="1957"/>
      <c r="BS148" s="1493"/>
    </row>
    <row r="149" spans="7:71" x14ac:dyDescent="0.2">
      <c r="G149" s="1493"/>
      <c r="H149" s="1493"/>
      <c r="I149" s="1493"/>
      <c r="J149" s="1493"/>
      <c r="K149" s="1493"/>
      <c r="L149" s="1493"/>
      <c r="M149" s="1493"/>
      <c r="N149" s="1493"/>
      <c r="O149" s="1643"/>
      <c r="P149" s="1493"/>
      <c r="Q149" s="1493"/>
      <c r="R149" s="1493"/>
      <c r="S149" s="1493"/>
      <c r="T149" s="1493"/>
      <c r="U149" s="1493"/>
      <c r="V149" s="1493"/>
      <c r="W149" s="1493"/>
      <c r="Y149" s="1493"/>
      <c r="Z149" s="1493"/>
      <c r="AA149" s="1493"/>
      <c r="AB149" s="1493"/>
      <c r="AC149" s="1493"/>
      <c r="AD149" s="1493"/>
      <c r="AE149" s="1493"/>
      <c r="AF149" s="1493"/>
      <c r="AG149" s="1493"/>
      <c r="AH149" s="1493"/>
      <c r="AI149" s="1493"/>
      <c r="AJ149" s="1493"/>
      <c r="AK149" s="1493"/>
      <c r="AL149" s="1493"/>
      <c r="AM149" s="1493"/>
      <c r="AN149" s="1493"/>
      <c r="AO149" s="1493"/>
      <c r="AP149" s="1493"/>
      <c r="AQ149" s="1493"/>
      <c r="AS149" s="1493"/>
      <c r="AT149" s="1493"/>
      <c r="AU149" s="1493"/>
      <c r="AV149" s="1493"/>
      <c r="AW149" s="1493"/>
      <c r="AX149" s="1493"/>
      <c r="AY149" s="1493"/>
      <c r="AZ149" s="1493"/>
      <c r="BA149" s="1493"/>
      <c r="BB149" s="1493"/>
      <c r="BC149" s="1493"/>
      <c r="BD149" s="1493"/>
      <c r="BE149" s="1493"/>
      <c r="BF149" s="1493"/>
      <c r="BG149" s="1493"/>
      <c r="BH149" s="1493"/>
      <c r="BI149" s="1493"/>
      <c r="BJ149" s="1493"/>
      <c r="BK149" s="1493"/>
      <c r="BL149" s="1493"/>
      <c r="BN149" s="1493"/>
      <c r="BO149" s="1493"/>
      <c r="BP149" s="1493"/>
      <c r="BR149" s="1957"/>
      <c r="BS149" s="1493"/>
    </row>
    <row r="150" spans="7:71" x14ac:dyDescent="0.2">
      <c r="G150" s="1493"/>
      <c r="H150" s="1493"/>
      <c r="I150" s="1493"/>
      <c r="J150" s="1493"/>
      <c r="K150" s="1493"/>
      <c r="L150" s="1493"/>
      <c r="M150" s="1493"/>
      <c r="N150" s="1493"/>
      <c r="O150" s="1643"/>
      <c r="P150" s="1493"/>
      <c r="Q150" s="1493"/>
      <c r="R150" s="1493"/>
      <c r="S150" s="1493"/>
      <c r="T150" s="1493"/>
      <c r="U150" s="1493"/>
      <c r="V150" s="1493"/>
      <c r="W150" s="1493"/>
      <c r="Y150" s="1493"/>
      <c r="Z150" s="1493"/>
      <c r="AA150" s="1493"/>
      <c r="AB150" s="1493"/>
      <c r="AC150" s="1493"/>
      <c r="AD150" s="1493"/>
      <c r="AE150" s="1493"/>
      <c r="AF150" s="1493"/>
      <c r="AG150" s="1493"/>
      <c r="AH150" s="1493"/>
      <c r="AI150" s="1493"/>
      <c r="AJ150" s="1493"/>
      <c r="AK150" s="1493"/>
      <c r="AL150" s="1493"/>
      <c r="AM150" s="1493"/>
      <c r="AN150" s="1493"/>
      <c r="AO150" s="1493"/>
      <c r="AP150" s="1493"/>
      <c r="AQ150" s="1493"/>
      <c r="AS150" s="1493"/>
      <c r="AT150" s="1493"/>
      <c r="AU150" s="1493"/>
      <c r="AV150" s="1493"/>
      <c r="AW150" s="1493"/>
      <c r="AX150" s="1493"/>
      <c r="AY150" s="1493"/>
      <c r="AZ150" s="1493"/>
      <c r="BA150" s="1493"/>
      <c r="BB150" s="1493"/>
      <c r="BC150" s="1493"/>
      <c r="BD150" s="1493"/>
      <c r="BE150" s="1493"/>
      <c r="BF150" s="1493"/>
      <c r="BG150" s="1493"/>
      <c r="BH150" s="1493"/>
      <c r="BI150" s="1493"/>
      <c r="BJ150" s="1493"/>
      <c r="BK150" s="1493"/>
      <c r="BL150" s="1493"/>
      <c r="BN150" s="1493"/>
      <c r="BO150" s="1493"/>
      <c r="BP150" s="1493"/>
      <c r="BR150" s="1957"/>
      <c r="BS150" s="1493"/>
    </row>
    <row r="151" spans="7:71" x14ac:dyDescent="0.2">
      <c r="G151" s="1493"/>
      <c r="H151" s="1493"/>
      <c r="I151" s="1493"/>
      <c r="J151" s="1493"/>
      <c r="K151" s="1493"/>
      <c r="L151" s="1493"/>
      <c r="M151" s="1493"/>
      <c r="N151" s="1493"/>
      <c r="O151" s="1643"/>
      <c r="P151" s="1493"/>
      <c r="Q151" s="1493"/>
      <c r="R151" s="1493"/>
      <c r="S151" s="1493"/>
      <c r="T151" s="1493"/>
      <c r="U151" s="1493"/>
      <c r="V151" s="1493"/>
      <c r="W151" s="1493"/>
      <c r="Y151" s="1493"/>
      <c r="Z151" s="1493"/>
      <c r="AA151" s="1493"/>
      <c r="AB151" s="1493"/>
      <c r="AC151" s="1493"/>
      <c r="AD151" s="1493"/>
      <c r="AE151" s="1493"/>
      <c r="AF151" s="1493"/>
      <c r="AG151" s="1493"/>
      <c r="AH151" s="1493"/>
      <c r="AI151" s="1493"/>
      <c r="AJ151" s="1493"/>
      <c r="AK151" s="1493"/>
      <c r="AL151" s="1493"/>
      <c r="AM151" s="1493"/>
      <c r="AN151" s="1493"/>
      <c r="AO151" s="1493"/>
      <c r="AP151" s="1493"/>
      <c r="AQ151" s="1493"/>
      <c r="AS151" s="1493"/>
      <c r="AT151" s="1493"/>
      <c r="AU151" s="1493"/>
      <c r="AV151" s="1493"/>
      <c r="AW151" s="1493"/>
      <c r="AX151" s="1493"/>
      <c r="AY151" s="1493"/>
      <c r="AZ151" s="1493"/>
      <c r="BA151" s="1493"/>
      <c r="BB151" s="1493"/>
      <c r="BC151" s="1493"/>
      <c r="BD151" s="1493"/>
      <c r="BE151" s="1493"/>
      <c r="BF151" s="1493"/>
      <c r="BG151" s="1493"/>
      <c r="BH151" s="1493"/>
      <c r="BI151" s="1493"/>
      <c r="BJ151" s="1493"/>
      <c r="BK151" s="1493"/>
      <c r="BL151" s="1493"/>
      <c r="BN151" s="1493"/>
      <c r="BO151" s="1493"/>
      <c r="BP151" s="1493"/>
      <c r="BR151" s="1957"/>
      <c r="BS151" s="1493"/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10"/>
  <sheetViews>
    <sheetView workbookViewId="0">
      <selection activeCell="K1" sqref="K1"/>
    </sheetView>
  </sheetViews>
  <sheetFormatPr baseColWidth="10" defaultRowHeight="12.75" x14ac:dyDescent="0.2"/>
  <cols>
    <col min="3" max="3" width="12.85546875" customWidth="1"/>
    <col min="4" max="4" width="12.42578125" customWidth="1"/>
  </cols>
  <sheetData>
    <row r="2" spans="2:14" x14ac:dyDescent="0.2">
      <c r="B2" t="s">
        <v>1649</v>
      </c>
    </row>
    <row r="4" spans="2:14" x14ac:dyDescent="0.2">
      <c r="B4">
        <v>8.35</v>
      </c>
      <c r="C4">
        <v>50</v>
      </c>
      <c r="D4" t="s">
        <v>1650</v>
      </c>
      <c r="E4" t="s">
        <v>1651</v>
      </c>
      <c r="F4" t="s">
        <v>1652</v>
      </c>
    </row>
    <row r="5" spans="2:14" x14ac:dyDescent="0.2">
      <c r="B5">
        <v>9.15</v>
      </c>
      <c r="C5">
        <v>800</v>
      </c>
      <c r="D5" t="s">
        <v>1653</v>
      </c>
      <c r="E5" t="s">
        <v>1655</v>
      </c>
      <c r="F5" t="s">
        <v>1654</v>
      </c>
    </row>
    <row r="8" spans="2:14" x14ac:dyDescent="0.2">
      <c r="B8">
        <f>8.8</f>
        <v>8.8000000000000007</v>
      </c>
      <c r="E8">
        <f>(210+3300)/2</f>
        <v>1755</v>
      </c>
      <c r="F8" t="s">
        <v>1656</v>
      </c>
      <c r="I8">
        <v>270000</v>
      </c>
      <c r="J8" t="s">
        <v>656</v>
      </c>
      <c r="L8" t="s">
        <v>1658</v>
      </c>
      <c r="M8">
        <v>4.1840000000000002</v>
      </c>
      <c r="N8" t="s">
        <v>1659</v>
      </c>
    </row>
    <row r="9" spans="2:14" x14ac:dyDescent="0.2">
      <c r="E9">
        <f>E8*1000</f>
        <v>1755000</v>
      </c>
      <c r="F9" t="s">
        <v>1657</v>
      </c>
    </row>
    <row r="10" spans="2:14" x14ac:dyDescent="0.2">
      <c r="E10">
        <f>E9/M8</f>
        <v>419455.06692160608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43"/>
  <sheetViews>
    <sheetView showGridLines="0" topLeftCell="A86" workbookViewId="0">
      <selection activeCell="L110" sqref="L110"/>
    </sheetView>
  </sheetViews>
  <sheetFormatPr baseColWidth="10" defaultRowHeight="12.75" x14ac:dyDescent="0.2"/>
  <cols>
    <col min="1" max="1" width="25.85546875" customWidth="1"/>
    <col min="2" max="2" width="15.5703125" customWidth="1"/>
  </cols>
  <sheetData>
    <row r="2" spans="1:14" ht="15" x14ac:dyDescent="0.25">
      <c r="A2" s="80" t="s">
        <v>1929</v>
      </c>
      <c r="K2" s="1849">
        <v>1</v>
      </c>
      <c r="L2" s="1849" t="s">
        <v>171</v>
      </c>
      <c r="M2" s="1849">
        <v>859.85</v>
      </c>
      <c r="N2" t="s">
        <v>656</v>
      </c>
    </row>
    <row r="4" spans="1:14" x14ac:dyDescent="0.2">
      <c r="A4" t="s">
        <v>1930</v>
      </c>
      <c r="B4" t="s">
        <v>1932</v>
      </c>
    </row>
    <row r="5" spans="1:14" x14ac:dyDescent="0.2">
      <c r="A5" t="s">
        <v>1931</v>
      </c>
      <c r="B5" t="s">
        <v>1933</v>
      </c>
    </row>
    <row r="8" spans="1:14" x14ac:dyDescent="0.2">
      <c r="A8" s="80" t="s">
        <v>966</v>
      </c>
      <c r="I8" s="745" t="s">
        <v>171</v>
      </c>
    </row>
    <row r="9" spans="1:14" ht="15" x14ac:dyDescent="0.25">
      <c r="B9" s="1867">
        <v>2015</v>
      </c>
      <c r="C9" s="1867">
        <v>2020</v>
      </c>
      <c r="D9" s="1867">
        <v>2025</v>
      </c>
      <c r="E9" s="1867">
        <v>2030</v>
      </c>
      <c r="F9" s="1867">
        <v>2035</v>
      </c>
      <c r="G9" s="1867">
        <v>2040</v>
      </c>
      <c r="H9" s="1867">
        <v>2045</v>
      </c>
      <c r="I9" s="1867">
        <v>2050</v>
      </c>
    </row>
    <row r="10" spans="1:14" x14ac:dyDescent="0.2">
      <c r="A10" t="s">
        <v>1934</v>
      </c>
      <c r="B10" s="2785">
        <f>C60/$M$2</f>
        <v>319.04409154663131</v>
      </c>
      <c r="C10" s="2785">
        <f t="shared" ref="C10:I10" si="0">D60/$M$2</f>
        <v>357.73459860035791</v>
      </c>
      <c r="D10" s="2785">
        <f t="shared" si="0"/>
        <v>408.81115714923425</v>
      </c>
      <c r="E10" s="2785">
        <f t="shared" si="0"/>
        <v>463.26701237938363</v>
      </c>
      <c r="F10" s="2785">
        <f t="shared" si="0"/>
        <v>521.04182864693462</v>
      </c>
      <c r="G10" s="2785">
        <f t="shared" si="0"/>
        <v>576.25281038419507</v>
      </c>
      <c r="H10" s="2785">
        <f t="shared" si="0"/>
        <v>629.53563464916431</v>
      </c>
      <c r="I10" s="2785">
        <f t="shared" si="0"/>
        <v>679.10373875755988</v>
      </c>
    </row>
    <row r="11" spans="1:14" x14ac:dyDescent="0.2">
      <c r="A11" t="s">
        <v>1935</v>
      </c>
      <c r="B11" s="2785">
        <f>C59/$M$2</f>
        <v>319.04396046252543</v>
      </c>
      <c r="C11" s="2785">
        <f t="shared" ref="C11:I11" si="1">D59/$M$2</f>
        <v>357.73386062983434</v>
      </c>
      <c r="D11" s="2785">
        <f t="shared" si="1"/>
        <v>405.01915471969266</v>
      </c>
      <c r="E11" s="2785">
        <f t="shared" si="1"/>
        <v>448.93640955529241</v>
      </c>
      <c r="F11" s="2785">
        <f t="shared" si="1"/>
        <v>496.77013325268229</v>
      </c>
      <c r="G11" s="2785">
        <f t="shared" si="1"/>
        <v>543.01204515310292</v>
      </c>
      <c r="H11" s="2785">
        <f t="shared" si="1"/>
        <v>587.28314066721657</v>
      </c>
      <c r="I11" s="2785">
        <f t="shared" si="1"/>
        <v>628.42363243074033</v>
      </c>
    </row>
    <row r="13" spans="1:14" x14ac:dyDescent="0.2">
      <c r="I13" s="745" t="s">
        <v>171</v>
      </c>
    </row>
    <row r="14" spans="1:14" ht="15" x14ac:dyDescent="0.25">
      <c r="A14" s="80" t="s">
        <v>1934</v>
      </c>
      <c r="B14" s="1867">
        <v>2015</v>
      </c>
      <c r="C14" s="1867">
        <v>2020</v>
      </c>
      <c r="D14" s="1867">
        <v>2025</v>
      </c>
      <c r="E14" s="1867">
        <v>2030</v>
      </c>
      <c r="F14" s="1867">
        <v>2035</v>
      </c>
      <c r="G14" s="1867">
        <v>2040</v>
      </c>
      <c r="H14" s="1867">
        <v>2045</v>
      </c>
      <c r="I14" s="1867">
        <v>2050</v>
      </c>
    </row>
    <row r="15" spans="1:14" x14ac:dyDescent="0.2">
      <c r="A15" t="s">
        <v>935</v>
      </c>
      <c r="B15" s="2785">
        <f>C76/$M$2</f>
        <v>85.074856252970235</v>
      </c>
      <c r="C15" s="2785">
        <f t="shared" ref="C15:I15" si="2">D76/$M$2</f>
        <v>96.056093582757768</v>
      </c>
      <c r="D15" s="2785">
        <f t="shared" si="2"/>
        <v>105.82426332853449</v>
      </c>
      <c r="E15" s="2785">
        <f t="shared" si="2"/>
        <v>115.39451113392333</v>
      </c>
      <c r="F15" s="2785">
        <f t="shared" si="2"/>
        <v>126.37268716806605</v>
      </c>
      <c r="G15" s="2785">
        <f t="shared" si="2"/>
        <v>137.89613873929355</v>
      </c>
      <c r="H15" s="2785">
        <f t="shared" si="2"/>
        <v>148.72917460394106</v>
      </c>
      <c r="I15" s="2785">
        <f t="shared" si="2"/>
        <v>159.98854657523307</v>
      </c>
    </row>
    <row r="16" spans="1:14" x14ac:dyDescent="0.2">
      <c r="A16" t="s">
        <v>936</v>
      </c>
      <c r="B16" s="2785">
        <f t="shared" ref="B16:I21" si="3">C77/$M$2</f>
        <v>50.767892087480014</v>
      </c>
      <c r="C16" s="2785">
        <f t="shared" si="3"/>
        <v>62.614349689342227</v>
      </c>
      <c r="D16" s="2785">
        <f t="shared" si="3"/>
        <v>74.239900661229939</v>
      </c>
      <c r="E16" s="2785">
        <f t="shared" si="3"/>
        <v>81.638561379083683</v>
      </c>
      <c r="F16" s="2785">
        <f t="shared" si="3"/>
        <v>92.221127678363629</v>
      </c>
      <c r="G16" s="2785">
        <f t="shared" si="3"/>
        <v>103.17270066151468</v>
      </c>
      <c r="H16" s="2785">
        <f t="shared" si="3"/>
        <v>113.77629494160291</v>
      </c>
      <c r="I16" s="2785">
        <f t="shared" si="3"/>
        <v>122.58876609654936</v>
      </c>
    </row>
    <row r="17" spans="1:9" x14ac:dyDescent="0.2">
      <c r="A17" t="s">
        <v>420</v>
      </c>
      <c r="B17" s="2785">
        <f t="shared" si="3"/>
        <v>95.181998339634347</v>
      </c>
      <c r="C17" s="2785">
        <f t="shared" si="3"/>
        <v>102.3539251972657</v>
      </c>
      <c r="D17" s="2785">
        <f t="shared" si="3"/>
        <v>120.17277197297584</v>
      </c>
      <c r="E17" s="2785">
        <f t="shared" si="3"/>
        <v>144.11675498579106</v>
      </c>
      <c r="F17" s="2785">
        <f t="shared" si="3"/>
        <v>164.84023554629013</v>
      </c>
      <c r="G17" s="2785">
        <f t="shared" si="3"/>
        <v>179.59778761756289</v>
      </c>
      <c r="H17" s="2785">
        <f t="shared" si="3"/>
        <v>190.32221812234607</v>
      </c>
      <c r="I17" s="2785">
        <f t="shared" si="3"/>
        <v>199.1302952953684</v>
      </c>
    </row>
    <row r="18" spans="1:9" x14ac:dyDescent="0.2">
      <c r="A18" t="s">
        <v>479</v>
      </c>
      <c r="B18" s="2785">
        <f t="shared" si="3"/>
        <v>49.507399023895317</v>
      </c>
      <c r="C18" s="2785">
        <f t="shared" si="3"/>
        <v>54.966532453398699</v>
      </c>
      <c r="D18" s="2785">
        <f t="shared" si="3"/>
        <v>63.071134262877045</v>
      </c>
      <c r="E18" s="2785">
        <f t="shared" si="3"/>
        <v>72.354224723643824</v>
      </c>
      <c r="F18" s="2785">
        <f t="shared" si="3"/>
        <v>83.379355430555947</v>
      </c>
      <c r="G18" s="2785">
        <f t="shared" si="3"/>
        <v>96.719168449132169</v>
      </c>
      <c r="H18" s="2785">
        <f t="shared" si="3"/>
        <v>112.91984594962042</v>
      </c>
      <c r="I18" s="2785">
        <f t="shared" si="3"/>
        <v>130.15712552338658</v>
      </c>
    </row>
    <row r="19" spans="1:9" x14ac:dyDescent="0.2">
      <c r="A19" t="s">
        <v>489</v>
      </c>
      <c r="B19" s="2785">
        <f t="shared" si="3"/>
        <v>15.971933120672052</v>
      </c>
      <c r="C19" s="2785">
        <f t="shared" si="3"/>
        <v>17.93932538166975</v>
      </c>
      <c r="D19" s="2785">
        <f t="shared" si="3"/>
        <v>21.052980236559044</v>
      </c>
      <c r="E19" s="2785">
        <f t="shared" si="3"/>
        <v>24.608199498793461</v>
      </c>
      <c r="F19" s="2785">
        <f t="shared" si="3"/>
        <v>28.328767991023192</v>
      </c>
      <c r="G19" s="2785">
        <f t="shared" si="3"/>
        <v>32.183151232645336</v>
      </c>
      <c r="H19" s="2785">
        <f t="shared" si="3"/>
        <v>36.267338239387406</v>
      </c>
      <c r="I19" s="2785">
        <f t="shared" si="3"/>
        <v>38.811564235740136</v>
      </c>
    </row>
    <row r="20" spans="1:9" x14ac:dyDescent="0.2">
      <c r="A20" t="s">
        <v>490</v>
      </c>
      <c r="B20" s="2785">
        <f t="shared" si="3"/>
        <v>4.027512716164436</v>
      </c>
      <c r="C20" s="2785">
        <f t="shared" si="3"/>
        <v>4.1497601193813418</v>
      </c>
      <c r="D20" s="2785">
        <f t="shared" si="3"/>
        <v>4.4123956211743023</v>
      </c>
      <c r="E20" s="2785">
        <f t="shared" si="3"/>
        <v>4.6940774692200495</v>
      </c>
      <c r="F20" s="2785">
        <f t="shared" si="3"/>
        <v>4.9719763073114942</v>
      </c>
      <c r="G20" s="2785">
        <f t="shared" si="3"/>
        <v>5.2405844841861082</v>
      </c>
      <c r="H20" s="2785">
        <f t="shared" si="3"/>
        <v>5.5082188136655823</v>
      </c>
      <c r="I20" s="2785">
        <f t="shared" si="3"/>
        <v>5.7863827304158413</v>
      </c>
    </row>
    <row r="21" spans="1:9" x14ac:dyDescent="0.2">
      <c r="A21" t="s">
        <v>937</v>
      </c>
      <c r="B21" s="2786">
        <f t="shared" si="3"/>
        <v>18.512500005814964</v>
      </c>
      <c r="C21" s="2786">
        <f t="shared" si="3"/>
        <v>19.654612176542411</v>
      </c>
      <c r="D21" s="2786">
        <f t="shared" si="3"/>
        <v>20.037711065883578</v>
      </c>
      <c r="E21" s="2786">
        <f t="shared" si="3"/>
        <v>20.460683188928289</v>
      </c>
      <c r="F21" s="2786">
        <f t="shared" si="3"/>
        <v>20.927678525324172</v>
      </c>
      <c r="G21" s="2786">
        <f t="shared" si="3"/>
        <v>21.443279199860431</v>
      </c>
      <c r="H21" s="2786">
        <f t="shared" si="3"/>
        <v>22.01254397860091</v>
      </c>
      <c r="I21" s="2786">
        <f t="shared" si="3"/>
        <v>22.641058300866426</v>
      </c>
    </row>
    <row r="22" spans="1:9" x14ac:dyDescent="0.2">
      <c r="B22" s="2785">
        <f>SUM(B15:B21)</f>
        <v>319.04409154663142</v>
      </c>
      <c r="C22" s="2785">
        <f t="shared" ref="C22:I22" si="4">SUM(C15:C21)</f>
        <v>357.73459860035791</v>
      </c>
      <c r="D22" s="2785">
        <f t="shared" si="4"/>
        <v>408.81115714923425</v>
      </c>
      <c r="E22" s="2785">
        <f t="shared" si="4"/>
        <v>463.26701237938374</v>
      </c>
      <c r="F22" s="2785">
        <f t="shared" si="4"/>
        <v>521.04182864693462</v>
      </c>
      <c r="G22" s="2785">
        <f t="shared" si="4"/>
        <v>576.25281038419507</v>
      </c>
      <c r="H22" s="2785">
        <f t="shared" si="4"/>
        <v>629.53563464916442</v>
      </c>
      <c r="I22" s="2785">
        <f t="shared" si="4"/>
        <v>679.10373875755988</v>
      </c>
    </row>
    <row r="23" spans="1:9" x14ac:dyDescent="0.2">
      <c r="B23" s="2785"/>
      <c r="C23" s="2785"/>
      <c r="D23" s="2785"/>
      <c r="E23" s="2785"/>
      <c r="F23" s="2785"/>
      <c r="G23" s="2785"/>
      <c r="H23" s="2785"/>
      <c r="I23" s="2785"/>
    </row>
    <row r="24" spans="1:9" x14ac:dyDescent="0.2">
      <c r="I24" s="745" t="s">
        <v>171</v>
      </c>
    </row>
    <row r="25" spans="1:9" ht="15" x14ac:dyDescent="0.25">
      <c r="A25" s="80" t="s">
        <v>1935</v>
      </c>
      <c r="B25" s="1867">
        <v>2015</v>
      </c>
      <c r="C25" s="1867">
        <v>2020</v>
      </c>
      <c r="D25" s="1867">
        <v>2025</v>
      </c>
      <c r="E25" s="1867">
        <v>2030</v>
      </c>
      <c r="F25" s="1867">
        <v>2035</v>
      </c>
      <c r="G25" s="1867">
        <v>2040</v>
      </c>
      <c r="H25" s="1867">
        <v>2045</v>
      </c>
      <c r="I25" s="1867">
        <v>2050</v>
      </c>
    </row>
    <row r="26" spans="1:9" x14ac:dyDescent="0.2">
      <c r="A26" t="s">
        <v>935</v>
      </c>
      <c r="B26" s="2787">
        <f>C69/$M$2</f>
        <v>85.074856252970235</v>
      </c>
      <c r="C26" s="2787">
        <f t="shared" ref="C26:I26" si="5">D69/$M$2</f>
        <v>96.056093582757768</v>
      </c>
      <c r="D26" s="2787">
        <f t="shared" si="5"/>
        <v>104.84030316555511</v>
      </c>
      <c r="E26" s="2787">
        <f t="shared" si="5"/>
        <v>112.10116693976734</v>
      </c>
      <c r="F26" s="2787">
        <f t="shared" si="5"/>
        <v>120.9859907790288</v>
      </c>
      <c r="G26" s="2787">
        <f t="shared" si="5"/>
        <v>130.43365099282948</v>
      </c>
      <c r="H26" s="2787">
        <f t="shared" si="5"/>
        <v>139.22684079721196</v>
      </c>
      <c r="I26" s="2787">
        <f t="shared" si="5"/>
        <v>147.83284638899451</v>
      </c>
    </row>
    <row r="27" spans="1:9" x14ac:dyDescent="0.2">
      <c r="A27" t="s">
        <v>936</v>
      </c>
      <c r="B27" s="2788">
        <f t="shared" ref="B27:I32" si="6">C70/$M$2</f>
        <v>50.767892087480014</v>
      </c>
      <c r="C27" s="2788">
        <f t="shared" si="6"/>
        <v>62.614349689342227</v>
      </c>
      <c r="D27" s="2788">
        <f t="shared" si="6"/>
        <v>74.239900661229939</v>
      </c>
      <c r="E27" s="2788">
        <f t="shared" si="6"/>
        <v>81.638561379083683</v>
      </c>
      <c r="F27" s="2788">
        <f t="shared" si="6"/>
        <v>92.221127678363629</v>
      </c>
      <c r="G27" s="2788">
        <f t="shared" si="6"/>
        <v>103.17270066151468</v>
      </c>
      <c r="H27" s="2788">
        <f t="shared" si="6"/>
        <v>113.77629494160291</v>
      </c>
      <c r="I27" s="2788">
        <f t="shared" si="6"/>
        <v>122.58876609654936</v>
      </c>
    </row>
    <row r="28" spans="1:9" x14ac:dyDescent="0.2">
      <c r="A28" t="s">
        <v>420</v>
      </c>
      <c r="B28" s="2788">
        <f t="shared" si="6"/>
        <v>95.181867255528473</v>
      </c>
      <c r="C28" s="2788">
        <f t="shared" si="6"/>
        <v>102.35318722674211</v>
      </c>
      <c r="D28" s="2788">
        <f t="shared" si="6"/>
        <v>118.32733988778348</v>
      </c>
      <c r="E28" s="2788">
        <f t="shared" si="6"/>
        <v>136.63786081262805</v>
      </c>
      <c r="F28" s="2788">
        <f t="shared" si="6"/>
        <v>152.25585452731193</v>
      </c>
      <c r="G28" s="2788">
        <f t="shared" si="6"/>
        <v>163.21737506669635</v>
      </c>
      <c r="H28" s="2788">
        <f t="shared" si="6"/>
        <v>170.9743575769418</v>
      </c>
      <c r="I28" s="2788">
        <f t="shared" si="6"/>
        <v>176.86013667424407</v>
      </c>
    </row>
    <row r="29" spans="1:9" x14ac:dyDescent="0.2">
      <c r="A29" t="s">
        <v>479</v>
      </c>
      <c r="B29" s="2788">
        <f t="shared" si="6"/>
        <v>49.507399023895317</v>
      </c>
      <c r="C29" s="2788">
        <f t="shared" si="6"/>
        <v>54.966532453398699</v>
      </c>
      <c r="D29" s="2788">
        <f t="shared" si="6"/>
        <v>62.530874294996572</v>
      </c>
      <c r="E29" s="2788">
        <f t="shared" si="6"/>
        <v>70.204460355942089</v>
      </c>
      <c r="F29" s="2788">
        <f t="shared" si="6"/>
        <v>79.368809566438713</v>
      </c>
      <c r="G29" s="2788">
        <f t="shared" si="6"/>
        <v>90.46102570980284</v>
      </c>
      <c r="H29" s="2788">
        <f t="shared" si="6"/>
        <v>103.46990231226971</v>
      </c>
      <c r="I29" s="2788">
        <f t="shared" si="6"/>
        <v>117.14136157265196</v>
      </c>
    </row>
    <row r="30" spans="1:9" x14ac:dyDescent="0.2">
      <c r="A30" t="s">
        <v>489</v>
      </c>
      <c r="B30" s="2788">
        <f t="shared" si="6"/>
        <v>15.971933120672052</v>
      </c>
      <c r="C30" s="2788">
        <f t="shared" si="6"/>
        <v>17.93932538166975</v>
      </c>
      <c r="D30" s="2788">
        <f t="shared" si="6"/>
        <v>20.6590064155207</v>
      </c>
      <c r="E30" s="2788">
        <f t="shared" si="6"/>
        <v>23.295266992497844</v>
      </c>
      <c r="F30" s="2788">
        <f t="shared" si="6"/>
        <v>26.190711640315989</v>
      </c>
      <c r="G30" s="2788">
        <f t="shared" si="6"/>
        <v>29.242898865565412</v>
      </c>
      <c r="H30" s="2788">
        <f t="shared" si="6"/>
        <v>32.544355348102933</v>
      </c>
      <c r="I30" s="2788">
        <f t="shared" si="6"/>
        <v>35.838316302360361</v>
      </c>
    </row>
    <row r="31" spans="1:9" x14ac:dyDescent="0.2">
      <c r="A31" t="s">
        <v>490</v>
      </c>
      <c r="B31" s="2788">
        <f t="shared" si="6"/>
        <v>4.027512716164436</v>
      </c>
      <c r="C31" s="2788">
        <f t="shared" si="6"/>
        <v>4.1497601193813418</v>
      </c>
      <c r="D31" s="2788">
        <f t="shared" si="6"/>
        <v>4.3840192287232833</v>
      </c>
      <c r="E31" s="2788">
        <f t="shared" si="6"/>
        <v>4.5984098864451326</v>
      </c>
      <c r="F31" s="2788">
        <f t="shared" si="6"/>
        <v>4.8199605358990194</v>
      </c>
      <c r="G31" s="2788">
        <f t="shared" si="6"/>
        <v>5.0411146568336482</v>
      </c>
      <c r="H31" s="2788">
        <f t="shared" si="6"/>
        <v>5.2788457124862891</v>
      </c>
      <c r="I31" s="2788">
        <f t="shared" si="6"/>
        <v>5.5211470950736192</v>
      </c>
    </row>
    <row r="32" spans="1:9" x14ac:dyDescent="0.2">
      <c r="A32" t="s">
        <v>937</v>
      </c>
      <c r="B32" s="2786">
        <f t="shared" si="6"/>
        <v>18.512500005814964</v>
      </c>
      <c r="C32" s="2786">
        <f t="shared" si="6"/>
        <v>19.654612176542411</v>
      </c>
      <c r="D32" s="2786">
        <f t="shared" si="6"/>
        <v>20.037711065883578</v>
      </c>
      <c r="E32" s="2786">
        <f t="shared" si="6"/>
        <v>20.460683188928289</v>
      </c>
      <c r="F32" s="2786">
        <f t="shared" si="6"/>
        <v>20.927678525324172</v>
      </c>
      <c r="G32" s="2786">
        <f t="shared" si="6"/>
        <v>21.443279199860431</v>
      </c>
      <c r="H32" s="2786">
        <f t="shared" si="6"/>
        <v>22.01254397860091</v>
      </c>
      <c r="I32" s="2786">
        <f t="shared" si="6"/>
        <v>22.641058300866426</v>
      </c>
    </row>
    <row r="33" spans="1:9" x14ac:dyDescent="0.2">
      <c r="B33" s="2785">
        <f t="shared" ref="B33:I33" si="7">SUM(B26:B32)</f>
        <v>319.04396046252555</v>
      </c>
      <c r="C33" s="2785">
        <f t="shared" si="7"/>
        <v>357.73386062983428</v>
      </c>
      <c r="D33" s="2785">
        <f t="shared" si="7"/>
        <v>405.01915471969266</v>
      </c>
      <c r="E33" s="2785">
        <f t="shared" si="7"/>
        <v>448.93640955529241</v>
      </c>
      <c r="F33" s="2785">
        <f t="shared" si="7"/>
        <v>496.77013325268229</v>
      </c>
      <c r="G33" s="2785">
        <f t="shared" si="7"/>
        <v>543.0120451531028</v>
      </c>
      <c r="H33" s="2785">
        <f t="shared" si="7"/>
        <v>587.28314066721646</v>
      </c>
      <c r="I33" s="2785">
        <f t="shared" si="7"/>
        <v>628.42363243074033</v>
      </c>
    </row>
    <row r="34" spans="1:9" x14ac:dyDescent="0.2">
      <c r="B34" s="2785"/>
      <c r="C34" s="2785"/>
      <c r="D34" s="2785"/>
      <c r="E34" s="2785"/>
      <c r="F34" s="2785"/>
      <c r="G34" s="2785"/>
      <c r="H34" s="2785"/>
      <c r="I34" s="2785"/>
    </row>
    <row r="36" spans="1:9" x14ac:dyDescent="0.2">
      <c r="A36" s="80" t="s">
        <v>1936</v>
      </c>
      <c r="I36" s="745" t="s">
        <v>171</v>
      </c>
    </row>
    <row r="37" spans="1:9" ht="15" x14ac:dyDescent="0.25">
      <c r="B37" s="1867">
        <v>2015</v>
      </c>
      <c r="C37" s="1867">
        <v>2020</v>
      </c>
      <c r="D37" s="1867">
        <v>2025</v>
      </c>
      <c r="E37" s="1867">
        <v>2030</v>
      </c>
      <c r="F37" s="1867">
        <v>2035</v>
      </c>
      <c r="G37" s="1867">
        <v>2040</v>
      </c>
      <c r="H37" s="1867">
        <v>2045</v>
      </c>
      <c r="I37" s="1867">
        <v>2050</v>
      </c>
    </row>
    <row r="38" spans="1:9" x14ac:dyDescent="0.2">
      <c r="A38" t="s">
        <v>1934</v>
      </c>
      <c r="B38" s="2785">
        <f>C110/$M$2</f>
        <v>71.438420313872697</v>
      </c>
      <c r="C38" s="2785">
        <f t="shared" ref="C38:I38" si="8">D110/$M$2</f>
        <v>85.743128584816162</v>
      </c>
      <c r="D38" s="2785">
        <f t="shared" si="8"/>
        <v>101.05736491461823</v>
      </c>
      <c r="E38" s="2785">
        <f t="shared" si="8"/>
        <v>115.78574943081706</v>
      </c>
      <c r="F38" s="2785">
        <f t="shared" si="8"/>
        <v>132.83210963932817</v>
      </c>
      <c r="G38" s="2785">
        <f t="shared" si="8"/>
        <v>150.51109445553126</v>
      </c>
      <c r="H38" s="2785">
        <f t="shared" si="8"/>
        <v>169.02986219221336</v>
      </c>
      <c r="I38" s="2785">
        <f t="shared" si="8"/>
        <v>185.84736978840834</v>
      </c>
    </row>
    <row r="39" spans="1:9" x14ac:dyDescent="0.2">
      <c r="A39" t="s">
        <v>1935</v>
      </c>
      <c r="B39" s="2785">
        <f>C109/$M$2</f>
        <v>71.438527688170396</v>
      </c>
      <c r="C39" s="2785">
        <f t="shared" ref="C39:I39" si="9">D109/$M$2</f>
        <v>85.743793273585368</v>
      </c>
      <c r="D39" s="2785">
        <f t="shared" si="9"/>
        <v>100.34681752308279</v>
      </c>
      <c r="E39" s="2785">
        <f t="shared" si="9"/>
        <v>113.2975740619575</v>
      </c>
      <c r="F39" s="2785">
        <f t="shared" si="9"/>
        <v>128.60913177466287</v>
      </c>
      <c r="G39" s="2785">
        <f t="shared" si="9"/>
        <v>144.45125536448853</v>
      </c>
      <c r="H39" s="2785">
        <f t="shared" si="9"/>
        <v>160.88429135156241</v>
      </c>
      <c r="I39" s="2785">
        <f t="shared" si="9"/>
        <v>176.39898267120915</v>
      </c>
    </row>
    <row r="55" spans="1:10" ht="15" x14ac:dyDescent="0.25">
      <c r="A55" s="75" t="s">
        <v>1924</v>
      </c>
    </row>
    <row r="56" spans="1:10" ht="15" x14ac:dyDescent="0.25">
      <c r="A56" s="2780" t="s">
        <v>940</v>
      </c>
    </row>
    <row r="58" spans="1:10" ht="15" x14ac:dyDescent="0.25">
      <c r="B58" s="2781" t="s">
        <v>941</v>
      </c>
      <c r="C58" s="2781">
        <v>2015</v>
      </c>
      <c r="D58" s="2781">
        <v>2020</v>
      </c>
      <c r="E58" s="2781">
        <v>2025</v>
      </c>
      <c r="F58" s="2781">
        <v>2030</v>
      </c>
      <c r="G58" s="2781">
        <v>2035</v>
      </c>
      <c r="H58" s="2781">
        <v>2040</v>
      </c>
      <c r="I58" s="2781">
        <v>2045</v>
      </c>
      <c r="J58" s="2781">
        <v>2050</v>
      </c>
    </row>
    <row r="59" spans="1:10" x14ac:dyDescent="0.2">
      <c r="B59" t="s">
        <v>1676</v>
      </c>
      <c r="C59" s="2782">
        <v>274329.94940370251</v>
      </c>
      <c r="D59" s="2782">
        <v>307597.46006256307</v>
      </c>
      <c r="E59" s="2782">
        <v>348255.72018572775</v>
      </c>
      <c r="F59" s="2782">
        <v>386017.97175611818</v>
      </c>
      <c r="G59" s="2782">
        <v>427147.79907731886</v>
      </c>
      <c r="H59" s="2782">
        <v>466908.90702489554</v>
      </c>
      <c r="I59" s="2782">
        <v>504975.40850270621</v>
      </c>
      <c r="J59" s="2782">
        <v>540350.06034557207</v>
      </c>
    </row>
    <row r="60" spans="1:10" x14ac:dyDescent="0.2">
      <c r="B60" t="s">
        <v>1677</v>
      </c>
      <c r="C60" s="2782">
        <v>274330.06211637094</v>
      </c>
      <c r="D60" s="2782">
        <v>307598.09460651776</v>
      </c>
      <c r="E60" s="2782">
        <v>351516.27347476908</v>
      </c>
      <c r="F60" s="2782">
        <v>398340.14059441304</v>
      </c>
      <c r="G60" s="2782">
        <v>448017.81636206672</v>
      </c>
      <c r="H60" s="2782">
        <v>495490.97900885018</v>
      </c>
      <c r="I60" s="2782">
        <v>541306.21545308398</v>
      </c>
      <c r="J60" s="2782">
        <v>583927.34977068787</v>
      </c>
    </row>
    <row r="61" spans="1:10" x14ac:dyDescent="0.2">
      <c r="B61" t="s">
        <v>1678</v>
      </c>
      <c r="C61" s="78">
        <v>274330.13948657853</v>
      </c>
      <c r="D61" s="78">
        <v>312869.75675698608</v>
      </c>
      <c r="E61" s="78">
        <v>369838.86555973603</v>
      </c>
      <c r="F61" s="78">
        <v>427325.68517068087</v>
      </c>
      <c r="G61" s="78">
        <v>483709.38119983231</v>
      </c>
      <c r="H61" s="78">
        <v>536697.02863621607</v>
      </c>
      <c r="I61" s="78">
        <v>590343.45149692625</v>
      </c>
      <c r="J61" s="78">
        <v>620959.38872607122</v>
      </c>
    </row>
    <row r="62" spans="1:10" x14ac:dyDescent="0.2">
      <c r="B62" t="s">
        <v>1925</v>
      </c>
      <c r="C62" s="2782">
        <v>273922.90605925774</v>
      </c>
      <c r="D62" s="2782">
        <v>296955.17427720182</v>
      </c>
      <c r="E62" s="2782">
        <v>318280.42949806683</v>
      </c>
      <c r="F62" s="2782">
        <v>334155.80529358133</v>
      </c>
      <c r="G62" s="2782">
        <v>353827.90366386488</v>
      </c>
      <c r="H62" s="2782">
        <v>373921.41755910672</v>
      </c>
      <c r="I62" s="2782">
        <v>394132.72727802832</v>
      </c>
      <c r="J62" s="2782">
        <v>413452.19353024894</v>
      </c>
    </row>
    <row r="63" spans="1:10" x14ac:dyDescent="0.2">
      <c r="B63" t="s">
        <v>1926</v>
      </c>
      <c r="C63" s="2782">
        <v>273923.00858650322</v>
      </c>
      <c r="D63" s="2782">
        <v>295048.6623726245</v>
      </c>
      <c r="E63" s="2782">
        <v>319063.92940952699</v>
      </c>
      <c r="F63" s="2782">
        <v>342141.52721463086</v>
      </c>
      <c r="G63" s="2782">
        <v>367924.17807076836</v>
      </c>
      <c r="H63" s="2782">
        <v>393206.38209981832</v>
      </c>
      <c r="I63" s="2782">
        <v>418569.30817659514</v>
      </c>
      <c r="J63" s="2782">
        <v>442698.98721102602</v>
      </c>
    </row>
    <row r="65" spans="1:10" x14ac:dyDescent="0.2">
      <c r="A65" t="s">
        <v>939</v>
      </c>
    </row>
    <row r="66" spans="1:10" x14ac:dyDescent="0.2">
      <c r="A66" t="s">
        <v>940</v>
      </c>
    </row>
    <row r="68" spans="1:10" ht="15" x14ac:dyDescent="0.25">
      <c r="A68" s="2781" t="s">
        <v>941</v>
      </c>
      <c r="B68" s="2781" t="s">
        <v>40</v>
      </c>
      <c r="C68" s="2781">
        <v>2015</v>
      </c>
      <c r="D68" s="2781">
        <v>2020</v>
      </c>
      <c r="E68" s="2781">
        <v>2025</v>
      </c>
      <c r="F68" s="2781">
        <v>2030</v>
      </c>
      <c r="G68" s="2781">
        <v>2035</v>
      </c>
      <c r="H68" s="2781">
        <v>2040</v>
      </c>
      <c r="I68" s="2781">
        <v>2045</v>
      </c>
      <c r="J68" s="2781">
        <v>2050</v>
      </c>
    </row>
    <row r="69" spans="1:10" x14ac:dyDescent="0.2">
      <c r="A69" t="s">
        <v>1676</v>
      </c>
      <c r="B69" t="s">
        <v>935</v>
      </c>
      <c r="C69" s="2782">
        <v>73151.615149116464</v>
      </c>
      <c r="D69" s="2782">
        <v>82593.832067134266</v>
      </c>
      <c r="E69" s="2782">
        <v>90146.934676902572</v>
      </c>
      <c r="F69" s="2782">
        <v>96390.188393158955</v>
      </c>
      <c r="G69" s="2782">
        <v>104029.80417134792</v>
      </c>
      <c r="H69" s="2782">
        <v>112153.37480618444</v>
      </c>
      <c r="I69" s="2782">
        <v>119714.19905948271</v>
      </c>
      <c r="J69" s="2782">
        <v>127114.07296757694</v>
      </c>
    </row>
    <row r="70" spans="1:10" x14ac:dyDescent="0.2">
      <c r="A70" t="s">
        <v>1676</v>
      </c>
      <c r="B70" t="s">
        <v>936</v>
      </c>
      <c r="C70" s="2782">
        <v>43652.772011419693</v>
      </c>
      <c r="D70" s="2782">
        <v>53838.948580380915</v>
      </c>
      <c r="E70" s="2782">
        <v>63835.178583558562</v>
      </c>
      <c r="F70" s="2782">
        <v>70196.917001805108</v>
      </c>
      <c r="G70" s="2782">
        <v>79296.336634240972</v>
      </c>
      <c r="H70" s="2782">
        <v>88713.046663803398</v>
      </c>
      <c r="I70" s="2782">
        <v>97830.547205537267</v>
      </c>
      <c r="J70" s="2782">
        <v>105407.95052811797</v>
      </c>
    </row>
    <row r="71" spans="1:10" x14ac:dyDescent="0.2">
      <c r="A71" t="s">
        <v>1676</v>
      </c>
      <c r="B71" t="s">
        <v>420</v>
      </c>
      <c r="C71" s="2782">
        <v>81842.128559666162</v>
      </c>
      <c r="D71" s="2782">
        <v>88008.388036914199</v>
      </c>
      <c r="E71" s="2782">
        <v>101743.76320251063</v>
      </c>
      <c r="F71" s="2782">
        <v>117488.06461973823</v>
      </c>
      <c r="G71" s="2782">
        <v>130917.19651530916</v>
      </c>
      <c r="H71" s="2782">
        <v>140342.45995109886</v>
      </c>
      <c r="I71" s="2782">
        <v>147012.30136253341</v>
      </c>
      <c r="J71" s="2782">
        <v>152073.18851934877</v>
      </c>
    </row>
    <row r="72" spans="1:10" x14ac:dyDescent="0.2">
      <c r="A72" t="s">
        <v>1676</v>
      </c>
      <c r="B72" t="s">
        <v>479</v>
      </c>
      <c r="C72" s="2782">
        <v>42568.93705069639</v>
      </c>
      <c r="D72" s="2782">
        <v>47262.972930054872</v>
      </c>
      <c r="E72" s="2782">
        <v>53767.172262552805</v>
      </c>
      <c r="F72" s="2782">
        <v>60365.305237056811</v>
      </c>
      <c r="G72" s="2782">
        <v>68245.270905702331</v>
      </c>
      <c r="H72" s="2782">
        <v>77782.912956573971</v>
      </c>
      <c r="I72" s="2782">
        <v>88968.595503205113</v>
      </c>
      <c r="J72" s="2782">
        <v>100723.99974824479</v>
      </c>
    </row>
    <row r="73" spans="1:10" x14ac:dyDescent="0.2">
      <c r="A73" t="s">
        <v>1676</v>
      </c>
      <c r="B73" t="s">
        <v>489</v>
      </c>
      <c r="C73" s="2782">
        <v>13733.466693809864</v>
      </c>
      <c r="D73" s="2782">
        <v>15425.128929428736</v>
      </c>
      <c r="E73" s="2782">
        <v>17763.646666385474</v>
      </c>
      <c r="F73" s="2782">
        <v>20030.43532349927</v>
      </c>
      <c r="G73" s="2782">
        <v>22520.083403925702</v>
      </c>
      <c r="H73" s="2782">
        <v>25144.506589556418</v>
      </c>
      <c r="I73" s="2782">
        <v>27983.263946066309</v>
      </c>
      <c r="J73" s="2782">
        <v>30815.576272584556</v>
      </c>
    </row>
    <row r="74" spans="1:10" x14ac:dyDescent="0.2">
      <c r="A74" t="s">
        <v>1676</v>
      </c>
      <c r="B74" t="s">
        <v>490</v>
      </c>
      <c r="C74" s="2782">
        <v>3463.0568089939902</v>
      </c>
      <c r="D74" s="2782">
        <v>3568.1712386500467</v>
      </c>
      <c r="E74" s="2782">
        <v>3769.5989338177155</v>
      </c>
      <c r="F74" s="2782">
        <v>3953.9427408598476</v>
      </c>
      <c r="G74" s="2782">
        <v>4144.4430667927718</v>
      </c>
      <c r="H74" s="2782">
        <v>4334.6024376784126</v>
      </c>
      <c r="I74" s="2782">
        <v>4539.0154858813357</v>
      </c>
      <c r="J74" s="2782">
        <v>4747.3583296990519</v>
      </c>
    </row>
    <row r="75" spans="1:10" x14ac:dyDescent="0.2">
      <c r="A75" t="s">
        <v>1676</v>
      </c>
      <c r="B75" t="s">
        <v>937</v>
      </c>
      <c r="C75" s="2782">
        <v>15917.973129999997</v>
      </c>
      <c r="D75" s="2782">
        <v>16900.018279999993</v>
      </c>
      <c r="E75" s="2782">
        <v>17229.425859999996</v>
      </c>
      <c r="F75" s="2782">
        <v>17593.118439999991</v>
      </c>
      <c r="G75" s="2782">
        <v>17994.664379999991</v>
      </c>
      <c r="H75" s="2782">
        <v>18438.003619999992</v>
      </c>
      <c r="I75" s="2782">
        <v>18927.485939999991</v>
      </c>
      <c r="J75" s="2782">
        <v>19467.913979999998</v>
      </c>
    </row>
    <row r="76" spans="1:10" x14ac:dyDescent="0.2">
      <c r="A76" t="s">
        <v>1677</v>
      </c>
      <c r="B76" t="s">
        <v>935</v>
      </c>
      <c r="C76" s="2782">
        <v>73151.615149116464</v>
      </c>
      <c r="D76" s="2782">
        <v>82593.832067134266</v>
      </c>
      <c r="E76" s="2782">
        <v>90992.992823040375</v>
      </c>
      <c r="F76" s="2782">
        <v>99221.970398503981</v>
      </c>
      <c r="G76" s="2782">
        <v>108661.55506146159</v>
      </c>
      <c r="H76" s="2782">
        <v>118569.99489498156</v>
      </c>
      <c r="I76" s="2782">
        <v>127884.78078319872</v>
      </c>
      <c r="J76" s="2782">
        <v>137566.15177271416</v>
      </c>
    </row>
    <row r="77" spans="1:10" x14ac:dyDescent="0.2">
      <c r="A77" t="s">
        <v>1677</v>
      </c>
      <c r="B77" t="s">
        <v>936</v>
      </c>
      <c r="C77" s="2782">
        <v>43652.772011419693</v>
      </c>
      <c r="D77" s="2782">
        <v>53838.948580380915</v>
      </c>
      <c r="E77" s="2782">
        <v>63835.178583558562</v>
      </c>
      <c r="F77" s="2782">
        <v>70196.917001805108</v>
      </c>
      <c r="G77" s="2782">
        <v>79296.336634240972</v>
      </c>
      <c r="H77" s="2782">
        <v>88713.046663803398</v>
      </c>
      <c r="I77" s="2782">
        <v>97830.547205537267</v>
      </c>
      <c r="J77" s="2782">
        <v>105407.95052811797</v>
      </c>
    </row>
    <row r="78" spans="1:10" x14ac:dyDescent="0.2">
      <c r="A78" t="s">
        <v>1677</v>
      </c>
      <c r="B78" t="s">
        <v>420</v>
      </c>
      <c r="C78" s="2782">
        <v>81842.241272334591</v>
      </c>
      <c r="D78" s="2782">
        <v>88009.022580868914</v>
      </c>
      <c r="E78" s="2782">
        <v>103330.55798096328</v>
      </c>
      <c r="F78" s="2782">
        <v>123918.79177453244</v>
      </c>
      <c r="G78" s="2782">
        <v>141737.87653447757</v>
      </c>
      <c r="H78" s="2782">
        <v>154427.15768296146</v>
      </c>
      <c r="I78" s="2782">
        <v>163648.55925249928</v>
      </c>
      <c r="J78" s="2782">
        <v>171222.18440972251</v>
      </c>
    </row>
    <row r="79" spans="1:10" x14ac:dyDescent="0.2">
      <c r="A79" t="s">
        <v>1677</v>
      </c>
      <c r="B79" t="s">
        <v>479</v>
      </c>
      <c r="C79" s="2782">
        <v>42568.93705069639</v>
      </c>
      <c r="D79" s="2782">
        <v>47262.972930054872</v>
      </c>
      <c r="E79" s="2782">
        <v>54231.714795934829</v>
      </c>
      <c r="F79" s="2782">
        <v>62213.780128625149</v>
      </c>
      <c r="G79" s="2782">
        <v>71693.738766963535</v>
      </c>
      <c r="H79" s="2782">
        <v>83163.976990986295</v>
      </c>
      <c r="I79" s="2782">
        <v>97094.129539781119</v>
      </c>
      <c r="J79" s="2782">
        <v>111915.60438128395</v>
      </c>
    </row>
    <row r="80" spans="1:10" x14ac:dyDescent="0.2">
      <c r="A80" t="s">
        <v>1677</v>
      </c>
      <c r="B80" t="s">
        <v>489</v>
      </c>
      <c r="C80" s="2782">
        <v>13733.466693809864</v>
      </c>
      <c r="D80" s="2782">
        <v>15425.128929428736</v>
      </c>
      <c r="E80" s="2782">
        <v>18102.405056405296</v>
      </c>
      <c r="F80" s="2782">
        <v>21159.360339037557</v>
      </c>
      <c r="G80" s="2782">
        <v>24358.491157081291</v>
      </c>
      <c r="H80" s="2782">
        <v>27672.682587390096</v>
      </c>
      <c r="I80" s="2782">
        <v>31184.470785137262</v>
      </c>
      <c r="J80" s="2782">
        <v>33372.123508101155</v>
      </c>
    </row>
    <row r="81" spans="1:10" x14ac:dyDescent="0.2">
      <c r="A81" t="s">
        <v>1677</v>
      </c>
      <c r="B81" t="s">
        <v>490</v>
      </c>
      <c r="C81" s="2782">
        <v>3463.0568089939902</v>
      </c>
      <c r="D81" s="2782">
        <v>3568.1712386500467</v>
      </c>
      <c r="E81" s="2782">
        <v>3793.9983748667241</v>
      </c>
      <c r="F81" s="2782">
        <v>4036.2025119088598</v>
      </c>
      <c r="G81" s="2782">
        <v>4275.1538278417884</v>
      </c>
      <c r="H81" s="2782">
        <v>4506.1165687274251</v>
      </c>
      <c r="I81" s="2782">
        <v>4736.2419469303513</v>
      </c>
      <c r="J81" s="2782">
        <v>4975.4211907480612</v>
      </c>
    </row>
    <row r="82" spans="1:10" x14ac:dyDescent="0.2">
      <c r="A82" t="s">
        <v>1677</v>
      </c>
      <c r="B82" t="s">
        <v>937</v>
      </c>
      <c r="C82" s="2782">
        <v>15917.973129999997</v>
      </c>
      <c r="D82" s="2782">
        <v>16900.018279999993</v>
      </c>
      <c r="E82" s="2782">
        <v>17229.425859999996</v>
      </c>
      <c r="F82" s="2782">
        <v>17593.118439999991</v>
      </c>
      <c r="G82" s="2782">
        <v>17994.664379999991</v>
      </c>
      <c r="H82" s="2782">
        <v>18438.003619999992</v>
      </c>
      <c r="I82" s="2782">
        <v>18927.485939999991</v>
      </c>
      <c r="J82" s="2782">
        <v>19467.913979999998</v>
      </c>
    </row>
    <row r="83" spans="1:10" x14ac:dyDescent="0.2">
      <c r="A83" t="s">
        <v>1678</v>
      </c>
      <c r="B83" t="s">
        <v>935</v>
      </c>
      <c r="C83" s="2782">
        <v>73151.615149116464</v>
      </c>
      <c r="D83" s="2782">
        <v>83916.024229330942</v>
      </c>
      <c r="E83" s="2782">
        <v>95073.247295908877</v>
      </c>
      <c r="F83" s="2782">
        <v>104657.95385731013</v>
      </c>
      <c r="G83" s="2782">
        <v>114889.26652095243</v>
      </c>
      <c r="H83" s="2782">
        <v>125638.60667319305</v>
      </c>
      <c r="I83" s="2782">
        <v>135829.14524424105</v>
      </c>
      <c r="J83" s="2782">
        <v>146393.76504266812</v>
      </c>
    </row>
    <row r="84" spans="1:10" x14ac:dyDescent="0.2">
      <c r="A84" t="s">
        <v>1678</v>
      </c>
      <c r="B84" t="s">
        <v>936</v>
      </c>
      <c r="C84" s="2782">
        <v>43652.772011419693</v>
      </c>
      <c r="D84" s="2782">
        <v>53838.948580380915</v>
      </c>
      <c r="E84" s="2782">
        <v>63835.178583558562</v>
      </c>
      <c r="F84" s="2782">
        <v>70196.917001805108</v>
      </c>
      <c r="G84" s="2782">
        <v>79296.336634240972</v>
      </c>
      <c r="H84" s="2782">
        <v>88713.046663803398</v>
      </c>
      <c r="I84" s="2782">
        <v>97830.547205537267</v>
      </c>
      <c r="J84" s="2782">
        <v>105407.95052811797</v>
      </c>
    </row>
    <row r="85" spans="1:10" x14ac:dyDescent="0.2">
      <c r="A85" t="s">
        <v>1678</v>
      </c>
      <c r="B85" t="s">
        <v>420</v>
      </c>
      <c r="C85" s="2782">
        <v>81842.318642542145</v>
      </c>
      <c r="D85" s="2782">
        <v>90688.337604452347</v>
      </c>
      <c r="E85" s="2782">
        <v>113205.27598649901</v>
      </c>
      <c r="F85" s="2782">
        <v>141065.13356597372</v>
      </c>
      <c r="G85" s="2782">
        <v>163299.42776996491</v>
      </c>
      <c r="H85" s="2782">
        <v>178217.19378932577</v>
      </c>
      <c r="I85" s="2782">
        <v>188904.97310614833</v>
      </c>
      <c r="J85" s="2782">
        <v>197654.79276837764</v>
      </c>
    </row>
    <row r="86" spans="1:10" x14ac:dyDescent="0.2">
      <c r="A86" t="s">
        <v>1678</v>
      </c>
      <c r="B86" t="s">
        <v>479</v>
      </c>
      <c r="C86" s="2782">
        <v>42568.93705069639</v>
      </c>
      <c r="D86" s="2782">
        <v>47941.011304390202</v>
      </c>
      <c r="E86" s="2782">
        <v>56802.658374413026</v>
      </c>
      <c r="F86" s="2782">
        <v>66238.300230396402</v>
      </c>
      <c r="G86" s="2782">
        <v>76913.424839441097</v>
      </c>
      <c r="H86" s="2782">
        <v>90515.457675446989</v>
      </c>
      <c r="I86" s="2782">
        <v>110386.33279942352</v>
      </c>
      <c r="J86" s="2782">
        <v>113327.20995151365</v>
      </c>
    </row>
    <row r="87" spans="1:10" x14ac:dyDescent="0.2">
      <c r="A87" t="s">
        <v>1678</v>
      </c>
      <c r="B87" t="s">
        <v>489</v>
      </c>
      <c r="C87" s="2782">
        <v>13733.466693809864</v>
      </c>
      <c r="D87" s="2782">
        <v>15974.006233547725</v>
      </c>
      <c r="E87" s="2782">
        <v>19771.002410973058</v>
      </c>
      <c r="F87" s="2782">
        <v>23373.339719769905</v>
      </c>
      <c r="G87" s="2782">
        <v>26866.134383874407</v>
      </c>
      <c r="H87" s="2782">
        <v>30484.160822202637</v>
      </c>
      <c r="I87" s="2782">
        <v>33534.848631129054</v>
      </c>
      <c r="J87" s="2782">
        <v>33534.848631129054</v>
      </c>
    </row>
    <row r="88" spans="1:10" x14ac:dyDescent="0.2">
      <c r="A88" t="s">
        <v>1678</v>
      </c>
      <c r="B88" t="s">
        <v>490</v>
      </c>
      <c r="C88" s="2782">
        <v>3463.0568089939902</v>
      </c>
      <c r="D88" s="2782">
        <v>3611.4105248839242</v>
      </c>
      <c r="E88" s="2782">
        <v>3922.0770483834967</v>
      </c>
      <c r="F88" s="2782">
        <v>4200.9223554256259</v>
      </c>
      <c r="G88" s="2782">
        <v>4450.1266713585528</v>
      </c>
      <c r="H88" s="2782">
        <v>4690.5593922441894</v>
      </c>
      <c r="I88" s="2782">
        <v>4930.1185704471136</v>
      </c>
      <c r="J88" s="2782">
        <v>5172.9078242648275</v>
      </c>
    </row>
    <row r="89" spans="1:10" x14ac:dyDescent="0.2">
      <c r="A89" t="s">
        <v>1678</v>
      </c>
      <c r="B89" t="s">
        <v>937</v>
      </c>
      <c r="C89" s="2782">
        <v>15917.973129999997</v>
      </c>
      <c r="D89" s="2782">
        <v>16900.018279999993</v>
      </c>
      <c r="E89" s="2782">
        <v>17229.425859999996</v>
      </c>
      <c r="F89" s="2782">
        <v>17593.118439999991</v>
      </c>
      <c r="G89" s="2782">
        <v>17994.664379999991</v>
      </c>
      <c r="H89" s="2782">
        <v>18438.003619999992</v>
      </c>
      <c r="I89" s="2782">
        <v>18927.485939999991</v>
      </c>
      <c r="J89" s="2782">
        <v>19467.913979999998</v>
      </c>
    </row>
    <row r="90" spans="1:10" x14ac:dyDescent="0.2">
      <c r="A90" t="s">
        <v>1925</v>
      </c>
      <c r="B90" t="s">
        <v>935</v>
      </c>
      <c r="C90" s="2782">
        <v>73151.615149116464</v>
      </c>
      <c r="D90" s="2782">
        <v>79039.152487909407</v>
      </c>
      <c r="E90" s="2782">
        <v>81200.245872638712</v>
      </c>
      <c r="F90" s="2782">
        <v>82542.153242864282</v>
      </c>
      <c r="G90" s="2782">
        <v>85326.817295814617</v>
      </c>
      <c r="H90" s="2782">
        <v>88532.510031657032</v>
      </c>
      <c r="I90" s="2782">
        <v>91280.826017254396</v>
      </c>
      <c r="J90" s="2782">
        <v>93826.772334479814</v>
      </c>
    </row>
    <row r="91" spans="1:10" x14ac:dyDescent="0.2">
      <c r="A91" t="s">
        <v>1925</v>
      </c>
      <c r="B91" t="s">
        <v>936</v>
      </c>
      <c r="C91" s="2782">
        <v>43652.772011419693</v>
      </c>
      <c r="D91" s="2782">
        <v>52184.999015596193</v>
      </c>
      <c r="E91" s="2782">
        <v>59106.070471709929</v>
      </c>
      <c r="F91" s="2782">
        <v>62374.853551019842</v>
      </c>
      <c r="G91" s="2782">
        <v>67734.261327001106</v>
      </c>
      <c r="H91" s="2782">
        <v>72913.699876822691</v>
      </c>
      <c r="I91" s="2782">
        <v>77412.714920558064</v>
      </c>
      <c r="J91" s="2782">
        <v>80339.562273489515</v>
      </c>
    </row>
    <row r="92" spans="1:10" x14ac:dyDescent="0.2">
      <c r="A92" t="s">
        <v>1925</v>
      </c>
      <c r="B92" t="s">
        <v>420</v>
      </c>
      <c r="C92" s="2782">
        <v>81842.138745089236</v>
      </c>
      <c r="D92" s="2782">
        <v>87696.931676246444</v>
      </c>
      <c r="E92" s="2782">
        <v>93854.258955450918</v>
      </c>
      <c r="F92" s="2782">
        <v>100126.5571846356</v>
      </c>
      <c r="G92" s="2782">
        <v>105256.52828121571</v>
      </c>
      <c r="H92" s="2782">
        <v>108824.98166111126</v>
      </c>
      <c r="I92" s="2782">
        <v>112351.56832255755</v>
      </c>
      <c r="J92" s="2782">
        <v>116432.31352165915</v>
      </c>
    </row>
    <row r="93" spans="1:10" x14ac:dyDescent="0.2">
      <c r="A93" t="s">
        <v>1925</v>
      </c>
      <c r="B93" t="s">
        <v>479</v>
      </c>
      <c r="C93" s="2782">
        <v>42234.352377182477</v>
      </c>
      <c r="D93" s="2782">
        <v>42453.782332288865</v>
      </c>
      <c r="E93" s="2782">
        <v>46962.916348905193</v>
      </c>
      <c r="F93" s="2782">
        <v>51063.656502357939</v>
      </c>
      <c r="G93" s="2782">
        <v>55858.137785252155</v>
      </c>
      <c r="H93" s="2782">
        <v>61684.042514255852</v>
      </c>
      <c r="I93" s="2782">
        <v>68544.936762109952</v>
      </c>
      <c r="J93" s="2782">
        <v>75715.924527277937</v>
      </c>
    </row>
    <row r="94" spans="1:10" x14ac:dyDescent="0.2">
      <c r="A94" t="s">
        <v>1925</v>
      </c>
      <c r="B94" t="s">
        <v>489</v>
      </c>
      <c r="C94" s="2782">
        <v>13733.466693809864</v>
      </c>
      <c r="D94" s="2782">
        <v>15482.257778449284</v>
      </c>
      <c r="E94" s="2782">
        <v>16766.817959655054</v>
      </c>
      <c r="F94" s="2782">
        <v>17329.41928453778</v>
      </c>
      <c r="G94" s="2782">
        <v>18493.704172561429</v>
      </c>
      <c r="H94" s="2782">
        <v>20266.827784071054</v>
      </c>
      <c r="I94" s="2782">
        <v>22233.024561651811</v>
      </c>
      <c r="J94" s="2782">
        <v>24164.36681960247</v>
      </c>
    </row>
    <row r="95" spans="1:10" x14ac:dyDescent="0.2">
      <c r="A95" t="s">
        <v>1925</v>
      </c>
      <c r="B95" t="s">
        <v>490</v>
      </c>
      <c r="C95" s="2782">
        <v>3390.5879526400213</v>
      </c>
      <c r="D95" s="2782">
        <v>3198.0327067115918</v>
      </c>
      <c r="E95" s="2782">
        <v>3160.6940297069982</v>
      </c>
      <c r="F95" s="2782">
        <v>3126.0470881659016</v>
      </c>
      <c r="G95" s="2782">
        <v>3163.7904220199316</v>
      </c>
      <c r="H95" s="2782">
        <v>3261.3520711889309</v>
      </c>
      <c r="I95" s="2782">
        <v>3382.1707538965088</v>
      </c>
      <c r="J95" s="2782">
        <v>3505.3400737400061</v>
      </c>
    </row>
    <row r="96" spans="1:10" x14ac:dyDescent="0.2">
      <c r="A96" t="s">
        <v>1925</v>
      </c>
      <c r="B96" t="s">
        <v>937</v>
      </c>
      <c r="C96" s="2782">
        <v>15917.973129999997</v>
      </c>
      <c r="D96" s="2782">
        <v>16900.018279999993</v>
      </c>
      <c r="E96" s="2782">
        <v>17229.425859999996</v>
      </c>
      <c r="F96" s="2782">
        <v>17593.118439999991</v>
      </c>
      <c r="G96" s="2782">
        <v>17994.664379999991</v>
      </c>
      <c r="H96" s="2782">
        <v>18438.003619999992</v>
      </c>
      <c r="I96" s="2782">
        <v>18927.485939999991</v>
      </c>
      <c r="J96" s="2782">
        <v>19467.913979999998</v>
      </c>
    </row>
    <row r="97" spans="1:10" x14ac:dyDescent="0.2">
      <c r="A97" t="s">
        <v>1926</v>
      </c>
      <c r="B97" t="s">
        <v>935</v>
      </c>
      <c r="C97" s="2782">
        <v>73151.615149116464</v>
      </c>
      <c r="D97" s="2782">
        <v>78638.023225421479</v>
      </c>
      <c r="E97" s="2782">
        <v>81563.16075989962</v>
      </c>
      <c r="F97" s="2782">
        <v>84616.018242189297</v>
      </c>
      <c r="G97" s="2782">
        <v>88788.590264690632</v>
      </c>
      <c r="H97" s="2782">
        <v>93269.113338498573</v>
      </c>
      <c r="I97" s="2782">
        <v>97190.080220246542</v>
      </c>
      <c r="J97" s="2782">
        <v>101286.40375538224</v>
      </c>
    </row>
    <row r="98" spans="1:10" x14ac:dyDescent="0.2">
      <c r="A98" t="s">
        <v>1926</v>
      </c>
      <c r="B98" t="s">
        <v>936</v>
      </c>
      <c r="C98" s="2782">
        <v>43652.772011419693</v>
      </c>
      <c r="D98" s="2782">
        <v>52184.999015596193</v>
      </c>
      <c r="E98" s="2782">
        <v>59106.070471709929</v>
      </c>
      <c r="F98" s="2782">
        <v>62374.853551019842</v>
      </c>
      <c r="G98" s="2782">
        <v>67734.261327001106</v>
      </c>
      <c r="H98" s="2782">
        <v>72913.699876822691</v>
      </c>
      <c r="I98" s="2782">
        <v>77412.714920558064</v>
      </c>
      <c r="J98" s="2782">
        <v>80339.562273489515</v>
      </c>
    </row>
    <row r="99" spans="1:10" x14ac:dyDescent="0.2">
      <c r="A99" t="s">
        <v>1926</v>
      </c>
      <c r="B99" t="s">
        <v>420</v>
      </c>
      <c r="C99" s="2782">
        <v>81842.241272334679</v>
      </c>
      <c r="D99" s="2782">
        <v>86613.087551709003</v>
      </c>
      <c r="E99" s="2782">
        <v>94030.777631711579</v>
      </c>
      <c r="F99" s="2782">
        <v>104075.96094092744</v>
      </c>
      <c r="G99" s="2782">
        <v>112263.57226853682</v>
      </c>
      <c r="H99" s="2782">
        <v>117935.07513741628</v>
      </c>
      <c r="I99" s="2782">
        <v>123155.36138946013</v>
      </c>
      <c r="J99" s="2782">
        <v>129106.15481027932</v>
      </c>
    </row>
    <row r="100" spans="1:10" x14ac:dyDescent="0.2">
      <c r="A100" t="s">
        <v>1926</v>
      </c>
      <c r="B100" t="s">
        <v>479</v>
      </c>
      <c r="C100" s="2782">
        <v>42234.352377182477</v>
      </c>
      <c r="D100" s="2782">
        <v>42226.332453880124</v>
      </c>
      <c r="E100" s="2782">
        <v>47074.018094465682</v>
      </c>
      <c r="F100" s="2782">
        <v>52211.433245140171</v>
      </c>
      <c r="G100" s="2782">
        <v>58117.024834408818</v>
      </c>
      <c r="H100" s="2782">
        <v>65225.211761137522</v>
      </c>
      <c r="I100" s="2782">
        <v>73877.968419346827</v>
      </c>
      <c r="J100" s="2782">
        <v>82967.659079603807</v>
      </c>
    </row>
    <row r="101" spans="1:10" x14ac:dyDescent="0.2">
      <c r="A101" t="s">
        <v>1926</v>
      </c>
      <c r="B101" t="s">
        <v>489</v>
      </c>
      <c r="C101" s="2782">
        <v>13733.466693809864</v>
      </c>
      <c r="D101" s="2782">
        <v>15302.368566272509</v>
      </c>
      <c r="E101" s="2782">
        <v>16893.337627882574</v>
      </c>
      <c r="F101" s="2782">
        <v>18090.272421363879</v>
      </c>
      <c r="G101" s="2782">
        <v>19772.758089916319</v>
      </c>
      <c r="H101" s="2782">
        <v>22044.723678842747</v>
      </c>
      <c r="I101" s="2782">
        <v>24488.207538217241</v>
      </c>
      <c r="J101" s="2782">
        <v>25868.420867590539</v>
      </c>
    </row>
    <row r="102" spans="1:10" x14ac:dyDescent="0.2">
      <c r="A102" t="s">
        <v>1926</v>
      </c>
      <c r="B102" t="s">
        <v>490</v>
      </c>
      <c r="C102" s="2782">
        <v>3390.5879526400213</v>
      </c>
      <c r="D102" s="2782">
        <v>3183.8332797452067</v>
      </c>
      <c r="E102" s="2782">
        <v>3167.1389638576361</v>
      </c>
      <c r="F102" s="2782">
        <v>3179.8703739902444</v>
      </c>
      <c r="G102" s="2782">
        <v>3253.3069062146601</v>
      </c>
      <c r="H102" s="2782">
        <v>3380.5546871005204</v>
      </c>
      <c r="I102" s="2782">
        <v>3517.4897487662879</v>
      </c>
      <c r="J102" s="2782">
        <v>3662.8724446806218</v>
      </c>
    </row>
    <row r="103" spans="1:10" x14ac:dyDescent="0.2">
      <c r="A103" t="s">
        <v>1926</v>
      </c>
      <c r="B103" t="s">
        <v>937</v>
      </c>
      <c r="C103" s="2782">
        <v>15917.973129999997</v>
      </c>
      <c r="D103" s="2782">
        <v>16900.018279999993</v>
      </c>
      <c r="E103" s="2782">
        <v>17229.425859999996</v>
      </c>
      <c r="F103" s="2782">
        <v>17593.118439999991</v>
      </c>
      <c r="G103" s="2782">
        <v>17994.664379999991</v>
      </c>
      <c r="H103" s="2782">
        <v>18438.003619999992</v>
      </c>
      <c r="I103" s="2782">
        <v>18927.485939999991</v>
      </c>
      <c r="J103" s="2782">
        <v>19467.913979999998</v>
      </c>
    </row>
    <row r="105" spans="1:10" ht="15" x14ac:dyDescent="0.25">
      <c r="A105" s="75" t="s">
        <v>1927</v>
      </c>
    </row>
    <row r="106" spans="1:10" ht="15" x14ac:dyDescent="0.25">
      <c r="A106" s="2780" t="s">
        <v>1928</v>
      </c>
    </row>
    <row r="108" spans="1:10" ht="15" x14ac:dyDescent="0.25">
      <c r="B108" s="2781" t="s">
        <v>941</v>
      </c>
      <c r="C108" s="2781">
        <v>2015</v>
      </c>
      <c r="D108" s="2781">
        <v>2020</v>
      </c>
      <c r="E108" s="2781">
        <v>2025</v>
      </c>
      <c r="F108" s="2781">
        <v>2030</v>
      </c>
      <c r="G108" s="2781">
        <v>2035</v>
      </c>
      <c r="H108" s="2781">
        <v>2040</v>
      </c>
      <c r="I108" s="2781">
        <v>2045</v>
      </c>
      <c r="J108" s="2781">
        <v>2050</v>
      </c>
    </row>
    <row r="109" spans="1:10" x14ac:dyDescent="0.2">
      <c r="B109" t="s">
        <v>1676</v>
      </c>
      <c r="C109" s="2782">
        <v>61426.418032673311</v>
      </c>
      <c r="D109" s="2782">
        <v>73726.80064629238</v>
      </c>
      <c r="E109" s="2782">
        <v>86283.211047222736</v>
      </c>
      <c r="F109" s="2782">
        <v>97418.919057174164</v>
      </c>
      <c r="G109" s="2782">
        <v>110584.56195644387</v>
      </c>
      <c r="H109" s="2782">
        <v>124206.41192515547</v>
      </c>
      <c r="I109" s="2782">
        <v>138336.35791864095</v>
      </c>
      <c r="J109" s="2782">
        <v>151676.66524983919</v>
      </c>
    </row>
    <row r="110" spans="1:10" x14ac:dyDescent="0.2">
      <c r="B110" t="s">
        <v>1677</v>
      </c>
      <c r="C110" s="2782">
        <v>61426.325706883435</v>
      </c>
      <c r="D110" s="2782">
        <v>73726.229113654175</v>
      </c>
      <c r="E110" s="2782">
        <v>86894.175221834492</v>
      </c>
      <c r="F110" s="2782">
        <v>99558.376648088059</v>
      </c>
      <c r="G110" s="2782">
        <v>114215.68947337632</v>
      </c>
      <c r="H110" s="2782">
        <v>129416.96456758857</v>
      </c>
      <c r="I110" s="2782">
        <v>145340.32700597466</v>
      </c>
      <c r="J110" s="2782">
        <v>159800.86091256293</v>
      </c>
    </row>
    <row r="111" spans="1:10" x14ac:dyDescent="0.2">
      <c r="B111" t="s">
        <v>1678</v>
      </c>
      <c r="C111" s="2782">
        <v>61426.262303378207</v>
      </c>
      <c r="D111" s="2782">
        <v>74679.010056701023</v>
      </c>
      <c r="E111" s="2782">
        <v>89965.005402531096</v>
      </c>
      <c r="F111" s="2782">
        <v>103841.73212164589</v>
      </c>
      <c r="G111" s="2782">
        <v>119290.98705212862</v>
      </c>
      <c r="H111" s="2782">
        <v>135533.02647727798</v>
      </c>
      <c r="I111" s="2782">
        <v>152780.38340473626</v>
      </c>
      <c r="J111" s="2782">
        <v>163635.35218583068</v>
      </c>
    </row>
    <row r="112" spans="1:10" x14ac:dyDescent="0.2">
      <c r="B112" t="s">
        <v>944</v>
      </c>
      <c r="D112" s="2782">
        <v>71255.374044359996</v>
      </c>
      <c r="E112" s="2782">
        <v>87031.814287703994</v>
      </c>
      <c r="F112" s="2782">
        <v>103784.17886482799</v>
      </c>
    </row>
    <row r="113" spans="1:10" x14ac:dyDescent="0.2">
      <c r="B113" t="s">
        <v>946</v>
      </c>
      <c r="C113" s="2782">
        <v>57070.46</v>
      </c>
      <c r="D113" s="2782">
        <v>68089.64</v>
      </c>
      <c r="E113" s="2782">
        <v>80225.959999999992</v>
      </c>
      <c r="F113" s="2782">
        <v>91582.26</v>
      </c>
      <c r="G113" s="2782">
        <v>101810.24000000001</v>
      </c>
    </row>
    <row r="114" spans="1:10" x14ac:dyDescent="0.2">
      <c r="B114" t="s">
        <v>948</v>
      </c>
      <c r="C114" s="2782">
        <v>57070.46</v>
      </c>
      <c r="D114" s="2782">
        <v>69293.64</v>
      </c>
      <c r="E114" s="2782">
        <v>82135.16</v>
      </c>
      <c r="F114" s="2782">
        <v>94738.459999999992</v>
      </c>
      <c r="G114" s="2782">
        <v>107665.98</v>
      </c>
    </row>
    <row r="115" spans="1:10" x14ac:dyDescent="0.2">
      <c r="B115" t="s">
        <v>1925</v>
      </c>
      <c r="C115" s="2782">
        <v>61386.955871414306</v>
      </c>
      <c r="D115" s="2782">
        <v>72039.527094797595</v>
      </c>
      <c r="E115" s="2782">
        <v>80424.404300023642</v>
      </c>
      <c r="F115" s="2782">
        <v>86237.561701421058</v>
      </c>
      <c r="G115" s="2782">
        <v>94147.007114588967</v>
      </c>
      <c r="H115" s="2782">
        <v>102413.86901584019</v>
      </c>
      <c r="I115" s="2782">
        <v>110860.64517741166</v>
      </c>
      <c r="J115" s="2782">
        <v>118419.44290278242</v>
      </c>
    </row>
    <row r="116" spans="1:10" x14ac:dyDescent="0.2">
      <c r="B116" t="s">
        <v>1926</v>
      </c>
      <c r="C116" s="2782">
        <v>61386.87188615209</v>
      </c>
      <c r="D116" s="2782">
        <v>71729.052597327158</v>
      </c>
      <c r="E116" s="2782">
        <v>80638.17620416006</v>
      </c>
      <c r="F116" s="2782">
        <v>87672.063878464862</v>
      </c>
      <c r="G116" s="2782">
        <v>96661.291888389183</v>
      </c>
      <c r="H116" s="2782">
        <v>106030.88970776209</v>
      </c>
      <c r="I116" s="2782">
        <v>115697.86274473088</v>
      </c>
      <c r="J116" s="2782">
        <v>124015.42505039356</v>
      </c>
    </row>
    <row r="117" spans="1:10" x14ac:dyDescent="0.2">
      <c r="C117" s="2782"/>
      <c r="D117" s="2782"/>
      <c r="E117" s="2782"/>
      <c r="F117" s="2782"/>
      <c r="G117" s="2782"/>
      <c r="H117" s="2782"/>
      <c r="I117" s="2782"/>
      <c r="J117" s="2782"/>
    </row>
    <row r="118" spans="1:10" s="2783" customFormat="1" x14ac:dyDescent="0.2"/>
    <row r="121" spans="1:10" ht="15" x14ac:dyDescent="0.25">
      <c r="A121" s="1849"/>
      <c r="B121" s="1849"/>
      <c r="C121" s="1849"/>
    </row>
    <row r="122" spans="1:10" ht="15" x14ac:dyDescent="0.25">
      <c r="A122" s="1848" t="s">
        <v>403</v>
      </c>
      <c r="B122" s="1849"/>
      <c r="C122" s="1849"/>
    </row>
    <row r="123" spans="1:10" ht="15" x14ac:dyDescent="0.25">
      <c r="A123" s="2784" t="s">
        <v>967</v>
      </c>
      <c r="B123" s="1849"/>
      <c r="C123" s="1849"/>
    </row>
    <row r="124" spans="1:10" ht="15" x14ac:dyDescent="0.25">
      <c r="A124" s="2784" t="s">
        <v>934</v>
      </c>
      <c r="B124" s="1849"/>
      <c r="C124" s="1849"/>
    </row>
    <row r="125" spans="1:10" ht="15" x14ac:dyDescent="0.25">
      <c r="A125" s="1849"/>
      <c r="B125" s="1849"/>
      <c r="C125" s="1849"/>
    </row>
    <row r="129" spans="1:4" ht="15" x14ac:dyDescent="0.25">
      <c r="A129" s="1848" t="s">
        <v>403</v>
      </c>
      <c r="B129" s="1867" t="s">
        <v>40</v>
      </c>
      <c r="C129" s="1867">
        <v>2020</v>
      </c>
      <c r="D129" s="1867">
        <v>2045</v>
      </c>
    </row>
    <row r="130" spans="1:4" ht="15" x14ac:dyDescent="0.25">
      <c r="A130" s="1849" t="s">
        <v>934</v>
      </c>
      <c r="B130" s="1849" t="s">
        <v>935</v>
      </c>
      <c r="C130" s="1863" t="e">
        <f>INDEX($B$58:$J$65,MATCH($B130,$B$58:$B$65,0),MATCH(C$84,$B$58:$J$58,0))/#REF!</f>
        <v>#N/A</v>
      </c>
      <c r="D130" s="1863" t="e">
        <f>INDEX($B$58:$J$65,MATCH($B130,$B$58:$B$65,0),MATCH(D$84,$B$58:$J$58,0))/#REF!</f>
        <v>#N/A</v>
      </c>
    </row>
    <row r="131" spans="1:4" ht="15" x14ac:dyDescent="0.25">
      <c r="A131" s="1849"/>
      <c r="B131" s="1849" t="s">
        <v>936</v>
      </c>
      <c r="C131" s="1863" t="e">
        <f>INDEX($B$58:$J$65,MATCH($B131,$B$58:$B$65,0),MATCH(C$84,$B$58:$J$58,0))/#REF!</f>
        <v>#N/A</v>
      </c>
      <c r="D131" s="1863" t="e">
        <f>INDEX($B$58:$J$65,MATCH($B131,$B$58:$B$65,0),MATCH(D$84,$B$58:$J$58,0))/#REF!</f>
        <v>#N/A</v>
      </c>
    </row>
    <row r="132" spans="1:4" ht="15" x14ac:dyDescent="0.25">
      <c r="A132" s="1849"/>
      <c r="B132" s="1849" t="s">
        <v>420</v>
      </c>
      <c r="C132" s="1863" t="e">
        <f>INDEX($B$58:$J$65,MATCH($B132,$B$58:$B$65,0),MATCH(C$84,$B$58:$J$58,0))/#REF!</f>
        <v>#N/A</v>
      </c>
      <c r="D132" s="1863" t="e">
        <f>INDEX($B$58:$J$65,MATCH($B132,$B$58:$B$65,0),MATCH(D$84,$B$58:$J$58,0))/#REF!</f>
        <v>#N/A</v>
      </c>
    </row>
    <row r="133" spans="1:4" ht="15" x14ac:dyDescent="0.25">
      <c r="A133" s="1849"/>
      <c r="B133" s="1849" t="s">
        <v>479</v>
      </c>
      <c r="C133" s="1863" t="e">
        <f>INDEX($B$58:$J$65,MATCH($B133,$B$58:$B$65,0),MATCH(C$84,$B$58:$J$58,0))/#REF!</f>
        <v>#N/A</v>
      </c>
      <c r="D133" s="1863" t="e">
        <f>INDEX($B$58:$J$65,MATCH($B133,$B$58:$B$65,0),MATCH(D$84,$B$58:$J$58,0))/#REF!</f>
        <v>#N/A</v>
      </c>
    </row>
    <row r="134" spans="1:4" ht="15" x14ac:dyDescent="0.25">
      <c r="A134" s="1849"/>
      <c r="B134" s="1849" t="s">
        <v>489</v>
      </c>
      <c r="C134" s="1863" t="e">
        <f>INDEX($B$58:$J$65,MATCH($B134,$B$58:$B$65,0),MATCH(C$84,$B$58:$J$58,0))/#REF!</f>
        <v>#N/A</v>
      </c>
      <c r="D134" s="1863" t="e">
        <f>INDEX($B$58:$J$65,MATCH($B134,$B$58:$B$65,0),MATCH(D$84,$B$58:$J$58,0))/#REF!</f>
        <v>#N/A</v>
      </c>
    </row>
    <row r="135" spans="1:4" ht="15" x14ac:dyDescent="0.25">
      <c r="A135" s="1849"/>
      <c r="B135" s="1864" t="s">
        <v>490</v>
      </c>
      <c r="C135" s="1863" t="e">
        <f>INDEX($B$58:$J$65,MATCH($B135,$B$58:$B$65,0),MATCH(C$84,$B$58:$J$58,0))/#REF!</f>
        <v>#N/A</v>
      </c>
      <c r="D135" s="1863" t="e">
        <f>INDEX($B$58:$J$65,MATCH($B135,$B$58:$B$65,0),MATCH(D$84,$B$58:$J$58,0))/#REF!</f>
        <v>#N/A</v>
      </c>
    </row>
    <row r="136" spans="1:4" ht="15" x14ac:dyDescent="0.25">
      <c r="A136" s="1849"/>
      <c r="B136" s="1865" t="s">
        <v>937</v>
      </c>
      <c r="C136" s="1866" t="e">
        <f>INDEX($B$58:$J$65,MATCH($B136,$B$58:$B$65,0),MATCH(C$84,$B$58:$J$58,0))/#REF!</f>
        <v>#N/A</v>
      </c>
      <c r="D136" s="1866" t="e">
        <f>INDEX($B$58:$J$65,MATCH($B136,$B$58:$B$65,0),MATCH(D$84,$B$58:$J$58,0))/#REF!</f>
        <v>#N/A</v>
      </c>
    </row>
    <row r="137" spans="1:4" ht="15" x14ac:dyDescent="0.25">
      <c r="A137" s="1849" t="s">
        <v>938</v>
      </c>
      <c r="B137" s="1849" t="s">
        <v>935</v>
      </c>
      <c r="C137" s="1863" t="e">
        <f>INDEX($B$66:$J$73,MATCH($B137,$B$66:$B$73,0),MATCH(C$84,$B$58:$J$58,0))/#REF!</f>
        <v>#N/A</v>
      </c>
      <c r="D137" s="1863" t="e">
        <f>INDEX($B$66:$J$73,MATCH($B137,$B$66:$B$73,0),MATCH(D$84,$B$58:$J$58,0))/#REF!</f>
        <v>#N/A</v>
      </c>
    </row>
    <row r="138" spans="1:4" ht="15" x14ac:dyDescent="0.25">
      <c r="A138" s="1849"/>
      <c r="B138" s="1849" t="s">
        <v>936</v>
      </c>
      <c r="C138" s="1863" t="e">
        <f>INDEX($B$66:$J$73,MATCH($B138,$B$66:$B$73,0),MATCH(C$84,$B$58:$J$58,0))/#REF!</f>
        <v>#N/A</v>
      </c>
      <c r="D138" s="1863" t="e">
        <f>INDEX($B$66:$J$73,MATCH($B138,$B$66:$B$73,0),MATCH(D$84,$B$58:$J$58,0))/#REF!</f>
        <v>#N/A</v>
      </c>
    </row>
    <row r="139" spans="1:4" ht="15" x14ac:dyDescent="0.25">
      <c r="A139" s="1849"/>
      <c r="B139" s="1849" t="s">
        <v>420</v>
      </c>
      <c r="C139" s="1863" t="e">
        <f>INDEX($B$66:$J$73,MATCH($B139,$B$66:$B$73,0),MATCH(C$84,$B$58:$J$58,0))/#REF!</f>
        <v>#N/A</v>
      </c>
      <c r="D139" s="1863" t="e">
        <f>INDEX($B$66:$J$73,MATCH($B139,$B$66:$B$73,0),MATCH(D$84,$B$58:$J$58,0))/#REF!</f>
        <v>#N/A</v>
      </c>
    </row>
    <row r="140" spans="1:4" ht="15" x14ac:dyDescent="0.25">
      <c r="A140" s="1849"/>
      <c r="B140" s="1849" t="s">
        <v>479</v>
      </c>
      <c r="C140" s="1863" t="e">
        <f>INDEX($B$66:$J$73,MATCH($B140,$B$66:$B$73,0),MATCH(C$84,$B$58:$J$58,0))/#REF!</f>
        <v>#N/A</v>
      </c>
      <c r="D140" s="1863" t="e">
        <f>INDEX($B$66:$J$73,MATCH($B140,$B$66:$B$73,0),MATCH(D$84,$B$58:$J$58,0))/#REF!</f>
        <v>#N/A</v>
      </c>
    </row>
    <row r="141" spans="1:4" ht="15" x14ac:dyDescent="0.25">
      <c r="A141" s="1849"/>
      <c r="B141" s="1849" t="s">
        <v>489</v>
      </c>
      <c r="C141" s="1863" t="e">
        <f>INDEX($B$66:$J$73,MATCH($B141,$B$66:$B$73,0),MATCH(C$84,$B$58:$J$58,0))/#REF!</f>
        <v>#N/A</v>
      </c>
      <c r="D141" s="1863" t="e">
        <f>INDEX($B$66:$J$73,MATCH($B141,$B$66:$B$73,0),MATCH(D$84,$B$58:$J$58,0))/#REF!</f>
        <v>#N/A</v>
      </c>
    </row>
    <row r="142" spans="1:4" ht="15" x14ac:dyDescent="0.25">
      <c r="A142" s="1849"/>
      <c r="B142" s="1849" t="s">
        <v>490</v>
      </c>
      <c r="C142" s="1863" t="e">
        <f>INDEX($B$66:$J$73,MATCH($B142,$B$66:$B$73,0),MATCH(C$84,$B$58:$J$58,0))/#REF!</f>
        <v>#N/A</v>
      </c>
      <c r="D142" s="1863" t="e">
        <f>INDEX($B$66:$J$73,MATCH($B142,$B$66:$B$73,0),MATCH(D$84,$B$58:$J$58,0))/#REF!</f>
        <v>#N/A</v>
      </c>
    </row>
    <row r="143" spans="1:4" ht="15" x14ac:dyDescent="0.25">
      <c r="A143" s="1849"/>
      <c r="B143" s="1865" t="s">
        <v>937</v>
      </c>
      <c r="C143" s="1866" t="e">
        <f>INDEX($B$66:$J$73,MATCH($B143,$B$66:$B$73,0),MATCH(C$84,$B$58:$J$58,0))/#REF!</f>
        <v>#N/A</v>
      </c>
      <c r="D143" s="1866" t="e">
        <f>INDEX($B$66:$J$73,MATCH($B143,$B$66:$B$73,0),MATCH(D$84,$B$58:$J$58,0))/#REF!</f>
        <v>#N/A</v>
      </c>
    </row>
  </sheetData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AM44"/>
  <sheetViews>
    <sheetView showGridLines="0" topLeftCell="A8" zoomScale="85" zoomScaleNormal="85" workbookViewId="0">
      <selection activeCell="A30" sqref="A30:J44"/>
    </sheetView>
  </sheetViews>
  <sheetFormatPr baseColWidth="10" defaultColWidth="9.140625" defaultRowHeight="15" x14ac:dyDescent="0.25"/>
  <cols>
    <col min="1" max="1" width="19" style="1849" customWidth="1"/>
    <col min="2" max="2" width="17.140625" style="1849" customWidth="1"/>
    <col min="3" max="39" width="11.5703125" style="1849" bestFit="1" customWidth="1"/>
    <col min="40" max="16384" width="9.140625" style="1849"/>
  </cols>
  <sheetData>
    <row r="1" spans="1:39" x14ac:dyDescent="0.25">
      <c r="A1" s="1848" t="s">
        <v>939</v>
      </c>
      <c r="B1" s="1848"/>
    </row>
    <row r="2" spans="1:39" x14ac:dyDescent="0.25">
      <c r="A2" s="1850" t="s">
        <v>940</v>
      </c>
      <c r="B2" s="1850"/>
    </row>
    <row r="4" spans="1:39" x14ac:dyDescent="0.25">
      <c r="A4" s="1851" t="s">
        <v>941</v>
      </c>
      <c r="B4" s="1851" t="s">
        <v>40</v>
      </c>
      <c r="C4" s="1851">
        <v>2014</v>
      </c>
      <c r="D4" s="1851">
        <v>2015</v>
      </c>
      <c r="E4" s="1851">
        <v>2016</v>
      </c>
      <c r="F4" s="1851">
        <v>2017</v>
      </c>
      <c r="G4" s="1851">
        <v>2018</v>
      </c>
      <c r="H4" s="1851">
        <v>2019</v>
      </c>
      <c r="I4" s="1851">
        <v>2020</v>
      </c>
      <c r="J4" s="1851">
        <v>2021</v>
      </c>
      <c r="K4" s="1851">
        <v>2022</v>
      </c>
      <c r="L4" s="1851">
        <v>2023</v>
      </c>
      <c r="M4" s="1851">
        <v>2024</v>
      </c>
      <c r="N4" s="1851">
        <v>2025</v>
      </c>
      <c r="O4" s="1851">
        <v>2026</v>
      </c>
      <c r="P4" s="1851">
        <v>2027</v>
      </c>
      <c r="Q4" s="1851">
        <v>2028</v>
      </c>
      <c r="R4" s="1851">
        <v>2029</v>
      </c>
      <c r="S4" s="1851">
        <v>2030</v>
      </c>
      <c r="T4" s="1851">
        <v>2031</v>
      </c>
      <c r="U4" s="1851">
        <v>2032</v>
      </c>
      <c r="V4" s="1851">
        <v>2033</v>
      </c>
      <c r="W4" s="1851">
        <v>2034</v>
      </c>
      <c r="X4" s="1851">
        <v>2035</v>
      </c>
      <c r="Y4" s="1851">
        <v>2036</v>
      </c>
      <c r="Z4" s="1851">
        <v>2037</v>
      </c>
      <c r="AA4" s="1851">
        <v>2038</v>
      </c>
      <c r="AB4" s="1851">
        <v>2039</v>
      </c>
      <c r="AC4" s="1851">
        <v>2040</v>
      </c>
      <c r="AD4" s="1851">
        <v>2041</v>
      </c>
      <c r="AE4" s="1851">
        <v>2042</v>
      </c>
      <c r="AF4" s="1851">
        <v>2043</v>
      </c>
      <c r="AG4" s="1851">
        <v>2044</v>
      </c>
      <c r="AH4" s="1851">
        <v>2045</v>
      </c>
      <c r="AI4" s="1851">
        <v>2046</v>
      </c>
      <c r="AJ4" s="1851">
        <v>2047</v>
      </c>
      <c r="AK4" s="1851">
        <v>2048</v>
      </c>
      <c r="AL4" s="1851">
        <v>2049</v>
      </c>
      <c r="AM4" s="1851">
        <v>2050</v>
      </c>
    </row>
    <row r="5" spans="1:39" x14ac:dyDescent="0.25">
      <c r="A5" s="1849" t="s">
        <v>934</v>
      </c>
      <c r="B5" s="1849" t="s">
        <v>935</v>
      </c>
      <c r="C5" s="1852">
        <v>72669.29290755617</v>
      </c>
      <c r="D5" s="1852">
        <v>73151.615149116464</v>
      </c>
      <c r="E5" s="1852">
        <v>77571.214979628377</v>
      </c>
      <c r="F5" s="1852">
        <v>78569.403552368123</v>
      </c>
      <c r="G5" s="1852">
        <v>79924.448759647639</v>
      </c>
      <c r="H5" s="1852">
        <v>81188.497709464893</v>
      </c>
      <c r="I5" s="1852">
        <v>82595.423911045014</v>
      </c>
      <c r="J5" s="1852">
        <v>84563.074060596147</v>
      </c>
      <c r="K5" s="1852">
        <v>86276.609961961527</v>
      </c>
      <c r="L5" s="1852">
        <v>87931.851507281215</v>
      </c>
      <c r="M5" s="1852">
        <v>89324.037345923134</v>
      </c>
      <c r="N5" s="1852">
        <v>90994.83520025335</v>
      </c>
      <c r="O5" s="1852">
        <v>92694.634537631311</v>
      </c>
      <c r="P5" s="1852">
        <v>94064.223623924379</v>
      </c>
      <c r="Q5" s="1852">
        <v>95944.567767203611</v>
      </c>
      <c r="R5" s="1852">
        <v>97967.720026107869</v>
      </c>
      <c r="S5" s="1852">
        <v>99224.133723818595</v>
      </c>
      <c r="T5" s="1852">
        <v>101404.37462553683</v>
      </c>
      <c r="U5" s="1852">
        <v>103300.5657031638</v>
      </c>
      <c r="V5" s="1852">
        <v>105193.8859697468</v>
      </c>
      <c r="W5" s="1852">
        <v>106620.05621156015</v>
      </c>
      <c r="X5" s="1852">
        <v>108664.06450173324</v>
      </c>
      <c r="Y5" s="1852">
        <v>110395.74176437274</v>
      </c>
      <c r="Z5" s="1852">
        <v>112345.4621656057</v>
      </c>
      <c r="AA5" s="1852">
        <v>114572.33056394846</v>
      </c>
      <c r="AB5" s="1852">
        <v>116617.84207754198</v>
      </c>
      <c r="AC5" s="1852">
        <v>118572.83197740944</v>
      </c>
      <c r="AD5" s="1852">
        <v>120161.27652967788</v>
      </c>
      <c r="AE5" s="1852">
        <v>122312.5498945596</v>
      </c>
      <c r="AF5" s="1852">
        <v>124550.18519587017</v>
      </c>
      <c r="AG5" s="1852">
        <v>126137.08152873574</v>
      </c>
      <c r="AH5" s="1852">
        <v>127887.9639293684</v>
      </c>
      <c r="AI5" s="1852">
        <v>130369.29065167512</v>
      </c>
      <c r="AJ5" s="1852">
        <v>131706.59218206222</v>
      </c>
      <c r="AK5" s="1852">
        <v>133823.75240172254</v>
      </c>
      <c r="AL5" s="1852">
        <v>135806.17036639387</v>
      </c>
      <c r="AM5" s="1852">
        <v>137569.69333436419</v>
      </c>
    </row>
    <row r="6" spans="1:39" x14ac:dyDescent="0.25">
      <c r="A6" s="1849" t="s">
        <v>934</v>
      </c>
      <c r="B6" s="1849" t="s">
        <v>936</v>
      </c>
      <c r="C6" s="1852">
        <v>42659.623346950713</v>
      </c>
      <c r="D6" s="1852">
        <v>43652.772011419693</v>
      </c>
      <c r="E6" s="1852">
        <v>44118.284271734934</v>
      </c>
      <c r="F6" s="1852">
        <v>47809.021512653366</v>
      </c>
      <c r="G6" s="1852">
        <v>49635.807585638941</v>
      </c>
      <c r="H6" s="1852">
        <v>52205.678811389604</v>
      </c>
      <c r="I6" s="1852">
        <v>53838.948580380915</v>
      </c>
      <c r="J6" s="1852">
        <v>55400.945249562421</v>
      </c>
      <c r="K6" s="1852">
        <v>59778.192593480308</v>
      </c>
      <c r="L6" s="1852">
        <v>63281.296087621537</v>
      </c>
      <c r="M6" s="1852">
        <v>65270.783433242992</v>
      </c>
      <c r="N6" s="1852">
        <v>63835.178583558562</v>
      </c>
      <c r="O6" s="1852">
        <v>62514.727095468123</v>
      </c>
      <c r="P6" s="1852">
        <v>65168.379233253516</v>
      </c>
      <c r="Q6" s="1852">
        <v>66829.627220767128</v>
      </c>
      <c r="R6" s="1852">
        <v>68486.380149056597</v>
      </c>
      <c r="S6" s="1852">
        <v>70196.917001805108</v>
      </c>
      <c r="T6" s="1852">
        <v>71939.230565760256</v>
      </c>
      <c r="U6" s="1852">
        <v>73752.011300507904</v>
      </c>
      <c r="V6" s="1852">
        <v>75590.760961068314</v>
      </c>
      <c r="W6" s="1852">
        <v>77438.272953835287</v>
      </c>
      <c r="X6" s="1852">
        <v>79296.336634240972</v>
      </c>
      <c r="Y6" s="1852">
        <v>81164.315520525313</v>
      </c>
      <c r="Z6" s="1852">
        <v>83044.672474819206</v>
      </c>
      <c r="AA6" s="1852">
        <v>84932.604907766057</v>
      </c>
      <c r="AB6" s="1852">
        <v>86822.273170811968</v>
      </c>
      <c r="AC6" s="1852">
        <v>88713.046663803398</v>
      </c>
      <c r="AD6" s="1852">
        <v>90915.309282405593</v>
      </c>
      <c r="AE6" s="1852">
        <v>92507.62001850862</v>
      </c>
      <c r="AF6" s="1852">
        <v>94100.540236684392</v>
      </c>
      <c r="AG6" s="1852">
        <v>95751.079895921503</v>
      </c>
      <c r="AH6" s="1852">
        <v>97830.547205537267</v>
      </c>
      <c r="AI6" s="1852">
        <v>99810.170265065841</v>
      </c>
      <c r="AJ6" s="1852">
        <v>101187.36589954187</v>
      </c>
      <c r="AK6" s="1852">
        <v>102608.33993214025</v>
      </c>
      <c r="AL6" s="1852">
        <v>104045.87281464945</v>
      </c>
      <c r="AM6" s="1852">
        <v>105407.95052811797</v>
      </c>
    </row>
    <row r="7" spans="1:39" x14ac:dyDescent="0.25">
      <c r="A7" s="1849" t="s">
        <v>934</v>
      </c>
      <c r="B7" s="1849" t="s">
        <v>420</v>
      </c>
      <c r="C7" s="1852">
        <v>80548.468168987427</v>
      </c>
      <c r="D7" s="1852">
        <v>81887.778902469523</v>
      </c>
      <c r="E7" s="1852">
        <v>82411.104326405883</v>
      </c>
      <c r="F7" s="1852">
        <v>83297.122472767835</v>
      </c>
      <c r="G7" s="1852">
        <v>84432.156371434801</v>
      </c>
      <c r="H7" s="1852">
        <v>86074.430679878307</v>
      </c>
      <c r="I7" s="1852">
        <v>87867.668076539121</v>
      </c>
      <c r="J7" s="1852">
        <v>90283.544293125335</v>
      </c>
      <c r="K7" s="1852">
        <v>92988.237481372169</v>
      </c>
      <c r="L7" s="1852">
        <v>96091.623442045355</v>
      </c>
      <c r="M7" s="1852">
        <v>99382.092055773275</v>
      </c>
      <c r="N7" s="1852">
        <v>102816.49342244002</v>
      </c>
      <c r="O7" s="1852">
        <v>106480.85679673945</v>
      </c>
      <c r="P7" s="1852">
        <v>110582.91587107193</v>
      </c>
      <c r="Q7" s="1852">
        <v>114800.06718902089</v>
      </c>
      <c r="R7" s="1852">
        <v>119073.48613175617</v>
      </c>
      <c r="S7" s="1852">
        <v>123386.6610892343</v>
      </c>
      <c r="T7" s="1852">
        <v>127667.65141148426</v>
      </c>
      <c r="U7" s="1852">
        <v>131810.57978933078</v>
      </c>
      <c r="V7" s="1852">
        <v>135863.72177229339</v>
      </c>
      <c r="W7" s="1852">
        <v>139806.88820170914</v>
      </c>
      <c r="X7" s="1852">
        <v>143716.66115485108</v>
      </c>
      <c r="Y7" s="1852">
        <v>147627.94730568485</v>
      </c>
      <c r="Z7" s="1852">
        <v>151541.75026514131</v>
      </c>
      <c r="AA7" s="1852">
        <v>155520.3544365491</v>
      </c>
      <c r="AB7" s="1852">
        <v>159552.78696634085</v>
      </c>
      <c r="AC7" s="1852">
        <v>163686.93779760966</v>
      </c>
      <c r="AD7" s="1852">
        <v>167928.03788171694</v>
      </c>
      <c r="AE7" s="1852">
        <v>172247.57955820271</v>
      </c>
      <c r="AF7" s="1852">
        <v>176670.82439337496</v>
      </c>
      <c r="AG7" s="1852">
        <v>181183.57163892905</v>
      </c>
      <c r="AH7" s="1852">
        <v>185837.39521077595</v>
      </c>
      <c r="AI7" s="1852">
        <v>190607.18682347063</v>
      </c>
      <c r="AJ7" s="1852">
        <v>195417.92423810216</v>
      </c>
      <c r="AK7" s="1852">
        <v>200277.73246323847</v>
      </c>
      <c r="AL7" s="1852">
        <v>205236.01699602214</v>
      </c>
      <c r="AM7" s="1852">
        <v>210306.08073318869</v>
      </c>
    </row>
    <row r="8" spans="1:39" x14ac:dyDescent="0.25">
      <c r="A8" s="1849" t="s">
        <v>934</v>
      </c>
      <c r="B8" s="1849" t="s">
        <v>479</v>
      </c>
      <c r="C8" s="1852">
        <v>41923.416089365506</v>
      </c>
      <c r="D8" s="1852">
        <v>42591.07158002942</v>
      </c>
      <c r="E8" s="1852">
        <v>43275.082294628199</v>
      </c>
      <c r="F8" s="1852">
        <v>44004.916977817862</v>
      </c>
      <c r="G8" s="1852">
        <v>44886.100128645659</v>
      </c>
      <c r="H8" s="1852">
        <v>45916.987062371052</v>
      </c>
      <c r="I8" s="1852">
        <v>47112.538851684338</v>
      </c>
      <c r="J8" s="1852">
        <v>48338.13299838794</v>
      </c>
      <c r="K8" s="1852">
        <v>49701.986388675257</v>
      </c>
      <c r="L8" s="1852">
        <v>51126.752870161661</v>
      </c>
      <c r="M8" s="1852">
        <v>52623.931853908376</v>
      </c>
      <c r="N8" s="1852">
        <v>54182.789315571339</v>
      </c>
      <c r="O8" s="1852">
        <v>55759.068055518852</v>
      </c>
      <c r="P8" s="1852">
        <v>57265.377185537422</v>
      </c>
      <c r="Q8" s="1852">
        <v>58894.223743050235</v>
      </c>
      <c r="R8" s="1852">
        <v>60597.099708016009</v>
      </c>
      <c r="S8" s="1852">
        <v>62373.739575148953</v>
      </c>
      <c r="T8" s="1852">
        <v>64073.757218874547</v>
      </c>
      <c r="U8" s="1852">
        <v>65792.019895647274</v>
      </c>
      <c r="V8" s="1852">
        <v>67746.081616777476</v>
      </c>
      <c r="W8" s="1852">
        <v>69782.416783666835</v>
      </c>
      <c r="X8" s="1852">
        <v>71849.759262636842</v>
      </c>
      <c r="Y8" s="1852">
        <v>73981.950706347867</v>
      </c>
      <c r="Z8" s="1852">
        <v>76166.319717428909</v>
      </c>
      <c r="AA8" s="1852">
        <v>78382.379559441571</v>
      </c>
      <c r="AB8" s="1852">
        <v>80732.322843026646</v>
      </c>
      <c r="AC8" s="1852">
        <v>83247.279306053912</v>
      </c>
      <c r="AD8" s="1852">
        <v>85838.842333838489</v>
      </c>
      <c r="AE8" s="1852">
        <v>88516.530481788403</v>
      </c>
      <c r="AF8" s="1852">
        <v>91289.53206262154</v>
      </c>
      <c r="AG8" s="1852">
        <v>94171.861200011903</v>
      </c>
      <c r="AH8" s="1852">
        <v>97190.522049759398</v>
      </c>
      <c r="AI8" s="1852">
        <v>100396.58356913285</v>
      </c>
      <c r="AJ8" s="1852">
        <v>103918.4634005892</v>
      </c>
      <c r="AK8" s="1852">
        <v>108244.18993464566</v>
      </c>
      <c r="AL8" s="1852">
        <v>110797.62757584533</v>
      </c>
      <c r="AM8" s="1852">
        <v>112024.22759398284</v>
      </c>
    </row>
    <row r="9" spans="1:39" x14ac:dyDescent="0.25">
      <c r="A9" s="1849" t="s">
        <v>934</v>
      </c>
      <c r="B9" s="1849" t="s">
        <v>489</v>
      </c>
      <c r="C9" s="1852">
        <v>12816.77110064318</v>
      </c>
      <c r="D9" s="1852">
        <v>13733.466693809864</v>
      </c>
      <c r="E9" s="1852">
        <v>13938.398346777576</v>
      </c>
      <c r="F9" s="1852">
        <v>14195.618438931686</v>
      </c>
      <c r="G9" s="1852">
        <v>14549.608802449697</v>
      </c>
      <c r="H9" s="1852">
        <v>14966.774177839163</v>
      </c>
      <c r="I9" s="1852">
        <v>15425.80683942874</v>
      </c>
      <c r="J9" s="1852">
        <v>15933.191709597992</v>
      </c>
      <c r="K9" s="1852">
        <v>16454.391788918248</v>
      </c>
      <c r="L9" s="1852">
        <v>16989.446267338863</v>
      </c>
      <c r="M9" s="1852">
        <v>17538.941048039702</v>
      </c>
      <c r="N9" s="1852">
        <v>18103.181656405293</v>
      </c>
      <c r="O9" s="1852">
        <v>18682.606676416097</v>
      </c>
      <c r="P9" s="1852">
        <v>19277.57628448807</v>
      </c>
      <c r="Q9" s="1852">
        <v>19888.674154834262</v>
      </c>
      <c r="R9" s="1852">
        <v>20516.136755940606</v>
      </c>
      <c r="S9" s="1852">
        <v>21160.249549037555</v>
      </c>
      <c r="T9" s="1852">
        <v>21800.289703929666</v>
      </c>
      <c r="U9" s="1852">
        <v>22438.283580439045</v>
      </c>
      <c r="V9" s="1852">
        <v>23076.211384326882</v>
      </c>
      <c r="W9" s="1852">
        <v>23716.183842280461</v>
      </c>
      <c r="X9" s="1852">
        <v>24359.49826708129</v>
      </c>
      <c r="Y9" s="1852">
        <v>25008.085032274943</v>
      </c>
      <c r="Z9" s="1852">
        <v>25662.91404874541</v>
      </c>
      <c r="AA9" s="1852">
        <v>26325.185697035984</v>
      </c>
      <c r="AB9" s="1852">
        <v>26995.38130229864</v>
      </c>
      <c r="AC9" s="1852">
        <v>27673.811784294652</v>
      </c>
      <c r="AD9" s="1852">
        <v>28360.374527226581</v>
      </c>
      <c r="AE9" s="1852">
        <v>29054.93679508401</v>
      </c>
      <c r="AF9" s="1852">
        <v>29757.646199288309</v>
      </c>
      <c r="AG9" s="1852">
        <v>30468.099014605894</v>
      </c>
      <c r="AH9" s="1852">
        <v>31185.729342041825</v>
      </c>
      <c r="AI9" s="1852">
        <v>31909.637471842045</v>
      </c>
      <c r="AJ9" s="1852">
        <v>32638.957724849999</v>
      </c>
      <c r="AK9" s="1852">
        <v>33373.462698101161</v>
      </c>
      <c r="AL9" s="1852">
        <v>33373.462698101161</v>
      </c>
      <c r="AM9" s="1852">
        <v>33373.462698101161</v>
      </c>
    </row>
    <row r="10" spans="1:39" x14ac:dyDescent="0.25">
      <c r="A10" s="1849" t="s">
        <v>934</v>
      </c>
      <c r="B10" s="1849" t="s">
        <v>490</v>
      </c>
      <c r="C10" s="1852">
        <v>3544.0663348495323</v>
      </c>
      <c r="D10" s="1852">
        <v>3463.0568089939902</v>
      </c>
      <c r="E10" s="1852">
        <v>3455.0840412381831</v>
      </c>
      <c r="F10" s="1852">
        <v>3468.7213199656148</v>
      </c>
      <c r="G10" s="1852">
        <v>3495.1685645743828</v>
      </c>
      <c r="H10" s="1852">
        <v>3529.3403582029277</v>
      </c>
      <c r="I10" s="1852">
        <v>3568.231148650048</v>
      </c>
      <c r="J10" s="1852">
        <v>3611.1456463886557</v>
      </c>
      <c r="K10" s="1852">
        <v>3655.731316104901</v>
      </c>
      <c r="L10" s="1852">
        <v>3701.2054583748891</v>
      </c>
      <c r="M10" s="1852">
        <v>3747.3296449957047</v>
      </c>
      <c r="N10" s="1852">
        <v>3794.062284866724</v>
      </c>
      <c r="O10" s="1852">
        <v>3841.3636312037884</v>
      </c>
      <c r="P10" s="1852">
        <v>3889.231023877905</v>
      </c>
      <c r="Q10" s="1852">
        <v>3937.6684509286306</v>
      </c>
      <c r="R10" s="1852">
        <v>3986.6795213155651</v>
      </c>
      <c r="S10" s="1852">
        <v>4036.2704719088592</v>
      </c>
      <c r="T10" s="1852">
        <v>4085.3552125021479</v>
      </c>
      <c r="U10" s="1852">
        <v>4133.712880679278</v>
      </c>
      <c r="V10" s="1852">
        <v>4181.3910616079093</v>
      </c>
      <c r="W10" s="1852">
        <v>4228.5168162510763</v>
      </c>
      <c r="X10" s="1852">
        <v>4275.2258578417895</v>
      </c>
      <c r="Y10" s="1852">
        <v>4321.6452690283695</v>
      </c>
      <c r="Z10" s="1852">
        <v>4367.8835977987937</v>
      </c>
      <c r="AA10" s="1852">
        <v>4414.0239018142656</v>
      </c>
      <c r="AB10" s="1852">
        <v>4460.1188896216709</v>
      </c>
      <c r="AC10" s="1852">
        <v>4506.1924687274259</v>
      </c>
      <c r="AD10" s="1852">
        <v>4552.2521330008576</v>
      </c>
      <c r="AE10" s="1852">
        <v>4598.3052653912218</v>
      </c>
      <c r="AF10" s="1852">
        <v>4644.3500599999961</v>
      </c>
      <c r="AG10" s="1852">
        <v>4690.3672784006876</v>
      </c>
      <c r="AH10" s="1852">
        <v>4736.3216869303506</v>
      </c>
      <c r="AI10" s="1852">
        <v>4782.1694418744582</v>
      </c>
      <c r="AJ10" s="1852">
        <v>4827.873109363717</v>
      </c>
      <c r="AK10" s="1852">
        <v>4873.3948196044685</v>
      </c>
      <c r="AL10" s="1852">
        <v>4926.3800015477191</v>
      </c>
      <c r="AM10" s="1852">
        <v>4975.4959707480612</v>
      </c>
    </row>
    <row r="11" spans="1:39" x14ac:dyDescent="0.25">
      <c r="A11" s="1849" t="s">
        <v>934</v>
      </c>
      <c r="B11" s="1849" t="s">
        <v>937</v>
      </c>
      <c r="C11" s="1852">
        <v>15932.552399999997</v>
      </c>
      <c r="D11" s="1852">
        <v>15917.973129999997</v>
      </c>
      <c r="E11" s="1852">
        <v>16203.201339999989</v>
      </c>
      <c r="F11" s="1852">
        <v>16717.472999999991</v>
      </c>
      <c r="G11" s="1852">
        <v>16777.120519999997</v>
      </c>
      <c r="H11" s="1852">
        <v>16837.960980000003</v>
      </c>
      <c r="I11" s="1852">
        <v>16900.018279999993</v>
      </c>
      <c r="J11" s="1852">
        <v>16963.316699999988</v>
      </c>
      <c r="K11" s="1852">
        <v>17027.881119999991</v>
      </c>
      <c r="L11" s="1852">
        <v>17093.736769999992</v>
      </c>
      <c r="M11" s="1852">
        <v>17160.909589999992</v>
      </c>
      <c r="N11" s="1852">
        <v>17229.425859999996</v>
      </c>
      <c r="O11" s="1852">
        <v>17299.312419999995</v>
      </c>
      <c r="P11" s="1852">
        <v>17370.59673999999</v>
      </c>
      <c r="Q11" s="1852">
        <v>17443.30675</v>
      </c>
      <c r="R11" s="1852">
        <v>17517.470939999999</v>
      </c>
      <c r="S11" s="1852">
        <v>17593.118439999991</v>
      </c>
      <c r="T11" s="1852">
        <v>17670.278849999999</v>
      </c>
      <c r="U11" s="1852">
        <v>17748.982479999995</v>
      </c>
      <c r="V11" s="1852">
        <v>17829.260209999997</v>
      </c>
      <c r="W11" s="1852">
        <v>17911.143469999995</v>
      </c>
      <c r="X11" s="1852">
        <v>17994.664379999991</v>
      </c>
      <c r="Y11" s="1852">
        <v>18079.855759999995</v>
      </c>
      <c r="Z11" s="1852">
        <v>18166.750939999994</v>
      </c>
      <c r="AA11" s="1852">
        <v>18255.384029999997</v>
      </c>
      <c r="AB11" s="1852">
        <v>18345.789789999995</v>
      </c>
      <c r="AC11" s="1852">
        <v>18438.003619999992</v>
      </c>
      <c r="AD11" s="1852">
        <v>18532.061760000001</v>
      </c>
      <c r="AE11" s="1852">
        <v>18628.001049999999</v>
      </c>
      <c r="AF11" s="1852">
        <v>18725.859139999993</v>
      </c>
      <c r="AG11" s="1852">
        <v>18825.674399999993</v>
      </c>
      <c r="AH11" s="1852">
        <v>18927.485939999991</v>
      </c>
      <c r="AI11" s="1852">
        <v>19031.333739999995</v>
      </c>
      <c r="AJ11" s="1852">
        <v>19137.258469999993</v>
      </c>
      <c r="AK11" s="1852">
        <v>19245.301689999993</v>
      </c>
      <c r="AL11" s="1852">
        <v>19355.505769999996</v>
      </c>
      <c r="AM11" s="1852">
        <v>19467.913979999998</v>
      </c>
    </row>
    <row r="12" spans="1:39" x14ac:dyDescent="0.25">
      <c r="A12" s="1849" t="s">
        <v>938</v>
      </c>
      <c r="B12" s="1849" t="s">
        <v>935</v>
      </c>
      <c r="C12" s="1852">
        <v>72669.29290755617</v>
      </c>
      <c r="D12" s="1852">
        <v>73151.615149116464</v>
      </c>
      <c r="E12" s="1852">
        <v>77827.088217080949</v>
      </c>
      <c r="F12" s="1852">
        <v>79090.259026134299</v>
      </c>
      <c r="G12" s="1852">
        <v>80652.177286871694</v>
      </c>
      <c r="H12" s="1852">
        <v>82160.477937540621</v>
      </c>
      <c r="I12" s="1852">
        <v>83916.024229330942</v>
      </c>
      <c r="J12" s="1852">
        <v>86338.76741703476</v>
      </c>
      <c r="K12" s="1852">
        <v>88732.515879097205</v>
      </c>
      <c r="L12" s="1852">
        <v>91000.011350224479</v>
      </c>
      <c r="M12" s="1852">
        <v>92933.238778533851</v>
      </c>
      <c r="N12" s="1852">
        <v>95073.247295908877</v>
      </c>
      <c r="O12" s="1852">
        <v>97171.92609300121</v>
      </c>
      <c r="P12" s="1852">
        <v>98873.067316136949</v>
      </c>
      <c r="Q12" s="1852">
        <v>101020.91709337039</v>
      </c>
      <c r="R12" s="1852">
        <v>103251.18955438132</v>
      </c>
      <c r="S12" s="1852">
        <v>104657.95385731013</v>
      </c>
      <c r="T12" s="1852">
        <v>106991.73065313129</v>
      </c>
      <c r="U12" s="1852">
        <v>109044.17581075242</v>
      </c>
      <c r="V12" s="1852">
        <v>111096.07079490229</v>
      </c>
      <c r="W12" s="1852">
        <v>112682.83337791884</v>
      </c>
      <c r="X12" s="1852">
        <v>114889.26652095243</v>
      </c>
      <c r="Y12" s="1852">
        <v>116785.51110318571</v>
      </c>
      <c r="Z12" s="1852">
        <v>118901.57268542094</v>
      </c>
      <c r="AA12" s="1852">
        <v>121296.58008916173</v>
      </c>
      <c r="AB12" s="1852">
        <v>123512.16893956567</v>
      </c>
      <c r="AC12" s="1852">
        <v>125638.60667319305</v>
      </c>
      <c r="AD12" s="1852">
        <v>127400.05607528286</v>
      </c>
      <c r="AE12" s="1852">
        <v>129725.33137051015</v>
      </c>
      <c r="AF12" s="1852">
        <v>132138.34426941487</v>
      </c>
      <c r="AG12" s="1852">
        <v>133901.38389928767</v>
      </c>
      <c r="AH12" s="1852">
        <v>135829.14524424105</v>
      </c>
      <c r="AI12" s="1852">
        <v>138487.51364199872</v>
      </c>
      <c r="AJ12" s="1852">
        <v>140002.02312275354</v>
      </c>
      <c r="AK12" s="1852">
        <v>142296.12351299668</v>
      </c>
      <c r="AL12" s="1852">
        <v>144454.80484536433</v>
      </c>
      <c r="AM12" s="1852">
        <v>146393.76504266812</v>
      </c>
    </row>
    <row r="13" spans="1:39" x14ac:dyDescent="0.25">
      <c r="A13" s="1849" t="s">
        <v>938</v>
      </c>
      <c r="B13" s="1849" t="s">
        <v>936</v>
      </c>
      <c r="C13" s="1852">
        <v>42659.623346950713</v>
      </c>
      <c r="D13" s="1852">
        <v>43652.772011419693</v>
      </c>
      <c r="E13" s="1852">
        <v>44118.284271734934</v>
      </c>
      <c r="F13" s="1852">
        <v>47809.021512653366</v>
      </c>
      <c r="G13" s="1852">
        <v>49635.807585638941</v>
      </c>
      <c r="H13" s="1852">
        <v>52205.678811389604</v>
      </c>
      <c r="I13" s="1852">
        <v>53838.948580380915</v>
      </c>
      <c r="J13" s="1852">
        <v>55400.945249562421</v>
      </c>
      <c r="K13" s="1852">
        <v>59778.192593480308</v>
      </c>
      <c r="L13" s="1852">
        <v>63281.296087621537</v>
      </c>
      <c r="M13" s="1852">
        <v>65270.783433242992</v>
      </c>
      <c r="N13" s="1852">
        <v>63835.178583558562</v>
      </c>
      <c r="O13" s="1852">
        <v>62514.727095468123</v>
      </c>
      <c r="P13" s="1852">
        <v>65168.379233253516</v>
      </c>
      <c r="Q13" s="1852">
        <v>66829.627220767128</v>
      </c>
      <c r="R13" s="1852">
        <v>68486.380149056597</v>
      </c>
      <c r="S13" s="1852">
        <v>70196.917001805108</v>
      </c>
      <c r="T13" s="1852">
        <v>71939.230565760256</v>
      </c>
      <c r="U13" s="1852">
        <v>73752.011300507904</v>
      </c>
      <c r="V13" s="1852">
        <v>75590.760961068314</v>
      </c>
      <c r="W13" s="1852">
        <v>77438.272953835287</v>
      </c>
      <c r="X13" s="1852">
        <v>79296.336634240972</v>
      </c>
      <c r="Y13" s="1852">
        <v>81164.315520525313</v>
      </c>
      <c r="Z13" s="1852">
        <v>83044.672474819206</v>
      </c>
      <c r="AA13" s="1852">
        <v>84932.604907766057</v>
      </c>
      <c r="AB13" s="1852">
        <v>86822.273170811968</v>
      </c>
      <c r="AC13" s="1852">
        <v>88713.046663803398</v>
      </c>
      <c r="AD13" s="1852">
        <v>90915.309282405593</v>
      </c>
      <c r="AE13" s="1852">
        <v>92507.62001850862</v>
      </c>
      <c r="AF13" s="1852">
        <v>94100.540236684392</v>
      </c>
      <c r="AG13" s="1852">
        <v>95751.079895921503</v>
      </c>
      <c r="AH13" s="1852">
        <v>97830.547205537267</v>
      </c>
      <c r="AI13" s="1852">
        <v>99810.170265065841</v>
      </c>
      <c r="AJ13" s="1852">
        <v>101187.36589954187</v>
      </c>
      <c r="AK13" s="1852">
        <v>102608.33993214025</v>
      </c>
      <c r="AL13" s="1852">
        <v>104045.87281464945</v>
      </c>
      <c r="AM13" s="1852">
        <v>105407.95052811797</v>
      </c>
    </row>
    <row r="14" spans="1:39" x14ac:dyDescent="0.25">
      <c r="A14" s="1849" t="s">
        <v>938</v>
      </c>
      <c r="B14" s="1849" t="s">
        <v>420</v>
      </c>
      <c r="C14" s="1852">
        <v>80548.468168987427</v>
      </c>
      <c r="D14" s="1852">
        <v>81887.856238419539</v>
      </c>
      <c r="E14" s="1852">
        <v>82744.76978268227</v>
      </c>
      <c r="F14" s="1852">
        <v>84115.895664149954</v>
      </c>
      <c r="G14" s="1852">
        <v>85761.789231174713</v>
      </c>
      <c r="H14" s="1852">
        <v>87992.985219017311</v>
      </c>
      <c r="I14" s="1852">
        <v>90538.572117161631</v>
      </c>
      <c r="J14" s="1852">
        <v>93931.794592551218</v>
      </c>
      <c r="K14" s="1852">
        <v>98023.533818765485</v>
      </c>
      <c r="L14" s="1852">
        <v>102682.66042355773</v>
      </c>
      <c r="M14" s="1852">
        <v>107596.98926887476</v>
      </c>
      <c r="N14" s="1852">
        <v>112642.54194794482</v>
      </c>
      <c r="O14" s="1852">
        <v>117853.42144217438</v>
      </c>
      <c r="P14" s="1852">
        <v>123512.33328777018</v>
      </c>
      <c r="Q14" s="1852">
        <v>129236.3797103666</v>
      </c>
      <c r="R14" s="1852">
        <v>134913.58738697832</v>
      </c>
      <c r="S14" s="1852">
        <v>140477.24712672021</v>
      </c>
      <c r="T14" s="1852">
        <v>145871.60529395012</v>
      </c>
      <c r="U14" s="1852">
        <v>150979.50770921601</v>
      </c>
      <c r="V14" s="1852">
        <v>155862.04384308739</v>
      </c>
      <c r="W14" s="1852">
        <v>160515.35068611527</v>
      </c>
      <c r="X14" s="1852">
        <v>165041.60357442347</v>
      </c>
      <c r="Y14" s="1852">
        <v>169503.36700582324</v>
      </c>
      <c r="Z14" s="1852">
        <v>173920.62454952943</v>
      </c>
      <c r="AA14" s="1852">
        <v>178377.25253824957</v>
      </c>
      <c r="AB14" s="1852">
        <v>182874.95124472803</v>
      </c>
      <c r="AC14" s="1852">
        <v>187473.54743521335</v>
      </c>
      <c r="AD14" s="1852">
        <v>192185.0666436748</v>
      </c>
      <c r="AE14" s="1852">
        <v>196982.79263576743</v>
      </c>
      <c r="AF14" s="1852">
        <v>201895.26019570336</v>
      </c>
      <c r="AG14" s="1852">
        <v>206908.45754961821</v>
      </c>
      <c r="AH14" s="1852">
        <v>212078.95434156395</v>
      </c>
      <c r="AI14" s="1852">
        <v>217380.04298166611</v>
      </c>
      <c r="AJ14" s="1852">
        <v>222731.29128327532</v>
      </c>
      <c r="AK14" s="1852">
        <v>228139.85063461782</v>
      </c>
      <c r="AL14" s="1852">
        <v>233660.23235661752</v>
      </c>
      <c r="AM14" s="1852">
        <v>239307.68184666848</v>
      </c>
    </row>
    <row r="15" spans="1:39" x14ac:dyDescent="0.25">
      <c r="A15" s="1849" t="s">
        <v>938</v>
      </c>
      <c r="B15" s="1849" t="s">
        <v>479</v>
      </c>
      <c r="C15" s="1852">
        <v>41923.416089365506</v>
      </c>
      <c r="D15" s="1852">
        <v>42591.07158002942</v>
      </c>
      <c r="E15" s="1852">
        <v>43352.027132522162</v>
      </c>
      <c r="F15" s="1852">
        <v>44227.805900068051</v>
      </c>
      <c r="G15" s="1852">
        <v>45244.308493903882</v>
      </c>
      <c r="H15" s="1852">
        <v>46411.737310346602</v>
      </c>
      <c r="I15" s="1852">
        <v>47792.069109666641</v>
      </c>
      <c r="J15" s="1852">
        <v>49270.041124407311</v>
      </c>
      <c r="K15" s="1852">
        <v>51003.221737114676</v>
      </c>
      <c r="L15" s="1852">
        <v>52872.956724308817</v>
      </c>
      <c r="M15" s="1852">
        <v>54796.677755427285</v>
      </c>
      <c r="N15" s="1852">
        <v>56758.956929479544</v>
      </c>
      <c r="O15" s="1852">
        <v>58704.605888536862</v>
      </c>
      <c r="P15" s="1852">
        <v>60532.121354948285</v>
      </c>
      <c r="Q15" s="1852">
        <v>62448.504368265712</v>
      </c>
      <c r="R15" s="1852">
        <v>64405.841329559778</v>
      </c>
      <c r="S15" s="1852">
        <v>66404.394451779764</v>
      </c>
      <c r="T15" s="1852">
        <v>68303.371984868849</v>
      </c>
      <c r="U15" s="1852">
        <v>70234.922581809238</v>
      </c>
      <c r="V15" s="1852">
        <v>72431.520022539233</v>
      </c>
      <c r="W15" s="1852">
        <v>74728.206933352951</v>
      </c>
      <c r="X15" s="1852">
        <v>77078.05435560584</v>
      </c>
      <c r="Y15" s="1852">
        <v>79525.383761487552</v>
      </c>
      <c r="Z15" s="1852">
        <v>82062.876432563993</v>
      </c>
      <c r="AA15" s="1852">
        <v>84681.639905682154</v>
      </c>
      <c r="AB15" s="1852">
        <v>87508.71860314082</v>
      </c>
      <c r="AC15" s="1852">
        <v>90605.128542560386</v>
      </c>
      <c r="AD15" s="1852">
        <v>93929.260856666049</v>
      </c>
      <c r="AE15" s="1852">
        <v>97596.419086120601</v>
      </c>
      <c r="AF15" s="1852">
        <v>101886.44565097033</v>
      </c>
      <c r="AG15" s="1852">
        <v>107340.10184775246</v>
      </c>
      <c r="AH15" s="1852">
        <v>110496.3600394508</v>
      </c>
      <c r="AI15" s="1852">
        <v>111157.8333835035</v>
      </c>
      <c r="AJ15" s="1852">
        <v>111749.95501324085</v>
      </c>
      <c r="AK15" s="1852">
        <v>112324.60764106332</v>
      </c>
      <c r="AL15" s="1852">
        <v>112884.58973996197</v>
      </c>
      <c r="AM15" s="1852">
        <v>113434.113416188</v>
      </c>
    </row>
    <row r="16" spans="1:39" x14ac:dyDescent="0.25">
      <c r="A16" s="1849" t="s">
        <v>938</v>
      </c>
      <c r="B16" s="1849" t="s">
        <v>489</v>
      </c>
      <c r="C16" s="1852">
        <v>12816.77110064318</v>
      </c>
      <c r="D16" s="1852">
        <v>13733.466693809864</v>
      </c>
      <c r="E16" s="1852">
        <v>14044.699330276126</v>
      </c>
      <c r="F16" s="1852">
        <v>14412.456667710245</v>
      </c>
      <c r="G16" s="1852">
        <v>14853.206300384549</v>
      </c>
      <c r="H16" s="1852">
        <v>15371.752245946987</v>
      </c>
      <c r="I16" s="1852">
        <v>15974.006233547725</v>
      </c>
      <c r="J16" s="1852">
        <v>16667.043911573575</v>
      </c>
      <c r="K16" s="1852">
        <v>17463.045857991896</v>
      </c>
      <c r="L16" s="1852">
        <v>18246.4995135057</v>
      </c>
      <c r="M16" s="1852">
        <v>19015.929321441723</v>
      </c>
      <c r="N16" s="1852">
        <v>19771.002410973058</v>
      </c>
      <c r="O16" s="1852">
        <v>20512.623231233491</v>
      </c>
      <c r="P16" s="1852">
        <v>21241.764065956802</v>
      </c>
      <c r="Q16" s="1852">
        <v>21960.301427199029</v>
      </c>
      <c r="R16" s="1852">
        <v>22670.153907046479</v>
      </c>
      <c r="S16" s="1852">
        <v>23373.339719769905</v>
      </c>
      <c r="T16" s="1852">
        <v>24072.036515867938</v>
      </c>
      <c r="U16" s="1852">
        <v>24768.747117084618</v>
      </c>
      <c r="V16" s="1852">
        <v>25465.181377001652</v>
      </c>
      <c r="W16" s="1852">
        <v>26163.60199908986</v>
      </c>
      <c r="X16" s="1852">
        <v>26866.134383874407</v>
      </c>
      <c r="Y16" s="1852">
        <v>27574.024381124567</v>
      </c>
      <c r="Z16" s="1852">
        <v>28289.072401752273</v>
      </c>
      <c r="AA16" s="1852">
        <v>29012.038045300164</v>
      </c>
      <c r="AB16" s="1852">
        <v>29743.728886571818</v>
      </c>
      <c r="AC16" s="1852">
        <v>30484.160822202637</v>
      </c>
      <c r="AD16" s="1852">
        <v>31233.507066459511</v>
      </c>
      <c r="AE16" s="1852">
        <v>31992.166659656756</v>
      </c>
      <c r="AF16" s="1852">
        <v>32759.240488456657</v>
      </c>
      <c r="AG16" s="1852">
        <v>33534.848631129054</v>
      </c>
      <c r="AH16" s="1852">
        <v>33534.848631129054</v>
      </c>
      <c r="AI16" s="1852">
        <v>33534.848631129054</v>
      </c>
      <c r="AJ16" s="1852">
        <v>33534.848631129054</v>
      </c>
      <c r="AK16" s="1852">
        <v>33534.848631129054</v>
      </c>
      <c r="AL16" s="1852">
        <v>33534.848631129054</v>
      </c>
      <c r="AM16" s="1852">
        <v>33534.848631129054</v>
      </c>
    </row>
    <row r="17" spans="1:39" x14ac:dyDescent="0.25">
      <c r="A17" s="1849" t="s">
        <v>938</v>
      </c>
      <c r="B17" s="1849" t="s">
        <v>490</v>
      </c>
      <c r="C17" s="1852">
        <v>3544.0663348495323</v>
      </c>
      <c r="D17" s="1852">
        <v>3463.0568089939902</v>
      </c>
      <c r="E17" s="1852">
        <v>3461.8077529664724</v>
      </c>
      <c r="F17" s="1852">
        <v>3484.4271134221913</v>
      </c>
      <c r="G17" s="1852">
        <v>3518.9467538951062</v>
      </c>
      <c r="H17" s="1852">
        <v>3561.6039468443732</v>
      </c>
      <c r="I17" s="1852">
        <v>3611.4105248839242</v>
      </c>
      <c r="J17" s="1852">
        <v>3668.179846079106</v>
      </c>
      <c r="K17" s="1852">
        <v>3732.2956968443664</v>
      </c>
      <c r="L17" s="1852">
        <v>3797.1584325709377</v>
      </c>
      <c r="M17" s="1852">
        <v>3860.6063985124724</v>
      </c>
      <c r="N17" s="1852">
        <v>3922.0770483834967</v>
      </c>
      <c r="O17" s="1852">
        <v>3981.4404747205494</v>
      </c>
      <c r="P17" s="1852">
        <v>4038.8127173946687</v>
      </c>
      <c r="Q17" s="1852">
        <v>4094.3784144454057</v>
      </c>
      <c r="R17" s="1852">
        <v>4148.3433548323328</v>
      </c>
      <c r="S17" s="1852">
        <v>4200.9223554256259</v>
      </c>
      <c r="T17" s="1852">
        <v>4252.3285260189168</v>
      </c>
      <c r="U17" s="1852">
        <v>4302.768244196046</v>
      </c>
      <c r="V17" s="1852">
        <v>4352.4327751246738</v>
      </c>
      <c r="W17" s="1852">
        <v>4401.5002097678425</v>
      </c>
      <c r="X17" s="1852">
        <v>4450.1266713585528</v>
      </c>
      <c r="Y17" s="1852">
        <v>4498.4493825451318</v>
      </c>
      <c r="Z17" s="1852">
        <v>4546.5827313155578</v>
      </c>
      <c r="AA17" s="1852">
        <v>4594.6139253310312</v>
      </c>
      <c r="AB17" s="1852">
        <v>4642.5978531384362</v>
      </c>
      <c r="AC17" s="1852">
        <v>4690.5593922441894</v>
      </c>
      <c r="AD17" s="1852">
        <v>4738.5064565176235</v>
      </c>
      <c r="AE17" s="1852">
        <v>4786.4466889079886</v>
      </c>
      <c r="AF17" s="1852">
        <v>4834.3782235167691</v>
      </c>
      <c r="AG17" s="1852">
        <v>4882.2810519174545</v>
      </c>
      <c r="AH17" s="1852">
        <v>4930.1185704471136</v>
      </c>
      <c r="AI17" s="1852">
        <v>4977.8449553912242</v>
      </c>
      <c r="AJ17" s="1852">
        <v>5025.4213828804805</v>
      </c>
      <c r="AK17" s="1852">
        <v>5072.8083931212368</v>
      </c>
      <c r="AL17" s="1852">
        <v>5119.9688250644831</v>
      </c>
      <c r="AM17" s="1852">
        <v>5172.9078242648275</v>
      </c>
    </row>
    <row r="18" spans="1:39" x14ac:dyDescent="0.25">
      <c r="A18" s="1849" t="s">
        <v>938</v>
      </c>
      <c r="B18" s="1849" t="s">
        <v>937</v>
      </c>
      <c r="C18" s="1852">
        <v>15932.552399999997</v>
      </c>
      <c r="D18" s="1852">
        <v>15917.973129999997</v>
      </c>
      <c r="E18" s="1852">
        <v>16203.201339999989</v>
      </c>
      <c r="F18" s="1852">
        <v>16717.472999999991</v>
      </c>
      <c r="G18" s="1852">
        <v>16777.120519999997</v>
      </c>
      <c r="H18" s="1852">
        <v>16837.960980000003</v>
      </c>
      <c r="I18" s="1852">
        <v>16900.018279999993</v>
      </c>
      <c r="J18" s="1852">
        <v>16963.316699999988</v>
      </c>
      <c r="K18" s="1852">
        <v>17027.881119999991</v>
      </c>
      <c r="L18" s="1852">
        <v>17093.736769999992</v>
      </c>
      <c r="M18" s="1852">
        <v>17160.909589999992</v>
      </c>
      <c r="N18" s="1852">
        <v>17229.425859999996</v>
      </c>
      <c r="O18" s="1852">
        <v>17299.312419999995</v>
      </c>
      <c r="P18" s="1852">
        <v>17370.59673999999</v>
      </c>
      <c r="Q18" s="1852">
        <v>17443.30675</v>
      </c>
      <c r="R18" s="1852">
        <v>17517.470939999999</v>
      </c>
      <c r="S18" s="1852">
        <v>17593.118439999991</v>
      </c>
      <c r="T18" s="1852">
        <v>17670.278849999999</v>
      </c>
      <c r="U18" s="1852">
        <v>17748.982479999995</v>
      </c>
      <c r="V18" s="1852">
        <v>17829.260209999997</v>
      </c>
      <c r="W18" s="1852">
        <v>17911.143469999995</v>
      </c>
      <c r="X18" s="1852">
        <v>17994.664379999991</v>
      </c>
      <c r="Y18" s="1852">
        <v>18079.855759999995</v>
      </c>
      <c r="Z18" s="1852">
        <v>18166.750939999994</v>
      </c>
      <c r="AA18" s="1852">
        <v>18255.384029999997</v>
      </c>
      <c r="AB18" s="1852">
        <v>18345.789789999995</v>
      </c>
      <c r="AC18" s="1852">
        <v>18438.003619999992</v>
      </c>
      <c r="AD18" s="1852">
        <v>18532.061760000001</v>
      </c>
      <c r="AE18" s="1852">
        <v>18628.001049999999</v>
      </c>
      <c r="AF18" s="1852">
        <v>18725.859139999993</v>
      </c>
      <c r="AG18" s="1852">
        <v>18825.674399999993</v>
      </c>
      <c r="AH18" s="1852">
        <v>18927.485939999991</v>
      </c>
      <c r="AI18" s="1852">
        <v>19031.333739999995</v>
      </c>
      <c r="AJ18" s="1852">
        <v>19137.258469999993</v>
      </c>
      <c r="AK18" s="1852">
        <v>19245.301689999993</v>
      </c>
      <c r="AL18" s="1852">
        <v>19355.505769999996</v>
      </c>
      <c r="AM18" s="1852">
        <v>19467.913979999998</v>
      </c>
    </row>
    <row r="20" spans="1:39" x14ac:dyDescent="0.25">
      <c r="A20" s="1849" t="s">
        <v>942</v>
      </c>
    </row>
    <row r="22" spans="1:39" x14ac:dyDescent="0.25">
      <c r="A22" s="1849" t="s">
        <v>941</v>
      </c>
      <c r="B22" s="1849" t="s">
        <v>943</v>
      </c>
      <c r="D22" s="1849">
        <v>1</v>
      </c>
      <c r="E22" s="1849" t="s">
        <v>171</v>
      </c>
      <c r="F22" s="1849" t="s">
        <v>234</v>
      </c>
      <c r="G22" s="1849">
        <v>859.85</v>
      </c>
      <c r="H22" s="1849" t="s">
        <v>656</v>
      </c>
      <c r="I22" s="1849">
        <f>1/G22</f>
        <v>1.1629935453858231E-3</v>
      </c>
    </row>
    <row r="23" spans="1:39" x14ac:dyDescent="0.25">
      <c r="A23" s="1849" t="s">
        <v>944</v>
      </c>
      <c r="B23" s="1849" t="s">
        <v>945</v>
      </c>
    </row>
    <row r="24" spans="1:39" x14ac:dyDescent="0.25">
      <c r="A24" s="1849" t="s">
        <v>946</v>
      </c>
      <c r="B24" s="1849" t="s">
        <v>947</v>
      </c>
    </row>
    <row r="25" spans="1:39" x14ac:dyDescent="0.25">
      <c r="A25" s="1849" t="s">
        <v>948</v>
      </c>
      <c r="B25" s="1849" t="s">
        <v>949</v>
      </c>
    </row>
    <row r="26" spans="1:39" x14ac:dyDescent="0.25">
      <c r="A26" s="1849" t="s">
        <v>934</v>
      </c>
      <c r="B26" s="1860" t="s">
        <v>950</v>
      </c>
    </row>
    <row r="27" spans="1:39" x14ac:dyDescent="0.25">
      <c r="A27" s="1849" t="s">
        <v>938</v>
      </c>
      <c r="B27" s="1849" t="s">
        <v>951</v>
      </c>
    </row>
    <row r="29" spans="1:39" x14ac:dyDescent="0.25">
      <c r="B29" s="1864"/>
      <c r="C29" s="1864"/>
      <c r="D29" s="1864"/>
      <c r="E29" s="1864"/>
      <c r="F29" s="1864"/>
      <c r="G29" s="1864"/>
      <c r="H29" s="1864"/>
      <c r="I29" s="1864"/>
      <c r="J29" s="1864"/>
    </row>
    <row r="30" spans="1:39" x14ac:dyDescent="0.25">
      <c r="A30" s="1848" t="s">
        <v>403</v>
      </c>
      <c r="B30" s="1867" t="s">
        <v>40</v>
      </c>
      <c r="C30" s="1867">
        <v>2015</v>
      </c>
      <c r="D30" s="1867">
        <v>2020</v>
      </c>
      <c r="E30" s="1867">
        <v>2025</v>
      </c>
      <c r="F30" s="1867">
        <v>2030</v>
      </c>
      <c r="G30" s="1867">
        <v>2035</v>
      </c>
      <c r="H30" s="1867">
        <v>2040</v>
      </c>
      <c r="I30" s="1867">
        <v>2045</v>
      </c>
      <c r="J30" s="1867">
        <v>2050</v>
      </c>
    </row>
    <row r="31" spans="1:39" x14ac:dyDescent="0.25">
      <c r="A31" s="1849" t="s">
        <v>934</v>
      </c>
      <c r="B31" s="1849" t="s">
        <v>935</v>
      </c>
      <c r="C31" s="1863">
        <f>INDEX($B$4:$AM$11,MATCH($B31,$B$4:$B$11,0),MATCH(C$30,$B$4:$AM$4,0))/$G$22</f>
        <v>85.074856252970235</v>
      </c>
      <c r="D31" s="1863">
        <f t="shared" ref="D31:J37" si="0">INDEX($B$4:$AM$11,MATCH($B31,$B$4:$B$11,0),MATCH(D$30,$B$4:$AM$4,0))/$G$22</f>
        <v>96.057944886951233</v>
      </c>
      <c r="E31" s="1863">
        <f t="shared" si="0"/>
        <v>105.82640600134134</v>
      </c>
      <c r="F31" s="1863">
        <f t="shared" si="0"/>
        <v>115.3970270673008</v>
      </c>
      <c r="G31" s="1863">
        <f t="shared" si="0"/>
        <v>126.3756056309045</v>
      </c>
      <c r="H31" s="1863">
        <f t="shared" si="0"/>
        <v>137.8994382478449</v>
      </c>
      <c r="I31" s="1863">
        <f t="shared" si="0"/>
        <v>148.73287658239042</v>
      </c>
      <c r="J31" s="1863">
        <f t="shared" si="0"/>
        <v>159.99266538857265</v>
      </c>
    </row>
    <row r="32" spans="1:39" x14ac:dyDescent="0.25">
      <c r="B32" s="1849" t="s">
        <v>936</v>
      </c>
      <c r="C32" s="1863">
        <f t="shared" ref="C32:C37" si="1">INDEX($B$4:$AM$11,MATCH($B32,$B$4:$B$11,0),MATCH(C$30,$B$4:$AM$4,0))/$G$22</f>
        <v>50.767892087480014</v>
      </c>
      <c r="D32" s="1863">
        <f t="shared" si="0"/>
        <v>62.614349689342227</v>
      </c>
      <c r="E32" s="1863">
        <f t="shared" si="0"/>
        <v>74.239900661229939</v>
      </c>
      <c r="F32" s="1863">
        <f t="shared" si="0"/>
        <v>81.638561379083683</v>
      </c>
      <c r="G32" s="1863">
        <f t="shared" si="0"/>
        <v>92.221127678363629</v>
      </c>
      <c r="H32" s="1863">
        <f t="shared" si="0"/>
        <v>103.17270066151468</v>
      </c>
      <c r="I32" s="1863">
        <f t="shared" si="0"/>
        <v>113.77629494160291</v>
      </c>
      <c r="J32" s="1863">
        <f t="shared" si="0"/>
        <v>122.58876609654936</v>
      </c>
    </row>
    <row r="33" spans="1:10" x14ac:dyDescent="0.25">
      <c r="B33" s="1849" t="s">
        <v>420</v>
      </c>
      <c r="C33" s="1863">
        <f t="shared" si="1"/>
        <v>95.234958309553434</v>
      </c>
      <c r="D33" s="1863">
        <f t="shared" si="0"/>
        <v>102.18953082111894</v>
      </c>
      <c r="E33" s="1863">
        <f t="shared" si="0"/>
        <v>119.57491820950167</v>
      </c>
      <c r="F33" s="1863">
        <f t="shared" si="0"/>
        <v>143.49789043348758</v>
      </c>
      <c r="G33" s="1863">
        <f t="shared" si="0"/>
        <v>167.14154928749326</v>
      </c>
      <c r="H33" s="1863">
        <f t="shared" si="0"/>
        <v>190.36685212259076</v>
      </c>
      <c r="I33" s="1863">
        <f t="shared" si="0"/>
        <v>216.1276911214467</v>
      </c>
      <c r="J33" s="1863">
        <f t="shared" si="0"/>
        <v>244.58461444808825</v>
      </c>
    </row>
    <row r="34" spans="1:10" x14ac:dyDescent="0.25">
      <c r="B34" s="1849" t="s">
        <v>479</v>
      </c>
      <c r="C34" s="1863">
        <f t="shared" si="1"/>
        <v>49.533141338639787</v>
      </c>
      <c r="D34" s="1863">
        <f t="shared" si="0"/>
        <v>54.791578591247699</v>
      </c>
      <c r="E34" s="1863">
        <f t="shared" si="0"/>
        <v>63.014234245009405</v>
      </c>
      <c r="F34" s="1863">
        <f t="shared" si="0"/>
        <v>72.540256527474497</v>
      </c>
      <c r="G34" s="1863">
        <f t="shared" si="0"/>
        <v>83.560806259971898</v>
      </c>
      <c r="H34" s="1863">
        <f t="shared" si="0"/>
        <v>96.8160485038715</v>
      </c>
      <c r="I34" s="1863">
        <f t="shared" si="0"/>
        <v>113.03194981654869</v>
      </c>
      <c r="J34" s="1863">
        <f t="shared" si="0"/>
        <v>130.28345361863447</v>
      </c>
    </row>
    <row r="35" spans="1:10" x14ac:dyDescent="0.25">
      <c r="B35" s="1849" t="s">
        <v>489</v>
      </c>
      <c r="C35" s="1863">
        <f t="shared" si="1"/>
        <v>15.971933120672052</v>
      </c>
      <c r="D35" s="1863">
        <f t="shared" si="0"/>
        <v>17.94011378662411</v>
      </c>
      <c r="E35" s="1863">
        <f t="shared" si="0"/>
        <v>21.053883417346388</v>
      </c>
      <c r="F35" s="1863">
        <f t="shared" si="0"/>
        <v>24.60923364428395</v>
      </c>
      <c r="G35" s="1863">
        <f t="shared" si="0"/>
        <v>28.329939253452682</v>
      </c>
      <c r="H35" s="1863">
        <f t="shared" si="0"/>
        <v>32.184464481356805</v>
      </c>
      <c r="I35" s="1863">
        <f t="shared" si="0"/>
        <v>36.268801932943916</v>
      </c>
      <c r="J35" s="1863">
        <f t="shared" si="0"/>
        <v>38.813121705066187</v>
      </c>
    </row>
    <row r="36" spans="1:10" x14ac:dyDescent="0.25">
      <c r="B36" s="1864" t="s">
        <v>490</v>
      </c>
      <c r="C36" s="1863">
        <f t="shared" si="1"/>
        <v>4.027512716164436</v>
      </c>
      <c r="D36" s="1863">
        <f t="shared" si="0"/>
        <v>4.1498297943246474</v>
      </c>
      <c r="E36" s="1863">
        <f t="shared" si="0"/>
        <v>4.4124699480917879</v>
      </c>
      <c r="F36" s="1863">
        <f t="shared" si="0"/>
        <v>4.6941565062613932</v>
      </c>
      <c r="G36" s="1863">
        <f t="shared" si="0"/>
        <v>4.97206007773657</v>
      </c>
      <c r="H36" s="1863">
        <f t="shared" si="0"/>
        <v>5.2406727553962034</v>
      </c>
      <c r="I36" s="1863">
        <f t="shared" si="0"/>
        <v>5.5083115507708911</v>
      </c>
      <c r="J36" s="1863">
        <f t="shared" si="0"/>
        <v>5.786469699073165</v>
      </c>
    </row>
    <row r="37" spans="1:10" x14ac:dyDescent="0.25">
      <c r="B37" s="1865" t="s">
        <v>937</v>
      </c>
      <c r="C37" s="1866">
        <f t="shared" si="1"/>
        <v>18.512500005814964</v>
      </c>
      <c r="D37" s="1866">
        <f t="shared" si="0"/>
        <v>19.654612176542411</v>
      </c>
      <c r="E37" s="1866">
        <f t="shared" si="0"/>
        <v>20.037711065883578</v>
      </c>
      <c r="F37" s="1866">
        <f t="shared" si="0"/>
        <v>20.460683188928289</v>
      </c>
      <c r="G37" s="1866">
        <f t="shared" si="0"/>
        <v>20.927678525324172</v>
      </c>
      <c r="H37" s="1866">
        <f t="shared" si="0"/>
        <v>21.443279199860431</v>
      </c>
      <c r="I37" s="1866">
        <f t="shared" si="0"/>
        <v>22.01254397860091</v>
      </c>
      <c r="J37" s="1866">
        <f t="shared" si="0"/>
        <v>22.641058300866426</v>
      </c>
    </row>
    <row r="38" spans="1:10" x14ac:dyDescent="0.25">
      <c r="A38" s="1849" t="s">
        <v>938</v>
      </c>
      <c r="B38" s="1849" t="s">
        <v>935</v>
      </c>
      <c r="C38" s="1863">
        <f>INDEX($B$12:$AM$19,MATCH($B38,$B$12:$B$19,0),MATCH(C$30,$B$4:$AM$4,0))/$G$22</f>
        <v>85.074856252970235</v>
      </c>
      <c r="D38" s="1863">
        <f t="shared" ref="D38:J38" si="2">INDEX($B$12:$AM$19,MATCH($B38,$B$12:$B$19,0),MATCH(D$30,$B$4:$AM$4,0))/$G$22</f>
        <v>97.59379453315222</v>
      </c>
      <c r="E38" s="1863">
        <f t="shared" si="2"/>
        <v>110.56957294401218</v>
      </c>
      <c r="F38" s="1863">
        <f t="shared" si="2"/>
        <v>121.71652480933899</v>
      </c>
      <c r="G38" s="1863">
        <f t="shared" si="2"/>
        <v>133.61547539797922</v>
      </c>
      <c r="H38" s="1863">
        <f t="shared" si="2"/>
        <v>146.1168886121917</v>
      </c>
      <c r="I38" s="1863">
        <f t="shared" si="2"/>
        <v>157.9684191943258</v>
      </c>
      <c r="J38" s="1863">
        <f t="shared" si="2"/>
        <v>170.25500382935178</v>
      </c>
    </row>
    <row r="39" spans="1:10" x14ac:dyDescent="0.25">
      <c r="B39" s="1849" t="s">
        <v>936</v>
      </c>
      <c r="C39" s="1863">
        <f t="shared" ref="C39:J44" si="3">INDEX($B$12:$AM$19,MATCH($B39,$B$12:$B$19,0),MATCH(C$30,$B$4:$AM$4,0))/$G$22</f>
        <v>50.767892087480014</v>
      </c>
      <c r="D39" s="1863">
        <f t="shared" si="3"/>
        <v>62.614349689342227</v>
      </c>
      <c r="E39" s="1863">
        <f t="shared" si="3"/>
        <v>74.239900661229939</v>
      </c>
      <c r="F39" s="1863">
        <f t="shared" si="3"/>
        <v>81.638561379083683</v>
      </c>
      <c r="G39" s="1863">
        <f t="shared" si="3"/>
        <v>92.221127678363629</v>
      </c>
      <c r="H39" s="1863">
        <f t="shared" si="3"/>
        <v>103.17270066151468</v>
      </c>
      <c r="I39" s="1863">
        <f t="shared" si="3"/>
        <v>113.77629494160291</v>
      </c>
      <c r="J39" s="1863">
        <f t="shared" si="3"/>
        <v>122.58876609654936</v>
      </c>
    </row>
    <row r="40" spans="1:10" x14ac:dyDescent="0.25">
      <c r="B40" s="1849" t="s">
        <v>420</v>
      </c>
      <c r="C40" s="1863">
        <f t="shared" si="3"/>
        <v>95.235048250764123</v>
      </c>
      <c r="D40" s="1863">
        <f t="shared" si="3"/>
        <v>105.29577498070783</v>
      </c>
      <c r="E40" s="1863">
        <f t="shared" si="3"/>
        <v>131.00254922131165</v>
      </c>
      <c r="F40" s="1863">
        <f t="shared" si="3"/>
        <v>163.37413168194476</v>
      </c>
      <c r="G40" s="1863">
        <f t="shared" si="3"/>
        <v>191.94231967718028</v>
      </c>
      <c r="H40" s="1863">
        <f t="shared" si="3"/>
        <v>218.03052559773604</v>
      </c>
      <c r="I40" s="1863">
        <f t="shared" si="3"/>
        <v>246.64645501141356</v>
      </c>
      <c r="J40" s="1863">
        <f t="shared" si="3"/>
        <v>278.31328934891957</v>
      </c>
    </row>
    <row r="41" spans="1:10" x14ac:dyDescent="0.25">
      <c r="B41" s="1849" t="s">
        <v>479</v>
      </c>
      <c r="C41" s="1863">
        <f t="shared" si="3"/>
        <v>49.533141338639787</v>
      </c>
      <c r="D41" s="1863">
        <f t="shared" si="3"/>
        <v>55.581867895175485</v>
      </c>
      <c r="E41" s="1863">
        <f t="shared" si="3"/>
        <v>66.010300551816641</v>
      </c>
      <c r="F41" s="1863">
        <f t="shared" si="3"/>
        <v>77.227882132674026</v>
      </c>
      <c r="G41" s="1863">
        <f t="shared" si="3"/>
        <v>89.641279706467216</v>
      </c>
      <c r="H41" s="1863">
        <f t="shared" si="3"/>
        <v>105.37317967385053</v>
      </c>
      <c r="I41" s="1863">
        <f t="shared" si="3"/>
        <v>128.50655351450928</v>
      </c>
      <c r="J41" s="1863">
        <f t="shared" si="3"/>
        <v>131.92314172959004</v>
      </c>
    </row>
    <row r="42" spans="1:10" x14ac:dyDescent="0.25">
      <c r="B42" s="1849" t="s">
        <v>489</v>
      </c>
      <c r="C42" s="1863">
        <f t="shared" si="3"/>
        <v>15.971933120672052</v>
      </c>
      <c r="D42" s="1863">
        <f t="shared" si="3"/>
        <v>18.577666143568909</v>
      </c>
      <c r="E42" s="1863">
        <f t="shared" si="3"/>
        <v>22.993548189769214</v>
      </c>
      <c r="F42" s="1863">
        <f t="shared" si="3"/>
        <v>27.183043228202482</v>
      </c>
      <c r="G42" s="1863">
        <f t="shared" si="3"/>
        <v>31.245140877914061</v>
      </c>
      <c r="H42" s="1863">
        <f t="shared" si="3"/>
        <v>35.452882272725056</v>
      </c>
      <c r="I42" s="1863">
        <f t="shared" si="3"/>
        <v>39.000812503493698</v>
      </c>
      <c r="J42" s="1863">
        <f t="shared" si="3"/>
        <v>39.000812503493698</v>
      </c>
    </row>
    <row r="43" spans="1:10" x14ac:dyDescent="0.25">
      <c r="B43" s="1849" t="s">
        <v>490</v>
      </c>
      <c r="C43" s="1863">
        <f t="shared" si="3"/>
        <v>4.027512716164436</v>
      </c>
      <c r="D43" s="1863">
        <f t="shared" si="3"/>
        <v>4.2000471301784312</v>
      </c>
      <c r="E43" s="1863">
        <f t="shared" si="3"/>
        <v>4.561350291775887</v>
      </c>
      <c r="F43" s="1863">
        <f t="shared" si="3"/>
        <v>4.8856455840270119</v>
      </c>
      <c r="G43" s="1863">
        <f t="shared" si="3"/>
        <v>5.1754685949392947</v>
      </c>
      <c r="H43" s="1863">
        <f t="shared" si="3"/>
        <v>5.4550902974288418</v>
      </c>
      <c r="I43" s="1863">
        <f t="shared" si="3"/>
        <v>5.7336960754167743</v>
      </c>
      <c r="J43" s="1863">
        <f t="shared" si="3"/>
        <v>6.0160584104958161</v>
      </c>
    </row>
    <row r="44" spans="1:10" x14ac:dyDescent="0.25">
      <c r="B44" s="1865" t="s">
        <v>937</v>
      </c>
      <c r="C44" s="1866">
        <f t="shared" si="3"/>
        <v>18.512500005814964</v>
      </c>
      <c r="D44" s="1866">
        <f t="shared" si="3"/>
        <v>19.654612176542411</v>
      </c>
      <c r="E44" s="1866">
        <f t="shared" si="3"/>
        <v>20.037711065883578</v>
      </c>
      <c r="F44" s="1866">
        <f t="shared" si="3"/>
        <v>20.460683188928289</v>
      </c>
      <c r="G44" s="1866">
        <f t="shared" si="3"/>
        <v>20.927678525324172</v>
      </c>
      <c r="H44" s="1866">
        <f t="shared" si="3"/>
        <v>21.443279199860431</v>
      </c>
      <c r="I44" s="1866">
        <f t="shared" si="3"/>
        <v>22.01254397860091</v>
      </c>
      <c r="J44" s="1866">
        <f t="shared" si="3"/>
        <v>22.641058300866426</v>
      </c>
    </row>
  </sheetData>
  <pageMargins left="0.7" right="0.7" top="0.75" bottom="0.75" header="0.3" footer="0.3"/>
  <pageSetup orientation="portrait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  <outlinePr summaryBelow="0"/>
    <pageSetUpPr autoPageBreaks="0"/>
  </sheetPr>
  <dimension ref="A1:BB386"/>
  <sheetViews>
    <sheetView zoomScaleNormal="100" workbookViewId="0">
      <selection activeCell="E201" sqref="E201"/>
    </sheetView>
  </sheetViews>
  <sheetFormatPr baseColWidth="10" defaultColWidth="8.85546875" defaultRowHeight="12.75" x14ac:dyDescent="0.2"/>
  <cols>
    <col min="1" max="1" width="7.7109375" style="1984" customWidth="1"/>
    <col min="2" max="2" width="6.5703125" style="1984" customWidth="1"/>
    <col min="3" max="3" width="32" style="1984" customWidth="1"/>
    <col min="4" max="4" width="20.28515625" style="1984" customWidth="1"/>
    <col min="5" max="7" width="12.7109375" style="1984" customWidth="1"/>
    <col min="8" max="8" width="11.7109375" style="1984" customWidth="1"/>
    <col min="9" max="43" width="12.7109375" style="1984" customWidth="1"/>
    <col min="44" max="44" width="10.85546875" style="1984" customWidth="1"/>
    <col min="45" max="45" width="8.85546875" style="1984"/>
    <col min="46" max="46" width="15" style="1984" customWidth="1"/>
    <col min="47" max="47" width="14.85546875" style="1984" customWidth="1"/>
    <col min="48" max="48" width="13" style="1984" customWidth="1"/>
    <col min="49" max="16384" width="8.85546875" style="1984"/>
  </cols>
  <sheetData>
    <row r="1" spans="1:54" ht="21" x14ac:dyDescent="0.35">
      <c r="A1" s="1982"/>
      <c r="B1" s="1982" t="s">
        <v>865</v>
      </c>
      <c r="C1" s="1982"/>
      <c r="D1" s="1983"/>
    </row>
    <row r="2" spans="1:54" s="1987" customFormat="1" ht="18.75" customHeight="1" x14ac:dyDescent="0.2">
      <c r="A2" s="1985"/>
      <c r="B2" s="1985" t="s">
        <v>1020</v>
      </c>
      <c r="C2" s="1986"/>
      <c r="D2" s="1985"/>
      <c r="E2" s="1984"/>
    </row>
    <row r="4" spans="1:54" ht="18" customHeight="1" collapsed="1" x14ac:dyDescent="0.35">
      <c r="A4" s="1988"/>
      <c r="B4" s="1989" t="s">
        <v>1021</v>
      </c>
      <c r="C4" s="1990"/>
      <c r="D4" s="1991"/>
      <c r="E4" s="1992"/>
      <c r="F4" s="1992"/>
      <c r="G4" s="1992"/>
      <c r="H4" s="1992"/>
      <c r="I4" s="1992"/>
      <c r="J4" s="1992"/>
      <c r="K4" s="1992"/>
      <c r="L4" s="1992"/>
      <c r="M4" s="1992"/>
      <c r="N4" s="1992"/>
      <c r="O4" s="1992"/>
      <c r="P4" s="1992"/>
      <c r="Q4" s="1992"/>
      <c r="R4" s="1992"/>
      <c r="S4" s="1992"/>
      <c r="T4" s="1992"/>
      <c r="U4" s="1992"/>
      <c r="V4" s="1992"/>
      <c r="W4" s="1992"/>
      <c r="X4" s="1992"/>
      <c r="Y4" s="1992"/>
      <c r="Z4" s="1992"/>
      <c r="AA4" s="1992"/>
      <c r="AB4" s="1992"/>
      <c r="AC4" s="1992"/>
      <c r="AD4" s="1992"/>
      <c r="AE4" s="1992"/>
      <c r="AF4" s="1992"/>
      <c r="AG4" s="1992"/>
      <c r="AH4" s="1992"/>
      <c r="AI4" s="1992"/>
      <c r="AJ4" s="1992"/>
      <c r="AK4" s="1992"/>
      <c r="AL4" s="1992"/>
      <c r="AM4" s="1992"/>
      <c r="AN4" s="1992"/>
      <c r="AO4" s="1992"/>
      <c r="AP4" s="1992"/>
      <c r="AQ4" s="1992"/>
    </row>
    <row r="5" spans="1:54" x14ac:dyDescent="0.2">
      <c r="B5" s="1993"/>
      <c r="C5" s="1994"/>
      <c r="D5" s="1994"/>
      <c r="E5" s="1995"/>
      <c r="F5" s="1995"/>
      <c r="G5" s="1995"/>
      <c r="H5" s="1995"/>
      <c r="I5" s="1995"/>
      <c r="J5" s="1995"/>
      <c r="K5" s="1995"/>
      <c r="L5" s="1995"/>
      <c r="M5" s="1995"/>
      <c r="N5" s="1995"/>
      <c r="O5" s="1995"/>
      <c r="P5" s="1995"/>
      <c r="Q5" s="1995"/>
      <c r="R5" s="1995"/>
      <c r="S5" s="1995"/>
      <c r="T5" s="1995"/>
      <c r="U5" s="1995"/>
      <c r="V5" s="1995"/>
      <c r="W5" s="1995"/>
      <c r="X5" s="1995"/>
      <c r="Y5" s="1995"/>
      <c r="Z5" s="1995"/>
      <c r="AA5" s="1995"/>
      <c r="AB5" s="1995"/>
      <c r="AC5" s="1995"/>
      <c r="AD5" s="1995"/>
      <c r="AE5" s="1995"/>
      <c r="AF5" s="1995"/>
      <c r="AG5" s="1995"/>
      <c r="AH5" s="1995"/>
      <c r="AI5" s="1995"/>
      <c r="AJ5" s="1995"/>
      <c r="AK5" s="1995"/>
      <c r="AL5" s="1995"/>
      <c r="AM5" s="1995"/>
      <c r="AN5" s="1995"/>
      <c r="AO5" s="1995"/>
      <c r="AP5" s="1995"/>
      <c r="AQ5" s="1995"/>
    </row>
    <row r="6" spans="1:54" ht="15.75" x14ac:dyDescent="0.25">
      <c r="B6" s="1996"/>
      <c r="C6" s="1997" t="s">
        <v>1022</v>
      </c>
      <c r="D6" s="1997"/>
      <c r="E6" s="1998" t="s">
        <v>1023</v>
      </c>
      <c r="F6" s="1994"/>
      <c r="G6" s="1994"/>
      <c r="H6" s="1994"/>
      <c r="I6" s="1994"/>
      <c r="J6" s="1994"/>
      <c r="K6" s="1994"/>
      <c r="L6" s="1994"/>
      <c r="M6" s="1994"/>
      <c r="N6" s="1994"/>
      <c r="O6" s="1994"/>
      <c r="P6" s="1994"/>
      <c r="Q6" s="1994"/>
      <c r="R6" s="1994"/>
      <c r="S6" s="1994"/>
      <c r="T6" s="1994"/>
      <c r="U6" s="1994"/>
      <c r="V6" s="1994"/>
      <c r="W6" s="1994"/>
      <c r="X6" s="1994"/>
      <c r="Y6" s="1994"/>
      <c r="Z6" s="1994"/>
      <c r="AA6" s="1994"/>
      <c r="AB6" s="1994"/>
      <c r="AC6" s="1994"/>
      <c r="AD6" s="1994"/>
      <c r="AE6" s="1994"/>
      <c r="AF6" s="1994"/>
      <c r="AG6" s="1994"/>
      <c r="AH6" s="1994"/>
      <c r="AI6" s="1994"/>
      <c r="AJ6" s="1994"/>
      <c r="AK6" s="1994"/>
      <c r="AL6" s="1994"/>
      <c r="AM6" s="1994"/>
      <c r="AN6" s="1994"/>
      <c r="AO6" s="1994"/>
      <c r="AP6" s="1994"/>
      <c r="AQ6" s="1994"/>
      <c r="AS6" s="1999">
        <v>1</v>
      </c>
    </row>
    <row r="7" spans="1:54" x14ac:dyDescent="0.2">
      <c r="B7" s="2000"/>
      <c r="C7" s="2001" t="s">
        <v>954</v>
      </c>
      <c r="D7" s="2002"/>
      <c r="E7" s="2003">
        <f>V.a!E7</f>
        <v>1</v>
      </c>
      <c r="F7" s="1994"/>
      <c r="G7" s="1994"/>
      <c r="H7" s="1994"/>
      <c r="I7" s="1994"/>
      <c r="J7" s="1994"/>
      <c r="K7" s="1994"/>
      <c r="L7" s="1994"/>
      <c r="M7" s="1994"/>
      <c r="N7" s="1994"/>
      <c r="O7" s="1994"/>
      <c r="P7" s="1994"/>
      <c r="Q7" s="1994"/>
      <c r="R7" s="1994"/>
      <c r="S7" s="1994"/>
      <c r="T7" s="1994"/>
      <c r="U7" s="1994"/>
      <c r="V7" s="1994"/>
      <c r="W7" s="1994"/>
      <c r="X7" s="1994"/>
      <c r="Y7" s="1994"/>
      <c r="Z7" s="1994"/>
      <c r="AA7" s="1994"/>
      <c r="AB7" s="1994"/>
      <c r="AC7" s="1994"/>
      <c r="AD7" s="1994"/>
      <c r="AE7" s="1994"/>
      <c r="AF7" s="1994"/>
      <c r="AG7" s="1994"/>
      <c r="AH7" s="1994"/>
      <c r="AI7" s="1994"/>
      <c r="AJ7" s="1994"/>
      <c r="AK7" s="1994"/>
      <c r="AL7" s="1994"/>
      <c r="AM7" s="1994"/>
      <c r="AN7" s="1994"/>
      <c r="AO7" s="1994"/>
      <c r="AP7" s="1994"/>
      <c r="AQ7" s="1994"/>
      <c r="AS7" s="1999">
        <v>2</v>
      </c>
    </row>
    <row r="8" spans="1:54" x14ac:dyDescent="0.2">
      <c r="B8" s="2000"/>
      <c r="C8" s="2004" t="s">
        <v>1024</v>
      </c>
      <c r="D8" s="2005"/>
      <c r="E8" s="2003">
        <f>V.a!E8</f>
        <v>1</v>
      </c>
      <c r="F8" s="1994"/>
      <c r="G8" s="1994"/>
      <c r="H8" s="1994"/>
      <c r="I8" s="1994"/>
      <c r="J8" s="1994"/>
      <c r="K8" s="1994"/>
      <c r="L8" s="1994"/>
      <c r="M8" s="1994"/>
      <c r="N8" s="1994"/>
      <c r="O8" s="1994"/>
      <c r="P8" s="1994"/>
      <c r="Q8" s="1994"/>
      <c r="R8" s="1994"/>
      <c r="S8" s="1994"/>
      <c r="T8" s="1994"/>
      <c r="U8" s="1994"/>
      <c r="V8" s="1994"/>
      <c r="W8" s="1994"/>
      <c r="X8" s="1994"/>
      <c r="Y8" s="1994"/>
      <c r="Z8" s="1994"/>
      <c r="AA8" s="1994"/>
      <c r="AB8" s="1994"/>
      <c r="AC8" s="1994"/>
      <c r="AD8" s="1994"/>
      <c r="AE8" s="1994"/>
      <c r="AF8" s="1994"/>
      <c r="AG8" s="1994"/>
      <c r="AH8" s="1994"/>
      <c r="AI8" s="1994"/>
      <c r="AJ8" s="1994"/>
      <c r="AK8" s="1994"/>
      <c r="AL8" s="1994"/>
      <c r="AM8" s="1994"/>
      <c r="AN8" s="1994"/>
      <c r="AO8" s="1994"/>
      <c r="AP8" s="1994"/>
      <c r="AQ8" s="1994"/>
      <c r="AS8" s="1999">
        <v>3</v>
      </c>
    </row>
    <row r="9" spans="1:54" x14ac:dyDescent="0.2">
      <c r="B9" s="2000"/>
      <c r="C9" s="2004" t="s">
        <v>1025</v>
      </c>
      <c r="D9" s="2005"/>
      <c r="E9" s="2003">
        <f>V.a!E9</f>
        <v>1</v>
      </c>
      <c r="F9" s="1994"/>
      <c r="G9" s="1994"/>
      <c r="H9" s="1994"/>
      <c r="I9" s="1994"/>
      <c r="J9" s="1994"/>
      <c r="K9" s="1994"/>
      <c r="L9" s="1994"/>
      <c r="M9" s="1994"/>
      <c r="N9" s="1994"/>
      <c r="O9" s="1994"/>
      <c r="P9" s="1994"/>
      <c r="Q9" s="1994"/>
      <c r="R9" s="1994"/>
      <c r="S9" s="1994"/>
      <c r="T9" s="1994"/>
      <c r="U9" s="1994"/>
      <c r="V9" s="1994"/>
      <c r="W9" s="1994"/>
      <c r="X9" s="1994"/>
      <c r="Y9" s="1994"/>
      <c r="Z9" s="1994"/>
      <c r="AA9" s="1994"/>
      <c r="AB9" s="1994"/>
      <c r="AC9" s="1994"/>
      <c r="AD9" s="1994"/>
      <c r="AE9" s="1994"/>
      <c r="AF9" s="1994"/>
      <c r="AG9" s="1994"/>
      <c r="AH9" s="1994"/>
      <c r="AI9" s="1994"/>
      <c r="AJ9" s="1994"/>
      <c r="AK9" s="1994"/>
      <c r="AL9" s="1994"/>
      <c r="AM9" s="1994"/>
      <c r="AN9" s="1994"/>
      <c r="AO9" s="1994"/>
      <c r="AP9" s="1994"/>
      <c r="AQ9" s="1994"/>
      <c r="AS9" s="1999">
        <v>4</v>
      </c>
    </row>
    <row r="10" spans="1:54" x14ac:dyDescent="0.2">
      <c r="B10" s="2000"/>
      <c r="C10" s="2006" t="s">
        <v>1026</v>
      </c>
      <c r="D10" s="2007"/>
      <c r="E10" s="2008">
        <v>1</v>
      </c>
      <c r="F10" s="1994"/>
      <c r="G10" s="1994"/>
      <c r="H10" s="1994"/>
      <c r="I10" s="1994"/>
      <c r="J10" s="1994"/>
      <c r="K10" s="1994"/>
      <c r="L10" s="1994"/>
      <c r="M10" s="1994"/>
      <c r="N10" s="1994"/>
      <c r="O10" s="1994"/>
      <c r="P10" s="1994"/>
      <c r="Q10" s="1994"/>
      <c r="R10" s="1994"/>
      <c r="S10" s="1994"/>
      <c r="T10" s="1994"/>
      <c r="U10" s="1994"/>
      <c r="V10" s="1994"/>
      <c r="W10" s="1994"/>
      <c r="X10" s="1994"/>
      <c r="Y10" s="1994"/>
      <c r="Z10" s="1994"/>
      <c r="AA10" s="1994"/>
      <c r="AB10" s="1994"/>
      <c r="AC10" s="1994"/>
      <c r="AD10" s="1994"/>
      <c r="AE10" s="1994"/>
      <c r="AF10" s="1994"/>
      <c r="AG10" s="1994"/>
      <c r="AH10" s="1994"/>
      <c r="AI10" s="1994"/>
      <c r="AJ10" s="1994"/>
      <c r="AK10" s="1994"/>
      <c r="AL10" s="1994"/>
      <c r="AM10" s="1994"/>
      <c r="AN10" s="1994"/>
      <c r="AO10" s="1994"/>
      <c r="AP10" s="1994"/>
      <c r="AQ10" s="1994"/>
      <c r="AS10" s="1999"/>
    </row>
    <row r="11" spans="1:54" ht="15.75" x14ac:dyDescent="0.25">
      <c r="B11" s="2009"/>
      <c r="C11" s="1994"/>
      <c r="D11" s="2010"/>
      <c r="E11" s="2010"/>
      <c r="F11" s="2010"/>
      <c r="G11" s="2010"/>
      <c r="H11" s="2010"/>
      <c r="I11" s="2010"/>
      <c r="J11" s="2010"/>
      <c r="K11" s="2010"/>
      <c r="L11" s="2010"/>
      <c r="M11" s="2010"/>
      <c r="N11" s="2010"/>
      <c r="O11" s="2010"/>
      <c r="P11" s="2010"/>
      <c r="Q11" s="2010"/>
      <c r="R11" s="2010"/>
      <c r="S11" s="2010"/>
      <c r="T11" s="2010"/>
      <c r="U11" s="2010"/>
      <c r="V11" s="2010"/>
      <c r="W11" s="2010"/>
      <c r="X11" s="2010"/>
      <c r="Y11" s="2010"/>
      <c r="Z11" s="2010"/>
      <c r="AA11" s="2010"/>
      <c r="AB11" s="2010"/>
      <c r="AC11" s="2010"/>
      <c r="AD11" s="2010"/>
      <c r="AE11" s="2010"/>
      <c r="AF11" s="2010"/>
      <c r="AG11" s="2010"/>
      <c r="AH11" s="2010"/>
      <c r="AI11" s="2010"/>
      <c r="AJ11" s="2010"/>
      <c r="AK11" s="2010"/>
      <c r="AL11" s="2010"/>
      <c r="AM11" s="2010"/>
      <c r="AN11" s="2010"/>
      <c r="AO11" s="2010"/>
      <c r="AP11" s="2010"/>
      <c r="AQ11" s="2010"/>
      <c r="AS11" s="1999"/>
    </row>
    <row r="12" spans="1:54" ht="10.5" customHeight="1" x14ac:dyDescent="0.2"/>
    <row r="13" spans="1:54" ht="15.75" x14ac:dyDescent="0.25">
      <c r="B13" s="2011" t="s">
        <v>1027</v>
      </c>
      <c r="C13" s="2011"/>
      <c r="D13" s="2012"/>
      <c r="E13" s="2012"/>
      <c r="F13" s="2012"/>
      <c r="G13" s="2012"/>
      <c r="H13" s="2012"/>
      <c r="I13" s="2012"/>
      <c r="J13" s="2012"/>
      <c r="K13" s="2012"/>
      <c r="L13" s="2012"/>
      <c r="M13" s="2012"/>
      <c r="N13" s="2012"/>
      <c r="O13" s="2012"/>
      <c r="P13" s="2012"/>
      <c r="Q13" s="2012"/>
      <c r="R13" s="2012"/>
      <c r="S13" s="2012"/>
      <c r="T13" s="2012"/>
      <c r="U13" s="2012"/>
      <c r="V13" s="2012"/>
      <c r="W13" s="2012"/>
      <c r="X13" s="2012"/>
      <c r="Y13" s="2012"/>
      <c r="Z13" s="2012"/>
      <c r="AA13" s="2012"/>
      <c r="AB13" s="2012"/>
      <c r="AC13" s="2012"/>
      <c r="AD13" s="2012"/>
      <c r="AE13" s="2012"/>
      <c r="AF13" s="2012"/>
      <c r="AG13" s="2012"/>
      <c r="AH13" s="2012"/>
      <c r="AI13" s="2012"/>
      <c r="AJ13" s="2012"/>
      <c r="AK13" s="2012"/>
      <c r="AL13" s="2012"/>
      <c r="AM13" s="2012"/>
      <c r="AN13" s="2012"/>
      <c r="AO13" s="2012"/>
      <c r="AP13" s="2012"/>
      <c r="AQ13" s="2012"/>
      <c r="AT13" s="2013"/>
      <c r="AY13" s="2014"/>
      <c r="AZ13" s="2014"/>
      <c r="BA13" s="2015"/>
      <c r="BB13" s="2015"/>
    </row>
    <row r="14" spans="1:54" x14ac:dyDescent="0.2">
      <c r="B14" s="2016"/>
      <c r="C14" s="2016"/>
      <c r="D14" s="2016"/>
      <c r="E14" s="2016"/>
      <c r="F14" s="2016"/>
      <c r="G14" s="2016"/>
      <c r="H14" s="2016"/>
      <c r="I14" s="2016"/>
      <c r="J14" s="2016"/>
      <c r="K14" s="2016"/>
      <c r="L14" s="2016"/>
      <c r="M14" s="2016"/>
      <c r="N14" s="2016"/>
      <c r="O14" s="2016"/>
      <c r="P14" s="2016"/>
      <c r="Q14" s="2016"/>
      <c r="R14" s="2016"/>
      <c r="S14" s="2016"/>
      <c r="T14" s="2016"/>
      <c r="U14" s="2016"/>
      <c r="V14" s="2016"/>
      <c r="W14" s="2016"/>
      <c r="X14" s="2016"/>
      <c r="Y14" s="2016"/>
      <c r="Z14" s="2016"/>
      <c r="AA14" s="2016"/>
      <c r="AB14" s="2016"/>
      <c r="AC14" s="2016"/>
      <c r="AD14" s="2016"/>
      <c r="AE14" s="2016"/>
      <c r="AF14" s="2016"/>
      <c r="AG14" s="2016"/>
      <c r="AH14" s="2016"/>
      <c r="AI14" s="2016"/>
      <c r="AJ14" s="2016"/>
      <c r="AK14" s="2016"/>
      <c r="AL14" s="2016"/>
      <c r="AM14" s="2016"/>
      <c r="AN14" s="2016"/>
      <c r="AO14" s="2016"/>
      <c r="AP14" s="2016"/>
      <c r="AQ14" s="2016"/>
    </row>
    <row r="15" spans="1:54" x14ac:dyDescent="0.2">
      <c r="B15" s="2016"/>
      <c r="C15" s="2017" t="s">
        <v>1028</v>
      </c>
      <c r="D15" s="2016"/>
      <c r="E15" s="2016"/>
      <c r="F15" s="2016"/>
      <c r="G15" s="2016"/>
      <c r="H15" s="2016"/>
      <c r="I15" s="2016"/>
      <c r="J15" s="2016"/>
      <c r="K15" s="2016"/>
      <c r="L15" s="2016"/>
      <c r="M15" s="2016"/>
      <c r="N15" s="2016"/>
      <c r="O15" s="2016"/>
      <c r="P15" s="2016"/>
      <c r="Q15" s="2016"/>
      <c r="R15" s="2016"/>
      <c r="S15" s="2016"/>
      <c r="T15" s="2016"/>
      <c r="U15" s="2016"/>
      <c r="V15" s="2016"/>
      <c r="W15" s="2016"/>
      <c r="X15" s="2016"/>
      <c r="Y15" s="2016"/>
      <c r="Z15" s="2016"/>
      <c r="AA15" s="2016"/>
      <c r="AB15" s="2016"/>
      <c r="AC15" s="2016"/>
      <c r="AD15" s="2016"/>
      <c r="AE15" s="2016"/>
      <c r="AF15" s="2016"/>
      <c r="AG15" s="2016"/>
      <c r="AH15" s="2016"/>
      <c r="AI15" s="2016"/>
      <c r="AJ15" s="2016"/>
      <c r="AK15" s="2016"/>
      <c r="AL15" s="2016"/>
      <c r="AM15" s="2016"/>
      <c r="AN15" s="2016"/>
      <c r="AO15" s="2016"/>
      <c r="AP15" s="2016"/>
      <c r="AQ15" s="2016"/>
    </row>
    <row r="16" spans="1:54" ht="15" x14ac:dyDescent="0.25">
      <c r="B16" s="2018"/>
      <c r="C16" s="2019" t="s">
        <v>1023</v>
      </c>
      <c r="D16" s="2019" t="s">
        <v>1029</v>
      </c>
      <c r="E16" s="2019" t="s">
        <v>8</v>
      </c>
      <c r="F16" s="2019"/>
      <c r="G16" s="2019">
        <v>2014</v>
      </c>
      <c r="H16" s="2019">
        <v>2015</v>
      </c>
      <c r="I16" s="2019">
        <v>2016</v>
      </c>
      <c r="J16" s="2019">
        <v>2017</v>
      </c>
      <c r="K16" s="2019">
        <v>2018</v>
      </c>
      <c r="L16" s="2019">
        <v>2019</v>
      </c>
      <c r="M16" s="2019">
        <v>2020</v>
      </c>
      <c r="N16" s="2019">
        <v>2021</v>
      </c>
      <c r="O16" s="2019">
        <v>2022</v>
      </c>
      <c r="P16" s="2019">
        <v>2023</v>
      </c>
      <c r="Q16" s="2019">
        <v>2024</v>
      </c>
      <c r="R16" s="2019">
        <v>2025</v>
      </c>
      <c r="S16" s="2019">
        <v>2026</v>
      </c>
      <c r="T16" s="2019">
        <v>2027</v>
      </c>
      <c r="U16" s="2019">
        <v>2028</v>
      </c>
      <c r="V16" s="2019">
        <v>2029</v>
      </c>
      <c r="W16" s="2019">
        <v>2030</v>
      </c>
      <c r="X16" s="2019">
        <v>2031</v>
      </c>
      <c r="Y16" s="2019">
        <v>2032</v>
      </c>
      <c r="Z16" s="2019">
        <v>2033</v>
      </c>
      <c r="AA16" s="2019">
        <v>2034</v>
      </c>
      <c r="AB16" s="2019">
        <v>2035</v>
      </c>
      <c r="AC16" s="2019">
        <v>2036</v>
      </c>
      <c r="AD16" s="2019">
        <v>2037</v>
      </c>
      <c r="AE16" s="2019">
        <v>2038</v>
      </c>
      <c r="AF16" s="2019">
        <v>2039</v>
      </c>
      <c r="AG16" s="2019">
        <v>2040</v>
      </c>
      <c r="AH16" s="2019">
        <v>2041</v>
      </c>
      <c r="AI16" s="2019">
        <v>2042</v>
      </c>
      <c r="AJ16" s="2019">
        <v>2043</v>
      </c>
      <c r="AK16" s="2019">
        <v>2044</v>
      </c>
      <c r="AL16" s="2019">
        <v>2045</v>
      </c>
      <c r="AM16" s="2019">
        <v>2046</v>
      </c>
      <c r="AN16" s="2019">
        <v>2047</v>
      </c>
      <c r="AO16" s="2019">
        <v>2048</v>
      </c>
      <c r="AP16" s="2019">
        <v>2049</v>
      </c>
      <c r="AQ16" s="2019">
        <v>2050</v>
      </c>
      <c r="AT16" s="2013"/>
      <c r="AY16" s="2014"/>
      <c r="AZ16" s="2014"/>
      <c r="BA16" s="2015"/>
      <c r="BB16" s="2015"/>
    </row>
    <row r="17" spans="2:54" ht="15" x14ac:dyDescent="0.25">
      <c r="B17" s="2018"/>
      <c r="C17" s="2020" t="s">
        <v>1030</v>
      </c>
      <c r="D17" s="2021"/>
      <c r="E17" s="2021"/>
      <c r="F17" s="2021"/>
      <c r="G17" s="2021"/>
      <c r="H17" s="2021"/>
      <c r="I17" s="2021"/>
      <c r="J17" s="2021"/>
      <c r="K17" s="2021"/>
      <c r="L17" s="2021"/>
      <c r="M17" s="2021"/>
      <c r="N17" s="2021"/>
      <c r="O17" s="2021"/>
      <c r="P17" s="2021"/>
      <c r="Q17" s="2021"/>
      <c r="R17" s="2021"/>
      <c r="S17" s="2021"/>
      <c r="T17" s="2021"/>
      <c r="U17" s="2021"/>
      <c r="V17" s="2021"/>
      <c r="W17" s="2021"/>
      <c r="X17" s="2021"/>
      <c r="Y17" s="2021"/>
      <c r="Z17" s="2021"/>
      <c r="AA17" s="2021"/>
      <c r="AB17" s="2021"/>
      <c r="AC17" s="2021"/>
      <c r="AD17" s="2021"/>
      <c r="AE17" s="2021"/>
      <c r="AF17" s="2021"/>
      <c r="AG17" s="2021"/>
      <c r="AH17" s="2021"/>
      <c r="AI17" s="2021"/>
      <c r="AJ17" s="2021"/>
      <c r="AK17" s="2021"/>
      <c r="AL17" s="2021"/>
      <c r="AM17" s="2021"/>
      <c r="AN17" s="2021"/>
      <c r="AO17" s="2021"/>
      <c r="AP17" s="2021"/>
      <c r="AQ17" s="2021"/>
      <c r="AT17" s="2013"/>
      <c r="AY17" s="2014"/>
      <c r="AZ17" s="2014"/>
      <c r="BA17" s="2015"/>
      <c r="BB17" s="2015"/>
    </row>
    <row r="18" spans="2:54" ht="15" x14ac:dyDescent="0.25">
      <c r="B18" s="2018"/>
      <c r="C18" s="2016">
        <v>1</v>
      </c>
      <c r="D18" s="2022" t="s">
        <v>1031</v>
      </c>
      <c r="E18" s="2021"/>
      <c r="F18" s="2021"/>
      <c r="G18" s="2023">
        <v>0.1333</v>
      </c>
      <c r="H18" s="2023">
        <v>0.1333</v>
      </c>
      <c r="I18" s="2023">
        <f>+H18+($M18-H18)/($M$16-H$16)</f>
        <v>0.1333</v>
      </c>
      <c r="J18" s="2023">
        <f>+I18+($M18-I18)/($M$16-I$16)</f>
        <v>0.1333</v>
      </c>
      <c r="K18" s="2023">
        <f>+J18+($M18-J18)/($M$16-J$16)</f>
        <v>0.1333</v>
      </c>
      <c r="L18" s="2023">
        <f>+K18+($M18-K18)/($M$16-K$16)</f>
        <v>0.1333</v>
      </c>
      <c r="M18" s="2023">
        <v>0.1333</v>
      </c>
      <c r="N18" s="2023">
        <f>+M18+($R18-M18)/($R$16-M$16)</f>
        <v>0.1333</v>
      </c>
      <c r="O18" s="2023">
        <f>+N18+($R18-N18)/($R$16-N$16)</f>
        <v>0.1333</v>
      </c>
      <c r="P18" s="2023">
        <f>+O18+($R18-O18)/($R$16-O$16)</f>
        <v>0.1333</v>
      </c>
      <c r="Q18" s="2023">
        <f>+P18+($R18-P18)/($R$16-P$16)</f>
        <v>0.1333</v>
      </c>
      <c r="R18" s="2023">
        <v>0.1333</v>
      </c>
      <c r="S18" s="2023">
        <f>+R18+($W18-R18)/($W$16-R$16)</f>
        <v>0.1333</v>
      </c>
      <c r="T18" s="2023">
        <f>+S18+($W18-S18)/($W$16-S$16)</f>
        <v>0.1333</v>
      </c>
      <c r="U18" s="2023">
        <f>+T18+($W18-T18)/($W$16-T$16)</f>
        <v>0.1333</v>
      </c>
      <c r="V18" s="2023">
        <f>+U18+($W18-U18)/($W$16-U$16)</f>
        <v>0.1333</v>
      </c>
      <c r="W18" s="2023">
        <v>0.1333</v>
      </c>
      <c r="X18" s="2023">
        <f>+W18+($AB18-W18)/($AB$16-W$16)</f>
        <v>0.1333</v>
      </c>
      <c r="Y18" s="2023">
        <f>+X18+($AB18-X18)/($AB$16-X$16)</f>
        <v>0.1333</v>
      </c>
      <c r="Z18" s="2023">
        <f>+Y18+($AB18-Y18)/($AB$16-Y$16)</f>
        <v>0.1333</v>
      </c>
      <c r="AA18" s="2023">
        <f>+Z18+($AB18-Z18)/($AB$16-Z$16)</f>
        <v>0.1333</v>
      </c>
      <c r="AB18" s="2023">
        <v>0.1333</v>
      </c>
      <c r="AC18" s="2023">
        <f>+AB18+($AG18-AB18)/($AG$16-AB$16)</f>
        <v>0.1333</v>
      </c>
      <c r="AD18" s="2023">
        <f>+AC18+($AG18-AC18)/($AG$16-AC$16)</f>
        <v>0.1333</v>
      </c>
      <c r="AE18" s="2023">
        <f>+AD18+($AG18-AD18)/($AG$16-AD$16)</f>
        <v>0.1333</v>
      </c>
      <c r="AF18" s="2023">
        <f>+AE18+($AG18-AE18)/($AG$16-AE$16)</f>
        <v>0.1333</v>
      </c>
      <c r="AG18" s="2023">
        <v>0.1333</v>
      </c>
      <c r="AH18" s="2023">
        <f t="shared" ref="AH18:AK21" si="0">+AG18+($AL18-AG18)/($AL$16-AG$16)</f>
        <v>0.1333</v>
      </c>
      <c r="AI18" s="2023">
        <f>+AH18+($AL18-AH18)/($AL$16-AH$16)</f>
        <v>0.1333</v>
      </c>
      <c r="AJ18" s="2023">
        <f>+AI18+($AL18-AI18)/($AL$16-AI$16)</f>
        <v>0.1333</v>
      </c>
      <c r="AK18" s="2023">
        <f>+AJ18+($AL18-AJ18)/($AL$16-AJ$16)</f>
        <v>0.1333</v>
      </c>
      <c r="AL18" s="2023">
        <v>0.1333</v>
      </c>
      <c r="AM18" s="2023">
        <f>+AL18+($AQ18-AL18)/($AQ$16-AL$16)</f>
        <v>0.1333</v>
      </c>
      <c r="AN18" s="2023">
        <f>+AM18+($AQ18-AM18)/($AQ$16-AM$16)</f>
        <v>0.1333</v>
      </c>
      <c r="AO18" s="2023">
        <f>+AN18+($AQ18-AN18)/($AQ$16-AN$16)</f>
        <v>0.1333</v>
      </c>
      <c r="AP18" s="2023">
        <f>+AO18+($AQ18-AO18)/($AQ$16-AO$16)</f>
        <v>0.1333</v>
      </c>
      <c r="AQ18" s="2023">
        <v>0.1333</v>
      </c>
      <c r="AT18" s="2013"/>
      <c r="AY18" s="2014"/>
      <c r="AZ18" s="2014"/>
      <c r="BA18" s="2015"/>
      <c r="BB18" s="2015"/>
    </row>
    <row r="19" spans="2:54" ht="15" x14ac:dyDescent="0.25">
      <c r="B19" s="2018"/>
      <c r="C19" s="2016">
        <v>2</v>
      </c>
      <c r="D19" s="2022" t="s">
        <v>1031</v>
      </c>
      <c r="E19" s="2021"/>
      <c r="F19" s="2021"/>
      <c r="G19" s="2023">
        <v>0.1333</v>
      </c>
      <c r="H19" s="2023">
        <v>0.1333</v>
      </c>
      <c r="I19" s="2023">
        <f t="shared" ref="I19:L21" si="1">+H19+($M19-H19)/($M$16-H$16)</f>
        <v>0.14013999999999999</v>
      </c>
      <c r="J19" s="2023">
        <f t="shared" si="1"/>
        <v>0.14698</v>
      </c>
      <c r="K19" s="2023">
        <f t="shared" si="1"/>
        <v>0.15381999999999998</v>
      </c>
      <c r="L19" s="2023">
        <f t="shared" si="1"/>
        <v>0.16065999999999997</v>
      </c>
      <c r="M19" s="2023">
        <v>0.16749999999999998</v>
      </c>
      <c r="N19" s="2023">
        <f t="shared" ref="N19:Q21" si="2">+M19+($R19-M19)/($R$16-M$16)</f>
        <v>0.17433999999999999</v>
      </c>
      <c r="O19" s="2023">
        <f t="shared" si="2"/>
        <v>0.18118000000000001</v>
      </c>
      <c r="P19" s="2023">
        <f t="shared" si="2"/>
        <v>0.18801999999999999</v>
      </c>
      <c r="Q19" s="2023">
        <f t="shared" si="2"/>
        <v>0.19485999999999998</v>
      </c>
      <c r="R19" s="2023">
        <v>0.20169999999999999</v>
      </c>
      <c r="S19" s="2023">
        <f t="shared" ref="S19:V21" si="3">+R19+($W19-R19)/($W$16-R$16)</f>
        <v>0.20169999999999999</v>
      </c>
      <c r="T19" s="2023">
        <f t="shared" si="3"/>
        <v>0.20169999999999999</v>
      </c>
      <c r="U19" s="2023">
        <f t="shared" si="3"/>
        <v>0.20169999999999999</v>
      </c>
      <c r="V19" s="2023">
        <f t="shared" si="3"/>
        <v>0.20169999999999999</v>
      </c>
      <c r="W19" s="2023">
        <v>0.20169999999999999</v>
      </c>
      <c r="X19" s="2023">
        <f t="shared" ref="X19:AA21" si="4">+W19+($AB19-W19)/($AB$16-W$16)</f>
        <v>0.20169999999999999</v>
      </c>
      <c r="Y19" s="2023">
        <f t="shared" si="4"/>
        <v>0.20169999999999999</v>
      </c>
      <c r="Z19" s="2023">
        <f t="shared" si="4"/>
        <v>0.20169999999999999</v>
      </c>
      <c r="AA19" s="2023">
        <f t="shared" si="4"/>
        <v>0.20169999999999999</v>
      </c>
      <c r="AB19" s="2023">
        <v>0.20169999999999999</v>
      </c>
      <c r="AC19" s="2023">
        <f t="shared" ref="AC19:AF21" si="5">+AB19+($AG19-AB19)/($AG$16-AB$16)</f>
        <v>0.20169999999999999</v>
      </c>
      <c r="AD19" s="2023">
        <f t="shared" si="5"/>
        <v>0.20169999999999999</v>
      </c>
      <c r="AE19" s="2023">
        <f t="shared" si="5"/>
        <v>0.20169999999999999</v>
      </c>
      <c r="AF19" s="2023">
        <f t="shared" si="5"/>
        <v>0.20169999999999999</v>
      </c>
      <c r="AG19" s="2023">
        <v>0.20169999999999999</v>
      </c>
      <c r="AH19" s="2023">
        <f t="shared" si="0"/>
        <v>0.20169999999999999</v>
      </c>
      <c r="AI19" s="2023">
        <f t="shared" si="0"/>
        <v>0.20169999999999999</v>
      </c>
      <c r="AJ19" s="2023">
        <f t="shared" si="0"/>
        <v>0.20169999999999999</v>
      </c>
      <c r="AK19" s="2023">
        <f t="shared" si="0"/>
        <v>0.20169999999999999</v>
      </c>
      <c r="AL19" s="2023">
        <v>0.20169999999999999</v>
      </c>
      <c r="AM19" s="2023">
        <f t="shared" ref="AM19:AP21" si="6">+AL19+($AQ19-AL19)/($AQ$16-AL$16)</f>
        <v>0.20169999999999999</v>
      </c>
      <c r="AN19" s="2023">
        <f t="shared" si="6"/>
        <v>0.20169999999999999</v>
      </c>
      <c r="AO19" s="2023">
        <f t="shared" si="6"/>
        <v>0.20169999999999999</v>
      </c>
      <c r="AP19" s="2023">
        <f t="shared" si="6"/>
        <v>0.20169999999999999</v>
      </c>
      <c r="AQ19" s="2023">
        <v>0.20169999999999999</v>
      </c>
      <c r="AT19" s="2013"/>
      <c r="AY19" s="2014"/>
      <c r="AZ19" s="2014"/>
      <c r="BA19" s="2015"/>
      <c r="BB19" s="2015"/>
    </row>
    <row r="20" spans="2:54" ht="15" x14ac:dyDescent="0.25">
      <c r="B20" s="2018"/>
      <c r="C20" s="2016">
        <v>3</v>
      </c>
      <c r="D20" s="2022" t="s">
        <v>1031</v>
      </c>
      <c r="E20" s="2021"/>
      <c r="F20" s="2021"/>
      <c r="G20" s="2023">
        <v>0.1333</v>
      </c>
      <c r="H20" s="2023">
        <v>0.1333</v>
      </c>
      <c r="I20" s="2023">
        <f t="shared" si="1"/>
        <v>0.14696999999999999</v>
      </c>
      <c r="J20" s="2023">
        <f t="shared" si="1"/>
        <v>0.16064000000000001</v>
      </c>
      <c r="K20" s="2023">
        <f t="shared" si="1"/>
        <v>0.17430999999999999</v>
      </c>
      <c r="L20" s="2023">
        <f t="shared" si="1"/>
        <v>0.18797999999999998</v>
      </c>
      <c r="M20" s="2023">
        <v>0.20165</v>
      </c>
      <c r="N20" s="2023">
        <f t="shared" si="2"/>
        <v>0.21532000000000001</v>
      </c>
      <c r="O20" s="2023">
        <f t="shared" si="2"/>
        <v>0.22899000000000003</v>
      </c>
      <c r="P20" s="2023">
        <f t="shared" si="2"/>
        <v>0.24266000000000001</v>
      </c>
      <c r="Q20" s="2023">
        <f t="shared" si="2"/>
        <v>0.25633</v>
      </c>
      <c r="R20" s="2023">
        <v>0.27</v>
      </c>
      <c r="S20" s="2023">
        <f t="shared" si="3"/>
        <v>0.27</v>
      </c>
      <c r="T20" s="2023">
        <f t="shared" si="3"/>
        <v>0.27</v>
      </c>
      <c r="U20" s="2023">
        <f t="shared" si="3"/>
        <v>0.27</v>
      </c>
      <c r="V20" s="2023">
        <f t="shared" si="3"/>
        <v>0.27</v>
      </c>
      <c r="W20" s="2023">
        <v>0.27</v>
      </c>
      <c r="X20" s="2023">
        <f t="shared" si="4"/>
        <v>0.27</v>
      </c>
      <c r="Y20" s="2023">
        <f t="shared" si="4"/>
        <v>0.27</v>
      </c>
      <c r="Z20" s="2023">
        <f t="shared" si="4"/>
        <v>0.27</v>
      </c>
      <c r="AA20" s="2023">
        <f t="shared" si="4"/>
        <v>0.27</v>
      </c>
      <c r="AB20" s="2023">
        <v>0.27</v>
      </c>
      <c r="AC20" s="2023">
        <f t="shared" si="5"/>
        <v>0.27</v>
      </c>
      <c r="AD20" s="2023">
        <f t="shared" si="5"/>
        <v>0.27</v>
      </c>
      <c r="AE20" s="2023">
        <f t="shared" si="5"/>
        <v>0.27</v>
      </c>
      <c r="AF20" s="2023">
        <f t="shared" si="5"/>
        <v>0.27</v>
      </c>
      <c r="AG20" s="2023">
        <v>0.27</v>
      </c>
      <c r="AH20" s="2023">
        <f t="shared" si="0"/>
        <v>0.27</v>
      </c>
      <c r="AI20" s="2023">
        <f t="shared" si="0"/>
        <v>0.27</v>
      </c>
      <c r="AJ20" s="2023">
        <f t="shared" si="0"/>
        <v>0.27</v>
      </c>
      <c r="AK20" s="2023">
        <f t="shared" si="0"/>
        <v>0.27</v>
      </c>
      <c r="AL20" s="2023">
        <v>0.27</v>
      </c>
      <c r="AM20" s="2023">
        <f t="shared" si="6"/>
        <v>0.27</v>
      </c>
      <c r="AN20" s="2023">
        <f t="shared" si="6"/>
        <v>0.27</v>
      </c>
      <c r="AO20" s="2023">
        <f t="shared" si="6"/>
        <v>0.27</v>
      </c>
      <c r="AP20" s="2023">
        <f t="shared" si="6"/>
        <v>0.27</v>
      </c>
      <c r="AQ20" s="2023">
        <v>0.27</v>
      </c>
      <c r="AT20" s="2013"/>
      <c r="AY20" s="2014"/>
      <c r="AZ20" s="2014"/>
      <c r="BA20" s="2015"/>
      <c r="BB20" s="2015"/>
    </row>
    <row r="21" spans="2:54" ht="15" x14ac:dyDescent="0.25">
      <c r="B21" s="2018"/>
      <c r="C21" s="2024">
        <v>4</v>
      </c>
      <c r="D21" s="2022" t="s">
        <v>1031</v>
      </c>
      <c r="E21" s="2021"/>
      <c r="F21" s="2021"/>
      <c r="G21" s="2023">
        <v>0.1333</v>
      </c>
      <c r="H21" s="2023">
        <v>0.1333</v>
      </c>
      <c r="I21" s="2023">
        <f t="shared" si="1"/>
        <v>0.17163500000000001</v>
      </c>
      <c r="J21" s="2023">
        <f t="shared" si="1"/>
        <v>0.20997000000000002</v>
      </c>
      <c r="K21" s="2023">
        <f t="shared" si="1"/>
        <v>0.24830500000000003</v>
      </c>
      <c r="L21" s="2023">
        <f t="shared" si="1"/>
        <v>0.28664000000000001</v>
      </c>
      <c r="M21" s="2023">
        <v>0.32497500000000001</v>
      </c>
      <c r="N21" s="2023">
        <f t="shared" si="2"/>
        <v>0.36331000000000002</v>
      </c>
      <c r="O21" s="2023">
        <f t="shared" si="2"/>
        <v>0.40164500000000003</v>
      </c>
      <c r="P21" s="2023">
        <f t="shared" si="2"/>
        <v>0.43998000000000004</v>
      </c>
      <c r="Q21" s="2023">
        <f t="shared" si="2"/>
        <v>0.47831500000000005</v>
      </c>
      <c r="R21" s="2023">
        <v>0.51665000000000005</v>
      </c>
      <c r="S21" s="2023">
        <f t="shared" si="3"/>
        <v>0.55498500000000006</v>
      </c>
      <c r="T21" s="2023">
        <f t="shared" si="3"/>
        <v>0.59332000000000007</v>
      </c>
      <c r="U21" s="2023">
        <f t="shared" si="3"/>
        <v>0.63165500000000008</v>
      </c>
      <c r="V21" s="2023">
        <f t="shared" si="3"/>
        <v>0.66999000000000009</v>
      </c>
      <c r="W21" s="2023">
        <v>0.70832499999999998</v>
      </c>
      <c r="X21" s="2023">
        <f t="shared" si="4"/>
        <v>0.74665999999999999</v>
      </c>
      <c r="Y21" s="2023">
        <f t="shared" si="4"/>
        <v>0.784995</v>
      </c>
      <c r="Z21" s="2023">
        <f t="shared" si="4"/>
        <v>0.82333000000000001</v>
      </c>
      <c r="AA21" s="2023">
        <f t="shared" si="4"/>
        <v>0.86166500000000001</v>
      </c>
      <c r="AB21" s="2023">
        <v>0.9</v>
      </c>
      <c r="AC21" s="2023">
        <f t="shared" si="5"/>
        <v>0.9</v>
      </c>
      <c r="AD21" s="2023">
        <f t="shared" si="5"/>
        <v>0.9</v>
      </c>
      <c r="AE21" s="2023">
        <f t="shared" si="5"/>
        <v>0.9</v>
      </c>
      <c r="AF21" s="2023">
        <f t="shared" si="5"/>
        <v>0.9</v>
      </c>
      <c r="AG21" s="2023">
        <v>0.9</v>
      </c>
      <c r="AH21" s="2023">
        <f t="shared" si="0"/>
        <v>0.9</v>
      </c>
      <c r="AI21" s="2023">
        <f t="shared" si="0"/>
        <v>0.9</v>
      </c>
      <c r="AJ21" s="2023">
        <f t="shared" si="0"/>
        <v>0.9</v>
      </c>
      <c r="AK21" s="2023">
        <f t="shared" si="0"/>
        <v>0.9</v>
      </c>
      <c r="AL21" s="2023">
        <v>0.9</v>
      </c>
      <c r="AM21" s="2023">
        <f t="shared" si="6"/>
        <v>0.9</v>
      </c>
      <c r="AN21" s="2023">
        <f t="shared" si="6"/>
        <v>0.9</v>
      </c>
      <c r="AO21" s="2023">
        <f t="shared" si="6"/>
        <v>0.9</v>
      </c>
      <c r="AP21" s="2023">
        <f t="shared" si="6"/>
        <v>0.9</v>
      </c>
      <c r="AQ21" s="2023">
        <v>0.9</v>
      </c>
      <c r="AT21" s="2013"/>
      <c r="AY21" s="2014"/>
      <c r="AZ21" s="2014"/>
      <c r="BA21" s="2015"/>
      <c r="BB21" s="2015"/>
    </row>
    <row r="22" spans="2:54" ht="15" x14ac:dyDescent="0.25">
      <c r="B22" s="2018"/>
      <c r="C22" s="2025" t="s">
        <v>1032</v>
      </c>
      <c r="D22" s="2026" t="s">
        <v>1031</v>
      </c>
      <c r="E22" s="2027"/>
      <c r="F22" s="2028"/>
      <c r="G22" s="2029">
        <f>INDEX($G$18:$AQ$21,$E$7,MATCH(G16,$G$16:$AQ$16,0))</f>
        <v>0.1333</v>
      </c>
      <c r="H22" s="2029">
        <f>INDEX($G$18:$AQ$21,$E$7,MATCH(H16,$G$16:$AQ$16,0))</f>
        <v>0.1333</v>
      </c>
      <c r="I22" s="2029">
        <f t="shared" ref="I22:AQ22" si="7">INDEX($G$18:$AQ$21,$E$7,MATCH(I16,$G$16:$AQ$16,0))</f>
        <v>0.1333</v>
      </c>
      <c r="J22" s="2029">
        <f t="shared" si="7"/>
        <v>0.1333</v>
      </c>
      <c r="K22" s="2029">
        <f t="shared" si="7"/>
        <v>0.1333</v>
      </c>
      <c r="L22" s="2029">
        <f t="shared" si="7"/>
        <v>0.1333</v>
      </c>
      <c r="M22" s="2029">
        <f t="shared" si="7"/>
        <v>0.1333</v>
      </c>
      <c r="N22" s="2029">
        <f t="shared" si="7"/>
        <v>0.1333</v>
      </c>
      <c r="O22" s="2029">
        <f t="shared" si="7"/>
        <v>0.1333</v>
      </c>
      <c r="P22" s="2029">
        <f t="shared" si="7"/>
        <v>0.1333</v>
      </c>
      <c r="Q22" s="2029">
        <f t="shared" si="7"/>
        <v>0.1333</v>
      </c>
      <c r="R22" s="2029">
        <f t="shared" si="7"/>
        <v>0.1333</v>
      </c>
      <c r="S22" s="2029">
        <f t="shared" si="7"/>
        <v>0.1333</v>
      </c>
      <c r="T22" s="2029">
        <f t="shared" si="7"/>
        <v>0.1333</v>
      </c>
      <c r="U22" s="2029">
        <f t="shared" si="7"/>
        <v>0.1333</v>
      </c>
      <c r="V22" s="2029">
        <f t="shared" si="7"/>
        <v>0.1333</v>
      </c>
      <c r="W22" s="2029">
        <f t="shared" si="7"/>
        <v>0.1333</v>
      </c>
      <c r="X22" s="2029">
        <f t="shared" si="7"/>
        <v>0.1333</v>
      </c>
      <c r="Y22" s="2029">
        <f t="shared" si="7"/>
        <v>0.1333</v>
      </c>
      <c r="Z22" s="2029">
        <f t="shared" si="7"/>
        <v>0.1333</v>
      </c>
      <c r="AA22" s="2029">
        <f t="shared" si="7"/>
        <v>0.1333</v>
      </c>
      <c r="AB22" s="2029">
        <f t="shared" si="7"/>
        <v>0.1333</v>
      </c>
      <c r="AC22" s="2029">
        <f t="shared" si="7"/>
        <v>0.1333</v>
      </c>
      <c r="AD22" s="2029">
        <f t="shared" si="7"/>
        <v>0.1333</v>
      </c>
      <c r="AE22" s="2029">
        <f t="shared" si="7"/>
        <v>0.1333</v>
      </c>
      <c r="AF22" s="2029">
        <f t="shared" si="7"/>
        <v>0.1333</v>
      </c>
      <c r="AG22" s="2029">
        <f t="shared" si="7"/>
        <v>0.1333</v>
      </c>
      <c r="AH22" s="2029">
        <f t="shared" si="7"/>
        <v>0.1333</v>
      </c>
      <c r="AI22" s="2029">
        <f t="shared" si="7"/>
        <v>0.1333</v>
      </c>
      <c r="AJ22" s="2029">
        <f t="shared" si="7"/>
        <v>0.1333</v>
      </c>
      <c r="AK22" s="2029">
        <f t="shared" si="7"/>
        <v>0.1333</v>
      </c>
      <c r="AL22" s="2029">
        <f t="shared" si="7"/>
        <v>0.1333</v>
      </c>
      <c r="AM22" s="2029">
        <f t="shared" si="7"/>
        <v>0.1333</v>
      </c>
      <c r="AN22" s="2029">
        <f t="shared" si="7"/>
        <v>0.1333</v>
      </c>
      <c r="AO22" s="2029">
        <f t="shared" si="7"/>
        <v>0.1333</v>
      </c>
      <c r="AP22" s="2029">
        <f t="shared" si="7"/>
        <v>0.1333</v>
      </c>
      <c r="AQ22" s="2029">
        <f t="shared" si="7"/>
        <v>0.1333</v>
      </c>
      <c r="AT22" s="2013"/>
      <c r="AY22" s="2014"/>
      <c r="AZ22" s="2014"/>
      <c r="BA22" s="2015"/>
      <c r="BB22" s="2015"/>
    </row>
    <row r="23" spans="2:54" x14ac:dyDescent="0.2">
      <c r="B23" s="2016"/>
      <c r="C23" s="2016"/>
      <c r="D23" s="2016"/>
      <c r="E23" s="2016"/>
      <c r="F23" s="2016"/>
      <c r="G23" s="2016"/>
      <c r="H23" s="2016"/>
      <c r="I23" s="2016"/>
      <c r="J23" s="2016"/>
      <c r="K23" s="2016"/>
      <c r="L23" s="2016"/>
      <c r="M23" s="2016"/>
      <c r="N23" s="2016"/>
      <c r="O23" s="2016"/>
      <c r="P23" s="2016"/>
      <c r="Q23" s="2016"/>
      <c r="R23" s="2016"/>
      <c r="S23" s="2016"/>
      <c r="T23" s="2016"/>
      <c r="U23" s="2016"/>
      <c r="V23" s="2016"/>
      <c r="W23" s="2016"/>
      <c r="X23" s="2016"/>
      <c r="Y23" s="2016"/>
      <c r="Z23" s="2016"/>
      <c r="AA23" s="2016"/>
      <c r="AB23" s="2016"/>
      <c r="AC23" s="2016"/>
      <c r="AD23" s="2016"/>
      <c r="AE23" s="2016"/>
      <c r="AF23" s="2016"/>
      <c r="AG23" s="2016"/>
      <c r="AH23" s="2016"/>
      <c r="AI23" s="2016"/>
      <c r="AJ23" s="2016"/>
      <c r="AK23" s="2016"/>
      <c r="AL23" s="2016"/>
      <c r="AM23" s="2016"/>
      <c r="AN23" s="2016"/>
      <c r="AO23" s="2016"/>
      <c r="AP23" s="2016"/>
      <c r="AQ23" s="2016"/>
    </row>
    <row r="24" spans="2:54" ht="15" x14ac:dyDescent="0.25">
      <c r="B24" s="2018"/>
      <c r="C24" s="2019" t="s">
        <v>1023</v>
      </c>
      <c r="D24" s="2019" t="s">
        <v>1029</v>
      </c>
      <c r="E24" s="2019" t="s">
        <v>8</v>
      </c>
      <c r="F24" s="2019"/>
      <c r="G24" s="2019">
        <v>2014</v>
      </c>
      <c r="H24" s="2019">
        <v>2015</v>
      </c>
      <c r="I24" s="2019">
        <v>2016</v>
      </c>
      <c r="J24" s="2019">
        <v>2017</v>
      </c>
      <c r="K24" s="2019">
        <v>2018</v>
      </c>
      <c r="L24" s="2019">
        <v>2019</v>
      </c>
      <c r="M24" s="2019">
        <v>2020</v>
      </c>
      <c r="N24" s="2019">
        <v>2021</v>
      </c>
      <c r="O24" s="2019">
        <v>2022</v>
      </c>
      <c r="P24" s="2019">
        <v>2023</v>
      </c>
      <c r="Q24" s="2019">
        <v>2024</v>
      </c>
      <c r="R24" s="2019">
        <v>2025</v>
      </c>
      <c r="S24" s="2019">
        <v>2026</v>
      </c>
      <c r="T24" s="2019">
        <v>2027</v>
      </c>
      <c r="U24" s="2019">
        <v>2028</v>
      </c>
      <c r="V24" s="2019">
        <v>2029</v>
      </c>
      <c r="W24" s="2019">
        <v>2030</v>
      </c>
      <c r="X24" s="2019">
        <v>2031</v>
      </c>
      <c r="Y24" s="2019">
        <v>2032</v>
      </c>
      <c r="Z24" s="2019">
        <v>2033</v>
      </c>
      <c r="AA24" s="2019">
        <v>2034</v>
      </c>
      <c r="AB24" s="2019">
        <v>2035</v>
      </c>
      <c r="AC24" s="2019">
        <v>2036</v>
      </c>
      <c r="AD24" s="2019">
        <v>2037</v>
      </c>
      <c r="AE24" s="2019">
        <v>2038</v>
      </c>
      <c r="AF24" s="2019">
        <v>2039</v>
      </c>
      <c r="AG24" s="2019">
        <v>2040</v>
      </c>
      <c r="AH24" s="2019">
        <v>2041</v>
      </c>
      <c r="AI24" s="2019">
        <v>2042</v>
      </c>
      <c r="AJ24" s="2019">
        <v>2043</v>
      </c>
      <c r="AK24" s="2019">
        <v>2044</v>
      </c>
      <c r="AL24" s="2019">
        <v>2045</v>
      </c>
      <c r="AM24" s="2019">
        <v>2046</v>
      </c>
      <c r="AN24" s="2019">
        <v>2047</v>
      </c>
      <c r="AO24" s="2019">
        <v>2048</v>
      </c>
      <c r="AP24" s="2019">
        <v>2049</v>
      </c>
      <c r="AQ24" s="2019">
        <v>2050</v>
      </c>
      <c r="AT24" s="2013"/>
      <c r="AY24" s="2014"/>
      <c r="AZ24" s="2014"/>
      <c r="BA24" s="2015"/>
      <c r="BB24" s="2015"/>
    </row>
    <row r="25" spans="2:54" ht="15" x14ac:dyDescent="0.25">
      <c r="B25" s="2018"/>
      <c r="C25" s="2020" t="s">
        <v>1033</v>
      </c>
      <c r="D25" s="2021"/>
      <c r="E25" s="2021"/>
      <c r="F25" s="2021"/>
      <c r="G25" s="2021"/>
      <c r="H25" s="2021"/>
      <c r="I25" s="2021"/>
      <c r="J25" s="2021"/>
      <c r="K25" s="2021"/>
      <c r="L25" s="2021"/>
      <c r="M25" s="2021"/>
      <c r="N25" s="2021"/>
      <c r="O25" s="2021"/>
      <c r="P25" s="2021"/>
      <c r="Q25" s="2021"/>
      <c r="R25" s="2021"/>
      <c r="S25" s="2021"/>
      <c r="T25" s="2021"/>
      <c r="U25" s="2021"/>
      <c r="V25" s="2021"/>
      <c r="W25" s="2021"/>
      <c r="X25" s="2021"/>
      <c r="Y25" s="2021"/>
      <c r="Z25" s="2021"/>
      <c r="AA25" s="2021"/>
      <c r="AB25" s="2021"/>
      <c r="AC25" s="2021"/>
      <c r="AD25" s="2021"/>
      <c r="AE25" s="2021"/>
      <c r="AF25" s="2021"/>
      <c r="AG25" s="2021"/>
      <c r="AH25" s="2021"/>
      <c r="AI25" s="2021"/>
      <c r="AJ25" s="2021"/>
      <c r="AK25" s="2021"/>
      <c r="AL25" s="2021"/>
      <c r="AM25" s="2021"/>
      <c r="AN25" s="2021"/>
      <c r="AO25" s="2021"/>
      <c r="AP25" s="2021"/>
      <c r="AQ25" s="2021"/>
      <c r="AT25" s="2013"/>
      <c r="AY25" s="2014"/>
      <c r="AZ25" s="2014"/>
      <c r="BA25" s="2015"/>
      <c r="BB25" s="2015"/>
    </row>
    <row r="26" spans="2:54" ht="15" x14ac:dyDescent="0.25">
      <c r="B26" s="2018"/>
      <c r="C26" s="2016">
        <v>1</v>
      </c>
      <c r="D26" s="2022" t="s">
        <v>1031</v>
      </c>
      <c r="E26" s="2021"/>
      <c r="F26" s="2021"/>
      <c r="G26" s="2023">
        <v>2.81E-2</v>
      </c>
      <c r="H26" s="2023">
        <v>2.81E-2</v>
      </c>
      <c r="I26" s="2023">
        <f>+H26+($M26-H26)/($M$16-H$16)</f>
        <v>2.81E-2</v>
      </c>
      <c r="J26" s="2023">
        <f>+I26+($M26-I26)/($M$16-I$16)</f>
        <v>2.81E-2</v>
      </c>
      <c r="K26" s="2023">
        <f>+J26+($M26-J26)/($M$16-J$16)</f>
        <v>2.81E-2</v>
      </c>
      <c r="L26" s="2023">
        <f>+K26+($M26-K26)/($M$16-K$16)</f>
        <v>2.81E-2</v>
      </c>
      <c r="M26" s="2023">
        <v>2.81E-2</v>
      </c>
      <c r="N26" s="2023">
        <f>+M26+($R26-M26)/($R$16-M$16)</f>
        <v>2.81E-2</v>
      </c>
      <c r="O26" s="2023">
        <f>+N26+($R26-N26)/($R$16-N$16)</f>
        <v>2.81E-2</v>
      </c>
      <c r="P26" s="2023">
        <f>+O26+($R26-O26)/($R$16-O$16)</f>
        <v>2.81E-2</v>
      </c>
      <c r="Q26" s="2023">
        <f>+P26+($R26-P26)/($R$16-P$16)</f>
        <v>2.81E-2</v>
      </c>
      <c r="R26" s="2023">
        <v>2.81E-2</v>
      </c>
      <c r="S26" s="2023">
        <f>+R26+($W26-R26)/($W$16-R$16)</f>
        <v>2.81E-2</v>
      </c>
      <c r="T26" s="2023">
        <f>+S26+($W26-S26)/($W$16-S$16)</f>
        <v>2.81E-2</v>
      </c>
      <c r="U26" s="2023">
        <f>+T26+($W26-T26)/($W$16-T$16)</f>
        <v>2.81E-2</v>
      </c>
      <c r="V26" s="2023">
        <f>+U26+($W26-U26)/($W$16-U$16)</f>
        <v>2.81E-2</v>
      </c>
      <c r="W26" s="2023">
        <v>2.81E-2</v>
      </c>
      <c r="X26" s="2023">
        <f>+W26+($AB26-W26)/($AB$16-W$16)</f>
        <v>2.81E-2</v>
      </c>
      <c r="Y26" s="2023">
        <f>+X26+($AB26-X26)/($AB$16-X$16)</f>
        <v>2.81E-2</v>
      </c>
      <c r="Z26" s="2023">
        <f>+Y26+($AB26-Y26)/($AB$16-Y$16)</f>
        <v>2.81E-2</v>
      </c>
      <c r="AA26" s="2023">
        <f>+Z26+($AB26-Z26)/($AB$16-Z$16)</f>
        <v>2.81E-2</v>
      </c>
      <c r="AB26" s="2023">
        <v>2.81E-2</v>
      </c>
      <c r="AC26" s="2023">
        <f>+AB26+($AG26-AB26)/($AG$16-AB$16)</f>
        <v>2.81E-2</v>
      </c>
      <c r="AD26" s="2023">
        <f>+AC26+($AG26-AC26)/($AG$16-AC$16)</f>
        <v>2.81E-2</v>
      </c>
      <c r="AE26" s="2023">
        <f>+AD26+($AG26-AD26)/($AG$16-AD$16)</f>
        <v>2.81E-2</v>
      </c>
      <c r="AF26" s="2023">
        <f>+AE26+($AG26-AE26)/($AG$16-AE$16)</f>
        <v>2.81E-2</v>
      </c>
      <c r="AG26" s="2023">
        <v>2.81E-2</v>
      </c>
      <c r="AH26" s="2023">
        <f t="shared" ref="AH26:AK29" si="8">+AG26+($AL26-AG26)/($AL$16-AG$16)</f>
        <v>2.81E-2</v>
      </c>
      <c r="AI26" s="2023">
        <f>+AH26+($AL26-AH26)/($AL$16-AH$16)</f>
        <v>2.81E-2</v>
      </c>
      <c r="AJ26" s="2023">
        <f>+AI26+($AL26-AI26)/($AL$16-AI$16)</f>
        <v>2.81E-2</v>
      </c>
      <c r="AK26" s="2023">
        <f>+AJ26+($AL26-AJ26)/($AL$16-AJ$16)</f>
        <v>2.81E-2</v>
      </c>
      <c r="AL26" s="2023">
        <v>2.81E-2</v>
      </c>
      <c r="AM26" s="2023">
        <f>+AL26+($AQ26-AL26)/($AQ$16-AL$16)</f>
        <v>2.81E-2</v>
      </c>
      <c r="AN26" s="2023">
        <f>+AM26+($AQ26-AM26)/($AQ$16-AM$16)</f>
        <v>2.81E-2</v>
      </c>
      <c r="AO26" s="2023">
        <f>+AN26+($AQ26-AN26)/($AQ$16-AN$16)</f>
        <v>2.81E-2</v>
      </c>
      <c r="AP26" s="2023">
        <f>+AO26+($AQ26-AO26)/($AQ$16-AO$16)</f>
        <v>2.81E-2</v>
      </c>
      <c r="AQ26" s="2023">
        <v>2.81E-2</v>
      </c>
      <c r="AT26" s="2013"/>
      <c r="AY26" s="2014"/>
      <c r="AZ26" s="2014"/>
      <c r="BA26" s="2015"/>
      <c r="BB26" s="2015"/>
    </row>
    <row r="27" spans="2:54" ht="15" x14ac:dyDescent="0.25">
      <c r="B27" s="2018"/>
      <c r="C27" s="2016">
        <v>2</v>
      </c>
      <c r="D27" s="2022" t="s">
        <v>1031</v>
      </c>
      <c r="E27" s="2021"/>
      <c r="F27" s="2021"/>
      <c r="G27" s="2023">
        <v>2.81E-2</v>
      </c>
      <c r="H27" s="2023">
        <v>2.81E-2</v>
      </c>
      <c r="I27" s="2023">
        <f t="shared" ref="I27:L29" si="9">+H27+($M27-H27)/($M$16-H$16)</f>
        <v>3.2419999999999997E-2</v>
      </c>
      <c r="J27" s="2023">
        <f t="shared" si="9"/>
        <v>3.6739999999999995E-2</v>
      </c>
      <c r="K27" s="2023">
        <f t="shared" si="9"/>
        <v>4.1059999999999999E-2</v>
      </c>
      <c r="L27" s="2023">
        <f t="shared" si="9"/>
        <v>4.5380000000000004E-2</v>
      </c>
      <c r="M27" s="2023">
        <v>4.9700000000000001E-2</v>
      </c>
      <c r="N27" s="2023">
        <f t="shared" ref="N27:Q29" si="10">+M27+($R27-M27)/($R$16-M$16)</f>
        <v>5.4019999999999999E-2</v>
      </c>
      <c r="O27" s="2023">
        <f t="shared" si="10"/>
        <v>5.8340000000000003E-2</v>
      </c>
      <c r="P27" s="2023">
        <f t="shared" si="10"/>
        <v>6.2660000000000007E-2</v>
      </c>
      <c r="Q27" s="2023">
        <f t="shared" si="10"/>
        <v>6.6980000000000012E-2</v>
      </c>
      <c r="R27" s="2023">
        <v>7.1300000000000002E-2</v>
      </c>
      <c r="S27" s="2023">
        <f t="shared" ref="S27:V29" si="11">+R27+($W27-R27)/($W$16-R$16)</f>
        <v>7.1300000000000002E-2</v>
      </c>
      <c r="T27" s="2023">
        <f t="shared" si="11"/>
        <v>7.1300000000000002E-2</v>
      </c>
      <c r="U27" s="2023">
        <f t="shared" si="11"/>
        <v>7.1300000000000002E-2</v>
      </c>
      <c r="V27" s="2023">
        <f t="shared" si="11"/>
        <v>7.1300000000000002E-2</v>
      </c>
      <c r="W27" s="2023">
        <v>7.1300000000000002E-2</v>
      </c>
      <c r="X27" s="2023">
        <f t="shared" ref="X27:AA29" si="12">+W27+($AB27-W27)/($AB$16-W$16)</f>
        <v>7.1300000000000002E-2</v>
      </c>
      <c r="Y27" s="2023">
        <f t="shared" si="12"/>
        <v>7.1300000000000002E-2</v>
      </c>
      <c r="Z27" s="2023">
        <f t="shared" si="12"/>
        <v>7.1300000000000002E-2</v>
      </c>
      <c r="AA27" s="2023">
        <f t="shared" si="12"/>
        <v>7.1300000000000002E-2</v>
      </c>
      <c r="AB27" s="2023">
        <v>7.1300000000000002E-2</v>
      </c>
      <c r="AC27" s="2023">
        <f t="shared" ref="AC27:AF29" si="13">+AB27+($AG27-AB27)/($AG$16-AB$16)</f>
        <v>7.1300000000000002E-2</v>
      </c>
      <c r="AD27" s="2023">
        <f t="shared" si="13"/>
        <v>7.1300000000000002E-2</v>
      </c>
      <c r="AE27" s="2023">
        <f t="shared" si="13"/>
        <v>7.1300000000000002E-2</v>
      </c>
      <c r="AF27" s="2023">
        <f t="shared" si="13"/>
        <v>7.1300000000000002E-2</v>
      </c>
      <c r="AG27" s="2023">
        <v>7.1300000000000002E-2</v>
      </c>
      <c r="AH27" s="2023">
        <f t="shared" si="8"/>
        <v>7.1300000000000002E-2</v>
      </c>
      <c r="AI27" s="2023">
        <f t="shared" si="8"/>
        <v>7.1300000000000002E-2</v>
      </c>
      <c r="AJ27" s="2023">
        <f t="shared" si="8"/>
        <v>7.1300000000000002E-2</v>
      </c>
      <c r="AK27" s="2023">
        <f t="shared" si="8"/>
        <v>7.1300000000000002E-2</v>
      </c>
      <c r="AL27" s="2023">
        <v>7.1300000000000002E-2</v>
      </c>
      <c r="AM27" s="2023">
        <f t="shared" ref="AM27:AP29" si="14">+AL27+($AQ27-AL27)/($AQ$16-AL$16)</f>
        <v>7.1300000000000002E-2</v>
      </c>
      <c r="AN27" s="2023">
        <f t="shared" si="14"/>
        <v>7.1300000000000002E-2</v>
      </c>
      <c r="AO27" s="2023">
        <f t="shared" si="14"/>
        <v>7.1300000000000002E-2</v>
      </c>
      <c r="AP27" s="2023">
        <f t="shared" si="14"/>
        <v>7.1300000000000002E-2</v>
      </c>
      <c r="AQ27" s="2023">
        <v>7.1300000000000002E-2</v>
      </c>
      <c r="AT27" s="2013"/>
      <c r="AY27" s="2014"/>
      <c r="AZ27" s="2014"/>
      <c r="BA27" s="2015"/>
      <c r="BB27" s="2015"/>
    </row>
    <row r="28" spans="2:54" ht="15" x14ac:dyDescent="0.25">
      <c r="B28" s="2018"/>
      <c r="C28" s="2016">
        <v>3</v>
      </c>
      <c r="D28" s="2022" t="s">
        <v>1031</v>
      </c>
      <c r="E28" s="2021"/>
      <c r="F28" s="2021"/>
      <c r="G28" s="2023">
        <v>2.81E-2</v>
      </c>
      <c r="H28" s="2023">
        <v>2.81E-2</v>
      </c>
      <c r="I28" s="2023">
        <f t="shared" si="9"/>
        <v>3.6740000000000002E-2</v>
      </c>
      <c r="J28" s="2023">
        <f t="shared" si="9"/>
        <v>4.5380000000000004E-2</v>
      </c>
      <c r="K28" s="2023">
        <f t="shared" si="9"/>
        <v>5.4020000000000006E-2</v>
      </c>
      <c r="L28" s="2023">
        <f t="shared" si="9"/>
        <v>6.2660000000000007E-2</v>
      </c>
      <c r="M28" s="2023">
        <v>7.1300000000000002E-2</v>
      </c>
      <c r="N28" s="2023">
        <f t="shared" si="10"/>
        <v>7.9939999999999997E-2</v>
      </c>
      <c r="O28" s="2023">
        <f t="shared" si="10"/>
        <v>8.8579999999999992E-2</v>
      </c>
      <c r="P28" s="2023">
        <f t="shared" si="10"/>
        <v>9.7220000000000001E-2</v>
      </c>
      <c r="Q28" s="2023">
        <f t="shared" si="10"/>
        <v>0.10586000000000001</v>
      </c>
      <c r="R28" s="2023">
        <v>0.1145</v>
      </c>
      <c r="S28" s="2023">
        <f t="shared" si="11"/>
        <v>0.1145</v>
      </c>
      <c r="T28" s="2023">
        <f t="shared" si="11"/>
        <v>0.1145</v>
      </c>
      <c r="U28" s="2023">
        <f t="shared" si="11"/>
        <v>0.1145</v>
      </c>
      <c r="V28" s="2023">
        <f t="shared" si="11"/>
        <v>0.1145</v>
      </c>
      <c r="W28" s="2023">
        <v>0.1145</v>
      </c>
      <c r="X28" s="2023">
        <f t="shared" si="12"/>
        <v>0.1145</v>
      </c>
      <c r="Y28" s="2023">
        <f t="shared" si="12"/>
        <v>0.1145</v>
      </c>
      <c r="Z28" s="2023">
        <f t="shared" si="12"/>
        <v>0.1145</v>
      </c>
      <c r="AA28" s="2023">
        <f t="shared" si="12"/>
        <v>0.1145</v>
      </c>
      <c r="AB28" s="2023">
        <v>0.1145</v>
      </c>
      <c r="AC28" s="2023">
        <f t="shared" si="13"/>
        <v>0.1145</v>
      </c>
      <c r="AD28" s="2023">
        <f t="shared" si="13"/>
        <v>0.1145</v>
      </c>
      <c r="AE28" s="2023">
        <f t="shared" si="13"/>
        <v>0.1145</v>
      </c>
      <c r="AF28" s="2023">
        <f t="shared" si="13"/>
        <v>0.1145</v>
      </c>
      <c r="AG28" s="2023">
        <v>0.1145</v>
      </c>
      <c r="AH28" s="2023">
        <f t="shared" si="8"/>
        <v>0.1145</v>
      </c>
      <c r="AI28" s="2023">
        <f t="shared" si="8"/>
        <v>0.1145</v>
      </c>
      <c r="AJ28" s="2023">
        <f t="shared" si="8"/>
        <v>0.1145</v>
      </c>
      <c r="AK28" s="2023">
        <f t="shared" si="8"/>
        <v>0.1145</v>
      </c>
      <c r="AL28" s="2023">
        <v>0.1145</v>
      </c>
      <c r="AM28" s="2023">
        <f t="shared" si="14"/>
        <v>0.1145</v>
      </c>
      <c r="AN28" s="2023">
        <f t="shared" si="14"/>
        <v>0.1145</v>
      </c>
      <c r="AO28" s="2023">
        <f t="shared" si="14"/>
        <v>0.1145</v>
      </c>
      <c r="AP28" s="2023">
        <f t="shared" si="14"/>
        <v>0.1145</v>
      </c>
      <c r="AQ28" s="2023">
        <v>0.1145</v>
      </c>
      <c r="AT28" s="2013"/>
      <c r="AY28" s="2014"/>
      <c r="AZ28" s="2014"/>
      <c r="BA28" s="2015"/>
      <c r="BB28" s="2015"/>
    </row>
    <row r="29" spans="2:54" ht="15" x14ac:dyDescent="0.25">
      <c r="B29" s="2018"/>
      <c r="C29" s="2024">
        <v>4</v>
      </c>
      <c r="D29" s="2030" t="s">
        <v>1031</v>
      </c>
      <c r="E29" s="2021"/>
      <c r="F29" s="2021"/>
      <c r="G29" s="2023">
        <v>2.81E-2</v>
      </c>
      <c r="H29" s="2023">
        <v>2.81E-2</v>
      </c>
      <c r="I29" s="2023">
        <f t="shared" si="9"/>
        <v>5.1695000000000005E-2</v>
      </c>
      <c r="J29" s="2023">
        <f t="shared" si="9"/>
        <v>7.529000000000001E-2</v>
      </c>
      <c r="K29" s="2023">
        <f t="shared" si="9"/>
        <v>9.8885000000000015E-2</v>
      </c>
      <c r="L29" s="2023">
        <f t="shared" si="9"/>
        <v>0.12248000000000001</v>
      </c>
      <c r="M29" s="2023">
        <v>0.14607500000000001</v>
      </c>
      <c r="N29" s="2023">
        <f t="shared" si="10"/>
        <v>0.16967000000000002</v>
      </c>
      <c r="O29" s="2023">
        <f t="shared" si="10"/>
        <v>0.19326500000000002</v>
      </c>
      <c r="P29" s="2023">
        <f t="shared" si="10"/>
        <v>0.21686000000000002</v>
      </c>
      <c r="Q29" s="2023">
        <f t="shared" si="10"/>
        <v>0.24045500000000003</v>
      </c>
      <c r="R29" s="2023">
        <v>0.26405000000000001</v>
      </c>
      <c r="S29" s="2023">
        <f t="shared" si="11"/>
        <v>0.28764499999999998</v>
      </c>
      <c r="T29" s="2023">
        <f t="shared" si="11"/>
        <v>0.31123999999999996</v>
      </c>
      <c r="U29" s="2023">
        <f t="shared" si="11"/>
        <v>0.33483499999999999</v>
      </c>
      <c r="V29" s="2023">
        <f t="shared" si="11"/>
        <v>0.35843000000000003</v>
      </c>
      <c r="W29" s="2023">
        <v>0.382025</v>
      </c>
      <c r="X29" s="2023">
        <f t="shared" si="12"/>
        <v>0.40561999999999998</v>
      </c>
      <c r="Y29" s="2023">
        <f t="shared" si="12"/>
        <v>0.42921500000000001</v>
      </c>
      <c r="Z29" s="2023">
        <f t="shared" si="12"/>
        <v>0.45280999999999999</v>
      </c>
      <c r="AA29" s="2023">
        <f t="shared" si="12"/>
        <v>0.47640499999999997</v>
      </c>
      <c r="AB29" s="2023">
        <v>0.5</v>
      </c>
      <c r="AC29" s="2023">
        <f t="shared" si="13"/>
        <v>0.5</v>
      </c>
      <c r="AD29" s="2023">
        <f t="shared" si="13"/>
        <v>0.5</v>
      </c>
      <c r="AE29" s="2023">
        <f t="shared" si="13"/>
        <v>0.5</v>
      </c>
      <c r="AF29" s="2023">
        <f t="shared" si="13"/>
        <v>0.5</v>
      </c>
      <c r="AG29" s="2023">
        <v>0.5</v>
      </c>
      <c r="AH29" s="2023">
        <f t="shared" si="8"/>
        <v>0.5</v>
      </c>
      <c r="AI29" s="2023">
        <f t="shared" si="8"/>
        <v>0.5</v>
      </c>
      <c r="AJ29" s="2023">
        <f t="shared" si="8"/>
        <v>0.5</v>
      </c>
      <c r="AK29" s="2023">
        <f t="shared" si="8"/>
        <v>0.5</v>
      </c>
      <c r="AL29" s="2023">
        <v>0.5</v>
      </c>
      <c r="AM29" s="2023">
        <f t="shared" si="14"/>
        <v>0.5</v>
      </c>
      <c r="AN29" s="2023">
        <f t="shared" si="14"/>
        <v>0.5</v>
      </c>
      <c r="AO29" s="2023">
        <f t="shared" si="14"/>
        <v>0.5</v>
      </c>
      <c r="AP29" s="2023">
        <f t="shared" si="14"/>
        <v>0.5</v>
      </c>
      <c r="AQ29" s="2023">
        <v>0.5</v>
      </c>
      <c r="AT29" s="2013"/>
      <c r="AY29" s="2014"/>
      <c r="AZ29" s="2014"/>
      <c r="BA29" s="2015"/>
      <c r="BB29" s="2015"/>
    </row>
    <row r="30" spans="2:54" ht="15" x14ac:dyDescent="0.25">
      <c r="B30" s="2018"/>
      <c r="C30" s="2025" t="s">
        <v>1032</v>
      </c>
      <c r="D30" s="2026" t="s">
        <v>1031</v>
      </c>
      <c r="E30" s="2027"/>
      <c r="F30" s="2028"/>
      <c r="G30" s="2029">
        <f>INDEX($G$26:$AQ$29,$E$7,MATCH(G24,$G$24:$AQ$24,0))</f>
        <v>2.81E-2</v>
      </c>
      <c r="H30" s="2029">
        <f t="shared" ref="H30:AQ30" si="15">INDEX($G$26:$AQ$29,$E$7,MATCH(H24,$G$24:$AQ$24,0))</f>
        <v>2.81E-2</v>
      </c>
      <c r="I30" s="2029">
        <f t="shared" si="15"/>
        <v>2.81E-2</v>
      </c>
      <c r="J30" s="2029">
        <f t="shared" si="15"/>
        <v>2.81E-2</v>
      </c>
      <c r="K30" s="2029">
        <f t="shared" si="15"/>
        <v>2.81E-2</v>
      </c>
      <c r="L30" s="2029">
        <f t="shared" si="15"/>
        <v>2.81E-2</v>
      </c>
      <c r="M30" s="2029">
        <f t="shared" si="15"/>
        <v>2.81E-2</v>
      </c>
      <c r="N30" s="2029">
        <f t="shared" si="15"/>
        <v>2.81E-2</v>
      </c>
      <c r="O30" s="2029">
        <f t="shared" si="15"/>
        <v>2.81E-2</v>
      </c>
      <c r="P30" s="2029">
        <f t="shared" si="15"/>
        <v>2.81E-2</v>
      </c>
      <c r="Q30" s="2029">
        <f t="shared" si="15"/>
        <v>2.81E-2</v>
      </c>
      <c r="R30" s="2029">
        <f t="shared" si="15"/>
        <v>2.81E-2</v>
      </c>
      <c r="S30" s="2029">
        <f t="shared" si="15"/>
        <v>2.81E-2</v>
      </c>
      <c r="T30" s="2029">
        <f t="shared" si="15"/>
        <v>2.81E-2</v>
      </c>
      <c r="U30" s="2029">
        <f t="shared" si="15"/>
        <v>2.81E-2</v>
      </c>
      <c r="V30" s="2029">
        <f t="shared" si="15"/>
        <v>2.81E-2</v>
      </c>
      <c r="W30" s="2029">
        <f t="shared" si="15"/>
        <v>2.81E-2</v>
      </c>
      <c r="X30" s="2029">
        <f t="shared" si="15"/>
        <v>2.81E-2</v>
      </c>
      <c r="Y30" s="2029">
        <f t="shared" si="15"/>
        <v>2.81E-2</v>
      </c>
      <c r="Z30" s="2029">
        <f t="shared" si="15"/>
        <v>2.81E-2</v>
      </c>
      <c r="AA30" s="2029">
        <f t="shared" si="15"/>
        <v>2.81E-2</v>
      </c>
      <c r="AB30" s="2029">
        <f t="shared" si="15"/>
        <v>2.81E-2</v>
      </c>
      <c r="AC30" s="2029">
        <f t="shared" si="15"/>
        <v>2.81E-2</v>
      </c>
      <c r="AD30" s="2029">
        <f t="shared" si="15"/>
        <v>2.81E-2</v>
      </c>
      <c r="AE30" s="2029">
        <f t="shared" si="15"/>
        <v>2.81E-2</v>
      </c>
      <c r="AF30" s="2029">
        <f t="shared" si="15"/>
        <v>2.81E-2</v>
      </c>
      <c r="AG30" s="2029">
        <f t="shared" si="15"/>
        <v>2.81E-2</v>
      </c>
      <c r="AH30" s="2029">
        <f t="shared" si="15"/>
        <v>2.81E-2</v>
      </c>
      <c r="AI30" s="2029">
        <f t="shared" si="15"/>
        <v>2.81E-2</v>
      </c>
      <c r="AJ30" s="2029">
        <f t="shared" si="15"/>
        <v>2.81E-2</v>
      </c>
      <c r="AK30" s="2029">
        <f t="shared" si="15"/>
        <v>2.81E-2</v>
      </c>
      <c r="AL30" s="2029">
        <f t="shared" si="15"/>
        <v>2.81E-2</v>
      </c>
      <c r="AM30" s="2029">
        <f t="shared" si="15"/>
        <v>2.81E-2</v>
      </c>
      <c r="AN30" s="2029">
        <f t="shared" si="15"/>
        <v>2.81E-2</v>
      </c>
      <c r="AO30" s="2029">
        <f t="shared" si="15"/>
        <v>2.81E-2</v>
      </c>
      <c r="AP30" s="2029">
        <f t="shared" si="15"/>
        <v>2.81E-2</v>
      </c>
      <c r="AQ30" s="2029">
        <f t="shared" si="15"/>
        <v>2.81E-2</v>
      </c>
      <c r="AT30" s="2013"/>
      <c r="AY30" s="2014"/>
      <c r="AZ30" s="2014"/>
      <c r="BA30" s="2015"/>
      <c r="BB30" s="2015"/>
    </row>
    <row r="31" spans="2:54" x14ac:dyDescent="0.2">
      <c r="B31" s="2016"/>
      <c r="C31" s="2017"/>
      <c r="D31" s="2016"/>
      <c r="E31" s="2016"/>
      <c r="F31" s="2016"/>
      <c r="G31" s="2016"/>
      <c r="H31" s="2016"/>
      <c r="I31" s="2016"/>
      <c r="J31" s="2016"/>
      <c r="K31" s="2016"/>
      <c r="L31" s="2016"/>
      <c r="M31" s="2016"/>
      <c r="N31" s="2016"/>
      <c r="O31" s="2016"/>
      <c r="P31" s="2016"/>
      <c r="Q31" s="2016"/>
      <c r="R31" s="2016"/>
      <c r="S31" s="2016"/>
      <c r="T31" s="2016"/>
      <c r="U31" s="2016"/>
      <c r="V31" s="2016"/>
      <c r="W31" s="2016"/>
      <c r="X31" s="2016"/>
      <c r="Y31" s="2016"/>
      <c r="Z31" s="2016"/>
      <c r="AA31" s="2016"/>
      <c r="AB31" s="2016"/>
      <c r="AC31" s="2016"/>
      <c r="AD31" s="2016"/>
      <c r="AE31" s="2016"/>
      <c r="AF31" s="2016"/>
      <c r="AG31" s="2016"/>
      <c r="AH31" s="2016"/>
      <c r="AI31" s="2016"/>
      <c r="AJ31" s="2016"/>
      <c r="AK31" s="2016"/>
      <c r="AL31" s="2016"/>
      <c r="AM31" s="2016"/>
      <c r="AN31" s="2016"/>
      <c r="AO31" s="2016"/>
      <c r="AP31" s="2016"/>
      <c r="AQ31" s="2016"/>
    </row>
    <row r="32" spans="2:54" x14ac:dyDescent="0.2">
      <c r="B32" s="2016"/>
      <c r="C32" s="2017" t="s">
        <v>1034</v>
      </c>
      <c r="D32" s="2016"/>
      <c r="E32" s="2016"/>
      <c r="F32" s="2016"/>
      <c r="G32" s="2016"/>
      <c r="H32" s="2016"/>
      <c r="I32" s="2016"/>
      <c r="J32" s="2016"/>
      <c r="K32" s="2016"/>
      <c r="L32" s="2016"/>
      <c r="M32" s="2016"/>
      <c r="N32" s="2016"/>
      <c r="O32" s="2016"/>
      <c r="P32" s="2016"/>
      <c r="Q32" s="2016"/>
      <c r="R32" s="2016"/>
      <c r="S32" s="2016"/>
      <c r="T32" s="2016"/>
      <c r="U32" s="2016"/>
      <c r="V32" s="2016"/>
      <c r="W32" s="2016"/>
      <c r="X32" s="2016"/>
      <c r="Y32" s="2016"/>
      <c r="Z32" s="2016"/>
      <c r="AA32" s="2016"/>
      <c r="AB32" s="2016"/>
      <c r="AC32" s="2016"/>
      <c r="AD32" s="2016"/>
      <c r="AE32" s="2016"/>
      <c r="AF32" s="2016"/>
      <c r="AG32" s="2016"/>
      <c r="AH32" s="2016"/>
      <c r="AI32" s="2016"/>
      <c r="AJ32" s="2016"/>
      <c r="AK32" s="2016"/>
      <c r="AL32" s="2016"/>
      <c r="AM32" s="2016"/>
      <c r="AN32" s="2016"/>
      <c r="AO32" s="2016"/>
      <c r="AP32" s="2016"/>
      <c r="AQ32" s="2016"/>
    </row>
    <row r="33" spans="2:54" ht="15" x14ac:dyDescent="0.25">
      <c r="B33" s="2018"/>
      <c r="C33" s="2019" t="s">
        <v>1023</v>
      </c>
      <c r="D33" s="2019" t="s">
        <v>1029</v>
      </c>
      <c r="E33" s="2019" t="s">
        <v>8</v>
      </c>
      <c r="F33" s="2019"/>
      <c r="G33" s="2019">
        <v>2014</v>
      </c>
      <c r="H33" s="2019">
        <v>2015</v>
      </c>
      <c r="I33" s="2019">
        <v>2016</v>
      </c>
      <c r="J33" s="2019">
        <v>2017</v>
      </c>
      <c r="K33" s="2019">
        <v>2018</v>
      </c>
      <c r="L33" s="2019">
        <v>2019</v>
      </c>
      <c r="M33" s="2019">
        <v>2020</v>
      </c>
      <c r="N33" s="2019">
        <v>2021</v>
      </c>
      <c r="O33" s="2019">
        <v>2022</v>
      </c>
      <c r="P33" s="2019">
        <v>2023</v>
      </c>
      <c r="Q33" s="2019">
        <v>2024</v>
      </c>
      <c r="R33" s="2019">
        <v>2025</v>
      </c>
      <c r="S33" s="2019">
        <v>2026</v>
      </c>
      <c r="T33" s="2019">
        <v>2027</v>
      </c>
      <c r="U33" s="2019">
        <v>2028</v>
      </c>
      <c r="V33" s="2019">
        <v>2029</v>
      </c>
      <c r="W33" s="2019">
        <v>2030</v>
      </c>
      <c r="X33" s="2019">
        <v>2031</v>
      </c>
      <c r="Y33" s="2019">
        <v>2032</v>
      </c>
      <c r="Z33" s="2019">
        <v>2033</v>
      </c>
      <c r="AA33" s="2019">
        <v>2034</v>
      </c>
      <c r="AB33" s="2019">
        <v>2035</v>
      </c>
      <c r="AC33" s="2019">
        <v>2036</v>
      </c>
      <c r="AD33" s="2019">
        <v>2037</v>
      </c>
      <c r="AE33" s="2019">
        <v>2038</v>
      </c>
      <c r="AF33" s="2019">
        <v>2039</v>
      </c>
      <c r="AG33" s="2019">
        <v>2040</v>
      </c>
      <c r="AH33" s="2019">
        <v>2041</v>
      </c>
      <c r="AI33" s="2019">
        <v>2042</v>
      </c>
      <c r="AJ33" s="2019">
        <v>2043</v>
      </c>
      <c r="AK33" s="2019">
        <v>2044</v>
      </c>
      <c r="AL33" s="2019">
        <v>2045</v>
      </c>
      <c r="AM33" s="2019">
        <v>2046</v>
      </c>
      <c r="AN33" s="2019">
        <v>2047</v>
      </c>
      <c r="AO33" s="2019">
        <v>2048</v>
      </c>
      <c r="AP33" s="2019">
        <v>2049</v>
      </c>
      <c r="AQ33" s="2019">
        <v>2050</v>
      </c>
      <c r="AT33" s="2013"/>
      <c r="AY33" s="2014"/>
      <c r="AZ33" s="2014"/>
      <c r="BA33" s="2015"/>
      <c r="BB33" s="2015"/>
    </row>
    <row r="34" spans="2:54" ht="15" x14ac:dyDescent="0.25">
      <c r="B34" s="2018"/>
      <c r="C34" s="2031">
        <v>1</v>
      </c>
      <c r="D34" s="2032" t="s">
        <v>1031</v>
      </c>
      <c r="E34" s="2021"/>
      <c r="F34" s="2021"/>
      <c r="G34" s="2033">
        <v>0.3</v>
      </c>
      <c r="H34" s="2033">
        <v>0.3</v>
      </c>
      <c r="I34" s="2033">
        <v>0.3</v>
      </c>
      <c r="J34" s="2033">
        <v>0.3</v>
      </c>
      <c r="K34" s="2033">
        <v>0.3</v>
      </c>
      <c r="L34" s="2033">
        <v>0.3</v>
      </c>
      <c r="M34" s="2033">
        <v>0.3</v>
      </c>
      <c r="N34" s="2033">
        <f t="shared" ref="N34:P37" si="16">+M34+($R34-M34)/($R$33-M$33)</f>
        <v>0.3</v>
      </c>
      <c r="O34" s="2033">
        <f t="shared" si="16"/>
        <v>0.3</v>
      </c>
      <c r="P34" s="2033">
        <f>+O34+($R34-O34)/($R$33-O$33)</f>
        <v>0.3</v>
      </c>
      <c r="Q34" s="2033">
        <f>+P34+($R34-P34)/($R$33-P$33)</f>
        <v>0.3</v>
      </c>
      <c r="R34" s="2033">
        <v>0.3</v>
      </c>
      <c r="S34" s="2033">
        <f t="shared" ref="S34:U37" si="17">+R34+($W34-R34)/($W$33-R$33)</f>
        <v>0.3</v>
      </c>
      <c r="T34" s="2033">
        <f t="shared" si="17"/>
        <v>0.3</v>
      </c>
      <c r="U34" s="2033">
        <f>+T34+($W34-T34)/($W$33-T$33)</f>
        <v>0.3</v>
      </c>
      <c r="V34" s="2033">
        <f>+U34+($W34-U34)/($W$33-U$33)</f>
        <v>0.3</v>
      </c>
      <c r="W34" s="2033">
        <v>0.3</v>
      </c>
      <c r="X34" s="2033">
        <f t="shared" ref="X34:Z37" si="18">+W34+($AB34-W34)/($AB$33-W$33)</f>
        <v>0.3</v>
      </c>
      <c r="Y34" s="2033">
        <f t="shared" si="18"/>
        <v>0.3</v>
      </c>
      <c r="Z34" s="2033">
        <f>+Y34+($AB34-Y34)/($AB$33-Y$33)</f>
        <v>0.3</v>
      </c>
      <c r="AA34" s="2033">
        <f>+Z34+($AB34-Z34)/($AB$33-Z$33)</f>
        <v>0.3</v>
      </c>
      <c r="AB34" s="2033">
        <v>0.3</v>
      </c>
      <c r="AC34" s="2033">
        <f>+AB34+($AG34-AB34)/($AG$33-AB$33)</f>
        <v>0.3</v>
      </c>
      <c r="AD34" s="2033">
        <f>+AC34+($AG34-AC34)/($AG$33-AC$33)</f>
        <v>0.3</v>
      </c>
      <c r="AE34" s="2033">
        <f>+AD34+($AG34-AD34)/($AG$33-AD$33)</f>
        <v>0.3</v>
      </c>
      <c r="AF34" s="2033">
        <f>+AE34+($AG34-AE34)/($AG$33-AE$33)</f>
        <v>0.3</v>
      </c>
      <c r="AG34" s="2033">
        <v>0.3</v>
      </c>
      <c r="AH34" s="2033">
        <f t="shared" ref="AH34:AK37" si="19">+AG34+($AL34-AG34)/($AL$33-AG$33)</f>
        <v>0.3</v>
      </c>
      <c r="AI34" s="2033">
        <f>+AH34+($AL34-AH34)/($AL$33-AH$33)</f>
        <v>0.3</v>
      </c>
      <c r="AJ34" s="2033">
        <f>+AI34+($AL34-AI34)/($AL$33-AI$33)</f>
        <v>0.3</v>
      </c>
      <c r="AK34" s="2033">
        <f>+AJ34+($AL34-AJ34)/($AL$33-AJ$33)</f>
        <v>0.3</v>
      </c>
      <c r="AL34" s="2033">
        <v>0.3</v>
      </c>
      <c r="AM34" s="2033">
        <f>+AL34+($AQ34-AL34)/($AQ$33-AL$33)</f>
        <v>0.3</v>
      </c>
      <c r="AN34" s="2033">
        <f>+AM34+($AQ34-AM34)/($AQ$33-AM$33)</f>
        <v>0.3</v>
      </c>
      <c r="AO34" s="2033">
        <f>+AN34+($AQ34-AN34)/($AQ$33-AN$33)</f>
        <v>0.3</v>
      </c>
      <c r="AP34" s="2033">
        <f>+AO34+($AQ34-AO34)/($AQ$33-AO$33)</f>
        <v>0.3</v>
      </c>
      <c r="AQ34" s="2033">
        <v>0.3</v>
      </c>
      <c r="AT34" s="2013"/>
      <c r="AY34" s="2014"/>
      <c r="AZ34" s="2014"/>
      <c r="BA34" s="2015"/>
      <c r="BB34" s="2015"/>
    </row>
    <row r="35" spans="2:54" ht="15" x14ac:dyDescent="0.25">
      <c r="B35" s="2018"/>
      <c r="C35" s="2016">
        <v>2</v>
      </c>
      <c r="D35" s="2032" t="s">
        <v>1031</v>
      </c>
      <c r="E35" s="2021"/>
      <c r="F35" s="2021"/>
      <c r="G35" s="2033">
        <v>0.3</v>
      </c>
      <c r="H35" s="2033">
        <v>0.3</v>
      </c>
      <c r="I35" s="2033">
        <v>0.3</v>
      </c>
      <c r="J35" s="2033">
        <v>0.3</v>
      </c>
      <c r="K35" s="2033">
        <v>0.3</v>
      </c>
      <c r="L35" s="2033">
        <v>0.3</v>
      </c>
      <c r="M35" s="2033">
        <v>0.31428571428571428</v>
      </c>
      <c r="N35" s="2033">
        <f t="shared" si="16"/>
        <v>0.31714285714285712</v>
      </c>
      <c r="O35" s="2033">
        <f t="shared" si="16"/>
        <v>0.31999999999999995</v>
      </c>
      <c r="P35" s="2033">
        <f t="shared" si="16"/>
        <v>0.32285714285714284</v>
      </c>
      <c r="Q35" s="2033">
        <f>+P35+($R35-P35)/($R$33-P$33)</f>
        <v>0.32571428571428573</v>
      </c>
      <c r="R35" s="2033">
        <v>0.32857142857142857</v>
      </c>
      <c r="S35" s="2033">
        <f t="shared" si="17"/>
        <v>0.33142857142857141</v>
      </c>
      <c r="T35" s="2033">
        <f t="shared" si="17"/>
        <v>0.3342857142857143</v>
      </c>
      <c r="U35" s="2033">
        <f t="shared" si="17"/>
        <v>0.33714285714285713</v>
      </c>
      <c r="V35" s="2033">
        <f>+U35+($W35-U35)/($W$33-U$33)</f>
        <v>0.33999999999999997</v>
      </c>
      <c r="W35" s="2033">
        <v>0.34285714285714286</v>
      </c>
      <c r="X35" s="2033">
        <f t="shared" si="18"/>
        <v>0.3457142857142857</v>
      </c>
      <c r="Y35" s="2033">
        <f t="shared" si="18"/>
        <v>0.34857142857142853</v>
      </c>
      <c r="Z35" s="2033">
        <f t="shared" si="18"/>
        <v>0.35142857142857142</v>
      </c>
      <c r="AA35" s="2033">
        <f>+Z35+($AB35-Z35)/($AB$33-Z$33)</f>
        <v>0.35428571428571431</v>
      </c>
      <c r="AB35" s="2033">
        <v>0.35714285714285715</v>
      </c>
      <c r="AC35" s="2033">
        <f t="shared" ref="AC35:AF37" si="20">+AB35+($AG35-AB35)/($AG$33-AB$33)</f>
        <v>0.36</v>
      </c>
      <c r="AD35" s="2033">
        <f t="shared" si="20"/>
        <v>0.36285714285714288</v>
      </c>
      <c r="AE35" s="2033">
        <f t="shared" si="20"/>
        <v>0.36571428571428571</v>
      </c>
      <c r="AF35" s="2033">
        <f t="shared" si="20"/>
        <v>0.36857142857142855</v>
      </c>
      <c r="AG35" s="2033">
        <v>0.37142857142857144</v>
      </c>
      <c r="AH35" s="2033">
        <f t="shared" si="19"/>
        <v>0.37428571428571428</v>
      </c>
      <c r="AI35" s="2033">
        <f t="shared" si="19"/>
        <v>0.37714285714285711</v>
      </c>
      <c r="AJ35" s="2033">
        <f t="shared" si="19"/>
        <v>0.38</v>
      </c>
      <c r="AK35" s="2033">
        <f t="shared" si="19"/>
        <v>0.3828571428571429</v>
      </c>
      <c r="AL35" s="2033">
        <v>0.38571428571428573</v>
      </c>
      <c r="AM35" s="2033">
        <f t="shared" ref="AM35:AP37" si="21">+AL35+($AQ35-AL35)/($AQ$33-AL$33)</f>
        <v>0.38857142857142857</v>
      </c>
      <c r="AN35" s="2033">
        <f t="shared" si="21"/>
        <v>0.39142857142857146</v>
      </c>
      <c r="AO35" s="2033">
        <f t="shared" si="21"/>
        <v>0.39428571428571429</v>
      </c>
      <c r="AP35" s="2033">
        <f t="shared" si="21"/>
        <v>0.39714285714285713</v>
      </c>
      <c r="AQ35" s="2033">
        <v>0.4</v>
      </c>
      <c r="AT35" s="2013"/>
      <c r="AY35" s="2014"/>
      <c r="AZ35" s="2014"/>
      <c r="BA35" s="2015"/>
      <c r="BB35" s="2015"/>
    </row>
    <row r="36" spans="2:54" ht="15" x14ac:dyDescent="0.25">
      <c r="B36" s="2018"/>
      <c r="C36" s="2016">
        <v>3</v>
      </c>
      <c r="D36" s="2032" t="s">
        <v>1031</v>
      </c>
      <c r="E36" s="2021"/>
      <c r="F36" s="2021"/>
      <c r="G36" s="2033">
        <v>0.3</v>
      </c>
      <c r="H36" s="2033">
        <v>0.3</v>
      </c>
      <c r="I36" s="2033">
        <v>0.3</v>
      </c>
      <c r="J36" s="2033">
        <v>0.3</v>
      </c>
      <c r="K36" s="2033">
        <v>0.3</v>
      </c>
      <c r="L36" s="2033">
        <v>0.3</v>
      </c>
      <c r="M36" s="2033">
        <v>0.36666666666666664</v>
      </c>
      <c r="N36" s="2033">
        <f t="shared" si="16"/>
        <v>0.38</v>
      </c>
      <c r="O36" s="2033">
        <f t="shared" si="16"/>
        <v>0.39333333333333331</v>
      </c>
      <c r="P36" s="2033">
        <f t="shared" si="16"/>
        <v>0.40666666666666668</v>
      </c>
      <c r="Q36" s="2033">
        <f>+P36+($R36-P36)/($R$33-P$33)</f>
        <v>0.42000000000000004</v>
      </c>
      <c r="R36" s="2033">
        <v>0.43333333333333335</v>
      </c>
      <c r="S36" s="2033">
        <f t="shared" si="17"/>
        <v>0.44666666666666666</v>
      </c>
      <c r="T36" s="2033">
        <f t="shared" si="17"/>
        <v>0.45999999999999996</v>
      </c>
      <c r="U36" s="2033">
        <f t="shared" si="17"/>
        <v>0.47333333333333333</v>
      </c>
      <c r="V36" s="2033">
        <f>+U36+($W36-U36)/($W$33-U$33)</f>
        <v>0.48666666666666669</v>
      </c>
      <c r="W36" s="2033">
        <v>0.5</v>
      </c>
      <c r="X36" s="2033">
        <f t="shared" si="18"/>
        <v>0.5</v>
      </c>
      <c r="Y36" s="2033">
        <f t="shared" si="18"/>
        <v>0.5</v>
      </c>
      <c r="Z36" s="2033">
        <f t="shared" si="18"/>
        <v>0.5</v>
      </c>
      <c r="AA36" s="2033">
        <f>+Z36+($AB36-Z36)/($AB$33-Z$33)</f>
        <v>0.5</v>
      </c>
      <c r="AB36" s="2033">
        <v>0.5</v>
      </c>
      <c r="AC36" s="2033">
        <f t="shared" si="20"/>
        <v>0.5</v>
      </c>
      <c r="AD36" s="2033">
        <f t="shared" si="20"/>
        <v>0.5</v>
      </c>
      <c r="AE36" s="2033">
        <f t="shared" si="20"/>
        <v>0.5</v>
      </c>
      <c r="AF36" s="2033">
        <f t="shared" si="20"/>
        <v>0.5</v>
      </c>
      <c r="AG36" s="2033">
        <v>0.5</v>
      </c>
      <c r="AH36" s="2033">
        <f t="shared" si="19"/>
        <v>0.5</v>
      </c>
      <c r="AI36" s="2033">
        <f t="shared" si="19"/>
        <v>0.5</v>
      </c>
      <c r="AJ36" s="2033">
        <f t="shared" si="19"/>
        <v>0.5</v>
      </c>
      <c r="AK36" s="2033">
        <f t="shared" si="19"/>
        <v>0.5</v>
      </c>
      <c r="AL36" s="2033">
        <v>0.5</v>
      </c>
      <c r="AM36" s="2033">
        <f t="shared" si="21"/>
        <v>0.5</v>
      </c>
      <c r="AN36" s="2033">
        <f t="shared" si="21"/>
        <v>0.5</v>
      </c>
      <c r="AO36" s="2033">
        <f t="shared" si="21"/>
        <v>0.5</v>
      </c>
      <c r="AP36" s="2033">
        <f t="shared" si="21"/>
        <v>0.5</v>
      </c>
      <c r="AQ36" s="2033">
        <v>0.5</v>
      </c>
      <c r="AT36" s="2013"/>
      <c r="AY36" s="2014"/>
      <c r="AZ36" s="2014"/>
      <c r="BA36" s="2015"/>
      <c r="BB36" s="2015"/>
    </row>
    <row r="37" spans="2:54" ht="15" x14ac:dyDescent="0.25">
      <c r="B37" s="2018"/>
      <c r="C37" s="2016">
        <v>4</v>
      </c>
      <c r="D37" s="2032" t="s">
        <v>1031</v>
      </c>
      <c r="E37" s="2021"/>
      <c r="F37" s="2021"/>
      <c r="G37" s="2033">
        <v>0.3</v>
      </c>
      <c r="H37" s="2033">
        <v>0.3</v>
      </c>
      <c r="I37" s="2033">
        <v>0.3</v>
      </c>
      <c r="J37" s="2033">
        <v>0.3</v>
      </c>
      <c r="K37" s="2033">
        <v>0.3</v>
      </c>
      <c r="L37" s="2033">
        <v>0.3</v>
      </c>
      <c r="M37" s="2033">
        <v>0.4</v>
      </c>
      <c r="N37" s="2033">
        <f t="shared" si="16"/>
        <v>0.42000000000000004</v>
      </c>
      <c r="O37" s="2033">
        <f t="shared" si="16"/>
        <v>0.44000000000000006</v>
      </c>
      <c r="P37" s="2033">
        <f t="shared" si="16"/>
        <v>0.46</v>
      </c>
      <c r="Q37" s="2033">
        <f>+P37+($R37-P37)/($R$33-P$33)</f>
        <v>0.48</v>
      </c>
      <c r="R37" s="2033">
        <v>0.5</v>
      </c>
      <c r="S37" s="2033">
        <f t="shared" si="17"/>
        <v>0.52</v>
      </c>
      <c r="T37" s="2033">
        <f t="shared" si="17"/>
        <v>0.54</v>
      </c>
      <c r="U37" s="2033">
        <f t="shared" si="17"/>
        <v>0.56000000000000005</v>
      </c>
      <c r="V37" s="2033">
        <f>+U37+($W37-U37)/($W$33-U$33)</f>
        <v>0.58000000000000007</v>
      </c>
      <c r="W37" s="2033">
        <v>0.6</v>
      </c>
      <c r="X37" s="2033">
        <f t="shared" si="18"/>
        <v>0.6</v>
      </c>
      <c r="Y37" s="2033">
        <f t="shared" si="18"/>
        <v>0.6</v>
      </c>
      <c r="Z37" s="2033">
        <f t="shared" si="18"/>
        <v>0.6</v>
      </c>
      <c r="AA37" s="2033">
        <f>+Z37+($AB37-Z37)/($AB$33-Z$33)</f>
        <v>0.6</v>
      </c>
      <c r="AB37" s="2033">
        <v>0.6</v>
      </c>
      <c r="AC37" s="2033">
        <f t="shared" si="20"/>
        <v>0.6</v>
      </c>
      <c r="AD37" s="2033">
        <f t="shared" si="20"/>
        <v>0.6</v>
      </c>
      <c r="AE37" s="2033">
        <f t="shared" si="20"/>
        <v>0.6</v>
      </c>
      <c r="AF37" s="2033">
        <f t="shared" si="20"/>
        <v>0.6</v>
      </c>
      <c r="AG37" s="2033">
        <v>0.6</v>
      </c>
      <c r="AH37" s="2033">
        <f t="shared" si="19"/>
        <v>0.6</v>
      </c>
      <c r="AI37" s="2033">
        <f t="shared" si="19"/>
        <v>0.6</v>
      </c>
      <c r="AJ37" s="2033">
        <f t="shared" si="19"/>
        <v>0.6</v>
      </c>
      <c r="AK37" s="2033">
        <f t="shared" si="19"/>
        <v>0.6</v>
      </c>
      <c r="AL37" s="2033">
        <v>0.6</v>
      </c>
      <c r="AM37" s="2033">
        <f t="shared" si="21"/>
        <v>0.6</v>
      </c>
      <c r="AN37" s="2033">
        <f t="shared" si="21"/>
        <v>0.6</v>
      </c>
      <c r="AO37" s="2033">
        <f t="shared" si="21"/>
        <v>0.6</v>
      </c>
      <c r="AP37" s="2033">
        <f t="shared" si="21"/>
        <v>0.6</v>
      </c>
      <c r="AQ37" s="2033">
        <v>0.6</v>
      </c>
      <c r="AT37" s="2013"/>
      <c r="AY37" s="2014"/>
      <c r="AZ37" s="2014"/>
      <c r="BA37" s="2015"/>
      <c r="BB37" s="2015"/>
    </row>
    <row r="38" spans="2:54" ht="15" x14ac:dyDescent="0.25">
      <c r="B38" s="2018"/>
      <c r="C38" s="2034" t="s">
        <v>1032</v>
      </c>
      <c r="D38" s="2026" t="s">
        <v>1031</v>
      </c>
      <c r="E38" s="2027"/>
      <c r="F38" s="2028"/>
      <c r="G38" s="2035">
        <f>INDEX($G$34:$AQ$37,$E$8,MATCH(G33,$G$33:$AQ$33,0))</f>
        <v>0.3</v>
      </c>
      <c r="H38" s="2035">
        <f t="shared" ref="H38:AQ38" si="22">INDEX($G$34:$AQ$37,$E$8,MATCH(H33,$G$33:$AQ$33,0))</f>
        <v>0.3</v>
      </c>
      <c r="I38" s="2035">
        <f t="shared" si="22"/>
        <v>0.3</v>
      </c>
      <c r="J38" s="2035">
        <f t="shared" si="22"/>
        <v>0.3</v>
      </c>
      <c r="K38" s="2035">
        <f t="shared" si="22"/>
        <v>0.3</v>
      </c>
      <c r="L38" s="2035">
        <f t="shared" si="22"/>
        <v>0.3</v>
      </c>
      <c r="M38" s="2035">
        <f t="shared" si="22"/>
        <v>0.3</v>
      </c>
      <c r="N38" s="2035">
        <f t="shared" si="22"/>
        <v>0.3</v>
      </c>
      <c r="O38" s="2035">
        <f t="shared" si="22"/>
        <v>0.3</v>
      </c>
      <c r="P38" s="2035">
        <f t="shared" si="22"/>
        <v>0.3</v>
      </c>
      <c r="Q38" s="2035">
        <f t="shared" si="22"/>
        <v>0.3</v>
      </c>
      <c r="R38" s="2035">
        <f t="shared" si="22"/>
        <v>0.3</v>
      </c>
      <c r="S38" s="2035">
        <f t="shared" si="22"/>
        <v>0.3</v>
      </c>
      <c r="T38" s="2035">
        <f t="shared" si="22"/>
        <v>0.3</v>
      </c>
      <c r="U38" s="2035">
        <f t="shared" si="22"/>
        <v>0.3</v>
      </c>
      <c r="V38" s="2035">
        <f t="shared" si="22"/>
        <v>0.3</v>
      </c>
      <c r="W38" s="2035">
        <f t="shared" si="22"/>
        <v>0.3</v>
      </c>
      <c r="X38" s="2035">
        <f t="shared" si="22"/>
        <v>0.3</v>
      </c>
      <c r="Y38" s="2035">
        <f t="shared" si="22"/>
        <v>0.3</v>
      </c>
      <c r="Z38" s="2035">
        <f t="shared" si="22"/>
        <v>0.3</v>
      </c>
      <c r="AA38" s="2035">
        <f t="shared" si="22"/>
        <v>0.3</v>
      </c>
      <c r="AB38" s="2035">
        <f t="shared" si="22"/>
        <v>0.3</v>
      </c>
      <c r="AC38" s="2035">
        <f t="shared" si="22"/>
        <v>0.3</v>
      </c>
      <c r="AD38" s="2035">
        <f t="shared" si="22"/>
        <v>0.3</v>
      </c>
      <c r="AE38" s="2035">
        <f t="shared" si="22"/>
        <v>0.3</v>
      </c>
      <c r="AF38" s="2035">
        <f t="shared" si="22"/>
        <v>0.3</v>
      </c>
      <c r="AG38" s="2035">
        <f t="shared" si="22"/>
        <v>0.3</v>
      </c>
      <c r="AH38" s="2035">
        <f t="shared" si="22"/>
        <v>0.3</v>
      </c>
      <c r="AI38" s="2035">
        <f t="shared" si="22"/>
        <v>0.3</v>
      </c>
      <c r="AJ38" s="2035">
        <f t="shared" si="22"/>
        <v>0.3</v>
      </c>
      <c r="AK38" s="2035">
        <f t="shared" si="22"/>
        <v>0.3</v>
      </c>
      <c r="AL38" s="2035">
        <f t="shared" si="22"/>
        <v>0.3</v>
      </c>
      <c r="AM38" s="2035">
        <f t="shared" si="22"/>
        <v>0.3</v>
      </c>
      <c r="AN38" s="2035">
        <f t="shared" si="22"/>
        <v>0.3</v>
      </c>
      <c r="AO38" s="2035">
        <f t="shared" si="22"/>
        <v>0.3</v>
      </c>
      <c r="AP38" s="2035">
        <f t="shared" si="22"/>
        <v>0.3</v>
      </c>
      <c r="AQ38" s="2035">
        <f t="shared" si="22"/>
        <v>0.3</v>
      </c>
      <c r="AT38" s="2013"/>
      <c r="AY38" s="2014"/>
      <c r="AZ38" s="2014"/>
      <c r="BA38" s="2015"/>
      <c r="BB38" s="2015"/>
    </row>
    <row r="39" spans="2:54" ht="15" x14ac:dyDescent="0.25">
      <c r="B39" s="2018"/>
      <c r="C39" s="2036"/>
      <c r="D39" s="2020"/>
      <c r="E39" s="2021"/>
      <c r="F39" s="2021"/>
      <c r="G39" s="2037"/>
      <c r="H39" s="2037"/>
      <c r="I39" s="2037"/>
      <c r="J39" s="2037"/>
      <c r="K39" s="2037"/>
      <c r="L39" s="2037"/>
      <c r="M39" s="2037"/>
      <c r="N39" s="2037"/>
      <c r="O39" s="2037"/>
      <c r="P39" s="2037"/>
      <c r="Q39" s="2037"/>
      <c r="R39" s="2037"/>
      <c r="S39" s="2037"/>
      <c r="T39" s="2037"/>
      <c r="U39" s="2037"/>
      <c r="V39" s="2037"/>
      <c r="W39" s="2037"/>
      <c r="X39" s="2037"/>
      <c r="Y39" s="2037"/>
      <c r="Z39" s="2037"/>
      <c r="AA39" s="2037"/>
      <c r="AB39" s="2037"/>
      <c r="AC39" s="2037"/>
      <c r="AD39" s="2037"/>
      <c r="AE39" s="2037"/>
      <c r="AF39" s="2037"/>
      <c r="AG39" s="2037"/>
      <c r="AH39" s="2037"/>
      <c r="AI39" s="2037"/>
      <c r="AJ39" s="2037"/>
      <c r="AK39" s="2037"/>
      <c r="AL39" s="2037"/>
      <c r="AM39" s="2037"/>
      <c r="AN39" s="2037"/>
      <c r="AO39" s="2037"/>
      <c r="AP39" s="2037"/>
      <c r="AQ39" s="2037"/>
      <c r="AT39" s="2013"/>
      <c r="AY39" s="2014"/>
      <c r="AZ39" s="2014"/>
      <c r="BA39" s="2015"/>
      <c r="BB39" s="2015"/>
    </row>
    <row r="40" spans="2:54" x14ac:dyDescent="0.2">
      <c r="B40" s="2016"/>
      <c r="C40" s="2017" t="s">
        <v>1035</v>
      </c>
      <c r="D40" s="2016"/>
      <c r="E40" s="2016"/>
      <c r="F40" s="2016"/>
      <c r="G40" s="2016"/>
      <c r="H40" s="2016"/>
      <c r="I40" s="2016"/>
      <c r="J40" s="2016"/>
      <c r="K40" s="2016"/>
      <c r="L40" s="2016"/>
      <c r="M40" s="2016"/>
      <c r="N40" s="2016"/>
      <c r="O40" s="2016"/>
      <c r="P40" s="2016"/>
      <c r="Q40" s="2016"/>
      <c r="R40" s="2016"/>
      <c r="S40" s="2016"/>
      <c r="T40" s="2016"/>
      <c r="U40" s="2016"/>
      <c r="V40" s="2016"/>
      <c r="W40" s="2016"/>
      <c r="X40" s="2016"/>
      <c r="Y40" s="2016"/>
      <c r="Z40" s="2016"/>
      <c r="AA40" s="2016"/>
      <c r="AB40" s="2016"/>
      <c r="AC40" s="2016"/>
      <c r="AD40" s="2016"/>
      <c r="AE40" s="2016"/>
      <c r="AF40" s="2016"/>
      <c r="AG40" s="2016"/>
      <c r="AH40" s="2016"/>
      <c r="AI40" s="2016"/>
      <c r="AJ40" s="2016"/>
      <c r="AK40" s="2016"/>
      <c r="AL40" s="2016"/>
      <c r="AM40" s="2016"/>
      <c r="AN40" s="2016"/>
      <c r="AO40" s="2016"/>
      <c r="AP40" s="2016"/>
      <c r="AQ40" s="2016"/>
    </row>
    <row r="41" spans="2:54" ht="15" x14ac:dyDescent="0.25">
      <c r="B41" s="2018"/>
      <c r="C41" s="2019" t="s">
        <v>1023</v>
      </c>
      <c r="D41" s="2019" t="s">
        <v>1029</v>
      </c>
      <c r="E41" s="2019" t="s">
        <v>8</v>
      </c>
      <c r="F41" s="2019"/>
      <c r="G41" s="2019">
        <v>2014</v>
      </c>
      <c r="H41" s="2019">
        <v>2015</v>
      </c>
      <c r="I41" s="2019">
        <v>2016</v>
      </c>
      <c r="J41" s="2019">
        <v>2017</v>
      </c>
      <c r="K41" s="2019">
        <v>2018</v>
      </c>
      <c r="L41" s="2019">
        <v>2019</v>
      </c>
      <c r="M41" s="2019">
        <v>2020</v>
      </c>
      <c r="N41" s="2019">
        <v>2021</v>
      </c>
      <c r="O41" s="2019">
        <v>2022</v>
      </c>
      <c r="P41" s="2019">
        <v>2023</v>
      </c>
      <c r="Q41" s="2019">
        <v>2024</v>
      </c>
      <c r="R41" s="2019">
        <v>2025</v>
      </c>
      <c r="S41" s="2019">
        <v>2026</v>
      </c>
      <c r="T41" s="2019">
        <v>2027</v>
      </c>
      <c r="U41" s="2019">
        <v>2028</v>
      </c>
      <c r="V41" s="2019">
        <v>2029</v>
      </c>
      <c r="W41" s="2019">
        <v>2030</v>
      </c>
      <c r="X41" s="2019">
        <v>2031</v>
      </c>
      <c r="Y41" s="2019">
        <v>2032</v>
      </c>
      <c r="Z41" s="2019">
        <v>2033</v>
      </c>
      <c r="AA41" s="2019">
        <v>2034</v>
      </c>
      <c r="AB41" s="2019">
        <v>2035</v>
      </c>
      <c r="AC41" s="2019">
        <v>2036</v>
      </c>
      <c r="AD41" s="2019">
        <v>2037</v>
      </c>
      <c r="AE41" s="2019">
        <v>2038</v>
      </c>
      <c r="AF41" s="2019">
        <v>2039</v>
      </c>
      <c r="AG41" s="2019">
        <v>2040</v>
      </c>
      <c r="AH41" s="2019">
        <v>2041</v>
      </c>
      <c r="AI41" s="2019">
        <v>2042</v>
      </c>
      <c r="AJ41" s="2019">
        <v>2043</v>
      </c>
      <c r="AK41" s="2019">
        <v>2044</v>
      </c>
      <c r="AL41" s="2019">
        <v>2045</v>
      </c>
      <c r="AM41" s="2019">
        <v>2046</v>
      </c>
      <c r="AN41" s="2019">
        <v>2047</v>
      </c>
      <c r="AO41" s="2019">
        <v>2048</v>
      </c>
      <c r="AP41" s="2019">
        <v>2049</v>
      </c>
      <c r="AQ41" s="2019">
        <v>2050</v>
      </c>
      <c r="AT41" s="2013"/>
      <c r="AY41" s="2014"/>
      <c r="AZ41" s="2014"/>
      <c r="BA41" s="2015"/>
      <c r="BB41" s="2015"/>
    </row>
    <row r="42" spans="2:54" ht="15" x14ac:dyDescent="0.25">
      <c r="B42" s="2018"/>
      <c r="C42" s="2020" t="s">
        <v>1036</v>
      </c>
      <c r="D42" s="2032"/>
      <c r="E42" s="2021"/>
      <c r="F42" s="2021"/>
      <c r="G42" s="2033"/>
      <c r="H42" s="2033"/>
      <c r="I42" s="2033"/>
      <c r="J42" s="2033"/>
      <c r="K42" s="2033"/>
      <c r="L42" s="2033"/>
      <c r="M42" s="2033"/>
      <c r="N42" s="2033"/>
      <c r="O42" s="2033"/>
      <c r="P42" s="2033"/>
      <c r="Q42" s="2033"/>
      <c r="R42" s="2033"/>
      <c r="S42" s="2033"/>
      <c r="T42" s="2033"/>
      <c r="U42" s="2033"/>
      <c r="V42" s="2033"/>
      <c r="W42" s="2033"/>
      <c r="X42" s="2033"/>
      <c r="Y42" s="2033"/>
      <c r="Z42" s="2033"/>
      <c r="AA42" s="2033"/>
      <c r="AB42" s="2033"/>
      <c r="AC42" s="2033"/>
      <c r="AD42" s="2033"/>
      <c r="AE42" s="2033"/>
      <c r="AF42" s="2033"/>
      <c r="AG42" s="2033"/>
      <c r="AH42" s="2033"/>
      <c r="AI42" s="2033"/>
      <c r="AJ42" s="2033"/>
      <c r="AK42" s="2033"/>
      <c r="AL42" s="2033"/>
      <c r="AM42" s="2033"/>
      <c r="AN42" s="2033"/>
      <c r="AO42" s="2033"/>
      <c r="AP42" s="2033"/>
      <c r="AQ42" s="2033"/>
      <c r="AT42" s="2013"/>
      <c r="AY42" s="2014"/>
      <c r="AZ42" s="2014"/>
      <c r="BA42" s="2015"/>
      <c r="BB42" s="2015"/>
    </row>
    <row r="43" spans="2:54" ht="15" x14ac:dyDescent="0.25">
      <c r="B43" s="2018"/>
      <c r="C43" s="2016">
        <v>1</v>
      </c>
      <c r="D43" s="2032" t="s">
        <v>1037</v>
      </c>
      <c r="E43" s="2016" t="s">
        <v>1038</v>
      </c>
      <c r="F43" s="2021"/>
      <c r="G43" s="2038">
        <v>15000</v>
      </c>
      <c r="H43" s="2038">
        <v>15000</v>
      </c>
      <c r="I43" s="2038">
        <v>15000</v>
      </c>
      <c r="J43" s="2038">
        <v>15000</v>
      </c>
      <c r="K43" s="2038">
        <v>15000</v>
      </c>
      <c r="L43" s="2038">
        <v>15000</v>
      </c>
      <c r="M43" s="2038">
        <v>20000</v>
      </c>
      <c r="N43" s="2038">
        <v>20000</v>
      </c>
      <c r="O43" s="2038">
        <v>20000</v>
      </c>
      <c r="P43" s="2038">
        <v>20000</v>
      </c>
      <c r="Q43" s="2038">
        <v>20000</v>
      </c>
      <c r="R43" s="2039">
        <v>23500</v>
      </c>
      <c r="S43" s="2039">
        <v>23500</v>
      </c>
      <c r="T43" s="2039">
        <v>23500</v>
      </c>
      <c r="U43" s="2039">
        <v>23500</v>
      </c>
      <c r="V43" s="2039">
        <v>23500</v>
      </c>
      <c r="W43" s="2039">
        <v>23500</v>
      </c>
      <c r="X43" s="2039">
        <v>23500</v>
      </c>
      <c r="Y43" s="2039">
        <v>23500</v>
      </c>
      <c r="Z43" s="2039">
        <v>23500</v>
      </c>
      <c r="AA43" s="2039">
        <v>23500</v>
      </c>
      <c r="AB43" s="2039">
        <v>23500</v>
      </c>
      <c r="AC43" s="2039">
        <v>23500</v>
      </c>
      <c r="AD43" s="2039">
        <v>23500</v>
      </c>
      <c r="AE43" s="2039">
        <v>23500</v>
      </c>
      <c r="AF43" s="2039">
        <v>23500</v>
      </c>
      <c r="AG43" s="2039">
        <v>23500</v>
      </c>
      <c r="AH43" s="2039">
        <v>23500</v>
      </c>
      <c r="AI43" s="2039">
        <v>23500</v>
      </c>
      <c r="AJ43" s="2039">
        <v>23500</v>
      </c>
      <c r="AK43" s="2039">
        <v>23500</v>
      </c>
      <c r="AL43" s="2039">
        <v>23500</v>
      </c>
      <c r="AM43" s="2039">
        <f t="shared" ref="AM43:AP44" si="23">+AL43+($AQ43-AL43)/($AQ$41-AL$41)</f>
        <v>23500</v>
      </c>
      <c r="AN43" s="2039">
        <f t="shared" si="23"/>
        <v>23500</v>
      </c>
      <c r="AO43" s="2039">
        <f t="shared" si="23"/>
        <v>23500</v>
      </c>
      <c r="AP43" s="2039">
        <f t="shared" si="23"/>
        <v>23500</v>
      </c>
      <c r="AQ43" s="2039">
        <v>23500</v>
      </c>
      <c r="AT43" s="2013"/>
      <c r="AY43" s="2014"/>
      <c r="AZ43" s="2014"/>
      <c r="BA43" s="2015"/>
      <c r="BB43" s="2015"/>
    </row>
    <row r="44" spans="2:54" ht="15" x14ac:dyDescent="0.25">
      <c r="B44" s="2018"/>
      <c r="C44" s="2016">
        <v>2</v>
      </c>
      <c r="D44" s="2032" t="s">
        <v>1037</v>
      </c>
      <c r="E44" s="2016" t="s">
        <v>1039</v>
      </c>
      <c r="F44" s="2021"/>
      <c r="G44" s="2038">
        <v>15000</v>
      </c>
      <c r="H44" s="2038">
        <v>15000</v>
      </c>
      <c r="I44" s="2038">
        <v>15000</v>
      </c>
      <c r="J44" s="2038">
        <v>15000</v>
      </c>
      <c r="K44" s="2038">
        <v>15000</v>
      </c>
      <c r="L44" s="2038">
        <v>15000</v>
      </c>
      <c r="M44" s="2038">
        <v>23000</v>
      </c>
      <c r="N44" s="2038">
        <v>23000</v>
      </c>
      <c r="O44" s="2038">
        <v>23000</v>
      </c>
      <c r="P44" s="2038">
        <v>23000</v>
      </c>
      <c r="Q44" s="2038">
        <v>23000</v>
      </c>
      <c r="R44" s="2039">
        <v>26500</v>
      </c>
      <c r="S44" s="2039">
        <v>26500</v>
      </c>
      <c r="T44" s="2039">
        <v>26500</v>
      </c>
      <c r="U44" s="2039">
        <v>26500</v>
      </c>
      <c r="V44" s="2039">
        <v>26500</v>
      </c>
      <c r="W44" s="2039">
        <v>26500</v>
      </c>
      <c r="X44" s="2039">
        <v>26500</v>
      </c>
      <c r="Y44" s="2039">
        <v>26500</v>
      </c>
      <c r="Z44" s="2039">
        <v>26500</v>
      </c>
      <c r="AA44" s="2039">
        <v>26500</v>
      </c>
      <c r="AB44" s="2039">
        <v>26500</v>
      </c>
      <c r="AC44" s="2039">
        <v>26500</v>
      </c>
      <c r="AD44" s="2039">
        <v>26500</v>
      </c>
      <c r="AE44" s="2039">
        <v>26500</v>
      </c>
      <c r="AF44" s="2039">
        <v>26500</v>
      </c>
      <c r="AG44" s="2039">
        <v>26500</v>
      </c>
      <c r="AH44" s="2039">
        <v>26500</v>
      </c>
      <c r="AI44" s="2039">
        <v>26500</v>
      </c>
      <c r="AJ44" s="2039">
        <v>26500</v>
      </c>
      <c r="AK44" s="2039">
        <v>26500</v>
      </c>
      <c r="AL44" s="2039">
        <v>26500</v>
      </c>
      <c r="AM44" s="2039">
        <f t="shared" si="23"/>
        <v>26500</v>
      </c>
      <c r="AN44" s="2039">
        <f t="shared" si="23"/>
        <v>26500</v>
      </c>
      <c r="AO44" s="2039">
        <f t="shared" si="23"/>
        <v>26500</v>
      </c>
      <c r="AP44" s="2039">
        <f t="shared" si="23"/>
        <v>26500</v>
      </c>
      <c r="AQ44" s="2039">
        <v>26500</v>
      </c>
      <c r="AT44" s="2013"/>
      <c r="AY44" s="2014"/>
      <c r="AZ44" s="2014"/>
      <c r="BA44" s="2015"/>
      <c r="BB44" s="2015"/>
    </row>
    <row r="45" spans="2:54" ht="15" x14ac:dyDescent="0.25">
      <c r="B45" s="2018"/>
      <c r="C45" s="2016">
        <v>3</v>
      </c>
      <c r="D45" s="2032" t="s">
        <v>1037</v>
      </c>
      <c r="E45" s="2016" t="s">
        <v>1040</v>
      </c>
      <c r="F45" s="2021"/>
      <c r="G45" s="2038">
        <v>15000</v>
      </c>
      <c r="H45" s="2038">
        <v>15000</v>
      </c>
      <c r="I45" s="2038">
        <v>15000</v>
      </c>
      <c r="J45" s="2038">
        <v>15000</v>
      </c>
      <c r="K45" s="2038">
        <v>15000</v>
      </c>
      <c r="L45" s="2038">
        <v>15000</v>
      </c>
      <c r="M45" s="2038">
        <v>23000</v>
      </c>
      <c r="N45" s="2038">
        <v>23000</v>
      </c>
      <c r="O45" s="2038">
        <v>23000</v>
      </c>
      <c r="P45" s="2038">
        <v>23000</v>
      </c>
      <c r="Q45" s="2038">
        <v>23000</v>
      </c>
      <c r="R45" s="2039">
        <v>26500</v>
      </c>
      <c r="S45" s="2039">
        <v>27822.64022010619</v>
      </c>
      <c r="T45" s="2039">
        <v>29119.72577688222</v>
      </c>
      <c r="U45" s="2039">
        <v>30378.756401824641</v>
      </c>
      <c r="V45" s="2039">
        <v>31595.349047154348</v>
      </c>
      <c r="W45" s="2039">
        <v>32765.09561461299</v>
      </c>
      <c r="X45" s="2039">
        <v>33003.461594091212</v>
      </c>
      <c r="Y45" s="2039">
        <v>33192.128147283314</v>
      </c>
      <c r="Z45" s="2039">
        <v>33329.942985230315</v>
      </c>
      <c r="AA45" s="2039">
        <v>33415.699883701629</v>
      </c>
      <c r="AB45" s="2039">
        <v>33448.140277643164</v>
      </c>
      <c r="AC45" s="2039">
        <v>33425.953337451487</v>
      </c>
      <c r="AD45" s="2039">
        <v>33402.579162463822</v>
      </c>
      <c r="AE45" s="2039">
        <v>33378.45592040442</v>
      </c>
      <c r="AF45" s="2039">
        <v>33353.95963248513</v>
      </c>
      <c r="AG45" s="2039">
        <v>33329.410578281226</v>
      </c>
      <c r="AH45" s="2039">
        <v>33305.078354030004</v>
      </c>
      <c r="AI45" s="2039">
        <v>33292.203827275349</v>
      </c>
      <c r="AJ45" s="2039">
        <v>33290.178136230548</v>
      </c>
      <c r="AK45" s="2039">
        <v>33298.417035498467</v>
      </c>
      <c r="AL45" s="2039">
        <v>33316.359187745184</v>
      </c>
      <c r="AM45" s="2039">
        <v>33343.465452017597</v>
      </c>
      <c r="AN45" s="2039">
        <v>33367.324183229466</v>
      </c>
      <c r="AO45" s="2039">
        <v>33388.207964307454</v>
      </c>
      <c r="AP45" s="2039">
        <v>33406.351586847602</v>
      </c>
      <c r="AQ45" s="2039">
        <v>33421.956175274849</v>
      </c>
      <c r="AT45" s="2013"/>
      <c r="AY45" s="2014"/>
      <c r="AZ45" s="2014"/>
      <c r="BA45" s="2015"/>
      <c r="BB45" s="2015"/>
    </row>
    <row r="46" spans="2:54" ht="15" x14ac:dyDescent="0.25">
      <c r="B46" s="2018"/>
      <c r="C46" s="2016">
        <v>4</v>
      </c>
      <c r="D46" s="2040" t="s">
        <v>1037</v>
      </c>
      <c r="E46" s="2016" t="s">
        <v>1041</v>
      </c>
      <c r="F46" s="2021"/>
      <c r="G46" s="2038">
        <v>15000</v>
      </c>
      <c r="H46" s="2038">
        <v>15000</v>
      </c>
      <c r="I46" s="2038">
        <v>15000</v>
      </c>
      <c r="J46" s="2038">
        <v>15000</v>
      </c>
      <c r="K46" s="2038">
        <v>15000</v>
      </c>
      <c r="L46" s="2038">
        <v>15000</v>
      </c>
      <c r="M46" s="2038">
        <v>28899.815280974657</v>
      </c>
      <c r="N46" s="2038">
        <v>31206.532615977871</v>
      </c>
      <c r="O46" s="2038">
        <v>33552.795855917204</v>
      </c>
      <c r="P46" s="2038">
        <v>35931.549344614585</v>
      </c>
      <c r="Q46" s="2038">
        <v>38335.424189503494</v>
      </c>
      <c r="R46" s="2039">
        <v>40756.719096751753</v>
      </c>
      <c r="S46" s="2039">
        <v>43187.38183419469</v>
      </c>
      <c r="T46" s="2039">
        <v>45578.701215989568</v>
      </c>
      <c r="U46" s="2039">
        <v>47921.418549357186</v>
      </c>
      <c r="V46" s="2039">
        <v>50206.308074930203</v>
      </c>
      <c r="W46" s="2039">
        <v>52424.15298338078</v>
      </c>
      <c r="X46" s="2039">
        <v>52805.538550545942</v>
      </c>
      <c r="Y46" s="2039">
        <v>53107.405035653304</v>
      </c>
      <c r="Z46" s="2039">
        <v>53327.908776368502</v>
      </c>
      <c r="AA46" s="2039">
        <v>53465.119813922596</v>
      </c>
      <c r="AB46" s="2039">
        <v>53517.024444229057</v>
      </c>
      <c r="AC46" s="2039">
        <v>53481.52533992238</v>
      </c>
      <c r="AD46" s="2039">
        <v>53444.126659942107</v>
      </c>
      <c r="AE46" s="2039">
        <v>53405.529472647067</v>
      </c>
      <c r="AF46" s="2039">
        <v>53366.335411976201</v>
      </c>
      <c r="AG46" s="2039">
        <v>53327.056925249963</v>
      </c>
      <c r="AH46" s="2039">
        <v>53288.125366447995</v>
      </c>
      <c r="AI46" s="2039">
        <v>53267.526123640557</v>
      </c>
      <c r="AJ46" s="2039">
        <v>53264.285017968876</v>
      </c>
      <c r="AK46" s="2039">
        <v>53277.467256797543</v>
      </c>
      <c r="AL46" s="2039">
        <v>53306.174700392294</v>
      </c>
      <c r="AM46" s="2039">
        <v>53349.544723228151</v>
      </c>
      <c r="AN46" s="2039">
        <v>53387.718693167139</v>
      </c>
      <c r="AO46" s="2039">
        <v>53421.132742891918</v>
      </c>
      <c r="AP46" s="2039">
        <v>53450.16253895616</v>
      </c>
      <c r="AQ46" s="2039">
        <v>53475.129880439759</v>
      </c>
      <c r="AT46" s="2013"/>
      <c r="AY46" s="2014"/>
      <c r="AZ46" s="2014"/>
      <c r="BA46" s="2015"/>
      <c r="BB46" s="2015"/>
    </row>
    <row r="47" spans="2:54" ht="15" x14ac:dyDescent="0.25">
      <c r="B47" s="2018"/>
      <c r="C47" s="2034" t="s">
        <v>1032</v>
      </c>
      <c r="D47" s="2026" t="s">
        <v>1042</v>
      </c>
      <c r="E47" s="2027"/>
      <c r="F47" s="2028"/>
      <c r="G47" s="2041">
        <f>INDEX($G$43:$AQ$46,$E$9,MATCH(G41,$G$41:$AQ$41,0))</f>
        <v>15000</v>
      </c>
      <c r="H47" s="2041">
        <f t="shared" ref="H47:AQ47" si="24">INDEX($G$43:$AQ$46,$E$9,MATCH(H41,$G$41:$AQ$41,0))</f>
        <v>15000</v>
      </c>
      <c r="I47" s="2041">
        <f t="shared" si="24"/>
        <v>15000</v>
      </c>
      <c r="J47" s="2041">
        <f t="shared" si="24"/>
        <v>15000</v>
      </c>
      <c r="K47" s="2041">
        <f t="shared" si="24"/>
        <v>15000</v>
      </c>
      <c r="L47" s="2041">
        <f t="shared" si="24"/>
        <v>15000</v>
      </c>
      <c r="M47" s="2041">
        <f t="shared" si="24"/>
        <v>20000</v>
      </c>
      <c r="N47" s="2041">
        <f t="shared" si="24"/>
        <v>20000</v>
      </c>
      <c r="O47" s="2041">
        <f t="shared" si="24"/>
        <v>20000</v>
      </c>
      <c r="P47" s="2041">
        <f t="shared" si="24"/>
        <v>20000</v>
      </c>
      <c r="Q47" s="2041">
        <f t="shared" si="24"/>
        <v>20000</v>
      </c>
      <c r="R47" s="2041">
        <f t="shared" si="24"/>
        <v>23500</v>
      </c>
      <c r="S47" s="2041">
        <f t="shared" si="24"/>
        <v>23500</v>
      </c>
      <c r="T47" s="2041">
        <f t="shared" si="24"/>
        <v>23500</v>
      </c>
      <c r="U47" s="2041">
        <f t="shared" si="24"/>
        <v>23500</v>
      </c>
      <c r="V47" s="2041">
        <f t="shared" si="24"/>
        <v>23500</v>
      </c>
      <c r="W47" s="2041">
        <f t="shared" si="24"/>
        <v>23500</v>
      </c>
      <c r="X47" s="2041">
        <f t="shared" si="24"/>
        <v>23500</v>
      </c>
      <c r="Y47" s="2041">
        <f t="shared" si="24"/>
        <v>23500</v>
      </c>
      <c r="Z47" s="2041">
        <f t="shared" si="24"/>
        <v>23500</v>
      </c>
      <c r="AA47" s="2041">
        <f t="shared" si="24"/>
        <v>23500</v>
      </c>
      <c r="AB47" s="2041">
        <f t="shared" si="24"/>
        <v>23500</v>
      </c>
      <c r="AC47" s="2041">
        <f t="shared" si="24"/>
        <v>23500</v>
      </c>
      <c r="AD47" s="2041">
        <f t="shared" si="24"/>
        <v>23500</v>
      </c>
      <c r="AE47" s="2041">
        <f t="shared" si="24"/>
        <v>23500</v>
      </c>
      <c r="AF47" s="2041">
        <f t="shared" si="24"/>
        <v>23500</v>
      </c>
      <c r="AG47" s="2041">
        <f t="shared" si="24"/>
        <v>23500</v>
      </c>
      <c r="AH47" s="2041">
        <f t="shared" si="24"/>
        <v>23500</v>
      </c>
      <c r="AI47" s="2041">
        <f t="shared" si="24"/>
        <v>23500</v>
      </c>
      <c r="AJ47" s="2041">
        <f t="shared" si="24"/>
        <v>23500</v>
      </c>
      <c r="AK47" s="2041">
        <f t="shared" si="24"/>
        <v>23500</v>
      </c>
      <c r="AL47" s="2041">
        <f t="shared" si="24"/>
        <v>23500</v>
      </c>
      <c r="AM47" s="2041">
        <f t="shared" si="24"/>
        <v>23500</v>
      </c>
      <c r="AN47" s="2041">
        <f t="shared" si="24"/>
        <v>23500</v>
      </c>
      <c r="AO47" s="2041">
        <f t="shared" si="24"/>
        <v>23500</v>
      </c>
      <c r="AP47" s="2041">
        <f t="shared" si="24"/>
        <v>23500</v>
      </c>
      <c r="AQ47" s="2041">
        <f t="shared" si="24"/>
        <v>23500</v>
      </c>
      <c r="AT47" s="2013"/>
      <c r="AY47" s="2014"/>
      <c r="AZ47" s="2014"/>
      <c r="BA47" s="2015"/>
      <c r="BB47" s="2015"/>
    </row>
    <row r="48" spans="2:54" ht="15" x14ac:dyDescent="0.25">
      <c r="B48" s="2018"/>
      <c r="C48" s="2036"/>
      <c r="D48" s="2020"/>
      <c r="E48" s="2021"/>
      <c r="F48" s="2021"/>
      <c r="G48" s="2042"/>
      <c r="H48" s="2042"/>
      <c r="I48" s="2042"/>
      <c r="J48" s="2042"/>
      <c r="K48" s="2042"/>
      <c r="L48" s="2042"/>
      <c r="M48" s="2042"/>
      <c r="N48" s="2042"/>
      <c r="O48" s="2042"/>
      <c r="P48" s="2042"/>
      <c r="Q48" s="2042"/>
      <c r="R48" s="2042"/>
      <c r="S48" s="2042"/>
      <c r="T48" s="2042"/>
      <c r="U48" s="2042"/>
      <c r="V48" s="2042"/>
      <c r="W48" s="2042"/>
      <c r="X48" s="2042"/>
      <c r="Y48" s="2042"/>
      <c r="Z48" s="2042"/>
      <c r="AA48" s="2042"/>
      <c r="AB48" s="2042"/>
      <c r="AC48" s="2042"/>
      <c r="AD48" s="2042"/>
      <c r="AE48" s="2042"/>
      <c r="AF48" s="2042"/>
      <c r="AG48" s="2042"/>
      <c r="AH48" s="2042"/>
      <c r="AI48" s="2042"/>
      <c r="AJ48" s="2042"/>
      <c r="AK48" s="2042"/>
      <c r="AL48" s="2042"/>
      <c r="AM48" s="2042"/>
      <c r="AN48" s="2042"/>
      <c r="AO48" s="2042"/>
      <c r="AP48" s="2042"/>
      <c r="AQ48" s="2042"/>
      <c r="AT48" s="2013"/>
      <c r="AY48" s="2014"/>
      <c r="AZ48" s="2014"/>
      <c r="BA48" s="2015"/>
      <c r="BB48" s="2015"/>
    </row>
    <row r="49" spans="2:54" x14ac:dyDescent="0.2">
      <c r="B49" s="2016"/>
      <c r="C49" s="2017" t="s">
        <v>1043</v>
      </c>
      <c r="D49" s="2016"/>
      <c r="E49" s="2016"/>
      <c r="F49" s="2016"/>
      <c r="G49" s="2016"/>
      <c r="H49" s="2016"/>
      <c r="I49" s="2016"/>
      <c r="J49" s="2016"/>
      <c r="K49" s="2016"/>
      <c r="L49" s="2016"/>
      <c r="M49" s="2016"/>
      <c r="N49" s="2016"/>
      <c r="O49" s="2016"/>
      <c r="P49" s="2016"/>
      <c r="Q49" s="2016"/>
      <c r="R49" s="2016"/>
      <c r="S49" s="2016"/>
      <c r="T49" s="2016"/>
      <c r="U49" s="2016"/>
      <c r="V49" s="2016"/>
      <c r="W49" s="2016"/>
      <c r="X49" s="2016"/>
      <c r="Y49" s="2016"/>
      <c r="Z49" s="2016"/>
      <c r="AA49" s="2016"/>
      <c r="AB49" s="2016"/>
      <c r="AC49" s="2016"/>
      <c r="AD49" s="2016"/>
      <c r="AE49" s="2016"/>
      <c r="AF49" s="2016"/>
      <c r="AG49" s="2016"/>
      <c r="AH49" s="2016"/>
      <c r="AI49" s="2016"/>
      <c r="AJ49" s="2016"/>
      <c r="AK49" s="2016"/>
      <c r="AL49" s="2016"/>
      <c r="AM49" s="2016"/>
      <c r="AN49" s="2016"/>
      <c r="AO49" s="2016"/>
      <c r="AP49" s="2016"/>
      <c r="AQ49" s="2016"/>
    </row>
    <row r="50" spans="2:54" ht="15" x14ac:dyDescent="0.25">
      <c r="B50" s="2018"/>
      <c r="C50" s="2019" t="s">
        <v>1023</v>
      </c>
      <c r="D50" s="2019" t="s">
        <v>1029</v>
      </c>
      <c r="E50" s="2019" t="s">
        <v>8</v>
      </c>
      <c r="F50" s="2019"/>
      <c r="G50" s="2019">
        <v>2014</v>
      </c>
      <c r="H50" s="2019">
        <v>2015</v>
      </c>
      <c r="I50" s="2019">
        <v>2016</v>
      </c>
      <c r="J50" s="2019">
        <v>2017</v>
      </c>
      <c r="K50" s="2019">
        <v>2018</v>
      </c>
      <c r="L50" s="2019">
        <v>2019</v>
      </c>
      <c r="M50" s="2019">
        <v>2020</v>
      </c>
      <c r="N50" s="2019">
        <v>2021</v>
      </c>
      <c r="O50" s="2019">
        <v>2022</v>
      </c>
      <c r="P50" s="2019">
        <v>2023</v>
      </c>
      <c r="Q50" s="2019">
        <v>2024</v>
      </c>
      <c r="R50" s="2019">
        <v>2025</v>
      </c>
      <c r="S50" s="2019">
        <v>2026</v>
      </c>
      <c r="T50" s="2019">
        <v>2027</v>
      </c>
      <c r="U50" s="2019">
        <v>2028</v>
      </c>
      <c r="V50" s="2019">
        <v>2029</v>
      </c>
      <c r="W50" s="2019">
        <v>2030</v>
      </c>
      <c r="X50" s="2019">
        <v>2031</v>
      </c>
      <c r="Y50" s="2019">
        <v>2032</v>
      </c>
      <c r="Z50" s="2019">
        <v>2033</v>
      </c>
      <c r="AA50" s="2019">
        <v>2034</v>
      </c>
      <c r="AB50" s="2019">
        <v>2035</v>
      </c>
      <c r="AC50" s="2019">
        <v>2036</v>
      </c>
      <c r="AD50" s="2019">
        <v>2037</v>
      </c>
      <c r="AE50" s="2019">
        <v>2038</v>
      </c>
      <c r="AF50" s="2019">
        <v>2039</v>
      </c>
      <c r="AG50" s="2019">
        <v>2040</v>
      </c>
      <c r="AH50" s="2019">
        <v>2041</v>
      </c>
      <c r="AI50" s="2019">
        <v>2042</v>
      </c>
      <c r="AJ50" s="2019">
        <v>2043</v>
      </c>
      <c r="AK50" s="2019">
        <v>2044</v>
      </c>
      <c r="AL50" s="2019">
        <v>2045</v>
      </c>
      <c r="AM50" s="2019">
        <v>2046</v>
      </c>
      <c r="AN50" s="2019">
        <v>2047</v>
      </c>
      <c r="AO50" s="2019">
        <v>2048</v>
      </c>
      <c r="AP50" s="2019">
        <v>2049</v>
      </c>
      <c r="AQ50" s="2019">
        <v>2050</v>
      </c>
      <c r="AT50" s="2013"/>
      <c r="AY50" s="2014"/>
      <c r="AZ50" s="2014"/>
      <c r="BA50" s="2015"/>
      <c r="BB50" s="2015"/>
    </row>
    <row r="51" spans="2:54" ht="15" x14ac:dyDescent="0.25">
      <c r="B51" s="2018"/>
      <c r="C51" s="2016">
        <v>1</v>
      </c>
      <c r="D51" s="2032" t="s">
        <v>1031</v>
      </c>
      <c r="E51" s="2021"/>
      <c r="F51" s="2021"/>
      <c r="G51" s="2033">
        <v>0</v>
      </c>
      <c r="H51" s="2033">
        <v>0</v>
      </c>
      <c r="I51" s="2033">
        <v>0</v>
      </c>
      <c r="J51" s="2033">
        <v>0</v>
      </c>
      <c r="K51" s="2033">
        <v>0</v>
      </c>
      <c r="L51" s="2033">
        <v>0</v>
      </c>
      <c r="M51" s="2033">
        <v>0</v>
      </c>
      <c r="N51" s="2033">
        <v>0</v>
      </c>
      <c r="O51" s="2033">
        <v>0</v>
      </c>
      <c r="P51" s="2033">
        <v>0</v>
      </c>
      <c r="Q51" s="2033">
        <v>0</v>
      </c>
      <c r="R51" s="2033">
        <v>0</v>
      </c>
      <c r="S51" s="2033">
        <v>0</v>
      </c>
      <c r="T51" s="2033">
        <v>0</v>
      </c>
      <c r="U51" s="2033">
        <v>0</v>
      </c>
      <c r="V51" s="2033">
        <v>0</v>
      </c>
      <c r="W51" s="2033">
        <v>0</v>
      </c>
      <c r="X51" s="2033">
        <v>0</v>
      </c>
      <c r="Y51" s="2033">
        <v>0</v>
      </c>
      <c r="Z51" s="2033">
        <v>0</v>
      </c>
      <c r="AA51" s="2033">
        <v>0</v>
      </c>
      <c r="AB51" s="2033">
        <v>0</v>
      </c>
      <c r="AC51" s="2033">
        <v>0</v>
      </c>
      <c r="AD51" s="2033">
        <v>0</v>
      </c>
      <c r="AE51" s="2033">
        <v>0</v>
      </c>
      <c r="AF51" s="2033">
        <v>0</v>
      </c>
      <c r="AG51" s="2033">
        <v>0</v>
      </c>
      <c r="AH51" s="2033">
        <v>0</v>
      </c>
      <c r="AI51" s="2033">
        <v>0</v>
      </c>
      <c r="AJ51" s="2033">
        <v>0</v>
      </c>
      <c r="AK51" s="2033">
        <v>0</v>
      </c>
      <c r="AL51" s="2033">
        <v>0</v>
      </c>
      <c r="AM51" s="2033">
        <v>0</v>
      </c>
      <c r="AN51" s="2033">
        <v>0</v>
      </c>
      <c r="AO51" s="2033">
        <v>0</v>
      </c>
      <c r="AP51" s="2033">
        <v>0</v>
      </c>
      <c r="AQ51" s="2043">
        <v>0</v>
      </c>
      <c r="AT51" s="2013"/>
      <c r="AY51" s="2014"/>
      <c r="AZ51" s="2014"/>
      <c r="BA51" s="2015"/>
      <c r="BB51" s="2015"/>
    </row>
    <row r="52" spans="2:54" ht="15" x14ac:dyDescent="0.25">
      <c r="B52" s="2018"/>
      <c r="C52" s="2016">
        <v>2</v>
      </c>
      <c r="D52" s="2032" t="s">
        <v>1031</v>
      </c>
      <c r="E52" s="2021"/>
      <c r="F52" s="2021"/>
      <c r="G52" s="2044">
        <v>0</v>
      </c>
      <c r="H52" s="2044">
        <v>0</v>
      </c>
      <c r="I52" s="2044">
        <v>0</v>
      </c>
      <c r="J52" s="2044">
        <v>0</v>
      </c>
      <c r="K52" s="2044">
        <v>0</v>
      </c>
      <c r="L52" s="2044">
        <v>0</v>
      </c>
      <c r="M52" s="2045">
        <f>+L52+($AQ$52-L52)/($AQ$50-L50)</f>
        <v>1.6129032258064516E-4</v>
      </c>
      <c r="N52" s="2045">
        <f t="shared" ref="N52:AP52" si="25">+M52+($AQ$52-M52)/($AQ$50-M50)</f>
        <v>3.2258064516129032E-4</v>
      </c>
      <c r="O52" s="2045">
        <f t="shared" si="25"/>
        <v>4.8387096774193548E-4</v>
      </c>
      <c r="P52" s="2045">
        <f t="shared" si="25"/>
        <v>6.4516129032258064E-4</v>
      </c>
      <c r="Q52" s="2045">
        <f t="shared" si="25"/>
        <v>8.0645161290322581E-4</v>
      </c>
      <c r="R52" s="2045">
        <f t="shared" si="25"/>
        <v>9.6774193548387097E-4</v>
      </c>
      <c r="S52" s="2045">
        <f t="shared" si="25"/>
        <v>1.1290322580645162E-3</v>
      </c>
      <c r="T52" s="2045">
        <f t="shared" si="25"/>
        <v>1.2903225806451613E-3</v>
      </c>
      <c r="U52" s="2045">
        <f t="shared" si="25"/>
        <v>1.4516129032258063E-3</v>
      </c>
      <c r="V52" s="2045">
        <f t="shared" si="25"/>
        <v>1.6129032258064514E-3</v>
      </c>
      <c r="W52" s="2045">
        <f t="shared" si="25"/>
        <v>1.7741935483870967E-3</v>
      </c>
      <c r="X52" s="2045">
        <f t="shared" si="25"/>
        <v>1.9354838709677419E-3</v>
      </c>
      <c r="Y52" s="2045">
        <f t="shared" si="25"/>
        <v>2.096774193548387E-3</v>
      </c>
      <c r="Z52" s="2045">
        <f t="shared" si="25"/>
        <v>2.258064516129032E-3</v>
      </c>
      <c r="AA52" s="2045">
        <f t="shared" si="25"/>
        <v>2.4193548387096771E-3</v>
      </c>
      <c r="AB52" s="2045">
        <f t="shared" si="25"/>
        <v>2.5806451612903221E-3</v>
      </c>
      <c r="AC52" s="2045">
        <f t="shared" si="25"/>
        <v>2.7419354838709672E-3</v>
      </c>
      <c r="AD52" s="2045">
        <f t="shared" si="25"/>
        <v>2.9032258064516123E-3</v>
      </c>
      <c r="AE52" s="2045">
        <f t="shared" si="25"/>
        <v>3.0645161290322573E-3</v>
      </c>
      <c r="AF52" s="2045">
        <f t="shared" si="25"/>
        <v>3.2258064516129024E-3</v>
      </c>
      <c r="AG52" s="2045">
        <f t="shared" si="25"/>
        <v>3.3870967741935474E-3</v>
      </c>
      <c r="AH52" s="2045">
        <f t="shared" si="25"/>
        <v>3.5483870967741929E-3</v>
      </c>
      <c r="AI52" s="2045">
        <f t="shared" si="25"/>
        <v>3.7096774193548379E-3</v>
      </c>
      <c r="AJ52" s="2045">
        <f t="shared" si="25"/>
        <v>3.870967741935483E-3</v>
      </c>
      <c r="AK52" s="2045">
        <f t="shared" si="25"/>
        <v>4.0322580645161281E-3</v>
      </c>
      <c r="AL52" s="2045">
        <f t="shared" si="25"/>
        <v>4.1935483870967731E-3</v>
      </c>
      <c r="AM52" s="2045">
        <f t="shared" si="25"/>
        <v>4.3548387096774182E-3</v>
      </c>
      <c r="AN52" s="2045">
        <f t="shared" si="25"/>
        <v>4.5161290322580632E-3</v>
      </c>
      <c r="AO52" s="2045">
        <f t="shared" si="25"/>
        <v>4.6774193548387091E-3</v>
      </c>
      <c r="AP52" s="2045">
        <f t="shared" si="25"/>
        <v>4.8387096774193551E-3</v>
      </c>
      <c r="AQ52" s="2045">
        <v>5.0000000000000001E-3</v>
      </c>
      <c r="AT52" s="2013"/>
      <c r="AY52" s="2014"/>
      <c r="AZ52" s="2014"/>
      <c r="BA52" s="2015"/>
      <c r="BB52" s="2015"/>
    </row>
    <row r="53" spans="2:54" ht="15" x14ac:dyDescent="0.25">
      <c r="B53" s="2018"/>
      <c r="C53" s="2016">
        <v>3</v>
      </c>
      <c r="D53" s="2032" t="s">
        <v>1031</v>
      </c>
      <c r="E53" s="2021"/>
      <c r="F53" s="2021"/>
      <c r="G53" s="2033">
        <v>0</v>
      </c>
      <c r="H53" s="2033">
        <v>0</v>
      </c>
      <c r="I53" s="2033">
        <v>0</v>
      </c>
      <c r="J53" s="2033">
        <v>0</v>
      </c>
      <c r="K53" s="2033">
        <v>0</v>
      </c>
      <c r="L53" s="2033">
        <v>0</v>
      </c>
      <c r="M53" s="2045">
        <f>+L53+($AQ$53-L53)/($AQ$50-L50)</f>
        <v>3.2258064516129032E-4</v>
      </c>
      <c r="N53" s="2045">
        <f t="shared" ref="N53:AP53" si="26">+M53+($AQ$53-M53)/($AQ$50-M50)</f>
        <v>6.4516129032258064E-4</v>
      </c>
      <c r="O53" s="2045">
        <f t="shared" si="26"/>
        <v>9.6774193548387097E-4</v>
      </c>
      <c r="P53" s="2045">
        <f t="shared" si="26"/>
        <v>1.2903225806451613E-3</v>
      </c>
      <c r="Q53" s="2045">
        <f t="shared" si="26"/>
        <v>1.6129032258064516E-3</v>
      </c>
      <c r="R53" s="2045">
        <f t="shared" si="26"/>
        <v>1.9354838709677419E-3</v>
      </c>
      <c r="S53" s="2045">
        <f t="shared" si="26"/>
        <v>2.2580645161290325E-3</v>
      </c>
      <c r="T53" s="2045">
        <f t="shared" si="26"/>
        <v>2.5806451612903226E-3</v>
      </c>
      <c r="U53" s="2045">
        <f t="shared" si="26"/>
        <v>2.9032258064516127E-3</v>
      </c>
      <c r="V53" s="2045">
        <f t="shared" si="26"/>
        <v>3.2258064516129028E-3</v>
      </c>
      <c r="W53" s="2045">
        <f t="shared" si="26"/>
        <v>3.5483870967741933E-3</v>
      </c>
      <c r="X53" s="2045">
        <f t="shared" si="26"/>
        <v>3.8709677419354839E-3</v>
      </c>
      <c r="Y53" s="2045">
        <f t="shared" si="26"/>
        <v>4.193548387096774E-3</v>
      </c>
      <c r="Z53" s="2045">
        <f t="shared" si="26"/>
        <v>4.5161290322580641E-3</v>
      </c>
      <c r="AA53" s="2045">
        <f t="shared" si="26"/>
        <v>4.8387096774193542E-3</v>
      </c>
      <c r="AB53" s="2045">
        <f t="shared" si="26"/>
        <v>5.1612903225806443E-3</v>
      </c>
      <c r="AC53" s="2045">
        <f t="shared" si="26"/>
        <v>5.4838709677419344E-3</v>
      </c>
      <c r="AD53" s="2045">
        <f t="shared" si="26"/>
        <v>5.8064516129032245E-3</v>
      </c>
      <c r="AE53" s="2045">
        <f t="shared" si="26"/>
        <v>6.1290322580645146E-3</v>
      </c>
      <c r="AF53" s="2045">
        <f t="shared" si="26"/>
        <v>6.4516129032258047E-3</v>
      </c>
      <c r="AG53" s="2045">
        <f t="shared" si="26"/>
        <v>6.7741935483870948E-3</v>
      </c>
      <c r="AH53" s="2045">
        <f t="shared" si="26"/>
        <v>7.0967741935483858E-3</v>
      </c>
      <c r="AI53" s="2045">
        <f t="shared" si="26"/>
        <v>7.4193548387096759E-3</v>
      </c>
      <c r="AJ53" s="2045">
        <f t="shared" si="26"/>
        <v>7.741935483870966E-3</v>
      </c>
      <c r="AK53" s="2045">
        <f t="shared" si="26"/>
        <v>8.0645161290322561E-3</v>
      </c>
      <c r="AL53" s="2045">
        <f t="shared" si="26"/>
        <v>8.3870967741935462E-3</v>
      </c>
      <c r="AM53" s="2045">
        <f t="shared" si="26"/>
        <v>8.7096774193548363E-3</v>
      </c>
      <c r="AN53" s="2045">
        <f t="shared" si="26"/>
        <v>9.0322580645161264E-3</v>
      </c>
      <c r="AO53" s="2045">
        <f t="shared" si="26"/>
        <v>9.3548387096774183E-3</v>
      </c>
      <c r="AP53" s="2045">
        <f t="shared" si="26"/>
        <v>9.6774193548387101E-3</v>
      </c>
      <c r="AQ53" s="2045">
        <v>0.01</v>
      </c>
      <c r="AT53" s="2013"/>
      <c r="AY53" s="2014"/>
      <c r="AZ53" s="2014"/>
      <c r="BA53" s="2015"/>
      <c r="BB53" s="2015"/>
    </row>
    <row r="54" spans="2:54" ht="15" x14ac:dyDescent="0.25">
      <c r="B54" s="2018"/>
      <c r="C54" s="2016">
        <v>4</v>
      </c>
      <c r="D54" s="2032" t="s">
        <v>1031</v>
      </c>
      <c r="E54" s="2021"/>
      <c r="F54" s="2021"/>
      <c r="G54" s="2033">
        <v>0</v>
      </c>
      <c r="H54" s="2033">
        <v>0</v>
      </c>
      <c r="I54" s="2033">
        <v>0</v>
      </c>
      <c r="J54" s="2033">
        <v>0</v>
      </c>
      <c r="K54" s="2033">
        <v>0</v>
      </c>
      <c r="L54" s="2033">
        <v>0</v>
      </c>
      <c r="M54" s="2045">
        <f>+L54+($AQ$54-L54)/($AQ$50-L50)</f>
        <v>1.1290322580645162E-3</v>
      </c>
      <c r="N54" s="2045">
        <f t="shared" ref="N54:AP54" si="27">+M54+($AQ$54-M54)/($AQ$50-M50)</f>
        <v>2.2580645161290325E-3</v>
      </c>
      <c r="O54" s="2045">
        <f t="shared" si="27"/>
        <v>3.3870967741935487E-3</v>
      </c>
      <c r="P54" s="2045">
        <f t="shared" si="27"/>
        <v>4.5161290322580649E-3</v>
      </c>
      <c r="Q54" s="2045">
        <f t="shared" si="27"/>
        <v>5.6451612903225812E-3</v>
      </c>
      <c r="R54" s="2045">
        <f t="shared" si="27"/>
        <v>6.7741935483870974E-3</v>
      </c>
      <c r="S54" s="2045">
        <f t="shared" si="27"/>
        <v>7.9032258064516137E-3</v>
      </c>
      <c r="T54" s="2045">
        <f t="shared" si="27"/>
        <v>9.0322580645161299E-3</v>
      </c>
      <c r="U54" s="2045">
        <f t="shared" si="27"/>
        <v>1.0161290322580646E-2</v>
      </c>
      <c r="V54" s="2045">
        <f t="shared" si="27"/>
        <v>1.1290322580645162E-2</v>
      </c>
      <c r="W54" s="2045">
        <f t="shared" si="27"/>
        <v>1.2419354838709679E-2</v>
      </c>
      <c r="X54" s="2045">
        <f t="shared" si="27"/>
        <v>1.3548387096774195E-2</v>
      </c>
      <c r="Y54" s="2045">
        <f t="shared" si="27"/>
        <v>1.4677419354838711E-2</v>
      </c>
      <c r="Z54" s="2045">
        <f t="shared" si="27"/>
        <v>1.5806451612903227E-2</v>
      </c>
      <c r="AA54" s="2045">
        <f t="shared" si="27"/>
        <v>1.6935483870967744E-2</v>
      </c>
      <c r="AB54" s="2045">
        <f t="shared" si="27"/>
        <v>1.806451612903226E-2</v>
      </c>
      <c r="AC54" s="2045">
        <f t="shared" si="27"/>
        <v>1.9193548387096776E-2</v>
      </c>
      <c r="AD54" s="2045">
        <f t="shared" si="27"/>
        <v>2.0322580645161292E-2</v>
      </c>
      <c r="AE54" s="2045">
        <f t="shared" si="27"/>
        <v>2.1451612903225808E-2</v>
      </c>
      <c r="AF54" s="2045">
        <f t="shared" si="27"/>
        <v>2.2580645161290325E-2</v>
      </c>
      <c r="AG54" s="2045">
        <f t="shared" si="27"/>
        <v>2.3709677419354841E-2</v>
      </c>
      <c r="AH54" s="2045">
        <f t="shared" si="27"/>
        <v>2.4838709677419357E-2</v>
      </c>
      <c r="AI54" s="2045">
        <f t="shared" si="27"/>
        <v>2.5967741935483873E-2</v>
      </c>
      <c r="AJ54" s="2045">
        <f t="shared" si="27"/>
        <v>2.709677419354839E-2</v>
      </c>
      <c r="AK54" s="2045">
        <f t="shared" si="27"/>
        <v>2.8225806451612906E-2</v>
      </c>
      <c r="AL54" s="2045">
        <f t="shared" si="27"/>
        <v>2.9354838709677422E-2</v>
      </c>
      <c r="AM54" s="2045">
        <f t="shared" si="27"/>
        <v>3.0483870967741938E-2</v>
      </c>
      <c r="AN54" s="2045">
        <f t="shared" si="27"/>
        <v>3.1612903225806455E-2</v>
      </c>
      <c r="AO54" s="2045">
        <f t="shared" si="27"/>
        <v>3.2741935483870971E-2</v>
      </c>
      <c r="AP54" s="2045">
        <f t="shared" si="27"/>
        <v>3.3870967741935487E-2</v>
      </c>
      <c r="AQ54" s="2045">
        <v>3.5000000000000003E-2</v>
      </c>
      <c r="AT54" s="2013"/>
      <c r="AY54" s="2014"/>
      <c r="AZ54" s="2014"/>
      <c r="BA54" s="2015"/>
      <c r="BB54" s="2015"/>
    </row>
    <row r="55" spans="2:54" ht="15" x14ac:dyDescent="0.25">
      <c r="B55" s="2018"/>
      <c r="C55" s="2034" t="s">
        <v>1032</v>
      </c>
      <c r="D55" s="2026" t="s">
        <v>1031</v>
      </c>
      <c r="E55" s="2027"/>
      <c r="F55" s="2028"/>
      <c r="G55" s="2035">
        <f>INDEX($G$51:$AQ$54,$E$10,MATCH(G50,$G$50:$AQ$50,0))</f>
        <v>0</v>
      </c>
      <c r="H55" s="2035">
        <f t="shared" ref="H55:AQ55" si="28">INDEX($G$51:$AQ$54,$E$10,MATCH(H50,$G$50:$AQ$50,0))</f>
        <v>0</v>
      </c>
      <c r="I55" s="2035">
        <f t="shared" si="28"/>
        <v>0</v>
      </c>
      <c r="J55" s="2035">
        <f t="shared" si="28"/>
        <v>0</v>
      </c>
      <c r="K55" s="2035">
        <f t="shared" si="28"/>
        <v>0</v>
      </c>
      <c r="L55" s="2035">
        <f t="shared" si="28"/>
        <v>0</v>
      </c>
      <c r="M55" s="2035">
        <f t="shared" si="28"/>
        <v>0</v>
      </c>
      <c r="N55" s="2029">
        <f t="shared" si="28"/>
        <v>0</v>
      </c>
      <c r="O55" s="2035">
        <f t="shared" si="28"/>
        <v>0</v>
      </c>
      <c r="P55" s="2035">
        <f t="shared" si="28"/>
        <v>0</v>
      </c>
      <c r="Q55" s="2035">
        <f t="shared" si="28"/>
        <v>0</v>
      </c>
      <c r="R55" s="2035">
        <f t="shared" si="28"/>
        <v>0</v>
      </c>
      <c r="S55" s="2035">
        <f t="shared" si="28"/>
        <v>0</v>
      </c>
      <c r="T55" s="2035">
        <f t="shared" si="28"/>
        <v>0</v>
      </c>
      <c r="U55" s="2035">
        <f t="shared" si="28"/>
        <v>0</v>
      </c>
      <c r="V55" s="2035">
        <f t="shared" si="28"/>
        <v>0</v>
      </c>
      <c r="W55" s="2035">
        <f t="shared" si="28"/>
        <v>0</v>
      </c>
      <c r="X55" s="2035">
        <f t="shared" si="28"/>
        <v>0</v>
      </c>
      <c r="Y55" s="2035">
        <f t="shared" si="28"/>
        <v>0</v>
      </c>
      <c r="Z55" s="2035">
        <f t="shared" si="28"/>
        <v>0</v>
      </c>
      <c r="AA55" s="2035">
        <f t="shared" si="28"/>
        <v>0</v>
      </c>
      <c r="AB55" s="2035">
        <f t="shared" si="28"/>
        <v>0</v>
      </c>
      <c r="AC55" s="2035">
        <f t="shared" si="28"/>
        <v>0</v>
      </c>
      <c r="AD55" s="2035">
        <f t="shared" si="28"/>
        <v>0</v>
      </c>
      <c r="AE55" s="2035">
        <f t="shared" si="28"/>
        <v>0</v>
      </c>
      <c r="AF55" s="2035">
        <f t="shared" si="28"/>
        <v>0</v>
      </c>
      <c r="AG55" s="2035">
        <f t="shared" si="28"/>
        <v>0</v>
      </c>
      <c r="AH55" s="2035">
        <f t="shared" si="28"/>
        <v>0</v>
      </c>
      <c r="AI55" s="2035">
        <f t="shared" si="28"/>
        <v>0</v>
      </c>
      <c r="AJ55" s="2035">
        <f t="shared" si="28"/>
        <v>0</v>
      </c>
      <c r="AK55" s="2035">
        <f t="shared" si="28"/>
        <v>0</v>
      </c>
      <c r="AL55" s="2035">
        <f t="shared" si="28"/>
        <v>0</v>
      </c>
      <c r="AM55" s="2035">
        <f t="shared" si="28"/>
        <v>0</v>
      </c>
      <c r="AN55" s="2035">
        <f t="shared" si="28"/>
        <v>0</v>
      </c>
      <c r="AO55" s="2035">
        <f t="shared" si="28"/>
        <v>0</v>
      </c>
      <c r="AP55" s="2035">
        <f t="shared" si="28"/>
        <v>0</v>
      </c>
      <c r="AQ55" s="2035">
        <f t="shared" si="28"/>
        <v>0</v>
      </c>
      <c r="AT55" s="2013"/>
      <c r="AY55" s="2014"/>
      <c r="AZ55" s="2014"/>
      <c r="BA55" s="2015"/>
      <c r="BB55" s="2015"/>
    </row>
    <row r="56" spans="2:54" ht="15" x14ac:dyDescent="0.25">
      <c r="B56" s="2018"/>
      <c r="C56" s="2036"/>
      <c r="D56" s="2020"/>
      <c r="E56" s="2021"/>
      <c r="F56" s="2021"/>
      <c r="G56" s="2042"/>
      <c r="H56" s="2042"/>
      <c r="I56" s="2042"/>
      <c r="J56" s="2042"/>
      <c r="K56" s="2042"/>
      <c r="L56" s="2042"/>
      <c r="M56" s="2042"/>
      <c r="N56" s="2042"/>
      <c r="O56" s="2042"/>
      <c r="P56" s="2042"/>
      <c r="Q56" s="2042"/>
      <c r="R56" s="2042"/>
      <c r="S56" s="2042"/>
      <c r="T56" s="2042"/>
      <c r="U56" s="2042"/>
      <c r="V56" s="2042"/>
      <c r="W56" s="2042"/>
      <c r="X56" s="2042"/>
      <c r="Y56" s="2042"/>
      <c r="Z56" s="2042"/>
      <c r="AA56" s="2042"/>
      <c r="AB56" s="2042"/>
      <c r="AC56" s="2042"/>
      <c r="AD56" s="2042"/>
      <c r="AE56" s="2042"/>
      <c r="AF56" s="2042"/>
      <c r="AG56" s="2042"/>
      <c r="AH56" s="2042"/>
      <c r="AI56" s="2042"/>
      <c r="AJ56" s="2042"/>
      <c r="AK56" s="2042"/>
      <c r="AL56" s="2042"/>
      <c r="AM56" s="2042"/>
      <c r="AN56" s="2042"/>
      <c r="AO56" s="2042"/>
      <c r="AP56" s="2042"/>
      <c r="AQ56" s="2042"/>
      <c r="AT56" s="2013"/>
      <c r="AY56" s="2014"/>
      <c r="AZ56" s="2014"/>
      <c r="BA56" s="2015"/>
      <c r="BB56" s="2015"/>
    </row>
    <row r="57" spans="2:54" ht="15" x14ac:dyDescent="0.25">
      <c r="B57" s="2018"/>
      <c r="C57" s="2036"/>
      <c r="D57" s="2016" t="s">
        <v>1038</v>
      </c>
      <c r="E57" s="2046" t="s">
        <v>1044</v>
      </c>
      <c r="F57" s="2021"/>
      <c r="G57" s="2042"/>
      <c r="H57" s="2042"/>
      <c r="I57" s="2042"/>
      <c r="J57" s="2042"/>
      <c r="K57" s="2042"/>
      <c r="L57" s="2042"/>
      <c r="M57" s="2042"/>
      <c r="N57" s="2042"/>
      <c r="O57" s="2042"/>
      <c r="P57" s="2042"/>
      <c r="Q57" s="2042"/>
      <c r="R57" s="2042"/>
      <c r="S57" s="2042"/>
      <c r="T57" s="2042"/>
      <c r="U57" s="2042"/>
      <c r="V57" s="2042"/>
      <c r="W57" s="2042"/>
      <c r="X57" s="2042"/>
      <c r="Y57" s="2042"/>
      <c r="Z57" s="2042"/>
      <c r="AA57" s="2042"/>
      <c r="AB57" s="2042"/>
      <c r="AC57" s="2042"/>
      <c r="AD57" s="2042"/>
      <c r="AE57" s="2042"/>
      <c r="AF57" s="2042"/>
      <c r="AG57" s="2042"/>
      <c r="AH57" s="2042"/>
      <c r="AI57" s="2042"/>
      <c r="AJ57" s="2042"/>
      <c r="AK57" s="2042"/>
      <c r="AL57" s="2042"/>
      <c r="AM57" s="2042"/>
      <c r="AN57" s="2042"/>
      <c r="AO57" s="2042"/>
      <c r="AP57" s="2042"/>
      <c r="AQ57" s="2042"/>
      <c r="AT57" s="2013"/>
      <c r="AY57" s="2014"/>
      <c r="AZ57" s="2014"/>
      <c r="BA57" s="2015"/>
      <c r="BB57" s="2015"/>
    </row>
    <row r="58" spans="2:54" ht="15" x14ac:dyDescent="0.25">
      <c r="B58" s="2018"/>
      <c r="C58" s="2036"/>
      <c r="D58" s="2016" t="s">
        <v>1039</v>
      </c>
      <c r="E58" s="2046" t="s">
        <v>1045</v>
      </c>
      <c r="F58" s="2021"/>
      <c r="G58" s="2042"/>
      <c r="H58" s="2042"/>
      <c r="I58" s="2042"/>
      <c r="J58" s="2042"/>
      <c r="K58" s="2042"/>
      <c r="L58" s="2042"/>
      <c r="M58" s="2042"/>
      <c r="N58" s="2042"/>
      <c r="O58" s="2042"/>
      <c r="P58" s="2042"/>
      <c r="Q58" s="2042"/>
      <c r="R58" s="2042"/>
      <c r="S58" s="2042"/>
      <c r="T58" s="2042"/>
      <c r="U58" s="2042"/>
      <c r="V58" s="2042"/>
      <c r="W58" s="2042"/>
      <c r="X58" s="2042"/>
      <c r="Y58" s="2042"/>
      <c r="Z58" s="2042"/>
      <c r="AA58" s="2042"/>
      <c r="AB58" s="2042"/>
      <c r="AC58" s="2042"/>
      <c r="AD58" s="2042"/>
      <c r="AE58" s="2042"/>
      <c r="AF58" s="2042"/>
      <c r="AG58" s="2042"/>
      <c r="AH58" s="2042"/>
      <c r="AI58" s="2042"/>
      <c r="AJ58" s="2042"/>
      <c r="AK58" s="2042"/>
      <c r="AL58" s="2042"/>
      <c r="AM58" s="2042"/>
      <c r="AN58" s="2042"/>
      <c r="AO58" s="2042"/>
      <c r="AP58" s="2042"/>
      <c r="AQ58" s="2042"/>
      <c r="AT58" s="2013"/>
      <c r="AY58" s="2014"/>
      <c r="AZ58" s="2014"/>
      <c r="BA58" s="2015"/>
      <c r="BB58" s="2015"/>
    </row>
    <row r="59" spans="2:54" ht="15" x14ac:dyDescent="0.25">
      <c r="B59" s="2018"/>
      <c r="C59" s="2036"/>
      <c r="D59" s="2016" t="s">
        <v>1040</v>
      </c>
      <c r="E59" s="2046" t="s">
        <v>1046</v>
      </c>
      <c r="F59" s="2021"/>
      <c r="G59" s="2047"/>
      <c r="H59" s="2047"/>
      <c r="I59" s="2047"/>
      <c r="J59" s="2047"/>
      <c r="K59" s="2047"/>
      <c r="L59" s="2047"/>
      <c r="M59" s="2047"/>
      <c r="N59" s="2047"/>
      <c r="O59" s="2047"/>
      <c r="P59" s="2047"/>
      <c r="Q59" s="2047"/>
      <c r="R59" s="2047"/>
      <c r="S59" s="2047"/>
      <c r="T59" s="2047"/>
      <c r="U59" s="2047"/>
      <c r="V59" s="2047"/>
      <c r="W59" s="2047"/>
      <c r="X59" s="2047"/>
      <c r="Y59" s="2047"/>
      <c r="Z59" s="2047"/>
      <c r="AA59" s="2047"/>
      <c r="AB59" s="2047"/>
      <c r="AC59" s="2047"/>
      <c r="AD59" s="2047"/>
      <c r="AE59" s="2047"/>
      <c r="AF59" s="2047"/>
      <c r="AG59" s="2047"/>
      <c r="AH59" s="2047"/>
      <c r="AI59" s="2047"/>
      <c r="AJ59" s="2047"/>
      <c r="AK59" s="2047"/>
      <c r="AL59" s="2047"/>
      <c r="AM59" s="2047"/>
      <c r="AN59" s="2047"/>
      <c r="AO59" s="2047"/>
      <c r="AP59" s="2047"/>
      <c r="AQ59" s="2047"/>
      <c r="AT59" s="2013"/>
      <c r="AY59" s="2014"/>
      <c r="AZ59" s="2014"/>
      <c r="BA59" s="2015"/>
      <c r="BB59" s="2015"/>
    </row>
    <row r="60" spans="2:54" ht="15" x14ac:dyDescent="0.25">
      <c r="B60" s="2048"/>
      <c r="C60" s="2036"/>
      <c r="D60" s="2016" t="s">
        <v>1041</v>
      </c>
      <c r="E60" s="2046" t="s">
        <v>1047</v>
      </c>
      <c r="F60" s="2021"/>
      <c r="G60" s="2047"/>
      <c r="H60" s="2047"/>
      <c r="I60" s="2047"/>
      <c r="J60" s="2047"/>
      <c r="K60" s="2047"/>
      <c r="L60" s="2047"/>
      <c r="M60" s="2047"/>
      <c r="N60" s="2047"/>
      <c r="O60" s="2047"/>
      <c r="P60" s="2047"/>
      <c r="Q60" s="2047"/>
      <c r="R60" s="2047"/>
      <c r="S60" s="2047"/>
      <c r="T60" s="2047"/>
      <c r="U60" s="2047"/>
      <c r="V60" s="2047"/>
      <c r="W60" s="2047"/>
      <c r="X60" s="2047"/>
      <c r="Y60" s="2047"/>
      <c r="Z60" s="2047"/>
      <c r="AA60" s="2047"/>
      <c r="AB60" s="2047"/>
      <c r="AC60" s="2047"/>
      <c r="AD60" s="2047"/>
      <c r="AE60" s="2047"/>
      <c r="AF60" s="2047"/>
      <c r="AG60" s="2047"/>
      <c r="AH60" s="2047"/>
      <c r="AI60" s="2047"/>
      <c r="AJ60" s="2047"/>
      <c r="AK60" s="2047"/>
      <c r="AL60" s="2047"/>
      <c r="AM60" s="2047"/>
      <c r="AN60" s="2047"/>
      <c r="AO60" s="2047"/>
      <c r="AP60" s="2047"/>
      <c r="AQ60" s="2047"/>
      <c r="AT60" s="2013"/>
      <c r="AY60" s="2014"/>
      <c r="AZ60" s="2014"/>
      <c r="BA60" s="2015"/>
      <c r="BB60" s="2015"/>
    </row>
    <row r="61" spans="2:54" ht="15" x14ac:dyDescent="0.25">
      <c r="B61" s="2048"/>
      <c r="C61" s="2036"/>
      <c r="D61" s="2020"/>
      <c r="E61" s="2021"/>
      <c r="F61" s="2021"/>
      <c r="G61" s="2047"/>
      <c r="H61" s="2047"/>
      <c r="I61" s="2047"/>
      <c r="J61" s="2047"/>
      <c r="K61" s="2047"/>
      <c r="L61" s="2047"/>
      <c r="M61" s="2047"/>
      <c r="N61" s="2047"/>
      <c r="O61" s="2047"/>
      <c r="P61" s="2047"/>
      <c r="Q61" s="2047"/>
      <c r="R61" s="2047"/>
      <c r="S61" s="2047"/>
      <c r="T61" s="2047"/>
      <c r="U61" s="2047"/>
      <c r="V61" s="2047"/>
      <c r="W61" s="2047"/>
      <c r="X61" s="2047"/>
      <c r="Y61" s="2047"/>
      <c r="Z61" s="2047"/>
      <c r="AA61" s="2047"/>
      <c r="AB61" s="2047"/>
      <c r="AC61" s="2047"/>
      <c r="AD61" s="2047"/>
      <c r="AE61" s="2047"/>
      <c r="AF61" s="2047"/>
      <c r="AG61" s="2047"/>
      <c r="AH61" s="2047"/>
      <c r="AI61" s="2047"/>
      <c r="AJ61" s="2047"/>
      <c r="AK61" s="2047"/>
      <c r="AL61" s="2047"/>
      <c r="AM61" s="2047"/>
      <c r="AN61" s="2047"/>
      <c r="AO61" s="2047"/>
      <c r="AP61" s="2047"/>
      <c r="AQ61" s="2047"/>
      <c r="AT61" s="2013"/>
      <c r="AY61" s="2014"/>
      <c r="AZ61" s="2014"/>
      <c r="BA61" s="2015"/>
      <c r="BB61" s="2015"/>
    </row>
    <row r="62" spans="2:54" ht="15" x14ac:dyDescent="0.25">
      <c r="B62" s="2048"/>
      <c r="C62" s="2036"/>
      <c r="D62" s="2020"/>
      <c r="E62" s="2016"/>
      <c r="F62" s="2016"/>
      <c r="G62" s="2049"/>
      <c r="H62" s="2016"/>
      <c r="I62" s="2016"/>
      <c r="J62" s="2016"/>
      <c r="K62" s="2016"/>
      <c r="L62" s="2016"/>
      <c r="M62" s="2016"/>
      <c r="N62" s="2016"/>
      <c r="O62" s="2016"/>
      <c r="P62" s="2016"/>
      <c r="Q62" s="2016"/>
      <c r="R62" s="2016"/>
      <c r="S62" s="2016"/>
      <c r="T62" s="2016"/>
      <c r="U62" s="2016"/>
      <c r="V62" s="2016"/>
      <c r="W62" s="2016"/>
      <c r="X62" s="2016"/>
      <c r="Y62" s="2016"/>
      <c r="Z62" s="2016"/>
      <c r="AA62" s="2016"/>
      <c r="AB62" s="2016"/>
      <c r="AC62" s="2016"/>
      <c r="AD62" s="2016"/>
      <c r="AE62" s="2016"/>
      <c r="AF62" s="2016"/>
      <c r="AG62" s="2016"/>
      <c r="AH62" s="2016"/>
      <c r="AI62" s="2016"/>
      <c r="AJ62" s="2016"/>
      <c r="AK62" s="2016"/>
      <c r="AL62" s="2016"/>
      <c r="AM62" s="2016"/>
      <c r="AN62" s="2016"/>
      <c r="AO62" s="2016"/>
      <c r="AP62" s="2016"/>
      <c r="AQ62" s="2016"/>
      <c r="AT62" s="2013"/>
      <c r="AY62" s="2014"/>
      <c r="AZ62" s="2014"/>
      <c r="BA62" s="2015"/>
      <c r="BB62" s="2015"/>
    </row>
    <row r="63" spans="2:54" ht="15" x14ac:dyDescent="0.25">
      <c r="B63" s="2048"/>
      <c r="C63" s="2048"/>
      <c r="D63" s="2050"/>
      <c r="E63" s="2051"/>
      <c r="F63" s="2052"/>
      <c r="G63" s="2053"/>
      <c r="H63" s="2053"/>
      <c r="I63" s="2053"/>
      <c r="J63" s="2053"/>
      <c r="K63" s="2053"/>
      <c r="L63" s="2053"/>
      <c r="M63" s="2053"/>
      <c r="N63" s="2053"/>
      <c r="O63" s="2053"/>
      <c r="P63" s="2053"/>
      <c r="Q63" s="2053"/>
      <c r="R63" s="2053"/>
      <c r="S63" s="2053"/>
      <c r="T63" s="2053"/>
      <c r="U63" s="2053"/>
      <c r="V63" s="2053"/>
      <c r="W63" s="2053"/>
      <c r="X63" s="2053"/>
      <c r="Y63" s="2053"/>
      <c r="Z63" s="2053"/>
      <c r="AA63" s="2053"/>
      <c r="AB63" s="2053"/>
      <c r="AC63" s="2053"/>
      <c r="AD63" s="2053"/>
      <c r="AE63" s="2053"/>
      <c r="AF63" s="2053"/>
      <c r="AG63" s="2053"/>
      <c r="AH63" s="2053"/>
      <c r="AI63" s="2053"/>
      <c r="AJ63" s="2053"/>
      <c r="AK63" s="2053"/>
      <c r="AL63" s="2053"/>
      <c r="AM63" s="2053"/>
      <c r="AN63" s="2053"/>
      <c r="AO63" s="2053"/>
      <c r="AP63" s="2053"/>
      <c r="AQ63" s="2053"/>
      <c r="AT63" s="2013"/>
      <c r="AY63" s="2014"/>
      <c r="AZ63" s="2014"/>
      <c r="BA63" s="2015"/>
      <c r="BB63" s="2015"/>
    </row>
    <row r="64" spans="2:54" ht="15" x14ac:dyDescent="0.25">
      <c r="AT64" s="2013"/>
      <c r="AY64" s="2014"/>
      <c r="AZ64" s="2014"/>
      <c r="BA64" s="2015"/>
      <c r="BB64" s="2015"/>
    </row>
    <row r="65" spans="2:54" ht="15.75" x14ac:dyDescent="0.25">
      <c r="B65" s="2011" t="s">
        <v>1048</v>
      </c>
      <c r="C65" s="2011"/>
      <c r="D65" s="2012"/>
      <c r="E65" s="2012"/>
      <c r="F65" s="2012"/>
      <c r="G65" s="2012"/>
      <c r="H65" s="2012"/>
      <c r="I65" s="2012"/>
      <c r="J65" s="2012"/>
      <c r="K65" s="2012"/>
      <c r="L65" s="2012"/>
      <c r="M65" s="2012"/>
      <c r="N65" s="2012"/>
      <c r="O65" s="2012"/>
      <c r="P65" s="2012"/>
      <c r="Q65" s="2012"/>
      <c r="R65" s="2012"/>
      <c r="S65" s="2012"/>
      <c r="T65" s="2012"/>
      <c r="U65" s="2012"/>
      <c r="V65" s="2012"/>
      <c r="W65" s="2012"/>
      <c r="X65" s="2012"/>
      <c r="Y65" s="2012"/>
      <c r="Z65" s="2012"/>
      <c r="AA65" s="2012"/>
      <c r="AB65" s="2012"/>
      <c r="AC65" s="2012"/>
      <c r="AD65" s="2012"/>
      <c r="AE65" s="2012"/>
      <c r="AF65" s="2012"/>
      <c r="AG65" s="2012"/>
      <c r="AH65" s="2012"/>
      <c r="AI65" s="2012"/>
      <c r="AJ65" s="2012"/>
      <c r="AK65" s="2012"/>
      <c r="AL65" s="2012"/>
      <c r="AM65" s="2012"/>
      <c r="AN65" s="2012"/>
      <c r="AO65" s="2012"/>
      <c r="AP65" s="2012"/>
      <c r="AQ65" s="2012"/>
      <c r="AT65" s="2013"/>
      <c r="AY65" s="2014"/>
      <c r="AZ65" s="2014"/>
      <c r="BA65" s="2015"/>
      <c r="BB65" s="2015"/>
    </row>
    <row r="66" spans="2:54" x14ac:dyDescent="0.2">
      <c r="B66" s="2016"/>
      <c r="C66" s="2016"/>
      <c r="D66" s="2016"/>
      <c r="E66" s="2016"/>
      <c r="F66" s="2016"/>
      <c r="G66" s="2016"/>
      <c r="H66" s="2016"/>
      <c r="I66" s="2016"/>
      <c r="J66" s="2016"/>
      <c r="K66" s="2016"/>
      <c r="L66" s="2016"/>
      <c r="M66" s="2016"/>
      <c r="N66" s="2016"/>
      <c r="O66" s="2016"/>
      <c r="P66" s="2016"/>
      <c r="Q66" s="2016"/>
      <c r="R66" s="2016"/>
      <c r="S66" s="2016"/>
      <c r="T66" s="2016"/>
      <c r="U66" s="2016"/>
      <c r="V66" s="2016"/>
      <c r="W66" s="2016"/>
      <c r="X66" s="2016"/>
      <c r="Y66" s="2016"/>
      <c r="Z66" s="2016"/>
      <c r="AA66" s="2016"/>
      <c r="AB66" s="2016"/>
      <c r="AC66" s="2016"/>
      <c r="AD66" s="2016"/>
      <c r="AE66" s="2016"/>
      <c r="AF66" s="2016"/>
      <c r="AG66" s="2016"/>
      <c r="AH66" s="2016"/>
      <c r="AI66" s="2016"/>
      <c r="AJ66" s="2016"/>
      <c r="AK66" s="2016"/>
      <c r="AL66" s="2016"/>
      <c r="AM66" s="2016"/>
      <c r="AN66" s="2016"/>
      <c r="AO66" s="2016"/>
      <c r="AP66" s="2016"/>
      <c r="AQ66" s="2016"/>
    </row>
    <row r="67" spans="2:54" x14ac:dyDescent="0.2">
      <c r="B67" s="2016"/>
      <c r="C67" s="2017" t="s">
        <v>1049</v>
      </c>
      <c r="D67" s="2016"/>
      <c r="E67" s="2016"/>
      <c r="F67" s="2016"/>
      <c r="G67" s="2016"/>
      <c r="H67" s="2016"/>
      <c r="I67" s="2016"/>
      <c r="J67" s="2016"/>
      <c r="K67" s="2016"/>
      <c r="L67" s="2016"/>
      <c r="M67" s="2016"/>
      <c r="N67" s="2016"/>
      <c r="O67" s="2016"/>
      <c r="P67" s="2016"/>
      <c r="Q67" s="2016"/>
      <c r="R67" s="2016"/>
      <c r="S67" s="2016"/>
      <c r="T67" s="2016"/>
      <c r="U67" s="2016"/>
      <c r="V67" s="2016"/>
      <c r="W67" s="2016"/>
      <c r="X67" s="2016"/>
      <c r="Y67" s="2016"/>
      <c r="Z67" s="2016"/>
      <c r="AA67" s="2016"/>
      <c r="AB67" s="2016"/>
      <c r="AC67" s="2016"/>
      <c r="AD67" s="2016"/>
      <c r="AE67" s="2016"/>
      <c r="AF67" s="2016"/>
      <c r="AG67" s="2016"/>
      <c r="AH67" s="2016"/>
      <c r="AI67" s="2016"/>
      <c r="AJ67" s="2016"/>
      <c r="AK67" s="2016"/>
      <c r="AL67" s="2016"/>
      <c r="AM67" s="2016"/>
      <c r="AN67" s="2016"/>
      <c r="AO67" s="2016"/>
      <c r="AP67" s="2016"/>
      <c r="AQ67" s="2016"/>
    </row>
    <row r="68" spans="2:54" x14ac:dyDescent="0.2">
      <c r="B68" s="2018"/>
      <c r="C68" s="2054"/>
      <c r="D68" s="2019" t="s">
        <v>1029</v>
      </c>
      <c r="E68" s="2019" t="s">
        <v>8</v>
      </c>
      <c r="F68" s="2019"/>
      <c r="G68" s="2019">
        <v>2014</v>
      </c>
      <c r="H68" s="2019">
        <v>2015</v>
      </c>
      <c r="I68" s="2019">
        <v>2016</v>
      </c>
      <c r="J68" s="2019">
        <v>2017</v>
      </c>
      <c r="K68" s="2019">
        <v>2018</v>
      </c>
      <c r="L68" s="2019">
        <v>2019</v>
      </c>
      <c r="M68" s="2019">
        <v>2020</v>
      </c>
      <c r="N68" s="2019">
        <v>2021</v>
      </c>
      <c r="O68" s="2019">
        <v>2022</v>
      </c>
      <c r="P68" s="2019">
        <v>2023</v>
      </c>
      <c r="Q68" s="2019">
        <v>2024</v>
      </c>
      <c r="R68" s="2019">
        <v>2025</v>
      </c>
      <c r="S68" s="2019">
        <v>2026</v>
      </c>
      <c r="T68" s="2019">
        <v>2027</v>
      </c>
      <c r="U68" s="2019">
        <v>2028</v>
      </c>
      <c r="V68" s="2019">
        <v>2029</v>
      </c>
      <c r="W68" s="2019">
        <v>2030</v>
      </c>
      <c r="X68" s="2019">
        <v>2031</v>
      </c>
      <c r="Y68" s="2019">
        <v>2032</v>
      </c>
      <c r="Z68" s="2019">
        <v>2033</v>
      </c>
      <c r="AA68" s="2019">
        <v>2034</v>
      </c>
      <c r="AB68" s="2019">
        <v>2035</v>
      </c>
      <c r="AC68" s="2019">
        <v>2036</v>
      </c>
      <c r="AD68" s="2019">
        <v>2037</v>
      </c>
      <c r="AE68" s="2019">
        <v>2038</v>
      </c>
      <c r="AF68" s="2019">
        <v>2039</v>
      </c>
      <c r="AG68" s="2019">
        <v>2040</v>
      </c>
      <c r="AH68" s="2019">
        <v>2041</v>
      </c>
      <c r="AI68" s="2019">
        <v>2042</v>
      </c>
      <c r="AJ68" s="2019">
        <v>2043</v>
      </c>
      <c r="AK68" s="2019">
        <v>2044</v>
      </c>
      <c r="AL68" s="2019">
        <v>2045</v>
      </c>
      <c r="AM68" s="2019">
        <v>2046</v>
      </c>
      <c r="AN68" s="2019">
        <v>2047</v>
      </c>
      <c r="AO68" s="2019">
        <v>2048</v>
      </c>
      <c r="AP68" s="2019">
        <v>2049</v>
      </c>
      <c r="AQ68" s="2019">
        <v>2050</v>
      </c>
    </row>
    <row r="69" spans="2:54" x14ac:dyDescent="0.2">
      <c r="B69" s="2018"/>
      <c r="C69" s="2055" t="s">
        <v>118</v>
      </c>
      <c r="D69" s="2056" t="s">
        <v>1050</v>
      </c>
      <c r="E69" s="2057" t="s">
        <v>12</v>
      </c>
      <c r="F69" s="2058"/>
      <c r="G69" s="2059">
        <v>17711004</v>
      </c>
      <c r="H69" s="2059">
        <v>17865185</v>
      </c>
      <c r="I69" s="2059">
        <v>18001964</v>
      </c>
      <c r="J69" s="2059">
        <v>18138749</v>
      </c>
      <c r="K69" s="2059">
        <v>18275530</v>
      </c>
      <c r="L69" s="2059">
        <v>18412316</v>
      </c>
      <c r="M69" s="2059">
        <v>18549095</v>
      </c>
      <c r="N69" s="2059">
        <v>18665029</v>
      </c>
      <c r="O69" s="2059">
        <v>18780961</v>
      </c>
      <c r="P69" s="2059">
        <v>18896893</v>
      </c>
      <c r="Q69" s="2059">
        <v>19012825</v>
      </c>
      <c r="R69" s="2059">
        <v>19128758</v>
      </c>
      <c r="S69" s="2059">
        <v>19220429</v>
      </c>
      <c r="T69" s="2059">
        <v>19312102</v>
      </c>
      <c r="U69" s="2059">
        <v>19403774</v>
      </c>
      <c r="V69" s="2059">
        <v>19495446</v>
      </c>
      <c r="W69" s="2059">
        <v>19587121</v>
      </c>
      <c r="X69" s="2059">
        <v>19652544</v>
      </c>
      <c r="Y69" s="2059">
        <v>19717971</v>
      </c>
      <c r="Z69" s="2059">
        <v>19783397</v>
      </c>
      <c r="AA69" s="2059">
        <v>19848824</v>
      </c>
      <c r="AB69" s="2059">
        <v>19914249</v>
      </c>
      <c r="AC69" s="2059">
        <v>19953465</v>
      </c>
      <c r="AD69" s="2059">
        <v>19992680</v>
      </c>
      <c r="AE69" s="2059">
        <v>20031894</v>
      </c>
      <c r="AF69" s="2059">
        <v>20071109</v>
      </c>
      <c r="AG69" s="2059">
        <v>20110322</v>
      </c>
      <c r="AH69" s="2059">
        <v>20127269</v>
      </c>
      <c r="AI69" s="2059">
        <v>20144214</v>
      </c>
      <c r="AJ69" s="2059">
        <v>20161160</v>
      </c>
      <c r="AK69" s="2059">
        <v>20178105</v>
      </c>
      <c r="AL69" s="2059">
        <v>20195050</v>
      </c>
      <c r="AM69" s="2059">
        <v>20196996</v>
      </c>
      <c r="AN69" s="2059">
        <v>20198941</v>
      </c>
      <c r="AO69" s="2059">
        <v>20200885</v>
      </c>
      <c r="AP69" s="2059">
        <v>20202831</v>
      </c>
      <c r="AQ69" s="2059">
        <v>20204779</v>
      </c>
    </row>
    <row r="70" spans="2:54" x14ac:dyDescent="0.2">
      <c r="B70" s="2018"/>
      <c r="C70" s="2060"/>
      <c r="D70" s="2061"/>
      <c r="E70" s="2016"/>
      <c r="F70" s="2048"/>
      <c r="G70" s="2062"/>
      <c r="H70" s="2062"/>
      <c r="I70" s="2062"/>
      <c r="J70" s="2062"/>
      <c r="K70" s="2062"/>
      <c r="L70" s="2062"/>
      <c r="M70" s="2062"/>
      <c r="N70" s="2062"/>
      <c r="O70" s="2062"/>
      <c r="P70" s="2062"/>
      <c r="Q70" s="2062"/>
      <c r="R70" s="2062"/>
      <c r="S70" s="2062"/>
      <c r="T70" s="2062"/>
      <c r="U70" s="2062"/>
      <c r="V70" s="2062"/>
      <c r="W70" s="2062"/>
      <c r="X70" s="2062"/>
      <c r="Y70" s="2062"/>
      <c r="Z70" s="2062"/>
      <c r="AA70" s="2062"/>
      <c r="AB70" s="2062"/>
      <c r="AC70" s="2062"/>
      <c r="AD70" s="2062"/>
      <c r="AE70" s="2062"/>
      <c r="AF70" s="2062"/>
      <c r="AG70" s="2062"/>
      <c r="AH70" s="2062"/>
      <c r="AI70" s="2062"/>
      <c r="AJ70" s="2062"/>
      <c r="AK70" s="2062"/>
      <c r="AL70" s="2062"/>
      <c r="AM70" s="2062"/>
      <c r="AN70" s="2062"/>
      <c r="AO70" s="2062"/>
      <c r="AP70" s="2062"/>
      <c r="AQ70" s="2062"/>
    </row>
    <row r="71" spans="2:54" x14ac:dyDescent="0.2">
      <c r="B71" s="2016"/>
      <c r="C71" s="2017" t="s">
        <v>1051</v>
      </c>
      <c r="D71" s="2016"/>
      <c r="E71" s="2016"/>
      <c r="F71" s="2016"/>
      <c r="G71" s="2016"/>
      <c r="H71" s="2016"/>
      <c r="I71" s="2016"/>
      <c r="J71" s="2016"/>
      <c r="K71" s="2016"/>
      <c r="L71" s="2016"/>
      <c r="M71" s="2016"/>
      <c r="N71" s="2016"/>
      <c r="O71" s="2016"/>
      <c r="P71" s="2016"/>
      <c r="Q71" s="2016"/>
      <c r="R71" s="2016"/>
      <c r="S71" s="2016"/>
      <c r="T71" s="2016"/>
      <c r="U71" s="2016"/>
      <c r="V71" s="2016"/>
      <c r="W71" s="2016"/>
      <c r="X71" s="2016"/>
      <c r="Y71" s="2016"/>
      <c r="Z71" s="2016"/>
      <c r="AA71" s="2016"/>
      <c r="AB71" s="2016"/>
      <c r="AC71" s="2016"/>
      <c r="AD71" s="2016"/>
      <c r="AE71" s="2016"/>
      <c r="AF71" s="2016"/>
      <c r="AG71" s="2016"/>
      <c r="AH71" s="2016"/>
      <c r="AI71" s="2016"/>
      <c r="AJ71" s="2016"/>
      <c r="AK71" s="2016"/>
      <c r="AL71" s="2016"/>
      <c r="AM71" s="2016"/>
      <c r="AN71" s="2016"/>
      <c r="AO71" s="2016"/>
      <c r="AP71" s="2016"/>
      <c r="AQ71" s="2016"/>
    </row>
    <row r="72" spans="2:54" x14ac:dyDescent="0.2">
      <c r="B72" s="2018"/>
      <c r="C72" s="2054"/>
      <c r="D72" s="2019" t="s">
        <v>1029</v>
      </c>
      <c r="E72" s="2019" t="s">
        <v>8</v>
      </c>
      <c r="F72" s="2019"/>
      <c r="G72" s="2019">
        <v>2014</v>
      </c>
      <c r="H72" s="2019">
        <v>2015</v>
      </c>
      <c r="I72" s="2019">
        <v>2016</v>
      </c>
      <c r="J72" s="2019">
        <v>2017</v>
      </c>
      <c r="K72" s="2019">
        <v>2018</v>
      </c>
      <c r="L72" s="2019">
        <v>2019</v>
      </c>
      <c r="M72" s="2019">
        <v>2020</v>
      </c>
      <c r="N72" s="2019">
        <v>2021</v>
      </c>
      <c r="O72" s="2019">
        <v>2022</v>
      </c>
      <c r="P72" s="2019">
        <v>2023</v>
      </c>
      <c r="Q72" s="2019">
        <v>2024</v>
      </c>
      <c r="R72" s="2019">
        <v>2025</v>
      </c>
      <c r="S72" s="2019">
        <v>2026</v>
      </c>
      <c r="T72" s="2019">
        <v>2027</v>
      </c>
      <c r="U72" s="2019">
        <v>2028</v>
      </c>
      <c r="V72" s="2019">
        <v>2029</v>
      </c>
      <c r="W72" s="2019">
        <v>2030</v>
      </c>
      <c r="X72" s="2019">
        <v>2031</v>
      </c>
      <c r="Y72" s="2019">
        <v>2032</v>
      </c>
      <c r="Z72" s="2019">
        <v>2033</v>
      </c>
      <c r="AA72" s="2019">
        <v>2034</v>
      </c>
      <c r="AB72" s="2019">
        <v>2035</v>
      </c>
      <c r="AC72" s="2019">
        <v>2036</v>
      </c>
      <c r="AD72" s="2019">
        <v>2037</v>
      </c>
      <c r="AE72" s="2019">
        <v>2038</v>
      </c>
      <c r="AF72" s="2019">
        <v>2039</v>
      </c>
      <c r="AG72" s="2019">
        <v>2040</v>
      </c>
      <c r="AH72" s="2019">
        <v>2041</v>
      </c>
      <c r="AI72" s="2019">
        <v>2042</v>
      </c>
      <c r="AJ72" s="2019">
        <v>2043</v>
      </c>
      <c r="AK72" s="2019">
        <v>2044</v>
      </c>
      <c r="AL72" s="2019">
        <v>2045</v>
      </c>
      <c r="AM72" s="2019">
        <v>2046</v>
      </c>
      <c r="AN72" s="2019">
        <v>2047</v>
      </c>
      <c r="AO72" s="2019">
        <v>2048</v>
      </c>
      <c r="AP72" s="2019">
        <v>2049</v>
      </c>
      <c r="AQ72" s="2019">
        <v>2050</v>
      </c>
    </row>
    <row r="73" spans="2:54" x14ac:dyDescent="0.2">
      <c r="B73" s="2018"/>
      <c r="C73" s="2055" t="s">
        <v>118</v>
      </c>
      <c r="D73" s="2056" t="s">
        <v>1052</v>
      </c>
      <c r="E73" s="2057" t="s">
        <v>133</v>
      </c>
      <c r="F73" s="2058"/>
      <c r="G73" s="2063">
        <v>0.3889977010796386</v>
      </c>
      <c r="H73" s="2063">
        <v>0.3889977010796386</v>
      </c>
      <c r="I73" s="2063">
        <f>+H73+($M$73-H73)/($M$72-H72)</f>
        <v>0.39195365020151524</v>
      </c>
      <c r="J73" s="2063">
        <f>+I73+($M$73-I73)/($M$72-I72)</f>
        <v>0.39490959932339187</v>
      </c>
      <c r="K73" s="2063">
        <f>+J73+($M$73-J73)/($M$72-J72)</f>
        <v>0.39786554844526856</v>
      </c>
      <c r="L73" s="2063">
        <f>+K73+($M$73-K73)/($M$72-K72)</f>
        <v>0.40082149756714525</v>
      </c>
      <c r="M73" s="2063">
        <v>0.40377744668902188</v>
      </c>
      <c r="N73" s="2063">
        <f>+M73+($R$73-M73)/($R$72-M72)</f>
        <v>0.40690063766481344</v>
      </c>
      <c r="O73" s="2063">
        <f>+N73+($R$73-N73)/($R$72-N72)</f>
        <v>0.41002382864060499</v>
      </c>
      <c r="P73" s="2063">
        <f>+O73+($R$73-O73)/($R$72-O72)</f>
        <v>0.41314701961639655</v>
      </c>
      <c r="Q73" s="2063">
        <f>+P73+($R$73-P73)/($R$72-P72)</f>
        <v>0.41627021059218811</v>
      </c>
      <c r="R73" s="2063">
        <v>0.41939340156797966</v>
      </c>
      <c r="S73" s="2063">
        <f>+R73+($W$73-R73)/($W$72-R72)</f>
        <v>0.42275534601838577</v>
      </c>
      <c r="T73" s="2063">
        <f>+S73+($W$73-S73)/($W$72-S72)</f>
        <v>0.42611729046879188</v>
      </c>
      <c r="U73" s="2063">
        <f>+T73+($W$73-T73)/($W$72-T72)</f>
        <v>0.42947923491919798</v>
      </c>
      <c r="V73" s="2063">
        <f>+U73+($W$73-U73)/($W$72-U72)</f>
        <v>0.43284117936960409</v>
      </c>
      <c r="W73" s="2063">
        <v>0.43620312382001025</v>
      </c>
      <c r="X73" s="2063">
        <f>+W73+($AB$73-W73)/($AB$72-W72)</f>
        <v>0.4398718250451899</v>
      </c>
      <c r="Y73" s="2063">
        <f>+X73+($AB$73-X73)/($AB$72-X72)</f>
        <v>0.44354052627036955</v>
      </c>
      <c r="Z73" s="2063">
        <f>+Y73+($AB$73-Y73)/($AB$72-Y72)</f>
        <v>0.4472092274955492</v>
      </c>
      <c r="AA73" s="2063">
        <f>+Z73+($AB$73-Z73)/($AB$72-Z72)</f>
        <v>0.45087792872072885</v>
      </c>
      <c r="AB73" s="2063">
        <v>0.45454662994590844</v>
      </c>
      <c r="AC73" s="2063">
        <f>+AB73+($AG$73-AB73)/($AG$72-AB72)</f>
        <v>0.4585847459330557</v>
      </c>
      <c r="AD73" s="2063">
        <f>+AC73+($AG$73-AC73)/($AG$72-AC72)</f>
        <v>0.46262286192020297</v>
      </c>
      <c r="AE73" s="2063">
        <f>+AD73+($AG$73-AD73)/($AG$72-AD72)</f>
        <v>0.46666097790735023</v>
      </c>
      <c r="AF73" s="2063">
        <f>+AE73+($AG$73-AE73)/($AG$72-AE72)</f>
        <v>0.47069909389449749</v>
      </c>
      <c r="AG73" s="2063">
        <v>0.47473720988164481</v>
      </c>
      <c r="AH73" s="2063">
        <f>+AG73+($AL$73-AG73)/($AL$72-AG72)</f>
        <v>0.47920509473305078</v>
      </c>
      <c r="AI73" s="2063">
        <f>+AH73+($AL$73-AH73)/($AL$72-AH72)</f>
        <v>0.48367297958445676</v>
      </c>
      <c r="AJ73" s="2063">
        <f>+AI73+($AL$73-AI73)/($AL$72-AI72)</f>
        <v>0.48814086443586274</v>
      </c>
      <c r="AK73" s="2063">
        <f>+AJ73+($AL$73-AJ73)/($AL$72-AJ72)</f>
        <v>0.49260874928726872</v>
      </c>
      <c r="AL73" s="2063">
        <v>0.49707663413867476</v>
      </c>
      <c r="AM73" s="2063">
        <f>+AL73+($AQ$73-AL73)/($AQ$72-AL72)</f>
        <v>0.50202309032057468</v>
      </c>
      <c r="AN73" s="2063">
        <f>+AM73+($AQ$73-AM73)/($AQ$72-AM72)</f>
        <v>0.50696954650247461</v>
      </c>
      <c r="AO73" s="2063">
        <f>+AN73+($AQ$73-AN73)/($AQ$72-AN72)</f>
        <v>0.51191600268437443</v>
      </c>
      <c r="AP73" s="2063">
        <f>+AO73+($AQ$73-AO73)/($AQ$72-AO72)</f>
        <v>0.51686245886627424</v>
      </c>
      <c r="AQ73" s="2063">
        <v>0.52180891504817417</v>
      </c>
    </row>
    <row r="74" spans="2:54" x14ac:dyDescent="0.2">
      <c r="B74" s="2018"/>
      <c r="C74" s="2060"/>
      <c r="D74" s="2061"/>
      <c r="E74" s="2016"/>
      <c r="F74" s="2048"/>
      <c r="G74" s="2062"/>
      <c r="H74" s="2062"/>
      <c r="I74" s="2062"/>
      <c r="J74" s="2062"/>
      <c r="K74" s="2062"/>
      <c r="L74" s="2062"/>
      <c r="M74" s="2062"/>
      <c r="N74" s="2062"/>
      <c r="O74" s="2062"/>
      <c r="P74" s="2062"/>
      <c r="Q74" s="2062"/>
      <c r="R74" s="2062"/>
      <c r="S74" s="2062"/>
      <c r="T74" s="2062"/>
      <c r="U74" s="2062"/>
      <c r="V74" s="2062"/>
      <c r="W74" s="2062"/>
      <c r="X74" s="2062"/>
      <c r="Y74" s="2062"/>
      <c r="Z74" s="2062"/>
      <c r="AA74" s="2062"/>
      <c r="AB74" s="2062"/>
      <c r="AC74" s="2062"/>
      <c r="AD74" s="2062"/>
      <c r="AE74" s="2062"/>
      <c r="AF74" s="2062"/>
      <c r="AG74" s="2062"/>
      <c r="AH74" s="2062"/>
      <c r="AI74" s="2062"/>
      <c r="AJ74" s="2062"/>
      <c r="AK74" s="2062"/>
      <c r="AL74" s="2062"/>
      <c r="AM74" s="2062"/>
      <c r="AN74" s="2062"/>
      <c r="AO74" s="2062"/>
      <c r="AP74" s="2062"/>
      <c r="AQ74" s="2062"/>
    </row>
    <row r="75" spans="2:54" x14ac:dyDescent="0.2">
      <c r="B75" s="2018"/>
      <c r="C75" s="2017" t="s">
        <v>1053</v>
      </c>
      <c r="D75" s="2016"/>
      <c r="E75" s="2016"/>
      <c r="F75" s="2016"/>
      <c r="G75" s="2016"/>
      <c r="H75" s="2016"/>
      <c r="I75" s="2016"/>
      <c r="J75" s="2016"/>
      <c r="K75" s="2016"/>
      <c r="L75" s="2016"/>
      <c r="M75" s="2016"/>
      <c r="N75" s="2016"/>
      <c r="O75" s="2016"/>
      <c r="P75" s="2016"/>
      <c r="Q75" s="2016"/>
      <c r="R75" s="2016"/>
      <c r="S75" s="2016"/>
      <c r="T75" s="2016"/>
      <c r="U75" s="2016"/>
      <c r="V75" s="2016"/>
      <c r="W75" s="2016"/>
      <c r="X75" s="2016"/>
      <c r="Y75" s="2016"/>
      <c r="Z75" s="2016"/>
      <c r="AA75" s="2016"/>
      <c r="AB75" s="2016"/>
      <c r="AC75" s="2016"/>
      <c r="AD75" s="2016"/>
      <c r="AE75" s="2016"/>
      <c r="AF75" s="2016"/>
      <c r="AG75" s="2016"/>
      <c r="AH75" s="2016"/>
      <c r="AI75" s="2016"/>
      <c r="AJ75" s="2016"/>
      <c r="AK75" s="2016"/>
      <c r="AL75" s="2016"/>
      <c r="AM75" s="2016"/>
      <c r="AN75" s="2016"/>
      <c r="AO75" s="2016"/>
      <c r="AP75" s="2016"/>
      <c r="AQ75" s="2016"/>
    </row>
    <row r="76" spans="2:54" x14ac:dyDescent="0.2">
      <c r="B76" s="2018"/>
      <c r="C76" s="2054"/>
      <c r="D76" s="2019" t="s">
        <v>1029</v>
      </c>
      <c r="E76" s="2019" t="s">
        <v>8</v>
      </c>
      <c r="F76" s="2019"/>
      <c r="G76" s="2019">
        <v>2014</v>
      </c>
      <c r="H76" s="2019">
        <v>2015</v>
      </c>
      <c r="I76" s="2019">
        <v>2016</v>
      </c>
      <c r="J76" s="2019">
        <v>2017</v>
      </c>
      <c r="K76" s="2019">
        <v>2018</v>
      </c>
      <c r="L76" s="2019">
        <v>2019</v>
      </c>
      <c r="M76" s="2019">
        <v>2020</v>
      </c>
      <c r="N76" s="2019">
        <v>2021</v>
      </c>
      <c r="O76" s="2019">
        <v>2022</v>
      </c>
      <c r="P76" s="2019">
        <v>2023</v>
      </c>
      <c r="Q76" s="2019">
        <v>2024</v>
      </c>
      <c r="R76" s="2019">
        <v>2025</v>
      </c>
      <c r="S76" s="2019">
        <v>2026</v>
      </c>
      <c r="T76" s="2019">
        <v>2027</v>
      </c>
      <c r="U76" s="2019">
        <v>2028</v>
      </c>
      <c r="V76" s="2019">
        <v>2029</v>
      </c>
      <c r="W76" s="2019">
        <v>2030</v>
      </c>
      <c r="X76" s="2019">
        <v>2031</v>
      </c>
      <c r="Y76" s="2019">
        <v>2032</v>
      </c>
      <c r="Z76" s="2019">
        <v>2033</v>
      </c>
      <c r="AA76" s="2019">
        <v>2034</v>
      </c>
      <c r="AB76" s="2019">
        <v>2035</v>
      </c>
      <c r="AC76" s="2019">
        <v>2036</v>
      </c>
      <c r="AD76" s="2019">
        <v>2037</v>
      </c>
      <c r="AE76" s="2019">
        <v>2038</v>
      </c>
      <c r="AF76" s="2019">
        <v>2039</v>
      </c>
      <c r="AG76" s="2019">
        <v>2040</v>
      </c>
      <c r="AH76" s="2019">
        <v>2041</v>
      </c>
      <c r="AI76" s="2019">
        <v>2042</v>
      </c>
      <c r="AJ76" s="2019">
        <v>2043</v>
      </c>
      <c r="AK76" s="2019">
        <v>2044</v>
      </c>
      <c r="AL76" s="2019">
        <v>2045</v>
      </c>
      <c r="AM76" s="2019">
        <v>2046</v>
      </c>
      <c r="AN76" s="2019">
        <v>2047</v>
      </c>
      <c r="AO76" s="2019">
        <v>2048</v>
      </c>
      <c r="AP76" s="2019">
        <v>2049</v>
      </c>
      <c r="AQ76" s="2019">
        <v>2050</v>
      </c>
    </row>
    <row r="77" spans="2:54" x14ac:dyDescent="0.2">
      <c r="B77" s="2018"/>
      <c r="C77" s="2064" t="s">
        <v>1054</v>
      </c>
      <c r="D77" s="2022" t="s">
        <v>1031</v>
      </c>
      <c r="E77" s="2016" t="s">
        <v>136</v>
      </c>
      <c r="F77" s="2021"/>
      <c r="G77" s="2065">
        <v>0.48699201930368324</v>
      </c>
      <c r="H77" s="2065">
        <v>0.48699201930368324</v>
      </c>
      <c r="I77" s="2065">
        <f>+H77+($M$77-H77)/($M$76-H76)</f>
        <v>0.48350331080460618</v>
      </c>
      <c r="J77" s="2065">
        <f>+I77+($M$77-I77)/($M$76-I76)</f>
        <v>0.48001460230552911</v>
      </c>
      <c r="K77" s="2065">
        <f>+J77+($M$77-J77)/($M$76-J76)</f>
        <v>0.47652589380645205</v>
      </c>
      <c r="L77" s="2065">
        <f>+K77+($M$77-K77)/($M$76-K76)</f>
        <v>0.47303718530737493</v>
      </c>
      <c r="M77" s="2065">
        <v>0.46954847680829787</v>
      </c>
      <c r="N77" s="2065">
        <f t="shared" ref="N77:P80" si="29">+M77+($R77-M77)/($R$76-M$76)</f>
        <v>0.4660448325338245</v>
      </c>
      <c r="O77" s="2065">
        <f t="shared" si="29"/>
        <v>0.46254118825935109</v>
      </c>
      <c r="P77" s="2065">
        <f>+O77+($R77-O77)/($R$76-O$76)</f>
        <v>0.45903754398487773</v>
      </c>
      <c r="Q77" s="2065">
        <f>+P77+($R77-P77)/($R$76-P$76)</f>
        <v>0.45553389971040437</v>
      </c>
      <c r="R77" s="2065">
        <v>0.45203025543593095</v>
      </c>
      <c r="S77" s="2065">
        <f t="shared" ref="S77:U80" si="30">+R77+($W77-R77)/($W$76-R$76)</f>
        <v>0.44850637765251689</v>
      </c>
      <c r="T77" s="2065">
        <f t="shared" si="30"/>
        <v>0.44498249986910282</v>
      </c>
      <c r="U77" s="2065">
        <f>+T77+($W77-T77)/($W$76-T$76)</f>
        <v>0.44145862208568876</v>
      </c>
      <c r="V77" s="2065">
        <f>+U77+($W77-U77)/($W$76-U$76)</f>
        <v>0.43793474430227469</v>
      </c>
      <c r="W77" s="2065">
        <v>0.43441086651886063</v>
      </c>
      <c r="X77" s="2065">
        <f t="shared" ref="X77:Z80" si="31">+W77+($AB77-W77)/($AB$76-W$76)</f>
        <v>0.43086128084175679</v>
      </c>
      <c r="Y77" s="2065">
        <f t="shared" si="31"/>
        <v>0.42731169516465295</v>
      </c>
      <c r="Z77" s="2065">
        <f>+Y77+($AB77-Y77)/($AB$76-Y$76)</f>
        <v>0.42376210948754917</v>
      </c>
      <c r="AA77" s="2065">
        <f>+Z77+($AB77-Z77)/($AB$76-Z$76)</f>
        <v>0.42021252381044538</v>
      </c>
      <c r="AB77" s="2065">
        <v>0.41666293813334154</v>
      </c>
      <c r="AC77" s="2065">
        <f t="shared" ref="AC77:AE80" si="32">+AB77+($AG77-AB77)/($AG$76-AB$76)</f>
        <v>0.4130816810354252</v>
      </c>
      <c r="AD77" s="2065">
        <f t="shared" si="32"/>
        <v>0.40950042393750885</v>
      </c>
      <c r="AE77" s="2065">
        <f>+AD77+($AG77-AD77)/($AG$76-AD$76)</f>
        <v>0.4059191668395925</v>
      </c>
      <c r="AF77" s="2065">
        <f>+AE77+($AG77-AE77)/($AG$76-AE$76)</f>
        <v>0.40233790974167616</v>
      </c>
      <c r="AG77" s="2065">
        <v>0.39875665264375976</v>
      </c>
      <c r="AH77" s="2065">
        <f t="shared" ref="AH77:AJ80" si="33">+AG77+($AL77-AG77)/($AL$76-AG$76)</f>
        <v>0.39512083868187947</v>
      </c>
      <c r="AI77" s="2065">
        <f t="shared" si="33"/>
        <v>0.39148502471999919</v>
      </c>
      <c r="AJ77" s="2065">
        <f>+AI77+($AL77-AI77)/($AL$76-AI$76)</f>
        <v>0.3878492107581189</v>
      </c>
      <c r="AK77" s="2065">
        <f>+AJ77+($AL77-AJ77)/($AL$76-AJ$76)</f>
        <v>0.38421339679623856</v>
      </c>
      <c r="AL77" s="2065">
        <v>0.38057758283435827</v>
      </c>
      <c r="AM77" s="2065">
        <f t="shared" ref="AM77:AO80" si="34">+AL77+($AQ77-AL77)/($AQ$76-AL$76)</f>
        <v>0.37692822902746353</v>
      </c>
      <c r="AN77" s="2065">
        <f t="shared" si="34"/>
        <v>0.3732788752205688</v>
      </c>
      <c r="AO77" s="2065">
        <f>+AN77+($AQ77-AN77)/($AQ$76-AN$76)</f>
        <v>0.36962952141367406</v>
      </c>
      <c r="AP77" s="2065">
        <f>+AO77+($AQ77-AO77)/($AQ$76-AO$76)</f>
        <v>0.36598016760677932</v>
      </c>
      <c r="AQ77" s="2065">
        <v>0.36233081379988452</v>
      </c>
    </row>
    <row r="78" spans="2:54" x14ac:dyDescent="0.2">
      <c r="B78" s="2018"/>
      <c r="C78" s="2064" t="s">
        <v>1055</v>
      </c>
      <c r="D78" s="2022" t="s">
        <v>1031</v>
      </c>
      <c r="E78" s="2016" t="s">
        <v>136</v>
      </c>
      <c r="F78" s="2021"/>
      <c r="G78" s="2065">
        <v>0.25290885392829315</v>
      </c>
      <c r="H78" s="2065">
        <v>0.25290885392829315</v>
      </c>
      <c r="I78" s="2065">
        <f>+H78+($M$78-H78)/($M$76-H$76)</f>
        <v>0.25531104484918193</v>
      </c>
      <c r="J78" s="2065">
        <f>+I78+($M$78-I78)/($M$76-I$76)</f>
        <v>0.25771323577007071</v>
      </c>
      <c r="K78" s="2065">
        <f>+J78+($M$78-J78)/($M$76-J$76)</f>
        <v>0.26011542669095949</v>
      </c>
      <c r="L78" s="2065">
        <f>+K78+($M$78-K78)/($M$76-K$76)</f>
        <v>0.26251761761184822</v>
      </c>
      <c r="M78" s="2065">
        <v>0.264919808532737</v>
      </c>
      <c r="N78" s="2065">
        <f t="shared" si="29"/>
        <v>0.26731171651163338</v>
      </c>
      <c r="O78" s="2065">
        <f t="shared" si="29"/>
        <v>0.26970362449052976</v>
      </c>
      <c r="P78" s="2065">
        <f>+O78+($R78-O78)/($R$76-O$76)</f>
        <v>0.27209553246942608</v>
      </c>
      <c r="Q78" s="2065">
        <f>+P78+($R78-P78)/($R$76-P$76)</f>
        <v>0.27448744044832241</v>
      </c>
      <c r="R78" s="2065">
        <v>0.27687934842721879</v>
      </c>
      <c r="S78" s="2065">
        <f t="shared" si="30"/>
        <v>0.27926237140280163</v>
      </c>
      <c r="T78" s="2065">
        <f t="shared" si="30"/>
        <v>0.28164539437838448</v>
      </c>
      <c r="U78" s="2065">
        <f t="shared" si="30"/>
        <v>0.28402841735396733</v>
      </c>
      <c r="V78" s="2065">
        <f>+U78+($W78-U78)/($W$76-U$76)</f>
        <v>0.28641144032955024</v>
      </c>
      <c r="W78" s="2065">
        <v>0.28879446330513309</v>
      </c>
      <c r="X78" s="2065">
        <f t="shared" si="31"/>
        <v>0.29116954928916211</v>
      </c>
      <c r="Y78" s="2065">
        <f t="shared" si="31"/>
        <v>0.29354463527319119</v>
      </c>
      <c r="Z78" s="2065">
        <f t="shared" si="31"/>
        <v>0.29591972125722021</v>
      </c>
      <c r="AA78" s="2065">
        <f>+Z78+($AB78-Z78)/($AB$76-Z$76)</f>
        <v>0.29829480724124924</v>
      </c>
      <c r="AB78" s="2065">
        <v>0.30066989322527832</v>
      </c>
      <c r="AC78" s="2065">
        <f t="shared" si="32"/>
        <v>0.30303777384752523</v>
      </c>
      <c r="AD78" s="2065">
        <f t="shared" si="32"/>
        <v>0.30540565446977219</v>
      </c>
      <c r="AE78" s="2065">
        <f t="shared" si="32"/>
        <v>0.3077735350920191</v>
      </c>
      <c r="AF78" s="2065">
        <f>+AE78+($AG78-AE78)/($AG$76-AE$76)</f>
        <v>0.31014141571426601</v>
      </c>
      <c r="AG78" s="2065">
        <v>0.31250929633651298</v>
      </c>
      <c r="AH78" s="2065">
        <f t="shared" si="33"/>
        <v>0.31569378149645139</v>
      </c>
      <c r="AI78" s="2065">
        <f t="shared" si="33"/>
        <v>0.31887826665638974</v>
      </c>
      <c r="AJ78" s="2065">
        <f t="shared" si="33"/>
        <v>0.32206275181632815</v>
      </c>
      <c r="AK78" s="2065">
        <f>+AJ78+($AL78-AJ78)/($AL$76-AJ$76)</f>
        <v>0.32524723697626656</v>
      </c>
      <c r="AL78" s="2065">
        <v>0.32843172213620492</v>
      </c>
      <c r="AM78" s="2065">
        <f t="shared" si="34"/>
        <v>0.32996439013617129</v>
      </c>
      <c r="AN78" s="2065">
        <f t="shared" si="34"/>
        <v>0.33149705813613767</v>
      </c>
      <c r="AO78" s="2065">
        <f t="shared" si="34"/>
        <v>0.33302972613610404</v>
      </c>
      <c r="AP78" s="2065">
        <f>+AO78+($AQ78-AO78)/($AQ$76-AO$76)</f>
        <v>0.33456239413607036</v>
      </c>
      <c r="AQ78" s="2065">
        <v>0.33609506213603674</v>
      </c>
    </row>
    <row r="79" spans="2:54" x14ac:dyDescent="0.2">
      <c r="B79" s="2018"/>
      <c r="C79" s="2064" t="s">
        <v>1056</v>
      </c>
      <c r="D79" s="2022" t="s">
        <v>1031</v>
      </c>
      <c r="E79" s="2016" t="s">
        <v>136</v>
      </c>
      <c r="F79" s="2021"/>
      <c r="G79" s="2065">
        <v>4.2001191064342504E-2</v>
      </c>
      <c r="H79" s="2065">
        <v>4.2001191064342504E-2</v>
      </c>
      <c r="I79" s="2065">
        <f t="shared" ref="I79:L80" si="35">+H79+($M79-H79)/($M$76-H$76)</f>
        <v>4.1783342284555262E-2</v>
      </c>
      <c r="J79" s="2065">
        <f t="shared" si="35"/>
        <v>4.1565493504768028E-2</v>
      </c>
      <c r="K79" s="2065">
        <f t="shared" si="35"/>
        <v>4.1347644724980787E-2</v>
      </c>
      <c r="L79" s="2065">
        <f t="shared" si="35"/>
        <v>4.1129795945193545E-2</v>
      </c>
      <c r="M79" s="2065">
        <v>4.0911947165406311E-2</v>
      </c>
      <c r="N79" s="2065">
        <f t="shared" si="29"/>
        <v>4.0693744713526749E-2</v>
      </c>
      <c r="O79" s="2065">
        <f t="shared" si="29"/>
        <v>4.0475542261647186E-2</v>
      </c>
      <c r="P79" s="2065">
        <f t="shared" si="29"/>
        <v>4.0257339809767624E-2</v>
      </c>
      <c r="Q79" s="2065">
        <f>+P79+($R79-P79)/($R$76-P$76)</f>
        <v>4.0039137357888062E-2</v>
      </c>
      <c r="R79" s="2065">
        <v>3.98209349060085E-2</v>
      </c>
      <c r="S79" s="2065">
        <f t="shared" si="30"/>
        <v>3.96021113059076E-2</v>
      </c>
      <c r="T79" s="2065">
        <f t="shared" si="30"/>
        <v>3.9383287705806701E-2</v>
      </c>
      <c r="U79" s="2065">
        <f t="shared" si="30"/>
        <v>3.9164464105705801E-2</v>
      </c>
      <c r="V79" s="2065">
        <f>+U79+($W79-U79)/($W$76-U$76)</f>
        <v>3.8945640505604902E-2</v>
      </c>
      <c r="W79" s="2065">
        <v>3.8726816905504002E-2</v>
      </c>
      <c r="X79" s="2065">
        <f t="shared" si="31"/>
        <v>3.8507109740054085E-2</v>
      </c>
      <c r="Y79" s="2065">
        <f t="shared" si="31"/>
        <v>3.8287402574604168E-2</v>
      </c>
      <c r="Z79" s="2065">
        <f t="shared" si="31"/>
        <v>3.8067695409154251E-2</v>
      </c>
      <c r="AA79" s="2065">
        <f>+Z79+($AB79-Z79)/($AB$76-Z$76)</f>
        <v>3.7847988243704334E-2</v>
      </c>
      <c r="AB79" s="2065">
        <v>3.7628281078254409E-2</v>
      </c>
      <c r="AC79" s="2065">
        <f t="shared" si="32"/>
        <v>3.7407412958861894E-2</v>
      </c>
      <c r="AD79" s="2065">
        <f t="shared" si="32"/>
        <v>3.7186544839469378E-2</v>
      </c>
      <c r="AE79" s="2065">
        <f t="shared" si="32"/>
        <v>3.6965676720076862E-2</v>
      </c>
      <c r="AF79" s="2065">
        <f>+AE79+($AG79-AE79)/($AG$76-AE$76)</f>
        <v>3.6744808600684353E-2</v>
      </c>
      <c r="AG79" s="2065">
        <v>3.6523940481291838E-2</v>
      </c>
      <c r="AH79" s="2065">
        <f t="shared" si="33"/>
        <v>3.6277735227465302E-2</v>
      </c>
      <c r="AI79" s="2065">
        <f t="shared" si="33"/>
        <v>3.6031529973638773E-2</v>
      </c>
      <c r="AJ79" s="2065">
        <f t="shared" si="33"/>
        <v>3.5785324719812238E-2</v>
      </c>
      <c r="AK79" s="2065">
        <f>+AJ79+($AL79-AJ79)/($AL$76-AJ$76)</f>
        <v>3.5539119465985702E-2</v>
      </c>
      <c r="AL79" s="2065">
        <v>3.5292914212159174E-2</v>
      </c>
      <c r="AM79" s="2065">
        <f t="shared" si="34"/>
        <v>3.509262552433786E-2</v>
      </c>
      <c r="AN79" s="2065">
        <f t="shared" si="34"/>
        <v>3.4892336836516546E-2</v>
      </c>
      <c r="AO79" s="2065">
        <f t="shared" si="34"/>
        <v>3.469204814869524E-2</v>
      </c>
      <c r="AP79" s="2065">
        <f>+AO79+($AQ79-AO79)/($AQ$76-AO$76)</f>
        <v>3.4491759460873933E-2</v>
      </c>
      <c r="AQ79" s="2065">
        <v>3.4291470773052619E-2</v>
      </c>
    </row>
    <row r="80" spans="2:54" x14ac:dyDescent="0.2">
      <c r="B80" s="2018"/>
      <c r="C80" s="2066" t="s">
        <v>1057</v>
      </c>
      <c r="D80" s="2030" t="s">
        <v>1031</v>
      </c>
      <c r="E80" s="2016" t="s">
        <v>136</v>
      </c>
      <c r="F80" s="2025"/>
      <c r="G80" s="2067">
        <v>0.21809793570368108</v>
      </c>
      <c r="H80" s="2067">
        <v>0.21809793570368108</v>
      </c>
      <c r="I80" s="2065">
        <f t="shared" si="35"/>
        <v>0.21940230206165659</v>
      </c>
      <c r="J80" s="2065">
        <f t="shared" si="35"/>
        <v>0.2207066684196321</v>
      </c>
      <c r="K80" s="2065">
        <f t="shared" si="35"/>
        <v>0.22201103477760764</v>
      </c>
      <c r="L80" s="2065">
        <f t="shared" si="35"/>
        <v>0.22331540113558318</v>
      </c>
      <c r="M80" s="2067">
        <v>0.22461976749355869</v>
      </c>
      <c r="N80" s="2065">
        <f t="shared" si="29"/>
        <v>0.22594970624101526</v>
      </c>
      <c r="O80" s="2065">
        <f t="shared" si="29"/>
        <v>0.22727964498847186</v>
      </c>
      <c r="P80" s="2065">
        <f t="shared" si="29"/>
        <v>0.22860958373592843</v>
      </c>
      <c r="Q80" s="2065">
        <f>+P80+($R80-P80)/($R$76-P$76)</f>
        <v>0.22993952248338501</v>
      </c>
      <c r="R80" s="2067">
        <v>0.23126946123084161</v>
      </c>
      <c r="S80" s="2065">
        <f t="shared" si="30"/>
        <v>0.23262913963877374</v>
      </c>
      <c r="T80" s="2065">
        <f t="shared" si="30"/>
        <v>0.23398881804670588</v>
      </c>
      <c r="U80" s="2065">
        <f t="shared" si="30"/>
        <v>0.23534849645463801</v>
      </c>
      <c r="V80" s="2065">
        <f>+U80+($W80-U80)/($W$76-U$76)</f>
        <v>0.23670817486257012</v>
      </c>
      <c r="W80" s="2067">
        <v>0.23806785327050226</v>
      </c>
      <c r="X80" s="2065">
        <f t="shared" si="31"/>
        <v>0.23946206012902696</v>
      </c>
      <c r="Y80" s="2065">
        <f t="shared" si="31"/>
        <v>0.24085626698755169</v>
      </c>
      <c r="Z80" s="2065">
        <f t="shared" si="31"/>
        <v>0.2422504738460764</v>
      </c>
      <c r="AA80" s="2065">
        <f>+Z80+($AB80-Z80)/($AB$76-Z$76)</f>
        <v>0.2436446807046011</v>
      </c>
      <c r="AB80" s="2067">
        <v>0.24503888756312583</v>
      </c>
      <c r="AC80" s="2065">
        <f t="shared" si="32"/>
        <v>0.24647313215818778</v>
      </c>
      <c r="AD80" s="2065">
        <f t="shared" si="32"/>
        <v>0.2479073767532497</v>
      </c>
      <c r="AE80" s="2065">
        <f t="shared" si="32"/>
        <v>0.24934162134831164</v>
      </c>
      <c r="AF80" s="2065">
        <f>+AE80+($AG80-AE80)/($AG$76-AE$76)</f>
        <v>0.25077586594337359</v>
      </c>
      <c r="AG80" s="2067">
        <v>0.25221011053843551</v>
      </c>
      <c r="AH80" s="2065">
        <f t="shared" si="33"/>
        <v>0.25290764459420401</v>
      </c>
      <c r="AI80" s="2065">
        <f t="shared" si="33"/>
        <v>0.25360517864997245</v>
      </c>
      <c r="AJ80" s="2065">
        <f t="shared" si="33"/>
        <v>0.25430271270574095</v>
      </c>
      <c r="AK80" s="2065">
        <f>+AJ80+($AL80-AJ80)/($AL$76-AJ$76)</f>
        <v>0.25500024676150945</v>
      </c>
      <c r="AL80" s="2067">
        <v>0.2556977808172779</v>
      </c>
      <c r="AM80" s="2065">
        <f t="shared" si="34"/>
        <v>0.25801475531202755</v>
      </c>
      <c r="AN80" s="2065">
        <f t="shared" si="34"/>
        <v>0.26033172980677721</v>
      </c>
      <c r="AO80" s="2065">
        <f t="shared" si="34"/>
        <v>0.26264870430152687</v>
      </c>
      <c r="AP80" s="2065">
        <f>+AO80+($AQ80-AO80)/($AQ$76-AO$76)</f>
        <v>0.26496567879627653</v>
      </c>
      <c r="AQ80" s="2067">
        <v>0.26728265329102618</v>
      </c>
    </row>
    <row r="81" spans="1:43" x14ac:dyDescent="0.2">
      <c r="B81" s="2018"/>
      <c r="C81" s="2068" t="s">
        <v>1058</v>
      </c>
      <c r="D81" s="2069" t="s">
        <v>1031</v>
      </c>
      <c r="E81" s="2027"/>
      <c r="F81" s="2070"/>
      <c r="G81" s="2071">
        <f>+SUM(G77:G80)</f>
        <v>1</v>
      </c>
      <c r="H81" s="2071">
        <f t="shared" ref="H81:AQ81" si="36">+SUM(H77:H80)</f>
        <v>1</v>
      </c>
      <c r="I81" s="2071">
        <f t="shared" si="36"/>
        <v>0.99999999999999989</v>
      </c>
      <c r="J81" s="2071">
        <f t="shared" si="36"/>
        <v>1</v>
      </c>
      <c r="K81" s="2071">
        <f t="shared" si="36"/>
        <v>1</v>
      </c>
      <c r="L81" s="2071">
        <f t="shared" si="36"/>
        <v>0.99999999999999978</v>
      </c>
      <c r="M81" s="2071">
        <f t="shared" si="36"/>
        <v>1</v>
      </c>
      <c r="N81" s="2071">
        <f t="shared" si="36"/>
        <v>0.99999999999999989</v>
      </c>
      <c r="O81" s="2071">
        <f t="shared" si="36"/>
        <v>0.99999999999999989</v>
      </c>
      <c r="P81" s="2071">
        <f t="shared" si="36"/>
        <v>0.99999999999999989</v>
      </c>
      <c r="Q81" s="2071">
        <f t="shared" si="36"/>
        <v>0.99999999999999989</v>
      </c>
      <c r="R81" s="2071">
        <f t="shared" si="36"/>
        <v>0.99999999999999978</v>
      </c>
      <c r="S81" s="2071">
        <f t="shared" si="36"/>
        <v>0.99999999999999989</v>
      </c>
      <c r="T81" s="2071">
        <f t="shared" si="36"/>
        <v>0.99999999999999989</v>
      </c>
      <c r="U81" s="2071">
        <f t="shared" si="36"/>
        <v>1</v>
      </c>
      <c r="V81" s="2071">
        <f t="shared" si="36"/>
        <v>0.99999999999999989</v>
      </c>
      <c r="W81" s="2071">
        <f t="shared" si="36"/>
        <v>1</v>
      </c>
      <c r="X81" s="2071">
        <f t="shared" si="36"/>
        <v>0.99999999999999989</v>
      </c>
      <c r="Y81" s="2071">
        <f t="shared" si="36"/>
        <v>1</v>
      </c>
      <c r="Z81" s="2071">
        <f t="shared" si="36"/>
        <v>1</v>
      </c>
      <c r="AA81" s="2071">
        <f t="shared" si="36"/>
        <v>1</v>
      </c>
      <c r="AB81" s="2071">
        <f t="shared" si="36"/>
        <v>1</v>
      </c>
      <c r="AC81" s="2071">
        <f t="shared" si="36"/>
        <v>1</v>
      </c>
      <c r="AD81" s="2071">
        <f t="shared" si="36"/>
        <v>1</v>
      </c>
      <c r="AE81" s="2071">
        <f t="shared" si="36"/>
        <v>1.0000000000000002</v>
      </c>
      <c r="AF81" s="2071">
        <f t="shared" si="36"/>
        <v>1.0000000000000002</v>
      </c>
      <c r="AG81" s="2071">
        <f t="shared" si="36"/>
        <v>1</v>
      </c>
      <c r="AH81" s="2071">
        <f t="shared" si="36"/>
        <v>1.0000000000000002</v>
      </c>
      <c r="AI81" s="2071">
        <f t="shared" si="36"/>
        <v>1</v>
      </c>
      <c r="AJ81" s="2071">
        <f t="shared" si="36"/>
        <v>1.0000000000000002</v>
      </c>
      <c r="AK81" s="2071">
        <f t="shared" si="36"/>
        <v>1.0000000000000004</v>
      </c>
      <c r="AL81" s="2071">
        <f t="shared" si="36"/>
        <v>1.0000000000000004</v>
      </c>
      <c r="AM81" s="2071">
        <f t="shared" si="36"/>
        <v>1.0000000000000004</v>
      </c>
      <c r="AN81" s="2071">
        <f t="shared" si="36"/>
        <v>1.0000000000000004</v>
      </c>
      <c r="AO81" s="2071">
        <f t="shared" si="36"/>
        <v>1.0000000000000002</v>
      </c>
      <c r="AP81" s="2071">
        <f t="shared" si="36"/>
        <v>1</v>
      </c>
      <c r="AQ81" s="2071">
        <f t="shared" si="36"/>
        <v>1</v>
      </c>
    </row>
    <row r="82" spans="1:43" x14ac:dyDescent="0.2">
      <c r="A82" s="2072"/>
      <c r="B82" s="2018"/>
      <c r="C82" s="2016"/>
      <c r="D82" s="2016"/>
      <c r="E82" s="2016"/>
      <c r="F82" s="2016"/>
      <c r="G82" s="2016"/>
      <c r="H82" s="2016"/>
      <c r="I82" s="2016"/>
      <c r="J82" s="2016"/>
      <c r="K82" s="2016"/>
      <c r="L82" s="2016"/>
      <c r="M82" s="2016"/>
      <c r="N82" s="2016"/>
      <c r="O82" s="2016"/>
      <c r="P82" s="2016"/>
      <c r="Q82" s="2016"/>
      <c r="R82" s="2016"/>
      <c r="S82" s="2016"/>
      <c r="T82" s="2016"/>
      <c r="U82" s="2016"/>
      <c r="V82" s="2016"/>
      <c r="W82" s="2016"/>
      <c r="X82" s="2016"/>
      <c r="Y82" s="2016"/>
      <c r="Z82" s="2016"/>
      <c r="AA82" s="2016"/>
      <c r="AB82" s="2016"/>
      <c r="AC82" s="2016"/>
      <c r="AD82" s="2016"/>
      <c r="AE82" s="2016"/>
      <c r="AF82" s="2016"/>
      <c r="AG82" s="2016"/>
      <c r="AH82" s="2016"/>
      <c r="AI82" s="2016"/>
      <c r="AJ82" s="2016"/>
      <c r="AK82" s="2016"/>
      <c r="AL82" s="2016"/>
      <c r="AM82" s="2016"/>
      <c r="AN82" s="2016"/>
      <c r="AO82" s="2016"/>
      <c r="AP82" s="2016"/>
      <c r="AQ82" s="2016"/>
    </row>
    <row r="83" spans="1:43" x14ac:dyDescent="0.2">
      <c r="B83" s="2016"/>
      <c r="C83" s="2017" t="s">
        <v>1059</v>
      </c>
      <c r="D83" s="2016"/>
      <c r="E83" s="2016"/>
      <c r="F83" s="2016"/>
      <c r="G83" s="2016"/>
      <c r="H83" s="2016"/>
      <c r="I83" s="2016"/>
      <c r="J83" s="2016"/>
      <c r="K83" s="2016"/>
      <c r="L83" s="2016"/>
      <c r="M83" s="2016"/>
      <c r="N83" s="2016"/>
      <c r="O83" s="2016"/>
      <c r="P83" s="2016"/>
      <c r="Q83" s="2016"/>
      <c r="R83" s="2016"/>
      <c r="S83" s="2016"/>
      <c r="T83" s="2016"/>
      <c r="U83" s="2016"/>
      <c r="V83" s="2016"/>
      <c r="W83" s="2016"/>
      <c r="X83" s="2016"/>
      <c r="Y83" s="2016"/>
      <c r="Z83" s="2016"/>
      <c r="AA83" s="2016"/>
      <c r="AB83" s="2016"/>
      <c r="AC83" s="2016"/>
      <c r="AD83" s="2016"/>
      <c r="AE83" s="2016"/>
      <c r="AF83" s="2016"/>
      <c r="AG83" s="2016"/>
      <c r="AH83" s="2016"/>
      <c r="AI83" s="2016"/>
      <c r="AJ83" s="2016"/>
      <c r="AK83" s="2016"/>
      <c r="AL83" s="2016"/>
      <c r="AM83" s="2016"/>
      <c r="AN83" s="2016"/>
      <c r="AO83" s="2016"/>
      <c r="AP83" s="2016"/>
      <c r="AQ83" s="2016"/>
    </row>
    <row r="84" spans="1:43" x14ac:dyDescent="0.2">
      <c r="B84" s="2018"/>
      <c r="C84" s="2054"/>
      <c r="D84" s="2019" t="s">
        <v>1029</v>
      </c>
      <c r="E84" s="2019" t="s">
        <v>8</v>
      </c>
      <c r="F84" s="2019"/>
      <c r="G84" s="2019">
        <v>2014</v>
      </c>
      <c r="H84" s="2019">
        <v>2015</v>
      </c>
      <c r="I84" s="2019">
        <v>2016</v>
      </c>
      <c r="J84" s="2019">
        <v>2017</v>
      </c>
      <c r="K84" s="2019">
        <v>2018</v>
      </c>
      <c r="L84" s="2019">
        <v>2019</v>
      </c>
      <c r="M84" s="2019">
        <v>2020</v>
      </c>
      <c r="N84" s="2019">
        <v>2021</v>
      </c>
      <c r="O84" s="2019">
        <v>2022</v>
      </c>
      <c r="P84" s="2019">
        <v>2023</v>
      </c>
      <c r="Q84" s="2019">
        <v>2024</v>
      </c>
      <c r="R84" s="2019">
        <v>2025</v>
      </c>
      <c r="S84" s="2019">
        <v>2026</v>
      </c>
      <c r="T84" s="2019">
        <v>2027</v>
      </c>
      <c r="U84" s="2019">
        <v>2028</v>
      </c>
      <c r="V84" s="2019">
        <v>2029</v>
      </c>
      <c r="W84" s="2019">
        <v>2030</v>
      </c>
      <c r="X84" s="2019">
        <v>2031</v>
      </c>
      <c r="Y84" s="2019">
        <v>2032</v>
      </c>
      <c r="Z84" s="2019">
        <v>2033</v>
      </c>
      <c r="AA84" s="2019">
        <v>2034</v>
      </c>
      <c r="AB84" s="2019">
        <v>2035</v>
      </c>
      <c r="AC84" s="2019">
        <v>2036</v>
      </c>
      <c r="AD84" s="2019">
        <v>2037</v>
      </c>
      <c r="AE84" s="2019">
        <v>2038</v>
      </c>
      <c r="AF84" s="2019">
        <v>2039</v>
      </c>
      <c r="AG84" s="2019">
        <v>2040</v>
      </c>
      <c r="AH84" s="2019">
        <v>2041</v>
      </c>
      <c r="AI84" s="2019">
        <v>2042</v>
      </c>
      <c r="AJ84" s="2019">
        <v>2043</v>
      </c>
      <c r="AK84" s="2019">
        <v>2044</v>
      </c>
      <c r="AL84" s="2019">
        <v>2045</v>
      </c>
      <c r="AM84" s="2019">
        <v>2046</v>
      </c>
      <c r="AN84" s="2019">
        <v>2047</v>
      </c>
      <c r="AO84" s="2019">
        <v>2048</v>
      </c>
      <c r="AP84" s="2019">
        <v>2049</v>
      </c>
      <c r="AQ84" s="2019">
        <v>2050</v>
      </c>
    </row>
    <row r="85" spans="1:43" x14ac:dyDescent="0.2">
      <c r="B85" s="2018"/>
      <c r="C85" s="2073" t="s">
        <v>1060</v>
      </c>
      <c r="D85" s="2030" t="s">
        <v>1061</v>
      </c>
      <c r="E85" s="2057" t="s">
        <v>317</v>
      </c>
      <c r="F85" s="2025"/>
      <c r="G85" s="2074">
        <v>0.84580594043792201</v>
      </c>
      <c r="H85" s="2074">
        <v>0.84580594043792201</v>
      </c>
      <c r="I85" s="2074">
        <f>+H85+($M$85-H85)/($M$84-H84)</f>
        <v>0.84540148372820079</v>
      </c>
      <c r="J85" s="2074">
        <f>+I85+($M$85-I85)/($M$84-I84)</f>
        <v>0.84499702701847956</v>
      </c>
      <c r="K85" s="2074">
        <f>+J85+($M$85-J85)/($M$84-J84)</f>
        <v>0.84459257030875834</v>
      </c>
      <c r="L85" s="2074">
        <f>+K85+($M$85-K85)/($M$84-K84)</f>
        <v>0.84418811359903723</v>
      </c>
      <c r="M85" s="2074">
        <v>0.843783656889316</v>
      </c>
      <c r="N85" s="2074">
        <f>+M85+($R$85-M85)/($R$84-M84)</f>
        <v>0.8526145112443787</v>
      </c>
      <c r="O85" s="2074">
        <f>+N85+($R$85-N85)/($R$84-N84)</f>
        <v>0.8614453655994414</v>
      </c>
      <c r="P85" s="2074">
        <f>+O85+($R$85-O85)/($R$84-O84)</f>
        <v>0.8702762199545041</v>
      </c>
      <c r="Q85" s="2074">
        <f>+P85+($R$85-P85)/($R$84-P84)</f>
        <v>0.8791070743095668</v>
      </c>
      <c r="R85" s="2074">
        <v>0.88793792866462939</v>
      </c>
      <c r="S85" s="2074">
        <f>+R85+($W$85-R85)/($W$84-R84)</f>
        <v>0.88760601884303669</v>
      </c>
      <c r="T85" s="2074">
        <f>+S85+($W$85-S85)/($W$84-S84)</f>
        <v>0.88727410902144399</v>
      </c>
      <c r="U85" s="2074">
        <f>+T85+($W$85-T85)/($W$84-T84)</f>
        <v>0.88694219919985118</v>
      </c>
      <c r="V85" s="2074">
        <f>+U85+($W$85-U85)/($W$84-U84)</f>
        <v>0.88661028937825836</v>
      </c>
      <c r="W85" s="2074">
        <v>0.88627837955666566</v>
      </c>
      <c r="X85" s="2074">
        <f>+W85+($AB$85-W85)/($AB$84-W84)</f>
        <v>0.89239189255499318</v>
      </c>
      <c r="Y85" s="2074">
        <f>+X85+($AB$85-X85)/($AB$84-X84)</f>
        <v>0.89850540555332059</v>
      </c>
      <c r="Z85" s="2074">
        <f>+Y85+($AB$85-Y85)/($AB$84-Y84)</f>
        <v>0.90461891855164811</v>
      </c>
      <c r="AA85" s="2074">
        <f>+Z85+($AB$85-Z85)/($AB$84-Z84)</f>
        <v>0.91073243154997563</v>
      </c>
      <c r="AB85" s="2074">
        <v>0.91684594454830304</v>
      </c>
      <c r="AC85" s="2074">
        <f>+AB85+($AG$85-AB85)/($AG$84-AB84)</f>
        <v>0.91656654815583272</v>
      </c>
      <c r="AD85" s="2074">
        <f>+AC85+($AG$85-AC85)/($AG$84-AC84)</f>
        <v>0.9162871517633624</v>
      </c>
      <c r="AE85" s="2074">
        <f>+AD85+($AG$85-AD85)/($AG$84-AD84)</f>
        <v>0.91600775537089207</v>
      </c>
      <c r="AF85" s="2074">
        <f>+AE85+($AG$85-AE85)/($AG$84-AE84)</f>
        <v>0.91572835897842175</v>
      </c>
      <c r="AG85" s="2074">
        <v>0.91544896258595154</v>
      </c>
      <c r="AH85" s="2074">
        <f>+AG85+($AL$85-AG85)/($AL$84-AG84)</f>
        <v>0.91981176276850796</v>
      </c>
      <c r="AI85" s="2074">
        <f>+AH85+($AL$85-AH85)/($AL$84-AH84)</f>
        <v>0.92417456295106437</v>
      </c>
      <c r="AJ85" s="2074">
        <f>+AI85+($AL$85-AI85)/($AL$84-AI84)</f>
        <v>0.92853736313362079</v>
      </c>
      <c r="AK85" s="2074">
        <f>+AJ85+($AL$85-AJ85)/($AL$84-AJ84)</f>
        <v>0.93290016331617731</v>
      </c>
      <c r="AL85" s="2074">
        <v>0.93726296349873373</v>
      </c>
      <c r="AM85" s="2074">
        <f>+AL85+($AQ$85-AL85)/($AQ$84-AL84)</f>
        <v>0.9370228132408992</v>
      </c>
      <c r="AN85" s="2074">
        <f>+AM85+($AQ$85-AM85)/($AQ$84-AM84)</f>
        <v>0.93678266298306467</v>
      </c>
      <c r="AO85" s="2074">
        <f>+AN85+($AQ$85-AN85)/($AQ$84-AN84)</f>
        <v>0.93654251272523015</v>
      </c>
      <c r="AP85" s="2074">
        <f>+AO85+($AQ$85-AO85)/($AQ$84-AO84)</f>
        <v>0.93630236246739562</v>
      </c>
      <c r="AQ85" s="2074">
        <v>0.93606221220956121</v>
      </c>
    </row>
    <row r="86" spans="1:43" x14ac:dyDescent="0.2">
      <c r="B86" s="2048"/>
      <c r="C86" s="2075"/>
      <c r="D86" s="2076"/>
      <c r="E86" s="2077"/>
      <c r="F86" s="2078"/>
      <c r="G86" s="2079"/>
      <c r="H86" s="2079"/>
      <c r="I86" s="2079"/>
      <c r="J86" s="2079"/>
      <c r="K86" s="2079"/>
      <c r="L86" s="2079"/>
      <c r="M86" s="2079"/>
      <c r="N86" s="2079"/>
      <c r="O86" s="2079"/>
      <c r="P86" s="2079"/>
      <c r="Q86" s="2079"/>
      <c r="R86" s="2079"/>
      <c r="S86" s="2079"/>
      <c r="T86" s="2079"/>
      <c r="U86" s="2079"/>
      <c r="V86" s="2079"/>
      <c r="W86" s="2079"/>
      <c r="X86" s="2079"/>
      <c r="Y86" s="2079"/>
      <c r="Z86" s="2079"/>
      <c r="AA86" s="2079"/>
      <c r="AB86" s="2079"/>
      <c r="AC86" s="2079"/>
      <c r="AD86" s="2079"/>
      <c r="AE86" s="2079"/>
      <c r="AF86" s="2079"/>
      <c r="AG86" s="2079"/>
      <c r="AH86" s="2079"/>
      <c r="AI86" s="2079"/>
      <c r="AJ86" s="2079"/>
      <c r="AK86" s="2079"/>
      <c r="AL86" s="2079"/>
      <c r="AM86" s="2079"/>
      <c r="AN86" s="2079"/>
      <c r="AO86" s="2079"/>
      <c r="AP86" s="2079"/>
      <c r="AQ86" s="2079"/>
    </row>
    <row r="87" spans="1:43" x14ac:dyDescent="0.2">
      <c r="B87" s="2018"/>
      <c r="C87" s="2017" t="s">
        <v>1062</v>
      </c>
      <c r="D87" s="2016"/>
      <c r="E87" s="2016"/>
      <c r="F87" s="2016"/>
      <c r="G87" s="2016"/>
      <c r="H87" s="2016"/>
      <c r="I87" s="2016"/>
      <c r="J87" s="2016"/>
      <c r="K87" s="2016"/>
      <c r="L87" s="2016"/>
      <c r="M87" s="2016"/>
      <c r="N87" s="2016"/>
      <c r="O87" s="2016"/>
      <c r="P87" s="2016"/>
      <c r="Q87" s="2016"/>
      <c r="R87" s="2016"/>
      <c r="S87" s="2016"/>
      <c r="T87" s="2016"/>
      <c r="U87" s="2016"/>
      <c r="V87" s="2016"/>
      <c r="W87" s="2016"/>
      <c r="X87" s="2016"/>
      <c r="Y87" s="2016"/>
      <c r="Z87" s="2016"/>
      <c r="AA87" s="2016"/>
      <c r="AB87" s="2016"/>
      <c r="AC87" s="2016"/>
      <c r="AD87" s="2016"/>
      <c r="AE87" s="2016"/>
      <c r="AF87" s="2016"/>
      <c r="AG87" s="2016"/>
      <c r="AH87" s="2016"/>
      <c r="AI87" s="2016"/>
      <c r="AJ87" s="2016"/>
      <c r="AK87" s="2016"/>
      <c r="AL87" s="2016"/>
      <c r="AM87" s="2016"/>
      <c r="AN87" s="2016"/>
      <c r="AO87" s="2016"/>
      <c r="AP87" s="2016"/>
      <c r="AQ87" s="2016"/>
    </row>
    <row r="88" spans="1:43" x14ac:dyDescent="0.2">
      <c r="B88" s="2018"/>
      <c r="C88" s="2054"/>
      <c r="D88" s="2019" t="s">
        <v>1029</v>
      </c>
      <c r="E88" s="2019" t="s">
        <v>8</v>
      </c>
      <c r="F88" s="2019"/>
      <c r="G88" s="2019">
        <v>2014</v>
      </c>
      <c r="H88" s="2019">
        <v>2015</v>
      </c>
      <c r="I88" s="2019">
        <v>2016</v>
      </c>
      <c r="J88" s="2019">
        <v>2017</v>
      </c>
      <c r="K88" s="2019">
        <v>2018</v>
      </c>
      <c r="L88" s="2019">
        <v>2019</v>
      </c>
      <c r="M88" s="2019">
        <v>2020</v>
      </c>
      <c r="N88" s="2019">
        <v>2021</v>
      </c>
      <c r="O88" s="2019">
        <v>2022</v>
      </c>
      <c r="P88" s="2019">
        <v>2023</v>
      </c>
      <c r="Q88" s="2019">
        <v>2024</v>
      </c>
      <c r="R88" s="2019">
        <v>2025</v>
      </c>
      <c r="S88" s="2019">
        <v>2026</v>
      </c>
      <c r="T88" s="2019">
        <v>2027</v>
      </c>
      <c r="U88" s="2019">
        <v>2028</v>
      </c>
      <c r="V88" s="2019">
        <v>2029</v>
      </c>
      <c r="W88" s="2019">
        <v>2030</v>
      </c>
      <c r="X88" s="2019">
        <v>2031</v>
      </c>
      <c r="Y88" s="2019">
        <v>2032</v>
      </c>
      <c r="Z88" s="2019">
        <v>2033</v>
      </c>
      <c r="AA88" s="2019">
        <v>2034</v>
      </c>
      <c r="AB88" s="2019">
        <v>2035</v>
      </c>
      <c r="AC88" s="2019">
        <v>2036</v>
      </c>
      <c r="AD88" s="2019">
        <v>2037</v>
      </c>
      <c r="AE88" s="2019">
        <v>2038</v>
      </c>
      <c r="AF88" s="2019">
        <v>2039</v>
      </c>
      <c r="AG88" s="2019">
        <v>2040</v>
      </c>
      <c r="AH88" s="2019">
        <v>2041</v>
      </c>
      <c r="AI88" s="2019">
        <v>2042</v>
      </c>
      <c r="AJ88" s="2019">
        <v>2043</v>
      </c>
      <c r="AK88" s="2019">
        <v>2044</v>
      </c>
      <c r="AL88" s="2019">
        <v>2045</v>
      </c>
      <c r="AM88" s="2019">
        <v>2046</v>
      </c>
      <c r="AN88" s="2019">
        <v>2047</v>
      </c>
      <c r="AO88" s="2019">
        <v>2048</v>
      </c>
      <c r="AP88" s="2019">
        <v>2049</v>
      </c>
      <c r="AQ88" s="2019">
        <v>2050</v>
      </c>
    </row>
    <row r="89" spans="1:43" x14ac:dyDescent="0.2">
      <c r="B89" s="2018"/>
      <c r="C89" s="2066" t="s">
        <v>1063</v>
      </c>
      <c r="D89" s="2030" t="s">
        <v>1031</v>
      </c>
      <c r="E89" s="2024" t="s">
        <v>319</v>
      </c>
      <c r="F89" s="2025"/>
      <c r="G89" s="2067">
        <v>0</v>
      </c>
      <c r="H89" s="2067">
        <v>0</v>
      </c>
      <c r="I89" s="2067">
        <v>0</v>
      </c>
      <c r="J89" s="2067">
        <v>0</v>
      </c>
      <c r="K89" s="2067">
        <v>0</v>
      </c>
      <c r="L89" s="2067">
        <v>0</v>
      </c>
      <c r="M89" s="2067">
        <v>0</v>
      </c>
      <c r="N89" s="2067">
        <v>0</v>
      </c>
      <c r="O89" s="2067">
        <v>0</v>
      </c>
      <c r="P89" s="2067">
        <v>0</v>
      </c>
      <c r="Q89" s="2067">
        <v>0</v>
      </c>
      <c r="R89" s="2067">
        <v>0</v>
      </c>
      <c r="S89" s="2067">
        <v>0</v>
      </c>
      <c r="T89" s="2067">
        <v>0</v>
      </c>
      <c r="U89" s="2067">
        <v>0</v>
      </c>
      <c r="V89" s="2067">
        <v>0</v>
      </c>
      <c r="W89" s="2067">
        <v>0</v>
      </c>
      <c r="X89" s="2067">
        <v>0</v>
      </c>
      <c r="Y89" s="2067">
        <v>0</v>
      </c>
      <c r="Z89" s="2067">
        <v>0</v>
      </c>
      <c r="AA89" s="2067">
        <v>0</v>
      </c>
      <c r="AB89" s="2067">
        <v>0</v>
      </c>
      <c r="AC89" s="2067">
        <v>0</v>
      </c>
      <c r="AD89" s="2067">
        <v>0</v>
      </c>
      <c r="AE89" s="2067">
        <v>0</v>
      </c>
      <c r="AF89" s="2067">
        <v>0</v>
      </c>
      <c r="AG89" s="2067">
        <v>0</v>
      </c>
      <c r="AH89" s="2067">
        <v>0</v>
      </c>
      <c r="AI89" s="2067">
        <v>0</v>
      </c>
      <c r="AJ89" s="2067">
        <v>0</v>
      </c>
      <c r="AK89" s="2067">
        <v>0</v>
      </c>
      <c r="AL89" s="2067">
        <v>0</v>
      </c>
      <c r="AM89" s="2067">
        <v>0</v>
      </c>
      <c r="AN89" s="2067">
        <v>0</v>
      </c>
      <c r="AO89" s="2067">
        <v>0</v>
      </c>
      <c r="AP89" s="2067">
        <v>0</v>
      </c>
      <c r="AQ89" s="2067">
        <v>0</v>
      </c>
    </row>
    <row r="90" spans="1:43" x14ac:dyDescent="0.2">
      <c r="B90" s="2048"/>
      <c r="C90" s="2064"/>
      <c r="D90" s="2080"/>
      <c r="E90" s="2016"/>
      <c r="F90" s="2021"/>
      <c r="G90" s="2065"/>
      <c r="H90" s="2065"/>
      <c r="I90" s="2065"/>
      <c r="J90" s="2065"/>
      <c r="K90" s="2065"/>
      <c r="L90" s="2065"/>
      <c r="M90" s="2065"/>
      <c r="N90" s="2065"/>
      <c r="O90" s="2065"/>
      <c r="P90" s="2065"/>
      <c r="Q90" s="2065"/>
      <c r="R90" s="2065"/>
      <c r="S90" s="2065"/>
      <c r="T90" s="2065"/>
      <c r="U90" s="2065"/>
      <c r="V90" s="2065"/>
      <c r="W90" s="2065"/>
      <c r="X90" s="2065"/>
      <c r="Y90" s="2065"/>
      <c r="Z90" s="2065"/>
      <c r="AA90" s="2065"/>
      <c r="AB90" s="2065"/>
      <c r="AC90" s="2065"/>
      <c r="AD90" s="2065"/>
      <c r="AE90" s="2065"/>
      <c r="AF90" s="2065"/>
      <c r="AG90" s="2065"/>
      <c r="AH90" s="2065"/>
      <c r="AI90" s="2065"/>
      <c r="AJ90" s="2065"/>
      <c r="AK90" s="2065"/>
      <c r="AL90" s="2065"/>
      <c r="AM90" s="2065"/>
      <c r="AN90" s="2065"/>
      <c r="AO90" s="2065"/>
      <c r="AP90" s="2065"/>
      <c r="AQ90" s="2065"/>
    </row>
    <row r="91" spans="1:43" x14ac:dyDescent="0.2">
      <c r="B91" s="2048"/>
      <c r="C91" s="2017" t="s">
        <v>1064</v>
      </c>
      <c r="D91" s="2016"/>
      <c r="E91" s="2016"/>
      <c r="F91" s="2021"/>
      <c r="G91" s="2065"/>
      <c r="H91" s="2065"/>
      <c r="I91" s="2065"/>
      <c r="J91" s="2065"/>
      <c r="K91" s="2065"/>
      <c r="L91" s="2065"/>
      <c r="M91" s="2065"/>
      <c r="N91" s="2065"/>
      <c r="O91" s="2065"/>
      <c r="P91" s="2065"/>
      <c r="Q91" s="2065"/>
      <c r="R91" s="2065"/>
      <c r="S91" s="2065"/>
      <c r="T91" s="2065"/>
      <c r="U91" s="2065"/>
      <c r="V91" s="2065"/>
      <c r="W91" s="2065"/>
      <c r="X91" s="2065"/>
      <c r="Y91" s="2065"/>
      <c r="Z91" s="2065"/>
      <c r="AA91" s="2065"/>
      <c r="AB91" s="2065"/>
      <c r="AC91" s="2065"/>
      <c r="AD91" s="2065"/>
      <c r="AE91" s="2065"/>
      <c r="AF91" s="2065"/>
      <c r="AG91" s="2065"/>
      <c r="AH91" s="2065"/>
      <c r="AI91" s="2065"/>
      <c r="AJ91" s="2065"/>
      <c r="AK91" s="2065"/>
      <c r="AL91" s="2065"/>
      <c r="AM91" s="2065"/>
      <c r="AN91" s="2065"/>
      <c r="AO91" s="2065"/>
      <c r="AP91" s="2065"/>
      <c r="AQ91" s="2065"/>
    </row>
    <row r="92" spans="1:43" x14ac:dyDescent="0.2">
      <c r="B92" s="2048"/>
      <c r="C92" s="2019"/>
      <c r="D92" s="2019" t="s">
        <v>1029</v>
      </c>
      <c r="E92" s="2019" t="s">
        <v>8</v>
      </c>
      <c r="F92" s="2019"/>
      <c r="G92" s="2065"/>
      <c r="H92" s="2065"/>
      <c r="I92" s="2065"/>
      <c r="J92" s="2065"/>
      <c r="K92" s="2065"/>
      <c r="L92" s="2065"/>
      <c r="M92" s="2065"/>
      <c r="N92" s="2065"/>
      <c r="O92" s="2065"/>
      <c r="P92" s="2065"/>
      <c r="Q92" s="2065"/>
      <c r="R92" s="2065"/>
      <c r="S92" s="2065"/>
      <c r="T92" s="2065"/>
      <c r="U92" s="2065"/>
      <c r="V92" s="2065"/>
      <c r="W92" s="2065"/>
      <c r="X92" s="2065"/>
      <c r="Y92" s="2065"/>
      <c r="Z92" s="2065"/>
      <c r="AA92" s="2065"/>
      <c r="AB92" s="2065"/>
      <c r="AC92" s="2065"/>
      <c r="AD92" s="2065"/>
      <c r="AE92" s="2065"/>
      <c r="AF92" s="2065"/>
      <c r="AG92" s="2065"/>
      <c r="AH92" s="2065"/>
      <c r="AI92" s="2065"/>
      <c r="AJ92" s="2065"/>
      <c r="AK92" s="2065"/>
      <c r="AL92" s="2065"/>
      <c r="AM92" s="2065"/>
      <c r="AN92" s="2065"/>
      <c r="AO92" s="2065"/>
      <c r="AP92" s="2065"/>
      <c r="AQ92" s="2065"/>
    </row>
    <row r="93" spans="1:43" x14ac:dyDescent="0.2">
      <c r="B93" s="2048"/>
      <c r="C93" s="2064" t="s">
        <v>1065</v>
      </c>
      <c r="D93" s="2016" t="s">
        <v>1066</v>
      </c>
      <c r="E93" s="2016" t="s">
        <v>1067</v>
      </c>
      <c r="F93" s="2021">
        <v>0.65600000000000003</v>
      </c>
      <c r="G93" s="2065"/>
      <c r="H93" s="2065"/>
      <c r="I93" s="2065"/>
      <c r="J93" s="2065"/>
      <c r="K93" s="2065"/>
      <c r="L93" s="2065"/>
      <c r="M93" s="2065"/>
      <c r="N93" s="2065"/>
      <c r="O93" s="2065"/>
      <c r="P93" s="2065"/>
      <c r="Q93" s="2065"/>
      <c r="R93" s="2065"/>
      <c r="S93" s="2065"/>
      <c r="T93" s="2065"/>
      <c r="U93" s="2065"/>
      <c r="V93" s="2065"/>
      <c r="W93" s="2065"/>
      <c r="X93" s="2065"/>
      <c r="Y93" s="2065"/>
      <c r="Z93" s="2065"/>
      <c r="AA93" s="2065"/>
      <c r="AB93" s="2065"/>
      <c r="AC93" s="2065"/>
      <c r="AD93" s="2065"/>
      <c r="AE93" s="2065"/>
      <c r="AF93" s="2065"/>
      <c r="AG93" s="2065"/>
      <c r="AH93" s="2065"/>
      <c r="AI93" s="2065"/>
      <c r="AJ93" s="2065"/>
      <c r="AK93" s="2065"/>
      <c r="AL93" s="2065"/>
      <c r="AM93" s="2065"/>
      <c r="AN93" s="2065"/>
      <c r="AO93" s="2065"/>
      <c r="AP93" s="2065"/>
      <c r="AQ93" s="2065"/>
    </row>
    <row r="94" spans="1:43" x14ac:dyDescent="0.2">
      <c r="B94" s="2048"/>
      <c r="C94" s="2064" t="s">
        <v>1068</v>
      </c>
      <c r="D94" s="2016" t="s">
        <v>1069</v>
      </c>
      <c r="E94" s="2016" t="s">
        <v>1067</v>
      </c>
      <c r="F94" s="2021">
        <v>2</v>
      </c>
      <c r="G94" s="2065"/>
      <c r="H94" s="2065"/>
      <c r="I94" s="2065"/>
      <c r="J94" s="2065"/>
      <c r="K94" s="2065"/>
      <c r="L94" s="2065"/>
      <c r="M94" s="2065"/>
      <c r="N94" s="2065"/>
      <c r="O94" s="2065"/>
      <c r="P94" s="2065"/>
      <c r="Q94" s="2065"/>
      <c r="R94" s="2065"/>
      <c r="S94" s="2065"/>
      <c r="T94" s="2065"/>
      <c r="U94" s="2065"/>
      <c r="V94" s="2065"/>
      <c r="W94" s="2065"/>
      <c r="X94" s="2065"/>
      <c r="Y94" s="2065"/>
      <c r="Z94" s="2065"/>
      <c r="AA94" s="2065"/>
      <c r="AB94" s="2065"/>
      <c r="AC94" s="2065"/>
      <c r="AD94" s="2065"/>
      <c r="AE94" s="2065"/>
      <c r="AF94" s="2065"/>
      <c r="AG94" s="2065"/>
      <c r="AH94" s="2065"/>
      <c r="AI94" s="2065"/>
      <c r="AJ94" s="2065"/>
      <c r="AK94" s="2065"/>
      <c r="AL94" s="2065"/>
      <c r="AM94" s="2065"/>
      <c r="AN94" s="2065"/>
      <c r="AO94" s="2065"/>
      <c r="AP94" s="2065"/>
      <c r="AQ94" s="2065"/>
    </row>
    <row r="95" spans="1:43" x14ac:dyDescent="0.2">
      <c r="B95" s="2048"/>
      <c r="C95" s="2064" t="s">
        <v>1070</v>
      </c>
      <c r="D95" s="2016" t="s">
        <v>1061</v>
      </c>
      <c r="E95" s="2016" t="s">
        <v>1067</v>
      </c>
      <c r="F95" s="2021">
        <v>0.95</v>
      </c>
      <c r="G95" s="2065"/>
      <c r="H95" s="2065"/>
      <c r="I95" s="2065"/>
      <c r="J95" s="2065"/>
      <c r="K95" s="2065"/>
      <c r="L95" s="2065"/>
      <c r="M95" s="2065"/>
      <c r="N95" s="2065"/>
      <c r="O95" s="2065"/>
      <c r="P95" s="2065"/>
      <c r="Q95" s="2065"/>
      <c r="R95" s="2065"/>
      <c r="S95" s="2065"/>
      <c r="T95" s="2065"/>
      <c r="U95" s="2065"/>
      <c r="V95" s="2065"/>
      <c r="W95" s="2065"/>
      <c r="X95" s="2065"/>
      <c r="Y95" s="2065"/>
      <c r="Z95" s="2065"/>
      <c r="AA95" s="2065"/>
      <c r="AB95" s="2065"/>
      <c r="AC95" s="2065"/>
      <c r="AD95" s="2065"/>
      <c r="AE95" s="2065"/>
      <c r="AF95" s="2065"/>
      <c r="AG95" s="2065"/>
      <c r="AH95" s="2065"/>
      <c r="AI95" s="2065"/>
      <c r="AJ95" s="2065"/>
      <c r="AK95" s="2065"/>
      <c r="AL95" s="2065"/>
      <c r="AM95" s="2065"/>
      <c r="AN95" s="2065"/>
      <c r="AO95" s="2065"/>
      <c r="AP95" s="2065"/>
      <c r="AQ95" s="2065"/>
    </row>
    <row r="96" spans="1:43" x14ac:dyDescent="0.2">
      <c r="B96" s="2048"/>
      <c r="C96" s="2064" t="s">
        <v>1071</v>
      </c>
      <c r="D96" s="2016" t="s">
        <v>1031</v>
      </c>
      <c r="E96" s="2016" t="s">
        <v>1067</v>
      </c>
      <c r="F96" s="2081">
        <v>0.5</v>
      </c>
      <c r="G96" s="2065"/>
      <c r="H96" s="2065"/>
      <c r="I96" s="2065"/>
      <c r="J96" s="2065"/>
      <c r="K96" s="2065"/>
      <c r="L96" s="2065"/>
      <c r="M96" s="2065"/>
      <c r="N96" s="2065"/>
      <c r="O96" s="2065"/>
      <c r="P96" s="2065"/>
      <c r="Q96" s="2065"/>
      <c r="R96" s="2065"/>
      <c r="S96" s="2065"/>
      <c r="T96" s="2065"/>
      <c r="U96" s="2065"/>
      <c r="V96" s="2065"/>
      <c r="W96" s="2065"/>
      <c r="X96" s="2065"/>
      <c r="Y96" s="2065"/>
      <c r="Z96" s="2065"/>
      <c r="AA96" s="2065"/>
      <c r="AB96" s="2065"/>
      <c r="AC96" s="2065"/>
      <c r="AD96" s="2065"/>
      <c r="AE96" s="2065"/>
      <c r="AF96" s="2065"/>
      <c r="AG96" s="2065"/>
      <c r="AH96" s="2065"/>
      <c r="AI96" s="2065"/>
      <c r="AJ96" s="2065"/>
      <c r="AK96" s="2065"/>
      <c r="AL96" s="2065"/>
      <c r="AM96" s="2065"/>
      <c r="AN96" s="2065"/>
      <c r="AO96" s="2065"/>
      <c r="AP96" s="2065"/>
      <c r="AQ96" s="2065"/>
    </row>
    <row r="97" spans="2:43" x14ac:dyDescent="0.2">
      <c r="B97" s="2048"/>
      <c r="C97" s="2066" t="s">
        <v>1072</v>
      </c>
      <c r="D97" s="2030" t="s">
        <v>1061</v>
      </c>
      <c r="E97" s="2024" t="s">
        <v>1073</v>
      </c>
      <c r="F97" s="2025">
        <v>21</v>
      </c>
      <c r="G97" s="2065"/>
      <c r="H97" s="2065"/>
      <c r="I97" s="2065"/>
      <c r="J97" s="2065"/>
      <c r="K97" s="2065"/>
      <c r="L97" s="2065"/>
      <c r="M97" s="2065"/>
      <c r="N97" s="2065"/>
      <c r="O97" s="2065"/>
      <c r="P97" s="2065"/>
      <c r="Q97" s="2065"/>
      <c r="R97" s="2065"/>
      <c r="S97" s="2065"/>
      <c r="T97" s="2065"/>
      <c r="U97" s="2065"/>
      <c r="V97" s="2065"/>
      <c r="W97" s="2065"/>
      <c r="X97" s="2065"/>
      <c r="Y97" s="2065"/>
      <c r="Z97" s="2065"/>
      <c r="AA97" s="2065"/>
      <c r="AB97" s="2065"/>
      <c r="AC97" s="2065"/>
      <c r="AD97" s="2065"/>
      <c r="AE97" s="2065"/>
      <c r="AF97" s="2065"/>
      <c r="AG97" s="2065"/>
      <c r="AH97" s="2065"/>
      <c r="AI97" s="2065"/>
      <c r="AJ97" s="2065"/>
      <c r="AK97" s="2065"/>
      <c r="AL97" s="2065"/>
      <c r="AM97" s="2065"/>
      <c r="AN97" s="2065"/>
      <c r="AO97" s="2065"/>
      <c r="AP97" s="2065"/>
      <c r="AQ97" s="2065"/>
    </row>
    <row r="98" spans="2:43" x14ac:dyDescent="0.2">
      <c r="B98" s="2048"/>
      <c r="C98" s="2064"/>
      <c r="D98" s="2080"/>
      <c r="E98" s="2016"/>
      <c r="F98" s="2021"/>
      <c r="G98" s="2065"/>
      <c r="H98" s="2065"/>
      <c r="I98" s="2065"/>
      <c r="J98" s="2065"/>
      <c r="K98" s="2065"/>
      <c r="L98" s="2065"/>
      <c r="M98" s="2065"/>
      <c r="N98" s="2065"/>
      <c r="O98" s="2065"/>
      <c r="P98" s="2065"/>
      <c r="Q98" s="2065"/>
      <c r="R98" s="2065"/>
      <c r="S98" s="2065"/>
      <c r="T98" s="2065"/>
      <c r="U98" s="2065"/>
      <c r="V98" s="2065"/>
      <c r="W98" s="2065"/>
      <c r="X98" s="2065"/>
      <c r="Y98" s="2065"/>
      <c r="Z98" s="2065"/>
      <c r="AA98" s="2065"/>
      <c r="AB98" s="2065"/>
      <c r="AC98" s="2065"/>
      <c r="AD98" s="2065"/>
      <c r="AE98" s="2065"/>
      <c r="AF98" s="2065"/>
      <c r="AG98" s="2065"/>
      <c r="AH98" s="2065"/>
      <c r="AI98" s="2065"/>
      <c r="AJ98" s="2065"/>
      <c r="AK98" s="2065"/>
      <c r="AL98" s="2065"/>
      <c r="AM98" s="2065"/>
      <c r="AN98" s="2065"/>
      <c r="AO98" s="2065"/>
      <c r="AP98" s="2065"/>
      <c r="AQ98" s="2065"/>
    </row>
    <row r="99" spans="2:43" x14ac:dyDescent="0.2">
      <c r="B99" s="2018"/>
      <c r="C99" s="2017" t="s">
        <v>1074</v>
      </c>
      <c r="D99" s="2016"/>
      <c r="E99" s="2016"/>
      <c r="F99" s="2016"/>
      <c r="G99" s="2016"/>
      <c r="H99" s="2016"/>
      <c r="I99" s="2016"/>
      <c r="J99" s="2016"/>
      <c r="K99" s="2016"/>
      <c r="L99" s="2016"/>
      <c r="M99" s="2016"/>
      <c r="N99" s="2016"/>
      <c r="O99" s="2016"/>
      <c r="P99" s="2016"/>
      <c r="Q99" s="2016"/>
      <c r="R99" s="2016"/>
      <c r="S99" s="2016"/>
      <c r="T99" s="2016"/>
      <c r="U99" s="2016"/>
      <c r="V99" s="2016"/>
      <c r="W99" s="2016"/>
      <c r="X99" s="2016"/>
      <c r="Y99" s="2016"/>
      <c r="Z99" s="2016"/>
      <c r="AA99" s="2016"/>
      <c r="AB99" s="2016"/>
      <c r="AC99" s="2016"/>
      <c r="AD99" s="2016"/>
      <c r="AE99" s="2016"/>
      <c r="AF99" s="2016"/>
      <c r="AG99" s="2016"/>
      <c r="AH99" s="2016"/>
      <c r="AI99" s="2016"/>
      <c r="AJ99" s="2016"/>
      <c r="AK99" s="2016"/>
      <c r="AL99" s="2016"/>
      <c r="AM99" s="2016"/>
      <c r="AN99" s="2016"/>
      <c r="AO99" s="2016"/>
      <c r="AP99" s="2016"/>
      <c r="AQ99" s="2016"/>
    </row>
    <row r="100" spans="2:43" x14ac:dyDescent="0.2">
      <c r="B100" s="2018"/>
      <c r="C100" s="2054"/>
      <c r="D100" s="2019" t="s">
        <v>1029</v>
      </c>
      <c r="E100" s="2019" t="s">
        <v>8</v>
      </c>
      <c r="F100" s="2019"/>
      <c r="G100" s="2019">
        <v>2014</v>
      </c>
      <c r="H100" s="2019">
        <v>2015</v>
      </c>
      <c r="I100" s="2019">
        <v>2016</v>
      </c>
      <c r="J100" s="2019">
        <v>2017</v>
      </c>
      <c r="K100" s="2019">
        <v>2018</v>
      </c>
      <c r="L100" s="2019">
        <v>2019</v>
      </c>
      <c r="M100" s="2019">
        <v>2020</v>
      </c>
      <c r="N100" s="2019">
        <v>2021</v>
      </c>
      <c r="O100" s="2019">
        <v>2022</v>
      </c>
      <c r="P100" s="2019">
        <v>2023</v>
      </c>
      <c r="Q100" s="2019">
        <v>2024</v>
      </c>
      <c r="R100" s="2019">
        <v>2025</v>
      </c>
      <c r="S100" s="2019">
        <v>2026</v>
      </c>
      <c r="T100" s="2019">
        <v>2027</v>
      </c>
      <c r="U100" s="2019">
        <v>2028</v>
      </c>
      <c r="V100" s="2019">
        <v>2029</v>
      </c>
      <c r="W100" s="2019">
        <v>2030</v>
      </c>
      <c r="X100" s="2019">
        <v>2031</v>
      </c>
      <c r="Y100" s="2019">
        <v>2032</v>
      </c>
      <c r="Z100" s="2019">
        <v>2033</v>
      </c>
      <c r="AA100" s="2019">
        <v>2034</v>
      </c>
      <c r="AB100" s="2019">
        <v>2035</v>
      </c>
      <c r="AC100" s="2019">
        <v>2036</v>
      </c>
      <c r="AD100" s="2019">
        <v>2037</v>
      </c>
      <c r="AE100" s="2019">
        <v>2038</v>
      </c>
      <c r="AF100" s="2019">
        <v>2039</v>
      </c>
      <c r="AG100" s="2019">
        <v>2040</v>
      </c>
      <c r="AH100" s="2019">
        <v>2041</v>
      </c>
      <c r="AI100" s="2019">
        <v>2042</v>
      </c>
      <c r="AJ100" s="2019">
        <v>2043</v>
      </c>
      <c r="AK100" s="2019">
        <v>2044</v>
      </c>
      <c r="AL100" s="2019">
        <v>2045</v>
      </c>
      <c r="AM100" s="2019">
        <v>2046</v>
      </c>
      <c r="AN100" s="2019">
        <v>2047</v>
      </c>
      <c r="AO100" s="2019">
        <v>2048</v>
      </c>
      <c r="AP100" s="2019">
        <v>2049</v>
      </c>
      <c r="AQ100" s="2019">
        <v>2050</v>
      </c>
    </row>
    <row r="101" spans="2:43" x14ac:dyDescent="0.2">
      <c r="B101" s="2018"/>
      <c r="C101" s="2066" t="s">
        <v>1075</v>
      </c>
      <c r="D101" s="2030" t="s">
        <v>1076</v>
      </c>
      <c r="E101" s="2024" t="s">
        <v>1077</v>
      </c>
      <c r="F101" s="2025"/>
      <c r="G101" s="2082">
        <v>0.34599999999999997</v>
      </c>
      <c r="H101" s="2082">
        <v>0.34599999999999997</v>
      </c>
      <c r="I101" s="2082">
        <v>0.34599999999999997</v>
      </c>
      <c r="J101" s="2082">
        <v>0.34599999999999997</v>
      </c>
      <c r="K101" s="2082">
        <v>0.34599999999999997</v>
      </c>
      <c r="L101" s="2082">
        <v>0.34599999999999997</v>
      </c>
      <c r="M101" s="2082">
        <v>0.34599999999999997</v>
      </c>
      <c r="N101" s="2082">
        <v>0.34599999999999997</v>
      </c>
      <c r="O101" s="2082">
        <v>0.34599999999999997</v>
      </c>
      <c r="P101" s="2082">
        <v>0.34599999999999997</v>
      </c>
      <c r="Q101" s="2082">
        <v>0.34599999999999997</v>
      </c>
      <c r="R101" s="2082">
        <v>0.34599999999999997</v>
      </c>
      <c r="S101" s="2082">
        <v>0.34599999999999997</v>
      </c>
      <c r="T101" s="2082">
        <v>0.34599999999999997</v>
      </c>
      <c r="U101" s="2082">
        <v>0.34599999999999997</v>
      </c>
      <c r="V101" s="2082">
        <v>0.34599999999999997</v>
      </c>
      <c r="W101" s="2082">
        <v>0.34599999999999997</v>
      </c>
      <c r="X101" s="2082">
        <v>0.34599999999999997</v>
      </c>
      <c r="Y101" s="2082">
        <v>0.34599999999999997</v>
      </c>
      <c r="Z101" s="2082">
        <v>0.34599999999999997</v>
      </c>
      <c r="AA101" s="2082">
        <v>0.34599999999999997</v>
      </c>
      <c r="AB101" s="2082">
        <v>0.34599999999999997</v>
      </c>
      <c r="AC101" s="2082">
        <v>0.34599999999999997</v>
      </c>
      <c r="AD101" s="2082">
        <v>0.34599999999999997</v>
      </c>
      <c r="AE101" s="2082">
        <v>0.34599999999999997</v>
      </c>
      <c r="AF101" s="2082">
        <v>0.34599999999999997</v>
      </c>
      <c r="AG101" s="2082">
        <v>0.34599999999999997</v>
      </c>
      <c r="AH101" s="2082">
        <v>0.34599999999999997</v>
      </c>
      <c r="AI101" s="2082">
        <v>0.34599999999999997</v>
      </c>
      <c r="AJ101" s="2082">
        <v>0.34599999999999997</v>
      </c>
      <c r="AK101" s="2082">
        <v>0.34599999999999997</v>
      </c>
      <c r="AL101" s="2082">
        <v>0.34599999999999997</v>
      </c>
      <c r="AM101" s="2082">
        <v>0.34599999999999997</v>
      </c>
      <c r="AN101" s="2082">
        <v>0.34599999999999997</v>
      </c>
      <c r="AO101" s="2082">
        <v>0.34599999999999997</v>
      </c>
      <c r="AP101" s="2082">
        <v>0.34599999999999997</v>
      </c>
      <c r="AQ101" s="2082">
        <v>0.34599999999999997</v>
      </c>
    </row>
    <row r="102" spans="2:43" x14ac:dyDescent="0.2">
      <c r="B102" s="2048"/>
      <c r="C102" s="2064"/>
      <c r="D102" s="2080"/>
      <c r="E102" s="2016"/>
      <c r="F102" s="2021"/>
      <c r="G102" s="2065"/>
      <c r="H102" s="2065"/>
      <c r="I102" s="2065"/>
      <c r="J102" s="2065"/>
      <c r="K102" s="2065"/>
      <c r="L102" s="2065"/>
      <c r="M102" s="2065"/>
      <c r="N102" s="2065"/>
      <c r="O102" s="2065"/>
      <c r="P102" s="2065"/>
      <c r="Q102" s="2065"/>
      <c r="R102" s="2065"/>
      <c r="S102" s="2065"/>
      <c r="T102" s="2065"/>
      <c r="U102" s="2065"/>
      <c r="V102" s="2065"/>
      <c r="W102" s="2065"/>
      <c r="X102" s="2065"/>
      <c r="Y102" s="2065"/>
      <c r="Z102" s="2065"/>
      <c r="AA102" s="2065"/>
      <c r="AB102" s="2065"/>
      <c r="AC102" s="2065"/>
      <c r="AD102" s="2065"/>
      <c r="AE102" s="2065"/>
      <c r="AF102" s="2065"/>
      <c r="AG102" s="2065"/>
      <c r="AH102" s="2065"/>
      <c r="AI102" s="2065"/>
      <c r="AJ102" s="2065"/>
      <c r="AK102" s="2065"/>
      <c r="AL102" s="2065"/>
      <c r="AM102" s="2065"/>
      <c r="AN102" s="2065"/>
      <c r="AO102" s="2065"/>
      <c r="AP102" s="2065"/>
      <c r="AQ102" s="2065"/>
    </row>
    <row r="103" spans="2:43" x14ac:dyDescent="0.2">
      <c r="B103" s="2048"/>
      <c r="C103" s="2017" t="s">
        <v>1078</v>
      </c>
      <c r="D103" s="2016"/>
      <c r="E103" s="2016"/>
      <c r="F103" s="2021"/>
      <c r="G103" s="2065"/>
      <c r="H103" s="2065"/>
      <c r="I103" s="2065"/>
      <c r="J103" s="2065"/>
      <c r="K103" s="2065"/>
      <c r="L103" s="2065"/>
      <c r="M103" s="2065"/>
      <c r="N103" s="2065"/>
      <c r="O103" s="2065"/>
      <c r="P103" s="2065"/>
      <c r="Q103" s="2065"/>
      <c r="R103" s="2065"/>
      <c r="S103" s="2065"/>
      <c r="T103" s="2065"/>
      <c r="U103" s="2065"/>
      <c r="V103" s="2065"/>
      <c r="W103" s="2065"/>
      <c r="X103" s="2065"/>
      <c r="Y103" s="2065"/>
      <c r="Z103" s="2065"/>
      <c r="AA103" s="2065"/>
      <c r="AB103" s="2065"/>
      <c r="AC103" s="2065"/>
      <c r="AD103" s="2065"/>
      <c r="AE103" s="2065"/>
      <c r="AF103" s="2065"/>
      <c r="AG103" s="2065"/>
      <c r="AH103" s="2065"/>
      <c r="AI103" s="2065"/>
      <c r="AJ103" s="2065"/>
      <c r="AK103" s="2065"/>
      <c r="AL103" s="2065"/>
      <c r="AM103" s="2065"/>
      <c r="AN103" s="2065"/>
      <c r="AO103" s="2065"/>
      <c r="AP103" s="2065"/>
      <c r="AQ103" s="2065"/>
    </row>
    <row r="104" spans="2:43" x14ac:dyDescent="0.2">
      <c r="B104" s="2048"/>
      <c r="C104" s="2019"/>
      <c r="D104" s="2019" t="s">
        <v>1029</v>
      </c>
      <c r="E104" s="2019" t="s">
        <v>8</v>
      </c>
      <c r="F104" s="2019"/>
      <c r="G104" s="2065"/>
      <c r="H104" s="2065"/>
      <c r="I104" s="2065"/>
      <c r="J104" s="2065"/>
      <c r="K104" s="2065"/>
      <c r="L104" s="2065"/>
      <c r="M104" s="2065"/>
      <c r="N104" s="2065"/>
      <c r="O104" s="2065"/>
      <c r="P104" s="2065"/>
      <c r="Q104" s="2065"/>
      <c r="R104" s="2065"/>
      <c r="S104" s="2065"/>
      <c r="T104" s="2065"/>
      <c r="U104" s="2065"/>
      <c r="V104" s="2065"/>
      <c r="W104" s="2065"/>
      <c r="X104" s="2065"/>
      <c r="Y104" s="2065"/>
      <c r="Z104" s="2065"/>
      <c r="AA104" s="2065"/>
      <c r="AB104" s="2065"/>
      <c r="AC104" s="2065"/>
      <c r="AD104" s="2065"/>
      <c r="AE104" s="2065"/>
      <c r="AF104" s="2065"/>
      <c r="AG104" s="2065"/>
      <c r="AH104" s="2065"/>
      <c r="AI104" s="2065"/>
      <c r="AJ104" s="2065"/>
      <c r="AK104" s="2065"/>
      <c r="AL104" s="2065"/>
      <c r="AM104" s="2065"/>
      <c r="AN104" s="2065"/>
      <c r="AO104" s="2065"/>
      <c r="AP104" s="2065"/>
      <c r="AQ104" s="2065"/>
    </row>
    <row r="105" spans="2:43" x14ac:dyDescent="0.2">
      <c r="B105" s="2048"/>
      <c r="C105" s="2064" t="s">
        <v>1079</v>
      </c>
      <c r="D105" s="2016"/>
      <c r="E105" s="2021"/>
      <c r="F105" s="2021"/>
      <c r="G105" s="2065"/>
      <c r="H105" s="2065"/>
      <c r="I105" s="2065"/>
      <c r="J105" s="2065"/>
      <c r="K105" s="2065"/>
      <c r="L105" s="2065"/>
      <c r="M105" s="2065"/>
      <c r="N105" s="2065"/>
      <c r="O105" s="2065"/>
      <c r="P105" s="2065"/>
      <c r="Q105" s="2065"/>
      <c r="R105" s="2065"/>
      <c r="S105" s="2065"/>
      <c r="T105" s="2065"/>
      <c r="U105" s="2065"/>
      <c r="V105" s="2065"/>
      <c r="W105" s="2065"/>
      <c r="X105" s="2065"/>
      <c r="Y105" s="2065"/>
      <c r="Z105" s="2065"/>
      <c r="AA105" s="2065"/>
      <c r="AB105" s="2065"/>
      <c r="AC105" s="2065"/>
      <c r="AD105" s="2065"/>
      <c r="AE105" s="2065"/>
      <c r="AF105" s="2065"/>
      <c r="AG105" s="2065"/>
      <c r="AH105" s="2065"/>
      <c r="AI105" s="2065"/>
      <c r="AJ105" s="2065"/>
      <c r="AK105" s="2065"/>
      <c r="AL105" s="2065"/>
      <c r="AM105" s="2065"/>
      <c r="AN105" s="2065"/>
      <c r="AO105" s="2065"/>
      <c r="AP105" s="2065"/>
      <c r="AQ105" s="2065"/>
    </row>
    <row r="106" spans="2:43" x14ac:dyDescent="0.2">
      <c r="B106" s="2048"/>
      <c r="C106" s="2083" t="s">
        <v>1080</v>
      </c>
      <c r="D106" s="2016" t="s">
        <v>1081</v>
      </c>
      <c r="E106" s="2016" t="s">
        <v>1067</v>
      </c>
      <c r="F106" s="2084">
        <v>700</v>
      </c>
      <c r="G106" s="2065"/>
      <c r="H106" s="2065"/>
      <c r="I106" s="2065"/>
      <c r="J106" s="2065"/>
      <c r="K106" s="2065"/>
      <c r="L106" s="2065"/>
      <c r="M106" s="2065"/>
      <c r="N106" s="2065"/>
      <c r="O106" s="2065"/>
      <c r="P106" s="2065"/>
      <c r="Q106" s="2065"/>
      <c r="R106" s="2065"/>
      <c r="S106" s="2065"/>
      <c r="T106" s="2065"/>
      <c r="U106" s="2065"/>
      <c r="V106" s="2065"/>
      <c r="W106" s="2065"/>
      <c r="X106" s="2065"/>
      <c r="Y106" s="2065"/>
      <c r="Z106" s="2065"/>
      <c r="AA106" s="2065"/>
      <c r="AB106" s="2065"/>
      <c r="AC106" s="2065"/>
      <c r="AD106" s="2065"/>
      <c r="AE106" s="2065"/>
      <c r="AF106" s="2065"/>
      <c r="AG106" s="2065"/>
      <c r="AH106" s="2065"/>
      <c r="AI106" s="2065"/>
      <c r="AJ106" s="2065"/>
      <c r="AK106" s="2065"/>
      <c r="AL106" s="2065"/>
      <c r="AM106" s="2065"/>
      <c r="AN106" s="2065"/>
      <c r="AO106" s="2065"/>
      <c r="AP106" s="2065"/>
      <c r="AQ106" s="2065"/>
    </row>
    <row r="107" spans="2:43" x14ac:dyDescent="0.2">
      <c r="B107" s="2048"/>
      <c r="C107" s="2083" t="s">
        <v>1082</v>
      </c>
      <c r="D107" s="2016" t="s">
        <v>1081</v>
      </c>
      <c r="E107" s="2016" t="s">
        <v>1067</v>
      </c>
      <c r="F107" s="2084">
        <v>2500</v>
      </c>
      <c r="G107" s="2065"/>
      <c r="H107" s="2065"/>
      <c r="I107" s="2065"/>
      <c r="J107" s="2065"/>
      <c r="K107" s="2065"/>
      <c r="L107" s="2065"/>
      <c r="M107" s="2065"/>
      <c r="N107" s="2065"/>
      <c r="O107" s="2065"/>
      <c r="P107" s="2065"/>
      <c r="Q107" s="2065"/>
      <c r="R107" s="2065"/>
      <c r="S107" s="2065"/>
      <c r="T107" s="2065"/>
      <c r="U107" s="2065"/>
      <c r="V107" s="2065"/>
      <c r="W107" s="2065"/>
      <c r="X107" s="2065"/>
      <c r="Y107" s="2065"/>
      <c r="Z107" s="2065"/>
      <c r="AA107" s="2065"/>
      <c r="AB107" s="2065"/>
      <c r="AC107" s="2065"/>
      <c r="AD107" s="2065"/>
      <c r="AE107" s="2065"/>
      <c r="AF107" s="2065"/>
      <c r="AG107" s="2065"/>
      <c r="AH107" s="2065"/>
      <c r="AI107" s="2065"/>
      <c r="AJ107" s="2065"/>
      <c r="AK107" s="2065"/>
      <c r="AL107" s="2065"/>
      <c r="AM107" s="2065"/>
      <c r="AN107" s="2065"/>
      <c r="AO107" s="2065"/>
      <c r="AP107" s="2065"/>
      <c r="AQ107" s="2065"/>
    </row>
    <row r="108" spans="2:43" x14ac:dyDescent="0.2">
      <c r="B108" s="2048"/>
      <c r="C108" s="2083" t="s">
        <v>1083</v>
      </c>
      <c r="D108" s="2016" t="s">
        <v>1081</v>
      </c>
      <c r="E108" s="2016" t="s">
        <v>1067</v>
      </c>
      <c r="F108" s="2084">
        <v>5000</v>
      </c>
      <c r="G108" s="2065"/>
      <c r="H108" s="2065"/>
      <c r="I108" s="2065"/>
      <c r="J108" s="2065"/>
      <c r="K108" s="2065"/>
      <c r="L108" s="2065"/>
      <c r="M108" s="2065"/>
      <c r="N108" s="2065"/>
      <c r="O108" s="2065"/>
      <c r="P108" s="2065"/>
      <c r="Q108" s="2065"/>
      <c r="R108" s="2065"/>
      <c r="S108" s="2065"/>
      <c r="T108" s="2065"/>
      <c r="U108" s="2065"/>
      <c r="V108" s="2065"/>
      <c r="W108" s="2065"/>
      <c r="X108" s="2065"/>
      <c r="Y108" s="2065"/>
      <c r="Z108" s="2065"/>
      <c r="AA108" s="2065"/>
      <c r="AB108" s="2065"/>
      <c r="AC108" s="2065"/>
      <c r="AD108" s="2065"/>
      <c r="AE108" s="2065"/>
      <c r="AF108" s="2065"/>
      <c r="AG108" s="2065"/>
      <c r="AH108" s="2065"/>
      <c r="AI108" s="2065"/>
      <c r="AJ108" s="2065"/>
      <c r="AK108" s="2065"/>
      <c r="AL108" s="2065"/>
      <c r="AM108" s="2065"/>
      <c r="AN108" s="2065"/>
      <c r="AO108" s="2065"/>
      <c r="AP108" s="2065"/>
      <c r="AQ108" s="2065"/>
    </row>
    <row r="109" spans="2:43" x14ac:dyDescent="0.2">
      <c r="B109" s="2048"/>
      <c r="C109" s="2064" t="s">
        <v>1084</v>
      </c>
      <c r="D109" s="2016" t="s">
        <v>1061</v>
      </c>
      <c r="E109" s="2016" t="s">
        <v>1067</v>
      </c>
      <c r="F109" s="2085">
        <v>0.9</v>
      </c>
      <c r="G109" s="2065"/>
      <c r="H109" s="2065"/>
      <c r="I109" s="2065"/>
      <c r="J109" s="2065"/>
      <c r="K109" s="2065"/>
      <c r="L109" s="2065"/>
      <c r="M109" s="2065"/>
      <c r="N109" s="2065"/>
      <c r="O109" s="2065"/>
      <c r="P109" s="2065"/>
      <c r="Q109" s="2065"/>
      <c r="R109" s="2065"/>
      <c r="S109" s="2065"/>
      <c r="T109" s="2065"/>
      <c r="U109" s="2065"/>
      <c r="V109" s="2065"/>
      <c r="W109" s="2065"/>
      <c r="X109" s="2065"/>
      <c r="Y109" s="2065"/>
      <c r="Z109" s="2065"/>
      <c r="AA109" s="2065"/>
      <c r="AB109" s="2065"/>
      <c r="AC109" s="2065"/>
      <c r="AD109" s="2065"/>
      <c r="AE109" s="2065"/>
      <c r="AF109" s="2065"/>
      <c r="AG109" s="2065"/>
      <c r="AH109" s="2065"/>
      <c r="AI109" s="2065"/>
      <c r="AJ109" s="2065"/>
      <c r="AK109" s="2065"/>
      <c r="AL109" s="2065"/>
      <c r="AM109" s="2065"/>
      <c r="AN109" s="2065"/>
      <c r="AO109" s="2065"/>
      <c r="AP109" s="2065"/>
      <c r="AQ109" s="2065"/>
    </row>
    <row r="110" spans="2:43" x14ac:dyDescent="0.2">
      <c r="B110" s="2048"/>
      <c r="C110" s="2064" t="s">
        <v>1085</v>
      </c>
      <c r="D110" s="2016" t="s">
        <v>1086</v>
      </c>
      <c r="E110" s="2016" t="s">
        <v>1087</v>
      </c>
      <c r="F110" s="2085">
        <v>0.5</v>
      </c>
      <c r="G110" s="2065"/>
      <c r="H110" s="2065"/>
      <c r="I110" s="2065"/>
      <c r="J110" s="2065"/>
      <c r="K110" s="2065"/>
      <c r="L110" s="2065"/>
      <c r="M110" s="2065"/>
      <c r="N110" s="2065"/>
      <c r="O110" s="2065"/>
      <c r="P110" s="2065"/>
      <c r="Q110" s="2065"/>
      <c r="R110" s="2065"/>
      <c r="S110" s="2065"/>
      <c r="T110" s="2065"/>
      <c r="U110" s="2065"/>
      <c r="V110" s="2065"/>
      <c r="W110" s="2065"/>
      <c r="X110" s="2065"/>
      <c r="Y110" s="2065"/>
      <c r="Z110" s="2065"/>
      <c r="AA110" s="2065"/>
      <c r="AB110" s="2065"/>
      <c r="AC110" s="2065"/>
      <c r="AD110" s="2065"/>
      <c r="AE110" s="2065"/>
      <c r="AF110" s="2065"/>
      <c r="AG110" s="2065"/>
      <c r="AH110" s="2065"/>
      <c r="AI110" s="2065"/>
      <c r="AJ110" s="2065"/>
      <c r="AK110" s="2065"/>
      <c r="AL110" s="2065"/>
      <c r="AM110" s="2065"/>
      <c r="AN110" s="2065"/>
      <c r="AO110" s="2065"/>
      <c r="AP110" s="2065"/>
      <c r="AQ110" s="2065"/>
    </row>
    <row r="111" spans="2:43" x14ac:dyDescent="0.2">
      <c r="B111" s="2048"/>
      <c r="C111" s="2066" t="s">
        <v>1088</v>
      </c>
      <c r="D111" s="2024" t="s">
        <v>1031</v>
      </c>
      <c r="E111" s="2024" t="s">
        <v>1067</v>
      </c>
      <c r="F111" s="2086">
        <v>0.3</v>
      </c>
      <c r="G111" s="2065"/>
      <c r="H111" s="2065"/>
      <c r="I111" s="2065"/>
      <c r="J111" s="2065"/>
      <c r="K111" s="2065"/>
      <c r="L111" s="2065"/>
      <c r="M111" s="2065"/>
      <c r="N111" s="2065"/>
      <c r="O111" s="2065"/>
      <c r="P111" s="2065"/>
      <c r="Q111" s="2065"/>
      <c r="R111" s="2065"/>
      <c r="S111" s="2065"/>
      <c r="T111" s="2065"/>
      <c r="U111" s="2065"/>
      <c r="V111" s="2065"/>
      <c r="W111" s="2065"/>
      <c r="X111" s="2065"/>
      <c r="Y111" s="2065"/>
      <c r="Z111" s="2065"/>
      <c r="AA111" s="2065"/>
      <c r="AB111" s="2065"/>
      <c r="AC111" s="2065"/>
      <c r="AD111" s="2065"/>
      <c r="AE111" s="2065"/>
      <c r="AF111" s="2065"/>
      <c r="AG111" s="2065"/>
      <c r="AH111" s="2065"/>
      <c r="AI111" s="2065"/>
      <c r="AJ111" s="2065"/>
      <c r="AK111" s="2065"/>
      <c r="AL111" s="2065"/>
      <c r="AM111" s="2065"/>
      <c r="AN111" s="2065"/>
      <c r="AO111" s="2065"/>
      <c r="AP111" s="2065"/>
      <c r="AQ111" s="2065"/>
    </row>
    <row r="112" spans="2:43" x14ac:dyDescent="0.2">
      <c r="B112" s="2048"/>
      <c r="C112" s="2064"/>
      <c r="D112" s="2016"/>
      <c r="E112" s="2016"/>
      <c r="F112" s="2087"/>
      <c r="G112" s="2065"/>
      <c r="H112" s="2065"/>
      <c r="I112" s="2065"/>
      <c r="J112" s="2065"/>
      <c r="K112" s="2065"/>
      <c r="L112" s="2065"/>
      <c r="M112" s="2065"/>
      <c r="N112" s="2065"/>
      <c r="O112" s="2065"/>
      <c r="P112" s="2065"/>
      <c r="Q112" s="2065"/>
      <c r="R112" s="2065"/>
      <c r="S112" s="2065"/>
      <c r="T112" s="2065"/>
      <c r="U112" s="2065"/>
      <c r="V112" s="2065"/>
      <c r="W112" s="2065"/>
      <c r="X112" s="2065"/>
      <c r="Y112" s="2065"/>
      <c r="Z112" s="2065"/>
      <c r="AA112" s="2065"/>
      <c r="AB112" s="2065"/>
      <c r="AC112" s="2065"/>
      <c r="AD112" s="2065"/>
      <c r="AE112" s="2065"/>
      <c r="AF112" s="2065"/>
      <c r="AG112" s="2065"/>
      <c r="AH112" s="2065"/>
      <c r="AI112" s="2065"/>
      <c r="AJ112" s="2065"/>
      <c r="AK112" s="2065"/>
      <c r="AL112" s="2065"/>
      <c r="AM112" s="2065"/>
      <c r="AN112" s="2065"/>
      <c r="AO112" s="2065"/>
      <c r="AP112" s="2065"/>
      <c r="AQ112" s="2065"/>
    </row>
    <row r="113" spans="2:43" x14ac:dyDescent="0.2">
      <c r="B113" s="2048"/>
      <c r="C113" s="2064"/>
      <c r="D113" s="2016" t="s">
        <v>12</v>
      </c>
      <c r="E113" s="2046" t="s">
        <v>1089</v>
      </c>
      <c r="F113" s="2016"/>
      <c r="G113" s="2065"/>
      <c r="H113" s="2065"/>
      <c r="I113" s="2065"/>
      <c r="J113" s="2065"/>
      <c r="K113" s="2065"/>
      <c r="L113" s="2065"/>
      <c r="M113" s="2065"/>
      <c r="N113" s="2065"/>
      <c r="O113" s="2065"/>
      <c r="P113" s="2065"/>
      <c r="Q113" s="2065"/>
      <c r="R113" s="2065"/>
      <c r="S113" s="2065"/>
      <c r="T113" s="2065"/>
      <c r="U113" s="2065"/>
      <c r="V113" s="2065"/>
      <c r="W113" s="2065"/>
      <c r="X113" s="2065"/>
      <c r="Y113" s="2065"/>
      <c r="Z113" s="2065"/>
      <c r="AA113" s="2065"/>
      <c r="AB113" s="2065"/>
      <c r="AC113" s="2065"/>
      <c r="AD113" s="2065"/>
      <c r="AE113" s="2065"/>
      <c r="AF113" s="2065"/>
      <c r="AG113" s="2065"/>
      <c r="AH113" s="2065"/>
      <c r="AI113" s="2065"/>
      <c r="AJ113" s="2065"/>
      <c r="AK113" s="2065"/>
      <c r="AL113" s="2065"/>
      <c r="AM113" s="2065"/>
      <c r="AN113" s="2065"/>
      <c r="AO113" s="2065"/>
      <c r="AP113" s="2065"/>
      <c r="AQ113" s="2065"/>
    </row>
    <row r="114" spans="2:43" x14ac:dyDescent="0.2">
      <c r="B114" s="2048"/>
      <c r="C114" s="2064"/>
      <c r="D114" s="2016" t="s">
        <v>133</v>
      </c>
      <c r="E114" s="2046" t="s">
        <v>1090</v>
      </c>
      <c r="F114" s="2087"/>
      <c r="G114" s="2065"/>
      <c r="H114" s="2065"/>
      <c r="I114" s="2065"/>
      <c r="J114" s="2065"/>
      <c r="K114" s="2065"/>
      <c r="L114" s="2065"/>
      <c r="M114" s="2065"/>
      <c r="N114" s="2065"/>
      <c r="O114" s="2065"/>
      <c r="P114" s="2065"/>
      <c r="Q114" s="2065"/>
      <c r="R114" s="2065"/>
      <c r="S114" s="2065"/>
      <c r="T114" s="2065"/>
      <c r="U114" s="2065"/>
      <c r="V114" s="2065"/>
      <c r="W114" s="2065"/>
      <c r="X114" s="2065"/>
      <c r="Y114" s="2065"/>
      <c r="Z114" s="2065"/>
      <c r="AA114" s="2065"/>
      <c r="AB114" s="2065"/>
      <c r="AC114" s="2065"/>
      <c r="AD114" s="2065"/>
      <c r="AE114" s="2065"/>
      <c r="AF114" s="2065"/>
      <c r="AG114" s="2065"/>
      <c r="AH114" s="2065"/>
      <c r="AI114" s="2065"/>
      <c r="AJ114" s="2065"/>
      <c r="AK114" s="2065"/>
      <c r="AL114" s="2065"/>
      <c r="AM114" s="2065"/>
      <c r="AN114" s="2065"/>
      <c r="AO114" s="2065"/>
      <c r="AP114" s="2065"/>
      <c r="AQ114" s="2065"/>
    </row>
    <row r="115" spans="2:43" x14ac:dyDescent="0.2">
      <c r="B115" s="2048"/>
      <c r="C115" s="2064"/>
      <c r="D115" s="2016" t="s">
        <v>136</v>
      </c>
      <c r="E115" s="2046" t="s">
        <v>1091</v>
      </c>
      <c r="F115" s="2087"/>
      <c r="G115" s="2065"/>
      <c r="H115" s="2065"/>
      <c r="I115" s="2065"/>
      <c r="J115" s="2065"/>
      <c r="K115" s="2065"/>
      <c r="L115" s="2065"/>
      <c r="M115" s="2065"/>
      <c r="N115" s="2065"/>
      <c r="O115" s="2065"/>
      <c r="P115" s="2065"/>
      <c r="Q115" s="2065"/>
      <c r="R115" s="2065"/>
      <c r="S115" s="2065"/>
      <c r="T115" s="2065"/>
      <c r="U115" s="2065"/>
      <c r="V115" s="2065"/>
      <c r="W115" s="2065"/>
      <c r="X115" s="2065"/>
      <c r="Y115" s="2065"/>
      <c r="Z115" s="2065"/>
      <c r="AA115" s="2065"/>
      <c r="AB115" s="2065"/>
      <c r="AC115" s="2065"/>
      <c r="AD115" s="2065"/>
      <c r="AE115" s="2065"/>
      <c r="AF115" s="2065"/>
      <c r="AG115" s="2065"/>
      <c r="AH115" s="2065"/>
      <c r="AI115" s="2065"/>
      <c r="AJ115" s="2065"/>
      <c r="AK115" s="2065"/>
      <c r="AL115" s="2065"/>
      <c r="AM115" s="2065"/>
      <c r="AN115" s="2065"/>
      <c r="AO115" s="2065"/>
      <c r="AP115" s="2065"/>
      <c r="AQ115" s="2065"/>
    </row>
    <row r="116" spans="2:43" x14ac:dyDescent="0.2">
      <c r="B116" s="2048"/>
      <c r="C116" s="2064"/>
      <c r="D116" s="2016" t="s">
        <v>317</v>
      </c>
      <c r="E116" s="2046" t="s">
        <v>1092</v>
      </c>
      <c r="F116" s="2087"/>
      <c r="G116" s="2065"/>
      <c r="H116" s="2065"/>
      <c r="I116" s="2065"/>
      <c r="J116" s="2065"/>
      <c r="K116" s="2065"/>
      <c r="L116" s="2065"/>
      <c r="M116" s="2065"/>
      <c r="N116" s="2065"/>
      <c r="O116" s="2065"/>
      <c r="P116" s="2065"/>
      <c r="Q116" s="2065"/>
      <c r="R116" s="2065"/>
      <c r="S116" s="2065"/>
      <c r="T116" s="2065"/>
      <c r="U116" s="2065"/>
      <c r="V116" s="2065"/>
      <c r="W116" s="2065"/>
      <c r="X116" s="2065"/>
      <c r="Y116" s="2065"/>
      <c r="Z116" s="2065"/>
      <c r="AA116" s="2065"/>
      <c r="AB116" s="2065"/>
      <c r="AC116" s="2065"/>
      <c r="AD116" s="2065"/>
      <c r="AE116" s="2065"/>
      <c r="AF116" s="2065"/>
      <c r="AG116" s="2065"/>
      <c r="AH116" s="2065"/>
      <c r="AI116" s="2065"/>
      <c r="AJ116" s="2065"/>
      <c r="AK116" s="2065"/>
      <c r="AL116" s="2065"/>
      <c r="AM116" s="2065"/>
      <c r="AN116" s="2065"/>
      <c r="AO116" s="2065"/>
      <c r="AP116" s="2065"/>
      <c r="AQ116" s="2065"/>
    </row>
    <row r="117" spans="2:43" x14ac:dyDescent="0.2">
      <c r="B117" s="2048"/>
      <c r="C117" s="2064"/>
      <c r="D117" s="2016" t="s">
        <v>319</v>
      </c>
      <c r="E117" s="2046" t="s">
        <v>1093</v>
      </c>
      <c r="F117" s="2087"/>
      <c r="G117" s="2065"/>
      <c r="H117" s="2065"/>
      <c r="I117" s="2065"/>
      <c r="J117" s="2065"/>
      <c r="K117" s="2065"/>
      <c r="L117" s="2065"/>
      <c r="M117" s="2065"/>
      <c r="N117" s="2065"/>
      <c r="O117" s="2065"/>
      <c r="P117" s="2065"/>
      <c r="Q117" s="2065"/>
      <c r="R117" s="2065"/>
      <c r="S117" s="2065"/>
      <c r="T117" s="2065"/>
      <c r="U117" s="2065"/>
      <c r="V117" s="2065"/>
      <c r="W117" s="2065"/>
      <c r="X117" s="2065"/>
      <c r="Y117" s="2065"/>
      <c r="Z117" s="2065"/>
      <c r="AA117" s="2065"/>
      <c r="AB117" s="2065"/>
      <c r="AC117" s="2065"/>
      <c r="AD117" s="2065"/>
      <c r="AE117" s="2065"/>
      <c r="AF117" s="2065"/>
      <c r="AG117" s="2065"/>
      <c r="AH117" s="2065"/>
      <c r="AI117" s="2065"/>
      <c r="AJ117" s="2065"/>
      <c r="AK117" s="2065"/>
      <c r="AL117" s="2065"/>
      <c r="AM117" s="2065"/>
      <c r="AN117" s="2065"/>
      <c r="AO117" s="2065"/>
      <c r="AP117" s="2065"/>
      <c r="AQ117" s="2065"/>
    </row>
    <row r="118" spans="2:43" x14ac:dyDescent="0.2">
      <c r="B118" s="2048"/>
      <c r="C118" s="2064"/>
      <c r="D118" s="2016" t="s">
        <v>1067</v>
      </c>
      <c r="E118" s="2046" t="s">
        <v>1094</v>
      </c>
      <c r="F118" s="2087"/>
      <c r="G118" s="2065"/>
      <c r="H118" s="2065"/>
      <c r="I118" s="2065"/>
      <c r="J118" s="2065"/>
      <c r="K118" s="2065"/>
      <c r="L118" s="2065"/>
      <c r="M118" s="2065"/>
      <c r="N118" s="2065"/>
      <c r="O118" s="2065"/>
      <c r="P118" s="2065"/>
      <c r="Q118" s="2065"/>
      <c r="R118" s="2065"/>
      <c r="S118" s="2065"/>
      <c r="T118" s="2065"/>
      <c r="U118" s="2065"/>
      <c r="V118" s="2065"/>
      <c r="W118" s="2065"/>
      <c r="X118" s="2065"/>
      <c r="Y118" s="2065"/>
      <c r="Z118" s="2065"/>
      <c r="AA118" s="2065"/>
      <c r="AB118" s="2065"/>
      <c r="AC118" s="2065"/>
      <c r="AD118" s="2065"/>
      <c r="AE118" s="2065"/>
      <c r="AF118" s="2065"/>
      <c r="AG118" s="2065"/>
      <c r="AH118" s="2065"/>
      <c r="AI118" s="2065"/>
      <c r="AJ118" s="2065"/>
      <c r="AK118" s="2065"/>
      <c r="AL118" s="2065"/>
      <c r="AM118" s="2065"/>
      <c r="AN118" s="2065"/>
      <c r="AO118" s="2065"/>
      <c r="AP118" s="2065"/>
      <c r="AQ118" s="2065"/>
    </row>
    <row r="119" spans="2:43" x14ac:dyDescent="0.2">
      <c r="B119" s="2048"/>
      <c r="C119" s="2064"/>
      <c r="D119" s="2016" t="s">
        <v>1073</v>
      </c>
      <c r="E119" s="2046" t="s">
        <v>1095</v>
      </c>
      <c r="F119" s="2087"/>
      <c r="G119" s="2065"/>
      <c r="H119" s="2065"/>
      <c r="I119" s="2065"/>
      <c r="J119" s="2065"/>
      <c r="K119" s="2065"/>
      <c r="L119" s="2065"/>
      <c r="M119" s="2065"/>
      <c r="N119" s="2065"/>
      <c r="O119" s="2065"/>
      <c r="P119" s="2065"/>
      <c r="Q119" s="2065"/>
      <c r="R119" s="2065"/>
      <c r="S119" s="2065"/>
      <c r="T119" s="2065"/>
      <c r="U119" s="2065"/>
      <c r="V119" s="2065"/>
      <c r="W119" s="2065"/>
      <c r="X119" s="2065"/>
      <c r="Y119" s="2065"/>
      <c r="Z119" s="2065"/>
      <c r="AA119" s="2065"/>
      <c r="AB119" s="2065"/>
      <c r="AC119" s="2065"/>
      <c r="AD119" s="2065"/>
      <c r="AE119" s="2065"/>
      <c r="AF119" s="2065"/>
      <c r="AG119" s="2065"/>
      <c r="AH119" s="2065"/>
      <c r="AI119" s="2065"/>
      <c r="AJ119" s="2065"/>
      <c r="AK119" s="2065"/>
      <c r="AL119" s="2065"/>
      <c r="AM119" s="2065"/>
      <c r="AN119" s="2065"/>
      <c r="AO119" s="2065"/>
      <c r="AP119" s="2065"/>
      <c r="AQ119" s="2065"/>
    </row>
    <row r="120" spans="2:43" x14ac:dyDescent="0.2">
      <c r="B120" s="2048"/>
      <c r="C120" s="2064"/>
      <c r="D120" s="2016" t="s">
        <v>1087</v>
      </c>
      <c r="E120" s="2046" t="s">
        <v>1096</v>
      </c>
      <c r="F120" s="2087"/>
      <c r="G120" s="2065"/>
      <c r="H120" s="2065"/>
      <c r="I120" s="2065"/>
      <c r="J120" s="2065"/>
      <c r="K120" s="2065"/>
      <c r="L120" s="2065"/>
      <c r="M120" s="2065"/>
      <c r="N120" s="2065"/>
      <c r="O120" s="2065"/>
      <c r="P120" s="2065"/>
      <c r="Q120" s="2065"/>
      <c r="R120" s="2065"/>
      <c r="S120" s="2065"/>
      <c r="T120" s="2065"/>
      <c r="U120" s="2065"/>
      <c r="V120" s="2065"/>
      <c r="W120" s="2065"/>
      <c r="X120" s="2065"/>
      <c r="Y120" s="2065"/>
      <c r="Z120" s="2065"/>
      <c r="AA120" s="2065"/>
      <c r="AB120" s="2065"/>
      <c r="AC120" s="2065"/>
      <c r="AD120" s="2065"/>
      <c r="AE120" s="2065"/>
      <c r="AF120" s="2065"/>
      <c r="AG120" s="2065"/>
      <c r="AH120" s="2065"/>
      <c r="AI120" s="2065"/>
      <c r="AJ120" s="2065"/>
      <c r="AK120" s="2065"/>
      <c r="AL120" s="2065"/>
      <c r="AM120" s="2065"/>
      <c r="AN120" s="2065"/>
      <c r="AO120" s="2065"/>
      <c r="AP120" s="2065"/>
      <c r="AQ120" s="2065"/>
    </row>
    <row r="121" spans="2:43" x14ac:dyDescent="0.2">
      <c r="B121" s="2048"/>
      <c r="C121" s="2064"/>
      <c r="D121" s="2016" t="s">
        <v>1077</v>
      </c>
      <c r="E121" s="2046"/>
      <c r="F121" s="2087"/>
      <c r="G121" s="2065"/>
      <c r="H121" s="2065"/>
      <c r="I121" s="2065"/>
      <c r="J121" s="2065"/>
      <c r="K121" s="2065"/>
      <c r="L121" s="2065"/>
      <c r="M121" s="2065"/>
      <c r="N121" s="2065"/>
      <c r="O121" s="2065"/>
      <c r="P121" s="2065"/>
      <c r="Q121" s="2065"/>
      <c r="R121" s="2065"/>
      <c r="S121" s="2065"/>
      <c r="T121" s="2065"/>
      <c r="U121" s="2065"/>
      <c r="V121" s="2065"/>
      <c r="W121" s="2065"/>
      <c r="X121" s="2065"/>
      <c r="Y121" s="2065"/>
      <c r="Z121" s="2065"/>
      <c r="AA121" s="2065"/>
      <c r="AB121" s="2065"/>
      <c r="AC121" s="2065"/>
      <c r="AD121" s="2065"/>
      <c r="AE121" s="2065"/>
      <c r="AF121" s="2065"/>
      <c r="AG121" s="2065"/>
      <c r="AH121" s="2065"/>
      <c r="AI121" s="2065"/>
      <c r="AJ121" s="2065"/>
      <c r="AK121" s="2065"/>
      <c r="AL121" s="2065"/>
      <c r="AM121" s="2065"/>
      <c r="AN121" s="2065"/>
      <c r="AO121" s="2065"/>
      <c r="AP121" s="2065"/>
      <c r="AQ121" s="2065"/>
    </row>
    <row r="122" spans="2:43" x14ac:dyDescent="0.2">
      <c r="B122" s="2048"/>
      <c r="C122" s="2064"/>
      <c r="D122" s="2080"/>
      <c r="E122" s="2016"/>
      <c r="F122" s="2021"/>
      <c r="G122" s="2065"/>
      <c r="H122" s="2065"/>
      <c r="I122" s="2065"/>
      <c r="J122" s="2065"/>
      <c r="K122" s="2065"/>
      <c r="L122" s="2065"/>
      <c r="M122" s="2065"/>
      <c r="N122" s="2065"/>
      <c r="O122" s="2065"/>
      <c r="P122" s="2065"/>
      <c r="Q122" s="2065"/>
      <c r="R122" s="2065"/>
      <c r="S122" s="2065"/>
      <c r="T122" s="2065"/>
      <c r="U122" s="2065"/>
      <c r="V122" s="2065"/>
      <c r="W122" s="2065"/>
      <c r="X122" s="2065"/>
      <c r="Y122" s="2065"/>
      <c r="Z122" s="2065"/>
      <c r="AA122" s="2065"/>
      <c r="AB122" s="2065"/>
      <c r="AC122" s="2065"/>
      <c r="AD122" s="2065"/>
      <c r="AE122" s="2065"/>
      <c r="AF122" s="2065"/>
      <c r="AG122" s="2065"/>
      <c r="AH122" s="2065"/>
      <c r="AI122" s="2065"/>
      <c r="AJ122" s="2065"/>
      <c r="AK122" s="2065"/>
      <c r="AL122" s="2065"/>
      <c r="AM122" s="2065"/>
      <c r="AN122" s="2065"/>
      <c r="AO122" s="2065"/>
      <c r="AP122" s="2065"/>
      <c r="AQ122" s="2065"/>
    </row>
    <row r="124" spans="2:43" ht="15.75" x14ac:dyDescent="0.2">
      <c r="B124" s="2011" t="s">
        <v>168</v>
      </c>
      <c r="C124" s="2011"/>
      <c r="D124" s="2012"/>
      <c r="E124" s="2012"/>
      <c r="F124" s="2012"/>
      <c r="G124" s="2012"/>
      <c r="H124" s="2012"/>
      <c r="I124" s="2012"/>
      <c r="J124" s="2012"/>
      <c r="K124" s="2012"/>
      <c r="L124" s="2012"/>
      <c r="M124" s="2012"/>
      <c r="N124" s="2012"/>
      <c r="O124" s="2012"/>
      <c r="P124" s="2012"/>
      <c r="Q124" s="2012"/>
      <c r="R124" s="2012"/>
      <c r="S124" s="2012"/>
      <c r="T124" s="2012"/>
      <c r="U124" s="2012"/>
      <c r="V124" s="2012"/>
      <c r="W124" s="2012"/>
      <c r="X124" s="2012"/>
      <c r="Y124" s="2012"/>
      <c r="Z124" s="2012"/>
      <c r="AA124" s="2012"/>
      <c r="AB124" s="2012"/>
      <c r="AC124" s="2012"/>
      <c r="AD124" s="2012"/>
      <c r="AE124" s="2012"/>
      <c r="AF124" s="2012"/>
      <c r="AG124" s="2012"/>
      <c r="AH124" s="2012"/>
      <c r="AI124" s="2012"/>
      <c r="AJ124" s="2012"/>
      <c r="AK124" s="2012"/>
      <c r="AL124" s="2012"/>
      <c r="AM124" s="2012"/>
      <c r="AN124" s="2012"/>
      <c r="AO124" s="2012"/>
      <c r="AP124" s="2012"/>
      <c r="AQ124" s="2012"/>
    </row>
    <row r="125" spans="2:43" x14ac:dyDescent="0.2">
      <c r="B125" s="2016"/>
      <c r="C125" s="2017"/>
      <c r="D125" s="2016"/>
      <c r="E125" s="2016"/>
      <c r="F125" s="2016"/>
      <c r="G125" s="2016"/>
      <c r="H125" s="2016"/>
      <c r="I125" s="2016"/>
      <c r="J125" s="2016"/>
      <c r="K125" s="2016"/>
      <c r="L125" s="2016"/>
      <c r="M125" s="2016"/>
      <c r="N125" s="2016"/>
      <c r="O125" s="2016"/>
      <c r="P125" s="2016"/>
      <c r="Q125" s="2016"/>
      <c r="R125" s="2016"/>
      <c r="S125" s="2016"/>
      <c r="T125" s="2016"/>
      <c r="U125" s="2016"/>
      <c r="V125" s="2016"/>
      <c r="W125" s="2016"/>
      <c r="X125" s="2016"/>
      <c r="Y125" s="2016"/>
      <c r="Z125" s="2016"/>
      <c r="AA125" s="2016"/>
      <c r="AB125" s="2016"/>
      <c r="AC125" s="2016"/>
      <c r="AD125" s="2016"/>
      <c r="AE125" s="2016"/>
      <c r="AF125" s="2016"/>
      <c r="AG125" s="2016"/>
      <c r="AH125" s="2016"/>
      <c r="AI125" s="2016"/>
      <c r="AJ125" s="2016"/>
      <c r="AK125" s="2016"/>
      <c r="AL125" s="2016"/>
      <c r="AM125" s="2016"/>
      <c r="AN125" s="2016"/>
      <c r="AO125" s="2016"/>
      <c r="AP125" s="2016"/>
      <c r="AQ125" s="2016"/>
    </row>
    <row r="126" spans="2:43" x14ac:dyDescent="0.2">
      <c r="B126" s="2016"/>
      <c r="C126" s="2017" t="s">
        <v>1097</v>
      </c>
      <c r="D126" s="2016"/>
      <c r="E126" s="2016"/>
      <c r="F126" s="2016"/>
      <c r="G126" s="2016"/>
      <c r="H126" s="2016"/>
      <c r="I126" s="2016"/>
      <c r="J126" s="2016"/>
      <c r="K126" s="2016"/>
      <c r="L126" s="2016"/>
      <c r="M126" s="2016"/>
      <c r="N126" s="2016"/>
      <c r="O126" s="2016"/>
      <c r="P126" s="2016"/>
      <c r="Q126" s="2016"/>
      <c r="R126" s="2016"/>
      <c r="S126" s="2016"/>
      <c r="T126" s="2016"/>
      <c r="U126" s="2016"/>
      <c r="V126" s="2016"/>
      <c r="W126" s="2016"/>
      <c r="X126" s="2016"/>
      <c r="Y126" s="2016"/>
      <c r="Z126" s="2016"/>
      <c r="AA126" s="2016"/>
      <c r="AB126" s="2016"/>
      <c r="AC126" s="2016"/>
      <c r="AD126" s="2016"/>
      <c r="AE126" s="2016"/>
      <c r="AF126" s="2016"/>
      <c r="AG126" s="2016"/>
      <c r="AH126" s="2016"/>
      <c r="AI126" s="2016"/>
      <c r="AJ126" s="2016"/>
      <c r="AK126" s="2016"/>
      <c r="AL126" s="2016"/>
      <c r="AM126" s="2016"/>
      <c r="AN126" s="2016"/>
      <c r="AO126" s="2016"/>
      <c r="AP126" s="2016"/>
      <c r="AQ126" s="2016"/>
    </row>
    <row r="127" spans="2:43" x14ac:dyDescent="0.2">
      <c r="B127" s="2018"/>
      <c r="C127" s="2054"/>
      <c r="D127" s="2019" t="s">
        <v>1029</v>
      </c>
      <c r="E127" s="2019" t="s">
        <v>8</v>
      </c>
      <c r="F127" s="2019"/>
      <c r="G127" s="2019">
        <v>2014</v>
      </c>
      <c r="H127" s="2019">
        <v>2015</v>
      </c>
      <c r="I127" s="2019">
        <v>2016</v>
      </c>
      <c r="J127" s="2019">
        <v>2017</v>
      </c>
      <c r="K127" s="2019">
        <v>2018</v>
      </c>
      <c r="L127" s="2019">
        <v>2019</v>
      </c>
      <c r="M127" s="2019">
        <v>2020</v>
      </c>
      <c r="N127" s="2019">
        <v>2021</v>
      </c>
      <c r="O127" s="2019">
        <v>2022</v>
      </c>
      <c r="P127" s="2019">
        <v>2023</v>
      </c>
      <c r="Q127" s="2019">
        <v>2024</v>
      </c>
      <c r="R127" s="2019">
        <v>2025</v>
      </c>
      <c r="S127" s="2019">
        <v>2026</v>
      </c>
      <c r="T127" s="2019">
        <v>2027</v>
      </c>
      <c r="U127" s="2019">
        <v>2028</v>
      </c>
      <c r="V127" s="2019">
        <v>2029</v>
      </c>
      <c r="W127" s="2019">
        <v>2030</v>
      </c>
      <c r="X127" s="2019">
        <v>2031</v>
      </c>
      <c r="Y127" s="2019">
        <v>2032</v>
      </c>
      <c r="Z127" s="2019">
        <v>2033</v>
      </c>
      <c r="AA127" s="2019">
        <v>2034</v>
      </c>
      <c r="AB127" s="2019">
        <v>2035</v>
      </c>
      <c r="AC127" s="2019">
        <v>2036</v>
      </c>
      <c r="AD127" s="2019">
        <v>2037</v>
      </c>
      <c r="AE127" s="2019">
        <v>2038</v>
      </c>
      <c r="AF127" s="2019">
        <v>2039</v>
      </c>
      <c r="AG127" s="2019">
        <v>2040</v>
      </c>
      <c r="AH127" s="2019">
        <v>2041</v>
      </c>
      <c r="AI127" s="2019">
        <v>2042</v>
      </c>
      <c r="AJ127" s="2019">
        <v>2043</v>
      </c>
      <c r="AK127" s="2019">
        <v>2044</v>
      </c>
      <c r="AL127" s="2019">
        <v>2045</v>
      </c>
      <c r="AM127" s="2019">
        <v>2046</v>
      </c>
      <c r="AN127" s="2019">
        <v>2047</v>
      </c>
      <c r="AO127" s="2019">
        <v>2048</v>
      </c>
      <c r="AP127" s="2019">
        <v>2049</v>
      </c>
      <c r="AQ127" s="2019">
        <v>2050</v>
      </c>
    </row>
    <row r="128" spans="2:43" x14ac:dyDescent="0.2">
      <c r="B128" s="2018"/>
      <c r="C128" s="2064" t="s">
        <v>1030</v>
      </c>
      <c r="D128" s="2022" t="s">
        <v>1031</v>
      </c>
      <c r="E128" s="2016"/>
      <c r="F128" s="2021"/>
      <c r="G128" s="2088">
        <f t="shared" ref="G128:AQ128" si="37">+G22</f>
        <v>0.1333</v>
      </c>
      <c r="H128" s="2088">
        <f t="shared" si="37"/>
        <v>0.1333</v>
      </c>
      <c r="I128" s="2088">
        <f t="shared" si="37"/>
        <v>0.1333</v>
      </c>
      <c r="J128" s="2088">
        <f t="shared" si="37"/>
        <v>0.1333</v>
      </c>
      <c r="K128" s="2088">
        <f t="shared" si="37"/>
        <v>0.1333</v>
      </c>
      <c r="L128" s="2088">
        <f t="shared" si="37"/>
        <v>0.1333</v>
      </c>
      <c r="M128" s="2088">
        <f t="shared" si="37"/>
        <v>0.1333</v>
      </c>
      <c r="N128" s="2088">
        <f t="shared" si="37"/>
        <v>0.1333</v>
      </c>
      <c r="O128" s="2088">
        <f t="shared" si="37"/>
        <v>0.1333</v>
      </c>
      <c r="P128" s="2088">
        <f t="shared" si="37"/>
        <v>0.1333</v>
      </c>
      <c r="Q128" s="2088">
        <f t="shared" si="37"/>
        <v>0.1333</v>
      </c>
      <c r="R128" s="2088">
        <f t="shared" si="37"/>
        <v>0.1333</v>
      </c>
      <c r="S128" s="2088">
        <f t="shared" si="37"/>
        <v>0.1333</v>
      </c>
      <c r="T128" s="2088">
        <f t="shared" si="37"/>
        <v>0.1333</v>
      </c>
      <c r="U128" s="2088">
        <f t="shared" si="37"/>
        <v>0.1333</v>
      </c>
      <c r="V128" s="2088">
        <f t="shared" si="37"/>
        <v>0.1333</v>
      </c>
      <c r="W128" s="2088">
        <f t="shared" si="37"/>
        <v>0.1333</v>
      </c>
      <c r="X128" s="2088">
        <f t="shared" si="37"/>
        <v>0.1333</v>
      </c>
      <c r="Y128" s="2088">
        <f t="shared" si="37"/>
        <v>0.1333</v>
      </c>
      <c r="Z128" s="2088">
        <f t="shared" si="37"/>
        <v>0.1333</v>
      </c>
      <c r="AA128" s="2088">
        <f t="shared" si="37"/>
        <v>0.1333</v>
      </c>
      <c r="AB128" s="2088">
        <f t="shared" si="37"/>
        <v>0.1333</v>
      </c>
      <c r="AC128" s="2088">
        <f t="shared" si="37"/>
        <v>0.1333</v>
      </c>
      <c r="AD128" s="2088">
        <f t="shared" si="37"/>
        <v>0.1333</v>
      </c>
      <c r="AE128" s="2088">
        <f t="shared" si="37"/>
        <v>0.1333</v>
      </c>
      <c r="AF128" s="2088">
        <f t="shared" si="37"/>
        <v>0.1333</v>
      </c>
      <c r="AG128" s="2088">
        <f t="shared" si="37"/>
        <v>0.1333</v>
      </c>
      <c r="AH128" s="2088">
        <f t="shared" si="37"/>
        <v>0.1333</v>
      </c>
      <c r="AI128" s="2088">
        <f t="shared" si="37"/>
        <v>0.1333</v>
      </c>
      <c r="AJ128" s="2088">
        <f t="shared" si="37"/>
        <v>0.1333</v>
      </c>
      <c r="AK128" s="2088">
        <f t="shared" si="37"/>
        <v>0.1333</v>
      </c>
      <c r="AL128" s="2088">
        <f t="shared" si="37"/>
        <v>0.1333</v>
      </c>
      <c r="AM128" s="2088">
        <f t="shared" si="37"/>
        <v>0.1333</v>
      </c>
      <c r="AN128" s="2088">
        <f t="shared" si="37"/>
        <v>0.1333</v>
      </c>
      <c r="AO128" s="2088">
        <f t="shared" si="37"/>
        <v>0.1333</v>
      </c>
      <c r="AP128" s="2088">
        <f t="shared" si="37"/>
        <v>0.1333</v>
      </c>
      <c r="AQ128" s="2088">
        <f t="shared" si="37"/>
        <v>0.1333</v>
      </c>
    </row>
    <row r="129" spans="2:43" x14ac:dyDescent="0.2">
      <c r="B129" s="2018"/>
      <c r="C129" s="2064" t="s">
        <v>1033</v>
      </c>
      <c r="D129" s="2022" t="s">
        <v>1031</v>
      </c>
      <c r="E129" s="2016"/>
      <c r="F129" s="2021"/>
      <c r="G129" s="2088">
        <f t="shared" ref="G129:AQ129" si="38">+G30</f>
        <v>2.81E-2</v>
      </c>
      <c r="H129" s="2088">
        <f t="shared" si="38"/>
        <v>2.81E-2</v>
      </c>
      <c r="I129" s="2088">
        <f t="shared" si="38"/>
        <v>2.81E-2</v>
      </c>
      <c r="J129" s="2088">
        <f t="shared" si="38"/>
        <v>2.81E-2</v>
      </c>
      <c r="K129" s="2088">
        <f t="shared" si="38"/>
        <v>2.81E-2</v>
      </c>
      <c r="L129" s="2088">
        <f t="shared" si="38"/>
        <v>2.81E-2</v>
      </c>
      <c r="M129" s="2088">
        <f t="shared" si="38"/>
        <v>2.81E-2</v>
      </c>
      <c r="N129" s="2088">
        <f t="shared" si="38"/>
        <v>2.81E-2</v>
      </c>
      <c r="O129" s="2088">
        <f t="shared" si="38"/>
        <v>2.81E-2</v>
      </c>
      <c r="P129" s="2088">
        <f t="shared" si="38"/>
        <v>2.81E-2</v>
      </c>
      <c r="Q129" s="2088">
        <f t="shared" si="38"/>
        <v>2.81E-2</v>
      </c>
      <c r="R129" s="2088">
        <f t="shared" si="38"/>
        <v>2.81E-2</v>
      </c>
      <c r="S129" s="2088">
        <f t="shared" si="38"/>
        <v>2.81E-2</v>
      </c>
      <c r="T129" s="2088">
        <f t="shared" si="38"/>
        <v>2.81E-2</v>
      </c>
      <c r="U129" s="2088">
        <f t="shared" si="38"/>
        <v>2.81E-2</v>
      </c>
      <c r="V129" s="2088">
        <f t="shared" si="38"/>
        <v>2.81E-2</v>
      </c>
      <c r="W129" s="2088">
        <f t="shared" si="38"/>
        <v>2.81E-2</v>
      </c>
      <c r="X129" s="2088">
        <f t="shared" si="38"/>
        <v>2.81E-2</v>
      </c>
      <c r="Y129" s="2088">
        <f t="shared" si="38"/>
        <v>2.81E-2</v>
      </c>
      <c r="Z129" s="2088">
        <f t="shared" si="38"/>
        <v>2.81E-2</v>
      </c>
      <c r="AA129" s="2088">
        <f t="shared" si="38"/>
        <v>2.81E-2</v>
      </c>
      <c r="AB129" s="2088">
        <f t="shared" si="38"/>
        <v>2.81E-2</v>
      </c>
      <c r="AC129" s="2088">
        <f t="shared" si="38"/>
        <v>2.81E-2</v>
      </c>
      <c r="AD129" s="2088">
        <f t="shared" si="38"/>
        <v>2.81E-2</v>
      </c>
      <c r="AE129" s="2088">
        <f t="shared" si="38"/>
        <v>2.81E-2</v>
      </c>
      <c r="AF129" s="2088">
        <f t="shared" si="38"/>
        <v>2.81E-2</v>
      </c>
      <c r="AG129" s="2088">
        <f t="shared" si="38"/>
        <v>2.81E-2</v>
      </c>
      <c r="AH129" s="2088">
        <f t="shared" si="38"/>
        <v>2.81E-2</v>
      </c>
      <c r="AI129" s="2088">
        <f t="shared" si="38"/>
        <v>2.81E-2</v>
      </c>
      <c r="AJ129" s="2088">
        <f t="shared" si="38"/>
        <v>2.81E-2</v>
      </c>
      <c r="AK129" s="2088">
        <f t="shared" si="38"/>
        <v>2.81E-2</v>
      </c>
      <c r="AL129" s="2088">
        <f t="shared" si="38"/>
        <v>2.81E-2</v>
      </c>
      <c r="AM129" s="2088">
        <f t="shared" si="38"/>
        <v>2.81E-2</v>
      </c>
      <c r="AN129" s="2088">
        <f t="shared" si="38"/>
        <v>2.81E-2</v>
      </c>
      <c r="AO129" s="2088">
        <f t="shared" si="38"/>
        <v>2.81E-2</v>
      </c>
      <c r="AP129" s="2088">
        <f t="shared" si="38"/>
        <v>2.81E-2</v>
      </c>
      <c r="AQ129" s="2088">
        <f t="shared" si="38"/>
        <v>2.81E-2</v>
      </c>
    </row>
    <row r="130" spans="2:43" x14ac:dyDescent="0.2">
      <c r="B130" s="2018"/>
      <c r="C130" s="2066" t="s">
        <v>1098</v>
      </c>
      <c r="D130" s="2030" t="s">
        <v>1031</v>
      </c>
      <c r="E130" s="2024"/>
      <c r="F130" s="2025"/>
      <c r="G130" s="2089">
        <v>1E-3</v>
      </c>
      <c r="H130" s="2089">
        <v>1E-3</v>
      </c>
      <c r="I130" s="2089">
        <v>1E-3</v>
      </c>
      <c r="J130" s="2089">
        <v>1E-3</v>
      </c>
      <c r="K130" s="2089">
        <v>1E-3</v>
      </c>
      <c r="L130" s="2089">
        <v>1E-3</v>
      </c>
      <c r="M130" s="2089">
        <v>1E-3</v>
      </c>
      <c r="N130" s="2089">
        <v>1E-3</v>
      </c>
      <c r="O130" s="2089">
        <v>1E-3</v>
      </c>
      <c r="P130" s="2089">
        <v>1E-3</v>
      </c>
      <c r="Q130" s="2089">
        <v>1E-3</v>
      </c>
      <c r="R130" s="2089">
        <v>1E-3</v>
      </c>
      <c r="S130" s="2089">
        <v>1E-3</v>
      </c>
      <c r="T130" s="2089">
        <v>1E-3</v>
      </c>
      <c r="U130" s="2089">
        <v>1E-3</v>
      </c>
      <c r="V130" s="2089">
        <v>1E-3</v>
      </c>
      <c r="W130" s="2089">
        <v>1E-3</v>
      </c>
      <c r="X130" s="2089">
        <v>1E-3</v>
      </c>
      <c r="Y130" s="2089">
        <v>1E-3</v>
      </c>
      <c r="Z130" s="2089">
        <v>1E-3</v>
      </c>
      <c r="AA130" s="2089">
        <v>1E-3</v>
      </c>
      <c r="AB130" s="2089">
        <v>1E-3</v>
      </c>
      <c r="AC130" s="2089">
        <v>1E-3</v>
      </c>
      <c r="AD130" s="2089">
        <v>1E-3</v>
      </c>
      <c r="AE130" s="2089">
        <v>1E-3</v>
      </c>
      <c r="AF130" s="2089">
        <v>1E-3</v>
      </c>
      <c r="AG130" s="2089">
        <v>1E-3</v>
      </c>
      <c r="AH130" s="2089">
        <v>1E-3</v>
      </c>
      <c r="AI130" s="2089">
        <v>1E-3</v>
      </c>
      <c r="AJ130" s="2089">
        <v>1E-3</v>
      </c>
      <c r="AK130" s="2089">
        <v>1E-3</v>
      </c>
      <c r="AL130" s="2089">
        <v>1E-3</v>
      </c>
      <c r="AM130" s="2089">
        <v>1E-3</v>
      </c>
      <c r="AN130" s="2089">
        <v>1E-3</v>
      </c>
      <c r="AO130" s="2089">
        <v>1E-3</v>
      </c>
      <c r="AP130" s="2089">
        <v>1E-3</v>
      </c>
      <c r="AQ130" s="2089">
        <v>1E-3</v>
      </c>
    </row>
    <row r="131" spans="2:43" x14ac:dyDescent="0.2">
      <c r="B131" s="2018"/>
      <c r="C131" s="2018"/>
      <c r="D131" s="2018"/>
      <c r="E131" s="2018"/>
      <c r="F131" s="2018"/>
      <c r="G131" s="2018"/>
      <c r="H131" s="2018"/>
      <c r="I131" s="2018"/>
      <c r="J131" s="2018"/>
      <c r="K131" s="2018"/>
      <c r="L131" s="2018"/>
      <c r="M131" s="2018"/>
      <c r="N131" s="2018"/>
      <c r="O131" s="2018"/>
      <c r="P131" s="2018"/>
      <c r="Q131" s="2018"/>
      <c r="R131" s="2018"/>
      <c r="S131" s="2018"/>
      <c r="T131" s="2018"/>
      <c r="U131" s="2018"/>
      <c r="V131" s="2018"/>
      <c r="W131" s="2018"/>
      <c r="X131" s="2018"/>
      <c r="Y131" s="2018"/>
      <c r="Z131" s="2018"/>
      <c r="AA131" s="2018"/>
      <c r="AB131" s="2018"/>
      <c r="AC131" s="2018"/>
      <c r="AD131" s="2018"/>
      <c r="AE131" s="2018"/>
      <c r="AF131" s="2018"/>
      <c r="AG131" s="2018"/>
      <c r="AH131" s="2018"/>
      <c r="AI131" s="2018"/>
      <c r="AJ131" s="2018"/>
      <c r="AK131" s="2018"/>
      <c r="AL131" s="2018"/>
      <c r="AM131" s="2018"/>
      <c r="AN131" s="2018"/>
      <c r="AO131" s="2018"/>
      <c r="AP131" s="2018"/>
      <c r="AQ131" s="2018"/>
    </row>
    <row r="132" spans="2:43" x14ac:dyDescent="0.2">
      <c r="B132" s="2018"/>
      <c r="C132" s="2017" t="s">
        <v>1099</v>
      </c>
      <c r="D132" s="2018"/>
      <c r="E132" s="2018"/>
      <c r="F132" s="2018"/>
      <c r="G132" s="2018"/>
      <c r="H132" s="2018"/>
      <c r="I132" s="2018"/>
      <c r="J132" s="2018"/>
      <c r="K132" s="2018"/>
      <c r="L132" s="2018"/>
      <c r="M132" s="2018"/>
      <c r="N132" s="2048"/>
      <c r="O132" s="2048"/>
      <c r="P132" s="2048"/>
      <c r="Q132" s="2048"/>
      <c r="R132" s="2048"/>
      <c r="S132" s="2048"/>
      <c r="T132" s="2048"/>
      <c r="U132" s="2048"/>
      <c r="V132" s="2048"/>
      <c r="W132" s="2048"/>
      <c r="X132" s="2048"/>
      <c r="Y132" s="2048"/>
      <c r="Z132" s="2048"/>
      <c r="AA132" s="2048"/>
      <c r="AB132" s="2018"/>
      <c r="AC132" s="2048"/>
      <c r="AD132" s="2048"/>
      <c r="AE132" s="2048"/>
      <c r="AF132" s="2048"/>
      <c r="AG132" s="2018"/>
      <c r="AH132" s="2048"/>
      <c r="AI132" s="2048"/>
      <c r="AJ132" s="2048"/>
      <c r="AK132" s="2048"/>
      <c r="AL132" s="2018"/>
      <c r="AM132" s="2048"/>
      <c r="AN132" s="2048"/>
      <c r="AO132" s="2048"/>
      <c r="AP132" s="2048"/>
      <c r="AQ132" s="2018"/>
    </row>
    <row r="133" spans="2:43" x14ac:dyDescent="0.2">
      <c r="B133" s="2018"/>
      <c r="C133" s="2054"/>
      <c r="D133" s="2019" t="s">
        <v>1029</v>
      </c>
      <c r="E133" s="2019" t="s">
        <v>8</v>
      </c>
      <c r="F133" s="2019"/>
      <c r="G133" s="2019">
        <v>2014</v>
      </c>
      <c r="H133" s="2019">
        <v>2015</v>
      </c>
      <c r="I133" s="2019">
        <v>2016</v>
      </c>
      <c r="J133" s="2019">
        <v>2017</v>
      </c>
      <c r="K133" s="2019">
        <v>2018</v>
      </c>
      <c r="L133" s="2019">
        <v>2019</v>
      </c>
      <c r="M133" s="2019">
        <v>2020</v>
      </c>
      <c r="N133" s="2019">
        <v>2021</v>
      </c>
      <c r="O133" s="2019">
        <v>2022</v>
      </c>
      <c r="P133" s="2019">
        <v>2023</v>
      </c>
      <c r="Q133" s="2019">
        <v>2024</v>
      </c>
      <c r="R133" s="2019">
        <v>2025</v>
      </c>
      <c r="S133" s="2019">
        <v>2026</v>
      </c>
      <c r="T133" s="2019">
        <v>2027</v>
      </c>
      <c r="U133" s="2019">
        <v>2028</v>
      </c>
      <c r="V133" s="2019">
        <v>2029</v>
      </c>
      <c r="W133" s="2019">
        <v>2030</v>
      </c>
      <c r="X133" s="2019">
        <v>2031</v>
      </c>
      <c r="Y133" s="2019">
        <v>2032</v>
      </c>
      <c r="Z133" s="2019">
        <v>2033</v>
      </c>
      <c r="AA133" s="2019">
        <v>2034</v>
      </c>
      <c r="AB133" s="2019">
        <v>2035</v>
      </c>
      <c r="AC133" s="2019">
        <v>2036</v>
      </c>
      <c r="AD133" s="2019">
        <v>2037</v>
      </c>
      <c r="AE133" s="2019">
        <v>2038</v>
      </c>
      <c r="AF133" s="2019">
        <v>2039</v>
      </c>
      <c r="AG133" s="2019">
        <v>2040</v>
      </c>
      <c r="AH133" s="2019">
        <v>2041</v>
      </c>
      <c r="AI133" s="2019">
        <v>2042</v>
      </c>
      <c r="AJ133" s="2019">
        <v>2043</v>
      </c>
      <c r="AK133" s="2019">
        <v>2044</v>
      </c>
      <c r="AL133" s="2019">
        <v>2045</v>
      </c>
      <c r="AM133" s="2019">
        <v>2046</v>
      </c>
      <c r="AN133" s="2019">
        <v>2047</v>
      </c>
      <c r="AO133" s="2019">
        <v>2048</v>
      </c>
      <c r="AP133" s="2019">
        <v>2049</v>
      </c>
      <c r="AQ133" s="2019">
        <v>2050</v>
      </c>
    </row>
    <row r="134" spans="2:43" x14ac:dyDescent="0.2">
      <c r="B134" s="2018"/>
      <c r="C134" s="2064" t="s">
        <v>1100</v>
      </c>
      <c r="D134" s="2022" t="s">
        <v>1101</v>
      </c>
      <c r="E134" s="2021"/>
      <c r="F134" s="2021"/>
      <c r="G134" s="2038">
        <f t="shared" ref="G134:AQ134" si="39">+G69*G73/1000</f>
        <v>6889.5398398122834</v>
      </c>
      <c r="H134" s="2038">
        <f t="shared" si="39"/>
        <v>6949.5158943624429</v>
      </c>
      <c r="I134" s="2038">
        <f t="shared" si="39"/>
        <v>7055.9355005962698</v>
      </c>
      <c r="J134" s="2038">
        <f t="shared" si="39"/>
        <v>7163.1660998175748</v>
      </c>
      <c r="K134" s="2038">
        <f t="shared" si="39"/>
        <v>7271.203766577959</v>
      </c>
      <c r="L134" s="2038">
        <f t="shared" si="39"/>
        <v>7380.052072799509</v>
      </c>
      <c r="M134" s="2038">
        <f t="shared" si="39"/>
        <v>7489.706217492103</v>
      </c>
      <c r="N134" s="2038">
        <f t="shared" si="39"/>
        <v>7594.8122021322351</v>
      </c>
      <c r="O134" s="2038">
        <f t="shared" si="39"/>
        <v>7700.6415347698849</v>
      </c>
      <c r="P134" s="2038">
        <f t="shared" si="39"/>
        <v>7807.195022959947</v>
      </c>
      <c r="Q134" s="2038">
        <f t="shared" si="39"/>
        <v>7914.4726667024188</v>
      </c>
      <c r="R134" s="2038">
        <f t="shared" si="39"/>
        <v>8022.474885390704</v>
      </c>
      <c r="S134" s="2038">
        <f t="shared" si="39"/>
        <v>8125.5391125168171</v>
      </c>
      <c r="T134" s="2038">
        <f t="shared" si="39"/>
        <v>8229.220577496937</v>
      </c>
      <c r="U134" s="2038">
        <f t="shared" si="39"/>
        <v>8333.5180120650257</v>
      </c>
      <c r="V134" s="2038">
        <f t="shared" si="39"/>
        <v>8438.4318389764303</v>
      </c>
      <c r="W134" s="2038">
        <f t="shared" si="39"/>
        <v>8543.9633668405222</v>
      </c>
      <c r="X134" s="2038">
        <f t="shared" si="39"/>
        <v>8644.6003960608978</v>
      </c>
      <c r="Y134" s="2038">
        <f t="shared" si="39"/>
        <v>8745.7192343238858</v>
      </c>
      <c r="Z134" s="2038">
        <f t="shared" si="39"/>
        <v>8847.3176896077657</v>
      </c>
      <c r="AA134" s="2038">
        <f t="shared" si="39"/>
        <v>8949.3966526622917</v>
      </c>
      <c r="AB134" s="2038">
        <f t="shared" si="39"/>
        <v>9051.9547708536775</v>
      </c>
      <c r="AC134" s="2038">
        <f t="shared" si="39"/>
        <v>9150.3546775091199</v>
      </c>
      <c r="AD134" s="2038">
        <f t="shared" si="39"/>
        <v>9249.0708390548043</v>
      </c>
      <c r="AE134" s="2038">
        <f t="shared" si="39"/>
        <v>9348.1032433763812</v>
      </c>
      <c r="AF134" s="2038">
        <f t="shared" si="39"/>
        <v>9447.4528197576947</v>
      </c>
      <c r="AG134" s="2038">
        <f t="shared" si="39"/>
        <v>9547.11815610146</v>
      </c>
      <c r="AH134" s="2038">
        <f t="shared" si="39"/>
        <v>9645.089847862595</v>
      </c>
      <c r="AI134" s="2038">
        <f t="shared" si="39"/>
        <v>9743.2120067669275</v>
      </c>
      <c r="AJ134" s="2038">
        <f t="shared" si="39"/>
        <v>9841.4860704297389</v>
      </c>
      <c r="AK134" s="2038">
        <f t="shared" si="39"/>
        <v>9939.9110670371847</v>
      </c>
      <c r="AL134" s="2038">
        <f t="shared" si="39"/>
        <v>10038.487480262243</v>
      </c>
      <c r="AM134" s="2038">
        <f t="shared" si="39"/>
        <v>10139.358347112286</v>
      </c>
      <c r="AN134" s="2038">
        <f t="shared" si="39"/>
        <v>10240.247958600241</v>
      </c>
      <c r="AO134" s="2038">
        <f t="shared" si="39"/>
        <v>10341.156299886739</v>
      </c>
      <c r="AP134" s="2038">
        <f t="shared" si="39"/>
        <v>10442.084906719791</v>
      </c>
      <c r="AQ134" s="2038">
        <f t="shared" si="39"/>
        <v>10543.033808778133</v>
      </c>
    </row>
    <row r="135" spans="2:43" x14ac:dyDescent="0.2">
      <c r="B135" s="2018"/>
      <c r="C135" s="2064" t="s">
        <v>1102</v>
      </c>
      <c r="D135" s="2022" t="s">
        <v>1101</v>
      </c>
      <c r="E135" s="2021"/>
      <c r="F135" s="2021"/>
      <c r="G135" s="2038">
        <f t="shared" ref="G135:AQ135" si="40">+G134*G78*G128+G80*G129*G134+G134*G77*G130</f>
        <v>277.84338984654784</v>
      </c>
      <c r="H135" s="2038">
        <f t="shared" si="40"/>
        <v>280.26212182187402</v>
      </c>
      <c r="I135" s="2038">
        <f t="shared" si="40"/>
        <v>287.04724153197554</v>
      </c>
      <c r="J135" s="2038">
        <f t="shared" si="40"/>
        <v>293.94085265406687</v>
      </c>
      <c r="K135" s="2038">
        <f t="shared" si="40"/>
        <v>300.94365247649279</v>
      </c>
      <c r="L135" s="2038">
        <f t="shared" si="40"/>
        <v>308.05664569268794</v>
      </c>
      <c r="M135" s="2038">
        <f t="shared" si="40"/>
        <v>315.28048958581388</v>
      </c>
      <c r="N135" s="2038">
        <f t="shared" si="40"/>
        <v>322.38370271675774</v>
      </c>
      <c r="O135" s="2038">
        <f t="shared" si="40"/>
        <v>329.59201921724599</v>
      </c>
      <c r="P135" s="2038">
        <f t="shared" si="40"/>
        <v>336.90623932991582</v>
      </c>
      <c r="Q135" s="2038">
        <f t="shared" si="40"/>
        <v>344.32712930324004</v>
      </c>
      <c r="R135" s="2038">
        <f t="shared" si="40"/>
        <v>351.8554737797491</v>
      </c>
      <c r="S135" s="2038">
        <f t="shared" si="40"/>
        <v>359.23869162510658</v>
      </c>
      <c r="T135" s="2038">
        <f t="shared" si="40"/>
        <v>366.72204299694187</v>
      </c>
      <c r="U135" s="2038">
        <f t="shared" si="40"/>
        <v>374.30612336299367</v>
      </c>
      <c r="V135" s="2038">
        <f t="shared" si="40"/>
        <v>381.99160295284753</v>
      </c>
      <c r="W135" s="2038">
        <f t="shared" si="40"/>
        <v>389.77919300493551</v>
      </c>
      <c r="X135" s="2038">
        <f t="shared" si="40"/>
        <v>397.41515460374274</v>
      </c>
      <c r="Y135" s="2038">
        <f t="shared" si="40"/>
        <v>405.14433002010691</v>
      </c>
      <c r="Z135" s="2038">
        <f t="shared" si="40"/>
        <v>412.96712605467894</v>
      </c>
      <c r="AA135" s="2038">
        <f t="shared" si="40"/>
        <v>420.88409140042103</v>
      </c>
      <c r="AB135" s="2038">
        <f t="shared" si="40"/>
        <v>428.89566971028296</v>
      </c>
      <c r="AC135" s="2038">
        <f t="shared" si="40"/>
        <v>436.7822244742743</v>
      </c>
      <c r="AD135" s="2038">
        <f t="shared" si="40"/>
        <v>444.75333104116839</v>
      </c>
      <c r="AE135" s="2038">
        <f t="shared" si="40"/>
        <v>452.80932313041041</v>
      </c>
      <c r="AF135" s="2038">
        <f t="shared" si="40"/>
        <v>460.95058037612142</v>
      </c>
      <c r="AG135" s="2038">
        <f t="shared" si="40"/>
        <v>469.17736865887855</v>
      </c>
      <c r="AH135" s="2038">
        <f t="shared" si="40"/>
        <v>478.24027086414753</v>
      </c>
      <c r="AI135" s="2038">
        <f t="shared" si="40"/>
        <v>487.39700466622941</v>
      </c>
      <c r="AJ135" s="2038">
        <f t="shared" si="40"/>
        <v>496.64784143679071</v>
      </c>
      <c r="AK135" s="2038">
        <f t="shared" si="40"/>
        <v>505.99293242791106</v>
      </c>
      <c r="AL135" s="2038">
        <f t="shared" si="40"/>
        <v>515.43250191239531</v>
      </c>
      <c r="AM135" s="2038">
        <f t="shared" si="40"/>
        <v>523.30643943133339</v>
      </c>
      <c r="AN135" s="2038">
        <f t="shared" si="40"/>
        <v>531.23496471070735</v>
      </c>
      <c r="AO135" s="2038">
        <f t="shared" si="40"/>
        <v>539.21809192160174</v>
      </c>
      <c r="AP135" s="2038">
        <f t="shared" si="40"/>
        <v>547.2559164835684</v>
      </c>
      <c r="AQ135" s="2038">
        <f t="shared" si="40"/>
        <v>555.34845611737182</v>
      </c>
    </row>
    <row r="136" spans="2:43" x14ac:dyDescent="0.2">
      <c r="B136" s="2018"/>
      <c r="C136" s="2064" t="s">
        <v>1103</v>
      </c>
      <c r="D136" s="2022" t="s">
        <v>1101</v>
      </c>
      <c r="E136" s="2021"/>
      <c r="F136" s="2021"/>
      <c r="G136" s="2090">
        <f t="shared" ref="G136:AQ136" si="41">+(G134-G135)*G55</f>
        <v>0</v>
      </c>
      <c r="H136" s="2090">
        <f t="shared" si="41"/>
        <v>0</v>
      </c>
      <c r="I136" s="2090">
        <f t="shared" si="41"/>
        <v>0</v>
      </c>
      <c r="J136" s="2090">
        <f t="shared" si="41"/>
        <v>0</v>
      </c>
      <c r="K136" s="2090">
        <f t="shared" si="41"/>
        <v>0</v>
      </c>
      <c r="L136" s="2090">
        <f t="shared" si="41"/>
        <v>0</v>
      </c>
      <c r="M136" s="2090">
        <f t="shared" si="41"/>
        <v>0</v>
      </c>
      <c r="N136" s="2090">
        <f t="shared" si="41"/>
        <v>0</v>
      </c>
      <c r="O136" s="2090">
        <f t="shared" si="41"/>
        <v>0</v>
      </c>
      <c r="P136" s="2090">
        <f t="shared" si="41"/>
        <v>0</v>
      </c>
      <c r="Q136" s="2090">
        <f t="shared" si="41"/>
        <v>0</v>
      </c>
      <c r="R136" s="2090">
        <f t="shared" si="41"/>
        <v>0</v>
      </c>
      <c r="S136" s="2090">
        <f t="shared" si="41"/>
        <v>0</v>
      </c>
      <c r="T136" s="2090">
        <f t="shared" si="41"/>
        <v>0</v>
      </c>
      <c r="U136" s="2090">
        <f t="shared" si="41"/>
        <v>0</v>
      </c>
      <c r="V136" s="2090">
        <f t="shared" si="41"/>
        <v>0</v>
      </c>
      <c r="W136" s="2090">
        <f t="shared" si="41"/>
        <v>0</v>
      </c>
      <c r="X136" s="2090">
        <f t="shared" si="41"/>
        <v>0</v>
      </c>
      <c r="Y136" s="2090">
        <f t="shared" si="41"/>
        <v>0</v>
      </c>
      <c r="Z136" s="2090">
        <f t="shared" si="41"/>
        <v>0</v>
      </c>
      <c r="AA136" s="2090">
        <f t="shared" si="41"/>
        <v>0</v>
      </c>
      <c r="AB136" s="2090">
        <f t="shared" si="41"/>
        <v>0</v>
      </c>
      <c r="AC136" s="2090">
        <f t="shared" si="41"/>
        <v>0</v>
      </c>
      <c r="AD136" s="2090">
        <f t="shared" si="41"/>
        <v>0</v>
      </c>
      <c r="AE136" s="2090">
        <f t="shared" si="41"/>
        <v>0</v>
      </c>
      <c r="AF136" s="2090">
        <f t="shared" si="41"/>
        <v>0</v>
      </c>
      <c r="AG136" s="2090">
        <f t="shared" si="41"/>
        <v>0</v>
      </c>
      <c r="AH136" s="2090">
        <f t="shared" si="41"/>
        <v>0</v>
      </c>
      <c r="AI136" s="2090">
        <f t="shared" si="41"/>
        <v>0</v>
      </c>
      <c r="AJ136" s="2090">
        <f t="shared" si="41"/>
        <v>0</v>
      </c>
      <c r="AK136" s="2090">
        <f t="shared" si="41"/>
        <v>0</v>
      </c>
      <c r="AL136" s="2090">
        <f t="shared" si="41"/>
        <v>0</v>
      </c>
      <c r="AM136" s="2090">
        <f t="shared" si="41"/>
        <v>0</v>
      </c>
      <c r="AN136" s="2090">
        <f t="shared" si="41"/>
        <v>0</v>
      </c>
      <c r="AO136" s="2090">
        <f t="shared" si="41"/>
        <v>0</v>
      </c>
      <c r="AP136" s="2090">
        <f t="shared" si="41"/>
        <v>0</v>
      </c>
      <c r="AQ136" s="2090">
        <f t="shared" si="41"/>
        <v>0</v>
      </c>
    </row>
    <row r="137" spans="2:43" x14ac:dyDescent="0.2">
      <c r="B137" s="2018"/>
      <c r="C137" s="2091" t="s">
        <v>1104</v>
      </c>
      <c r="D137" s="2030" t="s">
        <v>1101</v>
      </c>
      <c r="E137" s="2092"/>
      <c r="F137" s="2058"/>
      <c r="G137" s="2093">
        <f>+G134-G135-G136</f>
        <v>6611.6964499657352</v>
      </c>
      <c r="H137" s="2093">
        <f t="shared" ref="H137:AQ137" si="42">+H134-H135-H136</f>
        <v>6669.2537725405691</v>
      </c>
      <c r="I137" s="2093">
        <f t="shared" si="42"/>
        <v>6768.8882590642943</v>
      </c>
      <c r="J137" s="2093">
        <f t="shared" si="42"/>
        <v>6869.2252471635084</v>
      </c>
      <c r="K137" s="2093">
        <f t="shared" si="42"/>
        <v>6970.2601141014666</v>
      </c>
      <c r="L137" s="2093">
        <f t="shared" si="42"/>
        <v>7071.9954271068209</v>
      </c>
      <c r="M137" s="2093">
        <f t="shared" si="42"/>
        <v>7174.4257279062895</v>
      </c>
      <c r="N137" s="2093">
        <f t="shared" si="42"/>
        <v>7272.4284994154777</v>
      </c>
      <c r="O137" s="2093">
        <f t="shared" si="42"/>
        <v>7371.0495155526387</v>
      </c>
      <c r="P137" s="2093">
        <f t="shared" si="42"/>
        <v>7470.2887836300315</v>
      </c>
      <c r="Q137" s="2093">
        <f t="shared" si="42"/>
        <v>7570.1455373991785</v>
      </c>
      <c r="R137" s="2093">
        <f t="shared" si="42"/>
        <v>7670.6194116109546</v>
      </c>
      <c r="S137" s="2093">
        <f t="shared" si="42"/>
        <v>7766.3004208917109</v>
      </c>
      <c r="T137" s="2093">
        <f t="shared" si="42"/>
        <v>7862.498534499995</v>
      </c>
      <c r="U137" s="2093">
        <f t="shared" si="42"/>
        <v>7959.2118887020324</v>
      </c>
      <c r="V137" s="2093">
        <f t="shared" si="42"/>
        <v>8056.4402360235827</v>
      </c>
      <c r="W137" s="2093">
        <f t="shared" si="42"/>
        <v>8154.184173835587</v>
      </c>
      <c r="X137" s="2093">
        <f t="shared" si="42"/>
        <v>8247.1852414571549</v>
      </c>
      <c r="Y137" s="2093">
        <f t="shared" si="42"/>
        <v>8340.5749043037795</v>
      </c>
      <c r="Z137" s="2093">
        <f t="shared" si="42"/>
        <v>8434.3505635530873</v>
      </c>
      <c r="AA137" s="2093">
        <f t="shared" si="42"/>
        <v>8528.5125612618704</v>
      </c>
      <c r="AB137" s="2093">
        <f t="shared" si="42"/>
        <v>8623.0591011433953</v>
      </c>
      <c r="AC137" s="2093">
        <f t="shared" si="42"/>
        <v>8713.5724530348452</v>
      </c>
      <c r="AD137" s="2093">
        <f t="shared" si="42"/>
        <v>8804.3175080136352</v>
      </c>
      <c r="AE137" s="2093">
        <f t="shared" si="42"/>
        <v>8895.2939202459711</v>
      </c>
      <c r="AF137" s="2093">
        <f t="shared" si="42"/>
        <v>8986.5022393815725</v>
      </c>
      <c r="AG137" s="2093">
        <f t="shared" si="42"/>
        <v>9077.9407874425815</v>
      </c>
      <c r="AH137" s="2093">
        <f t="shared" si="42"/>
        <v>9166.8495769984474</v>
      </c>
      <c r="AI137" s="2093">
        <f t="shared" si="42"/>
        <v>9255.8150021006986</v>
      </c>
      <c r="AJ137" s="2093">
        <f t="shared" si="42"/>
        <v>9344.8382289929486</v>
      </c>
      <c r="AK137" s="2093">
        <f t="shared" si="42"/>
        <v>9433.9181346092737</v>
      </c>
      <c r="AL137" s="2093">
        <f t="shared" si="42"/>
        <v>9523.0549783498482</v>
      </c>
      <c r="AM137" s="2093">
        <f t="shared" si="42"/>
        <v>9616.0519076809524</v>
      </c>
      <c r="AN137" s="2093">
        <f t="shared" si="42"/>
        <v>9709.0129938895334</v>
      </c>
      <c r="AO137" s="2093">
        <f t="shared" si="42"/>
        <v>9801.9382079651368</v>
      </c>
      <c r="AP137" s="2093">
        <f t="shared" si="42"/>
        <v>9894.828990236223</v>
      </c>
      <c r="AQ137" s="2093">
        <f t="shared" si="42"/>
        <v>9987.6853526607611</v>
      </c>
    </row>
    <row r="138" spans="2:43" x14ac:dyDescent="0.2">
      <c r="B138" s="2018"/>
      <c r="C138" s="2020"/>
      <c r="D138" s="2094"/>
      <c r="E138" s="2094"/>
      <c r="F138" s="2018"/>
      <c r="G138" s="2095"/>
      <c r="H138" s="2095"/>
      <c r="I138" s="2095"/>
      <c r="J138" s="2095"/>
      <c r="K138" s="2095"/>
      <c r="L138" s="2095"/>
      <c r="M138" s="2095"/>
      <c r="N138" s="2096"/>
      <c r="O138" s="2096"/>
      <c r="P138" s="2096"/>
      <c r="Q138" s="2096"/>
      <c r="R138" s="2096"/>
      <c r="S138" s="2096"/>
      <c r="T138" s="2096"/>
      <c r="U138" s="2096"/>
      <c r="V138" s="2096"/>
      <c r="W138" s="2096"/>
      <c r="X138" s="2096"/>
      <c r="Y138" s="2096"/>
      <c r="Z138" s="2096"/>
      <c r="AA138" s="2096"/>
      <c r="AB138" s="2095"/>
      <c r="AC138" s="2096"/>
      <c r="AD138" s="2096"/>
      <c r="AE138" s="2096"/>
      <c r="AF138" s="2096"/>
      <c r="AG138" s="2095"/>
      <c r="AH138" s="2096"/>
      <c r="AI138" s="2096"/>
      <c r="AJ138" s="2096"/>
      <c r="AK138" s="2096"/>
      <c r="AL138" s="2095"/>
      <c r="AM138" s="2096"/>
      <c r="AN138" s="2096"/>
      <c r="AO138" s="2096"/>
      <c r="AP138" s="2096"/>
      <c r="AQ138" s="2095"/>
    </row>
    <row r="139" spans="2:43" x14ac:dyDescent="0.2">
      <c r="F139" s="1999"/>
    </row>
    <row r="140" spans="2:43" x14ac:dyDescent="0.2">
      <c r="B140" s="2097"/>
      <c r="F140" s="1999"/>
    </row>
    <row r="141" spans="2:43" x14ac:dyDescent="0.2">
      <c r="B141" s="2098" t="s">
        <v>1105</v>
      </c>
      <c r="C141" s="2097"/>
      <c r="F141" s="1999"/>
    </row>
    <row r="142" spans="2:43" x14ac:dyDescent="0.2">
      <c r="B142" s="2098"/>
      <c r="C142" s="2097"/>
      <c r="F142" s="1999"/>
    </row>
    <row r="143" spans="2:43" x14ac:dyDescent="0.2">
      <c r="B143" s="2098">
        <v>1</v>
      </c>
      <c r="C143" s="2099" t="s">
        <v>1106</v>
      </c>
      <c r="E143" s="2100"/>
      <c r="F143" s="1999"/>
      <c r="G143" s="1999"/>
      <c r="H143" s="1999"/>
      <c r="I143" s="1999"/>
      <c r="J143" s="1999"/>
      <c r="K143" s="1999"/>
      <c r="L143" s="1999"/>
      <c r="M143" s="1999"/>
      <c r="N143" s="1999"/>
      <c r="O143" s="1999"/>
      <c r="P143" s="1999"/>
      <c r="Q143" s="1999"/>
      <c r="R143" s="1999"/>
      <c r="S143" s="1999"/>
      <c r="T143" s="1999"/>
      <c r="U143" s="1999"/>
      <c r="V143" s="1999"/>
      <c r="W143" s="1999"/>
      <c r="X143" s="1999"/>
      <c r="Y143" s="1999"/>
      <c r="Z143" s="1999"/>
      <c r="AA143" s="1999"/>
      <c r="AB143" s="1999"/>
      <c r="AC143" s="1999"/>
      <c r="AD143" s="1999"/>
      <c r="AE143" s="1999"/>
      <c r="AF143" s="1999"/>
      <c r="AG143" s="1999"/>
      <c r="AH143" s="1999"/>
      <c r="AI143" s="1999"/>
      <c r="AJ143" s="1999"/>
      <c r="AK143" s="1999"/>
      <c r="AL143" s="1999"/>
      <c r="AM143" s="1999"/>
      <c r="AN143" s="1999"/>
      <c r="AO143" s="1999"/>
      <c r="AP143" s="1999"/>
      <c r="AQ143" s="1999"/>
    </row>
    <row r="144" spans="2:43" x14ac:dyDescent="0.2">
      <c r="B144" s="2098">
        <v>2</v>
      </c>
      <c r="C144" s="2099" t="s">
        <v>1107</v>
      </c>
      <c r="E144" s="2100"/>
      <c r="F144" s="1999"/>
      <c r="G144" s="1999"/>
      <c r="H144" s="1999"/>
      <c r="I144" s="1999"/>
      <c r="J144" s="1999"/>
      <c r="K144" s="1999"/>
      <c r="L144" s="1999"/>
      <c r="M144" s="1999"/>
      <c r="N144" s="1999"/>
      <c r="O144" s="1999"/>
      <c r="P144" s="1999"/>
      <c r="Q144" s="1999"/>
      <c r="R144" s="1999"/>
      <c r="S144" s="1999"/>
      <c r="T144" s="1999"/>
      <c r="U144" s="1999"/>
      <c r="V144" s="1999"/>
      <c r="W144" s="1999"/>
      <c r="X144" s="1999"/>
      <c r="Y144" s="1999"/>
      <c r="Z144" s="1999"/>
      <c r="AA144" s="1999"/>
      <c r="AB144" s="1999"/>
      <c r="AC144" s="1999"/>
      <c r="AD144" s="1999"/>
      <c r="AE144" s="1999"/>
      <c r="AF144" s="1999"/>
      <c r="AG144" s="1999"/>
      <c r="AH144" s="1999"/>
      <c r="AI144" s="1999"/>
      <c r="AJ144" s="1999"/>
      <c r="AK144" s="1999"/>
      <c r="AL144" s="1999"/>
      <c r="AM144" s="1999"/>
      <c r="AN144" s="1999"/>
      <c r="AO144" s="1999"/>
      <c r="AP144" s="1999"/>
      <c r="AQ144" s="1999"/>
    </row>
    <row r="145" spans="2:43" x14ac:dyDescent="0.2">
      <c r="B145" s="2098">
        <v>3</v>
      </c>
      <c r="C145" s="2099" t="s">
        <v>1108</v>
      </c>
      <c r="E145" s="2100"/>
      <c r="F145" s="1999"/>
      <c r="G145" s="1999"/>
      <c r="H145" s="1999"/>
      <c r="I145" s="1999"/>
      <c r="J145" s="1999"/>
      <c r="K145" s="1999"/>
      <c r="L145" s="1999"/>
      <c r="M145" s="1999"/>
      <c r="N145" s="1999"/>
      <c r="O145" s="1999"/>
      <c r="P145" s="1999"/>
      <c r="Q145" s="1999"/>
      <c r="R145" s="1999"/>
      <c r="S145" s="1999"/>
      <c r="T145" s="1999"/>
      <c r="U145" s="1999"/>
      <c r="V145" s="1999"/>
      <c r="W145" s="1999"/>
      <c r="X145" s="1999"/>
      <c r="Y145" s="1999"/>
      <c r="Z145" s="1999"/>
      <c r="AA145" s="1999"/>
      <c r="AB145" s="1999"/>
      <c r="AC145" s="1999"/>
      <c r="AD145" s="1999"/>
      <c r="AE145" s="1999"/>
      <c r="AF145" s="1999"/>
      <c r="AG145" s="1999"/>
      <c r="AH145" s="1999"/>
      <c r="AI145" s="1999"/>
      <c r="AJ145" s="1999"/>
      <c r="AK145" s="1999"/>
      <c r="AL145" s="1999"/>
      <c r="AM145" s="1999"/>
      <c r="AN145" s="1999"/>
      <c r="AO145" s="1999"/>
      <c r="AP145" s="1999"/>
      <c r="AQ145" s="1999"/>
    </row>
    <row r="146" spans="2:43" x14ac:dyDescent="0.2">
      <c r="B146" s="2098">
        <v>4</v>
      </c>
      <c r="C146" s="2097" t="s">
        <v>1109</v>
      </c>
      <c r="F146" s="1999"/>
    </row>
    <row r="147" spans="2:43" x14ac:dyDescent="0.2">
      <c r="B147" s="2098"/>
      <c r="C147" s="2101"/>
      <c r="F147" s="1999"/>
    </row>
    <row r="148" spans="2:43" x14ac:dyDescent="0.2">
      <c r="B148" s="2098"/>
      <c r="C148" s="2102"/>
      <c r="E148" s="2100"/>
      <c r="F148" s="1999"/>
      <c r="G148" s="1999"/>
      <c r="H148" s="1999"/>
      <c r="I148" s="1999"/>
      <c r="J148" s="1999"/>
      <c r="K148" s="1999"/>
      <c r="L148" s="1999"/>
      <c r="M148" s="1999"/>
      <c r="N148" s="1999"/>
      <c r="O148" s="1999"/>
      <c r="P148" s="1999"/>
      <c r="Q148" s="1999"/>
      <c r="R148" s="1999"/>
      <c r="S148" s="1999"/>
      <c r="T148" s="1999"/>
      <c r="U148" s="1999"/>
      <c r="V148" s="1999"/>
      <c r="W148" s="1999"/>
      <c r="X148" s="1999"/>
      <c r="Y148" s="1999"/>
      <c r="Z148" s="1999"/>
      <c r="AA148" s="1999"/>
      <c r="AB148" s="1999"/>
      <c r="AC148" s="1999"/>
      <c r="AD148" s="1999"/>
      <c r="AE148" s="1999"/>
      <c r="AF148" s="1999"/>
      <c r="AG148" s="1999"/>
      <c r="AH148" s="1999"/>
      <c r="AI148" s="1999"/>
      <c r="AJ148" s="1999"/>
      <c r="AK148" s="1999"/>
      <c r="AL148" s="1999"/>
      <c r="AM148" s="1999"/>
      <c r="AN148" s="1999"/>
      <c r="AO148" s="1999"/>
      <c r="AP148" s="1999"/>
      <c r="AQ148" s="1999"/>
    </row>
    <row r="149" spans="2:43" x14ac:dyDescent="0.2">
      <c r="B149" s="2103">
        <v>1</v>
      </c>
      <c r="C149" s="2104" t="s">
        <v>1106</v>
      </c>
      <c r="D149" s="2105"/>
      <c r="E149" s="2105"/>
      <c r="F149" s="1999"/>
      <c r="G149" s="2106">
        <v>2014</v>
      </c>
      <c r="H149" s="2106">
        <v>2015</v>
      </c>
      <c r="I149" s="2106">
        <v>2016</v>
      </c>
      <c r="J149" s="2106">
        <v>2017</v>
      </c>
      <c r="K149" s="2106">
        <v>2018</v>
      </c>
      <c r="L149" s="2106">
        <v>2019</v>
      </c>
      <c r="M149" s="2106">
        <v>2020</v>
      </c>
      <c r="N149" s="2106">
        <v>2021</v>
      </c>
      <c r="O149" s="2106">
        <v>2022</v>
      </c>
      <c r="P149" s="2106">
        <v>2023</v>
      </c>
      <c r="Q149" s="2106">
        <v>2024</v>
      </c>
      <c r="R149" s="2106">
        <v>2025</v>
      </c>
      <c r="S149" s="2106">
        <v>2026</v>
      </c>
      <c r="T149" s="2106">
        <v>2027</v>
      </c>
      <c r="U149" s="2106">
        <v>2028</v>
      </c>
      <c r="V149" s="2106">
        <v>2029</v>
      </c>
      <c r="W149" s="2106">
        <v>2030</v>
      </c>
      <c r="X149" s="2106">
        <v>2031</v>
      </c>
      <c r="Y149" s="2106">
        <v>2032</v>
      </c>
      <c r="Z149" s="2106">
        <v>2033</v>
      </c>
      <c r="AA149" s="2106">
        <v>2034</v>
      </c>
      <c r="AB149" s="2106">
        <v>2035</v>
      </c>
      <c r="AC149" s="2106">
        <v>2036</v>
      </c>
      <c r="AD149" s="2106">
        <v>2037</v>
      </c>
      <c r="AE149" s="2106">
        <v>2038</v>
      </c>
      <c r="AF149" s="2106">
        <v>2039</v>
      </c>
      <c r="AG149" s="2106">
        <v>2040</v>
      </c>
      <c r="AH149" s="2106">
        <v>2041</v>
      </c>
      <c r="AI149" s="2106">
        <v>2042</v>
      </c>
      <c r="AJ149" s="2106">
        <v>2043</v>
      </c>
      <c r="AK149" s="2106">
        <v>2044</v>
      </c>
      <c r="AL149" s="2106">
        <v>2045</v>
      </c>
      <c r="AM149" s="2106">
        <v>2046</v>
      </c>
      <c r="AN149" s="2106">
        <v>2047</v>
      </c>
      <c r="AO149" s="2106">
        <v>2048</v>
      </c>
      <c r="AP149" s="2106">
        <v>2049</v>
      </c>
      <c r="AQ149" s="2106">
        <v>2050</v>
      </c>
    </row>
    <row r="150" spans="2:43" x14ac:dyDescent="0.2">
      <c r="B150" s="2103"/>
      <c r="C150" s="2104"/>
      <c r="D150" s="2105"/>
      <c r="E150" s="2105"/>
      <c r="F150" s="2107"/>
      <c r="G150" s="2107"/>
      <c r="H150" s="2107"/>
      <c r="I150" s="2107"/>
      <c r="J150" s="2107"/>
      <c r="K150" s="2107"/>
      <c r="L150" s="2107"/>
      <c r="M150" s="2107"/>
      <c r="N150" s="2107"/>
      <c r="O150" s="2107"/>
      <c r="P150" s="2107"/>
      <c r="Q150" s="2107"/>
      <c r="R150" s="2107"/>
      <c r="S150" s="2107"/>
      <c r="T150" s="2107"/>
      <c r="U150" s="2107"/>
      <c r="V150" s="2107"/>
      <c r="W150" s="2107"/>
      <c r="X150" s="2107"/>
      <c r="Y150" s="2107"/>
      <c r="Z150" s="2107"/>
      <c r="AA150" s="2107"/>
      <c r="AB150" s="2107"/>
      <c r="AC150" s="2107"/>
      <c r="AD150" s="2107"/>
      <c r="AE150" s="2107"/>
      <c r="AF150" s="2107"/>
      <c r="AG150" s="2107"/>
      <c r="AH150" s="2107"/>
      <c r="AI150" s="2107"/>
      <c r="AJ150" s="2107"/>
      <c r="AK150" s="2107"/>
      <c r="AL150" s="2107"/>
      <c r="AM150" s="2107"/>
      <c r="AN150" s="2107"/>
      <c r="AO150" s="2107"/>
      <c r="AP150" s="2107"/>
      <c r="AQ150" s="2107"/>
    </row>
    <row r="151" spans="2:43" x14ac:dyDescent="0.2">
      <c r="B151" s="2105"/>
      <c r="C151" s="2108" t="s">
        <v>1110</v>
      </c>
      <c r="D151" s="2109" t="s">
        <v>1111</v>
      </c>
      <c r="F151" s="2109"/>
      <c r="G151" s="2110"/>
      <c r="H151" s="2110"/>
      <c r="I151" s="2110"/>
      <c r="J151" s="2110"/>
      <c r="K151" s="2110"/>
      <c r="L151" s="2110"/>
      <c r="M151" s="2110"/>
      <c r="N151" s="2110"/>
      <c r="O151" s="2110"/>
      <c r="P151" s="2110"/>
      <c r="Q151" s="2110"/>
      <c r="R151" s="2110"/>
      <c r="S151" s="2110"/>
      <c r="T151" s="2110"/>
      <c r="U151" s="2110"/>
      <c r="V151" s="2110"/>
      <c r="W151" s="2110"/>
      <c r="X151" s="2110"/>
      <c r="Y151" s="2110"/>
      <c r="Z151" s="2110"/>
      <c r="AA151" s="2110"/>
      <c r="AB151" s="2110"/>
      <c r="AC151" s="2110"/>
      <c r="AD151" s="2110"/>
      <c r="AE151" s="2110"/>
      <c r="AF151" s="2110"/>
      <c r="AG151" s="2110"/>
      <c r="AH151" s="2110"/>
      <c r="AI151" s="2110"/>
      <c r="AJ151" s="2110"/>
      <c r="AK151" s="2110"/>
      <c r="AL151" s="2110"/>
      <c r="AM151" s="2110"/>
      <c r="AN151" s="2110"/>
      <c r="AO151" s="2110"/>
      <c r="AP151" s="2110"/>
      <c r="AQ151" s="2110"/>
    </row>
    <row r="152" spans="2:43" x14ac:dyDescent="0.2">
      <c r="B152" s="2105"/>
      <c r="C152" s="2111" t="s">
        <v>1054</v>
      </c>
      <c r="D152" s="2109"/>
      <c r="E152" s="2109" t="s">
        <v>1112</v>
      </c>
      <c r="F152" s="2110" t="s">
        <v>1113</v>
      </c>
      <c r="G152" s="2110">
        <f t="shared" ref="G152:AQ152" si="43">(G134*G77*(1-G130)*0.15*0.5*G85)</f>
        <v>212.62265786198617</v>
      </c>
      <c r="H152" s="2110">
        <f t="shared" si="43"/>
        <v>214.47361865516413</v>
      </c>
      <c r="I152" s="2110">
        <f t="shared" si="43"/>
        <v>216.09454893702744</v>
      </c>
      <c r="J152" s="2110">
        <f t="shared" si="43"/>
        <v>217.69146564867228</v>
      </c>
      <c r="K152" s="2110">
        <f t="shared" si="43"/>
        <v>219.26374540497287</v>
      </c>
      <c r="L152" s="2110">
        <f t="shared" si="43"/>
        <v>220.81099386239231</v>
      </c>
      <c r="M152" s="2110">
        <f t="shared" si="43"/>
        <v>222.33256579460146</v>
      </c>
      <c r="N152" s="2110">
        <f t="shared" si="43"/>
        <v>226.11231057863441</v>
      </c>
      <c r="O152" s="2110">
        <f t="shared" si="43"/>
        <v>229.896208966925</v>
      </c>
      <c r="P152" s="2110">
        <f t="shared" si="43"/>
        <v>233.68299155741835</v>
      </c>
      <c r="Q152" s="2110">
        <f t="shared" si="43"/>
        <v>237.47134483094081</v>
      </c>
      <c r="R152" s="2110">
        <f t="shared" si="43"/>
        <v>241.25994773595707</v>
      </c>
      <c r="S152" s="2110">
        <f t="shared" si="43"/>
        <v>242.36382517652913</v>
      </c>
      <c r="T152" s="2110">
        <f t="shared" si="43"/>
        <v>243.43678027738241</v>
      </c>
      <c r="U152" s="2110">
        <f t="shared" si="43"/>
        <v>244.47837590425385</v>
      </c>
      <c r="V152" s="2110">
        <f t="shared" si="43"/>
        <v>245.48822600987242</v>
      </c>
      <c r="W152" s="2110">
        <f t="shared" si="43"/>
        <v>246.46597033465156</v>
      </c>
      <c r="X152" s="2110">
        <f t="shared" si="43"/>
        <v>249.0375059006019</v>
      </c>
      <c r="Y152" s="2110">
        <f t="shared" si="43"/>
        <v>251.58674487858411</v>
      </c>
      <c r="Z152" s="2110">
        <f t="shared" si="43"/>
        <v>254.1125777190552</v>
      </c>
      <c r="AA152" s="2110">
        <f t="shared" si="43"/>
        <v>256.61397428879002</v>
      </c>
      <c r="AB152" s="2110">
        <f t="shared" si="43"/>
        <v>259.0898307025264</v>
      </c>
      <c r="AC152" s="2110">
        <f t="shared" si="43"/>
        <v>259.57604928179575</v>
      </c>
      <c r="AD152" s="2110">
        <f t="shared" si="43"/>
        <v>260.02242841779315</v>
      </c>
      <c r="AE152" s="2110">
        <f t="shared" si="43"/>
        <v>260.42877070627446</v>
      </c>
      <c r="AF152" s="2110">
        <f t="shared" si="43"/>
        <v>260.79490502692147</v>
      </c>
      <c r="AG152" s="2110">
        <f t="shared" si="43"/>
        <v>261.12059556106931</v>
      </c>
      <c r="AH152" s="2110">
        <f t="shared" si="43"/>
        <v>262.64063719116615</v>
      </c>
      <c r="AI152" s="2110">
        <f t="shared" si="43"/>
        <v>264.11804193533231</v>
      </c>
      <c r="AJ152" s="2110">
        <f t="shared" si="43"/>
        <v>265.55209354281925</v>
      </c>
      <c r="AK152" s="2110">
        <f t="shared" si="43"/>
        <v>266.94200817800311</v>
      </c>
      <c r="AL152" s="2110">
        <f t="shared" si="43"/>
        <v>268.28703924222827</v>
      </c>
      <c r="AM152" s="2110">
        <f t="shared" si="43"/>
        <v>268.31567965073435</v>
      </c>
      <c r="AN152" s="2110">
        <f t="shared" si="43"/>
        <v>268.29308662699174</v>
      </c>
      <c r="AO152" s="2110">
        <f t="shared" si="43"/>
        <v>268.21928474958065</v>
      </c>
      <c r="AP152" s="2110">
        <f t="shared" si="43"/>
        <v>268.09433843785393</v>
      </c>
      <c r="AQ152" s="2110">
        <f t="shared" si="43"/>
        <v>267.91827224115269</v>
      </c>
    </row>
    <row r="153" spans="2:43" x14ac:dyDescent="0.2">
      <c r="B153" s="2105"/>
      <c r="C153" s="2111" t="s">
        <v>1114</v>
      </c>
      <c r="D153" s="2109"/>
      <c r="E153" s="2109" t="s">
        <v>1112</v>
      </c>
      <c r="F153" s="2110" t="s">
        <v>1115</v>
      </c>
      <c r="G153" s="2110">
        <f t="shared" ref="G153:AQ153" si="44">+(G134*G78*(1-G128)*0.4*0.5*G85)</f>
        <v>255.46050871875065</v>
      </c>
      <c r="H153" s="2110">
        <f t="shared" si="44"/>
        <v>257.68438923364215</v>
      </c>
      <c r="I153" s="2110">
        <f t="shared" si="44"/>
        <v>263.98910466156775</v>
      </c>
      <c r="J153" s="2110">
        <f t="shared" si="44"/>
        <v>270.39317087598829</v>
      </c>
      <c r="K153" s="2110">
        <f t="shared" si="44"/>
        <v>276.8971425380953</v>
      </c>
      <c r="L153" s="2110">
        <f t="shared" si="44"/>
        <v>283.50185544559122</v>
      </c>
      <c r="M153" s="2110">
        <f t="shared" si="44"/>
        <v>290.20782409221022</v>
      </c>
      <c r="N153" s="2110">
        <f t="shared" si="44"/>
        <v>300.04510523800957</v>
      </c>
      <c r="O153" s="2110">
        <f t="shared" si="44"/>
        <v>310.1274594703529</v>
      </c>
      <c r="P153" s="2110">
        <f t="shared" si="44"/>
        <v>320.45890784791465</v>
      </c>
      <c r="Q153" s="2110">
        <f t="shared" si="44"/>
        <v>331.04347195557909</v>
      </c>
      <c r="R153" s="2110">
        <f t="shared" si="44"/>
        <v>341.88522306806044</v>
      </c>
      <c r="S153" s="2110">
        <f t="shared" si="44"/>
        <v>349.12716146870184</v>
      </c>
      <c r="T153" s="2110">
        <f t="shared" si="44"/>
        <v>356.46587313107079</v>
      </c>
      <c r="U153" s="2110">
        <f t="shared" si="44"/>
        <v>363.90186630193131</v>
      </c>
      <c r="V153" s="2110">
        <f t="shared" si="44"/>
        <v>371.43572087145333</v>
      </c>
      <c r="W153" s="2110">
        <f t="shared" si="44"/>
        <v>379.06805561008662</v>
      </c>
      <c r="X153" s="2110">
        <f t="shared" si="44"/>
        <v>389.35457750308109</v>
      </c>
      <c r="Y153" s="2110">
        <f t="shared" si="44"/>
        <v>399.84269427218379</v>
      </c>
      <c r="Z153" s="2110">
        <f t="shared" si="44"/>
        <v>410.53481192759568</v>
      </c>
      <c r="AA153" s="2110">
        <f t="shared" si="44"/>
        <v>421.43349016436139</v>
      </c>
      <c r="AB153" s="2110">
        <f t="shared" si="44"/>
        <v>432.54119843611409</v>
      </c>
      <c r="AC153" s="2110">
        <f t="shared" si="44"/>
        <v>440.55231741858051</v>
      </c>
      <c r="AD153" s="2110">
        <f t="shared" si="44"/>
        <v>448.6478268465911</v>
      </c>
      <c r="AE153" s="2110">
        <f t="shared" si="44"/>
        <v>456.82800110006411</v>
      </c>
      <c r="AF153" s="2110">
        <f t="shared" si="44"/>
        <v>465.09316045075923</v>
      </c>
      <c r="AG153" s="2110">
        <f t="shared" si="44"/>
        <v>473.44350996654327</v>
      </c>
      <c r="AH153" s="2110">
        <f t="shared" si="44"/>
        <v>485.47856132450778</v>
      </c>
      <c r="AI153" s="2110">
        <f t="shared" si="44"/>
        <v>497.71402212714241</v>
      </c>
      <c r="AJ153" s="2110">
        <f t="shared" si="44"/>
        <v>510.15172276597701</v>
      </c>
      <c r="AK153" s="2110">
        <f t="shared" si="44"/>
        <v>522.79337561790828</v>
      </c>
      <c r="AL153" s="2110">
        <f t="shared" si="44"/>
        <v>535.64077214536997</v>
      </c>
      <c r="AM153" s="2110">
        <f t="shared" si="44"/>
        <v>543.40859369088332</v>
      </c>
      <c r="AN153" s="2110">
        <f t="shared" si="44"/>
        <v>551.22358124243897</v>
      </c>
      <c r="AO153" s="2110">
        <f t="shared" si="44"/>
        <v>559.08570859934184</v>
      </c>
      <c r="AP153" s="2110">
        <f t="shared" si="44"/>
        <v>566.99503372798756</v>
      </c>
      <c r="AQ153" s="2110">
        <f t="shared" si="44"/>
        <v>574.9515338908983</v>
      </c>
    </row>
    <row r="154" spans="2:43" x14ac:dyDescent="0.2">
      <c r="B154" s="2105"/>
      <c r="C154" s="2111" t="s">
        <v>1116</v>
      </c>
      <c r="D154" s="2109"/>
      <c r="E154" s="2109" t="s">
        <v>1112</v>
      </c>
      <c r="F154" s="2110" t="s">
        <v>1117</v>
      </c>
      <c r="G154" s="2110">
        <f t="shared" ref="G154:AQ154" si="45">+(G134*G79*0.24*0.5*G85)</f>
        <v>29.369990036298525</v>
      </c>
      <c r="H154" s="2110">
        <f t="shared" si="45"/>
        <v>29.62566692699238</v>
      </c>
      <c r="I154" s="2110">
        <f t="shared" si="45"/>
        <v>29.909009490641271</v>
      </c>
      <c r="J154" s="2110">
        <f t="shared" si="45"/>
        <v>30.190783925895293</v>
      </c>
      <c r="K154" s="2110">
        <f t="shared" si="45"/>
        <v>30.470921907366765</v>
      </c>
      <c r="L154" s="2110">
        <f t="shared" si="45"/>
        <v>30.749386828793931</v>
      </c>
      <c r="M154" s="2110">
        <f t="shared" si="45"/>
        <v>31.026107157846795</v>
      </c>
      <c r="N154" s="2110">
        <f t="shared" si="45"/>
        <v>31.621222912504667</v>
      </c>
      <c r="O154" s="2110">
        <f t="shared" si="45"/>
        <v>32.22022495370274</v>
      </c>
      <c r="P154" s="2110">
        <f t="shared" si="45"/>
        <v>32.823014482394086</v>
      </c>
      <c r="Q154" s="2110">
        <f t="shared" si="45"/>
        <v>33.429487344880535</v>
      </c>
      <c r="R154" s="2110">
        <f t="shared" si="45"/>
        <v>34.039539157604267</v>
      </c>
      <c r="S154" s="2110">
        <f t="shared" si="45"/>
        <v>34.274569591135339</v>
      </c>
      <c r="T154" s="2110">
        <f t="shared" si="45"/>
        <v>34.507200427364204</v>
      </c>
      <c r="U154" s="2110">
        <f t="shared" si="45"/>
        <v>34.737385738098993</v>
      </c>
      <c r="V154" s="2110">
        <f t="shared" si="45"/>
        <v>34.9650867925602</v>
      </c>
      <c r="W154" s="2110">
        <f t="shared" si="45"/>
        <v>35.190268531005472</v>
      </c>
      <c r="X154" s="2110">
        <f t="shared" si="45"/>
        <v>35.646977103101136</v>
      </c>
      <c r="Y154" s="2110">
        <f t="shared" si="45"/>
        <v>36.103838347280565</v>
      </c>
      <c r="Z154" s="2110">
        <f t="shared" si="45"/>
        <v>36.560752006168322</v>
      </c>
      <c r="AA154" s="2110">
        <f t="shared" si="45"/>
        <v>37.017629607497142</v>
      </c>
      <c r="AB154" s="2110">
        <f t="shared" si="45"/>
        <v>37.474372476707245</v>
      </c>
      <c r="AC154" s="2110">
        <f t="shared" si="45"/>
        <v>37.647908214601998</v>
      </c>
      <c r="AD154" s="2110">
        <f t="shared" si="45"/>
        <v>37.817844935120711</v>
      </c>
      <c r="AE154" s="2110">
        <f t="shared" si="45"/>
        <v>37.984162744015876</v>
      </c>
      <c r="AF154" s="2110">
        <f t="shared" si="45"/>
        <v>38.146845577548881</v>
      </c>
      <c r="AG154" s="2110">
        <f t="shared" si="45"/>
        <v>38.30586791099897</v>
      </c>
      <c r="AH154" s="2110">
        <f t="shared" si="45"/>
        <v>38.621278787935857</v>
      </c>
      <c r="AI154" s="2110">
        <f t="shared" si="45"/>
        <v>38.933201103701407</v>
      </c>
      <c r="AJ154" s="2110">
        <f t="shared" si="45"/>
        <v>39.241560952576883</v>
      </c>
      <c r="AK154" s="2110">
        <f t="shared" si="45"/>
        <v>39.546274559349065</v>
      </c>
      <c r="AL154" s="2110">
        <f t="shared" si="45"/>
        <v>39.847263726640072</v>
      </c>
      <c r="AM154" s="2110">
        <f t="shared" si="45"/>
        <v>40.009004449915949</v>
      </c>
      <c r="AN154" s="2110">
        <f t="shared" si="45"/>
        <v>40.166188295348114</v>
      </c>
      <c r="AO154" s="2110">
        <f t="shared" si="45"/>
        <v>40.318817376054525</v>
      </c>
      <c r="AP154" s="2110">
        <f t="shared" si="45"/>
        <v>40.46689981694005</v>
      </c>
      <c r="AQ154" s="2110">
        <f t="shared" si="45"/>
        <v>40.610437798707189</v>
      </c>
    </row>
    <row r="155" spans="2:43" ht="13.5" x14ac:dyDescent="0.25">
      <c r="B155" s="2105"/>
      <c r="C155" s="2108" t="s">
        <v>1110</v>
      </c>
      <c r="D155" s="2109" t="s">
        <v>1118</v>
      </c>
      <c r="F155" s="2109"/>
      <c r="G155" s="2110"/>
      <c r="H155" s="2110"/>
      <c r="I155" s="2110"/>
      <c r="J155" s="2110"/>
      <c r="K155" s="2110"/>
      <c r="L155" s="2110"/>
      <c r="M155" s="2110"/>
      <c r="N155" s="2110"/>
      <c r="O155" s="2110"/>
      <c r="P155" s="2110"/>
      <c r="Q155" s="2110"/>
      <c r="R155" s="2110"/>
      <c r="S155" s="2110"/>
      <c r="T155" s="2110"/>
      <c r="U155" s="2110"/>
      <c r="V155" s="2110"/>
      <c r="W155" s="2110"/>
      <c r="X155" s="2110"/>
      <c r="Y155" s="2110"/>
      <c r="Z155" s="2110"/>
      <c r="AA155" s="2110"/>
      <c r="AB155" s="2110"/>
      <c r="AC155" s="2110"/>
      <c r="AD155" s="2110"/>
      <c r="AE155" s="2110"/>
      <c r="AF155" s="2110"/>
      <c r="AG155" s="2110"/>
      <c r="AH155" s="2110"/>
      <c r="AI155" s="2110"/>
      <c r="AJ155" s="2110"/>
      <c r="AK155" s="2110"/>
      <c r="AL155" s="2110"/>
      <c r="AM155" s="2110"/>
      <c r="AN155" s="2110"/>
      <c r="AO155" s="2110"/>
      <c r="AP155" s="2110"/>
      <c r="AQ155" s="2110"/>
    </row>
    <row r="156" spans="2:43" x14ac:dyDescent="0.2">
      <c r="B156" s="2105"/>
      <c r="C156" s="2111" t="s">
        <v>1054</v>
      </c>
      <c r="D156" s="2109"/>
      <c r="E156" s="2109" t="s">
        <v>1112</v>
      </c>
      <c r="F156" s="2110" t="s">
        <v>1119</v>
      </c>
      <c r="G156" s="2110">
        <f>+G152+(1825*EXP(-0.0867))</f>
        <v>1886.0603133919835</v>
      </c>
      <c r="H156" s="2110">
        <f>+H152+(G156*EXP(-0.0867))</f>
        <v>1943.9006592200149</v>
      </c>
      <c r="I156" s="2110">
        <f t="shared" ref="I156:AQ156" si="46">+I152+(H156*EXP(-0.0867))</f>
        <v>1998.5584183881824</v>
      </c>
      <c r="J156" s="2110">
        <f t="shared" si="46"/>
        <v>2050.2738843375814</v>
      </c>
      <c r="K156" s="2110">
        <f t="shared" si="46"/>
        <v>2099.2667712681309</v>
      </c>
      <c r="L156" s="2110">
        <f t="shared" si="46"/>
        <v>2145.738152242101</v>
      </c>
      <c r="M156" s="2110">
        <f t="shared" si="46"/>
        <v>2189.8717564079111</v>
      </c>
      <c r="N156" s="2110">
        <f t="shared" si="46"/>
        <v>2234.1199039784219</v>
      </c>
      <c r="O156" s="2110">
        <f t="shared" si="46"/>
        <v>2278.4772359732551</v>
      </c>
      <c r="P156" s="2110">
        <f t="shared" si="46"/>
        <v>2322.9375690618308</v>
      </c>
      <c r="Q156" s="2110">
        <f t="shared" si="46"/>
        <v>2367.4939199067662</v>
      </c>
      <c r="R156" s="2110">
        <f t="shared" si="46"/>
        <v>2412.1385640703693</v>
      </c>
      <c r="S156" s="2110">
        <f t="shared" si="46"/>
        <v>2454.1794435170295</v>
      </c>
      <c r="T156" s="2110">
        <f t="shared" si="46"/>
        <v>2493.8018729946707</v>
      </c>
      <c r="U156" s="2110">
        <f t="shared" si="46"/>
        <v>2531.1753401237156</v>
      </c>
      <c r="V156" s="2110">
        <f t="shared" si="46"/>
        <v>2566.4548708931461</v>
      </c>
      <c r="W156" s="2110">
        <f t="shared" si="46"/>
        <v>2599.78225645573</v>
      </c>
      <c r="X156" s="2110">
        <f t="shared" si="46"/>
        <v>2632.9134095344448</v>
      </c>
      <c r="Y156" s="2110">
        <f t="shared" si="46"/>
        <v>2665.8423302291667</v>
      </c>
      <c r="Z156" s="2110">
        <f t="shared" si="46"/>
        <v>2698.5624073690942</v>
      </c>
      <c r="AA156" s="2110">
        <f t="shared" si="46"/>
        <v>2731.0665486937887</v>
      </c>
      <c r="AB156" s="2110">
        <f t="shared" si="46"/>
        <v>2763.3471470546001</v>
      </c>
      <c r="AC156" s="2110">
        <f t="shared" si="46"/>
        <v>2793.4331293818268</v>
      </c>
      <c r="AD156" s="2110">
        <f t="shared" si="46"/>
        <v>2821.4669143972715</v>
      </c>
      <c r="AE156" s="2110">
        <f t="shared" si="46"/>
        <v>2847.5788958484254</v>
      </c>
      <c r="AF156" s="2110">
        <f t="shared" si="46"/>
        <v>2871.8884674407773</v>
      </c>
      <c r="AG156" s="2110">
        <f t="shared" si="46"/>
        <v>2894.5048716694155</v>
      </c>
      <c r="AH156" s="2110">
        <f t="shared" si="46"/>
        <v>2916.7630735564389</v>
      </c>
      <c r="AI156" s="2110">
        <f t="shared" si="46"/>
        <v>2938.6501841538288</v>
      </c>
      <c r="AJ156" s="2110">
        <f t="shared" si="46"/>
        <v>2960.153668662369</v>
      </c>
      <c r="AK156" s="2110">
        <f t="shared" si="46"/>
        <v>2981.2612494354689</v>
      </c>
      <c r="AL156" s="2110">
        <f t="shared" si="46"/>
        <v>3001.9609218601581</v>
      </c>
      <c r="AM156" s="2110">
        <f t="shared" si="46"/>
        <v>3020.970171196122</v>
      </c>
      <c r="AN156" s="2110">
        <f t="shared" si="46"/>
        <v>3038.3781500310974</v>
      </c>
      <c r="AO156" s="2110">
        <f t="shared" si="46"/>
        <v>3054.2666315997781</v>
      </c>
      <c r="AP156" s="2110">
        <f t="shared" si="46"/>
        <v>3068.7106624640646</v>
      </c>
      <c r="AQ156" s="2110">
        <f t="shared" si="46"/>
        <v>3081.7790812788348</v>
      </c>
    </row>
    <row r="157" spans="2:43" x14ac:dyDescent="0.2">
      <c r="B157" s="2105"/>
      <c r="C157" s="2111" t="s">
        <v>1114</v>
      </c>
      <c r="D157" s="2109"/>
      <c r="E157" s="2109" t="s">
        <v>1112</v>
      </c>
      <c r="F157" s="2110" t="s">
        <v>1120</v>
      </c>
      <c r="G157" s="2110">
        <f>+G153+(1898*EXP(-0.0427))</f>
        <v>2074.1218436348731</v>
      </c>
      <c r="H157" s="2110">
        <f>+H153+(G157*EXP(-0.0427))</f>
        <v>2245.1054645359009</v>
      </c>
      <c r="I157" s="2110">
        <f t="shared" ref="I157:AQ158" si="47">+I153+(H157*EXP(-0.0427))</f>
        <v>2415.2464814583759</v>
      </c>
      <c r="J157" s="2110">
        <f t="shared" si="47"/>
        <v>2584.6794670406657</v>
      </c>
      <c r="K157" s="2110">
        <f t="shared" si="47"/>
        <v>2753.5339232854449</v>
      </c>
      <c r="L157" s="2110">
        <f t="shared" si="47"/>
        <v>2921.9347746548301</v>
      </c>
      <c r="M157" s="2110">
        <f t="shared" si="47"/>
        <v>3090.0022381130702</v>
      </c>
      <c r="N157" s="2110">
        <f t="shared" si="47"/>
        <v>3260.8815621718991</v>
      </c>
      <c r="O157" s="2110">
        <f t="shared" si="47"/>
        <v>3434.7002807890653</v>
      </c>
      <c r="P157" s="2110">
        <f t="shared" si="47"/>
        <v>3611.5846179093596</v>
      </c>
      <c r="Q157" s="2110">
        <f t="shared" si="47"/>
        <v>3791.6595427509269</v>
      </c>
      <c r="R157" s="2110">
        <f t="shared" si="47"/>
        <v>3975.0488719441696</v>
      </c>
      <c r="S157" s="2110">
        <f t="shared" si="47"/>
        <v>4158.0142467199184</v>
      </c>
      <c r="T157" s="2110">
        <f t="shared" si="47"/>
        <v>4340.6701621405027</v>
      </c>
      <c r="U157" s="2110">
        <f t="shared" si="47"/>
        <v>4523.1268354847707</v>
      </c>
      <c r="V157" s="2110">
        <f t="shared" si="47"/>
        <v>4705.4904567079493</v>
      </c>
      <c r="W157" s="2110">
        <f t="shared" si="47"/>
        <v>4887.8633956688609</v>
      </c>
      <c r="X157" s="2110">
        <f t="shared" si="47"/>
        <v>5072.8994500293093</v>
      </c>
      <c r="Y157" s="2110">
        <f t="shared" si="47"/>
        <v>5260.6888932635256</v>
      </c>
      <c r="Z157" s="2110">
        <f t="shared" si="47"/>
        <v>5451.3206313169858</v>
      </c>
      <c r="AA157" s="2110">
        <f t="shared" si="47"/>
        <v>5644.882413455588</v>
      </c>
      <c r="AB157" s="2110">
        <f t="shared" si="47"/>
        <v>5841.4607903748301</v>
      </c>
      <c r="AC157" s="2110">
        <f t="shared" si="47"/>
        <v>6037.8330755235729</v>
      </c>
      <c r="AD157" s="2110">
        <f t="shared" si="47"/>
        <v>6234.0922742293187</v>
      </c>
      <c r="AE157" s="2110">
        <f t="shared" si="47"/>
        <v>6430.3277784658057</v>
      </c>
      <c r="AF157" s="2110">
        <f t="shared" si="47"/>
        <v>6626.6255637873483</v>
      </c>
      <c r="AG157" s="2110">
        <f t="shared" si="47"/>
        <v>6823.0682169353531</v>
      </c>
      <c r="AH157" s="2110">
        <f t="shared" si="47"/>
        <v>7023.3343841039687</v>
      </c>
      <c r="AI157" s="2110">
        <f t="shared" si="47"/>
        <v>7227.4646472887998</v>
      </c>
      <c r="AJ157" s="2110">
        <f t="shared" si="47"/>
        <v>7435.4997225011348</v>
      </c>
      <c r="AK157" s="2110">
        <f t="shared" si="47"/>
        <v>7647.4803361512968</v>
      </c>
      <c r="AL157" s="2110">
        <f t="shared" si="47"/>
        <v>7863.4473036994868</v>
      </c>
      <c r="AM157" s="2110">
        <f t="shared" si="47"/>
        <v>8078.154415813482</v>
      </c>
      <c r="AN157" s="2110">
        <f t="shared" si="47"/>
        <v>8291.701501959993</v>
      </c>
      <c r="AO157" s="2110">
        <f t="shared" si="47"/>
        <v>8504.1841924141881</v>
      </c>
      <c r="AP157" s="2110">
        <f t="shared" si="47"/>
        <v>8715.6941779580047</v>
      </c>
      <c r="AQ157" s="2110">
        <f t="shared" si="47"/>
        <v>8926.319293851795</v>
      </c>
    </row>
    <row r="158" spans="2:43" x14ac:dyDescent="0.2">
      <c r="B158" s="2105"/>
      <c r="C158" s="2111" t="s">
        <v>1116</v>
      </c>
      <c r="D158" s="2109"/>
      <c r="E158" s="2109" t="s">
        <v>1112</v>
      </c>
      <c r="F158" s="2110" t="s">
        <v>1120</v>
      </c>
      <c r="G158" s="2110">
        <f>+G154+(283.31*EXP(-0.0427))</f>
        <v>300.83729393255072</v>
      </c>
      <c r="H158" s="2110">
        <f>+H154+(G158*EXP(-0.0427))</f>
        <v>317.88760295224347</v>
      </c>
      <c r="I158" s="2110">
        <f t="shared" si="47"/>
        <v>334.50853127062726</v>
      </c>
      <c r="J158" s="2110">
        <f t="shared" si="47"/>
        <v>350.71645938504724</v>
      </c>
      <c r="K158" s="2110">
        <f t="shared" si="47"/>
        <v>366.52701474312335</v>
      </c>
      <c r="L158" s="2110">
        <f t="shared" si="47"/>
        <v>381.95513494025334</v>
      </c>
      <c r="M158" s="2110">
        <f t="shared" si="47"/>
        <v>397.01506163019076</v>
      </c>
      <c r="N158" s="2110">
        <f t="shared" si="47"/>
        <v>412.04058116654539</v>
      </c>
      <c r="O158" s="2110">
        <f t="shared" si="47"/>
        <v>427.03701809593895</v>
      </c>
      <c r="P158" s="2110">
        <f t="shared" si="47"/>
        <v>442.00937559354304</v>
      </c>
      <c r="Q158" s="2110">
        <f t="shared" si="47"/>
        <v>456.96234354213806</v>
      </c>
      <c r="R158" s="2110">
        <f t="shared" si="47"/>
        <v>471.90031139824947</v>
      </c>
      <c r="S158" s="2110">
        <f t="shared" si="47"/>
        <v>486.44888480445155</v>
      </c>
      <c r="T158" s="2110">
        <f t="shared" si="47"/>
        <v>500.62194131615394</v>
      </c>
      <c r="U158" s="2110">
        <f t="shared" si="47"/>
        <v>514.43273246219655</v>
      </c>
      <c r="V158" s="2110">
        <f t="shared" si="47"/>
        <v>527.89391711091992</v>
      </c>
      <c r="W158" s="2110">
        <f t="shared" si="47"/>
        <v>541.01758991511849</v>
      </c>
      <c r="X158" s="2110">
        <f t="shared" si="47"/>
        <v>554.04938610633224</v>
      </c>
      <c r="Y158" s="2110">
        <f t="shared" si="47"/>
        <v>566.99329890871377</v>
      </c>
      <c r="Z158" s="2110">
        <f t="shared" si="47"/>
        <v>579.85305436750514</v>
      </c>
      <c r="AA158" s="2110">
        <f t="shared" si="47"/>
        <v>592.63213430254336</v>
      </c>
      <c r="AB158" s="2110">
        <f t="shared" si="47"/>
        <v>605.33377631488122</v>
      </c>
      <c r="AC158" s="2110">
        <f t="shared" si="47"/>
        <v>617.67801027078713</v>
      </c>
      <c r="AD158" s="2110">
        <f t="shared" si="47"/>
        <v>629.6761772361765</v>
      </c>
      <c r="AE158" s="2110">
        <f t="shared" si="47"/>
        <v>641.33912431262786</v>
      </c>
      <c r="AF158" s="2110">
        <f t="shared" si="47"/>
        <v>652.67722911619001</v>
      </c>
      <c r="AG158" s="2110">
        <f t="shared" si="47"/>
        <v>663.70040994145518</v>
      </c>
      <c r="AH158" s="2110">
        <f t="shared" si="47"/>
        <v>674.5782195300352</v>
      </c>
      <c r="AI158" s="2110">
        <f t="shared" si="47"/>
        <v>685.31324601193899</v>
      </c>
      <c r="AJ158" s="2110">
        <f t="shared" si="47"/>
        <v>695.90789542453365</v>
      </c>
      <c r="AK158" s="2110">
        <f t="shared" si="47"/>
        <v>706.36438945473981</v>
      </c>
      <c r="AL158" s="2110">
        <f t="shared" si="47"/>
        <v>716.68477872293556</v>
      </c>
      <c r="AM158" s="2110">
        <f t="shared" si="47"/>
        <v>726.73550412658597</v>
      </c>
      <c r="AN158" s="2110">
        <f t="shared" si="47"/>
        <v>736.52328105920378</v>
      </c>
      <c r="AO158" s="2110">
        <f t="shared" si="47"/>
        <v>746.05454631595649</v>
      </c>
      <c r="AP158" s="2110">
        <f t="shared" si="47"/>
        <v>755.3354757511969</v>
      </c>
      <c r="AQ158" s="2110">
        <f t="shared" si="47"/>
        <v>764.37198924189795</v>
      </c>
    </row>
    <row r="159" spans="2:43" ht="13.5" x14ac:dyDescent="0.25">
      <c r="B159" s="2105"/>
      <c r="C159" s="2108" t="s">
        <v>1121</v>
      </c>
      <c r="D159" s="2109" t="s">
        <v>1122</v>
      </c>
      <c r="F159" s="2109"/>
      <c r="G159" s="2110"/>
      <c r="H159" s="2110"/>
      <c r="I159" s="2110"/>
      <c r="J159" s="2110"/>
      <c r="K159" s="2110"/>
      <c r="L159" s="2110"/>
      <c r="M159" s="2110"/>
      <c r="N159" s="2110"/>
      <c r="O159" s="2110"/>
      <c r="P159" s="2110"/>
      <c r="Q159" s="2110"/>
      <c r="R159" s="2110"/>
      <c r="S159" s="2110"/>
      <c r="T159" s="2110"/>
      <c r="U159" s="2110"/>
      <c r="V159" s="2110"/>
      <c r="W159" s="2110"/>
      <c r="X159" s="2110"/>
      <c r="Y159" s="2110"/>
      <c r="Z159" s="2110"/>
      <c r="AA159" s="2110"/>
      <c r="AB159" s="2110"/>
      <c r="AC159" s="2110"/>
      <c r="AD159" s="2110"/>
      <c r="AE159" s="2110"/>
      <c r="AF159" s="2110"/>
      <c r="AG159" s="2110"/>
      <c r="AH159" s="2110"/>
      <c r="AI159" s="2110"/>
      <c r="AJ159" s="2110"/>
      <c r="AK159" s="2110"/>
      <c r="AL159" s="2110"/>
      <c r="AM159" s="2110"/>
      <c r="AN159" s="2110"/>
      <c r="AO159" s="2110"/>
      <c r="AP159" s="2110"/>
      <c r="AQ159" s="2110"/>
    </row>
    <row r="160" spans="2:43" x14ac:dyDescent="0.2">
      <c r="B160" s="2105"/>
      <c r="C160" s="2111" t="s">
        <v>1054</v>
      </c>
      <c r="D160" s="2109"/>
      <c r="E160" s="2109" t="s">
        <v>1112</v>
      </c>
      <c r="F160" s="2110" t="s">
        <v>1123</v>
      </c>
      <c r="G160" s="2110">
        <f>1825*(1-(EXP(-0.0867)))</f>
        <v>151.5623444700027</v>
      </c>
      <c r="H160" s="2110">
        <f>+G156*(1-(EXP(-0.0867)))</f>
        <v>156.63327282713263</v>
      </c>
      <c r="I160" s="2110">
        <f t="shared" ref="I160:AQ160" si="48">+H156*(1-(EXP(-0.0867)))</f>
        <v>161.43678976885985</v>
      </c>
      <c r="J160" s="2110">
        <f t="shared" si="48"/>
        <v>165.97599969927313</v>
      </c>
      <c r="K160" s="2110">
        <f t="shared" si="48"/>
        <v>170.27085847442356</v>
      </c>
      <c r="L160" s="2110">
        <f t="shared" si="48"/>
        <v>174.33961288842238</v>
      </c>
      <c r="M160" s="2110">
        <f t="shared" si="48"/>
        <v>178.19896162879147</v>
      </c>
      <c r="N160" s="2110">
        <f t="shared" si="48"/>
        <v>181.86416300812365</v>
      </c>
      <c r="O160" s="2110">
        <f t="shared" si="48"/>
        <v>185.53887697209146</v>
      </c>
      <c r="P160" s="2110">
        <f t="shared" si="48"/>
        <v>189.22265846884281</v>
      </c>
      <c r="Q160" s="2110">
        <f t="shared" si="48"/>
        <v>192.91499398600541</v>
      </c>
      <c r="R160" s="2110">
        <f t="shared" si="48"/>
        <v>196.61530357235412</v>
      </c>
      <c r="S160" s="2110">
        <f t="shared" si="48"/>
        <v>200.32294572986902</v>
      </c>
      <c r="T160" s="2110">
        <f t="shared" si="48"/>
        <v>203.81435079974113</v>
      </c>
      <c r="U160" s="2110">
        <f t="shared" si="48"/>
        <v>207.10490877520888</v>
      </c>
      <c r="V160" s="2110">
        <f t="shared" si="48"/>
        <v>210.2086952404421</v>
      </c>
      <c r="W160" s="2110">
        <f t="shared" si="48"/>
        <v>213.13858477206756</v>
      </c>
      <c r="X160" s="2110">
        <f t="shared" si="48"/>
        <v>215.90635282188725</v>
      </c>
      <c r="Y160" s="2110">
        <f t="shared" si="48"/>
        <v>218.65782418386235</v>
      </c>
      <c r="Z160" s="2110">
        <f t="shared" si="48"/>
        <v>221.39250057912747</v>
      </c>
      <c r="AA160" s="2110">
        <f t="shared" si="48"/>
        <v>224.10983296409557</v>
      </c>
      <c r="AB160" s="2110">
        <f t="shared" si="48"/>
        <v>226.80923234171473</v>
      </c>
      <c r="AC160" s="2110">
        <f t="shared" si="48"/>
        <v>229.49006695456904</v>
      </c>
      <c r="AD160" s="2110">
        <f t="shared" si="48"/>
        <v>231.98864340234852</v>
      </c>
      <c r="AE160" s="2110">
        <f t="shared" si="48"/>
        <v>234.31678925512048</v>
      </c>
      <c r="AF160" s="2110">
        <f t="shared" si="48"/>
        <v>236.4853334345693</v>
      </c>
      <c r="AG160" s="2110">
        <f t="shared" si="48"/>
        <v>238.50419133243136</v>
      </c>
      <c r="AH160" s="2110">
        <f t="shared" si="48"/>
        <v>240.38243530414294</v>
      </c>
      <c r="AI160" s="2110">
        <f t="shared" si="48"/>
        <v>242.23093133794237</v>
      </c>
      <c r="AJ160" s="2110">
        <f t="shared" si="48"/>
        <v>244.04860903427917</v>
      </c>
      <c r="AK160" s="2110">
        <f t="shared" si="48"/>
        <v>245.83442740490312</v>
      </c>
      <c r="AL160" s="2110">
        <f t="shared" si="48"/>
        <v>247.58736681753928</v>
      </c>
      <c r="AM160" s="2110">
        <f t="shared" si="48"/>
        <v>249.30643031477049</v>
      </c>
      <c r="AN160" s="2110">
        <f t="shared" si="48"/>
        <v>250.88510779201624</v>
      </c>
      <c r="AO160" s="2110">
        <f t="shared" si="48"/>
        <v>252.33080318090012</v>
      </c>
      <c r="AP160" s="2110">
        <f t="shared" si="48"/>
        <v>253.65030757356735</v>
      </c>
      <c r="AQ160" s="2110">
        <f t="shared" si="48"/>
        <v>254.84985342638288</v>
      </c>
    </row>
    <row r="161" spans="2:43" x14ac:dyDescent="0.2">
      <c r="B161" s="2105"/>
      <c r="C161" s="2111" t="s">
        <v>1114</v>
      </c>
      <c r="D161" s="2109"/>
      <c r="E161" s="2109" t="s">
        <v>1112</v>
      </c>
      <c r="F161" s="2110" t="s">
        <v>1124</v>
      </c>
      <c r="G161" s="2110">
        <f>1898*(1-(EXP(-0.0427)))</f>
        <v>79.338665083877601</v>
      </c>
      <c r="H161" s="2110">
        <f>+G157*(1-(EXP(-0.0427)))</f>
        <v>86.700768332614302</v>
      </c>
      <c r="I161" s="2110">
        <f t="shared" ref="I161:X162" si="49">+H157*(1-(EXP(-0.0427)))</f>
        <v>93.84808773909235</v>
      </c>
      <c r="J161" s="2110">
        <f t="shared" si="49"/>
        <v>100.96018529369857</v>
      </c>
      <c r="K161" s="2110">
        <f t="shared" si="49"/>
        <v>108.04268629331646</v>
      </c>
      <c r="L161" s="2110">
        <f t="shared" si="49"/>
        <v>115.10100407620624</v>
      </c>
      <c r="M161" s="2110">
        <f t="shared" si="49"/>
        <v>122.14036063396993</v>
      </c>
      <c r="N161" s="2110">
        <f t="shared" si="49"/>
        <v>129.16578117918075</v>
      </c>
      <c r="O161" s="2110">
        <f t="shared" si="49"/>
        <v>136.30874085318646</v>
      </c>
      <c r="P161" s="2110">
        <f t="shared" si="49"/>
        <v>143.57457072762065</v>
      </c>
      <c r="Q161" s="2110">
        <f t="shared" si="49"/>
        <v>150.96854711401198</v>
      </c>
      <c r="R161" s="2110">
        <f t="shared" si="49"/>
        <v>158.49589387481785</v>
      </c>
      <c r="S161" s="2110">
        <f t="shared" si="49"/>
        <v>166.16178669295255</v>
      </c>
      <c r="T161" s="2110">
        <f t="shared" si="49"/>
        <v>173.80995771048643</v>
      </c>
      <c r="U161" s="2110">
        <f t="shared" si="49"/>
        <v>181.44519295766389</v>
      </c>
      <c r="V161" s="2110">
        <f t="shared" si="49"/>
        <v>189.0720996482747</v>
      </c>
      <c r="W161" s="2110">
        <f t="shared" si="49"/>
        <v>196.69511664917505</v>
      </c>
      <c r="X161" s="2110">
        <f t="shared" si="49"/>
        <v>204.3185231426325</v>
      </c>
      <c r="Y161" s="2110">
        <f t="shared" ref="Y161:AN162" si="50">+X157*(1-(EXP(-0.0427)))</f>
        <v>212.05325103796747</v>
      </c>
      <c r="Z161" s="2110">
        <f t="shared" si="50"/>
        <v>219.90307387413571</v>
      </c>
      <c r="AA161" s="2110">
        <f t="shared" si="50"/>
        <v>227.87170802575898</v>
      </c>
      <c r="AB161" s="2110">
        <f t="shared" si="50"/>
        <v>235.96282151687228</v>
      </c>
      <c r="AC161" s="2110">
        <f t="shared" si="50"/>
        <v>244.18003226983751</v>
      </c>
      <c r="AD161" s="2110">
        <f t="shared" si="50"/>
        <v>252.38862814084479</v>
      </c>
      <c r="AE161" s="2110">
        <f t="shared" si="50"/>
        <v>260.5924968635768</v>
      </c>
      <c r="AF161" s="2110">
        <f t="shared" si="50"/>
        <v>268.79537512921667</v>
      </c>
      <c r="AG161" s="2110">
        <f t="shared" si="50"/>
        <v>277.00085681853847</v>
      </c>
      <c r="AH161" s="2110">
        <f t="shared" si="50"/>
        <v>285.21239415589247</v>
      </c>
      <c r="AI161" s="2110">
        <f t="shared" si="50"/>
        <v>293.58375894231114</v>
      </c>
      <c r="AJ161" s="2110">
        <f t="shared" si="50"/>
        <v>302.11664755364154</v>
      </c>
      <c r="AK161" s="2110">
        <f t="shared" si="50"/>
        <v>310.81276196774627</v>
      </c>
      <c r="AL161" s="2110">
        <f t="shared" si="50"/>
        <v>319.67380459717992</v>
      </c>
      <c r="AM161" s="2110">
        <f t="shared" si="50"/>
        <v>328.70148157688828</v>
      </c>
      <c r="AN161" s="2110">
        <f t="shared" si="50"/>
        <v>337.67649509592877</v>
      </c>
      <c r="AO161" s="2110">
        <f t="shared" ref="AO161:AQ162" si="51">+AN157*(1-(EXP(-0.0427)))</f>
        <v>346.6030181451469</v>
      </c>
      <c r="AP161" s="2110">
        <f t="shared" si="51"/>
        <v>355.48504818417041</v>
      </c>
      <c r="AQ161" s="2110">
        <f t="shared" si="51"/>
        <v>364.32641799710859</v>
      </c>
    </row>
    <row r="162" spans="2:43" x14ac:dyDescent="0.2">
      <c r="B162" s="2105"/>
      <c r="C162" s="2111" t="s">
        <v>1116</v>
      </c>
      <c r="D162" s="2109"/>
      <c r="E162" s="2109" t="s">
        <v>1112</v>
      </c>
      <c r="F162" s="2110" t="s">
        <v>1125</v>
      </c>
      <c r="G162" s="2110">
        <f>283.31*(1-(EXP(-0.0427)))</f>
        <v>11.842696103747821</v>
      </c>
      <c r="H162" s="2110">
        <f>+G158*(1-(EXP(-0.0427)))</f>
        <v>12.575357907299624</v>
      </c>
      <c r="I162" s="2110">
        <f t="shared" si="49"/>
        <v>13.288081172257485</v>
      </c>
      <c r="J162" s="2110">
        <f t="shared" si="49"/>
        <v>13.982855811475288</v>
      </c>
      <c r="K162" s="2110">
        <f t="shared" si="49"/>
        <v>14.660366549290636</v>
      </c>
      <c r="L162" s="2110">
        <f t="shared" si="49"/>
        <v>15.321266631663926</v>
      </c>
      <c r="M162" s="2110">
        <f t="shared" si="49"/>
        <v>15.966180467909398</v>
      </c>
      <c r="N162" s="2110">
        <f t="shared" si="49"/>
        <v>16.595703376150016</v>
      </c>
      <c r="O162" s="2110">
        <f t="shared" si="49"/>
        <v>17.223788024309183</v>
      </c>
      <c r="P162" s="2110">
        <f t="shared" si="49"/>
        <v>17.850656984790032</v>
      </c>
      <c r="Q162" s="2110">
        <f t="shared" si="49"/>
        <v>18.47651939628555</v>
      </c>
      <c r="R162" s="2110">
        <f t="shared" si="49"/>
        <v>19.101571301492893</v>
      </c>
      <c r="S162" s="2110">
        <f t="shared" si="49"/>
        <v>19.725996184933226</v>
      </c>
      <c r="T162" s="2110">
        <f t="shared" si="49"/>
        <v>20.334143915661823</v>
      </c>
      <c r="U162" s="2110">
        <f t="shared" si="49"/>
        <v>20.926594592056357</v>
      </c>
      <c r="V162" s="2110">
        <f t="shared" si="49"/>
        <v>21.503902143836786</v>
      </c>
      <c r="W162" s="2110">
        <f t="shared" si="49"/>
        <v>22.066595726806913</v>
      </c>
      <c r="X162" s="2110">
        <f t="shared" si="49"/>
        <v>22.615180911887368</v>
      </c>
      <c r="Y162" s="2110">
        <f t="shared" si="50"/>
        <v>23.159925544898989</v>
      </c>
      <c r="Z162" s="2110">
        <f t="shared" si="50"/>
        <v>23.700996547376896</v>
      </c>
      <c r="AA162" s="2110">
        <f t="shared" si="50"/>
        <v>24.238549672458884</v>
      </c>
      <c r="AB162" s="2110">
        <f t="shared" si="50"/>
        <v>24.772730464369367</v>
      </c>
      <c r="AC162" s="2110">
        <f t="shared" si="50"/>
        <v>25.303674258696123</v>
      </c>
      <c r="AD162" s="2110">
        <f t="shared" si="50"/>
        <v>25.819677969731238</v>
      </c>
      <c r="AE162" s="2110">
        <f t="shared" si="50"/>
        <v>26.32121566756447</v>
      </c>
      <c r="AF162" s="2110">
        <f t="shared" si="50"/>
        <v>26.808740773986791</v>
      </c>
      <c r="AG162" s="2110">
        <f t="shared" si="50"/>
        <v>27.282687085733745</v>
      </c>
      <c r="AH162" s="2110">
        <f t="shared" si="50"/>
        <v>27.74346919935584</v>
      </c>
      <c r="AI162" s="2110">
        <f t="shared" si="50"/>
        <v>28.198174621797641</v>
      </c>
      <c r="AJ162" s="2110">
        <f t="shared" si="50"/>
        <v>28.646911539982217</v>
      </c>
      <c r="AK162" s="2110">
        <f t="shared" si="50"/>
        <v>29.089780529142885</v>
      </c>
      <c r="AL162" s="2110">
        <f t="shared" si="50"/>
        <v>29.526874458444304</v>
      </c>
      <c r="AM162" s="2110">
        <f t="shared" si="50"/>
        <v>29.958279046265499</v>
      </c>
      <c r="AN162" s="2110">
        <f t="shared" si="50"/>
        <v>30.378411362730326</v>
      </c>
      <c r="AO162" s="2110">
        <f t="shared" si="51"/>
        <v>30.787552119301804</v>
      </c>
      <c r="AP162" s="2110">
        <f t="shared" si="51"/>
        <v>31.185970381699644</v>
      </c>
      <c r="AQ162" s="2110">
        <f t="shared" si="51"/>
        <v>31.573924308006092</v>
      </c>
    </row>
    <row r="163" spans="2:43" x14ac:dyDescent="0.2">
      <c r="B163" s="2105"/>
      <c r="C163" s="2112" t="s">
        <v>118</v>
      </c>
      <c r="D163" s="2113"/>
      <c r="E163" s="2113" t="s">
        <v>1112</v>
      </c>
      <c r="F163" s="2113"/>
      <c r="G163" s="2114">
        <f>+SUM(G160:G162)</f>
        <v>242.74370565762811</v>
      </c>
      <c r="H163" s="2114">
        <f t="shared" ref="H163:AQ163" si="52">+SUM(H160:H162)</f>
        <v>255.90939906704656</v>
      </c>
      <c r="I163" s="2114">
        <f t="shared" si="52"/>
        <v>268.57295868020969</v>
      </c>
      <c r="J163" s="2114">
        <f t="shared" si="52"/>
        <v>280.91904080444698</v>
      </c>
      <c r="K163" s="2114">
        <f t="shared" si="52"/>
        <v>292.97391131703068</v>
      </c>
      <c r="L163" s="2114">
        <f t="shared" si="52"/>
        <v>304.76188359629253</v>
      </c>
      <c r="M163" s="2114">
        <f t="shared" si="52"/>
        <v>316.30550273067081</v>
      </c>
      <c r="N163" s="2114">
        <f t="shared" si="52"/>
        <v>327.62564756345444</v>
      </c>
      <c r="O163" s="2114">
        <f t="shared" si="52"/>
        <v>339.07140584958705</v>
      </c>
      <c r="P163" s="2114">
        <f t="shared" si="52"/>
        <v>350.64788618125351</v>
      </c>
      <c r="Q163" s="2114">
        <f t="shared" si="52"/>
        <v>362.36006049630294</v>
      </c>
      <c r="R163" s="2114">
        <f t="shared" si="52"/>
        <v>374.21276874866487</v>
      </c>
      <c r="S163" s="2114">
        <f t="shared" si="52"/>
        <v>386.21072860775485</v>
      </c>
      <c r="T163" s="2114">
        <f t="shared" si="52"/>
        <v>397.95845242588939</v>
      </c>
      <c r="U163" s="2114">
        <f t="shared" si="52"/>
        <v>409.47669632492915</v>
      </c>
      <c r="V163" s="2114">
        <f t="shared" si="52"/>
        <v>420.78469703255359</v>
      </c>
      <c r="W163" s="2114">
        <f t="shared" si="52"/>
        <v>431.9002971480495</v>
      </c>
      <c r="X163" s="2114">
        <f t="shared" si="52"/>
        <v>442.84005687640712</v>
      </c>
      <c r="Y163" s="2114">
        <f t="shared" si="52"/>
        <v>453.8710007667288</v>
      </c>
      <c r="Z163" s="2114">
        <f t="shared" si="52"/>
        <v>464.99657100064007</v>
      </c>
      <c r="AA163" s="2114">
        <f t="shared" si="52"/>
        <v>476.22009066231345</v>
      </c>
      <c r="AB163" s="2114">
        <f t="shared" si="52"/>
        <v>487.54478432295639</v>
      </c>
      <c r="AC163" s="2114">
        <f t="shared" si="52"/>
        <v>498.97377348310266</v>
      </c>
      <c r="AD163" s="2114">
        <f t="shared" si="52"/>
        <v>510.1969495129245</v>
      </c>
      <c r="AE163" s="2114">
        <f t="shared" si="52"/>
        <v>521.23050178626181</v>
      </c>
      <c r="AF163" s="2114">
        <f t="shared" si="52"/>
        <v>532.08944933777275</v>
      </c>
      <c r="AG163" s="2114">
        <f t="shared" si="52"/>
        <v>542.78773523670361</v>
      </c>
      <c r="AH163" s="2114">
        <f t="shared" si="52"/>
        <v>553.33829865939117</v>
      </c>
      <c r="AI163" s="2114">
        <f t="shared" si="52"/>
        <v>564.01286490205109</v>
      </c>
      <c r="AJ163" s="2114">
        <f t="shared" si="52"/>
        <v>574.81216812790285</v>
      </c>
      <c r="AK163" s="2114">
        <f t="shared" si="52"/>
        <v>585.73696990179224</v>
      </c>
      <c r="AL163" s="2114">
        <f t="shared" si="52"/>
        <v>596.78804587316358</v>
      </c>
      <c r="AM163" s="2114">
        <f t="shared" si="52"/>
        <v>607.96619093792424</v>
      </c>
      <c r="AN163" s="2114">
        <f t="shared" si="52"/>
        <v>618.94001425067529</v>
      </c>
      <c r="AO163" s="2114">
        <f t="shared" si="52"/>
        <v>629.72137344534883</v>
      </c>
      <c r="AP163" s="2114">
        <f t="shared" si="52"/>
        <v>640.32132613943747</v>
      </c>
      <c r="AQ163" s="2114">
        <f t="shared" si="52"/>
        <v>650.75019573149757</v>
      </c>
    </row>
    <row r="164" spans="2:43" ht="13.5" x14ac:dyDescent="0.25">
      <c r="B164" s="2105"/>
      <c r="C164" s="2108" t="s">
        <v>1126</v>
      </c>
      <c r="D164" s="2113" t="s">
        <v>1127</v>
      </c>
      <c r="E164" s="2113" t="s">
        <v>1112</v>
      </c>
      <c r="F164" s="2110" t="s">
        <v>1128</v>
      </c>
      <c r="G164" s="2114">
        <f>+G163*0.5*(16/12)</f>
        <v>161.82913710508541</v>
      </c>
      <c r="H164" s="2114">
        <f t="shared" ref="H164:AQ164" si="53">+H163*0.5*(16/12)</f>
        <v>170.60626604469769</v>
      </c>
      <c r="I164" s="2114">
        <f t="shared" si="53"/>
        <v>179.0486391201398</v>
      </c>
      <c r="J164" s="2114">
        <f t="shared" si="53"/>
        <v>187.27936053629799</v>
      </c>
      <c r="K164" s="2114">
        <f t="shared" si="53"/>
        <v>195.31594087802046</v>
      </c>
      <c r="L164" s="2114">
        <f t="shared" si="53"/>
        <v>203.174589064195</v>
      </c>
      <c r="M164" s="2114">
        <f t="shared" si="53"/>
        <v>210.87033515378053</v>
      </c>
      <c r="N164" s="2114">
        <f t="shared" si="53"/>
        <v>218.41709837563627</v>
      </c>
      <c r="O164" s="2114">
        <f t="shared" si="53"/>
        <v>226.04760389972469</v>
      </c>
      <c r="P164" s="2114">
        <f t="shared" si="53"/>
        <v>233.76525745416899</v>
      </c>
      <c r="Q164" s="2114">
        <f t="shared" si="53"/>
        <v>241.57337366420194</v>
      </c>
      <c r="R164" s="2114">
        <f t="shared" si="53"/>
        <v>249.47517916577658</v>
      </c>
      <c r="S164" s="2114">
        <f t="shared" si="53"/>
        <v>257.47381907183654</v>
      </c>
      <c r="T164" s="2114">
        <f t="shared" si="53"/>
        <v>265.30563495059289</v>
      </c>
      <c r="U164" s="2114">
        <f t="shared" si="53"/>
        <v>272.98446421661941</v>
      </c>
      <c r="V164" s="2114">
        <f t="shared" si="53"/>
        <v>280.52313135503573</v>
      </c>
      <c r="W164" s="2114">
        <f t="shared" si="53"/>
        <v>287.93353143203296</v>
      </c>
      <c r="X164" s="2114">
        <f t="shared" si="53"/>
        <v>295.22670458427137</v>
      </c>
      <c r="Y164" s="2114">
        <f t="shared" si="53"/>
        <v>302.58066717781918</v>
      </c>
      <c r="Z164" s="2114">
        <f t="shared" si="53"/>
        <v>309.9977140004267</v>
      </c>
      <c r="AA164" s="2114">
        <f t="shared" si="53"/>
        <v>317.48006044154226</v>
      </c>
      <c r="AB164" s="2114">
        <f t="shared" si="53"/>
        <v>325.02985621530422</v>
      </c>
      <c r="AC164" s="2114">
        <f t="shared" si="53"/>
        <v>332.64918232206844</v>
      </c>
      <c r="AD164" s="2114">
        <f t="shared" si="53"/>
        <v>340.131299675283</v>
      </c>
      <c r="AE164" s="2114">
        <f t="shared" si="53"/>
        <v>347.48700119084117</v>
      </c>
      <c r="AF164" s="2114">
        <f t="shared" si="53"/>
        <v>354.72629955851517</v>
      </c>
      <c r="AG164" s="2114">
        <f t="shared" si="53"/>
        <v>361.85849015780241</v>
      </c>
      <c r="AH164" s="2114">
        <f t="shared" si="53"/>
        <v>368.89219910626076</v>
      </c>
      <c r="AI164" s="2114">
        <f t="shared" si="53"/>
        <v>376.00857660136739</v>
      </c>
      <c r="AJ164" s="2114">
        <f t="shared" si="53"/>
        <v>383.20811208526857</v>
      </c>
      <c r="AK164" s="2114">
        <f t="shared" si="53"/>
        <v>390.49131326786147</v>
      </c>
      <c r="AL164" s="2114">
        <f t="shared" si="53"/>
        <v>397.85869724877568</v>
      </c>
      <c r="AM164" s="2114">
        <f t="shared" si="53"/>
        <v>405.31079395861616</v>
      </c>
      <c r="AN164" s="2114">
        <f t="shared" si="53"/>
        <v>412.62667616711684</v>
      </c>
      <c r="AO164" s="2114">
        <f t="shared" si="53"/>
        <v>419.81424896356589</v>
      </c>
      <c r="AP164" s="2114">
        <f t="shared" si="53"/>
        <v>426.8808840929583</v>
      </c>
      <c r="AQ164" s="2114">
        <f t="shared" si="53"/>
        <v>433.83346382099836</v>
      </c>
    </row>
    <row r="165" spans="2:43" x14ac:dyDescent="0.2">
      <c r="B165" s="2105"/>
      <c r="C165" s="2108"/>
      <c r="D165" s="2109"/>
      <c r="E165" s="2109"/>
      <c r="F165" s="2109"/>
      <c r="G165" s="2110"/>
      <c r="H165" s="2110"/>
      <c r="I165" s="2110"/>
      <c r="J165" s="2110"/>
      <c r="K165" s="2110"/>
      <c r="L165" s="2110"/>
      <c r="M165" s="2110"/>
      <c r="N165" s="2110"/>
      <c r="O165" s="2110"/>
      <c r="P165" s="2110"/>
      <c r="Q165" s="2110"/>
      <c r="R165" s="2110"/>
      <c r="S165" s="2110"/>
      <c r="T165" s="2110"/>
      <c r="U165" s="2110"/>
      <c r="V165" s="2110"/>
      <c r="W165" s="2110"/>
      <c r="X165" s="2110"/>
      <c r="Y165" s="2110"/>
      <c r="Z165" s="2110"/>
      <c r="AA165" s="2110"/>
      <c r="AB165" s="2110"/>
      <c r="AC165" s="2110"/>
      <c r="AD165" s="2110"/>
      <c r="AE165" s="2110"/>
      <c r="AF165" s="2110"/>
      <c r="AG165" s="2110"/>
      <c r="AH165" s="2110"/>
      <c r="AI165" s="2110"/>
      <c r="AJ165" s="2110"/>
      <c r="AK165" s="2110"/>
      <c r="AL165" s="2110"/>
      <c r="AM165" s="2110"/>
      <c r="AN165" s="2110"/>
      <c r="AO165" s="2110"/>
      <c r="AP165" s="2110"/>
      <c r="AQ165" s="2110"/>
    </row>
    <row r="166" spans="2:43" x14ac:dyDescent="0.2">
      <c r="B166" s="2105"/>
      <c r="C166" s="2108"/>
      <c r="D166" s="2109"/>
      <c r="E166" s="2109"/>
      <c r="F166" s="2109"/>
      <c r="G166" s="2110"/>
      <c r="H166" s="2110"/>
      <c r="I166" s="2110"/>
      <c r="J166" s="2110"/>
      <c r="K166" s="2110"/>
      <c r="L166" s="2110"/>
      <c r="M166" s="2110"/>
      <c r="N166" s="2110"/>
      <c r="O166" s="2110"/>
      <c r="P166" s="2110"/>
      <c r="Q166" s="2110"/>
      <c r="R166" s="2110"/>
      <c r="S166" s="2110"/>
      <c r="T166" s="2110"/>
      <c r="U166" s="2110"/>
      <c r="V166" s="2110"/>
      <c r="W166" s="2110"/>
      <c r="X166" s="2110"/>
      <c r="Y166" s="2110"/>
      <c r="Z166" s="2110"/>
      <c r="AA166" s="2110"/>
      <c r="AB166" s="2110"/>
      <c r="AC166" s="2110"/>
      <c r="AD166" s="2110"/>
      <c r="AE166" s="2110"/>
      <c r="AF166" s="2110"/>
      <c r="AG166" s="2110"/>
      <c r="AH166" s="2110"/>
      <c r="AI166" s="2110"/>
      <c r="AJ166" s="2110"/>
      <c r="AK166" s="2110"/>
      <c r="AL166" s="2110"/>
      <c r="AM166" s="2110"/>
      <c r="AN166" s="2110"/>
      <c r="AO166" s="2110"/>
      <c r="AP166" s="2110"/>
      <c r="AQ166" s="2110"/>
    </row>
    <row r="167" spans="2:43" x14ac:dyDescent="0.2">
      <c r="B167" s="2105"/>
      <c r="C167" s="2108"/>
      <c r="D167" s="2110" t="s">
        <v>1113</v>
      </c>
      <c r="E167" s="2115" t="s">
        <v>1129</v>
      </c>
      <c r="G167" s="2110"/>
      <c r="H167" s="2110"/>
      <c r="I167" s="2110"/>
      <c r="J167" s="2110"/>
      <c r="K167" s="2110"/>
      <c r="L167" s="2110"/>
      <c r="M167" s="2110"/>
      <c r="N167" s="2110"/>
      <c r="O167" s="2110"/>
      <c r="P167" s="2110"/>
      <c r="Q167" s="2110"/>
      <c r="R167" s="2110"/>
      <c r="S167" s="2110"/>
      <c r="T167" s="2110"/>
      <c r="U167" s="2110"/>
      <c r="V167" s="2110"/>
      <c r="W167" s="2110"/>
      <c r="X167" s="2110"/>
      <c r="Y167" s="2110"/>
      <c r="Z167" s="2110"/>
      <c r="AA167" s="2110"/>
      <c r="AB167" s="2110"/>
      <c r="AC167" s="2110"/>
      <c r="AD167" s="2110"/>
      <c r="AE167" s="2110"/>
      <c r="AF167" s="2110"/>
      <c r="AG167" s="2110"/>
      <c r="AH167" s="2110"/>
      <c r="AI167" s="2110"/>
      <c r="AJ167" s="2110"/>
      <c r="AK167" s="2110"/>
      <c r="AL167" s="2110"/>
      <c r="AM167" s="2110"/>
      <c r="AN167" s="2110"/>
      <c r="AO167" s="2110"/>
      <c r="AP167" s="2110"/>
      <c r="AQ167" s="2110"/>
    </row>
    <row r="168" spans="2:43" x14ac:dyDescent="0.2">
      <c r="B168" s="2105"/>
      <c r="C168" s="2108"/>
      <c r="D168" s="2110" t="s">
        <v>1115</v>
      </c>
      <c r="E168" s="2115" t="s">
        <v>1130</v>
      </c>
      <c r="G168" s="2110"/>
      <c r="H168" s="2110"/>
      <c r="I168" s="2110"/>
      <c r="J168" s="2110"/>
      <c r="K168" s="2110"/>
      <c r="L168" s="2110"/>
      <c r="M168" s="2110"/>
      <c r="N168" s="2110"/>
      <c r="O168" s="2110"/>
      <c r="P168" s="2110"/>
      <c r="Q168" s="2110"/>
      <c r="R168" s="2110"/>
      <c r="S168" s="2110"/>
      <c r="T168" s="2110"/>
      <c r="U168" s="2110"/>
      <c r="V168" s="2110"/>
      <c r="W168" s="2110"/>
      <c r="X168" s="2110"/>
      <c r="Y168" s="2110"/>
      <c r="Z168" s="2110"/>
      <c r="AA168" s="2110"/>
      <c r="AB168" s="2110"/>
      <c r="AC168" s="2110"/>
      <c r="AD168" s="2110"/>
      <c r="AE168" s="2110"/>
      <c r="AF168" s="2110"/>
      <c r="AG168" s="2110"/>
      <c r="AH168" s="2110"/>
      <c r="AI168" s="2110"/>
      <c r="AJ168" s="2110"/>
      <c r="AK168" s="2110"/>
      <c r="AL168" s="2110"/>
      <c r="AM168" s="2110"/>
      <c r="AN168" s="2110"/>
      <c r="AO168" s="2110"/>
      <c r="AP168" s="2110"/>
      <c r="AQ168" s="2110"/>
    </row>
    <row r="169" spans="2:43" x14ac:dyDescent="0.2">
      <c r="B169" s="2105"/>
      <c r="C169" s="2108"/>
      <c r="D169" s="2110" t="s">
        <v>1117</v>
      </c>
      <c r="E169" s="2115" t="s">
        <v>1131</v>
      </c>
      <c r="G169" s="2110"/>
      <c r="H169" s="2110"/>
      <c r="I169" s="2110"/>
      <c r="J169" s="2110"/>
      <c r="K169" s="2110"/>
      <c r="L169" s="2110"/>
      <c r="M169" s="2110"/>
      <c r="N169" s="2110"/>
      <c r="O169" s="2110"/>
      <c r="P169" s="2110"/>
      <c r="Q169" s="2110"/>
      <c r="R169" s="2110"/>
      <c r="S169" s="2110"/>
      <c r="T169" s="2110"/>
      <c r="U169" s="2110"/>
      <c r="V169" s="2110"/>
      <c r="W169" s="2110"/>
      <c r="X169" s="2110"/>
      <c r="Y169" s="2110"/>
      <c r="Z169" s="2110"/>
      <c r="AA169" s="2110"/>
      <c r="AB169" s="2110"/>
      <c r="AC169" s="2110"/>
      <c r="AD169" s="2110"/>
      <c r="AE169" s="2110"/>
      <c r="AF169" s="2110"/>
      <c r="AG169" s="2110"/>
      <c r="AH169" s="2110"/>
      <c r="AI169" s="2110"/>
      <c r="AJ169" s="2110"/>
      <c r="AK169" s="2110"/>
      <c r="AL169" s="2110"/>
      <c r="AM169" s="2110"/>
      <c r="AN169" s="2110"/>
      <c r="AO169" s="2110"/>
      <c r="AP169" s="2110"/>
      <c r="AQ169" s="2110"/>
    </row>
    <row r="170" spans="2:43" x14ac:dyDescent="0.2">
      <c r="B170" s="2105"/>
      <c r="C170" s="2108"/>
      <c r="D170" s="2110" t="s">
        <v>1123</v>
      </c>
      <c r="E170" s="2115" t="s">
        <v>1132</v>
      </c>
      <c r="G170" s="2110"/>
      <c r="H170" s="2110"/>
      <c r="I170" s="2110"/>
      <c r="J170" s="2110"/>
      <c r="K170" s="2110"/>
      <c r="L170" s="2110"/>
      <c r="M170" s="2110"/>
      <c r="N170" s="2110"/>
      <c r="O170" s="2110"/>
      <c r="P170" s="2110"/>
      <c r="Q170" s="2110"/>
      <c r="R170" s="2110"/>
      <c r="S170" s="2110"/>
      <c r="T170" s="2110"/>
      <c r="U170" s="2110"/>
      <c r="V170" s="2110"/>
      <c r="W170" s="2110"/>
      <c r="X170" s="2110"/>
      <c r="Y170" s="2110"/>
      <c r="Z170" s="2110"/>
      <c r="AA170" s="2110"/>
      <c r="AB170" s="2110"/>
      <c r="AC170" s="2110"/>
      <c r="AD170" s="2110"/>
      <c r="AE170" s="2110"/>
      <c r="AF170" s="2110"/>
      <c r="AG170" s="2110"/>
      <c r="AH170" s="2110"/>
      <c r="AI170" s="2110"/>
      <c r="AJ170" s="2110"/>
      <c r="AK170" s="2110"/>
      <c r="AL170" s="2110"/>
      <c r="AM170" s="2110"/>
      <c r="AN170" s="2110"/>
      <c r="AO170" s="2110"/>
      <c r="AP170" s="2110"/>
      <c r="AQ170" s="2110"/>
    </row>
    <row r="171" spans="2:43" x14ac:dyDescent="0.2">
      <c r="B171" s="2105"/>
      <c r="C171" s="2108"/>
      <c r="D171" s="2110" t="s">
        <v>1124</v>
      </c>
      <c r="E171" s="2115" t="s">
        <v>1133</v>
      </c>
      <c r="G171" s="2110"/>
      <c r="H171" s="2110"/>
      <c r="I171" s="2110"/>
      <c r="J171" s="2110"/>
      <c r="K171" s="2110"/>
      <c r="L171" s="2110"/>
      <c r="M171" s="2110"/>
      <c r="N171" s="2110"/>
      <c r="O171" s="2110"/>
      <c r="P171" s="2110"/>
      <c r="Q171" s="2110"/>
      <c r="R171" s="2110"/>
      <c r="S171" s="2110"/>
      <c r="T171" s="2110"/>
      <c r="U171" s="2110"/>
      <c r="V171" s="2110"/>
      <c r="W171" s="2110"/>
      <c r="X171" s="2110"/>
      <c r="Y171" s="2110"/>
      <c r="Z171" s="2110"/>
      <c r="AA171" s="2110"/>
      <c r="AB171" s="2110"/>
      <c r="AC171" s="2110"/>
      <c r="AD171" s="2110"/>
      <c r="AE171" s="2110"/>
      <c r="AF171" s="2110"/>
      <c r="AG171" s="2110"/>
      <c r="AH171" s="2110"/>
      <c r="AI171" s="2110"/>
      <c r="AJ171" s="2110"/>
      <c r="AK171" s="2110"/>
      <c r="AL171" s="2110"/>
      <c r="AM171" s="2110"/>
      <c r="AN171" s="2110"/>
      <c r="AO171" s="2110"/>
      <c r="AP171" s="2110"/>
      <c r="AQ171" s="2110"/>
    </row>
    <row r="172" spans="2:43" x14ac:dyDescent="0.2">
      <c r="B172" s="2105"/>
      <c r="C172" s="2108"/>
      <c r="D172" s="2110" t="s">
        <v>1125</v>
      </c>
      <c r="E172" s="2115" t="s">
        <v>1134</v>
      </c>
      <c r="G172" s="2110"/>
      <c r="H172" s="2110"/>
      <c r="I172" s="2110"/>
      <c r="J172" s="2110"/>
      <c r="K172" s="2110"/>
      <c r="L172" s="2110"/>
      <c r="M172" s="2110"/>
      <c r="N172" s="2110"/>
      <c r="O172" s="2110"/>
      <c r="P172" s="2110"/>
      <c r="Q172" s="2110"/>
      <c r="R172" s="2110"/>
      <c r="S172" s="2110"/>
      <c r="T172" s="2110"/>
      <c r="U172" s="2110"/>
      <c r="V172" s="2110"/>
      <c r="W172" s="2110"/>
      <c r="X172" s="2110"/>
      <c r="Y172" s="2110"/>
      <c r="Z172" s="2110"/>
      <c r="AA172" s="2110"/>
      <c r="AB172" s="2110"/>
      <c r="AC172" s="2110"/>
      <c r="AD172" s="2110"/>
      <c r="AE172" s="2110"/>
      <c r="AF172" s="2110"/>
      <c r="AG172" s="2110"/>
      <c r="AH172" s="2110"/>
      <c r="AI172" s="2110"/>
      <c r="AJ172" s="2110"/>
      <c r="AK172" s="2110"/>
      <c r="AL172" s="2110"/>
      <c r="AM172" s="2110"/>
      <c r="AN172" s="2110"/>
      <c r="AO172" s="2110"/>
      <c r="AP172" s="2110"/>
      <c r="AQ172" s="2110"/>
    </row>
    <row r="173" spans="2:43" x14ac:dyDescent="0.2">
      <c r="B173" s="2105"/>
      <c r="C173" s="2108"/>
      <c r="D173" s="2110" t="s">
        <v>1128</v>
      </c>
      <c r="E173" s="2115" t="s">
        <v>1135</v>
      </c>
      <c r="G173" s="2110"/>
      <c r="H173" s="2110"/>
      <c r="I173" s="2110"/>
      <c r="J173" s="2110"/>
      <c r="K173" s="2110"/>
      <c r="L173" s="2110"/>
      <c r="M173" s="2110"/>
      <c r="N173" s="2110"/>
      <c r="O173" s="2110"/>
      <c r="P173" s="2110"/>
      <c r="Q173" s="2110"/>
      <c r="R173" s="2110"/>
      <c r="S173" s="2110"/>
      <c r="T173" s="2110"/>
      <c r="U173" s="2110"/>
      <c r="V173" s="2110"/>
      <c r="W173" s="2110"/>
      <c r="X173" s="2110"/>
      <c r="Y173" s="2110"/>
      <c r="Z173" s="2110"/>
      <c r="AA173" s="2110"/>
      <c r="AB173" s="2110"/>
      <c r="AC173" s="2110"/>
      <c r="AD173" s="2110"/>
      <c r="AE173" s="2110"/>
      <c r="AF173" s="2110"/>
      <c r="AG173" s="2110"/>
      <c r="AH173" s="2110"/>
      <c r="AI173" s="2110"/>
      <c r="AJ173" s="2110"/>
      <c r="AK173" s="2110"/>
      <c r="AL173" s="2110"/>
      <c r="AM173" s="2110"/>
      <c r="AN173" s="2110"/>
      <c r="AO173" s="2110"/>
      <c r="AP173" s="2110"/>
      <c r="AQ173" s="2110"/>
    </row>
    <row r="174" spans="2:43" x14ac:dyDescent="0.2">
      <c r="B174" s="2098"/>
      <c r="C174" s="2102"/>
      <c r="E174" s="2100"/>
      <c r="F174" s="1999"/>
      <c r="G174" s="1999"/>
      <c r="H174" s="1999"/>
      <c r="I174" s="1999"/>
      <c r="J174" s="1999"/>
      <c r="K174" s="1999"/>
      <c r="L174" s="1999"/>
      <c r="M174" s="1999"/>
      <c r="N174" s="1999"/>
      <c r="O174" s="1999"/>
      <c r="P174" s="1999"/>
      <c r="Q174" s="1999"/>
      <c r="R174" s="1999"/>
      <c r="S174" s="1999"/>
      <c r="T174" s="1999"/>
      <c r="U174" s="1999"/>
      <c r="V174" s="1999"/>
      <c r="W174" s="1999"/>
      <c r="X174" s="1999"/>
      <c r="Y174" s="1999"/>
      <c r="Z174" s="1999"/>
      <c r="AA174" s="1999"/>
      <c r="AB174" s="1999"/>
      <c r="AC174" s="1999"/>
      <c r="AD174" s="1999"/>
      <c r="AE174" s="1999"/>
      <c r="AF174" s="1999"/>
      <c r="AG174" s="1999"/>
      <c r="AH174" s="1999"/>
      <c r="AI174" s="1999"/>
      <c r="AJ174" s="1999"/>
      <c r="AK174" s="1999"/>
      <c r="AL174" s="1999"/>
      <c r="AM174" s="1999"/>
      <c r="AN174" s="1999"/>
      <c r="AO174" s="1999"/>
      <c r="AP174" s="1999"/>
      <c r="AQ174" s="1999"/>
    </row>
    <row r="175" spans="2:43" x14ac:dyDescent="0.2">
      <c r="B175" s="2103">
        <v>2</v>
      </c>
      <c r="C175" s="2116" t="s">
        <v>1107</v>
      </c>
      <c r="E175" s="2100"/>
      <c r="F175" s="1999"/>
      <c r="G175" s="1999"/>
      <c r="H175" s="1999"/>
      <c r="I175" s="1999"/>
      <c r="J175" s="1999"/>
      <c r="K175" s="1999"/>
      <c r="L175" s="1999"/>
      <c r="M175" s="1999"/>
      <c r="N175" s="1999"/>
      <c r="O175" s="1999"/>
      <c r="P175" s="1999"/>
      <c r="Q175" s="1999"/>
      <c r="R175" s="1999"/>
      <c r="S175" s="1999"/>
      <c r="T175" s="1999"/>
      <c r="U175" s="1999"/>
      <c r="V175" s="1999"/>
      <c r="W175" s="1999"/>
      <c r="X175" s="1999"/>
      <c r="Y175" s="1999"/>
      <c r="Z175" s="1999"/>
      <c r="AA175" s="1999"/>
      <c r="AB175" s="1999"/>
      <c r="AC175" s="1999"/>
      <c r="AD175" s="1999"/>
      <c r="AE175" s="1999"/>
      <c r="AF175" s="1999"/>
      <c r="AG175" s="1999"/>
      <c r="AH175" s="1999"/>
      <c r="AI175" s="1999"/>
      <c r="AJ175" s="1999"/>
      <c r="AK175" s="1999"/>
      <c r="AL175" s="1999"/>
      <c r="AM175" s="1999"/>
      <c r="AN175" s="1999"/>
      <c r="AO175" s="1999"/>
      <c r="AP175" s="1999"/>
      <c r="AQ175" s="1999"/>
    </row>
    <row r="176" spans="2:43" x14ac:dyDescent="0.2">
      <c r="B176" s="2098"/>
      <c r="C176" s="2101"/>
      <c r="F176" s="1999"/>
    </row>
    <row r="177" spans="2:43" ht="13.5" customHeight="1" x14ac:dyDescent="0.2">
      <c r="B177" s="2098"/>
      <c r="C177" s="2117" t="s">
        <v>1136</v>
      </c>
      <c r="E177" s="2109" t="s">
        <v>1137</v>
      </c>
      <c r="F177" s="1999"/>
      <c r="G177" s="2110">
        <f t="shared" ref="G177:AQ177" si="54">+G164*1000000</f>
        <v>161829137.1050854</v>
      </c>
      <c r="H177" s="2110">
        <f t="shared" si="54"/>
        <v>170606266.0446977</v>
      </c>
      <c r="I177" s="2110">
        <f t="shared" si="54"/>
        <v>179048639.12013981</v>
      </c>
      <c r="J177" s="2110">
        <f t="shared" si="54"/>
        <v>187279360.53629798</v>
      </c>
      <c r="K177" s="2110">
        <f t="shared" si="54"/>
        <v>195315940.87802047</v>
      </c>
      <c r="L177" s="2110">
        <f t="shared" si="54"/>
        <v>203174589.06419501</v>
      </c>
      <c r="M177" s="2110">
        <f t="shared" si="54"/>
        <v>210870335.15378052</v>
      </c>
      <c r="N177" s="2110">
        <f t="shared" si="54"/>
        <v>218417098.37563628</v>
      </c>
      <c r="O177" s="2110">
        <f t="shared" si="54"/>
        <v>226047603.89972469</v>
      </c>
      <c r="P177" s="2110">
        <f t="shared" si="54"/>
        <v>233765257.45416898</v>
      </c>
      <c r="Q177" s="2110">
        <f t="shared" si="54"/>
        <v>241573373.66420195</v>
      </c>
      <c r="R177" s="2110">
        <f t="shared" si="54"/>
        <v>249475179.16577658</v>
      </c>
      <c r="S177" s="2110">
        <f t="shared" si="54"/>
        <v>257473819.07183653</v>
      </c>
      <c r="T177" s="2110">
        <f t="shared" si="54"/>
        <v>265305634.95059288</v>
      </c>
      <c r="U177" s="2110">
        <f t="shared" si="54"/>
        <v>272984464.21661943</v>
      </c>
      <c r="V177" s="2110">
        <f t="shared" si="54"/>
        <v>280523131.35503572</v>
      </c>
      <c r="W177" s="2110">
        <f t="shared" si="54"/>
        <v>287933531.43203294</v>
      </c>
      <c r="X177" s="2110">
        <f t="shared" si="54"/>
        <v>295226704.58427137</v>
      </c>
      <c r="Y177" s="2110">
        <f t="shared" si="54"/>
        <v>302580667.17781919</v>
      </c>
      <c r="Z177" s="2110">
        <f t="shared" si="54"/>
        <v>309997714.00042671</v>
      </c>
      <c r="AA177" s="2110">
        <f t="shared" si="54"/>
        <v>317480060.44154227</v>
      </c>
      <c r="AB177" s="2110">
        <f t="shared" si="54"/>
        <v>325029856.2153042</v>
      </c>
      <c r="AC177" s="2110">
        <f t="shared" si="54"/>
        <v>332649182.32206845</v>
      </c>
      <c r="AD177" s="2110">
        <f t="shared" si="54"/>
        <v>340131299.67528301</v>
      </c>
      <c r="AE177" s="2110">
        <f t="shared" si="54"/>
        <v>347487001.1908412</v>
      </c>
      <c r="AF177" s="2110">
        <f t="shared" si="54"/>
        <v>354726299.55851519</v>
      </c>
      <c r="AG177" s="2110">
        <f t="shared" si="54"/>
        <v>361858490.1578024</v>
      </c>
      <c r="AH177" s="2110">
        <f t="shared" si="54"/>
        <v>368892199.10626078</v>
      </c>
      <c r="AI177" s="2110">
        <f t="shared" si="54"/>
        <v>376008576.60136741</v>
      </c>
      <c r="AJ177" s="2110">
        <f t="shared" si="54"/>
        <v>383208112.08526856</v>
      </c>
      <c r="AK177" s="2110">
        <f t="shared" si="54"/>
        <v>390491313.26786149</v>
      </c>
      <c r="AL177" s="2110">
        <f t="shared" si="54"/>
        <v>397858697.24877566</v>
      </c>
      <c r="AM177" s="2110">
        <f t="shared" si="54"/>
        <v>405310793.95861614</v>
      </c>
      <c r="AN177" s="2110">
        <f t="shared" si="54"/>
        <v>412626676.16711682</v>
      </c>
      <c r="AO177" s="2110">
        <f t="shared" si="54"/>
        <v>419814248.96356589</v>
      </c>
      <c r="AP177" s="2110">
        <f t="shared" si="54"/>
        <v>426880884.09295827</v>
      </c>
      <c r="AQ177" s="2110">
        <f t="shared" si="54"/>
        <v>433833463.82099837</v>
      </c>
    </row>
    <row r="178" spans="2:43" x14ac:dyDescent="0.2">
      <c r="B178" s="2098"/>
      <c r="C178" s="2117" t="s">
        <v>1136</v>
      </c>
      <c r="E178" s="2109" t="s">
        <v>1138</v>
      </c>
      <c r="F178" s="1999"/>
      <c r="G178" s="2110">
        <f>+G177/$F$93</f>
        <v>246690757.78214237</v>
      </c>
      <c r="H178" s="2110">
        <f t="shared" ref="H178:AQ178" si="55">+H177/$F$93</f>
        <v>260070527.50716111</v>
      </c>
      <c r="I178" s="2110">
        <f t="shared" si="55"/>
        <v>272939998.6587497</v>
      </c>
      <c r="J178" s="2110">
        <f t="shared" si="55"/>
        <v>285486830.08582008</v>
      </c>
      <c r="K178" s="2110">
        <f t="shared" si="55"/>
        <v>297737714.75307995</v>
      </c>
      <c r="L178" s="2110">
        <f t="shared" si="55"/>
        <v>309717361.37834603</v>
      </c>
      <c r="M178" s="2110">
        <f t="shared" si="55"/>
        <v>321448681.63686055</v>
      </c>
      <c r="N178" s="2110">
        <f t="shared" si="55"/>
        <v>332952893.86529917</v>
      </c>
      <c r="O178" s="2110">
        <f t="shared" si="55"/>
        <v>344584762.04226321</v>
      </c>
      <c r="P178" s="2110">
        <f t="shared" si="55"/>
        <v>356349477.82647711</v>
      </c>
      <c r="Q178" s="2110">
        <f t="shared" si="55"/>
        <v>368252094.0003078</v>
      </c>
      <c r="R178" s="2110">
        <f t="shared" si="55"/>
        <v>380297529.21612281</v>
      </c>
      <c r="S178" s="2110">
        <f t="shared" si="55"/>
        <v>392490577.85340935</v>
      </c>
      <c r="T178" s="2110">
        <f t="shared" si="55"/>
        <v>404429321.57102573</v>
      </c>
      <c r="U178" s="2110">
        <f t="shared" si="55"/>
        <v>416134853.98874909</v>
      </c>
      <c r="V178" s="2110">
        <f t="shared" si="55"/>
        <v>427626724.62657881</v>
      </c>
      <c r="W178" s="2110">
        <f t="shared" si="55"/>
        <v>438923066.2073673</v>
      </c>
      <c r="X178" s="2110">
        <f t="shared" si="55"/>
        <v>450040708.20773071</v>
      </c>
      <c r="Y178" s="2110">
        <f t="shared" si="55"/>
        <v>461251017.0393585</v>
      </c>
      <c r="Z178" s="2110">
        <f t="shared" si="55"/>
        <v>472557490.85430896</v>
      </c>
      <c r="AA178" s="2110">
        <f t="shared" si="55"/>
        <v>483963506.77064365</v>
      </c>
      <c r="AB178" s="2110">
        <f t="shared" si="55"/>
        <v>495472341.79162222</v>
      </c>
      <c r="AC178" s="2110">
        <f t="shared" si="55"/>
        <v>507087168.17388481</v>
      </c>
      <c r="AD178" s="2110">
        <f t="shared" si="55"/>
        <v>518492834.87085825</v>
      </c>
      <c r="AE178" s="2110">
        <f t="shared" si="55"/>
        <v>529705794.4982335</v>
      </c>
      <c r="AF178" s="2110">
        <f t="shared" si="55"/>
        <v>540741310.30261457</v>
      </c>
      <c r="AG178" s="2110">
        <f t="shared" si="55"/>
        <v>551613552.06982076</v>
      </c>
      <c r="AH178" s="2110">
        <f t="shared" si="55"/>
        <v>562335669.36929989</v>
      </c>
      <c r="AI178" s="2110">
        <f t="shared" si="55"/>
        <v>573183805.79476738</v>
      </c>
      <c r="AJ178" s="2110">
        <f t="shared" si="55"/>
        <v>584158707.4470557</v>
      </c>
      <c r="AK178" s="2110">
        <f t="shared" si="55"/>
        <v>595261148.2741791</v>
      </c>
      <c r="AL178" s="2110">
        <f t="shared" si="55"/>
        <v>606491916.53776777</v>
      </c>
      <c r="AM178" s="2110">
        <f t="shared" si="55"/>
        <v>617851820.05886602</v>
      </c>
      <c r="AN178" s="2110">
        <f t="shared" si="55"/>
        <v>629004079.52304387</v>
      </c>
      <c r="AO178" s="2110">
        <f t="shared" si="55"/>
        <v>639960745.37128949</v>
      </c>
      <c r="AP178" s="2110">
        <f t="shared" si="55"/>
        <v>650733055.01975346</v>
      </c>
      <c r="AQ178" s="2110">
        <f t="shared" si="55"/>
        <v>661331499.72713161</v>
      </c>
    </row>
    <row r="179" spans="2:43" ht="15" x14ac:dyDescent="0.2">
      <c r="B179" s="2098"/>
      <c r="C179" s="2117" t="s">
        <v>1139</v>
      </c>
      <c r="E179" s="2109" t="s">
        <v>1140</v>
      </c>
      <c r="F179" s="1999"/>
      <c r="G179" s="2110">
        <f>+G178/8760</f>
        <v>28161.045408920363</v>
      </c>
      <c r="H179" s="2110">
        <f t="shared" ref="H179:AQ179" si="56">+H178/8760</f>
        <v>29688.416382096017</v>
      </c>
      <c r="I179" s="2110">
        <f t="shared" si="56"/>
        <v>31157.534093464579</v>
      </c>
      <c r="J179" s="2110">
        <f t="shared" si="56"/>
        <v>32589.820786052522</v>
      </c>
      <c r="K179" s="2110">
        <f t="shared" si="56"/>
        <v>33988.323601949764</v>
      </c>
      <c r="L179" s="2110">
        <f t="shared" si="56"/>
        <v>35355.863171044068</v>
      </c>
      <c r="M179" s="2110">
        <f t="shared" si="56"/>
        <v>36695.054981376772</v>
      </c>
      <c r="N179" s="2110">
        <f t="shared" si="56"/>
        <v>38008.321217499906</v>
      </c>
      <c r="O179" s="2110">
        <f t="shared" si="56"/>
        <v>39336.160050486666</v>
      </c>
      <c r="P179" s="2110">
        <f t="shared" si="56"/>
        <v>40679.164135442596</v>
      </c>
      <c r="Q179" s="2110">
        <f t="shared" si="56"/>
        <v>42037.910274007736</v>
      </c>
      <c r="R179" s="2110">
        <f t="shared" si="56"/>
        <v>43412.959956178405</v>
      </c>
      <c r="S179" s="2110">
        <f t="shared" si="56"/>
        <v>44804.860485549012</v>
      </c>
      <c r="T179" s="2110">
        <f t="shared" si="56"/>
        <v>46167.73077294814</v>
      </c>
      <c r="U179" s="2110">
        <f t="shared" si="56"/>
        <v>47503.97876583894</v>
      </c>
      <c r="V179" s="2110">
        <f t="shared" si="56"/>
        <v>48815.836144586625</v>
      </c>
      <c r="W179" s="2110">
        <f t="shared" si="56"/>
        <v>50105.372854722293</v>
      </c>
      <c r="X179" s="2110">
        <f t="shared" si="56"/>
        <v>51374.510069375654</v>
      </c>
      <c r="Y179" s="2110">
        <f t="shared" si="56"/>
        <v>52654.225689424486</v>
      </c>
      <c r="Z179" s="2110">
        <f t="shared" si="56"/>
        <v>53944.919047295545</v>
      </c>
      <c r="AA179" s="2110">
        <f t="shared" si="56"/>
        <v>55246.975658749274</v>
      </c>
      <c r="AB179" s="2110">
        <f t="shared" si="56"/>
        <v>56560.769610915777</v>
      </c>
      <c r="AC179" s="2110">
        <f t="shared" si="56"/>
        <v>57886.663033548495</v>
      </c>
      <c r="AD179" s="2110">
        <f t="shared" si="56"/>
        <v>59188.679779778337</v>
      </c>
      <c r="AE179" s="2110">
        <f t="shared" si="56"/>
        <v>60468.698002081452</v>
      </c>
      <c r="AF179" s="2110">
        <f t="shared" si="56"/>
        <v>61728.460080207144</v>
      </c>
      <c r="AG179" s="2110">
        <f t="shared" si="56"/>
        <v>62969.583569614246</v>
      </c>
      <c r="AH179" s="2110">
        <f t="shared" si="56"/>
        <v>64193.569562705467</v>
      </c>
      <c r="AI179" s="2110">
        <f t="shared" si="56"/>
        <v>65431.941300772531</v>
      </c>
      <c r="AJ179" s="2110">
        <f t="shared" si="56"/>
        <v>66684.783955143343</v>
      </c>
      <c r="AK179" s="2110">
        <f t="shared" si="56"/>
        <v>67952.185876047835</v>
      </c>
      <c r="AL179" s="2110">
        <f t="shared" si="56"/>
        <v>69234.237047690389</v>
      </c>
      <c r="AM179" s="2110">
        <f t="shared" si="56"/>
        <v>70531.02968708516</v>
      </c>
      <c r="AN179" s="2110">
        <f t="shared" si="56"/>
        <v>71804.118667014147</v>
      </c>
      <c r="AO179" s="2110">
        <f t="shared" si="56"/>
        <v>73054.879608594696</v>
      </c>
      <c r="AP179" s="2110">
        <f t="shared" si="56"/>
        <v>74284.595321889661</v>
      </c>
      <c r="AQ179" s="2110">
        <f t="shared" si="56"/>
        <v>75494.463439170271</v>
      </c>
    </row>
    <row r="180" spans="2:43" ht="15" x14ac:dyDescent="0.2">
      <c r="B180" s="2098"/>
      <c r="C180" s="2117" t="s">
        <v>1141</v>
      </c>
      <c r="E180" s="2109" t="s">
        <v>1140</v>
      </c>
      <c r="F180" s="1999"/>
      <c r="G180" s="2110">
        <f>+G179/$F$96</f>
        <v>56322.090817840726</v>
      </c>
      <c r="H180" s="2110">
        <f t="shared" ref="H180:AQ180" si="57">+H179/$F$96</f>
        <v>59376.832764192033</v>
      </c>
      <c r="I180" s="2110">
        <f t="shared" si="57"/>
        <v>62315.068186929158</v>
      </c>
      <c r="J180" s="2110">
        <f t="shared" si="57"/>
        <v>65179.641572105043</v>
      </c>
      <c r="K180" s="2110">
        <f t="shared" si="57"/>
        <v>67976.647203899527</v>
      </c>
      <c r="L180" s="2110">
        <f t="shared" si="57"/>
        <v>70711.726342088135</v>
      </c>
      <c r="M180" s="2110">
        <f t="shared" si="57"/>
        <v>73390.109962753544</v>
      </c>
      <c r="N180" s="2110">
        <f t="shared" si="57"/>
        <v>76016.642434999812</v>
      </c>
      <c r="O180" s="2110">
        <f t="shared" si="57"/>
        <v>78672.320100973331</v>
      </c>
      <c r="P180" s="2110">
        <f t="shared" si="57"/>
        <v>81358.328270885191</v>
      </c>
      <c r="Q180" s="2110">
        <f t="shared" si="57"/>
        <v>84075.820548015472</v>
      </c>
      <c r="R180" s="2110">
        <f t="shared" si="57"/>
        <v>86825.919912356811</v>
      </c>
      <c r="S180" s="2110">
        <f t="shared" si="57"/>
        <v>89609.720971098024</v>
      </c>
      <c r="T180" s="2110">
        <f t="shared" si="57"/>
        <v>92335.46154589628</v>
      </c>
      <c r="U180" s="2110">
        <f t="shared" si="57"/>
        <v>95007.957531677879</v>
      </c>
      <c r="V180" s="2110">
        <f t="shared" si="57"/>
        <v>97631.67228917325</v>
      </c>
      <c r="W180" s="2110">
        <f t="shared" si="57"/>
        <v>100210.74570944459</v>
      </c>
      <c r="X180" s="2110">
        <f t="shared" si="57"/>
        <v>102749.02013875131</v>
      </c>
      <c r="Y180" s="2110">
        <f t="shared" si="57"/>
        <v>105308.45137884897</v>
      </c>
      <c r="Z180" s="2110">
        <f t="shared" si="57"/>
        <v>107889.83809459109</v>
      </c>
      <c r="AA180" s="2110">
        <f t="shared" si="57"/>
        <v>110493.95131749855</v>
      </c>
      <c r="AB180" s="2110">
        <f t="shared" si="57"/>
        <v>113121.53922183155</v>
      </c>
      <c r="AC180" s="2110">
        <f t="shared" si="57"/>
        <v>115773.32606709699</v>
      </c>
      <c r="AD180" s="2110">
        <f t="shared" si="57"/>
        <v>118377.35955955667</v>
      </c>
      <c r="AE180" s="2110">
        <f t="shared" si="57"/>
        <v>120937.3960041629</v>
      </c>
      <c r="AF180" s="2110">
        <f t="shared" si="57"/>
        <v>123456.92016041429</v>
      </c>
      <c r="AG180" s="2110">
        <f t="shared" si="57"/>
        <v>125939.16713922849</v>
      </c>
      <c r="AH180" s="2110">
        <f t="shared" si="57"/>
        <v>128387.13912541093</v>
      </c>
      <c r="AI180" s="2110">
        <f t="shared" si="57"/>
        <v>130863.88260154506</v>
      </c>
      <c r="AJ180" s="2110">
        <f t="shared" si="57"/>
        <v>133369.56791028669</v>
      </c>
      <c r="AK180" s="2110">
        <f t="shared" si="57"/>
        <v>135904.37175209567</v>
      </c>
      <c r="AL180" s="2110">
        <f t="shared" si="57"/>
        <v>138468.47409538078</v>
      </c>
      <c r="AM180" s="2110">
        <f t="shared" si="57"/>
        <v>141062.05937417032</v>
      </c>
      <c r="AN180" s="2110">
        <f t="shared" si="57"/>
        <v>143608.23733402829</v>
      </c>
      <c r="AO180" s="2110">
        <f t="shared" si="57"/>
        <v>146109.75921718939</v>
      </c>
      <c r="AP180" s="2110">
        <f t="shared" si="57"/>
        <v>148569.19064377932</v>
      </c>
      <c r="AQ180" s="2110">
        <f t="shared" si="57"/>
        <v>150988.92687834054</v>
      </c>
    </row>
    <row r="181" spans="2:43" x14ac:dyDescent="0.2">
      <c r="B181" s="2098"/>
      <c r="C181" s="2102"/>
      <c r="E181" s="2100"/>
      <c r="F181" s="1999"/>
      <c r="G181" s="1999"/>
      <c r="H181" s="1999"/>
      <c r="I181" s="1999"/>
      <c r="J181" s="1999"/>
      <c r="K181" s="1999"/>
      <c r="L181" s="1999"/>
      <c r="M181" s="1999"/>
      <c r="N181" s="1999"/>
      <c r="O181" s="1999"/>
      <c r="P181" s="1999"/>
      <c r="Q181" s="1999"/>
      <c r="R181" s="1999"/>
      <c r="S181" s="1999"/>
      <c r="T181" s="1999"/>
      <c r="U181" s="1999"/>
      <c r="V181" s="1999"/>
      <c r="W181" s="1999"/>
      <c r="X181" s="1999"/>
      <c r="Y181" s="1999"/>
      <c r="Z181" s="1999"/>
      <c r="AA181" s="1999"/>
      <c r="AB181" s="1999"/>
      <c r="AC181" s="1999"/>
      <c r="AD181" s="1999"/>
      <c r="AE181" s="1999"/>
      <c r="AF181" s="1999"/>
      <c r="AG181" s="1999"/>
      <c r="AH181" s="1999"/>
      <c r="AI181" s="1999"/>
      <c r="AJ181" s="1999"/>
      <c r="AK181" s="1999"/>
      <c r="AL181" s="1999"/>
      <c r="AM181" s="1999"/>
      <c r="AN181" s="1999"/>
      <c r="AO181" s="1999"/>
      <c r="AP181" s="1999"/>
      <c r="AQ181" s="1999"/>
    </row>
    <row r="182" spans="2:43" ht="15" x14ac:dyDescent="0.2">
      <c r="B182" s="2098"/>
      <c r="C182" s="2117" t="s">
        <v>1142</v>
      </c>
      <c r="E182" s="2109" t="s">
        <v>1140</v>
      </c>
      <c r="F182" s="1999"/>
      <c r="G182" s="2110">
        <f t="shared" ref="G182:AQ182" si="58">+G180*G38</f>
        <v>16896.627245352218</v>
      </c>
      <c r="H182" s="2110">
        <f t="shared" si="58"/>
        <v>17813.049829257609</v>
      </c>
      <c r="I182" s="2110">
        <f t="shared" si="58"/>
        <v>18694.520456078746</v>
      </c>
      <c r="J182" s="2110">
        <f t="shared" si="58"/>
        <v>19553.892471631512</v>
      </c>
      <c r="K182" s="2110">
        <f t="shared" si="58"/>
        <v>20392.994161169856</v>
      </c>
      <c r="L182" s="2110">
        <f t="shared" si="58"/>
        <v>21213.517902626441</v>
      </c>
      <c r="M182" s="2110">
        <f t="shared" si="58"/>
        <v>22017.032988826064</v>
      </c>
      <c r="N182" s="2110">
        <f t="shared" si="58"/>
        <v>22804.992730499944</v>
      </c>
      <c r="O182" s="2110">
        <f t="shared" si="58"/>
        <v>23601.696030291998</v>
      </c>
      <c r="P182" s="2110">
        <f t="shared" si="58"/>
        <v>24407.498481265557</v>
      </c>
      <c r="Q182" s="2110">
        <f t="shared" si="58"/>
        <v>25222.746164404642</v>
      </c>
      <c r="R182" s="2110">
        <f t="shared" si="58"/>
        <v>26047.775973707041</v>
      </c>
      <c r="S182" s="2110">
        <f t="shared" si="58"/>
        <v>26882.916291329406</v>
      </c>
      <c r="T182" s="2110">
        <f t="shared" si="58"/>
        <v>27700.638463768883</v>
      </c>
      <c r="U182" s="2110">
        <f t="shared" si="58"/>
        <v>28502.387259503364</v>
      </c>
      <c r="V182" s="2110">
        <f t="shared" si="58"/>
        <v>29289.501686751973</v>
      </c>
      <c r="W182" s="2110">
        <f t="shared" si="58"/>
        <v>30063.223712833373</v>
      </c>
      <c r="X182" s="2110">
        <f t="shared" si="58"/>
        <v>30824.706041625392</v>
      </c>
      <c r="Y182" s="2110">
        <f t="shared" si="58"/>
        <v>31592.535413654688</v>
      </c>
      <c r="Z182" s="2110">
        <f t="shared" si="58"/>
        <v>32366.951428377324</v>
      </c>
      <c r="AA182" s="2110">
        <f t="shared" si="58"/>
        <v>33148.185395249566</v>
      </c>
      <c r="AB182" s="2110">
        <f t="shared" si="58"/>
        <v>33936.461766549466</v>
      </c>
      <c r="AC182" s="2110">
        <f t="shared" si="58"/>
        <v>34731.997820129094</v>
      </c>
      <c r="AD182" s="2110">
        <f t="shared" si="58"/>
        <v>35513.207867867</v>
      </c>
      <c r="AE182" s="2110">
        <f t="shared" si="58"/>
        <v>36281.21880124887</v>
      </c>
      <c r="AF182" s="2110">
        <f t="shared" si="58"/>
        <v>37037.076048124283</v>
      </c>
      <c r="AG182" s="2110">
        <f t="shared" si="58"/>
        <v>37781.750141768549</v>
      </c>
      <c r="AH182" s="2110">
        <f t="shared" si="58"/>
        <v>38516.141737623278</v>
      </c>
      <c r="AI182" s="2110">
        <f t="shared" si="58"/>
        <v>39259.164780463514</v>
      </c>
      <c r="AJ182" s="2110">
        <f t="shared" si="58"/>
        <v>40010.870373086007</v>
      </c>
      <c r="AK182" s="2110">
        <f t="shared" si="58"/>
        <v>40771.311525628698</v>
      </c>
      <c r="AL182" s="2110">
        <f t="shared" si="58"/>
        <v>41540.542228614235</v>
      </c>
      <c r="AM182" s="2110">
        <f t="shared" si="58"/>
        <v>42318.617812251097</v>
      </c>
      <c r="AN182" s="2110">
        <f t="shared" si="58"/>
        <v>43082.471200208485</v>
      </c>
      <c r="AO182" s="2110">
        <f t="shared" si="58"/>
        <v>43832.927765156819</v>
      </c>
      <c r="AP182" s="2110">
        <f t="shared" si="58"/>
        <v>44570.757193133795</v>
      </c>
      <c r="AQ182" s="2110">
        <f t="shared" si="58"/>
        <v>45296.678063502164</v>
      </c>
    </row>
    <row r="183" spans="2:43" ht="15" x14ac:dyDescent="0.2">
      <c r="B183" s="2098"/>
      <c r="C183" s="2117" t="s">
        <v>2397</v>
      </c>
      <c r="E183" s="2109" t="s">
        <v>1140</v>
      </c>
      <c r="F183" s="1999"/>
      <c r="G183" s="2110">
        <f>+G47</f>
        <v>15000</v>
      </c>
      <c r="H183" s="2110">
        <f t="shared" ref="H183:AQ183" si="59">+H47</f>
        <v>15000</v>
      </c>
      <c r="I183" s="2110">
        <f t="shared" si="59"/>
        <v>15000</v>
      </c>
      <c r="J183" s="2110">
        <f t="shared" si="59"/>
        <v>15000</v>
      </c>
      <c r="K183" s="2110">
        <f t="shared" si="59"/>
        <v>15000</v>
      </c>
      <c r="L183" s="2110">
        <f>+L47</f>
        <v>15000</v>
      </c>
      <c r="M183" s="2110">
        <f t="shared" si="59"/>
        <v>20000</v>
      </c>
      <c r="N183" s="2110">
        <f t="shared" si="59"/>
        <v>20000</v>
      </c>
      <c r="O183" s="2110">
        <f t="shared" si="59"/>
        <v>20000</v>
      </c>
      <c r="P183" s="2110">
        <f t="shared" si="59"/>
        <v>20000</v>
      </c>
      <c r="Q183" s="2110">
        <f t="shared" si="59"/>
        <v>20000</v>
      </c>
      <c r="R183" s="2110">
        <f t="shared" si="59"/>
        <v>23500</v>
      </c>
      <c r="S183" s="2110">
        <f t="shared" si="59"/>
        <v>23500</v>
      </c>
      <c r="T183" s="2110">
        <f t="shared" si="59"/>
        <v>23500</v>
      </c>
      <c r="U183" s="2110">
        <f t="shared" si="59"/>
        <v>23500</v>
      </c>
      <c r="V183" s="2110">
        <f t="shared" si="59"/>
        <v>23500</v>
      </c>
      <c r="W183" s="2110">
        <f t="shared" si="59"/>
        <v>23500</v>
      </c>
      <c r="X183" s="2110">
        <f t="shared" si="59"/>
        <v>23500</v>
      </c>
      <c r="Y183" s="2110">
        <f t="shared" si="59"/>
        <v>23500</v>
      </c>
      <c r="Z183" s="2110">
        <f t="shared" si="59"/>
        <v>23500</v>
      </c>
      <c r="AA183" s="2110">
        <f t="shared" si="59"/>
        <v>23500</v>
      </c>
      <c r="AB183" s="2110">
        <f t="shared" si="59"/>
        <v>23500</v>
      </c>
      <c r="AC183" s="2110">
        <f t="shared" si="59"/>
        <v>23500</v>
      </c>
      <c r="AD183" s="2110">
        <f t="shared" si="59"/>
        <v>23500</v>
      </c>
      <c r="AE183" s="2110">
        <f t="shared" si="59"/>
        <v>23500</v>
      </c>
      <c r="AF183" s="2110">
        <f t="shared" si="59"/>
        <v>23500</v>
      </c>
      <c r="AG183" s="2110">
        <f t="shared" si="59"/>
        <v>23500</v>
      </c>
      <c r="AH183" s="2110">
        <f t="shared" si="59"/>
        <v>23500</v>
      </c>
      <c r="AI183" s="2110">
        <f t="shared" si="59"/>
        <v>23500</v>
      </c>
      <c r="AJ183" s="2110">
        <f t="shared" si="59"/>
        <v>23500</v>
      </c>
      <c r="AK183" s="2110">
        <f t="shared" si="59"/>
        <v>23500</v>
      </c>
      <c r="AL183" s="2110">
        <f t="shared" si="59"/>
        <v>23500</v>
      </c>
      <c r="AM183" s="2110">
        <f t="shared" si="59"/>
        <v>23500</v>
      </c>
      <c r="AN183" s="2110">
        <f t="shared" si="59"/>
        <v>23500</v>
      </c>
      <c r="AO183" s="2110">
        <f t="shared" si="59"/>
        <v>23500</v>
      </c>
      <c r="AP183" s="2110">
        <f t="shared" si="59"/>
        <v>23500</v>
      </c>
      <c r="AQ183" s="2110">
        <f t="shared" si="59"/>
        <v>23500</v>
      </c>
    </row>
    <row r="184" spans="2:43" x14ac:dyDescent="0.2">
      <c r="B184" s="2098"/>
      <c r="C184" s="2117" t="s">
        <v>1143</v>
      </c>
      <c r="E184" s="2109" t="s">
        <v>1144</v>
      </c>
      <c r="F184" s="1999"/>
      <c r="G184" s="2110">
        <f>+G183*$F$94*8760/1000</f>
        <v>262800</v>
      </c>
      <c r="H184" s="2110">
        <f t="shared" ref="H184:AQ184" si="60">+H183*$F$94*8760/1000</f>
        <v>262800</v>
      </c>
      <c r="I184" s="2110">
        <f t="shared" si="60"/>
        <v>262800</v>
      </c>
      <c r="J184" s="2110">
        <f t="shared" si="60"/>
        <v>262800</v>
      </c>
      <c r="K184" s="2110">
        <f t="shared" si="60"/>
        <v>262800</v>
      </c>
      <c r="L184" s="2110">
        <f t="shared" si="60"/>
        <v>262800</v>
      </c>
      <c r="M184" s="2110">
        <f t="shared" si="60"/>
        <v>350400</v>
      </c>
      <c r="N184" s="2110">
        <f t="shared" si="60"/>
        <v>350400</v>
      </c>
      <c r="O184" s="2110">
        <f t="shared" si="60"/>
        <v>350400</v>
      </c>
      <c r="P184" s="2110">
        <f t="shared" si="60"/>
        <v>350400</v>
      </c>
      <c r="Q184" s="2110">
        <f t="shared" si="60"/>
        <v>350400</v>
      </c>
      <c r="R184" s="2110">
        <f t="shared" si="60"/>
        <v>411720</v>
      </c>
      <c r="S184" s="2110">
        <f t="shared" si="60"/>
        <v>411720</v>
      </c>
      <c r="T184" s="2110">
        <f t="shared" si="60"/>
        <v>411720</v>
      </c>
      <c r="U184" s="2110">
        <f t="shared" si="60"/>
        <v>411720</v>
      </c>
      <c r="V184" s="2110">
        <f t="shared" si="60"/>
        <v>411720</v>
      </c>
      <c r="W184" s="2110">
        <f t="shared" si="60"/>
        <v>411720</v>
      </c>
      <c r="X184" s="2110">
        <f t="shared" si="60"/>
        <v>411720</v>
      </c>
      <c r="Y184" s="2110">
        <f t="shared" si="60"/>
        <v>411720</v>
      </c>
      <c r="Z184" s="2110">
        <f t="shared" si="60"/>
        <v>411720</v>
      </c>
      <c r="AA184" s="2110">
        <f t="shared" si="60"/>
        <v>411720</v>
      </c>
      <c r="AB184" s="2110">
        <f t="shared" si="60"/>
        <v>411720</v>
      </c>
      <c r="AC184" s="2110">
        <f t="shared" si="60"/>
        <v>411720</v>
      </c>
      <c r="AD184" s="2110">
        <f t="shared" si="60"/>
        <v>411720</v>
      </c>
      <c r="AE184" s="2110">
        <f t="shared" si="60"/>
        <v>411720</v>
      </c>
      <c r="AF184" s="2110">
        <f t="shared" si="60"/>
        <v>411720</v>
      </c>
      <c r="AG184" s="2110">
        <f t="shared" si="60"/>
        <v>411720</v>
      </c>
      <c r="AH184" s="2110">
        <f t="shared" si="60"/>
        <v>411720</v>
      </c>
      <c r="AI184" s="2110">
        <f t="shared" si="60"/>
        <v>411720</v>
      </c>
      <c r="AJ184" s="2110">
        <f t="shared" si="60"/>
        <v>411720</v>
      </c>
      <c r="AK184" s="2110">
        <f t="shared" si="60"/>
        <v>411720</v>
      </c>
      <c r="AL184" s="2110">
        <f t="shared" si="60"/>
        <v>411720</v>
      </c>
      <c r="AM184" s="2110">
        <f t="shared" si="60"/>
        <v>411720</v>
      </c>
      <c r="AN184" s="2110">
        <f t="shared" si="60"/>
        <v>411720</v>
      </c>
      <c r="AO184" s="2110">
        <f t="shared" si="60"/>
        <v>411720</v>
      </c>
      <c r="AP184" s="2110">
        <f t="shared" si="60"/>
        <v>411720</v>
      </c>
      <c r="AQ184" s="2110">
        <f t="shared" si="60"/>
        <v>411720</v>
      </c>
    </row>
    <row r="185" spans="2:43" x14ac:dyDescent="0.2">
      <c r="B185" s="2098"/>
      <c r="C185" s="2117" t="s">
        <v>1145</v>
      </c>
      <c r="E185" s="2109" t="s">
        <v>1146</v>
      </c>
      <c r="F185" s="1999"/>
      <c r="G185" s="2110">
        <f>+G184/($F$95*8760)</f>
        <v>31.578947368421051</v>
      </c>
      <c r="H185" s="2110">
        <f t="shared" ref="H185:AQ185" si="61">+H184/($F$95*8760)</f>
        <v>31.578947368421051</v>
      </c>
      <c r="I185" s="2110">
        <f t="shared" si="61"/>
        <v>31.578947368421051</v>
      </c>
      <c r="J185" s="2110">
        <f t="shared" si="61"/>
        <v>31.578947368421051</v>
      </c>
      <c r="K185" s="2110">
        <f t="shared" si="61"/>
        <v>31.578947368421051</v>
      </c>
      <c r="L185" s="2110">
        <f t="shared" si="61"/>
        <v>31.578947368421051</v>
      </c>
      <c r="M185" s="2110">
        <f t="shared" si="61"/>
        <v>42.10526315789474</v>
      </c>
      <c r="N185" s="2110">
        <f t="shared" si="61"/>
        <v>42.10526315789474</v>
      </c>
      <c r="O185" s="2110">
        <f t="shared" si="61"/>
        <v>42.10526315789474</v>
      </c>
      <c r="P185" s="2110">
        <f t="shared" si="61"/>
        <v>42.10526315789474</v>
      </c>
      <c r="Q185" s="2110">
        <f t="shared" si="61"/>
        <v>42.10526315789474</v>
      </c>
      <c r="R185" s="2110">
        <f t="shared" si="61"/>
        <v>49.473684210526315</v>
      </c>
      <c r="S185" s="2110">
        <f t="shared" si="61"/>
        <v>49.473684210526315</v>
      </c>
      <c r="T185" s="2110">
        <f t="shared" si="61"/>
        <v>49.473684210526315</v>
      </c>
      <c r="U185" s="2110">
        <f t="shared" si="61"/>
        <v>49.473684210526315</v>
      </c>
      <c r="V185" s="2110">
        <f t="shared" si="61"/>
        <v>49.473684210526315</v>
      </c>
      <c r="W185" s="2110">
        <f t="shared" si="61"/>
        <v>49.473684210526315</v>
      </c>
      <c r="X185" s="2110">
        <f t="shared" si="61"/>
        <v>49.473684210526315</v>
      </c>
      <c r="Y185" s="2110">
        <f t="shared" si="61"/>
        <v>49.473684210526315</v>
      </c>
      <c r="Z185" s="2110">
        <f t="shared" si="61"/>
        <v>49.473684210526315</v>
      </c>
      <c r="AA185" s="2110">
        <f t="shared" si="61"/>
        <v>49.473684210526315</v>
      </c>
      <c r="AB185" s="2110">
        <f t="shared" si="61"/>
        <v>49.473684210526315</v>
      </c>
      <c r="AC185" s="2110">
        <f t="shared" si="61"/>
        <v>49.473684210526315</v>
      </c>
      <c r="AD185" s="2110">
        <f t="shared" si="61"/>
        <v>49.473684210526315</v>
      </c>
      <c r="AE185" s="2110">
        <f t="shared" si="61"/>
        <v>49.473684210526315</v>
      </c>
      <c r="AF185" s="2110">
        <f t="shared" si="61"/>
        <v>49.473684210526315</v>
      </c>
      <c r="AG185" s="2110">
        <f t="shared" si="61"/>
        <v>49.473684210526315</v>
      </c>
      <c r="AH185" s="2110">
        <f t="shared" si="61"/>
        <v>49.473684210526315</v>
      </c>
      <c r="AI185" s="2110">
        <f t="shared" si="61"/>
        <v>49.473684210526315</v>
      </c>
      <c r="AJ185" s="2110">
        <f t="shared" si="61"/>
        <v>49.473684210526315</v>
      </c>
      <c r="AK185" s="2110">
        <f t="shared" si="61"/>
        <v>49.473684210526315</v>
      </c>
      <c r="AL185" s="2110">
        <f t="shared" si="61"/>
        <v>49.473684210526315</v>
      </c>
      <c r="AM185" s="2110">
        <f t="shared" si="61"/>
        <v>49.473684210526315</v>
      </c>
      <c r="AN185" s="2110">
        <f t="shared" si="61"/>
        <v>49.473684210526315</v>
      </c>
      <c r="AO185" s="2110">
        <f t="shared" si="61"/>
        <v>49.473684210526315</v>
      </c>
      <c r="AP185" s="2110">
        <f t="shared" si="61"/>
        <v>49.473684210526315</v>
      </c>
      <c r="AQ185" s="2110">
        <f t="shared" si="61"/>
        <v>49.473684210526315</v>
      </c>
    </row>
    <row r="186" spans="2:43" x14ac:dyDescent="0.2">
      <c r="B186" s="2098"/>
      <c r="C186" s="2097"/>
      <c r="F186" s="1999"/>
    </row>
    <row r="187" spans="2:43" x14ac:dyDescent="0.2">
      <c r="B187" s="2103">
        <v>3</v>
      </c>
      <c r="C187" s="2116" t="s">
        <v>1108</v>
      </c>
      <c r="E187" s="2100"/>
      <c r="F187" s="1999"/>
      <c r="G187" s="2072"/>
      <c r="H187" s="2072"/>
      <c r="I187" s="2072"/>
      <c r="J187" s="2072"/>
      <c r="K187" s="2072"/>
      <c r="L187" s="2072"/>
      <c r="M187" s="1999"/>
      <c r="N187" s="1999"/>
      <c r="O187" s="1999"/>
      <c r="P187" s="1999"/>
      <c r="Q187" s="1999"/>
      <c r="R187" s="1999"/>
      <c r="S187" s="1999"/>
      <c r="T187" s="1999"/>
      <c r="U187" s="1999"/>
      <c r="V187" s="1999"/>
      <c r="W187" s="1999"/>
      <c r="X187" s="1999"/>
      <c r="Y187" s="1999"/>
      <c r="Z187" s="1999"/>
      <c r="AA187" s="1999"/>
      <c r="AB187" s="1999"/>
      <c r="AC187" s="1999"/>
      <c r="AD187" s="1999"/>
      <c r="AE187" s="1999"/>
      <c r="AF187" s="1999"/>
      <c r="AG187" s="1999"/>
      <c r="AH187" s="1999"/>
      <c r="AI187" s="1999"/>
      <c r="AJ187" s="1999"/>
      <c r="AK187" s="1999"/>
      <c r="AL187" s="1999"/>
      <c r="AM187" s="1999"/>
      <c r="AN187" s="1999"/>
      <c r="AO187" s="1999"/>
      <c r="AP187" s="1999"/>
      <c r="AQ187" s="1999"/>
    </row>
    <row r="188" spans="2:43" x14ac:dyDescent="0.2">
      <c r="B188" s="2098"/>
      <c r="C188" s="2097"/>
      <c r="E188" s="2100"/>
      <c r="F188" s="1999"/>
      <c r="G188" s="1999"/>
      <c r="H188" s="1999"/>
      <c r="I188" s="1999"/>
      <c r="J188" s="1999"/>
      <c r="K188" s="1999"/>
      <c r="L188" s="1999"/>
      <c r="M188" s="1999"/>
      <c r="N188" s="1999"/>
      <c r="O188" s="1999"/>
      <c r="P188" s="1999"/>
      <c r="Q188" s="1999"/>
      <c r="R188" s="1999"/>
      <c r="S188" s="1999"/>
      <c r="T188" s="1999"/>
      <c r="U188" s="1999"/>
      <c r="V188" s="1999"/>
      <c r="W188" s="1999"/>
      <c r="X188" s="1999"/>
      <c r="Y188" s="1999"/>
      <c r="Z188" s="1999"/>
      <c r="AA188" s="1999"/>
      <c r="AB188" s="1999"/>
      <c r="AC188" s="1999"/>
      <c r="AD188" s="1999"/>
      <c r="AE188" s="1999"/>
      <c r="AF188" s="1999"/>
      <c r="AG188" s="1999"/>
      <c r="AH188" s="1999"/>
      <c r="AI188" s="1999"/>
      <c r="AJ188" s="1999"/>
      <c r="AK188" s="1999"/>
      <c r="AL188" s="1999"/>
      <c r="AM188" s="1999"/>
      <c r="AN188" s="1999"/>
      <c r="AO188" s="1999"/>
      <c r="AP188" s="1999"/>
      <c r="AQ188" s="1999"/>
    </row>
    <row r="189" spans="2:43" x14ac:dyDescent="0.2">
      <c r="B189" s="2098"/>
      <c r="C189" s="2117" t="s">
        <v>1147</v>
      </c>
      <c r="F189" s="1999"/>
      <c r="G189" s="1999"/>
      <c r="H189" s="1999"/>
      <c r="I189" s="1999"/>
      <c r="J189" s="1999"/>
      <c r="K189" s="1999"/>
      <c r="L189" s="1999"/>
      <c r="M189" s="1999"/>
      <c r="N189" s="1999"/>
      <c r="O189" s="1999"/>
      <c r="P189" s="1999"/>
      <c r="Q189" s="1999"/>
      <c r="R189" s="1999"/>
      <c r="S189" s="1999"/>
      <c r="T189" s="1999"/>
      <c r="U189" s="1999"/>
      <c r="V189" s="1999"/>
      <c r="W189" s="1999"/>
      <c r="X189" s="1999"/>
      <c r="Y189" s="1999"/>
      <c r="Z189" s="1999"/>
      <c r="AA189" s="1999"/>
      <c r="AB189" s="1999"/>
      <c r="AC189" s="1999"/>
      <c r="AD189" s="1999"/>
      <c r="AE189" s="1999"/>
      <c r="AF189" s="1999"/>
      <c r="AG189" s="1999"/>
      <c r="AH189" s="1999"/>
      <c r="AI189" s="1999"/>
      <c r="AJ189" s="1999"/>
      <c r="AK189" s="1999"/>
      <c r="AL189" s="1999"/>
      <c r="AM189" s="1999"/>
      <c r="AN189" s="1999"/>
      <c r="AO189" s="1999"/>
      <c r="AP189" s="1999"/>
      <c r="AQ189" s="1999"/>
    </row>
    <row r="190" spans="2:43" x14ac:dyDescent="0.2">
      <c r="B190" s="2098"/>
      <c r="C190" s="2118" t="s">
        <v>1054</v>
      </c>
      <c r="E190" s="2109" t="s">
        <v>1031</v>
      </c>
      <c r="F190" s="1999"/>
      <c r="G190" s="2119">
        <f t="shared" ref="G190:AQ190" si="62">+(G134*G77*(1-G130))/(G134-G135)</f>
        <v>0.50694943319154739</v>
      </c>
      <c r="H190" s="2119">
        <f t="shared" si="62"/>
        <v>0.50694943319154728</v>
      </c>
      <c r="I190" s="2119">
        <f t="shared" si="62"/>
        <v>0.50350315690657033</v>
      </c>
      <c r="J190" s="2119">
        <f t="shared" si="62"/>
        <v>0.50005434073429589</v>
      </c>
      <c r="K190" s="2119">
        <f t="shared" si="62"/>
        <v>0.49660298186586388</v>
      </c>
      <c r="L190" s="2119">
        <f t="shared" si="62"/>
        <v>0.49314907748827091</v>
      </c>
      <c r="M190" s="2119">
        <f t="shared" si="62"/>
        <v>0.48969262478436226</v>
      </c>
      <c r="N190" s="2119">
        <f t="shared" si="62"/>
        <v>0.48621769992952157</v>
      </c>
      <c r="O190" s="2119">
        <f t="shared" si="62"/>
        <v>0.48274021419311314</v>
      </c>
      <c r="P190" s="2119">
        <f t="shared" si="62"/>
        <v>0.47926016474319155</v>
      </c>
      <c r="Q190" s="2119">
        <f t="shared" si="62"/>
        <v>0.47577754874363409</v>
      </c>
      <c r="R190" s="2119">
        <f t="shared" si="62"/>
        <v>0.47229236335413333</v>
      </c>
      <c r="S190" s="2119">
        <f t="shared" si="62"/>
        <v>0.4687832765162227</v>
      </c>
      <c r="T190" s="2119">
        <f t="shared" si="62"/>
        <v>0.46527160155927944</v>
      </c>
      <c r="U190" s="2119">
        <f t="shared" si="62"/>
        <v>0.46175733561895504</v>
      </c>
      <c r="V190" s="2119">
        <f t="shared" si="62"/>
        <v>0.45824047582667327</v>
      </c>
      <c r="W190" s="2119">
        <f t="shared" si="62"/>
        <v>0.45472101930962106</v>
      </c>
      <c r="X190" s="2119">
        <f t="shared" si="62"/>
        <v>0.45117198977278178</v>
      </c>
      <c r="Y190" s="2119">
        <f t="shared" si="62"/>
        <v>0.44762033866695899</v>
      </c>
      <c r="Z190" s="2119">
        <f t="shared" si="62"/>
        <v>0.44406606308636004</v>
      </c>
      <c r="AA190" s="2119">
        <f t="shared" si="62"/>
        <v>0.44050916012089597</v>
      </c>
      <c r="AB190" s="2119">
        <f t="shared" si="62"/>
        <v>0.43694962685617356</v>
      </c>
      <c r="AC190" s="2119">
        <f t="shared" si="62"/>
        <v>0.43335429512018508</v>
      </c>
      <c r="AD190" s="2119">
        <f t="shared" si="62"/>
        <v>0.42975630169487439</v>
      </c>
      <c r="AE190" s="2119">
        <f t="shared" si="62"/>
        <v>0.42615564362340141</v>
      </c>
      <c r="AF190" s="2119">
        <f t="shared" si="62"/>
        <v>0.42255231794454534</v>
      </c>
      <c r="AG190" s="2119">
        <f t="shared" si="62"/>
        <v>0.41894632169269541</v>
      </c>
      <c r="AH190" s="2119">
        <f t="shared" si="62"/>
        <v>0.41531880521009945</v>
      </c>
      <c r="AI190" s="2119">
        <f t="shared" si="62"/>
        <v>0.41168792492753908</v>
      </c>
      <c r="AJ190" s="2119">
        <f t="shared" si="62"/>
        <v>0.40805367616396104</v>
      </c>
      <c r="AK190" s="2119">
        <f t="shared" si="62"/>
        <v>0.40441605422962235</v>
      </c>
      <c r="AL190" s="2119">
        <f t="shared" si="62"/>
        <v>0.40077505442607042</v>
      </c>
      <c r="AM190" s="2119">
        <f t="shared" si="62"/>
        <v>0.39704325761978693</v>
      </c>
      <c r="AN190" s="2119">
        <f t="shared" si="62"/>
        <v>0.39330936874112349</v>
      </c>
      <c r="AO190" s="2119">
        <f t="shared" si="62"/>
        <v>0.38957338603034031</v>
      </c>
      <c r="AP190" s="2119">
        <f t="shared" si="62"/>
        <v>0.38583530772572361</v>
      </c>
      <c r="AQ190" s="2119">
        <f t="shared" si="62"/>
        <v>0.38209513206358253</v>
      </c>
    </row>
    <row r="191" spans="2:43" x14ac:dyDescent="0.2">
      <c r="B191" s="2098"/>
      <c r="C191" s="2118" t="s">
        <v>1148</v>
      </c>
      <c r="E191" s="2109" t="s">
        <v>1031</v>
      </c>
      <c r="F191" s="1999"/>
      <c r="G191" s="2119">
        <f t="shared" ref="G191:AQ191" si="63">+(G134*G78*(1-G128))/(G134-G135)</f>
        <v>0.2284073838837839</v>
      </c>
      <c r="H191" s="2119">
        <f t="shared" si="63"/>
        <v>0.22840738388378387</v>
      </c>
      <c r="I191" s="2119">
        <f t="shared" si="63"/>
        <v>0.23066178943407659</v>
      </c>
      <c r="J191" s="2119">
        <f t="shared" si="63"/>
        <v>0.23291785646927265</v>
      </c>
      <c r="K191" s="2119">
        <f t="shared" si="63"/>
        <v>0.2351755868268075</v>
      </c>
      <c r="L191" s="2119">
        <f t="shared" si="63"/>
        <v>0.23743498234682683</v>
      </c>
      <c r="M191" s="2119">
        <f t="shared" si="63"/>
        <v>0.23969604487219184</v>
      </c>
      <c r="N191" s="2119">
        <f t="shared" si="63"/>
        <v>0.24194930038959794</v>
      </c>
      <c r="O191" s="2119">
        <f t="shared" si="63"/>
        <v>0.24420421646680401</v>
      </c>
      <c r="P191" s="2119">
        <f t="shared" si="63"/>
        <v>0.24646079494013656</v>
      </c>
      <c r="Q191" s="2119">
        <f t="shared" si="63"/>
        <v>0.24871903764863088</v>
      </c>
      <c r="R191" s="2119">
        <f t="shared" si="63"/>
        <v>0.25097894643403557</v>
      </c>
      <c r="S191" s="2119">
        <f t="shared" si="63"/>
        <v>0.25323236856031217</v>
      </c>
      <c r="T191" s="2119">
        <f t="shared" si="63"/>
        <v>0.25548745269296347</v>
      </c>
      <c r="U191" s="2119">
        <f t="shared" si="63"/>
        <v>0.25774420067138126</v>
      </c>
      <c r="V191" s="2119">
        <f t="shared" si="63"/>
        <v>0.26000261433767274</v>
      </c>
      <c r="W191" s="2119">
        <f t="shared" si="63"/>
        <v>0.26226269553666531</v>
      </c>
      <c r="X191" s="2119">
        <f t="shared" si="63"/>
        <v>0.2645172041816653</v>
      </c>
      <c r="Y191" s="2119">
        <f t="shared" si="63"/>
        <v>0.26677337816922597</v>
      </c>
      <c r="Z191" s="2119">
        <f t="shared" si="63"/>
        <v>0.26903121934524199</v>
      </c>
      <c r="AA191" s="2119">
        <f t="shared" si="63"/>
        <v>0.27129072955833727</v>
      </c>
      <c r="AB191" s="2119">
        <f t="shared" si="63"/>
        <v>0.27355191065986983</v>
      </c>
      <c r="AC191" s="2119">
        <f t="shared" si="63"/>
        <v>0.27580824507893359</v>
      </c>
      <c r="AD191" s="2119">
        <f t="shared" si="63"/>
        <v>0.27806624990330958</v>
      </c>
      <c r="AE191" s="2119">
        <f t="shared" si="63"/>
        <v>0.28032592698863151</v>
      </c>
      <c r="AF191" s="2119">
        <f t="shared" si="63"/>
        <v>0.28258727819328305</v>
      </c>
      <c r="AG191" s="2119">
        <f t="shared" si="63"/>
        <v>0.28485030537840228</v>
      </c>
      <c r="AH191" s="2119">
        <f t="shared" si="63"/>
        <v>0.28788629903307988</v>
      </c>
      <c r="AI191" s="2119">
        <f t="shared" si="63"/>
        <v>0.29092510796796262</v>
      </c>
      <c r="AJ191" s="2119">
        <f t="shared" si="63"/>
        <v>0.29396673610078555</v>
      </c>
      <c r="AK191" s="2119">
        <f t="shared" si="63"/>
        <v>0.29701118735655618</v>
      </c>
      <c r="AL191" s="2119">
        <f t="shared" si="63"/>
        <v>0.30005846566757172</v>
      </c>
      <c r="AM191" s="2119">
        <f t="shared" si="63"/>
        <v>0.30154320258854983</v>
      </c>
      <c r="AN191" s="2119">
        <f t="shared" si="63"/>
        <v>0.30302877186382415</v>
      </c>
      <c r="AO191" s="2119">
        <f t="shared" si="63"/>
        <v>0.30451517419352653</v>
      </c>
      <c r="AP191" s="2119">
        <f t="shared" si="63"/>
        <v>0.30600241027857444</v>
      </c>
      <c r="AQ191" s="2119">
        <f t="shared" si="63"/>
        <v>0.30749048082067215</v>
      </c>
    </row>
    <row r="192" spans="2:43" x14ac:dyDescent="0.2">
      <c r="B192" s="2098"/>
      <c r="C192" s="2118" t="s">
        <v>1149</v>
      </c>
      <c r="E192" s="2109" t="s">
        <v>1031</v>
      </c>
      <c r="F192" s="1999"/>
      <c r="G192" s="2119">
        <f t="shared" ref="G192:AQ192" si="64">+(G134*G79)/(G134-G135)</f>
        <v>4.3766207560671511E-2</v>
      </c>
      <c r="H192" s="2119">
        <f t="shared" si="64"/>
        <v>4.3766207560671511E-2</v>
      </c>
      <c r="I192" s="2119">
        <f t="shared" si="64"/>
        <v>4.3555242290247764E-2</v>
      </c>
      <c r="J192" s="2119">
        <f t="shared" si="64"/>
        <v>4.3344121539541473E-2</v>
      </c>
      <c r="K192" s="2119">
        <f t="shared" si="64"/>
        <v>4.3132845136607055E-2</v>
      </c>
      <c r="L192" s="2119">
        <f t="shared" si="64"/>
        <v>4.2921412909245303E-2</v>
      </c>
      <c r="M192" s="2119">
        <f t="shared" si="64"/>
        <v>4.2709824685002916E-2</v>
      </c>
      <c r="N192" s="2119">
        <f t="shared" si="64"/>
        <v>4.2497681335139689E-2</v>
      </c>
      <c r="O192" s="2119">
        <f t="shared" si="64"/>
        <v>4.2285381644055556E-2</v>
      </c>
      <c r="P192" s="2119">
        <f t="shared" si="64"/>
        <v>4.2072925438860889E-2</v>
      </c>
      <c r="Q192" s="2119">
        <f t="shared" si="64"/>
        <v>4.1860312546411094E-2</v>
      </c>
      <c r="R192" s="2119">
        <f t="shared" si="64"/>
        <v>4.1647542793306035E-2</v>
      </c>
      <c r="S192" s="2119">
        <f t="shared" si="64"/>
        <v>4.1433950132648813E-2</v>
      </c>
      <c r="T192" s="2119">
        <f t="shared" si="64"/>
        <v>4.1220199937209524E-2</v>
      </c>
      <c r="U192" s="2119">
        <f t="shared" si="64"/>
        <v>4.1006292032639717E-2</v>
      </c>
      <c r="V192" s="2119">
        <f t="shared" si="64"/>
        <v>4.0792226244333617E-2</v>
      </c>
      <c r="W192" s="2119">
        <f t="shared" si="64"/>
        <v>4.0578002397427579E-2</v>
      </c>
      <c r="X192" s="2119">
        <f t="shared" si="64"/>
        <v>4.0362689373910229E-2</v>
      </c>
      <c r="Y192" s="2119">
        <f t="shared" si="64"/>
        <v>4.0147217304676776E-2</v>
      </c>
      <c r="Z192" s="2119">
        <f t="shared" si="64"/>
        <v>3.9931586013438158E-2</v>
      </c>
      <c r="AA192" s="2119">
        <f t="shared" si="64"/>
        <v>3.9715795323644706E-2</v>
      </c>
      <c r="AB192" s="2119">
        <f t="shared" si="64"/>
        <v>3.9499845058485597E-2</v>
      </c>
      <c r="AC192" s="2119">
        <f t="shared" si="64"/>
        <v>3.9282521375308105E-2</v>
      </c>
      <c r="AD192" s="2119">
        <f t="shared" si="64"/>
        <v>3.906503680346457E-2</v>
      </c>
      <c r="AE192" s="2119">
        <f t="shared" si="64"/>
        <v>3.8847391164225635E-2</v>
      </c>
      <c r="AF192" s="2119">
        <f t="shared" si="64"/>
        <v>3.8629584278597112E-2</v>
      </c>
      <c r="AG192" s="2119">
        <f t="shared" si="64"/>
        <v>3.8411615967319498E-2</v>
      </c>
      <c r="AH192" s="2119">
        <f t="shared" si="64"/>
        <v>3.8170367344507378E-2</v>
      </c>
      <c r="AI192" s="2119">
        <f t="shared" si="64"/>
        <v>3.7928895011585965E-2</v>
      </c>
      <c r="AJ192" s="2119">
        <f t="shared" si="64"/>
        <v>3.7687198657240968E-2</v>
      </c>
      <c r="AK192" s="2119">
        <f t="shared" si="64"/>
        <v>3.7445277969580214E-2</v>
      </c>
      <c r="AL192" s="2119">
        <f t="shared" si="64"/>
        <v>3.7203132636132286E-2</v>
      </c>
      <c r="AM192" s="2119">
        <f t="shared" si="64"/>
        <v>3.700236947016345E-2</v>
      </c>
      <c r="AN192" s="2119">
        <f t="shared" si="64"/>
        <v>3.6801493754906378E-2</v>
      </c>
      <c r="AO192" s="2119">
        <f t="shared" si="64"/>
        <v>3.6600505395690604E-2</v>
      </c>
      <c r="AP192" s="2119">
        <f t="shared" si="64"/>
        <v>3.6399404297739447E-2</v>
      </c>
      <c r="AQ192" s="2119">
        <f t="shared" si="64"/>
        <v>3.6198190366169905E-2</v>
      </c>
    </row>
    <row r="193" spans="2:43" x14ac:dyDescent="0.2">
      <c r="B193" s="2098"/>
      <c r="C193" s="2118" t="s">
        <v>1150</v>
      </c>
      <c r="E193" s="2109" t="s">
        <v>1031</v>
      </c>
      <c r="F193" s="1999"/>
      <c r="G193" s="2119">
        <f t="shared" ref="G193:AQ193" si="65">+(G134*G80)/(G134-G135)</f>
        <v>0.2272630675625037</v>
      </c>
      <c r="H193" s="2119">
        <f t="shared" si="65"/>
        <v>0.22726306756250367</v>
      </c>
      <c r="I193" s="2119">
        <f t="shared" si="65"/>
        <v>0.22870646297880987</v>
      </c>
      <c r="J193" s="2119">
        <f t="shared" si="65"/>
        <v>0.23015092216986305</v>
      </c>
      <c r="K193" s="2119">
        <f t="shared" si="65"/>
        <v>0.23159644631209117</v>
      </c>
      <c r="L193" s="2119">
        <f t="shared" si="65"/>
        <v>0.23304303658365766</v>
      </c>
      <c r="M193" s="2119">
        <f t="shared" si="65"/>
        <v>0.23449069416446419</v>
      </c>
      <c r="N193" s="2119">
        <f t="shared" si="65"/>
        <v>0.23596596187441157</v>
      </c>
      <c r="O193" s="2119">
        <f t="shared" si="65"/>
        <v>0.23744231679805242</v>
      </c>
      <c r="P193" s="2119">
        <f t="shared" si="65"/>
        <v>0.23891976013767965</v>
      </c>
      <c r="Q193" s="2119">
        <f t="shared" si="65"/>
        <v>0.24039829309735963</v>
      </c>
      <c r="R193" s="2119">
        <f t="shared" si="65"/>
        <v>0.24187791688293547</v>
      </c>
      <c r="S193" s="2119">
        <f t="shared" si="65"/>
        <v>0.24338965407018842</v>
      </c>
      <c r="T193" s="2119">
        <f t="shared" si="65"/>
        <v>0.2449025062357727</v>
      </c>
      <c r="U193" s="2119">
        <f t="shared" si="65"/>
        <v>0.24641647461366786</v>
      </c>
      <c r="V193" s="2119">
        <f t="shared" si="65"/>
        <v>0.24793156043967521</v>
      </c>
      <c r="W193" s="2119">
        <f t="shared" si="65"/>
        <v>0.24944776495142093</v>
      </c>
      <c r="X193" s="2119">
        <f t="shared" si="65"/>
        <v>0.25100125184858796</v>
      </c>
      <c r="Y193" s="2119">
        <f t="shared" si="65"/>
        <v>0.25255588626313219</v>
      </c>
      <c r="Z193" s="2119">
        <f t="shared" si="65"/>
        <v>0.25411166946698199</v>
      </c>
      <c r="AA193" s="2119">
        <f t="shared" si="65"/>
        <v>0.25566860273394609</v>
      </c>
      <c r="AB193" s="2119">
        <f t="shared" si="65"/>
        <v>0.25722668733971715</v>
      </c>
      <c r="AC193" s="2119">
        <f t="shared" si="65"/>
        <v>0.2588280053766574</v>
      </c>
      <c r="AD193" s="2119">
        <f t="shared" si="65"/>
        <v>0.2604305088983967</v>
      </c>
      <c r="AE193" s="2119">
        <f t="shared" si="65"/>
        <v>0.26203419922187626</v>
      </c>
      <c r="AF193" s="2119">
        <f t="shared" si="65"/>
        <v>0.26363907766598904</v>
      </c>
      <c r="AG193" s="2119">
        <f t="shared" si="65"/>
        <v>0.26524514555158235</v>
      </c>
      <c r="AH193" s="2119">
        <f t="shared" si="65"/>
        <v>0.26610199445654237</v>
      </c>
      <c r="AI193" s="2119">
        <f t="shared" si="65"/>
        <v>0.26695963791842009</v>
      </c>
      <c r="AJ193" s="2119">
        <f t="shared" si="65"/>
        <v>0.26781807704291866</v>
      </c>
      <c r="AK193" s="2119">
        <f t="shared" si="65"/>
        <v>0.26867731293779351</v>
      </c>
      <c r="AL193" s="2119">
        <f t="shared" si="65"/>
        <v>0.26953734671285717</v>
      </c>
      <c r="AM193" s="2119">
        <f t="shared" si="65"/>
        <v>0.27205594230013375</v>
      </c>
      <c r="AN193" s="2119">
        <f t="shared" si="65"/>
        <v>0.27457594983037997</v>
      </c>
      <c r="AO193" s="2119">
        <f t="shared" si="65"/>
        <v>0.27709737049124689</v>
      </c>
      <c r="AP193" s="2119">
        <f t="shared" si="65"/>
        <v>0.2796202054717179</v>
      </c>
      <c r="AQ193" s="2119">
        <f t="shared" si="65"/>
        <v>0.2821444559621108</v>
      </c>
    </row>
    <row r="194" spans="2:43" x14ac:dyDescent="0.2">
      <c r="B194" s="2098"/>
      <c r="C194" s="2118" t="s">
        <v>118</v>
      </c>
      <c r="E194" s="2109" t="s">
        <v>1031</v>
      </c>
      <c r="F194" s="1999"/>
      <c r="G194" s="2120">
        <f>+SUM(G190:G193)</f>
        <v>1.0063860921985066</v>
      </c>
      <c r="H194" s="2120">
        <f t="shared" ref="H194:AQ194" si="66">+SUM(H190:H193)</f>
        <v>1.0063860921985064</v>
      </c>
      <c r="I194" s="2120">
        <f t="shared" si="66"/>
        <v>1.0064266516097045</v>
      </c>
      <c r="J194" s="2120">
        <f t="shared" si="66"/>
        <v>1.0064672409129731</v>
      </c>
      <c r="K194" s="2120">
        <f t="shared" si="66"/>
        <v>1.0065078601413697</v>
      </c>
      <c r="L194" s="2120">
        <f t="shared" si="66"/>
        <v>1.0065485093280007</v>
      </c>
      <c r="M194" s="2120">
        <f t="shared" si="66"/>
        <v>1.0065891885060212</v>
      </c>
      <c r="N194" s="2120">
        <f t="shared" si="66"/>
        <v>1.0066306435286707</v>
      </c>
      <c r="O194" s="2120">
        <f t="shared" si="66"/>
        <v>1.0066721291020251</v>
      </c>
      <c r="P194" s="2120">
        <f t="shared" si="66"/>
        <v>1.0067136452598686</v>
      </c>
      <c r="Q194" s="2120">
        <f t="shared" si="66"/>
        <v>1.0067551920360358</v>
      </c>
      <c r="R194" s="2120">
        <f t="shared" si="66"/>
        <v>1.0067967694644104</v>
      </c>
      <c r="S194" s="2120">
        <f t="shared" si="66"/>
        <v>1.0068392492793721</v>
      </c>
      <c r="T194" s="2120">
        <f t="shared" si="66"/>
        <v>1.0068817604252249</v>
      </c>
      <c r="U194" s="2120">
        <f t="shared" si="66"/>
        <v>1.0069243029366439</v>
      </c>
      <c r="V194" s="2120">
        <f t="shared" si="66"/>
        <v>1.0069668768483548</v>
      </c>
      <c r="W194" s="2120">
        <f t="shared" si="66"/>
        <v>1.0070094821951348</v>
      </c>
      <c r="X194" s="2120">
        <f t="shared" si="66"/>
        <v>1.0070531351769452</v>
      </c>
      <c r="Y194" s="2120">
        <f t="shared" si="66"/>
        <v>1.0070968204039938</v>
      </c>
      <c r="Z194" s="2120">
        <f t="shared" si="66"/>
        <v>1.0071405379120222</v>
      </c>
      <c r="AA194" s="2120">
        <f t="shared" si="66"/>
        <v>1.007184287736824</v>
      </c>
      <c r="AB194" s="2120">
        <f t="shared" si="66"/>
        <v>1.0072280699142462</v>
      </c>
      <c r="AC194" s="2120">
        <f t="shared" si="66"/>
        <v>1.0072730669510841</v>
      </c>
      <c r="AD194" s="2120">
        <f t="shared" si="66"/>
        <v>1.0073180973000453</v>
      </c>
      <c r="AE194" s="2120">
        <f t="shared" si="66"/>
        <v>1.0073631609981348</v>
      </c>
      <c r="AF194" s="2120">
        <f t="shared" si="66"/>
        <v>1.0074082580824144</v>
      </c>
      <c r="AG194" s="2120">
        <f t="shared" si="66"/>
        <v>1.0074533885899994</v>
      </c>
      <c r="AH194" s="2120">
        <f t="shared" si="66"/>
        <v>1.0074774660442292</v>
      </c>
      <c r="AI194" s="2120">
        <f t="shared" si="66"/>
        <v>1.0075015658255078</v>
      </c>
      <c r="AJ194" s="2120">
        <f t="shared" si="66"/>
        <v>1.0075256879649064</v>
      </c>
      <c r="AK194" s="2120">
        <f t="shared" si="66"/>
        <v>1.0075498324935523</v>
      </c>
      <c r="AL194" s="2120">
        <f t="shared" si="66"/>
        <v>1.0075739994426316</v>
      </c>
      <c r="AM194" s="2120">
        <f t="shared" si="66"/>
        <v>1.0076447719786339</v>
      </c>
      <c r="AN194" s="2120">
        <f t="shared" si="66"/>
        <v>1.0077155841902339</v>
      </c>
      <c r="AO194" s="2120">
        <f t="shared" si="66"/>
        <v>1.0077864361108044</v>
      </c>
      <c r="AP194" s="2120">
        <f t="shared" si="66"/>
        <v>1.0078573277737555</v>
      </c>
      <c r="AQ194" s="2120">
        <f t="shared" si="66"/>
        <v>1.0079282592125354</v>
      </c>
    </row>
    <row r="195" spans="2:43" x14ac:dyDescent="0.2">
      <c r="B195" s="2098"/>
      <c r="F195" s="1999"/>
    </row>
    <row r="196" spans="2:43" x14ac:dyDescent="0.2">
      <c r="B196" s="2121"/>
      <c r="C196" s="2117" t="s">
        <v>1151</v>
      </c>
      <c r="E196" s="2109"/>
      <c r="F196" s="1999"/>
      <c r="G196" s="2122"/>
      <c r="H196" s="2122"/>
      <c r="I196" s="2122"/>
      <c r="J196" s="2122"/>
      <c r="K196" s="2122"/>
      <c r="L196" s="2122"/>
      <c r="M196" s="2122"/>
      <c r="N196" s="2122"/>
      <c r="O196" s="2122"/>
      <c r="P196" s="2122"/>
      <c r="Q196" s="2122"/>
      <c r="R196" s="2122"/>
      <c r="S196" s="2122"/>
      <c r="T196" s="2122"/>
      <c r="U196" s="2122"/>
      <c r="V196" s="2122"/>
      <c r="W196" s="2122"/>
      <c r="X196" s="2122"/>
      <c r="Y196" s="2122"/>
      <c r="Z196" s="2122"/>
      <c r="AA196" s="2122"/>
      <c r="AB196" s="2122"/>
      <c r="AC196" s="2122"/>
      <c r="AD196" s="2122"/>
      <c r="AE196" s="2122"/>
      <c r="AF196" s="2122"/>
      <c r="AG196" s="2122"/>
      <c r="AH196" s="2122"/>
      <c r="AI196" s="2122"/>
      <c r="AJ196" s="2122"/>
      <c r="AK196" s="2122"/>
      <c r="AL196" s="2122"/>
      <c r="AM196" s="2122"/>
      <c r="AN196" s="2122"/>
      <c r="AO196" s="2122"/>
      <c r="AP196" s="2122"/>
      <c r="AQ196" s="2122"/>
    </row>
    <row r="197" spans="2:43" x14ac:dyDescent="0.2">
      <c r="B197" s="2121"/>
      <c r="C197" s="2118" t="s">
        <v>1054</v>
      </c>
      <c r="E197" s="2109" t="s">
        <v>1137</v>
      </c>
      <c r="F197" s="1999"/>
      <c r="G197" s="2110">
        <f>+G137*G190*1000000*G$55</f>
        <v>0</v>
      </c>
      <c r="H197" s="2110">
        <f t="shared" ref="H197:AQ197" si="67">+H137*H190*1000000*H$55</f>
        <v>0</v>
      </c>
      <c r="I197" s="2110">
        <f t="shared" si="67"/>
        <v>0</v>
      </c>
      <c r="J197" s="2110">
        <f t="shared" si="67"/>
        <v>0</v>
      </c>
      <c r="K197" s="2110">
        <f t="shared" si="67"/>
        <v>0</v>
      </c>
      <c r="L197" s="2110">
        <f t="shared" si="67"/>
        <v>0</v>
      </c>
      <c r="M197" s="2110">
        <f t="shared" si="67"/>
        <v>0</v>
      </c>
      <c r="N197" s="2110">
        <f t="shared" si="67"/>
        <v>0</v>
      </c>
      <c r="O197" s="2110">
        <f t="shared" si="67"/>
        <v>0</v>
      </c>
      <c r="P197" s="2110">
        <f t="shared" si="67"/>
        <v>0</v>
      </c>
      <c r="Q197" s="2110">
        <f t="shared" si="67"/>
        <v>0</v>
      </c>
      <c r="R197" s="2110">
        <f t="shared" si="67"/>
        <v>0</v>
      </c>
      <c r="S197" s="2110">
        <f t="shared" si="67"/>
        <v>0</v>
      </c>
      <c r="T197" s="2110">
        <f t="shared" si="67"/>
        <v>0</v>
      </c>
      <c r="U197" s="2110">
        <f t="shared" si="67"/>
        <v>0</v>
      </c>
      <c r="V197" s="2110">
        <f t="shared" si="67"/>
        <v>0</v>
      </c>
      <c r="W197" s="2110">
        <f t="shared" si="67"/>
        <v>0</v>
      </c>
      <c r="X197" s="2110">
        <f t="shared" si="67"/>
        <v>0</v>
      </c>
      <c r="Y197" s="2110">
        <f t="shared" si="67"/>
        <v>0</v>
      </c>
      <c r="Z197" s="2110">
        <f t="shared" si="67"/>
        <v>0</v>
      </c>
      <c r="AA197" s="2110">
        <f t="shared" si="67"/>
        <v>0</v>
      </c>
      <c r="AB197" s="2110">
        <f t="shared" si="67"/>
        <v>0</v>
      </c>
      <c r="AC197" s="2110">
        <f t="shared" si="67"/>
        <v>0</v>
      </c>
      <c r="AD197" s="2110">
        <f t="shared" si="67"/>
        <v>0</v>
      </c>
      <c r="AE197" s="2110">
        <f t="shared" si="67"/>
        <v>0</v>
      </c>
      <c r="AF197" s="2110">
        <f t="shared" si="67"/>
        <v>0</v>
      </c>
      <c r="AG197" s="2110">
        <f t="shared" si="67"/>
        <v>0</v>
      </c>
      <c r="AH197" s="2110">
        <f t="shared" si="67"/>
        <v>0</v>
      </c>
      <c r="AI197" s="2110">
        <f t="shared" si="67"/>
        <v>0</v>
      </c>
      <c r="AJ197" s="2110">
        <f t="shared" si="67"/>
        <v>0</v>
      </c>
      <c r="AK197" s="2110">
        <f t="shared" si="67"/>
        <v>0</v>
      </c>
      <c r="AL197" s="2110">
        <f t="shared" si="67"/>
        <v>0</v>
      </c>
      <c r="AM197" s="2110">
        <f t="shared" si="67"/>
        <v>0</v>
      </c>
      <c r="AN197" s="2110">
        <f t="shared" si="67"/>
        <v>0</v>
      </c>
      <c r="AO197" s="2110">
        <f t="shared" si="67"/>
        <v>0</v>
      </c>
      <c r="AP197" s="2110">
        <f t="shared" si="67"/>
        <v>0</v>
      </c>
      <c r="AQ197" s="2110">
        <f t="shared" si="67"/>
        <v>0</v>
      </c>
    </row>
    <row r="198" spans="2:43" x14ac:dyDescent="0.2">
      <c r="B198" s="2121"/>
      <c r="C198" s="2118" t="s">
        <v>1148</v>
      </c>
      <c r="E198" s="2109" t="s">
        <v>1137</v>
      </c>
      <c r="F198" s="1999"/>
      <c r="G198" s="2110">
        <f t="shared" ref="G198:AQ198" si="68">+G137*G191*1000000*G$55</f>
        <v>0</v>
      </c>
      <c r="H198" s="2110">
        <f t="shared" si="68"/>
        <v>0</v>
      </c>
      <c r="I198" s="2110">
        <f t="shared" si="68"/>
        <v>0</v>
      </c>
      <c r="J198" s="2110">
        <f t="shared" si="68"/>
        <v>0</v>
      </c>
      <c r="K198" s="2110">
        <f t="shared" si="68"/>
        <v>0</v>
      </c>
      <c r="L198" s="2110">
        <f t="shared" si="68"/>
        <v>0</v>
      </c>
      <c r="M198" s="2110">
        <f t="shared" si="68"/>
        <v>0</v>
      </c>
      <c r="N198" s="2110">
        <f t="shared" si="68"/>
        <v>0</v>
      </c>
      <c r="O198" s="2110">
        <f t="shared" si="68"/>
        <v>0</v>
      </c>
      <c r="P198" s="2110">
        <f t="shared" si="68"/>
        <v>0</v>
      </c>
      <c r="Q198" s="2110">
        <f t="shared" si="68"/>
        <v>0</v>
      </c>
      <c r="R198" s="2110">
        <f t="shared" si="68"/>
        <v>0</v>
      </c>
      <c r="S198" s="2110">
        <f t="shared" si="68"/>
        <v>0</v>
      </c>
      <c r="T198" s="2110">
        <f t="shared" si="68"/>
        <v>0</v>
      </c>
      <c r="U198" s="2110">
        <f t="shared" si="68"/>
        <v>0</v>
      </c>
      <c r="V198" s="2110">
        <f t="shared" si="68"/>
        <v>0</v>
      </c>
      <c r="W198" s="2110">
        <f t="shared" si="68"/>
        <v>0</v>
      </c>
      <c r="X198" s="2110">
        <f t="shared" si="68"/>
        <v>0</v>
      </c>
      <c r="Y198" s="2110">
        <f t="shared" si="68"/>
        <v>0</v>
      </c>
      <c r="Z198" s="2110">
        <f t="shared" si="68"/>
        <v>0</v>
      </c>
      <c r="AA198" s="2110">
        <f t="shared" si="68"/>
        <v>0</v>
      </c>
      <c r="AB198" s="2110">
        <f t="shared" si="68"/>
        <v>0</v>
      </c>
      <c r="AC198" s="2110">
        <f t="shared" si="68"/>
        <v>0</v>
      </c>
      <c r="AD198" s="2110">
        <f t="shared" si="68"/>
        <v>0</v>
      </c>
      <c r="AE198" s="2110">
        <f t="shared" si="68"/>
        <v>0</v>
      </c>
      <c r="AF198" s="2110">
        <f t="shared" si="68"/>
        <v>0</v>
      </c>
      <c r="AG198" s="2110">
        <f t="shared" si="68"/>
        <v>0</v>
      </c>
      <c r="AH198" s="2110">
        <f t="shared" si="68"/>
        <v>0</v>
      </c>
      <c r="AI198" s="2110">
        <f t="shared" si="68"/>
        <v>0</v>
      </c>
      <c r="AJ198" s="2110">
        <f t="shared" si="68"/>
        <v>0</v>
      </c>
      <c r="AK198" s="2110">
        <f t="shared" si="68"/>
        <v>0</v>
      </c>
      <c r="AL198" s="2110">
        <f t="shared" si="68"/>
        <v>0</v>
      </c>
      <c r="AM198" s="2110">
        <f t="shared" si="68"/>
        <v>0</v>
      </c>
      <c r="AN198" s="2110">
        <f t="shared" si="68"/>
        <v>0</v>
      </c>
      <c r="AO198" s="2110">
        <f t="shared" si="68"/>
        <v>0</v>
      </c>
      <c r="AP198" s="2110">
        <f t="shared" si="68"/>
        <v>0</v>
      </c>
      <c r="AQ198" s="2110">
        <f t="shared" si="68"/>
        <v>0</v>
      </c>
    </row>
    <row r="199" spans="2:43" x14ac:dyDescent="0.2">
      <c r="B199" s="2121"/>
      <c r="C199" s="2118" t="s">
        <v>1149</v>
      </c>
      <c r="E199" s="2109" t="s">
        <v>1137</v>
      </c>
      <c r="F199" s="1999"/>
      <c r="G199" s="2110">
        <f t="shared" ref="G199:AQ199" si="69">+G137*G192*1000000*G$55</f>
        <v>0</v>
      </c>
      <c r="H199" s="2110">
        <f t="shared" si="69"/>
        <v>0</v>
      </c>
      <c r="I199" s="2110">
        <f t="shared" si="69"/>
        <v>0</v>
      </c>
      <c r="J199" s="2110">
        <f t="shared" si="69"/>
        <v>0</v>
      </c>
      <c r="K199" s="2110">
        <f t="shared" si="69"/>
        <v>0</v>
      </c>
      <c r="L199" s="2110">
        <f t="shared" si="69"/>
        <v>0</v>
      </c>
      <c r="M199" s="2110">
        <f t="shared" si="69"/>
        <v>0</v>
      </c>
      <c r="N199" s="2110">
        <f t="shared" si="69"/>
        <v>0</v>
      </c>
      <c r="O199" s="2110">
        <f t="shared" si="69"/>
        <v>0</v>
      </c>
      <c r="P199" s="2110">
        <f t="shared" si="69"/>
        <v>0</v>
      </c>
      <c r="Q199" s="2110">
        <f t="shared" si="69"/>
        <v>0</v>
      </c>
      <c r="R199" s="2110">
        <f t="shared" si="69"/>
        <v>0</v>
      </c>
      <c r="S199" s="2110">
        <f t="shared" si="69"/>
        <v>0</v>
      </c>
      <c r="T199" s="2110">
        <f t="shared" si="69"/>
        <v>0</v>
      </c>
      <c r="U199" s="2110">
        <f t="shared" si="69"/>
        <v>0</v>
      </c>
      <c r="V199" s="2110">
        <f t="shared" si="69"/>
        <v>0</v>
      </c>
      <c r="W199" s="2110">
        <f t="shared" si="69"/>
        <v>0</v>
      </c>
      <c r="X199" s="2110">
        <f t="shared" si="69"/>
        <v>0</v>
      </c>
      <c r="Y199" s="2110">
        <f t="shared" si="69"/>
        <v>0</v>
      </c>
      <c r="Z199" s="2110">
        <f t="shared" si="69"/>
        <v>0</v>
      </c>
      <c r="AA199" s="2110">
        <f t="shared" si="69"/>
        <v>0</v>
      </c>
      <c r="AB199" s="2110">
        <f t="shared" si="69"/>
        <v>0</v>
      </c>
      <c r="AC199" s="2110">
        <f t="shared" si="69"/>
        <v>0</v>
      </c>
      <c r="AD199" s="2110">
        <f t="shared" si="69"/>
        <v>0</v>
      </c>
      <c r="AE199" s="2110">
        <f t="shared" si="69"/>
        <v>0</v>
      </c>
      <c r="AF199" s="2110">
        <f t="shared" si="69"/>
        <v>0</v>
      </c>
      <c r="AG199" s="2110">
        <f t="shared" si="69"/>
        <v>0</v>
      </c>
      <c r="AH199" s="2110">
        <f t="shared" si="69"/>
        <v>0</v>
      </c>
      <c r="AI199" s="2110">
        <f t="shared" si="69"/>
        <v>0</v>
      </c>
      <c r="AJ199" s="2110">
        <f t="shared" si="69"/>
        <v>0</v>
      </c>
      <c r="AK199" s="2110">
        <f t="shared" si="69"/>
        <v>0</v>
      </c>
      <c r="AL199" s="2110">
        <f t="shared" si="69"/>
        <v>0</v>
      </c>
      <c r="AM199" s="2110">
        <f t="shared" si="69"/>
        <v>0</v>
      </c>
      <c r="AN199" s="2110">
        <f t="shared" si="69"/>
        <v>0</v>
      </c>
      <c r="AO199" s="2110">
        <f t="shared" si="69"/>
        <v>0</v>
      </c>
      <c r="AP199" s="2110">
        <f t="shared" si="69"/>
        <v>0</v>
      </c>
      <c r="AQ199" s="2110">
        <f t="shared" si="69"/>
        <v>0</v>
      </c>
    </row>
    <row r="200" spans="2:43" x14ac:dyDescent="0.2">
      <c r="B200" s="2121"/>
      <c r="C200" s="2118" t="s">
        <v>1150</v>
      </c>
      <c r="E200" s="2109" t="s">
        <v>1137</v>
      </c>
      <c r="F200" s="1999"/>
      <c r="G200" s="2110">
        <f t="shared" ref="G200:AQ200" si="70">+G137*G193*1000000*G$55</f>
        <v>0</v>
      </c>
      <c r="H200" s="2110">
        <f t="shared" si="70"/>
        <v>0</v>
      </c>
      <c r="I200" s="2110">
        <f t="shared" si="70"/>
        <v>0</v>
      </c>
      <c r="J200" s="2110">
        <f t="shared" si="70"/>
        <v>0</v>
      </c>
      <c r="K200" s="2110">
        <f t="shared" si="70"/>
        <v>0</v>
      </c>
      <c r="L200" s="2110">
        <f t="shared" si="70"/>
        <v>0</v>
      </c>
      <c r="M200" s="2110">
        <f t="shared" si="70"/>
        <v>0</v>
      </c>
      <c r="N200" s="2110">
        <f t="shared" si="70"/>
        <v>0</v>
      </c>
      <c r="O200" s="2110">
        <f t="shared" si="70"/>
        <v>0</v>
      </c>
      <c r="P200" s="2110">
        <f t="shared" si="70"/>
        <v>0</v>
      </c>
      <c r="Q200" s="2110">
        <f t="shared" si="70"/>
        <v>0</v>
      </c>
      <c r="R200" s="2110">
        <f t="shared" si="70"/>
        <v>0</v>
      </c>
      <c r="S200" s="2110">
        <f t="shared" si="70"/>
        <v>0</v>
      </c>
      <c r="T200" s="2110">
        <f t="shared" si="70"/>
        <v>0</v>
      </c>
      <c r="U200" s="2110">
        <f t="shared" si="70"/>
        <v>0</v>
      </c>
      <c r="V200" s="2110">
        <f t="shared" si="70"/>
        <v>0</v>
      </c>
      <c r="W200" s="2110">
        <f t="shared" si="70"/>
        <v>0</v>
      </c>
      <c r="X200" s="2110">
        <f t="shared" si="70"/>
        <v>0</v>
      </c>
      <c r="Y200" s="2110">
        <f t="shared" si="70"/>
        <v>0</v>
      </c>
      <c r="Z200" s="2110">
        <f t="shared" si="70"/>
        <v>0</v>
      </c>
      <c r="AA200" s="2110">
        <f t="shared" si="70"/>
        <v>0</v>
      </c>
      <c r="AB200" s="2110">
        <f t="shared" si="70"/>
        <v>0</v>
      </c>
      <c r="AC200" s="2110">
        <f t="shared" si="70"/>
        <v>0</v>
      </c>
      <c r="AD200" s="2110">
        <f t="shared" si="70"/>
        <v>0</v>
      </c>
      <c r="AE200" s="2110">
        <f t="shared" si="70"/>
        <v>0</v>
      </c>
      <c r="AF200" s="2110">
        <f t="shared" si="70"/>
        <v>0</v>
      </c>
      <c r="AG200" s="2110">
        <f t="shared" si="70"/>
        <v>0</v>
      </c>
      <c r="AH200" s="2110">
        <f t="shared" si="70"/>
        <v>0</v>
      </c>
      <c r="AI200" s="2110">
        <f t="shared" si="70"/>
        <v>0</v>
      </c>
      <c r="AJ200" s="2110">
        <f t="shared" si="70"/>
        <v>0</v>
      </c>
      <c r="AK200" s="2110">
        <f t="shared" si="70"/>
        <v>0</v>
      </c>
      <c r="AL200" s="2110">
        <f t="shared" si="70"/>
        <v>0</v>
      </c>
      <c r="AM200" s="2110">
        <f t="shared" si="70"/>
        <v>0</v>
      </c>
      <c r="AN200" s="2110">
        <f t="shared" si="70"/>
        <v>0</v>
      </c>
      <c r="AO200" s="2110">
        <f t="shared" si="70"/>
        <v>0</v>
      </c>
      <c r="AP200" s="2110">
        <f t="shared" si="70"/>
        <v>0</v>
      </c>
      <c r="AQ200" s="2110">
        <f t="shared" si="70"/>
        <v>0</v>
      </c>
    </row>
    <row r="201" spans="2:43" x14ac:dyDescent="0.2">
      <c r="B201" s="2121"/>
      <c r="C201" s="2117" t="s">
        <v>118</v>
      </c>
      <c r="E201" s="2109" t="s">
        <v>1137</v>
      </c>
      <c r="F201" s="1999"/>
      <c r="G201" s="2110">
        <f>+SUM(G197:G200)</f>
        <v>0</v>
      </c>
      <c r="H201" s="2110">
        <f t="shared" ref="H201:AQ201" si="71">+SUM(H197:H200)</f>
        <v>0</v>
      </c>
      <c r="I201" s="2110">
        <f t="shared" si="71"/>
        <v>0</v>
      </c>
      <c r="J201" s="2110">
        <f t="shared" si="71"/>
        <v>0</v>
      </c>
      <c r="K201" s="2110">
        <f t="shared" si="71"/>
        <v>0</v>
      </c>
      <c r="L201" s="2110">
        <f t="shared" si="71"/>
        <v>0</v>
      </c>
      <c r="M201" s="2110">
        <f t="shared" si="71"/>
        <v>0</v>
      </c>
      <c r="N201" s="2110">
        <f t="shared" si="71"/>
        <v>0</v>
      </c>
      <c r="O201" s="2110">
        <f t="shared" si="71"/>
        <v>0</v>
      </c>
      <c r="P201" s="2110">
        <f t="shared" si="71"/>
        <v>0</v>
      </c>
      <c r="Q201" s="2110">
        <f t="shared" si="71"/>
        <v>0</v>
      </c>
      <c r="R201" s="2110">
        <f t="shared" si="71"/>
        <v>0</v>
      </c>
      <c r="S201" s="2110">
        <f t="shared" si="71"/>
        <v>0</v>
      </c>
      <c r="T201" s="2110">
        <f t="shared" si="71"/>
        <v>0</v>
      </c>
      <c r="U201" s="2110">
        <f t="shared" si="71"/>
        <v>0</v>
      </c>
      <c r="V201" s="2110">
        <f t="shared" si="71"/>
        <v>0</v>
      </c>
      <c r="W201" s="2110">
        <f t="shared" si="71"/>
        <v>0</v>
      </c>
      <c r="X201" s="2110">
        <f t="shared" si="71"/>
        <v>0</v>
      </c>
      <c r="Y201" s="2110">
        <f t="shared" si="71"/>
        <v>0</v>
      </c>
      <c r="Z201" s="2110">
        <f t="shared" si="71"/>
        <v>0</v>
      </c>
      <c r="AA201" s="2110">
        <f t="shared" si="71"/>
        <v>0</v>
      </c>
      <c r="AB201" s="2110">
        <f t="shared" si="71"/>
        <v>0</v>
      </c>
      <c r="AC201" s="2110">
        <f t="shared" si="71"/>
        <v>0</v>
      </c>
      <c r="AD201" s="2110">
        <f t="shared" si="71"/>
        <v>0</v>
      </c>
      <c r="AE201" s="2110">
        <f t="shared" si="71"/>
        <v>0</v>
      </c>
      <c r="AF201" s="2110">
        <f t="shared" si="71"/>
        <v>0</v>
      </c>
      <c r="AG201" s="2110">
        <f t="shared" si="71"/>
        <v>0</v>
      </c>
      <c r="AH201" s="2110">
        <f t="shared" si="71"/>
        <v>0</v>
      </c>
      <c r="AI201" s="2110">
        <f t="shared" si="71"/>
        <v>0</v>
      </c>
      <c r="AJ201" s="2110">
        <f t="shared" si="71"/>
        <v>0</v>
      </c>
      <c r="AK201" s="2110">
        <f t="shared" si="71"/>
        <v>0</v>
      </c>
      <c r="AL201" s="2110">
        <f t="shared" si="71"/>
        <v>0</v>
      </c>
      <c r="AM201" s="2110">
        <f t="shared" si="71"/>
        <v>0</v>
      </c>
      <c r="AN201" s="2110">
        <f t="shared" si="71"/>
        <v>0</v>
      </c>
      <c r="AO201" s="2110">
        <f t="shared" si="71"/>
        <v>0</v>
      </c>
      <c r="AP201" s="2110">
        <f t="shared" si="71"/>
        <v>0</v>
      </c>
      <c r="AQ201" s="2110">
        <f t="shared" si="71"/>
        <v>0</v>
      </c>
    </row>
    <row r="202" spans="2:43" x14ac:dyDescent="0.2">
      <c r="B202" s="2121"/>
      <c r="C202" s="2102"/>
      <c r="E202" s="2100"/>
      <c r="F202" s="1999"/>
      <c r="G202" s="1999"/>
      <c r="H202" s="1999"/>
      <c r="I202" s="1999"/>
      <c r="J202" s="1999"/>
      <c r="K202" s="1999"/>
      <c r="L202" s="1999"/>
      <c r="M202" s="1999"/>
      <c r="N202" s="1999"/>
      <c r="O202" s="1999"/>
      <c r="P202" s="1999"/>
      <c r="Q202" s="1999"/>
      <c r="R202" s="1999"/>
      <c r="S202" s="1999"/>
      <c r="T202" s="1999"/>
      <c r="U202" s="1999"/>
      <c r="V202" s="1999"/>
      <c r="W202" s="1999"/>
      <c r="X202" s="1999"/>
      <c r="Y202" s="1999"/>
      <c r="Z202" s="1999"/>
      <c r="AA202" s="1999"/>
      <c r="AB202" s="1999"/>
      <c r="AC202" s="1999"/>
      <c r="AD202" s="1999"/>
      <c r="AE202" s="1999"/>
      <c r="AF202" s="1999"/>
      <c r="AG202" s="1999"/>
      <c r="AH202" s="1999"/>
      <c r="AI202" s="1999"/>
      <c r="AJ202" s="1999"/>
      <c r="AK202" s="1999"/>
      <c r="AL202" s="1999"/>
      <c r="AM202" s="1999"/>
      <c r="AN202" s="1999"/>
      <c r="AO202" s="1999"/>
      <c r="AP202" s="1999"/>
      <c r="AQ202" s="1999"/>
    </row>
    <row r="203" spans="2:43" x14ac:dyDescent="0.2">
      <c r="B203" s="2121"/>
      <c r="C203" s="2118" t="s">
        <v>1054</v>
      </c>
      <c r="E203" s="2109" t="s">
        <v>1152</v>
      </c>
      <c r="F203" s="1999"/>
      <c r="G203" s="2110">
        <f>+G197*$F$106*4.18/3600000000</f>
        <v>0</v>
      </c>
      <c r="H203" s="2110">
        <f t="shared" ref="H203:AQ203" si="72">+H197*$F$106*4.18/3600000000</f>
        <v>0</v>
      </c>
      <c r="I203" s="2110">
        <f t="shared" si="72"/>
        <v>0</v>
      </c>
      <c r="J203" s="2110">
        <f t="shared" si="72"/>
        <v>0</v>
      </c>
      <c r="K203" s="2110">
        <f t="shared" si="72"/>
        <v>0</v>
      </c>
      <c r="L203" s="2110">
        <f t="shared" si="72"/>
        <v>0</v>
      </c>
      <c r="M203" s="2110">
        <f t="shared" si="72"/>
        <v>0</v>
      </c>
      <c r="N203" s="2110">
        <f t="shared" si="72"/>
        <v>0</v>
      </c>
      <c r="O203" s="2110">
        <f t="shared" si="72"/>
        <v>0</v>
      </c>
      <c r="P203" s="2110">
        <f t="shared" si="72"/>
        <v>0</v>
      </c>
      <c r="Q203" s="2110">
        <f t="shared" si="72"/>
        <v>0</v>
      </c>
      <c r="R203" s="2110">
        <f t="shared" si="72"/>
        <v>0</v>
      </c>
      <c r="S203" s="2110">
        <f t="shared" si="72"/>
        <v>0</v>
      </c>
      <c r="T203" s="2110">
        <f t="shared" si="72"/>
        <v>0</v>
      </c>
      <c r="U203" s="2110">
        <f t="shared" si="72"/>
        <v>0</v>
      </c>
      <c r="V203" s="2110">
        <f t="shared" si="72"/>
        <v>0</v>
      </c>
      <c r="W203" s="2110">
        <f t="shared" si="72"/>
        <v>0</v>
      </c>
      <c r="X203" s="2110">
        <f t="shared" si="72"/>
        <v>0</v>
      </c>
      <c r="Y203" s="2110">
        <f t="shared" si="72"/>
        <v>0</v>
      </c>
      <c r="Z203" s="2110">
        <f t="shared" si="72"/>
        <v>0</v>
      </c>
      <c r="AA203" s="2110">
        <f t="shared" si="72"/>
        <v>0</v>
      </c>
      <c r="AB203" s="2110">
        <f t="shared" si="72"/>
        <v>0</v>
      </c>
      <c r="AC203" s="2110">
        <f t="shared" si="72"/>
        <v>0</v>
      </c>
      <c r="AD203" s="2110">
        <f t="shared" si="72"/>
        <v>0</v>
      </c>
      <c r="AE203" s="2110">
        <f t="shared" si="72"/>
        <v>0</v>
      </c>
      <c r="AF203" s="2110">
        <f t="shared" si="72"/>
        <v>0</v>
      </c>
      <c r="AG203" s="2110">
        <f t="shared" si="72"/>
        <v>0</v>
      </c>
      <c r="AH203" s="2110">
        <f t="shared" si="72"/>
        <v>0</v>
      </c>
      <c r="AI203" s="2110">
        <f t="shared" si="72"/>
        <v>0</v>
      </c>
      <c r="AJ203" s="2110">
        <f t="shared" si="72"/>
        <v>0</v>
      </c>
      <c r="AK203" s="2110">
        <f t="shared" si="72"/>
        <v>0</v>
      </c>
      <c r="AL203" s="2110">
        <f t="shared" si="72"/>
        <v>0</v>
      </c>
      <c r="AM203" s="2110">
        <f t="shared" si="72"/>
        <v>0</v>
      </c>
      <c r="AN203" s="2110">
        <f t="shared" si="72"/>
        <v>0</v>
      </c>
      <c r="AO203" s="2110">
        <f t="shared" si="72"/>
        <v>0</v>
      </c>
      <c r="AP203" s="2110">
        <f t="shared" si="72"/>
        <v>0</v>
      </c>
      <c r="AQ203" s="2110">
        <f t="shared" si="72"/>
        <v>0</v>
      </c>
    </row>
    <row r="204" spans="2:43" x14ac:dyDescent="0.2">
      <c r="B204" s="2121"/>
      <c r="C204" s="2118" t="s">
        <v>1148</v>
      </c>
      <c r="E204" s="2109" t="s">
        <v>1152</v>
      </c>
      <c r="F204" s="1999"/>
      <c r="G204" s="2110">
        <f>+G198*$F$107*4.18/3600000000</f>
        <v>0</v>
      </c>
      <c r="H204" s="2110">
        <f t="shared" ref="H204:AQ205" si="73">+H198*$F$107*4.18/3600000000</f>
        <v>0</v>
      </c>
      <c r="I204" s="2110">
        <f t="shared" si="73"/>
        <v>0</v>
      </c>
      <c r="J204" s="2110">
        <f t="shared" si="73"/>
        <v>0</v>
      </c>
      <c r="K204" s="2110">
        <f t="shared" si="73"/>
        <v>0</v>
      </c>
      <c r="L204" s="2110">
        <f t="shared" si="73"/>
        <v>0</v>
      </c>
      <c r="M204" s="2110">
        <f t="shared" si="73"/>
        <v>0</v>
      </c>
      <c r="N204" s="2110">
        <f t="shared" si="73"/>
        <v>0</v>
      </c>
      <c r="O204" s="2110">
        <f t="shared" si="73"/>
        <v>0</v>
      </c>
      <c r="P204" s="2110">
        <f t="shared" si="73"/>
        <v>0</v>
      </c>
      <c r="Q204" s="2110">
        <f t="shared" si="73"/>
        <v>0</v>
      </c>
      <c r="R204" s="2110">
        <f t="shared" si="73"/>
        <v>0</v>
      </c>
      <c r="S204" s="2110">
        <f t="shared" si="73"/>
        <v>0</v>
      </c>
      <c r="T204" s="2110">
        <f t="shared" si="73"/>
        <v>0</v>
      </c>
      <c r="U204" s="2110">
        <f t="shared" si="73"/>
        <v>0</v>
      </c>
      <c r="V204" s="2110">
        <f t="shared" si="73"/>
        <v>0</v>
      </c>
      <c r="W204" s="2110">
        <f t="shared" si="73"/>
        <v>0</v>
      </c>
      <c r="X204" s="2110">
        <f t="shared" si="73"/>
        <v>0</v>
      </c>
      <c r="Y204" s="2110">
        <f t="shared" si="73"/>
        <v>0</v>
      </c>
      <c r="Z204" s="2110">
        <f t="shared" si="73"/>
        <v>0</v>
      </c>
      <c r="AA204" s="2110">
        <f t="shared" si="73"/>
        <v>0</v>
      </c>
      <c r="AB204" s="2110">
        <f t="shared" si="73"/>
        <v>0</v>
      </c>
      <c r="AC204" s="2110">
        <f t="shared" si="73"/>
        <v>0</v>
      </c>
      <c r="AD204" s="2110">
        <f t="shared" si="73"/>
        <v>0</v>
      </c>
      <c r="AE204" s="2110">
        <f t="shared" si="73"/>
        <v>0</v>
      </c>
      <c r="AF204" s="2110">
        <f t="shared" si="73"/>
        <v>0</v>
      </c>
      <c r="AG204" s="2110">
        <f t="shared" si="73"/>
        <v>0</v>
      </c>
      <c r="AH204" s="2110">
        <f t="shared" si="73"/>
        <v>0</v>
      </c>
      <c r="AI204" s="2110">
        <f t="shared" si="73"/>
        <v>0</v>
      </c>
      <c r="AJ204" s="2110">
        <f t="shared" si="73"/>
        <v>0</v>
      </c>
      <c r="AK204" s="2110">
        <f t="shared" si="73"/>
        <v>0</v>
      </c>
      <c r="AL204" s="2110">
        <f t="shared" si="73"/>
        <v>0</v>
      </c>
      <c r="AM204" s="2110">
        <f t="shared" si="73"/>
        <v>0</v>
      </c>
      <c r="AN204" s="2110">
        <f t="shared" si="73"/>
        <v>0</v>
      </c>
      <c r="AO204" s="2110">
        <f t="shared" si="73"/>
        <v>0</v>
      </c>
      <c r="AP204" s="2110">
        <f t="shared" si="73"/>
        <v>0</v>
      </c>
      <c r="AQ204" s="2110">
        <f t="shared" si="73"/>
        <v>0</v>
      </c>
    </row>
    <row r="205" spans="2:43" x14ac:dyDescent="0.2">
      <c r="B205" s="2121"/>
      <c r="C205" s="2118" t="s">
        <v>1149</v>
      </c>
      <c r="E205" s="2109" t="s">
        <v>1152</v>
      </c>
      <c r="F205" s="1999"/>
      <c r="G205" s="2110">
        <f>+G199*$F$107*4.18/3600000000</f>
        <v>0</v>
      </c>
      <c r="H205" s="2110">
        <f t="shared" si="73"/>
        <v>0</v>
      </c>
      <c r="I205" s="2110">
        <f t="shared" si="73"/>
        <v>0</v>
      </c>
      <c r="J205" s="2110">
        <f t="shared" si="73"/>
        <v>0</v>
      </c>
      <c r="K205" s="2110">
        <f t="shared" si="73"/>
        <v>0</v>
      </c>
      <c r="L205" s="2110">
        <f t="shared" si="73"/>
        <v>0</v>
      </c>
      <c r="M205" s="2110">
        <f t="shared" si="73"/>
        <v>0</v>
      </c>
      <c r="N205" s="2110">
        <f t="shared" si="73"/>
        <v>0</v>
      </c>
      <c r="O205" s="2110">
        <f t="shared" si="73"/>
        <v>0</v>
      </c>
      <c r="P205" s="2110">
        <f t="shared" si="73"/>
        <v>0</v>
      </c>
      <c r="Q205" s="2110">
        <f t="shared" si="73"/>
        <v>0</v>
      </c>
      <c r="R205" s="2110">
        <f t="shared" si="73"/>
        <v>0</v>
      </c>
      <c r="S205" s="2110">
        <f t="shared" si="73"/>
        <v>0</v>
      </c>
      <c r="T205" s="2110">
        <f t="shared" si="73"/>
        <v>0</v>
      </c>
      <c r="U205" s="2110">
        <f t="shared" si="73"/>
        <v>0</v>
      </c>
      <c r="V205" s="2110">
        <f t="shared" si="73"/>
        <v>0</v>
      </c>
      <c r="W205" s="2110">
        <f t="shared" si="73"/>
        <v>0</v>
      </c>
      <c r="X205" s="2110">
        <f t="shared" si="73"/>
        <v>0</v>
      </c>
      <c r="Y205" s="2110">
        <f t="shared" si="73"/>
        <v>0</v>
      </c>
      <c r="Z205" s="2110">
        <f t="shared" si="73"/>
        <v>0</v>
      </c>
      <c r="AA205" s="2110">
        <f t="shared" si="73"/>
        <v>0</v>
      </c>
      <c r="AB205" s="2110">
        <f t="shared" si="73"/>
        <v>0</v>
      </c>
      <c r="AC205" s="2110">
        <f t="shared" si="73"/>
        <v>0</v>
      </c>
      <c r="AD205" s="2110">
        <f t="shared" si="73"/>
        <v>0</v>
      </c>
      <c r="AE205" s="2110">
        <f t="shared" si="73"/>
        <v>0</v>
      </c>
      <c r="AF205" s="2110">
        <f t="shared" si="73"/>
        <v>0</v>
      </c>
      <c r="AG205" s="2110">
        <f t="shared" si="73"/>
        <v>0</v>
      </c>
      <c r="AH205" s="2110">
        <f t="shared" si="73"/>
        <v>0</v>
      </c>
      <c r="AI205" s="2110">
        <f t="shared" si="73"/>
        <v>0</v>
      </c>
      <c r="AJ205" s="2110">
        <f t="shared" si="73"/>
        <v>0</v>
      </c>
      <c r="AK205" s="2110">
        <f t="shared" si="73"/>
        <v>0</v>
      </c>
      <c r="AL205" s="2110">
        <f t="shared" si="73"/>
        <v>0</v>
      </c>
      <c r="AM205" s="2110">
        <f t="shared" si="73"/>
        <v>0</v>
      </c>
      <c r="AN205" s="2110">
        <f t="shared" si="73"/>
        <v>0</v>
      </c>
      <c r="AO205" s="2110">
        <f t="shared" si="73"/>
        <v>0</v>
      </c>
      <c r="AP205" s="2110">
        <f t="shared" si="73"/>
        <v>0</v>
      </c>
      <c r="AQ205" s="2110">
        <f t="shared" si="73"/>
        <v>0</v>
      </c>
    </row>
    <row r="206" spans="2:43" x14ac:dyDescent="0.2">
      <c r="B206" s="2121"/>
      <c r="C206" s="2118" t="s">
        <v>1150</v>
      </c>
      <c r="E206" s="2109" t="s">
        <v>1152</v>
      </c>
      <c r="F206" s="1999"/>
      <c r="G206" s="2110">
        <f>+G200*$F$108*4.18/3600000000</f>
        <v>0</v>
      </c>
      <c r="H206" s="2110">
        <f t="shared" ref="H206:AQ206" si="74">+H200*$F$108*4.18/3600000000</f>
        <v>0</v>
      </c>
      <c r="I206" s="2110">
        <f t="shared" si="74"/>
        <v>0</v>
      </c>
      <c r="J206" s="2110">
        <f t="shared" si="74"/>
        <v>0</v>
      </c>
      <c r="K206" s="2110">
        <f t="shared" si="74"/>
        <v>0</v>
      </c>
      <c r="L206" s="2110">
        <f t="shared" si="74"/>
        <v>0</v>
      </c>
      <c r="M206" s="2110">
        <f t="shared" si="74"/>
        <v>0</v>
      </c>
      <c r="N206" s="2110">
        <f t="shared" si="74"/>
        <v>0</v>
      </c>
      <c r="O206" s="2110">
        <f t="shared" si="74"/>
        <v>0</v>
      </c>
      <c r="P206" s="2110">
        <f t="shared" si="74"/>
        <v>0</v>
      </c>
      <c r="Q206" s="2110">
        <f t="shared" si="74"/>
        <v>0</v>
      </c>
      <c r="R206" s="2110">
        <f t="shared" si="74"/>
        <v>0</v>
      </c>
      <c r="S206" s="2110">
        <f t="shared" si="74"/>
        <v>0</v>
      </c>
      <c r="T206" s="2110">
        <f t="shared" si="74"/>
        <v>0</v>
      </c>
      <c r="U206" s="2110">
        <f t="shared" si="74"/>
        <v>0</v>
      </c>
      <c r="V206" s="2110">
        <f t="shared" si="74"/>
        <v>0</v>
      </c>
      <c r="W206" s="2110">
        <f t="shared" si="74"/>
        <v>0</v>
      </c>
      <c r="X206" s="2110">
        <f t="shared" si="74"/>
        <v>0</v>
      </c>
      <c r="Y206" s="2110">
        <f t="shared" si="74"/>
        <v>0</v>
      </c>
      <c r="Z206" s="2110">
        <f t="shared" si="74"/>
        <v>0</v>
      </c>
      <c r="AA206" s="2110">
        <f t="shared" si="74"/>
        <v>0</v>
      </c>
      <c r="AB206" s="2110">
        <f t="shared" si="74"/>
        <v>0</v>
      </c>
      <c r="AC206" s="2110">
        <f t="shared" si="74"/>
        <v>0</v>
      </c>
      <c r="AD206" s="2110">
        <f t="shared" si="74"/>
        <v>0</v>
      </c>
      <c r="AE206" s="2110">
        <f t="shared" si="74"/>
        <v>0</v>
      </c>
      <c r="AF206" s="2110">
        <f t="shared" si="74"/>
        <v>0</v>
      </c>
      <c r="AG206" s="2110">
        <f t="shared" si="74"/>
        <v>0</v>
      </c>
      <c r="AH206" s="2110">
        <f t="shared" si="74"/>
        <v>0</v>
      </c>
      <c r="AI206" s="2110">
        <f t="shared" si="74"/>
        <v>0</v>
      </c>
      <c r="AJ206" s="2110">
        <f t="shared" si="74"/>
        <v>0</v>
      </c>
      <c r="AK206" s="2110">
        <f t="shared" si="74"/>
        <v>0</v>
      </c>
      <c r="AL206" s="2110">
        <f t="shared" si="74"/>
        <v>0</v>
      </c>
      <c r="AM206" s="2110">
        <f t="shared" si="74"/>
        <v>0</v>
      </c>
      <c r="AN206" s="2110">
        <f t="shared" si="74"/>
        <v>0</v>
      </c>
      <c r="AO206" s="2110">
        <f t="shared" si="74"/>
        <v>0</v>
      </c>
      <c r="AP206" s="2110">
        <f t="shared" si="74"/>
        <v>0</v>
      </c>
      <c r="AQ206" s="2110">
        <f t="shared" si="74"/>
        <v>0</v>
      </c>
    </row>
    <row r="207" spans="2:43" x14ac:dyDescent="0.2">
      <c r="B207" s="2121"/>
      <c r="C207" s="2117" t="s">
        <v>118</v>
      </c>
      <c r="E207" s="2109" t="s">
        <v>1152</v>
      </c>
      <c r="F207" s="1999"/>
      <c r="G207" s="2110">
        <f>+SUM(G203:G206)</f>
        <v>0</v>
      </c>
      <c r="H207" s="2110">
        <f t="shared" ref="H207:AQ207" si="75">+SUM(H203:H206)</f>
        <v>0</v>
      </c>
      <c r="I207" s="2110">
        <f t="shared" si="75"/>
        <v>0</v>
      </c>
      <c r="J207" s="2110">
        <f t="shared" si="75"/>
        <v>0</v>
      </c>
      <c r="K207" s="2110">
        <f t="shared" si="75"/>
        <v>0</v>
      </c>
      <c r="L207" s="2110">
        <f t="shared" si="75"/>
        <v>0</v>
      </c>
      <c r="M207" s="2110">
        <f t="shared" si="75"/>
        <v>0</v>
      </c>
      <c r="N207" s="2110">
        <f t="shared" si="75"/>
        <v>0</v>
      </c>
      <c r="O207" s="2110">
        <f t="shared" si="75"/>
        <v>0</v>
      </c>
      <c r="P207" s="2110">
        <f t="shared" si="75"/>
        <v>0</v>
      </c>
      <c r="Q207" s="2110">
        <f t="shared" si="75"/>
        <v>0</v>
      </c>
      <c r="R207" s="2110">
        <f t="shared" si="75"/>
        <v>0</v>
      </c>
      <c r="S207" s="2110">
        <f t="shared" si="75"/>
        <v>0</v>
      </c>
      <c r="T207" s="2110">
        <f t="shared" si="75"/>
        <v>0</v>
      </c>
      <c r="U207" s="2110">
        <f t="shared" si="75"/>
        <v>0</v>
      </c>
      <c r="V207" s="2110">
        <f t="shared" si="75"/>
        <v>0</v>
      </c>
      <c r="W207" s="2110">
        <f t="shared" si="75"/>
        <v>0</v>
      </c>
      <c r="X207" s="2110">
        <f t="shared" si="75"/>
        <v>0</v>
      </c>
      <c r="Y207" s="2110">
        <f t="shared" si="75"/>
        <v>0</v>
      </c>
      <c r="Z207" s="2110">
        <f t="shared" si="75"/>
        <v>0</v>
      </c>
      <c r="AA207" s="2110">
        <f t="shared" si="75"/>
        <v>0</v>
      </c>
      <c r="AB207" s="2110">
        <f t="shared" si="75"/>
        <v>0</v>
      </c>
      <c r="AC207" s="2110">
        <f t="shared" si="75"/>
        <v>0</v>
      </c>
      <c r="AD207" s="2110">
        <f t="shared" si="75"/>
        <v>0</v>
      </c>
      <c r="AE207" s="2110">
        <f t="shared" si="75"/>
        <v>0</v>
      </c>
      <c r="AF207" s="2110">
        <f t="shared" si="75"/>
        <v>0</v>
      </c>
      <c r="AG207" s="2110">
        <f t="shared" si="75"/>
        <v>0</v>
      </c>
      <c r="AH207" s="2110">
        <f t="shared" si="75"/>
        <v>0</v>
      </c>
      <c r="AI207" s="2110">
        <f t="shared" si="75"/>
        <v>0</v>
      </c>
      <c r="AJ207" s="2110">
        <f t="shared" si="75"/>
        <v>0</v>
      </c>
      <c r="AK207" s="2110">
        <f t="shared" si="75"/>
        <v>0</v>
      </c>
      <c r="AL207" s="2110">
        <f t="shared" si="75"/>
        <v>0</v>
      </c>
      <c r="AM207" s="2110">
        <f t="shared" si="75"/>
        <v>0</v>
      </c>
      <c r="AN207" s="2110">
        <f t="shared" si="75"/>
        <v>0</v>
      </c>
      <c r="AO207" s="2110">
        <f t="shared" si="75"/>
        <v>0</v>
      </c>
      <c r="AP207" s="2110">
        <f t="shared" si="75"/>
        <v>0</v>
      </c>
      <c r="AQ207" s="2110">
        <f t="shared" si="75"/>
        <v>0</v>
      </c>
    </row>
    <row r="208" spans="2:43" x14ac:dyDescent="0.2">
      <c r="B208" s="2121"/>
      <c r="C208" s="2102"/>
      <c r="E208" s="2100"/>
      <c r="F208" s="1999"/>
      <c r="G208" s="1999"/>
      <c r="H208" s="1999"/>
      <c r="I208" s="1999"/>
      <c r="J208" s="1999"/>
      <c r="K208" s="1999"/>
      <c r="L208" s="1999"/>
      <c r="M208" s="1999"/>
      <c r="N208" s="1999"/>
      <c r="O208" s="1999"/>
      <c r="P208" s="1999"/>
      <c r="Q208" s="1999"/>
      <c r="R208" s="1999"/>
      <c r="S208" s="1999"/>
      <c r="T208" s="1999"/>
      <c r="U208" s="1999"/>
      <c r="V208" s="1999"/>
      <c r="W208" s="1999"/>
      <c r="X208" s="1999"/>
      <c r="Y208" s="1999"/>
      <c r="Z208" s="1999"/>
      <c r="AA208" s="1999"/>
      <c r="AB208" s="1999"/>
      <c r="AC208" s="1999"/>
      <c r="AD208" s="1999"/>
      <c r="AE208" s="1999"/>
      <c r="AF208" s="1999"/>
      <c r="AG208" s="1999"/>
      <c r="AH208" s="1999"/>
      <c r="AI208" s="1999"/>
      <c r="AJ208" s="1999"/>
      <c r="AK208" s="1999"/>
      <c r="AL208" s="1999"/>
      <c r="AM208" s="1999"/>
      <c r="AN208" s="1999"/>
      <c r="AO208" s="1999"/>
      <c r="AP208" s="1999"/>
      <c r="AQ208" s="1999"/>
    </row>
    <row r="209" spans="1:43" x14ac:dyDescent="0.2">
      <c r="B209" s="2121"/>
      <c r="C209" s="2117" t="s">
        <v>1153</v>
      </c>
      <c r="E209" s="2109" t="s">
        <v>1144</v>
      </c>
      <c r="F209" s="1999"/>
      <c r="G209" s="2110">
        <f>+G207*$F$111*1000</f>
        <v>0</v>
      </c>
      <c r="H209" s="2110">
        <f t="shared" ref="H209:AQ209" si="76">+H207*$F$111*1000</f>
        <v>0</v>
      </c>
      <c r="I209" s="2110">
        <f t="shared" si="76"/>
        <v>0</v>
      </c>
      <c r="J209" s="2110">
        <f t="shared" si="76"/>
        <v>0</v>
      </c>
      <c r="K209" s="2110">
        <f t="shared" si="76"/>
        <v>0</v>
      </c>
      <c r="L209" s="2110">
        <f t="shared" si="76"/>
        <v>0</v>
      </c>
      <c r="M209" s="2110">
        <f t="shared" si="76"/>
        <v>0</v>
      </c>
      <c r="N209" s="2110">
        <f t="shared" si="76"/>
        <v>0</v>
      </c>
      <c r="O209" s="2110">
        <f t="shared" si="76"/>
        <v>0</v>
      </c>
      <c r="P209" s="2110">
        <f t="shared" si="76"/>
        <v>0</v>
      </c>
      <c r="Q209" s="2110">
        <f t="shared" si="76"/>
        <v>0</v>
      </c>
      <c r="R209" s="2110">
        <f t="shared" si="76"/>
        <v>0</v>
      </c>
      <c r="S209" s="2110">
        <f t="shared" si="76"/>
        <v>0</v>
      </c>
      <c r="T209" s="2110">
        <f t="shared" si="76"/>
        <v>0</v>
      </c>
      <c r="U209" s="2110">
        <f t="shared" si="76"/>
        <v>0</v>
      </c>
      <c r="V209" s="2110">
        <f t="shared" si="76"/>
        <v>0</v>
      </c>
      <c r="W209" s="2110">
        <f t="shared" si="76"/>
        <v>0</v>
      </c>
      <c r="X209" s="2110">
        <f t="shared" si="76"/>
        <v>0</v>
      </c>
      <c r="Y209" s="2110">
        <f t="shared" si="76"/>
        <v>0</v>
      </c>
      <c r="Z209" s="2110">
        <f t="shared" si="76"/>
        <v>0</v>
      </c>
      <c r="AA209" s="2110">
        <f t="shared" si="76"/>
        <v>0</v>
      </c>
      <c r="AB209" s="2110">
        <f t="shared" si="76"/>
        <v>0</v>
      </c>
      <c r="AC209" s="2110">
        <f t="shared" si="76"/>
        <v>0</v>
      </c>
      <c r="AD209" s="2110">
        <f t="shared" si="76"/>
        <v>0</v>
      </c>
      <c r="AE209" s="2110">
        <f t="shared" si="76"/>
        <v>0</v>
      </c>
      <c r="AF209" s="2110">
        <f t="shared" si="76"/>
        <v>0</v>
      </c>
      <c r="AG209" s="2110">
        <f t="shared" si="76"/>
        <v>0</v>
      </c>
      <c r="AH209" s="2110">
        <f t="shared" si="76"/>
        <v>0</v>
      </c>
      <c r="AI209" s="2110">
        <f t="shared" si="76"/>
        <v>0</v>
      </c>
      <c r="AJ209" s="2110">
        <f t="shared" si="76"/>
        <v>0</v>
      </c>
      <c r="AK209" s="2110">
        <f t="shared" si="76"/>
        <v>0</v>
      </c>
      <c r="AL209" s="2110">
        <f t="shared" si="76"/>
        <v>0</v>
      </c>
      <c r="AM209" s="2110">
        <f t="shared" si="76"/>
        <v>0</v>
      </c>
      <c r="AN209" s="2110">
        <f t="shared" si="76"/>
        <v>0</v>
      </c>
      <c r="AO209" s="2110">
        <f t="shared" si="76"/>
        <v>0</v>
      </c>
      <c r="AP209" s="2110">
        <f t="shared" si="76"/>
        <v>0</v>
      </c>
      <c r="AQ209" s="2110">
        <f t="shared" si="76"/>
        <v>0</v>
      </c>
    </row>
    <row r="210" spans="1:43" x14ac:dyDescent="0.2">
      <c r="B210" s="2121"/>
      <c r="C210" s="2117" t="s">
        <v>1154</v>
      </c>
      <c r="E210" s="2109" t="s">
        <v>1146</v>
      </c>
      <c r="F210" s="1999"/>
      <c r="G210" s="2123">
        <f>+G209/($F$109*8760)</f>
        <v>0</v>
      </c>
      <c r="H210" s="2123">
        <f t="shared" ref="H210:AQ210" si="77">+H209/($F$109*8760)</f>
        <v>0</v>
      </c>
      <c r="I210" s="2123">
        <f t="shared" si="77"/>
        <v>0</v>
      </c>
      <c r="J210" s="2123">
        <f t="shared" si="77"/>
        <v>0</v>
      </c>
      <c r="K210" s="2123">
        <f t="shared" si="77"/>
        <v>0</v>
      </c>
      <c r="L210" s="2123">
        <f t="shared" si="77"/>
        <v>0</v>
      </c>
      <c r="M210" s="2123">
        <f t="shared" si="77"/>
        <v>0</v>
      </c>
      <c r="N210" s="2123">
        <f t="shared" si="77"/>
        <v>0</v>
      </c>
      <c r="O210" s="2123">
        <f t="shared" si="77"/>
        <v>0</v>
      </c>
      <c r="P210" s="2123">
        <f t="shared" si="77"/>
        <v>0</v>
      </c>
      <c r="Q210" s="2123">
        <f t="shared" si="77"/>
        <v>0</v>
      </c>
      <c r="R210" s="2123">
        <f t="shared" si="77"/>
        <v>0</v>
      </c>
      <c r="S210" s="2123">
        <f t="shared" si="77"/>
        <v>0</v>
      </c>
      <c r="T210" s="2123">
        <f t="shared" si="77"/>
        <v>0</v>
      </c>
      <c r="U210" s="2123">
        <f t="shared" si="77"/>
        <v>0</v>
      </c>
      <c r="V210" s="2123">
        <f t="shared" si="77"/>
        <v>0</v>
      </c>
      <c r="W210" s="2123">
        <f t="shared" si="77"/>
        <v>0</v>
      </c>
      <c r="X210" s="2123">
        <f t="shared" si="77"/>
        <v>0</v>
      </c>
      <c r="Y210" s="2123">
        <f t="shared" si="77"/>
        <v>0</v>
      </c>
      <c r="Z210" s="2123">
        <f t="shared" si="77"/>
        <v>0</v>
      </c>
      <c r="AA210" s="2123">
        <f t="shared" si="77"/>
        <v>0</v>
      </c>
      <c r="AB210" s="2123">
        <f t="shared" si="77"/>
        <v>0</v>
      </c>
      <c r="AC210" s="2123">
        <f t="shared" si="77"/>
        <v>0</v>
      </c>
      <c r="AD210" s="2123">
        <f t="shared" si="77"/>
        <v>0</v>
      </c>
      <c r="AE210" s="2123">
        <f t="shared" si="77"/>
        <v>0</v>
      </c>
      <c r="AF210" s="2123">
        <f t="shared" si="77"/>
        <v>0</v>
      </c>
      <c r="AG210" s="2123">
        <f t="shared" si="77"/>
        <v>0</v>
      </c>
      <c r="AH210" s="2123">
        <f t="shared" si="77"/>
        <v>0</v>
      </c>
      <c r="AI210" s="2123">
        <f t="shared" si="77"/>
        <v>0</v>
      </c>
      <c r="AJ210" s="2123">
        <f t="shared" si="77"/>
        <v>0</v>
      </c>
      <c r="AK210" s="2123">
        <f t="shared" si="77"/>
        <v>0</v>
      </c>
      <c r="AL210" s="2123">
        <f t="shared" si="77"/>
        <v>0</v>
      </c>
      <c r="AM210" s="2123">
        <f t="shared" si="77"/>
        <v>0</v>
      </c>
      <c r="AN210" s="2123">
        <f t="shared" si="77"/>
        <v>0</v>
      </c>
      <c r="AO210" s="2123">
        <f t="shared" si="77"/>
        <v>0</v>
      </c>
      <c r="AP210" s="2123">
        <f t="shared" si="77"/>
        <v>0</v>
      </c>
      <c r="AQ210" s="2123">
        <f t="shared" si="77"/>
        <v>0</v>
      </c>
    </row>
    <row r="211" spans="1:43" x14ac:dyDescent="0.2">
      <c r="B211" s="2121"/>
      <c r="C211" s="2117"/>
      <c r="E211" s="2109"/>
      <c r="F211" s="1999"/>
      <c r="G211" s="2123"/>
      <c r="H211" s="2123"/>
      <c r="I211" s="2123"/>
      <c r="J211" s="2123"/>
      <c r="K211" s="2123"/>
      <c r="L211" s="2123"/>
      <c r="M211" s="2123"/>
      <c r="N211" s="2123"/>
      <c r="O211" s="2123"/>
      <c r="P211" s="2123"/>
      <c r="Q211" s="2123"/>
      <c r="R211" s="2123"/>
      <c r="S211" s="2123"/>
      <c r="T211" s="2123"/>
      <c r="U211" s="2123"/>
      <c r="V211" s="2123"/>
      <c r="W211" s="2123"/>
      <c r="X211" s="2123"/>
      <c r="Y211" s="2123"/>
      <c r="Z211" s="2123"/>
      <c r="AA211" s="2123"/>
      <c r="AB211" s="2123"/>
      <c r="AC211" s="2123"/>
      <c r="AD211" s="2123"/>
      <c r="AE211" s="2123"/>
      <c r="AF211" s="2123"/>
      <c r="AG211" s="2123"/>
      <c r="AH211" s="2123"/>
      <c r="AI211" s="2123"/>
      <c r="AJ211" s="2123"/>
      <c r="AK211" s="2123"/>
      <c r="AL211" s="2123"/>
      <c r="AM211" s="2123"/>
      <c r="AN211" s="2123"/>
      <c r="AO211" s="2123"/>
      <c r="AP211" s="2123"/>
      <c r="AQ211" s="2123"/>
    </row>
    <row r="212" spans="1:43" x14ac:dyDescent="0.2">
      <c r="B212" s="2103">
        <v>4</v>
      </c>
      <c r="C212" s="2116" t="s">
        <v>1109</v>
      </c>
      <c r="D212" s="2117"/>
      <c r="E212" s="2117"/>
      <c r="F212" s="2124"/>
    </row>
    <row r="213" spans="1:43" x14ac:dyDescent="0.2">
      <c r="B213" s="2103"/>
      <c r="C213" s="2116"/>
      <c r="D213" s="2117"/>
      <c r="E213" s="2117"/>
      <c r="F213" s="2124"/>
    </row>
    <row r="214" spans="1:43" x14ac:dyDescent="0.2">
      <c r="B214" s="2098"/>
      <c r="D214" s="2117"/>
      <c r="E214" s="2109"/>
      <c r="F214" s="2124"/>
      <c r="G214" s="1999"/>
      <c r="H214" s="1999"/>
      <c r="I214" s="1999"/>
      <c r="J214" s="1999"/>
      <c r="K214" s="1999"/>
      <c r="L214" s="1999"/>
      <c r="M214" s="1999"/>
      <c r="N214" s="1999"/>
      <c r="O214" s="1999"/>
      <c r="P214" s="1999"/>
      <c r="Q214" s="1999"/>
      <c r="R214" s="1999"/>
      <c r="S214" s="1999"/>
      <c r="T214" s="1999"/>
      <c r="U214" s="1999"/>
      <c r="V214" s="1999"/>
      <c r="W214" s="1999"/>
      <c r="X214" s="1999"/>
      <c r="Y214" s="1999"/>
      <c r="Z214" s="1999"/>
      <c r="AA214" s="1999"/>
      <c r="AB214" s="1999"/>
      <c r="AC214" s="1999"/>
      <c r="AD214" s="1999"/>
      <c r="AE214" s="1999"/>
      <c r="AF214" s="1999"/>
      <c r="AG214" s="1999"/>
      <c r="AH214" s="1999"/>
      <c r="AI214" s="1999"/>
      <c r="AJ214" s="1999"/>
      <c r="AK214" s="1999"/>
      <c r="AL214" s="1999"/>
      <c r="AM214" s="1999"/>
      <c r="AN214" s="1999"/>
      <c r="AO214" s="1999"/>
      <c r="AP214" s="1999"/>
      <c r="AQ214" s="1999"/>
    </row>
    <row r="215" spans="1:43" x14ac:dyDescent="0.2">
      <c r="B215" s="2098"/>
      <c r="C215" s="2117" t="s">
        <v>1155</v>
      </c>
      <c r="D215" s="2109" t="s">
        <v>1156</v>
      </c>
      <c r="E215" s="2109" t="s">
        <v>1112</v>
      </c>
      <c r="F215" s="2124"/>
      <c r="G215" s="2110">
        <f t="shared" ref="G215:AQ215" si="78">+G164*G38</f>
        <v>48.548741131525624</v>
      </c>
      <c r="H215" s="2110">
        <f t="shared" si="78"/>
        <v>51.181879813409303</v>
      </c>
      <c r="I215" s="2110">
        <f t="shared" si="78"/>
        <v>53.714591736041939</v>
      </c>
      <c r="J215" s="2110">
        <f t="shared" si="78"/>
        <v>56.183808160889392</v>
      </c>
      <c r="K215" s="2110">
        <f t="shared" si="78"/>
        <v>58.594782263406131</v>
      </c>
      <c r="L215" s="2110">
        <f t="shared" si="78"/>
        <v>60.952376719258496</v>
      </c>
      <c r="M215" s="2110">
        <f t="shared" si="78"/>
        <v>63.261100546134159</v>
      </c>
      <c r="N215" s="2110">
        <f t="shared" si="78"/>
        <v>65.525129512690881</v>
      </c>
      <c r="O215" s="2110">
        <f t="shared" si="78"/>
        <v>67.814281169917408</v>
      </c>
      <c r="P215" s="2110">
        <f t="shared" si="78"/>
        <v>70.129577236250697</v>
      </c>
      <c r="Q215" s="2110">
        <f t="shared" si="78"/>
        <v>72.472012099260581</v>
      </c>
      <c r="R215" s="2110">
        <f t="shared" si="78"/>
        <v>74.842553749732971</v>
      </c>
      <c r="S215" s="2110">
        <f t="shared" si="78"/>
        <v>77.242145721550955</v>
      </c>
      <c r="T215" s="2110">
        <f t="shared" si="78"/>
        <v>79.591690485177864</v>
      </c>
      <c r="U215" s="2110">
        <f t="shared" si="78"/>
        <v>81.895339264985822</v>
      </c>
      <c r="V215" s="2110">
        <f t="shared" si="78"/>
        <v>84.156939406510716</v>
      </c>
      <c r="W215" s="2110">
        <f t="shared" si="78"/>
        <v>86.380059429609886</v>
      </c>
      <c r="X215" s="2110">
        <f t="shared" si="78"/>
        <v>88.568011375281415</v>
      </c>
      <c r="Y215" s="2110">
        <f t="shared" si="78"/>
        <v>90.774200153345745</v>
      </c>
      <c r="Z215" s="2110">
        <f t="shared" si="78"/>
        <v>92.999314200128012</v>
      </c>
      <c r="AA215" s="2110">
        <f t="shared" si="78"/>
        <v>95.244018132462671</v>
      </c>
      <c r="AB215" s="2110">
        <f t="shared" si="78"/>
        <v>97.508956864591269</v>
      </c>
      <c r="AC215" s="2110">
        <f t="shared" si="78"/>
        <v>99.794754696620529</v>
      </c>
      <c r="AD215" s="2110">
        <f t="shared" si="78"/>
        <v>102.0393899025849</v>
      </c>
      <c r="AE215" s="2110">
        <f t="shared" si="78"/>
        <v>104.24610035725235</v>
      </c>
      <c r="AF215" s="2110">
        <f t="shared" si="78"/>
        <v>106.41788986755455</v>
      </c>
      <c r="AG215" s="2110">
        <f t="shared" si="78"/>
        <v>108.55754704734072</v>
      </c>
      <c r="AH215" s="2110">
        <f t="shared" si="78"/>
        <v>110.66765973187823</v>
      </c>
      <c r="AI215" s="2110">
        <f t="shared" si="78"/>
        <v>112.80257298041022</v>
      </c>
      <c r="AJ215" s="2110">
        <f t="shared" si="78"/>
        <v>114.96243362558057</v>
      </c>
      <c r="AK215" s="2110">
        <f t="shared" si="78"/>
        <v>117.14739398035843</v>
      </c>
      <c r="AL215" s="2110">
        <f t="shared" si="78"/>
        <v>119.3576091746327</v>
      </c>
      <c r="AM215" s="2110">
        <f t="shared" si="78"/>
        <v>121.59323818758484</v>
      </c>
      <c r="AN215" s="2110">
        <f t="shared" si="78"/>
        <v>123.78800285013504</v>
      </c>
      <c r="AO215" s="2110">
        <f t="shared" si="78"/>
        <v>125.94427468906976</v>
      </c>
      <c r="AP215" s="2110">
        <f t="shared" si="78"/>
        <v>128.06426522788749</v>
      </c>
      <c r="AQ215" s="2110">
        <f t="shared" si="78"/>
        <v>130.15003914629949</v>
      </c>
    </row>
    <row r="216" spans="1:43" x14ac:dyDescent="0.2">
      <c r="B216" s="2098"/>
      <c r="C216" s="2117" t="s">
        <v>1157</v>
      </c>
      <c r="D216" s="2109" t="s">
        <v>1158</v>
      </c>
      <c r="E216" s="2109" t="s">
        <v>1112</v>
      </c>
      <c r="F216" s="2124"/>
      <c r="G216" s="2110">
        <f t="shared" ref="G216:AQ216" si="79">+(G164-G215)*(1-G89)</f>
        <v>113.28039597355979</v>
      </c>
      <c r="H216" s="2110">
        <f t="shared" si="79"/>
        <v>119.42438623128839</v>
      </c>
      <c r="I216" s="2110">
        <f t="shared" si="79"/>
        <v>125.33404738409786</v>
      </c>
      <c r="J216" s="2110">
        <f t="shared" si="79"/>
        <v>131.0955523754086</v>
      </c>
      <c r="K216" s="2110">
        <f t="shared" si="79"/>
        <v>136.72115861461432</v>
      </c>
      <c r="L216" s="2110">
        <f t="shared" si="79"/>
        <v>142.22221234493651</v>
      </c>
      <c r="M216" s="2110">
        <f t="shared" si="79"/>
        <v>147.60923460764639</v>
      </c>
      <c r="N216" s="2110">
        <f t="shared" si="79"/>
        <v>152.89196886294539</v>
      </c>
      <c r="O216" s="2110">
        <f t="shared" si="79"/>
        <v>158.2333227298073</v>
      </c>
      <c r="P216" s="2110">
        <f t="shared" si="79"/>
        <v>163.63568021791829</v>
      </c>
      <c r="Q216" s="2110">
        <f t="shared" si="79"/>
        <v>169.10136156494136</v>
      </c>
      <c r="R216" s="2110">
        <f t="shared" si="79"/>
        <v>174.6326254160436</v>
      </c>
      <c r="S216" s="2110">
        <f t="shared" si="79"/>
        <v>180.23167335028558</v>
      </c>
      <c r="T216" s="2110">
        <f t="shared" si="79"/>
        <v>185.71394446541501</v>
      </c>
      <c r="U216" s="2110">
        <f t="shared" si="79"/>
        <v>191.08912495163361</v>
      </c>
      <c r="V216" s="2110">
        <f t="shared" si="79"/>
        <v>196.366191948525</v>
      </c>
      <c r="W216" s="2110">
        <f t="shared" si="79"/>
        <v>201.55347200242306</v>
      </c>
      <c r="X216" s="2110">
        <f t="shared" si="79"/>
        <v>206.65869320898997</v>
      </c>
      <c r="Y216" s="2110">
        <f t="shared" si="79"/>
        <v>211.80646702447342</v>
      </c>
      <c r="Z216" s="2110">
        <f t="shared" si="79"/>
        <v>216.99839980029867</v>
      </c>
      <c r="AA216" s="2110">
        <f t="shared" si="79"/>
        <v>222.23604230907961</v>
      </c>
      <c r="AB216" s="2110">
        <f t="shared" si="79"/>
        <v>227.52089935071297</v>
      </c>
      <c r="AC216" s="2110">
        <f t="shared" si="79"/>
        <v>232.8544276254479</v>
      </c>
      <c r="AD216" s="2110">
        <f t="shared" si="79"/>
        <v>238.0919097726981</v>
      </c>
      <c r="AE216" s="2110">
        <f t="shared" si="79"/>
        <v>243.24090083358882</v>
      </c>
      <c r="AF216" s="2110">
        <f t="shared" si="79"/>
        <v>248.30840969096062</v>
      </c>
      <c r="AG216" s="2110">
        <f t="shared" si="79"/>
        <v>253.30094311046167</v>
      </c>
      <c r="AH216" s="2110">
        <f t="shared" si="79"/>
        <v>258.22453937438252</v>
      </c>
      <c r="AI216" s="2110">
        <f t="shared" si="79"/>
        <v>263.20600362095718</v>
      </c>
      <c r="AJ216" s="2110">
        <f t="shared" si="79"/>
        <v>268.24567845968801</v>
      </c>
      <c r="AK216" s="2110">
        <f t="shared" si="79"/>
        <v>273.34391928750301</v>
      </c>
      <c r="AL216" s="2110">
        <f t="shared" si="79"/>
        <v>278.50108807414301</v>
      </c>
      <c r="AM216" s="2110">
        <f t="shared" si="79"/>
        <v>283.7175557710313</v>
      </c>
      <c r="AN216" s="2110">
        <f t="shared" si="79"/>
        <v>288.83867331698178</v>
      </c>
      <c r="AO216" s="2110">
        <f t="shared" si="79"/>
        <v>293.86997427449614</v>
      </c>
      <c r="AP216" s="2110">
        <f t="shared" si="79"/>
        <v>298.81661886507084</v>
      </c>
      <c r="AQ216" s="2110">
        <f t="shared" si="79"/>
        <v>303.68342467469887</v>
      </c>
    </row>
    <row r="217" spans="1:43" x14ac:dyDescent="0.2">
      <c r="B217" s="2098"/>
      <c r="C217" s="2117" t="s">
        <v>1159</v>
      </c>
      <c r="E217" s="2109" t="s">
        <v>1160</v>
      </c>
      <c r="F217" s="2124"/>
      <c r="G217" s="2110">
        <f t="shared" ref="G217:AQ217" si="80">+G216*$F$97+G215*(2.75)</f>
        <v>2512.3973535564514</v>
      </c>
      <c r="H217" s="2110">
        <f t="shared" si="80"/>
        <v>2648.6622803439318</v>
      </c>
      <c r="I217" s="2110">
        <f t="shared" si="80"/>
        <v>2779.7301223401705</v>
      </c>
      <c r="J217" s="2110">
        <f t="shared" si="80"/>
        <v>2907.5120723260266</v>
      </c>
      <c r="K217" s="2110">
        <f t="shared" si="80"/>
        <v>3032.2799821312678</v>
      </c>
      <c r="L217" s="2110">
        <f t="shared" si="80"/>
        <v>3154.2854952216276</v>
      </c>
      <c r="M217" s="2110">
        <f t="shared" si="80"/>
        <v>3273.7619532624431</v>
      </c>
      <c r="N217" s="2110">
        <f t="shared" si="80"/>
        <v>3390.9254522817532</v>
      </c>
      <c r="O217" s="2110">
        <f t="shared" si="80"/>
        <v>3509.3890505432264</v>
      </c>
      <c r="P217" s="2110">
        <f t="shared" si="80"/>
        <v>3629.2056219759734</v>
      </c>
      <c r="Q217" s="2110">
        <f t="shared" si="80"/>
        <v>3750.4266261367352</v>
      </c>
      <c r="R217" s="2110">
        <f t="shared" si="80"/>
        <v>3873.1021565486813</v>
      </c>
      <c r="S217" s="2110">
        <f t="shared" si="80"/>
        <v>3997.2810410902621</v>
      </c>
      <c r="T217" s="2110">
        <f t="shared" si="80"/>
        <v>4118.8699826079546</v>
      </c>
      <c r="U217" s="2110">
        <f t="shared" si="80"/>
        <v>4238.0838069630163</v>
      </c>
      <c r="V217" s="2110">
        <f t="shared" si="80"/>
        <v>4355.1216142869298</v>
      </c>
      <c r="W217" s="2110">
        <f t="shared" si="80"/>
        <v>4470.168075482311</v>
      </c>
      <c r="X217" s="2110">
        <f t="shared" si="80"/>
        <v>4583.3945886708134</v>
      </c>
      <c r="Y217" s="2110">
        <f t="shared" si="80"/>
        <v>4697.5648579356421</v>
      </c>
      <c r="Z217" s="2110">
        <f t="shared" si="80"/>
        <v>4812.7145098566243</v>
      </c>
      <c r="AA217" s="2110">
        <f t="shared" si="80"/>
        <v>4928.8779383549445</v>
      </c>
      <c r="AB217" s="2110">
        <f t="shared" si="80"/>
        <v>5046.088517742598</v>
      </c>
      <c r="AC217" s="2110">
        <f t="shared" si="80"/>
        <v>5164.3785555501127</v>
      </c>
      <c r="AD217" s="2110">
        <f t="shared" si="80"/>
        <v>5280.5384274587686</v>
      </c>
      <c r="AE217" s="2110">
        <f t="shared" si="80"/>
        <v>5394.7356934878098</v>
      </c>
      <c r="AF217" s="2110">
        <f t="shared" si="80"/>
        <v>5507.1258006459484</v>
      </c>
      <c r="AG217" s="2110">
        <f t="shared" si="80"/>
        <v>5617.8530596998817</v>
      </c>
      <c r="AH217" s="2110">
        <f t="shared" si="80"/>
        <v>5727.0513911246981</v>
      </c>
      <c r="AI217" s="2110">
        <f t="shared" si="80"/>
        <v>5837.5331517362292</v>
      </c>
      <c r="AJ217" s="2110">
        <f t="shared" si="80"/>
        <v>5949.3059401237942</v>
      </c>
      <c r="AK217" s="2110">
        <f t="shared" si="80"/>
        <v>6062.3776384835492</v>
      </c>
      <c r="AL217" s="2110">
        <f t="shared" si="80"/>
        <v>6176.7562747872435</v>
      </c>
      <c r="AM217" s="2110">
        <f t="shared" si="80"/>
        <v>6292.4500762075149</v>
      </c>
      <c r="AN217" s="2110">
        <f t="shared" si="80"/>
        <v>6406.0291474944888</v>
      </c>
      <c r="AO217" s="2110">
        <f t="shared" si="80"/>
        <v>6517.6162151593608</v>
      </c>
      <c r="AP217" s="2110">
        <f t="shared" si="80"/>
        <v>6627.3257255431781</v>
      </c>
      <c r="AQ217" s="2110">
        <f t="shared" si="80"/>
        <v>6735.2645258209996</v>
      </c>
    </row>
    <row r="218" spans="1:43" s="2125" customFormat="1" x14ac:dyDescent="0.2">
      <c r="B218" s="2126"/>
      <c r="C218" s="2117" t="s">
        <v>1159</v>
      </c>
      <c r="D218" s="1984"/>
      <c r="E218" s="2109" t="s">
        <v>1161</v>
      </c>
      <c r="F218" s="2124"/>
      <c r="G218" s="2127">
        <f t="shared" ref="G218:AQ218" si="81">+G217/1000</f>
        <v>2.5123973535564512</v>
      </c>
      <c r="H218" s="2127">
        <f t="shared" si="81"/>
        <v>2.6486622803439319</v>
      </c>
      <c r="I218" s="2127">
        <f t="shared" si="81"/>
        <v>2.7797301223401707</v>
      </c>
      <c r="J218" s="2127">
        <f t="shared" si="81"/>
        <v>2.9075120723260266</v>
      </c>
      <c r="K218" s="2127">
        <f t="shared" si="81"/>
        <v>3.0322799821312678</v>
      </c>
      <c r="L218" s="2127">
        <f t="shared" si="81"/>
        <v>3.1542854952216275</v>
      </c>
      <c r="M218" s="2127">
        <f t="shared" si="81"/>
        <v>3.2737619532624431</v>
      </c>
      <c r="N218" s="2127">
        <f t="shared" si="81"/>
        <v>3.3909254522817531</v>
      </c>
      <c r="O218" s="2127">
        <f t="shared" si="81"/>
        <v>3.5093890505432266</v>
      </c>
      <c r="P218" s="2127">
        <f t="shared" si="81"/>
        <v>3.6292056219759732</v>
      </c>
      <c r="Q218" s="2127">
        <f t="shared" si="81"/>
        <v>3.7504266261367354</v>
      </c>
      <c r="R218" s="2127">
        <f t="shared" si="81"/>
        <v>3.8731021565486814</v>
      </c>
      <c r="S218" s="2127">
        <f t="shared" si="81"/>
        <v>3.9972810410902619</v>
      </c>
      <c r="T218" s="2127">
        <f t="shared" si="81"/>
        <v>4.1188699826079542</v>
      </c>
      <c r="U218" s="2127">
        <f t="shared" si="81"/>
        <v>4.238083806963016</v>
      </c>
      <c r="V218" s="2127">
        <f t="shared" si="81"/>
        <v>4.3551216142869302</v>
      </c>
      <c r="W218" s="2127">
        <f t="shared" si="81"/>
        <v>4.4701680754823112</v>
      </c>
      <c r="X218" s="2127">
        <f t="shared" si="81"/>
        <v>4.5833945886708136</v>
      </c>
      <c r="Y218" s="2127">
        <f t="shared" si="81"/>
        <v>4.6975648579356424</v>
      </c>
      <c r="Z218" s="2127">
        <f t="shared" si="81"/>
        <v>4.8127145098566242</v>
      </c>
      <c r="AA218" s="2127">
        <f t="shared" si="81"/>
        <v>4.9288779383549448</v>
      </c>
      <c r="AB218" s="2127">
        <f t="shared" si="81"/>
        <v>5.0460885177425983</v>
      </c>
      <c r="AC218" s="2127">
        <f t="shared" si="81"/>
        <v>5.1643785555501127</v>
      </c>
      <c r="AD218" s="2127">
        <f t="shared" si="81"/>
        <v>5.2805384274587688</v>
      </c>
      <c r="AE218" s="2127">
        <f t="shared" si="81"/>
        <v>5.3947356934878101</v>
      </c>
      <c r="AF218" s="2127">
        <f t="shared" si="81"/>
        <v>5.507125800645948</v>
      </c>
      <c r="AG218" s="2127">
        <f t="shared" si="81"/>
        <v>5.6178530596998817</v>
      </c>
      <c r="AH218" s="2127">
        <f t="shared" si="81"/>
        <v>5.7270513911246983</v>
      </c>
      <c r="AI218" s="2127">
        <f t="shared" si="81"/>
        <v>5.8375331517362294</v>
      </c>
      <c r="AJ218" s="2127">
        <f t="shared" si="81"/>
        <v>5.9493059401237947</v>
      </c>
      <c r="AK218" s="2127">
        <f t="shared" si="81"/>
        <v>6.0623776384835493</v>
      </c>
      <c r="AL218" s="2127">
        <f t="shared" si="81"/>
        <v>6.1767562747872438</v>
      </c>
      <c r="AM218" s="2127">
        <f t="shared" si="81"/>
        <v>6.2924500762075146</v>
      </c>
      <c r="AN218" s="2127">
        <f t="shared" si="81"/>
        <v>6.4060291474944888</v>
      </c>
      <c r="AO218" s="2127">
        <f t="shared" si="81"/>
        <v>6.5176162151593608</v>
      </c>
      <c r="AP218" s="2127">
        <f t="shared" si="81"/>
        <v>6.6273257255431783</v>
      </c>
      <c r="AQ218" s="2127">
        <f t="shared" si="81"/>
        <v>6.735264525821</v>
      </c>
    </row>
    <row r="219" spans="1:43" x14ac:dyDescent="0.2">
      <c r="B219" s="2121"/>
      <c r="C219" s="2108" t="s">
        <v>1162</v>
      </c>
      <c r="E219" s="2113" t="s">
        <v>1163</v>
      </c>
      <c r="F219" s="2124"/>
      <c r="G219" s="2128">
        <f>+G218</f>
        <v>2.5123973535564512</v>
      </c>
      <c r="H219" s="2128">
        <f t="shared" ref="H219:AQ219" si="82">+H218</f>
        <v>2.6486622803439319</v>
      </c>
      <c r="I219" s="2128">
        <f t="shared" si="82"/>
        <v>2.7797301223401707</v>
      </c>
      <c r="J219" s="2128">
        <f t="shared" si="82"/>
        <v>2.9075120723260266</v>
      </c>
      <c r="K219" s="2128">
        <f t="shared" si="82"/>
        <v>3.0322799821312678</v>
      </c>
      <c r="L219" s="2128">
        <f t="shared" si="82"/>
        <v>3.1542854952216275</v>
      </c>
      <c r="M219" s="2128">
        <f t="shared" si="82"/>
        <v>3.2737619532624431</v>
      </c>
      <c r="N219" s="2128">
        <f t="shared" si="82"/>
        <v>3.3909254522817531</v>
      </c>
      <c r="O219" s="2128">
        <f t="shared" si="82"/>
        <v>3.5093890505432266</v>
      </c>
      <c r="P219" s="2128">
        <f t="shared" si="82"/>
        <v>3.6292056219759732</v>
      </c>
      <c r="Q219" s="2128">
        <f t="shared" si="82"/>
        <v>3.7504266261367354</v>
      </c>
      <c r="R219" s="2128">
        <f t="shared" si="82"/>
        <v>3.8731021565486814</v>
      </c>
      <c r="S219" s="2128">
        <f t="shared" si="82"/>
        <v>3.9972810410902619</v>
      </c>
      <c r="T219" s="2128">
        <f t="shared" si="82"/>
        <v>4.1188699826079542</v>
      </c>
      <c r="U219" s="2128">
        <f t="shared" si="82"/>
        <v>4.238083806963016</v>
      </c>
      <c r="V219" s="2128">
        <f t="shared" si="82"/>
        <v>4.3551216142869302</v>
      </c>
      <c r="W219" s="2128">
        <f t="shared" si="82"/>
        <v>4.4701680754823112</v>
      </c>
      <c r="X219" s="2128">
        <f t="shared" si="82"/>
        <v>4.5833945886708136</v>
      </c>
      <c r="Y219" s="2128">
        <f t="shared" si="82"/>
        <v>4.6975648579356424</v>
      </c>
      <c r="Z219" s="2128">
        <f t="shared" si="82"/>
        <v>4.8127145098566242</v>
      </c>
      <c r="AA219" s="2128">
        <f t="shared" si="82"/>
        <v>4.9288779383549448</v>
      </c>
      <c r="AB219" s="2128">
        <f t="shared" si="82"/>
        <v>5.0460885177425983</v>
      </c>
      <c r="AC219" s="2128">
        <f t="shared" si="82"/>
        <v>5.1643785555501127</v>
      </c>
      <c r="AD219" s="2128">
        <f t="shared" si="82"/>
        <v>5.2805384274587688</v>
      </c>
      <c r="AE219" s="2128">
        <f t="shared" si="82"/>
        <v>5.3947356934878101</v>
      </c>
      <c r="AF219" s="2128">
        <f t="shared" si="82"/>
        <v>5.507125800645948</v>
      </c>
      <c r="AG219" s="2128">
        <f t="shared" si="82"/>
        <v>5.6178530596998817</v>
      </c>
      <c r="AH219" s="2128">
        <f t="shared" si="82"/>
        <v>5.7270513911246983</v>
      </c>
      <c r="AI219" s="2128">
        <f t="shared" si="82"/>
        <v>5.8375331517362294</v>
      </c>
      <c r="AJ219" s="2128">
        <f t="shared" si="82"/>
        <v>5.9493059401237947</v>
      </c>
      <c r="AK219" s="2128">
        <f t="shared" si="82"/>
        <v>6.0623776384835493</v>
      </c>
      <c r="AL219" s="2128">
        <f t="shared" si="82"/>
        <v>6.1767562747872438</v>
      </c>
      <c r="AM219" s="2128">
        <f t="shared" si="82"/>
        <v>6.2924500762075146</v>
      </c>
      <c r="AN219" s="2128">
        <f t="shared" si="82"/>
        <v>6.4060291474944888</v>
      </c>
      <c r="AO219" s="2128">
        <f t="shared" si="82"/>
        <v>6.5176162151593608</v>
      </c>
      <c r="AP219" s="2128">
        <f t="shared" si="82"/>
        <v>6.6273257255431783</v>
      </c>
      <c r="AQ219" s="2128">
        <f t="shared" si="82"/>
        <v>6.735264525821</v>
      </c>
    </row>
    <row r="220" spans="1:43" x14ac:dyDescent="0.2">
      <c r="A220" s="2117"/>
      <c r="B220" s="2121"/>
      <c r="C220" s="2102"/>
      <c r="E220" s="2109"/>
      <c r="F220" s="1999"/>
      <c r="G220" s="2110"/>
      <c r="H220" s="2110"/>
      <c r="I220" s="2110"/>
      <c r="J220" s="2110"/>
      <c r="K220" s="2110"/>
      <c r="L220" s="2110"/>
      <c r="M220" s="2110"/>
      <c r="N220" s="2110"/>
      <c r="O220" s="2110"/>
      <c r="P220" s="2110"/>
      <c r="Q220" s="2110"/>
      <c r="R220" s="2110"/>
      <c r="S220" s="2110"/>
      <c r="T220" s="2110"/>
      <c r="U220" s="2110"/>
      <c r="V220" s="2110"/>
      <c r="W220" s="2110"/>
      <c r="X220" s="2110"/>
      <c r="Y220" s="2110"/>
      <c r="Z220" s="2110"/>
      <c r="AA220" s="2110"/>
      <c r="AB220" s="2110"/>
      <c r="AC220" s="2110"/>
      <c r="AD220" s="2110"/>
      <c r="AE220" s="2110"/>
      <c r="AF220" s="2110"/>
      <c r="AG220" s="2110"/>
      <c r="AH220" s="2110"/>
      <c r="AI220" s="2110"/>
      <c r="AJ220" s="2110"/>
      <c r="AK220" s="2110"/>
      <c r="AL220" s="2110"/>
      <c r="AM220" s="2110"/>
      <c r="AN220" s="2110"/>
      <c r="AO220" s="2110"/>
      <c r="AP220" s="2110"/>
      <c r="AQ220" s="2110"/>
    </row>
    <row r="221" spans="1:43" x14ac:dyDescent="0.2">
      <c r="B221" s="2121"/>
      <c r="C221" s="2117" t="s">
        <v>1164</v>
      </c>
      <c r="E221" s="2109" t="s">
        <v>1165</v>
      </c>
      <c r="G221" s="2110">
        <f t="shared" ref="G221:AQ221" si="83">+G201*$F$110/1000</f>
        <v>0</v>
      </c>
      <c r="H221" s="2110">
        <f t="shared" si="83"/>
        <v>0</v>
      </c>
      <c r="I221" s="2110">
        <f t="shared" si="83"/>
        <v>0</v>
      </c>
      <c r="J221" s="2110">
        <f t="shared" si="83"/>
        <v>0</v>
      </c>
      <c r="K221" s="2110">
        <f t="shared" si="83"/>
        <v>0</v>
      </c>
      <c r="L221" s="2110">
        <f t="shared" si="83"/>
        <v>0</v>
      </c>
      <c r="M221" s="2110">
        <f t="shared" si="83"/>
        <v>0</v>
      </c>
      <c r="N221" s="2110">
        <f t="shared" si="83"/>
        <v>0</v>
      </c>
      <c r="O221" s="2110">
        <f t="shared" si="83"/>
        <v>0</v>
      </c>
      <c r="P221" s="2110">
        <f t="shared" si="83"/>
        <v>0</v>
      </c>
      <c r="Q221" s="2110">
        <f t="shared" si="83"/>
        <v>0</v>
      </c>
      <c r="R221" s="2110">
        <f t="shared" si="83"/>
        <v>0</v>
      </c>
      <c r="S221" s="2110">
        <f t="shared" si="83"/>
        <v>0</v>
      </c>
      <c r="T221" s="2110">
        <f t="shared" si="83"/>
        <v>0</v>
      </c>
      <c r="U221" s="2110">
        <f t="shared" si="83"/>
        <v>0</v>
      </c>
      <c r="V221" s="2110">
        <f t="shared" si="83"/>
        <v>0</v>
      </c>
      <c r="W221" s="2110">
        <f t="shared" si="83"/>
        <v>0</v>
      </c>
      <c r="X221" s="2110">
        <f t="shared" si="83"/>
        <v>0</v>
      </c>
      <c r="Y221" s="2110">
        <f t="shared" si="83"/>
        <v>0</v>
      </c>
      <c r="Z221" s="2110">
        <f t="shared" si="83"/>
        <v>0</v>
      </c>
      <c r="AA221" s="2110">
        <f t="shared" si="83"/>
        <v>0</v>
      </c>
      <c r="AB221" s="2110">
        <f t="shared" si="83"/>
        <v>0</v>
      </c>
      <c r="AC221" s="2110">
        <f t="shared" si="83"/>
        <v>0</v>
      </c>
      <c r="AD221" s="2110">
        <f t="shared" si="83"/>
        <v>0</v>
      </c>
      <c r="AE221" s="2110">
        <f t="shared" si="83"/>
        <v>0</v>
      </c>
      <c r="AF221" s="2110">
        <f t="shared" si="83"/>
        <v>0</v>
      </c>
      <c r="AG221" s="2110">
        <f t="shared" si="83"/>
        <v>0</v>
      </c>
      <c r="AH221" s="2110">
        <f t="shared" si="83"/>
        <v>0</v>
      </c>
      <c r="AI221" s="2110">
        <f t="shared" si="83"/>
        <v>0</v>
      </c>
      <c r="AJ221" s="2110">
        <f t="shared" si="83"/>
        <v>0</v>
      </c>
      <c r="AK221" s="2110">
        <f t="shared" si="83"/>
        <v>0</v>
      </c>
      <c r="AL221" s="2110">
        <f t="shared" si="83"/>
        <v>0</v>
      </c>
      <c r="AM221" s="2110">
        <f t="shared" si="83"/>
        <v>0</v>
      </c>
      <c r="AN221" s="2110">
        <f t="shared" si="83"/>
        <v>0</v>
      </c>
      <c r="AO221" s="2110">
        <f t="shared" si="83"/>
        <v>0</v>
      </c>
      <c r="AP221" s="2110">
        <f t="shared" si="83"/>
        <v>0</v>
      </c>
      <c r="AQ221" s="2110">
        <f t="shared" si="83"/>
        <v>0</v>
      </c>
    </row>
    <row r="222" spans="1:43" x14ac:dyDescent="0.2">
      <c r="B222" s="2121"/>
      <c r="C222" s="2108" t="s">
        <v>1164</v>
      </c>
      <c r="D222" s="2097"/>
      <c r="E222" s="2113" t="s">
        <v>1166</v>
      </c>
      <c r="G222" s="2128">
        <f>+G221/1000000</f>
        <v>0</v>
      </c>
      <c r="H222" s="2128">
        <f t="shared" ref="H222:AQ222" si="84">+H221/1000000</f>
        <v>0</v>
      </c>
      <c r="I222" s="2128">
        <f t="shared" si="84"/>
        <v>0</v>
      </c>
      <c r="J222" s="2128">
        <f t="shared" si="84"/>
        <v>0</v>
      </c>
      <c r="K222" s="2128">
        <f t="shared" si="84"/>
        <v>0</v>
      </c>
      <c r="L222" s="2128">
        <f t="shared" si="84"/>
        <v>0</v>
      </c>
      <c r="M222" s="2128">
        <f t="shared" si="84"/>
        <v>0</v>
      </c>
      <c r="N222" s="2128">
        <f t="shared" si="84"/>
        <v>0</v>
      </c>
      <c r="O222" s="2128">
        <f t="shared" si="84"/>
        <v>0</v>
      </c>
      <c r="P222" s="2128">
        <f t="shared" si="84"/>
        <v>0</v>
      </c>
      <c r="Q222" s="2128">
        <f t="shared" si="84"/>
        <v>0</v>
      </c>
      <c r="R222" s="2128">
        <f t="shared" si="84"/>
        <v>0</v>
      </c>
      <c r="S222" s="2128">
        <f t="shared" si="84"/>
        <v>0</v>
      </c>
      <c r="T222" s="2128">
        <f t="shared" si="84"/>
        <v>0</v>
      </c>
      <c r="U222" s="2128">
        <f t="shared" si="84"/>
        <v>0</v>
      </c>
      <c r="V222" s="2128">
        <f t="shared" si="84"/>
        <v>0</v>
      </c>
      <c r="W222" s="2128">
        <f t="shared" si="84"/>
        <v>0</v>
      </c>
      <c r="X222" s="2128">
        <f t="shared" si="84"/>
        <v>0</v>
      </c>
      <c r="Y222" s="2128">
        <f t="shared" si="84"/>
        <v>0</v>
      </c>
      <c r="Z222" s="2128">
        <f t="shared" si="84"/>
        <v>0</v>
      </c>
      <c r="AA222" s="2128">
        <f t="shared" si="84"/>
        <v>0</v>
      </c>
      <c r="AB222" s="2128">
        <f t="shared" si="84"/>
        <v>0</v>
      </c>
      <c r="AC222" s="2128">
        <f t="shared" si="84"/>
        <v>0</v>
      </c>
      <c r="AD222" s="2128">
        <f t="shared" si="84"/>
        <v>0</v>
      </c>
      <c r="AE222" s="2128">
        <f t="shared" si="84"/>
        <v>0</v>
      </c>
      <c r="AF222" s="2128">
        <f t="shared" si="84"/>
        <v>0</v>
      </c>
      <c r="AG222" s="2128">
        <f t="shared" si="84"/>
        <v>0</v>
      </c>
      <c r="AH222" s="2128">
        <f t="shared" si="84"/>
        <v>0</v>
      </c>
      <c r="AI222" s="2128">
        <f t="shared" si="84"/>
        <v>0</v>
      </c>
      <c r="AJ222" s="2128">
        <f t="shared" si="84"/>
        <v>0</v>
      </c>
      <c r="AK222" s="2128">
        <f t="shared" si="84"/>
        <v>0</v>
      </c>
      <c r="AL222" s="2128">
        <f t="shared" si="84"/>
        <v>0</v>
      </c>
      <c r="AM222" s="2128">
        <f t="shared" si="84"/>
        <v>0</v>
      </c>
      <c r="AN222" s="2128">
        <f t="shared" si="84"/>
        <v>0</v>
      </c>
      <c r="AO222" s="2128">
        <f t="shared" si="84"/>
        <v>0</v>
      </c>
      <c r="AP222" s="2128">
        <f t="shared" si="84"/>
        <v>0</v>
      </c>
      <c r="AQ222" s="2128">
        <f t="shared" si="84"/>
        <v>0</v>
      </c>
    </row>
    <row r="223" spans="1:43" ht="12" customHeight="1" x14ac:dyDescent="0.2">
      <c r="B223" s="2121"/>
      <c r="C223" s="2117"/>
      <c r="E223" s="2109"/>
      <c r="G223" s="2110"/>
      <c r="H223" s="2110"/>
      <c r="I223" s="2110"/>
      <c r="J223" s="2110"/>
      <c r="K223" s="2110"/>
      <c r="L223" s="2110"/>
      <c r="M223" s="2110"/>
      <c r="N223" s="2110"/>
      <c r="O223" s="2110"/>
      <c r="P223" s="2110"/>
      <c r="Q223" s="2110"/>
      <c r="R223" s="2110"/>
      <c r="S223" s="2110"/>
      <c r="T223" s="2110"/>
      <c r="U223" s="2110"/>
      <c r="V223" s="2110"/>
      <c r="W223" s="2110"/>
      <c r="X223" s="2110"/>
      <c r="Y223" s="2110"/>
      <c r="Z223" s="2110"/>
      <c r="AA223" s="2110"/>
      <c r="AB223" s="2110"/>
      <c r="AC223" s="2110"/>
      <c r="AD223" s="2110"/>
      <c r="AE223" s="2110"/>
      <c r="AF223" s="2110"/>
      <c r="AG223" s="2110"/>
      <c r="AH223" s="2110"/>
      <c r="AI223" s="2110"/>
      <c r="AJ223" s="2110"/>
      <c r="AK223" s="2110"/>
      <c r="AL223" s="2110"/>
      <c r="AM223" s="2110"/>
      <c r="AN223" s="2110"/>
      <c r="AO223" s="2110"/>
      <c r="AP223" s="2110"/>
      <c r="AQ223" s="2110"/>
    </row>
    <row r="224" spans="1:43" x14ac:dyDescent="0.2">
      <c r="B224" s="2121"/>
      <c r="C224" s="2117"/>
      <c r="E224" s="2109"/>
      <c r="G224" s="2110"/>
      <c r="H224" s="1999"/>
      <c r="I224" s="1999"/>
      <c r="J224" s="1999"/>
      <c r="K224" s="1999"/>
      <c r="L224" s="1999"/>
      <c r="M224" s="1999"/>
      <c r="N224" s="1999"/>
      <c r="O224" s="1999"/>
      <c r="P224" s="1999"/>
      <c r="Q224" s="1999"/>
      <c r="R224" s="1999"/>
      <c r="S224" s="1999"/>
      <c r="T224" s="1999"/>
      <c r="U224" s="1999"/>
      <c r="V224" s="1999"/>
      <c r="W224" s="1999"/>
      <c r="X224" s="1999"/>
      <c r="Y224" s="1999"/>
      <c r="Z224" s="1999"/>
      <c r="AA224" s="1999"/>
      <c r="AB224" s="1999"/>
      <c r="AC224" s="1999"/>
      <c r="AD224" s="1999"/>
      <c r="AE224" s="1999"/>
      <c r="AF224" s="1999"/>
      <c r="AG224" s="1999"/>
      <c r="AH224" s="1999"/>
      <c r="AI224" s="1999"/>
      <c r="AJ224" s="1999"/>
      <c r="AK224" s="1999"/>
      <c r="AL224" s="1999"/>
      <c r="AM224" s="1999"/>
      <c r="AN224" s="1999"/>
      <c r="AO224" s="1999"/>
      <c r="AP224" s="1999"/>
      <c r="AQ224" s="1999"/>
    </row>
    <row r="225" spans="2:43" x14ac:dyDescent="0.2">
      <c r="B225" s="2121"/>
      <c r="C225" s="2108" t="s">
        <v>1167</v>
      </c>
      <c r="D225" s="2097"/>
      <c r="E225" s="2113" t="s">
        <v>1166</v>
      </c>
      <c r="G225" s="2128">
        <f>+G101*(G209+G184)/1000000</f>
        <v>9.092879999999999E-2</v>
      </c>
      <c r="H225" s="2128">
        <f t="shared" ref="H225:AQ225" si="85">+H101*(H209+H184)/1000000</f>
        <v>9.092879999999999E-2</v>
      </c>
      <c r="I225" s="2128">
        <f t="shared" si="85"/>
        <v>9.092879999999999E-2</v>
      </c>
      <c r="J225" s="2128">
        <f t="shared" si="85"/>
        <v>9.092879999999999E-2</v>
      </c>
      <c r="K225" s="2128">
        <f t="shared" si="85"/>
        <v>9.092879999999999E-2</v>
      </c>
      <c r="L225" s="2128">
        <f t="shared" si="85"/>
        <v>9.092879999999999E-2</v>
      </c>
      <c r="M225" s="2128">
        <f t="shared" si="85"/>
        <v>0.1212384</v>
      </c>
      <c r="N225" s="2128">
        <f t="shared" si="85"/>
        <v>0.1212384</v>
      </c>
      <c r="O225" s="2128">
        <f t="shared" si="85"/>
        <v>0.1212384</v>
      </c>
      <c r="P225" s="2128">
        <f t="shared" si="85"/>
        <v>0.1212384</v>
      </c>
      <c r="Q225" s="2128">
        <f t="shared" si="85"/>
        <v>0.1212384</v>
      </c>
      <c r="R225" s="2128">
        <f t="shared" si="85"/>
        <v>0.14245511999999999</v>
      </c>
      <c r="S225" s="2128">
        <f t="shared" si="85"/>
        <v>0.14245511999999999</v>
      </c>
      <c r="T225" s="2128">
        <f t="shared" si="85"/>
        <v>0.14245511999999999</v>
      </c>
      <c r="U225" s="2128">
        <f t="shared" si="85"/>
        <v>0.14245511999999999</v>
      </c>
      <c r="V225" s="2128">
        <f t="shared" si="85"/>
        <v>0.14245511999999999</v>
      </c>
      <c r="W225" s="2128">
        <f t="shared" si="85"/>
        <v>0.14245511999999999</v>
      </c>
      <c r="X225" s="2128">
        <f t="shared" si="85"/>
        <v>0.14245511999999999</v>
      </c>
      <c r="Y225" s="2128">
        <f t="shared" si="85"/>
        <v>0.14245511999999999</v>
      </c>
      <c r="Z225" s="2128">
        <f t="shared" si="85"/>
        <v>0.14245511999999999</v>
      </c>
      <c r="AA225" s="2128">
        <f t="shared" si="85"/>
        <v>0.14245511999999999</v>
      </c>
      <c r="AB225" s="2128">
        <f t="shared" si="85"/>
        <v>0.14245511999999999</v>
      </c>
      <c r="AC225" s="2128">
        <f t="shared" si="85"/>
        <v>0.14245511999999999</v>
      </c>
      <c r="AD225" s="2128">
        <f t="shared" si="85"/>
        <v>0.14245511999999999</v>
      </c>
      <c r="AE225" s="2128">
        <f t="shared" si="85"/>
        <v>0.14245511999999999</v>
      </c>
      <c r="AF225" s="2128">
        <f t="shared" si="85"/>
        <v>0.14245511999999999</v>
      </c>
      <c r="AG225" s="2128">
        <f t="shared" si="85"/>
        <v>0.14245511999999999</v>
      </c>
      <c r="AH225" s="2128">
        <f t="shared" si="85"/>
        <v>0.14245511999999999</v>
      </c>
      <c r="AI225" s="2128">
        <f t="shared" si="85"/>
        <v>0.14245511999999999</v>
      </c>
      <c r="AJ225" s="2128">
        <f t="shared" si="85"/>
        <v>0.14245511999999999</v>
      </c>
      <c r="AK225" s="2128">
        <f t="shared" si="85"/>
        <v>0.14245511999999999</v>
      </c>
      <c r="AL225" s="2128">
        <f t="shared" si="85"/>
        <v>0.14245511999999999</v>
      </c>
      <c r="AM225" s="2128">
        <f t="shared" si="85"/>
        <v>0.14245511999999999</v>
      </c>
      <c r="AN225" s="2128">
        <f t="shared" si="85"/>
        <v>0.14245511999999999</v>
      </c>
      <c r="AO225" s="2128">
        <f t="shared" si="85"/>
        <v>0.14245511999999999</v>
      </c>
      <c r="AP225" s="2128">
        <f t="shared" si="85"/>
        <v>0.14245511999999999</v>
      </c>
      <c r="AQ225" s="2128">
        <f t="shared" si="85"/>
        <v>0.14245511999999999</v>
      </c>
    </row>
    <row r="226" spans="2:43" x14ac:dyDescent="0.2">
      <c r="C226" s="2117"/>
      <c r="E226" s="2109"/>
      <c r="G226" s="2110"/>
      <c r="H226" s="1999"/>
      <c r="I226" s="1999"/>
      <c r="J226" s="1999"/>
      <c r="K226" s="1999"/>
      <c r="L226" s="1999"/>
      <c r="M226" s="1999"/>
      <c r="N226" s="1999"/>
      <c r="O226" s="1999"/>
      <c r="P226" s="1999"/>
      <c r="Q226" s="1999"/>
      <c r="R226" s="1999"/>
      <c r="S226" s="1999"/>
      <c r="T226" s="1999"/>
      <c r="U226" s="1999"/>
      <c r="V226" s="1999"/>
      <c r="W226" s="1999"/>
      <c r="X226" s="1999"/>
      <c r="Y226" s="1999"/>
      <c r="Z226" s="1999"/>
      <c r="AA226" s="1999"/>
      <c r="AB226" s="1999"/>
      <c r="AC226" s="1999"/>
      <c r="AD226" s="1999"/>
      <c r="AE226" s="1999"/>
      <c r="AF226" s="1999"/>
      <c r="AG226" s="1999"/>
      <c r="AH226" s="1999"/>
      <c r="AI226" s="1999"/>
      <c r="AJ226" s="1999"/>
      <c r="AK226" s="1999"/>
      <c r="AL226" s="1999"/>
      <c r="AM226" s="1999"/>
      <c r="AN226" s="1999"/>
      <c r="AO226" s="1999"/>
      <c r="AP226" s="1999"/>
      <c r="AQ226" s="1999"/>
    </row>
    <row r="227" spans="2:43" ht="15.75" x14ac:dyDescent="0.2">
      <c r="B227" s="1989" t="s">
        <v>181</v>
      </c>
      <c r="C227" s="1990"/>
      <c r="D227" s="1991"/>
      <c r="E227" s="1992"/>
      <c r="F227" s="1992"/>
      <c r="G227" s="1992"/>
      <c r="H227" s="1992"/>
      <c r="I227" s="1992"/>
      <c r="J227" s="1992"/>
      <c r="K227" s="1992"/>
      <c r="L227" s="1992"/>
      <c r="M227" s="1992"/>
      <c r="N227" s="1992"/>
      <c r="O227" s="1992"/>
      <c r="P227" s="1992"/>
      <c r="Q227" s="1992"/>
      <c r="R227" s="1992"/>
      <c r="S227" s="1992"/>
      <c r="T227" s="1992"/>
      <c r="U227" s="1992"/>
      <c r="V227" s="1992"/>
      <c r="W227" s="1992"/>
      <c r="X227" s="1992"/>
      <c r="Y227" s="1992"/>
      <c r="Z227" s="1992"/>
      <c r="AA227" s="1992"/>
      <c r="AB227" s="1992"/>
      <c r="AC227" s="1992"/>
      <c r="AD227" s="1992"/>
      <c r="AE227" s="1992"/>
      <c r="AF227" s="1992"/>
      <c r="AG227" s="1992"/>
      <c r="AH227" s="1992"/>
      <c r="AI227" s="1992"/>
      <c r="AJ227" s="1992"/>
      <c r="AK227" s="1992"/>
      <c r="AL227" s="1992"/>
      <c r="AM227" s="1992"/>
      <c r="AN227" s="1992"/>
      <c r="AO227" s="1992"/>
      <c r="AP227" s="1992"/>
      <c r="AQ227" s="1992"/>
    </row>
    <row r="228" spans="2:43" x14ac:dyDescent="0.2">
      <c r="B228" s="1993"/>
      <c r="C228" s="1994"/>
      <c r="D228" s="1994"/>
      <c r="E228" s="1995"/>
      <c r="F228" s="1995"/>
      <c r="G228" s="1995"/>
      <c r="H228" s="1995"/>
      <c r="I228" s="1995"/>
      <c r="J228" s="1995"/>
      <c r="K228" s="1995"/>
      <c r="L228" s="1995"/>
      <c r="M228" s="1995"/>
      <c r="N228" s="1995"/>
      <c r="O228" s="1995"/>
      <c r="P228" s="1995"/>
      <c r="Q228" s="1995"/>
      <c r="R228" s="1995"/>
      <c r="S228" s="1995"/>
      <c r="T228" s="1995"/>
      <c r="U228" s="1995"/>
      <c r="V228" s="1995"/>
      <c r="W228" s="1995"/>
      <c r="X228" s="1995"/>
      <c r="Y228" s="1995"/>
      <c r="Z228" s="1995"/>
      <c r="AA228" s="1995"/>
      <c r="AB228" s="1995"/>
      <c r="AC228" s="1995"/>
      <c r="AD228" s="1995"/>
      <c r="AE228" s="1995"/>
      <c r="AF228" s="1995"/>
      <c r="AG228" s="1995"/>
      <c r="AH228" s="1995"/>
      <c r="AI228" s="1995"/>
      <c r="AJ228" s="1995"/>
      <c r="AK228" s="1995"/>
      <c r="AL228" s="1995"/>
      <c r="AM228" s="1995"/>
      <c r="AN228" s="1995"/>
      <c r="AO228" s="1995"/>
      <c r="AP228" s="1995"/>
      <c r="AQ228" s="1995"/>
    </row>
    <row r="229" spans="2:43" x14ac:dyDescent="0.2">
      <c r="B229" s="1993"/>
      <c r="C229" s="2129" t="s">
        <v>1168</v>
      </c>
      <c r="D229" s="1994"/>
      <c r="E229" s="1995"/>
      <c r="F229" s="1995"/>
      <c r="G229" s="1995"/>
      <c r="H229" s="1995"/>
      <c r="I229" s="1995"/>
      <c r="J229" s="1995"/>
      <c r="K229" s="1995"/>
      <c r="L229" s="1995"/>
      <c r="M229" s="1995"/>
      <c r="N229" s="1995"/>
      <c r="O229" s="1995"/>
      <c r="P229" s="1995"/>
      <c r="Q229" s="1995"/>
      <c r="R229" s="1995"/>
      <c r="S229" s="1995"/>
      <c r="T229" s="1995"/>
      <c r="U229" s="1995"/>
      <c r="V229" s="1995"/>
      <c r="W229" s="1995"/>
      <c r="X229" s="1995"/>
      <c r="Y229" s="1995"/>
      <c r="Z229" s="1995"/>
      <c r="AA229" s="1995"/>
      <c r="AB229" s="1995"/>
      <c r="AC229" s="1995"/>
      <c r="AD229" s="1995"/>
      <c r="AE229" s="1995"/>
      <c r="AF229" s="1995"/>
      <c r="AG229" s="1995"/>
      <c r="AH229" s="1995"/>
      <c r="AI229" s="1995"/>
      <c r="AJ229" s="1995"/>
      <c r="AK229" s="1995"/>
      <c r="AL229" s="1995"/>
      <c r="AM229" s="1995"/>
      <c r="AN229" s="1995"/>
      <c r="AO229" s="1995"/>
      <c r="AP229" s="1995"/>
      <c r="AQ229" s="1995"/>
    </row>
    <row r="230" spans="2:43" x14ac:dyDescent="0.2">
      <c r="B230" s="1993"/>
      <c r="C230" s="2130" t="s">
        <v>242</v>
      </c>
      <c r="D230" s="2131" t="s">
        <v>1029</v>
      </c>
      <c r="E230" s="2131" t="s">
        <v>8</v>
      </c>
      <c r="F230" s="2132"/>
      <c r="G230" s="2131">
        <v>2014</v>
      </c>
      <c r="H230" s="2131">
        <v>2015</v>
      </c>
      <c r="I230" s="2131">
        <v>2016</v>
      </c>
      <c r="J230" s="2131">
        <v>2017</v>
      </c>
      <c r="K230" s="2131">
        <v>2018</v>
      </c>
      <c r="L230" s="2131">
        <v>2019</v>
      </c>
      <c r="M230" s="2131">
        <v>2020</v>
      </c>
      <c r="N230" s="2131">
        <v>2021</v>
      </c>
      <c r="O230" s="2131">
        <v>2022</v>
      </c>
      <c r="P230" s="2131">
        <v>2023</v>
      </c>
      <c r="Q230" s="2131">
        <v>2024</v>
      </c>
      <c r="R230" s="2131">
        <v>2025</v>
      </c>
      <c r="S230" s="2131">
        <v>2026</v>
      </c>
      <c r="T230" s="2131">
        <v>2027</v>
      </c>
      <c r="U230" s="2131">
        <v>2028</v>
      </c>
      <c r="V230" s="2131">
        <v>2029</v>
      </c>
      <c r="W230" s="2131">
        <v>2030</v>
      </c>
      <c r="X230" s="2131">
        <v>2031</v>
      </c>
      <c r="Y230" s="2131">
        <v>2032</v>
      </c>
      <c r="Z230" s="2131">
        <v>2033</v>
      </c>
      <c r="AA230" s="2131">
        <v>2034</v>
      </c>
      <c r="AB230" s="2131">
        <v>2035</v>
      </c>
      <c r="AC230" s="2131">
        <v>2036</v>
      </c>
      <c r="AD230" s="2131">
        <v>2037</v>
      </c>
      <c r="AE230" s="2131">
        <v>2038</v>
      </c>
      <c r="AF230" s="2131">
        <v>2039</v>
      </c>
      <c r="AG230" s="2131">
        <v>2040</v>
      </c>
      <c r="AH230" s="2131">
        <v>2041</v>
      </c>
      <c r="AI230" s="2131">
        <v>2042</v>
      </c>
      <c r="AJ230" s="2131">
        <v>2043</v>
      </c>
      <c r="AK230" s="2131">
        <v>2044</v>
      </c>
      <c r="AL230" s="2131">
        <v>2045</v>
      </c>
      <c r="AM230" s="2131">
        <v>2046</v>
      </c>
      <c r="AN230" s="2131">
        <v>2047</v>
      </c>
      <c r="AO230" s="2131">
        <v>2048</v>
      </c>
      <c r="AP230" s="2131">
        <v>2049</v>
      </c>
      <c r="AQ230" s="2131">
        <v>2050</v>
      </c>
    </row>
    <row r="231" spans="2:43" x14ac:dyDescent="0.2">
      <c r="B231" s="1993"/>
      <c r="C231" s="2133" t="s">
        <v>1169</v>
      </c>
      <c r="D231" s="2134" t="s">
        <v>1170</v>
      </c>
      <c r="E231" s="2135"/>
      <c r="F231" s="2136"/>
      <c r="G231" s="2137">
        <v>0</v>
      </c>
      <c r="H231" s="2137">
        <v>0</v>
      </c>
      <c r="I231" s="2137">
        <v>0</v>
      </c>
      <c r="J231" s="2137">
        <v>0</v>
      </c>
      <c r="K231" s="2137">
        <v>0</v>
      </c>
      <c r="L231" s="2137">
        <v>0</v>
      </c>
      <c r="M231" s="2137">
        <v>0</v>
      </c>
      <c r="N231" s="2137">
        <v>0</v>
      </c>
      <c r="O231" s="2137">
        <v>0</v>
      </c>
      <c r="P231" s="2137">
        <v>0</v>
      </c>
      <c r="Q231" s="2137">
        <v>0</v>
      </c>
      <c r="R231" s="2137">
        <v>0</v>
      </c>
      <c r="S231" s="2137">
        <v>0</v>
      </c>
      <c r="T231" s="2137">
        <v>0</v>
      </c>
      <c r="U231" s="2137">
        <v>0</v>
      </c>
      <c r="V231" s="2137">
        <v>0</v>
      </c>
      <c r="W231" s="2137">
        <v>0</v>
      </c>
      <c r="X231" s="2137">
        <v>0</v>
      </c>
      <c r="Y231" s="2137">
        <v>0</v>
      </c>
      <c r="Z231" s="2137">
        <v>0</v>
      </c>
      <c r="AA231" s="2137">
        <v>0</v>
      </c>
      <c r="AB231" s="2137">
        <v>0</v>
      </c>
      <c r="AC231" s="2137">
        <v>0</v>
      </c>
      <c r="AD231" s="2137">
        <v>0</v>
      </c>
      <c r="AE231" s="2137">
        <v>0</v>
      </c>
      <c r="AF231" s="2137">
        <v>0</v>
      </c>
      <c r="AG231" s="2137">
        <v>0</v>
      </c>
      <c r="AH231" s="2137">
        <v>0</v>
      </c>
      <c r="AI231" s="2137">
        <v>0</v>
      </c>
      <c r="AJ231" s="2137">
        <v>0</v>
      </c>
      <c r="AK231" s="2137">
        <v>0</v>
      </c>
      <c r="AL231" s="2137">
        <v>0</v>
      </c>
      <c r="AM231" s="2137">
        <v>0</v>
      </c>
      <c r="AN231" s="2137">
        <v>0</v>
      </c>
      <c r="AO231" s="2137">
        <v>0</v>
      </c>
      <c r="AP231" s="2137">
        <v>0</v>
      </c>
      <c r="AQ231" s="2137">
        <v>0</v>
      </c>
    </row>
    <row r="232" spans="2:43" x14ac:dyDescent="0.2">
      <c r="B232" s="1993"/>
      <c r="C232" s="2133" t="s">
        <v>1171</v>
      </c>
      <c r="D232" s="2134" t="s">
        <v>1170</v>
      </c>
      <c r="E232" s="2135"/>
      <c r="F232" s="2136"/>
      <c r="G232" s="2137">
        <v>0</v>
      </c>
      <c r="H232" s="2137">
        <v>0</v>
      </c>
      <c r="I232" s="2137">
        <v>0</v>
      </c>
      <c r="J232" s="2137">
        <v>0</v>
      </c>
      <c r="K232" s="2137">
        <v>0</v>
      </c>
      <c r="L232" s="2137">
        <v>0</v>
      </c>
      <c r="M232" s="2137">
        <v>0</v>
      </c>
      <c r="N232" s="2137">
        <v>0</v>
      </c>
      <c r="O232" s="2137">
        <v>0</v>
      </c>
      <c r="P232" s="2137">
        <v>0</v>
      </c>
      <c r="Q232" s="2137">
        <v>0</v>
      </c>
      <c r="R232" s="2137">
        <v>0</v>
      </c>
      <c r="S232" s="2137">
        <v>0</v>
      </c>
      <c r="T232" s="2137">
        <v>0</v>
      </c>
      <c r="U232" s="2137">
        <v>0</v>
      </c>
      <c r="V232" s="2137">
        <v>0</v>
      </c>
      <c r="W232" s="2137">
        <v>0</v>
      </c>
      <c r="X232" s="2137">
        <v>0</v>
      </c>
      <c r="Y232" s="2137">
        <v>0</v>
      </c>
      <c r="Z232" s="2137">
        <v>0</v>
      </c>
      <c r="AA232" s="2137">
        <v>0</v>
      </c>
      <c r="AB232" s="2137">
        <v>0</v>
      </c>
      <c r="AC232" s="2137">
        <v>0</v>
      </c>
      <c r="AD232" s="2137">
        <v>0</v>
      </c>
      <c r="AE232" s="2137">
        <v>0</v>
      </c>
      <c r="AF232" s="2137">
        <v>0</v>
      </c>
      <c r="AG232" s="2137">
        <v>0</v>
      </c>
      <c r="AH232" s="2137">
        <v>0</v>
      </c>
      <c r="AI232" s="2137">
        <v>0</v>
      </c>
      <c r="AJ232" s="2137">
        <v>0</v>
      </c>
      <c r="AK232" s="2137">
        <v>0</v>
      </c>
      <c r="AL232" s="2137">
        <v>0</v>
      </c>
      <c r="AM232" s="2137">
        <v>0</v>
      </c>
      <c r="AN232" s="2137">
        <v>0</v>
      </c>
      <c r="AO232" s="2137">
        <v>0</v>
      </c>
      <c r="AP232" s="2137">
        <v>0</v>
      </c>
      <c r="AQ232" s="2137">
        <v>0</v>
      </c>
    </row>
    <row r="233" spans="2:43" x14ac:dyDescent="0.2">
      <c r="B233" s="1993"/>
      <c r="C233" s="2133" t="s">
        <v>1172</v>
      </c>
      <c r="D233" s="2134" t="s">
        <v>1170</v>
      </c>
      <c r="E233" s="2135"/>
      <c r="F233" s="2136"/>
      <c r="G233" s="2137">
        <v>0</v>
      </c>
      <c r="H233" s="2137">
        <v>0</v>
      </c>
      <c r="I233" s="2137">
        <v>0</v>
      </c>
      <c r="J233" s="2137">
        <v>0</v>
      </c>
      <c r="K233" s="2137">
        <v>0</v>
      </c>
      <c r="L233" s="2137">
        <v>0</v>
      </c>
      <c r="M233" s="2137">
        <v>0</v>
      </c>
      <c r="N233" s="2137">
        <v>0</v>
      </c>
      <c r="O233" s="2137">
        <v>0</v>
      </c>
      <c r="P233" s="2137">
        <v>0</v>
      </c>
      <c r="Q233" s="2137">
        <v>0</v>
      </c>
      <c r="R233" s="2137">
        <v>0</v>
      </c>
      <c r="S233" s="2137">
        <v>0</v>
      </c>
      <c r="T233" s="2137">
        <v>0</v>
      </c>
      <c r="U233" s="2137">
        <v>0</v>
      </c>
      <c r="V233" s="2137">
        <v>0</v>
      </c>
      <c r="W233" s="2137">
        <v>0</v>
      </c>
      <c r="X233" s="2137">
        <v>0</v>
      </c>
      <c r="Y233" s="2137">
        <v>0</v>
      </c>
      <c r="Z233" s="2137">
        <v>0</v>
      </c>
      <c r="AA233" s="2137">
        <v>0</v>
      </c>
      <c r="AB233" s="2137">
        <v>0</v>
      </c>
      <c r="AC233" s="2137">
        <v>0</v>
      </c>
      <c r="AD233" s="2137">
        <v>0</v>
      </c>
      <c r="AE233" s="2137">
        <v>0</v>
      </c>
      <c r="AF233" s="2137">
        <v>0</v>
      </c>
      <c r="AG233" s="2137">
        <v>0</v>
      </c>
      <c r="AH233" s="2137">
        <v>0</v>
      </c>
      <c r="AI233" s="2137">
        <v>0</v>
      </c>
      <c r="AJ233" s="2137">
        <v>0</v>
      </c>
      <c r="AK233" s="2137">
        <v>0</v>
      </c>
      <c r="AL233" s="2137">
        <v>0</v>
      </c>
      <c r="AM233" s="2137">
        <v>0</v>
      </c>
      <c r="AN233" s="2137">
        <v>0</v>
      </c>
      <c r="AO233" s="2137">
        <v>0</v>
      </c>
      <c r="AP233" s="2137">
        <v>0</v>
      </c>
      <c r="AQ233" s="2137">
        <v>0</v>
      </c>
    </row>
    <row r="234" spans="2:43" x14ac:dyDescent="0.2">
      <c r="B234" s="1993"/>
      <c r="C234" s="2133" t="s">
        <v>494</v>
      </c>
      <c r="D234" s="2134" t="s">
        <v>1170</v>
      </c>
      <c r="E234" s="2135"/>
      <c r="F234" s="2136"/>
      <c r="G234" s="2137">
        <v>0</v>
      </c>
      <c r="H234" s="2137">
        <v>0</v>
      </c>
      <c r="I234" s="2137">
        <v>0</v>
      </c>
      <c r="J234" s="2137">
        <v>0</v>
      </c>
      <c r="K234" s="2137">
        <v>0</v>
      </c>
      <c r="L234" s="2137">
        <v>0</v>
      </c>
      <c r="M234" s="2137">
        <v>0</v>
      </c>
      <c r="N234" s="2137">
        <v>0</v>
      </c>
      <c r="O234" s="2137">
        <v>0</v>
      </c>
      <c r="P234" s="2137">
        <v>0</v>
      </c>
      <c r="Q234" s="2137">
        <v>0</v>
      </c>
      <c r="R234" s="2137">
        <v>0</v>
      </c>
      <c r="S234" s="2137">
        <v>0</v>
      </c>
      <c r="T234" s="2137">
        <v>0</v>
      </c>
      <c r="U234" s="2137">
        <v>0</v>
      </c>
      <c r="V234" s="2137">
        <v>0</v>
      </c>
      <c r="W234" s="2137">
        <v>0</v>
      </c>
      <c r="X234" s="2137">
        <v>0</v>
      </c>
      <c r="Y234" s="2137">
        <v>0</v>
      </c>
      <c r="Z234" s="2137">
        <v>0</v>
      </c>
      <c r="AA234" s="2137">
        <v>0</v>
      </c>
      <c r="AB234" s="2137">
        <v>0</v>
      </c>
      <c r="AC234" s="2137">
        <v>0</v>
      </c>
      <c r="AD234" s="2137">
        <v>0</v>
      </c>
      <c r="AE234" s="2137">
        <v>0</v>
      </c>
      <c r="AF234" s="2137">
        <v>0</v>
      </c>
      <c r="AG234" s="2137">
        <v>0</v>
      </c>
      <c r="AH234" s="2137">
        <v>0</v>
      </c>
      <c r="AI234" s="2137">
        <v>0</v>
      </c>
      <c r="AJ234" s="2137">
        <v>0</v>
      </c>
      <c r="AK234" s="2137">
        <v>0</v>
      </c>
      <c r="AL234" s="2137">
        <v>0</v>
      </c>
      <c r="AM234" s="2137">
        <v>0</v>
      </c>
      <c r="AN234" s="2137">
        <v>0</v>
      </c>
      <c r="AO234" s="2137">
        <v>0</v>
      </c>
      <c r="AP234" s="2137">
        <v>0</v>
      </c>
      <c r="AQ234" s="2137">
        <v>0</v>
      </c>
    </row>
    <row r="235" spans="2:43" x14ac:dyDescent="0.2">
      <c r="B235" s="1993"/>
      <c r="C235" s="2133" t="s">
        <v>495</v>
      </c>
      <c r="D235" s="2134" t="s">
        <v>1170</v>
      </c>
      <c r="E235" s="2135"/>
      <c r="F235" s="2136"/>
      <c r="G235" s="2137">
        <v>0</v>
      </c>
      <c r="H235" s="2137">
        <v>0</v>
      </c>
      <c r="I235" s="2137">
        <v>0</v>
      </c>
      <c r="J235" s="2137">
        <v>0</v>
      </c>
      <c r="K235" s="2137">
        <v>0</v>
      </c>
      <c r="L235" s="2137">
        <v>0</v>
      </c>
      <c r="M235" s="2137">
        <v>0</v>
      </c>
      <c r="N235" s="2137">
        <v>0</v>
      </c>
      <c r="O235" s="2137">
        <v>0</v>
      </c>
      <c r="P235" s="2137">
        <v>0</v>
      </c>
      <c r="Q235" s="2137">
        <v>0</v>
      </c>
      <c r="R235" s="2137">
        <v>0</v>
      </c>
      <c r="S235" s="2137">
        <v>0</v>
      </c>
      <c r="T235" s="2137">
        <v>0</v>
      </c>
      <c r="U235" s="2137">
        <v>0</v>
      </c>
      <c r="V235" s="2137">
        <v>0</v>
      </c>
      <c r="W235" s="2137">
        <v>0</v>
      </c>
      <c r="X235" s="2137">
        <v>0</v>
      </c>
      <c r="Y235" s="2137">
        <v>0</v>
      </c>
      <c r="Z235" s="2137">
        <v>0</v>
      </c>
      <c r="AA235" s="2137">
        <v>0</v>
      </c>
      <c r="AB235" s="2137">
        <v>0</v>
      </c>
      <c r="AC235" s="2137">
        <v>0</v>
      </c>
      <c r="AD235" s="2137">
        <v>0</v>
      </c>
      <c r="AE235" s="2137">
        <v>0</v>
      </c>
      <c r="AF235" s="2137">
        <v>0</v>
      </c>
      <c r="AG235" s="2137">
        <v>0</v>
      </c>
      <c r="AH235" s="2137">
        <v>0</v>
      </c>
      <c r="AI235" s="2137">
        <v>0</v>
      </c>
      <c r="AJ235" s="2137">
        <v>0</v>
      </c>
      <c r="AK235" s="2137">
        <v>0</v>
      </c>
      <c r="AL235" s="2137">
        <v>0</v>
      </c>
      <c r="AM235" s="2137">
        <v>0</v>
      </c>
      <c r="AN235" s="2137">
        <v>0</v>
      </c>
      <c r="AO235" s="2137">
        <v>0</v>
      </c>
      <c r="AP235" s="2137">
        <v>0</v>
      </c>
      <c r="AQ235" s="2137">
        <v>0</v>
      </c>
    </row>
    <row r="236" spans="2:43" x14ac:dyDescent="0.2">
      <c r="B236" s="1993"/>
      <c r="C236" s="2133" t="s">
        <v>1173</v>
      </c>
      <c r="D236" s="2134" t="s">
        <v>1170</v>
      </c>
      <c r="E236" s="2135"/>
      <c r="F236" s="2136"/>
      <c r="G236" s="2137">
        <v>0</v>
      </c>
      <c r="H236" s="2137">
        <v>0</v>
      </c>
      <c r="I236" s="2137">
        <v>0</v>
      </c>
      <c r="J236" s="2137">
        <v>0</v>
      </c>
      <c r="K236" s="2137">
        <v>0</v>
      </c>
      <c r="L236" s="2137">
        <v>0</v>
      </c>
      <c r="M236" s="2137">
        <v>0</v>
      </c>
      <c r="N236" s="2137">
        <v>0</v>
      </c>
      <c r="O236" s="2137">
        <v>0</v>
      </c>
      <c r="P236" s="2137">
        <v>0</v>
      </c>
      <c r="Q236" s="2137">
        <v>0</v>
      </c>
      <c r="R236" s="2137">
        <v>0</v>
      </c>
      <c r="S236" s="2137">
        <v>0</v>
      </c>
      <c r="T236" s="2137">
        <v>0</v>
      </c>
      <c r="U236" s="2137">
        <v>0</v>
      </c>
      <c r="V236" s="2137">
        <v>0</v>
      </c>
      <c r="W236" s="2137">
        <v>0</v>
      </c>
      <c r="X236" s="2137">
        <v>0</v>
      </c>
      <c r="Y236" s="2137">
        <v>0</v>
      </c>
      <c r="Z236" s="2137">
        <v>0</v>
      </c>
      <c r="AA236" s="2137">
        <v>0</v>
      </c>
      <c r="AB236" s="2137">
        <v>0</v>
      </c>
      <c r="AC236" s="2137">
        <v>0</v>
      </c>
      <c r="AD236" s="2137">
        <v>0</v>
      </c>
      <c r="AE236" s="2137">
        <v>0</v>
      </c>
      <c r="AF236" s="2137">
        <v>0</v>
      </c>
      <c r="AG236" s="2137">
        <v>0</v>
      </c>
      <c r="AH236" s="2137">
        <v>0</v>
      </c>
      <c r="AI236" s="2137">
        <v>0</v>
      </c>
      <c r="AJ236" s="2137">
        <v>0</v>
      </c>
      <c r="AK236" s="2137">
        <v>0</v>
      </c>
      <c r="AL236" s="2137">
        <v>0</v>
      </c>
      <c r="AM236" s="2137">
        <v>0</v>
      </c>
      <c r="AN236" s="2137">
        <v>0</v>
      </c>
      <c r="AO236" s="2137">
        <v>0</v>
      </c>
      <c r="AP236" s="2137">
        <v>0</v>
      </c>
      <c r="AQ236" s="2137">
        <v>0</v>
      </c>
    </row>
    <row r="237" spans="2:43" x14ac:dyDescent="0.2">
      <c r="B237" s="1993"/>
      <c r="C237" s="2133" t="s">
        <v>1174</v>
      </c>
      <c r="D237" s="2134" t="s">
        <v>1170</v>
      </c>
      <c r="E237" s="2135"/>
      <c r="F237" s="2136"/>
      <c r="G237" s="2137">
        <v>0</v>
      </c>
      <c r="H237" s="2137">
        <v>0</v>
      </c>
      <c r="I237" s="2137">
        <v>0</v>
      </c>
      <c r="J237" s="2137">
        <v>0</v>
      </c>
      <c r="K237" s="2137">
        <v>0</v>
      </c>
      <c r="L237" s="2137">
        <v>0</v>
      </c>
      <c r="M237" s="2137">
        <v>0</v>
      </c>
      <c r="N237" s="2137">
        <v>0</v>
      </c>
      <c r="O237" s="2137">
        <v>0</v>
      </c>
      <c r="P237" s="2137">
        <v>0</v>
      </c>
      <c r="Q237" s="2137">
        <v>0</v>
      </c>
      <c r="R237" s="2137">
        <v>0</v>
      </c>
      <c r="S237" s="2137">
        <v>0</v>
      </c>
      <c r="T237" s="2137">
        <v>0</v>
      </c>
      <c r="U237" s="2137">
        <v>0</v>
      </c>
      <c r="V237" s="2137">
        <v>0</v>
      </c>
      <c r="W237" s="2137">
        <v>0</v>
      </c>
      <c r="X237" s="2137">
        <v>0</v>
      </c>
      <c r="Y237" s="2137">
        <v>0</v>
      </c>
      <c r="Z237" s="2137">
        <v>0</v>
      </c>
      <c r="AA237" s="2137">
        <v>0</v>
      </c>
      <c r="AB237" s="2137">
        <v>0</v>
      </c>
      <c r="AC237" s="2137">
        <v>0</v>
      </c>
      <c r="AD237" s="2137">
        <v>0</v>
      </c>
      <c r="AE237" s="2137">
        <v>0</v>
      </c>
      <c r="AF237" s="2137">
        <v>0</v>
      </c>
      <c r="AG237" s="2137">
        <v>0</v>
      </c>
      <c r="AH237" s="2137">
        <v>0</v>
      </c>
      <c r="AI237" s="2137">
        <v>0</v>
      </c>
      <c r="AJ237" s="2137">
        <v>0</v>
      </c>
      <c r="AK237" s="2137">
        <v>0</v>
      </c>
      <c r="AL237" s="2137">
        <v>0</v>
      </c>
      <c r="AM237" s="2137">
        <v>0</v>
      </c>
      <c r="AN237" s="2137">
        <v>0</v>
      </c>
      <c r="AO237" s="2137">
        <v>0</v>
      </c>
      <c r="AP237" s="2137">
        <v>0</v>
      </c>
      <c r="AQ237" s="2137">
        <v>0</v>
      </c>
    </row>
    <row r="238" spans="2:43" x14ac:dyDescent="0.2">
      <c r="B238" s="1993"/>
      <c r="C238" s="2133" t="s">
        <v>1175</v>
      </c>
      <c r="D238" s="2134" t="s">
        <v>1170</v>
      </c>
      <c r="E238" s="2135"/>
      <c r="F238" s="2136"/>
      <c r="G238" s="2137">
        <v>0</v>
      </c>
      <c r="H238" s="2137">
        <v>0</v>
      </c>
      <c r="I238" s="2137">
        <v>0</v>
      </c>
      <c r="J238" s="2137">
        <v>0</v>
      </c>
      <c r="K238" s="2137">
        <v>0</v>
      </c>
      <c r="L238" s="2137">
        <v>0</v>
      </c>
      <c r="M238" s="2137">
        <v>0</v>
      </c>
      <c r="N238" s="2137">
        <v>0</v>
      </c>
      <c r="O238" s="2137">
        <v>0</v>
      </c>
      <c r="P238" s="2137">
        <v>0</v>
      </c>
      <c r="Q238" s="2137">
        <v>0</v>
      </c>
      <c r="R238" s="2137">
        <v>0</v>
      </c>
      <c r="S238" s="2137">
        <v>0</v>
      </c>
      <c r="T238" s="2137">
        <v>0</v>
      </c>
      <c r="U238" s="2137">
        <v>0</v>
      </c>
      <c r="V238" s="2137">
        <v>0</v>
      </c>
      <c r="W238" s="2137">
        <v>0</v>
      </c>
      <c r="X238" s="2137">
        <v>0</v>
      </c>
      <c r="Y238" s="2137">
        <v>0</v>
      </c>
      <c r="Z238" s="2137">
        <v>0</v>
      </c>
      <c r="AA238" s="2137">
        <v>0</v>
      </c>
      <c r="AB238" s="2137">
        <v>0</v>
      </c>
      <c r="AC238" s="2137">
        <v>0</v>
      </c>
      <c r="AD238" s="2137">
        <v>0</v>
      </c>
      <c r="AE238" s="2137">
        <v>0</v>
      </c>
      <c r="AF238" s="2137">
        <v>0</v>
      </c>
      <c r="AG238" s="2137">
        <v>0</v>
      </c>
      <c r="AH238" s="2137">
        <v>0</v>
      </c>
      <c r="AI238" s="2137">
        <v>0</v>
      </c>
      <c r="AJ238" s="2137">
        <v>0</v>
      </c>
      <c r="AK238" s="2137">
        <v>0</v>
      </c>
      <c r="AL238" s="2137">
        <v>0</v>
      </c>
      <c r="AM238" s="2137">
        <v>0</v>
      </c>
      <c r="AN238" s="2137">
        <v>0</v>
      </c>
      <c r="AO238" s="2137">
        <v>0</v>
      </c>
      <c r="AP238" s="2137">
        <v>0</v>
      </c>
      <c r="AQ238" s="2137">
        <v>0</v>
      </c>
    </row>
    <row r="239" spans="2:43" x14ac:dyDescent="0.2">
      <c r="B239" s="1993"/>
      <c r="C239" s="2133" t="s">
        <v>1176</v>
      </c>
      <c r="D239" s="2134" t="s">
        <v>1170</v>
      </c>
      <c r="E239" s="2135"/>
      <c r="F239" s="2136"/>
      <c r="G239" s="2137">
        <v>0</v>
      </c>
      <c r="H239" s="2137">
        <v>0</v>
      </c>
      <c r="I239" s="2137">
        <v>0</v>
      </c>
      <c r="J239" s="2137">
        <v>0</v>
      </c>
      <c r="K239" s="2137">
        <v>0</v>
      </c>
      <c r="L239" s="2137">
        <v>0</v>
      </c>
      <c r="M239" s="2137">
        <v>0</v>
      </c>
      <c r="N239" s="2137">
        <v>0</v>
      </c>
      <c r="O239" s="2137">
        <v>0</v>
      </c>
      <c r="P239" s="2137">
        <v>0</v>
      </c>
      <c r="Q239" s="2137">
        <v>0</v>
      </c>
      <c r="R239" s="2137">
        <v>0</v>
      </c>
      <c r="S239" s="2137">
        <v>0</v>
      </c>
      <c r="T239" s="2137">
        <v>0</v>
      </c>
      <c r="U239" s="2137">
        <v>0</v>
      </c>
      <c r="V239" s="2137">
        <v>0</v>
      </c>
      <c r="W239" s="2137">
        <v>0</v>
      </c>
      <c r="X239" s="2137">
        <v>0</v>
      </c>
      <c r="Y239" s="2137">
        <v>0</v>
      </c>
      <c r="Z239" s="2137">
        <v>0</v>
      </c>
      <c r="AA239" s="2137">
        <v>0</v>
      </c>
      <c r="AB239" s="2137">
        <v>0</v>
      </c>
      <c r="AC239" s="2137">
        <v>0</v>
      </c>
      <c r="AD239" s="2137">
        <v>0</v>
      </c>
      <c r="AE239" s="2137">
        <v>0</v>
      </c>
      <c r="AF239" s="2137">
        <v>0</v>
      </c>
      <c r="AG239" s="2137">
        <v>0</v>
      </c>
      <c r="AH239" s="2137">
        <v>0</v>
      </c>
      <c r="AI239" s="2137">
        <v>0</v>
      </c>
      <c r="AJ239" s="2137">
        <v>0</v>
      </c>
      <c r="AK239" s="2137">
        <v>0</v>
      </c>
      <c r="AL239" s="2137">
        <v>0</v>
      </c>
      <c r="AM239" s="2137">
        <v>0</v>
      </c>
      <c r="AN239" s="2137">
        <v>0</v>
      </c>
      <c r="AO239" s="2137">
        <v>0</v>
      </c>
      <c r="AP239" s="2137">
        <v>0</v>
      </c>
      <c r="AQ239" s="2137">
        <v>0</v>
      </c>
    </row>
    <row r="240" spans="2:43" x14ac:dyDescent="0.2">
      <c r="B240" s="1993"/>
      <c r="C240" s="2133" t="s">
        <v>1177</v>
      </c>
      <c r="D240" s="2134" t="s">
        <v>1170</v>
      </c>
      <c r="E240" s="2135"/>
      <c r="F240" s="2136"/>
      <c r="G240" s="2137">
        <v>0</v>
      </c>
      <c r="H240" s="2137">
        <v>0</v>
      </c>
      <c r="I240" s="2137">
        <v>0</v>
      </c>
      <c r="J240" s="2137">
        <v>0</v>
      </c>
      <c r="K240" s="2137">
        <v>0</v>
      </c>
      <c r="L240" s="2137">
        <v>0</v>
      </c>
      <c r="M240" s="2137">
        <v>0</v>
      </c>
      <c r="N240" s="2137">
        <v>0</v>
      </c>
      <c r="O240" s="2137">
        <v>0</v>
      </c>
      <c r="P240" s="2137">
        <v>0</v>
      </c>
      <c r="Q240" s="2137">
        <v>0</v>
      </c>
      <c r="R240" s="2137">
        <v>0</v>
      </c>
      <c r="S240" s="2137">
        <v>0</v>
      </c>
      <c r="T240" s="2137">
        <v>0</v>
      </c>
      <c r="U240" s="2137">
        <v>0</v>
      </c>
      <c r="V240" s="2137">
        <v>0</v>
      </c>
      <c r="W240" s="2137">
        <v>0</v>
      </c>
      <c r="X240" s="2137">
        <v>0</v>
      </c>
      <c r="Y240" s="2137">
        <v>0</v>
      </c>
      <c r="Z240" s="2137">
        <v>0</v>
      </c>
      <c r="AA240" s="2137">
        <v>0</v>
      </c>
      <c r="AB240" s="2137">
        <v>0</v>
      </c>
      <c r="AC240" s="2137">
        <v>0</v>
      </c>
      <c r="AD240" s="2137">
        <v>0</v>
      </c>
      <c r="AE240" s="2137">
        <v>0</v>
      </c>
      <c r="AF240" s="2137">
        <v>0</v>
      </c>
      <c r="AG240" s="2137">
        <v>0</v>
      </c>
      <c r="AH240" s="2137">
        <v>0</v>
      </c>
      <c r="AI240" s="2137">
        <v>0</v>
      </c>
      <c r="AJ240" s="2137">
        <v>0</v>
      </c>
      <c r="AK240" s="2137">
        <v>0</v>
      </c>
      <c r="AL240" s="2137">
        <v>0</v>
      </c>
      <c r="AM240" s="2137">
        <v>0</v>
      </c>
      <c r="AN240" s="2137">
        <v>0</v>
      </c>
      <c r="AO240" s="2137">
        <v>0</v>
      </c>
      <c r="AP240" s="2137">
        <v>0</v>
      </c>
      <c r="AQ240" s="2137">
        <v>0</v>
      </c>
    </row>
    <row r="241" spans="2:43" x14ac:dyDescent="0.2">
      <c r="B241" s="1993"/>
      <c r="C241" s="2133" t="s">
        <v>1178</v>
      </c>
      <c r="D241" s="2134" t="s">
        <v>1170</v>
      </c>
      <c r="E241" s="2135"/>
      <c r="F241" s="2136"/>
      <c r="G241" s="2137">
        <v>0</v>
      </c>
      <c r="H241" s="2137">
        <v>0</v>
      </c>
      <c r="I241" s="2137">
        <v>0</v>
      </c>
      <c r="J241" s="2137">
        <v>0</v>
      </c>
      <c r="K241" s="2137">
        <v>0</v>
      </c>
      <c r="L241" s="2137">
        <v>0</v>
      </c>
      <c r="M241" s="2137">
        <v>0</v>
      </c>
      <c r="N241" s="2137">
        <v>0</v>
      </c>
      <c r="O241" s="2137">
        <v>0</v>
      </c>
      <c r="P241" s="2137">
        <v>0</v>
      </c>
      <c r="Q241" s="2137">
        <v>0</v>
      </c>
      <c r="R241" s="2137">
        <v>0</v>
      </c>
      <c r="S241" s="2137">
        <v>0</v>
      </c>
      <c r="T241" s="2137">
        <v>0</v>
      </c>
      <c r="U241" s="2137">
        <v>0</v>
      </c>
      <c r="V241" s="2137">
        <v>0</v>
      </c>
      <c r="W241" s="2137">
        <v>0</v>
      </c>
      <c r="X241" s="2137">
        <v>0</v>
      </c>
      <c r="Y241" s="2137">
        <v>0</v>
      </c>
      <c r="Z241" s="2137">
        <v>0</v>
      </c>
      <c r="AA241" s="2137">
        <v>0</v>
      </c>
      <c r="AB241" s="2137">
        <v>0</v>
      </c>
      <c r="AC241" s="2137">
        <v>0</v>
      </c>
      <c r="AD241" s="2137">
        <v>0</v>
      </c>
      <c r="AE241" s="2137">
        <v>0</v>
      </c>
      <c r="AF241" s="2137">
        <v>0</v>
      </c>
      <c r="AG241" s="2137">
        <v>0</v>
      </c>
      <c r="AH241" s="2137">
        <v>0</v>
      </c>
      <c r="AI241" s="2137">
        <v>0</v>
      </c>
      <c r="AJ241" s="2137">
        <v>0</v>
      </c>
      <c r="AK241" s="2137">
        <v>0</v>
      </c>
      <c r="AL241" s="2137">
        <v>0</v>
      </c>
      <c r="AM241" s="2137">
        <v>0</v>
      </c>
      <c r="AN241" s="2137">
        <v>0</v>
      </c>
      <c r="AO241" s="2137">
        <v>0</v>
      </c>
      <c r="AP241" s="2137">
        <v>0</v>
      </c>
      <c r="AQ241" s="2137">
        <v>0</v>
      </c>
    </row>
    <row r="242" spans="2:43" x14ac:dyDescent="0.2">
      <c r="B242" s="1993"/>
      <c r="C242" s="2133" t="s">
        <v>1179</v>
      </c>
      <c r="D242" s="2134" t="s">
        <v>1170</v>
      </c>
      <c r="E242" s="2135"/>
      <c r="F242" s="2136"/>
      <c r="G242" s="2137">
        <v>0</v>
      </c>
      <c r="H242" s="2137">
        <v>0</v>
      </c>
      <c r="I242" s="2137">
        <v>0</v>
      </c>
      <c r="J242" s="2137">
        <v>0</v>
      </c>
      <c r="K242" s="2137">
        <v>0</v>
      </c>
      <c r="L242" s="2137">
        <v>0</v>
      </c>
      <c r="M242" s="2137">
        <v>0</v>
      </c>
      <c r="N242" s="2137">
        <v>0</v>
      </c>
      <c r="O242" s="2137">
        <v>0</v>
      </c>
      <c r="P242" s="2137">
        <v>0</v>
      </c>
      <c r="Q242" s="2137">
        <v>0</v>
      </c>
      <c r="R242" s="2137">
        <v>0</v>
      </c>
      <c r="S242" s="2137">
        <v>0</v>
      </c>
      <c r="T242" s="2137">
        <v>0</v>
      </c>
      <c r="U242" s="2137">
        <v>0</v>
      </c>
      <c r="V242" s="2137">
        <v>0</v>
      </c>
      <c r="W242" s="2137">
        <v>0</v>
      </c>
      <c r="X242" s="2137">
        <v>0</v>
      </c>
      <c r="Y242" s="2137">
        <v>0</v>
      </c>
      <c r="Z242" s="2137">
        <v>0</v>
      </c>
      <c r="AA242" s="2137">
        <v>0</v>
      </c>
      <c r="AB242" s="2137">
        <v>0</v>
      </c>
      <c r="AC242" s="2137">
        <v>0</v>
      </c>
      <c r="AD242" s="2137">
        <v>0</v>
      </c>
      <c r="AE242" s="2137">
        <v>0</v>
      </c>
      <c r="AF242" s="2137">
        <v>0</v>
      </c>
      <c r="AG242" s="2137">
        <v>0</v>
      </c>
      <c r="AH242" s="2137">
        <v>0</v>
      </c>
      <c r="AI242" s="2137">
        <v>0</v>
      </c>
      <c r="AJ242" s="2137">
        <v>0</v>
      </c>
      <c r="AK242" s="2137">
        <v>0</v>
      </c>
      <c r="AL242" s="2137">
        <v>0</v>
      </c>
      <c r="AM242" s="2137">
        <v>0</v>
      </c>
      <c r="AN242" s="2137">
        <v>0</v>
      </c>
      <c r="AO242" s="2137">
        <v>0</v>
      </c>
      <c r="AP242" s="2137">
        <v>0</v>
      </c>
      <c r="AQ242" s="2137">
        <v>0</v>
      </c>
    </row>
    <row r="243" spans="2:43" x14ac:dyDescent="0.2">
      <c r="B243" s="1993"/>
      <c r="C243" s="2133" t="s">
        <v>387</v>
      </c>
      <c r="D243" s="2134" t="s">
        <v>1170</v>
      </c>
      <c r="E243" s="2135"/>
      <c r="F243" s="2136"/>
      <c r="G243" s="2137">
        <v>0</v>
      </c>
      <c r="H243" s="2137">
        <v>0</v>
      </c>
      <c r="I243" s="2137">
        <v>0</v>
      </c>
      <c r="J243" s="2137">
        <v>0</v>
      </c>
      <c r="K243" s="2137">
        <v>0</v>
      </c>
      <c r="L243" s="2137">
        <v>0</v>
      </c>
      <c r="M243" s="2137">
        <v>0</v>
      </c>
      <c r="N243" s="2137">
        <v>0</v>
      </c>
      <c r="O243" s="2137">
        <v>0</v>
      </c>
      <c r="P243" s="2137">
        <v>0</v>
      </c>
      <c r="Q243" s="2137">
        <v>0</v>
      </c>
      <c r="R243" s="2137">
        <v>0</v>
      </c>
      <c r="S243" s="2137">
        <v>0</v>
      </c>
      <c r="T243" s="2137">
        <v>0</v>
      </c>
      <c r="U243" s="2137">
        <v>0</v>
      </c>
      <c r="V243" s="2137">
        <v>0</v>
      </c>
      <c r="W243" s="2137">
        <v>0</v>
      </c>
      <c r="X243" s="2137">
        <v>0</v>
      </c>
      <c r="Y243" s="2137">
        <v>0</v>
      </c>
      <c r="Z243" s="2137">
        <v>0</v>
      </c>
      <c r="AA243" s="2137">
        <v>0</v>
      </c>
      <c r="AB243" s="2137">
        <v>0</v>
      </c>
      <c r="AC243" s="2137">
        <v>0</v>
      </c>
      <c r="AD243" s="2137">
        <v>0</v>
      </c>
      <c r="AE243" s="2137">
        <v>0</v>
      </c>
      <c r="AF243" s="2137">
        <v>0</v>
      </c>
      <c r="AG243" s="2137">
        <v>0</v>
      </c>
      <c r="AH243" s="2137">
        <v>0</v>
      </c>
      <c r="AI243" s="2137">
        <v>0</v>
      </c>
      <c r="AJ243" s="2137">
        <v>0</v>
      </c>
      <c r="AK243" s="2137">
        <v>0</v>
      </c>
      <c r="AL243" s="2137">
        <v>0</v>
      </c>
      <c r="AM243" s="2137">
        <v>0</v>
      </c>
      <c r="AN243" s="2137">
        <v>0</v>
      </c>
      <c r="AO243" s="2137">
        <v>0</v>
      </c>
      <c r="AP243" s="2137">
        <v>0</v>
      </c>
      <c r="AQ243" s="2137">
        <v>0</v>
      </c>
    </row>
    <row r="244" spans="2:43" x14ac:dyDescent="0.2">
      <c r="B244" s="1993"/>
      <c r="C244" s="2133" t="s">
        <v>1180</v>
      </c>
      <c r="D244" s="2134" t="s">
        <v>1170</v>
      </c>
      <c r="E244" s="2135"/>
      <c r="F244" s="2136"/>
      <c r="G244" s="2137">
        <v>0</v>
      </c>
      <c r="H244" s="2137">
        <v>0</v>
      </c>
      <c r="I244" s="2137">
        <v>0</v>
      </c>
      <c r="J244" s="2137">
        <v>0</v>
      </c>
      <c r="K244" s="2137">
        <v>0</v>
      </c>
      <c r="L244" s="2137">
        <v>0</v>
      </c>
      <c r="M244" s="2137">
        <v>0</v>
      </c>
      <c r="N244" s="2137">
        <v>0</v>
      </c>
      <c r="O244" s="2137">
        <v>0</v>
      </c>
      <c r="P244" s="2137">
        <v>0</v>
      </c>
      <c r="Q244" s="2137">
        <v>0</v>
      </c>
      <c r="R244" s="2137">
        <v>0</v>
      </c>
      <c r="S244" s="2137">
        <v>0</v>
      </c>
      <c r="T244" s="2137">
        <v>0</v>
      </c>
      <c r="U244" s="2137">
        <v>0</v>
      </c>
      <c r="V244" s="2137">
        <v>0</v>
      </c>
      <c r="W244" s="2137">
        <v>0</v>
      </c>
      <c r="X244" s="2137">
        <v>0</v>
      </c>
      <c r="Y244" s="2137">
        <v>0</v>
      </c>
      <c r="Z244" s="2137">
        <v>0</v>
      </c>
      <c r="AA244" s="2137">
        <v>0</v>
      </c>
      <c r="AB244" s="2137">
        <v>0</v>
      </c>
      <c r="AC244" s="2137">
        <v>0</v>
      </c>
      <c r="AD244" s="2137">
        <v>0</v>
      </c>
      <c r="AE244" s="2137">
        <v>0</v>
      </c>
      <c r="AF244" s="2137">
        <v>0</v>
      </c>
      <c r="AG244" s="2137">
        <v>0</v>
      </c>
      <c r="AH244" s="2137">
        <v>0</v>
      </c>
      <c r="AI244" s="2137">
        <v>0</v>
      </c>
      <c r="AJ244" s="2137">
        <v>0</v>
      </c>
      <c r="AK244" s="2137">
        <v>0</v>
      </c>
      <c r="AL244" s="2137">
        <v>0</v>
      </c>
      <c r="AM244" s="2137">
        <v>0</v>
      </c>
      <c r="AN244" s="2137">
        <v>0</v>
      </c>
      <c r="AO244" s="2137">
        <v>0</v>
      </c>
      <c r="AP244" s="2137">
        <v>0</v>
      </c>
      <c r="AQ244" s="2137">
        <v>0</v>
      </c>
    </row>
    <row r="245" spans="2:43" x14ac:dyDescent="0.2">
      <c r="B245" s="1993"/>
      <c r="C245" s="2133" t="s">
        <v>1181</v>
      </c>
      <c r="D245" s="2134" t="s">
        <v>1170</v>
      </c>
      <c r="E245" s="2135"/>
      <c r="F245" s="2136"/>
      <c r="G245" s="2137">
        <v>0</v>
      </c>
      <c r="H245" s="2137">
        <v>0</v>
      </c>
      <c r="I245" s="2137">
        <v>0</v>
      </c>
      <c r="J245" s="2137">
        <v>0</v>
      </c>
      <c r="K245" s="2137">
        <v>0</v>
      </c>
      <c r="L245" s="2137">
        <v>0</v>
      </c>
      <c r="M245" s="2137">
        <v>0</v>
      </c>
      <c r="N245" s="2137">
        <v>0</v>
      </c>
      <c r="O245" s="2137">
        <v>0</v>
      </c>
      <c r="P245" s="2137">
        <v>0</v>
      </c>
      <c r="Q245" s="2137">
        <v>0</v>
      </c>
      <c r="R245" s="2137">
        <v>0</v>
      </c>
      <c r="S245" s="2137">
        <v>0</v>
      </c>
      <c r="T245" s="2137">
        <v>0</v>
      </c>
      <c r="U245" s="2137">
        <v>0</v>
      </c>
      <c r="V245" s="2137">
        <v>0</v>
      </c>
      <c r="W245" s="2137">
        <v>0</v>
      </c>
      <c r="X245" s="2137">
        <v>0</v>
      </c>
      <c r="Y245" s="2137">
        <v>0</v>
      </c>
      <c r="Z245" s="2137">
        <v>0</v>
      </c>
      <c r="AA245" s="2137">
        <v>0</v>
      </c>
      <c r="AB245" s="2137">
        <v>0</v>
      </c>
      <c r="AC245" s="2137">
        <v>0</v>
      </c>
      <c r="AD245" s="2137">
        <v>0</v>
      </c>
      <c r="AE245" s="2137">
        <v>0</v>
      </c>
      <c r="AF245" s="2137">
        <v>0</v>
      </c>
      <c r="AG245" s="2137">
        <v>0</v>
      </c>
      <c r="AH245" s="2137">
        <v>0</v>
      </c>
      <c r="AI245" s="2137">
        <v>0</v>
      </c>
      <c r="AJ245" s="2137">
        <v>0</v>
      </c>
      <c r="AK245" s="2137">
        <v>0</v>
      </c>
      <c r="AL245" s="2137">
        <v>0</v>
      </c>
      <c r="AM245" s="2137">
        <v>0</v>
      </c>
      <c r="AN245" s="2137">
        <v>0</v>
      </c>
      <c r="AO245" s="2137">
        <v>0</v>
      </c>
      <c r="AP245" s="2137">
        <v>0</v>
      </c>
      <c r="AQ245" s="2137">
        <v>0</v>
      </c>
    </row>
    <row r="246" spans="2:43" x14ac:dyDescent="0.2">
      <c r="B246" s="1993"/>
      <c r="C246" s="2133" t="s">
        <v>499</v>
      </c>
      <c r="D246" s="2134" t="s">
        <v>1170</v>
      </c>
      <c r="E246" s="2135"/>
      <c r="F246" s="2136"/>
      <c r="G246" s="2137">
        <v>0</v>
      </c>
      <c r="H246" s="2137">
        <v>0</v>
      </c>
      <c r="I246" s="2137">
        <v>0</v>
      </c>
      <c r="J246" s="2137">
        <v>0</v>
      </c>
      <c r="K246" s="2137">
        <v>0</v>
      </c>
      <c r="L246" s="2137">
        <v>0</v>
      </c>
      <c r="M246" s="2137">
        <v>0</v>
      </c>
      <c r="N246" s="2137">
        <v>0</v>
      </c>
      <c r="O246" s="2137">
        <v>0</v>
      </c>
      <c r="P246" s="2137">
        <v>0</v>
      </c>
      <c r="Q246" s="2137">
        <v>0</v>
      </c>
      <c r="R246" s="2137">
        <v>0</v>
      </c>
      <c r="S246" s="2137">
        <v>0</v>
      </c>
      <c r="T246" s="2137">
        <v>0</v>
      </c>
      <c r="U246" s="2137">
        <v>0</v>
      </c>
      <c r="V246" s="2137">
        <v>0</v>
      </c>
      <c r="W246" s="2137">
        <v>0</v>
      </c>
      <c r="X246" s="2137">
        <v>0</v>
      </c>
      <c r="Y246" s="2137">
        <v>0</v>
      </c>
      <c r="Z246" s="2137">
        <v>0</v>
      </c>
      <c r="AA246" s="2137">
        <v>0</v>
      </c>
      <c r="AB246" s="2137">
        <v>0</v>
      </c>
      <c r="AC246" s="2137">
        <v>0</v>
      </c>
      <c r="AD246" s="2137">
        <v>0</v>
      </c>
      <c r="AE246" s="2137">
        <v>0</v>
      </c>
      <c r="AF246" s="2137">
        <v>0</v>
      </c>
      <c r="AG246" s="2137">
        <v>0</v>
      </c>
      <c r="AH246" s="2137">
        <v>0</v>
      </c>
      <c r="AI246" s="2137">
        <v>0</v>
      </c>
      <c r="AJ246" s="2137">
        <v>0</v>
      </c>
      <c r="AK246" s="2137">
        <v>0</v>
      </c>
      <c r="AL246" s="2137">
        <v>0</v>
      </c>
      <c r="AM246" s="2137">
        <v>0</v>
      </c>
      <c r="AN246" s="2137">
        <v>0</v>
      </c>
      <c r="AO246" s="2137">
        <v>0</v>
      </c>
      <c r="AP246" s="2137">
        <v>0</v>
      </c>
      <c r="AQ246" s="2137">
        <v>0</v>
      </c>
    </row>
    <row r="247" spans="2:43" x14ac:dyDescent="0.2">
      <c r="B247" s="1993"/>
      <c r="C247" s="2138" t="s">
        <v>1182</v>
      </c>
      <c r="D247" s="2139" t="s">
        <v>1170</v>
      </c>
      <c r="E247" s="2140"/>
      <c r="F247" s="2141"/>
      <c r="G247" s="2137">
        <v>0</v>
      </c>
      <c r="H247" s="2137">
        <v>0</v>
      </c>
      <c r="I247" s="2137">
        <v>0</v>
      </c>
      <c r="J247" s="2137">
        <v>0</v>
      </c>
      <c r="K247" s="2137">
        <v>0</v>
      </c>
      <c r="L247" s="2137">
        <v>0</v>
      </c>
      <c r="M247" s="2137">
        <v>0</v>
      </c>
      <c r="N247" s="2137">
        <v>0</v>
      </c>
      <c r="O247" s="2137">
        <v>0</v>
      </c>
      <c r="P247" s="2137">
        <v>0</v>
      </c>
      <c r="Q247" s="2137">
        <v>0</v>
      </c>
      <c r="R247" s="2137">
        <v>0</v>
      </c>
      <c r="S247" s="2137">
        <v>0</v>
      </c>
      <c r="T247" s="2137">
        <v>0</v>
      </c>
      <c r="U247" s="2137">
        <v>0</v>
      </c>
      <c r="V247" s="2137">
        <v>0</v>
      </c>
      <c r="W247" s="2137">
        <v>0</v>
      </c>
      <c r="X247" s="2137">
        <v>0</v>
      </c>
      <c r="Y247" s="2137">
        <v>0</v>
      </c>
      <c r="Z247" s="2137">
        <v>0</v>
      </c>
      <c r="AA247" s="2137">
        <v>0</v>
      </c>
      <c r="AB247" s="2137">
        <v>0</v>
      </c>
      <c r="AC247" s="2137">
        <v>0</v>
      </c>
      <c r="AD247" s="2137">
        <v>0</v>
      </c>
      <c r="AE247" s="2137">
        <v>0</v>
      </c>
      <c r="AF247" s="2137">
        <v>0</v>
      </c>
      <c r="AG247" s="2137">
        <v>0</v>
      </c>
      <c r="AH247" s="2137">
        <v>0</v>
      </c>
      <c r="AI247" s="2137">
        <v>0</v>
      </c>
      <c r="AJ247" s="2137">
        <v>0</v>
      </c>
      <c r="AK247" s="2137">
        <v>0</v>
      </c>
      <c r="AL247" s="2137">
        <v>0</v>
      </c>
      <c r="AM247" s="2137">
        <v>0</v>
      </c>
      <c r="AN247" s="2137">
        <v>0</v>
      </c>
      <c r="AO247" s="2137">
        <v>0</v>
      </c>
      <c r="AP247" s="2137">
        <v>0</v>
      </c>
      <c r="AQ247" s="2137">
        <v>0</v>
      </c>
    </row>
    <row r="248" spans="2:43" x14ac:dyDescent="0.2">
      <c r="B248" s="1993"/>
      <c r="C248" s="2142" t="s">
        <v>118</v>
      </c>
      <c r="D248" s="2143" t="s">
        <v>1170</v>
      </c>
      <c r="E248" s="2143"/>
      <c r="F248" s="2144"/>
      <c r="G248" s="2145">
        <f>+SUM(G231:G247)</f>
        <v>0</v>
      </c>
      <c r="H248" s="2145">
        <f t="shared" ref="H248:AQ248" si="86">+SUM(H231:H247)</f>
        <v>0</v>
      </c>
      <c r="I248" s="2145">
        <f t="shared" si="86"/>
        <v>0</v>
      </c>
      <c r="J248" s="2145">
        <f t="shared" si="86"/>
        <v>0</v>
      </c>
      <c r="K248" s="2145">
        <f t="shared" si="86"/>
        <v>0</v>
      </c>
      <c r="L248" s="2145">
        <f t="shared" si="86"/>
        <v>0</v>
      </c>
      <c r="M248" s="2145">
        <f t="shared" si="86"/>
        <v>0</v>
      </c>
      <c r="N248" s="2145">
        <f t="shared" si="86"/>
        <v>0</v>
      </c>
      <c r="O248" s="2145">
        <f t="shared" si="86"/>
        <v>0</v>
      </c>
      <c r="P248" s="2145">
        <f t="shared" si="86"/>
        <v>0</v>
      </c>
      <c r="Q248" s="2145">
        <f t="shared" si="86"/>
        <v>0</v>
      </c>
      <c r="R248" s="2145">
        <f t="shared" si="86"/>
        <v>0</v>
      </c>
      <c r="S248" s="2145">
        <f t="shared" si="86"/>
        <v>0</v>
      </c>
      <c r="T248" s="2145">
        <f t="shared" si="86"/>
        <v>0</v>
      </c>
      <c r="U248" s="2145">
        <f t="shared" si="86"/>
        <v>0</v>
      </c>
      <c r="V248" s="2145">
        <f t="shared" si="86"/>
        <v>0</v>
      </c>
      <c r="W248" s="2145">
        <f t="shared" si="86"/>
        <v>0</v>
      </c>
      <c r="X248" s="2145">
        <f t="shared" si="86"/>
        <v>0</v>
      </c>
      <c r="Y248" s="2145">
        <f t="shared" si="86"/>
        <v>0</v>
      </c>
      <c r="Z248" s="2145">
        <f t="shared" si="86"/>
        <v>0</v>
      </c>
      <c r="AA248" s="2145">
        <f t="shared" si="86"/>
        <v>0</v>
      </c>
      <c r="AB248" s="2145">
        <f t="shared" si="86"/>
        <v>0</v>
      </c>
      <c r="AC248" s="2145">
        <f t="shared" si="86"/>
        <v>0</v>
      </c>
      <c r="AD248" s="2145">
        <f t="shared" si="86"/>
        <v>0</v>
      </c>
      <c r="AE248" s="2145">
        <f t="shared" si="86"/>
        <v>0</v>
      </c>
      <c r="AF248" s="2145">
        <f t="shared" si="86"/>
        <v>0</v>
      </c>
      <c r="AG248" s="2145">
        <f t="shared" si="86"/>
        <v>0</v>
      </c>
      <c r="AH248" s="2145">
        <f t="shared" si="86"/>
        <v>0</v>
      </c>
      <c r="AI248" s="2145">
        <f t="shared" si="86"/>
        <v>0</v>
      </c>
      <c r="AJ248" s="2145">
        <f t="shared" si="86"/>
        <v>0</v>
      </c>
      <c r="AK248" s="2145">
        <f t="shared" si="86"/>
        <v>0</v>
      </c>
      <c r="AL248" s="2145">
        <f t="shared" si="86"/>
        <v>0</v>
      </c>
      <c r="AM248" s="2145">
        <f t="shared" si="86"/>
        <v>0</v>
      </c>
      <c r="AN248" s="2145">
        <f t="shared" si="86"/>
        <v>0</v>
      </c>
      <c r="AO248" s="2145">
        <f t="shared" si="86"/>
        <v>0</v>
      </c>
      <c r="AP248" s="2145">
        <f t="shared" si="86"/>
        <v>0</v>
      </c>
      <c r="AQ248" s="2145">
        <f t="shared" si="86"/>
        <v>0</v>
      </c>
    </row>
    <row r="249" spans="2:43" x14ac:dyDescent="0.2">
      <c r="B249" s="1993"/>
      <c r="C249" s="1994"/>
      <c r="D249" s="1994"/>
      <c r="E249" s="1995"/>
      <c r="F249" s="1995"/>
      <c r="G249" s="1995"/>
      <c r="H249" s="1995"/>
      <c r="I249" s="1995"/>
      <c r="J249" s="1995"/>
      <c r="K249" s="1995"/>
      <c r="L249" s="1995"/>
      <c r="M249" s="1995"/>
      <c r="N249" s="1995"/>
      <c r="O249" s="1995"/>
      <c r="P249" s="1995"/>
      <c r="Q249" s="1995"/>
      <c r="R249" s="1995"/>
      <c r="S249" s="1995"/>
      <c r="T249" s="1995"/>
      <c r="U249" s="1995"/>
      <c r="V249" s="1995"/>
      <c r="W249" s="1995"/>
      <c r="X249" s="1995"/>
      <c r="Y249" s="1995"/>
      <c r="Z249" s="1995"/>
      <c r="AA249" s="1995"/>
      <c r="AB249" s="1995"/>
      <c r="AC249" s="1995"/>
      <c r="AD249" s="1995"/>
      <c r="AE249" s="1995"/>
      <c r="AF249" s="1995"/>
      <c r="AG249" s="1995"/>
      <c r="AH249" s="1995"/>
      <c r="AI249" s="1995"/>
      <c r="AJ249" s="1995"/>
      <c r="AK249" s="1995"/>
      <c r="AL249" s="1995"/>
      <c r="AM249" s="1995"/>
      <c r="AN249" s="1995"/>
      <c r="AO249" s="1995"/>
      <c r="AP249" s="1995"/>
      <c r="AQ249" s="1995"/>
    </row>
    <row r="250" spans="2:43" x14ac:dyDescent="0.2">
      <c r="B250" s="1993"/>
      <c r="C250" s="2129" t="s">
        <v>1183</v>
      </c>
      <c r="D250" s="1994"/>
      <c r="E250" s="1995"/>
      <c r="F250" s="1995"/>
      <c r="G250" s="1995"/>
      <c r="H250" s="1995"/>
      <c r="I250" s="1995"/>
      <c r="J250" s="1995"/>
      <c r="K250" s="1995"/>
      <c r="L250" s="1995"/>
      <c r="M250" s="1995"/>
      <c r="N250" s="1995"/>
      <c r="O250" s="1995"/>
      <c r="P250" s="1995"/>
      <c r="Q250" s="1995"/>
      <c r="R250" s="1995"/>
      <c r="S250" s="1995"/>
      <c r="T250" s="1995"/>
      <c r="U250" s="1995"/>
      <c r="V250" s="1995"/>
      <c r="W250" s="1995"/>
      <c r="X250" s="1995"/>
      <c r="Y250" s="1995"/>
      <c r="Z250" s="1995"/>
      <c r="AA250" s="1995"/>
      <c r="AB250" s="1995"/>
      <c r="AC250" s="1995"/>
      <c r="AD250" s="1995"/>
      <c r="AE250" s="1995"/>
      <c r="AF250" s="1995"/>
      <c r="AG250" s="1995"/>
      <c r="AH250" s="1995"/>
      <c r="AI250" s="1995"/>
      <c r="AJ250" s="1995"/>
      <c r="AK250" s="1995"/>
      <c r="AL250" s="1995"/>
      <c r="AM250" s="1995"/>
      <c r="AN250" s="1995"/>
      <c r="AO250" s="1995"/>
      <c r="AP250" s="1995"/>
      <c r="AQ250" s="1995"/>
    </row>
    <row r="251" spans="2:43" x14ac:dyDescent="0.2">
      <c r="B251" s="1993"/>
      <c r="C251" s="2130" t="s">
        <v>242</v>
      </c>
      <c r="D251" s="2131" t="s">
        <v>1029</v>
      </c>
      <c r="E251" s="2131" t="s">
        <v>8</v>
      </c>
      <c r="F251" s="2132"/>
      <c r="G251" s="2131">
        <v>2014</v>
      </c>
      <c r="H251" s="2131">
        <v>2015</v>
      </c>
      <c r="I251" s="2131">
        <v>2016</v>
      </c>
      <c r="J251" s="2131">
        <v>2017</v>
      </c>
      <c r="K251" s="2131">
        <v>2018</v>
      </c>
      <c r="L251" s="2131">
        <v>2019</v>
      </c>
      <c r="M251" s="2131">
        <v>2020</v>
      </c>
      <c r="N251" s="2131">
        <v>2021</v>
      </c>
      <c r="O251" s="2131">
        <v>2022</v>
      </c>
      <c r="P251" s="2131">
        <v>2023</v>
      </c>
      <c r="Q251" s="2131">
        <v>2024</v>
      </c>
      <c r="R251" s="2131">
        <v>2025</v>
      </c>
      <c r="S251" s="2131">
        <v>2026</v>
      </c>
      <c r="T251" s="2131">
        <v>2027</v>
      </c>
      <c r="U251" s="2131">
        <v>2028</v>
      </c>
      <c r="V251" s="2131">
        <v>2029</v>
      </c>
      <c r="W251" s="2131">
        <v>2030</v>
      </c>
      <c r="X251" s="2131">
        <v>2031</v>
      </c>
      <c r="Y251" s="2131">
        <v>2032</v>
      </c>
      <c r="Z251" s="2131">
        <v>2033</v>
      </c>
      <c r="AA251" s="2131">
        <v>2034</v>
      </c>
      <c r="AB251" s="2131">
        <v>2035</v>
      </c>
      <c r="AC251" s="2131">
        <v>2036</v>
      </c>
      <c r="AD251" s="2131">
        <v>2037</v>
      </c>
      <c r="AE251" s="2131">
        <v>2038</v>
      </c>
      <c r="AF251" s="2131">
        <v>2039</v>
      </c>
      <c r="AG251" s="2131">
        <v>2040</v>
      </c>
      <c r="AH251" s="2131">
        <v>2041</v>
      </c>
      <c r="AI251" s="2131">
        <v>2042</v>
      </c>
      <c r="AJ251" s="2131">
        <v>2043</v>
      </c>
      <c r="AK251" s="2131">
        <v>2044</v>
      </c>
      <c r="AL251" s="2131">
        <v>2045</v>
      </c>
      <c r="AM251" s="2131">
        <v>2046</v>
      </c>
      <c r="AN251" s="2131">
        <v>2047</v>
      </c>
      <c r="AO251" s="2131">
        <v>2048</v>
      </c>
      <c r="AP251" s="2131">
        <v>2049</v>
      </c>
      <c r="AQ251" s="2131">
        <v>2050</v>
      </c>
    </row>
    <row r="252" spans="2:43" x14ac:dyDescent="0.2">
      <c r="B252" s="1993"/>
      <c r="C252" s="2146" t="s">
        <v>1184</v>
      </c>
      <c r="D252" s="2147" t="s">
        <v>1152</v>
      </c>
      <c r="E252" s="2148"/>
      <c r="F252" s="2148"/>
      <c r="G252" s="2149">
        <v>0</v>
      </c>
      <c r="H252" s="2149">
        <v>0</v>
      </c>
      <c r="I252" s="2149">
        <v>0</v>
      </c>
      <c r="J252" s="2149">
        <v>0</v>
      </c>
      <c r="K252" s="2149">
        <v>0</v>
      </c>
      <c r="L252" s="2149">
        <v>0</v>
      </c>
      <c r="M252" s="2149">
        <v>0</v>
      </c>
      <c r="N252" s="2149">
        <v>0</v>
      </c>
      <c r="O252" s="2149">
        <v>0</v>
      </c>
      <c r="P252" s="2149">
        <v>0</v>
      </c>
      <c r="Q252" s="2149">
        <v>0</v>
      </c>
      <c r="R252" s="2149">
        <v>0</v>
      </c>
      <c r="S252" s="2149">
        <v>0</v>
      </c>
      <c r="T252" s="2149">
        <v>0</v>
      </c>
      <c r="U252" s="2149">
        <v>0</v>
      </c>
      <c r="V252" s="2149">
        <v>0</v>
      </c>
      <c r="W252" s="2149">
        <v>0</v>
      </c>
      <c r="X252" s="2149">
        <v>0</v>
      </c>
      <c r="Y252" s="2149">
        <v>0</v>
      </c>
      <c r="Z252" s="2149">
        <v>0</v>
      </c>
      <c r="AA252" s="2149">
        <v>0</v>
      </c>
      <c r="AB252" s="2149">
        <v>0</v>
      </c>
      <c r="AC252" s="2149">
        <v>0</v>
      </c>
      <c r="AD252" s="2149">
        <v>0</v>
      </c>
      <c r="AE252" s="2149">
        <v>0</v>
      </c>
      <c r="AF252" s="2149">
        <v>0</v>
      </c>
      <c r="AG252" s="2149">
        <v>0</v>
      </c>
      <c r="AH252" s="2149">
        <v>0</v>
      </c>
      <c r="AI252" s="2149">
        <v>0</v>
      </c>
      <c r="AJ252" s="2149">
        <v>0</v>
      </c>
      <c r="AK252" s="2149">
        <v>0</v>
      </c>
      <c r="AL252" s="2149">
        <v>0</v>
      </c>
      <c r="AM252" s="2149">
        <v>0</v>
      </c>
      <c r="AN252" s="2149">
        <v>0</v>
      </c>
      <c r="AO252" s="2149">
        <v>0</v>
      </c>
      <c r="AP252" s="2149">
        <v>0</v>
      </c>
      <c r="AQ252" s="2149">
        <v>0</v>
      </c>
    </row>
    <row r="253" spans="2:43" x14ac:dyDescent="0.2">
      <c r="B253" s="1993"/>
      <c r="C253" s="1994"/>
      <c r="D253" s="1994"/>
      <c r="E253" s="1995"/>
      <c r="F253" s="1995"/>
      <c r="G253" s="1995"/>
      <c r="H253" s="1995"/>
      <c r="I253" s="1995"/>
      <c r="J253" s="1995"/>
      <c r="K253" s="1995"/>
      <c r="L253" s="1995"/>
      <c r="M253" s="1995"/>
      <c r="N253" s="1995"/>
      <c r="O253" s="1995"/>
      <c r="P253" s="1995"/>
      <c r="Q253" s="1995"/>
      <c r="R253" s="1995"/>
      <c r="S253" s="1995"/>
      <c r="T253" s="1995"/>
      <c r="U253" s="1995"/>
      <c r="V253" s="1995"/>
      <c r="W253" s="1995"/>
      <c r="X253" s="1995"/>
      <c r="Y253" s="1995"/>
      <c r="Z253" s="1995"/>
      <c r="AA253" s="1995"/>
      <c r="AB253" s="1995"/>
      <c r="AC253" s="1995"/>
      <c r="AD253" s="1995"/>
      <c r="AE253" s="1995"/>
      <c r="AF253" s="1995"/>
      <c r="AG253" s="1995"/>
      <c r="AH253" s="1995"/>
      <c r="AI253" s="1995"/>
      <c r="AJ253" s="1995"/>
      <c r="AK253" s="1995"/>
      <c r="AL253" s="1995"/>
      <c r="AM253" s="1995"/>
      <c r="AN253" s="1995"/>
      <c r="AO253" s="1995"/>
      <c r="AP253" s="1995"/>
      <c r="AQ253" s="1995"/>
    </row>
    <row r="254" spans="2:43" x14ac:dyDescent="0.2">
      <c r="B254" s="1993"/>
      <c r="C254" s="2129" t="s">
        <v>1185</v>
      </c>
      <c r="D254" s="1994"/>
      <c r="E254" s="1995"/>
      <c r="F254" s="1995"/>
      <c r="G254" s="1995"/>
      <c r="H254" s="1995"/>
      <c r="I254" s="1995"/>
      <c r="J254" s="1995"/>
      <c r="K254" s="1995"/>
      <c r="L254" s="1995"/>
      <c r="M254" s="1995"/>
      <c r="N254" s="1995"/>
      <c r="O254" s="1995"/>
      <c r="P254" s="1995"/>
      <c r="Q254" s="1995"/>
      <c r="R254" s="1995"/>
      <c r="S254" s="1995"/>
      <c r="T254" s="1995"/>
      <c r="U254" s="1995"/>
      <c r="V254" s="1995"/>
      <c r="W254" s="1995"/>
      <c r="X254" s="1995"/>
      <c r="Y254" s="1995"/>
      <c r="Z254" s="1995"/>
      <c r="AA254" s="1995"/>
      <c r="AB254" s="1995"/>
      <c r="AC254" s="1995"/>
      <c r="AD254" s="1995"/>
      <c r="AE254" s="1995"/>
      <c r="AF254" s="1995"/>
      <c r="AG254" s="1995"/>
      <c r="AH254" s="1995"/>
      <c r="AI254" s="1995"/>
      <c r="AJ254" s="1995"/>
      <c r="AK254" s="1995"/>
      <c r="AL254" s="1995"/>
      <c r="AM254" s="1995"/>
      <c r="AN254" s="1995"/>
      <c r="AO254" s="1995"/>
      <c r="AP254" s="1995"/>
      <c r="AQ254" s="1995"/>
    </row>
    <row r="255" spans="2:43" x14ac:dyDescent="0.2">
      <c r="B255" s="1993"/>
      <c r="C255" s="2130" t="s">
        <v>242</v>
      </c>
      <c r="D255" s="2131" t="s">
        <v>1029</v>
      </c>
      <c r="E255" s="2131" t="s">
        <v>8</v>
      </c>
      <c r="F255" s="2132"/>
      <c r="G255" s="2131">
        <v>2014</v>
      </c>
      <c r="H255" s="2131">
        <v>2015</v>
      </c>
      <c r="I255" s="2131">
        <v>2016</v>
      </c>
      <c r="J255" s="2131">
        <v>2017</v>
      </c>
      <c r="K255" s="2131">
        <v>2018</v>
      </c>
      <c r="L255" s="2131">
        <v>2019</v>
      </c>
      <c r="M255" s="2131">
        <v>2020</v>
      </c>
      <c r="N255" s="2131">
        <v>2021</v>
      </c>
      <c r="O255" s="2131">
        <v>2022</v>
      </c>
      <c r="P255" s="2131">
        <v>2023</v>
      </c>
      <c r="Q255" s="2131">
        <v>2024</v>
      </c>
      <c r="R255" s="2131">
        <v>2025</v>
      </c>
      <c r="S255" s="2131">
        <v>2026</v>
      </c>
      <c r="T255" s="2131">
        <v>2027</v>
      </c>
      <c r="U255" s="2131">
        <v>2028</v>
      </c>
      <c r="V255" s="2131">
        <v>2029</v>
      </c>
      <c r="W255" s="2131">
        <v>2030</v>
      </c>
      <c r="X255" s="2131">
        <v>2031</v>
      </c>
      <c r="Y255" s="2131">
        <v>2032</v>
      </c>
      <c r="Z255" s="2131">
        <v>2033</v>
      </c>
      <c r="AA255" s="2131">
        <v>2034</v>
      </c>
      <c r="AB255" s="2131">
        <v>2035</v>
      </c>
      <c r="AC255" s="2131">
        <v>2036</v>
      </c>
      <c r="AD255" s="2131">
        <v>2037</v>
      </c>
      <c r="AE255" s="2131">
        <v>2038</v>
      </c>
      <c r="AF255" s="2131">
        <v>2039</v>
      </c>
      <c r="AG255" s="2131">
        <v>2040</v>
      </c>
      <c r="AH255" s="2131">
        <v>2041</v>
      </c>
      <c r="AI255" s="2131">
        <v>2042</v>
      </c>
      <c r="AJ255" s="2131">
        <v>2043</v>
      </c>
      <c r="AK255" s="2131">
        <v>2044</v>
      </c>
      <c r="AL255" s="2131">
        <v>2045</v>
      </c>
      <c r="AM255" s="2131">
        <v>2046</v>
      </c>
      <c r="AN255" s="2131">
        <v>2047</v>
      </c>
      <c r="AO255" s="2131">
        <v>2048</v>
      </c>
      <c r="AP255" s="2131">
        <v>2049</v>
      </c>
      <c r="AQ255" s="2131">
        <v>2050</v>
      </c>
    </row>
    <row r="256" spans="2:43" s="2015" customFormat="1" x14ac:dyDescent="0.2">
      <c r="B256" s="1993"/>
      <c r="C256" s="2130" t="s">
        <v>1186</v>
      </c>
      <c r="D256" s="2131" t="s">
        <v>1152</v>
      </c>
      <c r="E256" s="2131"/>
      <c r="F256" s="2132"/>
      <c r="G256" s="2131">
        <f>G184/1000</f>
        <v>262.8</v>
      </c>
      <c r="H256" s="2131">
        <f t="shared" ref="H256:AQ256" si="87">H184/1000</f>
        <v>262.8</v>
      </c>
      <c r="I256" s="2131">
        <f t="shared" si="87"/>
        <v>262.8</v>
      </c>
      <c r="J256" s="2131">
        <f t="shared" si="87"/>
        <v>262.8</v>
      </c>
      <c r="K256" s="2131">
        <f t="shared" si="87"/>
        <v>262.8</v>
      </c>
      <c r="L256" s="2131">
        <f t="shared" si="87"/>
        <v>262.8</v>
      </c>
      <c r="M256" s="2131">
        <f t="shared" si="87"/>
        <v>350.4</v>
      </c>
      <c r="N256" s="2131">
        <f t="shared" si="87"/>
        <v>350.4</v>
      </c>
      <c r="O256" s="2131">
        <f t="shared" si="87"/>
        <v>350.4</v>
      </c>
      <c r="P256" s="2131">
        <f t="shared" si="87"/>
        <v>350.4</v>
      </c>
      <c r="Q256" s="2131">
        <f t="shared" si="87"/>
        <v>350.4</v>
      </c>
      <c r="R256" s="2131">
        <f t="shared" si="87"/>
        <v>411.72</v>
      </c>
      <c r="S256" s="2131">
        <f t="shared" si="87"/>
        <v>411.72</v>
      </c>
      <c r="T256" s="2131">
        <f t="shared" si="87"/>
        <v>411.72</v>
      </c>
      <c r="U256" s="2131">
        <f t="shared" si="87"/>
        <v>411.72</v>
      </c>
      <c r="V256" s="2131">
        <f t="shared" si="87"/>
        <v>411.72</v>
      </c>
      <c r="W256" s="2131">
        <f t="shared" si="87"/>
        <v>411.72</v>
      </c>
      <c r="X256" s="2131">
        <f t="shared" si="87"/>
        <v>411.72</v>
      </c>
      <c r="Y256" s="2131">
        <f t="shared" si="87"/>
        <v>411.72</v>
      </c>
      <c r="Z256" s="2131">
        <f t="shared" si="87"/>
        <v>411.72</v>
      </c>
      <c r="AA256" s="2131">
        <f t="shared" si="87"/>
        <v>411.72</v>
      </c>
      <c r="AB256" s="2131">
        <f t="shared" si="87"/>
        <v>411.72</v>
      </c>
      <c r="AC256" s="2131">
        <f t="shared" si="87"/>
        <v>411.72</v>
      </c>
      <c r="AD256" s="2131">
        <f t="shared" si="87"/>
        <v>411.72</v>
      </c>
      <c r="AE256" s="2131">
        <f t="shared" si="87"/>
        <v>411.72</v>
      </c>
      <c r="AF256" s="2131">
        <f t="shared" si="87"/>
        <v>411.72</v>
      </c>
      <c r="AG256" s="2131">
        <f t="shared" si="87"/>
        <v>411.72</v>
      </c>
      <c r="AH256" s="2131">
        <f t="shared" si="87"/>
        <v>411.72</v>
      </c>
      <c r="AI256" s="2131">
        <f t="shared" si="87"/>
        <v>411.72</v>
      </c>
      <c r="AJ256" s="2131">
        <f t="shared" si="87"/>
        <v>411.72</v>
      </c>
      <c r="AK256" s="2131">
        <f t="shared" si="87"/>
        <v>411.72</v>
      </c>
      <c r="AL256" s="2131">
        <f t="shared" si="87"/>
        <v>411.72</v>
      </c>
      <c r="AM256" s="2131">
        <f t="shared" si="87"/>
        <v>411.72</v>
      </c>
      <c r="AN256" s="2131">
        <f t="shared" si="87"/>
        <v>411.72</v>
      </c>
      <c r="AO256" s="2131">
        <f t="shared" si="87"/>
        <v>411.72</v>
      </c>
      <c r="AP256" s="2131">
        <f t="shared" si="87"/>
        <v>411.72</v>
      </c>
      <c r="AQ256" s="2131">
        <f t="shared" si="87"/>
        <v>411.72</v>
      </c>
    </row>
    <row r="257" spans="2:43" x14ac:dyDescent="0.2">
      <c r="B257" s="1993"/>
      <c r="C257" s="1993"/>
      <c r="D257" s="1994"/>
      <c r="E257" s="1994"/>
      <c r="F257" s="2150"/>
      <c r="G257" s="2151"/>
      <c r="H257" s="2151"/>
      <c r="I257" s="2151"/>
      <c r="J257" s="2151"/>
      <c r="K257" s="2151"/>
      <c r="L257" s="2151"/>
      <c r="M257" s="2151"/>
      <c r="N257" s="2151"/>
      <c r="O257" s="2151"/>
      <c r="P257" s="2151"/>
      <c r="Q257" s="2151"/>
      <c r="R257" s="2151"/>
      <c r="S257" s="2151"/>
      <c r="T257" s="2151"/>
      <c r="U257" s="2151"/>
      <c r="V257" s="2151"/>
      <c r="W257" s="2151"/>
      <c r="X257" s="2151"/>
      <c r="Y257" s="2151"/>
      <c r="Z257" s="2151"/>
      <c r="AA257" s="2151"/>
      <c r="AB257" s="2151"/>
      <c r="AC257" s="2151"/>
      <c r="AD257" s="2151"/>
      <c r="AE257" s="2151"/>
      <c r="AF257" s="2151"/>
      <c r="AG257" s="2151"/>
      <c r="AH257" s="2151"/>
      <c r="AI257" s="2151"/>
      <c r="AJ257" s="2151"/>
      <c r="AK257" s="2151"/>
      <c r="AL257" s="2151"/>
      <c r="AM257" s="2151"/>
      <c r="AN257" s="2151"/>
      <c r="AO257" s="2151"/>
      <c r="AP257" s="2151"/>
      <c r="AQ257" s="2151"/>
    </row>
    <row r="258" spans="2:43" x14ac:dyDescent="0.2">
      <c r="B258" s="1993"/>
      <c r="C258" s="1993"/>
      <c r="D258" s="1994"/>
      <c r="E258" s="1994"/>
      <c r="F258" s="2150"/>
      <c r="G258" s="2151"/>
      <c r="H258" s="2151"/>
      <c r="I258" s="2151"/>
      <c r="J258" s="2151"/>
      <c r="K258" s="2151"/>
      <c r="L258" s="2151"/>
      <c r="M258" s="2151"/>
      <c r="N258" s="2151"/>
      <c r="O258" s="2151"/>
      <c r="P258" s="2151"/>
      <c r="Q258" s="2151"/>
      <c r="R258" s="2151"/>
      <c r="S258" s="2151"/>
      <c r="T258" s="2151"/>
      <c r="U258" s="2151"/>
      <c r="V258" s="2151"/>
      <c r="W258" s="2151"/>
      <c r="X258" s="2151"/>
      <c r="Y258" s="2151"/>
      <c r="Z258" s="2151"/>
      <c r="AA258" s="2151"/>
      <c r="AB258" s="2151"/>
      <c r="AC258" s="2151"/>
      <c r="AD258" s="2151"/>
      <c r="AE258" s="2151"/>
      <c r="AF258" s="2151"/>
      <c r="AG258" s="2151"/>
      <c r="AH258" s="2151"/>
      <c r="AI258" s="2151"/>
      <c r="AJ258" s="2151"/>
      <c r="AK258" s="2151"/>
      <c r="AL258" s="2151"/>
      <c r="AM258" s="2151"/>
      <c r="AN258" s="2151"/>
      <c r="AO258" s="2151"/>
      <c r="AP258" s="2151"/>
      <c r="AQ258" s="2151"/>
    </row>
    <row r="260" spans="2:43" ht="15.75" x14ac:dyDescent="0.25">
      <c r="B260" s="2152" t="s">
        <v>434</v>
      </c>
      <c r="C260" s="2153"/>
      <c r="D260" s="2153"/>
      <c r="E260" s="2153"/>
      <c r="F260" s="2153"/>
      <c r="G260" s="2153"/>
      <c r="H260" s="2153"/>
      <c r="I260" s="2153"/>
      <c r="J260" s="2153"/>
      <c r="K260" s="2153"/>
      <c r="L260" s="2153"/>
      <c r="M260" s="2153"/>
      <c r="N260" s="2153"/>
      <c r="O260" s="2153"/>
      <c r="P260" s="2153"/>
      <c r="Q260" s="2153"/>
      <c r="R260" s="2153"/>
      <c r="S260" s="2153"/>
      <c r="T260" s="2153"/>
      <c r="U260" s="2153"/>
      <c r="V260" s="2153"/>
      <c r="W260" s="2153"/>
      <c r="X260" s="2153"/>
      <c r="Y260" s="2153"/>
      <c r="Z260" s="2153"/>
      <c r="AA260" s="2153"/>
      <c r="AB260" s="2153"/>
      <c r="AC260" s="2153"/>
      <c r="AD260" s="2153"/>
      <c r="AE260" s="2153"/>
      <c r="AF260" s="2153"/>
      <c r="AG260" s="2153"/>
      <c r="AH260" s="2153"/>
      <c r="AI260" s="2153"/>
      <c r="AJ260" s="2153"/>
      <c r="AK260" s="2153"/>
      <c r="AL260" s="2153"/>
      <c r="AM260" s="2153"/>
      <c r="AN260" s="2153"/>
      <c r="AO260" s="2153"/>
      <c r="AP260" s="2153"/>
      <c r="AQ260" s="2153"/>
    </row>
    <row r="261" spans="2:43" x14ac:dyDescent="0.2">
      <c r="B261" s="2154"/>
      <c r="C261" s="2154"/>
      <c r="D261" s="2154"/>
      <c r="E261" s="2154"/>
      <c r="F261" s="2154"/>
      <c r="G261" s="2154"/>
      <c r="H261" s="2154"/>
      <c r="I261" s="2154"/>
      <c r="J261" s="2154"/>
      <c r="K261" s="2154"/>
      <c r="L261" s="2154"/>
      <c r="M261" s="2154"/>
      <c r="N261" s="2154"/>
      <c r="O261" s="2154"/>
      <c r="P261" s="2154"/>
      <c r="Q261" s="2154"/>
      <c r="R261" s="2154"/>
      <c r="S261" s="2154"/>
      <c r="T261" s="2154"/>
      <c r="U261" s="2154"/>
      <c r="V261" s="2154"/>
      <c r="W261" s="2154"/>
      <c r="X261" s="2154"/>
      <c r="Y261" s="2154"/>
      <c r="Z261" s="2154"/>
      <c r="AA261" s="2154"/>
      <c r="AB261" s="2154"/>
      <c r="AC261" s="2154"/>
      <c r="AD261" s="2154"/>
      <c r="AE261" s="2154"/>
      <c r="AF261" s="2154"/>
      <c r="AG261" s="2154"/>
      <c r="AH261" s="2154"/>
      <c r="AI261" s="2154"/>
      <c r="AJ261" s="2154"/>
      <c r="AK261" s="2154"/>
      <c r="AL261" s="2154"/>
      <c r="AM261" s="2154"/>
      <c r="AN261" s="2154"/>
      <c r="AO261" s="2154"/>
      <c r="AP261" s="2154"/>
      <c r="AQ261" s="2154"/>
    </row>
    <row r="262" spans="2:43" x14ac:dyDescent="0.2">
      <c r="B262" s="2154"/>
      <c r="C262" s="2155" t="s">
        <v>1187</v>
      </c>
      <c r="D262" s="2156"/>
      <c r="E262" s="2157"/>
      <c r="F262" s="2157"/>
      <c r="G262" s="2157"/>
      <c r="H262" s="2157"/>
      <c r="I262" s="2157"/>
      <c r="J262" s="2157"/>
      <c r="K262" s="2157"/>
      <c r="L262" s="2157"/>
      <c r="M262" s="2157"/>
      <c r="N262" s="2157"/>
      <c r="O262" s="2157"/>
      <c r="P262" s="2157"/>
      <c r="Q262" s="2157"/>
      <c r="R262" s="2157"/>
      <c r="S262" s="2157"/>
      <c r="T262" s="2157"/>
      <c r="U262" s="2157"/>
      <c r="V262" s="2157"/>
      <c r="W262" s="2157"/>
      <c r="X262" s="2157"/>
      <c r="Y262" s="2157"/>
      <c r="Z262" s="2157"/>
      <c r="AA262" s="2157"/>
      <c r="AB262" s="2157"/>
      <c r="AC262" s="2157"/>
      <c r="AD262" s="2157"/>
      <c r="AE262" s="2157"/>
      <c r="AF262" s="2157"/>
      <c r="AG262" s="2157"/>
      <c r="AH262" s="2157"/>
      <c r="AI262" s="2157"/>
      <c r="AJ262" s="2157"/>
      <c r="AK262" s="2157"/>
      <c r="AL262" s="2157"/>
      <c r="AM262" s="2157"/>
      <c r="AN262" s="2157"/>
      <c r="AO262" s="2157"/>
      <c r="AP262" s="2157"/>
      <c r="AQ262" s="2157"/>
    </row>
    <row r="263" spans="2:43" x14ac:dyDescent="0.2">
      <c r="B263" s="2154"/>
      <c r="C263" s="2158" t="s">
        <v>242</v>
      </c>
      <c r="D263" s="2159" t="s">
        <v>1029</v>
      </c>
      <c r="E263" s="2159" t="s">
        <v>8</v>
      </c>
      <c r="F263" s="2160"/>
      <c r="G263" s="2159">
        <v>2014</v>
      </c>
      <c r="H263" s="2159">
        <v>2015</v>
      </c>
      <c r="I263" s="2159">
        <v>2016</v>
      </c>
      <c r="J263" s="2159">
        <v>2017</v>
      </c>
      <c r="K263" s="2159">
        <v>2018</v>
      </c>
      <c r="L263" s="2159">
        <v>2019</v>
      </c>
      <c r="M263" s="2159">
        <v>2020</v>
      </c>
      <c r="N263" s="2159">
        <v>2021</v>
      </c>
      <c r="O263" s="2159">
        <v>2022</v>
      </c>
      <c r="P263" s="2159">
        <v>2023</v>
      </c>
      <c r="Q263" s="2159">
        <v>2024</v>
      </c>
      <c r="R263" s="2159">
        <v>2025</v>
      </c>
      <c r="S263" s="2159">
        <v>2026</v>
      </c>
      <c r="T263" s="2159">
        <v>2027</v>
      </c>
      <c r="U263" s="2159">
        <v>2028</v>
      </c>
      <c r="V263" s="2159">
        <v>2029</v>
      </c>
      <c r="W263" s="2159">
        <v>2030</v>
      </c>
      <c r="X263" s="2159">
        <v>2031</v>
      </c>
      <c r="Y263" s="2159">
        <v>2032</v>
      </c>
      <c r="Z263" s="2159">
        <v>2033</v>
      </c>
      <c r="AA263" s="2159">
        <v>2034</v>
      </c>
      <c r="AB263" s="2159">
        <v>2035</v>
      </c>
      <c r="AC263" s="2159">
        <v>2036</v>
      </c>
      <c r="AD263" s="2159">
        <v>2037</v>
      </c>
      <c r="AE263" s="2159">
        <v>2038</v>
      </c>
      <c r="AF263" s="2159">
        <v>2039</v>
      </c>
      <c r="AG263" s="2159">
        <v>2040</v>
      </c>
      <c r="AH263" s="2159">
        <v>2041</v>
      </c>
      <c r="AI263" s="2159">
        <v>2042</v>
      </c>
      <c r="AJ263" s="2159">
        <v>2043</v>
      </c>
      <c r="AK263" s="2159">
        <v>2044</v>
      </c>
      <c r="AL263" s="2159">
        <v>2045</v>
      </c>
      <c r="AM263" s="2159">
        <v>2046</v>
      </c>
      <c r="AN263" s="2159">
        <v>2047</v>
      </c>
      <c r="AO263" s="2159">
        <v>2048</v>
      </c>
      <c r="AP263" s="2159">
        <v>2049</v>
      </c>
      <c r="AQ263" s="2159">
        <v>2050</v>
      </c>
    </row>
    <row r="264" spans="2:43" x14ac:dyDescent="0.2">
      <c r="B264" s="2154"/>
      <c r="C264" s="2161" t="s">
        <v>398</v>
      </c>
      <c r="D264" s="2162" t="s">
        <v>1163</v>
      </c>
      <c r="E264" s="2163"/>
      <c r="F264" s="2164"/>
      <c r="G264" s="2165">
        <f t="shared" ref="G264:AQ264" si="88">+G215*(2.75)/1000+G222</f>
        <v>0.13350903811169548</v>
      </c>
      <c r="H264" s="2165">
        <f t="shared" si="88"/>
        <v>0.1407501694868756</v>
      </c>
      <c r="I264" s="2165">
        <f t="shared" si="88"/>
        <v>0.14771512727411534</v>
      </c>
      <c r="J264" s="2165">
        <f t="shared" si="88"/>
        <v>0.15450547244244583</v>
      </c>
      <c r="K264" s="2165">
        <f t="shared" si="88"/>
        <v>0.16113565122436685</v>
      </c>
      <c r="L264" s="2165">
        <f t="shared" si="88"/>
        <v>0.16761903597796085</v>
      </c>
      <c r="M264" s="2165">
        <f t="shared" si="88"/>
        <v>0.17396802650186893</v>
      </c>
      <c r="N264" s="2165">
        <f t="shared" si="88"/>
        <v>0.18019410615989992</v>
      </c>
      <c r="O264" s="2165">
        <f t="shared" si="88"/>
        <v>0.18648927321727288</v>
      </c>
      <c r="P264" s="2165">
        <f t="shared" si="88"/>
        <v>0.19285633739968941</v>
      </c>
      <c r="Q264" s="2165">
        <f t="shared" si="88"/>
        <v>0.19929803327296658</v>
      </c>
      <c r="R264" s="2165">
        <f t="shared" si="88"/>
        <v>0.20581702281176567</v>
      </c>
      <c r="S264" s="2165">
        <f t="shared" si="88"/>
        <v>0.21241590073426514</v>
      </c>
      <c r="T264" s="2165">
        <f t="shared" si="88"/>
        <v>0.21887714883423914</v>
      </c>
      <c r="U264" s="2165">
        <f t="shared" si="88"/>
        <v>0.22521218297871101</v>
      </c>
      <c r="V264" s="2165">
        <f t="shared" si="88"/>
        <v>0.23143158336790445</v>
      </c>
      <c r="W264" s="2165">
        <f t="shared" si="88"/>
        <v>0.2375451634314272</v>
      </c>
      <c r="X264" s="2165">
        <f t="shared" si="88"/>
        <v>0.24356203128202389</v>
      </c>
      <c r="Y264" s="2165">
        <f t="shared" si="88"/>
        <v>0.2496290504217008</v>
      </c>
      <c r="Z264" s="2165">
        <f t="shared" si="88"/>
        <v>0.25574811405035203</v>
      </c>
      <c r="AA264" s="2165">
        <f t="shared" si="88"/>
        <v>0.26192104986427234</v>
      </c>
      <c r="AB264" s="2165">
        <f t="shared" si="88"/>
        <v>0.26814963137762599</v>
      </c>
      <c r="AC264" s="2165">
        <f t="shared" si="88"/>
        <v>0.27443557541570646</v>
      </c>
      <c r="AD264" s="2165">
        <f t="shared" si="88"/>
        <v>0.28060832223210846</v>
      </c>
      <c r="AE264" s="2165">
        <f t="shared" si="88"/>
        <v>0.28667677598244395</v>
      </c>
      <c r="AF264" s="2165">
        <f t="shared" si="88"/>
        <v>0.29264919713577503</v>
      </c>
      <c r="AG264" s="2165">
        <f t="shared" si="88"/>
        <v>0.29853325438018696</v>
      </c>
      <c r="AH264" s="2165">
        <f t="shared" si="88"/>
        <v>0.30433606426266518</v>
      </c>
      <c r="AI264" s="2165">
        <f t="shared" si="88"/>
        <v>0.3102070756961281</v>
      </c>
      <c r="AJ264" s="2165">
        <f t="shared" si="88"/>
        <v>0.3161466924703466</v>
      </c>
      <c r="AK264" s="2165">
        <f t="shared" si="88"/>
        <v>0.32215533344598568</v>
      </c>
      <c r="AL264" s="2165">
        <f t="shared" si="88"/>
        <v>0.32823342523023991</v>
      </c>
      <c r="AM264" s="2165">
        <f t="shared" si="88"/>
        <v>0.33438140501585834</v>
      </c>
      <c r="AN264" s="2165">
        <f t="shared" si="88"/>
        <v>0.34041700783787138</v>
      </c>
      <c r="AO264" s="2165">
        <f t="shared" si="88"/>
        <v>0.34634675539494186</v>
      </c>
      <c r="AP264" s="2165">
        <f t="shared" si="88"/>
        <v>0.35217672937669059</v>
      </c>
      <c r="AQ264" s="2165">
        <f t="shared" si="88"/>
        <v>0.35791260765232358</v>
      </c>
    </row>
    <row r="265" spans="2:43" x14ac:dyDescent="0.2">
      <c r="B265" s="2154"/>
      <c r="C265" s="2161" t="s">
        <v>400</v>
      </c>
      <c r="D265" s="2162" t="s">
        <v>1163</v>
      </c>
      <c r="E265" s="2163"/>
      <c r="F265" s="2164"/>
      <c r="G265" s="2165">
        <f t="shared" ref="G265:AQ265" si="89">+G216*0.021</f>
        <v>2.378888315444756</v>
      </c>
      <c r="H265" s="2165">
        <f t="shared" si="89"/>
        <v>2.5079121108570566</v>
      </c>
      <c r="I265" s="2165">
        <f t="shared" si="89"/>
        <v>2.6320149950660552</v>
      </c>
      <c r="J265" s="2165">
        <f t="shared" si="89"/>
        <v>2.7530065998835807</v>
      </c>
      <c r="K265" s="2165">
        <f t="shared" si="89"/>
        <v>2.8711443309069011</v>
      </c>
      <c r="L265" s="2165">
        <f t="shared" si="89"/>
        <v>2.9866664592436667</v>
      </c>
      <c r="M265" s="2165">
        <f t="shared" si="89"/>
        <v>3.0997939267605741</v>
      </c>
      <c r="N265" s="2165">
        <f t="shared" si="89"/>
        <v>3.2107313461218534</v>
      </c>
      <c r="O265" s="2165">
        <f t="shared" si="89"/>
        <v>3.3228997773259534</v>
      </c>
      <c r="P265" s="2165">
        <f t="shared" si="89"/>
        <v>3.4363492845762842</v>
      </c>
      <c r="Q265" s="2165">
        <f t="shared" si="89"/>
        <v>3.5511285928637686</v>
      </c>
      <c r="R265" s="2165">
        <f t="shared" si="89"/>
        <v>3.6672851337369159</v>
      </c>
      <c r="S265" s="2165">
        <f t="shared" si="89"/>
        <v>3.7848651403559974</v>
      </c>
      <c r="T265" s="2165">
        <f t="shared" si="89"/>
        <v>3.8999928337737155</v>
      </c>
      <c r="U265" s="2165">
        <f t="shared" si="89"/>
        <v>4.0128716239843056</v>
      </c>
      <c r="V265" s="2165">
        <f t="shared" si="89"/>
        <v>4.1236900309190254</v>
      </c>
      <c r="W265" s="2165">
        <f t="shared" si="89"/>
        <v>4.2326229120508847</v>
      </c>
      <c r="X265" s="2165">
        <f t="shared" si="89"/>
        <v>4.3398325573887897</v>
      </c>
      <c r="Y265" s="2165">
        <f t="shared" si="89"/>
        <v>4.4479358075139421</v>
      </c>
      <c r="Z265" s="2165">
        <f t="shared" si="89"/>
        <v>4.5569663958062723</v>
      </c>
      <c r="AA265" s="2165">
        <f t="shared" si="89"/>
        <v>4.666956888490672</v>
      </c>
      <c r="AB265" s="2165">
        <f t="shared" si="89"/>
        <v>4.7779388863649723</v>
      </c>
      <c r="AC265" s="2165">
        <f t="shared" si="89"/>
        <v>4.8899429801344061</v>
      </c>
      <c r="AD265" s="2165">
        <f t="shared" si="89"/>
        <v>4.9999301052266603</v>
      </c>
      <c r="AE265" s="2165">
        <f t="shared" si="89"/>
        <v>5.1080589175053657</v>
      </c>
      <c r="AF265" s="2165">
        <f t="shared" si="89"/>
        <v>5.2144766035101728</v>
      </c>
      <c r="AG265" s="2165">
        <f t="shared" si="89"/>
        <v>5.3193198053196955</v>
      </c>
      <c r="AH265" s="2165">
        <f t="shared" si="89"/>
        <v>5.4227153268620336</v>
      </c>
      <c r="AI265" s="2165">
        <f t="shared" si="89"/>
        <v>5.5273260760401008</v>
      </c>
      <c r="AJ265" s="2165">
        <f t="shared" si="89"/>
        <v>5.6331592476534489</v>
      </c>
      <c r="AK265" s="2165">
        <f t="shared" si="89"/>
        <v>5.7402223050375634</v>
      </c>
      <c r="AL265" s="2165">
        <f t="shared" si="89"/>
        <v>5.8485228495570034</v>
      </c>
      <c r="AM265" s="2165">
        <f t="shared" si="89"/>
        <v>5.9580686711916577</v>
      </c>
      <c r="AN265" s="2165">
        <f t="shared" si="89"/>
        <v>6.0656121396566176</v>
      </c>
      <c r="AO265" s="2165">
        <f t="shared" si="89"/>
        <v>6.1712694597644191</v>
      </c>
      <c r="AP265" s="2165">
        <f t="shared" si="89"/>
        <v>6.2751489961664877</v>
      </c>
      <c r="AQ265" s="2165">
        <f t="shared" si="89"/>
        <v>6.3773519181686771</v>
      </c>
    </row>
    <row r="266" spans="2:43" x14ac:dyDescent="0.2">
      <c r="B266" s="2154"/>
      <c r="C266" s="2166" t="s">
        <v>401</v>
      </c>
      <c r="D266" s="2167" t="s">
        <v>1163</v>
      </c>
      <c r="E266" s="2168"/>
      <c r="F266" s="2169"/>
      <c r="G266" s="2170">
        <v>0</v>
      </c>
      <c r="H266" s="2170">
        <v>0</v>
      </c>
      <c r="I266" s="2170">
        <v>0</v>
      </c>
      <c r="J266" s="2170">
        <v>0</v>
      </c>
      <c r="K266" s="2170">
        <v>0</v>
      </c>
      <c r="L266" s="2170">
        <v>0</v>
      </c>
      <c r="M266" s="2170">
        <v>0</v>
      </c>
      <c r="N266" s="2170">
        <v>0</v>
      </c>
      <c r="O266" s="2170">
        <v>0</v>
      </c>
      <c r="P266" s="2170">
        <v>0</v>
      </c>
      <c r="Q266" s="2170">
        <v>0</v>
      </c>
      <c r="R266" s="2170">
        <v>0</v>
      </c>
      <c r="S266" s="2170">
        <v>0</v>
      </c>
      <c r="T266" s="2170">
        <v>0</v>
      </c>
      <c r="U266" s="2170">
        <v>0</v>
      </c>
      <c r="V266" s="2170">
        <v>0</v>
      </c>
      <c r="W266" s="2170">
        <v>0</v>
      </c>
      <c r="X266" s="2170">
        <v>0</v>
      </c>
      <c r="Y266" s="2170">
        <v>0</v>
      </c>
      <c r="Z266" s="2170">
        <v>0</v>
      </c>
      <c r="AA266" s="2170">
        <v>0</v>
      </c>
      <c r="AB266" s="2170">
        <v>0</v>
      </c>
      <c r="AC266" s="2170">
        <v>0</v>
      </c>
      <c r="AD266" s="2170">
        <v>0</v>
      </c>
      <c r="AE266" s="2170">
        <v>0</v>
      </c>
      <c r="AF266" s="2170">
        <v>0</v>
      </c>
      <c r="AG266" s="2170">
        <v>0</v>
      </c>
      <c r="AH266" s="2170">
        <v>0</v>
      </c>
      <c r="AI266" s="2170">
        <v>0</v>
      </c>
      <c r="AJ266" s="2170">
        <v>0</v>
      </c>
      <c r="AK266" s="2170">
        <v>0</v>
      </c>
      <c r="AL266" s="2170">
        <v>0</v>
      </c>
      <c r="AM266" s="2170">
        <v>0</v>
      </c>
      <c r="AN266" s="2170">
        <v>0</v>
      </c>
      <c r="AO266" s="2170">
        <v>0</v>
      </c>
      <c r="AP266" s="2170">
        <v>0</v>
      </c>
      <c r="AQ266" s="2170">
        <v>0</v>
      </c>
    </row>
    <row r="267" spans="2:43" x14ac:dyDescent="0.2">
      <c r="B267" s="2154"/>
      <c r="C267" s="2171" t="s">
        <v>118</v>
      </c>
      <c r="D267" s="2168" t="s">
        <v>1163</v>
      </c>
      <c r="E267" s="2168"/>
      <c r="F267" s="2169"/>
      <c r="G267" s="2172">
        <f>+SUM(G264:G266)</f>
        <v>2.5123973535564517</v>
      </c>
      <c r="H267" s="2172">
        <f t="shared" ref="H267:AQ267" si="90">+SUM(H264:H266)</f>
        <v>2.6486622803439324</v>
      </c>
      <c r="I267" s="2172">
        <f t="shared" si="90"/>
        <v>2.7797301223401707</v>
      </c>
      <c r="J267" s="2172">
        <f t="shared" si="90"/>
        <v>2.9075120723260266</v>
      </c>
      <c r="K267" s="2172">
        <f t="shared" si="90"/>
        <v>3.0322799821312678</v>
      </c>
      <c r="L267" s="2172">
        <f t="shared" si="90"/>
        <v>3.1542854952216275</v>
      </c>
      <c r="M267" s="2172">
        <f t="shared" si="90"/>
        <v>3.2737619532624431</v>
      </c>
      <c r="N267" s="2172">
        <f t="shared" si="90"/>
        <v>3.3909254522817531</v>
      </c>
      <c r="O267" s="2172">
        <f t="shared" si="90"/>
        <v>3.5093890505432261</v>
      </c>
      <c r="P267" s="2172">
        <f t="shared" si="90"/>
        <v>3.6292056219759736</v>
      </c>
      <c r="Q267" s="2172">
        <f t="shared" si="90"/>
        <v>3.7504266261367354</v>
      </c>
      <c r="R267" s="2172">
        <f t="shared" si="90"/>
        <v>3.8731021565486814</v>
      </c>
      <c r="S267" s="2172">
        <f t="shared" si="90"/>
        <v>3.9972810410902624</v>
      </c>
      <c r="T267" s="2172">
        <f t="shared" si="90"/>
        <v>4.1188699826079542</v>
      </c>
      <c r="U267" s="2172">
        <f t="shared" si="90"/>
        <v>4.2380838069630169</v>
      </c>
      <c r="V267" s="2172">
        <f t="shared" si="90"/>
        <v>4.3551216142869302</v>
      </c>
      <c r="W267" s="2172">
        <f t="shared" si="90"/>
        <v>4.4701680754823121</v>
      </c>
      <c r="X267" s="2172">
        <f t="shared" si="90"/>
        <v>4.5833945886708136</v>
      </c>
      <c r="Y267" s="2172">
        <f t="shared" si="90"/>
        <v>4.6975648579356433</v>
      </c>
      <c r="Z267" s="2172">
        <f t="shared" si="90"/>
        <v>4.8127145098566242</v>
      </c>
      <c r="AA267" s="2172">
        <f t="shared" si="90"/>
        <v>4.9288779383549439</v>
      </c>
      <c r="AB267" s="2172">
        <f t="shared" si="90"/>
        <v>5.0460885177425983</v>
      </c>
      <c r="AC267" s="2172">
        <f t="shared" si="90"/>
        <v>5.1643785555501127</v>
      </c>
      <c r="AD267" s="2172">
        <f t="shared" si="90"/>
        <v>5.2805384274587688</v>
      </c>
      <c r="AE267" s="2172">
        <f t="shared" si="90"/>
        <v>5.3947356934878092</v>
      </c>
      <c r="AF267" s="2172">
        <f t="shared" si="90"/>
        <v>5.507125800645948</v>
      </c>
      <c r="AG267" s="2172">
        <f t="shared" si="90"/>
        <v>5.6178530596998826</v>
      </c>
      <c r="AH267" s="2172">
        <f t="shared" si="90"/>
        <v>5.7270513911246992</v>
      </c>
      <c r="AI267" s="2172">
        <f t="shared" si="90"/>
        <v>5.8375331517362286</v>
      </c>
      <c r="AJ267" s="2172">
        <f t="shared" si="90"/>
        <v>5.9493059401237955</v>
      </c>
      <c r="AK267" s="2172">
        <f t="shared" si="90"/>
        <v>6.0623776384835493</v>
      </c>
      <c r="AL267" s="2172">
        <f t="shared" si="90"/>
        <v>6.1767562747872429</v>
      </c>
      <c r="AM267" s="2172">
        <f t="shared" si="90"/>
        <v>6.2924500762075164</v>
      </c>
      <c r="AN267" s="2172">
        <f t="shared" si="90"/>
        <v>6.4060291474944888</v>
      </c>
      <c r="AO267" s="2172">
        <f t="shared" si="90"/>
        <v>6.5176162151593608</v>
      </c>
      <c r="AP267" s="2172">
        <f t="shared" si="90"/>
        <v>6.6273257255431783</v>
      </c>
      <c r="AQ267" s="2172">
        <f t="shared" si="90"/>
        <v>6.7352645258210009</v>
      </c>
    </row>
    <row r="268" spans="2:43" x14ac:dyDescent="0.2">
      <c r="B268" s="2154"/>
      <c r="C268" s="2173"/>
      <c r="D268" s="2163"/>
      <c r="E268" s="2163"/>
      <c r="F268" s="2164"/>
      <c r="G268" s="2163"/>
      <c r="H268" s="2163"/>
      <c r="I268" s="2163"/>
      <c r="J268" s="2163"/>
      <c r="K268" s="2163"/>
      <c r="L268" s="2163"/>
      <c r="M268" s="2163"/>
      <c r="N268" s="2163"/>
      <c r="O268" s="2163"/>
      <c r="P268" s="2163"/>
      <c r="Q268" s="2163"/>
      <c r="R268" s="2163"/>
      <c r="S268" s="2163"/>
      <c r="T268" s="2163"/>
      <c r="U268" s="2163"/>
      <c r="V268" s="2163"/>
      <c r="W268" s="2163"/>
      <c r="X268" s="2163"/>
      <c r="Y268" s="2163"/>
      <c r="Z268" s="2163"/>
      <c r="AA268" s="2163"/>
      <c r="AB268" s="2163"/>
      <c r="AC268" s="2163"/>
      <c r="AD268" s="2163"/>
      <c r="AE268" s="2163"/>
      <c r="AF268" s="2163"/>
      <c r="AG268" s="2163"/>
      <c r="AH268" s="2163"/>
      <c r="AI268" s="2163"/>
      <c r="AJ268" s="2163"/>
      <c r="AK268" s="2163"/>
      <c r="AL268" s="2163"/>
      <c r="AM268" s="2163"/>
      <c r="AN268" s="2163"/>
      <c r="AO268" s="2163"/>
      <c r="AP268" s="2163"/>
      <c r="AQ268" s="2163"/>
    </row>
    <row r="269" spans="2:43" x14ac:dyDescent="0.2">
      <c r="B269" s="2154"/>
      <c r="C269" s="2155" t="s">
        <v>1188</v>
      </c>
      <c r="D269" s="2156"/>
      <c r="E269" s="2157"/>
      <c r="F269" s="2157"/>
      <c r="G269" s="2157"/>
      <c r="H269" s="2157"/>
      <c r="I269" s="2157"/>
      <c r="J269" s="2157"/>
      <c r="K269" s="2157"/>
      <c r="L269" s="2157"/>
      <c r="M269" s="2157"/>
      <c r="N269" s="2157"/>
      <c r="O269" s="2157"/>
      <c r="P269" s="2157"/>
      <c r="Q269" s="2157"/>
      <c r="R269" s="2157"/>
      <c r="S269" s="2157"/>
      <c r="T269" s="2157"/>
      <c r="U269" s="2157"/>
      <c r="V269" s="2157"/>
      <c r="W269" s="2157"/>
      <c r="X269" s="2157"/>
      <c r="Y269" s="2157"/>
      <c r="Z269" s="2157"/>
      <c r="AA269" s="2157"/>
      <c r="AB269" s="2157"/>
      <c r="AC269" s="2157"/>
      <c r="AD269" s="2157"/>
      <c r="AE269" s="2157"/>
      <c r="AF269" s="2157"/>
      <c r="AG269" s="2157"/>
      <c r="AH269" s="2157"/>
      <c r="AI269" s="2157"/>
      <c r="AJ269" s="2157"/>
      <c r="AK269" s="2157"/>
      <c r="AL269" s="2157"/>
      <c r="AM269" s="2157"/>
      <c r="AN269" s="2157"/>
      <c r="AO269" s="2157"/>
      <c r="AP269" s="2157"/>
      <c r="AQ269" s="2157"/>
    </row>
    <row r="270" spans="2:43" x14ac:dyDescent="0.2">
      <c r="B270" s="2154"/>
      <c r="C270" s="2158" t="s">
        <v>242</v>
      </c>
      <c r="D270" s="2159" t="s">
        <v>1029</v>
      </c>
      <c r="E270" s="2159" t="s">
        <v>8</v>
      </c>
      <c r="F270" s="2160"/>
      <c r="G270" s="2159">
        <v>2014</v>
      </c>
      <c r="H270" s="2159">
        <v>2015</v>
      </c>
      <c r="I270" s="2159">
        <v>2016</v>
      </c>
      <c r="J270" s="2159">
        <v>2017</v>
      </c>
      <c r="K270" s="2159">
        <v>2018</v>
      </c>
      <c r="L270" s="2159">
        <v>2019</v>
      </c>
      <c r="M270" s="2159">
        <v>2020</v>
      </c>
      <c r="N270" s="2159">
        <v>2021</v>
      </c>
      <c r="O270" s="2159">
        <v>2022</v>
      </c>
      <c r="P270" s="2159">
        <v>2023</v>
      </c>
      <c r="Q270" s="2159">
        <v>2024</v>
      </c>
      <c r="R270" s="2159">
        <v>2025</v>
      </c>
      <c r="S270" s="2159">
        <v>2026</v>
      </c>
      <c r="T270" s="2159">
        <v>2027</v>
      </c>
      <c r="U270" s="2159">
        <v>2028</v>
      </c>
      <c r="V270" s="2159">
        <v>2029</v>
      </c>
      <c r="W270" s="2159">
        <v>2030</v>
      </c>
      <c r="X270" s="2159">
        <v>2031</v>
      </c>
      <c r="Y270" s="2159">
        <v>2032</v>
      </c>
      <c r="Z270" s="2159">
        <v>2033</v>
      </c>
      <c r="AA270" s="2159">
        <v>2034</v>
      </c>
      <c r="AB270" s="2159">
        <v>2035</v>
      </c>
      <c r="AC270" s="2159">
        <v>2036</v>
      </c>
      <c r="AD270" s="2159">
        <v>2037</v>
      </c>
      <c r="AE270" s="2159">
        <v>2038</v>
      </c>
      <c r="AF270" s="2159">
        <v>2039</v>
      </c>
      <c r="AG270" s="2159">
        <v>2040</v>
      </c>
      <c r="AH270" s="2159">
        <v>2041</v>
      </c>
      <c r="AI270" s="2159">
        <v>2042</v>
      </c>
      <c r="AJ270" s="2159">
        <v>2043</v>
      </c>
      <c r="AK270" s="2159">
        <v>2044</v>
      </c>
      <c r="AL270" s="2159">
        <v>2045</v>
      </c>
      <c r="AM270" s="2159">
        <v>2046</v>
      </c>
      <c r="AN270" s="2159">
        <v>2047</v>
      </c>
      <c r="AO270" s="2159">
        <v>2048</v>
      </c>
      <c r="AP270" s="2159">
        <v>2049</v>
      </c>
      <c r="AQ270" s="2159">
        <v>2050</v>
      </c>
    </row>
    <row r="271" spans="2:43" x14ac:dyDescent="0.2">
      <c r="B271" s="2154"/>
      <c r="C271" s="2174" t="s">
        <v>445</v>
      </c>
      <c r="D271" s="2175" t="s">
        <v>1163</v>
      </c>
      <c r="E271" s="2176"/>
      <c r="F271" s="2177"/>
      <c r="G271" s="2178">
        <f>-G225</f>
        <v>-9.092879999999999E-2</v>
      </c>
      <c r="H271" s="2178">
        <f t="shared" ref="H271:AQ271" si="91">-H225</f>
        <v>-9.092879999999999E-2</v>
      </c>
      <c r="I271" s="2178">
        <f t="shared" si="91"/>
        <v>-9.092879999999999E-2</v>
      </c>
      <c r="J271" s="2178">
        <f t="shared" si="91"/>
        <v>-9.092879999999999E-2</v>
      </c>
      <c r="K271" s="2178">
        <f t="shared" si="91"/>
        <v>-9.092879999999999E-2</v>
      </c>
      <c r="L271" s="2178">
        <f t="shared" si="91"/>
        <v>-9.092879999999999E-2</v>
      </c>
      <c r="M271" s="2178">
        <f t="shared" si="91"/>
        <v>-0.1212384</v>
      </c>
      <c r="N271" s="2178">
        <f t="shared" si="91"/>
        <v>-0.1212384</v>
      </c>
      <c r="O271" s="2178">
        <f t="shared" si="91"/>
        <v>-0.1212384</v>
      </c>
      <c r="P271" s="2178">
        <f t="shared" si="91"/>
        <v>-0.1212384</v>
      </c>
      <c r="Q271" s="2178">
        <f t="shared" si="91"/>
        <v>-0.1212384</v>
      </c>
      <c r="R271" s="2178">
        <f t="shared" si="91"/>
        <v>-0.14245511999999999</v>
      </c>
      <c r="S271" s="2178">
        <f t="shared" si="91"/>
        <v>-0.14245511999999999</v>
      </c>
      <c r="T271" s="2178">
        <f t="shared" si="91"/>
        <v>-0.14245511999999999</v>
      </c>
      <c r="U271" s="2178">
        <f t="shared" si="91"/>
        <v>-0.14245511999999999</v>
      </c>
      <c r="V271" s="2178">
        <f t="shared" si="91"/>
        <v>-0.14245511999999999</v>
      </c>
      <c r="W271" s="2178">
        <f t="shared" si="91"/>
        <v>-0.14245511999999999</v>
      </c>
      <c r="X271" s="2178">
        <f t="shared" si="91"/>
        <v>-0.14245511999999999</v>
      </c>
      <c r="Y271" s="2178">
        <f t="shared" si="91"/>
        <v>-0.14245511999999999</v>
      </c>
      <c r="Z271" s="2178">
        <f t="shared" si="91"/>
        <v>-0.14245511999999999</v>
      </c>
      <c r="AA271" s="2178">
        <f t="shared" si="91"/>
        <v>-0.14245511999999999</v>
      </c>
      <c r="AB271" s="2178">
        <f t="shared" si="91"/>
        <v>-0.14245511999999999</v>
      </c>
      <c r="AC271" s="2178">
        <f t="shared" si="91"/>
        <v>-0.14245511999999999</v>
      </c>
      <c r="AD271" s="2178">
        <f t="shared" si="91"/>
        <v>-0.14245511999999999</v>
      </c>
      <c r="AE271" s="2178">
        <f t="shared" si="91"/>
        <v>-0.14245511999999999</v>
      </c>
      <c r="AF271" s="2178">
        <f t="shared" si="91"/>
        <v>-0.14245511999999999</v>
      </c>
      <c r="AG271" s="2178">
        <f t="shared" si="91"/>
        <v>-0.14245511999999999</v>
      </c>
      <c r="AH271" s="2178">
        <f t="shared" si="91"/>
        <v>-0.14245511999999999</v>
      </c>
      <c r="AI271" s="2178">
        <f t="shared" si="91"/>
        <v>-0.14245511999999999</v>
      </c>
      <c r="AJ271" s="2178">
        <f t="shared" si="91"/>
        <v>-0.14245511999999999</v>
      </c>
      <c r="AK271" s="2178">
        <f t="shared" si="91"/>
        <v>-0.14245511999999999</v>
      </c>
      <c r="AL271" s="2178">
        <f t="shared" si="91"/>
        <v>-0.14245511999999999</v>
      </c>
      <c r="AM271" s="2178">
        <f t="shared" si="91"/>
        <v>-0.14245511999999999</v>
      </c>
      <c r="AN271" s="2178">
        <f t="shared" si="91"/>
        <v>-0.14245511999999999</v>
      </c>
      <c r="AO271" s="2178">
        <f t="shared" si="91"/>
        <v>-0.14245511999999999</v>
      </c>
      <c r="AP271" s="2178">
        <f t="shared" si="91"/>
        <v>-0.14245511999999999</v>
      </c>
      <c r="AQ271" s="2178">
        <f t="shared" si="91"/>
        <v>-0.14245511999999999</v>
      </c>
    </row>
    <row r="272" spans="2:43" x14ac:dyDescent="0.2">
      <c r="B272" s="2154"/>
      <c r="C272" s="2173"/>
      <c r="D272" s="2163"/>
      <c r="E272" s="2163"/>
      <c r="F272" s="2164"/>
      <c r="G272" s="2163"/>
      <c r="H272" s="2163"/>
      <c r="I272" s="2163"/>
      <c r="J272" s="2163"/>
      <c r="K272" s="2163"/>
      <c r="L272" s="2163"/>
      <c r="M272" s="2163"/>
      <c r="N272" s="2163"/>
      <c r="O272" s="2163"/>
      <c r="P272" s="2163"/>
      <c r="Q272" s="2163"/>
      <c r="R272" s="2163"/>
      <c r="S272" s="2163"/>
      <c r="T272" s="2163"/>
      <c r="U272" s="2163"/>
      <c r="V272" s="2163"/>
      <c r="W272" s="2163"/>
      <c r="X272" s="2163"/>
      <c r="Y272" s="2163"/>
      <c r="Z272" s="2163"/>
      <c r="AA272" s="2163"/>
      <c r="AB272" s="2163"/>
      <c r="AC272" s="2163"/>
      <c r="AD272" s="2163"/>
      <c r="AE272" s="2163"/>
      <c r="AF272" s="2163"/>
      <c r="AG272" s="2163"/>
      <c r="AH272" s="2163"/>
      <c r="AI272" s="2163"/>
      <c r="AJ272" s="2163"/>
      <c r="AK272" s="2163"/>
      <c r="AL272" s="2163"/>
      <c r="AM272" s="2163"/>
      <c r="AN272" s="2163"/>
      <c r="AO272" s="2163"/>
      <c r="AP272" s="2163"/>
      <c r="AQ272" s="2163"/>
    </row>
    <row r="273" spans="2:43" x14ac:dyDescent="0.2">
      <c r="B273" s="2154"/>
      <c r="C273" s="2155" t="s">
        <v>1189</v>
      </c>
      <c r="D273" s="2156"/>
      <c r="E273" s="2157"/>
      <c r="F273" s="2157"/>
      <c r="G273" s="2157"/>
      <c r="H273" s="2157"/>
      <c r="I273" s="2157"/>
      <c r="J273" s="2157"/>
      <c r="K273" s="2157"/>
      <c r="L273" s="2157"/>
      <c r="M273" s="2157"/>
      <c r="N273" s="2157"/>
      <c r="O273" s="2157"/>
      <c r="P273" s="2157"/>
      <c r="Q273" s="2157"/>
      <c r="R273" s="2157"/>
      <c r="S273" s="2157"/>
      <c r="T273" s="2157"/>
      <c r="U273" s="2157"/>
      <c r="V273" s="2157"/>
      <c r="W273" s="2157"/>
      <c r="X273" s="2157"/>
      <c r="Y273" s="2157"/>
      <c r="Z273" s="2157"/>
      <c r="AA273" s="2157"/>
      <c r="AB273" s="2157"/>
      <c r="AC273" s="2157"/>
      <c r="AD273" s="2157"/>
      <c r="AE273" s="2157"/>
      <c r="AF273" s="2157"/>
      <c r="AG273" s="2157"/>
      <c r="AH273" s="2157"/>
      <c r="AI273" s="2157"/>
      <c r="AJ273" s="2157"/>
      <c r="AK273" s="2157"/>
      <c r="AL273" s="2157"/>
      <c r="AM273" s="2157"/>
      <c r="AN273" s="2157"/>
      <c r="AO273" s="2157"/>
      <c r="AP273" s="2157"/>
      <c r="AQ273" s="2157"/>
    </row>
    <row r="274" spans="2:43" x14ac:dyDescent="0.2">
      <c r="B274" s="2154"/>
      <c r="C274" s="2158" t="s">
        <v>242</v>
      </c>
      <c r="D274" s="2159" t="s">
        <v>1029</v>
      </c>
      <c r="E274" s="2159" t="s">
        <v>8</v>
      </c>
      <c r="F274" s="2160"/>
      <c r="G274" s="2159">
        <v>2014</v>
      </c>
      <c r="H274" s="2159">
        <v>2015</v>
      </c>
      <c r="I274" s="2159">
        <v>2016</v>
      </c>
      <c r="J274" s="2159">
        <v>2017</v>
      </c>
      <c r="K274" s="2159">
        <v>2018</v>
      </c>
      <c r="L274" s="2159">
        <v>2019</v>
      </c>
      <c r="M274" s="2159">
        <v>2020</v>
      </c>
      <c r="N274" s="2159">
        <v>2021</v>
      </c>
      <c r="O274" s="2159">
        <v>2022</v>
      </c>
      <c r="P274" s="2159">
        <v>2023</v>
      </c>
      <c r="Q274" s="2159">
        <v>2024</v>
      </c>
      <c r="R274" s="2159">
        <v>2025</v>
      </c>
      <c r="S274" s="2159">
        <v>2026</v>
      </c>
      <c r="T274" s="2159">
        <v>2027</v>
      </c>
      <c r="U274" s="2159">
        <v>2028</v>
      </c>
      <c r="V274" s="2159">
        <v>2029</v>
      </c>
      <c r="W274" s="2159">
        <v>2030</v>
      </c>
      <c r="X274" s="2159">
        <v>2031</v>
      </c>
      <c r="Y274" s="2159">
        <v>2032</v>
      </c>
      <c r="Z274" s="2159">
        <v>2033</v>
      </c>
      <c r="AA274" s="2159">
        <v>2034</v>
      </c>
      <c r="AB274" s="2159">
        <v>2035</v>
      </c>
      <c r="AC274" s="2159">
        <v>2036</v>
      </c>
      <c r="AD274" s="2159">
        <v>2037</v>
      </c>
      <c r="AE274" s="2159">
        <v>2038</v>
      </c>
      <c r="AF274" s="2159">
        <v>2039</v>
      </c>
      <c r="AG274" s="2159">
        <v>2040</v>
      </c>
      <c r="AH274" s="2159">
        <v>2041</v>
      </c>
      <c r="AI274" s="2159">
        <v>2042</v>
      </c>
      <c r="AJ274" s="2159">
        <v>2043</v>
      </c>
      <c r="AK274" s="2159">
        <v>2044</v>
      </c>
      <c r="AL274" s="2159">
        <v>2045</v>
      </c>
      <c r="AM274" s="2159">
        <v>2046</v>
      </c>
      <c r="AN274" s="2159">
        <v>2047</v>
      </c>
      <c r="AO274" s="2159">
        <v>2048</v>
      </c>
      <c r="AP274" s="2159">
        <v>2049</v>
      </c>
      <c r="AQ274" s="2159">
        <v>2050</v>
      </c>
    </row>
    <row r="275" spans="2:43" x14ac:dyDescent="0.2">
      <c r="B275" s="2154"/>
      <c r="C275" s="2174" t="s">
        <v>445</v>
      </c>
      <c r="D275" s="2175" t="s">
        <v>1163</v>
      </c>
      <c r="E275" s="2176"/>
      <c r="F275" s="2177"/>
      <c r="G275" s="2178">
        <f>+G267+G271</f>
        <v>2.4214685535564517</v>
      </c>
      <c r="H275" s="2178">
        <f t="shared" ref="H275:AQ275" si="92">+H267+H271</f>
        <v>2.5577334803439324</v>
      </c>
      <c r="I275" s="2178">
        <f t="shared" si="92"/>
        <v>2.6888013223401708</v>
      </c>
      <c r="J275" s="2178">
        <f t="shared" si="92"/>
        <v>2.8165832723260267</v>
      </c>
      <c r="K275" s="2178">
        <f t="shared" si="92"/>
        <v>2.9413511821312679</v>
      </c>
      <c r="L275" s="2178">
        <f t="shared" si="92"/>
        <v>3.0633566952216276</v>
      </c>
      <c r="M275" s="2178">
        <f t="shared" si="92"/>
        <v>3.1525235532624429</v>
      </c>
      <c r="N275" s="2178">
        <f t="shared" si="92"/>
        <v>3.2696870522817529</v>
      </c>
      <c r="O275" s="2178">
        <f t="shared" si="92"/>
        <v>3.388150650543226</v>
      </c>
      <c r="P275" s="2178">
        <f t="shared" si="92"/>
        <v>3.5079672219759734</v>
      </c>
      <c r="Q275" s="2178">
        <f t="shared" si="92"/>
        <v>3.6291882261367352</v>
      </c>
      <c r="R275" s="2178">
        <f t="shared" si="92"/>
        <v>3.7306470365486812</v>
      </c>
      <c r="S275" s="2178">
        <f t="shared" si="92"/>
        <v>3.8548259210902622</v>
      </c>
      <c r="T275" s="2178">
        <f t="shared" si="92"/>
        <v>3.9764148626079541</v>
      </c>
      <c r="U275" s="2178">
        <f t="shared" si="92"/>
        <v>4.0956286869630167</v>
      </c>
      <c r="V275" s="2178">
        <f t="shared" si="92"/>
        <v>4.2126664942869301</v>
      </c>
      <c r="W275" s="2178">
        <f t="shared" si="92"/>
        <v>4.3277129554823119</v>
      </c>
      <c r="X275" s="2178">
        <f t="shared" si="92"/>
        <v>4.4409394686708135</v>
      </c>
      <c r="Y275" s="2178">
        <f t="shared" si="92"/>
        <v>4.5551097379356431</v>
      </c>
      <c r="Z275" s="2178">
        <f t="shared" si="92"/>
        <v>4.670259389856624</v>
      </c>
      <c r="AA275" s="2178">
        <f t="shared" si="92"/>
        <v>4.7864228183549438</v>
      </c>
      <c r="AB275" s="2178">
        <f t="shared" si="92"/>
        <v>4.9036333977425981</v>
      </c>
      <c r="AC275" s="2178">
        <f t="shared" si="92"/>
        <v>5.0219234355501126</v>
      </c>
      <c r="AD275" s="2178">
        <f t="shared" si="92"/>
        <v>5.1380833074587686</v>
      </c>
      <c r="AE275" s="2178">
        <f t="shared" si="92"/>
        <v>5.2522805734878091</v>
      </c>
      <c r="AF275" s="2178">
        <f t="shared" si="92"/>
        <v>5.3646706806459479</v>
      </c>
      <c r="AG275" s="2178">
        <f t="shared" si="92"/>
        <v>5.4753979396998824</v>
      </c>
      <c r="AH275" s="2178">
        <f t="shared" si="92"/>
        <v>5.584596271124699</v>
      </c>
      <c r="AI275" s="2178">
        <f t="shared" si="92"/>
        <v>5.6950780317362284</v>
      </c>
      <c r="AJ275" s="2178">
        <f t="shared" si="92"/>
        <v>5.8068508201237954</v>
      </c>
      <c r="AK275" s="2178">
        <f t="shared" si="92"/>
        <v>5.9199225184835491</v>
      </c>
      <c r="AL275" s="2178">
        <f t="shared" si="92"/>
        <v>6.0343011547872427</v>
      </c>
      <c r="AM275" s="2178">
        <f t="shared" si="92"/>
        <v>6.1499949562075162</v>
      </c>
      <c r="AN275" s="2178">
        <f t="shared" si="92"/>
        <v>6.2635740274944887</v>
      </c>
      <c r="AO275" s="2178">
        <f t="shared" si="92"/>
        <v>6.3751610951593607</v>
      </c>
      <c r="AP275" s="2178">
        <f t="shared" si="92"/>
        <v>6.4848706055431782</v>
      </c>
      <c r="AQ275" s="2178">
        <f t="shared" si="92"/>
        <v>6.5928094058210007</v>
      </c>
    </row>
    <row r="276" spans="2:43" x14ac:dyDescent="0.2">
      <c r="B276" s="2154"/>
      <c r="C276" s="2154"/>
      <c r="D276" s="2154"/>
      <c r="E276" s="2154"/>
      <c r="F276" s="2154"/>
      <c r="G276" s="2154"/>
      <c r="H276" s="2154"/>
      <c r="I276" s="2154"/>
      <c r="J276" s="2154"/>
      <c r="K276" s="2154"/>
      <c r="L276" s="2154"/>
      <c r="M276" s="2154"/>
      <c r="N276" s="2154"/>
      <c r="O276" s="2154"/>
      <c r="P276" s="2154"/>
      <c r="Q276" s="2154"/>
      <c r="R276" s="2154"/>
      <c r="S276" s="2154"/>
      <c r="T276" s="2154"/>
      <c r="U276" s="2154"/>
      <c r="V276" s="2154"/>
      <c r="W276" s="2154"/>
      <c r="X276" s="2154"/>
      <c r="Y276" s="2154"/>
      <c r="Z276" s="2154"/>
      <c r="AA276" s="2154"/>
      <c r="AB276" s="2154"/>
      <c r="AC276" s="2154"/>
      <c r="AD276" s="2154"/>
      <c r="AE276" s="2154"/>
      <c r="AF276" s="2154"/>
      <c r="AG276" s="2154"/>
      <c r="AH276" s="2154"/>
      <c r="AI276" s="2154"/>
      <c r="AJ276" s="2154"/>
      <c r="AK276" s="2154"/>
      <c r="AL276" s="2154"/>
      <c r="AM276" s="2154"/>
      <c r="AN276" s="2154"/>
      <c r="AO276" s="2154"/>
      <c r="AP276" s="2154"/>
      <c r="AQ276" s="2154"/>
    </row>
    <row r="277" spans="2:43" x14ac:dyDescent="0.2">
      <c r="B277" s="2154"/>
      <c r="C277" s="2155" t="s">
        <v>1190</v>
      </c>
      <c r="D277" s="2156"/>
      <c r="E277" s="2157"/>
      <c r="F277" s="2157"/>
      <c r="G277" s="2157"/>
      <c r="H277" s="2157"/>
      <c r="I277" s="2157"/>
      <c r="J277" s="2157"/>
      <c r="K277" s="2157"/>
      <c r="L277" s="2157"/>
      <c r="M277" s="2157"/>
      <c r="N277" s="2157"/>
      <c r="O277" s="2157"/>
      <c r="P277" s="2157"/>
      <c r="Q277" s="2157"/>
      <c r="R277" s="2157"/>
      <c r="S277" s="2157"/>
      <c r="T277" s="2157"/>
      <c r="U277" s="2157"/>
      <c r="V277" s="2157"/>
      <c r="W277" s="2157"/>
      <c r="X277" s="2157"/>
      <c r="Y277" s="2157"/>
      <c r="Z277" s="2157"/>
      <c r="AA277" s="2157"/>
      <c r="AB277" s="2157"/>
      <c r="AC277" s="2157"/>
      <c r="AD277" s="2157"/>
      <c r="AE277" s="2157"/>
      <c r="AF277" s="2157"/>
      <c r="AG277" s="2157"/>
      <c r="AH277" s="2157"/>
      <c r="AI277" s="2157"/>
      <c r="AJ277" s="2157"/>
      <c r="AK277" s="2157"/>
      <c r="AL277" s="2157"/>
      <c r="AM277" s="2157"/>
      <c r="AN277" s="2157"/>
      <c r="AO277" s="2157"/>
      <c r="AP277" s="2157"/>
      <c r="AQ277" s="2157"/>
    </row>
    <row r="278" spans="2:43" x14ac:dyDescent="0.2">
      <c r="B278" s="2154"/>
      <c r="C278" s="2158" t="s">
        <v>242</v>
      </c>
      <c r="D278" s="2159" t="s">
        <v>1029</v>
      </c>
      <c r="E278" s="2159" t="s">
        <v>8</v>
      </c>
      <c r="F278" s="2160"/>
      <c r="G278" s="2159">
        <v>2014</v>
      </c>
      <c r="H278" s="2159">
        <v>2015</v>
      </c>
      <c r="I278" s="2159">
        <v>2016</v>
      </c>
      <c r="J278" s="2159">
        <v>2017</v>
      </c>
      <c r="K278" s="2159">
        <v>2018</v>
      </c>
      <c r="L278" s="2159">
        <v>2019</v>
      </c>
      <c r="M278" s="2159">
        <v>2020</v>
      </c>
      <c r="N278" s="2159">
        <v>2021</v>
      </c>
      <c r="O278" s="2159">
        <v>2022</v>
      </c>
      <c r="P278" s="2159">
        <v>2023</v>
      </c>
      <c r="Q278" s="2159">
        <v>2024</v>
      </c>
      <c r="R278" s="2159">
        <v>2025</v>
      </c>
      <c r="S278" s="2159">
        <v>2026</v>
      </c>
      <c r="T278" s="2159">
        <v>2027</v>
      </c>
      <c r="U278" s="2159">
        <v>2028</v>
      </c>
      <c r="V278" s="2159">
        <v>2029</v>
      </c>
      <c r="W278" s="2159">
        <v>2030</v>
      </c>
      <c r="X278" s="2159">
        <v>2031</v>
      </c>
      <c r="Y278" s="2159">
        <v>2032</v>
      </c>
      <c r="Z278" s="2159">
        <v>2033</v>
      </c>
      <c r="AA278" s="2159">
        <v>2034</v>
      </c>
      <c r="AB278" s="2159">
        <v>2035</v>
      </c>
      <c r="AC278" s="2159">
        <v>2036</v>
      </c>
      <c r="AD278" s="2159">
        <v>2037</v>
      </c>
      <c r="AE278" s="2159">
        <v>2038</v>
      </c>
      <c r="AF278" s="2159">
        <v>2039</v>
      </c>
      <c r="AG278" s="2159">
        <v>2040</v>
      </c>
      <c r="AH278" s="2159">
        <v>2041</v>
      </c>
      <c r="AI278" s="2159">
        <v>2042</v>
      </c>
      <c r="AJ278" s="2159">
        <v>2043</v>
      </c>
      <c r="AK278" s="2159">
        <v>2044</v>
      </c>
      <c r="AL278" s="2159">
        <v>2045</v>
      </c>
      <c r="AM278" s="2159">
        <v>2046</v>
      </c>
      <c r="AN278" s="2159">
        <v>2047</v>
      </c>
      <c r="AO278" s="2159">
        <v>2048</v>
      </c>
      <c r="AP278" s="2159">
        <v>2049</v>
      </c>
      <c r="AQ278" s="2159">
        <v>2050</v>
      </c>
    </row>
    <row r="279" spans="2:43" x14ac:dyDescent="0.2">
      <c r="B279" s="2154"/>
      <c r="C279" s="2179" t="s">
        <v>1191</v>
      </c>
      <c r="D279" s="2162" t="s">
        <v>1163</v>
      </c>
      <c r="E279" s="2163"/>
      <c r="F279" s="2164"/>
      <c r="G279" s="2180">
        <f>+G275</f>
        <v>2.4214685535564517</v>
      </c>
      <c r="H279" s="2180">
        <f t="shared" ref="H279:AQ279" si="93">+H275</f>
        <v>2.5577334803439324</v>
      </c>
      <c r="I279" s="2180">
        <f t="shared" si="93"/>
        <v>2.6888013223401708</v>
      </c>
      <c r="J279" s="2180">
        <f t="shared" si="93"/>
        <v>2.8165832723260267</v>
      </c>
      <c r="K279" s="2180">
        <f t="shared" si="93"/>
        <v>2.9413511821312679</v>
      </c>
      <c r="L279" s="2180">
        <f t="shared" si="93"/>
        <v>3.0633566952216276</v>
      </c>
      <c r="M279" s="2180">
        <f t="shared" si="93"/>
        <v>3.1525235532624429</v>
      </c>
      <c r="N279" s="2180">
        <f t="shared" si="93"/>
        <v>3.2696870522817529</v>
      </c>
      <c r="O279" s="2180">
        <f t="shared" si="93"/>
        <v>3.388150650543226</v>
      </c>
      <c r="P279" s="2180">
        <f t="shared" si="93"/>
        <v>3.5079672219759734</v>
      </c>
      <c r="Q279" s="2180">
        <f t="shared" si="93"/>
        <v>3.6291882261367352</v>
      </c>
      <c r="R279" s="2180">
        <f t="shared" si="93"/>
        <v>3.7306470365486812</v>
      </c>
      <c r="S279" s="2180">
        <f t="shared" si="93"/>
        <v>3.8548259210902622</v>
      </c>
      <c r="T279" s="2180">
        <f t="shared" si="93"/>
        <v>3.9764148626079541</v>
      </c>
      <c r="U279" s="2180">
        <f t="shared" si="93"/>
        <v>4.0956286869630167</v>
      </c>
      <c r="V279" s="2180">
        <f t="shared" si="93"/>
        <v>4.2126664942869301</v>
      </c>
      <c r="W279" s="2180">
        <f t="shared" si="93"/>
        <v>4.3277129554823119</v>
      </c>
      <c r="X279" s="2180">
        <f t="shared" si="93"/>
        <v>4.4409394686708135</v>
      </c>
      <c r="Y279" s="2180">
        <f t="shared" si="93"/>
        <v>4.5551097379356431</v>
      </c>
      <c r="Z279" s="2180">
        <f t="shared" si="93"/>
        <v>4.670259389856624</v>
      </c>
      <c r="AA279" s="2180">
        <f t="shared" si="93"/>
        <v>4.7864228183549438</v>
      </c>
      <c r="AB279" s="2180">
        <f t="shared" si="93"/>
        <v>4.9036333977425981</v>
      </c>
      <c r="AC279" s="2180">
        <f t="shared" si="93"/>
        <v>5.0219234355501126</v>
      </c>
      <c r="AD279" s="2180">
        <f t="shared" si="93"/>
        <v>5.1380833074587686</v>
      </c>
      <c r="AE279" s="2180">
        <f t="shared" si="93"/>
        <v>5.2522805734878091</v>
      </c>
      <c r="AF279" s="2180">
        <f t="shared" si="93"/>
        <v>5.3646706806459479</v>
      </c>
      <c r="AG279" s="2180">
        <f t="shared" si="93"/>
        <v>5.4753979396998824</v>
      </c>
      <c r="AH279" s="2180">
        <f t="shared" si="93"/>
        <v>5.584596271124699</v>
      </c>
      <c r="AI279" s="2180">
        <f t="shared" si="93"/>
        <v>5.6950780317362284</v>
      </c>
      <c r="AJ279" s="2180">
        <f t="shared" si="93"/>
        <v>5.8068508201237954</v>
      </c>
      <c r="AK279" s="2180">
        <f t="shared" si="93"/>
        <v>5.9199225184835491</v>
      </c>
      <c r="AL279" s="2180">
        <f t="shared" si="93"/>
        <v>6.0343011547872427</v>
      </c>
      <c r="AM279" s="2180">
        <f t="shared" si="93"/>
        <v>6.1499949562075162</v>
      </c>
      <c r="AN279" s="2180">
        <f t="shared" si="93"/>
        <v>6.2635740274944887</v>
      </c>
      <c r="AO279" s="2180">
        <f t="shared" si="93"/>
        <v>6.3751610951593607</v>
      </c>
      <c r="AP279" s="2180">
        <f t="shared" si="93"/>
        <v>6.4848706055431782</v>
      </c>
      <c r="AQ279" s="2180">
        <f t="shared" si="93"/>
        <v>6.5928094058210007</v>
      </c>
    </row>
    <row r="280" spans="2:43" x14ac:dyDescent="0.2">
      <c r="B280" s="2154"/>
      <c r="C280" s="2179" t="s">
        <v>1192</v>
      </c>
      <c r="D280" s="2162" t="s">
        <v>1163</v>
      </c>
      <c r="E280" s="2162" t="s">
        <v>1193</v>
      </c>
      <c r="F280" s="2164"/>
      <c r="G280" s="2180">
        <v>4.1775385042491846E-4</v>
      </c>
      <c r="H280" s="2180">
        <v>4.1775385042491846E-4</v>
      </c>
      <c r="I280" s="2180">
        <f>+H280+($M280-H280)/($M$278-H$278)</f>
        <v>4.2108119422855616E-4</v>
      </c>
      <c r="J280" s="2180">
        <f>+I280+($M280-I280)/($M$278-I$278)</f>
        <v>4.2440853803219386E-4</v>
      </c>
      <c r="K280" s="2180">
        <f>+J280+($M280-J280)/($M$278-J$278)</f>
        <v>4.2773588183583157E-4</v>
      </c>
      <c r="L280" s="2180">
        <f>+K280+($M280-K280)/($M$278-K$278)</f>
        <v>4.3106322563946922E-4</v>
      </c>
      <c r="M280" s="2180">
        <v>4.3439056944310692E-4</v>
      </c>
      <c r="N280" s="2180">
        <f t="shared" ref="N280:Q283" si="94">+M280+($R280-M280)/($R$278-M$278)</f>
        <v>4.3684584026343066E-4</v>
      </c>
      <c r="O280" s="2180">
        <f>+N280+($R280-N280)/($R$278-N$278)</f>
        <v>4.3930111108375441E-4</v>
      </c>
      <c r="P280" s="2180">
        <f>+O280+($R280-O280)/($R$278-O$278)</f>
        <v>4.417563819040782E-4</v>
      </c>
      <c r="Q280" s="2180">
        <f>+P280+($R280-P280)/($R$278-P$278)</f>
        <v>4.44211652724402E-4</v>
      </c>
      <c r="R280" s="2180">
        <v>4.4666692354472574E-4</v>
      </c>
      <c r="S280" s="2180">
        <f t="shared" ref="S280:U283" si="95">+R280+($W280-R280)/($W$278-R$278)</f>
        <v>4.4878183742955705E-4</v>
      </c>
      <c r="T280" s="2180">
        <f t="shared" si="95"/>
        <v>4.5089675131438842E-4</v>
      </c>
      <c r="U280" s="2180">
        <f>+T280+($W280-T280)/($W$278-T$278)</f>
        <v>4.5301166519921973E-4</v>
      </c>
      <c r="V280" s="2180">
        <f>+U280+($W280-U280)/($W$278-U$278)</f>
        <v>4.5512657908405104E-4</v>
      </c>
      <c r="W280" s="2180">
        <v>4.572414929688824E-4</v>
      </c>
      <c r="X280" s="2180">
        <f>+W280+($AB280-W280)/($AB$278-W$278)</f>
        <v>4.5874479449640348E-4</v>
      </c>
      <c r="Y280" s="2180">
        <f>+X280+($AB280-X280)/($AB$278-X$278)</f>
        <v>4.6024809602392461E-4</v>
      </c>
      <c r="Z280" s="2180">
        <f>+Y280+($AB280-Y280)/($AB$278-Y$278)</f>
        <v>4.6175139755144569E-4</v>
      </c>
      <c r="AA280" s="2180">
        <f>+Z280+($AB280-Z280)/($AB$278-Z$278)</f>
        <v>4.6325469907896677E-4</v>
      </c>
      <c r="AB280" s="2180">
        <v>4.6475800060648791E-4</v>
      </c>
      <c r="AC280" s="2180">
        <f t="shared" ref="AC280:AE283" si="96">+AB280+($AG280-AB280)/($AG$278-AB$278)</f>
        <v>4.6568181995556619E-4</v>
      </c>
      <c r="AD280" s="2180">
        <f t="shared" si="96"/>
        <v>4.6660563930464447E-4</v>
      </c>
      <c r="AE280" s="2180">
        <f>+AD280+($AG280-AD280)/($AG$278-AD$278)</f>
        <v>4.6752945865372275E-4</v>
      </c>
      <c r="AF280" s="2180">
        <f>+AE280+($AG280-AE280)/($AG$278-AE$278)</f>
        <v>4.6845327800280098E-4</v>
      </c>
      <c r="AG280" s="2180">
        <v>4.6937709735187926E-4</v>
      </c>
      <c r="AH280" s="2180">
        <f>+AG280+($AL280-AG280)/($AL$278-AG$278)</f>
        <v>4.6974944048381543E-4</v>
      </c>
      <c r="AI280" s="2180">
        <f>+AH280+($AL280-AH280)/($AL$278-AH$278)</f>
        <v>4.701217836157516E-4</v>
      </c>
      <c r="AJ280" s="2180">
        <f>+AI280+($AL280-AI280)/($AL$278-AI$278)</f>
        <v>4.7049412674768777E-4</v>
      </c>
      <c r="AK280" s="2180">
        <f>+AJ280+($AL280-AJ280)/($AL$278-AJ$278)</f>
        <v>4.7086646987962394E-4</v>
      </c>
      <c r="AL280" s="2180">
        <v>4.7123881301156011E-4</v>
      </c>
      <c r="AM280" s="2180">
        <f t="shared" ref="AM280:AP283" si="97">+AL280+($AQ280-AL280)/($AQ$278-AL$278)</f>
        <v>4.7128547699740669E-4</v>
      </c>
      <c r="AN280" s="2180">
        <f>+AM280+($AQ280-AM280)/($AQ$278-AM$278)</f>
        <v>4.7133214098325326E-4</v>
      </c>
      <c r="AO280" s="2180">
        <f>+AN280+($AQ280-AN280)/($AQ$278-AN$278)</f>
        <v>4.7137880496909989E-4</v>
      </c>
      <c r="AP280" s="2180">
        <f>+AO280+($AQ280-AO280)/($AQ$278-AO$278)</f>
        <v>4.7142546895494652E-4</v>
      </c>
      <c r="AQ280" s="2180">
        <v>4.714721329407931E-4</v>
      </c>
    </row>
    <row r="281" spans="2:43" x14ac:dyDescent="0.2">
      <c r="B281" s="2154"/>
      <c r="C281" s="2179" t="s">
        <v>1194</v>
      </c>
      <c r="D281" s="2162" t="s">
        <v>1163</v>
      </c>
      <c r="E281" s="2162" t="s">
        <v>1193</v>
      </c>
      <c r="F281" s="2164"/>
      <c r="G281" s="2180">
        <v>0.50423767307517664</v>
      </c>
      <c r="H281" s="2180">
        <v>0.50423767307517664</v>
      </c>
      <c r="I281" s="2180">
        <f t="shared" ref="I281:L283" si="98">+H281+($M281-H281)/($M$278-H$278)</f>
        <v>0.52267380254818341</v>
      </c>
      <c r="J281" s="2180">
        <f t="shared" si="98"/>
        <v>0.54110993202119007</v>
      </c>
      <c r="K281" s="2180">
        <f t="shared" si="98"/>
        <v>0.55954606149419683</v>
      </c>
      <c r="L281" s="2180">
        <f t="shared" si="98"/>
        <v>0.5779821909672036</v>
      </c>
      <c r="M281" s="2180">
        <v>0.59641832044021026</v>
      </c>
      <c r="N281" s="2180">
        <f t="shared" si="94"/>
        <v>0.61485444991321703</v>
      </c>
      <c r="O281" s="2180">
        <f t="shared" si="94"/>
        <v>0.6332905793862238</v>
      </c>
      <c r="P281" s="2180">
        <f t="shared" si="94"/>
        <v>0.65172670885923056</v>
      </c>
      <c r="Q281" s="2180">
        <f t="shared" si="94"/>
        <v>0.67016283833223733</v>
      </c>
      <c r="R281" s="2180">
        <v>0.68859896780524399</v>
      </c>
      <c r="S281" s="2180">
        <f t="shared" si="95"/>
        <v>0.70703509727825076</v>
      </c>
      <c r="T281" s="2180">
        <f t="shared" si="95"/>
        <v>0.72547122675125753</v>
      </c>
      <c r="U281" s="2180">
        <f t="shared" si="95"/>
        <v>0.74390735622426418</v>
      </c>
      <c r="V281" s="2180">
        <f>+U281+($W281-U281)/($W$278-U$278)</f>
        <v>0.76234348569727084</v>
      </c>
      <c r="W281" s="2180">
        <v>0.78077961517027761</v>
      </c>
      <c r="X281" s="2180">
        <f t="shared" ref="X281:AA283" si="99">+W281+($AB281-W281)/($AB$278-W$278)</f>
        <v>0.79921574464328438</v>
      </c>
      <c r="Y281" s="2180">
        <f t="shared" si="99"/>
        <v>0.81765187411629114</v>
      </c>
      <c r="Z281" s="2180">
        <f t="shared" si="99"/>
        <v>0.83608800358929791</v>
      </c>
      <c r="AA281" s="2180">
        <f t="shared" si="99"/>
        <v>0.85452413306230457</v>
      </c>
      <c r="AB281" s="2180">
        <v>0.87296026253531134</v>
      </c>
      <c r="AC281" s="2180">
        <f t="shared" si="96"/>
        <v>0.89139639200831811</v>
      </c>
      <c r="AD281" s="2180">
        <f t="shared" si="96"/>
        <v>0.90983252148132487</v>
      </c>
      <c r="AE281" s="2180">
        <f t="shared" si="96"/>
        <v>0.92826865095433164</v>
      </c>
      <c r="AF281" s="2180">
        <f>+AE281+($AG281-AE281)/($AG$278-AE$278)</f>
        <v>0.9467047804273383</v>
      </c>
      <c r="AG281" s="2180">
        <v>0.96514090990034507</v>
      </c>
      <c r="AH281" s="2180">
        <f t="shared" ref="AH281:AK283" si="100">+AG281+($AL281-AG281)/($AL$278-AG$278)</f>
        <v>0.98357703937335184</v>
      </c>
      <c r="AI281" s="2180">
        <f t="shared" si="100"/>
        <v>1.0020131688463585</v>
      </c>
      <c r="AJ281" s="2180">
        <f t="shared" si="100"/>
        <v>1.0204492983193652</v>
      </c>
      <c r="AK281" s="2180">
        <f t="shared" si="100"/>
        <v>1.0388854277923718</v>
      </c>
      <c r="AL281" s="2180">
        <v>1.0573215572653787</v>
      </c>
      <c r="AM281" s="2180">
        <f t="shared" si="97"/>
        <v>1.0757576867383853</v>
      </c>
      <c r="AN281" s="2180">
        <f t="shared" si="97"/>
        <v>1.094193816211392</v>
      </c>
      <c r="AO281" s="2180">
        <f t="shared" si="97"/>
        <v>1.1126299456843989</v>
      </c>
      <c r="AP281" s="2180">
        <f t="shared" si="97"/>
        <v>1.1310660751574058</v>
      </c>
      <c r="AQ281" s="2180">
        <v>1.1495022046304124</v>
      </c>
    </row>
    <row r="282" spans="2:43" x14ac:dyDescent="0.2">
      <c r="B282" s="2154"/>
      <c r="C282" s="2179" t="s">
        <v>1195</v>
      </c>
      <c r="D282" s="2162" t="s">
        <v>1163</v>
      </c>
      <c r="E282" s="2162" t="s">
        <v>1193</v>
      </c>
      <c r="F282" s="2164"/>
      <c r="G282" s="2180">
        <v>1.5553645676709566E-2</v>
      </c>
      <c r="H282" s="2180">
        <v>1.5553645676709566E-2</v>
      </c>
      <c r="I282" s="2180">
        <f t="shared" si="98"/>
        <v>1.5554580110435881E-2</v>
      </c>
      <c r="J282" s="2180">
        <f t="shared" si="98"/>
        <v>1.5555514544162196E-2</v>
      </c>
      <c r="K282" s="2180">
        <f t="shared" si="98"/>
        <v>1.555644897788851E-2</v>
      </c>
      <c r="L282" s="2180">
        <f t="shared" si="98"/>
        <v>1.5557383411614827E-2</v>
      </c>
      <c r="M282" s="2180">
        <v>1.5558317845341141E-2</v>
      </c>
      <c r="N282" s="2180">
        <f t="shared" si="94"/>
        <v>1.5559252279067456E-2</v>
      </c>
      <c r="O282" s="2180">
        <f t="shared" si="94"/>
        <v>1.556018671279377E-2</v>
      </c>
      <c r="P282" s="2180">
        <f t="shared" si="94"/>
        <v>1.5561121146520085E-2</v>
      </c>
      <c r="Q282" s="2180">
        <f t="shared" si="94"/>
        <v>1.55620555802464E-2</v>
      </c>
      <c r="R282" s="2180">
        <v>1.5562990013972714E-2</v>
      </c>
      <c r="S282" s="2180">
        <f t="shared" si="95"/>
        <v>1.5563924447699027E-2</v>
      </c>
      <c r="T282" s="2180">
        <f t="shared" si="95"/>
        <v>1.556485888142534E-2</v>
      </c>
      <c r="U282" s="2180">
        <f t="shared" si="95"/>
        <v>1.5565793315151654E-2</v>
      </c>
      <c r="V282" s="2180">
        <f>+U282+($W282-U282)/($W$278-U$278)</f>
        <v>1.5566727748877969E-2</v>
      </c>
      <c r="W282" s="2180">
        <v>1.5567662182604282E-2</v>
      </c>
      <c r="X282" s="2180">
        <f t="shared" si="99"/>
        <v>1.5568596616330598E-2</v>
      </c>
      <c r="Y282" s="2180">
        <f t="shared" si="99"/>
        <v>1.5569531050056915E-2</v>
      </c>
      <c r="Z282" s="2180">
        <f t="shared" si="99"/>
        <v>1.5570465483783231E-2</v>
      </c>
      <c r="AA282" s="2180">
        <f t="shared" si="99"/>
        <v>1.5571399917509547E-2</v>
      </c>
      <c r="AB282" s="2180">
        <v>1.5572334351235863E-2</v>
      </c>
      <c r="AC282" s="2180">
        <f t="shared" si="96"/>
        <v>1.5573268784962178E-2</v>
      </c>
      <c r="AD282" s="2180">
        <f t="shared" si="96"/>
        <v>1.5574203218688493E-2</v>
      </c>
      <c r="AE282" s="2180">
        <f t="shared" si="96"/>
        <v>1.5575137652414806E-2</v>
      </c>
      <c r="AF282" s="2180">
        <f>+AE282+($AG282-AE282)/($AG$278-AE$278)</f>
        <v>1.5576072086141118E-2</v>
      </c>
      <c r="AG282" s="2180">
        <v>1.5577006519867433E-2</v>
      </c>
      <c r="AH282" s="2180">
        <f t="shared" si="100"/>
        <v>1.5577940953593748E-2</v>
      </c>
      <c r="AI282" s="2180">
        <f t="shared" si="100"/>
        <v>1.5578875387320064E-2</v>
      </c>
      <c r="AJ282" s="2180">
        <f t="shared" si="100"/>
        <v>1.5579809821046378E-2</v>
      </c>
      <c r="AK282" s="2180">
        <f t="shared" si="100"/>
        <v>1.5580744254772693E-2</v>
      </c>
      <c r="AL282" s="2180">
        <v>1.5581678688499009E-2</v>
      </c>
      <c r="AM282" s="2180">
        <f t="shared" si="97"/>
        <v>1.5582613122225324E-2</v>
      </c>
      <c r="AN282" s="2180">
        <f t="shared" si="97"/>
        <v>1.5583547555951639E-2</v>
      </c>
      <c r="AO282" s="2180">
        <f t="shared" si="97"/>
        <v>1.5584481989677951E-2</v>
      </c>
      <c r="AP282" s="2180">
        <f t="shared" si="97"/>
        <v>1.5585416423404264E-2</v>
      </c>
      <c r="AQ282" s="2180">
        <v>1.5586350857130579E-2</v>
      </c>
    </row>
    <row r="283" spans="2:43" x14ac:dyDescent="0.2">
      <c r="B283" s="2154"/>
      <c r="C283" s="2179" t="s">
        <v>1196</v>
      </c>
      <c r="D283" s="2162" t="s">
        <v>1163</v>
      </c>
      <c r="E283" s="2162" t="s">
        <v>1193</v>
      </c>
      <c r="F283" s="2164"/>
      <c r="G283" s="2180">
        <v>3.1700598834491202E-2</v>
      </c>
      <c r="H283" s="2180">
        <v>3.1700598834491202E-2</v>
      </c>
      <c r="I283" s="2180">
        <f t="shared" si="98"/>
        <v>3.2077709697257317E-2</v>
      </c>
      <c r="J283" s="2180">
        <f t="shared" si="98"/>
        <v>3.2454820560023433E-2</v>
      </c>
      <c r="K283" s="2180">
        <f t="shared" si="98"/>
        <v>3.2831931422789548E-2</v>
      </c>
      <c r="L283" s="2180">
        <f t="shared" si="98"/>
        <v>3.3209042285555671E-2</v>
      </c>
      <c r="M283" s="2180">
        <v>3.3586153148321786E-2</v>
      </c>
      <c r="N283" s="2180">
        <f t="shared" si="94"/>
        <v>3.3893242427604463E-2</v>
      </c>
      <c r="O283" s="2180">
        <f t="shared" si="94"/>
        <v>3.420033170688714E-2</v>
      </c>
      <c r="P283" s="2180">
        <f t="shared" si="94"/>
        <v>3.4507420986169816E-2</v>
      </c>
      <c r="Q283" s="2180">
        <f t="shared" si="94"/>
        <v>3.4814510265452486E-2</v>
      </c>
      <c r="R283" s="2180">
        <v>3.5121599544735163E-2</v>
      </c>
      <c r="S283" s="2180">
        <f t="shared" si="95"/>
        <v>3.5411729077164132E-2</v>
      </c>
      <c r="T283" s="2180">
        <f t="shared" si="95"/>
        <v>3.5701858609593101E-2</v>
      </c>
      <c r="U283" s="2180">
        <f t="shared" si="95"/>
        <v>3.5991988142022063E-2</v>
      </c>
      <c r="V283" s="2180">
        <f>+U283+($W283-U283)/($W$278-U$278)</f>
        <v>3.6282117674451025E-2</v>
      </c>
      <c r="W283" s="2180">
        <v>3.6572247206879994E-2</v>
      </c>
      <c r="X283" s="2180">
        <f t="shared" si="99"/>
        <v>3.6693734804130483E-2</v>
      </c>
      <c r="Y283" s="2180">
        <f t="shared" si="99"/>
        <v>3.6815222401380979E-2</v>
      </c>
      <c r="Z283" s="2180">
        <f t="shared" si="99"/>
        <v>3.6936709998631467E-2</v>
      </c>
      <c r="AA283" s="2180">
        <f t="shared" si="99"/>
        <v>3.7058197595881956E-2</v>
      </c>
      <c r="AB283" s="2180">
        <v>3.7179685193132452E-2</v>
      </c>
      <c r="AC283" s="2180">
        <f t="shared" si="96"/>
        <v>3.7254342599486651E-2</v>
      </c>
      <c r="AD283" s="2180">
        <f t="shared" si="96"/>
        <v>3.7329000005840857E-2</v>
      </c>
      <c r="AE283" s="2180">
        <f t="shared" si="96"/>
        <v>3.7403657412195056E-2</v>
      </c>
      <c r="AF283" s="2180">
        <f>+AE283+($AG283-AE283)/($AG$278-AE$278)</f>
        <v>3.7478314818549255E-2</v>
      </c>
      <c r="AG283" s="2180">
        <v>3.7552972224903461E-2</v>
      </c>
      <c r="AH283" s="2180">
        <f t="shared" si="100"/>
        <v>3.758306271016109E-2</v>
      </c>
      <c r="AI283" s="2180">
        <f t="shared" si="100"/>
        <v>3.7613153195418719E-2</v>
      </c>
      <c r="AJ283" s="2180">
        <f t="shared" si="100"/>
        <v>3.7643243680676348E-2</v>
      </c>
      <c r="AK283" s="2180">
        <f t="shared" si="100"/>
        <v>3.7673334165933978E-2</v>
      </c>
      <c r="AL283" s="2180">
        <v>3.7703424651191614E-2</v>
      </c>
      <c r="AM283" s="2180">
        <f t="shared" si="97"/>
        <v>3.7707195747950874E-2</v>
      </c>
      <c r="AN283" s="2180">
        <f t="shared" si="97"/>
        <v>3.7710966844710134E-2</v>
      </c>
      <c r="AO283" s="2180">
        <f t="shared" si="97"/>
        <v>3.7714737941469401E-2</v>
      </c>
      <c r="AP283" s="2180">
        <f t="shared" si="97"/>
        <v>3.7718509038228668E-2</v>
      </c>
      <c r="AQ283" s="2180">
        <v>3.7722280134987927E-2</v>
      </c>
    </row>
    <row r="284" spans="2:43" x14ac:dyDescent="0.2">
      <c r="B284" s="2154"/>
      <c r="C284" s="2181" t="s">
        <v>1197</v>
      </c>
      <c r="D284" s="2182" t="s">
        <v>1163</v>
      </c>
      <c r="E284" s="2182"/>
      <c r="F284" s="2183"/>
      <c r="G284" s="2602">
        <f>+SUM(G279:G283)</f>
        <v>2.9733782249932541</v>
      </c>
      <c r="H284" s="2184">
        <f t="shared" ref="H284:AQ284" si="101">+SUM(H279:H283)</f>
        <v>3.1096431517807348</v>
      </c>
      <c r="I284" s="2184">
        <f t="shared" si="101"/>
        <v>3.2595284958902759</v>
      </c>
      <c r="J284" s="2184">
        <f t="shared" si="101"/>
        <v>3.4061279479894346</v>
      </c>
      <c r="K284" s="2184">
        <f t="shared" si="101"/>
        <v>3.5497133599079782</v>
      </c>
      <c r="L284" s="2184">
        <f t="shared" si="101"/>
        <v>3.6905363751116411</v>
      </c>
      <c r="M284" s="2184">
        <f t="shared" si="101"/>
        <v>3.7985207352657593</v>
      </c>
      <c r="N284" s="2184">
        <f t="shared" si="101"/>
        <v>3.9344308427419055</v>
      </c>
      <c r="O284" s="2184">
        <f t="shared" si="101"/>
        <v>4.0716410494602142</v>
      </c>
      <c r="P284" s="2184">
        <f t="shared" si="101"/>
        <v>4.2102042293497988</v>
      </c>
      <c r="Q284" s="2184">
        <f t="shared" si="101"/>
        <v>4.3501718419673967</v>
      </c>
      <c r="R284" s="2184">
        <f t="shared" si="101"/>
        <v>4.4703772608361776</v>
      </c>
      <c r="S284" s="2184">
        <f t="shared" si="101"/>
        <v>4.6132854537308052</v>
      </c>
      <c r="T284" s="2184">
        <f t="shared" si="101"/>
        <v>4.7536037036015433</v>
      </c>
      <c r="U284" s="2184">
        <f t="shared" si="101"/>
        <v>4.8915468363096535</v>
      </c>
      <c r="V284" s="2184">
        <f t="shared" si="101"/>
        <v>5.0273139519866135</v>
      </c>
      <c r="W284" s="2184">
        <f t="shared" si="101"/>
        <v>5.1610897215350429</v>
      </c>
      <c r="X284" s="2184">
        <f t="shared" si="101"/>
        <v>5.2928762895290546</v>
      </c>
      <c r="Y284" s="2184">
        <f t="shared" si="101"/>
        <v>5.4256066135993954</v>
      </c>
      <c r="Z284" s="2184">
        <f t="shared" si="101"/>
        <v>5.5593163203258884</v>
      </c>
      <c r="AA284" s="2184">
        <f t="shared" si="101"/>
        <v>5.6940398036297184</v>
      </c>
      <c r="AB284" s="2184">
        <f t="shared" si="101"/>
        <v>5.8298104378228848</v>
      </c>
      <c r="AC284" s="2184">
        <f t="shared" si="101"/>
        <v>5.9666131207628341</v>
      </c>
      <c r="AD284" s="2184">
        <f t="shared" si="101"/>
        <v>6.1012856378039269</v>
      </c>
      <c r="AE284" s="2184">
        <f t="shared" si="101"/>
        <v>6.233995548965404</v>
      </c>
      <c r="AF284" s="2184">
        <f t="shared" si="101"/>
        <v>6.3648983012559786</v>
      </c>
      <c r="AG284" s="2184">
        <f t="shared" si="101"/>
        <v>6.4941382054423507</v>
      </c>
      <c r="AH284" s="2184">
        <f t="shared" si="101"/>
        <v>6.6218040636022897</v>
      </c>
      <c r="AI284" s="2184">
        <f t="shared" si="101"/>
        <v>6.7507533509489424</v>
      </c>
      <c r="AJ284" s="2184">
        <f t="shared" si="101"/>
        <v>6.8809936660716309</v>
      </c>
      <c r="AK284" s="2184">
        <f t="shared" si="101"/>
        <v>7.012532891166507</v>
      </c>
      <c r="AL284" s="2184">
        <f t="shared" si="101"/>
        <v>7.1453790542053239</v>
      </c>
      <c r="AM284" s="2184">
        <f t="shared" si="101"/>
        <v>7.2795137372930752</v>
      </c>
      <c r="AN284" s="2184">
        <f t="shared" si="101"/>
        <v>7.4115336902475253</v>
      </c>
      <c r="AO284" s="2184">
        <f t="shared" si="101"/>
        <v>7.5415616395798759</v>
      </c>
      <c r="AP284" s="2184">
        <f t="shared" si="101"/>
        <v>7.6697120316311711</v>
      </c>
      <c r="AQ284" s="2184">
        <f t="shared" si="101"/>
        <v>7.7960917135764722</v>
      </c>
    </row>
    <row r="285" spans="2:43" x14ac:dyDescent="0.2">
      <c r="B285" s="2154"/>
      <c r="C285" s="2154"/>
      <c r="D285" s="2154"/>
      <c r="E285" s="2154"/>
      <c r="F285" s="2154"/>
      <c r="G285" s="2154"/>
      <c r="H285" s="2154"/>
      <c r="I285" s="2154"/>
      <c r="J285" s="2154"/>
      <c r="K285" s="2154"/>
      <c r="L285" s="2154"/>
      <c r="M285" s="2154"/>
      <c r="N285" s="2154"/>
      <c r="O285" s="2154"/>
      <c r="P285" s="2154"/>
      <c r="Q285" s="2154"/>
      <c r="R285" s="2154"/>
      <c r="S285" s="2154"/>
      <c r="T285" s="2154"/>
      <c r="U285" s="2154"/>
      <c r="V285" s="2154"/>
      <c r="W285" s="2154"/>
      <c r="X285" s="2154"/>
      <c r="Y285" s="2154"/>
      <c r="Z285" s="2154"/>
      <c r="AA285" s="2154"/>
      <c r="AB285" s="2154"/>
      <c r="AC285" s="2154"/>
      <c r="AD285" s="2154"/>
      <c r="AE285" s="2154"/>
      <c r="AF285" s="2154"/>
      <c r="AG285" s="2154"/>
      <c r="AH285" s="2154"/>
      <c r="AI285" s="2154"/>
      <c r="AJ285" s="2154"/>
      <c r="AK285" s="2154"/>
      <c r="AL285" s="2154"/>
      <c r="AM285" s="2154"/>
      <c r="AN285" s="2154"/>
      <c r="AO285" s="2154"/>
      <c r="AP285" s="2154"/>
      <c r="AQ285" s="2154"/>
    </row>
    <row r="287" spans="2:43" x14ac:dyDescent="0.2">
      <c r="D287" s="2110" t="s">
        <v>1193</v>
      </c>
      <c r="E287" s="2115" t="s">
        <v>1198</v>
      </c>
    </row>
    <row r="288" spans="2:43" x14ac:dyDescent="0.2">
      <c r="B288" s="2098"/>
      <c r="C288" s="2097"/>
    </row>
    <row r="289" spans="2:43" x14ac:dyDescent="0.2">
      <c r="B289" s="2098"/>
      <c r="C289" s="2097"/>
    </row>
    <row r="290" spans="2:43" x14ac:dyDescent="0.2">
      <c r="B290" s="2098"/>
      <c r="C290" s="2097"/>
      <c r="E290" s="2100"/>
      <c r="G290" s="2185">
        <v>2.9733782249932541</v>
      </c>
      <c r="H290" s="2185">
        <v>3.1096431517807348</v>
      </c>
      <c r="I290" s="2185">
        <v>3.2595284958902759</v>
      </c>
      <c r="J290" s="2185">
        <v>3.4061279479894346</v>
      </c>
      <c r="K290" s="2185">
        <v>3.5497133599079782</v>
      </c>
      <c r="L290" s="2185">
        <v>3.6905363751116411</v>
      </c>
      <c r="M290" s="2185">
        <v>3.7985207352657593</v>
      </c>
      <c r="N290" s="2185">
        <v>3.9344308427419055</v>
      </c>
      <c r="O290" s="2185">
        <v>4.0716410494602142</v>
      </c>
      <c r="P290" s="2185">
        <v>4.2102042293497988</v>
      </c>
      <c r="Q290" s="2185">
        <v>4.3501718419673967</v>
      </c>
      <c r="R290" s="2185">
        <v>4.4703772608361776</v>
      </c>
      <c r="S290" s="2185">
        <v>4.6132854537308052</v>
      </c>
      <c r="T290" s="2185">
        <v>4.7536037036015433</v>
      </c>
      <c r="U290" s="2185">
        <v>4.8915468363096535</v>
      </c>
      <c r="V290" s="2185">
        <v>5.0273139519866135</v>
      </c>
      <c r="W290" s="2185">
        <v>5.1610897215350429</v>
      </c>
      <c r="X290" s="2185">
        <v>5.2928762895290546</v>
      </c>
      <c r="Y290" s="2185">
        <v>5.4256066135993954</v>
      </c>
      <c r="Z290" s="2185">
        <v>5.5593163203258884</v>
      </c>
      <c r="AA290" s="2185">
        <v>5.6940398036297184</v>
      </c>
      <c r="AB290" s="2185">
        <v>5.8298104378228848</v>
      </c>
      <c r="AC290" s="2185">
        <v>5.9666131207628341</v>
      </c>
      <c r="AD290" s="2185">
        <v>6.1012856378039269</v>
      </c>
      <c r="AE290" s="2185">
        <v>6.233995548965404</v>
      </c>
      <c r="AF290" s="2185">
        <v>6.3648983012559786</v>
      </c>
      <c r="AG290" s="2185">
        <v>6.4941382054423507</v>
      </c>
      <c r="AH290" s="2185">
        <v>6.6218040636022897</v>
      </c>
      <c r="AI290" s="2185">
        <v>6.7507533509489424</v>
      </c>
      <c r="AJ290" s="2185">
        <v>6.8809936660716309</v>
      </c>
      <c r="AK290" s="2185">
        <v>7.012532891166507</v>
      </c>
      <c r="AL290" s="2185">
        <v>7.1453790542053239</v>
      </c>
      <c r="AM290" s="2185">
        <v>7.2795137372930752</v>
      </c>
      <c r="AN290" s="2185">
        <v>7.4115336902475253</v>
      </c>
      <c r="AO290" s="2185">
        <v>7.5415616395798759</v>
      </c>
      <c r="AP290" s="2185">
        <v>7.6697120316311711</v>
      </c>
      <c r="AQ290" s="2185">
        <v>7.7960917135764722</v>
      </c>
    </row>
    <row r="291" spans="2:43" x14ac:dyDescent="0.2">
      <c r="B291" s="2098"/>
      <c r="C291" s="2097"/>
      <c r="E291" s="2100"/>
      <c r="G291" s="1999"/>
      <c r="H291" s="1999"/>
      <c r="I291" s="1999"/>
      <c r="J291" s="1999"/>
      <c r="K291" s="1999"/>
      <c r="L291" s="1999"/>
      <c r="M291" s="1999"/>
      <c r="N291" s="1999"/>
      <c r="O291" s="1999"/>
      <c r="P291" s="1999"/>
      <c r="Q291" s="1999"/>
      <c r="R291" s="1999"/>
      <c r="S291" s="1999"/>
      <c r="T291" s="1999"/>
      <c r="U291" s="1999"/>
      <c r="V291" s="1999"/>
      <c r="W291" s="1999"/>
      <c r="X291" s="1999"/>
      <c r="Y291" s="1999"/>
      <c r="Z291" s="1999"/>
      <c r="AA291" s="1999"/>
      <c r="AB291" s="1999"/>
      <c r="AC291" s="1999"/>
      <c r="AD291" s="1999"/>
      <c r="AE291" s="1999"/>
      <c r="AF291" s="1999"/>
      <c r="AG291" s="1999"/>
      <c r="AH291" s="1999"/>
      <c r="AI291" s="1999"/>
      <c r="AJ291" s="1999"/>
      <c r="AK291" s="1999"/>
      <c r="AL291" s="1999"/>
      <c r="AM291" s="1999"/>
      <c r="AN291" s="1999"/>
      <c r="AO291" s="1999"/>
      <c r="AP291" s="1999"/>
      <c r="AQ291" s="1999"/>
    </row>
    <row r="292" spans="2:43" x14ac:dyDescent="0.2">
      <c r="B292" s="2098"/>
      <c r="C292" s="2097"/>
      <c r="E292" s="2100"/>
      <c r="G292" s="1999"/>
      <c r="H292" s="1999"/>
      <c r="I292" s="1999"/>
      <c r="J292" s="1999"/>
      <c r="K292" s="1999"/>
      <c r="L292" s="1999"/>
      <c r="M292" s="1999"/>
      <c r="N292" s="1999"/>
      <c r="O292" s="1999"/>
      <c r="P292" s="1999"/>
      <c r="Q292" s="1999"/>
      <c r="R292" s="1999"/>
      <c r="S292" s="1999"/>
      <c r="T292" s="1999"/>
      <c r="U292" s="1999"/>
      <c r="V292" s="1999"/>
      <c r="W292" s="1999"/>
      <c r="X292" s="1999"/>
      <c r="Y292" s="1999"/>
      <c r="Z292" s="1999"/>
      <c r="AA292" s="1999"/>
      <c r="AB292" s="1999"/>
      <c r="AC292" s="1999"/>
      <c r="AD292" s="1999"/>
      <c r="AE292" s="1999"/>
      <c r="AF292" s="1999"/>
      <c r="AG292" s="1999"/>
      <c r="AH292" s="1999"/>
      <c r="AI292" s="1999"/>
      <c r="AJ292" s="1999"/>
      <c r="AK292" s="1999"/>
      <c r="AL292" s="1999"/>
      <c r="AM292" s="1999"/>
      <c r="AN292" s="1999"/>
      <c r="AO292" s="1999"/>
      <c r="AP292" s="1999"/>
      <c r="AQ292" s="1999"/>
    </row>
    <row r="293" spans="2:43" x14ac:dyDescent="0.2">
      <c r="B293" s="2098"/>
      <c r="C293" s="2097"/>
      <c r="E293" s="2100"/>
      <c r="G293" s="1999"/>
      <c r="H293" s="1999"/>
      <c r="I293" s="1999"/>
      <c r="J293" s="1999"/>
      <c r="K293" s="1999"/>
      <c r="L293" s="1999"/>
      <c r="M293" s="1999"/>
      <c r="N293" s="1999"/>
      <c r="O293" s="1999"/>
      <c r="P293" s="1999"/>
      <c r="Q293" s="1999"/>
      <c r="R293" s="1999"/>
      <c r="S293" s="1999"/>
      <c r="T293" s="1999"/>
      <c r="U293" s="1999"/>
      <c r="V293" s="1999"/>
      <c r="W293" s="1999"/>
      <c r="X293" s="1999"/>
      <c r="Y293" s="1999"/>
      <c r="Z293" s="1999"/>
      <c r="AA293" s="1999"/>
      <c r="AB293" s="1999"/>
      <c r="AC293" s="1999"/>
      <c r="AD293" s="1999"/>
      <c r="AE293" s="1999"/>
      <c r="AF293" s="1999"/>
      <c r="AG293" s="1999"/>
      <c r="AH293" s="1999"/>
      <c r="AI293" s="1999"/>
      <c r="AJ293" s="1999"/>
      <c r="AK293" s="1999"/>
      <c r="AL293" s="1999"/>
      <c r="AM293" s="1999"/>
      <c r="AN293" s="1999"/>
      <c r="AO293" s="1999"/>
      <c r="AP293" s="1999"/>
      <c r="AQ293" s="1999"/>
    </row>
    <row r="294" spans="2:43" x14ac:dyDescent="0.2">
      <c r="B294" s="2098"/>
      <c r="C294" s="2097"/>
      <c r="E294" s="2100"/>
      <c r="G294" s="1999"/>
      <c r="H294" s="1999"/>
      <c r="I294" s="1999"/>
      <c r="J294" s="1999"/>
      <c r="K294" s="1999"/>
      <c r="L294" s="1999"/>
      <c r="M294" s="1999"/>
      <c r="N294" s="1999"/>
      <c r="O294" s="1999"/>
      <c r="P294" s="1999"/>
      <c r="Q294" s="1999"/>
      <c r="R294" s="1999"/>
      <c r="S294" s="1999"/>
      <c r="T294" s="1999"/>
      <c r="U294" s="1999"/>
      <c r="V294" s="1999"/>
      <c r="W294" s="1999"/>
      <c r="X294" s="1999"/>
      <c r="Y294" s="1999"/>
      <c r="Z294" s="1999"/>
      <c r="AA294" s="1999"/>
      <c r="AB294" s="1999"/>
      <c r="AC294" s="1999"/>
      <c r="AD294" s="1999"/>
      <c r="AE294" s="1999"/>
      <c r="AF294" s="1999"/>
      <c r="AG294" s="1999"/>
      <c r="AH294" s="1999"/>
      <c r="AI294" s="1999"/>
      <c r="AJ294" s="1999"/>
      <c r="AK294" s="1999"/>
      <c r="AL294" s="1999"/>
      <c r="AM294" s="1999"/>
      <c r="AN294" s="1999"/>
      <c r="AO294" s="1999"/>
      <c r="AP294" s="1999"/>
      <c r="AQ294" s="1999"/>
    </row>
    <row r="296" spans="2:43" x14ac:dyDescent="0.2">
      <c r="B296" s="2098"/>
      <c r="C296" s="2097"/>
    </row>
    <row r="298" spans="2:43" x14ac:dyDescent="0.2">
      <c r="E298" s="2100"/>
      <c r="G298" s="1999"/>
      <c r="H298" s="1999"/>
      <c r="I298" s="1999"/>
      <c r="J298" s="1999"/>
      <c r="K298" s="1999"/>
      <c r="L298" s="1999"/>
      <c r="M298" s="1999"/>
      <c r="N298" s="1999"/>
      <c r="O298" s="1999"/>
      <c r="P298" s="1999"/>
      <c r="Q298" s="1999"/>
      <c r="R298" s="1999"/>
      <c r="S298" s="1999"/>
      <c r="T298" s="1999"/>
      <c r="U298" s="1999"/>
      <c r="V298" s="1999"/>
      <c r="W298" s="1999"/>
      <c r="X298" s="1999"/>
      <c r="Y298" s="1999"/>
      <c r="Z298" s="1999"/>
      <c r="AA298" s="1999"/>
      <c r="AB298" s="1999"/>
      <c r="AC298" s="1999"/>
      <c r="AD298" s="1999"/>
      <c r="AE298" s="1999"/>
      <c r="AF298" s="1999"/>
      <c r="AG298" s="1999"/>
      <c r="AH298" s="1999"/>
      <c r="AI298" s="1999"/>
      <c r="AJ298" s="1999"/>
      <c r="AK298" s="1999"/>
      <c r="AL298" s="1999"/>
      <c r="AM298" s="1999"/>
      <c r="AN298" s="1999"/>
      <c r="AO298" s="1999"/>
      <c r="AP298" s="1999"/>
      <c r="AQ298" s="1999"/>
    </row>
    <row r="300" spans="2:43" x14ac:dyDescent="0.2">
      <c r="B300" s="2098"/>
      <c r="C300" s="2097"/>
    </row>
    <row r="302" spans="2:43" x14ac:dyDescent="0.2">
      <c r="E302" s="2100"/>
      <c r="G302" s="1999"/>
      <c r="H302" s="1999"/>
      <c r="I302" s="1999"/>
      <c r="J302" s="1999"/>
      <c r="K302" s="1999"/>
      <c r="L302" s="1999"/>
      <c r="M302" s="1999"/>
      <c r="N302" s="1999"/>
      <c r="O302" s="1999"/>
      <c r="P302" s="1999"/>
      <c r="Q302" s="1999"/>
      <c r="R302" s="1999"/>
      <c r="S302" s="1999"/>
      <c r="T302" s="1999"/>
      <c r="U302" s="1999"/>
      <c r="V302" s="1999"/>
      <c r="W302" s="1999"/>
      <c r="X302" s="1999"/>
      <c r="Y302" s="1999"/>
      <c r="Z302" s="1999"/>
      <c r="AA302" s="1999"/>
      <c r="AB302" s="1999"/>
      <c r="AC302" s="1999"/>
      <c r="AD302" s="1999"/>
      <c r="AE302" s="1999"/>
      <c r="AF302" s="1999"/>
      <c r="AG302" s="1999"/>
      <c r="AH302" s="1999"/>
      <c r="AI302" s="1999"/>
      <c r="AJ302" s="1999"/>
      <c r="AK302" s="1999"/>
      <c r="AL302" s="1999"/>
      <c r="AM302" s="1999"/>
      <c r="AN302" s="1999"/>
      <c r="AO302" s="1999"/>
      <c r="AP302" s="1999"/>
      <c r="AQ302" s="1999"/>
    </row>
    <row r="304" spans="2:43" x14ac:dyDescent="0.2">
      <c r="B304" s="2098"/>
      <c r="C304" s="2097"/>
    </row>
    <row r="306" spans="5:43" x14ac:dyDescent="0.2">
      <c r="E306" s="2100"/>
      <c r="G306" s="1999"/>
      <c r="H306" s="1999"/>
      <c r="I306" s="1999"/>
      <c r="J306" s="1999"/>
      <c r="K306" s="1999"/>
      <c r="L306" s="1999"/>
      <c r="M306" s="1999"/>
      <c r="N306" s="1999"/>
      <c r="O306" s="1999"/>
      <c r="P306" s="1999"/>
      <c r="Q306" s="1999"/>
      <c r="R306" s="1999"/>
      <c r="S306" s="1999"/>
      <c r="T306" s="1999"/>
      <c r="U306" s="1999"/>
      <c r="V306" s="1999"/>
      <c r="W306" s="1999"/>
      <c r="X306" s="1999"/>
      <c r="Y306" s="1999"/>
      <c r="Z306" s="1999"/>
      <c r="AA306" s="1999"/>
      <c r="AB306" s="1999"/>
      <c r="AC306" s="1999"/>
      <c r="AD306" s="1999"/>
      <c r="AE306" s="1999"/>
      <c r="AF306" s="1999"/>
      <c r="AG306" s="1999"/>
      <c r="AH306" s="1999"/>
      <c r="AI306" s="1999"/>
      <c r="AJ306" s="1999"/>
      <c r="AK306" s="1999"/>
      <c r="AL306" s="1999"/>
      <c r="AM306" s="1999"/>
      <c r="AN306" s="1999"/>
      <c r="AO306" s="1999"/>
      <c r="AP306" s="1999"/>
      <c r="AQ306" s="1999"/>
    </row>
    <row r="310" spans="5:43" x14ac:dyDescent="0.2">
      <c r="E310" s="2100"/>
      <c r="G310" s="2072"/>
      <c r="H310" s="2072"/>
      <c r="I310" s="2072"/>
      <c r="J310" s="2072"/>
      <c r="K310" s="2072"/>
      <c r="L310" s="2072"/>
      <c r="M310" s="2072"/>
      <c r="N310" s="2072"/>
      <c r="O310" s="2072"/>
      <c r="P310" s="2072"/>
      <c r="Q310" s="2072"/>
      <c r="R310" s="2072"/>
      <c r="S310" s="2072"/>
      <c r="T310" s="2072"/>
      <c r="U310" s="2072"/>
      <c r="V310" s="2072"/>
      <c r="W310" s="2072"/>
      <c r="X310" s="2072"/>
      <c r="Y310" s="2072"/>
      <c r="Z310" s="2072"/>
      <c r="AA310" s="2072"/>
      <c r="AB310" s="2072"/>
      <c r="AC310" s="2072"/>
      <c r="AD310" s="2072"/>
      <c r="AE310" s="2072"/>
      <c r="AF310" s="2072"/>
      <c r="AG310" s="2072"/>
      <c r="AH310" s="2072"/>
      <c r="AI310" s="2072"/>
      <c r="AJ310" s="2072"/>
      <c r="AK310" s="2072"/>
      <c r="AL310" s="2072"/>
      <c r="AM310" s="2072"/>
      <c r="AN310" s="2072"/>
      <c r="AO310" s="2072"/>
      <c r="AP310" s="2072"/>
      <c r="AQ310" s="2072"/>
    </row>
    <row r="311" spans="5:43" x14ac:dyDescent="0.2">
      <c r="E311" s="2100"/>
      <c r="G311" s="2072"/>
      <c r="H311" s="2072"/>
      <c r="I311" s="2072"/>
      <c r="J311" s="2072"/>
      <c r="K311" s="2072"/>
      <c r="L311" s="2072"/>
      <c r="M311" s="2072"/>
      <c r="N311" s="2072"/>
      <c r="O311" s="2072"/>
      <c r="P311" s="2072"/>
      <c r="Q311" s="2072"/>
      <c r="R311" s="2072"/>
      <c r="S311" s="2072"/>
      <c r="T311" s="2072"/>
      <c r="U311" s="2072"/>
      <c r="V311" s="2072"/>
      <c r="W311" s="2072"/>
      <c r="X311" s="2072"/>
      <c r="Y311" s="2072"/>
      <c r="Z311" s="2072"/>
      <c r="AA311" s="2072"/>
      <c r="AB311" s="2072"/>
      <c r="AC311" s="2072"/>
      <c r="AD311" s="2072"/>
      <c r="AE311" s="2072"/>
      <c r="AF311" s="2072"/>
      <c r="AG311" s="2072"/>
      <c r="AH311" s="2072"/>
      <c r="AI311" s="2072"/>
      <c r="AJ311" s="2072"/>
      <c r="AK311" s="2072"/>
      <c r="AL311" s="2072"/>
      <c r="AM311" s="2072"/>
      <c r="AN311" s="2072"/>
      <c r="AO311" s="2072"/>
      <c r="AP311" s="2072"/>
      <c r="AQ311" s="2072"/>
    </row>
    <row r="315" spans="5:43" x14ac:dyDescent="0.2">
      <c r="E315" s="2100"/>
      <c r="G315" s="1999"/>
      <c r="H315" s="1999"/>
      <c r="I315" s="1999"/>
      <c r="J315" s="1999"/>
      <c r="K315" s="1999"/>
      <c r="L315" s="1999"/>
      <c r="M315" s="1999"/>
      <c r="N315" s="1999"/>
      <c r="O315" s="1999"/>
      <c r="P315" s="1999"/>
      <c r="Q315" s="1999"/>
      <c r="R315" s="1999"/>
      <c r="S315" s="1999"/>
      <c r="T315" s="1999"/>
      <c r="U315" s="1999"/>
      <c r="V315" s="1999"/>
      <c r="W315" s="1999"/>
      <c r="X315" s="1999"/>
      <c r="Y315" s="1999"/>
      <c r="Z315" s="1999"/>
      <c r="AA315" s="1999"/>
      <c r="AB315" s="1999"/>
      <c r="AC315" s="1999"/>
      <c r="AD315" s="1999"/>
      <c r="AE315" s="1999"/>
      <c r="AF315" s="1999"/>
      <c r="AG315" s="1999"/>
      <c r="AH315" s="1999"/>
      <c r="AI315" s="1999"/>
      <c r="AJ315" s="1999"/>
      <c r="AK315" s="1999"/>
      <c r="AL315" s="1999"/>
      <c r="AM315" s="1999"/>
      <c r="AN315" s="1999"/>
      <c r="AO315" s="1999"/>
      <c r="AP315" s="1999"/>
      <c r="AQ315" s="1999"/>
    </row>
    <row r="316" spans="5:43" x14ac:dyDescent="0.2">
      <c r="E316" s="2100"/>
      <c r="G316" s="1999"/>
      <c r="H316" s="1999"/>
      <c r="I316" s="1999"/>
      <c r="J316" s="1999"/>
      <c r="K316" s="1999"/>
      <c r="L316" s="1999"/>
      <c r="M316" s="1999"/>
      <c r="N316" s="1999"/>
      <c r="O316" s="1999"/>
      <c r="P316" s="1999"/>
      <c r="Q316" s="1999"/>
      <c r="R316" s="1999"/>
      <c r="S316" s="1999"/>
      <c r="T316" s="1999"/>
      <c r="U316" s="1999"/>
      <c r="V316" s="1999"/>
      <c r="W316" s="1999"/>
      <c r="X316" s="1999"/>
      <c r="Y316" s="1999"/>
      <c r="Z316" s="1999"/>
      <c r="AA316" s="1999"/>
      <c r="AB316" s="1999"/>
      <c r="AC316" s="1999"/>
      <c r="AD316" s="1999"/>
      <c r="AE316" s="1999"/>
      <c r="AF316" s="1999"/>
      <c r="AG316" s="1999"/>
      <c r="AH316" s="1999"/>
      <c r="AI316" s="1999"/>
      <c r="AJ316" s="1999"/>
      <c r="AK316" s="1999"/>
      <c r="AL316" s="1999"/>
      <c r="AM316" s="1999"/>
      <c r="AN316" s="1999"/>
      <c r="AO316" s="1999"/>
      <c r="AP316" s="1999"/>
      <c r="AQ316" s="1999"/>
    </row>
    <row r="320" spans="5:43" x14ac:dyDescent="0.2">
      <c r="E320" s="2100"/>
      <c r="G320" s="2186"/>
      <c r="H320" s="2186"/>
      <c r="I320" s="2186"/>
      <c r="J320" s="2186"/>
      <c r="K320" s="2186"/>
      <c r="L320" s="2186"/>
      <c r="M320" s="2186"/>
      <c r="N320" s="2186"/>
      <c r="O320" s="2186"/>
      <c r="P320" s="2186"/>
      <c r="Q320" s="2186"/>
      <c r="R320" s="2186"/>
      <c r="S320" s="2186"/>
      <c r="T320" s="2186"/>
      <c r="U320" s="2186"/>
      <c r="V320" s="2186"/>
      <c r="W320" s="2186"/>
      <c r="X320" s="2186"/>
      <c r="Y320" s="2186"/>
      <c r="Z320" s="2186"/>
      <c r="AA320" s="2186"/>
      <c r="AB320" s="2186"/>
      <c r="AC320" s="2186"/>
      <c r="AD320" s="2186"/>
      <c r="AE320" s="2186"/>
      <c r="AF320" s="2186"/>
      <c r="AG320" s="2186"/>
      <c r="AH320" s="2186"/>
      <c r="AI320" s="2186"/>
      <c r="AJ320" s="2186"/>
      <c r="AK320" s="2186"/>
      <c r="AL320" s="2186"/>
      <c r="AM320" s="2186"/>
      <c r="AN320" s="2186"/>
      <c r="AO320" s="2186"/>
      <c r="AP320" s="2186"/>
      <c r="AQ320" s="2186"/>
    </row>
    <row r="321" spans="2:43" x14ac:dyDescent="0.2">
      <c r="E321" s="2100"/>
      <c r="G321" s="2186"/>
      <c r="H321" s="2186"/>
      <c r="I321" s="2186"/>
      <c r="J321" s="2186"/>
      <c r="K321" s="2186"/>
      <c r="L321" s="2186"/>
      <c r="M321" s="2186"/>
      <c r="N321" s="2186"/>
      <c r="O321" s="2186"/>
      <c r="P321" s="2186"/>
      <c r="Q321" s="2186"/>
      <c r="R321" s="2186"/>
      <c r="S321" s="2186"/>
      <c r="T321" s="2186"/>
      <c r="U321" s="2186"/>
      <c r="V321" s="2186"/>
      <c r="W321" s="2186"/>
      <c r="X321" s="2186"/>
      <c r="Y321" s="2186"/>
      <c r="Z321" s="2186"/>
      <c r="AA321" s="2186"/>
      <c r="AB321" s="2186"/>
      <c r="AC321" s="2186"/>
      <c r="AD321" s="2186"/>
      <c r="AE321" s="2186"/>
      <c r="AF321" s="2186"/>
      <c r="AG321" s="2186"/>
      <c r="AH321" s="2186"/>
      <c r="AI321" s="2186"/>
      <c r="AJ321" s="2186"/>
      <c r="AK321" s="2186"/>
      <c r="AL321" s="2186"/>
      <c r="AM321" s="2186"/>
      <c r="AN321" s="2186"/>
      <c r="AO321" s="2186"/>
      <c r="AP321" s="2186"/>
      <c r="AQ321" s="2186"/>
    </row>
    <row r="323" spans="2:43" x14ac:dyDescent="0.2">
      <c r="B323" s="2098"/>
      <c r="C323" s="2097"/>
    </row>
    <row r="325" spans="2:43" x14ac:dyDescent="0.2">
      <c r="E325" s="2100"/>
      <c r="G325" s="1999"/>
      <c r="H325" s="1999"/>
      <c r="I325" s="1999"/>
      <c r="J325" s="1999"/>
      <c r="K325" s="1999"/>
      <c r="L325" s="1999"/>
      <c r="M325" s="1999"/>
      <c r="N325" s="1999"/>
      <c r="O325" s="1999"/>
      <c r="P325" s="1999"/>
      <c r="Q325" s="1999"/>
      <c r="R325" s="1999"/>
      <c r="S325" s="1999"/>
      <c r="T325" s="1999"/>
      <c r="U325" s="1999"/>
      <c r="V325" s="1999"/>
      <c r="W325" s="1999"/>
      <c r="X325" s="1999"/>
      <c r="Y325" s="1999"/>
      <c r="Z325" s="1999"/>
      <c r="AA325" s="1999"/>
      <c r="AB325" s="1999"/>
      <c r="AC325" s="1999"/>
      <c r="AD325" s="1999"/>
      <c r="AE325" s="1999"/>
      <c r="AF325" s="1999"/>
      <c r="AG325" s="1999"/>
      <c r="AH325" s="1999"/>
      <c r="AI325" s="1999"/>
      <c r="AJ325" s="1999"/>
      <c r="AK325" s="1999"/>
      <c r="AL325" s="1999"/>
      <c r="AM325" s="1999"/>
      <c r="AN325" s="1999"/>
      <c r="AO325" s="1999"/>
      <c r="AP325" s="1999"/>
      <c r="AQ325" s="1999"/>
    </row>
    <row r="326" spans="2:43" x14ac:dyDescent="0.2">
      <c r="E326" s="2100"/>
      <c r="G326" s="1999"/>
      <c r="H326" s="1999"/>
      <c r="I326" s="1999"/>
      <c r="J326" s="1999"/>
      <c r="K326" s="1999"/>
      <c r="L326" s="1999"/>
      <c r="M326" s="1999"/>
      <c r="N326" s="1999"/>
      <c r="O326" s="1999"/>
      <c r="P326" s="1999"/>
      <c r="Q326" s="1999"/>
      <c r="R326" s="1999"/>
      <c r="S326" s="1999"/>
      <c r="T326" s="1999"/>
      <c r="U326" s="1999"/>
      <c r="V326" s="1999"/>
      <c r="W326" s="1999"/>
      <c r="X326" s="1999"/>
      <c r="Y326" s="1999"/>
      <c r="Z326" s="1999"/>
      <c r="AA326" s="1999"/>
      <c r="AB326" s="1999"/>
      <c r="AC326" s="1999"/>
      <c r="AD326" s="1999"/>
      <c r="AE326" s="1999"/>
      <c r="AF326" s="1999"/>
      <c r="AG326" s="1999"/>
      <c r="AH326" s="1999"/>
      <c r="AI326" s="1999"/>
      <c r="AJ326" s="1999"/>
      <c r="AK326" s="1999"/>
      <c r="AL326" s="1999"/>
      <c r="AM326" s="1999"/>
      <c r="AN326" s="1999"/>
      <c r="AO326" s="1999"/>
      <c r="AP326" s="1999"/>
      <c r="AQ326" s="1999"/>
    </row>
    <row r="327" spans="2:43" x14ac:dyDescent="0.2">
      <c r="C327" s="2097"/>
      <c r="E327" s="2100"/>
      <c r="G327" s="1999"/>
      <c r="H327" s="1999"/>
      <c r="I327" s="1999"/>
      <c r="J327" s="1999"/>
      <c r="K327" s="1999"/>
      <c r="L327" s="1999"/>
      <c r="M327" s="1999"/>
      <c r="N327" s="1999"/>
      <c r="O327" s="1999"/>
      <c r="P327" s="1999"/>
      <c r="Q327" s="1999"/>
      <c r="R327" s="1999"/>
      <c r="S327" s="1999"/>
      <c r="T327" s="1999"/>
      <c r="U327" s="1999"/>
      <c r="V327" s="1999"/>
      <c r="W327" s="1999"/>
      <c r="X327" s="1999"/>
      <c r="Y327" s="1999"/>
      <c r="Z327" s="1999"/>
      <c r="AA327" s="1999"/>
      <c r="AB327" s="1999"/>
      <c r="AC327" s="1999"/>
      <c r="AD327" s="1999"/>
      <c r="AE327" s="1999"/>
      <c r="AF327" s="1999"/>
      <c r="AG327" s="1999"/>
      <c r="AH327" s="1999"/>
      <c r="AI327" s="1999"/>
      <c r="AJ327" s="1999"/>
      <c r="AK327" s="1999"/>
      <c r="AL327" s="1999"/>
      <c r="AM327" s="1999"/>
      <c r="AN327" s="1999"/>
      <c r="AO327" s="1999"/>
      <c r="AP327" s="1999"/>
      <c r="AQ327" s="1999"/>
    </row>
    <row r="328" spans="2:43" x14ac:dyDescent="0.2">
      <c r="B328" s="2098"/>
      <c r="C328" s="2097"/>
      <c r="E328" s="2100"/>
      <c r="G328" s="1999"/>
      <c r="H328" s="1999"/>
      <c r="I328" s="1999"/>
      <c r="J328" s="1999"/>
      <c r="K328" s="1999"/>
      <c r="L328" s="1999"/>
      <c r="M328" s="1999"/>
      <c r="N328" s="1999"/>
      <c r="O328" s="1999"/>
      <c r="P328" s="1999"/>
      <c r="Q328" s="1999"/>
      <c r="R328" s="1999"/>
      <c r="S328" s="1999"/>
      <c r="T328" s="1999"/>
      <c r="U328" s="1999"/>
      <c r="V328" s="1999"/>
      <c r="W328" s="1999"/>
      <c r="X328" s="1999"/>
      <c r="Y328" s="1999"/>
      <c r="Z328" s="1999"/>
      <c r="AA328" s="1999"/>
      <c r="AB328" s="1999"/>
      <c r="AC328" s="1999"/>
      <c r="AD328" s="1999"/>
      <c r="AE328" s="1999"/>
      <c r="AF328" s="1999"/>
      <c r="AG328" s="1999"/>
      <c r="AH328" s="1999"/>
      <c r="AI328" s="1999"/>
      <c r="AJ328" s="1999"/>
      <c r="AK328" s="1999"/>
      <c r="AL328" s="1999"/>
      <c r="AM328" s="1999"/>
      <c r="AN328" s="1999"/>
      <c r="AO328" s="1999"/>
      <c r="AP328" s="1999"/>
      <c r="AQ328" s="1999"/>
    </row>
    <row r="329" spans="2:43" x14ac:dyDescent="0.2">
      <c r="C329" s="2097"/>
      <c r="E329" s="2100"/>
      <c r="G329" s="1999"/>
      <c r="H329" s="1999"/>
      <c r="I329" s="1999"/>
      <c r="J329" s="1999"/>
      <c r="K329" s="1999"/>
      <c r="L329" s="1999"/>
      <c r="M329" s="1999"/>
      <c r="N329" s="1999"/>
      <c r="O329" s="1999"/>
      <c r="P329" s="1999"/>
      <c r="Q329" s="1999"/>
      <c r="R329" s="1999"/>
      <c r="S329" s="1999"/>
      <c r="T329" s="1999"/>
      <c r="U329" s="1999"/>
      <c r="V329" s="1999"/>
      <c r="W329" s="1999"/>
      <c r="X329" s="1999"/>
      <c r="Y329" s="1999"/>
      <c r="Z329" s="1999"/>
      <c r="AA329" s="1999"/>
      <c r="AB329" s="1999"/>
      <c r="AC329" s="1999"/>
      <c r="AD329" s="1999"/>
      <c r="AE329" s="1999"/>
      <c r="AF329" s="1999"/>
      <c r="AG329" s="1999"/>
      <c r="AH329" s="1999"/>
      <c r="AI329" s="1999"/>
      <c r="AJ329" s="1999"/>
      <c r="AK329" s="1999"/>
      <c r="AL329" s="1999"/>
      <c r="AM329" s="1999"/>
      <c r="AN329" s="1999"/>
      <c r="AO329" s="1999"/>
      <c r="AP329" s="1999"/>
      <c r="AQ329" s="1999"/>
    </row>
    <row r="330" spans="2:43" x14ac:dyDescent="0.2">
      <c r="E330" s="2100"/>
      <c r="G330" s="1999"/>
      <c r="H330" s="1999"/>
      <c r="I330" s="1999"/>
      <c r="J330" s="1999"/>
      <c r="K330" s="1999"/>
      <c r="L330" s="1999"/>
      <c r="M330" s="1999"/>
      <c r="N330" s="1999"/>
      <c r="O330" s="1999"/>
      <c r="P330" s="1999"/>
      <c r="Q330" s="1999"/>
      <c r="R330" s="1999"/>
      <c r="S330" s="1999"/>
      <c r="T330" s="1999"/>
      <c r="U330" s="1999"/>
      <c r="V330" s="1999"/>
      <c r="W330" s="1999"/>
      <c r="X330" s="1999"/>
      <c r="Y330" s="1999"/>
      <c r="Z330" s="1999"/>
      <c r="AA330" s="1999"/>
      <c r="AB330" s="1999"/>
      <c r="AC330" s="1999"/>
      <c r="AD330" s="1999"/>
      <c r="AE330" s="1999"/>
      <c r="AF330" s="1999"/>
      <c r="AG330" s="1999"/>
      <c r="AH330" s="1999"/>
      <c r="AI330" s="1999"/>
      <c r="AJ330" s="1999"/>
      <c r="AK330" s="1999"/>
      <c r="AL330" s="1999"/>
      <c r="AM330" s="1999"/>
      <c r="AN330" s="1999"/>
      <c r="AO330" s="1999"/>
      <c r="AP330" s="1999"/>
      <c r="AQ330" s="1999"/>
    </row>
    <row r="331" spans="2:43" x14ac:dyDescent="0.2">
      <c r="E331" s="2100"/>
      <c r="G331" s="1999"/>
      <c r="H331" s="1999"/>
      <c r="I331" s="1999"/>
      <c r="J331" s="1999"/>
      <c r="K331" s="1999"/>
      <c r="L331" s="1999"/>
      <c r="M331" s="1999"/>
      <c r="N331" s="1999"/>
      <c r="O331" s="1999"/>
      <c r="P331" s="1999"/>
      <c r="Q331" s="1999"/>
      <c r="R331" s="1999"/>
      <c r="S331" s="1999"/>
      <c r="T331" s="1999"/>
      <c r="U331" s="1999"/>
      <c r="V331" s="1999"/>
      <c r="W331" s="1999"/>
      <c r="X331" s="1999"/>
      <c r="Y331" s="1999"/>
      <c r="Z331" s="1999"/>
      <c r="AA331" s="1999"/>
      <c r="AB331" s="1999"/>
      <c r="AC331" s="1999"/>
      <c r="AD331" s="1999"/>
      <c r="AE331" s="1999"/>
      <c r="AF331" s="1999"/>
      <c r="AG331" s="1999"/>
      <c r="AH331" s="1999"/>
      <c r="AI331" s="1999"/>
      <c r="AJ331" s="1999"/>
      <c r="AK331" s="1999"/>
      <c r="AL331" s="1999"/>
      <c r="AM331" s="1999"/>
      <c r="AN331" s="1999"/>
      <c r="AO331" s="1999"/>
      <c r="AP331" s="1999"/>
      <c r="AQ331" s="1999"/>
    </row>
    <row r="332" spans="2:43" x14ac:dyDescent="0.2">
      <c r="E332" s="2100"/>
      <c r="G332" s="1999"/>
      <c r="H332" s="1999"/>
      <c r="I332" s="1999"/>
      <c r="J332" s="1999"/>
      <c r="K332" s="1999"/>
      <c r="L332" s="1999"/>
      <c r="M332" s="1999"/>
      <c r="N332" s="1999"/>
      <c r="O332" s="1999"/>
      <c r="P332" s="1999"/>
      <c r="Q332" s="1999"/>
      <c r="R332" s="1999"/>
      <c r="S332" s="1999"/>
      <c r="T332" s="1999"/>
      <c r="U332" s="1999"/>
      <c r="V332" s="1999"/>
      <c r="W332" s="1999"/>
      <c r="X332" s="1999"/>
      <c r="Y332" s="1999"/>
      <c r="Z332" s="1999"/>
      <c r="AA332" s="1999"/>
      <c r="AB332" s="1999"/>
      <c r="AC332" s="1999"/>
      <c r="AD332" s="1999"/>
      <c r="AE332" s="1999"/>
      <c r="AF332" s="1999"/>
      <c r="AG332" s="1999"/>
      <c r="AH332" s="1999"/>
      <c r="AI332" s="1999"/>
      <c r="AJ332" s="1999"/>
      <c r="AK332" s="1999"/>
      <c r="AL332" s="1999"/>
      <c r="AM332" s="1999"/>
      <c r="AN332" s="1999"/>
      <c r="AO332" s="1999"/>
      <c r="AP332" s="1999"/>
      <c r="AQ332" s="1999"/>
    </row>
    <row r="333" spans="2:43" x14ac:dyDescent="0.2">
      <c r="E333" s="2100"/>
      <c r="G333" s="1999"/>
      <c r="H333" s="1999"/>
      <c r="I333" s="1999"/>
      <c r="J333" s="1999"/>
      <c r="K333" s="1999"/>
      <c r="L333" s="1999"/>
      <c r="M333" s="1999"/>
      <c r="N333" s="1999"/>
      <c r="O333" s="1999"/>
      <c r="P333" s="1999"/>
      <c r="Q333" s="1999"/>
      <c r="R333" s="1999"/>
      <c r="S333" s="1999"/>
      <c r="T333" s="1999"/>
      <c r="U333" s="1999"/>
      <c r="V333" s="1999"/>
      <c r="W333" s="1999"/>
      <c r="X333" s="1999"/>
      <c r="Y333" s="1999"/>
      <c r="Z333" s="1999"/>
      <c r="AA333" s="1999"/>
      <c r="AB333" s="1999"/>
      <c r="AC333" s="1999"/>
      <c r="AD333" s="1999"/>
      <c r="AE333" s="1999"/>
      <c r="AF333" s="1999"/>
      <c r="AG333" s="1999"/>
      <c r="AH333" s="1999"/>
      <c r="AI333" s="1999"/>
      <c r="AJ333" s="1999"/>
      <c r="AK333" s="1999"/>
      <c r="AL333" s="1999"/>
      <c r="AM333" s="1999"/>
      <c r="AN333" s="1999"/>
      <c r="AO333" s="1999"/>
      <c r="AP333" s="1999"/>
      <c r="AQ333" s="1999"/>
    </row>
    <row r="334" spans="2:43" x14ac:dyDescent="0.2">
      <c r="C334" s="1984" t="s">
        <v>1199</v>
      </c>
      <c r="E334" s="2100" t="s">
        <v>1170</v>
      </c>
      <c r="G334" s="1999">
        <f t="shared" ref="G334:AQ334" si="102">+(G188+G294)*1292^9</f>
        <v>0</v>
      </c>
      <c r="H334" s="1999">
        <f t="shared" si="102"/>
        <v>0</v>
      </c>
      <c r="I334" s="1999">
        <f t="shared" si="102"/>
        <v>0</v>
      </c>
      <c r="J334" s="1999">
        <f t="shared" si="102"/>
        <v>0</v>
      </c>
      <c r="K334" s="1999">
        <f t="shared" si="102"/>
        <v>0</v>
      </c>
      <c r="L334" s="1999">
        <f t="shared" si="102"/>
        <v>0</v>
      </c>
      <c r="M334" s="1999">
        <f t="shared" si="102"/>
        <v>0</v>
      </c>
      <c r="N334" s="1999">
        <f t="shared" si="102"/>
        <v>0</v>
      </c>
      <c r="O334" s="1999">
        <f t="shared" si="102"/>
        <v>0</v>
      </c>
      <c r="P334" s="1999">
        <f t="shared" si="102"/>
        <v>0</v>
      </c>
      <c r="Q334" s="1999">
        <f t="shared" si="102"/>
        <v>0</v>
      </c>
      <c r="R334" s="1999">
        <f t="shared" si="102"/>
        <v>0</v>
      </c>
      <c r="S334" s="1999">
        <f t="shared" si="102"/>
        <v>0</v>
      </c>
      <c r="T334" s="1999">
        <f t="shared" si="102"/>
        <v>0</v>
      </c>
      <c r="U334" s="1999">
        <f t="shared" si="102"/>
        <v>0</v>
      </c>
      <c r="V334" s="1999">
        <f t="shared" si="102"/>
        <v>0</v>
      </c>
      <c r="W334" s="1999">
        <f t="shared" si="102"/>
        <v>0</v>
      </c>
      <c r="X334" s="1999">
        <f t="shared" si="102"/>
        <v>0</v>
      </c>
      <c r="Y334" s="1999">
        <f t="shared" si="102"/>
        <v>0</v>
      </c>
      <c r="Z334" s="1999">
        <f t="shared" si="102"/>
        <v>0</v>
      </c>
      <c r="AA334" s="1999">
        <f t="shared" si="102"/>
        <v>0</v>
      </c>
      <c r="AB334" s="1999">
        <f t="shared" si="102"/>
        <v>0</v>
      </c>
      <c r="AC334" s="1999">
        <f t="shared" si="102"/>
        <v>0</v>
      </c>
      <c r="AD334" s="1999">
        <f t="shared" si="102"/>
        <v>0</v>
      </c>
      <c r="AE334" s="1999">
        <f t="shared" si="102"/>
        <v>0</v>
      </c>
      <c r="AF334" s="1999">
        <f t="shared" si="102"/>
        <v>0</v>
      </c>
      <c r="AG334" s="1999">
        <f t="shared" si="102"/>
        <v>0</v>
      </c>
      <c r="AH334" s="1999">
        <f t="shared" si="102"/>
        <v>0</v>
      </c>
      <c r="AI334" s="1999">
        <f t="shared" si="102"/>
        <v>0</v>
      </c>
      <c r="AJ334" s="1999">
        <f t="shared" si="102"/>
        <v>0</v>
      </c>
      <c r="AK334" s="1999">
        <f t="shared" si="102"/>
        <v>0</v>
      </c>
      <c r="AL334" s="1999">
        <f t="shared" si="102"/>
        <v>0</v>
      </c>
      <c r="AM334" s="1999">
        <f t="shared" si="102"/>
        <v>0</v>
      </c>
      <c r="AN334" s="1999">
        <f t="shared" si="102"/>
        <v>0</v>
      </c>
      <c r="AO334" s="1999">
        <f t="shared" si="102"/>
        <v>0</v>
      </c>
      <c r="AP334" s="1999">
        <f t="shared" si="102"/>
        <v>0</v>
      </c>
      <c r="AQ334" s="1999">
        <f t="shared" si="102"/>
        <v>0</v>
      </c>
    </row>
    <row r="335" spans="2:43" x14ac:dyDescent="0.2">
      <c r="E335" s="2100"/>
      <c r="G335" s="1999"/>
      <c r="H335" s="1999"/>
      <c r="I335" s="1999"/>
      <c r="J335" s="1999"/>
      <c r="K335" s="1999"/>
      <c r="L335" s="1999"/>
      <c r="M335" s="1999"/>
      <c r="N335" s="1999"/>
      <c r="O335" s="1999"/>
      <c r="P335" s="1999"/>
      <c r="Q335" s="1999"/>
      <c r="R335" s="1999"/>
      <c r="S335" s="1999"/>
      <c r="T335" s="1999"/>
      <c r="U335" s="1999"/>
      <c r="V335" s="1999"/>
      <c r="W335" s="1999"/>
      <c r="X335" s="1999"/>
      <c r="Y335" s="1999"/>
      <c r="Z335" s="1999"/>
      <c r="AA335" s="1999"/>
      <c r="AB335" s="1999"/>
      <c r="AC335" s="1999"/>
      <c r="AD335" s="1999"/>
      <c r="AE335" s="1999"/>
      <c r="AF335" s="1999"/>
      <c r="AG335" s="1999"/>
      <c r="AH335" s="1999"/>
      <c r="AI335" s="1999"/>
      <c r="AJ335" s="1999"/>
      <c r="AK335" s="1999"/>
      <c r="AL335" s="1999"/>
      <c r="AM335" s="1999"/>
      <c r="AN335" s="1999"/>
      <c r="AO335" s="1999"/>
      <c r="AP335" s="1999"/>
      <c r="AQ335" s="1999"/>
    </row>
    <row r="336" spans="2:43" x14ac:dyDescent="0.2">
      <c r="B336" s="2098">
        <v>10</v>
      </c>
      <c r="C336" s="2097" t="s">
        <v>1200</v>
      </c>
      <c r="E336" s="2100"/>
      <c r="G336" s="1999"/>
      <c r="H336" s="1999"/>
      <c r="I336" s="1999"/>
      <c r="J336" s="1999"/>
      <c r="K336" s="1999"/>
      <c r="L336" s="1999"/>
      <c r="M336" s="1999"/>
      <c r="N336" s="1999"/>
      <c r="O336" s="1999"/>
      <c r="P336" s="1999"/>
      <c r="Q336" s="1999"/>
      <c r="R336" s="1999"/>
      <c r="S336" s="1999"/>
      <c r="T336" s="1999"/>
      <c r="U336" s="1999"/>
      <c r="V336" s="1999"/>
      <c r="W336" s="1999"/>
      <c r="X336" s="1999"/>
      <c r="Y336" s="1999"/>
      <c r="Z336" s="1999"/>
      <c r="AA336" s="1999"/>
      <c r="AB336" s="1999"/>
      <c r="AC336" s="1999"/>
      <c r="AD336" s="1999"/>
      <c r="AE336" s="1999"/>
      <c r="AF336" s="1999"/>
      <c r="AG336" s="1999"/>
      <c r="AH336" s="1999"/>
      <c r="AI336" s="1999"/>
      <c r="AJ336" s="1999"/>
      <c r="AK336" s="1999"/>
      <c r="AL336" s="1999"/>
      <c r="AM336" s="1999"/>
      <c r="AN336" s="1999"/>
      <c r="AO336" s="1999"/>
      <c r="AP336" s="1999"/>
      <c r="AQ336" s="1999"/>
    </row>
    <row r="337" spans="2:43" x14ac:dyDescent="0.2">
      <c r="C337" s="2097"/>
      <c r="E337" s="2100"/>
      <c r="G337" s="1999"/>
      <c r="H337" s="1999"/>
      <c r="I337" s="1999"/>
      <c r="J337" s="1999"/>
      <c r="K337" s="1999"/>
      <c r="L337" s="1999"/>
      <c r="M337" s="1999"/>
      <c r="N337" s="1999"/>
      <c r="O337" s="1999"/>
      <c r="P337" s="1999"/>
      <c r="Q337" s="1999"/>
      <c r="R337" s="1999"/>
      <c r="S337" s="1999"/>
      <c r="T337" s="1999"/>
      <c r="U337" s="1999"/>
      <c r="V337" s="1999"/>
      <c r="W337" s="1999"/>
      <c r="X337" s="1999"/>
      <c r="Y337" s="1999"/>
      <c r="Z337" s="1999"/>
      <c r="AA337" s="1999"/>
      <c r="AB337" s="1999"/>
      <c r="AC337" s="1999"/>
      <c r="AD337" s="1999"/>
      <c r="AE337" s="1999"/>
      <c r="AF337" s="1999"/>
      <c r="AG337" s="1999"/>
      <c r="AH337" s="1999"/>
      <c r="AI337" s="1999"/>
      <c r="AJ337" s="1999"/>
      <c r="AK337" s="1999"/>
      <c r="AL337" s="1999"/>
      <c r="AM337" s="1999"/>
      <c r="AN337" s="1999"/>
      <c r="AO337" s="1999"/>
      <c r="AP337" s="1999"/>
      <c r="AQ337" s="1999"/>
    </row>
    <row r="338" spans="2:43" x14ac:dyDescent="0.2">
      <c r="C338" s="1984" t="s">
        <v>334</v>
      </c>
      <c r="E338" s="2100" t="s">
        <v>1170</v>
      </c>
      <c r="G338" s="2186">
        <f t="shared" ref="G338:AQ338" si="103">+G302*G320*G315/10^9</f>
        <v>0</v>
      </c>
      <c r="H338" s="2186">
        <f t="shared" si="103"/>
        <v>0</v>
      </c>
      <c r="I338" s="2186">
        <f t="shared" si="103"/>
        <v>0</v>
      </c>
      <c r="J338" s="2186">
        <f t="shared" si="103"/>
        <v>0</v>
      </c>
      <c r="K338" s="2186">
        <f t="shared" si="103"/>
        <v>0</v>
      </c>
      <c r="L338" s="2186">
        <f t="shared" si="103"/>
        <v>0</v>
      </c>
      <c r="M338" s="2186">
        <f t="shared" si="103"/>
        <v>0</v>
      </c>
      <c r="N338" s="2186">
        <f t="shared" si="103"/>
        <v>0</v>
      </c>
      <c r="O338" s="2186">
        <f t="shared" si="103"/>
        <v>0</v>
      </c>
      <c r="P338" s="2186">
        <f t="shared" si="103"/>
        <v>0</v>
      </c>
      <c r="Q338" s="2186">
        <f t="shared" si="103"/>
        <v>0</v>
      </c>
      <c r="R338" s="2186">
        <f t="shared" si="103"/>
        <v>0</v>
      </c>
      <c r="S338" s="2186">
        <f t="shared" si="103"/>
        <v>0</v>
      </c>
      <c r="T338" s="2186">
        <f t="shared" si="103"/>
        <v>0</v>
      </c>
      <c r="U338" s="2186">
        <f t="shared" si="103"/>
        <v>0</v>
      </c>
      <c r="V338" s="2186">
        <f t="shared" si="103"/>
        <v>0</v>
      </c>
      <c r="W338" s="2186">
        <f t="shared" si="103"/>
        <v>0</v>
      </c>
      <c r="X338" s="2186">
        <f t="shared" si="103"/>
        <v>0</v>
      </c>
      <c r="Y338" s="2186">
        <f t="shared" si="103"/>
        <v>0</v>
      </c>
      <c r="Z338" s="2186">
        <f t="shared" si="103"/>
        <v>0</v>
      </c>
      <c r="AA338" s="2186">
        <f t="shared" si="103"/>
        <v>0</v>
      </c>
      <c r="AB338" s="2186">
        <f t="shared" si="103"/>
        <v>0</v>
      </c>
      <c r="AC338" s="2186">
        <f t="shared" si="103"/>
        <v>0</v>
      </c>
      <c r="AD338" s="2186">
        <f t="shared" si="103"/>
        <v>0</v>
      </c>
      <c r="AE338" s="2186">
        <f t="shared" si="103"/>
        <v>0</v>
      </c>
      <c r="AF338" s="2186">
        <f t="shared" si="103"/>
        <v>0</v>
      </c>
      <c r="AG338" s="2186">
        <f t="shared" si="103"/>
        <v>0</v>
      </c>
      <c r="AH338" s="2186">
        <f t="shared" si="103"/>
        <v>0</v>
      </c>
      <c r="AI338" s="2186">
        <f t="shared" si="103"/>
        <v>0</v>
      </c>
      <c r="AJ338" s="2186">
        <f t="shared" si="103"/>
        <v>0</v>
      </c>
      <c r="AK338" s="2186">
        <f t="shared" si="103"/>
        <v>0</v>
      </c>
      <c r="AL338" s="2186">
        <f t="shared" si="103"/>
        <v>0</v>
      </c>
      <c r="AM338" s="2186">
        <f t="shared" si="103"/>
        <v>0</v>
      </c>
      <c r="AN338" s="2186">
        <f t="shared" si="103"/>
        <v>0</v>
      </c>
      <c r="AO338" s="2186">
        <f t="shared" si="103"/>
        <v>0</v>
      </c>
      <c r="AP338" s="2186">
        <f t="shared" si="103"/>
        <v>0</v>
      </c>
      <c r="AQ338" s="2186">
        <f t="shared" si="103"/>
        <v>0</v>
      </c>
    </row>
    <row r="339" spans="2:43" ht="13.15" customHeight="1" x14ac:dyDescent="0.2">
      <c r="C339" s="1984" t="s">
        <v>1201</v>
      </c>
      <c r="E339" s="2100" t="s">
        <v>1170</v>
      </c>
      <c r="G339" s="1999"/>
      <c r="H339" s="1999"/>
      <c r="I339" s="1999"/>
      <c r="J339" s="1999"/>
      <c r="K339" s="1999"/>
      <c r="L339" s="1999"/>
      <c r="M339" s="1999"/>
      <c r="N339" s="1999"/>
      <c r="O339" s="1999"/>
      <c r="P339" s="1999"/>
      <c r="Q339" s="1999"/>
      <c r="R339" s="1999"/>
      <c r="S339" s="1999"/>
      <c r="T339" s="1999"/>
      <c r="U339" s="1999"/>
      <c r="V339" s="1999"/>
      <c r="W339" s="1999"/>
      <c r="X339" s="1999"/>
      <c r="Y339" s="1999"/>
      <c r="Z339" s="1999"/>
      <c r="AA339" s="1999"/>
      <c r="AB339" s="1999"/>
      <c r="AC339" s="1999"/>
      <c r="AD339" s="1999"/>
      <c r="AE339" s="1999"/>
      <c r="AF339" s="1999"/>
      <c r="AG339" s="1999"/>
      <c r="AH339" s="1999"/>
      <c r="AI339" s="1999"/>
      <c r="AJ339" s="1999"/>
      <c r="AK339" s="1999"/>
      <c r="AL339" s="1999"/>
      <c r="AM339" s="1999"/>
      <c r="AN339" s="1999"/>
      <c r="AO339" s="1999"/>
      <c r="AP339" s="1999"/>
      <c r="AQ339" s="1999"/>
    </row>
    <row r="340" spans="2:43" ht="13.15" customHeight="1" x14ac:dyDescent="0.2">
      <c r="C340" s="2097"/>
      <c r="E340" s="2100"/>
      <c r="G340" s="1999"/>
      <c r="H340" s="1999"/>
      <c r="I340" s="1999"/>
      <c r="J340" s="1999"/>
      <c r="K340" s="1999"/>
      <c r="L340" s="1999"/>
      <c r="M340" s="1999"/>
      <c r="N340" s="1999"/>
      <c r="O340" s="1999"/>
      <c r="P340" s="1999"/>
      <c r="Q340" s="1999"/>
      <c r="R340" s="1999"/>
      <c r="S340" s="1999"/>
      <c r="T340" s="1999"/>
      <c r="U340" s="1999"/>
      <c r="V340" s="1999"/>
      <c r="W340" s="1999"/>
      <c r="X340" s="1999"/>
      <c r="Y340" s="1999"/>
      <c r="Z340" s="1999"/>
      <c r="AA340" s="1999"/>
      <c r="AB340" s="1999"/>
      <c r="AC340" s="1999"/>
      <c r="AD340" s="1999"/>
      <c r="AE340" s="1999"/>
      <c r="AF340" s="1999"/>
      <c r="AG340" s="1999"/>
      <c r="AH340" s="1999"/>
      <c r="AI340" s="1999"/>
      <c r="AJ340" s="1999"/>
      <c r="AK340" s="1999"/>
      <c r="AL340" s="1999"/>
      <c r="AM340" s="1999"/>
      <c r="AN340" s="1999"/>
      <c r="AO340" s="1999"/>
      <c r="AP340" s="1999"/>
      <c r="AQ340" s="1999"/>
    </row>
    <row r="341" spans="2:43" ht="12.6" customHeight="1" x14ac:dyDescent="0.2">
      <c r="C341" s="2097"/>
      <c r="E341" s="2100"/>
      <c r="G341" s="1999"/>
      <c r="H341" s="1999"/>
      <c r="I341" s="1999"/>
      <c r="J341" s="1999"/>
      <c r="K341" s="1999"/>
      <c r="L341" s="1999"/>
      <c r="M341" s="1999"/>
      <c r="N341" s="1999"/>
      <c r="O341" s="1999"/>
      <c r="P341" s="1999"/>
      <c r="Q341" s="1999"/>
      <c r="R341" s="1999"/>
      <c r="S341" s="1999"/>
      <c r="T341" s="1999"/>
      <c r="U341" s="1999"/>
      <c r="V341" s="1999"/>
      <c r="W341" s="1999"/>
      <c r="X341" s="1999"/>
      <c r="Y341" s="1999"/>
      <c r="Z341" s="1999"/>
      <c r="AA341" s="1999"/>
      <c r="AB341" s="1999"/>
      <c r="AC341" s="1999"/>
      <c r="AD341" s="1999"/>
      <c r="AE341" s="1999"/>
      <c r="AF341" s="1999"/>
      <c r="AG341" s="1999"/>
      <c r="AH341" s="1999"/>
      <c r="AI341" s="1999"/>
      <c r="AJ341" s="1999"/>
      <c r="AK341" s="1999"/>
      <c r="AL341" s="1999"/>
      <c r="AM341" s="1999"/>
      <c r="AN341" s="1999"/>
      <c r="AO341" s="1999"/>
      <c r="AP341" s="1999"/>
      <c r="AQ341" s="1999"/>
    </row>
    <row r="342" spans="2:43" x14ac:dyDescent="0.2">
      <c r="C342" s="2097"/>
      <c r="E342" s="2100"/>
      <c r="G342" s="1999"/>
      <c r="H342" s="1999"/>
      <c r="I342" s="1999"/>
      <c r="J342" s="1999"/>
      <c r="K342" s="1999"/>
      <c r="L342" s="1999"/>
      <c r="M342" s="1999"/>
      <c r="N342" s="1999"/>
      <c r="O342" s="1999"/>
      <c r="P342" s="1999"/>
      <c r="Q342" s="1999"/>
      <c r="R342" s="1999"/>
      <c r="S342" s="1999"/>
      <c r="T342" s="1999"/>
      <c r="U342" s="1999"/>
      <c r="V342" s="1999"/>
      <c r="W342" s="1999"/>
      <c r="X342" s="1999"/>
      <c r="Y342" s="1999"/>
      <c r="Z342" s="1999"/>
      <c r="AA342" s="1999"/>
      <c r="AB342" s="1999"/>
      <c r="AC342" s="1999"/>
      <c r="AD342" s="1999"/>
      <c r="AE342" s="1999"/>
      <c r="AF342" s="1999"/>
      <c r="AG342" s="1999"/>
      <c r="AH342" s="1999"/>
      <c r="AI342" s="1999"/>
      <c r="AJ342" s="1999"/>
      <c r="AK342" s="1999"/>
      <c r="AL342" s="1999"/>
      <c r="AM342" s="1999"/>
      <c r="AN342" s="1999"/>
      <c r="AO342" s="1999"/>
      <c r="AP342" s="1999"/>
      <c r="AQ342" s="1999"/>
    </row>
    <row r="344" spans="2:43" ht="15.75" x14ac:dyDescent="0.2">
      <c r="B344" s="1989" t="s">
        <v>181</v>
      </c>
      <c r="C344" s="1990"/>
      <c r="D344" s="1991"/>
      <c r="E344" s="1992"/>
      <c r="F344" s="1992"/>
      <c r="G344" s="1992"/>
      <c r="H344" s="1992"/>
      <c r="I344" s="1992"/>
      <c r="J344" s="1992"/>
      <c r="K344" s="1992"/>
      <c r="L344" s="1992"/>
      <c r="M344" s="1992"/>
      <c r="N344" s="1992"/>
      <c r="O344" s="1992"/>
      <c r="P344" s="1992"/>
      <c r="Q344" s="1992"/>
      <c r="R344" s="1992"/>
      <c r="S344" s="1992"/>
      <c r="T344" s="1992"/>
      <c r="U344" s="1992"/>
      <c r="V344" s="1992"/>
      <c r="W344" s="1992"/>
      <c r="X344" s="1992"/>
      <c r="Y344" s="1992"/>
      <c r="Z344" s="1992"/>
      <c r="AA344" s="1992"/>
      <c r="AB344" s="1992"/>
      <c r="AC344" s="1992"/>
      <c r="AD344" s="1992"/>
      <c r="AE344" s="1992"/>
      <c r="AF344" s="1992"/>
      <c r="AG344" s="1992"/>
      <c r="AH344" s="1992"/>
      <c r="AI344" s="1992"/>
      <c r="AJ344" s="1992"/>
      <c r="AK344" s="1992"/>
      <c r="AL344" s="1992"/>
      <c r="AM344" s="1992"/>
      <c r="AN344" s="1992"/>
      <c r="AO344" s="1992"/>
      <c r="AP344" s="1992"/>
      <c r="AQ344" s="1992"/>
    </row>
    <row r="345" spans="2:43" x14ac:dyDescent="0.2">
      <c r="B345" s="1993"/>
      <c r="C345" s="1994"/>
      <c r="D345" s="1994"/>
      <c r="E345" s="1995"/>
      <c r="F345" s="1995"/>
      <c r="G345" s="1995"/>
      <c r="H345" s="1995"/>
      <c r="I345" s="1995"/>
      <c r="J345" s="1995"/>
      <c r="K345" s="1995"/>
      <c r="L345" s="1995"/>
      <c r="M345" s="1995"/>
      <c r="N345" s="1995"/>
      <c r="O345" s="1995"/>
      <c r="P345" s="1995"/>
      <c r="Q345" s="1995"/>
      <c r="R345" s="1995"/>
      <c r="S345" s="1995"/>
      <c r="T345" s="1995"/>
      <c r="U345" s="1995"/>
      <c r="V345" s="1995"/>
      <c r="W345" s="1995"/>
      <c r="X345" s="1995"/>
      <c r="Y345" s="1995"/>
      <c r="Z345" s="1995"/>
      <c r="AA345" s="1995"/>
      <c r="AB345" s="1995"/>
      <c r="AC345" s="1995"/>
      <c r="AD345" s="1995"/>
      <c r="AE345" s="1995"/>
      <c r="AF345" s="1995"/>
      <c r="AG345" s="1995"/>
      <c r="AH345" s="1995"/>
      <c r="AI345" s="1995"/>
      <c r="AJ345" s="1995"/>
      <c r="AK345" s="1995"/>
      <c r="AL345" s="1995"/>
      <c r="AM345" s="1995"/>
      <c r="AN345" s="1995"/>
      <c r="AO345" s="1995"/>
      <c r="AP345" s="1995"/>
      <c r="AQ345" s="1995"/>
    </row>
    <row r="346" spans="2:43" x14ac:dyDescent="0.2">
      <c r="B346" s="1993"/>
      <c r="C346" s="2187" t="s">
        <v>1202</v>
      </c>
      <c r="D346" s="1994"/>
      <c r="E346" s="1995"/>
      <c r="F346" s="1995"/>
      <c r="G346" s="1995"/>
      <c r="H346" s="1995"/>
      <c r="I346" s="1995"/>
      <c r="J346" s="1995"/>
      <c r="K346" s="1995"/>
      <c r="L346" s="1995"/>
      <c r="M346" s="1995"/>
      <c r="N346" s="1995"/>
      <c r="O346" s="1995"/>
      <c r="P346" s="1995"/>
      <c r="Q346" s="1995"/>
      <c r="R346" s="1995"/>
      <c r="S346" s="1995"/>
      <c r="T346" s="1995"/>
      <c r="U346" s="1995"/>
      <c r="V346" s="1995"/>
      <c r="W346" s="1995"/>
      <c r="X346" s="1995"/>
      <c r="Y346" s="1995"/>
      <c r="Z346" s="1995"/>
      <c r="AA346" s="1995"/>
      <c r="AB346" s="1995"/>
      <c r="AC346" s="1995"/>
      <c r="AD346" s="1995"/>
      <c r="AE346" s="1995"/>
      <c r="AF346" s="1995"/>
      <c r="AG346" s="1995"/>
      <c r="AH346" s="1995"/>
      <c r="AI346" s="1995"/>
      <c r="AJ346" s="1995"/>
      <c r="AK346" s="1995"/>
      <c r="AL346" s="1995"/>
      <c r="AM346" s="1995"/>
      <c r="AN346" s="1995"/>
      <c r="AO346" s="1995"/>
      <c r="AP346" s="1995"/>
      <c r="AQ346" s="1995"/>
    </row>
    <row r="347" spans="2:43" x14ac:dyDescent="0.2">
      <c r="B347" s="1993"/>
      <c r="C347" s="2130" t="s">
        <v>146</v>
      </c>
      <c r="D347" s="2130" t="s">
        <v>242</v>
      </c>
      <c r="E347" s="2131" t="s">
        <v>8</v>
      </c>
      <c r="F347" s="2132"/>
      <c r="G347" s="2131">
        <v>2014</v>
      </c>
      <c r="H347" s="2131">
        <v>2015</v>
      </c>
      <c r="I347" s="2131">
        <v>2016</v>
      </c>
      <c r="J347" s="2131">
        <v>2017</v>
      </c>
      <c r="K347" s="2131">
        <v>2018</v>
      </c>
      <c r="L347" s="2131">
        <v>2019</v>
      </c>
      <c r="M347" s="2131">
        <v>2020</v>
      </c>
      <c r="N347" s="2131">
        <v>2021</v>
      </c>
      <c r="O347" s="2131">
        <v>2022</v>
      </c>
      <c r="P347" s="2131">
        <v>2023</v>
      </c>
      <c r="Q347" s="2131">
        <v>2024</v>
      </c>
      <c r="R347" s="2131">
        <v>2025</v>
      </c>
      <c r="S347" s="2131">
        <v>2026</v>
      </c>
      <c r="T347" s="2131">
        <v>2027</v>
      </c>
      <c r="U347" s="2131">
        <v>2028</v>
      </c>
      <c r="V347" s="2131">
        <v>2029</v>
      </c>
      <c r="W347" s="2131">
        <v>2030</v>
      </c>
      <c r="X347" s="2131">
        <v>2031</v>
      </c>
      <c r="Y347" s="2131">
        <v>2032</v>
      </c>
      <c r="Z347" s="2131">
        <v>2033</v>
      </c>
      <c r="AA347" s="2131">
        <v>2034</v>
      </c>
      <c r="AB347" s="2131">
        <v>2035</v>
      </c>
      <c r="AC347" s="2131">
        <v>2036</v>
      </c>
      <c r="AD347" s="2131">
        <v>2037</v>
      </c>
      <c r="AE347" s="2131">
        <v>2038</v>
      </c>
      <c r="AF347" s="2131">
        <v>2039</v>
      </c>
      <c r="AG347" s="2131">
        <v>2040</v>
      </c>
      <c r="AH347" s="2131">
        <v>2041</v>
      </c>
      <c r="AI347" s="2131">
        <v>2042</v>
      </c>
      <c r="AJ347" s="2131">
        <v>2043</v>
      </c>
      <c r="AK347" s="2131">
        <v>2044</v>
      </c>
      <c r="AL347" s="2131">
        <v>2045</v>
      </c>
      <c r="AM347" s="2131">
        <v>2046</v>
      </c>
      <c r="AN347" s="2131">
        <v>2047</v>
      </c>
      <c r="AO347" s="2131">
        <v>2048</v>
      </c>
      <c r="AP347" s="2131">
        <v>2049</v>
      </c>
      <c r="AQ347" s="2131">
        <v>2050</v>
      </c>
    </row>
    <row r="348" spans="2:43" x14ac:dyDescent="0.2">
      <c r="B348" s="1993"/>
      <c r="C348" s="1993"/>
      <c r="D348" s="1994" t="s">
        <v>609</v>
      </c>
      <c r="E348" s="1994"/>
      <c r="F348" s="2150" t="s">
        <v>1203</v>
      </c>
      <c r="G348" s="2151" t="e">
        <f>+#REF!+G290</f>
        <v>#REF!</v>
      </c>
      <c r="H348" s="2151" t="e">
        <f>+#REF!+H290</f>
        <v>#REF!</v>
      </c>
      <c r="I348" s="2151" t="e">
        <f>+#REF!+I290</f>
        <v>#REF!</v>
      </c>
      <c r="J348" s="2151" t="e">
        <f>+#REF!+J290</f>
        <v>#REF!</v>
      </c>
      <c r="K348" s="2151" t="e">
        <f>+#REF!+K290</f>
        <v>#REF!</v>
      </c>
      <c r="L348" s="2151" t="e">
        <f>+#REF!+L290</f>
        <v>#REF!</v>
      </c>
      <c r="M348" s="2151" t="e">
        <f>+#REF!+M290</f>
        <v>#REF!</v>
      </c>
      <c r="N348" s="2151" t="e">
        <f>+#REF!+N290</f>
        <v>#REF!</v>
      </c>
      <c r="O348" s="2151" t="e">
        <f>+#REF!+O290</f>
        <v>#REF!</v>
      </c>
      <c r="P348" s="2151" t="e">
        <f>+#REF!+P290</f>
        <v>#REF!</v>
      </c>
      <c r="Q348" s="2151" t="e">
        <f>+#REF!+Q290</f>
        <v>#REF!</v>
      </c>
      <c r="R348" s="2151" t="e">
        <f>+#REF!+R290</f>
        <v>#REF!</v>
      </c>
      <c r="S348" s="2151" t="e">
        <f>+#REF!+S290</f>
        <v>#REF!</v>
      </c>
      <c r="T348" s="2151" t="e">
        <f>+#REF!+T290</f>
        <v>#REF!</v>
      </c>
      <c r="U348" s="2151" t="e">
        <f>+#REF!+U290</f>
        <v>#REF!</v>
      </c>
      <c r="V348" s="2151" t="e">
        <f>+#REF!+V290</f>
        <v>#REF!</v>
      </c>
      <c r="W348" s="2151" t="e">
        <f>+#REF!+W290</f>
        <v>#REF!</v>
      </c>
      <c r="X348" s="2151" t="e">
        <f>+#REF!+X290</f>
        <v>#REF!</v>
      </c>
      <c r="Y348" s="2151" t="e">
        <f>+#REF!+Y290</f>
        <v>#REF!</v>
      </c>
      <c r="Z348" s="2151" t="e">
        <f>+#REF!+Z290</f>
        <v>#REF!</v>
      </c>
      <c r="AA348" s="2151" t="e">
        <f>+#REF!+AA290</f>
        <v>#REF!</v>
      </c>
      <c r="AB348" s="2151" t="e">
        <f>+#REF!+AB290</f>
        <v>#REF!</v>
      </c>
      <c r="AC348" s="2151" t="e">
        <f>+#REF!+AC290</f>
        <v>#REF!</v>
      </c>
      <c r="AD348" s="2151" t="e">
        <f>+#REF!+AD290</f>
        <v>#REF!</v>
      </c>
      <c r="AE348" s="2151" t="e">
        <f>+#REF!+AE290</f>
        <v>#REF!</v>
      </c>
      <c r="AF348" s="2151" t="e">
        <f>+#REF!+AF290</f>
        <v>#REF!</v>
      </c>
      <c r="AG348" s="2151" t="e">
        <f>+#REF!+AG290</f>
        <v>#REF!</v>
      </c>
      <c r="AH348" s="2151" t="e">
        <f>+#REF!+AH290</f>
        <v>#REF!</v>
      </c>
      <c r="AI348" s="2151" t="e">
        <f>+#REF!+AI290</f>
        <v>#REF!</v>
      </c>
      <c r="AJ348" s="2151" t="e">
        <f>+#REF!+AJ290</f>
        <v>#REF!</v>
      </c>
      <c r="AK348" s="2151" t="e">
        <f>+#REF!+AK290</f>
        <v>#REF!</v>
      </c>
      <c r="AL348" s="2151" t="e">
        <f>+#REF!+AL290</f>
        <v>#REF!</v>
      </c>
      <c r="AM348" s="2151" t="e">
        <f>+#REF!+AM290</f>
        <v>#REF!</v>
      </c>
      <c r="AN348" s="2151" t="e">
        <f>+#REF!+AN290</f>
        <v>#REF!</v>
      </c>
      <c r="AO348" s="2151" t="e">
        <f>+#REF!+AO290</f>
        <v>#REF!</v>
      </c>
      <c r="AP348" s="2151" t="e">
        <f>+#REF!+AP290</f>
        <v>#REF!</v>
      </c>
      <c r="AQ348" s="2151" t="e">
        <f>+#REF!+AQ290</f>
        <v>#REF!</v>
      </c>
    </row>
    <row r="349" spans="2:43" x14ac:dyDescent="0.2">
      <c r="B349" s="1993"/>
      <c r="C349" s="1993"/>
      <c r="D349" s="1994" t="s">
        <v>334</v>
      </c>
      <c r="E349" s="1994"/>
      <c r="F349" s="2150" t="s">
        <v>1203</v>
      </c>
      <c r="G349" s="2151" t="e">
        <f>+#REF!+G291+G302+G325</f>
        <v>#REF!</v>
      </c>
      <c r="H349" s="2151" t="e">
        <f>+#REF!+H291+H302+H325</f>
        <v>#REF!</v>
      </c>
      <c r="I349" s="2151" t="e">
        <f>+#REF!+I291+I302+I325</f>
        <v>#REF!</v>
      </c>
      <c r="J349" s="2151" t="e">
        <f>+#REF!+J291+J302+J325</f>
        <v>#REF!</v>
      </c>
      <c r="K349" s="2151" t="e">
        <f>+#REF!+K291+K302+K325</f>
        <v>#REF!</v>
      </c>
      <c r="L349" s="2151" t="e">
        <f>+#REF!+L291+L302+L325</f>
        <v>#REF!</v>
      </c>
      <c r="M349" s="2151" t="e">
        <f>+#REF!+M291+M302+M325</f>
        <v>#REF!</v>
      </c>
      <c r="N349" s="2151" t="e">
        <f>+#REF!+N291+N302+N325</f>
        <v>#REF!</v>
      </c>
      <c r="O349" s="2151" t="e">
        <f>+#REF!+O291+O302+O325</f>
        <v>#REF!</v>
      </c>
      <c r="P349" s="2151" t="e">
        <f>+#REF!+P291+P302+P325</f>
        <v>#REF!</v>
      </c>
      <c r="Q349" s="2151" t="e">
        <f>+#REF!+Q291+Q302+Q325</f>
        <v>#REF!</v>
      </c>
      <c r="R349" s="2151" t="e">
        <f>+#REF!+R291+R302+R325</f>
        <v>#REF!</v>
      </c>
      <c r="S349" s="2151" t="e">
        <f>+#REF!+S291+S302+S325</f>
        <v>#REF!</v>
      </c>
      <c r="T349" s="2151" t="e">
        <f>+#REF!+T291+T302+T325</f>
        <v>#REF!</v>
      </c>
      <c r="U349" s="2151" t="e">
        <f>+#REF!+U291+U302+U325</f>
        <v>#REF!</v>
      </c>
      <c r="V349" s="2151" t="e">
        <f>+#REF!+V291+V302+V325</f>
        <v>#REF!</v>
      </c>
      <c r="W349" s="2151" t="e">
        <f>+#REF!+W291+W302+W325</f>
        <v>#REF!</v>
      </c>
      <c r="X349" s="2151" t="e">
        <f>+#REF!+X291+X302+X325</f>
        <v>#REF!</v>
      </c>
      <c r="Y349" s="2151" t="e">
        <f>+#REF!+Y291+Y302+Y325</f>
        <v>#REF!</v>
      </c>
      <c r="Z349" s="2151" t="e">
        <f>+#REF!+Z291+Z302+Z325</f>
        <v>#REF!</v>
      </c>
      <c r="AA349" s="2151" t="e">
        <f>+#REF!+AA291+AA302+AA325</f>
        <v>#REF!</v>
      </c>
      <c r="AB349" s="2151" t="e">
        <f>+#REF!+AB291+AB302+AB325</f>
        <v>#REF!</v>
      </c>
      <c r="AC349" s="2151" t="e">
        <f>+#REF!+AC291+AC302+AC325</f>
        <v>#REF!</v>
      </c>
      <c r="AD349" s="2151" t="e">
        <f>+#REF!+AD291+AD302+AD325</f>
        <v>#REF!</v>
      </c>
      <c r="AE349" s="2151" t="e">
        <f>+#REF!+AE291+AE302+AE325</f>
        <v>#REF!</v>
      </c>
      <c r="AF349" s="2151" t="e">
        <f>+#REF!+AF291+AF302+AF325</f>
        <v>#REF!</v>
      </c>
      <c r="AG349" s="2151" t="e">
        <f>+#REF!+AG291+AG302+AG325</f>
        <v>#REF!</v>
      </c>
      <c r="AH349" s="2151" t="e">
        <f>+#REF!+AH291+AH302+AH325</f>
        <v>#REF!</v>
      </c>
      <c r="AI349" s="2151" t="e">
        <f>+#REF!+AI291+AI302+AI325</f>
        <v>#REF!</v>
      </c>
      <c r="AJ349" s="2151" t="e">
        <f>+#REF!+AJ291+AJ302+AJ325</f>
        <v>#REF!</v>
      </c>
      <c r="AK349" s="2151" t="e">
        <f>+#REF!+AK291+AK302+AK325</f>
        <v>#REF!</v>
      </c>
      <c r="AL349" s="2151" t="e">
        <f>+#REF!+AL291+AL302+AL325</f>
        <v>#REF!</v>
      </c>
      <c r="AM349" s="2151" t="e">
        <f>+#REF!+AM291+AM302+AM325</f>
        <v>#REF!</v>
      </c>
      <c r="AN349" s="2151" t="e">
        <f>+#REF!+AN291+AN302+AN325</f>
        <v>#REF!</v>
      </c>
      <c r="AO349" s="2151" t="e">
        <f>+#REF!+AO291+AO302+AO325</f>
        <v>#REF!</v>
      </c>
      <c r="AP349" s="2151" t="e">
        <f>+#REF!+AP291+AP302+AP325</f>
        <v>#REF!</v>
      </c>
      <c r="AQ349" s="2151" t="e">
        <f>+#REF!+AQ291+AQ302+AQ325</f>
        <v>#REF!</v>
      </c>
    </row>
    <row r="350" spans="2:43" x14ac:dyDescent="0.2">
      <c r="B350" s="1993"/>
      <c r="C350" s="1993"/>
      <c r="D350" s="1994" t="s">
        <v>1201</v>
      </c>
      <c r="E350" s="1994"/>
      <c r="F350" s="2150" t="s">
        <v>1204</v>
      </c>
      <c r="G350" s="2188" t="e">
        <f>+#REF!+G292</f>
        <v>#REF!</v>
      </c>
      <c r="H350" s="2188" t="e">
        <f>+#REF!+H292</f>
        <v>#REF!</v>
      </c>
      <c r="I350" s="2188" t="e">
        <f>+#REF!+I292</f>
        <v>#REF!</v>
      </c>
      <c r="J350" s="2188" t="e">
        <f>+#REF!+J292</f>
        <v>#REF!</v>
      </c>
      <c r="K350" s="2188" t="e">
        <f>+#REF!+K292</f>
        <v>#REF!</v>
      </c>
      <c r="L350" s="2188" t="e">
        <f>+#REF!+L292</f>
        <v>#REF!</v>
      </c>
      <c r="M350" s="2188" t="e">
        <f>+#REF!+M292</f>
        <v>#REF!</v>
      </c>
      <c r="N350" s="2188" t="e">
        <f>+#REF!+N292</f>
        <v>#REF!</v>
      </c>
      <c r="O350" s="2188" t="e">
        <f>+#REF!+O292</f>
        <v>#REF!</v>
      </c>
      <c r="P350" s="2188" t="e">
        <f>+#REF!+P292</f>
        <v>#REF!</v>
      </c>
      <c r="Q350" s="2188" t="e">
        <f>+#REF!+Q292</f>
        <v>#REF!</v>
      </c>
      <c r="R350" s="2188" t="e">
        <f>+#REF!+R292</f>
        <v>#REF!</v>
      </c>
      <c r="S350" s="2188" t="e">
        <f>+#REF!+S292</f>
        <v>#REF!</v>
      </c>
      <c r="T350" s="2188" t="e">
        <f>+#REF!+T292</f>
        <v>#REF!</v>
      </c>
      <c r="U350" s="2188" t="e">
        <f>+#REF!+U292</f>
        <v>#REF!</v>
      </c>
      <c r="V350" s="2188" t="e">
        <f>+#REF!+V292</f>
        <v>#REF!</v>
      </c>
      <c r="W350" s="2188" t="e">
        <f>+#REF!+W292</f>
        <v>#REF!</v>
      </c>
      <c r="X350" s="2188" t="e">
        <f>+#REF!+X292</f>
        <v>#REF!</v>
      </c>
      <c r="Y350" s="2188" t="e">
        <f>+#REF!+Y292</f>
        <v>#REF!</v>
      </c>
      <c r="Z350" s="2188" t="e">
        <f>+#REF!+Z292</f>
        <v>#REF!</v>
      </c>
      <c r="AA350" s="2188" t="e">
        <f>+#REF!+AA292</f>
        <v>#REF!</v>
      </c>
      <c r="AB350" s="2188" t="e">
        <f>+#REF!+AB292</f>
        <v>#REF!</v>
      </c>
      <c r="AC350" s="2188" t="e">
        <f>+#REF!+AC292</f>
        <v>#REF!</v>
      </c>
      <c r="AD350" s="2188" t="e">
        <f>+#REF!+AD292</f>
        <v>#REF!</v>
      </c>
      <c r="AE350" s="2188" t="e">
        <f>+#REF!+AE292</f>
        <v>#REF!</v>
      </c>
      <c r="AF350" s="2188" t="e">
        <f>+#REF!+AF292</f>
        <v>#REF!</v>
      </c>
      <c r="AG350" s="2188" t="e">
        <f>+#REF!+AG292</f>
        <v>#REF!</v>
      </c>
      <c r="AH350" s="2188" t="e">
        <f>+#REF!+AH292</f>
        <v>#REF!</v>
      </c>
      <c r="AI350" s="2188" t="e">
        <f>+#REF!+AI292</f>
        <v>#REF!</v>
      </c>
      <c r="AJ350" s="2188" t="e">
        <f>+#REF!+AJ292</f>
        <v>#REF!</v>
      </c>
      <c r="AK350" s="2188" t="e">
        <f>+#REF!+AK292</f>
        <v>#REF!</v>
      </c>
      <c r="AL350" s="2188" t="e">
        <f>+#REF!+AL292</f>
        <v>#REF!</v>
      </c>
      <c r="AM350" s="2188" t="e">
        <f>+#REF!+AM292</f>
        <v>#REF!</v>
      </c>
      <c r="AN350" s="2188" t="e">
        <f>+#REF!+AN292</f>
        <v>#REF!</v>
      </c>
      <c r="AO350" s="2188" t="e">
        <f>+#REF!+AO292</f>
        <v>#REF!</v>
      </c>
      <c r="AP350" s="2188" t="e">
        <f>+#REF!+AP292</f>
        <v>#REF!</v>
      </c>
      <c r="AQ350" s="2188" t="e">
        <f>+#REF!+AQ292</f>
        <v>#REF!</v>
      </c>
    </row>
    <row r="351" spans="2:43" x14ac:dyDescent="0.2">
      <c r="B351" s="1993"/>
      <c r="C351" s="1993"/>
      <c r="D351" s="1994" t="s">
        <v>510</v>
      </c>
      <c r="E351" s="1994"/>
      <c r="F351" s="2150" t="s">
        <v>1205</v>
      </c>
      <c r="G351" s="2188">
        <f t="shared" ref="G351:AQ352" si="104">+G187+G293</f>
        <v>0</v>
      </c>
      <c r="H351" s="2188">
        <f t="shared" si="104"/>
        <v>0</v>
      </c>
      <c r="I351" s="2188">
        <f t="shared" si="104"/>
        <v>0</v>
      </c>
      <c r="J351" s="2188">
        <f t="shared" si="104"/>
        <v>0</v>
      </c>
      <c r="K351" s="2188">
        <f t="shared" si="104"/>
        <v>0</v>
      </c>
      <c r="L351" s="2188">
        <f t="shared" si="104"/>
        <v>0</v>
      </c>
      <c r="M351" s="2188">
        <f t="shared" si="104"/>
        <v>0</v>
      </c>
      <c r="N351" s="2188">
        <f t="shared" si="104"/>
        <v>0</v>
      </c>
      <c r="O351" s="2188">
        <f t="shared" si="104"/>
        <v>0</v>
      </c>
      <c r="P351" s="2188">
        <f t="shared" si="104"/>
        <v>0</v>
      </c>
      <c r="Q351" s="2188">
        <f t="shared" si="104"/>
        <v>0</v>
      </c>
      <c r="R351" s="2188">
        <f t="shared" si="104"/>
        <v>0</v>
      </c>
      <c r="S351" s="2188">
        <f t="shared" si="104"/>
        <v>0</v>
      </c>
      <c r="T351" s="2188">
        <f t="shared" si="104"/>
        <v>0</v>
      </c>
      <c r="U351" s="2188">
        <f t="shared" si="104"/>
        <v>0</v>
      </c>
      <c r="V351" s="2188">
        <f t="shared" si="104"/>
        <v>0</v>
      </c>
      <c r="W351" s="2188">
        <f t="shared" si="104"/>
        <v>0</v>
      </c>
      <c r="X351" s="2188">
        <f t="shared" si="104"/>
        <v>0</v>
      </c>
      <c r="Y351" s="2188">
        <f t="shared" si="104"/>
        <v>0</v>
      </c>
      <c r="Z351" s="2188">
        <f t="shared" si="104"/>
        <v>0</v>
      </c>
      <c r="AA351" s="2188">
        <f t="shared" si="104"/>
        <v>0</v>
      </c>
      <c r="AB351" s="2188">
        <f t="shared" si="104"/>
        <v>0</v>
      </c>
      <c r="AC351" s="2188">
        <f t="shared" si="104"/>
        <v>0</v>
      </c>
      <c r="AD351" s="2188">
        <f t="shared" si="104"/>
        <v>0</v>
      </c>
      <c r="AE351" s="2188">
        <f t="shared" si="104"/>
        <v>0</v>
      </c>
      <c r="AF351" s="2188">
        <f t="shared" si="104"/>
        <v>0</v>
      </c>
      <c r="AG351" s="2188">
        <f t="shared" si="104"/>
        <v>0</v>
      </c>
      <c r="AH351" s="2188">
        <f t="shared" si="104"/>
        <v>0</v>
      </c>
      <c r="AI351" s="2188">
        <f t="shared" si="104"/>
        <v>0</v>
      </c>
      <c r="AJ351" s="2188">
        <f t="shared" si="104"/>
        <v>0</v>
      </c>
      <c r="AK351" s="2188">
        <f t="shared" si="104"/>
        <v>0</v>
      </c>
      <c r="AL351" s="2188">
        <f t="shared" si="104"/>
        <v>0</v>
      </c>
      <c r="AM351" s="2188">
        <f t="shared" si="104"/>
        <v>0</v>
      </c>
      <c r="AN351" s="2188">
        <f t="shared" si="104"/>
        <v>0</v>
      </c>
      <c r="AO351" s="2188">
        <f t="shared" si="104"/>
        <v>0</v>
      </c>
      <c r="AP351" s="2188">
        <f t="shared" si="104"/>
        <v>0</v>
      </c>
      <c r="AQ351" s="2188">
        <f t="shared" si="104"/>
        <v>0</v>
      </c>
    </row>
    <row r="352" spans="2:43" x14ac:dyDescent="0.2">
      <c r="B352" s="1993"/>
      <c r="C352" s="1993"/>
      <c r="D352" s="1994" t="s">
        <v>1199</v>
      </c>
      <c r="E352" s="1994"/>
      <c r="F352" s="2150" t="s">
        <v>1203</v>
      </c>
      <c r="G352" s="2188">
        <f t="shared" si="104"/>
        <v>0</v>
      </c>
      <c r="H352" s="2188">
        <f t="shared" si="104"/>
        <v>0</v>
      </c>
      <c r="I352" s="2188">
        <f t="shared" si="104"/>
        <v>0</v>
      </c>
      <c r="J352" s="2188">
        <f t="shared" si="104"/>
        <v>0</v>
      </c>
      <c r="K352" s="2188">
        <f t="shared" si="104"/>
        <v>0</v>
      </c>
      <c r="L352" s="2188">
        <f t="shared" si="104"/>
        <v>0</v>
      </c>
      <c r="M352" s="2188">
        <f t="shared" si="104"/>
        <v>0</v>
      </c>
      <c r="N352" s="2188">
        <f t="shared" si="104"/>
        <v>0</v>
      </c>
      <c r="O352" s="2188">
        <f t="shared" si="104"/>
        <v>0</v>
      </c>
      <c r="P352" s="2188">
        <f t="shared" si="104"/>
        <v>0</v>
      </c>
      <c r="Q352" s="2188">
        <f t="shared" si="104"/>
        <v>0</v>
      </c>
      <c r="R352" s="2188">
        <f t="shared" si="104"/>
        <v>0</v>
      </c>
      <c r="S352" s="2188">
        <f t="shared" si="104"/>
        <v>0</v>
      </c>
      <c r="T352" s="2188">
        <f t="shared" si="104"/>
        <v>0</v>
      </c>
      <c r="U352" s="2188">
        <f t="shared" si="104"/>
        <v>0</v>
      </c>
      <c r="V352" s="2188">
        <f t="shared" si="104"/>
        <v>0</v>
      </c>
      <c r="W352" s="2188">
        <f t="shared" si="104"/>
        <v>0</v>
      </c>
      <c r="X352" s="2188">
        <f t="shared" si="104"/>
        <v>0</v>
      </c>
      <c r="Y352" s="2188">
        <f t="shared" si="104"/>
        <v>0</v>
      </c>
      <c r="Z352" s="2188">
        <f t="shared" si="104"/>
        <v>0</v>
      </c>
      <c r="AA352" s="2188">
        <f t="shared" si="104"/>
        <v>0</v>
      </c>
      <c r="AB352" s="2188">
        <f t="shared" si="104"/>
        <v>0</v>
      </c>
      <c r="AC352" s="2188">
        <f t="shared" si="104"/>
        <v>0</v>
      </c>
      <c r="AD352" s="2188">
        <f t="shared" si="104"/>
        <v>0</v>
      </c>
      <c r="AE352" s="2188">
        <f t="shared" si="104"/>
        <v>0</v>
      </c>
      <c r="AF352" s="2188">
        <f t="shared" si="104"/>
        <v>0</v>
      </c>
      <c r="AG352" s="2188">
        <f t="shared" si="104"/>
        <v>0</v>
      </c>
      <c r="AH352" s="2188">
        <f t="shared" si="104"/>
        <v>0</v>
      </c>
      <c r="AI352" s="2188">
        <f t="shared" si="104"/>
        <v>0</v>
      </c>
      <c r="AJ352" s="2188">
        <f t="shared" si="104"/>
        <v>0</v>
      </c>
      <c r="AK352" s="2188">
        <f t="shared" si="104"/>
        <v>0</v>
      </c>
      <c r="AL352" s="2188">
        <f t="shared" si="104"/>
        <v>0</v>
      </c>
      <c r="AM352" s="2188">
        <f t="shared" si="104"/>
        <v>0</v>
      </c>
      <c r="AN352" s="2188">
        <f t="shared" si="104"/>
        <v>0</v>
      </c>
      <c r="AO352" s="2188">
        <f t="shared" si="104"/>
        <v>0</v>
      </c>
      <c r="AP352" s="2188">
        <f t="shared" si="104"/>
        <v>0</v>
      </c>
      <c r="AQ352" s="2188">
        <f t="shared" si="104"/>
        <v>0</v>
      </c>
    </row>
    <row r="353" spans="2:43" x14ac:dyDescent="0.2">
      <c r="B353" s="1993"/>
      <c r="C353" s="2189"/>
      <c r="D353" s="2190" t="s">
        <v>492</v>
      </c>
      <c r="E353" s="2190"/>
      <c r="F353" s="2191" t="s">
        <v>1203</v>
      </c>
      <c r="G353" s="2192">
        <f t="shared" ref="G353:AQ353" si="105">+G326</f>
        <v>0</v>
      </c>
      <c r="H353" s="2192">
        <f t="shared" si="105"/>
        <v>0</v>
      </c>
      <c r="I353" s="2192">
        <f t="shared" si="105"/>
        <v>0</v>
      </c>
      <c r="J353" s="2192">
        <f t="shared" si="105"/>
        <v>0</v>
      </c>
      <c r="K353" s="2192">
        <f t="shared" si="105"/>
        <v>0</v>
      </c>
      <c r="L353" s="2192">
        <f t="shared" si="105"/>
        <v>0</v>
      </c>
      <c r="M353" s="2192">
        <f t="shared" si="105"/>
        <v>0</v>
      </c>
      <c r="N353" s="2192">
        <f t="shared" si="105"/>
        <v>0</v>
      </c>
      <c r="O353" s="2192">
        <f t="shared" si="105"/>
        <v>0</v>
      </c>
      <c r="P353" s="2192">
        <f t="shared" si="105"/>
        <v>0</v>
      </c>
      <c r="Q353" s="2192">
        <f t="shared" si="105"/>
        <v>0</v>
      </c>
      <c r="R353" s="2192">
        <f t="shared" si="105"/>
        <v>0</v>
      </c>
      <c r="S353" s="2192">
        <f t="shared" si="105"/>
        <v>0</v>
      </c>
      <c r="T353" s="2192">
        <f t="shared" si="105"/>
        <v>0</v>
      </c>
      <c r="U353" s="2192">
        <f t="shared" si="105"/>
        <v>0</v>
      </c>
      <c r="V353" s="2192">
        <f t="shared" si="105"/>
        <v>0</v>
      </c>
      <c r="W353" s="2192">
        <f t="shared" si="105"/>
        <v>0</v>
      </c>
      <c r="X353" s="2192">
        <f t="shared" si="105"/>
        <v>0</v>
      </c>
      <c r="Y353" s="2192">
        <f t="shared" si="105"/>
        <v>0</v>
      </c>
      <c r="Z353" s="2192">
        <f t="shared" si="105"/>
        <v>0</v>
      </c>
      <c r="AA353" s="2192">
        <f t="shared" si="105"/>
        <v>0</v>
      </c>
      <c r="AB353" s="2192">
        <f t="shared" si="105"/>
        <v>0</v>
      </c>
      <c r="AC353" s="2192">
        <f t="shared" si="105"/>
        <v>0</v>
      </c>
      <c r="AD353" s="2192">
        <f t="shared" si="105"/>
        <v>0</v>
      </c>
      <c r="AE353" s="2192">
        <f t="shared" si="105"/>
        <v>0</v>
      </c>
      <c r="AF353" s="2192">
        <f t="shared" si="105"/>
        <v>0</v>
      </c>
      <c r="AG353" s="2192">
        <f t="shared" si="105"/>
        <v>0</v>
      </c>
      <c r="AH353" s="2192">
        <f t="shared" si="105"/>
        <v>0</v>
      </c>
      <c r="AI353" s="2192">
        <f t="shared" si="105"/>
        <v>0</v>
      </c>
      <c r="AJ353" s="2192">
        <f t="shared" si="105"/>
        <v>0</v>
      </c>
      <c r="AK353" s="2192">
        <f t="shared" si="105"/>
        <v>0</v>
      </c>
      <c r="AL353" s="2192">
        <f t="shared" si="105"/>
        <v>0</v>
      </c>
      <c r="AM353" s="2192">
        <f t="shared" si="105"/>
        <v>0</v>
      </c>
      <c r="AN353" s="2192">
        <f t="shared" si="105"/>
        <v>0</v>
      </c>
      <c r="AO353" s="2192">
        <f t="shared" si="105"/>
        <v>0</v>
      </c>
      <c r="AP353" s="2192">
        <f t="shared" si="105"/>
        <v>0</v>
      </c>
      <c r="AQ353" s="2192">
        <f t="shared" si="105"/>
        <v>0</v>
      </c>
    </row>
    <row r="354" spans="2:43" x14ac:dyDescent="0.2">
      <c r="B354" s="1993"/>
      <c r="C354" s="1994"/>
      <c r="D354" s="1994"/>
      <c r="E354" s="1995"/>
      <c r="F354" s="1995"/>
      <c r="G354" s="1995"/>
      <c r="H354" s="1995"/>
      <c r="I354" s="1995"/>
      <c r="J354" s="1995"/>
      <c r="K354" s="1995"/>
      <c r="L354" s="1995"/>
      <c r="M354" s="1995"/>
      <c r="N354" s="1995"/>
      <c r="O354" s="1995"/>
      <c r="P354" s="1995"/>
      <c r="Q354" s="1995"/>
      <c r="R354" s="1995"/>
      <c r="S354" s="1995"/>
      <c r="T354" s="1995"/>
      <c r="U354" s="1995"/>
      <c r="V354" s="1995"/>
      <c r="W354" s="1995"/>
      <c r="X354" s="1995"/>
      <c r="Y354" s="1995"/>
      <c r="Z354" s="1995"/>
      <c r="AA354" s="1995"/>
      <c r="AB354" s="1995"/>
      <c r="AC354" s="1995"/>
      <c r="AD354" s="1995"/>
      <c r="AE354" s="1995"/>
      <c r="AF354" s="1995"/>
      <c r="AG354" s="1995"/>
      <c r="AH354" s="1995"/>
      <c r="AI354" s="1995"/>
      <c r="AJ354" s="1995"/>
      <c r="AK354" s="1995"/>
      <c r="AL354" s="1995"/>
      <c r="AM354" s="1995"/>
      <c r="AN354" s="1995"/>
      <c r="AO354" s="1995"/>
      <c r="AP354" s="1995"/>
      <c r="AQ354" s="1995"/>
    </row>
    <row r="355" spans="2:43" x14ac:dyDescent="0.2">
      <c r="B355" s="1993"/>
      <c r="C355" s="2187" t="s">
        <v>1206</v>
      </c>
      <c r="D355" s="1994"/>
      <c r="E355" s="1995"/>
      <c r="F355" s="1995"/>
      <c r="G355" s="1995"/>
      <c r="H355" s="1995"/>
      <c r="I355" s="1995"/>
      <c r="J355" s="1995"/>
      <c r="K355" s="1995"/>
      <c r="L355" s="1995"/>
      <c r="M355" s="1995"/>
      <c r="N355" s="1995"/>
      <c r="O355" s="1995"/>
      <c r="P355" s="1995"/>
      <c r="Q355" s="1995"/>
      <c r="R355" s="1995"/>
      <c r="S355" s="1995"/>
      <c r="T355" s="1995"/>
      <c r="U355" s="1995"/>
      <c r="V355" s="1995"/>
      <c r="W355" s="1995"/>
      <c r="X355" s="1995"/>
      <c r="Y355" s="1995"/>
      <c r="Z355" s="1995"/>
      <c r="AA355" s="1995"/>
      <c r="AB355" s="1995"/>
      <c r="AC355" s="1995"/>
      <c r="AD355" s="1995"/>
      <c r="AE355" s="1995"/>
      <c r="AF355" s="1995"/>
      <c r="AG355" s="1995"/>
      <c r="AH355" s="1995"/>
      <c r="AI355" s="1995"/>
      <c r="AJ355" s="1995"/>
      <c r="AK355" s="1995"/>
      <c r="AL355" s="1995"/>
      <c r="AM355" s="1995"/>
      <c r="AN355" s="1995"/>
      <c r="AO355" s="1995"/>
      <c r="AP355" s="1995"/>
      <c r="AQ355" s="1995"/>
    </row>
    <row r="356" spans="2:43" x14ac:dyDescent="0.2">
      <c r="B356" s="1993"/>
      <c r="C356" s="2130" t="s">
        <v>146</v>
      </c>
      <c r="D356" s="2130" t="s">
        <v>242</v>
      </c>
      <c r="E356" s="2131" t="s">
        <v>8</v>
      </c>
      <c r="F356" s="2132"/>
      <c r="G356" s="2131">
        <v>2014</v>
      </c>
      <c r="H356" s="2131">
        <v>2015</v>
      </c>
      <c r="I356" s="2131">
        <v>2016</v>
      </c>
      <c r="J356" s="2131">
        <v>2017</v>
      </c>
      <c r="K356" s="2131">
        <v>2018</v>
      </c>
      <c r="L356" s="2131">
        <v>2019</v>
      </c>
      <c r="M356" s="2131">
        <v>2020</v>
      </c>
      <c r="N356" s="2131">
        <v>2021</v>
      </c>
      <c r="O356" s="2131">
        <v>2022</v>
      </c>
      <c r="P356" s="2131">
        <v>2023</v>
      </c>
      <c r="Q356" s="2131">
        <v>2024</v>
      </c>
      <c r="R356" s="2131">
        <v>2025</v>
      </c>
      <c r="S356" s="2131">
        <v>2026</v>
      </c>
      <c r="T356" s="2131">
        <v>2027</v>
      </c>
      <c r="U356" s="2131">
        <v>2028</v>
      </c>
      <c r="V356" s="2131">
        <v>2029</v>
      </c>
      <c r="W356" s="2131">
        <v>2030</v>
      </c>
      <c r="X356" s="2131">
        <v>2031</v>
      </c>
      <c r="Y356" s="2131">
        <v>2032</v>
      </c>
      <c r="Z356" s="2131">
        <v>2033</v>
      </c>
      <c r="AA356" s="2131">
        <v>2034</v>
      </c>
      <c r="AB356" s="2131">
        <v>2035</v>
      </c>
      <c r="AC356" s="2131">
        <v>2036</v>
      </c>
      <c r="AD356" s="2131">
        <v>2037</v>
      </c>
      <c r="AE356" s="2131">
        <v>2038</v>
      </c>
      <c r="AF356" s="2131">
        <v>2039</v>
      </c>
      <c r="AG356" s="2131">
        <v>2040</v>
      </c>
      <c r="AH356" s="2131">
        <v>2041</v>
      </c>
      <c r="AI356" s="2131">
        <v>2042</v>
      </c>
      <c r="AJ356" s="2131">
        <v>2043</v>
      </c>
      <c r="AK356" s="2131">
        <v>2044</v>
      </c>
      <c r="AL356" s="2131">
        <v>2045</v>
      </c>
      <c r="AM356" s="2131">
        <v>2046</v>
      </c>
      <c r="AN356" s="2131">
        <v>2047</v>
      </c>
      <c r="AO356" s="2131">
        <v>2048</v>
      </c>
      <c r="AP356" s="2131">
        <v>2049</v>
      </c>
      <c r="AQ356" s="2131">
        <v>2050</v>
      </c>
    </row>
    <row r="357" spans="2:43" x14ac:dyDescent="0.2">
      <c r="B357" s="1993"/>
      <c r="C357" s="1993"/>
      <c r="D357" s="1994" t="s">
        <v>609</v>
      </c>
      <c r="E357" s="1994"/>
      <c r="F357" s="2150" t="s">
        <v>1170</v>
      </c>
      <c r="G357" s="2151">
        <f t="shared" ref="G357:AQ361" si="106">+G330</f>
        <v>0</v>
      </c>
      <c r="H357" s="2151">
        <f t="shared" si="106"/>
        <v>0</v>
      </c>
      <c r="I357" s="2151">
        <f t="shared" si="106"/>
        <v>0</v>
      </c>
      <c r="J357" s="2151">
        <f t="shared" si="106"/>
        <v>0</v>
      </c>
      <c r="K357" s="2151">
        <f t="shared" si="106"/>
        <v>0</v>
      </c>
      <c r="L357" s="2151">
        <f t="shared" si="106"/>
        <v>0</v>
      </c>
      <c r="M357" s="2151">
        <f t="shared" si="106"/>
        <v>0</v>
      </c>
      <c r="N357" s="2151">
        <f t="shared" si="106"/>
        <v>0</v>
      </c>
      <c r="O357" s="2151">
        <f t="shared" si="106"/>
        <v>0</v>
      </c>
      <c r="P357" s="2151">
        <f t="shared" si="106"/>
        <v>0</v>
      </c>
      <c r="Q357" s="2151">
        <f t="shared" si="106"/>
        <v>0</v>
      </c>
      <c r="R357" s="2151">
        <f t="shared" si="106"/>
        <v>0</v>
      </c>
      <c r="S357" s="2151">
        <f t="shared" si="106"/>
        <v>0</v>
      </c>
      <c r="T357" s="2151">
        <f t="shared" si="106"/>
        <v>0</v>
      </c>
      <c r="U357" s="2151">
        <f t="shared" si="106"/>
        <v>0</v>
      </c>
      <c r="V357" s="2151">
        <f t="shared" si="106"/>
        <v>0</v>
      </c>
      <c r="W357" s="2151">
        <f t="shared" si="106"/>
        <v>0</v>
      </c>
      <c r="X357" s="2151">
        <f t="shared" si="106"/>
        <v>0</v>
      </c>
      <c r="Y357" s="2151">
        <f t="shared" si="106"/>
        <v>0</v>
      </c>
      <c r="Z357" s="2151">
        <f t="shared" si="106"/>
        <v>0</v>
      </c>
      <c r="AA357" s="2151">
        <f t="shared" si="106"/>
        <v>0</v>
      </c>
      <c r="AB357" s="2151">
        <f t="shared" si="106"/>
        <v>0</v>
      </c>
      <c r="AC357" s="2151">
        <f t="shared" si="106"/>
        <v>0</v>
      </c>
      <c r="AD357" s="2151">
        <f t="shared" si="106"/>
        <v>0</v>
      </c>
      <c r="AE357" s="2151">
        <f t="shared" si="106"/>
        <v>0</v>
      </c>
      <c r="AF357" s="2151">
        <f t="shared" si="106"/>
        <v>0</v>
      </c>
      <c r="AG357" s="2151">
        <f t="shared" si="106"/>
        <v>0</v>
      </c>
      <c r="AH357" s="2151">
        <f t="shared" si="106"/>
        <v>0</v>
      </c>
      <c r="AI357" s="2151">
        <f t="shared" si="106"/>
        <v>0</v>
      </c>
      <c r="AJ357" s="2151">
        <f t="shared" si="106"/>
        <v>0</v>
      </c>
      <c r="AK357" s="2151">
        <f t="shared" si="106"/>
        <v>0</v>
      </c>
      <c r="AL357" s="2151">
        <f t="shared" si="106"/>
        <v>0</v>
      </c>
      <c r="AM357" s="2151">
        <f t="shared" si="106"/>
        <v>0</v>
      </c>
      <c r="AN357" s="2151">
        <f t="shared" si="106"/>
        <v>0</v>
      </c>
      <c r="AO357" s="2151">
        <f t="shared" si="106"/>
        <v>0</v>
      </c>
      <c r="AP357" s="2151">
        <f t="shared" si="106"/>
        <v>0</v>
      </c>
      <c r="AQ357" s="2151">
        <f t="shared" si="106"/>
        <v>0</v>
      </c>
    </row>
    <row r="358" spans="2:43" x14ac:dyDescent="0.2">
      <c r="B358" s="1993"/>
      <c r="C358" s="1993"/>
      <c r="D358" s="1994" t="s">
        <v>334</v>
      </c>
      <c r="E358" s="1994"/>
      <c r="F358" s="2150" t="s">
        <v>1170</v>
      </c>
      <c r="G358" s="2151">
        <f t="shared" si="106"/>
        <v>0</v>
      </c>
      <c r="H358" s="2151">
        <f t="shared" si="106"/>
        <v>0</v>
      </c>
      <c r="I358" s="2151">
        <f t="shared" si="106"/>
        <v>0</v>
      </c>
      <c r="J358" s="2151">
        <f t="shared" si="106"/>
        <v>0</v>
      </c>
      <c r="K358" s="2151">
        <f t="shared" si="106"/>
        <v>0</v>
      </c>
      <c r="L358" s="2151">
        <f t="shared" si="106"/>
        <v>0</v>
      </c>
      <c r="M358" s="2151">
        <f t="shared" si="106"/>
        <v>0</v>
      </c>
      <c r="N358" s="2151">
        <f t="shared" si="106"/>
        <v>0</v>
      </c>
      <c r="O358" s="2151">
        <f t="shared" si="106"/>
        <v>0</v>
      </c>
      <c r="P358" s="2151">
        <f t="shared" si="106"/>
        <v>0</v>
      </c>
      <c r="Q358" s="2151">
        <f t="shared" si="106"/>
        <v>0</v>
      </c>
      <c r="R358" s="2151">
        <f t="shared" si="106"/>
        <v>0</v>
      </c>
      <c r="S358" s="2151">
        <f t="shared" si="106"/>
        <v>0</v>
      </c>
      <c r="T358" s="2151">
        <f t="shared" si="106"/>
        <v>0</v>
      </c>
      <c r="U358" s="2151">
        <f t="shared" si="106"/>
        <v>0</v>
      </c>
      <c r="V358" s="2151">
        <f t="shared" si="106"/>
        <v>0</v>
      </c>
      <c r="W358" s="2151">
        <f t="shared" si="106"/>
        <v>0</v>
      </c>
      <c r="X358" s="2151">
        <f t="shared" si="106"/>
        <v>0</v>
      </c>
      <c r="Y358" s="2151">
        <f t="shared" si="106"/>
        <v>0</v>
      </c>
      <c r="Z358" s="2151">
        <f t="shared" si="106"/>
        <v>0</v>
      </c>
      <c r="AA358" s="2151">
        <f t="shared" si="106"/>
        <v>0</v>
      </c>
      <c r="AB358" s="2151">
        <f t="shared" si="106"/>
        <v>0</v>
      </c>
      <c r="AC358" s="2151">
        <f t="shared" si="106"/>
        <v>0</v>
      </c>
      <c r="AD358" s="2151">
        <f t="shared" si="106"/>
        <v>0</v>
      </c>
      <c r="AE358" s="2151">
        <f t="shared" si="106"/>
        <v>0</v>
      </c>
      <c r="AF358" s="2151">
        <f t="shared" si="106"/>
        <v>0</v>
      </c>
      <c r="AG358" s="2151">
        <f t="shared" si="106"/>
        <v>0</v>
      </c>
      <c r="AH358" s="2151">
        <f t="shared" si="106"/>
        <v>0</v>
      </c>
      <c r="AI358" s="2151">
        <f t="shared" si="106"/>
        <v>0</v>
      </c>
      <c r="AJ358" s="2151">
        <f t="shared" si="106"/>
        <v>0</v>
      </c>
      <c r="AK358" s="2151">
        <f t="shared" si="106"/>
        <v>0</v>
      </c>
      <c r="AL358" s="2151">
        <f t="shared" si="106"/>
        <v>0</v>
      </c>
      <c r="AM358" s="2151">
        <f t="shared" si="106"/>
        <v>0</v>
      </c>
      <c r="AN358" s="2151">
        <f t="shared" si="106"/>
        <v>0</v>
      </c>
      <c r="AO358" s="2151">
        <f t="shared" si="106"/>
        <v>0</v>
      </c>
      <c r="AP358" s="2151">
        <f t="shared" si="106"/>
        <v>0</v>
      </c>
      <c r="AQ358" s="2151">
        <f t="shared" si="106"/>
        <v>0</v>
      </c>
    </row>
    <row r="359" spans="2:43" x14ac:dyDescent="0.2">
      <c r="B359" s="1993"/>
      <c r="C359" s="1993"/>
      <c r="D359" s="1994" t="s">
        <v>1201</v>
      </c>
      <c r="E359" s="1994"/>
      <c r="F359" s="2150" t="s">
        <v>1170</v>
      </c>
      <c r="G359" s="2151">
        <f t="shared" si="106"/>
        <v>0</v>
      </c>
      <c r="H359" s="2151">
        <f t="shared" si="106"/>
        <v>0</v>
      </c>
      <c r="I359" s="2151">
        <f t="shared" si="106"/>
        <v>0</v>
      </c>
      <c r="J359" s="2151">
        <f t="shared" si="106"/>
        <v>0</v>
      </c>
      <c r="K359" s="2151">
        <f t="shared" si="106"/>
        <v>0</v>
      </c>
      <c r="L359" s="2151">
        <f t="shared" si="106"/>
        <v>0</v>
      </c>
      <c r="M359" s="2151">
        <f t="shared" si="106"/>
        <v>0</v>
      </c>
      <c r="N359" s="2151">
        <f t="shared" si="106"/>
        <v>0</v>
      </c>
      <c r="O359" s="2151">
        <f t="shared" si="106"/>
        <v>0</v>
      </c>
      <c r="P359" s="2151">
        <f t="shared" si="106"/>
        <v>0</v>
      </c>
      <c r="Q359" s="2151">
        <f t="shared" si="106"/>
        <v>0</v>
      </c>
      <c r="R359" s="2151">
        <f t="shared" si="106"/>
        <v>0</v>
      </c>
      <c r="S359" s="2151">
        <f t="shared" si="106"/>
        <v>0</v>
      </c>
      <c r="T359" s="2151">
        <f t="shared" si="106"/>
        <v>0</v>
      </c>
      <c r="U359" s="2151">
        <f t="shared" si="106"/>
        <v>0</v>
      </c>
      <c r="V359" s="2151">
        <f t="shared" si="106"/>
        <v>0</v>
      </c>
      <c r="W359" s="2151">
        <f t="shared" si="106"/>
        <v>0</v>
      </c>
      <c r="X359" s="2151">
        <f t="shared" si="106"/>
        <v>0</v>
      </c>
      <c r="Y359" s="2151">
        <f t="shared" si="106"/>
        <v>0</v>
      </c>
      <c r="Z359" s="2151">
        <f t="shared" si="106"/>
        <v>0</v>
      </c>
      <c r="AA359" s="2151">
        <f t="shared" si="106"/>
        <v>0</v>
      </c>
      <c r="AB359" s="2151">
        <f t="shared" si="106"/>
        <v>0</v>
      </c>
      <c r="AC359" s="2151">
        <f t="shared" si="106"/>
        <v>0</v>
      </c>
      <c r="AD359" s="2151">
        <f t="shared" si="106"/>
        <v>0</v>
      </c>
      <c r="AE359" s="2151">
        <f t="shared" si="106"/>
        <v>0</v>
      </c>
      <c r="AF359" s="2151">
        <f t="shared" si="106"/>
        <v>0</v>
      </c>
      <c r="AG359" s="2151">
        <f t="shared" si="106"/>
        <v>0</v>
      </c>
      <c r="AH359" s="2151">
        <f t="shared" si="106"/>
        <v>0</v>
      </c>
      <c r="AI359" s="2151">
        <f t="shared" si="106"/>
        <v>0</v>
      </c>
      <c r="AJ359" s="2151">
        <f t="shared" si="106"/>
        <v>0</v>
      </c>
      <c r="AK359" s="2151">
        <f t="shared" si="106"/>
        <v>0</v>
      </c>
      <c r="AL359" s="2151">
        <f t="shared" si="106"/>
        <v>0</v>
      </c>
      <c r="AM359" s="2151">
        <f t="shared" si="106"/>
        <v>0</v>
      </c>
      <c r="AN359" s="2151">
        <f t="shared" si="106"/>
        <v>0</v>
      </c>
      <c r="AO359" s="2151">
        <f t="shared" si="106"/>
        <v>0</v>
      </c>
      <c r="AP359" s="2151">
        <f t="shared" si="106"/>
        <v>0</v>
      </c>
      <c r="AQ359" s="2151">
        <f t="shared" si="106"/>
        <v>0</v>
      </c>
    </row>
    <row r="360" spans="2:43" x14ac:dyDescent="0.2">
      <c r="B360" s="1993"/>
      <c r="C360" s="1993"/>
      <c r="D360" s="1994" t="s">
        <v>510</v>
      </c>
      <c r="E360" s="1994"/>
      <c r="F360" s="2150" t="s">
        <v>1170</v>
      </c>
      <c r="G360" s="2151">
        <f t="shared" si="106"/>
        <v>0</v>
      </c>
      <c r="H360" s="2151">
        <f t="shared" si="106"/>
        <v>0</v>
      </c>
      <c r="I360" s="2151">
        <f t="shared" si="106"/>
        <v>0</v>
      </c>
      <c r="J360" s="2151">
        <f t="shared" si="106"/>
        <v>0</v>
      </c>
      <c r="K360" s="2151">
        <f t="shared" si="106"/>
        <v>0</v>
      </c>
      <c r="L360" s="2151">
        <f t="shared" si="106"/>
        <v>0</v>
      </c>
      <c r="M360" s="2151">
        <f t="shared" si="106"/>
        <v>0</v>
      </c>
      <c r="N360" s="2151">
        <f t="shared" si="106"/>
        <v>0</v>
      </c>
      <c r="O360" s="2151">
        <f t="shared" si="106"/>
        <v>0</v>
      </c>
      <c r="P360" s="2151">
        <f t="shared" si="106"/>
        <v>0</v>
      </c>
      <c r="Q360" s="2151">
        <f t="shared" si="106"/>
        <v>0</v>
      </c>
      <c r="R360" s="2151">
        <f t="shared" si="106"/>
        <v>0</v>
      </c>
      <c r="S360" s="2151">
        <f t="shared" si="106"/>
        <v>0</v>
      </c>
      <c r="T360" s="2151">
        <f t="shared" si="106"/>
        <v>0</v>
      </c>
      <c r="U360" s="2151">
        <f t="shared" si="106"/>
        <v>0</v>
      </c>
      <c r="V360" s="2151">
        <f t="shared" si="106"/>
        <v>0</v>
      </c>
      <c r="W360" s="2151">
        <f t="shared" si="106"/>
        <v>0</v>
      </c>
      <c r="X360" s="2151">
        <f t="shared" si="106"/>
        <v>0</v>
      </c>
      <c r="Y360" s="2151">
        <f t="shared" si="106"/>
        <v>0</v>
      </c>
      <c r="Z360" s="2151">
        <f t="shared" si="106"/>
        <v>0</v>
      </c>
      <c r="AA360" s="2151">
        <f t="shared" si="106"/>
        <v>0</v>
      </c>
      <c r="AB360" s="2151">
        <f t="shared" si="106"/>
        <v>0</v>
      </c>
      <c r="AC360" s="2151">
        <f t="shared" si="106"/>
        <v>0</v>
      </c>
      <c r="AD360" s="2151">
        <f t="shared" si="106"/>
        <v>0</v>
      </c>
      <c r="AE360" s="2151">
        <f t="shared" si="106"/>
        <v>0</v>
      </c>
      <c r="AF360" s="2151">
        <f t="shared" si="106"/>
        <v>0</v>
      </c>
      <c r="AG360" s="2151">
        <f t="shared" si="106"/>
        <v>0</v>
      </c>
      <c r="AH360" s="2151">
        <f t="shared" si="106"/>
        <v>0</v>
      </c>
      <c r="AI360" s="2151">
        <f t="shared" si="106"/>
        <v>0</v>
      </c>
      <c r="AJ360" s="2151">
        <f t="shared" si="106"/>
        <v>0</v>
      </c>
      <c r="AK360" s="2151">
        <f t="shared" si="106"/>
        <v>0</v>
      </c>
      <c r="AL360" s="2151">
        <f t="shared" si="106"/>
        <v>0</v>
      </c>
      <c r="AM360" s="2151">
        <f t="shared" si="106"/>
        <v>0</v>
      </c>
      <c r="AN360" s="2151">
        <f t="shared" si="106"/>
        <v>0</v>
      </c>
      <c r="AO360" s="2151">
        <f t="shared" si="106"/>
        <v>0</v>
      </c>
      <c r="AP360" s="2151">
        <f t="shared" si="106"/>
        <v>0</v>
      </c>
      <c r="AQ360" s="2151">
        <f t="shared" si="106"/>
        <v>0</v>
      </c>
    </row>
    <row r="361" spans="2:43" x14ac:dyDescent="0.2">
      <c r="B361" s="1993"/>
      <c r="C361" s="2189"/>
      <c r="D361" s="1994" t="s">
        <v>1199</v>
      </c>
      <c r="E361" s="2190"/>
      <c r="F361" s="2191" t="s">
        <v>1170</v>
      </c>
      <c r="G361" s="2151">
        <f t="shared" si="106"/>
        <v>0</v>
      </c>
      <c r="H361" s="2151">
        <f t="shared" si="106"/>
        <v>0</v>
      </c>
      <c r="I361" s="2151">
        <f t="shared" si="106"/>
        <v>0</v>
      </c>
      <c r="J361" s="2151">
        <f t="shared" si="106"/>
        <v>0</v>
      </c>
      <c r="K361" s="2151">
        <f t="shared" si="106"/>
        <v>0</v>
      </c>
      <c r="L361" s="2151">
        <f t="shared" si="106"/>
        <v>0</v>
      </c>
      <c r="M361" s="2151">
        <f t="shared" si="106"/>
        <v>0</v>
      </c>
      <c r="N361" s="2151">
        <f t="shared" si="106"/>
        <v>0</v>
      </c>
      <c r="O361" s="2151">
        <f t="shared" si="106"/>
        <v>0</v>
      </c>
      <c r="P361" s="2151">
        <f t="shared" si="106"/>
        <v>0</v>
      </c>
      <c r="Q361" s="2151">
        <f t="shared" si="106"/>
        <v>0</v>
      </c>
      <c r="R361" s="2151">
        <f t="shared" si="106"/>
        <v>0</v>
      </c>
      <c r="S361" s="2151">
        <f t="shared" si="106"/>
        <v>0</v>
      </c>
      <c r="T361" s="2151">
        <f t="shared" si="106"/>
        <v>0</v>
      </c>
      <c r="U361" s="2151">
        <f t="shared" si="106"/>
        <v>0</v>
      </c>
      <c r="V361" s="2151">
        <f t="shared" si="106"/>
        <v>0</v>
      </c>
      <c r="W361" s="2151">
        <f t="shared" si="106"/>
        <v>0</v>
      </c>
      <c r="X361" s="2151">
        <f t="shared" si="106"/>
        <v>0</v>
      </c>
      <c r="Y361" s="2151">
        <f t="shared" si="106"/>
        <v>0</v>
      </c>
      <c r="Z361" s="2151">
        <f t="shared" si="106"/>
        <v>0</v>
      </c>
      <c r="AA361" s="2151">
        <f t="shared" si="106"/>
        <v>0</v>
      </c>
      <c r="AB361" s="2151">
        <f t="shared" si="106"/>
        <v>0</v>
      </c>
      <c r="AC361" s="2151">
        <f t="shared" si="106"/>
        <v>0</v>
      </c>
      <c r="AD361" s="2151">
        <f t="shared" si="106"/>
        <v>0</v>
      </c>
      <c r="AE361" s="2151">
        <f t="shared" si="106"/>
        <v>0</v>
      </c>
      <c r="AF361" s="2151">
        <f t="shared" si="106"/>
        <v>0</v>
      </c>
      <c r="AG361" s="2151">
        <f t="shared" si="106"/>
        <v>0</v>
      </c>
      <c r="AH361" s="2151">
        <f t="shared" si="106"/>
        <v>0</v>
      </c>
      <c r="AI361" s="2151">
        <f t="shared" si="106"/>
        <v>0</v>
      </c>
      <c r="AJ361" s="2151">
        <f t="shared" si="106"/>
        <v>0</v>
      </c>
      <c r="AK361" s="2151">
        <f t="shared" si="106"/>
        <v>0</v>
      </c>
      <c r="AL361" s="2151">
        <f t="shared" si="106"/>
        <v>0</v>
      </c>
      <c r="AM361" s="2151">
        <f t="shared" si="106"/>
        <v>0</v>
      </c>
      <c r="AN361" s="2151">
        <f t="shared" si="106"/>
        <v>0</v>
      </c>
      <c r="AO361" s="2151">
        <f t="shared" si="106"/>
        <v>0</v>
      </c>
      <c r="AP361" s="2151">
        <f t="shared" si="106"/>
        <v>0</v>
      </c>
      <c r="AQ361" s="2151">
        <f t="shared" si="106"/>
        <v>0</v>
      </c>
    </row>
    <row r="362" spans="2:43" x14ac:dyDescent="0.2">
      <c r="B362" s="1993"/>
      <c r="C362" s="2193"/>
      <c r="D362" s="2193" t="s">
        <v>118</v>
      </c>
      <c r="E362" s="2193"/>
      <c r="F362" s="2194" t="s">
        <v>1170</v>
      </c>
      <c r="G362" s="2195">
        <f t="shared" ref="G362:AQ362" si="107">+SUM(G357:G361)</f>
        <v>0</v>
      </c>
      <c r="H362" s="2195">
        <f t="shared" si="107"/>
        <v>0</v>
      </c>
      <c r="I362" s="2195">
        <f t="shared" si="107"/>
        <v>0</v>
      </c>
      <c r="J362" s="2195">
        <f t="shared" si="107"/>
        <v>0</v>
      </c>
      <c r="K362" s="2195">
        <f t="shared" si="107"/>
        <v>0</v>
      </c>
      <c r="L362" s="2195">
        <f t="shared" si="107"/>
        <v>0</v>
      </c>
      <c r="M362" s="2195">
        <f t="shared" si="107"/>
        <v>0</v>
      </c>
      <c r="N362" s="2195">
        <f t="shared" si="107"/>
        <v>0</v>
      </c>
      <c r="O362" s="2195">
        <f t="shared" si="107"/>
        <v>0</v>
      </c>
      <c r="P362" s="2195">
        <f t="shared" si="107"/>
        <v>0</v>
      </c>
      <c r="Q362" s="2195">
        <f t="shared" si="107"/>
        <v>0</v>
      </c>
      <c r="R362" s="2195">
        <f t="shared" si="107"/>
        <v>0</v>
      </c>
      <c r="S362" s="2195">
        <f t="shared" si="107"/>
        <v>0</v>
      </c>
      <c r="T362" s="2195">
        <f t="shared" si="107"/>
        <v>0</v>
      </c>
      <c r="U362" s="2195">
        <f t="shared" si="107"/>
        <v>0</v>
      </c>
      <c r="V362" s="2195">
        <f t="shared" si="107"/>
        <v>0</v>
      </c>
      <c r="W362" s="2195">
        <f t="shared" si="107"/>
        <v>0</v>
      </c>
      <c r="X362" s="2195">
        <f t="shared" si="107"/>
        <v>0</v>
      </c>
      <c r="Y362" s="2195">
        <f t="shared" si="107"/>
        <v>0</v>
      </c>
      <c r="Z362" s="2195">
        <f t="shared" si="107"/>
        <v>0</v>
      </c>
      <c r="AA362" s="2195">
        <f t="shared" si="107"/>
        <v>0</v>
      </c>
      <c r="AB362" s="2195">
        <f t="shared" si="107"/>
        <v>0</v>
      </c>
      <c r="AC362" s="2195">
        <f t="shared" si="107"/>
        <v>0</v>
      </c>
      <c r="AD362" s="2195">
        <f t="shared" si="107"/>
        <v>0</v>
      </c>
      <c r="AE362" s="2195">
        <f t="shared" si="107"/>
        <v>0</v>
      </c>
      <c r="AF362" s="2195">
        <f t="shared" si="107"/>
        <v>0</v>
      </c>
      <c r="AG362" s="2195">
        <f t="shared" si="107"/>
        <v>0</v>
      </c>
      <c r="AH362" s="2195">
        <f t="shared" si="107"/>
        <v>0</v>
      </c>
      <c r="AI362" s="2195">
        <f t="shared" si="107"/>
        <v>0</v>
      </c>
      <c r="AJ362" s="2195">
        <f t="shared" si="107"/>
        <v>0</v>
      </c>
      <c r="AK362" s="2195">
        <f t="shared" si="107"/>
        <v>0</v>
      </c>
      <c r="AL362" s="2195">
        <f t="shared" si="107"/>
        <v>0</v>
      </c>
      <c r="AM362" s="2195">
        <f t="shared" si="107"/>
        <v>0</v>
      </c>
      <c r="AN362" s="2195">
        <f t="shared" si="107"/>
        <v>0</v>
      </c>
      <c r="AO362" s="2195">
        <f t="shared" si="107"/>
        <v>0</v>
      </c>
      <c r="AP362" s="2195">
        <f t="shared" si="107"/>
        <v>0</v>
      </c>
      <c r="AQ362" s="2195">
        <f t="shared" si="107"/>
        <v>0</v>
      </c>
    </row>
    <row r="363" spans="2:43" x14ac:dyDescent="0.2">
      <c r="B363" s="1993"/>
      <c r="C363" s="1994"/>
      <c r="D363" s="1994"/>
      <c r="E363" s="1995"/>
      <c r="F363" s="1995"/>
      <c r="G363" s="1995"/>
      <c r="H363" s="1995"/>
      <c r="I363" s="1995"/>
      <c r="J363" s="1995"/>
      <c r="K363" s="1995"/>
      <c r="L363" s="1995"/>
      <c r="M363" s="1995"/>
      <c r="N363" s="1995"/>
      <c r="O363" s="1995"/>
      <c r="P363" s="1995"/>
      <c r="Q363" s="1995"/>
      <c r="R363" s="1995"/>
      <c r="S363" s="1995"/>
      <c r="T363" s="1995"/>
      <c r="U363" s="1995"/>
      <c r="V363" s="1995"/>
      <c r="W363" s="1995"/>
      <c r="X363" s="1995"/>
      <c r="Y363" s="1995"/>
      <c r="Z363" s="1995"/>
      <c r="AA363" s="1995"/>
      <c r="AB363" s="1995"/>
      <c r="AC363" s="1995"/>
      <c r="AD363" s="1995"/>
      <c r="AE363" s="1995"/>
      <c r="AF363" s="1995"/>
      <c r="AG363" s="1995"/>
      <c r="AH363" s="1995"/>
      <c r="AI363" s="1995"/>
      <c r="AJ363" s="1995"/>
      <c r="AK363" s="1995"/>
      <c r="AL363" s="1995"/>
      <c r="AM363" s="1995"/>
      <c r="AN363" s="1995"/>
      <c r="AO363" s="1995"/>
      <c r="AP363" s="1995"/>
      <c r="AQ363" s="1995"/>
    </row>
    <row r="364" spans="2:43" x14ac:dyDescent="0.2">
      <c r="B364" s="1993"/>
      <c r="C364" s="2187" t="s">
        <v>1207</v>
      </c>
      <c r="D364" s="1994"/>
      <c r="E364" s="1995"/>
      <c r="F364" s="1995"/>
      <c r="G364" s="1995"/>
      <c r="H364" s="1995"/>
      <c r="I364" s="1995"/>
      <c r="J364" s="1995"/>
      <c r="K364" s="1995"/>
      <c r="L364" s="1995"/>
      <c r="M364" s="1995"/>
      <c r="N364" s="1995"/>
      <c r="O364" s="1995"/>
      <c r="P364" s="1995"/>
      <c r="Q364" s="1995"/>
      <c r="R364" s="1995"/>
      <c r="S364" s="1995"/>
      <c r="T364" s="1995"/>
      <c r="U364" s="1995"/>
      <c r="V364" s="1995"/>
      <c r="W364" s="1995"/>
      <c r="X364" s="1995"/>
      <c r="Y364" s="1995"/>
      <c r="Z364" s="1995"/>
      <c r="AA364" s="1995"/>
      <c r="AB364" s="1995"/>
      <c r="AC364" s="1995"/>
      <c r="AD364" s="1995"/>
      <c r="AE364" s="1995"/>
      <c r="AF364" s="1995"/>
      <c r="AG364" s="1995"/>
      <c r="AH364" s="1995"/>
      <c r="AI364" s="1995"/>
      <c r="AJ364" s="1995"/>
      <c r="AK364" s="1995"/>
      <c r="AL364" s="1995"/>
      <c r="AM364" s="1995"/>
      <c r="AN364" s="1995"/>
      <c r="AO364" s="1995"/>
      <c r="AP364" s="1995"/>
      <c r="AQ364" s="1995"/>
    </row>
    <row r="365" spans="2:43" x14ac:dyDescent="0.2">
      <c r="B365" s="1993"/>
      <c r="C365" s="2130" t="s">
        <v>146</v>
      </c>
      <c r="D365" s="2130" t="s">
        <v>242</v>
      </c>
      <c r="E365" s="2131" t="s">
        <v>8</v>
      </c>
      <c r="F365" s="2132"/>
      <c r="G365" s="2131">
        <v>2014</v>
      </c>
      <c r="H365" s="2131">
        <v>2015</v>
      </c>
      <c r="I365" s="2131">
        <v>2016</v>
      </c>
      <c r="J365" s="2131">
        <v>2017</v>
      </c>
      <c r="K365" s="2131">
        <v>2018</v>
      </c>
      <c r="L365" s="2131">
        <v>2019</v>
      </c>
      <c r="M365" s="2131">
        <v>2020</v>
      </c>
      <c r="N365" s="2131">
        <v>2021</v>
      </c>
      <c r="O365" s="2131">
        <v>2022</v>
      </c>
      <c r="P365" s="2131">
        <v>2023</v>
      </c>
      <c r="Q365" s="2131">
        <v>2024</v>
      </c>
      <c r="R365" s="2131">
        <v>2025</v>
      </c>
      <c r="S365" s="2131">
        <v>2026</v>
      </c>
      <c r="T365" s="2131">
        <v>2027</v>
      </c>
      <c r="U365" s="2131">
        <v>2028</v>
      </c>
      <c r="V365" s="2131">
        <v>2029</v>
      </c>
      <c r="W365" s="2131">
        <v>2030</v>
      </c>
      <c r="X365" s="2131">
        <v>2031</v>
      </c>
      <c r="Y365" s="2131">
        <v>2032</v>
      </c>
      <c r="Z365" s="2131">
        <v>2033</v>
      </c>
      <c r="AA365" s="2131">
        <v>2034</v>
      </c>
      <c r="AB365" s="2131">
        <v>2035</v>
      </c>
      <c r="AC365" s="2131">
        <v>2036</v>
      </c>
      <c r="AD365" s="2131">
        <v>2037</v>
      </c>
      <c r="AE365" s="2131">
        <v>2038</v>
      </c>
      <c r="AF365" s="2131">
        <v>2039</v>
      </c>
      <c r="AG365" s="2131">
        <v>2040</v>
      </c>
      <c r="AH365" s="2131">
        <v>2041</v>
      </c>
      <c r="AI365" s="2131">
        <v>2042</v>
      </c>
      <c r="AJ365" s="2131">
        <v>2043</v>
      </c>
      <c r="AK365" s="2131">
        <v>2044</v>
      </c>
      <c r="AL365" s="2131">
        <v>2045</v>
      </c>
      <c r="AM365" s="2131">
        <v>2046</v>
      </c>
      <c r="AN365" s="2131">
        <v>2047</v>
      </c>
      <c r="AO365" s="2131">
        <v>2048</v>
      </c>
      <c r="AP365" s="2131">
        <v>2049</v>
      </c>
      <c r="AQ365" s="2131">
        <v>2050</v>
      </c>
    </row>
    <row r="366" spans="2:43" x14ac:dyDescent="0.2">
      <c r="B366" s="1993"/>
      <c r="C366" s="1993"/>
      <c r="D366" s="1994" t="s">
        <v>334</v>
      </c>
      <c r="E366" s="1994"/>
      <c r="F366" s="2150" t="s">
        <v>1170</v>
      </c>
      <c r="G366" s="2196">
        <f t="shared" ref="G366:AQ367" si="108">+G338</f>
        <v>0</v>
      </c>
      <c r="H366" s="2196">
        <f t="shared" si="108"/>
        <v>0</v>
      </c>
      <c r="I366" s="2196">
        <f t="shared" si="108"/>
        <v>0</v>
      </c>
      <c r="J366" s="2196">
        <f t="shared" si="108"/>
        <v>0</v>
      </c>
      <c r="K366" s="2196">
        <f t="shared" si="108"/>
        <v>0</v>
      </c>
      <c r="L366" s="2196">
        <f t="shared" si="108"/>
        <v>0</v>
      </c>
      <c r="M366" s="2196">
        <f t="shared" si="108"/>
        <v>0</v>
      </c>
      <c r="N366" s="2196">
        <f t="shared" si="108"/>
        <v>0</v>
      </c>
      <c r="O366" s="2196">
        <f t="shared" si="108"/>
        <v>0</v>
      </c>
      <c r="P366" s="2196">
        <f t="shared" si="108"/>
        <v>0</v>
      </c>
      <c r="Q366" s="2196">
        <f t="shared" si="108"/>
        <v>0</v>
      </c>
      <c r="R366" s="2196">
        <f t="shared" si="108"/>
        <v>0</v>
      </c>
      <c r="S366" s="2196">
        <f t="shared" si="108"/>
        <v>0</v>
      </c>
      <c r="T366" s="2196">
        <f t="shared" si="108"/>
        <v>0</v>
      </c>
      <c r="U366" s="2196">
        <f t="shared" si="108"/>
        <v>0</v>
      </c>
      <c r="V366" s="2196">
        <f t="shared" si="108"/>
        <v>0</v>
      </c>
      <c r="W366" s="2196">
        <f t="shared" si="108"/>
        <v>0</v>
      </c>
      <c r="X366" s="2196">
        <f t="shared" si="108"/>
        <v>0</v>
      </c>
      <c r="Y366" s="2196">
        <f t="shared" si="108"/>
        <v>0</v>
      </c>
      <c r="Z366" s="2196">
        <f t="shared" si="108"/>
        <v>0</v>
      </c>
      <c r="AA366" s="2196">
        <f t="shared" si="108"/>
        <v>0</v>
      </c>
      <c r="AB366" s="2196">
        <f t="shared" si="108"/>
        <v>0</v>
      </c>
      <c r="AC366" s="2196">
        <f t="shared" si="108"/>
        <v>0</v>
      </c>
      <c r="AD366" s="2196">
        <f t="shared" si="108"/>
        <v>0</v>
      </c>
      <c r="AE366" s="2196">
        <f t="shared" si="108"/>
        <v>0</v>
      </c>
      <c r="AF366" s="2196">
        <f t="shared" si="108"/>
        <v>0</v>
      </c>
      <c r="AG366" s="2196">
        <f t="shared" si="108"/>
        <v>0</v>
      </c>
      <c r="AH366" s="2196">
        <f t="shared" si="108"/>
        <v>0</v>
      </c>
      <c r="AI366" s="2196">
        <f t="shared" si="108"/>
        <v>0</v>
      </c>
      <c r="AJ366" s="2196">
        <f t="shared" si="108"/>
        <v>0</v>
      </c>
      <c r="AK366" s="2196">
        <f t="shared" si="108"/>
        <v>0</v>
      </c>
      <c r="AL366" s="2196">
        <f t="shared" si="108"/>
        <v>0</v>
      </c>
      <c r="AM366" s="2196">
        <f t="shared" si="108"/>
        <v>0</v>
      </c>
      <c r="AN366" s="2196">
        <f t="shared" si="108"/>
        <v>0</v>
      </c>
      <c r="AO366" s="2196">
        <f t="shared" si="108"/>
        <v>0</v>
      </c>
      <c r="AP366" s="2196">
        <f t="shared" si="108"/>
        <v>0</v>
      </c>
      <c r="AQ366" s="2196">
        <f t="shared" si="108"/>
        <v>0</v>
      </c>
    </row>
    <row r="367" spans="2:43" x14ac:dyDescent="0.2">
      <c r="B367" s="1993"/>
      <c r="C367" s="1993"/>
      <c r="D367" s="1994" t="s">
        <v>1201</v>
      </c>
      <c r="E367" s="1994"/>
      <c r="F367" s="2150" t="s">
        <v>1170</v>
      </c>
      <c r="G367" s="2196">
        <f t="shared" si="108"/>
        <v>0</v>
      </c>
      <c r="H367" s="2196">
        <f t="shared" si="108"/>
        <v>0</v>
      </c>
      <c r="I367" s="2196">
        <f t="shared" si="108"/>
        <v>0</v>
      </c>
      <c r="J367" s="2196">
        <f t="shared" si="108"/>
        <v>0</v>
      </c>
      <c r="K367" s="2196">
        <f t="shared" si="108"/>
        <v>0</v>
      </c>
      <c r="L367" s="2196">
        <f t="shared" si="108"/>
        <v>0</v>
      </c>
      <c r="M367" s="2196">
        <f t="shared" si="108"/>
        <v>0</v>
      </c>
      <c r="N367" s="2196">
        <f t="shared" si="108"/>
        <v>0</v>
      </c>
      <c r="O367" s="2196">
        <f t="shared" si="108"/>
        <v>0</v>
      </c>
      <c r="P367" s="2196">
        <f t="shared" si="108"/>
        <v>0</v>
      </c>
      <c r="Q367" s="2196">
        <f t="shared" si="108"/>
        <v>0</v>
      </c>
      <c r="R367" s="2196">
        <f t="shared" si="108"/>
        <v>0</v>
      </c>
      <c r="S367" s="2196">
        <f t="shared" si="108"/>
        <v>0</v>
      </c>
      <c r="T367" s="2196">
        <f t="shared" si="108"/>
        <v>0</v>
      </c>
      <c r="U367" s="2196">
        <f t="shared" si="108"/>
        <v>0</v>
      </c>
      <c r="V367" s="2196">
        <f t="shared" si="108"/>
        <v>0</v>
      </c>
      <c r="W367" s="2196">
        <f t="shared" si="108"/>
        <v>0</v>
      </c>
      <c r="X367" s="2196">
        <f t="shared" si="108"/>
        <v>0</v>
      </c>
      <c r="Y367" s="2196">
        <f t="shared" si="108"/>
        <v>0</v>
      </c>
      <c r="Z367" s="2196">
        <f t="shared" si="108"/>
        <v>0</v>
      </c>
      <c r="AA367" s="2196">
        <f t="shared" si="108"/>
        <v>0</v>
      </c>
      <c r="AB367" s="2196">
        <f t="shared" si="108"/>
        <v>0</v>
      </c>
      <c r="AC367" s="2196">
        <f t="shared" si="108"/>
        <v>0</v>
      </c>
      <c r="AD367" s="2196">
        <f t="shared" si="108"/>
        <v>0</v>
      </c>
      <c r="AE367" s="2196">
        <f t="shared" si="108"/>
        <v>0</v>
      </c>
      <c r="AF367" s="2196">
        <f t="shared" si="108"/>
        <v>0</v>
      </c>
      <c r="AG367" s="2196">
        <f t="shared" si="108"/>
        <v>0</v>
      </c>
      <c r="AH367" s="2196">
        <f t="shared" si="108"/>
        <v>0</v>
      </c>
      <c r="AI367" s="2196">
        <f t="shared" si="108"/>
        <v>0</v>
      </c>
      <c r="AJ367" s="2196">
        <f t="shared" si="108"/>
        <v>0</v>
      </c>
      <c r="AK367" s="2196">
        <f t="shared" si="108"/>
        <v>0</v>
      </c>
      <c r="AL367" s="2196">
        <f t="shared" si="108"/>
        <v>0</v>
      </c>
      <c r="AM367" s="2196">
        <f t="shared" si="108"/>
        <v>0</v>
      </c>
      <c r="AN367" s="2196">
        <f t="shared" si="108"/>
        <v>0</v>
      </c>
      <c r="AO367" s="2196">
        <f t="shared" si="108"/>
        <v>0</v>
      </c>
      <c r="AP367" s="2196">
        <f t="shared" si="108"/>
        <v>0</v>
      </c>
      <c r="AQ367" s="2196">
        <f t="shared" si="108"/>
        <v>0</v>
      </c>
    </row>
    <row r="368" spans="2:43" x14ac:dyDescent="0.2">
      <c r="B368" s="1993"/>
      <c r="C368" s="2193"/>
      <c r="D368" s="2193" t="s">
        <v>118</v>
      </c>
      <c r="E368" s="2193"/>
      <c r="F368" s="2194" t="s">
        <v>1170</v>
      </c>
      <c r="G368" s="2197">
        <f t="shared" ref="G368:AQ368" si="109">+SUM(G366:G367)</f>
        <v>0</v>
      </c>
      <c r="H368" s="2197">
        <f t="shared" si="109"/>
        <v>0</v>
      </c>
      <c r="I368" s="2197">
        <f t="shared" si="109"/>
        <v>0</v>
      </c>
      <c r="J368" s="2197">
        <f t="shared" si="109"/>
        <v>0</v>
      </c>
      <c r="K368" s="2197">
        <f t="shared" si="109"/>
        <v>0</v>
      </c>
      <c r="L368" s="2197">
        <f t="shared" si="109"/>
        <v>0</v>
      </c>
      <c r="M368" s="2197">
        <f t="shared" si="109"/>
        <v>0</v>
      </c>
      <c r="N368" s="2197">
        <f t="shared" si="109"/>
        <v>0</v>
      </c>
      <c r="O368" s="2197">
        <f t="shared" si="109"/>
        <v>0</v>
      </c>
      <c r="P368" s="2197">
        <f t="shared" si="109"/>
        <v>0</v>
      </c>
      <c r="Q368" s="2197">
        <f t="shared" si="109"/>
        <v>0</v>
      </c>
      <c r="R368" s="2197">
        <f t="shared" si="109"/>
        <v>0</v>
      </c>
      <c r="S368" s="2197">
        <f t="shared" si="109"/>
        <v>0</v>
      </c>
      <c r="T368" s="2197">
        <f t="shared" si="109"/>
        <v>0</v>
      </c>
      <c r="U368" s="2197">
        <f t="shared" si="109"/>
        <v>0</v>
      </c>
      <c r="V368" s="2197">
        <f t="shared" si="109"/>
        <v>0</v>
      </c>
      <c r="W368" s="2197">
        <f t="shared" si="109"/>
        <v>0</v>
      </c>
      <c r="X368" s="2197">
        <f t="shared" si="109"/>
        <v>0</v>
      </c>
      <c r="Y368" s="2197">
        <f t="shared" si="109"/>
        <v>0</v>
      </c>
      <c r="Z368" s="2197">
        <f t="shared" si="109"/>
        <v>0</v>
      </c>
      <c r="AA368" s="2197">
        <f t="shared" si="109"/>
        <v>0</v>
      </c>
      <c r="AB368" s="2197">
        <f t="shared" si="109"/>
        <v>0</v>
      </c>
      <c r="AC368" s="2197">
        <f t="shared" si="109"/>
        <v>0</v>
      </c>
      <c r="AD368" s="2197">
        <f t="shared" si="109"/>
        <v>0</v>
      </c>
      <c r="AE368" s="2197">
        <f t="shared" si="109"/>
        <v>0</v>
      </c>
      <c r="AF368" s="2197">
        <f t="shared" si="109"/>
        <v>0</v>
      </c>
      <c r="AG368" s="2197">
        <f t="shared" si="109"/>
        <v>0</v>
      </c>
      <c r="AH368" s="2197">
        <f t="shared" si="109"/>
        <v>0</v>
      </c>
      <c r="AI368" s="2197">
        <f t="shared" si="109"/>
        <v>0</v>
      </c>
      <c r="AJ368" s="2197">
        <f t="shared" si="109"/>
        <v>0</v>
      </c>
      <c r="AK368" s="2197">
        <f t="shared" si="109"/>
        <v>0</v>
      </c>
      <c r="AL368" s="2197">
        <f t="shared" si="109"/>
        <v>0</v>
      </c>
      <c r="AM368" s="2197">
        <f t="shared" si="109"/>
        <v>0</v>
      </c>
      <c r="AN368" s="2197">
        <f t="shared" si="109"/>
        <v>0</v>
      </c>
      <c r="AO368" s="2197">
        <f t="shared" si="109"/>
        <v>0</v>
      </c>
      <c r="AP368" s="2197">
        <f t="shared" si="109"/>
        <v>0</v>
      </c>
      <c r="AQ368" s="2197">
        <f t="shared" si="109"/>
        <v>0</v>
      </c>
    </row>
    <row r="369" spans="2:43" x14ac:dyDescent="0.2">
      <c r="B369" s="1993"/>
      <c r="C369" s="1994"/>
      <c r="D369" s="1994"/>
      <c r="E369" s="1995"/>
      <c r="F369" s="1995"/>
      <c r="G369" s="1995"/>
      <c r="H369" s="1995"/>
      <c r="I369" s="1995"/>
      <c r="J369" s="1995"/>
      <c r="K369" s="1995"/>
      <c r="L369" s="1995"/>
      <c r="M369" s="1995"/>
      <c r="N369" s="1995"/>
      <c r="O369" s="1995"/>
      <c r="P369" s="1995"/>
      <c r="Q369" s="1995"/>
      <c r="R369" s="1995"/>
      <c r="S369" s="1995"/>
      <c r="T369" s="1995"/>
      <c r="U369" s="1995"/>
      <c r="V369" s="1995"/>
      <c r="W369" s="1995"/>
      <c r="X369" s="1995"/>
      <c r="Y369" s="1995"/>
      <c r="Z369" s="1995"/>
      <c r="AA369" s="1995"/>
      <c r="AB369" s="1995"/>
      <c r="AC369" s="1995"/>
      <c r="AD369" s="1995"/>
      <c r="AE369" s="1995"/>
      <c r="AF369" s="1995"/>
      <c r="AG369" s="1995"/>
      <c r="AH369" s="1995"/>
      <c r="AI369" s="1995"/>
      <c r="AJ369" s="1995"/>
      <c r="AK369" s="1995"/>
      <c r="AL369" s="1995"/>
      <c r="AM369" s="1995"/>
      <c r="AN369" s="1995"/>
      <c r="AO369" s="1995"/>
      <c r="AP369" s="1995"/>
      <c r="AQ369" s="1995"/>
    </row>
    <row r="370" spans="2:43" x14ac:dyDescent="0.2">
      <c r="B370" s="1993"/>
      <c r="C370" s="2187" t="s">
        <v>1206</v>
      </c>
      <c r="D370" s="1994"/>
      <c r="E370" s="1995"/>
      <c r="F370" s="1995"/>
      <c r="G370" s="1995"/>
      <c r="H370" s="1995"/>
      <c r="I370" s="1995"/>
      <c r="J370" s="1995"/>
      <c r="K370" s="1995"/>
      <c r="L370" s="1995"/>
      <c r="M370" s="1995"/>
      <c r="N370" s="1995"/>
      <c r="O370" s="1995"/>
      <c r="P370" s="1995"/>
      <c r="Q370" s="1995"/>
      <c r="R370" s="1995"/>
      <c r="S370" s="1995"/>
      <c r="T370" s="1995"/>
      <c r="U370" s="1995"/>
      <c r="V370" s="1995"/>
      <c r="W370" s="1995"/>
      <c r="X370" s="1995"/>
      <c r="Y370" s="1995"/>
      <c r="Z370" s="1995"/>
      <c r="AA370" s="1995"/>
      <c r="AB370" s="1995"/>
      <c r="AC370" s="1995"/>
      <c r="AD370" s="1995"/>
      <c r="AE370" s="1995"/>
      <c r="AF370" s="1995"/>
      <c r="AG370" s="1995"/>
      <c r="AH370" s="1995"/>
      <c r="AI370" s="1995"/>
      <c r="AJ370" s="1995"/>
      <c r="AK370" s="1995"/>
      <c r="AL370" s="1995"/>
      <c r="AM370" s="1995"/>
      <c r="AN370" s="1995"/>
      <c r="AO370" s="1995"/>
      <c r="AP370" s="1995"/>
      <c r="AQ370" s="1995"/>
    </row>
    <row r="371" spans="2:43" x14ac:dyDescent="0.2">
      <c r="B371" s="1993"/>
      <c r="C371" s="2130" t="s">
        <v>146</v>
      </c>
      <c r="D371" s="2130" t="s">
        <v>242</v>
      </c>
      <c r="E371" s="2131" t="s">
        <v>8</v>
      </c>
      <c r="F371" s="2132"/>
      <c r="G371" s="2131">
        <v>2014</v>
      </c>
      <c r="H371" s="2131">
        <v>2015</v>
      </c>
      <c r="I371" s="2131">
        <v>2016</v>
      </c>
      <c r="J371" s="2131">
        <v>2017</v>
      </c>
      <c r="K371" s="2131">
        <v>2018</v>
      </c>
      <c r="L371" s="2131">
        <v>2019</v>
      </c>
      <c r="M371" s="2131">
        <v>2020</v>
      </c>
      <c r="N371" s="2131">
        <v>2021</v>
      </c>
      <c r="O371" s="2131">
        <v>2022</v>
      </c>
      <c r="P371" s="2131">
        <v>2023</v>
      </c>
      <c r="Q371" s="2131">
        <v>2024</v>
      </c>
      <c r="R371" s="2131">
        <v>2025</v>
      </c>
      <c r="S371" s="2131">
        <v>2026</v>
      </c>
      <c r="T371" s="2131">
        <v>2027</v>
      </c>
      <c r="U371" s="2131">
        <v>2028</v>
      </c>
      <c r="V371" s="2131">
        <v>2029</v>
      </c>
      <c r="W371" s="2131">
        <v>2030</v>
      </c>
      <c r="X371" s="2131">
        <v>2031</v>
      </c>
      <c r="Y371" s="2131">
        <v>2032</v>
      </c>
      <c r="Z371" s="2131">
        <v>2033</v>
      </c>
      <c r="AA371" s="2131">
        <v>2034</v>
      </c>
      <c r="AB371" s="2131">
        <v>2035</v>
      </c>
      <c r="AC371" s="2131">
        <v>2036</v>
      </c>
      <c r="AD371" s="2131">
        <v>2037</v>
      </c>
      <c r="AE371" s="2131">
        <v>2038</v>
      </c>
      <c r="AF371" s="2131">
        <v>2039</v>
      </c>
      <c r="AG371" s="2131">
        <v>2040</v>
      </c>
      <c r="AH371" s="2131">
        <v>2041</v>
      </c>
      <c r="AI371" s="2131">
        <v>2042</v>
      </c>
      <c r="AJ371" s="2131">
        <v>2043</v>
      </c>
      <c r="AK371" s="2131">
        <v>2044</v>
      </c>
      <c r="AL371" s="2131">
        <v>2045</v>
      </c>
      <c r="AM371" s="2131">
        <v>2046</v>
      </c>
      <c r="AN371" s="2131">
        <v>2047</v>
      </c>
      <c r="AO371" s="2131">
        <v>2048</v>
      </c>
      <c r="AP371" s="2131">
        <v>2049</v>
      </c>
      <c r="AQ371" s="2131">
        <v>2050</v>
      </c>
    </row>
    <row r="372" spans="2:43" x14ac:dyDescent="0.2">
      <c r="B372" s="1993"/>
      <c r="C372" s="1993"/>
      <c r="D372" s="1994" t="s">
        <v>334</v>
      </c>
      <c r="E372" s="1994"/>
      <c r="F372" s="2150" t="s">
        <v>1170</v>
      </c>
      <c r="G372" s="2151" t="e">
        <f>+#REF!+G318+G345+G367</f>
        <v>#REF!</v>
      </c>
      <c r="H372" s="2151" t="e">
        <f>+#REF!+H318+H345+H367</f>
        <v>#REF!</v>
      </c>
      <c r="I372" s="2151" t="e">
        <f>+#REF!+I318+I345+I367</f>
        <v>#REF!</v>
      </c>
      <c r="J372" s="2151" t="e">
        <f>+#REF!+J318+J345+J367</f>
        <v>#REF!</v>
      </c>
      <c r="K372" s="2151" t="e">
        <f>+#REF!+K318+K345+K367</f>
        <v>#REF!</v>
      </c>
      <c r="L372" s="2151" t="e">
        <f>+#REF!+L318+L345+L367</f>
        <v>#REF!</v>
      </c>
      <c r="M372" s="2151" t="e">
        <f>+#REF!+M318+M345+M367</f>
        <v>#REF!</v>
      </c>
      <c r="N372" s="2151" t="e">
        <f>+#REF!+N318+N345+N367</f>
        <v>#REF!</v>
      </c>
      <c r="O372" s="2151" t="e">
        <f>+#REF!+O318+O345+O367</f>
        <v>#REF!</v>
      </c>
      <c r="P372" s="2151" t="e">
        <f>+#REF!+P318+P345+P367</f>
        <v>#REF!</v>
      </c>
      <c r="Q372" s="2151" t="e">
        <f>+#REF!+Q318+Q345+Q367</f>
        <v>#REF!</v>
      </c>
      <c r="R372" s="2151" t="e">
        <f>+#REF!+R318+R345+R367</f>
        <v>#REF!</v>
      </c>
      <c r="S372" s="2151" t="e">
        <f>+#REF!+S318+S345+S367</f>
        <v>#REF!</v>
      </c>
      <c r="T372" s="2151" t="e">
        <f>+#REF!+T318+T345+T367</f>
        <v>#REF!</v>
      </c>
      <c r="U372" s="2151" t="e">
        <f>+#REF!+U318+U345+U367</f>
        <v>#REF!</v>
      </c>
      <c r="V372" s="2151" t="e">
        <f>+#REF!+V318+V345+V367</f>
        <v>#REF!</v>
      </c>
      <c r="W372" s="2151" t="e">
        <f>+#REF!+W318+W345+W367</f>
        <v>#REF!</v>
      </c>
      <c r="X372" s="2151" t="e">
        <f>+#REF!+X318+X345+X367</f>
        <v>#REF!</v>
      </c>
      <c r="Y372" s="2151" t="e">
        <f>+#REF!+Y318+Y345+Y367</f>
        <v>#REF!</v>
      </c>
      <c r="Z372" s="2151" t="e">
        <f>+#REF!+Z318+Z345+Z367</f>
        <v>#REF!</v>
      </c>
      <c r="AA372" s="2151" t="e">
        <f>+#REF!+AA318+AA345+AA367</f>
        <v>#REF!</v>
      </c>
      <c r="AB372" s="2151" t="e">
        <f>+#REF!+AB318+AB345+AB367</f>
        <v>#REF!</v>
      </c>
      <c r="AC372" s="2151" t="e">
        <f>+#REF!+AC318+AC345+AC367</f>
        <v>#REF!</v>
      </c>
      <c r="AD372" s="2151" t="e">
        <f>+#REF!+AD318+AD345+AD367</f>
        <v>#REF!</v>
      </c>
      <c r="AE372" s="2151" t="e">
        <f>+#REF!+AE318+AE345+AE367</f>
        <v>#REF!</v>
      </c>
      <c r="AF372" s="2151" t="e">
        <f>+#REF!+AF318+AF345+AF367</f>
        <v>#REF!</v>
      </c>
      <c r="AG372" s="2151" t="e">
        <f>+#REF!+AG318+AG345+AG367</f>
        <v>#REF!</v>
      </c>
      <c r="AH372" s="2151" t="e">
        <f>+#REF!+AH318+AH345+AH367</f>
        <v>#REF!</v>
      </c>
      <c r="AI372" s="2151" t="e">
        <f>+#REF!+AI318+AI345+AI367</f>
        <v>#REF!</v>
      </c>
      <c r="AJ372" s="2151" t="e">
        <f>+#REF!+AJ318+AJ345+AJ367</f>
        <v>#REF!</v>
      </c>
      <c r="AK372" s="2151" t="e">
        <f>+#REF!+AK318+AK345+AK367</f>
        <v>#REF!</v>
      </c>
      <c r="AL372" s="2151" t="e">
        <f>+#REF!+AL318+AL345+AL367</f>
        <v>#REF!</v>
      </c>
      <c r="AM372" s="2151" t="e">
        <f>+#REF!+AM318+AM345+AM367</f>
        <v>#REF!</v>
      </c>
      <c r="AN372" s="2151" t="e">
        <f>+#REF!+AN318+AN345+AN367</f>
        <v>#REF!</v>
      </c>
      <c r="AO372" s="2151" t="e">
        <f>+#REF!+AO318+AO345+AO367</f>
        <v>#REF!</v>
      </c>
      <c r="AP372" s="2151" t="e">
        <f>+#REF!+AP318+AP345+AP367</f>
        <v>#REF!</v>
      </c>
      <c r="AQ372" s="2151" t="e">
        <f>+#REF!+AQ318+AQ345+AQ367</f>
        <v>#REF!</v>
      </c>
    </row>
    <row r="373" spans="2:43" x14ac:dyDescent="0.2">
      <c r="B373" s="1993"/>
      <c r="C373" s="2189"/>
      <c r="D373" s="2190" t="s">
        <v>492</v>
      </c>
      <c r="E373" s="2190"/>
      <c r="F373" s="2191" t="s">
        <v>1170</v>
      </c>
      <c r="G373" s="2192" t="e">
        <f>+#REF!</f>
        <v>#REF!</v>
      </c>
      <c r="H373" s="2192" t="e">
        <f>+#REF!</f>
        <v>#REF!</v>
      </c>
      <c r="I373" s="2192" t="e">
        <f>+#REF!</f>
        <v>#REF!</v>
      </c>
      <c r="J373" s="2192" t="e">
        <f>+#REF!</f>
        <v>#REF!</v>
      </c>
      <c r="K373" s="2192" t="e">
        <f>+#REF!</f>
        <v>#REF!</v>
      </c>
      <c r="L373" s="2192" t="e">
        <f>+#REF!</f>
        <v>#REF!</v>
      </c>
      <c r="M373" s="2192" t="e">
        <f>+#REF!</f>
        <v>#REF!</v>
      </c>
      <c r="N373" s="2192" t="e">
        <f>+#REF!</f>
        <v>#REF!</v>
      </c>
      <c r="O373" s="2192" t="e">
        <f>+#REF!</f>
        <v>#REF!</v>
      </c>
      <c r="P373" s="2192" t="e">
        <f>+#REF!</f>
        <v>#REF!</v>
      </c>
      <c r="Q373" s="2192" t="e">
        <f>+#REF!</f>
        <v>#REF!</v>
      </c>
      <c r="R373" s="2192" t="e">
        <f>+#REF!</f>
        <v>#REF!</v>
      </c>
      <c r="S373" s="2192" t="e">
        <f>+#REF!</f>
        <v>#REF!</v>
      </c>
      <c r="T373" s="2192" t="e">
        <f>+#REF!</f>
        <v>#REF!</v>
      </c>
      <c r="U373" s="2192" t="e">
        <f>+#REF!</f>
        <v>#REF!</v>
      </c>
      <c r="V373" s="2192" t="e">
        <f>+#REF!</f>
        <v>#REF!</v>
      </c>
      <c r="W373" s="2192" t="e">
        <f>+#REF!</f>
        <v>#REF!</v>
      </c>
      <c r="X373" s="2192" t="e">
        <f>+#REF!</f>
        <v>#REF!</v>
      </c>
      <c r="Y373" s="2192" t="e">
        <f>+#REF!</f>
        <v>#REF!</v>
      </c>
      <c r="Z373" s="2192" t="e">
        <f>+#REF!</f>
        <v>#REF!</v>
      </c>
      <c r="AA373" s="2192" t="e">
        <f>+#REF!</f>
        <v>#REF!</v>
      </c>
      <c r="AB373" s="2192" t="e">
        <f>+#REF!</f>
        <v>#REF!</v>
      </c>
      <c r="AC373" s="2192" t="e">
        <f>+#REF!</f>
        <v>#REF!</v>
      </c>
      <c r="AD373" s="2192" t="e">
        <f>+#REF!</f>
        <v>#REF!</v>
      </c>
      <c r="AE373" s="2192" t="e">
        <f>+#REF!</f>
        <v>#REF!</v>
      </c>
      <c r="AF373" s="2192" t="e">
        <f>+#REF!</f>
        <v>#REF!</v>
      </c>
      <c r="AG373" s="2192" t="e">
        <f>+#REF!</f>
        <v>#REF!</v>
      </c>
      <c r="AH373" s="2192" t="e">
        <f>+#REF!</f>
        <v>#REF!</v>
      </c>
      <c r="AI373" s="2192" t="e">
        <f>+#REF!</f>
        <v>#REF!</v>
      </c>
      <c r="AJ373" s="2192" t="e">
        <f>+#REF!</f>
        <v>#REF!</v>
      </c>
      <c r="AK373" s="2192" t="e">
        <f>+#REF!</f>
        <v>#REF!</v>
      </c>
      <c r="AL373" s="2192" t="e">
        <f>+#REF!</f>
        <v>#REF!</v>
      </c>
      <c r="AM373" s="2192" t="e">
        <f>+#REF!</f>
        <v>#REF!</v>
      </c>
      <c r="AN373" s="2192" t="e">
        <f>+#REF!</f>
        <v>#REF!</v>
      </c>
      <c r="AO373" s="2192" t="e">
        <f>+#REF!</f>
        <v>#REF!</v>
      </c>
      <c r="AP373" s="2192" t="e">
        <f>+#REF!</f>
        <v>#REF!</v>
      </c>
      <c r="AQ373" s="2192" t="e">
        <f>+#REF!</f>
        <v>#REF!</v>
      </c>
    </row>
    <row r="374" spans="2:43" x14ac:dyDescent="0.2">
      <c r="B374" s="1993"/>
      <c r="C374" s="2193"/>
      <c r="D374" s="2193" t="s">
        <v>118</v>
      </c>
      <c r="E374" s="2193"/>
      <c r="F374" s="2194" t="s">
        <v>1170</v>
      </c>
      <c r="G374" s="2195" t="e">
        <f t="shared" ref="G374:AQ374" si="110">+SUM(G372:G373)</f>
        <v>#REF!</v>
      </c>
      <c r="H374" s="2195" t="e">
        <f t="shared" si="110"/>
        <v>#REF!</v>
      </c>
      <c r="I374" s="2195" t="e">
        <f t="shared" si="110"/>
        <v>#REF!</v>
      </c>
      <c r="J374" s="2195" t="e">
        <f t="shared" si="110"/>
        <v>#REF!</v>
      </c>
      <c r="K374" s="2195" t="e">
        <f t="shared" si="110"/>
        <v>#REF!</v>
      </c>
      <c r="L374" s="2195" t="e">
        <f t="shared" si="110"/>
        <v>#REF!</v>
      </c>
      <c r="M374" s="2195" t="e">
        <f t="shared" si="110"/>
        <v>#REF!</v>
      </c>
      <c r="N374" s="2195" t="e">
        <f t="shared" si="110"/>
        <v>#REF!</v>
      </c>
      <c r="O374" s="2195" t="e">
        <f t="shared" si="110"/>
        <v>#REF!</v>
      </c>
      <c r="P374" s="2195" t="e">
        <f t="shared" si="110"/>
        <v>#REF!</v>
      </c>
      <c r="Q374" s="2195" t="e">
        <f t="shared" si="110"/>
        <v>#REF!</v>
      </c>
      <c r="R374" s="2195" t="e">
        <f t="shared" si="110"/>
        <v>#REF!</v>
      </c>
      <c r="S374" s="2195" t="e">
        <f t="shared" si="110"/>
        <v>#REF!</v>
      </c>
      <c r="T374" s="2195" t="e">
        <f t="shared" si="110"/>
        <v>#REF!</v>
      </c>
      <c r="U374" s="2195" t="e">
        <f t="shared" si="110"/>
        <v>#REF!</v>
      </c>
      <c r="V374" s="2195" t="e">
        <f t="shared" si="110"/>
        <v>#REF!</v>
      </c>
      <c r="W374" s="2195" t="e">
        <f t="shared" si="110"/>
        <v>#REF!</v>
      </c>
      <c r="X374" s="2195" t="e">
        <f t="shared" si="110"/>
        <v>#REF!</v>
      </c>
      <c r="Y374" s="2195" t="e">
        <f t="shared" si="110"/>
        <v>#REF!</v>
      </c>
      <c r="Z374" s="2195" t="e">
        <f t="shared" si="110"/>
        <v>#REF!</v>
      </c>
      <c r="AA374" s="2195" t="e">
        <f t="shared" si="110"/>
        <v>#REF!</v>
      </c>
      <c r="AB374" s="2195" t="e">
        <f t="shared" si="110"/>
        <v>#REF!</v>
      </c>
      <c r="AC374" s="2195" t="e">
        <f t="shared" si="110"/>
        <v>#REF!</v>
      </c>
      <c r="AD374" s="2195" t="e">
        <f t="shared" si="110"/>
        <v>#REF!</v>
      </c>
      <c r="AE374" s="2195" t="e">
        <f t="shared" si="110"/>
        <v>#REF!</v>
      </c>
      <c r="AF374" s="2195" t="e">
        <f t="shared" si="110"/>
        <v>#REF!</v>
      </c>
      <c r="AG374" s="2195" t="e">
        <f t="shared" si="110"/>
        <v>#REF!</v>
      </c>
      <c r="AH374" s="2195" t="e">
        <f t="shared" si="110"/>
        <v>#REF!</v>
      </c>
      <c r="AI374" s="2195" t="e">
        <f t="shared" si="110"/>
        <v>#REF!</v>
      </c>
      <c r="AJ374" s="2195" t="e">
        <f t="shared" si="110"/>
        <v>#REF!</v>
      </c>
      <c r="AK374" s="2195" t="e">
        <f t="shared" si="110"/>
        <v>#REF!</v>
      </c>
      <c r="AL374" s="2195" t="e">
        <f t="shared" si="110"/>
        <v>#REF!</v>
      </c>
      <c r="AM374" s="2195" t="e">
        <f t="shared" si="110"/>
        <v>#REF!</v>
      </c>
      <c r="AN374" s="2195" t="e">
        <f t="shared" si="110"/>
        <v>#REF!</v>
      </c>
      <c r="AO374" s="2195" t="e">
        <f t="shared" si="110"/>
        <v>#REF!</v>
      </c>
      <c r="AP374" s="2195" t="e">
        <f t="shared" si="110"/>
        <v>#REF!</v>
      </c>
      <c r="AQ374" s="2195" t="e">
        <f t="shared" si="110"/>
        <v>#REF!</v>
      </c>
    </row>
    <row r="376" spans="2:43" ht="15.75" x14ac:dyDescent="0.25">
      <c r="B376" s="2152" t="s">
        <v>434</v>
      </c>
      <c r="C376" s="2153"/>
      <c r="D376" s="2153"/>
      <c r="E376" s="2153"/>
      <c r="F376" s="2153"/>
      <c r="G376" s="2153"/>
      <c r="H376" s="2153"/>
      <c r="I376" s="2153"/>
      <c r="J376" s="2153"/>
      <c r="K376" s="2153"/>
      <c r="L376" s="2153"/>
      <c r="M376" s="2153"/>
      <c r="N376" s="2153"/>
      <c r="O376" s="2153"/>
      <c r="P376" s="2153"/>
      <c r="Q376" s="2153"/>
      <c r="R376" s="2153"/>
      <c r="S376" s="2153"/>
      <c r="T376" s="2153"/>
      <c r="U376" s="2153"/>
      <c r="V376" s="2153"/>
      <c r="W376" s="2153"/>
      <c r="X376" s="2153"/>
      <c r="Y376" s="2153"/>
      <c r="Z376" s="2153"/>
      <c r="AA376" s="2153"/>
      <c r="AB376" s="2153"/>
      <c r="AC376" s="2153"/>
      <c r="AD376" s="2153"/>
      <c r="AE376" s="2153"/>
      <c r="AF376" s="2153"/>
      <c r="AG376" s="2153"/>
      <c r="AH376" s="2153"/>
      <c r="AI376" s="2153"/>
      <c r="AJ376" s="2153"/>
      <c r="AK376" s="2153"/>
      <c r="AL376" s="2153"/>
      <c r="AM376" s="2153"/>
      <c r="AN376" s="2153"/>
      <c r="AO376" s="2153"/>
      <c r="AP376" s="2153"/>
      <c r="AQ376" s="2153"/>
    </row>
    <row r="377" spans="2:43" x14ac:dyDescent="0.2">
      <c r="B377" s="2154"/>
      <c r="C377" s="2154"/>
      <c r="D377" s="2154"/>
      <c r="E377" s="2154"/>
      <c r="F377" s="2154"/>
      <c r="G377" s="2154"/>
      <c r="H377" s="2154"/>
      <c r="I377" s="2154"/>
      <c r="J377" s="2154"/>
      <c r="K377" s="2154"/>
      <c r="L377" s="2154"/>
      <c r="M377" s="2154"/>
      <c r="N377" s="2154"/>
      <c r="O377" s="2154"/>
      <c r="P377" s="2154"/>
      <c r="Q377" s="2154"/>
      <c r="R377" s="2154"/>
      <c r="S377" s="2154"/>
      <c r="T377" s="2154"/>
      <c r="U377" s="2154"/>
      <c r="V377" s="2154"/>
      <c r="W377" s="2154"/>
      <c r="X377" s="2154"/>
      <c r="Y377" s="2154"/>
      <c r="Z377" s="2154"/>
      <c r="AA377" s="2154"/>
      <c r="AB377" s="2154"/>
      <c r="AC377" s="2154"/>
      <c r="AD377" s="2154"/>
      <c r="AE377" s="2154"/>
      <c r="AF377" s="2154"/>
      <c r="AG377" s="2154"/>
      <c r="AH377" s="2154"/>
      <c r="AI377" s="2154"/>
      <c r="AJ377" s="2154"/>
      <c r="AK377" s="2154"/>
      <c r="AL377" s="2154"/>
      <c r="AM377" s="2154"/>
      <c r="AN377" s="2154"/>
      <c r="AO377" s="2154"/>
      <c r="AP377" s="2154"/>
      <c r="AQ377" s="2154"/>
    </row>
    <row r="378" spans="2:43" x14ac:dyDescent="0.2">
      <c r="B378" s="2154"/>
      <c r="C378" s="2154"/>
      <c r="D378" s="2154"/>
      <c r="E378" s="2154"/>
      <c r="F378" s="2154"/>
      <c r="G378" s="2154"/>
      <c r="H378" s="2154"/>
      <c r="I378" s="2154"/>
      <c r="J378" s="2154"/>
      <c r="K378" s="2154"/>
      <c r="L378" s="2154"/>
      <c r="M378" s="2154"/>
      <c r="N378" s="2154"/>
      <c r="O378" s="2154"/>
      <c r="P378" s="2154"/>
      <c r="Q378" s="2154"/>
      <c r="R378" s="2154"/>
      <c r="S378" s="2154"/>
      <c r="T378" s="2154"/>
      <c r="U378" s="2154"/>
      <c r="V378" s="2154"/>
      <c r="W378" s="2154"/>
      <c r="X378" s="2154"/>
      <c r="Y378" s="2154"/>
      <c r="Z378" s="2154"/>
      <c r="AA378" s="2154"/>
      <c r="AB378" s="2154"/>
      <c r="AC378" s="2154"/>
      <c r="AD378" s="2154"/>
      <c r="AE378" s="2154"/>
      <c r="AF378" s="2154"/>
      <c r="AG378" s="2154"/>
      <c r="AH378" s="2154"/>
      <c r="AI378" s="2154"/>
      <c r="AJ378" s="2154"/>
      <c r="AK378" s="2154"/>
      <c r="AL378" s="2154"/>
      <c r="AM378" s="2154"/>
      <c r="AN378" s="2154"/>
      <c r="AO378" s="2154"/>
      <c r="AP378" s="2154"/>
      <c r="AQ378" s="2154"/>
    </row>
    <row r="379" spans="2:43" x14ac:dyDescent="0.2">
      <c r="B379" s="2154"/>
      <c r="C379" s="2154"/>
      <c r="D379" s="2154"/>
      <c r="E379" s="2154"/>
      <c r="F379" s="2154"/>
      <c r="G379" s="2154"/>
      <c r="H379" s="2154"/>
      <c r="I379" s="2154"/>
      <c r="J379" s="2154"/>
      <c r="K379" s="2154"/>
      <c r="L379" s="2154"/>
      <c r="M379" s="2154"/>
      <c r="N379" s="2154"/>
      <c r="O379" s="2154"/>
      <c r="P379" s="2154"/>
      <c r="Q379" s="2154"/>
      <c r="R379" s="2154"/>
      <c r="S379" s="2154"/>
      <c r="T379" s="2154"/>
      <c r="U379" s="2154"/>
      <c r="V379" s="2154"/>
      <c r="W379" s="2154"/>
      <c r="X379" s="2154"/>
      <c r="Y379" s="2154"/>
      <c r="Z379" s="2154"/>
      <c r="AA379" s="2154"/>
      <c r="AB379" s="2154"/>
      <c r="AC379" s="2154"/>
      <c r="AD379" s="2154"/>
      <c r="AE379" s="2154"/>
      <c r="AF379" s="2154"/>
      <c r="AG379" s="2154"/>
      <c r="AH379" s="2154"/>
      <c r="AI379" s="2154"/>
      <c r="AJ379" s="2154"/>
      <c r="AK379" s="2154"/>
      <c r="AL379" s="2154"/>
      <c r="AM379" s="2154"/>
      <c r="AN379" s="2154"/>
      <c r="AO379" s="2154"/>
      <c r="AP379" s="2154"/>
      <c r="AQ379" s="2154"/>
    </row>
    <row r="380" spans="2:43" x14ac:dyDescent="0.2">
      <c r="B380" s="2154"/>
      <c r="C380" s="2154"/>
      <c r="D380" s="2154"/>
      <c r="E380" s="2154"/>
      <c r="F380" s="2154"/>
      <c r="G380" s="2154"/>
      <c r="H380" s="2154"/>
      <c r="I380" s="2154"/>
      <c r="J380" s="2154"/>
      <c r="K380" s="2154"/>
      <c r="L380" s="2154"/>
      <c r="M380" s="2154"/>
      <c r="N380" s="2154"/>
      <c r="O380" s="2154"/>
      <c r="P380" s="2154"/>
      <c r="Q380" s="2154"/>
      <c r="R380" s="2154"/>
      <c r="S380" s="2154"/>
      <c r="T380" s="2154"/>
      <c r="U380" s="2154"/>
      <c r="V380" s="2154"/>
      <c r="W380" s="2154"/>
      <c r="X380" s="2154"/>
      <c r="Y380" s="2154"/>
      <c r="Z380" s="2154"/>
      <c r="AA380" s="2154"/>
      <c r="AB380" s="2154"/>
      <c r="AC380" s="2154"/>
      <c r="AD380" s="2154"/>
      <c r="AE380" s="2154"/>
      <c r="AF380" s="2154"/>
      <c r="AG380" s="2154"/>
      <c r="AH380" s="2154"/>
      <c r="AI380" s="2154"/>
      <c r="AJ380" s="2154"/>
      <c r="AK380" s="2154"/>
      <c r="AL380" s="2154"/>
      <c r="AM380" s="2154"/>
      <c r="AN380" s="2154"/>
      <c r="AO380" s="2154"/>
      <c r="AP380" s="2154"/>
      <c r="AQ380" s="2154"/>
    </row>
    <row r="381" spans="2:43" x14ac:dyDescent="0.2">
      <c r="B381" s="2154"/>
      <c r="C381" s="2154"/>
      <c r="D381" s="2154"/>
      <c r="E381" s="2154"/>
      <c r="F381" s="2154"/>
      <c r="G381" s="2154"/>
      <c r="H381" s="2154"/>
      <c r="I381" s="2154"/>
      <c r="J381" s="2154"/>
      <c r="K381" s="2154"/>
      <c r="L381" s="2154"/>
      <c r="M381" s="2154"/>
      <c r="N381" s="2154"/>
      <c r="O381" s="2154"/>
      <c r="P381" s="2154"/>
      <c r="Q381" s="2154"/>
      <c r="R381" s="2154"/>
      <c r="S381" s="2154"/>
      <c r="T381" s="2154"/>
      <c r="U381" s="2154"/>
      <c r="V381" s="2154"/>
      <c r="W381" s="2154"/>
      <c r="X381" s="2154"/>
      <c r="Y381" s="2154"/>
      <c r="Z381" s="2154"/>
      <c r="AA381" s="2154"/>
      <c r="AB381" s="2154"/>
      <c r="AC381" s="2154"/>
      <c r="AD381" s="2154"/>
      <c r="AE381" s="2154"/>
      <c r="AF381" s="2154"/>
      <c r="AG381" s="2154"/>
      <c r="AH381" s="2154"/>
      <c r="AI381" s="2154"/>
      <c r="AJ381" s="2154"/>
      <c r="AK381" s="2154"/>
      <c r="AL381" s="2154"/>
      <c r="AM381" s="2154"/>
      <c r="AN381" s="2154"/>
      <c r="AO381" s="2154"/>
      <c r="AP381" s="2154"/>
      <c r="AQ381" s="2154"/>
    </row>
    <row r="382" spans="2:43" x14ac:dyDescent="0.2">
      <c r="B382" s="2154"/>
      <c r="C382" s="2154"/>
      <c r="D382" s="2154"/>
      <c r="E382" s="2154"/>
      <c r="F382" s="2154"/>
      <c r="G382" s="2154"/>
      <c r="H382" s="2154"/>
      <c r="I382" s="2154"/>
      <c r="J382" s="2154"/>
      <c r="K382" s="2154"/>
      <c r="L382" s="2154"/>
      <c r="M382" s="2154"/>
      <c r="N382" s="2154"/>
      <c r="O382" s="2154"/>
      <c r="P382" s="2154"/>
      <c r="Q382" s="2154"/>
      <c r="R382" s="2154"/>
      <c r="S382" s="2154"/>
      <c r="T382" s="2154"/>
      <c r="U382" s="2154"/>
      <c r="V382" s="2154"/>
      <c r="W382" s="2154"/>
      <c r="X382" s="2154"/>
      <c r="Y382" s="2154"/>
      <c r="Z382" s="2154"/>
      <c r="AA382" s="2154"/>
      <c r="AB382" s="2154"/>
      <c r="AC382" s="2154"/>
      <c r="AD382" s="2154"/>
      <c r="AE382" s="2154"/>
      <c r="AF382" s="2154"/>
      <c r="AG382" s="2154"/>
      <c r="AH382" s="2154"/>
      <c r="AI382" s="2154"/>
      <c r="AJ382" s="2154"/>
      <c r="AK382" s="2154"/>
      <c r="AL382" s="2154"/>
      <c r="AM382" s="2154"/>
      <c r="AN382" s="2154"/>
      <c r="AO382" s="2154"/>
      <c r="AP382" s="2154"/>
      <c r="AQ382" s="2154"/>
    </row>
    <row r="383" spans="2:43" x14ac:dyDescent="0.2">
      <c r="B383" s="2154"/>
      <c r="C383" s="2154"/>
      <c r="D383" s="2154"/>
      <c r="E383" s="2154"/>
      <c r="F383" s="2154"/>
      <c r="G383" s="2154"/>
      <c r="H383" s="2154"/>
      <c r="I383" s="2154"/>
      <c r="J383" s="2154"/>
      <c r="K383" s="2154"/>
      <c r="L383" s="2154"/>
      <c r="M383" s="2154"/>
      <c r="N383" s="2154"/>
      <c r="O383" s="2154"/>
      <c r="P383" s="2154"/>
      <c r="Q383" s="2154"/>
      <c r="R383" s="2154"/>
      <c r="S383" s="2154"/>
      <c r="T383" s="2154"/>
      <c r="U383" s="2154"/>
      <c r="V383" s="2154"/>
      <c r="W383" s="2154"/>
      <c r="X383" s="2154"/>
      <c r="Y383" s="2154"/>
      <c r="Z383" s="2154"/>
      <c r="AA383" s="2154"/>
      <c r="AB383" s="2154"/>
      <c r="AC383" s="2154"/>
      <c r="AD383" s="2154"/>
      <c r="AE383" s="2154"/>
      <c r="AF383" s="2154"/>
      <c r="AG383" s="2154"/>
      <c r="AH383" s="2154"/>
      <c r="AI383" s="2154"/>
      <c r="AJ383" s="2154"/>
      <c r="AK383" s="2154"/>
      <c r="AL383" s="2154"/>
      <c r="AM383" s="2154"/>
      <c r="AN383" s="2154"/>
      <c r="AO383" s="2154"/>
      <c r="AP383" s="2154"/>
      <c r="AQ383" s="2154"/>
    </row>
    <row r="384" spans="2:43" x14ac:dyDescent="0.2">
      <c r="B384" s="2154"/>
      <c r="C384" s="2154"/>
      <c r="D384" s="2154"/>
      <c r="E384" s="2154"/>
      <c r="F384" s="2154"/>
      <c r="G384" s="2154"/>
      <c r="H384" s="2154"/>
      <c r="I384" s="2154"/>
      <c r="J384" s="2154"/>
      <c r="K384" s="2154"/>
      <c r="L384" s="2154"/>
      <c r="M384" s="2154"/>
      <c r="N384" s="2154"/>
      <c r="O384" s="2154"/>
      <c r="P384" s="2154"/>
      <c r="Q384" s="2154"/>
      <c r="R384" s="2154"/>
      <c r="S384" s="2154"/>
      <c r="T384" s="2154"/>
      <c r="U384" s="2154"/>
      <c r="V384" s="2154"/>
      <c r="W384" s="2154"/>
      <c r="X384" s="2154"/>
      <c r="Y384" s="2154"/>
      <c r="Z384" s="2154"/>
      <c r="AA384" s="2154"/>
      <c r="AB384" s="2154"/>
      <c r="AC384" s="2154"/>
      <c r="AD384" s="2154"/>
      <c r="AE384" s="2154"/>
      <c r="AF384" s="2154"/>
      <c r="AG384" s="2154"/>
      <c r="AH384" s="2154"/>
      <c r="AI384" s="2154"/>
      <c r="AJ384" s="2154"/>
      <c r="AK384" s="2154"/>
      <c r="AL384" s="2154"/>
      <c r="AM384" s="2154"/>
      <c r="AN384" s="2154"/>
      <c r="AO384" s="2154"/>
      <c r="AP384" s="2154"/>
      <c r="AQ384" s="2154"/>
    </row>
    <row r="385" spans="2:43" x14ac:dyDescent="0.2">
      <c r="B385" s="2154"/>
      <c r="C385" s="2154"/>
      <c r="D385" s="2154"/>
      <c r="E385" s="2154"/>
      <c r="F385" s="2154"/>
      <c r="G385" s="2154"/>
      <c r="H385" s="2154"/>
      <c r="I385" s="2154"/>
      <c r="J385" s="2154"/>
      <c r="K385" s="2154"/>
      <c r="L385" s="2154"/>
      <c r="M385" s="2154"/>
      <c r="N385" s="2154"/>
      <c r="O385" s="2154"/>
      <c r="P385" s="2154"/>
      <c r="Q385" s="2154"/>
      <c r="R385" s="2154"/>
      <c r="S385" s="2154"/>
      <c r="T385" s="2154"/>
      <c r="U385" s="2154"/>
      <c r="V385" s="2154"/>
      <c r="W385" s="2154"/>
      <c r="X385" s="2154"/>
      <c r="Y385" s="2154"/>
      <c r="Z385" s="2154"/>
      <c r="AA385" s="2154"/>
      <c r="AB385" s="2154"/>
      <c r="AC385" s="2154"/>
      <c r="AD385" s="2154"/>
      <c r="AE385" s="2154"/>
      <c r="AF385" s="2154"/>
      <c r="AG385" s="2154"/>
      <c r="AH385" s="2154"/>
      <c r="AI385" s="2154"/>
      <c r="AJ385" s="2154"/>
      <c r="AK385" s="2154"/>
      <c r="AL385" s="2154"/>
      <c r="AM385" s="2154"/>
      <c r="AN385" s="2154"/>
      <c r="AO385" s="2154"/>
      <c r="AP385" s="2154"/>
      <c r="AQ385" s="2154"/>
    </row>
    <row r="386" spans="2:43" x14ac:dyDescent="0.2">
      <c r="B386" s="2154"/>
      <c r="C386" s="2154"/>
      <c r="D386" s="2154"/>
      <c r="E386" s="2154"/>
      <c r="F386" s="2154"/>
      <c r="G386" s="2154"/>
      <c r="H386" s="2154"/>
      <c r="I386" s="2154"/>
      <c r="J386" s="2154"/>
      <c r="K386" s="2154"/>
      <c r="L386" s="2154"/>
      <c r="M386" s="2154"/>
      <c r="N386" s="2154"/>
      <c r="O386" s="2154"/>
      <c r="P386" s="2154"/>
      <c r="Q386" s="2154"/>
      <c r="R386" s="2154"/>
      <c r="S386" s="2154"/>
      <c r="T386" s="2154"/>
      <c r="U386" s="2154"/>
      <c r="V386" s="2154"/>
      <c r="W386" s="2154"/>
      <c r="X386" s="2154"/>
      <c r="Y386" s="2154"/>
      <c r="Z386" s="2154"/>
      <c r="AA386" s="2154"/>
      <c r="AB386" s="2154"/>
      <c r="AC386" s="2154"/>
      <c r="AD386" s="2154"/>
      <c r="AE386" s="2154"/>
      <c r="AF386" s="2154"/>
      <c r="AG386" s="2154"/>
      <c r="AH386" s="2154"/>
      <c r="AI386" s="2154"/>
      <c r="AJ386" s="2154"/>
      <c r="AK386" s="2154"/>
      <c r="AL386" s="2154"/>
      <c r="AM386" s="2154"/>
      <c r="AN386" s="2154"/>
      <c r="AO386" s="2154"/>
      <c r="AP386" s="2154"/>
      <c r="AQ386" s="2154"/>
    </row>
  </sheetData>
  <dataValidations count="1">
    <dataValidation type="list" allowBlank="1" showInputMessage="1" showErrorMessage="1" sqref="E7:E10">
      <formula1>$AS$6:$AS$10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  <outlinePr summaryBelow="0"/>
    <pageSetUpPr autoPageBreaks="0"/>
  </sheetPr>
  <dimension ref="A1:XFC739"/>
  <sheetViews>
    <sheetView zoomScale="85" zoomScaleNormal="85" zoomScalePageLayoutView="125" workbookViewId="0">
      <selection activeCell="C63" sqref="C63"/>
    </sheetView>
  </sheetViews>
  <sheetFormatPr baseColWidth="10" defaultColWidth="7.7109375" defaultRowHeight="12.75" x14ac:dyDescent="0.2"/>
  <cols>
    <col min="1" max="1" width="6.7109375" style="2105" customWidth="1"/>
    <col min="2" max="2" width="40.7109375" style="2105" customWidth="1"/>
    <col min="3" max="3" width="42.42578125" style="2105" customWidth="1"/>
    <col min="4" max="4" width="23.28515625" style="2105" customWidth="1"/>
    <col min="5" max="5" width="19.7109375" style="2105" customWidth="1"/>
    <col min="6" max="6" width="14.7109375" style="2105" customWidth="1"/>
    <col min="7" max="7" width="18.28515625" style="2105" customWidth="1"/>
    <col min="8" max="8" width="17.85546875" style="2105" customWidth="1"/>
    <col min="9" max="9" width="18.28515625" style="2105" customWidth="1"/>
    <col min="10" max="12" width="17.85546875" style="2105" customWidth="1"/>
    <col min="13" max="13" width="18.28515625" style="2105" customWidth="1"/>
    <col min="14" max="14" width="17.85546875" style="2105" customWidth="1"/>
    <col min="15" max="15" width="18.28515625" style="2105" customWidth="1"/>
    <col min="16" max="17" width="13.28515625" style="2105" customWidth="1"/>
    <col min="18" max="18" width="13.140625" style="2105" customWidth="1"/>
    <col min="19" max="19" width="13" style="2105" customWidth="1"/>
    <col min="20" max="21" width="14.28515625" style="2105" customWidth="1"/>
    <col min="22" max="22" width="13.28515625" style="2105" customWidth="1"/>
    <col min="23" max="23" width="14.28515625" style="2105" customWidth="1"/>
    <col min="24" max="24" width="13.28515625" style="2105" customWidth="1"/>
    <col min="25" max="26" width="14.28515625" style="2105" customWidth="1"/>
    <col min="27" max="28" width="13.28515625" style="2105" customWidth="1"/>
    <col min="29" max="29" width="14.28515625" style="2105" customWidth="1"/>
    <col min="30" max="30" width="13.28515625" style="2105" customWidth="1"/>
    <col min="31" max="31" width="14.28515625" style="2105" customWidth="1"/>
    <col min="32" max="32" width="9.7109375" style="2105" customWidth="1"/>
    <col min="33" max="43" width="14.28515625" style="2105" customWidth="1"/>
    <col min="44" max="45" width="12.85546875" style="2105" customWidth="1"/>
    <col min="46" max="16384" width="7.7109375" style="2105"/>
  </cols>
  <sheetData>
    <row r="1" spans="1:45" ht="21" x14ac:dyDescent="0.35">
      <c r="A1" s="2390"/>
      <c r="B1" s="1982" t="s">
        <v>1349</v>
      </c>
      <c r="C1" s="2390"/>
    </row>
    <row r="2" spans="1:45" s="2392" customFormat="1" ht="19.5" customHeight="1" x14ac:dyDescent="0.2">
      <c r="A2" s="2391"/>
      <c r="B2" s="1985"/>
      <c r="C2" s="2391"/>
      <c r="E2" s="2105"/>
    </row>
    <row r="4" spans="1:45" ht="18" customHeight="1" collapsed="1" x14ac:dyDescent="0.35">
      <c r="A4" s="2393"/>
      <c r="B4" s="2394" t="s">
        <v>1021</v>
      </c>
      <c r="C4" s="2331"/>
      <c r="D4" s="2395"/>
      <c r="E4" s="2396"/>
      <c r="F4" s="2396"/>
      <c r="G4" s="2396"/>
      <c r="H4" s="2396"/>
      <c r="I4" s="2396"/>
      <c r="J4" s="2396"/>
      <c r="K4" s="2396"/>
      <c r="L4" s="2396"/>
      <c r="M4" s="2396"/>
      <c r="N4" s="2396"/>
      <c r="O4" s="2396"/>
      <c r="P4" s="2396"/>
      <c r="Q4" s="2396"/>
      <c r="R4" s="2396"/>
      <c r="S4" s="2396"/>
      <c r="T4" s="2396"/>
      <c r="U4" s="2396"/>
      <c r="V4" s="2396"/>
      <c r="W4" s="2396"/>
      <c r="X4" s="2396"/>
      <c r="Y4" s="2396"/>
      <c r="Z4" s="2396"/>
      <c r="AA4" s="2396"/>
      <c r="AB4" s="2396"/>
      <c r="AC4" s="2396"/>
      <c r="AD4" s="2396"/>
      <c r="AE4" s="2396"/>
      <c r="AF4" s="2396"/>
      <c r="AG4" s="2396"/>
      <c r="AH4" s="2396"/>
      <c r="AI4" s="2396"/>
      <c r="AJ4" s="2396"/>
      <c r="AK4" s="2396"/>
      <c r="AL4" s="2396"/>
      <c r="AM4" s="2396"/>
      <c r="AN4" s="2396"/>
      <c r="AO4" s="2396"/>
      <c r="AP4" s="2396"/>
      <c r="AQ4" s="2396"/>
      <c r="AR4" s="2396"/>
      <c r="AS4" s="2396"/>
    </row>
    <row r="5" spans="1:45" x14ac:dyDescent="0.2">
      <c r="B5" s="2397"/>
      <c r="C5" s="2398"/>
      <c r="D5" s="2399"/>
      <c r="E5" s="2400"/>
      <c r="F5" s="2400"/>
      <c r="G5" s="2400"/>
      <c r="H5" s="2400"/>
      <c r="I5" s="2400"/>
      <c r="J5" s="2400"/>
      <c r="K5" s="2400"/>
      <c r="L5" s="2400"/>
      <c r="M5" s="2400"/>
      <c r="N5" s="2400"/>
      <c r="O5" s="2400"/>
      <c r="P5" s="2400"/>
      <c r="Q5" s="2400"/>
      <c r="R5" s="2400"/>
      <c r="S5" s="2400"/>
      <c r="T5" s="2400"/>
      <c r="U5" s="2400"/>
      <c r="V5" s="2400"/>
      <c r="W5" s="2400"/>
      <c r="X5" s="2400"/>
      <c r="Y5" s="2400"/>
      <c r="Z5" s="2400"/>
      <c r="AA5" s="2400"/>
      <c r="AB5" s="2400"/>
      <c r="AC5" s="2400"/>
      <c r="AD5" s="2400"/>
      <c r="AE5" s="2400"/>
      <c r="AF5" s="2400"/>
      <c r="AG5" s="2400"/>
      <c r="AH5" s="2400"/>
      <c r="AI5" s="2400"/>
      <c r="AJ5" s="2400"/>
      <c r="AK5" s="2400"/>
      <c r="AL5" s="2400"/>
      <c r="AM5" s="2400"/>
      <c r="AN5" s="2400"/>
      <c r="AO5" s="2400"/>
      <c r="AP5" s="2400"/>
      <c r="AQ5" s="2400"/>
      <c r="AR5" s="2400"/>
      <c r="AS5" s="2400"/>
    </row>
    <row r="6" spans="1:45" ht="15.75" x14ac:dyDescent="0.25">
      <c r="B6" s="2401"/>
      <c r="C6" s="3609" t="s">
        <v>1022</v>
      </c>
      <c r="D6" s="3609"/>
      <c r="E6" s="3609"/>
      <c r="F6" s="3609"/>
      <c r="G6" s="2402" t="s">
        <v>1023</v>
      </c>
      <c r="H6" s="2399"/>
      <c r="I6" s="2399"/>
      <c r="J6" s="2399"/>
      <c r="K6" s="2399"/>
      <c r="L6" s="2399"/>
      <c r="M6" s="2399"/>
      <c r="N6" s="2399"/>
      <c r="O6" s="2400"/>
      <c r="P6" s="2400"/>
      <c r="Q6" s="2400"/>
      <c r="R6" s="2400"/>
      <c r="S6" s="2400"/>
      <c r="T6" s="2400"/>
      <c r="U6" s="2400"/>
      <c r="V6" s="2400"/>
      <c r="W6" s="2400"/>
      <c r="X6" s="2400"/>
      <c r="Y6" s="2400"/>
      <c r="Z6" s="2400"/>
      <c r="AA6" s="2400"/>
      <c r="AB6" s="2400"/>
      <c r="AC6" s="2400"/>
      <c r="AD6" s="2400"/>
      <c r="AE6" s="2400"/>
      <c r="AF6" s="2400"/>
      <c r="AG6" s="2400"/>
      <c r="AH6" s="2400"/>
      <c r="AI6" s="2400"/>
      <c r="AJ6" s="2400"/>
      <c r="AK6" s="2400"/>
      <c r="AL6" s="2400"/>
      <c r="AM6" s="2400"/>
      <c r="AN6" s="2400"/>
      <c r="AO6" s="2400"/>
      <c r="AP6" s="2400"/>
      <c r="AQ6" s="2400"/>
      <c r="AR6" s="2400"/>
      <c r="AS6" s="2400"/>
    </row>
    <row r="7" spans="1:45" ht="15.75" x14ac:dyDescent="0.25">
      <c r="B7" s="2401"/>
      <c r="C7" s="3610" t="s">
        <v>1350</v>
      </c>
      <c r="D7" s="3610"/>
      <c r="E7" s="3610"/>
      <c r="F7" s="3610"/>
      <c r="G7" s="2403">
        <f>V.b!E7</f>
        <v>1</v>
      </c>
      <c r="H7" s="2399"/>
      <c r="I7" s="2399"/>
      <c r="J7" s="2399"/>
      <c r="K7" s="2399"/>
      <c r="L7" s="2399"/>
      <c r="M7" s="2399"/>
      <c r="N7" s="2399"/>
      <c r="O7" s="2399"/>
      <c r="P7" s="2399"/>
      <c r="Q7" s="2399"/>
      <c r="R7" s="2399"/>
      <c r="S7" s="2399"/>
      <c r="T7" s="2399"/>
      <c r="U7" s="2399"/>
      <c r="V7" s="2399"/>
      <c r="W7" s="2399"/>
      <c r="X7" s="2399"/>
      <c r="Y7" s="2399"/>
      <c r="Z7" s="2399"/>
      <c r="AA7" s="2399"/>
      <c r="AB7" s="2399"/>
      <c r="AC7" s="2399"/>
      <c r="AD7" s="2399"/>
      <c r="AE7" s="2399"/>
      <c r="AF7" s="2399"/>
      <c r="AG7" s="2399"/>
      <c r="AH7" s="2399"/>
      <c r="AI7" s="2399"/>
      <c r="AJ7" s="2399"/>
      <c r="AK7" s="2399"/>
      <c r="AL7" s="2399"/>
      <c r="AM7" s="2399"/>
      <c r="AN7" s="2399"/>
      <c r="AO7" s="2399"/>
      <c r="AP7" s="2399"/>
      <c r="AQ7" s="2399"/>
      <c r="AR7" s="2399"/>
      <c r="AS7" s="2399"/>
    </row>
    <row r="8" spans="1:45" ht="15.75" x14ac:dyDescent="0.25">
      <c r="B8" s="2404"/>
      <c r="C8" s="3611" t="s">
        <v>1351</v>
      </c>
      <c r="D8" s="3611"/>
      <c r="E8" s="3611"/>
      <c r="F8" s="3611"/>
      <c r="G8" s="2405">
        <f>V.b!E8</f>
        <v>1</v>
      </c>
      <c r="H8" s="2406"/>
      <c r="I8" s="2406"/>
      <c r="J8" s="2406"/>
      <c r="K8" s="2406"/>
      <c r="L8" s="2406"/>
      <c r="M8" s="2406"/>
      <c r="N8" s="2406"/>
      <c r="O8" s="2399"/>
      <c r="P8" s="2399"/>
      <c r="Q8" s="2399"/>
      <c r="R8" s="2399"/>
      <c r="S8" s="2399"/>
      <c r="T8" s="2399"/>
      <c r="U8" s="2399"/>
      <c r="V8" s="2399"/>
      <c r="W8" s="2399"/>
      <c r="X8" s="2399"/>
      <c r="Y8" s="2399"/>
      <c r="Z8" s="2399"/>
      <c r="AA8" s="2399"/>
      <c r="AB8" s="2399"/>
      <c r="AC8" s="2399"/>
      <c r="AD8" s="2399"/>
      <c r="AE8" s="2399"/>
      <c r="AF8" s="2399"/>
      <c r="AG8" s="2399"/>
      <c r="AH8" s="2399"/>
      <c r="AI8" s="2399"/>
      <c r="AJ8" s="2399"/>
      <c r="AK8" s="2399"/>
      <c r="AL8" s="2399"/>
      <c r="AM8" s="2399"/>
      <c r="AN8" s="2399"/>
      <c r="AO8" s="2399"/>
      <c r="AP8" s="2399"/>
      <c r="AQ8" s="2399"/>
      <c r="AR8" s="2399"/>
      <c r="AS8" s="2399"/>
    </row>
    <row r="9" spans="1:45" ht="10.5" customHeight="1" x14ac:dyDescent="0.2">
      <c r="X9" s="2407"/>
    </row>
    <row r="10" spans="1:45" ht="15.75" x14ac:dyDescent="0.2">
      <c r="B10" s="2408" t="s">
        <v>1027</v>
      </c>
      <c r="C10" s="2409"/>
      <c r="D10" s="2409"/>
      <c r="E10" s="2409"/>
      <c r="F10" s="2409"/>
      <c r="G10" s="2409"/>
      <c r="H10" s="2409"/>
      <c r="I10" s="2409"/>
      <c r="J10" s="2409"/>
      <c r="K10" s="2409"/>
      <c r="L10" s="2409"/>
      <c r="M10" s="2409"/>
      <c r="N10" s="2409"/>
      <c r="O10" s="2409"/>
      <c r="P10" s="2409"/>
      <c r="Q10" s="2409"/>
      <c r="R10" s="2409"/>
      <c r="S10" s="2409"/>
      <c r="T10" s="2409"/>
      <c r="U10" s="2409"/>
      <c r="V10" s="2409"/>
      <c r="W10" s="2409"/>
      <c r="X10" s="2409"/>
      <c r="Y10" s="2409"/>
      <c r="Z10" s="2409"/>
      <c r="AA10" s="2409"/>
      <c r="AB10" s="2409"/>
      <c r="AC10" s="2409"/>
      <c r="AD10" s="2409"/>
      <c r="AE10" s="2409"/>
      <c r="AF10" s="2409"/>
      <c r="AG10" s="2409"/>
      <c r="AH10" s="2409"/>
      <c r="AI10" s="2409"/>
      <c r="AJ10" s="2409"/>
      <c r="AK10" s="2409"/>
      <c r="AL10" s="2409"/>
      <c r="AM10" s="2409"/>
      <c r="AN10" s="2409"/>
      <c r="AO10" s="2409"/>
      <c r="AP10" s="2409"/>
      <c r="AQ10" s="2409"/>
      <c r="AR10" s="2409"/>
      <c r="AS10" s="2409"/>
    </row>
    <row r="11" spans="1:45" x14ac:dyDescent="0.2">
      <c r="B11" s="2410"/>
      <c r="C11" s="2410"/>
      <c r="D11" s="2411"/>
      <c r="E11" s="2411"/>
      <c r="F11" s="2411"/>
      <c r="G11" s="2411"/>
      <c r="H11" s="2411"/>
      <c r="I11" s="2411"/>
      <c r="J11" s="2411"/>
      <c r="K11" s="2411"/>
      <c r="L11" s="2411"/>
      <c r="M11" s="2411"/>
      <c r="N11" s="2411"/>
      <c r="O11" s="2411"/>
      <c r="P11" s="2411"/>
      <c r="Q11" s="2411"/>
      <c r="R11" s="2411"/>
      <c r="S11" s="2411"/>
      <c r="T11" s="2411"/>
      <c r="U11" s="2411"/>
      <c r="V11" s="2411"/>
      <c r="W11" s="2411"/>
      <c r="X11" s="2411"/>
      <c r="Y11" s="2411"/>
      <c r="Z11" s="2411"/>
      <c r="AA11" s="2411"/>
      <c r="AB11" s="2411"/>
      <c r="AC11" s="2411"/>
      <c r="AD11" s="2411"/>
      <c r="AE11" s="2411"/>
      <c r="AF11" s="2411"/>
      <c r="AG11" s="2411"/>
      <c r="AH11" s="2411"/>
      <c r="AI11" s="2411"/>
      <c r="AJ11" s="2411"/>
      <c r="AK11" s="2411"/>
      <c r="AL11" s="2411"/>
      <c r="AM11" s="2411"/>
      <c r="AN11" s="2411"/>
      <c r="AO11" s="2411"/>
      <c r="AP11" s="2411"/>
      <c r="AQ11" s="2411"/>
      <c r="AR11" s="2411"/>
      <c r="AS11" s="2411"/>
    </row>
    <row r="12" spans="1:45" x14ac:dyDescent="0.2">
      <c r="B12" s="2410" t="s">
        <v>1210</v>
      </c>
      <c r="C12" s="2412" t="s">
        <v>1352</v>
      </c>
      <c r="D12" s="2410"/>
      <c r="E12" s="2411"/>
      <c r="F12" s="2411"/>
      <c r="G12" s="2411"/>
      <c r="H12" s="2411"/>
      <c r="I12" s="2411"/>
      <c r="J12" s="2411"/>
      <c r="K12" s="2411"/>
      <c r="L12" s="2411"/>
      <c r="M12" s="2411"/>
      <c r="N12" s="2411"/>
      <c r="O12" s="2411"/>
      <c r="P12" s="2411"/>
      <c r="Q12" s="2411"/>
      <c r="R12" s="2411"/>
      <c r="S12" s="2411"/>
      <c r="T12" s="2411"/>
      <c r="U12" s="2411"/>
      <c r="V12" s="2411"/>
      <c r="W12" s="2411"/>
      <c r="X12" s="2411"/>
      <c r="Y12" s="2411"/>
      <c r="Z12" s="2411"/>
      <c r="AA12" s="2411"/>
      <c r="AB12" s="2411"/>
      <c r="AC12" s="2411"/>
      <c r="AD12" s="2411"/>
      <c r="AE12" s="2411"/>
      <c r="AF12" s="2411"/>
      <c r="AG12" s="2411"/>
      <c r="AH12" s="2411"/>
      <c r="AI12" s="2411"/>
      <c r="AJ12" s="2411"/>
      <c r="AK12" s="2411"/>
      <c r="AL12" s="2411"/>
      <c r="AM12" s="2411"/>
      <c r="AN12" s="2411"/>
      <c r="AO12" s="2411"/>
      <c r="AP12" s="2411"/>
      <c r="AQ12" s="2411"/>
      <c r="AR12" s="2411"/>
      <c r="AS12" s="2411"/>
    </row>
    <row r="13" spans="1:45" x14ac:dyDescent="0.2">
      <c r="B13" s="2410"/>
      <c r="C13" s="2413" t="s">
        <v>1023</v>
      </c>
      <c r="D13" s="2414" t="s">
        <v>1029</v>
      </c>
      <c r="E13" s="2414" t="s">
        <v>8</v>
      </c>
      <c r="F13" s="2414"/>
      <c r="G13" s="2414">
        <v>2012</v>
      </c>
      <c r="H13" s="2414">
        <v>2013</v>
      </c>
      <c r="I13" s="2414">
        <v>2014</v>
      </c>
      <c r="J13" s="2414">
        <v>2015</v>
      </c>
      <c r="K13" s="2414">
        <v>2016</v>
      </c>
      <c r="L13" s="2414">
        <v>2017</v>
      </c>
      <c r="M13" s="2414">
        <v>2018</v>
      </c>
      <c r="N13" s="2414">
        <v>2019</v>
      </c>
      <c r="O13" s="2414">
        <v>2020</v>
      </c>
      <c r="P13" s="2414">
        <v>2021</v>
      </c>
      <c r="Q13" s="2414">
        <v>2022</v>
      </c>
      <c r="R13" s="2414">
        <v>2023</v>
      </c>
      <c r="S13" s="2414">
        <v>2024</v>
      </c>
      <c r="T13" s="2414">
        <v>2025</v>
      </c>
      <c r="U13" s="2414">
        <v>2026</v>
      </c>
      <c r="V13" s="2414">
        <v>2027</v>
      </c>
      <c r="W13" s="2414">
        <v>2028</v>
      </c>
      <c r="X13" s="2414">
        <v>2029</v>
      </c>
      <c r="Y13" s="2414">
        <v>2030</v>
      </c>
      <c r="Z13" s="2414">
        <v>2031</v>
      </c>
      <c r="AA13" s="2414">
        <v>2032</v>
      </c>
      <c r="AB13" s="2414">
        <v>2033</v>
      </c>
      <c r="AC13" s="2414">
        <v>2034</v>
      </c>
      <c r="AD13" s="2414">
        <v>2035</v>
      </c>
      <c r="AE13" s="2414">
        <v>2036</v>
      </c>
      <c r="AF13" s="2414">
        <v>2037</v>
      </c>
      <c r="AG13" s="2414">
        <v>2038</v>
      </c>
      <c r="AH13" s="2414">
        <v>2039</v>
      </c>
      <c r="AI13" s="2414">
        <v>2040</v>
      </c>
      <c r="AJ13" s="2414">
        <v>2041</v>
      </c>
      <c r="AK13" s="2414">
        <v>2042</v>
      </c>
      <c r="AL13" s="2414">
        <v>2043</v>
      </c>
      <c r="AM13" s="2414">
        <v>2044</v>
      </c>
      <c r="AN13" s="2414">
        <v>2045</v>
      </c>
      <c r="AO13" s="2414">
        <v>2046</v>
      </c>
      <c r="AP13" s="2414">
        <v>2047</v>
      </c>
      <c r="AQ13" s="2414">
        <v>2048</v>
      </c>
      <c r="AR13" s="2414">
        <v>2049</v>
      </c>
      <c r="AS13" s="2414">
        <v>2050</v>
      </c>
    </row>
    <row r="14" spans="1:45" x14ac:dyDescent="0.2">
      <c r="B14" s="2410"/>
      <c r="C14" s="2415">
        <v>1</v>
      </c>
      <c r="D14" s="2411" t="s">
        <v>1031</v>
      </c>
      <c r="E14" s="2411" t="s">
        <v>12</v>
      </c>
      <c r="F14" s="2411"/>
      <c r="G14" s="2416">
        <v>0.02</v>
      </c>
      <c r="H14" s="2416">
        <v>0.02</v>
      </c>
      <c r="I14" s="2417">
        <v>0.02</v>
      </c>
      <c r="J14" s="2417">
        <v>0.02</v>
      </c>
      <c r="K14" s="2417">
        <v>0.02</v>
      </c>
      <c r="L14" s="2417">
        <v>0.02</v>
      </c>
      <c r="M14" s="2417">
        <v>0.02</v>
      </c>
      <c r="N14" s="2417">
        <v>0.02</v>
      </c>
      <c r="O14" s="2416">
        <v>0.02</v>
      </c>
      <c r="P14" s="2416">
        <v>0.02</v>
      </c>
      <c r="Q14" s="2416">
        <v>0.02</v>
      </c>
      <c r="R14" s="2416">
        <v>0.02</v>
      </c>
      <c r="S14" s="2416">
        <v>0.02</v>
      </c>
      <c r="T14" s="2416">
        <v>0.02</v>
      </c>
      <c r="U14" s="2416">
        <v>0.02</v>
      </c>
      <c r="V14" s="2416">
        <v>0.02</v>
      </c>
      <c r="W14" s="2416">
        <v>0.02</v>
      </c>
      <c r="X14" s="2416">
        <v>0.02</v>
      </c>
      <c r="Y14" s="2416">
        <v>0.02</v>
      </c>
      <c r="Z14" s="2416">
        <v>0.02</v>
      </c>
      <c r="AA14" s="2416">
        <v>0.02</v>
      </c>
      <c r="AB14" s="2416">
        <v>0.02</v>
      </c>
      <c r="AC14" s="2416">
        <v>0.02</v>
      </c>
      <c r="AD14" s="2416">
        <v>0.02</v>
      </c>
      <c r="AE14" s="2416">
        <v>0.02</v>
      </c>
      <c r="AF14" s="2416">
        <v>0.02</v>
      </c>
      <c r="AG14" s="2416">
        <v>0.02</v>
      </c>
      <c r="AH14" s="2416">
        <v>0.02</v>
      </c>
      <c r="AI14" s="2416">
        <v>0.02</v>
      </c>
      <c r="AJ14" s="2416">
        <v>0.02</v>
      </c>
      <c r="AK14" s="2416">
        <v>0.02</v>
      </c>
      <c r="AL14" s="2416">
        <v>0.02</v>
      </c>
      <c r="AM14" s="2416">
        <v>0.02</v>
      </c>
      <c r="AN14" s="2416">
        <v>0.02</v>
      </c>
      <c r="AO14" s="2416">
        <v>0.02</v>
      </c>
      <c r="AP14" s="2416">
        <v>0.02</v>
      </c>
      <c r="AQ14" s="2416">
        <v>0.02</v>
      </c>
      <c r="AR14" s="2416">
        <v>0.02</v>
      </c>
      <c r="AS14" s="2416">
        <v>0.02</v>
      </c>
    </row>
    <row r="15" spans="1:45" x14ac:dyDescent="0.2">
      <c r="B15" s="2410"/>
      <c r="C15" s="2415">
        <v>2</v>
      </c>
      <c r="D15" s="2411" t="s">
        <v>1031</v>
      </c>
      <c r="E15" s="2411" t="s">
        <v>12</v>
      </c>
      <c r="F15" s="2411"/>
      <c r="G15" s="2416">
        <v>0</v>
      </c>
      <c r="H15" s="2416">
        <v>0</v>
      </c>
      <c r="I15" s="2416">
        <v>0.02</v>
      </c>
      <c r="J15" s="2417">
        <v>3.125E-2</v>
      </c>
      <c r="K15" s="2417">
        <v>4.2500000000000003E-2</v>
      </c>
      <c r="L15" s="2417">
        <v>5.3749999999999999E-2</v>
      </c>
      <c r="M15" s="2417">
        <v>6.5000000000000002E-2</v>
      </c>
      <c r="N15" s="2417">
        <v>7.6249999999999998E-2</v>
      </c>
      <c r="O15" s="2417">
        <v>8.7499999999999994E-2</v>
      </c>
      <c r="P15" s="2417">
        <v>9.8750000000000004E-2</v>
      </c>
      <c r="Q15" s="2416">
        <v>0.11</v>
      </c>
      <c r="R15" s="2416">
        <v>0.12125</v>
      </c>
      <c r="S15" s="2416">
        <v>0.13250000000000001</v>
      </c>
      <c r="T15" s="2416">
        <v>0.14374999999999999</v>
      </c>
      <c r="U15" s="2416">
        <v>0.155</v>
      </c>
      <c r="V15" s="2416">
        <v>0.16625000000000001</v>
      </c>
      <c r="W15" s="2416">
        <v>0.17749999999999999</v>
      </c>
      <c r="X15" s="2416">
        <v>0.18875</v>
      </c>
      <c r="Y15" s="2416">
        <v>0.2</v>
      </c>
      <c r="Z15" s="2416">
        <v>0.21</v>
      </c>
      <c r="AA15" s="2416">
        <v>0.22</v>
      </c>
      <c r="AB15" s="2416">
        <v>0.23</v>
      </c>
      <c r="AC15" s="2416">
        <v>0.24</v>
      </c>
      <c r="AD15" s="2416">
        <v>0.25</v>
      </c>
      <c r="AE15" s="2416">
        <v>0.26</v>
      </c>
      <c r="AF15" s="2416">
        <v>0.27</v>
      </c>
      <c r="AG15" s="2416">
        <v>0.28000000000000003</v>
      </c>
      <c r="AH15" s="2416">
        <v>0.28999999999999998</v>
      </c>
      <c r="AI15" s="2416">
        <v>0.3</v>
      </c>
      <c r="AJ15" s="2416">
        <v>0.3</v>
      </c>
      <c r="AK15" s="2416">
        <v>0.3</v>
      </c>
      <c r="AL15" s="2416">
        <v>0.3</v>
      </c>
      <c r="AM15" s="2416">
        <v>0.3</v>
      </c>
      <c r="AN15" s="2416">
        <v>0.3</v>
      </c>
      <c r="AO15" s="2416">
        <v>0.3</v>
      </c>
      <c r="AP15" s="2416">
        <v>0.3</v>
      </c>
      <c r="AQ15" s="2416">
        <v>0.3</v>
      </c>
      <c r="AR15" s="2416">
        <v>0.3</v>
      </c>
      <c r="AS15" s="2416">
        <v>0.3</v>
      </c>
    </row>
    <row r="16" spans="1:45" x14ac:dyDescent="0.2">
      <c r="B16" s="2410"/>
      <c r="C16" s="2415">
        <v>3</v>
      </c>
      <c r="D16" s="2411" t="s">
        <v>1031</v>
      </c>
      <c r="E16" s="2411" t="s">
        <v>12</v>
      </c>
      <c r="F16" s="2411"/>
      <c r="G16" s="2416">
        <v>0</v>
      </c>
      <c r="H16" s="2416">
        <v>0</v>
      </c>
      <c r="I16" s="2417">
        <v>0.02</v>
      </c>
      <c r="J16" s="2417">
        <v>4.6199999999999998E-2</v>
      </c>
      <c r="K16" s="2417">
        <v>7.2400000000000006E-2</v>
      </c>
      <c r="L16" s="2417">
        <v>9.8599999999999993E-2</v>
      </c>
      <c r="M16" s="2417">
        <v>0.12480000000000001</v>
      </c>
      <c r="N16" s="2417">
        <v>0.15100000000000002</v>
      </c>
      <c r="O16" s="2417">
        <v>0.17720000000000002</v>
      </c>
      <c r="P16" s="2417">
        <v>0.20340000000000003</v>
      </c>
      <c r="Q16" s="2417">
        <v>0.22960000000000005</v>
      </c>
      <c r="R16" s="2417">
        <v>0.25580000000000003</v>
      </c>
      <c r="S16" s="2417">
        <v>0.28200000000000008</v>
      </c>
      <c r="T16" s="2417">
        <v>0.30820000000000008</v>
      </c>
      <c r="U16" s="2417">
        <v>0.33440000000000003</v>
      </c>
      <c r="V16" s="2417">
        <v>0.36060000000000003</v>
      </c>
      <c r="W16" s="2417">
        <v>0.38679999999999998</v>
      </c>
      <c r="X16" s="2417">
        <v>0.41299999999999998</v>
      </c>
      <c r="Y16" s="2417">
        <v>0.43919999999999992</v>
      </c>
      <c r="Z16" s="2417">
        <v>0.46539999999999992</v>
      </c>
      <c r="AA16" s="2417">
        <v>0.49159999999999987</v>
      </c>
      <c r="AB16" s="2417">
        <v>0.51779999999999982</v>
      </c>
      <c r="AC16" s="2417">
        <v>0.54399999999999982</v>
      </c>
      <c r="AD16" s="2417">
        <v>0.57019999999999982</v>
      </c>
      <c r="AE16" s="2417">
        <v>0.59639999999999982</v>
      </c>
      <c r="AF16" s="2417">
        <v>0.62259999999999982</v>
      </c>
      <c r="AG16" s="2417">
        <v>0.64879999999999982</v>
      </c>
      <c r="AH16" s="2417">
        <v>0.67499999999999982</v>
      </c>
      <c r="AI16" s="2417">
        <v>0.70119999999999993</v>
      </c>
      <c r="AJ16" s="2417">
        <v>0.70119999999999993</v>
      </c>
      <c r="AK16" s="2417">
        <v>0.70119999999999993</v>
      </c>
      <c r="AL16" s="2417">
        <v>0.70119999999999993</v>
      </c>
      <c r="AM16" s="2417">
        <v>0.70119999999999993</v>
      </c>
      <c r="AN16" s="2417">
        <v>0.70119999999999993</v>
      </c>
      <c r="AO16" s="2417">
        <v>0.70119999999999993</v>
      </c>
      <c r="AP16" s="2417">
        <v>0.70119999999999993</v>
      </c>
      <c r="AQ16" s="2417">
        <v>0.70119999999999993</v>
      </c>
      <c r="AR16" s="2417">
        <v>0.70119999999999993</v>
      </c>
      <c r="AS16" s="2417">
        <v>0.70119999999999993</v>
      </c>
    </row>
    <row r="17" spans="2:45" x14ac:dyDescent="0.2">
      <c r="B17" s="2410"/>
      <c r="C17" s="2418">
        <v>4</v>
      </c>
      <c r="D17" s="2419" t="s">
        <v>1031</v>
      </c>
      <c r="E17" s="2419" t="s">
        <v>12</v>
      </c>
      <c r="F17" s="2419"/>
      <c r="G17" s="2420">
        <v>0.02</v>
      </c>
      <c r="H17" s="2420">
        <v>0.02</v>
      </c>
      <c r="I17" s="2420">
        <v>0.02</v>
      </c>
      <c r="J17" s="2420">
        <v>0.05</v>
      </c>
      <c r="K17" s="2420">
        <v>0.08</v>
      </c>
      <c r="L17" s="2420">
        <v>0.11</v>
      </c>
      <c r="M17" s="2420">
        <v>0.14000000000000001</v>
      </c>
      <c r="N17" s="2420">
        <v>0.17</v>
      </c>
      <c r="O17" s="2420">
        <v>0.2</v>
      </c>
      <c r="P17" s="2420">
        <v>0.23</v>
      </c>
      <c r="Q17" s="2420">
        <v>0.26</v>
      </c>
      <c r="R17" s="2420">
        <v>0.28999999999999998</v>
      </c>
      <c r="S17" s="2420">
        <v>0.32</v>
      </c>
      <c r="T17" s="2420">
        <v>0.35</v>
      </c>
      <c r="U17" s="2420">
        <v>0.38</v>
      </c>
      <c r="V17" s="2420">
        <v>0.41</v>
      </c>
      <c r="W17" s="2420">
        <v>0.44</v>
      </c>
      <c r="X17" s="2420">
        <v>0.47</v>
      </c>
      <c r="Y17" s="2420">
        <v>0.5</v>
      </c>
      <c r="Z17" s="2420">
        <v>0.53</v>
      </c>
      <c r="AA17" s="2420">
        <v>0.56000000000000005</v>
      </c>
      <c r="AB17" s="2420">
        <v>0.59</v>
      </c>
      <c r="AC17" s="2420">
        <v>0.62</v>
      </c>
      <c r="AD17" s="2420">
        <v>0.65</v>
      </c>
      <c r="AE17" s="2420">
        <v>0.68</v>
      </c>
      <c r="AF17" s="2420">
        <v>0.71</v>
      </c>
      <c r="AG17" s="2420">
        <v>0.74</v>
      </c>
      <c r="AH17" s="2420">
        <v>0.77</v>
      </c>
      <c r="AI17" s="2420">
        <v>0.8</v>
      </c>
      <c r="AJ17" s="2420">
        <v>0.8</v>
      </c>
      <c r="AK17" s="2420">
        <v>0.8</v>
      </c>
      <c r="AL17" s="2420">
        <v>0.8</v>
      </c>
      <c r="AM17" s="2420">
        <v>0.8</v>
      </c>
      <c r="AN17" s="2420">
        <v>0.8</v>
      </c>
      <c r="AO17" s="2420">
        <v>0.8</v>
      </c>
      <c r="AP17" s="2420">
        <v>0.8</v>
      </c>
      <c r="AQ17" s="2420">
        <v>0.8</v>
      </c>
      <c r="AR17" s="2420">
        <v>0.8</v>
      </c>
      <c r="AS17" s="2420">
        <v>0.8</v>
      </c>
    </row>
    <row r="18" spans="2:45" x14ac:dyDescent="0.2">
      <c r="B18" s="2410"/>
      <c r="C18" s="2418" t="s">
        <v>1217</v>
      </c>
      <c r="D18" s="2420" t="s">
        <v>1031</v>
      </c>
      <c r="E18" s="2420"/>
      <c r="F18" s="2420"/>
      <c r="G18" s="2420">
        <f t="shared" ref="G18:AS18" si="0">INDEX($G$14:$AS$17,$G$7,MATCH(G13,$G$13:$AS$13,0))</f>
        <v>0.02</v>
      </c>
      <c r="H18" s="2420">
        <f t="shared" si="0"/>
        <v>0.02</v>
      </c>
      <c r="I18" s="2420">
        <f t="shared" si="0"/>
        <v>0.02</v>
      </c>
      <c r="J18" s="2420">
        <f t="shared" si="0"/>
        <v>0.02</v>
      </c>
      <c r="K18" s="2420">
        <f t="shared" si="0"/>
        <v>0.02</v>
      </c>
      <c r="L18" s="2420">
        <f t="shared" si="0"/>
        <v>0.02</v>
      </c>
      <c r="M18" s="2420">
        <f t="shared" si="0"/>
        <v>0.02</v>
      </c>
      <c r="N18" s="2420">
        <f t="shared" si="0"/>
        <v>0.02</v>
      </c>
      <c r="O18" s="2420">
        <f t="shared" si="0"/>
        <v>0.02</v>
      </c>
      <c r="P18" s="2420">
        <f t="shared" si="0"/>
        <v>0.02</v>
      </c>
      <c r="Q18" s="2420">
        <f t="shared" si="0"/>
        <v>0.02</v>
      </c>
      <c r="R18" s="2420">
        <f t="shared" si="0"/>
        <v>0.02</v>
      </c>
      <c r="S18" s="2420">
        <f t="shared" si="0"/>
        <v>0.02</v>
      </c>
      <c r="T18" s="2420">
        <f t="shared" si="0"/>
        <v>0.02</v>
      </c>
      <c r="U18" s="2420">
        <f t="shared" si="0"/>
        <v>0.02</v>
      </c>
      <c r="V18" s="2420">
        <f t="shared" si="0"/>
        <v>0.02</v>
      </c>
      <c r="W18" s="2420">
        <f t="shared" si="0"/>
        <v>0.02</v>
      </c>
      <c r="X18" s="2420">
        <f t="shared" si="0"/>
        <v>0.02</v>
      </c>
      <c r="Y18" s="2420">
        <f t="shared" si="0"/>
        <v>0.02</v>
      </c>
      <c r="Z18" s="2420">
        <f t="shared" si="0"/>
        <v>0.02</v>
      </c>
      <c r="AA18" s="2420">
        <f t="shared" si="0"/>
        <v>0.02</v>
      </c>
      <c r="AB18" s="2420">
        <f t="shared" si="0"/>
        <v>0.02</v>
      </c>
      <c r="AC18" s="2420">
        <f t="shared" si="0"/>
        <v>0.02</v>
      </c>
      <c r="AD18" s="2420">
        <f t="shared" si="0"/>
        <v>0.02</v>
      </c>
      <c r="AE18" s="2420">
        <f t="shared" si="0"/>
        <v>0.02</v>
      </c>
      <c r="AF18" s="2420">
        <f t="shared" si="0"/>
        <v>0.02</v>
      </c>
      <c r="AG18" s="2420">
        <f t="shared" si="0"/>
        <v>0.02</v>
      </c>
      <c r="AH18" s="2420">
        <f t="shared" si="0"/>
        <v>0.02</v>
      </c>
      <c r="AI18" s="2420">
        <f t="shared" si="0"/>
        <v>0.02</v>
      </c>
      <c r="AJ18" s="2420">
        <f t="shared" si="0"/>
        <v>0.02</v>
      </c>
      <c r="AK18" s="2420">
        <f t="shared" si="0"/>
        <v>0.02</v>
      </c>
      <c r="AL18" s="2420">
        <f t="shared" si="0"/>
        <v>0.02</v>
      </c>
      <c r="AM18" s="2420">
        <f t="shared" si="0"/>
        <v>0.02</v>
      </c>
      <c r="AN18" s="2420">
        <f t="shared" si="0"/>
        <v>0.02</v>
      </c>
      <c r="AO18" s="2420">
        <f t="shared" si="0"/>
        <v>0.02</v>
      </c>
      <c r="AP18" s="2420">
        <f t="shared" si="0"/>
        <v>0.02</v>
      </c>
      <c r="AQ18" s="2420">
        <f t="shared" si="0"/>
        <v>0.02</v>
      </c>
      <c r="AR18" s="2420">
        <f t="shared" si="0"/>
        <v>0.02</v>
      </c>
      <c r="AS18" s="2420">
        <f t="shared" si="0"/>
        <v>0.02</v>
      </c>
    </row>
    <row r="19" spans="2:45" x14ac:dyDescent="0.2">
      <c r="B19" s="2410"/>
      <c r="C19" s="2410"/>
      <c r="D19" s="2411"/>
      <c r="E19" s="2411"/>
      <c r="F19" s="2411"/>
      <c r="G19" s="2411"/>
      <c r="H19" s="2411"/>
      <c r="I19" s="2411"/>
      <c r="J19" s="2411"/>
      <c r="K19" s="2411"/>
      <c r="L19" s="2411"/>
      <c r="M19" s="2411"/>
      <c r="N19" s="2411"/>
      <c r="O19" s="2411"/>
      <c r="P19" s="2411"/>
      <c r="Q19" s="2411"/>
      <c r="R19" s="2411"/>
      <c r="S19" s="2411"/>
      <c r="T19" s="2411"/>
      <c r="U19" s="2411"/>
      <c r="V19" s="2411"/>
      <c r="W19" s="2411"/>
      <c r="X19" s="2411"/>
      <c r="Y19" s="2411"/>
      <c r="Z19" s="2411"/>
      <c r="AA19" s="2411"/>
      <c r="AB19" s="2411"/>
      <c r="AC19" s="2411"/>
      <c r="AD19" s="2411"/>
      <c r="AE19" s="2411"/>
      <c r="AF19" s="2411"/>
      <c r="AG19" s="2411"/>
      <c r="AH19" s="2411"/>
      <c r="AI19" s="2411"/>
      <c r="AJ19" s="2411"/>
      <c r="AK19" s="2411"/>
      <c r="AL19" s="2411"/>
      <c r="AM19" s="2411"/>
      <c r="AN19" s="2411"/>
      <c r="AO19" s="2411"/>
      <c r="AP19" s="2411"/>
      <c r="AQ19" s="2411"/>
      <c r="AR19" s="2411"/>
      <c r="AS19" s="2411"/>
    </row>
    <row r="20" spans="2:45" x14ac:dyDescent="0.2">
      <c r="B20" s="2410"/>
      <c r="C20" s="2412" t="s">
        <v>1353</v>
      </c>
      <c r="D20" s="2411"/>
      <c r="E20" s="2411"/>
      <c r="F20" s="2411"/>
      <c r="G20" s="2411"/>
      <c r="H20" s="2411"/>
      <c r="I20" s="2411"/>
      <c r="J20" s="2411"/>
      <c r="K20" s="2411"/>
      <c r="L20" s="2411"/>
      <c r="M20" s="2411"/>
      <c r="N20" s="2411"/>
      <c r="O20" s="2411"/>
      <c r="P20" s="2411"/>
      <c r="Q20" s="2411"/>
      <c r="R20" s="2411"/>
      <c r="S20" s="2411"/>
      <c r="T20" s="2411"/>
      <c r="U20" s="2411"/>
      <c r="V20" s="2411"/>
      <c r="W20" s="2411"/>
      <c r="X20" s="2411"/>
      <c r="Y20" s="2411"/>
      <c r="Z20" s="2411"/>
      <c r="AA20" s="2411"/>
      <c r="AB20" s="2411"/>
      <c r="AC20" s="2411"/>
      <c r="AD20" s="2411"/>
      <c r="AE20" s="2411"/>
      <c r="AF20" s="2411"/>
      <c r="AG20" s="2411"/>
      <c r="AH20" s="2411"/>
      <c r="AI20" s="2411"/>
      <c r="AJ20" s="2411"/>
      <c r="AK20" s="2411"/>
      <c r="AL20" s="2411"/>
      <c r="AM20" s="2411"/>
      <c r="AN20" s="2411"/>
      <c r="AO20" s="2411"/>
      <c r="AP20" s="2411"/>
      <c r="AQ20" s="2411"/>
      <c r="AR20" s="2411"/>
      <c r="AS20" s="2411"/>
    </row>
    <row r="21" spans="2:45" x14ac:dyDescent="0.2">
      <c r="B21" s="2410"/>
      <c r="C21" s="2413" t="s">
        <v>1023</v>
      </c>
      <c r="D21" s="2414" t="s">
        <v>1029</v>
      </c>
      <c r="E21" s="2414" t="s">
        <v>8</v>
      </c>
      <c r="F21" s="2414"/>
      <c r="G21" s="2414">
        <v>2012</v>
      </c>
      <c r="H21" s="2414">
        <v>2013</v>
      </c>
      <c r="I21" s="2414">
        <v>2014</v>
      </c>
      <c r="J21" s="2414">
        <v>2015</v>
      </c>
      <c r="K21" s="2414">
        <v>2016</v>
      </c>
      <c r="L21" s="2414">
        <v>2017</v>
      </c>
      <c r="M21" s="2414">
        <v>2018</v>
      </c>
      <c r="N21" s="2414">
        <v>2019</v>
      </c>
      <c r="O21" s="2414">
        <v>2020</v>
      </c>
      <c r="P21" s="2414">
        <v>2021</v>
      </c>
      <c r="Q21" s="2414">
        <v>2022</v>
      </c>
      <c r="R21" s="2414">
        <v>2023</v>
      </c>
      <c r="S21" s="2414">
        <v>2024</v>
      </c>
      <c r="T21" s="2414">
        <v>2025</v>
      </c>
      <c r="U21" s="2414">
        <v>2026</v>
      </c>
      <c r="V21" s="2414">
        <v>2027</v>
      </c>
      <c r="W21" s="2414">
        <v>2028</v>
      </c>
      <c r="X21" s="2414">
        <v>2029</v>
      </c>
      <c r="Y21" s="2414">
        <v>2030</v>
      </c>
      <c r="Z21" s="2414">
        <v>2031</v>
      </c>
      <c r="AA21" s="2414">
        <v>2032</v>
      </c>
      <c r="AB21" s="2414">
        <v>2033</v>
      </c>
      <c r="AC21" s="2414">
        <v>2034</v>
      </c>
      <c r="AD21" s="2414">
        <v>2035</v>
      </c>
      <c r="AE21" s="2414">
        <v>2036</v>
      </c>
      <c r="AF21" s="2414">
        <v>2037</v>
      </c>
      <c r="AG21" s="2414">
        <v>2038</v>
      </c>
      <c r="AH21" s="2414">
        <v>2039</v>
      </c>
      <c r="AI21" s="2414">
        <v>2040</v>
      </c>
      <c r="AJ21" s="2414">
        <v>2041</v>
      </c>
      <c r="AK21" s="2414">
        <v>2042</v>
      </c>
      <c r="AL21" s="2414">
        <v>2043</v>
      </c>
      <c r="AM21" s="2414">
        <v>2044</v>
      </c>
      <c r="AN21" s="2414">
        <v>2045</v>
      </c>
      <c r="AO21" s="2414">
        <v>2046</v>
      </c>
      <c r="AP21" s="2414">
        <v>2047</v>
      </c>
      <c r="AQ21" s="2414">
        <v>2048</v>
      </c>
      <c r="AR21" s="2414">
        <v>2049</v>
      </c>
      <c r="AS21" s="2414">
        <v>2050</v>
      </c>
    </row>
    <row r="22" spans="2:45" x14ac:dyDescent="0.2">
      <c r="B22" s="2410"/>
      <c r="C22" s="2411">
        <v>1</v>
      </c>
      <c r="D22" s="2411" t="s">
        <v>1031</v>
      </c>
      <c r="E22" s="2411" t="s">
        <v>133</v>
      </c>
      <c r="F22" s="2411"/>
      <c r="G22" s="2421">
        <v>0</v>
      </c>
      <c r="H22" s="2421">
        <v>0</v>
      </c>
      <c r="I22" s="2421">
        <v>0</v>
      </c>
      <c r="J22" s="2421">
        <v>0</v>
      </c>
      <c r="K22" s="2421">
        <v>0</v>
      </c>
      <c r="L22" s="2421">
        <v>0</v>
      </c>
      <c r="M22" s="2421">
        <v>0</v>
      </c>
      <c r="N22" s="2421">
        <v>0</v>
      </c>
      <c r="O22" s="2421">
        <v>0</v>
      </c>
      <c r="P22" s="2421">
        <v>0</v>
      </c>
      <c r="Q22" s="2421">
        <v>0</v>
      </c>
      <c r="R22" s="2421">
        <v>0</v>
      </c>
      <c r="S22" s="2421">
        <v>0</v>
      </c>
      <c r="T22" s="2421">
        <v>0</v>
      </c>
      <c r="U22" s="2421">
        <v>0</v>
      </c>
      <c r="V22" s="2421">
        <v>0</v>
      </c>
      <c r="W22" s="2421">
        <v>0</v>
      </c>
      <c r="X22" s="2421">
        <v>0</v>
      </c>
      <c r="Y22" s="2421">
        <v>0</v>
      </c>
      <c r="Z22" s="2421">
        <v>0</v>
      </c>
      <c r="AA22" s="2421">
        <v>0</v>
      </c>
      <c r="AB22" s="2421">
        <v>0</v>
      </c>
      <c r="AC22" s="2421">
        <v>0</v>
      </c>
      <c r="AD22" s="2421">
        <v>0</v>
      </c>
      <c r="AE22" s="2421">
        <v>0</v>
      </c>
      <c r="AF22" s="2421">
        <v>0</v>
      </c>
      <c r="AG22" s="2421">
        <v>0</v>
      </c>
      <c r="AH22" s="2421">
        <v>0</v>
      </c>
      <c r="AI22" s="2421">
        <v>0</v>
      </c>
      <c r="AJ22" s="2421">
        <v>0</v>
      </c>
      <c r="AK22" s="2421">
        <v>0</v>
      </c>
      <c r="AL22" s="2421">
        <v>0</v>
      </c>
      <c r="AM22" s="2421">
        <v>0</v>
      </c>
      <c r="AN22" s="2421">
        <v>0</v>
      </c>
      <c r="AO22" s="2421">
        <v>0</v>
      </c>
      <c r="AP22" s="2421">
        <v>0</v>
      </c>
      <c r="AQ22" s="2421">
        <v>0</v>
      </c>
      <c r="AR22" s="2421">
        <v>0</v>
      </c>
      <c r="AS22" s="2421">
        <v>0</v>
      </c>
    </row>
    <row r="23" spans="2:45" x14ac:dyDescent="0.2">
      <c r="B23" s="2410"/>
      <c r="C23" s="2411">
        <v>2</v>
      </c>
      <c r="D23" s="2411" t="s">
        <v>1031</v>
      </c>
      <c r="E23" s="2411" t="s">
        <v>133</v>
      </c>
      <c r="F23" s="2411"/>
      <c r="G23" s="2421">
        <v>0</v>
      </c>
      <c r="H23" s="2421">
        <v>0</v>
      </c>
      <c r="I23" s="2421">
        <v>0</v>
      </c>
      <c r="J23" s="2421">
        <v>0</v>
      </c>
      <c r="K23" s="2421">
        <v>0</v>
      </c>
      <c r="L23" s="2421">
        <v>0</v>
      </c>
      <c r="M23" s="2421">
        <v>0</v>
      </c>
      <c r="N23" s="2421">
        <v>0</v>
      </c>
      <c r="O23" s="2421">
        <v>0</v>
      </c>
      <c r="P23" s="2421">
        <v>0</v>
      </c>
      <c r="Q23" s="2421">
        <v>0</v>
      </c>
      <c r="R23" s="2421">
        <v>0</v>
      </c>
      <c r="S23" s="2421">
        <v>0</v>
      </c>
      <c r="T23" s="2421">
        <v>0</v>
      </c>
      <c r="U23" s="2421">
        <v>0</v>
      </c>
      <c r="V23" s="2421">
        <v>0</v>
      </c>
      <c r="W23" s="2421">
        <v>0</v>
      </c>
      <c r="X23" s="2421">
        <v>0</v>
      </c>
      <c r="Y23" s="2421">
        <v>0</v>
      </c>
      <c r="Z23" s="2421">
        <v>0</v>
      </c>
      <c r="AA23" s="2421">
        <v>0</v>
      </c>
      <c r="AB23" s="2421">
        <v>0</v>
      </c>
      <c r="AC23" s="2421">
        <v>0</v>
      </c>
      <c r="AD23" s="2421">
        <v>0</v>
      </c>
      <c r="AE23" s="2421">
        <v>0</v>
      </c>
      <c r="AF23" s="2421">
        <v>0</v>
      </c>
      <c r="AG23" s="2421">
        <v>0</v>
      </c>
      <c r="AH23" s="2421">
        <v>0</v>
      </c>
      <c r="AI23" s="2421">
        <v>0</v>
      </c>
      <c r="AJ23" s="2421">
        <v>0</v>
      </c>
      <c r="AK23" s="2421">
        <v>0</v>
      </c>
      <c r="AL23" s="2421">
        <v>0</v>
      </c>
      <c r="AM23" s="2421">
        <v>0</v>
      </c>
      <c r="AN23" s="2421">
        <v>0</v>
      </c>
      <c r="AO23" s="2421">
        <v>0</v>
      </c>
      <c r="AP23" s="2421">
        <v>0</v>
      </c>
      <c r="AQ23" s="2421">
        <v>0</v>
      </c>
      <c r="AR23" s="2421">
        <v>0</v>
      </c>
      <c r="AS23" s="2421">
        <v>0</v>
      </c>
    </row>
    <row r="24" spans="2:45" x14ac:dyDescent="0.2">
      <c r="B24" s="2410"/>
      <c r="C24" s="2411">
        <v>3</v>
      </c>
      <c r="D24" s="2411" t="s">
        <v>1031</v>
      </c>
      <c r="E24" s="2411" t="s">
        <v>133</v>
      </c>
      <c r="F24" s="2411"/>
      <c r="G24" s="2421">
        <v>0</v>
      </c>
      <c r="H24" s="2421">
        <v>0</v>
      </c>
      <c r="I24" s="2421">
        <v>0</v>
      </c>
      <c r="J24" s="2421">
        <v>1.1519999999999999E-2</v>
      </c>
      <c r="K24" s="2421">
        <v>2.3039999999999998E-2</v>
      </c>
      <c r="L24" s="2421">
        <v>3.4559999999999994E-2</v>
      </c>
      <c r="M24" s="2421">
        <v>4.6079999999999996E-2</v>
      </c>
      <c r="N24" s="2421">
        <v>5.7599999999999998E-2</v>
      </c>
      <c r="O24" s="2421">
        <v>6.9120000000000001E-2</v>
      </c>
      <c r="P24" s="2421">
        <v>8.0640000000000003E-2</v>
      </c>
      <c r="Q24" s="2421">
        <v>9.2159999999999992E-2</v>
      </c>
      <c r="R24" s="2421">
        <v>0.10367999999999998</v>
      </c>
      <c r="S24" s="2421">
        <v>0.11519999999999998</v>
      </c>
      <c r="T24" s="2421">
        <v>0.12671999999999997</v>
      </c>
      <c r="U24" s="2421">
        <v>0.13823999999999997</v>
      </c>
      <c r="V24" s="2421">
        <v>0.14975999999999995</v>
      </c>
      <c r="W24" s="2421">
        <v>0.16127999999999998</v>
      </c>
      <c r="X24" s="2421">
        <v>0.17279999999999998</v>
      </c>
      <c r="Y24" s="2421">
        <v>0.18431999999999998</v>
      </c>
      <c r="Z24" s="2421">
        <v>0.19583999999999999</v>
      </c>
      <c r="AA24" s="2421">
        <v>0.20736000000000002</v>
      </c>
      <c r="AB24" s="2421">
        <v>0.21888000000000002</v>
      </c>
      <c r="AC24" s="2421">
        <v>0.23040000000000002</v>
      </c>
      <c r="AD24" s="2421">
        <v>0.24192000000000002</v>
      </c>
      <c r="AE24" s="2421">
        <v>0.25344000000000005</v>
      </c>
      <c r="AF24" s="2421">
        <v>0.26496000000000008</v>
      </c>
      <c r="AG24" s="2421">
        <v>0.27648000000000006</v>
      </c>
      <c r="AH24" s="2421">
        <v>0.28800000000000009</v>
      </c>
      <c r="AI24" s="2421">
        <v>0.29952000000000006</v>
      </c>
      <c r="AJ24" s="2421">
        <v>0.29952000000000006</v>
      </c>
      <c r="AK24" s="2421">
        <v>0.29952000000000006</v>
      </c>
      <c r="AL24" s="2421">
        <v>0.29952000000000006</v>
      </c>
      <c r="AM24" s="2421">
        <v>0.29952000000000006</v>
      </c>
      <c r="AN24" s="2421">
        <v>0.29952000000000006</v>
      </c>
      <c r="AO24" s="2421">
        <v>0.29952000000000006</v>
      </c>
      <c r="AP24" s="2421">
        <v>0.29952000000000006</v>
      </c>
      <c r="AQ24" s="2421">
        <v>0.29952000000000006</v>
      </c>
      <c r="AR24" s="2421">
        <v>0.29952000000000006</v>
      </c>
      <c r="AS24" s="2421">
        <v>0.29952000000000006</v>
      </c>
    </row>
    <row r="25" spans="2:45" x14ac:dyDescent="0.2">
      <c r="B25" s="2410"/>
      <c r="C25" s="2411">
        <v>4</v>
      </c>
      <c r="D25" s="2411" t="s">
        <v>1031</v>
      </c>
      <c r="E25" s="2411" t="s">
        <v>133</v>
      </c>
      <c r="F25" s="2411"/>
      <c r="G25" s="2421">
        <v>0</v>
      </c>
      <c r="H25" s="2421">
        <v>0</v>
      </c>
      <c r="I25" s="2421">
        <v>0</v>
      </c>
      <c r="J25" s="2421">
        <v>1.8749999999999999E-2</v>
      </c>
      <c r="K25" s="2421">
        <v>3.7499999999999999E-2</v>
      </c>
      <c r="L25" s="2421">
        <v>5.6250000000000001E-2</v>
      </c>
      <c r="M25" s="2421">
        <v>7.4999999999999997E-2</v>
      </c>
      <c r="N25" s="2421">
        <v>9.375E-2</v>
      </c>
      <c r="O25" s="2421">
        <v>0.1125</v>
      </c>
      <c r="P25" s="2421">
        <v>0.13125000000000001</v>
      </c>
      <c r="Q25" s="2421">
        <v>0.15</v>
      </c>
      <c r="R25" s="2421">
        <v>0.16875000000000001</v>
      </c>
      <c r="S25" s="2421">
        <v>0.1875</v>
      </c>
      <c r="T25" s="2421">
        <v>0.20624999999999999</v>
      </c>
      <c r="U25" s="2421">
        <v>0.22500000000000001</v>
      </c>
      <c r="V25" s="2421">
        <v>0.24374999999999999</v>
      </c>
      <c r="W25" s="2421">
        <v>0.26250000000000001</v>
      </c>
      <c r="X25" s="2421">
        <v>0.28125</v>
      </c>
      <c r="Y25" s="2421">
        <v>0.3</v>
      </c>
      <c r="Z25" s="2421">
        <v>0.36</v>
      </c>
      <c r="AA25" s="2421">
        <v>0.42</v>
      </c>
      <c r="AB25" s="2421">
        <v>0.48</v>
      </c>
      <c r="AC25" s="2421">
        <v>0.54</v>
      </c>
      <c r="AD25" s="2421">
        <v>0.6</v>
      </c>
      <c r="AE25" s="2421">
        <v>0.66</v>
      </c>
      <c r="AF25" s="2421">
        <v>0.72</v>
      </c>
      <c r="AG25" s="2421">
        <v>0.78</v>
      </c>
      <c r="AH25" s="2421">
        <v>0.84</v>
      </c>
      <c r="AI25" s="2421">
        <v>0.9</v>
      </c>
      <c r="AJ25" s="2421">
        <v>0.9</v>
      </c>
      <c r="AK25" s="2421">
        <v>0.9</v>
      </c>
      <c r="AL25" s="2421">
        <v>0.9</v>
      </c>
      <c r="AM25" s="2421">
        <v>0.9</v>
      </c>
      <c r="AN25" s="2421">
        <v>0.9</v>
      </c>
      <c r="AO25" s="2421">
        <v>0.9</v>
      </c>
      <c r="AP25" s="2421">
        <v>0.9</v>
      </c>
      <c r="AQ25" s="2421">
        <v>0.9</v>
      </c>
      <c r="AR25" s="2421">
        <v>0.9</v>
      </c>
      <c r="AS25" s="2421">
        <v>0.9</v>
      </c>
    </row>
    <row r="26" spans="2:45" x14ac:dyDescent="0.2">
      <c r="B26" s="2410"/>
      <c r="C26" s="2422" t="s">
        <v>1217</v>
      </c>
      <c r="D26" s="2422" t="s">
        <v>1031</v>
      </c>
      <c r="E26" s="2422"/>
      <c r="F26" s="2422"/>
      <c r="G26" s="2423">
        <f t="shared" ref="G26:AS26" si="1">INDEX($G$22:$AS$25,$G$7,MATCH(G21,$G$21:$AS$21,0))</f>
        <v>0</v>
      </c>
      <c r="H26" s="2423">
        <f t="shared" si="1"/>
        <v>0</v>
      </c>
      <c r="I26" s="2423">
        <f t="shared" si="1"/>
        <v>0</v>
      </c>
      <c r="J26" s="2423">
        <f t="shared" si="1"/>
        <v>0</v>
      </c>
      <c r="K26" s="2423">
        <f t="shared" si="1"/>
        <v>0</v>
      </c>
      <c r="L26" s="2423">
        <f t="shared" si="1"/>
        <v>0</v>
      </c>
      <c r="M26" s="2423">
        <f t="shared" si="1"/>
        <v>0</v>
      </c>
      <c r="N26" s="2423">
        <f t="shared" si="1"/>
        <v>0</v>
      </c>
      <c r="O26" s="2423">
        <f t="shared" si="1"/>
        <v>0</v>
      </c>
      <c r="P26" s="2423">
        <f t="shared" si="1"/>
        <v>0</v>
      </c>
      <c r="Q26" s="2423">
        <f t="shared" si="1"/>
        <v>0</v>
      </c>
      <c r="R26" s="2423">
        <f t="shared" si="1"/>
        <v>0</v>
      </c>
      <c r="S26" s="2423">
        <f t="shared" si="1"/>
        <v>0</v>
      </c>
      <c r="T26" s="2423">
        <f t="shared" si="1"/>
        <v>0</v>
      </c>
      <c r="U26" s="2423">
        <f t="shared" si="1"/>
        <v>0</v>
      </c>
      <c r="V26" s="2423">
        <f t="shared" si="1"/>
        <v>0</v>
      </c>
      <c r="W26" s="2423">
        <f t="shared" si="1"/>
        <v>0</v>
      </c>
      <c r="X26" s="2423">
        <f t="shared" si="1"/>
        <v>0</v>
      </c>
      <c r="Y26" s="2423">
        <f t="shared" si="1"/>
        <v>0</v>
      </c>
      <c r="Z26" s="2423">
        <f t="shared" si="1"/>
        <v>0</v>
      </c>
      <c r="AA26" s="2423">
        <f t="shared" si="1"/>
        <v>0</v>
      </c>
      <c r="AB26" s="2423">
        <f t="shared" si="1"/>
        <v>0</v>
      </c>
      <c r="AC26" s="2423">
        <f t="shared" si="1"/>
        <v>0</v>
      </c>
      <c r="AD26" s="2423">
        <f t="shared" si="1"/>
        <v>0</v>
      </c>
      <c r="AE26" s="2423">
        <f t="shared" si="1"/>
        <v>0</v>
      </c>
      <c r="AF26" s="2423">
        <f t="shared" si="1"/>
        <v>0</v>
      </c>
      <c r="AG26" s="2423">
        <f t="shared" si="1"/>
        <v>0</v>
      </c>
      <c r="AH26" s="2423">
        <f t="shared" si="1"/>
        <v>0</v>
      </c>
      <c r="AI26" s="2423">
        <f t="shared" si="1"/>
        <v>0</v>
      </c>
      <c r="AJ26" s="2423">
        <f t="shared" si="1"/>
        <v>0</v>
      </c>
      <c r="AK26" s="2423">
        <f t="shared" si="1"/>
        <v>0</v>
      </c>
      <c r="AL26" s="2423">
        <f t="shared" si="1"/>
        <v>0</v>
      </c>
      <c r="AM26" s="2423">
        <f t="shared" si="1"/>
        <v>0</v>
      </c>
      <c r="AN26" s="2423">
        <f t="shared" si="1"/>
        <v>0</v>
      </c>
      <c r="AO26" s="2423">
        <f t="shared" si="1"/>
        <v>0</v>
      </c>
      <c r="AP26" s="2423">
        <f t="shared" si="1"/>
        <v>0</v>
      </c>
      <c r="AQ26" s="2423">
        <f t="shared" si="1"/>
        <v>0</v>
      </c>
      <c r="AR26" s="2423">
        <f t="shared" si="1"/>
        <v>0</v>
      </c>
      <c r="AS26" s="2423">
        <f t="shared" si="1"/>
        <v>0</v>
      </c>
    </row>
    <row r="27" spans="2:45" x14ac:dyDescent="0.2">
      <c r="B27" s="2410"/>
      <c r="C27" s="2412"/>
      <c r="D27" s="2412"/>
      <c r="E27" s="2412"/>
      <c r="F27" s="2412"/>
      <c r="G27" s="2412"/>
      <c r="H27" s="2412"/>
      <c r="I27" s="2412"/>
      <c r="J27" s="2412"/>
      <c r="K27" s="2412"/>
      <c r="L27" s="2412"/>
      <c r="M27" s="2412"/>
      <c r="N27" s="2412"/>
      <c r="O27" s="2412"/>
      <c r="P27" s="2412"/>
      <c r="Q27" s="2412"/>
      <c r="R27" s="2412"/>
      <c r="S27" s="2412"/>
      <c r="T27" s="2412"/>
      <c r="U27" s="2412"/>
      <c r="V27" s="2412"/>
      <c r="W27" s="2412"/>
      <c r="X27" s="2412"/>
      <c r="Y27" s="2412"/>
      <c r="Z27" s="2412"/>
      <c r="AA27" s="2412"/>
      <c r="AB27" s="2412"/>
      <c r="AC27" s="2412"/>
      <c r="AD27" s="2412"/>
      <c r="AE27" s="2412"/>
      <c r="AF27" s="2412"/>
      <c r="AG27" s="2412"/>
      <c r="AH27" s="2412"/>
      <c r="AI27" s="2412"/>
      <c r="AJ27" s="2412"/>
      <c r="AK27" s="2412"/>
      <c r="AL27" s="2412"/>
      <c r="AM27" s="2412"/>
      <c r="AN27" s="2412"/>
      <c r="AO27" s="2412"/>
      <c r="AP27" s="2412"/>
      <c r="AQ27" s="2412"/>
      <c r="AR27" s="2412"/>
      <c r="AS27" s="2412"/>
    </row>
    <row r="28" spans="2:45" x14ac:dyDescent="0.2">
      <c r="B28" s="2410"/>
      <c r="C28" s="2412" t="s">
        <v>1354</v>
      </c>
      <c r="D28" s="2412"/>
      <c r="E28" s="2412"/>
      <c r="F28" s="2412"/>
      <c r="G28" s="2412"/>
      <c r="H28" s="2412"/>
      <c r="I28" s="2412"/>
      <c r="J28" s="2412"/>
      <c r="K28" s="2412"/>
      <c r="L28" s="2412"/>
      <c r="M28" s="2412"/>
      <c r="N28" s="2412"/>
      <c r="O28" s="2412"/>
      <c r="P28" s="2412"/>
      <c r="Q28" s="2412"/>
      <c r="R28" s="2412"/>
      <c r="S28" s="2412"/>
      <c r="T28" s="2412"/>
      <c r="U28" s="2412"/>
      <c r="V28" s="2412"/>
      <c r="W28" s="2412"/>
      <c r="X28" s="2412"/>
      <c r="Y28" s="2412"/>
      <c r="Z28" s="2412"/>
      <c r="AA28" s="2412"/>
      <c r="AB28" s="2412"/>
      <c r="AC28" s="2412"/>
      <c r="AD28" s="2412"/>
      <c r="AE28" s="2412"/>
      <c r="AF28" s="2412"/>
      <c r="AG28" s="2412"/>
      <c r="AH28" s="2412"/>
      <c r="AI28" s="2412"/>
      <c r="AJ28" s="2412"/>
      <c r="AK28" s="2412"/>
      <c r="AL28" s="2412"/>
      <c r="AM28" s="2412"/>
      <c r="AN28" s="2412"/>
      <c r="AO28" s="2412"/>
      <c r="AP28" s="2412"/>
      <c r="AQ28" s="2412"/>
      <c r="AR28" s="2412"/>
      <c r="AS28" s="2412"/>
    </row>
    <row r="29" spans="2:45" x14ac:dyDescent="0.2">
      <c r="B29" s="2410"/>
      <c r="C29" s="2413" t="s">
        <v>1023</v>
      </c>
      <c r="D29" s="2414" t="s">
        <v>1029</v>
      </c>
      <c r="E29" s="2414" t="s">
        <v>8</v>
      </c>
      <c r="F29" s="2414"/>
      <c r="G29" s="2414">
        <v>2012</v>
      </c>
      <c r="H29" s="2414">
        <v>2013</v>
      </c>
      <c r="I29" s="2414">
        <v>2014</v>
      </c>
      <c r="J29" s="2414">
        <v>2015</v>
      </c>
      <c r="K29" s="2414">
        <v>2016</v>
      </c>
      <c r="L29" s="2414">
        <v>2017</v>
      </c>
      <c r="M29" s="2414">
        <v>2018</v>
      </c>
      <c r="N29" s="2414">
        <v>2019</v>
      </c>
      <c r="O29" s="2414">
        <v>2020</v>
      </c>
      <c r="P29" s="2414">
        <v>2021</v>
      </c>
      <c r="Q29" s="2414">
        <v>2022</v>
      </c>
      <c r="R29" s="2414">
        <v>2023</v>
      </c>
      <c r="S29" s="2414">
        <v>2024</v>
      </c>
      <c r="T29" s="2414">
        <v>2025</v>
      </c>
      <c r="U29" s="2414">
        <v>2026</v>
      </c>
      <c r="V29" s="2414">
        <v>2027</v>
      </c>
      <c r="W29" s="2414">
        <v>2028</v>
      </c>
      <c r="X29" s="2414">
        <v>2029</v>
      </c>
      <c r="Y29" s="2414">
        <v>2030</v>
      </c>
      <c r="Z29" s="2414">
        <v>2031</v>
      </c>
      <c r="AA29" s="2414">
        <v>2032</v>
      </c>
      <c r="AB29" s="2414">
        <v>2033</v>
      </c>
      <c r="AC29" s="2414">
        <v>2034</v>
      </c>
      <c r="AD29" s="2414">
        <v>2035</v>
      </c>
      <c r="AE29" s="2414">
        <v>2036</v>
      </c>
      <c r="AF29" s="2414">
        <v>2037</v>
      </c>
      <c r="AG29" s="2414">
        <v>2038</v>
      </c>
      <c r="AH29" s="2414">
        <v>2039</v>
      </c>
      <c r="AI29" s="2414">
        <v>2040</v>
      </c>
      <c r="AJ29" s="2414">
        <v>2041</v>
      </c>
      <c r="AK29" s="2414">
        <v>2042</v>
      </c>
      <c r="AL29" s="2414">
        <v>2043</v>
      </c>
      <c r="AM29" s="2414">
        <v>2044</v>
      </c>
      <c r="AN29" s="2414">
        <v>2045</v>
      </c>
      <c r="AO29" s="2414">
        <v>2046</v>
      </c>
      <c r="AP29" s="2414">
        <v>2047</v>
      </c>
      <c r="AQ29" s="2414">
        <v>2048</v>
      </c>
      <c r="AR29" s="2414">
        <v>2049</v>
      </c>
      <c r="AS29" s="2414">
        <v>2050</v>
      </c>
    </row>
    <row r="30" spans="2:45" x14ac:dyDescent="0.2">
      <c r="B30" s="2410"/>
      <c r="C30" s="2415">
        <v>1</v>
      </c>
      <c r="D30" s="2415" t="s">
        <v>1031</v>
      </c>
      <c r="E30" s="2411" t="s">
        <v>136</v>
      </c>
      <c r="F30" s="2411"/>
      <c r="G30" s="2416">
        <v>0</v>
      </c>
      <c r="H30" s="2416">
        <v>0</v>
      </c>
      <c r="I30" s="2416">
        <v>0</v>
      </c>
      <c r="J30" s="2416">
        <v>0</v>
      </c>
      <c r="K30" s="2416">
        <v>0</v>
      </c>
      <c r="L30" s="2416">
        <v>0</v>
      </c>
      <c r="M30" s="2416">
        <v>0</v>
      </c>
      <c r="N30" s="2416">
        <v>0</v>
      </c>
      <c r="O30" s="2416">
        <v>0</v>
      </c>
      <c r="P30" s="2416">
        <v>0</v>
      </c>
      <c r="Q30" s="2416">
        <v>0</v>
      </c>
      <c r="R30" s="2416">
        <v>0</v>
      </c>
      <c r="S30" s="2416">
        <v>0</v>
      </c>
      <c r="T30" s="2416">
        <v>0</v>
      </c>
      <c r="U30" s="2416">
        <v>0</v>
      </c>
      <c r="V30" s="2416">
        <v>0</v>
      </c>
      <c r="W30" s="2416">
        <v>0</v>
      </c>
      <c r="X30" s="2416">
        <v>0</v>
      </c>
      <c r="Y30" s="2416">
        <v>0</v>
      </c>
      <c r="Z30" s="2416">
        <v>0</v>
      </c>
      <c r="AA30" s="2416">
        <v>0</v>
      </c>
      <c r="AB30" s="2416">
        <v>0</v>
      </c>
      <c r="AC30" s="2416">
        <v>0</v>
      </c>
      <c r="AD30" s="2416">
        <v>0</v>
      </c>
      <c r="AE30" s="2416">
        <v>0</v>
      </c>
      <c r="AF30" s="2416">
        <v>0</v>
      </c>
      <c r="AG30" s="2416">
        <v>0</v>
      </c>
      <c r="AH30" s="2416">
        <v>0</v>
      </c>
      <c r="AI30" s="2416">
        <v>0</v>
      </c>
      <c r="AJ30" s="2416">
        <v>0</v>
      </c>
      <c r="AK30" s="2416">
        <v>0</v>
      </c>
      <c r="AL30" s="2416">
        <v>0</v>
      </c>
      <c r="AM30" s="2416">
        <v>0</v>
      </c>
      <c r="AN30" s="2416">
        <v>0</v>
      </c>
      <c r="AO30" s="2416">
        <v>0</v>
      </c>
      <c r="AP30" s="2416">
        <v>0</v>
      </c>
      <c r="AQ30" s="2416">
        <v>0</v>
      </c>
      <c r="AR30" s="2416">
        <v>0</v>
      </c>
      <c r="AS30" s="2416">
        <v>0</v>
      </c>
    </row>
    <row r="31" spans="2:45" x14ac:dyDescent="0.2">
      <c r="B31" s="2410"/>
      <c r="C31" s="2415">
        <v>2</v>
      </c>
      <c r="D31" s="2415" t="s">
        <v>1031</v>
      </c>
      <c r="E31" s="2411" t="s">
        <v>136</v>
      </c>
      <c r="F31" s="2411"/>
      <c r="G31" s="2416">
        <v>0</v>
      </c>
      <c r="H31" s="2416">
        <v>0</v>
      </c>
      <c r="I31" s="2416">
        <v>0</v>
      </c>
      <c r="J31" s="2416">
        <v>0</v>
      </c>
      <c r="K31" s="2416">
        <v>0</v>
      </c>
      <c r="L31" s="2416">
        <v>0</v>
      </c>
      <c r="M31" s="2416">
        <v>0</v>
      </c>
      <c r="N31" s="2416">
        <v>0</v>
      </c>
      <c r="O31" s="2416">
        <v>0</v>
      </c>
      <c r="P31" s="2416">
        <v>0</v>
      </c>
      <c r="Q31" s="2416">
        <v>0</v>
      </c>
      <c r="R31" s="2416">
        <v>0</v>
      </c>
      <c r="S31" s="2416">
        <v>0</v>
      </c>
      <c r="T31" s="2416">
        <v>0</v>
      </c>
      <c r="U31" s="2416">
        <v>0</v>
      </c>
      <c r="V31" s="2416">
        <v>0</v>
      </c>
      <c r="W31" s="2416">
        <v>0</v>
      </c>
      <c r="X31" s="2416">
        <v>0</v>
      </c>
      <c r="Y31" s="2416">
        <v>0</v>
      </c>
      <c r="Z31" s="2416">
        <v>0</v>
      </c>
      <c r="AA31" s="2416">
        <v>0</v>
      </c>
      <c r="AB31" s="2416">
        <v>0</v>
      </c>
      <c r="AC31" s="2416">
        <v>0</v>
      </c>
      <c r="AD31" s="2416">
        <v>0</v>
      </c>
      <c r="AE31" s="2416">
        <v>0</v>
      </c>
      <c r="AF31" s="2416">
        <v>0</v>
      </c>
      <c r="AG31" s="2416">
        <v>0</v>
      </c>
      <c r="AH31" s="2416">
        <v>0</v>
      </c>
      <c r="AI31" s="2416">
        <v>0</v>
      </c>
      <c r="AJ31" s="2416">
        <v>0</v>
      </c>
      <c r="AK31" s="2416">
        <v>0</v>
      </c>
      <c r="AL31" s="2416">
        <v>0</v>
      </c>
      <c r="AM31" s="2416">
        <v>0</v>
      </c>
      <c r="AN31" s="2416">
        <v>0</v>
      </c>
      <c r="AO31" s="2416">
        <v>0</v>
      </c>
      <c r="AP31" s="2416">
        <v>0</v>
      </c>
      <c r="AQ31" s="2416">
        <v>0</v>
      </c>
      <c r="AR31" s="2416">
        <v>0</v>
      </c>
      <c r="AS31" s="2416">
        <v>0</v>
      </c>
    </row>
    <row r="32" spans="2:45" x14ac:dyDescent="0.2">
      <c r="B32" s="2410"/>
      <c r="C32" s="2415">
        <v>3</v>
      </c>
      <c r="D32" s="2415" t="s">
        <v>1031</v>
      </c>
      <c r="E32" s="2411" t="s">
        <v>136</v>
      </c>
      <c r="F32" s="2411"/>
      <c r="G32" s="2416">
        <v>0</v>
      </c>
      <c r="H32" s="2416">
        <v>0</v>
      </c>
      <c r="I32" s="2416">
        <v>0</v>
      </c>
      <c r="J32" s="2416">
        <v>0</v>
      </c>
      <c r="K32" s="2416">
        <v>0</v>
      </c>
      <c r="L32" s="2416">
        <v>0</v>
      </c>
      <c r="M32" s="2416">
        <v>0</v>
      </c>
      <c r="N32" s="2416">
        <v>0</v>
      </c>
      <c r="O32" s="2416">
        <v>0</v>
      </c>
      <c r="P32" s="2416">
        <v>0</v>
      </c>
      <c r="Q32" s="2416">
        <v>0</v>
      </c>
      <c r="R32" s="2416">
        <v>0</v>
      </c>
      <c r="S32" s="2416">
        <v>0</v>
      </c>
      <c r="T32" s="2416">
        <v>0</v>
      </c>
      <c r="U32" s="2416">
        <v>0</v>
      </c>
      <c r="V32" s="2416">
        <v>0</v>
      </c>
      <c r="W32" s="2416">
        <v>0</v>
      </c>
      <c r="X32" s="2416">
        <v>0</v>
      </c>
      <c r="Y32" s="2416">
        <v>0</v>
      </c>
      <c r="Z32" s="2416">
        <v>0</v>
      </c>
      <c r="AA32" s="2416">
        <v>0</v>
      </c>
      <c r="AB32" s="2416">
        <v>0</v>
      </c>
      <c r="AC32" s="2416">
        <v>0</v>
      </c>
      <c r="AD32" s="2416">
        <v>0</v>
      </c>
      <c r="AE32" s="2416">
        <v>0</v>
      </c>
      <c r="AF32" s="2416">
        <v>0</v>
      </c>
      <c r="AG32" s="2416">
        <v>0</v>
      </c>
      <c r="AH32" s="2416">
        <v>0</v>
      </c>
      <c r="AI32" s="2416">
        <v>0</v>
      </c>
      <c r="AJ32" s="2416">
        <v>0</v>
      </c>
      <c r="AK32" s="2416">
        <v>0</v>
      </c>
      <c r="AL32" s="2416">
        <v>0</v>
      </c>
      <c r="AM32" s="2416">
        <v>0</v>
      </c>
      <c r="AN32" s="2416">
        <v>0</v>
      </c>
      <c r="AO32" s="2416">
        <v>0</v>
      </c>
      <c r="AP32" s="2416">
        <v>0</v>
      </c>
      <c r="AQ32" s="2416">
        <v>0</v>
      </c>
      <c r="AR32" s="2416">
        <v>0</v>
      </c>
      <c r="AS32" s="2416">
        <v>0</v>
      </c>
    </row>
    <row r="33" spans="2:45" x14ac:dyDescent="0.2">
      <c r="B33" s="2410"/>
      <c r="C33" s="2418">
        <v>4</v>
      </c>
      <c r="D33" s="2415" t="s">
        <v>1031</v>
      </c>
      <c r="E33" s="2411" t="s">
        <v>136</v>
      </c>
      <c r="F33" s="2424"/>
      <c r="G33" s="2425">
        <v>0</v>
      </c>
      <c r="H33" s="2425">
        <v>0</v>
      </c>
      <c r="I33" s="2425">
        <v>0</v>
      </c>
      <c r="J33" s="2416">
        <v>0.01</v>
      </c>
      <c r="K33" s="2416">
        <v>0.01</v>
      </c>
      <c r="L33" s="2416">
        <v>0.01</v>
      </c>
      <c r="M33" s="2416">
        <v>0.01</v>
      </c>
      <c r="N33" s="2416">
        <v>0.02</v>
      </c>
      <c r="O33" s="2416">
        <v>0.02</v>
      </c>
      <c r="P33" s="2416">
        <v>0.02</v>
      </c>
      <c r="Q33" s="2416">
        <v>0.02</v>
      </c>
      <c r="R33" s="2416">
        <v>0.03</v>
      </c>
      <c r="S33" s="2416">
        <v>0.03</v>
      </c>
      <c r="T33" s="2416">
        <v>0.03</v>
      </c>
      <c r="U33" s="2416">
        <v>0.03</v>
      </c>
      <c r="V33" s="2416">
        <v>0.04</v>
      </c>
      <c r="W33" s="2416">
        <v>0.04</v>
      </c>
      <c r="X33" s="2416">
        <v>0.04</v>
      </c>
      <c r="Y33" s="2416">
        <v>0.04</v>
      </c>
      <c r="Z33" s="2416">
        <v>0.05</v>
      </c>
      <c r="AA33" s="2416">
        <v>0.05</v>
      </c>
      <c r="AB33" s="2416">
        <v>0.05</v>
      </c>
      <c r="AC33" s="2416">
        <v>0.05</v>
      </c>
      <c r="AD33" s="2416">
        <v>0.05</v>
      </c>
      <c r="AE33" s="2416">
        <v>0.05</v>
      </c>
      <c r="AF33" s="2416">
        <v>0.05</v>
      </c>
      <c r="AG33" s="2416">
        <v>0.05</v>
      </c>
      <c r="AH33" s="2416">
        <v>0.05</v>
      </c>
      <c r="AI33" s="2416">
        <v>0.05</v>
      </c>
      <c r="AJ33" s="2416">
        <v>0.05</v>
      </c>
      <c r="AK33" s="2416">
        <v>0.05</v>
      </c>
      <c r="AL33" s="2416">
        <v>0.05</v>
      </c>
      <c r="AM33" s="2416">
        <v>0.05</v>
      </c>
      <c r="AN33" s="2416">
        <v>0.05</v>
      </c>
      <c r="AO33" s="2416">
        <v>0.05</v>
      </c>
      <c r="AP33" s="2416">
        <v>0.05</v>
      </c>
      <c r="AQ33" s="2416">
        <v>0.05</v>
      </c>
      <c r="AR33" s="2416">
        <v>0.05</v>
      </c>
      <c r="AS33" s="2416">
        <v>0.05</v>
      </c>
    </row>
    <row r="34" spans="2:45" x14ac:dyDescent="0.2">
      <c r="B34" s="2410"/>
      <c r="C34" s="2422" t="s">
        <v>1217</v>
      </c>
      <c r="D34" s="2422" t="s">
        <v>1031</v>
      </c>
      <c r="E34" s="2426"/>
      <c r="F34" s="2427"/>
      <c r="G34" s="2235">
        <f t="shared" ref="G34:AS34" si="2">INDEX($G$30:$AS$33,$G$7,MATCH(G29,$G$29:$AS$29,0))</f>
        <v>0</v>
      </c>
      <c r="H34" s="2235">
        <f t="shared" si="2"/>
        <v>0</v>
      </c>
      <c r="I34" s="2235">
        <f t="shared" si="2"/>
        <v>0</v>
      </c>
      <c r="J34" s="2235">
        <f t="shared" si="2"/>
        <v>0</v>
      </c>
      <c r="K34" s="2235">
        <f t="shared" si="2"/>
        <v>0</v>
      </c>
      <c r="L34" s="2235">
        <f t="shared" si="2"/>
        <v>0</v>
      </c>
      <c r="M34" s="2235">
        <f t="shared" si="2"/>
        <v>0</v>
      </c>
      <c r="N34" s="2235">
        <f t="shared" si="2"/>
        <v>0</v>
      </c>
      <c r="O34" s="2235">
        <f t="shared" si="2"/>
        <v>0</v>
      </c>
      <c r="P34" s="2235">
        <f t="shared" si="2"/>
        <v>0</v>
      </c>
      <c r="Q34" s="2235">
        <f t="shared" si="2"/>
        <v>0</v>
      </c>
      <c r="R34" s="2235">
        <f t="shared" si="2"/>
        <v>0</v>
      </c>
      <c r="S34" s="2235">
        <f t="shared" si="2"/>
        <v>0</v>
      </c>
      <c r="T34" s="2235">
        <f t="shared" si="2"/>
        <v>0</v>
      </c>
      <c r="U34" s="2235">
        <f t="shared" si="2"/>
        <v>0</v>
      </c>
      <c r="V34" s="2235">
        <f t="shared" si="2"/>
        <v>0</v>
      </c>
      <c r="W34" s="2235">
        <f t="shared" si="2"/>
        <v>0</v>
      </c>
      <c r="X34" s="2235">
        <f t="shared" si="2"/>
        <v>0</v>
      </c>
      <c r="Y34" s="2235">
        <f t="shared" si="2"/>
        <v>0</v>
      </c>
      <c r="Z34" s="2235">
        <f t="shared" si="2"/>
        <v>0</v>
      </c>
      <c r="AA34" s="2235">
        <f t="shared" si="2"/>
        <v>0</v>
      </c>
      <c r="AB34" s="2235">
        <f t="shared" si="2"/>
        <v>0</v>
      </c>
      <c r="AC34" s="2235">
        <f t="shared" si="2"/>
        <v>0</v>
      </c>
      <c r="AD34" s="2235">
        <f t="shared" si="2"/>
        <v>0</v>
      </c>
      <c r="AE34" s="2235">
        <f t="shared" si="2"/>
        <v>0</v>
      </c>
      <c r="AF34" s="2235">
        <f t="shared" si="2"/>
        <v>0</v>
      </c>
      <c r="AG34" s="2235">
        <f t="shared" si="2"/>
        <v>0</v>
      </c>
      <c r="AH34" s="2235">
        <f t="shared" si="2"/>
        <v>0</v>
      </c>
      <c r="AI34" s="2235">
        <f t="shared" si="2"/>
        <v>0</v>
      </c>
      <c r="AJ34" s="2235">
        <f t="shared" si="2"/>
        <v>0</v>
      </c>
      <c r="AK34" s="2235">
        <f t="shared" si="2"/>
        <v>0</v>
      </c>
      <c r="AL34" s="2235">
        <f t="shared" si="2"/>
        <v>0</v>
      </c>
      <c r="AM34" s="2235">
        <f t="shared" si="2"/>
        <v>0</v>
      </c>
      <c r="AN34" s="2235">
        <f t="shared" si="2"/>
        <v>0</v>
      </c>
      <c r="AO34" s="2235">
        <f t="shared" si="2"/>
        <v>0</v>
      </c>
      <c r="AP34" s="2235">
        <f t="shared" si="2"/>
        <v>0</v>
      </c>
      <c r="AQ34" s="2235">
        <f t="shared" si="2"/>
        <v>0</v>
      </c>
      <c r="AR34" s="2235">
        <f t="shared" si="2"/>
        <v>0</v>
      </c>
      <c r="AS34" s="2235">
        <f t="shared" si="2"/>
        <v>0</v>
      </c>
    </row>
    <row r="35" spans="2:45" x14ac:dyDescent="0.2">
      <c r="B35" s="2410"/>
      <c r="C35" s="2412"/>
      <c r="D35" s="2412"/>
      <c r="E35" s="2412"/>
      <c r="F35" s="2412"/>
      <c r="G35" s="2412"/>
      <c r="H35" s="2412"/>
      <c r="I35" s="2412"/>
      <c r="J35" s="2412"/>
      <c r="K35" s="2412"/>
      <c r="L35" s="2412"/>
      <c r="M35" s="2412"/>
      <c r="N35" s="2412"/>
      <c r="O35" s="2412"/>
      <c r="P35" s="2412"/>
      <c r="Q35" s="2412"/>
      <c r="R35" s="2412"/>
      <c r="S35" s="2412"/>
      <c r="T35" s="2412"/>
      <c r="U35" s="2412"/>
      <c r="V35" s="2412"/>
      <c r="W35" s="2412"/>
      <c r="X35" s="2412"/>
      <c r="Y35" s="2412"/>
      <c r="Z35" s="2412"/>
      <c r="AA35" s="2412"/>
      <c r="AB35" s="2412"/>
      <c r="AC35" s="2412"/>
      <c r="AD35" s="2412"/>
      <c r="AE35" s="2412"/>
      <c r="AF35" s="2412"/>
      <c r="AG35" s="2412"/>
      <c r="AH35" s="2412"/>
      <c r="AI35" s="2412"/>
      <c r="AJ35" s="2412"/>
      <c r="AK35" s="2412"/>
      <c r="AL35" s="2412"/>
      <c r="AM35" s="2412"/>
      <c r="AN35" s="2412"/>
      <c r="AO35" s="2412"/>
      <c r="AP35" s="2412"/>
      <c r="AQ35" s="2412"/>
      <c r="AR35" s="2412"/>
      <c r="AS35" s="2412"/>
    </row>
    <row r="36" spans="2:45" x14ac:dyDescent="0.2">
      <c r="B36" s="2410"/>
      <c r="C36" s="2412"/>
      <c r="D36" s="2412"/>
      <c r="E36" s="2412"/>
      <c r="F36" s="2412"/>
      <c r="G36" s="2412"/>
      <c r="H36" s="2412"/>
      <c r="I36" s="2412"/>
      <c r="J36" s="2412"/>
      <c r="K36" s="2412"/>
      <c r="L36" s="2412"/>
      <c r="M36" s="2412"/>
      <c r="N36" s="2412"/>
      <c r="O36" s="2412"/>
      <c r="P36" s="2412"/>
      <c r="Q36" s="2412"/>
      <c r="R36" s="2412"/>
      <c r="S36" s="2412"/>
      <c r="T36" s="2412"/>
      <c r="U36" s="2412"/>
      <c r="V36" s="2412"/>
      <c r="W36" s="2412"/>
      <c r="X36" s="2412"/>
      <c r="Y36" s="2412"/>
      <c r="Z36" s="2412"/>
      <c r="AA36" s="2412"/>
      <c r="AB36" s="2412"/>
      <c r="AC36" s="2412"/>
      <c r="AD36" s="2412"/>
      <c r="AE36" s="2412"/>
      <c r="AF36" s="2412"/>
      <c r="AG36" s="2412"/>
      <c r="AH36" s="2412"/>
      <c r="AI36" s="2412"/>
      <c r="AJ36" s="2412"/>
      <c r="AK36" s="2412"/>
      <c r="AL36" s="2412"/>
      <c r="AM36" s="2412"/>
      <c r="AN36" s="2412"/>
      <c r="AO36" s="2412"/>
      <c r="AP36" s="2412"/>
      <c r="AQ36" s="2412"/>
      <c r="AR36" s="2412"/>
      <c r="AS36" s="2412"/>
    </row>
    <row r="37" spans="2:45" x14ac:dyDescent="0.2">
      <c r="B37" s="2410"/>
      <c r="C37" s="2412"/>
      <c r="D37" s="2412"/>
      <c r="E37" s="2412"/>
      <c r="F37" s="2412"/>
      <c r="G37" s="2412"/>
      <c r="H37" s="2412"/>
      <c r="I37" s="2412"/>
      <c r="J37" s="2412"/>
      <c r="K37" s="2412"/>
      <c r="L37" s="2412"/>
      <c r="M37" s="2412"/>
      <c r="N37" s="2412"/>
      <c r="O37" s="2412"/>
      <c r="P37" s="2412"/>
      <c r="Q37" s="2412"/>
      <c r="R37" s="2412"/>
      <c r="S37" s="2412"/>
      <c r="T37" s="2412"/>
      <c r="U37" s="2412"/>
      <c r="V37" s="2412"/>
      <c r="W37" s="2412"/>
      <c r="X37" s="2412"/>
      <c r="Y37" s="2412"/>
      <c r="Z37" s="2412"/>
      <c r="AA37" s="2412"/>
      <c r="AB37" s="2412"/>
      <c r="AC37" s="2412"/>
      <c r="AD37" s="2412"/>
      <c r="AE37" s="2412"/>
      <c r="AF37" s="2412"/>
      <c r="AG37" s="2412"/>
      <c r="AH37" s="2412"/>
      <c r="AI37" s="2412"/>
      <c r="AJ37" s="2412"/>
      <c r="AK37" s="2412"/>
      <c r="AL37" s="2412"/>
      <c r="AM37" s="2412"/>
      <c r="AN37" s="2412"/>
      <c r="AO37" s="2412"/>
      <c r="AP37" s="2412"/>
      <c r="AQ37" s="2412"/>
      <c r="AR37" s="2412"/>
      <c r="AS37" s="2412"/>
    </row>
    <row r="38" spans="2:45" x14ac:dyDescent="0.2">
      <c r="B38" s="2410" t="s">
        <v>1219</v>
      </c>
      <c r="C38" s="2412" t="s">
        <v>1355</v>
      </c>
      <c r="D38" s="2412"/>
      <c r="E38" s="2412"/>
      <c r="F38" s="2412"/>
      <c r="G38" s="2412"/>
      <c r="H38" s="2412"/>
      <c r="I38" s="2412"/>
      <c r="J38" s="2412"/>
      <c r="K38" s="2412"/>
      <c r="L38" s="2412"/>
      <c r="M38" s="2412"/>
      <c r="N38" s="2412"/>
      <c r="O38" s="2412"/>
      <c r="P38" s="2412"/>
      <c r="Q38" s="2412"/>
      <c r="R38" s="2412"/>
      <c r="S38" s="2412"/>
      <c r="T38" s="2412"/>
      <c r="U38" s="2412"/>
      <c r="V38" s="2412"/>
      <c r="W38" s="2412"/>
      <c r="X38" s="2412"/>
      <c r="Y38" s="2412"/>
      <c r="Z38" s="2412"/>
      <c r="AA38" s="2412"/>
      <c r="AB38" s="2412"/>
      <c r="AC38" s="2412"/>
      <c r="AD38" s="2412"/>
      <c r="AE38" s="2412"/>
      <c r="AF38" s="2412"/>
      <c r="AG38" s="2412"/>
      <c r="AH38" s="2412"/>
      <c r="AI38" s="2412"/>
      <c r="AJ38" s="2412"/>
      <c r="AK38" s="2412"/>
      <c r="AL38" s="2412"/>
      <c r="AM38" s="2412"/>
      <c r="AN38" s="2412"/>
      <c r="AO38" s="2412"/>
      <c r="AP38" s="2412"/>
      <c r="AQ38" s="2412"/>
      <c r="AR38" s="2412"/>
      <c r="AS38" s="2412"/>
    </row>
    <row r="39" spans="2:45" x14ac:dyDescent="0.2">
      <c r="B39" s="2410"/>
      <c r="C39" s="2413" t="s">
        <v>1023</v>
      </c>
      <c r="D39" s="2414" t="s">
        <v>1029</v>
      </c>
      <c r="E39" s="2414" t="s">
        <v>8</v>
      </c>
      <c r="F39" s="2414"/>
      <c r="G39" s="2414">
        <v>2012</v>
      </c>
      <c r="H39" s="2414">
        <v>2013</v>
      </c>
      <c r="I39" s="2414">
        <v>2014</v>
      </c>
      <c r="J39" s="2414">
        <v>2015</v>
      </c>
      <c r="K39" s="2414">
        <v>2016</v>
      </c>
      <c r="L39" s="2414">
        <v>2017</v>
      </c>
      <c r="M39" s="2414">
        <v>2018</v>
      </c>
      <c r="N39" s="2414">
        <v>2019</v>
      </c>
      <c r="O39" s="2414">
        <v>2020</v>
      </c>
      <c r="P39" s="2414">
        <v>2021</v>
      </c>
      <c r="Q39" s="2414">
        <v>2022</v>
      </c>
      <c r="R39" s="2414">
        <v>2023</v>
      </c>
      <c r="S39" s="2414">
        <v>2024</v>
      </c>
      <c r="T39" s="2414">
        <v>2025</v>
      </c>
      <c r="U39" s="2414">
        <v>2026</v>
      </c>
      <c r="V39" s="2414">
        <v>2027</v>
      </c>
      <c r="W39" s="2414">
        <v>2028</v>
      </c>
      <c r="X39" s="2414">
        <v>2029</v>
      </c>
      <c r="Y39" s="2414">
        <v>2030</v>
      </c>
      <c r="Z39" s="2414">
        <v>2031</v>
      </c>
      <c r="AA39" s="2414">
        <v>2032</v>
      </c>
      <c r="AB39" s="2414">
        <v>2033</v>
      </c>
      <c r="AC39" s="2414">
        <v>2034</v>
      </c>
      <c r="AD39" s="2414">
        <v>2035</v>
      </c>
      <c r="AE39" s="2414">
        <v>2036</v>
      </c>
      <c r="AF39" s="2414">
        <v>2037</v>
      </c>
      <c r="AG39" s="2414">
        <v>2038</v>
      </c>
      <c r="AH39" s="2414">
        <v>2039</v>
      </c>
      <c r="AI39" s="2414">
        <v>2040</v>
      </c>
      <c r="AJ39" s="2414">
        <v>2041</v>
      </c>
      <c r="AK39" s="2414">
        <v>2042</v>
      </c>
      <c r="AL39" s="2414">
        <v>2043</v>
      </c>
      <c r="AM39" s="2414">
        <v>2044</v>
      </c>
      <c r="AN39" s="2414">
        <v>2045</v>
      </c>
      <c r="AO39" s="2414">
        <v>2046</v>
      </c>
      <c r="AP39" s="2414">
        <v>2047</v>
      </c>
      <c r="AQ39" s="2414">
        <v>2048</v>
      </c>
      <c r="AR39" s="2414">
        <v>2049</v>
      </c>
      <c r="AS39" s="2414">
        <v>2050</v>
      </c>
    </row>
    <row r="40" spans="2:45" x14ac:dyDescent="0.2">
      <c r="B40" s="2410"/>
      <c r="C40" s="2415">
        <v>1</v>
      </c>
      <c r="D40" s="2415" t="s">
        <v>1031</v>
      </c>
      <c r="E40" s="2415" t="s">
        <v>317</v>
      </c>
      <c r="F40" s="2415"/>
      <c r="G40" s="2416">
        <v>2.5300000000000001E-3</v>
      </c>
      <c r="H40" s="2416">
        <v>2.7213750000000002E-2</v>
      </c>
      <c r="I40" s="2416">
        <v>5.1897499999999999E-2</v>
      </c>
      <c r="J40" s="2416">
        <v>7.6581250000000003E-2</v>
      </c>
      <c r="K40" s="2416">
        <v>0.10126499999999999</v>
      </c>
      <c r="L40" s="2416">
        <v>0.12594875</v>
      </c>
      <c r="M40" s="2416">
        <v>0.1506325</v>
      </c>
      <c r="N40" s="2416">
        <v>0.17531624999999998</v>
      </c>
      <c r="O40" s="2416">
        <v>0.2</v>
      </c>
      <c r="P40" s="2416">
        <v>0.21</v>
      </c>
      <c r="Q40" s="2416">
        <v>0.22</v>
      </c>
      <c r="R40" s="2416">
        <v>0.23</v>
      </c>
      <c r="S40" s="2416">
        <v>0.24</v>
      </c>
      <c r="T40" s="2416">
        <v>0.25</v>
      </c>
      <c r="U40" s="2416">
        <v>0.26</v>
      </c>
      <c r="V40" s="2416">
        <v>0.27</v>
      </c>
      <c r="W40" s="2416">
        <v>0.28000000000000003</v>
      </c>
      <c r="X40" s="2416">
        <v>0.28999999999999998</v>
      </c>
      <c r="Y40" s="2416">
        <v>0.3</v>
      </c>
      <c r="Z40" s="2416">
        <v>0.31</v>
      </c>
      <c r="AA40" s="2416">
        <v>0.32</v>
      </c>
      <c r="AB40" s="2416">
        <v>0.33</v>
      </c>
      <c r="AC40" s="2416">
        <v>0.34</v>
      </c>
      <c r="AD40" s="2416">
        <v>0.35</v>
      </c>
      <c r="AE40" s="2416">
        <v>0.36</v>
      </c>
      <c r="AF40" s="2416">
        <v>0.37</v>
      </c>
      <c r="AG40" s="2416">
        <v>0.38</v>
      </c>
      <c r="AH40" s="2416">
        <v>0.39</v>
      </c>
      <c r="AI40" s="2416">
        <v>0.4</v>
      </c>
      <c r="AJ40" s="2416">
        <v>0.4</v>
      </c>
      <c r="AK40" s="2416">
        <v>0.4</v>
      </c>
      <c r="AL40" s="2416">
        <v>0.4</v>
      </c>
      <c r="AM40" s="2416">
        <v>0.4</v>
      </c>
      <c r="AN40" s="2416">
        <v>0.4</v>
      </c>
      <c r="AO40" s="2416">
        <v>0.4</v>
      </c>
      <c r="AP40" s="2416">
        <v>0.4</v>
      </c>
      <c r="AQ40" s="2416">
        <v>0.4</v>
      </c>
      <c r="AR40" s="2416">
        <v>0.4</v>
      </c>
      <c r="AS40" s="2416">
        <v>0.4</v>
      </c>
    </row>
    <row r="41" spans="2:45" x14ac:dyDescent="0.2">
      <c r="B41" s="2410"/>
      <c r="C41" s="2415">
        <v>2</v>
      </c>
      <c r="D41" s="2415" t="s">
        <v>1031</v>
      </c>
      <c r="E41" s="2415" t="s">
        <v>317</v>
      </c>
      <c r="F41" s="2415"/>
      <c r="G41" s="2416">
        <v>0.02</v>
      </c>
      <c r="H41" s="2416">
        <v>0.03</v>
      </c>
      <c r="I41" s="2416">
        <v>0.04</v>
      </c>
      <c r="J41" s="2416">
        <v>0.05</v>
      </c>
      <c r="K41" s="2416">
        <v>0.06</v>
      </c>
      <c r="L41" s="2416">
        <v>7.0000000000000007E-2</v>
      </c>
      <c r="M41" s="2416">
        <v>0.08</v>
      </c>
      <c r="N41" s="2416">
        <v>0.09</v>
      </c>
      <c r="O41" s="2416">
        <v>0.1</v>
      </c>
      <c r="P41" s="2416">
        <v>0.11</v>
      </c>
      <c r="Q41" s="2416">
        <v>0.12</v>
      </c>
      <c r="R41" s="2416">
        <v>0.13</v>
      </c>
      <c r="S41" s="2416">
        <v>0.14000000000000001</v>
      </c>
      <c r="T41" s="2416">
        <v>0.15</v>
      </c>
      <c r="U41" s="2416">
        <v>0.16</v>
      </c>
      <c r="V41" s="2416">
        <v>0.17</v>
      </c>
      <c r="W41" s="2416">
        <v>0.18</v>
      </c>
      <c r="X41" s="2416">
        <v>0.19</v>
      </c>
      <c r="Y41" s="2416">
        <v>0.2</v>
      </c>
      <c r="Z41" s="2416">
        <v>0.22</v>
      </c>
      <c r="AA41" s="2416">
        <v>0.24</v>
      </c>
      <c r="AB41" s="2416">
        <v>0.26</v>
      </c>
      <c r="AC41" s="2416">
        <v>0.28000000000000003</v>
      </c>
      <c r="AD41" s="2416">
        <v>0.3</v>
      </c>
      <c r="AE41" s="2416">
        <v>0.32</v>
      </c>
      <c r="AF41" s="2416">
        <v>0.34</v>
      </c>
      <c r="AG41" s="2416">
        <v>0.36</v>
      </c>
      <c r="AH41" s="2416">
        <v>0.28000000000000003</v>
      </c>
      <c r="AI41" s="2416">
        <v>0.4</v>
      </c>
      <c r="AJ41" s="2416">
        <v>0.4</v>
      </c>
      <c r="AK41" s="2416">
        <v>0.4</v>
      </c>
      <c r="AL41" s="2416">
        <v>0.4</v>
      </c>
      <c r="AM41" s="2416">
        <v>0.4</v>
      </c>
      <c r="AN41" s="2416">
        <v>0.4</v>
      </c>
      <c r="AO41" s="2416">
        <v>0.4</v>
      </c>
      <c r="AP41" s="2416">
        <v>0.4</v>
      </c>
      <c r="AQ41" s="2416">
        <v>0.4</v>
      </c>
      <c r="AR41" s="2416">
        <v>0.4</v>
      </c>
      <c r="AS41" s="2416">
        <v>0.4</v>
      </c>
    </row>
    <row r="42" spans="2:45" x14ac:dyDescent="0.2">
      <c r="B42" s="2410"/>
      <c r="C42" s="2415">
        <v>3</v>
      </c>
      <c r="D42" s="2415" t="s">
        <v>1031</v>
      </c>
      <c r="E42" s="2415" t="s">
        <v>317</v>
      </c>
      <c r="F42" s="2415"/>
      <c r="G42" s="2416">
        <v>0.02</v>
      </c>
      <c r="H42" s="2416">
        <v>4.5779999999999994E-2</v>
      </c>
      <c r="I42" s="2416">
        <v>7.1559999999999985E-2</v>
      </c>
      <c r="J42" s="2416">
        <v>9.7339999999999982E-2</v>
      </c>
      <c r="K42" s="2416">
        <v>0.12311999999999998</v>
      </c>
      <c r="L42" s="2416">
        <v>0.14889999999999998</v>
      </c>
      <c r="M42" s="2416">
        <v>0.17467999999999997</v>
      </c>
      <c r="N42" s="2416">
        <v>0.20045999999999997</v>
      </c>
      <c r="O42" s="2416">
        <v>0.22623999999999994</v>
      </c>
      <c r="P42" s="2416">
        <v>0.25201999999999997</v>
      </c>
      <c r="Q42" s="2416">
        <v>0.27779999999999994</v>
      </c>
      <c r="R42" s="2416">
        <v>0.30357999999999996</v>
      </c>
      <c r="S42" s="2416">
        <v>0.32935999999999993</v>
      </c>
      <c r="T42" s="2416">
        <v>0.35513999999999996</v>
      </c>
      <c r="U42" s="2416">
        <v>0.38091999999999998</v>
      </c>
      <c r="V42" s="2416">
        <v>0.40670000000000001</v>
      </c>
      <c r="W42" s="2416">
        <v>0.43248000000000003</v>
      </c>
      <c r="X42" s="2416">
        <v>0.45826000000000006</v>
      </c>
      <c r="Y42" s="2416">
        <v>0.48404000000000008</v>
      </c>
      <c r="Z42" s="2416">
        <v>0.50982000000000016</v>
      </c>
      <c r="AA42" s="2416">
        <v>0.53560000000000019</v>
      </c>
      <c r="AB42" s="2416">
        <v>0.56138000000000021</v>
      </c>
      <c r="AC42" s="2416">
        <v>0.58716000000000024</v>
      </c>
      <c r="AD42" s="2416">
        <v>0.61294000000000026</v>
      </c>
      <c r="AE42" s="2416">
        <v>0.63872000000000029</v>
      </c>
      <c r="AF42" s="2416">
        <v>0.66450000000000031</v>
      </c>
      <c r="AG42" s="2416">
        <v>0.69028000000000034</v>
      </c>
      <c r="AH42" s="2416">
        <v>0.71606000000000036</v>
      </c>
      <c r="AI42" s="2416">
        <v>0.74184000000000039</v>
      </c>
      <c r="AJ42" s="2416">
        <v>0.76762000000000041</v>
      </c>
      <c r="AK42" s="2416">
        <v>0.79340000000000044</v>
      </c>
      <c r="AL42" s="2416">
        <v>0.81918000000000046</v>
      </c>
      <c r="AM42" s="2416">
        <v>0.84496000000000049</v>
      </c>
      <c r="AN42" s="2416">
        <v>0.87074000000000051</v>
      </c>
      <c r="AO42" s="2416">
        <v>0.89652000000000054</v>
      </c>
      <c r="AP42" s="2416">
        <v>0.92230000000000056</v>
      </c>
      <c r="AQ42" s="2416">
        <v>0.94808000000000059</v>
      </c>
      <c r="AR42" s="2416">
        <v>0.97386000000000061</v>
      </c>
      <c r="AS42" s="2416">
        <v>0.99964000000000075</v>
      </c>
    </row>
    <row r="43" spans="2:45" x14ac:dyDescent="0.2">
      <c r="B43" s="2410"/>
      <c r="C43" s="2415">
        <v>4</v>
      </c>
      <c r="D43" s="2415" t="s">
        <v>1031</v>
      </c>
      <c r="E43" s="2415" t="s">
        <v>317</v>
      </c>
      <c r="F43" s="2415"/>
      <c r="G43" s="2416">
        <v>0.02</v>
      </c>
      <c r="H43" s="2416">
        <v>4.5700000000000005E-2</v>
      </c>
      <c r="I43" s="2416">
        <v>7.1400000000000005E-2</v>
      </c>
      <c r="J43" s="2416">
        <v>9.7100000000000006E-2</v>
      </c>
      <c r="K43" s="2416">
        <v>0.12280000000000001</v>
      </c>
      <c r="L43" s="2416">
        <v>0.14850000000000002</v>
      </c>
      <c r="M43" s="2416">
        <v>0.17420000000000002</v>
      </c>
      <c r="N43" s="2416">
        <v>0.19990000000000002</v>
      </c>
      <c r="O43" s="2416">
        <v>0.22560000000000002</v>
      </c>
      <c r="P43" s="2416">
        <v>0.25130000000000002</v>
      </c>
      <c r="Q43" s="2416">
        <v>0.27700000000000002</v>
      </c>
      <c r="R43" s="2416">
        <v>0.30270000000000002</v>
      </c>
      <c r="S43" s="2416">
        <v>0.32840000000000003</v>
      </c>
      <c r="T43" s="2416">
        <v>0.35410000000000003</v>
      </c>
      <c r="U43" s="2416">
        <v>0.37980000000000003</v>
      </c>
      <c r="V43" s="2416">
        <v>0.40550000000000003</v>
      </c>
      <c r="W43" s="2416">
        <v>0.43120000000000003</v>
      </c>
      <c r="X43" s="2416">
        <v>0.45690000000000003</v>
      </c>
      <c r="Y43" s="2416">
        <v>0.48260000000000003</v>
      </c>
      <c r="Z43" s="2416">
        <v>0.50830000000000009</v>
      </c>
      <c r="AA43" s="2416">
        <v>0.53400000000000003</v>
      </c>
      <c r="AB43" s="2416">
        <v>0.55970000000000009</v>
      </c>
      <c r="AC43" s="2416">
        <v>0.58540000000000003</v>
      </c>
      <c r="AD43" s="2416">
        <v>0.61110000000000009</v>
      </c>
      <c r="AE43" s="2416">
        <v>0.63680000000000003</v>
      </c>
      <c r="AF43" s="2416">
        <v>0.66249999999999998</v>
      </c>
      <c r="AG43" s="2416">
        <v>0.68819999999999992</v>
      </c>
      <c r="AH43" s="2416">
        <v>0.71389999999999987</v>
      </c>
      <c r="AI43" s="2416">
        <v>0.73959999999999981</v>
      </c>
      <c r="AJ43" s="2416">
        <v>0.76529999999999976</v>
      </c>
      <c r="AK43" s="2416">
        <v>0.7909999999999997</v>
      </c>
      <c r="AL43" s="2416">
        <v>0.81669999999999954</v>
      </c>
      <c r="AM43" s="2416">
        <v>0.84239999999999948</v>
      </c>
      <c r="AN43" s="2416">
        <v>0.86809999999999943</v>
      </c>
      <c r="AO43" s="2416">
        <v>0.89379999999999937</v>
      </c>
      <c r="AP43" s="2416">
        <v>0.91949999999999932</v>
      </c>
      <c r="AQ43" s="2416">
        <v>0.94519999999999926</v>
      </c>
      <c r="AR43" s="2416">
        <v>0.97089999999999921</v>
      </c>
      <c r="AS43" s="2416">
        <v>0.99659999999999915</v>
      </c>
    </row>
    <row r="44" spans="2:45" x14ac:dyDescent="0.2">
      <c r="B44" s="2410"/>
      <c r="C44" s="2422" t="s">
        <v>1217</v>
      </c>
      <c r="D44" s="2422" t="s">
        <v>1031</v>
      </c>
      <c r="E44" s="2422"/>
      <c r="F44" s="2422"/>
      <c r="G44" s="2423">
        <f>INDEX($G$40:$AS$43,$G$8,MATCH(G39,$G$39:$AS$39,0))</f>
        <v>2.5300000000000001E-3</v>
      </c>
      <c r="H44" s="2423">
        <f t="shared" ref="H44:AS44" si="3">INDEX($G$40:$AS$43,$G$8,MATCH(H39,$G$39:$AS$39,0))</f>
        <v>2.7213750000000002E-2</v>
      </c>
      <c r="I44" s="2423">
        <f t="shared" si="3"/>
        <v>5.1897499999999999E-2</v>
      </c>
      <c r="J44" s="2423">
        <f t="shared" si="3"/>
        <v>7.6581250000000003E-2</v>
      </c>
      <c r="K44" s="2423">
        <f t="shared" si="3"/>
        <v>0.10126499999999999</v>
      </c>
      <c r="L44" s="2423">
        <f t="shared" si="3"/>
        <v>0.12594875</v>
      </c>
      <c r="M44" s="2423">
        <f t="shared" si="3"/>
        <v>0.1506325</v>
      </c>
      <c r="N44" s="2423">
        <f t="shared" si="3"/>
        <v>0.17531624999999998</v>
      </c>
      <c r="O44" s="2423">
        <f t="shared" si="3"/>
        <v>0.2</v>
      </c>
      <c r="P44" s="2423">
        <f t="shared" si="3"/>
        <v>0.21</v>
      </c>
      <c r="Q44" s="2423">
        <f t="shared" si="3"/>
        <v>0.22</v>
      </c>
      <c r="R44" s="2423">
        <f t="shared" si="3"/>
        <v>0.23</v>
      </c>
      <c r="S44" s="2423">
        <f t="shared" si="3"/>
        <v>0.24</v>
      </c>
      <c r="T44" s="2423">
        <f t="shared" si="3"/>
        <v>0.25</v>
      </c>
      <c r="U44" s="2423">
        <f t="shared" si="3"/>
        <v>0.26</v>
      </c>
      <c r="V44" s="2423">
        <f t="shared" si="3"/>
        <v>0.27</v>
      </c>
      <c r="W44" s="2423">
        <f t="shared" si="3"/>
        <v>0.28000000000000003</v>
      </c>
      <c r="X44" s="2423">
        <f t="shared" si="3"/>
        <v>0.28999999999999998</v>
      </c>
      <c r="Y44" s="2423">
        <f t="shared" si="3"/>
        <v>0.3</v>
      </c>
      <c r="Z44" s="2423">
        <f t="shared" si="3"/>
        <v>0.31</v>
      </c>
      <c r="AA44" s="2423">
        <f t="shared" si="3"/>
        <v>0.32</v>
      </c>
      <c r="AB44" s="2423">
        <f t="shared" si="3"/>
        <v>0.33</v>
      </c>
      <c r="AC44" s="2423">
        <f t="shared" si="3"/>
        <v>0.34</v>
      </c>
      <c r="AD44" s="2423">
        <f t="shared" si="3"/>
        <v>0.35</v>
      </c>
      <c r="AE44" s="2423">
        <f t="shared" si="3"/>
        <v>0.36</v>
      </c>
      <c r="AF44" s="2423">
        <f t="shared" si="3"/>
        <v>0.37</v>
      </c>
      <c r="AG44" s="2423">
        <f t="shared" si="3"/>
        <v>0.38</v>
      </c>
      <c r="AH44" s="2423">
        <f t="shared" si="3"/>
        <v>0.39</v>
      </c>
      <c r="AI44" s="2423">
        <f t="shared" si="3"/>
        <v>0.4</v>
      </c>
      <c r="AJ44" s="2423">
        <f t="shared" si="3"/>
        <v>0.4</v>
      </c>
      <c r="AK44" s="2423">
        <f t="shared" si="3"/>
        <v>0.4</v>
      </c>
      <c r="AL44" s="2423">
        <f t="shared" si="3"/>
        <v>0.4</v>
      </c>
      <c r="AM44" s="2423">
        <f t="shared" si="3"/>
        <v>0.4</v>
      </c>
      <c r="AN44" s="2423">
        <f t="shared" si="3"/>
        <v>0.4</v>
      </c>
      <c r="AO44" s="2423">
        <f t="shared" si="3"/>
        <v>0.4</v>
      </c>
      <c r="AP44" s="2423">
        <f t="shared" si="3"/>
        <v>0.4</v>
      </c>
      <c r="AQ44" s="2423">
        <f t="shared" si="3"/>
        <v>0.4</v>
      </c>
      <c r="AR44" s="2423">
        <f t="shared" si="3"/>
        <v>0.4</v>
      </c>
      <c r="AS44" s="2423">
        <f t="shared" si="3"/>
        <v>0.4</v>
      </c>
    </row>
    <row r="45" spans="2:45" x14ac:dyDescent="0.2">
      <c r="B45" s="2410"/>
      <c r="C45" s="2412"/>
      <c r="D45" s="2412"/>
      <c r="E45" s="2412"/>
      <c r="F45" s="2412"/>
      <c r="G45" s="2412"/>
      <c r="H45" s="2412"/>
      <c r="I45" s="2412"/>
      <c r="J45" s="2412"/>
      <c r="K45" s="2412"/>
      <c r="L45" s="2412"/>
      <c r="M45" s="2412"/>
      <c r="N45" s="2412"/>
      <c r="O45" s="2412"/>
      <c r="P45" s="2412"/>
      <c r="Q45" s="2412"/>
      <c r="R45" s="2412"/>
      <c r="S45" s="2412"/>
      <c r="T45" s="2412"/>
      <c r="U45" s="2412"/>
      <c r="V45" s="2412"/>
      <c r="W45" s="2412"/>
      <c r="X45" s="2412"/>
      <c r="Y45" s="2412"/>
      <c r="Z45" s="2412"/>
      <c r="AA45" s="2412"/>
      <c r="AB45" s="2412"/>
      <c r="AC45" s="2412"/>
      <c r="AD45" s="2412"/>
      <c r="AE45" s="2412"/>
      <c r="AF45" s="2412"/>
      <c r="AG45" s="2412"/>
      <c r="AH45" s="2412"/>
      <c r="AI45" s="2412"/>
      <c r="AJ45" s="2412"/>
      <c r="AK45" s="2412"/>
      <c r="AL45" s="2412"/>
      <c r="AM45" s="2412"/>
      <c r="AN45" s="2412"/>
      <c r="AO45" s="2412"/>
      <c r="AP45" s="2412"/>
      <c r="AQ45" s="2412"/>
      <c r="AR45" s="2412"/>
      <c r="AS45" s="2412"/>
    </row>
    <row r="46" spans="2:45" x14ac:dyDescent="0.2">
      <c r="B46" s="2410"/>
      <c r="C46" s="2412" t="s">
        <v>1356</v>
      </c>
      <c r="D46" s="2412"/>
      <c r="E46" s="2412"/>
      <c r="F46" s="2412"/>
      <c r="G46" s="2412"/>
      <c r="H46" s="2412"/>
      <c r="I46" s="2412"/>
      <c r="J46" s="2412"/>
      <c r="K46" s="2412"/>
      <c r="L46" s="2412"/>
      <c r="M46" s="2412"/>
      <c r="N46" s="2412"/>
      <c r="O46" s="2412"/>
      <c r="P46" s="2412"/>
      <c r="Q46" s="2412"/>
      <c r="R46" s="2412"/>
      <c r="S46" s="2412"/>
      <c r="T46" s="2412"/>
      <c r="U46" s="2412"/>
      <c r="V46" s="2412"/>
      <c r="W46" s="2412"/>
      <c r="X46" s="2412"/>
      <c r="Y46" s="2412"/>
      <c r="Z46" s="2412"/>
      <c r="AA46" s="2412"/>
      <c r="AB46" s="2412"/>
      <c r="AC46" s="2412"/>
      <c r="AD46" s="2412"/>
      <c r="AE46" s="2412"/>
      <c r="AF46" s="2412"/>
      <c r="AG46" s="2412"/>
      <c r="AH46" s="2412"/>
      <c r="AI46" s="2412"/>
      <c r="AJ46" s="2412"/>
      <c r="AK46" s="2412"/>
      <c r="AL46" s="2412"/>
      <c r="AM46" s="2412"/>
      <c r="AN46" s="2412"/>
      <c r="AO46" s="2412"/>
      <c r="AP46" s="2412"/>
      <c r="AQ46" s="2412"/>
      <c r="AR46" s="2412"/>
      <c r="AS46" s="2412"/>
    </row>
    <row r="47" spans="2:45" x14ac:dyDescent="0.2">
      <c r="B47" s="2410"/>
      <c r="C47" s="2413" t="s">
        <v>1023</v>
      </c>
      <c r="D47" s="2414" t="s">
        <v>1029</v>
      </c>
      <c r="E47" s="2414" t="s">
        <v>8</v>
      </c>
      <c r="F47" s="2414"/>
      <c r="G47" s="2414">
        <v>2012</v>
      </c>
      <c r="H47" s="2414">
        <v>2013</v>
      </c>
      <c r="I47" s="2414">
        <v>2014</v>
      </c>
      <c r="J47" s="2414">
        <v>2015</v>
      </c>
      <c r="K47" s="2414">
        <v>2016</v>
      </c>
      <c r="L47" s="2414">
        <v>2017</v>
      </c>
      <c r="M47" s="2414">
        <v>2018</v>
      </c>
      <c r="N47" s="2414">
        <v>2019</v>
      </c>
      <c r="O47" s="2414">
        <v>2020</v>
      </c>
      <c r="P47" s="2414">
        <v>2021</v>
      </c>
      <c r="Q47" s="2414">
        <v>2022</v>
      </c>
      <c r="R47" s="2414">
        <v>2023</v>
      </c>
      <c r="S47" s="2414">
        <v>2024</v>
      </c>
      <c r="T47" s="2414">
        <v>2025</v>
      </c>
      <c r="U47" s="2414">
        <v>2026</v>
      </c>
      <c r="V47" s="2414">
        <v>2027</v>
      </c>
      <c r="W47" s="2414">
        <v>2028</v>
      </c>
      <c r="X47" s="2414">
        <v>2029</v>
      </c>
      <c r="Y47" s="2414">
        <v>2030</v>
      </c>
      <c r="Z47" s="2414">
        <v>2031</v>
      </c>
      <c r="AA47" s="2414">
        <v>2032</v>
      </c>
      <c r="AB47" s="2414">
        <v>2033</v>
      </c>
      <c r="AC47" s="2414">
        <v>2034</v>
      </c>
      <c r="AD47" s="2414">
        <v>2035</v>
      </c>
      <c r="AE47" s="2414">
        <v>2036</v>
      </c>
      <c r="AF47" s="2414">
        <v>2037</v>
      </c>
      <c r="AG47" s="2414">
        <v>2038</v>
      </c>
      <c r="AH47" s="2414">
        <v>2039</v>
      </c>
      <c r="AI47" s="2414">
        <v>2040</v>
      </c>
      <c r="AJ47" s="2414">
        <v>2041</v>
      </c>
      <c r="AK47" s="2414">
        <v>2042</v>
      </c>
      <c r="AL47" s="2414">
        <v>2043</v>
      </c>
      <c r="AM47" s="2414">
        <v>2044</v>
      </c>
      <c r="AN47" s="2414">
        <v>2045</v>
      </c>
      <c r="AO47" s="2414">
        <v>2046</v>
      </c>
      <c r="AP47" s="2414">
        <v>2047</v>
      </c>
      <c r="AQ47" s="2414">
        <v>2048</v>
      </c>
      <c r="AR47" s="2414">
        <v>2049</v>
      </c>
      <c r="AS47" s="2414">
        <v>2050</v>
      </c>
    </row>
    <row r="48" spans="2:45" x14ac:dyDescent="0.2">
      <c r="B48" s="2410"/>
      <c r="C48" s="2415">
        <v>1</v>
      </c>
      <c r="D48" s="2415" t="s">
        <v>1031</v>
      </c>
      <c r="E48" s="2411" t="s">
        <v>317</v>
      </c>
      <c r="F48" s="2421"/>
      <c r="G48" s="2421">
        <v>0</v>
      </c>
      <c r="H48" s="2421">
        <v>0</v>
      </c>
      <c r="I48" s="2421">
        <v>0</v>
      </c>
      <c r="J48" s="2421">
        <v>0</v>
      </c>
      <c r="K48" s="2421">
        <v>0</v>
      </c>
      <c r="L48" s="2421">
        <v>0</v>
      </c>
      <c r="M48" s="2421">
        <v>0</v>
      </c>
      <c r="N48" s="2421">
        <v>0</v>
      </c>
      <c r="O48" s="2421">
        <v>0</v>
      </c>
      <c r="P48" s="2421">
        <v>0</v>
      </c>
      <c r="Q48" s="2421">
        <v>0</v>
      </c>
      <c r="R48" s="2421">
        <v>0</v>
      </c>
      <c r="S48" s="2421">
        <v>0</v>
      </c>
      <c r="T48" s="2421">
        <v>0</v>
      </c>
      <c r="U48" s="2421">
        <v>0</v>
      </c>
      <c r="V48" s="2421">
        <v>0</v>
      </c>
      <c r="W48" s="2421">
        <v>0</v>
      </c>
      <c r="X48" s="2421">
        <v>0</v>
      </c>
      <c r="Y48" s="2421">
        <v>0</v>
      </c>
      <c r="Z48" s="2421">
        <v>0</v>
      </c>
      <c r="AA48" s="2421">
        <v>0</v>
      </c>
      <c r="AB48" s="2421">
        <v>0</v>
      </c>
      <c r="AC48" s="2421">
        <v>0</v>
      </c>
      <c r="AD48" s="2421">
        <v>0</v>
      </c>
      <c r="AE48" s="2421">
        <v>0</v>
      </c>
      <c r="AF48" s="2421">
        <v>0</v>
      </c>
      <c r="AG48" s="2421">
        <v>0</v>
      </c>
      <c r="AH48" s="2421">
        <v>0</v>
      </c>
      <c r="AI48" s="2421">
        <v>0</v>
      </c>
      <c r="AJ48" s="2421">
        <v>0</v>
      </c>
      <c r="AK48" s="2421">
        <v>0</v>
      </c>
      <c r="AL48" s="2421">
        <v>0</v>
      </c>
      <c r="AM48" s="2421">
        <v>0</v>
      </c>
      <c r="AN48" s="2421">
        <v>0</v>
      </c>
      <c r="AO48" s="2421">
        <v>0</v>
      </c>
      <c r="AP48" s="2421">
        <v>0</v>
      </c>
      <c r="AQ48" s="2421">
        <v>0</v>
      </c>
      <c r="AR48" s="2421">
        <v>0</v>
      </c>
      <c r="AS48" s="2421">
        <v>0</v>
      </c>
    </row>
    <row r="49" spans="2:45" x14ac:dyDescent="0.2">
      <c r="B49" s="2410"/>
      <c r="C49" s="2415">
        <v>2</v>
      </c>
      <c r="D49" s="2415" t="s">
        <v>1031</v>
      </c>
      <c r="E49" s="2411" t="s">
        <v>317</v>
      </c>
      <c r="F49" s="2421"/>
      <c r="G49" s="2421">
        <v>0</v>
      </c>
      <c r="H49" s="2421">
        <v>1.0700000000000001E-2</v>
      </c>
      <c r="I49" s="2421">
        <v>2.1400000000000002E-2</v>
      </c>
      <c r="J49" s="2421">
        <v>3.2099999999999997E-2</v>
      </c>
      <c r="K49" s="2421">
        <v>4.2800000000000005E-2</v>
      </c>
      <c r="L49" s="2421">
        <v>5.3500000000000006E-2</v>
      </c>
      <c r="M49" s="2421">
        <v>6.4200000000000007E-2</v>
      </c>
      <c r="N49" s="2421">
        <v>7.4900000000000008E-2</v>
      </c>
      <c r="O49" s="2421">
        <v>8.5600000000000009E-2</v>
      </c>
      <c r="P49" s="2421">
        <v>9.6300000000000011E-2</v>
      </c>
      <c r="Q49" s="2421">
        <v>0.10700000000000001</v>
      </c>
      <c r="R49" s="2421">
        <v>0.11770000000000001</v>
      </c>
      <c r="S49" s="2421">
        <v>0.12840000000000001</v>
      </c>
      <c r="T49" s="2421">
        <v>0.13910000000000003</v>
      </c>
      <c r="U49" s="2421">
        <v>0.14980000000000002</v>
      </c>
      <c r="V49" s="2421">
        <v>0.1605</v>
      </c>
      <c r="W49" s="2421">
        <v>0.17120000000000002</v>
      </c>
      <c r="X49" s="2421">
        <v>0.18190000000000001</v>
      </c>
      <c r="Y49" s="2421">
        <v>0.19260000000000002</v>
      </c>
      <c r="Z49" s="2421">
        <v>0.20330000000000001</v>
      </c>
      <c r="AA49" s="2421">
        <v>0.21400000000000002</v>
      </c>
      <c r="AB49" s="2421">
        <v>0.22470000000000001</v>
      </c>
      <c r="AC49" s="2421">
        <v>0.23540000000000003</v>
      </c>
      <c r="AD49" s="2421">
        <v>0.24610000000000004</v>
      </c>
      <c r="AE49" s="2421">
        <v>0.25680000000000003</v>
      </c>
      <c r="AF49" s="2421">
        <v>0.26750000000000002</v>
      </c>
      <c r="AG49" s="2421">
        <v>0.27820000000000006</v>
      </c>
      <c r="AH49" s="2421">
        <v>0.28890000000000005</v>
      </c>
      <c r="AI49" s="2421">
        <v>0.29960000000000003</v>
      </c>
      <c r="AJ49" s="2421">
        <v>0.29960000000000003</v>
      </c>
      <c r="AK49" s="2421">
        <v>0.29960000000000003</v>
      </c>
      <c r="AL49" s="2421">
        <v>0.29960000000000003</v>
      </c>
      <c r="AM49" s="2421">
        <v>0.29960000000000003</v>
      </c>
      <c r="AN49" s="2421">
        <v>0.29960000000000003</v>
      </c>
      <c r="AO49" s="2421">
        <v>0.29960000000000003</v>
      </c>
      <c r="AP49" s="2421">
        <v>0.29960000000000003</v>
      </c>
      <c r="AQ49" s="2421">
        <v>0.29960000000000003</v>
      </c>
      <c r="AR49" s="2421">
        <v>0.29960000000000003</v>
      </c>
      <c r="AS49" s="2421">
        <v>0.29960000000000003</v>
      </c>
    </row>
    <row r="50" spans="2:45" x14ac:dyDescent="0.2">
      <c r="B50" s="2410"/>
      <c r="C50" s="2415">
        <v>3</v>
      </c>
      <c r="D50" s="2415" t="s">
        <v>1031</v>
      </c>
      <c r="E50" s="2411" t="s">
        <v>317</v>
      </c>
      <c r="F50" s="2421"/>
      <c r="G50" s="2421">
        <v>0</v>
      </c>
      <c r="H50" s="2421">
        <v>1.0700000000000001E-2</v>
      </c>
      <c r="I50" s="2421">
        <v>2.1400000000000002E-2</v>
      </c>
      <c r="J50" s="2421">
        <v>3.2099999999999997E-2</v>
      </c>
      <c r="K50" s="2421">
        <v>4.2800000000000005E-2</v>
      </c>
      <c r="L50" s="2421">
        <v>5.3500000000000006E-2</v>
      </c>
      <c r="M50" s="2421">
        <v>6.4200000000000007E-2</v>
      </c>
      <c r="N50" s="2421">
        <v>7.4900000000000008E-2</v>
      </c>
      <c r="O50" s="2421">
        <v>8.5600000000000009E-2</v>
      </c>
      <c r="P50" s="2421">
        <v>9.6300000000000011E-2</v>
      </c>
      <c r="Q50" s="2421">
        <v>0.10700000000000001</v>
      </c>
      <c r="R50" s="2421">
        <v>0.11770000000000001</v>
      </c>
      <c r="S50" s="2421">
        <v>0.12840000000000001</v>
      </c>
      <c r="T50" s="2421">
        <v>0.13910000000000003</v>
      </c>
      <c r="U50" s="2421">
        <v>0.14980000000000002</v>
      </c>
      <c r="V50" s="2421">
        <v>0.1605</v>
      </c>
      <c r="W50" s="2421">
        <v>0.17120000000000002</v>
      </c>
      <c r="X50" s="2421">
        <v>0.18190000000000001</v>
      </c>
      <c r="Y50" s="2421">
        <v>0.19260000000000002</v>
      </c>
      <c r="Z50" s="2421">
        <v>0.215</v>
      </c>
      <c r="AA50" s="2421">
        <v>0.23</v>
      </c>
      <c r="AB50" s="2421">
        <v>0.245</v>
      </c>
      <c r="AC50" s="2421">
        <v>0.26</v>
      </c>
      <c r="AD50" s="2421">
        <v>0.27500000000000002</v>
      </c>
      <c r="AE50" s="2421">
        <v>0.28999999999999998</v>
      </c>
      <c r="AF50" s="2421">
        <v>0.30499999999999999</v>
      </c>
      <c r="AG50" s="2421">
        <v>0.32</v>
      </c>
      <c r="AH50" s="2421">
        <v>0.33500000000000002</v>
      </c>
      <c r="AI50" s="2421">
        <v>0.35</v>
      </c>
      <c r="AJ50" s="2421">
        <v>0.36499999999999999</v>
      </c>
      <c r="AK50" s="2421">
        <v>0.38</v>
      </c>
      <c r="AL50" s="2421">
        <v>0.39500000000000002</v>
      </c>
      <c r="AM50" s="2421">
        <v>0.41</v>
      </c>
      <c r="AN50" s="2421">
        <v>0.42499999999999999</v>
      </c>
      <c r="AO50" s="2421">
        <v>0.44</v>
      </c>
      <c r="AP50" s="2421">
        <v>0.45500000000000002</v>
      </c>
      <c r="AQ50" s="2421">
        <v>0.47</v>
      </c>
      <c r="AR50" s="2421">
        <v>0.48499999999999999</v>
      </c>
      <c r="AS50" s="2421">
        <v>0.5</v>
      </c>
    </row>
    <row r="51" spans="2:45" x14ac:dyDescent="0.2">
      <c r="B51" s="2410"/>
      <c r="C51" s="2415">
        <v>4</v>
      </c>
      <c r="D51" s="2415" t="s">
        <v>1031</v>
      </c>
      <c r="E51" s="2411" t="s">
        <v>317</v>
      </c>
      <c r="F51" s="2421"/>
      <c r="G51" s="2421">
        <v>0</v>
      </c>
      <c r="H51" s="2421">
        <v>2.1000000000000001E-2</v>
      </c>
      <c r="I51" s="2421">
        <v>4.2000000000000003E-2</v>
      </c>
      <c r="J51" s="2421">
        <v>6.3E-2</v>
      </c>
      <c r="K51" s="2421">
        <v>8.4000000000000005E-2</v>
      </c>
      <c r="L51" s="2421">
        <v>0.105</v>
      </c>
      <c r="M51" s="2421">
        <v>0.126</v>
      </c>
      <c r="N51" s="2421">
        <v>0.14699999999999999</v>
      </c>
      <c r="O51" s="2421">
        <v>0.16800000000000001</v>
      </c>
      <c r="P51" s="2421">
        <v>0.18900000000000003</v>
      </c>
      <c r="Q51" s="2421">
        <v>0.21000000000000005</v>
      </c>
      <c r="R51" s="2421">
        <v>0.23100000000000004</v>
      </c>
      <c r="S51" s="2421">
        <v>0.25200000000000006</v>
      </c>
      <c r="T51" s="2421">
        <v>0.27300000000000008</v>
      </c>
      <c r="U51" s="2421">
        <v>0.29400000000000009</v>
      </c>
      <c r="V51" s="2421">
        <v>0.31500000000000011</v>
      </c>
      <c r="W51" s="2421">
        <v>0.33600000000000008</v>
      </c>
      <c r="X51" s="2421">
        <v>0.3570000000000001</v>
      </c>
      <c r="Y51" s="2421">
        <v>0.37800000000000011</v>
      </c>
      <c r="Z51" s="2421">
        <v>0.39900000000000013</v>
      </c>
      <c r="AA51" s="2421">
        <v>0.42000000000000015</v>
      </c>
      <c r="AB51" s="2421">
        <v>0.44100000000000017</v>
      </c>
      <c r="AC51" s="2421">
        <v>0.46200000000000019</v>
      </c>
      <c r="AD51" s="2421">
        <v>0.48300000000000021</v>
      </c>
      <c r="AE51" s="2421">
        <v>0.50400000000000023</v>
      </c>
      <c r="AF51" s="2421">
        <v>0.52500000000000024</v>
      </c>
      <c r="AG51" s="2421">
        <v>0.54600000000000026</v>
      </c>
      <c r="AH51" s="2421">
        <v>0.56700000000000028</v>
      </c>
      <c r="AI51" s="2421">
        <v>0.5880000000000003</v>
      </c>
      <c r="AJ51" s="2421">
        <v>0.60900000000000032</v>
      </c>
      <c r="AK51" s="2421">
        <v>0.63000000000000034</v>
      </c>
      <c r="AL51" s="2421">
        <v>0.65100000000000025</v>
      </c>
      <c r="AM51" s="2421">
        <v>0.67200000000000015</v>
      </c>
      <c r="AN51" s="2421">
        <v>0.69300000000000006</v>
      </c>
      <c r="AO51" s="2421">
        <v>0.71400000000000008</v>
      </c>
      <c r="AP51" s="2421">
        <v>0.73499999999999999</v>
      </c>
      <c r="AQ51" s="2421">
        <v>0.75599999999999989</v>
      </c>
      <c r="AR51" s="2421">
        <v>0.77699999999999991</v>
      </c>
      <c r="AS51" s="2421">
        <v>0.79799999999999982</v>
      </c>
    </row>
    <row r="52" spans="2:45" x14ac:dyDescent="0.2">
      <c r="B52" s="2410"/>
      <c r="C52" s="2422" t="s">
        <v>1217</v>
      </c>
      <c r="D52" s="2422" t="s">
        <v>1031</v>
      </c>
      <c r="E52" s="2422"/>
      <c r="F52" s="2422"/>
      <c r="G52" s="2423">
        <f>INDEX($G$48:$AS$51,$G$8,MATCH(G47,$G$47:$AS$47,0))</f>
        <v>0</v>
      </c>
      <c r="H52" s="2423">
        <f t="shared" ref="H52:AS52" si="4">INDEX($G$48:$AS$51,$G$8,MATCH(H47,$G$47:$AS$47,0))</f>
        <v>0</v>
      </c>
      <c r="I52" s="2423">
        <f t="shared" si="4"/>
        <v>0</v>
      </c>
      <c r="J52" s="2423">
        <f t="shared" si="4"/>
        <v>0</v>
      </c>
      <c r="K52" s="2423">
        <f t="shared" si="4"/>
        <v>0</v>
      </c>
      <c r="L52" s="2423">
        <f t="shared" si="4"/>
        <v>0</v>
      </c>
      <c r="M52" s="2423">
        <f t="shared" si="4"/>
        <v>0</v>
      </c>
      <c r="N52" s="2423">
        <f t="shared" si="4"/>
        <v>0</v>
      </c>
      <c r="O52" s="2423">
        <f t="shared" si="4"/>
        <v>0</v>
      </c>
      <c r="P52" s="2423">
        <f t="shared" si="4"/>
        <v>0</v>
      </c>
      <c r="Q52" s="2423">
        <f t="shared" si="4"/>
        <v>0</v>
      </c>
      <c r="R52" s="2423">
        <f t="shared" si="4"/>
        <v>0</v>
      </c>
      <c r="S52" s="2423">
        <f t="shared" si="4"/>
        <v>0</v>
      </c>
      <c r="T52" s="2423">
        <f t="shared" si="4"/>
        <v>0</v>
      </c>
      <c r="U52" s="2423">
        <f t="shared" si="4"/>
        <v>0</v>
      </c>
      <c r="V52" s="2423">
        <f t="shared" si="4"/>
        <v>0</v>
      </c>
      <c r="W52" s="2423">
        <f t="shared" si="4"/>
        <v>0</v>
      </c>
      <c r="X52" s="2423">
        <f t="shared" si="4"/>
        <v>0</v>
      </c>
      <c r="Y52" s="2423">
        <f t="shared" si="4"/>
        <v>0</v>
      </c>
      <c r="Z52" s="2423">
        <f t="shared" si="4"/>
        <v>0</v>
      </c>
      <c r="AA52" s="2423">
        <f t="shared" si="4"/>
        <v>0</v>
      </c>
      <c r="AB52" s="2423">
        <f t="shared" si="4"/>
        <v>0</v>
      </c>
      <c r="AC52" s="2423">
        <f t="shared" si="4"/>
        <v>0</v>
      </c>
      <c r="AD52" s="2423">
        <f t="shared" si="4"/>
        <v>0</v>
      </c>
      <c r="AE52" s="2423">
        <f t="shared" si="4"/>
        <v>0</v>
      </c>
      <c r="AF52" s="2423">
        <f t="shared" si="4"/>
        <v>0</v>
      </c>
      <c r="AG52" s="2423">
        <f t="shared" si="4"/>
        <v>0</v>
      </c>
      <c r="AH52" s="2423">
        <f t="shared" si="4"/>
        <v>0</v>
      </c>
      <c r="AI52" s="2423">
        <f t="shared" si="4"/>
        <v>0</v>
      </c>
      <c r="AJ52" s="2423">
        <f t="shared" si="4"/>
        <v>0</v>
      </c>
      <c r="AK52" s="2423">
        <f t="shared" si="4"/>
        <v>0</v>
      </c>
      <c r="AL52" s="2423">
        <f t="shared" si="4"/>
        <v>0</v>
      </c>
      <c r="AM52" s="2423">
        <f t="shared" si="4"/>
        <v>0</v>
      </c>
      <c r="AN52" s="2423">
        <f t="shared" si="4"/>
        <v>0</v>
      </c>
      <c r="AO52" s="2423">
        <f t="shared" si="4"/>
        <v>0</v>
      </c>
      <c r="AP52" s="2423">
        <f t="shared" si="4"/>
        <v>0</v>
      </c>
      <c r="AQ52" s="2423">
        <f t="shared" si="4"/>
        <v>0</v>
      </c>
      <c r="AR52" s="2423">
        <f t="shared" si="4"/>
        <v>0</v>
      </c>
      <c r="AS52" s="2423">
        <f t="shared" si="4"/>
        <v>0</v>
      </c>
    </row>
    <row r="53" spans="2:45" x14ac:dyDescent="0.2">
      <c r="B53" s="2410"/>
      <c r="C53" s="2412"/>
      <c r="D53" s="2412"/>
      <c r="E53" s="2412"/>
      <c r="F53" s="2412"/>
      <c r="G53" s="2412"/>
      <c r="H53" s="2412"/>
      <c r="I53" s="2412"/>
      <c r="J53" s="2412"/>
      <c r="K53" s="2412"/>
      <c r="L53" s="2412"/>
      <c r="M53" s="2412"/>
      <c r="N53" s="2412"/>
      <c r="O53" s="2412"/>
      <c r="P53" s="2412"/>
      <c r="Q53" s="2412"/>
      <c r="R53" s="2412"/>
      <c r="S53" s="2412"/>
      <c r="T53" s="2412"/>
      <c r="U53" s="2412"/>
      <c r="V53" s="2412"/>
      <c r="W53" s="2412"/>
      <c r="X53" s="2412"/>
      <c r="Y53" s="2412"/>
      <c r="Z53" s="2412"/>
      <c r="AA53" s="2412"/>
      <c r="AB53" s="2412"/>
      <c r="AC53" s="2412"/>
      <c r="AD53" s="2412"/>
      <c r="AE53" s="2412"/>
      <c r="AF53" s="2412"/>
      <c r="AG53" s="2412"/>
      <c r="AH53" s="2412"/>
      <c r="AI53" s="2412"/>
      <c r="AJ53" s="2412"/>
      <c r="AK53" s="2412"/>
      <c r="AL53" s="2412"/>
      <c r="AM53" s="2412"/>
      <c r="AN53" s="2412"/>
      <c r="AO53" s="2412"/>
      <c r="AP53" s="2412"/>
      <c r="AQ53" s="2412"/>
      <c r="AR53" s="2412"/>
      <c r="AS53" s="2412"/>
    </row>
    <row r="54" spans="2:45" x14ac:dyDescent="0.2">
      <c r="B54" s="2410"/>
      <c r="C54" s="2412" t="s">
        <v>1357</v>
      </c>
      <c r="D54" s="2412"/>
      <c r="E54" s="2412"/>
      <c r="F54" s="2412"/>
      <c r="G54" s="2412"/>
      <c r="H54" s="2412"/>
      <c r="I54" s="2412"/>
      <c r="J54" s="2412"/>
      <c r="K54" s="2412"/>
      <c r="L54" s="2412"/>
      <c r="M54" s="2412"/>
      <c r="N54" s="2412"/>
      <c r="O54" s="2412"/>
      <c r="P54" s="2412"/>
      <c r="Q54" s="2412"/>
      <c r="R54" s="2412"/>
      <c r="S54" s="2412"/>
      <c r="T54" s="2412"/>
      <c r="U54" s="2412"/>
      <c r="V54" s="2412"/>
      <c r="W54" s="2412"/>
      <c r="X54" s="2412"/>
      <c r="Y54" s="2412"/>
      <c r="Z54" s="2412"/>
      <c r="AA54" s="2412"/>
      <c r="AB54" s="2412"/>
      <c r="AC54" s="2412"/>
      <c r="AD54" s="2412"/>
      <c r="AE54" s="2412"/>
      <c r="AF54" s="2412"/>
      <c r="AG54" s="2412"/>
      <c r="AH54" s="2412"/>
      <c r="AI54" s="2412"/>
      <c r="AJ54" s="2412"/>
      <c r="AK54" s="2412"/>
      <c r="AL54" s="2412"/>
      <c r="AM54" s="2412"/>
      <c r="AN54" s="2412"/>
      <c r="AO54" s="2412"/>
      <c r="AP54" s="2412"/>
      <c r="AQ54" s="2412"/>
      <c r="AR54" s="2412"/>
      <c r="AS54" s="2412"/>
    </row>
    <row r="55" spans="2:45" x14ac:dyDescent="0.2">
      <c r="B55" s="2410"/>
      <c r="C55" s="2413" t="s">
        <v>1023</v>
      </c>
      <c r="D55" s="2414" t="s">
        <v>1029</v>
      </c>
      <c r="E55" s="2414" t="s">
        <v>8</v>
      </c>
      <c r="F55" s="2414"/>
      <c r="G55" s="2414">
        <v>2012</v>
      </c>
      <c r="H55" s="2414">
        <v>2013</v>
      </c>
      <c r="I55" s="2414">
        <v>2014</v>
      </c>
      <c r="J55" s="2414">
        <v>2015</v>
      </c>
      <c r="K55" s="2414">
        <v>2016</v>
      </c>
      <c r="L55" s="2414">
        <v>2017</v>
      </c>
      <c r="M55" s="2414">
        <v>2018</v>
      </c>
      <c r="N55" s="2414">
        <v>2019</v>
      </c>
      <c r="O55" s="2414">
        <v>2020</v>
      </c>
      <c r="P55" s="2414">
        <v>2021</v>
      </c>
      <c r="Q55" s="2414">
        <v>2022</v>
      </c>
      <c r="R55" s="2414">
        <v>2023</v>
      </c>
      <c r="S55" s="2414">
        <v>2024</v>
      </c>
      <c r="T55" s="2414">
        <v>2025</v>
      </c>
      <c r="U55" s="2414">
        <v>2026</v>
      </c>
      <c r="V55" s="2414">
        <v>2027</v>
      </c>
      <c r="W55" s="2414">
        <v>2028</v>
      </c>
      <c r="X55" s="2414">
        <v>2029</v>
      </c>
      <c r="Y55" s="2414">
        <v>2030</v>
      </c>
      <c r="Z55" s="2414">
        <v>2031</v>
      </c>
      <c r="AA55" s="2414">
        <v>2032</v>
      </c>
      <c r="AB55" s="2414">
        <v>2033</v>
      </c>
      <c r="AC55" s="2414">
        <v>2034</v>
      </c>
      <c r="AD55" s="2414">
        <v>2035</v>
      </c>
      <c r="AE55" s="2414">
        <v>2036</v>
      </c>
      <c r="AF55" s="2414">
        <v>2037</v>
      </c>
      <c r="AG55" s="2414">
        <v>2038</v>
      </c>
      <c r="AH55" s="2414">
        <v>2039</v>
      </c>
      <c r="AI55" s="2414">
        <v>2040</v>
      </c>
      <c r="AJ55" s="2414">
        <v>2041</v>
      </c>
      <c r="AK55" s="2414">
        <v>2042</v>
      </c>
      <c r="AL55" s="2414">
        <v>2043</v>
      </c>
      <c r="AM55" s="2414">
        <v>2044</v>
      </c>
      <c r="AN55" s="2414">
        <v>2045</v>
      </c>
      <c r="AO55" s="2414">
        <v>2046</v>
      </c>
      <c r="AP55" s="2414">
        <v>2047</v>
      </c>
      <c r="AQ55" s="2414">
        <v>2048</v>
      </c>
      <c r="AR55" s="2414">
        <v>2049</v>
      </c>
      <c r="AS55" s="2414">
        <v>2050</v>
      </c>
    </row>
    <row r="56" spans="2:45" x14ac:dyDescent="0.2">
      <c r="B56" s="2410"/>
      <c r="C56" s="2415">
        <v>1</v>
      </c>
      <c r="D56" s="2415" t="s">
        <v>1031</v>
      </c>
      <c r="E56" s="2415" t="s">
        <v>317</v>
      </c>
      <c r="F56" s="2415"/>
      <c r="G56" s="2416">
        <v>0</v>
      </c>
      <c r="H56" s="2416">
        <v>0</v>
      </c>
      <c r="I56" s="2416">
        <v>0</v>
      </c>
      <c r="J56" s="2416">
        <v>0</v>
      </c>
      <c r="K56" s="2416">
        <v>0</v>
      </c>
      <c r="L56" s="2416">
        <v>0</v>
      </c>
      <c r="M56" s="2416">
        <v>0</v>
      </c>
      <c r="N56" s="2416">
        <v>0</v>
      </c>
      <c r="O56" s="2416">
        <v>0</v>
      </c>
      <c r="P56" s="2416">
        <v>0</v>
      </c>
      <c r="Q56" s="2416">
        <v>0</v>
      </c>
      <c r="R56" s="2416">
        <v>0</v>
      </c>
      <c r="S56" s="2416">
        <v>0</v>
      </c>
      <c r="T56" s="2416">
        <v>0</v>
      </c>
      <c r="U56" s="2416">
        <v>0</v>
      </c>
      <c r="V56" s="2416">
        <v>0</v>
      </c>
      <c r="W56" s="2416">
        <v>0</v>
      </c>
      <c r="X56" s="2416">
        <v>0</v>
      </c>
      <c r="Y56" s="2416">
        <v>0</v>
      </c>
      <c r="Z56" s="2416">
        <v>0</v>
      </c>
      <c r="AA56" s="2416">
        <v>0</v>
      </c>
      <c r="AB56" s="2416">
        <v>0</v>
      </c>
      <c r="AC56" s="2416">
        <v>0</v>
      </c>
      <c r="AD56" s="2416">
        <v>0</v>
      </c>
      <c r="AE56" s="2416">
        <v>0</v>
      </c>
      <c r="AF56" s="2416">
        <v>0</v>
      </c>
      <c r="AG56" s="2416">
        <v>0</v>
      </c>
      <c r="AH56" s="2416">
        <v>0</v>
      </c>
      <c r="AI56" s="2416">
        <v>0</v>
      </c>
      <c r="AJ56" s="2416">
        <v>0</v>
      </c>
      <c r="AK56" s="2416">
        <v>0</v>
      </c>
      <c r="AL56" s="2416">
        <v>0</v>
      </c>
      <c r="AM56" s="2416">
        <v>0</v>
      </c>
      <c r="AN56" s="2416">
        <v>0</v>
      </c>
      <c r="AO56" s="2416">
        <v>0</v>
      </c>
      <c r="AP56" s="2416">
        <v>0</v>
      </c>
      <c r="AQ56" s="2416">
        <v>0</v>
      </c>
      <c r="AR56" s="2416">
        <v>0</v>
      </c>
      <c r="AS56" s="2416">
        <v>0</v>
      </c>
    </row>
    <row r="57" spans="2:45" x14ac:dyDescent="0.2">
      <c r="B57" s="2410"/>
      <c r="C57" s="2415">
        <v>2</v>
      </c>
      <c r="D57" s="2415" t="s">
        <v>1031</v>
      </c>
      <c r="E57" s="2415" t="s">
        <v>317</v>
      </c>
      <c r="F57" s="2415"/>
      <c r="G57" s="2416">
        <v>0</v>
      </c>
      <c r="H57" s="2416">
        <v>0</v>
      </c>
      <c r="I57" s="2416">
        <v>0</v>
      </c>
      <c r="J57" s="2416">
        <v>0</v>
      </c>
      <c r="K57" s="2416">
        <v>0</v>
      </c>
      <c r="L57" s="2416">
        <v>0</v>
      </c>
      <c r="M57" s="2416">
        <v>0</v>
      </c>
      <c r="N57" s="2416">
        <v>0</v>
      </c>
      <c r="O57" s="2416">
        <v>0</v>
      </c>
      <c r="P57" s="2416">
        <v>0</v>
      </c>
      <c r="Q57" s="2416">
        <v>0</v>
      </c>
      <c r="R57" s="2416">
        <v>0</v>
      </c>
      <c r="S57" s="2416">
        <v>0</v>
      </c>
      <c r="T57" s="2416">
        <v>0</v>
      </c>
      <c r="U57" s="2416">
        <v>0</v>
      </c>
      <c r="V57" s="2416">
        <v>0</v>
      </c>
      <c r="W57" s="2416">
        <v>0</v>
      </c>
      <c r="X57" s="2416">
        <v>0</v>
      </c>
      <c r="Y57" s="2416">
        <v>0</v>
      </c>
      <c r="Z57" s="2416">
        <v>0</v>
      </c>
      <c r="AA57" s="2416">
        <v>0</v>
      </c>
      <c r="AB57" s="2416">
        <v>0</v>
      </c>
      <c r="AC57" s="2416">
        <v>0</v>
      </c>
      <c r="AD57" s="2416">
        <v>0</v>
      </c>
      <c r="AE57" s="2416">
        <v>0</v>
      </c>
      <c r="AF57" s="2416">
        <v>0</v>
      </c>
      <c r="AG57" s="2416">
        <v>0</v>
      </c>
      <c r="AH57" s="2416">
        <v>0</v>
      </c>
      <c r="AI57" s="2416">
        <v>0</v>
      </c>
      <c r="AJ57" s="2416">
        <v>0</v>
      </c>
      <c r="AK57" s="2416">
        <v>0</v>
      </c>
      <c r="AL57" s="2416">
        <v>0</v>
      </c>
      <c r="AM57" s="2416">
        <v>0</v>
      </c>
      <c r="AN57" s="2416">
        <v>0</v>
      </c>
      <c r="AO57" s="2416">
        <v>0</v>
      </c>
      <c r="AP57" s="2416">
        <v>0</v>
      </c>
      <c r="AQ57" s="2416">
        <v>0</v>
      </c>
      <c r="AR57" s="2416">
        <v>0</v>
      </c>
      <c r="AS57" s="2416">
        <v>0</v>
      </c>
    </row>
    <row r="58" spans="2:45" x14ac:dyDescent="0.2">
      <c r="B58" s="2410"/>
      <c r="C58" s="2415">
        <v>3</v>
      </c>
      <c r="D58" s="2415" t="s">
        <v>1031</v>
      </c>
      <c r="E58" s="2415" t="s">
        <v>317</v>
      </c>
      <c r="F58" s="2415"/>
      <c r="G58" s="2416">
        <v>0</v>
      </c>
      <c r="H58" s="2416">
        <v>3.5699999999999996E-2</v>
      </c>
      <c r="I58" s="2416">
        <v>7.1399999999999991E-2</v>
      </c>
      <c r="J58" s="2416">
        <v>0.10709999999999999</v>
      </c>
      <c r="K58" s="2416">
        <v>0.14279999999999998</v>
      </c>
      <c r="L58" s="2416">
        <v>0.17849999999999999</v>
      </c>
      <c r="M58" s="2416">
        <v>0.21419999999999997</v>
      </c>
      <c r="N58" s="2416">
        <v>0.24989999999999998</v>
      </c>
      <c r="O58" s="2416">
        <v>0.28559999999999997</v>
      </c>
      <c r="P58" s="2416">
        <v>0.32129999999999997</v>
      </c>
      <c r="Q58" s="2416">
        <v>0.35699999999999998</v>
      </c>
      <c r="R58" s="2416">
        <v>0.39269999999999994</v>
      </c>
      <c r="S58" s="2416">
        <v>0.42839999999999995</v>
      </c>
      <c r="T58" s="2416">
        <v>0.46409999999999996</v>
      </c>
      <c r="U58" s="2416">
        <v>0.49979999999999997</v>
      </c>
      <c r="V58" s="2416">
        <v>0.53549999999999998</v>
      </c>
      <c r="W58" s="2416">
        <v>0.57119999999999993</v>
      </c>
      <c r="X58" s="2416">
        <v>0.6069</v>
      </c>
      <c r="Y58" s="2416">
        <v>0.64259999999999995</v>
      </c>
      <c r="Z58" s="2416">
        <v>0.67829999999999979</v>
      </c>
      <c r="AA58" s="2416">
        <v>0.71399999999999975</v>
      </c>
      <c r="AB58" s="2416">
        <v>0.7496999999999997</v>
      </c>
      <c r="AC58" s="2416">
        <v>0.78539999999999965</v>
      </c>
      <c r="AD58" s="2416">
        <v>0.82109999999999961</v>
      </c>
      <c r="AE58" s="2416">
        <v>0.85679999999999945</v>
      </c>
      <c r="AF58" s="2416">
        <v>0.8924999999999994</v>
      </c>
      <c r="AG58" s="2416">
        <v>0.92819999999999936</v>
      </c>
      <c r="AH58" s="2416">
        <v>0.96389999999999931</v>
      </c>
      <c r="AI58" s="2416">
        <v>0.99959999999999927</v>
      </c>
      <c r="AJ58" s="2416">
        <v>0.99959999999999927</v>
      </c>
      <c r="AK58" s="2416">
        <v>0.99959999999999927</v>
      </c>
      <c r="AL58" s="2416">
        <v>0.99959999999999927</v>
      </c>
      <c r="AM58" s="2416">
        <v>0.99959999999999927</v>
      </c>
      <c r="AN58" s="2416">
        <v>0.99959999999999927</v>
      </c>
      <c r="AO58" s="2416">
        <v>0.99959999999999927</v>
      </c>
      <c r="AP58" s="2416">
        <v>0.99959999999999927</v>
      </c>
      <c r="AQ58" s="2416">
        <v>0.99959999999999927</v>
      </c>
      <c r="AR58" s="2416">
        <v>0.99959999999999927</v>
      </c>
      <c r="AS58" s="2416">
        <v>0.99959999999999927</v>
      </c>
    </row>
    <row r="59" spans="2:45" x14ac:dyDescent="0.2">
      <c r="B59" s="2410"/>
      <c r="C59" s="2415">
        <v>4</v>
      </c>
      <c r="D59" s="2415" t="s">
        <v>1031</v>
      </c>
      <c r="E59" s="2415" t="s">
        <v>317</v>
      </c>
      <c r="F59" s="2415"/>
      <c r="G59" s="2416">
        <v>0</v>
      </c>
      <c r="H59" s="2416">
        <v>5.5500000000000001E-2</v>
      </c>
      <c r="I59" s="2416">
        <v>0.111</v>
      </c>
      <c r="J59" s="2416">
        <v>0.16649999999999998</v>
      </c>
      <c r="K59" s="2416">
        <v>0.222</v>
      </c>
      <c r="L59" s="2416">
        <v>0.27750000000000002</v>
      </c>
      <c r="M59" s="2416">
        <v>0.33299999999999996</v>
      </c>
      <c r="N59" s="2416">
        <v>0.38849999999999996</v>
      </c>
      <c r="O59" s="2416">
        <v>0.44399999999999989</v>
      </c>
      <c r="P59" s="2416">
        <v>0.49949999999999989</v>
      </c>
      <c r="Q59" s="2416">
        <v>0.55499999999999983</v>
      </c>
      <c r="R59" s="2416">
        <v>0.61049999999999982</v>
      </c>
      <c r="S59" s="2416">
        <v>0.66599999999999981</v>
      </c>
      <c r="T59" s="2416">
        <v>0.72149999999999981</v>
      </c>
      <c r="U59" s="2416">
        <v>0.77699999999999969</v>
      </c>
      <c r="V59" s="2416">
        <v>0.83249999999999968</v>
      </c>
      <c r="W59" s="2416">
        <v>0.88799999999999968</v>
      </c>
      <c r="X59" s="2416">
        <v>0.94349999999999967</v>
      </c>
      <c r="Y59" s="2416">
        <v>0.99899999999999967</v>
      </c>
      <c r="Z59" s="2416">
        <v>0.99899999999999967</v>
      </c>
      <c r="AA59" s="2416">
        <v>0.99899999999999967</v>
      </c>
      <c r="AB59" s="2416">
        <v>0.99899999999999967</v>
      </c>
      <c r="AC59" s="2416">
        <v>0.99899999999999967</v>
      </c>
      <c r="AD59" s="2416">
        <v>0.99899999999999967</v>
      </c>
      <c r="AE59" s="2416">
        <v>0.99899999999999967</v>
      </c>
      <c r="AF59" s="2416">
        <v>0.99899999999999967</v>
      </c>
      <c r="AG59" s="2416">
        <v>0.99899999999999967</v>
      </c>
      <c r="AH59" s="2416">
        <v>0.99899999999999967</v>
      </c>
      <c r="AI59" s="2416">
        <v>0.99899999999999967</v>
      </c>
      <c r="AJ59" s="2416">
        <v>0.99899999999999967</v>
      </c>
      <c r="AK59" s="2416">
        <v>0.99899999999999967</v>
      </c>
      <c r="AL59" s="2416">
        <v>0.99899999999999967</v>
      </c>
      <c r="AM59" s="2416">
        <v>0.99899999999999967</v>
      </c>
      <c r="AN59" s="2416">
        <v>0.99899999999999967</v>
      </c>
      <c r="AO59" s="2416">
        <v>0.99899999999999967</v>
      </c>
      <c r="AP59" s="2416">
        <v>0.99899999999999967</v>
      </c>
      <c r="AQ59" s="2416">
        <v>0.99899999999999967</v>
      </c>
      <c r="AR59" s="2416">
        <v>0.99899999999999967</v>
      </c>
      <c r="AS59" s="2416">
        <v>0.99899999999999967</v>
      </c>
    </row>
    <row r="60" spans="2:45" x14ac:dyDescent="0.2">
      <c r="B60" s="2410"/>
      <c r="C60" s="2422" t="s">
        <v>1217</v>
      </c>
      <c r="D60" s="2422" t="s">
        <v>1031</v>
      </c>
      <c r="E60" s="2422"/>
      <c r="F60" s="2422"/>
      <c r="G60" s="2423">
        <f>INDEX($G$56:$AS$59,$G$8,MATCH(G55,$G$55:$AS$55,0))</f>
        <v>0</v>
      </c>
      <c r="H60" s="2423">
        <f t="shared" ref="H60:AS60" si="5">INDEX($G$56:$AS$59,$G$8,MATCH(H55,$G$55:$AS$55,0))</f>
        <v>0</v>
      </c>
      <c r="I60" s="2423">
        <f t="shared" si="5"/>
        <v>0</v>
      </c>
      <c r="J60" s="2423">
        <f t="shared" si="5"/>
        <v>0</v>
      </c>
      <c r="K60" s="2423">
        <f t="shared" si="5"/>
        <v>0</v>
      </c>
      <c r="L60" s="2423">
        <f t="shared" si="5"/>
        <v>0</v>
      </c>
      <c r="M60" s="2423">
        <f t="shared" si="5"/>
        <v>0</v>
      </c>
      <c r="N60" s="2423">
        <f t="shared" si="5"/>
        <v>0</v>
      </c>
      <c r="O60" s="2423">
        <f t="shared" si="5"/>
        <v>0</v>
      </c>
      <c r="P60" s="2423">
        <f t="shared" si="5"/>
        <v>0</v>
      </c>
      <c r="Q60" s="2423">
        <f t="shared" si="5"/>
        <v>0</v>
      </c>
      <c r="R60" s="2423">
        <f t="shared" si="5"/>
        <v>0</v>
      </c>
      <c r="S60" s="2423">
        <f t="shared" si="5"/>
        <v>0</v>
      </c>
      <c r="T60" s="2423">
        <f t="shared" si="5"/>
        <v>0</v>
      </c>
      <c r="U60" s="2423">
        <f t="shared" si="5"/>
        <v>0</v>
      </c>
      <c r="V60" s="2423">
        <f t="shared" si="5"/>
        <v>0</v>
      </c>
      <c r="W60" s="2423">
        <f t="shared" si="5"/>
        <v>0</v>
      </c>
      <c r="X60" s="2423">
        <f t="shared" si="5"/>
        <v>0</v>
      </c>
      <c r="Y60" s="2423">
        <f t="shared" si="5"/>
        <v>0</v>
      </c>
      <c r="Z60" s="2423">
        <f t="shared" si="5"/>
        <v>0</v>
      </c>
      <c r="AA60" s="2423">
        <f t="shared" si="5"/>
        <v>0</v>
      </c>
      <c r="AB60" s="2423">
        <f t="shared" si="5"/>
        <v>0</v>
      </c>
      <c r="AC60" s="2423">
        <f t="shared" si="5"/>
        <v>0</v>
      </c>
      <c r="AD60" s="2423">
        <f t="shared" si="5"/>
        <v>0</v>
      </c>
      <c r="AE60" s="2423">
        <f t="shared" si="5"/>
        <v>0</v>
      </c>
      <c r="AF60" s="2423">
        <f t="shared" si="5"/>
        <v>0</v>
      </c>
      <c r="AG60" s="2423">
        <f t="shared" si="5"/>
        <v>0</v>
      </c>
      <c r="AH60" s="2423">
        <f t="shared" si="5"/>
        <v>0</v>
      </c>
      <c r="AI60" s="2423">
        <f t="shared" si="5"/>
        <v>0</v>
      </c>
      <c r="AJ60" s="2423">
        <f t="shared" si="5"/>
        <v>0</v>
      </c>
      <c r="AK60" s="2423">
        <f t="shared" si="5"/>
        <v>0</v>
      </c>
      <c r="AL60" s="2423">
        <f t="shared" si="5"/>
        <v>0</v>
      </c>
      <c r="AM60" s="2423">
        <f t="shared" si="5"/>
        <v>0</v>
      </c>
      <c r="AN60" s="2423">
        <f t="shared" si="5"/>
        <v>0</v>
      </c>
      <c r="AO60" s="2423">
        <f t="shared" si="5"/>
        <v>0</v>
      </c>
      <c r="AP60" s="2423">
        <f t="shared" si="5"/>
        <v>0</v>
      </c>
      <c r="AQ60" s="2423">
        <f t="shared" si="5"/>
        <v>0</v>
      </c>
      <c r="AR60" s="2423">
        <f t="shared" si="5"/>
        <v>0</v>
      </c>
      <c r="AS60" s="2423">
        <f t="shared" si="5"/>
        <v>0</v>
      </c>
    </row>
    <row r="61" spans="2:45" x14ac:dyDescent="0.2">
      <c r="B61" s="2410"/>
      <c r="C61" s="2411"/>
      <c r="D61" s="2411"/>
      <c r="E61" s="2411"/>
      <c r="F61" s="2411"/>
      <c r="G61" s="2411"/>
      <c r="H61" s="2411"/>
      <c r="I61" s="2411"/>
      <c r="J61" s="2411"/>
      <c r="K61" s="2411"/>
      <c r="L61" s="2411"/>
      <c r="M61" s="2411"/>
      <c r="N61" s="2411"/>
      <c r="O61" s="2411"/>
      <c r="P61" s="2411"/>
      <c r="Q61" s="2411"/>
      <c r="R61" s="2411"/>
      <c r="S61" s="2411"/>
      <c r="T61" s="2411"/>
      <c r="U61" s="2411"/>
      <c r="V61" s="2411"/>
      <c r="W61" s="2411"/>
      <c r="X61" s="2411"/>
      <c r="Y61" s="2411"/>
      <c r="Z61" s="2411"/>
      <c r="AA61" s="2411"/>
      <c r="AB61" s="2411"/>
      <c r="AC61" s="2411"/>
      <c r="AD61" s="2411"/>
      <c r="AE61" s="2411"/>
      <c r="AF61" s="2411"/>
      <c r="AG61" s="2411"/>
      <c r="AH61" s="2411"/>
      <c r="AI61" s="2411"/>
      <c r="AJ61" s="2411"/>
      <c r="AK61" s="2411"/>
      <c r="AL61" s="2411"/>
      <c r="AM61" s="2411"/>
      <c r="AN61" s="2411"/>
      <c r="AO61" s="2411"/>
      <c r="AP61" s="2411"/>
      <c r="AQ61" s="2411"/>
      <c r="AR61" s="2411"/>
      <c r="AS61" s="2411"/>
    </row>
    <row r="62" spans="2:45" x14ac:dyDescent="0.2">
      <c r="B62" s="2410"/>
      <c r="C62" s="2411"/>
      <c r="D62" s="2411"/>
      <c r="E62" s="2411"/>
      <c r="F62" s="2411"/>
      <c r="G62" s="2411"/>
      <c r="H62" s="2411"/>
      <c r="I62" s="2411"/>
      <c r="J62" s="2411"/>
      <c r="K62" s="2411"/>
      <c r="L62" s="2411"/>
      <c r="M62" s="2411"/>
      <c r="N62" s="2411"/>
      <c r="O62" s="2411"/>
      <c r="P62" s="2411"/>
      <c r="Q62" s="2411"/>
      <c r="R62" s="2411"/>
      <c r="S62" s="2411"/>
      <c r="T62" s="2411"/>
      <c r="U62" s="2411"/>
      <c r="V62" s="2411"/>
      <c r="W62" s="2411"/>
      <c r="X62" s="2411"/>
      <c r="Y62" s="2411"/>
      <c r="Z62" s="2411"/>
      <c r="AA62" s="2411"/>
      <c r="AB62" s="2411"/>
      <c r="AC62" s="2411"/>
      <c r="AD62" s="2411"/>
      <c r="AE62" s="2411"/>
      <c r="AF62" s="2411"/>
      <c r="AG62" s="2411"/>
      <c r="AH62" s="2411"/>
      <c r="AI62" s="2411"/>
      <c r="AJ62" s="2411"/>
      <c r="AK62" s="2411"/>
      <c r="AL62" s="2411"/>
      <c r="AM62" s="2411"/>
      <c r="AN62" s="2411"/>
      <c r="AO62" s="2411"/>
      <c r="AP62" s="2411"/>
      <c r="AQ62" s="2411"/>
      <c r="AR62" s="2411"/>
      <c r="AS62" s="2411"/>
    </row>
    <row r="63" spans="2:45" x14ac:dyDescent="0.2">
      <c r="B63" s="2410"/>
      <c r="C63" s="2411"/>
      <c r="D63" s="2411"/>
      <c r="E63" s="2411"/>
      <c r="F63" s="2411"/>
      <c r="G63" s="2411"/>
      <c r="H63" s="2411"/>
      <c r="I63" s="2411"/>
      <c r="J63" s="2411"/>
      <c r="K63" s="2411"/>
      <c r="L63" s="2411"/>
      <c r="M63" s="2411"/>
      <c r="N63" s="2411"/>
      <c r="O63" s="2411"/>
      <c r="P63" s="2411"/>
      <c r="Q63" s="2411"/>
      <c r="R63" s="2411"/>
      <c r="S63" s="2411"/>
      <c r="T63" s="2411"/>
      <c r="U63" s="2411"/>
      <c r="V63" s="2411"/>
      <c r="W63" s="2411"/>
      <c r="X63" s="2411"/>
      <c r="Y63" s="2411"/>
      <c r="Z63" s="2411"/>
      <c r="AA63" s="2411"/>
      <c r="AB63" s="2411"/>
      <c r="AC63" s="2411"/>
      <c r="AD63" s="2411"/>
      <c r="AE63" s="2411"/>
      <c r="AF63" s="2411"/>
      <c r="AG63" s="2411"/>
      <c r="AH63" s="2411"/>
      <c r="AI63" s="2411"/>
      <c r="AJ63" s="2411"/>
      <c r="AK63" s="2411"/>
      <c r="AL63" s="2411"/>
      <c r="AM63" s="2411"/>
      <c r="AN63" s="2411"/>
      <c r="AO63" s="2411"/>
      <c r="AP63" s="2411"/>
      <c r="AQ63" s="2411"/>
      <c r="AR63" s="2411"/>
      <c r="AS63" s="2411"/>
    </row>
    <row r="64" spans="2:45" x14ac:dyDescent="0.2">
      <c r="B64" s="2410"/>
      <c r="C64" s="2412" t="s">
        <v>1358</v>
      </c>
      <c r="D64" s="2411"/>
      <c r="E64" s="2411"/>
      <c r="F64" s="2411"/>
      <c r="G64" s="2411"/>
      <c r="H64" s="2411"/>
      <c r="I64" s="2411"/>
      <c r="J64" s="2411"/>
      <c r="K64" s="2411"/>
      <c r="L64" s="2411"/>
      <c r="M64" s="2411"/>
      <c r="N64" s="2411"/>
      <c r="O64" s="2411"/>
      <c r="P64" s="2411"/>
      <c r="Q64" s="2411"/>
      <c r="R64" s="2411"/>
      <c r="S64" s="2411"/>
      <c r="T64" s="2411"/>
      <c r="U64" s="2411"/>
      <c r="V64" s="2411"/>
      <c r="W64" s="2411"/>
      <c r="X64" s="2411"/>
      <c r="Y64" s="2411"/>
      <c r="Z64" s="2411"/>
      <c r="AA64" s="2411"/>
      <c r="AB64" s="2411"/>
      <c r="AC64" s="2411"/>
      <c r="AD64" s="2411"/>
      <c r="AE64" s="2411"/>
      <c r="AF64" s="2411"/>
      <c r="AG64" s="2411"/>
      <c r="AH64" s="2411"/>
      <c r="AI64" s="2411"/>
      <c r="AJ64" s="2411"/>
      <c r="AK64" s="2411"/>
      <c r="AL64" s="2411"/>
      <c r="AM64" s="2411"/>
      <c r="AN64" s="2411"/>
      <c r="AO64" s="2411"/>
      <c r="AP64" s="2411"/>
      <c r="AQ64" s="2411"/>
      <c r="AR64" s="2411"/>
      <c r="AS64" s="2411"/>
    </row>
    <row r="65" spans="2:16383" x14ac:dyDescent="0.2">
      <c r="B65" s="2428"/>
      <c r="C65" s="2412" t="s">
        <v>1359</v>
      </c>
      <c r="D65" s="2411"/>
      <c r="E65" s="2411"/>
      <c r="F65" s="2411"/>
      <c r="G65" s="2411"/>
      <c r="H65" s="2411"/>
      <c r="I65" s="2411"/>
      <c r="J65" s="2411"/>
      <c r="K65" s="2411"/>
      <c r="L65" s="2411"/>
      <c r="M65" s="2411"/>
      <c r="N65" s="2411"/>
      <c r="O65" s="2411"/>
      <c r="P65" s="2411"/>
      <c r="Q65" s="2411"/>
      <c r="R65" s="2411"/>
      <c r="S65" s="2411"/>
      <c r="T65" s="2411"/>
      <c r="U65" s="2411"/>
      <c r="V65" s="2411"/>
      <c r="W65" s="2411"/>
      <c r="X65" s="2411"/>
      <c r="Y65" s="2411"/>
      <c r="Z65" s="2411"/>
      <c r="AA65" s="2411"/>
      <c r="AB65" s="2411"/>
      <c r="AC65" s="2411"/>
      <c r="AD65" s="2411"/>
      <c r="AE65" s="2411"/>
      <c r="AF65" s="2411"/>
      <c r="AG65" s="2411"/>
      <c r="AH65" s="2411"/>
      <c r="AI65" s="2411"/>
      <c r="AJ65" s="2411"/>
      <c r="AK65" s="2411"/>
      <c r="AL65" s="2411"/>
      <c r="AM65" s="2411"/>
      <c r="AN65" s="2411"/>
      <c r="AO65" s="2411"/>
      <c r="AP65" s="2411"/>
      <c r="AQ65" s="2411"/>
      <c r="AR65" s="2411"/>
      <c r="AS65" s="2411"/>
    </row>
    <row r="66" spans="2:16383" x14ac:dyDescent="0.2">
      <c r="B66" s="2428"/>
      <c r="C66" s="2412" t="s">
        <v>1360</v>
      </c>
      <c r="D66" s="2411"/>
      <c r="E66" s="2411"/>
      <c r="F66" s="2411"/>
      <c r="G66" s="2411"/>
      <c r="H66" s="2411"/>
      <c r="I66" s="2411"/>
      <c r="J66" s="2411"/>
      <c r="K66" s="2411"/>
      <c r="L66" s="2411"/>
      <c r="M66" s="2411"/>
      <c r="N66" s="2411"/>
      <c r="O66" s="2411"/>
      <c r="P66" s="2411"/>
      <c r="Q66" s="2411"/>
      <c r="R66" s="2411"/>
      <c r="S66" s="2411"/>
      <c r="T66" s="2411"/>
      <c r="U66" s="2411"/>
      <c r="V66" s="2411"/>
      <c r="W66" s="2411"/>
      <c r="X66" s="2411"/>
      <c r="Y66" s="2411"/>
      <c r="Z66" s="2411"/>
      <c r="AA66" s="2411"/>
      <c r="AB66" s="2411"/>
      <c r="AC66" s="2411"/>
      <c r="AD66" s="2411"/>
      <c r="AE66" s="2411"/>
      <c r="AF66" s="2411"/>
      <c r="AG66" s="2411"/>
      <c r="AH66" s="2411"/>
      <c r="AI66" s="2411"/>
      <c r="AJ66" s="2411"/>
      <c r="AK66" s="2411"/>
      <c r="AL66" s="2411"/>
      <c r="AM66" s="2411"/>
      <c r="AN66" s="2411"/>
      <c r="AO66" s="2411"/>
      <c r="AP66" s="2411"/>
      <c r="AQ66" s="2411"/>
      <c r="AR66" s="2411"/>
      <c r="AS66" s="2411"/>
    </row>
    <row r="67" spans="2:16383" x14ac:dyDescent="0.2">
      <c r="B67" s="2428"/>
      <c r="C67" s="2412" t="s">
        <v>1361</v>
      </c>
      <c r="D67" s="2411"/>
      <c r="E67" s="2411"/>
      <c r="F67" s="2411"/>
      <c r="G67" s="2411"/>
      <c r="H67" s="2411"/>
      <c r="I67" s="2411"/>
      <c r="J67" s="2411"/>
      <c r="K67" s="2411"/>
      <c r="L67" s="2411"/>
      <c r="M67" s="2411"/>
      <c r="N67" s="2411"/>
      <c r="O67" s="2411"/>
      <c r="P67" s="2411"/>
      <c r="Q67" s="2411"/>
      <c r="R67" s="2411"/>
      <c r="S67" s="2411"/>
      <c r="T67" s="2411"/>
      <c r="U67" s="2411"/>
      <c r="V67" s="2411"/>
      <c r="W67" s="2411"/>
      <c r="X67" s="2411"/>
      <c r="Y67" s="2411"/>
      <c r="Z67" s="2411"/>
      <c r="AA67" s="2411"/>
      <c r="AB67" s="2411"/>
      <c r="AC67" s="2411"/>
      <c r="AD67" s="2411"/>
      <c r="AE67" s="2411"/>
      <c r="AF67" s="2411"/>
      <c r="AG67" s="2411"/>
      <c r="AH67" s="2411"/>
      <c r="AI67" s="2411"/>
      <c r="AJ67" s="2411"/>
      <c r="AK67" s="2411"/>
      <c r="AL67" s="2411"/>
      <c r="AM67" s="2411"/>
      <c r="AN67" s="2411"/>
      <c r="AO67" s="2411"/>
      <c r="AP67" s="2411"/>
      <c r="AQ67" s="2411"/>
      <c r="AR67" s="2411"/>
      <c r="AS67" s="2411"/>
    </row>
    <row r="68" spans="2:16383" x14ac:dyDescent="0.2">
      <c r="B68" s="2428"/>
      <c r="C68" s="2412"/>
      <c r="D68" s="2411"/>
      <c r="E68" s="2411"/>
      <c r="F68" s="2411"/>
      <c r="G68" s="2411"/>
      <c r="H68" s="2411"/>
      <c r="I68" s="2411"/>
      <c r="J68" s="2411"/>
      <c r="K68" s="2411"/>
      <c r="L68" s="2411"/>
      <c r="M68" s="2411"/>
      <c r="N68" s="2411"/>
      <c r="O68" s="2411"/>
      <c r="P68" s="2411"/>
      <c r="Q68" s="2411"/>
      <c r="R68" s="2411"/>
      <c r="S68" s="2411"/>
      <c r="T68" s="2411"/>
      <c r="U68" s="2411"/>
      <c r="V68" s="2411"/>
      <c r="W68" s="2411"/>
      <c r="X68" s="2411"/>
      <c r="Y68" s="2411"/>
      <c r="Z68" s="2411"/>
      <c r="AA68" s="2411"/>
      <c r="AB68" s="2411"/>
      <c r="AC68" s="2411"/>
      <c r="AD68" s="2411"/>
      <c r="AE68" s="2411"/>
      <c r="AF68" s="2411"/>
      <c r="AG68" s="2411"/>
      <c r="AH68" s="2411"/>
      <c r="AI68" s="2411"/>
      <c r="AJ68" s="2411"/>
      <c r="AK68" s="2411"/>
      <c r="AL68" s="2411"/>
      <c r="AM68" s="2411"/>
      <c r="AN68" s="2411"/>
      <c r="AO68" s="2411"/>
      <c r="AP68" s="2411"/>
      <c r="AQ68" s="2411"/>
      <c r="AR68" s="2411"/>
      <c r="AS68" s="2411"/>
    </row>
    <row r="69" spans="2:16383" x14ac:dyDescent="0.2">
      <c r="B69" s="2429" t="s">
        <v>1048</v>
      </c>
      <c r="C69" s="2409"/>
      <c r="D69" s="2409"/>
      <c r="E69" s="2409"/>
      <c r="F69" s="2409"/>
      <c r="G69" s="2409"/>
      <c r="H69" s="2409"/>
      <c r="I69" s="2409"/>
      <c r="J69" s="2409"/>
      <c r="K69" s="2409"/>
      <c r="L69" s="2409"/>
      <c r="M69" s="2409"/>
      <c r="N69" s="2409"/>
      <c r="O69" s="2409"/>
      <c r="P69" s="2409"/>
      <c r="Q69" s="2409"/>
      <c r="R69" s="2409"/>
      <c r="S69" s="2409"/>
      <c r="T69" s="2409"/>
      <c r="U69" s="2409"/>
      <c r="V69" s="2409"/>
      <c r="W69" s="2409"/>
      <c r="X69" s="2409"/>
      <c r="Y69" s="2409"/>
      <c r="Z69" s="2409"/>
      <c r="AA69" s="2409"/>
      <c r="AB69" s="2409"/>
      <c r="AC69" s="2409"/>
      <c r="AD69" s="2409"/>
      <c r="AE69" s="2409"/>
      <c r="AF69" s="2409"/>
      <c r="AG69" s="2409"/>
      <c r="AH69" s="2409"/>
      <c r="AI69" s="2409"/>
      <c r="AJ69" s="2409"/>
      <c r="AK69" s="2409"/>
      <c r="AL69" s="2409"/>
      <c r="AM69" s="2409"/>
      <c r="AN69" s="2409"/>
      <c r="AO69" s="2409"/>
      <c r="AP69" s="2409"/>
      <c r="AQ69" s="2409"/>
      <c r="AR69" s="2409"/>
      <c r="AS69" s="2409"/>
    </row>
    <row r="70" spans="2:16383" x14ac:dyDescent="0.2">
      <c r="B70" s="2410"/>
      <c r="C70" s="2430"/>
      <c r="D70" s="2430"/>
      <c r="E70" s="2430"/>
      <c r="F70" s="2430"/>
      <c r="G70" s="2430"/>
      <c r="H70" s="2430"/>
      <c r="I70" s="2430"/>
      <c r="J70" s="2430"/>
      <c r="K70" s="2430"/>
      <c r="L70" s="2430"/>
      <c r="M70" s="2430"/>
      <c r="N70" s="2430"/>
      <c r="O70" s="2430"/>
      <c r="P70" s="2430"/>
      <c r="Q70" s="2430"/>
      <c r="R70" s="2430"/>
      <c r="S70" s="2430"/>
      <c r="T70" s="2430"/>
      <c r="U70" s="2430"/>
      <c r="V70" s="2430"/>
      <c r="W70" s="2430"/>
      <c r="X70" s="2430"/>
      <c r="Y70" s="2430"/>
      <c r="Z70" s="2430"/>
      <c r="AA70" s="2430"/>
      <c r="AB70" s="2430"/>
      <c r="AC70" s="2430"/>
      <c r="AD70" s="2430"/>
      <c r="AE70" s="2430"/>
      <c r="AF70" s="2430"/>
      <c r="AG70" s="2430"/>
      <c r="AH70" s="2430"/>
      <c r="AI70" s="2430"/>
      <c r="AJ70" s="2430"/>
      <c r="AK70" s="2430"/>
      <c r="AL70" s="2430"/>
      <c r="AM70" s="2430"/>
      <c r="AN70" s="2430"/>
      <c r="AO70" s="2430"/>
      <c r="AP70" s="2430"/>
      <c r="AQ70" s="2430"/>
      <c r="AR70" s="2430"/>
      <c r="AS70" s="2430"/>
    </row>
    <row r="71" spans="2:16383" x14ac:dyDescent="0.2">
      <c r="B71" s="2410" t="s">
        <v>1362</v>
      </c>
      <c r="C71" s="2430" t="s">
        <v>1363</v>
      </c>
      <c r="D71" s="2430"/>
      <c r="E71" s="2430"/>
      <c r="F71" s="2430"/>
      <c r="G71" s="2430"/>
      <c r="H71" s="2430"/>
      <c r="I71" s="2430"/>
      <c r="J71" s="2430"/>
      <c r="K71" s="2430"/>
      <c r="L71" s="2430"/>
      <c r="M71" s="2430"/>
      <c r="N71" s="2430"/>
      <c r="O71" s="2430"/>
      <c r="P71" s="2430"/>
      <c r="Q71" s="2430"/>
      <c r="R71" s="2430"/>
      <c r="S71" s="2430"/>
      <c r="T71" s="2430"/>
      <c r="U71" s="2430"/>
      <c r="V71" s="2430"/>
      <c r="W71" s="2430"/>
      <c r="X71" s="2430"/>
      <c r="Y71" s="2430"/>
      <c r="Z71" s="2430"/>
      <c r="AA71" s="2430"/>
      <c r="AB71" s="2430"/>
      <c r="AC71" s="2430"/>
      <c r="AD71" s="2430"/>
      <c r="AE71" s="2430"/>
      <c r="AF71" s="2430"/>
      <c r="AG71" s="2430"/>
      <c r="AH71" s="2430"/>
      <c r="AI71" s="2430"/>
      <c r="AJ71" s="2430"/>
      <c r="AK71" s="2430"/>
      <c r="AL71" s="2430"/>
      <c r="AM71" s="2430"/>
      <c r="AN71" s="2430"/>
      <c r="AO71" s="2430"/>
      <c r="AP71" s="2430"/>
      <c r="AQ71" s="2430"/>
      <c r="AR71" s="2430"/>
      <c r="AS71" s="2430"/>
    </row>
    <row r="72" spans="2:16383" x14ac:dyDescent="0.2">
      <c r="B72" s="2410"/>
      <c r="C72" s="2413"/>
      <c r="D72" s="2414" t="s">
        <v>1029</v>
      </c>
      <c r="E72" s="2414" t="s">
        <v>8</v>
      </c>
      <c r="F72" s="2414"/>
      <c r="G72" s="2414">
        <v>2012</v>
      </c>
      <c r="H72" s="2414">
        <v>2013</v>
      </c>
      <c r="I72" s="2414">
        <v>2014</v>
      </c>
      <c r="J72" s="2414">
        <v>2015</v>
      </c>
      <c r="K72" s="2414">
        <v>2016</v>
      </c>
      <c r="L72" s="2414">
        <v>2017</v>
      </c>
      <c r="M72" s="2414">
        <v>2018</v>
      </c>
      <c r="N72" s="2414">
        <v>2019</v>
      </c>
      <c r="O72" s="2414">
        <v>2020</v>
      </c>
      <c r="P72" s="2414">
        <v>2021</v>
      </c>
      <c r="Q72" s="2414">
        <v>2022</v>
      </c>
      <c r="R72" s="2414">
        <v>2023</v>
      </c>
      <c r="S72" s="2414">
        <v>2024</v>
      </c>
      <c r="T72" s="2414">
        <v>2025</v>
      </c>
      <c r="U72" s="2414">
        <v>2026</v>
      </c>
      <c r="V72" s="2414">
        <v>2027</v>
      </c>
      <c r="W72" s="2414">
        <v>2028</v>
      </c>
      <c r="X72" s="2414">
        <v>2029</v>
      </c>
      <c r="Y72" s="2414">
        <v>2030</v>
      </c>
      <c r="Z72" s="2414">
        <v>2031</v>
      </c>
      <c r="AA72" s="2414">
        <v>2032</v>
      </c>
      <c r="AB72" s="2414">
        <v>2033</v>
      </c>
      <c r="AC72" s="2414">
        <v>2034</v>
      </c>
      <c r="AD72" s="2414">
        <v>2035</v>
      </c>
      <c r="AE72" s="2414">
        <v>2036</v>
      </c>
      <c r="AF72" s="2414">
        <v>2037</v>
      </c>
      <c r="AG72" s="2414">
        <v>2038</v>
      </c>
      <c r="AH72" s="2414">
        <v>2039</v>
      </c>
      <c r="AI72" s="2414">
        <v>2040</v>
      </c>
      <c r="AJ72" s="2414">
        <v>2041</v>
      </c>
      <c r="AK72" s="2414">
        <v>2042</v>
      </c>
      <c r="AL72" s="2414">
        <v>2043</v>
      </c>
      <c r="AM72" s="2414">
        <v>2044</v>
      </c>
      <c r="AN72" s="2414">
        <v>2045</v>
      </c>
      <c r="AO72" s="2414">
        <v>2046</v>
      </c>
      <c r="AP72" s="2414">
        <v>2047</v>
      </c>
      <c r="AQ72" s="2414">
        <v>2048</v>
      </c>
      <c r="AR72" s="2414">
        <v>2049</v>
      </c>
      <c r="AS72" s="2414">
        <v>2050</v>
      </c>
    </row>
    <row r="73" spans="2:16383" x14ac:dyDescent="0.2">
      <c r="B73" s="2410"/>
      <c r="C73" s="2412" t="s">
        <v>1364</v>
      </c>
      <c r="D73" s="2415" t="s">
        <v>1365</v>
      </c>
      <c r="E73" s="2411" t="s">
        <v>319</v>
      </c>
      <c r="F73" s="2411"/>
      <c r="G73" s="2431"/>
      <c r="H73" s="2431"/>
      <c r="I73" s="2431"/>
      <c r="J73" s="2431"/>
      <c r="K73" s="2431"/>
      <c r="L73" s="2431"/>
      <c r="M73" s="2431"/>
      <c r="N73" s="2431"/>
      <c r="O73" s="2431"/>
      <c r="P73" s="2431"/>
      <c r="Q73" s="2431"/>
      <c r="R73" s="2431"/>
      <c r="S73" s="2431"/>
      <c r="T73" s="2431"/>
      <c r="U73" s="2431"/>
      <c r="V73" s="2431"/>
      <c r="W73" s="2431"/>
      <c r="X73" s="2431"/>
      <c r="Y73" s="2431"/>
      <c r="Z73" s="2431"/>
      <c r="AA73" s="2431"/>
      <c r="AB73" s="2431"/>
      <c r="AC73" s="2431"/>
      <c r="AD73" s="2431"/>
      <c r="AE73" s="2431"/>
      <c r="AF73" s="2431"/>
      <c r="AG73" s="2431"/>
      <c r="AH73" s="2431"/>
      <c r="AI73" s="2431"/>
      <c r="AJ73" s="2431"/>
      <c r="AK73" s="2431"/>
      <c r="AL73" s="2431"/>
      <c r="AM73" s="2431"/>
      <c r="AN73" s="2431"/>
      <c r="AO73" s="2431"/>
      <c r="AP73" s="2431"/>
      <c r="AQ73" s="2431"/>
      <c r="AR73" s="2431"/>
      <c r="AS73" s="2431"/>
    </row>
    <row r="74" spans="2:16383" ht="15" x14ac:dyDescent="0.25">
      <c r="B74" s="2410"/>
      <c r="C74" s="2432" t="s">
        <v>1366</v>
      </c>
      <c r="D74" s="2415" t="s">
        <v>1365</v>
      </c>
      <c r="E74" s="2411" t="s">
        <v>319</v>
      </c>
      <c r="F74" s="2411"/>
      <c r="G74" s="2431">
        <v>1232546.4530137544</v>
      </c>
      <c r="H74" s="2431">
        <v>1228502.4491034357</v>
      </c>
      <c r="I74" s="2431">
        <v>1231793.4121813753</v>
      </c>
      <c r="J74" s="2431">
        <v>1231433.0117562772</v>
      </c>
      <c r="K74" s="2431">
        <v>1228657.6149648479</v>
      </c>
      <c r="L74" s="2431">
        <v>1223289.6356866376</v>
      </c>
      <c r="M74" s="2431">
        <v>1214526.3805641145</v>
      </c>
      <c r="N74" s="2431">
        <v>1206118.8009946328</v>
      </c>
      <c r="O74" s="2431">
        <v>1198062.4596966058</v>
      </c>
      <c r="P74" s="2431">
        <v>1190069.8732816549</v>
      </c>
      <c r="Q74" s="2431">
        <v>1181755.5802033034</v>
      </c>
      <c r="R74" s="2431">
        <v>1175143.9240003927</v>
      </c>
      <c r="S74" s="2431">
        <v>1169879.598131204</v>
      </c>
      <c r="T74" s="2431">
        <v>1165683.8110572863</v>
      </c>
      <c r="U74" s="2431">
        <v>1162336.9725786534</v>
      </c>
      <c r="V74" s="2431">
        <v>1159665.5865146734</v>
      </c>
      <c r="W74" s="2431">
        <v>1157532.231682108</v>
      </c>
      <c r="X74" s="2431">
        <v>1155827.8407344318</v>
      </c>
      <c r="Y74" s="2431">
        <v>1154465.7089364899</v>
      </c>
      <c r="Z74" s="2431">
        <v>1153376.8186841616</v>
      </c>
      <c r="AA74" s="2431">
        <v>1152506.1735647523</v>
      </c>
      <c r="AB74" s="2431">
        <v>1151809.912809249</v>
      </c>
      <c r="AC74" s="2431">
        <v>1151253.0327945373</v>
      </c>
      <c r="AD74" s="2431">
        <v>1150807.5832323395</v>
      </c>
      <c r="AE74" s="2431">
        <v>1150451.2361530834</v>
      </c>
      <c r="AF74" s="2431">
        <v>1150166.1487090704</v>
      </c>
      <c r="AG74" s="2431">
        <v>1149938.0582284676</v>
      </c>
      <c r="AH74" s="2431">
        <v>1149755.561290116</v>
      </c>
      <c r="AI74" s="2431">
        <v>1149609.5388866386</v>
      </c>
      <c r="AJ74" s="2431">
        <v>1149492.6977439991</v>
      </c>
      <c r="AK74" s="2431">
        <v>1149399.2041152588</v>
      </c>
      <c r="AL74" s="2431">
        <v>1149324.3912696964</v>
      </c>
      <c r="AM74" s="2431">
        <v>1149264.5257602474</v>
      </c>
      <c r="AN74" s="2431">
        <v>1149216.6206025393</v>
      </c>
      <c r="AO74" s="2431">
        <v>1149178.2859145156</v>
      </c>
      <c r="AP74" s="2431">
        <v>1149147.6094823675</v>
      </c>
      <c r="AQ74" s="2431">
        <v>1149123.0612420647</v>
      </c>
      <c r="AR74" s="2431">
        <v>1149103.4168782318</v>
      </c>
      <c r="AS74" s="2431">
        <v>1149087.6967081504</v>
      </c>
      <c r="AT74" s="2198"/>
      <c r="AU74" s="2198"/>
      <c r="AV74" s="2198"/>
      <c r="AW74" s="2198"/>
      <c r="AX74" s="2198"/>
      <c r="AY74" s="2198"/>
      <c r="AZ74" s="2198"/>
      <c r="BA74" s="2198"/>
      <c r="BB74" s="2198"/>
      <c r="BC74" s="2198"/>
      <c r="BD74" s="2198"/>
      <c r="BE74" s="2198"/>
      <c r="BF74" s="2198"/>
      <c r="BG74" s="2198"/>
      <c r="BH74" s="2198"/>
      <c r="BI74" s="2198"/>
      <c r="BJ74" s="2198"/>
      <c r="BK74" s="2198"/>
      <c r="BL74" s="2198"/>
      <c r="BM74" s="2198"/>
      <c r="BN74" s="2198"/>
      <c r="BO74" s="2198"/>
      <c r="BP74" s="2198"/>
      <c r="BQ74" s="2198"/>
      <c r="BR74" s="2198"/>
      <c r="BS74" s="2198"/>
      <c r="BT74" s="2198"/>
      <c r="BU74" s="2198"/>
      <c r="BV74" s="2198"/>
      <c r="BW74" s="2198"/>
      <c r="BX74" s="2198"/>
      <c r="BY74" s="2198"/>
      <c r="BZ74" s="2198"/>
      <c r="CA74" s="2198"/>
      <c r="CB74" s="2198"/>
      <c r="CC74" s="2198"/>
      <c r="CD74" s="2198"/>
      <c r="CE74" s="2198"/>
      <c r="CF74" s="2198"/>
      <c r="CG74" s="2198"/>
      <c r="CH74" s="2198"/>
      <c r="CI74" s="2198"/>
      <c r="CJ74" s="2198"/>
      <c r="CK74" s="2198"/>
      <c r="CL74" s="2198"/>
      <c r="CM74" s="2198"/>
      <c r="CN74" s="2198"/>
      <c r="CO74" s="2198"/>
      <c r="CP74" s="2198"/>
      <c r="CQ74" s="2198"/>
      <c r="CR74" s="2198"/>
      <c r="CS74" s="2198"/>
      <c r="CT74" s="2198"/>
      <c r="CU74" s="2198"/>
      <c r="CV74" s="2198"/>
      <c r="CW74" s="2198"/>
      <c r="CX74" s="2198"/>
      <c r="CY74" s="2198"/>
      <c r="CZ74" s="2198"/>
      <c r="DA74" s="2198"/>
      <c r="DB74" s="2198"/>
      <c r="DC74" s="2198"/>
      <c r="DD74" s="2198"/>
      <c r="DE74" s="2198"/>
      <c r="DF74" s="2198"/>
      <c r="DG74" s="2198"/>
      <c r="DH74" s="2198"/>
      <c r="DI74" s="2198"/>
      <c r="DJ74" s="2198"/>
      <c r="DK74" s="2198"/>
      <c r="DL74" s="2198"/>
      <c r="DM74" s="2198"/>
      <c r="DN74" s="2198"/>
      <c r="DO74" s="2198"/>
      <c r="DP74" s="2198"/>
      <c r="DQ74" s="2198"/>
      <c r="DR74" s="2198"/>
      <c r="DS74" s="2198"/>
      <c r="DT74" s="2198"/>
      <c r="DU74" s="2198"/>
      <c r="DV74" s="2198"/>
      <c r="DW74" s="2198"/>
      <c r="DX74" s="2198"/>
      <c r="DY74" s="2198"/>
      <c r="DZ74" s="2198"/>
      <c r="EA74" s="2198"/>
      <c r="EB74" s="2198"/>
      <c r="EC74" s="2198"/>
      <c r="ED74" s="2198"/>
      <c r="EE74" s="2198"/>
      <c r="EF74" s="2198"/>
      <c r="EG74" s="2198"/>
      <c r="EH74" s="2198"/>
      <c r="EI74" s="2198"/>
      <c r="EJ74" s="2198"/>
      <c r="EK74" s="2198"/>
      <c r="EL74" s="2198"/>
      <c r="EM74" s="2198"/>
      <c r="EN74" s="2198"/>
      <c r="EO74" s="2198"/>
      <c r="EP74" s="2198"/>
      <c r="EQ74" s="2198"/>
      <c r="ER74" s="2198"/>
      <c r="ES74" s="2198"/>
      <c r="ET74" s="2198"/>
      <c r="EU74" s="2198"/>
      <c r="EV74" s="2198"/>
      <c r="EW74" s="2198"/>
      <c r="EX74" s="2198"/>
      <c r="EY74" s="2198"/>
      <c r="EZ74" s="2198"/>
      <c r="FA74" s="2198"/>
      <c r="FB74" s="2198"/>
      <c r="FC74" s="2198"/>
      <c r="FD74" s="2198"/>
      <c r="FE74" s="2198"/>
      <c r="FF74" s="2198"/>
      <c r="FG74" s="2198"/>
      <c r="FH74" s="2198"/>
      <c r="FI74" s="2198"/>
      <c r="FJ74" s="2198"/>
      <c r="FK74" s="2198"/>
      <c r="FL74" s="2198"/>
      <c r="FM74" s="2198"/>
      <c r="FN74" s="2198"/>
      <c r="FO74" s="2198"/>
      <c r="FP74" s="2198"/>
      <c r="FQ74" s="2198"/>
      <c r="FR74" s="2198"/>
      <c r="FS74" s="2198"/>
      <c r="FT74" s="2198"/>
      <c r="FU74" s="2198"/>
      <c r="FV74" s="2198"/>
      <c r="FW74" s="2198"/>
      <c r="FX74" s="2198"/>
      <c r="FY74" s="2198"/>
      <c r="FZ74" s="2198"/>
      <c r="GA74" s="2198"/>
      <c r="GB74" s="2198"/>
      <c r="GC74" s="2198"/>
      <c r="GD74" s="2198"/>
      <c r="GE74" s="2198"/>
      <c r="GF74" s="2198"/>
      <c r="GG74" s="2198"/>
      <c r="GH74" s="2198"/>
      <c r="GI74" s="2198"/>
      <c r="GJ74" s="2198"/>
      <c r="GK74" s="2198"/>
      <c r="GL74" s="2198"/>
      <c r="GM74" s="2198"/>
      <c r="GN74" s="2198"/>
      <c r="GO74" s="2198"/>
      <c r="GP74" s="2198"/>
      <c r="GQ74" s="2198"/>
      <c r="GR74" s="2198"/>
      <c r="GS74" s="2198"/>
      <c r="GT74" s="2198"/>
      <c r="GU74" s="2198"/>
      <c r="GV74" s="2198"/>
      <c r="GW74" s="2198"/>
      <c r="GX74" s="2198"/>
      <c r="GY74" s="2198"/>
      <c r="GZ74" s="2198"/>
      <c r="HA74" s="2198"/>
      <c r="HB74" s="2198"/>
      <c r="HC74" s="2198"/>
      <c r="HD74" s="2198"/>
      <c r="HE74" s="2198"/>
      <c r="HF74" s="2198"/>
      <c r="HG74" s="2198"/>
      <c r="HH74" s="2198"/>
      <c r="HI74" s="2198"/>
      <c r="HJ74" s="2198"/>
      <c r="HK74" s="2198"/>
      <c r="HL74" s="2198"/>
      <c r="HM74" s="2198"/>
      <c r="HN74" s="2198"/>
      <c r="HO74" s="2198"/>
      <c r="HP74" s="2198"/>
      <c r="HQ74" s="2198"/>
      <c r="HR74" s="2198"/>
      <c r="HS74" s="2198"/>
      <c r="HT74" s="2198"/>
      <c r="HU74" s="2198"/>
      <c r="HV74" s="2198"/>
      <c r="HW74" s="2198"/>
      <c r="HX74" s="2198"/>
      <c r="HY74" s="2198"/>
      <c r="HZ74" s="2198"/>
      <c r="IA74" s="2198"/>
      <c r="IB74" s="2198"/>
      <c r="IC74" s="2198"/>
      <c r="ID74" s="2198"/>
      <c r="IE74" s="2198"/>
      <c r="IF74" s="2198"/>
      <c r="IG74" s="2198"/>
      <c r="IH74" s="2198"/>
      <c r="II74" s="2198"/>
      <c r="IJ74" s="2198"/>
      <c r="IK74" s="2198"/>
      <c r="IL74" s="2198"/>
      <c r="IM74" s="2198"/>
      <c r="IN74" s="2198"/>
      <c r="IO74" s="2198"/>
      <c r="IP74" s="2198"/>
      <c r="IQ74" s="2198"/>
      <c r="IR74" s="2198"/>
      <c r="IS74" s="2198"/>
      <c r="IT74" s="2198"/>
      <c r="IU74" s="2198"/>
      <c r="IV74" s="2198"/>
      <c r="IW74" s="2198"/>
      <c r="IX74" s="2198"/>
      <c r="IY74" s="2198"/>
      <c r="IZ74" s="2198"/>
      <c r="JA74" s="2198"/>
      <c r="JB74" s="2198"/>
      <c r="JC74" s="2198"/>
      <c r="JD74" s="2198"/>
      <c r="JE74" s="2198"/>
      <c r="JF74" s="2198"/>
      <c r="JG74" s="2198"/>
      <c r="JH74" s="2198"/>
      <c r="JI74" s="2198"/>
      <c r="JJ74" s="2198"/>
      <c r="JK74" s="2198"/>
      <c r="JL74" s="2198"/>
      <c r="JM74" s="2198"/>
      <c r="JN74" s="2198"/>
      <c r="JO74" s="2198"/>
      <c r="JP74" s="2198"/>
      <c r="JQ74" s="2198"/>
      <c r="JR74" s="2198"/>
      <c r="JS74" s="2198"/>
      <c r="JT74" s="2198"/>
      <c r="JU74" s="2198"/>
      <c r="JV74" s="2198"/>
      <c r="JW74" s="2198"/>
      <c r="JX74" s="2198"/>
      <c r="JY74" s="2198"/>
      <c r="JZ74" s="2198"/>
      <c r="KA74" s="2198"/>
      <c r="KB74" s="2198"/>
      <c r="KC74" s="2198"/>
      <c r="KD74" s="2198"/>
      <c r="KE74" s="2198"/>
      <c r="KF74" s="2198"/>
      <c r="KG74" s="2198"/>
      <c r="KH74" s="2198"/>
      <c r="KI74" s="2198"/>
      <c r="KJ74" s="2198"/>
      <c r="KK74" s="2198"/>
      <c r="KL74" s="2198"/>
      <c r="KM74" s="2198"/>
      <c r="KN74" s="2198"/>
      <c r="KO74" s="2198"/>
      <c r="KP74" s="2198"/>
      <c r="KQ74" s="2198"/>
      <c r="KR74" s="2198"/>
      <c r="KS74" s="2198"/>
      <c r="KT74" s="2198"/>
      <c r="KU74" s="2198"/>
      <c r="KV74" s="2198"/>
      <c r="KW74" s="2198"/>
      <c r="KX74" s="2198"/>
      <c r="KY74" s="2198"/>
      <c r="KZ74" s="2198"/>
      <c r="LA74" s="2198"/>
      <c r="LB74" s="2198"/>
      <c r="LC74" s="2198"/>
      <c r="LD74" s="2198"/>
      <c r="LE74" s="2198"/>
      <c r="LF74" s="2198"/>
      <c r="LG74" s="2198"/>
      <c r="LH74" s="2198"/>
      <c r="LI74" s="2198"/>
      <c r="LJ74" s="2198"/>
      <c r="LK74" s="2198"/>
      <c r="LL74" s="2198"/>
      <c r="LM74" s="2198"/>
      <c r="LN74" s="2198"/>
      <c r="LO74" s="2198"/>
      <c r="LP74" s="2198"/>
      <c r="LQ74" s="2198"/>
      <c r="LR74" s="2198"/>
      <c r="LS74" s="2198"/>
      <c r="LT74" s="2198"/>
      <c r="LU74" s="2198"/>
      <c r="LV74" s="2198"/>
      <c r="LW74" s="2198"/>
      <c r="LX74" s="2198"/>
      <c r="LY74" s="2198"/>
      <c r="LZ74" s="2198"/>
      <c r="MA74" s="2198"/>
      <c r="MB74" s="2198"/>
      <c r="MC74" s="2198"/>
      <c r="MD74" s="2198"/>
      <c r="ME74" s="2198"/>
      <c r="MF74" s="2198"/>
      <c r="MG74" s="2198"/>
      <c r="MH74" s="2198"/>
      <c r="MI74" s="2198"/>
      <c r="MJ74" s="2198"/>
      <c r="MK74" s="2198"/>
      <c r="ML74" s="2198"/>
      <c r="MM74" s="2198"/>
      <c r="MN74" s="2198"/>
      <c r="MO74" s="2198"/>
      <c r="MP74" s="2198"/>
      <c r="MQ74" s="2198"/>
      <c r="MR74" s="2198"/>
      <c r="MS74" s="2198"/>
      <c r="MT74" s="2198"/>
      <c r="MU74" s="2198"/>
      <c r="MV74" s="2198"/>
      <c r="MW74" s="2198"/>
      <c r="MX74" s="2198"/>
      <c r="MY74" s="2198"/>
      <c r="MZ74" s="2198"/>
      <c r="NA74" s="2198"/>
      <c r="NB74" s="2198"/>
      <c r="NC74" s="2198"/>
      <c r="ND74" s="2198"/>
      <c r="NE74" s="2198"/>
      <c r="NF74" s="2198"/>
      <c r="NG74" s="2198"/>
      <c r="NH74" s="2198"/>
      <c r="NI74" s="2198"/>
      <c r="NJ74" s="2198"/>
      <c r="NK74" s="2198"/>
      <c r="NL74" s="2198"/>
      <c r="NM74" s="2198"/>
      <c r="NN74" s="2198"/>
      <c r="NO74" s="2198"/>
      <c r="NP74" s="2198"/>
      <c r="NQ74" s="2198"/>
      <c r="NR74" s="2198"/>
      <c r="NS74" s="2198"/>
      <c r="NT74" s="2198"/>
      <c r="NU74" s="2198"/>
      <c r="NV74" s="2198"/>
      <c r="NW74" s="2198"/>
      <c r="NX74" s="2198"/>
      <c r="NY74" s="2198"/>
      <c r="NZ74" s="2198"/>
      <c r="OA74" s="2198"/>
      <c r="OB74" s="2198"/>
      <c r="OC74" s="2198"/>
      <c r="OD74" s="2198"/>
      <c r="OE74" s="2198"/>
      <c r="OF74" s="2198"/>
      <c r="OG74" s="2198"/>
      <c r="OH74" s="2198"/>
      <c r="OI74" s="2198"/>
      <c r="OJ74" s="2198"/>
      <c r="OK74" s="2198"/>
      <c r="OL74" s="2198"/>
      <c r="OM74" s="2198"/>
      <c r="ON74" s="2198"/>
      <c r="OO74" s="2198"/>
      <c r="OP74" s="2198"/>
      <c r="OQ74" s="2198"/>
      <c r="OR74" s="2198"/>
      <c r="OS74" s="2198"/>
      <c r="OT74" s="2198"/>
      <c r="OU74" s="2198"/>
      <c r="OV74" s="2198"/>
      <c r="OW74" s="2198"/>
      <c r="OX74" s="2198"/>
      <c r="OY74" s="2198"/>
      <c r="OZ74" s="2198"/>
      <c r="PA74" s="2198"/>
      <c r="PB74" s="2198"/>
      <c r="PC74" s="2198"/>
      <c r="PD74" s="2198"/>
      <c r="PE74" s="2198"/>
      <c r="PF74" s="2198"/>
      <c r="PG74" s="2198"/>
      <c r="PH74" s="2198"/>
      <c r="PI74" s="2198"/>
      <c r="PJ74" s="2198"/>
      <c r="PK74" s="2198"/>
      <c r="PL74" s="2198"/>
      <c r="PM74" s="2198"/>
      <c r="PN74" s="2198"/>
      <c r="PO74" s="2198"/>
      <c r="PP74" s="2198"/>
      <c r="PQ74" s="2198"/>
      <c r="PR74" s="2198"/>
      <c r="PS74" s="2198"/>
      <c r="PT74" s="2198"/>
      <c r="PU74" s="2198"/>
      <c r="PV74" s="2198"/>
      <c r="PW74" s="2198"/>
      <c r="PX74" s="2198"/>
      <c r="PY74" s="2198"/>
      <c r="PZ74" s="2198"/>
      <c r="QA74" s="2198"/>
      <c r="QB74" s="2198"/>
      <c r="QC74" s="2198"/>
      <c r="QD74" s="2198"/>
      <c r="QE74" s="2198"/>
      <c r="QF74" s="2198"/>
      <c r="QG74" s="2198"/>
      <c r="QH74" s="2198"/>
      <c r="QI74" s="2198"/>
      <c r="QJ74" s="2198"/>
      <c r="QK74" s="2198"/>
      <c r="QL74" s="2198"/>
      <c r="QM74" s="2198"/>
      <c r="QN74" s="2198"/>
      <c r="QO74" s="2198"/>
      <c r="QP74" s="2198"/>
      <c r="QQ74" s="2198"/>
      <c r="QR74" s="2198"/>
      <c r="QS74" s="2198"/>
      <c r="QT74" s="2198"/>
      <c r="QU74" s="2198"/>
      <c r="QV74" s="2198"/>
      <c r="QW74" s="2198"/>
      <c r="QX74" s="2198"/>
      <c r="QY74" s="2198"/>
      <c r="QZ74" s="2198"/>
      <c r="RA74" s="2198"/>
      <c r="RB74" s="2198"/>
      <c r="RC74" s="2198"/>
      <c r="RD74" s="2198"/>
      <c r="RE74" s="2198"/>
      <c r="RF74" s="2198"/>
      <c r="RG74" s="2198"/>
      <c r="RH74" s="2198"/>
      <c r="RI74" s="2198"/>
      <c r="RJ74" s="2198"/>
      <c r="RK74" s="2198"/>
      <c r="RL74" s="2198"/>
      <c r="RM74" s="2198"/>
      <c r="RN74" s="2198"/>
      <c r="RO74" s="2198"/>
      <c r="RP74" s="2198"/>
      <c r="RQ74" s="2198"/>
      <c r="RR74" s="2198"/>
      <c r="RS74" s="2198"/>
      <c r="RT74" s="2198"/>
      <c r="RU74" s="2198"/>
      <c r="RV74" s="2198"/>
      <c r="RW74" s="2198"/>
      <c r="RX74" s="2198"/>
      <c r="RY74" s="2198"/>
      <c r="RZ74" s="2198"/>
      <c r="SA74" s="2198"/>
      <c r="SB74" s="2198"/>
      <c r="SC74" s="2198"/>
      <c r="SD74" s="2198"/>
      <c r="SE74" s="2198"/>
      <c r="SF74" s="2198"/>
      <c r="SG74" s="2198"/>
      <c r="SH74" s="2198"/>
      <c r="SI74" s="2198"/>
      <c r="SJ74" s="2198"/>
      <c r="SK74" s="2198"/>
      <c r="SL74" s="2198"/>
      <c r="SM74" s="2198"/>
      <c r="SN74" s="2198"/>
      <c r="SO74" s="2198"/>
      <c r="SP74" s="2198"/>
      <c r="SQ74" s="2198"/>
      <c r="SR74" s="2198"/>
      <c r="SS74" s="2198"/>
      <c r="ST74" s="2198"/>
      <c r="SU74" s="2198"/>
      <c r="SV74" s="2198"/>
      <c r="SW74" s="2198"/>
      <c r="SX74" s="2198"/>
      <c r="SY74" s="2198"/>
      <c r="SZ74" s="2198"/>
      <c r="TA74" s="2198"/>
      <c r="TB74" s="2198"/>
      <c r="TC74" s="2198"/>
      <c r="TD74" s="2198"/>
      <c r="TE74" s="2198"/>
      <c r="TF74" s="2198"/>
      <c r="TG74" s="2198"/>
      <c r="TH74" s="2198"/>
      <c r="TI74" s="2198"/>
      <c r="TJ74" s="2198"/>
      <c r="TK74" s="2198"/>
      <c r="TL74" s="2198"/>
      <c r="TM74" s="2198"/>
      <c r="TN74" s="2198"/>
      <c r="TO74" s="2198"/>
      <c r="TP74" s="2198"/>
      <c r="TQ74" s="2198"/>
      <c r="TR74" s="2198"/>
      <c r="TS74" s="2198"/>
      <c r="TT74" s="2198"/>
      <c r="TU74" s="2198"/>
      <c r="TV74" s="2198"/>
      <c r="TW74" s="2198"/>
      <c r="TX74" s="2198"/>
      <c r="TY74" s="2198"/>
      <c r="TZ74" s="2198"/>
      <c r="UA74" s="2198"/>
      <c r="UB74" s="2198"/>
      <c r="UC74" s="2198"/>
      <c r="UD74" s="2198"/>
      <c r="UE74" s="2198"/>
      <c r="UF74" s="2198"/>
      <c r="UG74" s="2198"/>
      <c r="UH74" s="2198"/>
      <c r="UI74" s="2198"/>
      <c r="UJ74" s="2198"/>
      <c r="UK74" s="2198"/>
      <c r="UL74" s="2198"/>
      <c r="UM74" s="2198"/>
      <c r="UN74" s="2198"/>
      <c r="UO74" s="2198"/>
      <c r="UP74" s="2198"/>
      <c r="UQ74" s="2198"/>
      <c r="UR74" s="2198"/>
      <c r="US74" s="2198"/>
      <c r="UT74" s="2198"/>
      <c r="UU74" s="2198"/>
      <c r="UV74" s="2198"/>
      <c r="UW74" s="2198"/>
      <c r="UX74" s="2198"/>
      <c r="UY74" s="2198"/>
      <c r="UZ74" s="2198"/>
      <c r="VA74" s="2198"/>
      <c r="VB74" s="2198"/>
      <c r="VC74" s="2198"/>
      <c r="VD74" s="2198"/>
      <c r="VE74" s="2198"/>
      <c r="VF74" s="2198"/>
      <c r="VG74" s="2198"/>
      <c r="VH74" s="2198"/>
      <c r="VI74" s="2198"/>
      <c r="VJ74" s="2198"/>
      <c r="VK74" s="2198"/>
      <c r="VL74" s="2198"/>
      <c r="VM74" s="2198"/>
      <c r="VN74" s="2198"/>
      <c r="VO74" s="2198"/>
      <c r="VP74" s="2198"/>
      <c r="VQ74" s="2198"/>
      <c r="VR74" s="2198"/>
      <c r="VS74" s="2198"/>
      <c r="VT74" s="2198"/>
      <c r="VU74" s="2198"/>
      <c r="VV74" s="2198"/>
      <c r="VW74" s="2198"/>
      <c r="VX74" s="2198"/>
      <c r="VY74" s="2198"/>
      <c r="VZ74" s="2198"/>
      <c r="WA74" s="2198"/>
      <c r="WB74" s="2198"/>
      <c r="WC74" s="2198"/>
      <c r="WD74" s="2198"/>
      <c r="WE74" s="2198"/>
      <c r="WF74" s="2198"/>
      <c r="WG74" s="2198"/>
      <c r="WH74" s="2198"/>
      <c r="WI74" s="2198"/>
      <c r="WJ74" s="2198"/>
      <c r="WK74" s="2198"/>
      <c r="WL74" s="2198"/>
      <c r="WM74" s="2198"/>
      <c r="WN74" s="2198"/>
      <c r="WO74" s="2198"/>
      <c r="WP74" s="2198"/>
      <c r="WQ74" s="2198"/>
      <c r="WR74" s="2198"/>
      <c r="WS74" s="2198"/>
      <c r="WT74" s="2198"/>
      <c r="WU74" s="2198"/>
      <c r="WV74" s="2198"/>
      <c r="WW74" s="2198"/>
      <c r="WX74" s="2198"/>
      <c r="WY74" s="2198"/>
      <c r="WZ74" s="2198"/>
      <c r="XA74" s="2198"/>
      <c r="XB74" s="2198"/>
      <c r="XC74" s="2198"/>
      <c r="XD74" s="2198"/>
      <c r="XE74" s="2198"/>
      <c r="XF74" s="2198"/>
      <c r="XG74" s="2198"/>
      <c r="XH74" s="2198"/>
      <c r="XI74" s="2198"/>
      <c r="XJ74" s="2198"/>
      <c r="XK74" s="2198"/>
      <c r="XL74" s="2198"/>
      <c r="XM74" s="2198"/>
      <c r="XN74" s="2198"/>
      <c r="XO74" s="2198"/>
      <c r="XP74" s="2198"/>
      <c r="XQ74" s="2198"/>
      <c r="XR74" s="2198"/>
      <c r="XS74" s="2198"/>
      <c r="XT74" s="2198"/>
      <c r="XU74" s="2198"/>
      <c r="XV74" s="2198"/>
      <c r="XW74" s="2198"/>
      <c r="XX74" s="2198"/>
      <c r="XY74" s="2198"/>
      <c r="XZ74" s="2198"/>
      <c r="YA74" s="2198"/>
      <c r="YB74" s="2198"/>
      <c r="YC74" s="2198"/>
      <c r="YD74" s="2198"/>
      <c r="YE74" s="2198"/>
      <c r="YF74" s="2198"/>
      <c r="YG74" s="2198"/>
      <c r="YH74" s="2198"/>
      <c r="YI74" s="2198"/>
      <c r="YJ74" s="2198"/>
      <c r="YK74" s="2198"/>
      <c r="YL74" s="2198"/>
      <c r="YM74" s="2198"/>
      <c r="YN74" s="2198"/>
      <c r="YO74" s="2198"/>
      <c r="YP74" s="2198"/>
      <c r="YQ74" s="2198"/>
      <c r="YR74" s="2198"/>
      <c r="YS74" s="2198"/>
      <c r="YT74" s="2198"/>
      <c r="YU74" s="2198"/>
      <c r="YV74" s="2198"/>
      <c r="YW74" s="2198"/>
      <c r="YX74" s="2198"/>
      <c r="YY74" s="2198"/>
      <c r="YZ74" s="2198"/>
      <c r="ZA74" s="2198"/>
      <c r="ZB74" s="2198"/>
      <c r="ZC74" s="2198"/>
      <c r="ZD74" s="2198"/>
      <c r="ZE74" s="2198"/>
      <c r="ZF74" s="2198"/>
      <c r="ZG74" s="2198"/>
      <c r="ZH74" s="2198"/>
      <c r="ZI74" s="2198"/>
      <c r="ZJ74" s="2198"/>
      <c r="ZK74" s="2198"/>
      <c r="ZL74" s="2198"/>
      <c r="ZM74" s="2198"/>
      <c r="ZN74" s="2198"/>
      <c r="ZO74" s="2198"/>
      <c r="ZP74" s="2198"/>
      <c r="ZQ74" s="2198"/>
      <c r="ZR74" s="2198"/>
      <c r="ZS74" s="2198"/>
      <c r="ZT74" s="2198"/>
      <c r="ZU74" s="2198"/>
      <c r="ZV74" s="2198"/>
      <c r="ZW74" s="2198"/>
      <c r="ZX74" s="2198"/>
      <c r="ZY74" s="2198"/>
      <c r="ZZ74" s="2198"/>
      <c r="AAA74" s="2198"/>
      <c r="AAB74" s="2198"/>
      <c r="AAC74" s="2198"/>
      <c r="AAD74" s="2198"/>
      <c r="AAE74" s="2198"/>
      <c r="AAF74" s="2198"/>
      <c r="AAG74" s="2198"/>
      <c r="AAH74" s="2198"/>
      <c r="AAI74" s="2198"/>
      <c r="AAJ74" s="2198"/>
      <c r="AAK74" s="2198"/>
      <c r="AAL74" s="2198"/>
      <c r="AAM74" s="2198"/>
      <c r="AAN74" s="2198"/>
      <c r="AAO74" s="2198"/>
      <c r="AAP74" s="2198"/>
      <c r="AAQ74" s="2198"/>
      <c r="AAR74" s="2198"/>
      <c r="AAS74" s="2198"/>
      <c r="AAT74" s="2198"/>
      <c r="AAU74" s="2198"/>
      <c r="AAV74" s="2198"/>
      <c r="AAW74" s="2198"/>
      <c r="AAX74" s="2198"/>
      <c r="AAY74" s="2198"/>
      <c r="AAZ74" s="2198"/>
      <c r="ABA74" s="2198"/>
      <c r="ABB74" s="2198"/>
      <c r="ABC74" s="2198"/>
      <c r="ABD74" s="2198"/>
      <c r="ABE74" s="2198"/>
      <c r="ABF74" s="2198"/>
      <c r="ABG74" s="2198"/>
      <c r="ABH74" s="2198"/>
      <c r="ABI74" s="2198"/>
      <c r="ABJ74" s="2198"/>
      <c r="ABK74" s="2198"/>
      <c r="ABL74" s="2198"/>
      <c r="ABM74" s="2198"/>
      <c r="ABN74" s="2198"/>
      <c r="ABO74" s="2198"/>
      <c r="ABP74" s="2198"/>
      <c r="ABQ74" s="2198"/>
      <c r="ABR74" s="2198"/>
      <c r="ABS74" s="2198"/>
      <c r="ABT74" s="2198"/>
      <c r="ABU74" s="2198"/>
      <c r="ABV74" s="2198"/>
      <c r="ABW74" s="2198"/>
      <c r="ABX74" s="2198"/>
      <c r="ABY74" s="2198"/>
      <c r="ABZ74" s="2198"/>
      <c r="ACA74" s="2198"/>
      <c r="ACB74" s="2198"/>
      <c r="ACC74" s="2198"/>
      <c r="ACD74" s="2198"/>
      <c r="ACE74" s="2198"/>
      <c r="ACF74" s="2198"/>
      <c r="ACG74" s="2198"/>
      <c r="ACH74" s="2198"/>
      <c r="ACI74" s="2198"/>
      <c r="ACJ74" s="2198"/>
      <c r="ACK74" s="2198"/>
      <c r="ACL74" s="2198"/>
      <c r="ACM74" s="2198"/>
      <c r="ACN74" s="2198"/>
      <c r="ACO74" s="2198"/>
      <c r="ACP74" s="2198"/>
      <c r="ACQ74" s="2198"/>
      <c r="ACR74" s="2198"/>
      <c r="ACS74" s="2198"/>
      <c r="ACT74" s="2198"/>
      <c r="ACU74" s="2198"/>
      <c r="ACV74" s="2198"/>
      <c r="ACW74" s="2198"/>
      <c r="ACX74" s="2198"/>
      <c r="ACY74" s="2198"/>
      <c r="ACZ74" s="2198"/>
      <c r="ADA74" s="2198"/>
      <c r="ADB74" s="2198"/>
      <c r="ADC74" s="2198"/>
      <c r="ADD74" s="2198"/>
      <c r="ADE74" s="2198"/>
      <c r="ADF74" s="2198"/>
      <c r="ADG74" s="2198"/>
      <c r="ADH74" s="2198"/>
      <c r="ADI74" s="2198"/>
      <c r="ADJ74" s="2198"/>
      <c r="ADK74" s="2198"/>
      <c r="ADL74" s="2198"/>
      <c r="ADM74" s="2198"/>
      <c r="ADN74" s="2198"/>
      <c r="ADO74" s="2198"/>
      <c r="ADP74" s="2198"/>
      <c r="ADQ74" s="2198"/>
      <c r="ADR74" s="2198"/>
      <c r="ADS74" s="2198"/>
      <c r="ADT74" s="2198"/>
      <c r="ADU74" s="2198"/>
      <c r="ADV74" s="2198"/>
      <c r="ADW74" s="2198"/>
      <c r="ADX74" s="2198"/>
      <c r="ADY74" s="2198"/>
      <c r="ADZ74" s="2198"/>
      <c r="AEA74" s="2198"/>
      <c r="AEB74" s="2198"/>
      <c r="AEC74" s="2198"/>
      <c r="AED74" s="2198"/>
      <c r="AEE74" s="2198"/>
      <c r="AEF74" s="2198"/>
      <c r="AEG74" s="2198"/>
      <c r="AEH74" s="2198"/>
      <c r="AEI74" s="2198"/>
      <c r="AEJ74" s="2198"/>
      <c r="AEK74" s="2198"/>
      <c r="AEL74" s="2198"/>
      <c r="AEM74" s="2198"/>
      <c r="AEN74" s="2198"/>
      <c r="AEO74" s="2198"/>
      <c r="AEP74" s="2198"/>
      <c r="AEQ74" s="2198"/>
      <c r="AER74" s="2198"/>
      <c r="AES74" s="2198"/>
      <c r="AET74" s="2198"/>
      <c r="AEU74" s="2198"/>
      <c r="AEV74" s="2198"/>
      <c r="AEW74" s="2198"/>
      <c r="AEX74" s="2198"/>
      <c r="AEY74" s="2198"/>
      <c r="AEZ74" s="2198"/>
      <c r="AFA74" s="2198"/>
      <c r="AFB74" s="2198"/>
      <c r="AFC74" s="2198"/>
      <c r="AFD74" s="2198"/>
      <c r="AFE74" s="2198"/>
      <c r="AFF74" s="2198"/>
      <c r="AFG74" s="2198"/>
      <c r="AFH74" s="2198"/>
      <c r="AFI74" s="2198"/>
      <c r="AFJ74" s="2198"/>
      <c r="AFK74" s="2198"/>
      <c r="AFL74" s="2198"/>
      <c r="AFM74" s="2198"/>
      <c r="AFN74" s="2198"/>
      <c r="AFO74" s="2198"/>
      <c r="AFP74" s="2198"/>
      <c r="AFQ74" s="2198"/>
      <c r="AFR74" s="2198"/>
      <c r="AFS74" s="2198"/>
      <c r="AFT74" s="2198"/>
      <c r="AFU74" s="2198"/>
      <c r="AFV74" s="2198"/>
      <c r="AFW74" s="2198"/>
      <c r="AFX74" s="2198"/>
      <c r="AFY74" s="2198"/>
      <c r="AFZ74" s="2198"/>
      <c r="AGA74" s="2198"/>
      <c r="AGB74" s="2198"/>
      <c r="AGC74" s="2198"/>
      <c r="AGD74" s="2198"/>
      <c r="AGE74" s="2198"/>
      <c r="AGF74" s="2198"/>
      <c r="AGG74" s="2198"/>
      <c r="AGH74" s="2198"/>
      <c r="AGI74" s="2198"/>
      <c r="AGJ74" s="2198"/>
      <c r="AGK74" s="2198"/>
      <c r="AGL74" s="2198"/>
      <c r="AGM74" s="2198"/>
      <c r="AGN74" s="2198"/>
      <c r="AGO74" s="2198"/>
      <c r="AGP74" s="2198"/>
      <c r="AGQ74" s="2198"/>
      <c r="AGR74" s="2198"/>
      <c r="AGS74" s="2198"/>
      <c r="AGT74" s="2198"/>
      <c r="AGU74" s="2198"/>
      <c r="AGV74" s="2198"/>
      <c r="AGW74" s="2198"/>
      <c r="AGX74" s="2198"/>
      <c r="AGY74" s="2198"/>
      <c r="AGZ74" s="2198"/>
      <c r="AHA74" s="2198"/>
      <c r="AHB74" s="2198"/>
      <c r="AHC74" s="2198"/>
      <c r="AHD74" s="2198"/>
      <c r="AHE74" s="2198"/>
      <c r="AHF74" s="2198"/>
      <c r="AHG74" s="2198"/>
      <c r="AHH74" s="2198"/>
      <c r="AHI74" s="2198"/>
      <c r="AHJ74" s="2198"/>
      <c r="AHK74" s="2198"/>
      <c r="AHL74" s="2198"/>
      <c r="AHM74" s="2198"/>
      <c r="AHN74" s="2198"/>
      <c r="AHO74" s="2198"/>
      <c r="AHP74" s="2198"/>
      <c r="AHQ74" s="2198"/>
      <c r="AHR74" s="2198"/>
      <c r="AHS74" s="2198"/>
      <c r="AHT74" s="2198"/>
      <c r="AHU74" s="2198"/>
      <c r="AHV74" s="2198"/>
      <c r="AHW74" s="2198"/>
      <c r="AHX74" s="2198"/>
      <c r="AHY74" s="2198"/>
      <c r="AHZ74" s="2198"/>
      <c r="AIA74" s="2198"/>
      <c r="AIB74" s="2198"/>
      <c r="AIC74" s="2198"/>
      <c r="AID74" s="2198"/>
      <c r="AIE74" s="2198"/>
      <c r="AIF74" s="2198"/>
      <c r="AIG74" s="2198"/>
      <c r="AIH74" s="2198"/>
      <c r="AII74" s="2198"/>
      <c r="AIJ74" s="2198"/>
      <c r="AIK74" s="2198"/>
      <c r="AIL74" s="2198"/>
      <c r="AIM74" s="2198"/>
      <c r="AIN74" s="2198"/>
      <c r="AIO74" s="2198"/>
      <c r="AIP74" s="2198"/>
      <c r="AIQ74" s="2198"/>
      <c r="AIR74" s="2198"/>
      <c r="AIS74" s="2198"/>
      <c r="AIT74" s="2198"/>
      <c r="AIU74" s="2198"/>
      <c r="AIV74" s="2198"/>
      <c r="AIW74" s="2198"/>
      <c r="AIX74" s="2198"/>
      <c r="AIY74" s="2198"/>
      <c r="AIZ74" s="2198"/>
      <c r="AJA74" s="2198"/>
      <c r="AJB74" s="2198"/>
      <c r="AJC74" s="2198"/>
      <c r="AJD74" s="2198"/>
      <c r="AJE74" s="2198"/>
      <c r="AJF74" s="2198"/>
      <c r="AJG74" s="2198"/>
      <c r="AJH74" s="2198"/>
      <c r="AJI74" s="2198"/>
      <c r="AJJ74" s="2198"/>
      <c r="AJK74" s="2198"/>
      <c r="AJL74" s="2198"/>
      <c r="AJM74" s="2198"/>
      <c r="AJN74" s="2198"/>
      <c r="AJO74" s="2198"/>
      <c r="AJP74" s="2198"/>
      <c r="AJQ74" s="2198"/>
      <c r="AJR74" s="2198"/>
      <c r="AJS74" s="2198"/>
      <c r="AJT74" s="2198"/>
      <c r="AJU74" s="2198"/>
      <c r="AJV74" s="2198"/>
      <c r="AJW74" s="2198"/>
      <c r="AJX74" s="2198"/>
      <c r="AJY74" s="2198"/>
      <c r="AJZ74" s="2198"/>
      <c r="AKA74" s="2198"/>
      <c r="AKB74" s="2198"/>
      <c r="AKC74" s="2198"/>
      <c r="AKD74" s="2198"/>
      <c r="AKE74" s="2198"/>
      <c r="AKF74" s="2198"/>
      <c r="AKG74" s="2198"/>
      <c r="AKH74" s="2198"/>
      <c r="AKI74" s="2198"/>
      <c r="AKJ74" s="2198"/>
      <c r="AKK74" s="2198"/>
      <c r="AKL74" s="2198"/>
      <c r="AKM74" s="2198"/>
      <c r="AKN74" s="2198"/>
      <c r="AKO74" s="2198"/>
      <c r="AKP74" s="2198"/>
      <c r="AKQ74" s="2198"/>
      <c r="AKR74" s="2198"/>
      <c r="AKS74" s="2198"/>
      <c r="AKT74" s="2198"/>
      <c r="AKU74" s="2198"/>
      <c r="AKV74" s="2198"/>
      <c r="AKW74" s="2198"/>
      <c r="AKX74" s="2198"/>
      <c r="AKY74" s="2198"/>
      <c r="AKZ74" s="2198"/>
      <c r="ALA74" s="2198"/>
      <c r="ALB74" s="2198"/>
      <c r="ALC74" s="2198"/>
      <c r="ALD74" s="2198"/>
      <c r="ALE74" s="2198"/>
      <c r="ALF74" s="2198"/>
      <c r="ALG74" s="2198"/>
      <c r="ALH74" s="2198"/>
      <c r="ALI74" s="2198"/>
      <c r="ALJ74" s="2198"/>
      <c r="ALK74" s="2198"/>
      <c r="ALL74" s="2198"/>
      <c r="ALM74" s="2198"/>
      <c r="ALN74" s="2198"/>
      <c r="ALO74" s="2198"/>
      <c r="ALP74" s="2198"/>
      <c r="ALQ74" s="2198"/>
      <c r="ALR74" s="2198"/>
      <c r="ALS74" s="2198"/>
      <c r="ALT74" s="2198"/>
      <c r="ALU74" s="2198"/>
      <c r="ALV74" s="2198"/>
      <c r="ALW74" s="2198"/>
      <c r="ALX74" s="2198"/>
      <c r="ALY74" s="2198"/>
      <c r="ALZ74" s="2198"/>
      <c r="AMA74" s="2198"/>
      <c r="AMB74" s="2198"/>
      <c r="AMC74" s="2198"/>
      <c r="AMD74" s="2198"/>
      <c r="AME74" s="2198"/>
      <c r="AMF74" s="2198"/>
      <c r="AMG74" s="2198"/>
      <c r="AMH74" s="2198"/>
      <c r="AMI74" s="2198"/>
      <c r="AMJ74" s="2198"/>
      <c r="AMK74" s="2198"/>
      <c r="AML74" s="2198"/>
      <c r="AMM74" s="2198"/>
      <c r="AMN74" s="2198"/>
      <c r="AMO74" s="2198"/>
      <c r="AMP74" s="2198"/>
      <c r="AMQ74" s="2198"/>
      <c r="AMR74" s="2198"/>
      <c r="AMS74" s="2198"/>
      <c r="AMT74" s="2198"/>
      <c r="AMU74" s="2198"/>
      <c r="AMV74" s="2198"/>
      <c r="AMW74" s="2198"/>
      <c r="AMX74" s="2198"/>
      <c r="AMY74" s="2198"/>
      <c r="AMZ74" s="2198"/>
      <c r="ANA74" s="2198"/>
      <c r="ANB74" s="2198"/>
      <c r="ANC74" s="2198"/>
      <c r="AND74" s="2198"/>
      <c r="ANE74" s="2198"/>
      <c r="ANF74" s="2198"/>
      <c r="ANG74" s="2198"/>
      <c r="ANH74" s="2198"/>
      <c r="ANI74" s="2198"/>
      <c r="ANJ74" s="2198"/>
      <c r="ANK74" s="2198"/>
      <c r="ANL74" s="2198"/>
      <c r="ANM74" s="2198"/>
      <c r="ANN74" s="2198"/>
      <c r="ANO74" s="2198"/>
      <c r="ANP74" s="2198"/>
      <c r="ANQ74" s="2198"/>
      <c r="ANR74" s="2198"/>
      <c r="ANS74" s="2198"/>
      <c r="ANT74" s="2198"/>
      <c r="ANU74" s="2198"/>
      <c r="ANV74" s="2198"/>
      <c r="ANW74" s="2198"/>
      <c r="ANX74" s="2198"/>
      <c r="ANY74" s="2198"/>
      <c r="ANZ74" s="2198"/>
      <c r="AOA74" s="2198"/>
      <c r="AOB74" s="2198"/>
      <c r="AOC74" s="2198"/>
      <c r="AOD74" s="2198"/>
      <c r="AOE74" s="2198"/>
      <c r="AOF74" s="2198"/>
      <c r="AOG74" s="2198"/>
      <c r="AOH74" s="2198"/>
      <c r="AOI74" s="2198"/>
      <c r="AOJ74" s="2198"/>
      <c r="AOK74" s="2198"/>
      <c r="AOL74" s="2198"/>
      <c r="AOM74" s="2198"/>
      <c r="AON74" s="2198"/>
      <c r="AOO74" s="2198"/>
      <c r="AOP74" s="2198"/>
      <c r="AOQ74" s="2198"/>
      <c r="AOR74" s="2198"/>
      <c r="AOS74" s="2198"/>
      <c r="AOT74" s="2198"/>
      <c r="AOU74" s="2198"/>
      <c r="AOV74" s="2198"/>
      <c r="AOW74" s="2198"/>
      <c r="AOX74" s="2198"/>
      <c r="AOY74" s="2198"/>
      <c r="AOZ74" s="2198"/>
      <c r="APA74" s="2198"/>
      <c r="APB74" s="2198"/>
      <c r="APC74" s="2198"/>
      <c r="APD74" s="2198"/>
      <c r="APE74" s="2198"/>
      <c r="APF74" s="2198"/>
      <c r="APG74" s="2198"/>
      <c r="APH74" s="2198"/>
      <c r="API74" s="2198"/>
      <c r="APJ74" s="2198"/>
      <c r="APK74" s="2198"/>
      <c r="APL74" s="2198"/>
      <c r="APM74" s="2198"/>
      <c r="APN74" s="2198"/>
      <c r="APO74" s="2198"/>
      <c r="APP74" s="2198"/>
      <c r="APQ74" s="2198"/>
      <c r="APR74" s="2198"/>
      <c r="APS74" s="2198"/>
      <c r="APT74" s="2198"/>
      <c r="APU74" s="2198"/>
      <c r="APV74" s="2198"/>
      <c r="APW74" s="2198"/>
      <c r="APX74" s="2198"/>
      <c r="APY74" s="2198"/>
      <c r="APZ74" s="2198"/>
      <c r="AQA74" s="2198"/>
      <c r="AQB74" s="2198"/>
      <c r="AQC74" s="2198"/>
      <c r="AQD74" s="2198"/>
      <c r="AQE74" s="2198"/>
      <c r="AQF74" s="2198"/>
      <c r="AQG74" s="2198"/>
      <c r="AQH74" s="2198"/>
      <c r="AQI74" s="2198"/>
      <c r="AQJ74" s="2198"/>
      <c r="AQK74" s="2198"/>
      <c r="AQL74" s="2198"/>
      <c r="AQM74" s="2198"/>
      <c r="AQN74" s="2198"/>
      <c r="AQO74" s="2198"/>
      <c r="AQP74" s="2198"/>
      <c r="AQQ74" s="2198"/>
      <c r="AQR74" s="2198"/>
      <c r="AQS74" s="2198"/>
      <c r="AQT74" s="2198"/>
      <c r="AQU74" s="2198"/>
      <c r="AQV74" s="2198"/>
      <c r="AQW74" s="2198"/>
      <c r="AQX74" s="2198"/>
      <c r="AQY74" s="2198"/>
      <c r="AQZ74" s="2198"/>
      <c r="ARA74" s="2198"/>
      <c r="ARB74" s="2198"/>
      <c r="ARC74" s="2198"/>
      <c r="ARD74" s="2198"/>
      <c r="ARE74" s="2198"/>
      <c r="ARF74" s="2198"/>
      <c r="ARG74" s="2198"/>
      <c r="ARH74" s="2198"/>
      <c r="ARI74" s="2198"/>
      <c r="ARJ74" s="2198"/>
      <c r="ARK74" s="2198"/>
      <c r="ARL74" s="2198"/>
      <c r="ARM74" s="2198"/>
      <c r="ARN74" s="2198"/>
      <c r="ARO74" s="2198"/>
      <c r="ARP74" s="2198"/>
      <c r="ARQ74" s="2198"/>
      <c r="ARR74" s="2198"/>
      <c r="ARS74" s="2198"/>
      <c r="ART74" s="2198"/>
      <c r="ARU74" s="2198"/>
      <c r="ARV74" s="2198"/>
      <c r="ARW74" s="2198"/>
      <c r="ARX74" s="2198"/>
      <c r="ARY74" s="2198"/>
      <c r="ARZ74" s="2198"/>
      <c r="ASA74" s="2198"/>
      <c r="ASB74" s="2198"/>
      <c r="ASC74" s="2198"/>
      <c r="ASD74" s="2198"/>
      <c r="ASE74" s="2198"/>
      <c r="ASF74" s="2198"/>
      <c r="ASG74" s="2198"/>
      <c r="ASH74" s="2198"/>
      <c r="ASI74" s="2198"/>
      <c r="ASJ74" s="2198"/>
      <c r="ASK74" s="2198"/>
      <c r="ASL74" s="2198"/>
      <c r="ASM74" s="2198"/>
      <c r="ASN74" s="2198"/>
      <c r="ASO74" s="2198"/>
      <c r="ASP74" s="2198"/>
      <c r="ASQ74" s="2198"/>
      <c r="ASR74" s="2198"/>
      <c r="ASS74" s="2198"/>
      <c r="AST74" s="2198"/>
      <c r="ASU74" s="2198"/>
      <c r="ASV74" s="2198"/>
      <c r="ASW74" s="2198"/>
      <c r="ASX74" s="2198"/>
      <c r="ASY74" s="2198"/>
      <c r="ASZ74" s="2198"/>
      <c r="ATA74" s="2198"/>
      <c r="ATB74" s="2198"/>
      <c r="ATC74" s="2198"/>
      <c r="ATD74" s="2198"/>
      <c r="ATE74" s="2198"/>
      <c r="ATF74" s="2198"/>
      <c r="ATG74" s="2198"/>
      <c r="ATH74" s="2198"/>
      <c r="ATI74" s="2198"/>
      <c r="ATJ74" s="2198"/>
      <c r="ATK74" s="2198"/>
      <c r="ATL74" s="2198"/>
      <c r="ATM74" s="2198"/>
      <c r="ATN74" s="2198"/>
      <c r="ATO74" s="2198"/>
      <c r="ATP74" s="2198"/>
      <c r="ATQ74" s="2198"/>
      <c r="ATR74" s="2198"/>
      <c r="ATS74" s="2198"/>
      <c r="ATT74" s="2198"/>
      <c r="ATU74" s="2198"/>
      <c r="ATV74" s="2198"/>
      <c r="ATW74" s="2198"/>
      <c r="ATX74" s="2198"/>
      <c r="ATY74" s="2198"/>
      <c r="ATZ74" s="2198"/>
      <c r="AUA74" s="2198"/>
      <c r="AUB74" s="2198"/>
      <c r="AUC74" s="2198"/>
      <c r="AUD74" s="2198"/>
      <c r="AUE74" s="2198"/>
      <c r="AUF74" s="2198"/>
      <c r="AUG74" s="2198"/>
      <c r="AUH74" s="2198"/>
      <c r="AUI74" s="2198"/>
      <c r="AUJ74" s="2198"/>
      <c r="AUK74" s="2198"/>
      <c r="AUL74" s="2198"/>
      <c r="AUM74" s="2198"/>
      <c r="AUN74" s="2198"/>
      <c r="AUO74" s="2198"/>
      <c r="AUP74" s="2198"/>
      <c r="AUQ74" s="2198"/>
      <c r="AUR74" s="2198"/>
      <c r="AUS74" s="2198"/>
      <c r="AUT74" s="2198"/>
      <c r="AUU74" s="2198"/>
      <c r="AUV74" s="2198"/>
      <c r="AUW74" s="2198"/>
      <c r="AUX74" s="2198"/>
      <c r="AUY74" s="2198"/>
      <c r="AUZ74" s="2198"/>
      <c r="AVA74" s="2198"/>
      <c r="AVB74" s="2198"/>
      <c r="AVC74" s="2198"/>
      <c r="AVD74" s="2198"/>
      <c r="AVE74" s="2198"/>
      <c r="AVF74" s="2198"/>
      <c r="AVG74" s="2198"/>
      <c r="AVH74" s="2198"/>
      <c r="AVI74" s="2198"/>
      <c r="AVJ74" s="2198"/>
      <c r="AVK74" s="2198"/>
      <c r="AVL74" s="2198"/>
      <c r="AVM74" s="2198"/>
      <c r="AVN74" s="2198"/>
      <c r="AVO74" s="2198"/>
      <c r="AVP74" s="2198"/>
      <c r="AVQ74" s="2198"/>
      <c r="AVR74" s="2198"/>
      <c r="AVS74" s="2198"/>
      <c r="AVT74" s="2198"/>
      <c r="AVU74" s="2198"/>
      <c r="AVV74" s="2198"/>
      <c r="AVW74" s="2198"/>
      <c r="AVX74" s="2198"/>
      <c r="AVY74" s="2198"/>
      <c r="AVZ74" s="2198"/>
      <c r="AWA74" s="2198"/>
      <c r="AWB74" s="2198"/>
      <c r="AWC74" s="2198"/>
      <c r="AWD74" s="2198"/>
      <c r="AWE74" s="2198"/>
      <c r="AWF74" s="2198"/>
      <c r="AWG74" s="2198"/>
      <c r="AWH74" s="2198"/>
      <c r="AWI74" s="2198"/>
      <c r="AWJ74" s="2198"/>
      <c r="AWK74" s="2198"/>
      <c r="AWL74" s="2198"/>
      <c r="AWM74" s="2198"/>
      <c r="AWN74" s="2198"/>
      <c r="AWO74" s="2198"/>
      <c r="AWP74" s="2198"/>
      <c r="AWQ74" s="2198"/>
      <c r="AWR74" s="2198"/>
      <c r="AWS74" s="2198"/>
      <c r="AWT74" s="2198"/>
      <c r="AWU74" s="2198"/>
      <c r="AWV74" s="2198"/>
      <c r="AWW74" s="2198"/>
      <c r="AWX74" s="2198"/>
      <c r="AWY74" s="2198"/>
      <c r="AWZ74" s="2198"/>
      <c r="AXA74" s="2198"/>
      <c r="AXB74" s="2198"/>
      <c r="AXC74" s="2198"/>
      <c r="AXD74" s="2198"/>
      <c r="AXE74" s="2198"/>
      <c r="AXF74" s="2198"/>
      <c r="AXG74" s="2198"/>
      <c r="AXH74" s="2198"/>
      <c r="AXI74" s="2198"/>
      <c r="AXJ74" s="2198"/>
      <c r="AXK74" s="2198"/>
      <c r="AXL74" s="2198"/>
      <c r="AXM74" s="2198"/>
      <c r="AXN74" s="2198"/>
      <c r="AXO74" s="2198"/>
      <c r="AXP74" s="2198"/>
      <c r="AXQ74" s="2198"/>
      <c r="AXR74" s="2198"/>
      <c r="AXS74" s="2198"/>
      <c r="AXT74" s="2198"/>
      <c r="AXU74" s="2198"/>
      <c r="AXV74" s="2198"/>
      <c r="AXW74" s="2198"/>
      <c r="AXX74" s="2198"/>
      <c r="AXY74" s="2198"/>
      <c r="AXZ74" s="2198"/>
      <c r="AYA74" s="2198"/>
      <c r="AYB74" s="2198"/>
      <c r="AYC74" s="2198"/>
      <c r="AYD74" s="2198"/>
      <c r="AYE74" s="2198"/>
      <c r="AYF74" s="2198"/>
      <c r="AYG74" s="2198"/>
      <c r="AYH74" s="2198"/>
      <c r="AYI74" s="2198"/>
      <c r="AYJ74" s="2198"/>
      <c r="AYK74" s="2198"/>
      <c r="AYL74" s="2198"/>
      <c r="AYM74" s="2198"/>
      <c r="AYN74" s="2198"/>
      <c r="AYO74" s="2198"/>
      <c r="AYP74" s="2198"/>
      <c r="AYQ74" s="2198"/>
      <c r="AYR74" s="2198"/>
      <c r="AYS74" s="2198"/>
      <c r="AYT74" s="2198"/>
      <c r="AYU74" s="2198"/>
      <c r="AYV74" s="2198"/>
      <c r="AYW74" s="2198"/>
      <c r="AYX74" s="2198"/>
      <c r="AYY74" s="2198"/>
      <c r="AYZ74" s="2198"/>
      <c r="AZA74" s="2198"/>
      <c r="AZB74" s="2198"/>
      <c r="AZC74" s="2198"/>
      <c r="AZD74" s="2198"/>
      <c r="AZE74" s="2198"/>
      <c r="AZF74" s="2198"/>
      <c r="AZG74" s="2198"/>
      <c r="AZH74" s="2198"/>
      <c r="AZI74" s="2198"/>
      <c r="AZJ74" s="2198"/>
      <c r="AZK74" s="2198"/>
      <c r="AZL74" s="2198"/>
      <c r="AZM74" s="2198"/>
      <c r="AZN74" s="2198"/>
      <c r="AZO74" s="2198"/>
      <c r="AZP74" s="2198"/>
      <c r="AZQ74" s="2198"/>
      <c r="AZR74" s="2198"/>
      <c r="AZS74" s="2198"/>
      <c r="AZT74" s="2198"/>
      <c r="AZU74" s="2198"/>
      <c r="AZV74" s="2198"/>
      <c r="AZW74" s="2198"/>
      <c r="AZX74" s="2198"/>
      <c r="AZY74" s="2198"/>
      <c r="AZZ74" s="2198"/>
      <c r="BAA74" s="2198"/>
      <c r="BAB74" s="2198"/>
      <c r="BAC74" s="2198"/>
      <c r="BAD74" s="2198"/>
      <c r="BAE74" s="2198"/>
      <c r="BAF74" s="2198"/>
      <c r="BAG74" s="2198"/>
      <c r="BAH74" s="2198"/>
      <c r="BAI74" s="2198"/>
      <c r="BAJ74" s="2198"/>
      <c r="BAK74" s="2198"/>
      <c r="BAL74" s="2198"/>
      <c r="BAM74" s="2198"/>
      <c r="BAN74" s="2198"/>
      <c r="BAO74" s="2198"/>
      <c r="BAP74" s="2198"/>
      <c r="BAQ74" s="2198"/>
      <c r="BAR74" s="2198"/>
      <c r="BAS74" s="2198"/>
      <c r="BAT74" s="2198"/>
      <c r="BAU74" s="2198"/>
      <c r="BAV74" s="2198"/>
      <c r="BAW74" s="2198"/>
      <c r="BAX74" s="2198"/>
      <c r="BAY74" s="2198"/>
      <c r="BAZ74" s="2198"/>
      <c r="BBA74" s="2198"/>
      <c r="BBB74" s="2198"/>
      <c r="BBC74" s="2198"/>
      <c r="BBD74" s="2198"/>
      <c r="BBE74" s="2198"/>
      <c r="BBF74" s="2198"/>
      <c r="BBG74" s="2198"/>
      <c r="BBH74" s="2198"/>
      <c r="BBI74" s="2198"/>
      <c r="BBJ74" s="2198"/>
      <c r="BBK74" s="2198"/>
      <c r="BBL74" s="2198"/>
      <c r="BBM74" s="2198"/>
      <c r="BBN74" s="2198"/>
      <c r="BBO74" s="2198"/>
      <c r="BBP74" s="2198"/>
      <c r="BBQ74" s="2198"/>
      <c r="BBR74" s="2198"/>
      <c r="BBS74" s="2198"/>
      <c r="BBT74" s="2198"/>
      <c r="BBU74" s="2198"/>
      <c r="BBV74" s="2198"/>
      <c r="BBW74" s="2198"/>
      <c r="BBX74" s="2198"/>
      <c r="BBY74" s="2198"/>
      <c r="BBZ74" s="2198"/>
      <c r="BCA74" s="2198"/>
      <c r="BCB74" s="2198"/>
      <c r="BCC74" s="2198"/>
      <c r="BCD74" s="2198"/>
      <c r="BCE74" s="2198"/>
      <c r="BCF74" s="2198"/>
      <c r="BCG74" s="2198"/>
      <c r="BCH74" s="2198"/>
      <c r="BCI74" s="2198"/>
      <c r="BCJ74" s="2198"/>
      <c r="BCK74" s="2198"/>
      <c r="BCL74" s="2198"/>
      <c r="BCM74" s="2198"/>
      <c r="BCN74" s="2198"/>
      <c r="BCO74" s="2198"/>
      <c r="BCP74" s="2198"/>
      <c r="BCQ74" s="2198"/>
      <c r="BCR74" s="2198"/>
      <c r="BCS74" s="2198"/>
      <c r="BCT74" s="2198"/>
      <c r="BCU74" s="2198"/>
      <c r="BCV74" s="2198"/>
      <c r="BCW74" s="2198"/>
      <c r="BCX74" s="2198"/>
      <c r="BCY74" s="2198"/>
      <c r="BCZ74" s="2198"/>
      <c r="BDA74" s="2198"/>
      <c r="BDB74" s="2198"/>
      <c r="BDC74" s="2198"/>
      <c r="BDD74" s="2198"/>
      <c r="BDE74" s="2198"/>
      <c r="BDF74" s="2198"/>
      <c r="BDG74" s="2198"/>
      <c r="BDH74" s="2198"/>
      <c r="BDI74" s="2198"/>
      <c r="BDJ74" s="2198"/>
      <c r="BDK74" s="2198"/>
      <c r="BDL74" s="2198"/>
      <c r="BDM74" s="2198"/>
      <c r="BDN74" s="2198"/>
      <c r="BDO74" s="2198"/>
      <c r="BDP74" s="2198"/>
      <c r="BDQ74" s="2198"/>
      <c r="BDR74" s="2198"/>
      <c r="BDS74" s="2198"/>
      <c r="BDT74" s="2198"/>
      <c r="BDU74" s="2198"/>
      <c r="BDV74" s="2198"/>
      <c r="BDW74" s="2198"/>
      <c r="BDX74" s="2198"/>
      <c r="BDY74" s="2198"/>
      <c r="BDZ74" s="2198"/>
      <c r="BEA74" s="2198"/>
      <c r="BEB74" s="2198"/>
      <c r="BEC74" s="2198"/>
      <c r="BED74" s="2198"/>
      <c r="BEE74" s="2198"/>
      <c r="BEF74" s="2198"/>
      <c r="BEG74" s="2198"/>
      <c r="BEH74" s="2198"/>
      <c r="BEI74" s="2198"/>
      <c r="BEJ74" s="2198"/>
      <c r="BEK74" s="2198"/>
      <c r="BEL74" s="2198"/>
      <c r="BEM74" s="2198"/>
      <c r="BEN74" s="2198"/>
      <c r="BEO74" s="2198"/>
      <c r="BEP74" s="2198"/>
      <c r="BEQ74" s="2198"/>
      <c r="BER74" s="2198"/>
      <c r="BES74" s="2198"/>
      <c r="BET74" s="2198"/>
      <c r="BEU74" s="2198"/>
      <c r="BEV74" s="2198"/>
      <c r="BEW74" s="2198"/>
      <c r="BEX74" s="2198"/>
      <c r="BEY74" s="2198"/>
      <c r="BEZ74" s="2198"/>
      <c r="BFA74" s="2198"/>
      <c r="BFB74" s="2198"/>
      <c r="BFC74" s="2198"/>
      <c r="BFD74" s="2198"/>
      <c r="BFE74" s="2198"/>
      <c r="BFF74" s="2198"/>
      <c r="BFG74" s="2198"/>
      <c r="BFH74" s="2198"/>
      <c r="BFI74" s="2198"/>
      <c r="BFJ74" s="2198"/>
      <c r="BFK74" s="2198"/>
      <c r="BFL74" s="2198"/>
      <c r="BFM74" s="2198"/>
      <c r="BFN74" s="2198"/>
      <c r="BFO74" s="2198"/>
      <c r="BFP74" s="2198"/>
      <c r="BFQ74" s="2198"/>
      <c r="BFR74" s="2198"/>
      <c r="BFS74" s="2198"/>
      <c r="BFT74" s="2198"/>
      <c r="BFU74" s="2198"/>
      <c r="BFV74" s="2198"/>
      <c r="BFW74" s="2198"/>
      <c r="BFX74" s="2198"/>
      <c r="BFY74" s="2198"/>
      <c r="BFZ74" s="2198"/>
      <c r="BGA74" s="2198"/>
      <c r="BGB74" s="2198"/>
      <c r="BGC74" s="2198"/>
      <c r="BGD74" s="2198"/>
      <c r="BGE74" s="2198"/>
      <c r="BGF74" s="2198"/>
      <c r="BGG74" s="2198"/>
      <c r="BGH74" s="2198"/>
      <c r="BGI74" s="2198"/>
      <c r="BGJ74" s="2198"/>
      <c r="BGK74" s="2198"/>
      <c r="BGL74" s="2198"/>
      <c r="BGM74" s="2198"/>
      <c r="BGN74" s="2198"/>
      <c r="BGO74" s="2198"/>
      <c r="BGP74" s="2198"/>
      <c r="BGQ74" s="2198"/>
      <c r="BGR74" s="2198"/>
      <c r="BGS74" s="2198"/>
      <c r="BGT74" s="2198"/>
      <c r="BGU74" s="2198"/>
      <c r="BGV74" s="2198"/>
      <c r="BGW74" s="2198"/>
      <c r="BGX74" s="2198"/>
      <c r="BGY74" s="2198"/>
      <c r="BGZ74" s="2198"/>
      <c r="BHA74" s="2198"/>
      <c r="BHB74" s="2198"/>
      <c r="BHC74" s="2198"/>
      <c r="BHD74" s="2198"/>
      <c r="BHE74" s="2198"/>
      <c r="BHF74" s="2198"/>
      <c r="BHG74" s="2198"/>
      <c r="BHH74" s="2198"/>
      <c r="BHI74" s="2198"/>
      <c r="BHJ74" s="2198"/>
      <c r="BHK74" s="2198"/>
      <c r="BHL74" s="2198"/>
      <c r="BHM74" s="2198"/>
      <c r="BHN74" s="2198"/>
      <c r="BHO74" s="2198"/>
      <c r="BHP74" s="2198"/>
      <c r="BHQ74" s="2198"/>
      <c r="BHR74" s="2198"/>
      <c r="BHS74" s="2198"/>
      <c r="BHT74" s="2198"/>
      <c r="BHU74" s="2198"/>
      <c r="BHV74" s="2198"/>
      <c r="BHW74" s="2198"/>
      <c r="BHX74" s="2198"/>
      <c r="BHY74" s="2198"/>
      <c r="BHZ74" s="2198"/>
      <c r="BIA74" s="2198"/>
      <c r="BIB74" s="2198"/>
      <c r="BIC74" s="2198"/>
      <c r="BID74" s="2198"/>
      <c r="BIE74" s="2198"/>
      <c r="BIF74" s="2198"/>
      <c r="BIG74" s="2198"/>
      <c r="BIH74" s="2198"/>
      <c r="BII74" s="2198"/>
      <c r="BIJ74" s="2198"/>
      <c r="BIK74" s="2198"/>
      <c r="BIL74" s="2198"/>
      <c r="BIM74" s="2198"/>
      <c r="BIN74" s="2198"/>
      <c r="BIO74" s="2198"/>
      <c r="BIP74" s="2198"/>
      <c r="BIQ74" s="2198"/>
      <c r="BIR74" s="2198"/>
      <c r="BIS74" s="2198"/>
      <c r="BIT74" s="2198"/>
      <c r="BIU74" s="2198"/>
      <c r="BIV74" s="2198"/>
      <c r="BIW74" s="2198"/>
      <c r="BIX74" s="2198"/>
      <c r="BIY74" s="2198"/>
      <c r="BIZ74" s="2198"/>
      <c r="BJA74" s="2198"/>
      <c r="BJB74" s="2198"/>
      <c r="BJC74" s="2198"/>
      <c r="BJD74" s="2198"/>
      <c r="BJE74" s="2198"/>
      <c r="BJF74" s="2198"/>
      <c r="BJG74" s="2198"/>
      <c r="BJH74" s="2198"/>
      <c r="BJI74" s="2198"/>
      <c r="BJJ74" s="2198"/>
      <c r="BJK74" s="2198"/>
      <c r="BJL74" s="2198"/>
      <c r="BJM74" s="2198"/>
      <c r="BJN74" s="2198"/>
      <c r="BJO74" s="2198"/>
      <c r="BJP74" s="2198"/>
      <c r="BJQ74" s="2198"/>
      <c r="BJR74" s="2198"/>
      <c r="BJS74" s="2198"/>
      <c r="BJT74" s="2198"/>
      <c r="BJU74" s="2198"/>
      <c r="BJV74" s="2198"/>
      <c r="BJW74" s="2198"/>
      <c r="BJX74" s="2198"/>
      <c r="BJY74" s="2198"/>
      <c r="BJZ74" s="2198"/>
      <c r="BKA74" s="2198"/>
      <c r="BKB74" s="2198"/>
      <c r="BKC74" s="2198"/>
      <c r="BKD74" s="2198"/>
      <c r="BKE74" s="2198"/>
      <c r="BKF74" s="2198"/>
      <c r="BKG74" s="2198"/>
      <c r="BKH74" s="2198"/>
      <c r="BKI74" s="2198"/>
      <c r="BKJ74" s="2198"/>
      <c r="BKK74" s="2198"/>
      <c r="BKL74" s="2198"/>
      <c r="BKM74" s="2198"/>
      <c r="BKN74" s="2198"/>
      <c r="BKO74" s="2198"/>
      <c r="BKP74" s="2198"/>
      <c r="BKQ74" s="2198"/>
      <c r="BKR74" s="2198"/>
      <c r="BKS74" s="2198"/>
      <c r="BKT74" s="2198"/>
      <c r="BKU74" s="2198"/>
      <c r="BKV74" s="2198"/>
      <c r="BKW74" s="2198"/>
      <c r="BKX74" s="2198"/>
      <c r="BKY74" s="2198"/>
      <c r="BKZ74" s="2198"/>
      <c r="BLA74" s="2198"/>
      <c r="BLB74" s="2198"/>
      <c r="BLC74" s="2198"/>
      <c r="BLD74" s="2198"/>
      <c r="BLE74" s="2198"/>
      <c r="BLF74" s="2198"/>
      <c r="BLG74" s="2198"/>
      <c r="BLH74" s="2198"/>
      <c r="BLI74" s="2198"/>
      <c r="BLJ74" s="2198"/>
      <c r="BLK74" s="2198"/>
      <c r="BLL74" s="2198"/>
      <c r="BLM74" s="2198"/>
      <c r="BLN74" s="2198"/>
      <c r="BLO74" s="2198"/>
      <c r="BLP74" s="2198"/>
      <c r="BLQ74" s="2198"/>
      <c r="BLR74" s="2198"/>
      <c r="BLS74" s="2198"/>
      <c r="BLT74" s="2198"/>
      <c r="BLU74" s="2198"/>
      <c r="BLV74" s="2198"/>
      <c r="BLW74" s="2198"/>
      <c r="BLX74" s="2198"/>
      <c r="BLY74" s="2198"/>
      <c r="BLZ74" s="2198"/>
      <c r="BMA74" s="2198"/>
      <c r="BMB74" s="2198"/>
      <c r="BMC74" s="2198"/>
      <c r="BMD74" s="2198"/>
      <c r="BME74" s="2198"/>
      <c r="BMF74" s="2198"/>
      <c r="BMG74" s="2198"/>
      <c r="BMH74" s="2198"/>
      <c r="BMI74" s="2198"/>
      <c r="BMJ74" s="2198"/>
      <c r="BMK74" s="2198"/>
      <c r="BML74" s="2198"/>
      <c r="BMM74" s="2198"/>
      <c r="BMN74" s="2198"/>
      <c r="BMO74" s="2198"/>
      <c r="BMP74" s="2198"/>
      <c r="BMQ74" s="2198"/>
      <c r="BMR74" s="2198"/>
      <c r="BMS74" s="2198"/>
      <c r="BMT74" s="2198"/>
      <c r="BMU74" s="2198"/>
      <c r="BMV74" s="2198"/>
      <c r="BMW74" s="2198"/>
      <c r="BMX74" s="2198"/>
      <c r="BMY74" s="2198"/>
      <c r="BMZ74" s="2198"/>
      <c r="BNA74" s="2198"/>
      <c r="BNB74" s="2198"/>
      <c r="BNC74" s="2198"/>
      <c r="BND74" s="2198"/>
      <c r="BNE74" s="2198"/>
      <c r="BNF74" s="2198"/>
      <c r="BNG74" s="2198"/>
      <c r="BNH74" s="2198"/>
      <c r="BNI74" s="2198"/>
      <c r="BNJ74" s="2198"/>
      <c r="BNK74" s="2198"/>
      <c r="BNL74" s="2198"/>
      <c r="BNM74" s="2198"/>
      <c r="BNN74" s="2198"/>
      <c r="BNO74" s="2198"/>
      <c r="BNP74" s="2198"/>
      <c r="BNQ74" s="2198"/>
      <c r="BNR74" s="2198"/>
      <c r="BNS74" s="2198"/>
      <c r="BNT74" s="2198"/>
      <c r="BNU74" s="2198"/>
      <c r="BNV74" s="2198"/>
      <c r="BNW74" s="2198"/>
      <c r="BNX74" s="2198"/>
      <c r="BNY74" s="2198"/>
      <c r="BNZ74" s="2198"/>
      <c r="BOA74" s="2198"/>
      <c r="BOB74" s="2198"/>
      <c r="BOC74" s="2198"/>
      <c r="BOD74" s="2198"/>
      <c r="BOE74" s="2198"/>
      <c r="BOF74" s="2198"/>
      <c r="BOG74" s="2198"/>
      <c r="BOH74" s="2198"/>
      <c r="BOI74" s="2198"/>
      <c r="BOJ74" s="2198"/>
      <c r="BOK74" s="2198"/>
      <c r="BOL74" s="2198"/>
      <c r="BOM74" s="2198"/>
      <c r="BON74" s="2198"/>
      <c r="BOO74" s="2198"/>
      <c r="BOP74" s="2198"/>
      <c r="BOQ74" s="2198"/>
      <c r="BOR74" s="2198"/>
      <c r="BOS74" s="2198"/>
      <c r="BOT74" s="2198"/>
      <c r="BOU74" s="2198"/>
      <c r="BOV74" s="2198"/>
      <c r="BOW74" s="2198"/>
      <c r="BOX74" s="2198"/>
      <c r="BOY74" s="2198"/>
      <c r="BOZ74" s="2198"/>
      <c r="BPA74" s="2198"/>
      <c r="BPB74" s="2198"/>
      <c r="BPC74" s="2198"/>
      <c r="BPD74" s="2198"/>
      <c r="BPE74" s="2198"/>
      <c r="BPF74" s="2198"/>
      <c r="BPG74" s="2198"/>
      <c r="BPH74" s="2198"/>
      <c r="BPI74" s="2198"/>
      <c r="BPJ74" s="2198"/>
      <c r="BPK74" s="2198"/>
      <c r="BPL74" s="2198"/>
      <c r="BPM74" s="2198"/>
      <c r="BPN74" s="2198"/>
      <c r="BPO74" s="2198"/>
      <c r="BPP74" s="2198"/>
      <c r="BPQ74" s="2198"/>
      <c r="BPR74" s="2198"/>
      <c r="BPS74" s="2198"/>
      <c r="BPT74" s="2198"/>
      <c r="BPU74" s="2198"/>
      <c r="BPV74" s="2198"/>
      <c r="BPW74" s="2198"/>
      <c r="BPX74" s="2198"/>
      <c r="BPY74" s="2198"/>
      <c r="BPZ74" s="2198"/>
      <c r="BQA74" s="2198"/>
      <c r="BQB74" s="2198"/>
      <c r="BQC74" s="2198"/>
      <c r="BQD74" s="2198"/>
      <c r="BQE74" s="2198"/>
      <c r="BQF74" s="2198"/>
      <c r="BQG74" s="2198"/>
      <c r="BQH74" s="2198"/>
      <c r="BQI74" s="2198"/>
      <c r="BQJ74" s="2198"/>
      <c r="BQK74" s="2198"/>
      <c r="BQL74" s="2198"/>
      <c r="BQM74" s="2198"/>
      <c r="BQN74" s="2198"/>
      <c r="BQO74" s="2198"/>
      <c r="BQP74" s="2198"/>
      <c r="BQQ74" s="2198"/>
      <c r="BQR74" s="2198"/>
      <c r="BQS74" s="2198"/>
      <c r="BQT74" s="2198"/>
      <c r="BQU74" s="2198"/>
      <c r="BQV74" s="2198"/>
      <c r="BQW74" s="2198"/>
      <c r="BQX74" s="2198"/>
      <c r="BQY74" s="2198"/>
      <c r="BQZ74" s="2198"/>
      <c r="BRA74" s="2198"/>
      <c r="BRB74" s="2198"/>
      <c r="BRC74" s="2198"/>
      <c r="BRD74" s="2198"/>
      <c r="BRE74" s="2198"/>
      <c r="BRF74" s="2198"/>
      <c r="BRG74" s="2198"/>
      <c r="BRH74" s="2198"/>
      <c r="BRI74" s="2198"/>
      <c r="BRJ74" s="2198"/>
      <c r="BRK74" s="2198"/>
      <c r="BRL74" s="2198"/>
      <c r="BRM74" s="2198"/>
      <c r="BRN74" s="2198"/>
      <c r="BRO74" s="2198"/>
      <c r="BRP74" s="2198"/>
      <c r="BRQ74" s="2198"/>
      <c r="BRR74" s="2198"/>
      <c r="BRS74" s="2198"/>
      <c r="BRT74" s="2198"/>
      <c r="BRU74" s="2198"/>
      <c r="BRV74" s="2198"/>
      <c r="BRW74" s="2198"/>
      <c r="BRX74" s="2198"/>
      <c r="BRY74" s="2198"/>
      <c r="BRZ74" s="2198"/>
      <c r="BSA74" s="2198"/>
      <c r="BSB74" s="2198"/>
      <c r="BSC74" s="2198"/>
      <c r="BSD74" s="2198"/>
      <c r="BSE74" s="2198"/>
      <c r="BSF74" s="2198"/>
      <c r="BSG74" s="2198"/>
      <c r="BSH74" s="2198"/>
      <c r="BSI74" s="2198"/>
      <c r="BSJ74" s="2198"/>
      <c r="BSK74" s="2198"/>
      <c r="BSL74" s="2198"/>
      <c r="BSM74" s="2198"/>
      <c r="BSN74" s="2198"/>
      <c r="BSO74" s="2198"/>
      <c r="BSP74" s="2198"/>
      <c r="BSQ74" s="2198"/>
      <c r="BSR74" s="2198"/>
      <c r="BSS74" s="2198"/>
      <c r="BST74" s="2198"/>
      <c r="BSU74" s="2198"/>
      <c r="BSV74" s="2198"/>
      <c r="BSW74" s="2198"/>
      <c r="BSX74" s="2198"/>
      <c r="BSY74" s="2198"/>
      <c r="BSZ74" s="2198"/>
      <c r="BTA74" s="2198"/>
      <c r="BTB74" s="2198"/>
      <c r="BTC74" s="2198"/>
      <c r="BTD74" s="2198"/>
      <c r="BTE74" s="2198"/>
      <c r="BTF74" s="2198"/>
      <c r="BTG74" s="2198"/>
      <c r="BTH74" s="2198"/>
      <c r="BTI74" s="2198"/>
      <c r="BTJ74" s="2198"/>
      <c r="BTK74" s="2198"/>
      <c r="BTL74" s="2198"/>
      <c r="BTM74" s="2198"/>
      <c r="BTN74" s="2198"/>
      <c r="BTO74" s="2198"/>
      <c r="BTP74" s="2198"/>
      <c r="BTQ74" s="2198"/>
      <c r="BTR74" s="2198"/>
      <c r="BTS74" s="2198"/>
      <c r="BTT74" s="2198"/>
      <c r="BTU74" s="2198"/>
      <c r="BTV74" s="2198"/>
      <c r="BTW74" s="2198"/>
      <c r="BTX74" s="2198"/>
      <c r="BTY74" s="2198"/>
      <c r="BTZ74" s="2198"/>
      <c r="BUA74" s="2198"/>
      <c r="BUB74" s="2198"/>
      <c r="BUC74" s="2198"/>
      <c r="BUD74" s="2198"/>
      <c r="BUE74" s="2198"/>
      <c r="BUF74" s="2198"/>
      <c r="BUG74" s="2198"/>
      <c r="BUH74" s="2198"/>
      <c r="BUI74" s="2198"/>
      <c r="BUJ74" s="2198"/>
      <c r="BUK74" s="2198"/>
      <c r="BUL74" s="2198"/>
      <c r="BUM74" s="2198"/>
      <c r="BUN74" s="2198"/>
      <c r="BUO74" s="2198"/>
      <c r="BUP74" s="2198"/>
      <c r="BUQ74" s="2198"/>
      <c r="BUR74" s="2198"/>
      <c r="BUS74" s="2198"/>
      <c r="BUT74" s="2198"/>
      <c r="BUU74" s="2198"/>
      <c r="BUV74" s="2198"/>
      <c r="BUW74" s="2198"/>
      <c r="BUX74" s="2198"/>
      <c r="BUY74" s="2198"/>
      <c r="BUZ74" s="2198"/>
      <c r="BVA74" s="2198"/>
      <c r="BVB74" s="2198"/>
      <c r="BVC74" s="2198"/>
      <c r="BVD74" s="2198"/>
      <c r="BVE74" s="2198"/>
      <c r="BVF74" s="2198"/>
      <c r="BVG74" s="2198"/>
      <c r="BVH74" s="2198"/>
      <c r="BVI74" s="2198"/>
      <c r="BVJ74" s="2198"/>
      <c r="BVK74" s="2198"/>
      <c r="BVL74" s="2198"/>
      <c r="BVM74" s="2198"/>
      <c r="BVN74" s="2198"/>
      <c r="BVO74" s="2198"/>
      <c r="BVP74" s="2198"/>
      <c r="BVQ74" s="2198"/>
      <c r="BVR74" s="2198"/>
      <c r="BVS74" s="2198"/>
      <c r="BVT74" s="2198"/>
      <c r="BVU74" s="2198"/>
      <c r="BVV74" s="2198"/>
      <c r="BVW74" s="2198"/>
      <c r="BVX74" s="2198"/>
      <c r="BVY74" s="2198"/>
      <c r="BVZ74" s="2198"/>
      <c r="BWA74" s="2198"/>
      <c r="BWB74" s="2198"/>
      <c r="BWC74" s="2198"/>
      <c r="BWD74" s="2198"/>
      <c r="BWE74" s="2198"/>
      <c r="BWF74" s="2198"/>
      <c r="BWG74" s="2198"/>
      <c r="BWH74" s="2198"/>
      <c r="BWI74" s="2198"/>
      <c r="BWJ74" s="2198"/>
      <c r="BWK74" s="2198"/>
      <c r="BWL74" s="2198"/>
      <c r="BWM74" s="2198"/>
      <c r="BWN74" s="2198"/>
      <c r="BWO74" s="2198"/>
      <c r="BWP74" s="2198"/>
      <c r="BWQ74" s="2198"/>
      <c r="BWR74" s="2198"/>
      <c r="BWS74" s="2198"/>
      <c r="BWT74" s="2198"/>
      <c r="BWU74" s="2198"/>
      <c r="BWV74" s="2198"/>
      <c r="BWW74" s="2198"/>
      <c r="BWX74" s="2198"/>
      <c r="BWY74" s="2198"/>
      <c r="BWZ74" s="2198"/>
      <c r="BXA74" s="2198"/>
      <c r="BXB74" s="2198"/>
      <c r="BXC74" s="2198"/>
      <c r="BXD74" s="2198"/>
      <c r="BXE74" s="2198"/>
      <c r="BXF74" s="2198"/>
      <c r="BXG74" s="2198"/>
      <c r="BXH74" s="2198"/>
      <c r="BXI74" s="2198"/>
      <c r="BXJ74" s="2198"/>
      <c r="BXK74" s="2198"/>
      <c r="BXL74" s="2198"/>
      <c r="BXM74" s="2198"/>
      <c r="BXN74" s="2198"/>
      <c r="BXO74" s="2198"/>
      <c r="BXP74" s="2198"/>
      <c r="BXQ74" s="2198"/>
      <c r="BXR74" s="2198"/>
      <c r="BXS74" s="2198"/>
      <c r="BXT74" s="2198"/>
      <c r="BXU74" s="2198"/>
      <c r="BXV74" s="2198"/>
      <c r="BXW74" s="2198"/>
      <c r="BXX74" s="2198"/>
      <c r="BXY74" s="2198"/>
      <c r="BXZ74" s="2198"/>
      <c r="BYA74" s="2198"/>
      <c r="BYB74" s="2198"/>
      <c r="BYC74" s="2198"/>
      <c r="BYD74" s="2198"/>
      <c r="BYE74" s="2198"/>
      <c r="BYF74" s="2198"/>
      <c r="BYG74" s="2198"/>
      <c r="BYH74" s="2198"/>
      <c r="BYI74" s="2198"/>
      <c r="BYJ74" s="2198"/>
      <c r="BYK74" s="2198"/>
      <c r="BYL74" s="2198"/>
      <c r="BYM74" s="2198"/>
      <c r="BYN74" s="2198"/>
      <c r="BYO74" s="2198"/>
      <c r="BYP74" s="2198"/>
      <c r="BYQ74" s="2198"/>
      <c r="BYR74" s="2198"/>
      <c r="BYS74" s="2198"/>
      <c r="BYT74" s="2198"/>
      <c r="BYU74" s="2198"/>
      <c r="BYV74" s="2198"/>
      <c r="BYW74" s="2198"/>
      <c r="BYX74" s="2198"/>
      <c r="BYY74" s="2198"/>
      <c r="BYZ74" s="2198"/>
      <c r="BZA74" s="2198"/>
      <c r="BZB74" s="2198"/>
      <c r="BZC74" s="2198"/>
      <c r="BZD74" s="2198"/>
      <c r="BZE74" s="2198"/>
      <c r="BZF74" s="2198"/>
      <c r="BZG74" s="2198"/>
      <c r="BZH74" s="2198"/>
      <c r="BZI74" s="2198"/>
      <c r="BZJ74" s="2198"/>
      <c r="BZK74" s="2198"/>
      <c r="BZL74" s="2198"/>
      <c r="BZM74" s="2198"/>
      <c r="BZN74" s="2198"/>
      <c r="BZO74" s="2198"/>
      <c r="BZP74" s="2198"/>
      <c r="BZQ74" s="2198"/>
      <c r="BZR74" s="2198"/>
      <c r="BZS74" s="2198"/>
      <c r="BZT74" s="2198"/>
      <c r="BZU74" s="2198"/>
      <c r="BZV74" s="2198"/>
      <c r="BZW74" s="2198"/>
      <c r="BZX74" s="2198"/>
      <c r="BZY74" s="2198"/>
      <c r="BZZ74" s="2198"/>
      <c r="CAA74" s="2198"/>
      <c r="CAB74" s="2198"/>
      <c r="CAC74" s="2198"/>
      <c r="CAD74" s="2198"/>
      <c r="CAE74" s="2198"/>
      <c r="CAF74" s="2198"/>
      <c r="CAG74" s="2198"/>
      <c r="CAH74" s="2198"/>
      <c r="CAI74" s="2198"/>
      <c r="CAJ74" s="2198"/>
      <c r="CAK74" s="2198"/>
      <c r="CAL74" s="2198"/>
      <c r="CAM74" s="2198"/>
      <c r="CAN74" s="2198"/>
      <c r="CAO74" s="2198"/>
      <c r="CAP74" s="2198"/>
      <c r="CAQ74" s="2198"/>
      <c r="CAR74" s="2198"/>
      <c r="CAS74" s="2198"/>
      <c r="CAT74" s="2198"/>
      <c r="CAU74" s="2198"/>
      <c r="CAV74" s="2198"/>
      <c r="CAW74" s="2198"/>
      <c r="CAX74" s="2198"/>
      <c r="CAY74" s="2198"/>
      <c r="CAZ74" s="2198"/>
      <c r="CBA74" s="2198"/>
      <c r="CBB74" s="2198"/>
      <c r="CBC74" s="2198"/>
      <c r="CBD74" s="2198"/>
      <c r="CBE74" s="2198"/>
      <c r="CBF74" s="2198"/>
      <c r="CBG74" s="2198"/>
      <c r="CBH74" s="2198"/>
      <c r="CBI74" s="2198"/>
      <c r="CBJ74" s="2198"/>
      <c r="CBK74" s="2198"/>
      <c r="CBL74" s="2198"/>
      <c r="CBM74" s="2198"/>
      <c r="CBN74" s="2198"/>
      <c r="CBO74" s="2198"/>
      <c r="CBP74" s="2198"/>
      <c r="CBQ74" s="2198"/>
      <c r="CBR74" s="2198"/>
      <c r="CBS74" s="2198"/>
      <c r="CBT74" s="2198"/>
      <c r="CBU74" s="2198"/>
      <c r="CBV74" s="2198"/>
      <c r="CBW74" s="2198"/>
      <c r="CBX74" s="2198"/>
      <c r="CBY74" s="2198"/>
      <c r="CBZ74" s="2198"/>
      <c r="CCA74" s="2198"/>
      <c r="CCB74" s="2198"/>
      <c r="CCC74" s="2198"/>
      <c r="CCD74" s="2198"/>
      <c r="CCE74" s="2198"/>
      <c r="CCF74" s="2198"/>
      <c r="CCG74" s="2198"/>
      <c r="CCH74" s="2198"/>
      <c r="CCI74" s="2198"/>
      <c r="CCJ74" s="2198"/>
      <c r="CCK74" s="2198"/>
      <c r="CCL74" s="2198"/>
      <c r="CCM74" s="2198"/>
      <c r="CCN74" s="2198"/>
      <c r="CCO74" s="2198"/>
      <c r="CCP74" s="2198"/>
      <c r="CCQ74" s="2198"/>
      <c r="CCR74" s="2198"/>
      <c r="CCS74" s="2198"/>
      <c r="CCT74" s="2198"/>
      <c r="CCU74" s="2198"/>
      <c r="CCV74" s="2198"/>
      <c r="CCW74" s="2198"/>
      <c r="CCX74" s="2198"/>
      <c r="CCY74" s="2198"/>
      <c r="CCZ74" s="2198"/>
      <c r="CDA74" s="2198"/>
      <c r="CDB74" s="2198"/>
      <c r="CDC74" s="2198"/>
      <c r="CDD74" s="2198"/>
      <c r="CDE74" s="2198"/>
      <c r="CDF74" s="2198"/>
      <c r="CDG74" s="2198"/>
      <c r="CDH74" s="2198"/>
      <c r="CDI74" s="2198"/>
      <c r="CDJ74" s="2198"/>
      <c r="CDK74" s="2198"/>
      <c r="CDL74" s="2198"/>
      <c r="CDM74" s="2198"/>
      <c r="CDN74" s="2198"/>
      <c r="CDO74" s="2198"/>
      <c r="CDP74" s="2198"/>
      <c r="CDQ74" s="2198"/>
      <c r="CDR74" s="2198"/>
      <c r="CDS74" s="2198"/>
      <c r="CDT74" s="2198"/>
      <c r="CDU74" s="2198"/>
      <c r="CDV74" s="2198"/>
      <c r="CDW74" s="2198"/>
      <c r="CDX74" s="2198"/>
      <c r="CDY74" s="2198"/>
      <c r="CDZ74" s="2198"/>
      <c r="CEA74" s="2198"/>
      <c r="CEB74" s="2198"/>
      <c r="CEC74" s="2198"/>
      <c r="CED74" s="2198"/>
      <c r="CEE74" s="2198"/>
      <c r="CEF74" s="2198"/>
      <c r="CEG74" s="2198"/>
      <c r="CEH74" s="2198"/>
      <c r="CEI74" s="2198"/>
      <c r="CEJ74" s="2198"/>
      <c r="CEK74" s="2198"/>
      <c r="CEL74" s="2198"/>
      <c r="CEM74" s="2198"/>
      <c r="CEN74" s="2198"/>
      <c r="CEO74" s="2198"/>
      <c r="CEP74" s="2198"/>
      <c r="CEQ74" s="2198"/>
      <c r="CER74" s="2198"/>
      <c r="CES74" s="2198"/>
      <c r="CET74" s="2198"/>
      <c r="CEU74" s="2198"/>
      <c r="CEV74" s="2198"/>
      <c r="CEW74" s="2198"/>
      <c r="CEX74" s="2198"/>
      <c r="CEY74" s="2198"/>
      <c r="CEZ74" s="2198"/>
      <c r="CFA74" s="2198"/>
      <c r="CFB74" s="2198"/>
      <c r="CFC74" s="2198"/>
      <c r="CFD74" s="2198"/>
      <c r="CFE74" s="2198"/>
      <c r="CFF74" s="2198"/>
      <c r="CFG74" s="2198"/>
      <c r="CFH74" s="2198"/>
      <c r="CFI74" s="2198"/>
      <c r="CFJ74" s="2198"/>
      <c r="CFK74" s="2198"/>
      <c r="CFL74" s="2198"/>
      <c r="CFM74" s="2198"/>
      <c r="CFN74" s="2198"/>
      <c r="CFO74" s="2198"/>
      <c r="CFP74" s="2198"/>
      <c r="CFQ74" s="2198"/>
      <c r="CFR74" s="2198"/>
      <c r="CFS74" s="2198"/>
      <c r="CFT74" s="2198"/>
      <c r="CFU74" s="2198"/>
      <c r="CFV74" s="2198"/>
      <c r="CFW74" s="2198"/>
      <c r="CFX74" s="2198"/>
      <c r="CFY74" s="2198"/>
      <c r="CFZ74" s="2198"/>
      <c r="CGA74" s="2198"/>
      <c r="CGB74" s="2198"/>
      <c r="CGC74" s="2198"/>
      <c r="CGD74" s="2198"/>
      <c r="CGE74" s="2198"/>
      <c r="CGF74" s="2198"/>
      <c r="CGG74" s="2198"/>
      <c r="CGH74" s="2198"/>
      <c r="CGI74" s="2198"/>
      <c r="CGJ74" s="2198"/>
      <c r="CGK74" s="2198"/>
      <c r="CGL74" s="2198"/>
      <c r="CGM74" s="2198"/>
      <c r="CGN74" s="2198"/>
      <c r="CGO74" s="2198"/>
      <c r="CGP74" s="2198"/>
      <c r="CGQ74" s="2198"/>
      <c r="CGR74" s="2198"/>
      <c r="CGS74" s="2198"/>
      <c r="CGT74" s="2198"/>
      <c r="CGU74" s="2198"/>
      <c r="CGV74" s="2198"/>
      <c r="CGW74" s="2198"/>
      <c r="CGX74" s="2198"/>
      <c r="CGY74" s="2198"/>
      <c r="CGZ74" s="2198"/>
      <c r="CHA74" s="2198"/>
      <c r="CHB74" s="2198"/>
      <c r="CHC74" s="2198"/>
      <c r="CHD74" s="2198"/>
      <c r="CHE74" s="2198"/>
      <c r="CHF74" s="2198"/>
      <c r="CHG74" s="2198"/>
      <c r="CHH74" s="2198"/>
      <c r="CHI74" s="2198"/>
      <c r="CHJ74" s="2198"/>
      <c r="CHK74" s="2198"/>
      <c r="CHL74" s="2198"/>
      <c r="CHM74" s="2198"/>
      <c r="CHN74" s="2198"/>
      <c r="CHO74" s="2198"/>
      <c r="CHP74" s="2198"/>
      <c r="CHQ74" s="2198"/>
      <c r="CHR74" s="2198"/>
      <c r="CHS74" s="2198"/>
      <c r="CHT74" s="2198"/>
      <c r="CHU74" s="2198"/>
      <c r="CHV74" s="2198"/>
      <c r="CHW74" s="2198"/>
      <c r="CHX74" s="2198"/>
      <c r="CHY74" s="2198"/>
      <c r="CHZ74" s="2198"/>
      <c r="CIA74" s="2198"/>
      <c r="CIB74" s="2198"/>
      <c r="CIC74" s="2198"/>
      <c r="CID74" s="2198"/>
      <c r="CIE74" s="2198"/>
      <c r="CIF74" s="2198"/>
      <c r="CIG74" s="2198"/>
      <c r="CIH74" s="2198"/>
      <c r="CII74" s="2198"/>
      <c r="CIJ74" s="2198"/>
      <c r="CIK74" s="2198"/>
      <c r="CIL74" s="2198"/>
      <c r="CIM74" s="2198"/>
      <c r="CIN74" s="2198"/>
      <c r="CIO74" s="2198"/>
      <c r="CIP74" s="2198"/>
      <c r="CIQ74" s="2198"/>
      <c r="CIR74" s="2198"/>
      <c r="CIS74" s="2198"/>
      <c r="CIT74" s="2198"/>
      <c r="CIU74" s="2198"/>
      <c r="CIV74" s="2198"/>
      <c r="CIW74" s="2198"/>
      <c r="CIX74" s="2198"/>
      <c r="CIY74" s="2198"/>
      <c r="CIZ74" s="2198"/>
      <c r="CJA74" s="2198"/>
      <c r="CJB74" s="2198"/>
      <c r="CJC74" s="2198"/>
      <c r="CJD74" s="2198"/>
      <c r="CJE74" s="2198"/>
      <c r="CJF74" s="2198"/>
      <c r="CJG74" s="2198"/>
      <c r="CJH74" s="2198"/>
      <c r="CJI74" s="2198"/>
      <c r="CJJ74" s="2198"/>
      <c r="CJK74" s="2198"/>
      <c r="CJL74" s="2198"/>
      <c r="CJM74" s="2198"/>
      <c r="CJN74" s="2198"/>
      <c r="CJO74" s="2198"/>
      <c r="CJP74" s="2198"/>
      <c r="CJQ74" s="2198"/>
      <c r="CJR74" s="2198"/>
      <c r="CJS74" s="2198"/>
      <c r="CJT74" s="2198"/>
      <c r="CJU74" s="2198"/>
      <c r="CJV74" s="2198"/>
      <c r="CJW74" s="2198"/>
      <c r="CJX74" s="2198"/>
      <c r="CJY74" s="2198"/>
      <c r="CJZ74" s="2198"/>
      <c r="CKA74" s="2198"/>
      <c r="CKB74" s="2198"/>
      <c r="CKC74" s="2198"/>
      <c r="CKD74" s="2198"/>
      <c r="CKE74" s="2198"/>
      <c r="CKF74" s="2198"/>
      <c r="CKG74" s="2198"/>
      <c r="CKH74" s="2198"/>
      <c r="CKI74" s="2198"/>
      <c r="CKJ74" s="2198"/>
      <c r="CKK74" s="2198"/>
      <c r="CKL74" s="2198"/>
      <c r="CKM74" s="2198"/>
      <c r="CKN74" s="2198"/>
      <c r="CKO74" s="2198"/>
      <c r="CKP74" s="2198"/>
      <c r="CKQ74" s="2198"/>
      <c r="CKR74" s="2198"/>
      <c r="CKS74" s="2198"/>
      <c r="CKT74" s="2198"/>
      <c r="CKU74" s="2198"/>
      <c r="CKV74" s="2198"/>
      <c r="CKW74" s="2198"/>
      <c r="CKX74" s="2198"/>
      <c r="CKY74" s="2198"/>
      <c r="CKZ74" s="2198"/>
      <c r="CLA74" s="2198"/>
      <c r="CLB74" s="2198"/>
      <c r="CLC74" s="2198"/>
      <c r="CLD74" s="2198"/>
      <c r="CLE74" s="2198"/>
      <c r="CLF74" s="2198"/>
      <c r="CLG74" s="2198"/>
      <c r="CLH74" s="2198"/>
      <c r="CLI74" s="2198"/>
      <c r="CLJ74" s="2198"/>
      <c r="CLK74" s="2198"/>
      <c r="CLL74" s="2198"/>
      <c r="CLM74" s="2198"/>
      <c r="CLN74" s="2198"/>
      <c r="CLO74" s="2198"/>
      <c r="CLP74" s="2198"/>
      <c r="CLQ74" s="2198"/>
      <c r="CLR74" s="2198"/>
      <c r="CLS74" s="2198"/>
      <c r="CLT74" s="2198"/>
      <c r="CLU74" s="2198"/>
      <c r="CLV74" s="2198"/>
      <c r="CLW74" s="2198"/>
      <c r="CLX74" s="2198"/>
      <c r="CLY74" s="2198"/>
      <c r="CLZ74" s="2198"/>
      <c r="CMA74" s="2198"/>
      <c r="CMB74" s="2198"/>
      <c r="CMC74" s="2198"/>
      <c r="CMD74" s="2198"/>
      <c r="CME74" s="2198"/>
      <c r="CMF74" s="2198"/>
      <c r="CMG74" s="2198"/>
      <c r="CMH74" s="2198"/>
      <c r="CMI74" s="2198"/>
      <c r="CMJ74" s="2198"/>
      <c r="CMK74" s="2198"/>
      <c r="CML74" s="2198"/>
      <c r="CMM74" s="2198"/>
      <c r="CMN74" s="2198"/>
      <c r="CMO74" s="2198"/>
      <c r="CMP74" s="2198"/>
      <c r="CMQ74" s="2198"/>
      <c r="CMR74" s="2198"/>
      <c r="CMS74" s="2198"/>
      <c r="CMT74" s="2198"/>
      <c r="CMU74" s="2198"/>
      <c r="CMV74" s="2198"/>
      <c r="CMW74" s="2198"/>
      <c r="CMX74" s="2198"/>
      <c r="CMY74" s="2198"/>
      <c r="CMZ74" s="2198"/>
      <c r="CNA74" s="2198"/>
      <c r="CNB74" s="2198"/>
      <c r="CNC74" s="2198"/>
      <c r="CND74" s="2198"/>
      <c r="CNE74" s="2198"/>
      <c r="CNF74" s="2198"/>
      <c r="CNG74" s="2198"/>
      <c r="CNH74" s="2198"/>
      <c r="CNI74" s="2198"/>
      <c r="CNJ74" s="2198"/>
      <c r="CNK74" s="2198"/>
      <c r="CNL74" s="2198"/>
      <c r="CNM74" s="2198"/>
      <c r="CNN74" s="2198"/>
      <c r="CNO74" s="2198"/>
      <c r="CNP74" s="2198"/>
      <c r="CNQ74" s="2198"/>
      <c r="CNR74" s="2198"/>
      <c r="CNS74" s="2198"/>
      <c r="CNT74" s="2198"/>
      <c r="CNU74" s="2198"/>
      <c r="CNV74" s="2198"/>
      <c r="CNW74" s="2198"/>
      <c r="CNX74" s="2198"/>
      <c r="CNY74" s="2198"/>
      <c r="CNZ74" s="2198"/>
      <c r="COA74" s="2198"/>
      <c r="COB74" s="2198"/>
      <c r="COC74" s="2198"/>
      <c r="COD74" s="2198"/>
      <c r="COE74" s="2198"/>
      <c r="COF74" s="2198"/>
      <c r="COG74" s="2198"/>
      <c r="COH74" s="2198"/>
      <c r="COI74" s="2198"/>
      <c r="COJ74" s="2198"/>
      <c r="COK74" s="2198"/>
      <c r="COL74" s="2198"/>
      <c r="COM74" s="2198"/>
      <c r="CON74" s="2198"/>
      <c r="COO74" s="2198"/>
      <c r="COP74" s="2198"/>
      <c r="COQ74" s="2198"/>
      <c r="COR74" s="2198"/>
      <c r="COS74" s="2198"/>
      <c r="COT74" s="2198"/>
      <c r="COU74" s="2198"/>
      <c r="COV74" s="2198"/>
      <c r="COW74" s="2198"/>
      <c r="COX74" s="2198"/>
      <c r="COY74" s="2198"/>
      <c r="COZ74" s="2198"/>
      <c r="CPA74" s="2198"/>
      <c r="CPB74" s="2198"/>
      <c r="CPC74" s="2198"/>
      <c r="CPD74" s="2198"/>
      <c r="CPE74" s="2198"/>
      <c r="CPF74" s="2198"/>
      <c r="CPG74" s="2198"/>
      <c r="CPH74" s="2198"/>
      <c r="CPI74" s="2198"/>
      <c r="CPJ74" s="2198"/>
      <c r="CPK74" s="2198"/>
      <c r="CPL74" s="2198"/>
      <c r="CPM74" s="2198"/>
      <c r="CPN74" s="2198"/>
      <c r="CPO74" s="2198"/>
      <c r="CPP74" s="2198"/>
      <c r="CPQ74" s="2198"/>
      <c r="CPR74" s="2198"/>
      <c r="CPS74" s="2198"/>
      <c r="CPT74" s="2198"/>
      <c r="CPU74" s="2198"/>
      <c r="CPV74" s="2198"/>
      <c r="CPW74" s="2198"/>
      <c r="CPX74" s="2198"/>
      <c r="CPY74" s="2198"/>
      <c r="CPZ74" s="2198"/>
      <c r="CQA74" s="2198"/>
      <c r="CQB74" s="2198"/>
      <c r="CQC74" s="2198"/>
      <c r="CQD74" s="2198"/>
      <c r="CQE74" s="2198"/>
      <c r="CQF74" s="2198"/>
      <c r="CQG74" s="2198"/>
      <c r="CQH74" s="2198"/>
      <c r="CQI74" s="2198"/>
      <c r="CQJ74" s="2198"/>
      <c r="CQK74" s="2198"/>
      <c r="CQL74" s="2198"/>
      <c r="CQM74" s="2198"/>
      <c r="CQN74" s="2198"/>
      <c r="CQO74" s="2198"/>
      <c r="CQP74" s="2198"/>
      <c r="CQQ74" s="2198"/>
      <c r="CQR74" s="2198"/>
      <c r="CQS74" s="2198"/>
      <c r="CQT74" s="2198"/>
      <c r="CQU74" s="2198"/>
      <c r="CQV74" s="2198"/>
      <c r="CQW74" s="2198"/>
      <c r="CQX74" s="2198"/>
      <c r="CQY74" s="2198"/>
      <c r="CQZ74" s="2198"/>
      <c r="CRA74" s="2198"/>
      <c r="CRB74" s="2198"/>
      <c r="CRC74" s="2198"/>
      <c r="CRD74" s="2198"/>
      <c r="CRE74" s="2198"/>
      <c r="CRF74" s="2198"/>
      <c r="CRG74" s="2198"/>
      <c r="CRH74" s="2198"/>
      <c r="CRI74" s="2198"/>
      <c r="CRJ74" s="2198"/>
      <c r="CRK74" s="2198"/>
      <c r="CRL74" s="2198"/>
      <c r="CRM74" s="2198"/>
      <c r="CRN74" s="2198"/>
      <c r="CRO74" s="2198"/>
      <c r="CRP74" s="2198"/>
      <c r="CRQ74" s="2198"/>
      <c r="CRR74" s="2198"/>
      <c r="CRS74" s="2198"/>
      <c r="CRT74" s="2198"/>
      <c r="CRU74" s="2198"/>
      <c r="CRV74" s="2198"/>
      <c r="CRW74" s="2198"/>
      <c r="CRX74" s="2198"/>
      <c r="CRY74" s="2198"/>
      <c r="CRZ74" s="2198"/>
      <c r="CSA74" s="2198"/>
      <c r="CSB74" s="2198"/>
      <c r="CSC74" s="2198"/>
      <c r="CSD74" s="2198"/>
      <c r="CSE74" s="2198"/>
      <c r="CSF74" s="2198"/>
      <c r="CSG74" s="2198"/>
      <c r="CSH74" s="2198"/>
      <c r="CSI74" s="2198"/>
      <c r="CSJ74" s="2198"/>
      <c r="CSK74" s="2198"/>
      <c r="CSL74" s="2198"/>
      <c r="CSM74" s="2198"/>
      <c r="CSN74" s="2198"/>
      <c r="CSO74" s="2198"/>
      <c r="CSP74" s="2198"/>
      <c r="CSQ74" s="2198"/>
      <c r="CSR74" s="2198"/>
      <c r="CSS74" s="2198"/>
      <c r="CST74" s="2198"/>
      <c r="CSU74" s="2198"/>
      <c r="CSV74" s="2198"/>
      <c r="CSW74" s="2198"/>
      <c r="CSX74" s="2198"/>
      <c r="CSY74" s="2198"/>
      <c r="CSZ74" s="2198"/>
      <c r="CTA74" s="2198"/>
      <c r="CTB74" s="2198"/>
      <c r="CTC74" s="2198"/>
      <c r="CTD74" s="2198"/>
      <c r="CTE74" s="2198"/>
      <c r="CTF74" s="2198"/>
      <c r="CTG74" s="2198"/>
      <c r="CTH74" s="2198"/>
      <c r="CTI74" s="2198"/>
      <c r="CTJ74" s="2198"/>
      <c r="CTK74" s="2198"/>
      <c r="CTL74" s="2198"/>
      <c r="CTM74" s="2198"/>
      <c r="CTN74" s="2198"/>
      <c r="CTO74" s="2198"/>
      <c r="CTP74" s="2198"/>
      <c r="CTQ74" s="2198"/>
      <c r="CTR74" s="2198"/>
      <c r="CTS74" s="2198"/>
      <c r="CTT74" s="2198"/>
      <c r="CTU74" s="2198"/>
      <c r="CTV74" s="2198"/>
      <c r="CTW74" s="2198"/>
      <c r="CTX74" s="2198"/>
      <c r="CTY74" s="2198"/>
      <c r="CTZ74" s="2198"/>
      <c r="CUA74" s="2198"/>
      <c r="CUB74" s="2198"/>
      <c r="CUC74" s="2198"/>
      <c r="CUD74" s="2198"/>
      <c r="CUE74" s="2198"/>
      <c r="CUF74" s="2198"/>
      <c r="CUG74" s="2198"/>
      <c r="CUH74" s="2198"/>
      <c r="CUI74" s="2198"/>
      <c r="CUJ74" s="2198"/>
      <c r="CUK74" s="2198"/>
      <c r="CUL74" s="2198"/>
      <c r="CUM74" s="2198"/>
      <c r="CUN74" s="2198"/>
      <c r="CUO74" s="2198"/>
      <c r="CUP74" s="2198"/>
      <c r="CUQ74" s="2198"/>
      <c r="CUR74" s="2198"/>
      <c r="CUS74" s="2198"/>
      <c r="CUT74" s="2198"/>
      <c r="CUU74" s="2198"/>
      <c r="CUV74" s="2198"/>
      <c r="CUW74" s="2198"/>
      <c r="CUX74" s="2198"/>
      <c r="CUY74" s="2198"/>
      <c r="CUZ74" s="2198"/>
      <c r="CVA74" s="2198"/>
      <c r="CVB74" s="2198"/>
      <c r="CVC74" s="2198"/>
      <c r="CVD74" s="2198"/>
      <c r="CVE74" s="2198"/>
      <c r="CVF74" s="2198"/>
      <c r="CVG74" s="2198"/>
      <c r="CVH74" s="2198"/>
      <c r="CVI74" s="2198"/>
      <c r="CVJ74" s="2198"/>
      <c r="CVK74" s="2198"/>
      <c r="CVL74" s="2198"/>
      <c r="CVM74" s="2198"/>
      <c r="CVN74" s="2198"/>
      <c r="CVO74" s="2198"/>
      <c r="CVP74" s="2198"/>
      <c r="CVQ74" s="2198"/>
      <c r="CVR74" s="2198"/>
      <c r="CVS74" s="2198"/>
      <c r="CVT74" s="2198"/>
      <c r="CVU74" s="2198"/>
      <c r="CVV74" s="2198"/>
      <c r="CVW74" s="2198"/>
      <c r="CVX74" s="2198"/>
      <c r="CVY74" s="2198"/>
      <c r="CVZ74" s="2198"/>
      <c r="CWA74" s="2198"/>
      <c r="CWB74" s="2198"/>
      <c r="CWC74" s="2198"/>
      <c r="CWD74" s="2198"/>
      <c r="CWE74" s="2198"/>
      <c r="CWF74" s="2198"/>
      <c r="CWG74" s="2198"/>
      <c r="CWH74" s="2198"/>
      <c r="CWI74" s="2198"/>
      <c r="CWJ74" s="2198"/>
      <c r="CWK74" s="2198"/>
      <c r="CWL74" s="2198"/>
      <c r="CWM74" s="2198"/>
      <c r="CWN74" s="2198"/>
      <c r="CWO74" s="2198"/>
      <c r="CWP74" s="2198"/>
      <c r="CWQ74" s="2198"/>
      <c r="CWR74" s="2198"/>
      <c r="CWS74" s="2198"/>
      <c r="CWT74" s="2198"/>
      <c r="CWU74" s="2198"/>
      <c r="CWV74" s="2198"/>
      <c r="CWW74" s="2198"/>
      <c r="CWX74" s="2198"/>
      <c r="CWY74" s="2198"/>
      <c r="CWZ74" s="2198"/>
      <c r="CXA74" s="2198"/>
      <c r="CXB74" s="2198"/>
      <c r="CXC74" s="2198"/>
      <c r="CXD74" s="2198"/>
      <c r="CXE74" s="2198"/>
      <c r="CXF74" s="2198"/>
      <c r="CXG74" s="2198"/>
      <c r="CXH74" s="2198"/>
      <c r="CXI74" s="2198"/>
      <c r="CXJ74" s="2198"/>
      <c r="CXK74" s="2198"/>
      <c r="CXL74" s="2198"/>
      <c r="CXM74" s="2198"/>
      <c r="CXN74" s="2198"/>
      <c r="CXO74" s="2198"/>
      <c r="CXP74" s="2198"/>
      <c r="CXQ74" s="2198"/>
      <c r="CXR74" s="2198"/>
      <c r="CXS74" s="2198"/>
      <c r="CXT74" s="2198"/>
      <c r="CXU74" s="2198"/>
      <c r="CXV74" s="2198"/>
      <c r="CXW74" s="2198"/>
      <c r="CXX74" s="2198"/>
      <c r="CXY74" s="2198"/>
      <c r="CXZ74" s="2198"/>
      <c r="CYA74" s="2198"/>
      <c r="CYB74" s="2198"/>
      <c r="CYC74" s="2198"/>
      <c r="CYD74" s="2198"/>
      <c r="CYE74" s="2198"/>
      <c r="CYF74" s="2198"/>
      <c r="CYG74" s="2198"/>
      <c r="CYH74" s="2198"/>
      <c r="CYI74" s="2198"/>
      <c r="CYJ74" s="2198"/>
      <c r="CYK74" s="2198"/>
      <c r="CYL74" s="2198"/>
      <c r="CYM74" s="2198"/>
      <c r="CYN74" s="2198"/>
      <c r="CYO74" s="2198"/>
      <c r="CYP74" s="2198"/>
      <c r="CYQ74" s="2198"/>
      <c r="CYR74" s="2198"/>
      <c r="CYS74" s="2198"/>
      <c r="CYT74" s="2198"/>
      <c r="CYU74" s="2198"/>
      <c r="CYV74" s="2198"/>
      <c r="CYW74" s="2198"/>
      <c r="CYX74" s="2198"/>
      <c r="CYY74" s="2198"/>
      <c r="CYZ74" s="2198"/>
      <c r="CZA74" s="2198"/>
      <c r="CZB74" s="2198"/>
      <c r="CZC74" s="2198"/>
      <c r="CZD74" s="2198"/>
      <c r="CZE74" s="2198"/>
      <c r="CZF74" s="2198"/>
      <c r="CZG74" s="2198"/>
      <c r="CZH74" s="2198"/>
      <c r="CZI74" s="2198"/>
      <c r="CZJ74" s="2198"/>
      <c r="CZK74" s="2198"/>
      <c r="CZL74" s="2198"/>
      <c r="CZM74" s="2198"/>
      <c r="CZN74" s="2198"/>
      <c r="CZO74" s="2198"/>
      <c r="CZP74" s="2198"/>
      <c r="CZQ74" s="2198"/>
      <c r="CZR74" s="2198"/>
      <c r="CZS74" s="2198"/>
      <c r="CZT74" s="2198"/>
      <c r="CZU74" s="2198"/>
      <c r="CZV74" s="2198"/>
      <c r="CZW74" s="2198"/>
      <c r="CZX74" s="2198"/>
      <c r="CZY74" s="2198"/>
      <c r="CZZ74" s="2198"/>
      <c r="DAA74" s="2198"/>
      <c r="DAB74" s="2198"/>
      <c r="DAC74" s="2198"/>
      <c r="DAD74" s="2198"/>
      <c r="DAE74" s="2198"/>
      <c r="DAF74" s="2198"/>
      <c r="DAG74" s="2198"/>
      <c r="DAH74" s="2198"/>
      <c r="DAI74" s="2198"/>
      <c r="DAJ74" s="2198"/>
      <c r="DAK74" s="2198"/>
      <c r="DAL74" s="2198"/>
      <c r="DAM74" s="2198"/>
      <c r="DAN74" s="2198"/>
      <c r="DAO74" s="2198"/>
      <c r="DAP74" s="2198"/>
      <c r="DAQ74" s="2198"/>
      <c r="DAR74" s="2198"/>
      <c r="DAS74" s="2198"/>
      <c r="DAT74" s="2198"/>
      <c r="DAU74" s="2198"/>
      <c r="DAV74" s="2198"/>
      <c r="DAW74" s="2198"/>
      <c r="DAX74" s="2198"/>
      <c r="DAY74" s="2198"/>
      <c r="DAZ74" s="2198"/>
      <c r="DBA74" s="2198"/>
      <c r="DBB74" s="2198"/>
      <c r="DBC74" s="2198"/>
      <c r="DBD74" s="2198"/>
      <c r="DBE74" s="2198"/>
      <c r="DBF74" s="2198"/>
      <c r="DBG74" s="2198"/>
      <c r="DBH74" s="2198"/>
      <c r="DBI74" s="2198"/>
      <c r="DBJ74" s="2198"/>
      <c r="DBK74" s="2198"/>
      <c r="DBL74" s="2198"/>
      <c r="DBM74" s="2198"/>
      <c r="DBN74" s="2198"/>
      <c r="DBO74" s="2198"/>
      <c r="DBP74" s="2198"/>
      <c r="DBQ74" s="2198"/>
      <c r="DBR74" s="2198"/>
      <c r="DBS74" s="2198"/>
      <c r="DBT74" s="2198"/>
      <c r="DBU74" s="2198"/>
      <c r="DBV74" s="2198"/>
      <c r="DBW74" s="2198"/>
      <c r="DBX74" s="2198"/>
      <c r="DBY74" s="2198"/>
      <c r="DBZ74" s="2198"/>
      <c r="DCA74" s="2198"/>
      <c r="DCB74" s="2198"/>
      <c r="DCC74" s="2198"/>
      <c r="DCD74" s="2198"/>
      <c r="DCE74" s="2198"/>
      <c r="DCF74" s="2198"/>
      <c r="DCG74" s="2198"/>
      <c r="DCH74" s="2198"/>
      <c r="DCI74" s="2198"/>
      <c r="DCJ74" s="2198"/>
      <c r="DCK74" s="2198"/>
      <c r="DCL74" s="2198"/>
      <c r="DCM74" s="2198"/>
      <c r="DCN74" s="2198"/>
      <c r="DCO74" s="2198"/>
      <c r="DCP74" s="2198"/>
      <c r="DCQ74" s="2198"/>
      <c r="DCR74" s="2198"/>
      <c r="DCS74" s="2198"/>
      <c r="DCT74" s="2198"/>
      <c r="DCU74" s="2198"/>
      <c r="DCV74" s="2198"/>
      <c r="DCW74" s="2198"/>
      <c r="DCX74" s="2198"/>
      <c r="DCY74" s="2198"/>
      <c r="DCZ74" s="2198"/>
      <c r="DDA74" s="2198"/>
      <c r="DDB74" s="2198"/>
      <c r="DDC74" s="2198"/>
      <c r="DDD74" s="2198"/>
      <c r="DDE74" s="2198"/>
      <c r="DDF74" s="2198"/>
      <c r="DDG74" s="2198"/>
      <c r="DDH74" s="2198"/>
      <c r="DDI74" s="2198"/>
      <c r="DDJ74" s="2198"/>
      <c r="DDK74" s="2198"/>
      <c r="DDL74" s="2198"/>
      <c r="DDM74" s="2198"/>
      <c r="DDN74" s="2198"/>
      <c r="DDO74" s="2198"/>
      <c r="DDP74" s="2198"/>
      <c r="DDQ74" s="2198"/>
      <c r="DDR74" s="2198"/>
      <c r="DDS74" s="2198"/>
      <c r="DDT74" s="2198"/>
      <c r="DDU74" s="2198"/>
      <c r="DDV74" s="2198"/>
      <c r="DDW74" s="2198"/>
      <c r="DDX74" s="2198"/>
      <c r="DDY74" s="2198"/>
      <c r="DDZ74" s="2198"/>
      <c r="DEA74" s="2198"/>
      <c r="DEB74" s="2198"/>
      <c r="DEC74" s="2198"/>
      <c r="DED74" s="2198"/>
      <c r="DEE74" s="2198"/>
      <c r="DEF74" s="2198"/>
      <c r="DEG74" s="2198"/>
      <c r="DEH74" s="2198"/>
      <c r="DEI74" s="2198"/>
      <c r="DEJ74" s="2198"/>
      <c r="DEK74" s="2198"/>
      <c r="DEL74" s="2198"/>
      <c r="DEM74" s="2198"/>
      <c r="DEN74" s="2198"/>
      <c r="DEO74" s="2198"/>
      <c r="DEP74" s="2198"/>
      <c r="DEQ74" s="2198"/>
      <c r="DER74" s="2198"/>
      <c r="DES74" s="2198"/>
      <c r="DET74" s="2198"/>
      <c r="DEU74" s="2198"/>
      <c r="DEV74" s="2198"/>
      <c r="DEW74" s="2198"/>
      <c r="DEX74" s="2198"/>
      <c r="DEY74" s="2198"/>
      <c r="DEZ74" s="2198"/>
      <c r="DFA74" s="2198"/>
      <c r="DFB74" s="2198"/>
      <c r="DFC74" s="2198"/>
      <c r="DFD74" s="2198"/>
      <c r="DFE74" s="2198"/>
      <c r="DFF74" s="2198"/>
      <c r="DFG74" s="2198"/>
      <c r="DFH74" s="2198"/>
      <c r="DFI74" s="2198"/>
      <c r="DFJ74" s="2198"/>
      <c r="DFK74" s="2198"/>
      <c r="DFL74" s="2198"/>
      <c r="DFM74" s="2198"/>
      <c r="DFN74" s="2198"/>
      <c r="DFO74" s="2198"/>
      <c r="DFP74" s="2198"/>
      <c r="DFQ74" s="2198"/>
      <c r="DFR74" s="2198"/>
      <c r="DFS74" s="2198"/>
      <c r="DFT74" s="2198"/>
      <c r="DFU74" s="2198"/>
      <c r="DFV74" s="2198"/>
      <c r="DFW74" s="2198"/>
      <c r="DFX74" s="2198"/>
      <c r="DFY74" s="2198"/>
      <c r="DFZ74" s="2198"/>
      <c r="DGA74" s="2198"/>
      <c r="DGB74" s="2198"/>
      <c r="DGC74" s="2198"/>
      <c r="DGD74" s="2198"/>
      <c r="DGE74" s="2198"/>
      <c r="DGF74" s="2198"/>
      <c r="DGG74" s="2198"/>
      <c r="DGH74" s="2198"/>
      <c r="DGI74" s="2198"/>
      <c r="DGJ74" s="2198"/>
      <c r="DGK74" s="2198"/>
      <c r="DGL74" s="2198"/>
      <c r="DGM74" s="2198"/>
      <c r="DGN74" s="2198"/>
      <c r="DGO74" s="2198"/>
      <c r="DGP74" s="2198"/>
      <c r="DGQ74" s="2198"/>
      <c r="DGR74" s="2198"/>
      <c r="DGS74" s="2198"/>
      <c r="DGT74" s="2198"/>
      <c r="DGU74" s="2198"/>
      <c r="DGV74" s="2198"/>
      <c r="DGW74" s="2198"/>
      <c r="DGX74" s="2198"/>
      <c r="DGY74" s="2198"/>
      <c r="DGZ74" s="2198"/>
      <c r="DHA74" s="2198"/>
      <c r="DHB74" s="2198"/>
      <c r="DHC74" s="2198"/>
      <c r="DHD74" s="2198"/>
      <c r="DHE74" s="2198"/>
      <c r="DHF74" s="2198"/>
      <c r="DHG74" s="2198"/>
      <c r="DHH74" s="2198"/>
      <c r="DHI74" s="2198"/>
      <c r="DHJ74" s="2198"/>
      <c r="DHK74" s="2198"/>
      <c r="DHL74" s="2198"/>
      <c r="DHM74" s="2198"/>
      <c r="DHN74" s="2198"/>
      <c r="DHO74" s="2198"/>
      <c r="DHP74" s="2198"/>
      <c r="DHQ74" s="2198"/>
      <c r="DHR74" s="2198"/>
      <c r="DHS74" s="2198"/>
      <c r="DHT74" s="2198"/>
      <c r="DHU74" s="2198"/>
      <c r="DHV74" s="2198"/>
      <c r="DHW74" s="2198"/>
      <c r="DHX74" s="2198"/>
      <c r="DHY74" s="2198"/>
      <c r="DHZ74" s="2198"/>
      <c r="DIA74" s="2198"/>
      <c r="DIB74" s="2198"/>
      <c r="DIC74" s="2198"/>
      <c r="DID74" s="2198"/>
      <c r="DIE74" s="2198"/>
      <c r="DIF74" s="2198"/>
      <c r="DIG74" s="2198"/>
      <c r="DIH74" s="2198"/>
      <c r="DII74" s="2198"/>
      <c r="DIJ74" s="2198"/>
      <c r="DIK74" s="2198"/>
      <c r="DIL74" s="2198"/>
      <c r="DIM74" s="2198"/>
      <c r="DIN74" s="2198"/>
      <c r="DIO74" s="2198"/>
      <c r="DIP74" s="2198"/>
      <c r="DIQ74" s="2198"/>
      <c r="DIR74" s="2198"/>
      <c r="DIS74" s="2198"/>
      <c r="DIT74" s="2198"/>
      <c r="DIU74" s="2198"/>
      <c r="DIV74" s="2198"/>
      <c r="DIW74" s="2198"/>
      <c r="DIX74" s="2198"/>
      <c r="DIY74" s="2198"/>
      <c r="DIZ74" s="2198"/>
      <c r="DJA74" s="2198"/>
      <c r="DJB74" s="2198"/>
      <c r="DJC74" s="2198"/>
      <c r="DJD74" s="2198"/>
      <c r="DJE74" s="2198"/>
      <c r="DJF74" s="2198"/>
      <c r="DJG74" s="2198"/>
      <c r="DJH74" s="2198"/>
      <c r="DJI74" s="2198"/>
      <c r="DJJ74" s="2198"/>
      <c r="DJK74" s="2198"/>
      <c r="DJL74" s="2198"/>
      <c r="DJM74" s="2198"/>
      <c r="DJN74" s="2198"/>
      <c r="DJO74" s="2198"/>
      <c r="DJP74" s="2198"/>
      <c r="DJQ74" s="2198"/>
      <c r="DJR74" s="2198"/>
      <c r="DJS74" s="2198"/>
      <c r="DJT74" s="2198"/>
      <c r="DJU74" s="2198"/>
      <c r="DJV74" s="2198"/>
      <c r="DJW74" s="2198"/>
      <c r="DJX74" s="2198"/>
      <c r="DJY74" s="2198"/>
      <c r="DJZ74" s="2198"/>
      <c r="DKA74" s="2198"/>
      <c r="DKB74" s="2198"/>
      <c r="DKC74" s="2198"/>
      <c r="DKD74" s="2198"/>
      <c r="DKE74" s="2198"/>
      <c r="DKF74" s="2198"/>
      <c r="DKG74" s="2198"/>
      <c r="DKH74" s="2198"/>
      <c r="DKI74" s="2198"/>
      <c r="DKJ74" s="2198"/>
      <c r="DKK74" s="2198"/>
      <c r="DKL74" s="2198"/>
      <c r="DKM74" s="2198"/>
      <c r="DKN74" s="2198"/>
      <c r="DKO74" s="2198"/>
      <c r="DKP74" s="2198"/>
      <c r="DKQ74" s="2198"/>
      <c r="DKR74" s="2198"/>
      <c r="DKS74" s="2198"/>
      <c r="DKT74" s="2198"/>
      <c r="DKU74" s="2198"/>
      <c r="DKV74" s="2198"/>
      <c r="DKW74" s="2198"/>
      <c r="DKX74" s="2198"/>
      <c r="DKY74" s="2198"/>
      <c r="DKZ74" s="2198"/>
      <c r="DLA74" s="2198"/>
      <c r="DLB74" s="2198"/>
      <c r="DLC74" s="2198"/>
      <c r="DLD74" s="2198"/>
      <c r="DLE74" s="2198"/>
      <c r="DLF74" s="2198"/>
      <c r="DLG74" s="2198"/>
      <c r="DLH74" s="2198"/>
      <c r="DLI74" s="2198"/>
      <c r="DLJ74" s="2198"/>
      <c r="DLK74" s="2198"/>
      <c r="DLL74" s="2198"/>
      <c r="DLM74" s="2198"/>
      <c r="DLN74" s="2198"/>
      <c r="DLO74" s="2198"/>
      <c r="DLP74" s="2198"/>
      <c r="DLQ74" s="2198"/>
      <c r="DLR74" s="2198"/>
      <c r="DLS74" s="2198"/>
      <c r="DLT74" s="2198"/>
      <c r="DLU74" s="2198"/>
      <c r="DLV74" s="2198"/>
      <c r="DLW74" s="2198"/>
      <c r="DLX74" s="2198"/>
      <c r="DLY74" s="2198"/>
      <c r="DLZ74" s="2198"/>
      <c r="DMA74" s="2198"/>
      <c r="DMB74" s="2198"/>
      <c r="DMC74" s="2198"/>
      <c r="DMD74" s="2198"/>
      <c r="DME74" s="2198"/>
      <c r="DMF74" s="2198"/>
      <c r="DMG74" s="2198"/>
      <c r="DMH74" s="2198"/>
      <c r="DMI74" s="2198"/>
      <c r="DMJ74" s="2198"/>
      <c r="DMK74" s="2198"/>
      <c r="DML74" s="2198"/>
      <c r="DMM74" s="2198"/>
      <c r="DMN74" s="2198"/>
      <c r="DMO74" s="2198"/>
      <c r="DMP74" s="2198"/>
      <c r="DMQ74" s="2198"/>
      <c r="DMR74" s="2198"/>
      <c r="DMS74" s="2198"/>
      <c r="DMT74" s="2198"/>
      <c r="DMU74" s="2198"/>
      <c r="DMV74" s="2198"/>
      <c r="DMW74" s="2198"/>
      <c r="DMX74" s="2198"/>
      <c r="DMY74" s="2198"/>
      <c r="DMZ74" s="2198"/>
      <c r="DNA74" s="2198"/>
      <c r="DNB74" s="2198"/>
      <c r="DNC74" s="2198"/>
      <c r="DND74" s="2198"/>
      <c r="DNE74" s="2198"/>
      <c r="DNF74" s="2198"/>
      <c r="DNG74" s="2198"/>
      <c r="DNH74" s="2198"/>
      <c r="DNI74" s="2198"/>
      <c r="DNJ74" s="2198"/>
      <c r="DNK74" s="2198"/>
      <c r="DNL74" s="2198"/>
      <c r="DNM74" s="2198"/>
      <c r="DNN74" s="2198"/>
      <c r="DNO74" s="2198"/>
      <c r="DNP74" s="2198"/>
      <c r="DNQ74" s="2198"/>
      <c r="DNR74" s="2198"/>
      <c r="DNS74" s="2198"/>
      <c r="DNT74" s="2198"/>
      <c r="DNU74" s="2198"/>
      <c r="DNV74" s="2198"/>
      <c r="DNW74" s="2198"/>
      <c r="DNX74" s="2198"/>
      <c r="DNY74" s="2198"/>
      <c r="DNZ74" s="2198"/>
      <c r="DOA74" s="2198"/>
      <c r="DOB74" s="2198"/>
      <c r="DOC74" s="2198"/>
      <c r="DOD74" s="2198"/>
      <c r="DOE74" s="2198"/>
      <c r="DOF74" s="2198"/>
      <c r="DOG74" s="2198"/>
      <c r="DOH74" s="2198"/>
      <c r="DOI74" s="2198"/>
      <c r="DOJ74" s="2198"/>
      <c r="DOK74" s="2198"/>
      <c r="DOL74" s="2198"/>
      <c r="DOM74" s="2198"/>
      <c r="DON74" s="2198"/>
      <c r="DOO74" s="2198"/>
      <c r="DOP74" s="2198"/>
      <c r="DOQ74" s="2198"/>
      <c r="DOR74" s="2198"/>
      <c r="DOS74" s="2198"/>
      <c r="DOT74" s="2198"/>
      <c r="DOU74" s="2198"/>
      <c r="DOV74" s="2198"/>
      <c r="DOW74" s="2198"/>
      <c r="DOX74" s="2198"/>
      <c r="DOY74" s="2198"/>
      <c r="DOZ74" s="2198"/>
      <c r="DPA74" s="2198"/>
      <c r="DPB74" s="2198"/>
      <c r="DPC74" s="2198"/>
      <c r="DPD74" s="2198"/>
      <c r="DPE74" s="2198"/>
      <c r="DPF74" s="2198"/>
      <c r="DPG74" s="2198"/>
      <c r="DPH74" s="2198"/>
      <c r="DPI74" s="2198"/>
      <c r="DPJ74" s="2198"/>
      <c r="DPK74" s="2198"/>
      <c r="DPL74" s="2198"/>
      <c r="DPM74" s="2198"/>
      <c r="DPN74" s="2198"/>
      <c r="DPO74" s="2198"/>
      <c r="DPP74" s="2198"/>
      <c r="DPQ74" s="2198"/>
      <c r="DPR74" s="2198"/>
      <c r="DPS74" s="2198"/>
      <c r="DPT74" s="2198"/>
      <c r="DPU74" s="2198"/>
      <c r="DPV74" s="2198"/>
      <c r="DPW74" s="2198"/>
      <c r="DPX74" s="2198"/>
      <c r="DPY74" s="2198"/>
      <c r="DPZ74" s="2198"/>
      <c r="DQA74" s="2198"/>
      <c r="DQB74" s="2198"/>
      <c r="DQC74" s="2198"/>
      <c r="DQD74" s="2198"/>
      <c r="DQE74" s="2198"/>
      <c r="DQF74" s="2198"/>
      <c r="DQG74" s="2198"/>
      <c r="DQH74" s="2198"/>
      <c r="DQI74" s="2198"/>
      <c r="DQJ74" s="2198"/>
      <c r="DQK74" s="2198"/>
      <c r="DQL74" s="2198"/>
      <c r="DQM74" s="2198"/>
      <c r="DQN74" s="2198"/>
      <c r="DQO74" s="2198"/>
      <c r="DQP74" s="2198"/>
      <c r="DQQ74" s="2198"/>
      <c r="DQR74" s="2198"/>
      <c r="DQS74" s="2198"/>
      <c r="DQT74" s="2198"/>
      <c r="DQU74" s="2198"/>
      <c r="DQV74" s="2198"/>
      <c r="DQW74" s="2198"/>
      <c r="DQX74" s="2198"/>
      <c r="DQY74" s="2198"/>
      <c r="DQZ74" s="2198"/>
      <c r="DRA74" s="2198"/>
      <c r="DRB74" s="2198"/>
      <c r="DRC74" s="2198"/>
      <c r="DRD74" s="2198"/>
      <c r="DRE74" s="2198"/>
      <c r="DRF74" s="2198"/>
      <c r="DRG74" s="2198"/>
      <c r="DRH74" s="2198"/>
      <c r="DRI74" s="2198"/>
      <c r="DRJ74" s="2198"/>
      <c r="DRK74" s="2198"/>
      <c r="DRL74" s="2198"/>
      <c r="DRM74" s="2198"/>
      <c r="DRN74" s="2198"/>
      <c r="DRO74" s="2198"/>
      <c r="DRP74" s="2198"/>
      <c r="DRQ74" s="2198"/>
      <c r="DRR74" s="2198"/>
      <c r="DRS74" s="2198"/>
      <c r="DRT74" s="2198"/>
      <c r="DRU74" s="2198"/>
      <c r="DRV74" s="2198"/>
      <c r="DRW74" s="2198"/>
      <c r="DRX74" s="2198"/>
      <c r="DRY74" s="2198"/>
      <c r="DRZ74" s="2198"/>
      <c r="DSA74" s="2198"/>
      <c r="DSB74" s="2198"/>
      <c r="DSC74" s="2198"/>
      <c r="DSD74" s="2198"/>
      <c r="DSE74" s="2198"/>
      <c r="DSF74" s="2198"/>
      <c r="DSG74" s="2198"/>
      <c r="DSH74" s="2198"/>
      <c r="DSI74" s="2198"/>
      <c r="DSJ74" s="2198"/>
      <c r="DSK74" s="2198"/>
      <c r="DSL74" s="2198"/>
      <c r="DSM74" s="2198"/>
      <c r="DSN74" s="2198"/>
      <c r="DSO74" s="2198"/>
      <c r="DSP74" s="2198"/>
      <c r="DSQ74" s="2198"/>
      <c r="DSR74" s="2198"/>
      <c r="DSS74" s="2198"/>
      <c r="DST74" s="2198"/>
      <c r="DSU74" s="2198"/>
      <c r="DSV74" s="2198"/>
      <c r="DSW74" s="2198"/>
      <c r="DSX74" s="2198"/>
      <c r="DSY74" s="2198"/>
      <c r="DSZ74" s="2198"/>
      <c r="DTA74" s="2198"/>
      <c r="DTB74" s="2198"/>
      <c r="DTC74" s="2198"/>
      <c r="DTD74" s="2198"/>
      <c r="DTE74" s="2198"/>
      <c r="DTF74" s="2198"/>
      <c r="DTG74" s="2198"/>
      <c r="DTH74" s="2198"/>
      <c r="DTI74" s="2198"/>
      <c r="DTJ74" s="2198"/>
      <c r="DTK74" s="2198"/>
      <c r="DTL74" s="2198"/>
      <c r="DTM74" s="2198"/>
      <c r="DTN74" s="2198"/>
      <c r="DTO74" s="2198"/>
      <c r="DTP74" s="2198"/>
      <c r="DTQ74" s="2198"/>
      <c r="DTR74" s="2198"/>
      <c r="DTS74" s="2198"/>
      <c r="DTT74" s="2198"/>
      <c r="DTU74" s="2198"/>
      <c r="DTV74" s="2198"/>
      <c r="DTW74" s="2198"/>
      <c r="DTX74" s="2198"/>
      <c r="DTY74" s="2198"/>
      <c r="DTZ74" s="2198"/>
      <c r="DUA74" s="2198"/>
      <c r="DUB74" s="2198"/>
      <c r="DUC74" s="2198"/>
      <c r="DUD74" s="2198"/>
      <c r="DUE74" s="2198"/>
      <c r="DUF74" s="2198"/>
      <c r="DUG74" s="2198"/>
      <c r="DUH74" s="2198"/>
      <c r="DUI74" s="2198"/>
      <c r="DUJ74" s="2198"/>
      <c r="DUK74" s="2198"/>
      <c r="DUL74" s="2198"/>
      <c r="DUM74" s="2198"/>
      <c r="DUN74" s="2198"/>
      <c r="DUO74" s="2198"/>
      <c r="DUP74" s="2198"/>
      <c r="DUQ74" s="2198"/>
      <c r="DUR74" s="2198"/>
      <c r="DUS74" s="2198"/>
      <c r="DUT74" s="2198"/>
      <c r="DUU74" s="2198"/>
      <c r="DUV74" s="2198"/>
      <c r="DUW74" s="2198"/>
      <c r="DUX74" s="2198"/>
      <c r="DUY74" s="2198"/>
      <c r="DUZ74" s="2198"/>
      <c r="DVA74" s="2198"/>
      <c r="DVB74" s="2198"/>
      <c r="DVC74" s="2198"/>
      <c r="DVD74" s="2198"/>
      <c r="DVE74" s="2198"/>
      <c r="DVF74" s="2198"/>
      <c r="DVG74" s="2198"/>
      <c r="DVH74" s="2198"/>
      <c r="DVI74" s="2198"/>
      <c r="DVJ74" s="2198"/>
      <c r="DVK74" s="2198"/>
      <c r="DVL74" s="2198"/>
      <c r="DVM74" s="2198"/>
      <c r="DVN74" s="2198"/>
      <c r="DVO74" s="2198"/>
      <c r="DVP74" s="2198"/>
      <c r="DVQ74" s="2198"/>
      <c r="DVR74" s="2198"/>
      <c r="DVS74" s="2198"/>
      <c r="DVT74" s="2198"/>
      <c r="DVU74" s="2198"/>
      <c r="DVV74" s="2198"/>
      <c r="DVW74" s="2198"/>
      <c r="DVX74" s="2198"/>
      <c r="DVY74" s="2198"/>
      <c r="DVZ74" s="2198"/>
      <c r="DWA74" s="2198"/>
      <c r="DWB74" s="2198"/>
      <c r="DWC74" s="2198"/>
      <c r="DWD74" s="2198"/>
      <c r="DWE74" s="2198"/>
      <c r="DWF74" s="2198"/>
      <c r="DWG74" s="2198"/>
      <c r="DWH74" s="2198"/>
      <c r="DWI74" s="2198"/>
      <c r="DWJ74" s="2198"/>
      <c r="DWK74" s="2198"/>
      <c r="DWL74" s="2198"/>
      <c r="DWM74" s="2198"/>
      <c r="DWN74" s="2198"/>
      <c r="DWO74" s="2198"/>
      <c r="DWP74" s="2198"/>
      <c r="DWQ74" s="2198"/>
      <c r="DWR74" s="2198"/>
      <c r="DWS74" s="2198"/>
      <c r="DWT74" s="2198"/>
      <c r="DWU74" s="2198"/>
      <c r="DWV74" s="2198"/>
      <c r="DWW74" s="2198"/>
      <c r="DWX74" s="2198"/>
      <c r="DWY74" s="2198"/>
      <c r="DWZ74" s="2198"/>
      <c r="DXA74" s="2198"/>
      <c r="DXB74" s="2198"/>
      <c r="DXC74" s="2198"/>
      <c r="DXD74" s="2198"/>
      <c r="DXE74" s="2198"/>
      <c r="DXF74" s="2198"/>
      <c r="DXG74" s="2198"/>
      <c r="DXH74" s="2198"/>
      <c r="DXI74" s="2198"/>
      <c r="DXJ74" s="2198"/>
      <c r="DXK74" s="2198"/>
      <c r="DXL74" s="2198"/>
      <c r="DXM74" s="2198"/>
      <c r="DXN74" s="2198"/>
      <c r="DXO74" s="2198"/>
      <c r="DXP74" s="2198"/>
      <c r="DXQ74" s="2198"/>
      <c r="DXR74" s="2198"/>
      <c r="DXS74" s="2198"/>
      <c r="DXT74" s="2198"/>
      <c r="DXU74" s="2198"/>
      <c r="DXV74" s="2198"/>
      <c r="DXW74" s="2198"/>
      <c r="DXX74" s="2198"/>
      <c r="DXY74" s="2198"/>
      <c r="DXZ74" s="2198"/>
      <c r="DYA74" s="2198"/>
      <c r="DYB74" s="2198"/>
      <c r="DYC74" s="2198"/>
      <c r="DYD74" s="2198"/>
      <c r="DYE74" s="2198"/>
      <c r="DYF74" s="2198"/>
      <c r="DYG74" s="2198"/>
      <c r="DYH74" s="2198"/>
      <c r="DYI74" s="2198"/>
      <c r="DYJ74" s="2198"/>
      <c r="DYK74" s="2198"/>
      <c r="DYL74" s="2198"/>
      <c r="DYM74" s="2198"/>
      <c r="DYN74" s="2198"/>
      <c r="DYO74" s="2198"/>
      <c r="DYP74" s="2198"/>
      <c r="DYQ74" s="2198"/>
      <c r="DYR74" s="2198"/>
      <c r="DYS74" s="2198"/>
      <c r="DYT74" s="2198"/>
      <c r="DYU74" s="2198"/>
      <c r="DYV74" s="2198"/>
      <c r="DYW74" s="2198"/>
      <c r="DYX74" s="2198"/>
      <c r="DYY74" s="2198"/>
      <c r="DYZ74" s="2198"/>
      <c r="DZA74" s="2198"/>
      <c r="DZB74" s="2198"/>
      <c r="DZC74" s="2198"/>
      <c r="DZD74" s="2198"/>
      <c r="DZE74" s="2198"/>
      <c r="DZF74" s="2198"/>
      <c r="DZG74" s="2198"/>
      <c r="DZH74" s="2198"/>
      <c r="DZI74" s="2198"/>
      <c r="DZJ74" s="2198"/>
      <c r="DZK74" s="2198"/>
      <c r="DZL74" s="2198"/>
      <c r="DZM74" s="2198"/>
      <c r="DZN74" s="2198"/>
      <c r="DZO74" s="2198"/>
      <c r="DZP74" s="2198"/>
      <c r="DZQ74" s="2198"/>
      <c r="DZR74" s="2198"/>
      <c r="DZS74" s="2198"/>
      <c r="DZT74" s="2198"/>
      <c r="DZU74" s="2198"/>
      <c r="DZV74" s="2198"/>
      <c r="DZW74" s="2198"/>
      <c r="DZX74" s="2198"/>
      <c r="DZY74" s="2198"/>
      <c r="DZZ74" s="2198"/>
      <c r="EAA74" s="2198"/>
      <c r="EAB74" s="2198"/>
      <c r="EAC74" s="2198"/>
      <c r="EAD74" s="2198"/>
      <c r="EAE74" s="2198"/>
      <c r="EAF74" s="2198"/>
      <c r="EAG74" s="2198"/>
      <c r="EAH74" s="2198"/>
      <c r="EAI74" s="2198"/>
      <c r="EAJ74" s="2198"/>
      <c r="EAK74" s="2198"/>
      <c r="EAL74" s="2198"/>
      <c r="EAM74" s="2198"/>
      <c r="EAN74" s="2198"/>
      <c r="EAO74" s="2198"/>
      <c r="EAP74" s="2198"/>
      <c r="EAQ74" s="2198"/>
      <c r="EAR74" s="2198"/>
      <c r="EAS74" s="2198"/>
      <c r="EAT74" s="2198"/>
      <c r="EAU74" s="2198"/>
      <c r="EAV74" s="2198"/>
      <c r="EAW74" s="2198"/>
      <c r="EAX74" s="2198"/>
      <c r="EAY74" s="2198"/>
      <c r="EAZ74" s="2198"/>
      <c r="EBA74" s="2198"/>
      <c r="EBB74" s="2198"/>
      <c r="EBC74" s="2198"/>
      <c r="EBD74" s="2198"/>
      <c r="EBE74" s="2198"/>
      <c r="EBF74" s="2198"/>
      <c r="EBG74" s="2198"/>
      <c r="EBH74" s="2198"/>
      <c r="EBI74" s="2198"/>
      <c r="EBJ74" s="2198"/>
      <c r="EBK74" s="2198"/>
      <c r="EBL74" s="2198"/>
      <c r="EBM74" s="2198"/>
      <c r="EBN74" s="2198"/>
      <c r="EBO74" s="2198"/>
      <c r="EBP74" s="2198"/>
      <c r="EBQ74" s="2198"/>
      <c r="EBR74" s="2198"/>
      <c r="EBS74" s="2198"/>
      <c r="EBT74" s="2198"/>
      <c r="EBU74" s="2198"/>
      <c r="EBV74" s="2198"/>
      <c r="EBW74" s="2198"/>
      <c r="EBX74" s="2198"/>
      <c r="EBY74" s="2198"/>
      <c r="EBZ74" s="2198"/>
      <c r="ECA74" s="2198"/>
      <c r="ECB74" s="2198"/>
      <c r="ECC74" s="2198"/>
      <c r="ECD74" s="2198"/>
      <c r="ECE74" s="2198"/>
      <c r="ECF74" s="2198"/>
      <c r="ECG74" s="2198"/>
      <c r="ECH74" s="2198"/>
      <c r="ECI74" s="2198"/>
      <c r="ECJ74" s="2198"/>
      <c r="ECK74" s="2198"/>
      <c r="ECL74" s="2198"/>
      <c r="ECM74" s="2198"/>
      <c r="ECN74" s="2198"/>
      <c r="ECO74" s="2198"/>
      <c r="ECP74" s="2198"/>
      <c r="ECQ74" s="2198"/>
      <c r="ECR74" s="2198"/>
      <c r="ECS74" s="2198"/>
      <c r="ECT74" s="2198"/>
      <c r="ECU74" s="2198"/>
      <c r="ECV74" s="2198"/>
      <c r="ECW74" s="2198"/>
      <c r="ECX74" s="2198"/>
      <c r="ECY74" s="2198"/>
      <c r="ECZ74" s="2198"/>
      <c r="EDA74" s="2198"/>
      <c r="EDB74" s="2198"/>
      <c r="EDC74" s="2198"/>
      <c r="EDD74" s="2198"/>
      <c r="EDE74" s="2198"/>
      <c r="EDF74" s="2198"/>
      <c r="EDG74" s="2198"/>
      <c r="EDH74" s="2198"/>
      <c r="EDI74" s="2198"/>
      <c r="EDJ74" s="2198"/>
      <c r="EDK74" s="2198"/>
      <c r="EDL74" s="2198"/>
      <c r="EDM74" s="2198"/>
      <c r="EDN74" s="2198"/>
      <c r="EDO74" s="2198"/>
      <c r="EDP74" s="2198"/>
      <c r="EDQ74" s="2198"/>
      <c r="EDR74" s="2198"/>
      <c r="EDS74" s="2198"/>
      <c r="EDT74" s="2198"/>
      <c r="EDU74" s="2198"/>
      <c r="EDV74" s="2198"/>
      <c r="EDW74" s="2198"/>
      <c r="EDX74" s="2198"/>
      <c r="EDY74" s="2198"/>
      <c r="EDZ74" s="2198"/>
      <c r="EEA74" s="2198"/>
      <c r="EEB74" s="2198"/>
      <c r="EEC74" s="2198"/>
      <c r="EED74" s="2198"/>
      <c r="EEE74" s="2198"/>
      <c r="EEF74" s="2198"/>
      <c r="EEG74" s="2198"/>
      <c r="EEH74" s="2198"/>
      <c r="EEI74" s="2198"/>
      <c r="EEJ74" s="2198"/>
      <c r="EEK74" s="2198"/>
      <c r="EEL74" s="2198"/>
      <c r="EEM74" s="2198"/>
      <c r="EEN74" s="2198"/>
      <c r="EEO74" s="2198"/>
      <c r="EEP74" s="2198"/>
      <c r="EEQ74" s="2198"/>
      <c r="EER74" s="2198"/>
      <c r="EES74" s="2198"/>
      <c r="EET74" s="2198"/>
      <c r="EEU74" s="2198"/>
      <c r="EEV74" s="2198"/>
      <c r="EEW74" s="2198"/>
      <c r="EEX74" s="2198"/>
      <c r="EEY74" s="2198"/>
      <c r="EEZ74" s="2198"/>
      <c r="EFA74" s="2198"/>
      <c r="EFB74" s="2198"/>
      <c r="EFC74" s="2198"/>
      <c r="EFD74" s="2198"/>
      <c r="EFE74" s="2198"/>
      <c r="EFF74" s="2198"/>
      <c r="EFG74" s="2198"/>
      <c r="EFH74" s="2198"/>
      <c r="EFI74" s="2198"/>
      <c r="EFJ74" s="2198"/>
      <c r="EFK74" s="2198"/>
      <c r="EFL74" s="2198"/>
      <c r="EFM74" s="2198"/>
      <c r="EFN74" s="2198"/>
      <c r="EFO74" s="2198"/>
      <c r="EFP74" s="2198"/>
      <c r="EFQ74" s="2198"/>
      <c r="EFR74" s="2198"/>
      <c r="EFS74" s="2198"/>
      <c r="EFT74" s="2198"/>
      <c r="EFU74" s="2198"/>
      <c r="EFV74" s="2198"/>
      <c r="EFW74" s="2198"/>
      <c r="EFX74" s="2198"/>
      <c r="EFY74" s="2198"/>
      <c r="EFZ74" s="2198"/>
      <c r="EGA74" s="2198"/>
      <c r="EGB74" s="2198"/>
      <c r="EGC74" s="2198"/>
      <c r="EGD74" s="2198"/>
      <c r="EGE74" s="2198"/>
      <c r="EGF74" s="2198"/>
      <c r="EGG74" s="2198"/>
      <c r="EGH74" s="2198"/>
      <c r="EGI74" s="2198"/>
      <c r="EGJ74" s="2198"/>
      <c r="EGK74" s="2198"/>
      <c r="EGL74" s="2198"/>
      <c r="EGM74" s="2198"/>
      <c r="EGN74" s="2198"/>
      <c r="EGO74" s="2198"/>
      <c r="EGP74" s="2198"/>
      <c r="EGQ74" s="2198"/>
      <c r="EGR74" s="2198"/>
      <c r="EGS74" s="2198"/>
      <c r="EGT74" s="2198"/>
      <c r="EGU74" s="2198"/>
      <c r="EGV74" s="2198"/>
      <c r="EGW74" s="2198"/>
      <c r="EGX74" s="2198"/>
      <c r="EGY74" s="2198"/>
      <c r="EGZ74" s="2198"/>
      <c r="EHA74" s="2198"/>
      <c r="EHB74" s="2198"/>
      <c r="EHC74" s="2198"/>
      <c r="EHD74" s="2198"/>
      <c r="EHE74" s="2198"/>
      <c r="EHF74" s="2198"/>
      <c r="EHG74" s="2198"/>
      <c r="EHH74" s="2198"/>
      <c r="EHI74" s="2198"/>
      <c r="EHJ74" s="2198"/>
      <c r="EHK74" s="2198"/>
      <c r="EHL74" s="2198"/>
      <c r="EHM74" s="2198"/>
      <c r="EHN74" s="2198"/>
      <c r="EHO74" s="2198"/>
      <c r="EHP74" s="2198"/>
      <c r="EHQ74" s="2198"/>
      <c r="EHR74" s="2198"/>
      <c r="EHS74" s="2198"/>
      <c r="EHT74" s="2198"/>
      <c r="EHU74" s="2198"/>
      <c r="EHV74" s="2198"/>
      <c r="EHW74" s="2198"/>
      <c r="EHX74" s="2198"/>
      <c r="EHY74" s="2198"/>
      <c r="EHZ74" s="2198"/>
      <c r="EIA74" s="2198"/>
      <c r="EIB74" s="2198"/>
      <c r="EIC74" s="2198"/>
      <c r="EID74" s="2198"/>
      <c r="EIE74" s="2198"/>
      <c r="EIF74" s="2198"/>
      <c r="EIG74" s="2198"/>
      <c r="EIH74" s="2198"/>
      <c r="EII74" s="2198"/>
      <c r="EIJ74" s="2198"/>
      <c r="EIK74" s="2198"/>
      <c r="EIL74" s="2198"/>
      <c r="EIM74" s="2198"/>
      <c r="EIN74" s="2198"/>
      <c r="EIO74" s="2198"/>
      <c r="EIP74" s="2198"/>
      <c r="EIQ74" s="2198"/>
      <c r="EIR74" s="2198"/>
      <c r="EIS74" s="2198"/>
      <c r="EIT74" s="2198"/>
      <c r="EIU74" s="2198"/>
      <c r="EIV74" s="2198"/>
      <c r="EIW74" s="2198"/>
      <c r="EIX74" s="2198"/>
      <c r="EIY74" s="2198"/>
      <c r="EIZ74" s="2198"/>
      <c r="EJA74" s="2198"/>
      <c r="EJB74" s="2198"/>
      <c r="EJC74" s="2198"/>
      <c r="EJD74" s="2198"/>
      <c r="EJE74" s="2198"/>
      <c r="EJF74" s="2198"/>
      <c r="EJG74" s="2198"/>
      <c r="EJH74" s="2198"/>
      <c r="EJI74" s="2198"/>
      <c r="EJJ74" s="2198"/>
      <c r="EJK74" s="2198"/>
      <c r="EJL74" s="2198"/>
      <c r="EJM74" s="2198"/>
      <c r="EJN74" s="2198"/>
      <c r="EJO74" s="2198"/>
      <c r="EJP74" s="2198"/>
      <c r="EJQ74" s="2198"/>
      <c r="EJR74" s="2198"/>
      <c r="EJS74" s="2198"/>
      <c r="EJT74" s="2198"/>
      <c r="EJU74" s="2198"/>
      <c r="EJV74" s="2198"/>
      <c r="EJW74" s="2198"/>
      <c r="EJX74" s="2198"/>
      <c r="EJY74" s="2198"/>
      <c r="EJZ74" s="2198"/>
      <c r="EKA74" s="2198"/>
      <c r="EKB74" s="2198"/>
      <c r="EKC74" s="2198"/>
      <c r="EKD74" s="2198"/>
      <c r="EKE74" s="2198"/>
      <c r="EKF74" s="2198"/>
      <c r="EKG74" s="2198"/>
      <c r="EKH74" s="2198"/>
      <c r="EKI74" s="2198"/>
      <c r="EKJ74" s="2198"/>
      <c r="EKK74" s="2198"/>
      <c r="EKL74" s="2198"/>
      <c r="EKM74" s="2198"/>
      <c r="EKN74" s="2198"/>
      <c r="EKO74" s="2198"/>
      <c r="EKP74" s="2198"/>
      <c r="EKQ74" s="2198"/>
      <c r="EKR74" s="2198"/>
      <c r="EKS74" s="2198"/>
      <c r="EKT74" s="2198"/>
      <c r="EKU74" s="2198"/>
      <c r="EKV74" s="2198"/>
      <c r="EKW74" s="2198"/>
      <c r="EKX74" s="2198"/>
      <c r="EKY74" s="2198"/>
      <c r="EKZ74" s="2198"/>
      <c r="ELA74" s="2198"/>
      <c r="ELB74" s="2198"/>
      <c r="ELC74" s="2198"/>
      <c r="ELD74" s="2198"/>
      <c r="ELE74" s="2198"/>
      <c r="ELF74" s="2198"/>
      <c r="ELG74" s="2198"/>
      <c r="ELH74" s="2198"/>
      <c r="ELI74" s="2198"/>
      <c r="ELJ74" s="2198"/>
      <c r="ELK74" s="2198"/>
      <c r="ELL74" s="2198"/>
      <c r="ELM74" s="2198"/>
      <c r="ELN74" s="2198"/>
      <c r="ELO74" s="2198"/>
      <c r="ELP74" s="2198"/>
      <c r="ELQ74" s="2198"/>
      <c r="ELR74" s="2198"/>
      <c r="ELS74" s="2198"/>
      <c r="ELT74" s="2198"/>
      <c r="ELU74" s="2198"/>
      <c r="ELV74" s="2198"/>
      <c r="ELW74" s="2198"/>
      <c r="ELX74" s="2198"/>
      <c r="ELY74" s="2198"/>
      <c r="ELZ74" s="2198"/>
      <c r="EMA74" s="2198"/>
      <c r="EMB74" s="2198"/>
      <c r="EMC74" s="2198"/>
      <c r="EMD74" s="2198"/>
      <c r="EME74" s="2198"/>
      <c r="EMF74" s="2198"/>
      <c r="EMG74" s="2198"/>
      <c r="EMH74" s="2198"/>
      <c r="EMI74" s="2198"/>
      <c r="EMJ74" s="2198"/>
      <c r="EMK74" s="2198"/>
      <c r="EML74" s="2198"/>
      <c r="EMM74" s="2198"/>
      <c r="EMN74" s="2198"/>
      <c r="EMO74" s="2198"/>
      <c r="EMP74" s="2198"/>
      <c r="EMQ74" s="2198"/>
      <c r="EMR74" s="2198"/>
      <c r="EMS74" s="2198"/>
      <c r="EMT74" s="2198"/>
      <c r="EMU74" s="2198"/>
      <c r="EMV74" s="2198"/>
      <c r="EMW74" s="2198"/>
      <c r="EMX74" s="2198"/>
      <c r="EMY74" s="2198"/>
      <c r="EMZ74" s="2198"/>
      <c r="ENA74" s="2198"/>
      <c r="ENB74" s="2198"/>
      <c r="ENC74" s="2198"/>
      <c r="END74" s="2198"/>
      <c r="ENE74" s="2198"/>
      <c r="ENF74" s="2198"/>
      <c r="ENG74" s="2198"/>
      <c r="ENH74" s="2198"/>
      <c r="ENI74" s="2198"/>
      <c r="ENJ74" s="2198"/>
      <c r="ENK74" s="2198"/>
      <c r="ENL74" s="2198"/>
      <c r="ENM74" s="2198"/>
      <c r="ENN74" s="2198"/>
      <c r="ENO74" s="2198"/>
      <c r="ENP74" s="2198"/>
      <c r="ENQ74" s="2198"/>
      <c r="ENR74" s="2198"/>
      <c r="ENS74" s="2198"/>
      <c r="ENT74" s="2198"/>
      <c r="ENU74" s="2198"/>
      <c r="ENV74" s="2198"/>
      <c r="ENW74" s="2198"/>
      <c r="ENX74" s="2198"/>
      <c r="ENY74" s="2198"/>
      <c r="ENZ74" s="2198"/>
      <c r="EOA74" s="2198"/>
      <c r="EOB74" s="2198"/>
      <c r="EOC74" s="2198"/>
      <c r="EOD74" s="2198"/>
      <c r="EOE74" s="2198"/>
      <c r="EOF74" s="2198"/>
      <c r="EOG74" s="2198"/>
      <c r="EOH74" s="2198"/>
      <c r="EOI74" s="2198"/>
      <c r="EOJ74" s="2198"/>
      <c r="EOK74" s="2198"/>
      <c r="EOL74" s="2198"/>
      <c r="EOM74" s="2198"/>
      <c r="EON74" s="2198"/>
      <c r="EOO74" s="2198"/>
      <c r="EOP74" s="2198"/>
      <c r="EOQ74" s="2198"/>
      <c r="EOR74" s="2198"/>
      <c r="EOS74" s="2198"/>
      <c r="EOT74" s="2198"/>
      <c r="EOU74" s="2198"/>
      <c r="EOV74" s="2198"/>
      <c r="EOW74" s="2198"/>
      <c r="EOX74" s="2198"/>
      <c r="EOY74" s="2198"/>
      <c r="EOZ74" s="2198"/>
      <c r="EPA74" s="2198"/>
      <c r="EPB74" s="2198"/>
      <c r="EPC74" s="2198"/>
      <c r="EPD74" s="2198"/>
      <c r="EPE74" s="2198"/>
      <c r="EPF74" s="2198"/>
      <c r="EPG74" s="2198"/>
      <c r="EPH74" s="2198"/>
      <c r="EPI74" s="2198"/>
      <c r="EPJ74" s="2198"/>
      <c r="EPK74" s="2198"/>
      <c r="EPL74" s="2198"/>
      <c r="EPM74" s="2198"/>
      <c r="EPN74" s="2198"/>
      <c r="EPO74" s="2198"/>
      <c r="EPP74" s="2198"/>
      <c r="EPQ74" s="2198"/>
      <c r="EPR74" s="2198"/>
      <c r="EPS74" s="2198"/>
      <c r="EPT74" s="2198"/>
      <c r="EPU74" s="2198"/>
      <c r="EPV74" s="2198"/>
      <c r="EPW74" s="2198"/>
      <c r="EPX74" s="2198"/>
      <c r="EPY74" s="2198"/>
      <c r="EPZ74" s="2198"/>
      <c r="EQA74" s="2198"/>
      <c r="EQB74" s="2198"/>
      <c r="EQC74" s="2198"/>
      <c r="EQD74" s="2198"/>
      <c r="EQE74" s="2198"/>
      <c r="EQF74" s="2198"/>
      <c r="EQG74" s="2198"/>
      <c r="EQH74" s="2198"/>
      <c r="EQI74" s="2198"/>
      <c r="EQJ74" s="2198"/>
      <c r="EQK74" s="2198"/>
      <c r="EQL74" s="2198"/>
      <c r="EQM74" s="2198"/>
      <c r="EQN74" s="2198"/>
      <c r="EQO74" s="2198"/>
      <c r="EQP74" s="2198"/>
      <c r="EQQ74" s="2198"/>
      <c r="EQR74" s="2198"/>
      <c r="EQS74" s="2198"/>
      <c r="EQT74" s="2198"/>
      <c r="EQU74" s="2198"/>
      <c r="EQV74" s="2198"/>
      <c r="EQW74" s="2198"/>
      <c r="EQX74" s="2198"/>
      <c r="EQY74" s="2198"/>
      <c r="EQZ74" s="2198"/>
      <c r="ERA74" s="2198"/>
      <c r="ERB74" s="2198"/>
      <c r="ERC74" s="2198"/>
      <c r="ERD74" s="2198"/>
      <c r="ERE74" s="2198"/>
      <c r="ERF74" s="2198"/>
      <c r="ERG74" s="2198"/>
      <c r="ERH74" s="2198"/>
      <c r="ERI74" s="2198"/>
      <c r="ERJ74" s="2198"/>
      <c r="ERK74" s="2198"/>
      <c r="ERL74" s="2198"/>
      <c r="ERM74" s="2198"/>
      <c r="ERN74" s="2198"/>
      <c r="ERO74" s="2198"/>
      <c r="ERP74" s="2198"/>
      <c r="ERQ74" s="2198"/>
      <c r="ERR74" s="2198"/>
      <c r="ERS74" s="2198"/>
      <c r="ERT74" s="2198"/>
      <c r="ERU74" s="2198"/>
      <c r="ERV74" s="2198"/>
      <c r="ERW74" s="2198"/>
      <c r="ERX74" s="2198"/>
      <c r="ERY74" s="2198"/>
      <c r="ERZ74" s="2198"/>
      <c r="ESA74" s="2198"/>
      <c r="ESB74" s="2198"/>
      <c r="ESC74" s="2198"/>
      <c r="ESD74" s="2198"/>
      <c r="ESE74" s="2198"/>
      <c r="ESF74" s="2198"/>
      <c r="ESG74" s="2198"/>
      <c r="ESH74" s="2198"/>
      <c r="ESI74" s="2198"/>
      <c r="ESJ74" s="2198"/>
      <c r="ESK74" s="2198"/>
      <c r="ESL74" s="2198"/>
      <c r="ESM74" s="2198"/>
      <c r="ESN74" s="2198"/>
      <c r="ESO74" s="2198"/>
      <c r="ESP74" s="2198"/>
      <c r="ESQ74" s="2198"/>
      <c r="ESR74" s="2198"/>
      <c r="ESS74" s="2198"/>
      <c r="EST74" s="2198"/>
      <c r="ESU74" s="2198"/>
      <c r="ESV74" s="2198"/>
      <c r="ESW74" s="2198"/>
      <c r="ESX74" s="2198"/>
      <c r="ESY74" s="2198"/>
      <c r="ESZ74" s="2198"/>
      <c r="ETA74" s="2198"/>
      <c r="ETB74" s="2198"/>
      <c r="ETC74" s="2198"/>
      <c r="ETD74" s="2198"/>
      <c r="ETE74" s="2198"/>
      <c r="ETF74" s="2198"/>
      <c r="ETG74" s="2198"/>
      <c r="ETH74" s="2198"/>
      <c r="ETI74" s="2198"/>
      <c r="ETJ74" s="2198"/>
      <c r="ETK74" s="2198"/>
      <c r="ETL74" s="2198"/>
      <c r="ETM74" s="2198"/>
      <c r="ETN74" s="2198"/>
      <c r="ETO74" s="2198"/>
      <c r="ETP74" s="2198"/>
      <c r="ETQ74" s="2198"/>
      <c r="ETR74" s="2198"/>
      <c r="ETS74" s="2198"/>
      <c r="ETT74" s="2198"/>
      <c r="ETU74" s="2198"/>
      <c r="ETV74" s="2198"/>
      <c r="ETW74" s="2198"/>
      <c r="ETX74" s="2198"/>
      <c r="ETY74" s="2198"/>
      <c r="ETZ74" s="2198"/>
      <c r="EUA74" s="2198"/>
      <c r="EUB74" s="2198"/>
      <c r="EUC74" s="2198"/>
      <c r="EUD74" s="2198"/>
      <c r="EUE74" s="2198"/>
      <c r="EUF74" s="2198"/>
      <c r="EUG74" s="2198"/>
      <c r="EUH74" s="2198"/>
      <c r="EUI74" s="2198"/>
      <c r="EUJ74" s="2198"/>
      <c r="EUK74" s="2198"/>
      <c r="EUL74" s="2198"/>
      <c r="EUM74" s="2198"/>
      <c r="EUN74" s="2198"/>
      <c r="EUO74" s="2198"/>
      <c r="EUP74" s="2198"/>
      <c r="EUQ74" s="2198"/>
      <c r="EUR74" s="2198"/>
      <c r="EUS74" s="2198"/>
      <c r="EUT74" s="2198"/>
      <c r="EUU74" s="2198"/>
      <c r="EUV74" s="2198"/>
      <c r="EUW74" s="2198"/>
      <c r="EUX74" s="2198"/>
      <c r="EUY74" s="2198"/>
      <c r="EUZ74" s="2198"/>
      <c r="EVA74" s="2198"/>
      <c r="EVB74" s="2198"/>
      <c r="EVC74" s="2198"/>
      <c r="EVD74" s="2198"/>
      <c r="EVE74" s="2198"/>
      <c r="EVF74" s="2198"/>
      <c r="EVG74" s="2198"/>
      <c r="EVH74" s="2198"/>
      <c r="EVI74" s="2198"/>
      <c r="EVJ74" s="2198"/>
      <c r="EVK74" s="2198"/>
      <c r="EVL74" s="2198"/>
      <c r="EVM74" s="2198"/>
      <c r="EVN74" s="2198"/>
      <c r="EVO74" s="2198"/>
      <c r="EVP74" s="2198"/>
      <c r="EVQ74" s="2198"/>
      <c r="EVR74" s="2198"/>
      <c r="EVS74" s="2198"/>
      <c r="EVT74" s="2198"/>
      <c r="EVU74" s="2198"/>
      <c r="EVV74" s="2198"/>
      <c r="EVW74" s="2198"/>
      <c r="EVX74" s="2198"/>
      <c r="EVY74" s="2198"/>
      <c r="EVZ74" s="2198"/>
      <c r="EWA74" s="2198"/>
      <c r="EWB74" s="2198"/>
      <c r="EWC74" s="2198"/>
      <c r="EWD74" s="2198"/>
      <c r="EWE74" s="2198"/>
      <c r="EWF74" s="2198"/>
      <c r="EWG74" s="2198"/>
      <c r="EWH74" s="2198"/>
      <c r="EWI74" s="2198"/>
      <c r="EWJ74" s="2198"/>
      <c r="EWK74" s="2198"/>
      <c r="EWL74" s="2198"/>
      <c r="EWM74" s="2198"/>
      <c r="EWN74" s="2198"/>
      <c r="EWO74" s="2198"/>
      <c r="EWP74" s="2198"/>
      <c r="EWQ74" s="2198"/>
      <c r="EWR74" s="2198"/>
      <c r="EWS74" s="2198"/>
      <c r="EWT74" s="2198"/>
      <c r="EWU74" s="2198"/>
      <c r="EWV74" s="2198"/>
      <c r="EWW74" s="2198"/>
      <c r="EWX74" s="2198"/>
      <c r="EWY74" s="2198"/>
      <c r="EWZ74" s="2198"/>
      <c r="EXA74" s="2198"/>
      <c r="EXB74" s="2198"/>
      <c r="EXC74" s="2198"/>
      <c r="EXD74" s="2198"/>
      <c r="EXE74" s="2198"/>
      <c r="EXF74" s="2198"/>
      <c r="EXG74" s="2198"/>
      <c r="EXH74" s="2198"/>
      <c r="EXI74" s="2198"/>
      <c r="EXJ74" s="2198"/>
      <c r="EXK74" s="2198"/>
      <c r="EXL74" s="2198"/>
      <c r="EXM74" s="2198"/>
      <c r="EXN74" s="2198"/>
      <c r="EXO74" s="2198"/>
      <c r="EXP74" s="2198"/>
      <c r="EXQ74" s="2198"/>
      <c r="EXR74" s="2198"/>
      <c r="EXS74" s="2198"/>
      <c r="EXT74" s="2198"/>
      <c r="EXU74" s="2198"/>
      <c r="EXV74" s="2198"/>
      <c r="EXW74" s="2198"/>
      <c r="EXX74" s="2198"/>
      <c r="EXY74" s="2198"/>
      <c r="EXZ74" s="2198"/>
      <c r="EYA74" s="2198"/>
      <c r="EYB74" s="2198"/>
      <c r="EYC74" s="2198"/>
      <c r="EYD74" s="2198"/>
      <c r="EYE74" s="2198"/>
      <c r="EYF74" s="2198"/>
      <c r="EYG74" s="2198"/>
      <c r="EYH74" s="2198"/>
      <c r="EYI74" s="2198"/>
      <c r="EYJ74" s="2198"/>
      <c r="EYK74" s="2198"/>
      <c r="EYL74" s="2198"/>
      <c r="EYM74" s="2198"/>
      <c r="EYN74" s="2198"/>
      <c r="EYO74" s="2198"/>
      <c r="EYP74" s="2198"/>
      <c r="EYQ74" s="2198"/>
      <c r="EYR74" s="2198"/>
      <c r="EYS74" s="2198"/>
      <c r="EYT74" s="2198"/>
      <c r="EYU74" s="2198"/>
      <c r="EYV74" s="2198"/>
      <c r="EYW74" s="2198"/>
      <c r="EYX74" s="2198"/>
      <c r="EYY74" s="2198"/>
      <c r="EYZ74" s="2198"/>
      <c r="EZA74" s="2198"/>
      <c r="EZB74" s="2198"/>
      <c r="EZC74" s="2198"/>
      <c r="EZD74" s="2198"/>
      <c r="EZE74" s="2198"/>
      <c r="EZF74" s="2198"/>
      <c r="EZG74" s="2198"/>
      <c r="EZH74" s="2198"/>
      <c r="EZI74" s="2198"/>
      <c r="EZJ74" s="2198"/>
      <c r="EZK74" s="2198"/>
      <c r="EZL74" s="2198"/>
      <c r="EZM74" s="2198"/>
      <c r="EZN74" s="2198"/>
      <c r="EZO74" s="2198"/>
      <c r="EZP74" s="2198"/>
      <c r="EZQ74" s="2198"/>
      <c r="EZR74" s="2198"/>
      <c r="EZS74" s="2198"/>
      <c r="EZT74" s="2198"/>
      <c r="EZU74" s="2198"/>
      <c r="EZV74" s="2198"/>
      <c r="EZW74" s="2198"/>
      <c r="EZX74" s="2198"/>
      <c r="EZY74" s="2198"/>
      <c r="EZZ74" s="2198"/>
      <c r="FAA74" s="2198"/>
      <c r="FAB74" s="2198"/>
      <c r="FAC74" s="2198"/>
      <c r="FAD74" s="2198"/>
      <c r="FAE74" s="2198"/>
      <c r="FAF74" s="2198"/>
      <c r="FAG74" s="2198"/>
      <c r="FAH74" s="2198"/>
      <c r="FAI74" s="2198"/>
      <c r="FAJ74" s="2198"/>
      <c r="FAK74" s="2198"/>
      <c r="FAL74" s="2198"/>
      <c r="FAM74" s="2198"/>
      <c r="FAN74" s="2198"/>
      <c r="FAO74" s="2198"/>
      <c r="FAP74" s="2198"/>
      <c r="FAQ74" s="2198"/>
      <c r="FAR74" s="2198"/>
      <c r="FAS74" s="2198"/>
      <c r="FAT74" s="2198"/>
      <c r="FAU74" s="2198"/>
      <c r="FAV74" s="2198"/>
      <c r="FAW74" s="2198"/>
      <c r="FAX74" s="2198"/>
      <c r="FAY74" s="2198"/>
      <c r="FAZ74" s="2198"/>
      <c r="FBA74" s="2198"/>
      <c r="FBB74" s="2198"/>
      <c r="FBC74" s="2198"/>
      <c r="FBD74" s="2198"/>
      <c r="FBE74" s="2198"/>
      <c r="FBF74" s="2198"/>
      <c r="FBG74" s="2198"/>
      <c r="FBH74" s="2198"/>
      <c r="FBI74" s="2198"/>
      <c r="FBJ74" s="2198"/>
      <c r="FBK74" s="2198"/>
      <c r="FBL74" s="2198"/>
      <c r="FBM74" s="2198"/>
      <c r="FBN74" s="2198"/>
      <c r="FBO74" s="2198"/>
      <c r="FBP74" s="2198"/>
      <c r="FBQ74" s="2198"/>
      <c r="FBR74" s="2198"/>
      <c r="FBS74" s="2198"/>
      <c r="FBT74" s="2198"/>
      <c r="FBU74" s="2198"/>
      <c r="FBV74" s="2198"/>
      <c r="FBW74" s="2198"/>
      <c r="FBX74" s="2198"/>
      <c r="FBY74" s="2198"/>
      <c r="FBZ74" s="2198"/>
      <c r="FCA74" s="2198"/>
      <c r="FCB74" s="2198"/>
      <c r="FCC74" s="2198"/>
      <c r="FCD74" s="2198"/>
      <c r="FCE74" s="2198"/>
      <c r="FCF74" s="2198"/>
      <c r="FCG74" s="2198"/>
      <c r="FCH74" s="2198"/>
      <c r="FCI74" s="2198"/>
      <c r="FCJ74" s="2198"/>
      <c r="FCK74" s="2198"/>
      <c r="FCL74" s="2198"/>
      <c r="FCM74" s="2198"/>
      <c r="FCN74" s="2198"/>
      <c r="FCO74" s="2198"/>
      <c r="FCP74" s="2198"/>
      <c r="FCQ74" s="2198"/>
      <c r="FCR74" s="2198"/>
      <c r="FCS74" s="2198"/>
      <c r="FCT74" s="2198"/>
      <c r="FCU74" s="2198"/>
      <c r="FCV74" s="2198"/>
      <c r="FCW74" s="2198"/>
      <c r="FCX74" s="2198"/>
      <c r="FCY74" s="2198"/>
      <c r="FCZ74" s="2198"/>
      <c r="FDA74" s="2198"/>
      <c r="FDB74" s="2198"/>
      <c r="FDC74" s="2198"/>
      <c r="FDD74" s="2198"/>
      <c r="FDE74" s="2198"/>
      <c r="FDF74" s="2198"/>
      <c r="FDG74" s="2198"/>
      <c r="FDH74" s="2198"/>
      <c r="FDI74" s="2198"/>
      <c r="FDJ74" s="2198"/>
      <c r="FDK74" s="2198"/>
      <c r="FDL74" s="2198"/>
      <c r="FDM74" s="2198"/>
      <c r="FDN74" s="2198"/>
      <c r="FDO74" s="2198"/>
      <c r="FDP74" s="2198"/>
      <c r="FDQ74" s="2198"/>
      <c r="FDR74" s="2198"/>
      <c r="FDS74" s="2198"/>
      <c r="FDT74" s="2198"/>
      <c r="FDU74" s="2198"/>
      <c r="FDV74" s="2198"/>
      <c r="FDW74" s="2198"/>
      <c r="FDX74" s="2198"/>
      <c r="FDY74" s="2198"/>
      <c r="FDZ74" s="2198"/>
      <c r="FEA74" s="2198"/>
      <c r="FEB74" s="2198"/>
      <c r="FEC74" s="2198"/>
      <c r="FED74" s="2198"/>
      <c r="FEE74" s="2198"/>
      <c r="FEF74" s="2198"/>
      <c r="FEG74" s="2198"/>
      <c r="FEH74" s="2198"/>
      <c r="FEI74" s="2198"/>
      <c r="FEJ74" s="2198"/>
      <c r="FEK74" s="2198"/>
      <c r="FEL74" s="2198"/>
      <c r="FEM74" s="2198"/>
      <c r="FEN74" s="2198"/>
      <c r="FEO74" s="2198"/>
      <c r="FEP74" s="2198"/>
      <c r="FEQ74" s="2198"/>
      <c r="FER74" s="2198"/>
      <c r="FES74" s="2198"/>
      <c r="FET74" s="2198"/>
      <c r="FEU74" s="2198"/>
      <c r="FEV74" s="2198"/>
      <c r="FEW74" s="2198"/>
      <c r="FEX74" s="2198"/>
      <c r="FEY74" s="2198"/>
      <c r="FEZ74" s="2198"/>
      <c r="FFA74" s="2198"/>
      <c r="FFB74" s="2198"/>
      <c r="FFC74" s="2198"/>
      <c r="FFD74" s="2198"/>
      <c r="FFE74" s="2198"/>
      <c r="FFF74" s="2198"/>
      <c r="FFG74" s="2198"/>
      <c r="FFH74" s="2198"/>
      <c r="FFI74" s="2198"/>
      <c r="FFJ74" s="2198"/>
      <c r="FFK74" s="2198"/>
      <c r="FFL74" s="2198"/>
      <c r="FFM74" s="2198"/>
      <c r="FFN74" s="2198"/>
      <c r="FFO74" s="2198"/>
      <c r="FFP74" s="2198"/>
      <c r="FFQ74" s="2198"/>
      <c r="FFR74" s="2198"/>
      <c r="FFS74" s="2198"/>
      <c r="FFT74" s="2198"/>
      <c r="FFU74" s="2198"/>
      <c r="FFV74" s="2198"/>
      <c r="FFW74" s="2198"/>
      <c r="FFX74" s="2198"/>
      <c r="FFY74" s="2198"/>
      <c r="FFZ74" s="2198"/>
      <c r="FGA74" s="2198"/>
      <c r="FGB74" s="2198"/>
      <c r="FGC74" s="2198"/>
      <c r="FGD74" s="2198"/>
      <c r="FGE74" s="2198"/>
      <c r="FGF74" s="2198"/>
      <c r="FGG74" s="2198"/>
      <c r="FGH74" s="2198"/>
      <c r="FGI74" s="2198"/>
      <c r="FGJ74" s="2198"/>
      <c r="FGK74" s="2198"/>
      <c r="FGL74" s="2198"/>
      <c r="FGM74" s="2198"/>
      <c r="FGN74" s="2198"/>
      <c r="FGO74" s="2198"/>
      <c r="FGP74" s="2198"/>
      <c r="FGQ74" s="2198"/>
      <c r="FGR74" s="2198"/>
      <c r="FGS74" s="2198"/>
      <c r="FGT74" s="2198"/>
      <c r="FGU74" s="2198"/>
      <c r="FGV74" s="2198"/>
      <c r="FGW74" s="2198"/>
      <c r="FGX74" s="2198"/>
      <c r="FGY74" s="2198"/>
      <c r="FGZ74" s="2198"/>
      <c r="FHA74" s="2198"/>
      <c r="FHB74" s="2198"/>
      <c r="FHC74" s="2198"/>
      <c r="FHD74" s="2198"/>
      <c r="FHE74" s="2198"/>
      <c r="FHF74" s="2198"/>
      <c r="FHG74" s="2198"/>
      <c r="FHH74" s="2198"/>
      <c r="FHI74" s="2198"/>
      <c r="FHJ74" s="2198"/>
      <c r="FHK74" s="2198"/>
      <c r="FHL74" s="2198"/>
      <c r="FHM74" s="2198"/>
      <c r="FHN74" s="2198"/>
      <c r="FHO74" s="2198"/>
      <c r="FHP74" s="2198"/>
      <c r="FHQ74" s="2198"/>
      <c r="FHR74" s="2198"/>
      <c r="FHS74" s="2198"/>
      <c r="FHT74" s="2198"/>
      <c r="FHU74" s="2198"/>
      <c r="FHV74" s="2198"/>
      <c r="FHW74" s="2198"/>
      <c r="FHX74" s="2198"/>
      <c r="FHY74" s="2198"/>
      <c r="FHZ74" s="2198"/>
      <c r="FIA74" s="2198"/>
      <c r="FIB74" s="2198"/>
      <c r="FIC74" s="2198"/>
      <c r="FID74" s="2198"/>
      <c r="FIE74" s="2198"/>
      <c r="FIF74" s="2198"/>
      <c r="FIG74" s="2198"/>
      <c r="FIH74" s="2198"/>
      <c r="FII74" s="2198"/>
      <c r="FIJ74" s="2198"/>
      <c r="FIK74" s="2198"/>
      <c r="FIL74" s="2198"/>
      <c r="FIM74" s="2198"/>
      <c r="FIN74" s="2198"/>
      <c r="FIO74" s="2198"/>
      <c r="FIP74" s="2198"/>
      <c r="FIQ74" s="2198"/>
      <c r="FIR74" s="2198"/>
      <c r="FIS74" s="2198"/>
      <c r="FIT74" s="2198"/>
      <c r="FIU74" s="2198"/>
      <c r="FIV74" s="2198"/>
      <c r="FIW74" s="2198"/>
      <c r="FIX74" s="2198"/>
      <c r="FIY74" s="2198"/>
      <c r="FIZ74" s="2198"/>
      <c r="FJA74" s="2198"/>
      <c r="FJB74" s="2198"/>
      <c r="FJC74" s="2198"/>
      <c r="FJD74" s="2198"/>
      <c r="FJE74" s="2198"/>
      <c r="FJF74" s="2198"/>
      <c r="FJG74" s="2198"/>
      <c r="FJH74" s="2198"/>
      <c r="FJI74" s="2198"/>
      <c r="FJJ74" s="2198"/>
      <c r="FJK74" s="2198"/>
      <c r="FJL74" s="2198"/>
      <c r="FJM74" s="2198"/>
      <c r="FJN74" s="2198"/>
      <c r="FJO74" s="2198"/>
      <c r="FJP74" s="2198"/>
      <c r="FJQ74" s="2198"/>
      <c r="FJR74" s="2198"/>
      <c r="FJS74" s="2198"/>
      <c r="FJT74" s="2198"/>
      <c r="FJU74" s="2198"/>
      <c r="FJV74" s="2198"/>
      <c r="FJW74" s="2198"/>
      <c r="FJX74" s="2198"/>
      <c r="FJY74" s="2198"/>
      <c r="FJZ74" s="2198"/>
      <c r="FKA74" s="2198"/>
      <c r="FKB74" s="2198"/>
      <c r="FKC74" s="2198"/>
      <c r="FKD74" s="2198"/>
      <c r="FKE74" s="2198"/>
      <c r="FKF74" s="2198"/>
      <c r="FKG74" s="2198"/>
      <c r="FKH74" s="2198"/>
      <c r="FKI74" s="2198"/>
      <c r="FKJ74" s="2198"/>
      <c r="FKK74" s="2198"/>
      <c r="FKL74" s="2198"/>
      <c r="FKM74" s="2198"/>
      <c r="FKN74" s="2198"/>
      <c r="FKO74" s="2198"/>
      <c r="FKP74" s="2198"/>
      <c r="FKQ74" s="2198"/>
      <c r="FKR74" s="2198"/>
      <c r="FKS74" s="2198"/>
      <c r="FKT74" s="2198"/>
      <c r="FKU74" s="2198"/>
      <c r="FKV74" s="2198"/>
      <c r="FKW74" s="2198"/>
      <c r="FKX74" s="2198"/>
      <c r="FKY74" s="2198"/>
      <c r="FKZ74" s="2198"/>
      <c r="FLA74" s="2198"/>
      <c r="FLB74" s="2198"/>
      <c r="FLC74" s="2198"/>
      <c r="FLD74" s="2198"/>
      <c r="FLE74" s="2198"/>
      <c r="FLF74" s="2198"/>
      <c r="FLG74" s="2198"/>
      <c r="FLH74" s="2198"/>
      <c r="FLI74" s="2198"/>
      <c r="FLJ74" s="2198"/>
      <c r="FLK74" s="2198"/>
      <c r="FLL74" s="2198"/>
      <c r="FLM74" s="2198"/>
      <c r="FLN74" s="2198"/>
      <c r="FLO74" s="2198"/>
      <c r="FLP74" s="2198"/>
      <c r="FLQ74" s="2198"/>
      <c r="FLR74" s="2198"/>
      <c r="FLS74" s="2198"/>
      <c r="FLT74" s="2198"/>
      <c r="FLU74" s="2198"/>
      <c r="FLV74" s="2198"/>
      <c r="FLW74" s="2198"/>
      <c r="FLX74" s="2198"/>
      <c r="FLY74" s="2198"/>
      <c r="FLZ74" s="2198"/>
      <c r="FMA74" s="2198"/>
      <c r="FMB74" s="2198"/>
      <c r="FMC74" s="2198"/>
      <c r="FMD74" s="2198"/>
      <c r="FME74" s="2198"/>
      <c r="FMF74" s="2198"/>
      <c r="FMG74" s="2198"/>
      <c r="FMH74" s="2198"/>
      <c r="FMI74" s="2198"/>
      <c r="FMJ74" s="2198"/>
      <c r="FMK74" s="2198"/>
      <c r="FML74" s="2198"/>
      <c r="FMM74" s="2198"/>
      <c r="FMN74" s="2198"/>
      <c r="FMO74" s="2198"/>
      <c r="FMP74" s="2198"/>
      <c r="FMQ74" s="2198"/>
      <c r="FMR74" s="2198"/>
      <c r="FMS74" s="2198"/>
      <c r="FMT74" s="2198"/>
      <c r="FMU74" s="2198"/>
      <c r="FMV74" s="2198"/>
      <c r="FMW74" s="2198"/>
      <c r="FMX74" s="2198"/>
      <c r="FMY74" s="2198"/>
      <c r="FMZ74" s="2198"/>
      <c r="FNA74" s="2198"/>
      <c r="FNB74" s="2198"/>
      <c r="FNC74" s="2198"/>
      <c r="FND74" s="2198"/>
      <c r="FNE74" s="2198"/>
      <c r="FNF74" s="2198"/>
      <c r="FNG74" s="2198"/>
      <c r="FNH74" s="2198"/>
      <c r="FNI74" s="2198"/>
      <c r="FNJ74" s="2198"/>
      <c r="FNK74" s="2198"/>
      <c r="FNL74" s="2198"/>
      <c r="FNM74" s="2198"/>
      <c r="FNN74" s="2198"/>
      <c r="FNO74" s="2198"/>
      <c r="FNP74" s="2198"/>
      <c r="FNQ74" s="2198"/>
      <c r="FNR74" s="2198"/>
      <c r="FNS74" s="2198"/>
      <c r="FNT74" s="2198"/>
      <c r="FNU74" s="2198"/>
      <c r="FNV74" s="2198"/>
      <c r="FNW74" s="2198"/>
      <c r="FNX74" s="2198"/>
      <c r="FNY74" s="2198"/>
      <c r="FNZ74" s="2198"/>
      <c r="FOA74" s="2198"/>
      <c r="FOB74" s="2198"/>
      <c r="FOC74" s="2198"/>
      <c r="FOD74" s="2198"/>
      <c r="FOE74" s="2198"/>
      <c r="FOF74" s="2198"/>
      <c r="FOG74" s="2198"/>
      <c r="FOH74" s="2198"/>
      <c r="FOI74" s="2198"/>
      <c r="FOJ74" s="2198"/>
      <c r="FOK74" s="2198"/>
      <c r="FOL74" s="2198"/>
      <c r="FOM74" s="2198"/>
      <c r="FON74" s="2198"/>
      <c r="FOO74" s="2198"/>
      <c r="FOP74" s="2198"/>
      <c r="FOQ74" s="2198"/>
      <c r="FOR74" s="2198"/>
      <c r="FOS74" s="2198"/>
      <c r="FOT74" s="2198"/>
      <c r="FOU74" s="2198"/>
      <c r="FOV74" s="2198"/>
      <c r="FOW74" s="2198"/>
      <c r="FOX74" s="2198"/>
      <c r="FOY74" s="2198"/>
      <c r="FOZ74" s="2198"/>
      <c r="FPA74" s="2198"/>
      <c r="FPB74" s="2198"/>
      <c r="FPC74" s="2198"/>
      <c r="FPD74" s="2198"/>
      <c r="FPE74" s="2198"/>
      <c r="FPF74" s="2198"/>
      <c r="FPG74" s="2198"/>
      <c r="FPH74" s="2198"/>
      <c r="FPI74" s="2198"/>
      <c r="FPJ74" s="2198"/>
      <c r="FPK74" s="2198"/>
      <c r="FPL74" s="2198"/>
      <c r="FPM74" s="2198"/>
      <c r="FPN74" s="2198"/>
      <c r="FPO74" s="2198"/>
      <c r="FPP74" s="2198"/>
      <c r="FPQ74" s="2198"/>
      <c r="FPR74" s="2198"/>
      <c r="FPS74" s="2198"/>
      <c r="FPT74" s="2198"/>
      <c r="FPU74" s="2198"/>
      <c r="FPV74" s="2198"/>
      <c r="FPW74" s="2198"/>
      <c r="FPX74" s="2198"/>
      <c r="FPY74" s="2198"/>
      <c r="FPZ74" s="2198"/>
      <c r="FQA74" s="2198"/>
      <c r="FQB74" s="2198"/>
      <c r="FQC74" s="2198"/>
      <c r="FQD74" s="2198"/>
      <c r="FQE74" s="2198"/>
      <c r="FQF74" s="2198"/>
      <c r="FQG74" s="2198"/>
      <c r="FQH74" s="2198"/>
      <c r="FQI74" s="2198"/>
      <c r="FQJ74" s="2198"/>
      <c r="FQK74" s="2198"/>
      <c r="FQL74" s="2198"/>
      <c r="FQM74" s="2198"/>
      <c r="FQN74" s="2198"/>
      <c r="FQO74" s="2198"/>
      <c r="FQP74" s="2198"/>
      <c r="FQQ74" s="2198"/>
      <c r="FQR74" s="2198"/>
      <c r="FQS74" s="2198"/>
      <c r="FQT74" s="2198"/>
      <c r="FQU74" s="2198"/>
      <c r="FQV74" s="2198"/>
      <c r="FQW74" s="2198"/>
      <c r="FQX74" s="2198"/>
      <c r="FQY74" s="2198"/>
      <c r="FQZ74" s="2198"/>
      <c r="FRA74" s="2198"/>
      <c r="FRB74" s="2198"/>
      <c r="FRC74" s="2198"/>
      <c r="FRD74" s="2198"/>
      <c r="FRE74" s="2198"/>
      <c r="FRF74" s="2198"/>
      <c r="FRG74" s="2198"/>
      <c r="FRH74" s="2198"/>
      <c r="FRI74" s="2198"/>
      <c r="FRJ74" s="2198"/>
      <c r="FRK74" s="2198"/>
      <c r="FRL74" s="2198"/>
      <c r="FRM74" s="2198"/>
      <c r="FRN74" s="2198"/>
      <c r="FRO74" s="2198"/>
      <c r="FRP74" s="2198"/>
      <c r="FRQ74" s="2198"/>
      <c r="FRR74" s="2198"/>
      <c r="FRS74" s="2198"/>
      <c r="FRT74" s="2198"/>
      <c r="FRU74" s="2198"/>
      <c r="FRV74" s="2198"/>
      <c r="FRW74" s="2198"/>
      <c r="FRX74" s="2198"/>
      <c r="FRY74" s="2198"/>
      <c r="FRZ74" s="2198"/>
      <c r="FSA74" s="2198"/>
      <c r="FSB74" s="2198"/>
      <c r="FSC74" s="2198"/>
      <c r="FSD74" s="2198"/>
      <c r="FSE74" s="2198"/>
      <c r="FSF74" s="2198"/>
      <c r="FSG74" s="2198"/>
      <c r="FSH74" s="2198"/>
      <c r="FSI74" s="2198"/>
      <c r="FSJ74" s="2198"/>
      <c r="FSK74" s="2198"/>
      <c r="FSL74" s="2198"/>
      <c r="FSM74" s="2198"/>
      <c r="FSN74" s="2198"/>
      <c r="FSO74" s="2198"/>
      <c r="FSP74" s="2198"/>
      <c r="FSQ74" s="2198"/>
      <c r="FSR74" s="2198"/>
      <c r="FSS74" s="2198"/>
      <c r="FST74" s="2198"/>
      <c r="FSU74" s="2198"/>
      <c r="FSV74" s="2198"/>
      <c r="FSW74" s="2198"/>
      <c r="FSX74" s="2198"/>
      <c r="FSY74" s="2198"/>
      <c r="FSZ74" s="2198"/>
      <c r="FTA74" s="2198"/>
      <c r="FTB74" s="2198"/>
      <c r="FTC74" s="2198"/>
      <c r="FTD74" s="2198"/>
      <c r="FTE74" s="2198"/>
      <c r="FTF74" s="2198"/>
      <c r="FTG74" s="2198"/>
      <c r="FTH74" s="2198"/>
      <c r="FTI74" s="2198"/>
      <c r="FTJ74" s="2198"/>
      <c r="FTK74" s="2198"/>
      <c r="FTL74" s="2198"/>
      <c r="FTM74" s="2198"/>
      <c r="FTN74" s="2198"/>
      <c r="FTO74" s="2198"/>
      <c r="FTP74" s="2198"/>
      <c r="FTQ74" s="2198"/>
      <c r="FTR74" s="2198"/>
      <c r="FTS74" s="2198"/>
      <c r="FTT74" s="2198"/>
      <c r="FTU74" s="2198"/>
      <c r="FTV74" s="2198"/>
      <c r="FTW74" s="2198"/>
      <c r="FTX74" s="2198"/>
      <c r="FTY74" s="2198"/>
      <c r="FTZ74" s="2198"/>
      <c r="FUA74" s="2198"/>
      <c r="FUB74" s="2198"/>
      <c r="FUC74" s="2198"/>
      <c r="FUD74" s="2198"/>
      <c r="FUE74" s="2198"/>
      <c r="FUF74" s="2198"/>
      <c r="FUG74" s="2198"/>
      <c r="FUH74" s="2198"/>
      <c r="FUI74" s="2198"/>
      <c r="FUJ74" s="2198"/>
      <c r="FUK74" s="2198"/>
      <c r="FUL74" s="2198"/>
      <c r="FUM74" s="2198"/>
      <c r="FUN74" s="2198"/>
      <c r="FUO74" s="2198"/>
      <c r="FUP74" s="2198"/>
      <c r="FUQ74" s="2198"/>
      <c r="FUR74" s="2198"/>
      <c r="FUS74" s="2198"/>
      <c r="FUT74" s="2198"/>
      <c r="FUU74" s="2198"/>
      <c r="FUV74" s="2198"/>
      <c r="FUW74" s="2198"/>
      <c r="FUX74" s="2198"/>
      <c r="FUY74" s="2198"/>
      <c r="FUZ74" s="2198"/>
      <c r="FVA74" s="2198"/>
      <c r="FVB74" s="2198"/>
      <c r="FVC74" s="2198"/>
      <c r="FVD74" s="2198"/>
      <c r="FVE74" s="2198"/>
      <c r="FVF74" s="2198"/>
      <c r="FVG74" s="2198"/>
      <c r="FVH74" s="2198"/>
      <c r="FVI74" s="2198"/>
      <c r="FVJ74" s="2198"/>
      <c r="FVK74" s="2198"/>
      <c r="FVL74" s="2198"/>
      <c r="FVM74" s="2198"/>
      <c r="FVN74" s="2198"/>
      <c r="FVO74" s="2198"/>
      <c r="FVP74" s="2198"/>
      <c r="FVQ74" s="2198"/>
      <c r="FVR74" s="2198"/>
      <c r="FVS74" s="2198"/>
      <c r="FVT74" s="2198"/>
      <c r="FVU74" s="2198"/>
      <c r="FVV74" s="2198"/>
      <c r="FVW74" s="2198"/>
      <c r="FVX74" s="2198"/>
      <c r="FVY74" s="2198"/>
      <c r="FVZ74" s="2198"/>
      <c r="FWA74" s="2198"/>
      <c r="FWB74" s="2198"/>
      <c r="FWC74" s="2198"/>
      <c r="FWD74" s="2198"/>
      <c r="FWE74" s="2198"/>
      <c r="FWF74" s="2198"/>
      <c r="FWG74" s="2198"/>
      <c r="FWH74" s="2198"/>
      <c r="FWI74" s="2198"/>
      <c r="FWJ74" s="2198"/>
      <c r="FWK74" s="2198"/>
      <c r="FWL74" s="2198"/>
      <c r="FWM74" s="2198"/>
      <c r="FWN74" s="2198"/>
      <c r="FWO74" s="2198"/>
      <c r="FWP74" s="2198"/>
      <c r="FWQ74" s="2198"/>
      <c r="FWR74" s="2198"/>
      <c r="FWS74" s="2198"/>
      <c r="FWT74" s="2198"/>
      <c r="FWU74" s="2198"/>
      <c r="FWV74" s="2198"/>
      <c r="FWW74" s="2198"/>
      <c r="FWX74" s="2198"/>
      <c r="FWY74" s="2198"/>
      <c r="FWZ74" s="2198"/>
      <c r="FXA74" s="2198"/>
      <c r="FXB74" s="2198"/>
      <c r="FXC74" s="2198"/>
      <c r="FXD74" s="2198"/>
      <c r="FXE74" s="2198"/>
      <c r="FXF74" s="2198"/>
      <c r="FXG74" s="2198"/>
      <c r="FXH74" s="2198"/>
      <c r="FXI74" s="2198"/>
      <c r="FXJ74" s="2198"/>
      <c r="FXK74" s="2198"/>
      <c r="FXL74" s="2198"/>
      <c r="FXM74" s="2198"/>
      <c r="FXN74" s="2198"/>
      <c r="FXO74" s="2198"/>
      <c r="FXP74" s="2198"/>
      <c r="FXQ74" s="2198"/>
      <c r="FXR74" s="2198"/>
      <c r="FXS74" s="2198"/>
      <c r="FXT74" s="2198"/>
      <c r="FXU74" s="2198"/>
      <c r="FXV74" s="2198"/>
      <c r="FXW74" s="2198"/>
      <c r="FXX74" s="2198"/>
      <c r="FXY74" s="2198"/>
      <c r="FXZ74" s="2198"/>
      <c r="FYA74" s="2198"/>
      <c r="FYB74" s="2198"/>
      <c r="FYC74" s="2198"/>
      <c r="FYD74" s="2198"/>
      <c r="FYE74" s="2198"/>
      <c r="FYF74" s="2198"/>
      <c r="FYG74" s="2198"/>
      <c r="FYH74" s="2198"/>
      <c r="FYI74" s="2198"/>
      <c r="FYJ74" s="2198"/>
      <c r="FYK74" s="2198"/>
      <c r="FYL74" s="2198"/>
      <c r="FYM74" s="2198"/>
      <c r="FYN74" s="2198"/>
      <c r="FYO74" s="2198"/>
      <c r="FYP74" s="2198"/>
      <c r="FYQ74" s="2198"/>
      <c r="FYR74" s="2198"/>
      <c r="FYS74" s="2198"/>
      <c r="FYT74" s="2198"/>
      <c r="FYU74" s="2198"/>
      <c r="FYV74" s="2198"/>
      <c r="FYW74" s="2198"/>
      <c r="FYX74" s="2198"/>
      <c r="FYY74" s="2198"/>
      <c r="FYZ74" s="2198"/>
      <c r="FZA74" s="2198"/>
      <c r="FZB74" s="2198"/>
      <c r="FZC74" s="2198"/>
      <c r="FZD74" s="2198"/>
      <c r="FZE74" s="2198"/>
      <c r="FZF74" s="2198"/>
      <c r="FZG74" s="2198"/>
      <c r="FZH74" s="2198"/>
      <c r="FZI74" s="2198"/>
      <c r="FZJ74" s="2198"/>
      <c r="FZK74" s="2198"/>
      <c r="FZL74" s="2198"/>
      <c r="FZM74" s="2198"/>
      <c r="FZN74" s="2198"/>
      <c r="FZO74" s="2198"/>
      <c r="FZP74" s="2198"/>
      <c r="FZQ74" s="2198"/>
      <c r="FZR74" s="2198"/>
      <c r="FZS74" s="2198"/>
      <c r="FZT74" s="2198"/>
      <c r="FZU74" s="2198"/>
      <c r="FZV74" s="2198"/>
      <c r="FZW74" s="2198"/>
      <c r="FZX74" s="2198"/>
      <c r="FZY74" s="2198"/>
      <c r="FZZ74" s="2198"/>
      <c r="GAA74" s="2198"/>
      <c r="GAB74" s="2198"/>
      <c r="GAC74" s="2198"/>
      <c r="GAD74" s="2198"/>
      <c r="GAE74" s="2198"/>
      <c r="GAF74" s="2198"/>
      <c r="GAG74" s="2198"/>
      <c r="GAH74" s="2198"/>
      <c r="GAI74" s="2198"/>
      <c r="GAJ74" s="2198"/>
      <c r="GAK74" s="2198"/>
      <c r="GAL74" s="2198"/>
      <c r="GAM74" s="2198"/>
      <c r="GAN74" s="2198"/>
      <c r="GAO74" s="2198"/>
      <c r="GAP74" s="2198"/>
      <c r="GAQ74" s="2198"/>
      <c r="GAR74" s="2198"/>
      <c r="GAS74" s="2198"/>
      <c r="GAT74" s="2198"/>
      <c r="GAU74" s="2198"/>
      <c r="GAV74" s="2198"/>
      <c r="GAW74" s="2198"/>
      <c r="GAX74" s="2198"/>
      <c r="GAY74" s="2198"/>
      <c r="GAZ74" s="2198"/>
      <c r="GBA74" s="2198"/>
      <c r="GBB74" s="2198"/>
      <c r="GBC74" s="2198"/>
      <c r="GBD74" s="2198"/>
      <c r="GBE74" s="2198"/>
      <c r="GBF74" s="2198"/>
      <c r="GBG74" s="2198"/>
      <c r="GBH74" s="2198"/>
      <c r="GBI74" s="2198"/>
      <c r="GBJ74" s="2198"/>
      <c r="GBK74" s="2198"/>
      <c r="GBL74" s="2198"/>
      <c r="GBM74" s="2198"/>
      <c r="GBN74" s="2198"/>
      <c r="GBO74" s="2198"/>
      <c r="GBP74" s="2198"/>
      <c r="GBQ74" s="2198"/>
      <c r="GBR74" s="2198"/>
      <c r="GBS74" s="2198"/>
      <c r="GBT74" s="2198"/>
      <c r="GBU74" s="2198"/>
      <c r="GBV74" s="2198"/>
      <c r="GBW74" s="2198"/>
      <c r="GBX74" s="2198"/>
      <c r="GBY74" s="2198"/>
      <c r="GBZ74" s="2198"/>
      <c r="GCA74" s="2198"/>
      <c r="GCB74" s="2198"/>
      <c r="GCC74" s="2198"/>
      <c r="GCD74" s="2198"/>
      <c r="GCE74" s="2198"/>
      <c r="GCF74" s="2198"/>
      <c r="GCG74" s="2198"/>
      <c r="GCH74" s="2198"/>
      <c r="GCI74" s="2198"/>
      <c r="GCJ74" s="2198"/>
      <c r="GCK74" s="2198"/>
      <c r="GCL74" s="2198"/>
      <c r="GCM74" s="2198"/>
      <c r="GCN74" s="2198"/>
      <c r="GCO74" s="2198"/>
      <c r="GCP74" s="2198"/>
      <c r="GCQ74" s="2198"/>
      <c r="GCR74" s="2198"/>
      <c r="GCS74" s="2198"/>
      <c r="GCT74" s="2198"/>
      <c r="GCU74" s="2198"/>
      <c r="GCV74" s="2198"/>
      <c r="GCW74" s="2198"/>
      <c r="GCX74" s="2198"/>
      <c r="GCY74" s="2198"/>
      <c r="GCZ74" s="2198"/>
      <c r="GDA74" s="2198"/>
      <c r="GDB74" s="2198"/>
      <c r="GDC74" s="2198"/>
      <c r="GDD74" s="2198"/>
      <c r="GDE74" s="2198"/>
      <c r="GDF74" s="2198"/>
      <c r="GDG74" s="2198"/>
      <c r="GDH74" s="2198"/>
      <c r="GDI74" s="2198"/>
      <c r="GDJ74" s="2198"/>
      <c r="GDK74" s="2198"/>
      <c r="GDL74" s="2198"/>
      <c r="GDM74" s="2198"/>
      <c r="GDN74" s="2198"/>
      <c r="GDO74" s="2198"/>
      <c r="GDP74" s="2198"/>
      <c r="GDQ74" s="2198"/>
      <c r="GDR74" s="2198"/>
      <c r="GDS74" s="2198"/>
      <c r="GDT74" s="2198"/>
      <c r="GDU74" s="2198"/>
      <c r="GDV74" s="2198"/>
      <c r="GDW74" s="2198"/>
      <c r="GDX74" s="2198"/>
      <c r="GDY74" s="2198"/>
      <c r="GDZ74" s="2198"/>
      <c r="GEA74" s="2198"/>
      <c r="GEB74" s="2198"/>
      <c r="GEC74" s="2198"/>
      <c r="GED74" s="2198"/>
      <c r="GEE74" s="2198"/>
      <c r="GEF74" s="2198"/>
      <c r="GEG74" s="2198"/>
      <c r="GEH74" s="2198"/>
      <c r="GEI74" s="2198"/>
      <c r="GEJ74" s="2198"/>
      <c r="GEK74" s="2198"/>
      <c r="GEL74" s="2198"/>
      <c r="GEM74" s="2198"/>
      <c r="GEN74" s="2198"/>
      <c r="GEO74" s="2198"/>
      <c r="GEP74" s="2198"/>
      <c r="GEQ74" s="2198"/>
      <c r="GER74" s="2198"/>
      <c r="GES74" s="2198"/>
      <c r="GET74" s="2198"/>
      <c r="GEU74" s="2198"/>
      <c r="GEV74" s="2198"/>
      <c r="GEW74" s="2198"/>
      <c r="GEX74" s="2198"/>
      <c r="GEY74" s="2198"/>
      <c r="GEZ74" s="2198"/>
      <c r="GFA74" s="2198"/>
      <c r="GFB74" s="2198"/>
      <c r="GFC74" s="2198"/>
      <c r="GFD74" s="2198"/>
      <c r="GFE74" s="2198"/>
      <c r="GFF74" s="2198"/>
      <c r="GFG74" s="2198"/>
      <c r="GFH74" s="2198"/>
      <c r="GFI74" s="2198"/>
      <c r="GFJ74" s="2198"/>
      <c r="GFK74" s="2198"/>
      <c r="GFL74" s="2198"/>
      <c r="GFM74" s="2198"/>
      <c r="GFN74" s="2198"/>
      <c r="GFO74" s="2198"/>
      <c r="GFP74" s="2198"/>
      <c r="GFQ74" s="2198"/>
      <c r="GFR74" s="2198"/>
      <c r="GFS74" s="2198"/>
      <c r="GFT74" s="2198"/>
      <c r="GFU74" s="2198"/>
      <c r="GFV74" s="2198"/>
      <c r="GFW74" s="2198"/>
      <c r="GFX74" s="2198"/>
      <c r="GFY74" s="2198"/>
      <c r="GFZ74" s="2198"/>
      <c r="GGA74" s="2198"/>
      <c r="GGB74" s="2198"/>
      <c r="GGC74" s="2198"/>
      <c r="GGD74" s="2198"/>
      <c r="GGE74" s="2198"/>
      <c r="GGF74" s="2198"/>
      <c r="GGG74" s="2198"/>
      <c r="GGH74" s="2198"/>
      <c r="GGI74" s="2198"/>
      <c r="GGJ74" s="2198"/>
      <c r="GGK74" s="2198"/>
      <c r="GGL74" s="2198"/>
      <c r="GGM74" s="2198"/>
      <c r="GGN74" s="2198"/>
      <c r="GGO74" s="2198"/>
      <c r="GGP74" s="2198"/>
      <c r="GGQ74" s="2198"/>
      <c r="GGR74" s="2198"/>
      <c r="GGS74" s="2198"/>
      <c r="GGT74" s="2198"/>
      <c r="GGU74" s="2198"/>
      <c r="GGV74" s="2198"/>
      <c r="GGW74" s="2198"/>
      <c r="GGX74" s="2198"/>
      <c r="GGY74" s="2198"/>
      <c r="GGZ74" s="2198"/>
      <c r="GHA74" s="2198"/>
      <c r="GHB74" s="2198"/>
      <c r="GHC74" s="2198"/>
      <c r="GHD74" s="2198"/>
      <c r="GHE74" s="2198"/>
      <c r="GHF74" s="2198"/>
      <c r="GHG74" s="2198"/>
      <c r="GHH74" s="2198"/>
      <c r="GHI74" s="2198"/>
      <c r="GHJ74" s="2198"/>
      <c r="GHK74" s="2198"/>
      <c r="GHL74" s="2198"/>
      <c r="GHM74" s="2198"/>
      <c r="GHN74" s="2198"/>
      <c r="GHO74" s="2198"/>
      <c r="GHP74" s="2198"/>
      <c r="GHQ74" s="2198"/>
      <c r="GHR74" s="2198"/>
      <c r="GHS74" s="2198"/>
      <c r="GHT74" s="2198"/>
      <c r="GHU74" s="2198"/>
      <c r="GHV74" s="2198"/>
      <c r="GHW74" s="2198"/>
      <c r="GHX74" s="2198"/>
      <c r="GHY74" s="2198"/>
      <c r="GHZ74" s="2198"/>
      <c r="GIA74" s="2198"/>
      <c r="GIB74" s="2198"/>
      <c r="GIC74" s="2198"/>
      <c r="GID74" s="2198"/>
      <c r="GIE74" s="2198"/>
      <c r="GIF74" s="2198"/>
      <c r="GIG74" s="2198"/>
      <c r="GIH74" s="2198"/>
      <c r="GII74" s="2198"/>
      <c r="GIJ74" s="2198"/>
      <c r="GIK74" s="2198"/>
      <c r="GIL74" s="2198"/>
      <c r="GIM74" s="2198"/>
      <c r="GIN74" s="2198"/>
      <c r="GIO74" s="2198"/>
      <c r="GIP74" s="2198"/>
      <c r="GIQ74" s="2198"/>
      <c r="GIR74" s="2198"/>
      <c r="GIS74" s="2198"/>
      <c r="GIT74" s="2198"/>
      <c r="GIU74" s="2198"/>
      <c r="GIV74" s="2198"/>
      <c r="GIW74" s="2198"/>
      <c r="GIX74" s="2198"/>
      <c r="GIY74" s="2198"/>
      <c r="GIZ74" s="2198"/>
      <c r="GJA74" s="2198"/>
      <c r="GJB74" s="2198"/>
      <c r="GJC74" s="2198"/>
      <c r="GJD74" s="2198"/>
      <c r="GJE74" s="2198"/>
      <c r="GJF74" s="2198"/>
      <c r="GJG74" s="2198"/>
      <c r="GJH74" s="2198"/>
      <c r="GJI74" s="2198"/>
      <c r="GJJ74" s="2198"/>
      <c r="GJK74" s="2198"/>
      <c r="GJL74" s="2198"/>
      <c r="GJM74" s="2198"/>
      <c r="GJN74" s="2198"/>
      <c r="GJO74" s="2198"/>
      <c r="GJP74" s="2198"/>
      <c r="GJQ74" s="2198"/>
      <c r="GJR74" s="2198"/>
      <c r="GJS74" s="2198"/>
      <c r="GJT74" s="2198"/>
      <c r="GJU74" s="2198"/>
      <c r="GJV74" s="2198"/>
      <c r="GJW74" s="2198"/>
      <c r="GJX74" s="2198"/>
      <c r="GJY74" s="2198"/>
      <c r="GJZ74" s="2198"/>
      <c r="GKA74" s="2198"/>
      <c r="GKB74" s="2198"/>
      <c r="GKC74" s="2198"/>
      <c r="GKD74" s="2198"/>
      <c r="GKE74" s="2198"/>
      <c r="GKF74" s="2198"/>
      <c r="GKG74" s="2198"/>
      <c r="GKH74" s="2198"/>
      <c r="GKI74" s="2198"/>
      <c r="GKJ74" s="2198"/>
      <c r="GKK74" s="2198"/>
      <c r="GKL74" s="2198"/>
      <c r="GKM74" s="2198"/>
      <c r="GKN74" s="2198"/>
      <c r="GKO74" s="2198"/>
      <c r="GKP74" s="2198"/>
      <c r="GKQ74" s="2198"/>
      <c r="GKR74" s="2198"/>
      <c r="GKS74" s="2198"/>
      <c r="GKT74" s="2198"/>
      <c r="GKU74" s="2198"/>
      <c r="GKV74" s="2198"/>
      <c r="GKW74" s="2198"/>
      <c r="GKX74" s="2198"/>
      <c r="GKY74" s="2198"/>
      <c r="GKZ74" s="2198"/>
      <c r="GLA74" s="2198"/>
      <c r="GLB74" s="2198"/>
      <c r="GLC74" s="2198"/>
      <c r="GLD74" s="2198"/>
      <c r="GLE74" s="2198"/>
      <c r="GLF74" s="2198"/>
      <c r="GLG74" s="2198"/>
      <c r="GLH74" s="2198"/>
      <c r="GLI74" s="2198"/>
      <c r="GLJ74" s="2198"/>
      <c r="GLK74" s="2198"/>
      <c r="GLL74" s="2198"/>
      <c r="GLM74" s="2198"/>
      <c r="GLN74" s="2198"/>
      <c r="GLO74" s="2198"/>
      <c r="GLP74" s="2198"/>
      <c r="GLQ74" s="2198"/>
      <c r="GLR74" s="2198"/>
      <c r="GLS74" s="2198"/>
      <c r="GLT74" s="2198"/>
      <c r="GLU74" s="2198"/>
      <c r="GLV74" s="2198"/>
      <c r="GLW74" s="2198"/>
      <c r="GLX74" s="2198"/>
      <c r="GLY74" s="2198"/>
      <c r="GLZ74" s="2198"/>
      <c r="GMA74" s="2198"/>
      <c r="GMB74" s="2198"/>
      <c r="GMC74" s="2198"/>
      <c r="GMD74" s="2198"/>
      <c r="GME74" s="2198"/>
      <c r="GMF74" s="2198"/>
      <c r="GMG74" s="2198"/>
      <c r="GMH74" s="2198"/>
      <c r="GMI74" s="2198"/>
      <c r="GMJ74" s="2198"/>
      <c r="GMK74" s="2198"/>
      <c r="GML74" s="2198"/>
      <c r="GMM74" s="2198"/>
      <c r="GMN74" s="2198"/>
      <c r="GMO74" s="2198"/>
      <c r="GMP74" s="2198"/>
      <c r="GMQ74" s="2198"/>
      <c r="GMR74" s="2198"/>
      <c r="GMS74" s="2198"/>
      <c r="GMT74" s="2198"/>
      <c r="GMU74" s="2198"/>
      <c r="GMV74" s="2198"/>
      <c r="GMW74" s="2198"/>
      <c r="GMX74" s="2198"/>
      <c r="GMY74" s="2198"/>
      <c r="GMZ74" s="2198"/>
      <c r="GNA74" s="2198"/>
      <c r="GNB74" s="2198"/>
      <c r="GNC74" s="2198"/>
      <c r="GND74" s="2198"/>
      <c r="GNE74" s="2198"/>
      <c r="GNF74" s="2198"/>
      <c r="GNG74" s="2198"/>
      <c r="GNH74" s="2198"/>
      <c r="GNI74" s="2198"/>
      <c r="GNJ74" s="2198"/>
      <c r="GNK74" s="2198"/>
      <c r="GNL74" s="2198"/>
      <c r="GNM74" s="2198"/>
      <c r="GNN74" s="2198"/>
      <c r="GNO74" s="2198"/>
      <c r="GNP74" s="2198"/>
      <c r="GNQ74" s="2198"/>
      <c r="GNR74" s="2198"/>
      <c r="GNS74" s="2198"/>
      <c r="GNT74" s="2198"/>
      <c r="GNU74" s="2198"/>
      <c r="GNV74" s="2198"/>
      <c r="GNW74" s="2198"/>
      <c r="GNX74" s="2198"/>
      <c r="GNY74" s="2198"/>
      <c r="GNZ74" s="2198"/>
      <c r="GOA74" s="2198"/>
      <c r="GOB74" s="2198"/>
      <c r="GOC74" s="2198"/>
      <c r="GOD74" s="2198"/>
      <c r="GOE74" s="2198"/>
      <c r="GOF74" s="2198"/>
      <c r="GOG74" s="2198"/>
      <c r="GOH74" s="2198"/>
      <c r="GOI74" s="2198"/>
      <c r="GOJ74" s="2198"/>
      <c r="GOK74" s="2198"/>
      <c r="GOL74" s="2198"/>
      <c r="GOM74" s="2198"/>
      <c r="GON74" s="2198"/>
      <c r="GOO74" s="2198"/>
      <c r="GOP74" s="2198"/>
      <c r="GOQ74" s="2198"/>
      <c r="GOR74" s="2198"/>
      <c r="GOS74" s="2198"/>
      <c r="GOT74" s="2198"/>
      <c r="GOU74" s="2198"/>
      <c r="GOV74" s="2198"/>
      <c r="GOW74" s="2198"/>
      <c r="GOX74" s="2198"/>
      <c r="GOY74" s="2198"/>
      <c r="GOZ74" s="2198"/>
      <c r="GPA74" s="2198"/>
      <c r="GPB74" s="2198"/>
      <c r="GPC74" s="2198"/>
      <c r="GPD74" s="2198"/>
      <c r="GPE74" s="2198"/>
      <c r="GPF74" s="2198"/>
      <c r="GPG74" s="2198"/>
      <c r="GPH74" s="2198"/>
      <c r="GPI74" s="2198"/>
      <c r="GPJ74" s="2198"/>
      <c r="GPK74" s="2198"/>
      <c r="GPL74" s="2198"/>
      <c r="GPM74" s="2198"/>
      <c r="GPN74" s="2198"/>
      <c r="GPO74" s="2198"/>
      <c r="GPP74" s="2198"/>
      <c r="GPQ74" s="2198"/>
      <c r="GPR74" s="2198"/>
      <c r="GPS74" s="2198"/>
      <c r="GPT74" s="2198"/>
      <c r="GPU74" s="2198"/>
      <c r="GPV74" s="2198"/>
      <c r="GPW74" s="2198"/>
      <c r="GPX74" s="2198"/>
      <c r="GPY74" s="2198"/>
      <c r="GPZ74" s="2198"/>
      <c r="GQA74" s="2198"/>
      <c r="GQB74" s="2198"/>
      <c r="GQC74" s="2198"/>
      <c r="GQD74" s="2198"/>
      <c r="GQE74" s="2198"/>
      <c r="GQF74" s="2198"/>
      <c r="GQG74" s="2198"/>
      <c r="GQH74" s="2198"/>
      <c r="GQI74" s="2198"/>
      <c r="GQJ74" s="2198"/>
      <c r="GQK74" s="2198"/>
      <c r="GQL74" s="2198"/>
      <c r="GQM74" s="2198"/>
      <c r="GQN74" s="2198"/>
      <c r="GQO74" s="2198"/>
      <c r="GQP74" s="2198"/>
      <c r="GQQ74" s="2198"/>
      <c r="GQR74" s="2198"/>
      <c r="GQS74" s="2198"/>
      <c r="GQT74" s="2198"/>
      <c r="GQU74" s="2198"/>
      <c r="GQV74" s="2198"/>
      <c r="GQW74" s="2198"/>
      <c r="GQX74" s="2198"/>
      <c r="GQY74" s="2198"/>
      <c r="GQZ74" s="2198"/>
      <c r="GRA74" s="2198"/>
      <c r="GRB74" s="2198"/>
      <c r="GRC74" s="2198"/>
      <c r="GRD74" s="2198"/>
      <c r="GRE74" s="2198"/>
      <c r="GRF74" s="2198"/>
      <c r="GRG74" s="2198"/>
      <c r="GRH74" s="2198"/>
      <c r="GRI74" s="2198"/>
      <c r="GRJ74" s="2198"/>
      <c r="GRK74" s="2198"/>
      <c r="GRL74" s="2198"/>
      <c r="GRM74" s="2198"/>
      <c r="GRN74" s="2198"/>
      <c r="GRO74" s="2198"/>
      <c r="GRP74" s="2198"/>
      <c r="GRQ74" s="2198"/>
      <c r="GRR74" s="2198"/>
      <c r="GRS74" s="2198"/>
      <c r="GRT74" s="2198"/>
      <c r="GRU74" s="2198"/>
      <c r="GRV74" s="2198"/>
      <c r="GRW74" s="2198"/>
      <c r="GRX74" s="2198"/>
      <c r="GRY74" s="2198"/>
      <c r="GRZ74" s="2198"/>
      <c r="GSA74" s="2198"/>
      <c r="GSB74" s="2198"/>
      <c r="GSC74" s="2198"/>
      <c r="GSD74" s="2198"/>
      <c r="GSE74" s="2198"/>
      <c r="GSF74" s="2198"/>
      <c r="GSG74" s="2198"/>
      <c r="GSH74" s="2198"/>
      <c r="GSI74" s="2198"/>
      <c r="GSJ74" s="2198"/>
      <c r="GSK74" s="2198"/>
      <c r="GSL74" s="2198"/>
      <c r="GSM74" s="2198"/>
      <c r="GSN74" s="2198"/>
      <c r="GSO74" s="2198"/>
      <c r="GSP74" s="2198"/>
      <c r="GSQ74" s="2198"/>
      <c r="GSR74" s="2198"/>
      <c r="GSS74" s="2198"/>
      <c r="GST74" s="2198"/>
      <c r="GSU74" s="2198"/>
      <c r="GSV74" s="2198"/>
      <c r="GSW74" s="2198"/>
      <c r="GSX74" s="2198"/>
      <c r="GSY74" s="2198"/>
      <c r="GSZ74" s="2198"/>
      <c r="GTA74" s="2198"/>
      <c r="GTB74" s="2198"/>
      <c r="GTC74" s="2198"/>
      <c r="GTD74" s="2198"/>
      <c r="GTE74" s="2198"/>
      <c r="GTF74" s="2198"/>
      <c r="GTG74" s="2198"/>
      <c r="GTH74" s="2198"/>
      <c r="GTI74" s="2198"/>
      <c r="GTJ74" s="2198"/>
      <c r="GTK74" s="2198"/>
      <c r="GTL74" s="2198"/>
      <c r="GTM74" s="2198"/>
      <c r="GTN74" s="2198"/>
      <c r="GTO74" s="2198"/>
      <c r="GTP74" s="2198"/>
      <c r="GTQ74" s="2198"/>
      <c r="GTR74" s="2198"/>
      <c r="GTS74" s="2198"/>
      <c r="GTT74" s="2198"/>
      <c r="GTU74" s="2198"/>
      <c r="GTV74" s="2198"/>
      <c r="GTW74" s="2198"/>
      <c r="GTX74" s="2198"/>
      <c r="GTY74" s="2198"/>
      <c r="GTZ74" s="2198"/>
      <c r="GUA74" s="2198"/>
      <c r="GUB74" s="2198"/>
      <c r="GUC74" s="2198"/>
      <c r="GUD74" s="2198"/>
      <c r="GUE74" s="2198"/>
      <c r="GUF74" s="2198"/>
      <c r="GUG74" s="2198"/>
      <c r="GUH74" s="2198"/>
      <c r="GUI74" s="2198"/>
      <c r="GUJ74" s="2198"/>
      <c r="GUK74" s="2198"/>
      <c r="GUL74" s="2198"/>
      <c r="GUM74" s="2198"/>
      <c r="GUN74" s="2198"/>
      <c r="GUO74" s="2198"/>
      <c r="GUP74" s="2198"/>
      <c r="GUQ74" s="2198"/>
      <c r="GUR74" s="2198"/>
      <c r="GUS74" s="2198"/>
      <c r="GUT74" s="2198"/>
      <c r="GUU74" s="2198"/>
      <c r="GUV74" s="2198"/>
      <c r="GUW74" s="2198"/>
      <c r="GUX74" s="2198"/>
      <c r="GUY74" s="2198"/>
      <c r="GUZ74" s="2198"/>
      <c r="GVA74" s="2198"/>
      <c r="GVB74" s="2198"/>
      <c r="GVC74" s="2198"/>
      <c r="GVD74" s="2198"/>
      <c r="GVE74" s="2198"/>
      <c r="GVF74" s="2198"/>
      <c r="GVG74" s="2198"/>
      <c r="GVH74" s="2198"/>
      <c r="GVI74" s="2198"/>
      <c r="GVJ74" s="2198"/>
      <c r="GVK74" s="2198"/>
      <c r="GVL74" s="2198"/>
      <c r="GVM74" s="2198"/>
      <c r="GVN74" s="2198"/>
      <c r="GVO74" s="2198"/>
      <c r="GVP74" s="2198"/>
      <c r="GVQ74" s="2198"/>
      <c r="GVR74" s="2198"/>
      <c r="GVS74" s="2198"/>
      <c r="GVT74" s="2198"/>
      <c r="GVU74" s="2198"/>
      <c r="GVV74" s="2198"/>
      <c r="GVW74" s="2198"/>
      <c r="GVX74" s="2198"/>
      <c r="GVY74" s="2198"/>
      <c r="GVZ74" s="2198"/>
      <c r="GWA74" s="2198"/>
      <c r="GWB74" s="2198"/>
      <c r="GWC74" s="2198"/>
      <c r="GWD74" s="2198"/>
      <c r="GWE74" s="2198"/>
      <c r="GWF74" s="2198"/>
      <c r="GWG74" s="2198"/>
      <c r="GWH74" s="2198"/>
      <c r="GWI74" s="2198"/>
      <c r="GWJ74" s="2198"/>
      <c r="GWK74" s="2198"/>
      <c r="GWL74" s="2198"/>
      <c r="GWM74" s="2198"/>
      <c r="GWN74" s="2198"/>
      <c r="GWO74" s="2198"/>
      <c r="GWP74" s="2198"/>
      <c r="GWQ74" s="2198"/>
      <c r="GWR74" s="2198"/>
      <c r="GWS74" s="2198"/>
      <c r="GWT74" s="2198"/>
      <c r="GWU74" s="2198"/>
      <c r="GWV74" s="2198"/>
      <c r="GWW74" s="2198"/>
      <c r="GWX74" s="2198"/>
      <c r="GWY74" s="2198"/>
      <c r="GWZ74" s="2198"/>
      <c r="GXA74" s="2198"/>
      <c r="GXB74" s="2198"/>
      <c r="GXC74" s="2198"/>
      <c r="GXD74" s="2198"/>
      <c r="GXE74" s="2198"/>
      <c r="GXF74" s="2198"/>
      <c r="GXG74" s="2198"/>
      <c r="GXH74" s="2198"/>
      <c r="GXI74" s="2198"/>
      <c r="GXJ74" s="2198"/>
      <c r="GXK74" s="2198"/>
      <c r="GXL74" s="2198"/>
      <c r="GXM74" s="2198"/>
      <c r="GXN74" s="2198"/>
      <c r="GXO74" s="2198"/>
      <c r="GXP74" s="2198"/>
      <c r="GXQ74" s="2198"/>
      <c r="GXR74" s="2198"/>
      <c r="GXS74" s="2198"/>
      <c r="GXT74" s="2198"/>
      <c r="GXU74" s="2198"/>
      <c r="GXV74" s="2198"/>
      <c r="GXW74" s="2198"/>
      <c r="GXX74" s="2198"/>
      <c r="GXY74" s="2198"/>
      <c r="GXZ74" s="2198"/>
      <c r="GYA74" s="2198"/>
      <c r="GYB74" s="2198"/>
      <c r="GYC74" s="2198"/>
      <c r="GYD74" s="2198"/>
      <c r="GYE74" s="2198"/>
      <c r="GYF74" s="2198"/>
      <c r="GYG74" s="2198"/>
      <c r="GYH74" s="2198"/>
      <c r="GYI74" s="2198"/>
      <c r="GYJ74" s="2198"/>
      <c r="GYK74" s="2198"/>
      <c r="GYL74" s="2198"/>
      <c r="GYM74" s="2198"/>
      <c r="GYN74" s="2198"/>
      <c r="GYO74" s="2198"/>
      <c r="GYP74" s="2198"/>
      <c r="GYQ74" s="2198"/>
      <c r="GYR74" s="2198"/>
      <c r="GYS74" s="2198"/>
      <c r="GYT74" s="2198"/>
      <c r="GYU74" s="2198"/>
      <c r="GYV74" s="2198"/>
      <c r="GYW74" s="2198"/>
      <c r="GYX74" s="2198"/>
      <c r="GYY74" s="2198"/>
      <c r="GYZ74" s="2198"/>
      <c r="GZA74" s="2198"/>
      <c r="GZB74" s="2198"/>
      <c r="GZC74" s="2198"/>
      <c r="GZD74" s="2198"/>
      <c r="GZE74" s="2198"/>
      <c r="GZF74" s="2198"/>
      <c r="GZG74" s="2198"/>
      <c r="GZH74" s="2198"/>
      <c r="GZI74" s="2198"/>
      <c r="GZJ74" s="2198"/>
      <c r="GZK74" s="2198"/>
      <c r="GZL74" s="2198"/>
      <c r="GZM74" s="2198"/>
      <c r="GZN74" s="2198"/>
      <c r="GZO74" s="2198"/>
      <c r="GZP74" s="2198"/>
      <c r="GZQ74" s="2198"/>
      <c r="GZR74" s="2198"/>
      <c r="GZS74" s="2198"/>
      <c r="GZT74" s="2198"/>
      <c r="GZU74" s="2198"/>
      <c r="GZV74" s="2198"/>
      <c r="GZW74" s="2198"/>
      <c r="GZX74" s="2198"/>
      <c r="GZY74" s="2198"/>
      <c r="GZZ74" s="2198"/>
      <c r="HAA74" s="2198"/>
      <c r="HAB74" s="2198"/>
      <c r="HAC74" s="2198"/>
      <c r="HAD74" s="2198"/>
      <c r="HAE74" s="2198"/>
      <c r="HAF74" s="2198"/>
      <c r="HAG74" s="2198"/>
      <c r="HAH74" s="2198"/>
      <c r="HAI74" s="2198"/>
      <c r="HAJ74" s="2198"/>
      <c r="HAK74" s="2198"/>
      <c r="HAL74" s="2198"/>
      <c r="HAM74" s="2198"/>
      <c r="HAN74" s="2198"/>
      <c r="HAO74" s="2198"/>
      <c r="HAP74" s="2198"/>
      <c r="HAQ74" s="2198"/>
      <c r="HAR74" s="2198"/>
      <c r="HAS74" s="2198"/>
      <c r="HAT74" s="2198"/>
      <c r="HAU74" s="2198"/>
      <c r="HAV74" s="2198"/>
      <c r="HAW74" s="2198"/>
      <c r="HAX74" s="2198"/>
      <c r="HAY74" s="2198"/>
      <c r="HAZ74" s="2198"/>
      <c r="HBA74" s="2198"/>
      <c r="HBB74" s="2198"/>
      <c r="HBC74" s="2198"/>
      <c r="HBD74" s="2198"/>
      <c r="HBE74" s="2198"/>
      <c r="HBF74" s="2198"/>
      <c r="HBG74" s="2198"/>
      <c r="HBH74" s="2198"/>
      <c r="HBI74" s="2198"/>
      <c r="HBJ74" s="2198"/>
      <c r="HBK74" s="2198"/>
      <c r="HBL74" s="2198"/>
      <c r="HBM74" s="2198"/>
      <c r="HBN74" s="2198"/>
      <c r="HBO74" s="2198"/>
      <c r="HBP74" s="2198"/>
      <c r="HBQ74" s="2198"/>
      <c r="HBR74" s="2198"/>
      <c r="HBS74" s="2198"/>
      <c r="HBT74" s="2198"/>
      <c r="HBU74" s="2198"/>
      <c r="HBV74" s="2198"/>
      <c r="HBW74" s="2198"/>
      <c r="HBX74" s="2198"/>
      <c r="HBY74" s="2198"/>
      <c r="HBZ74" s="2198"/>
      <c r="HCA74" s="2198"/>
      <c r="HCB74" s="2198"/>
      <c r="HCC74" s="2198"/>
      <c r="HCD74" s="2198"/>
      <c r="HCE74" s="2198"/>
      <c r="HCF74" s="2198"/>
      <c r="HCG74" s="2198"/>
      <c r="HCH74" s="2198"/>
      <c r="HCI74" s="2198"/>
      <c r="HCJ74" s="2198"/>
      <c r="HCK74" s="2198"/>
      <c r="HCL74" s="2198"/>
      <c r="HCM74" s="2198"/>
      <c r="HCN74" s="2198"/>
      <c r="HCO74" s="2198"/>
      <c r="HCP74" s="2198"/>
      <c r="HCQ74" s="2198"/>
      <c r="HCR74" s="2198"/>
      <c r="HCS74" s="2198"/>
      <c r="HCT74" s="2198"/>
      <c r="HCU74" s="2198"/>
      <c r="HCV74" s="2198"/>
      <c r="HCW74" s="2198"/>
      <c r="HCX74" s="2198"/>
      <c r="HCY74" s="2198"/>
      <c r="HCZ74" s="2198"/>
      <c r="HDA74" s="2198"/>
      <c r="HDB74" s="2198"/>
      <c r="HDC74" s="2198"/>
      <c r="HDD74" s="2198"/>
      <c r="HDE74" s="2198"/>
      <c r="HDF74" s="2198"/>
      <c r="HDG74" s="2198"/>
      <c r="HDH74" s="2198"/>
      <c r="HDI74" s="2198"/>
      <c r="HDJ74" s="2198"/>
      <c r="HDK74" s="2198"/>
      <c r="HDL74" s="2198"/>
      <c r="HDM74" s="2198"/>
      <c r="HDN74" s="2198"/>
      <c r="HDO74" s="2198"/>
      <c r="HDP74" s="2198"/>
      <c r="HDQ74" s="2198"/>
      <c r="HDR74" s="2198"/>
      <c r="HDS74" s="2198"/>
      <c r="HDT74" s="2198"/>
      <c r="HDU74" s="2198"/>
      <c r="HDV74" s="2198"/>
      <c r="HDW74" s="2198"/>
      <c r="HDX74" s="2198"/>
      <c r="HDY74" s="2198"/>
      <c r="HDZ74" s="2198"/>
      <c r="HEA74" s="2198"/>
      <c r="HEB74" s="2198"/>
      <c r="HEC74" s="2198"/>
      <c r="HED74" s="2198"/>
      <c r="HEE74" s="2198"/>
      <c r="HEF74" s="2198"/>
      <c r="HEG74" s="2198"/>
      <c r="HEH74" s="2198"/>
      <c r="HEI74" s="2198"/>
      <c r="HEJ74" s="2198"/>
      <c r="HEK74" s="2198"/>
      <c r="HEL74" s="2198"/>
      <c r="HEM74" s="2198"/>
      <c r="HEN74" s="2198"/>
      <c r="HEO74" s="2198"/>
      <c r="HEP74" s="2198"/>
      <c r="HEQ74" s="2198"/>
      <c r="HER74" s="2198"/>
      <c r="HES74" s="2198"/>
      <c r="HET74" s="2198"/>
      <c r="HEU74" s="2198"/>
      <c r="HEV74" s="2198"/>
      <c r="HEW74" s="2198"/>
      <c r="HEX74" s="2198"/>
      <c r="HEY74" s="2198"/>
      <c r="HEZ74" s="2198"/>
      <c r="HFA74" s="2198"/>
      <c r="HFB74" s="2198"/>
      <c r="HFC74" s="2198"/>
      <c r="HFD74" s="2198"/>
      <c r="HFE74" s="2198"/>
      <c r="HFF74" s="2198"/>
      <c r="HFG74" s="2198"/>
      <c r="HFH74" s="2198"/>
      <c r="HFI74" s="2198"/>
      <c r="HFJ74" s="2198"/>
      <c r="HFK74" s="2198"/>
      <c r="HFL74" s="2198"/>
      <c r="HFM74" s="2198"/>
      <c r="HFN74" s="2198"/>
      <c r="HFO74" s="2198"/>
      <c r="HFP74" s="2198"/>
      <c r="HFQ74" s="2198"/>
      <c r="HFR74" s="2198"/>
      <c r="HFS74" s="2198"/>
      <c r="HFT74" s="2198"/>
      <c r="HFU74" s="2198"/>
      <c r="HFV74" s="2198"/>
      <c r="HFW74" s="2198"/>
      <c r="HFX74" s="2198"/>
      <c r="HFY74" s="2198"/>
      <c r="HFZ74" s="2198"/>
      <c r="HGA74" s="2198"/>
      <c r="HGB74" s="2198"/>
      <c r="HGC74" s="2198"/>
      <c r="HGD74" s="2198"/>
      <c r="HGE74" s="2198"/>
      <c r="HGF74" s="2198"/>
      <c r="HGG74" s="2198"/>
      <c r="HGH74" s="2198"/>
      <c r="HGI74" s="2198"/>
      <c r="HGJ74" s="2198"/>
      <c r="HGK74" s="2198"/>
      <c r="HGL74" s="2198"/>
      <c r="HGM74" s="2198"/>
      <c r="HGN74" s="2198"/>
      <c r="HGO74" s="2198"/>
      <c r="HGP74" s="2198"/>
      <c r="HGQ74" s="2198"/>
      <c r="HGR74" s="2198"/>
      <c r="HGS74" s="2198"/>
      <c r="HGT74" s="2198"/>
      <c r="HGU74" s="2198"/>
      <c r="HGV74" s="2198"/>
      <c r="HGW74" s="2198"/>
      <c r="HGX74" s="2198"/>
      <c r="HGY74" s="2198"/>
      <c r="HGZ74" s="2198"/>
      <c r="HHA74" s="2198"/>
      <c r="HHB74" s="2198"/>
      <c r="HHC74" s="2198"/>
      <c r="HHD74" s="2198"/>
      <c r="HHE74" s="2198"/>
      <c r="HHF74" s="2198"/>
      <c r="HHG74" s="2198"/>
      <c r="HHH74" s="2198"/>
      <c r="HHI74" s="2198"/>
      <c r="HHJ74" s="2198"/>
      <c r="HHK74" s="2198"/>
      <c r="HHL74" s="2198"/>
      <c r="HHM74" s="2198"/>
      <c r="HHN74" s="2198"/>
      <c r="HHO74" s="2198"/>
      <c r="HHP74" s="2198"/>
      <c r="HHQ74" s="2198"/>
      <c r="HHR74" s="2198"/>
      <c r="HHS74" s="2198"/>
      <c r="HHT74" s="2198"/>
      <c r="HHU74" s="2198"/>
      <c r="HHV74" s="2198"/>
      <c r="HHW74" s="2198"/>
      <c r="HHX74" s="2198"/>
      <c r="HHY74" s="2198"/>
      <c r="HHZ74" s="2198"/>
      <c r="HIA74" s="2198"/>
      <c r="HIB74" s="2198"/>
      <c r="HIC74" s="2198"/>
      <c r="HID74" s="2198"/>
      <c r="HIE74" s="2198"/>
      <c r="HIF74" s="2198"/>
      <c r="HIG74" s="2198"/>
      <c r="HIH74" s="2198"/>
      <c r="HII74" s="2198"/>
      <c r="HIJ74" s="2198"/>
      <c r="HIK74" s="2198"/>
      <c r="HIL74" s="2198"/>
      <c r="HIM74" s="2198"/>
      <c r="HIN74" s="2198"/>
      <c r="HIO74" s="2198"/>
      <c r="HIP74" s="2198"/>
      <c r="HIQ74" s="2198"/>
      <c r="HIR74" s="2198"/>
      <c r="HIS74" s="2198"/>
      <c r="HIT74" s="2198"/>
      <c r="HIU74" s="2198"/>
      <c r="HIV74" s="2198"/>
      <c r="HIW74" s="2198"/>
      <c r="HIX74" s="2198"/>
      <c r="HIY74" s="2198"/>
      <c r="HIZ74" s="2198"/>
      <c r="HJA74" s="2198"/>
      <c r="HJB74" s="2198"/>
      <c r="HJC74" s="2198"/>
      <c r="HJD74" s="2198"/>
      <c r="HJE74" s="2198"/>
      <c r="HJF74" s="2198"/>
      <c r="HJG74" s="2198"/>
      <c r="HJH74" s="2198"/>
      <c r="HJI74" s="2198"/>
      <c r="HJJ74" s="2198"/>
      <c r="HJK74" s="2198"/>
      <c r="HJL74" s="2198"/>
      <c r="HJM74" s="2198"/>
      <c r="HJN74" s="2198"/>
      <c r="HJO74" s="2198"/>
      <c r="HJP74" s="2198"/>
      <c r="HJQ74" s="2198"/>
      <c r="HJR74" s="2198"/>
      <c r="HJS74" s="2198"/>
      <c r="HJT74" s="2198"/>
      <c r="HJU74" s="2198"/>
      <c r="HJV74" s="2198"/>
      <c r="HJW74" s="2198"/>
      <c r="HJX74" s="2198"/>
      <c r="HJY74" s="2198"/>
      <c r="HJZ74" s="2198"/>
      <c r="HKA74" s="2198"/>
      <c r="HKB74" s="2198"/>
      <c r="HKC74" s="2198"/>
      <c r="HKD74" s="2198"/>
      <c r="HKE74" s="2198"/>
      <c r="HKF74" s="2198"/>
      <c r="HKG74" s="2198"/>
      <c r="HKH74" s="2198"/>
      <c r="HKI74" s="2198"/>
      <c r="HKJ74" s="2198"/>
      <c r="HKK74" s="2198"/>
      <c r="HKL74" s="2198"/>
      <c r="HKM74" s="2198"/>
      <c r="HKN74" s="2198"/>
      <c r="HKO74" s="2198"/>
      <c r="HKP74" s="2198"/>
      <c r="HKQ74" s="2198"/>
      <c r="HKR74" s="2198"/>
      <c r="HKS74" s="2198"/>
      <c r="HKT74" s="2198"/>
      <c r="HKU74" s="2198"/>
      <c r="HKV74" s="2198"/>
      <c r="HKW74" s="2198"/>
      <c r="HKX74" s="2198"/>
      <c r="HKY74" s="2198"/>
      <c r="HKZ74" s="2198"/>
      <c r="HLA74" s="2198"/>
      <c r="HLB74" s="2198"/>
      <c r="HLC74" s="2198"/>
      <c r="HLD74" s="2198"/>
      <c r="HLE74" s="2198"/>
      <c r="HLF74" s="2198"/>
      <c r="HLG74" s="2198"/>
      <c r="HLH74" s="2198"/>
      <c r="HLI74" s="2198"/>
      <c r="HLJ74" s="2198"/>
      <c r="HLK74" s="2198"/>
      <c r="HLL74" s="2198"/>
      <c r="HLM74" s="2198"/>
      <c r="HLN74" s="2198"/>
      <c r="HLO74" s="2198"/>
      <c r="HLP74" s="2198"/>
      <c r="HLQ74" s="2198"/>
      <c r="HLR74" s="2198"/>
      <c r="HLS74" s="2198"/>
      <c r="HLT74" s="2198"/>
      <c r="HLU74" s="2198"/>
      <c r="HLV74" s="2198"/>
      <c r="HLW74" s="2198"/>
      <c r="HLX74" s="2198"/>
      <c r="HLY74" s="2198"/>
      <c r="HLZ74" s="2198"/>
      <c r="HMA74" s="2198"/>
      <c r="HMB74" s="2198"/>
      <c r="HMC74" s="2198"/>
      <c r="HMD74" s="2198"/>
      <c r="HME74" s="2198"/>
      <c r="HMF74" s="2198"/>
      <c r="HMG74" s="2198"/>
      <c r="HMH74" s="2198"/>
      <c r="HMI74" s="2198"/>
      <c r="HMJ74" s="2198"/>
      <c r="HMK74" s="2198"/>
      <c r="HML74" s="2198"/>
      <c r="HMM74" s="2198"/>
      <c r="HMN74" s="2198"/>
      <c r="HMO74" s="2198"/>
      <c r="HMP74" s="2198"/>
      <c r="HMQ74" s="2198"/>
      <c r="HMR74" s="2198"/>
      <c r="HMS74" s="2198"/>
      <c r="HMT74" s="2198"/>
      <c r="HMU74" s="2198"/>
      <c r="HMV74" s="2198"/>
      <c r="HMW74" s="2198"/>
      <c r="HMX74" s="2198"/>
      <c r="HMY74" s="2198"/>
      <c r="HMZ74" s="2198"/>
      <c r="HNA74" s="2198"/>
      <c r="HNB74" s="2198"/>
      <c r="HNC74" s="2198"/>
      <c r="HND74" s="2198"/>
      <c r="HNE74" s="2198"/>
      <c r="HNF74" s="2198"/>
      <c r="HNG74" s="2198"/>
      <c r="HNH74" s="2198"/>
      <c r="HNI74" s="2198"/>
      <c r="HNJ74" s="2198"/>
      <c r="HNK74" s="2198"/>
      <c r="HNL74" s="2198"/>
      <c r="HNM74" s="2198"/>
      <c r="HNN74" s="2198"/>
      <c r="HNO74" s="2198"/>
      <c r="HNP74" s="2198"/>
      <c r="HNQ74" s="2198"/>
      <c r="HNR74" s="2198"/>
      <c r="HNS74" s="2198"/>
      <c r="HNT74" s="2198"/>
      <c r="HNU74" s="2198"/>
      <c r="HNV74" s="2198"/>
      <c r="HNW74" s="2198"/>
      <c r="HNX74" s="2198"/>
      <c r="HNY74" s="2198"/>
      <c r="HNZ74" s="2198"/>
      <c r="HOA74" s="2198"/>
      <c r="HOB74" s="2198"/>
      <c r="HOC74" s="2198"/>
      <c r="HOD74" s="2198"/>
      <c r="HOE74" s="2198"/>
      <c r="HOF74" s="2198"/>
      <c r="HOG74" s="2198"/>
      <c r="HOH74" s="2198"/>
      <c r="HOI74" s="2198"/>
      <c r="HOJ74" s="2198"/>
      <c r="HOK74" s="2198"/>
      <c r="HOL74" s="2198"/>
      <c r="HOM74" s="2198"/>
      <c r="HON74" s="2198"/>
      <c r="HOO74" s="2198"/>
      <c r="HOP74" s="2198"/>
      <c r="HOQ74" s="2198"/>
      <c r="HOR74" s="2198"/>
      <c r="HOS74" s="2198"/>
      <c r="HOT74" s="2198"/>
      <c r="HOU74" s="2198"/>
      <c r="HOV74" s="2198"/>
      <c r="HOW74" s="2198"/>
      <c r="HOX74" s="2198"/>
      <c r="HOY74" s="2198"/>
      <c r="HOZ74" s="2198"/>
      <c r="HPA74" s="2198"/>
      <c r="HPB74" s="2198"/>
      <c r="HPC74" s="2198"/>
      <c r="HPD74" s="2198"/>
      <c r="HPE74" s="2198"/>
      <c r="HPF74" s="2198"/>
      <c r="HPG74" s="2198"/>
      <c r="HPH74" s="2198"/>
      <c r="HPI74" s="2198"/>
      <c r="HPJ74" s="2198"/>
      <c r="HPK74" s="2198"/>
      <c r="HPL74" s="2198"/>
      <c r="HPM74" s="2198"/>
      <c r="HPN74" s="2198"/>
      <c r="HPO74" s="2198"/>
      <c r="HPP74" s="2198"/>
      <c r="HPQ74" s="2198"/>
      <c r="HPR74" s="2198"/>
      <c r="HPS74" s="2198"/>
      <c r="HPT74" s="2198"/>
      <c r="HPU74" s="2198"/>
      <c r="HPV74" s="2198"/>
      <c r="HPW74" s="2198"/>
      <c r="HPX74" s="2198"/>
      <c r="HPY74" s="2198"/>
      <c r="HPZ74" s="2198"/>
      <c r="HQA74" s="2198"/>
      <c r="HQB74" s="2198"/>
      <c r="HQC74" s="2198"/>
      <c r="HQD74" s="2198"/>
      <c r="HQE74" s="2198"/>
      <c r="HQF74" s="2198"/>
      <c r="HQG74" s="2198"/>
      <c r="HQH74" s="2198"/>
      <c r="HQI74" s="2198"/>
      <c r="HQJ74" s="2198"/>
      <c r="HQK74" s="2198"/>
      <c r="HQL74" s="2198"/>
      <c r="HQM74" s="2198"/>
      <c r="HQN74" s="2198"/>
      <c r="HQO74" s="2198"/>
      <c r="HQP74" s="2198"/>
      <c r="HQQ74" s="2198"/>
      <c r="HQR74" s="2198"/>
      <c r="HQS74" s="2198"/>
      <c r="HQT74" s="2198"/>
      <c r="HQU74" s="2198"/>
      <c r="HQV74" s="2198"/>
      <c r="HQW74" s="2198"/>
      <c r="HQX74" s="2198"/>
      <c r="HQY74" s="2198"/>
      <c r="HQZ74" s="2198"/>
      <c r="HRA74" s="2198"/>
      <c r="HRB74" s="2198"/>
      <c r="HRC74" s="2198"/>
      <c r="HRD74" s="2198"/>
      <c r="HRE74" s="2198"/>
      <c r="HRF74" s="2198"/>
      <c r="HRG74" s="2198"/>
      <c r="HRH74" s="2198"/>
      <c r="HRI74" s="2198"/>
      <c r="HRJ74" s="2198"/>
      <c r="HRK74" s="2198"/>
      <c r="HRL74" s="2198"/>
      <c r="HRM74" s="2198"/>
      <c r="HRN74" s="2198"/>
      <c r="HRO74" s="2198"/>
      <c r="HRP74" s="2198"/>
      <c r="HRQ74" s="2198"/>
      <c r="HRR74" s="2198"/>
      <c r="HRS74" s="2198"/>
      <c r="HRT74" s="2198"/>
      <c r="HRU74" s="2198"/>
      <c r="HRV74" s="2198"/>
      <c r="HRW74" s="2198"/>
      <c r="HRX74" s="2198"/>
      <c r="HRY74" s="2198"/>
      <c r="HRZ74" s="2198"/>
      <c r="HSA74" s="2198"/>
      <c r="HSB74" s="2198"/>
      <c r="HSC74" s="2198"/>
      <c r="HSD74" s="2198"/>
      <c r="HSE74" s="2198"/>
      <c r="HSF74" s="2198"/>
      <c r="HSG74" s="2198"/>
      <c r="HSH74" s="2198"/>
      <c r="HSI74" s="2198"/>
      <c r="HSJ74" s="2198"/>
      <c r="HSK74" s="2198"/>
      <c r="HSL74" s="2198"/>
      <c r="HSM74" s="2198"/>
      <c r="HSN74" s="2198"/>
      <c r="HSO74" s="2198"/>
      <c r="HSP74" s="2198"/>
      <c r="HSQ74" s="2198"/>
      <c r="HSR74" s="2198"/>
      <c r="HSS74" s="2198"/>
      <c r="HST74" s="2198"/>
      <c r="HSU74" s="2198"/>
      <c r="HSV74" s="2198"/>
      <c r="HSW74" s="2198"/>
      <c r="HSX74" s="2198"/>
      <c r="HSY74" s="2198"/>
      <c r="HSZ74" s="2198"/>
      <c r="HTA74" s="2198"/>
      <c r="HTB74" s="2198"/>
      <c r="HTC74" s="2198"/>
      <c r="HTD74" s="2198"/>
      <c r="HTE74" s="2198"/>
      <c r="HTF74" s="2198"/>
      <c r="HTG74" s="2198"/>
      <c r="HTH74" s="2198"/>
      <c r="HTI74" s="2198"/>
      <c r="HTJ74" s="2198"/>
      <c r="HTK74" s="2198"/>
      <c r="HTL74" s="2198"/>
      <c r="HTM74" s="2198"/>
      <c r="HTN74" s="2198"/>
      <c r="HTO74" s="2198"/>
      <c r="HTP74" s="2198"/>
      <c r="HTQ74" s="2198"/>
      <c r="HTR74" s="2198"/>
      <c r="HTS74" s="2198"/>
      <c r="HTT74" s="2198"/>
      <c r="HTU74" s="2198"/>
      <c r="HTV74" s="2198"/>
      <c r="HTW74" s="2198"/>
      <c r="HTX74" s="2198"/>
      <c r="HTY74" s="2198"/>
      <c r="HTZ74" s="2198"/>
      <c r="HUA74" s="2198"/>
      <c r="HUB74" s="2198"/>
      <c r="HUC74" s="2198"/>
      <c r="HUD74" s="2198"/>
      <c r="HUE74" s="2198"/>
      <c r="HUF74" s="2198"/>
      <c r="HUG74" s="2198"/>
      <c r="HUH74" s="2198"/>
      <c r="HUI74" s="2198"/>
      <c r="HUJ74" s="2198"/>
      <c r="HUK74" s="2198"/>
      <c r="HUL74" s="2198"/>
      <c r="HUM74" s="2198"/>
      <c r="HUN74" s="2198"/>
      <c r="HUO74" s="2198"/>
      <c r="HUP74" s="2198"/>
      <c r="HUQ74" s="2198"/>
      <c r="HUR74" s="2198"/>
      <c r="HUS74" s="2198"/>
      <c r="HUT74" s="2198"/>
      <c r="HUU74" s="2198"/>
      <c r="HUV74" s="2198"/>
      <c r="HUW74" s="2198"/>
      <c r="HUX74" s="2198"/>
      <c r="HUY74" s="2198"/>
      <c r="HUZ74" s="2198"/>
      <c r="HVA74" s="2198"/>
      <c r="HVB74" s="2198"/>
      <c r="HVC74" s="2198"/>
      <c r="HVD74" s="2198"/>
      <c r="HVE74" s="2198"/>
      <c r="HVF74" s="2198"/>
      <c r="HVG74" s="2198"/>
      <c r="HVH74" s="2198"/>
      <c r="HVI74" s="2198"/>
      <c r="HVJ74" s="2198"/>
      <c r="HVK74" s="2198"/>
      <c r="HVL74" s="2198"/>
      <c r="HVM74" s="2198"/>
      <c r="HVN74" s="2198"/>
      <c r="HVO74" s="2198"/>
      <c r="HVP74" s="2198"/>
      <c r="HVQ74" s="2198"/>
      <c r="HVR74" s="2198"/>
      <c r="HVS74" s="2198"/>
      <c r="HVT74" s="2198"/>
      <c r="HVU74" s="2198"/>
      <c r="HVV74" s="2198"/>
      <c r="HVW74" s="2198"/>
      <c r="HVX74" s="2198"/>
      <c r="HVY74" s="2198"/>
      <c r="HVZ74" s="2198"/>
      <c r="HWA74" s="2198"/>
      <c r="HWB74" s="2198"/>
      <c r="HWC74" s="2198"/>
      <c r="HWD74" s="2198"/>
      <c r="HWE74" s="2198"/>
      <c r="HWF74" s="2198"/>
      <c r="HWG74" s="2198"/>
      <c r="HWH74" s="2198"/>
      <c r="HWI74" s="2198"/>
      <c r="HWJ74" s="2198"/>
      <c r="HWK74" s="2198"/>
      <c r="HWL74" s="2198"/>
      <c r="HWM74" s="2198"/>
      <c r="HWN74" s="2198"/>
      <c r="HWO74" s="2198"/>
      <c r="HWP74" s="2198"/>
      <c r="HWQ74" s="2198"/>
      <c r="HWR74" s="2198"/>
      <c r="HWS74" s="2198"/>
      <c r="HWT74" s="2198"/>
      <c r="HWU74" s="2198"/>
      <c r="HWV74" s="2198"/>
      <c r="HWW74" s="2198"/>
      <c r="HWX74" s="2198"/>
      <c r="HWY74" s="2198"/>
      <c r="HWZ74" s="2198"/>
      <c r="HXA74" s="2198"/>
      <c r="HXB74" s="2198"/>
      <c r="HXC74" s="2198"/>
      <c r="HXD74" s="2198"/>
      <c r="HXE74" s="2198"/>
      <c r="HXF74" s="2198"/>
      <c r="HXG74" s="2198"/>
      <c r="HXH74" s="2198"/>
      <c r="HXI74" s="2198"/>
      <c r="HXJ74" s="2198"/>
      <c r="HXK74" s="2198"/>
      <c r="HXL74" s="2198"/>
      <c r="HXM74" s="2198"/>
      <c r="HXN74" s="2198"/>
      <c r="HXO74" s="2198"/>
      <c r="HXP74" s="2198"/>
      <c r="HXQ74" s="2198"/>
      <c r="HXR74" s="2198"/>
      <c r="HXS74" s="2198"/>
      <c r="HXT74" s="2198"/>
      <c r="HXU74" s="2198"/>
      <c r="HXV74" s="2198"/>
      <c r="HXW74" s="2198"/>
      <c r="HXX74" s="2198"/>
      <c r="HXY74" s="2198"/>
      <c r="HXZ74" s="2198"/>
      <c r="HYA74" s="2198"/>
      <c r="HYB74" s="2198"/>
      <c r="HYC74" s="2198"/>
      <c r="HYD74" s="2198"/>
      <c r="HYE74" s="2198"/>
      <c r="HYF74" s="2198"/>
      <c r="HYG74" s="2198"/>
      <c r="HYH74" s="2198"/>
      <c r="HYI74" s="2198"/>
      <c r="HYJ74" s="2198"/>
      <c r="HYK74" s="2198"/>
      <c r="HYL74" s="2198"/>
      <c r="HYM74" s="2198"/>
      <c r="HYN74" s="2198"/>
      <c r="HYO74" s="2198"/>
      <c r="HYP74" s="2198"/>
      <c r="HYQ74" s="2198"/>
      <c r="HYR74" s="2198"/>
      <c r="HYS74" s="2198"/>
      <c r="HYT74" s="2198"/>
      <c r="HYU74" s="2198"/>
      <c r="HYV74" s="2198"/>
      <c r="HYW74" s="2198"/>
      <c r="HYX74" s="2198"/>
      <c r="HYY74" s="2198"/>
      <c r="HYZ74" s="2198"/>
      <c r="HZA74" s="2198"/>
      <c r="HZB74" s="2198"/>
      <c r="HZC74" s="2198"/>
      <c r="HZD74" s="2198"/>
      <c r="HZE74" s="2198"/>
      <c r="HZF74" s="2198"/>
      <c r="HZG74" s="2198"/>
      <c r="HZH74" s="2198"/>
      <c r="HZI74" s="2198"/>
      <c r="HZJ74" s="2198"/>
      <c r="HZK74" s="2198"/>
      <c r="HZL74" s="2198"/>
      <c r="HZM74" s="2198"/>
      <c r="HZN74" s="2198"/>
      <c r="HZO74" s="2198"/>
      <c r="HZP74" s="2198"/>
      <c r="HZQ74" s="2198"/>
      <c r="HZR74" s="2198"/>
      <c r="HZS74" s="2198"/>
      <c r="HZT74" s="2198"/>
      <c r="HZU74" s="2198"/>
      <c r="HZV74" s="2198"/>
      <c r="HZW74" s="2198"/>
      <c r="HZX74" s="2198"/>
      <c r="HZY74" s="2198"/>
      <c r="HZZ74" s="2198"/>
      <c r="IAA74" s="2198"/>
      <c r="IAB74" s="2198"/>
      <c r="IAC74" s="2198"/>
      <c r="IAD74" s="2198"/>
      <c r="IAE74" s="2198"/>
      <c r="IAF74" s="2198"/>
      <c r="IAG74" s="2198"/>
      <c r="IAH74" s="2198"/>
      <c r="IAI74" s="2198"/>
      <c r="IAJ74" s="2198"/>
      <c r="IAK74" s="2198"/>
      <c r="IAL74" s="2198"/>
      <c r="IAM74" s="2198"/>
      <c r="IAN74" s="2198"/>
      <c r="IAO74" s="2198"/>
      <c r="IAP74" s="2198"/>
      <c r="IAQ74" s="2198"/>
      <c r="IAR74" s="2198"/>
      <c r="IAS74" s="2198"/>
      <c r="IAT74" s="2198"/>
      <c r="IAU74" s="2198"/>
      <c r="IAV74" s="2198"/>
      <c r="IAW74" s="2198"/>
      <c r="IAX74" s="2198"/>
      <c r="IAY74" s="2198"/>
      <c r="IAZ74" s="2198"/>
      <c r="IBA74" s="2198"/>
      <c r="IBB74" s="2198"/>
      <c r="IBC74" s="2198"/>
      <c r="IBD74" s="2198"/>
      <c r="IBE74" s="2198"/>
      <c r="IBF74" s="2198"/>
      <c r="IBG74" s="2198"/>
      <c r="IBH74" s="2198"/>
      <c r="IBI74" s="2198"/>
      <c r="IBJ74" s="2198"/>
      <c r="IBK74" s="2198"/>
      <c r="IBL74" s="2198"/>
      <c r="IBM74" s="2198"/>
      <c r="IBN74" s="2198"/>
      <c r="IBO74" s="2198"/>
      <c r="IBP74" s="2198"/>
      <c r="IBQ74" s="2198"/>
      <c r="IBR74" s="2198"/>
      <c r="IBS74" s="2198"/>
      <c r="IBT74" s="2198"/>
      <c r="IBU74" s="2198"/>
      <c r="IBV74" s="2198"/>
      <c r="IBW74" s="2198"/>
      <c r="IBX74" s="2198"/>
      <c r="IBY74" s="2198"/>
      <c r="IBZ74" s="2198"/>
      <c r="ICA74" s="2198"/>
      <c r="ICB74" s="2198"/>
      <c r="ICC74" s="2198"/>
      <c r="ICD74" s="2198"/>
      <c r="ICE74" s="2198"/>
      <c r="ICF74" s="2198"/>
      <c r="ICG74" s="2198"/>
      <c r="ICH74" s="2198"/>
      <c r="ICI74" s="2198"/>
      <c r="ICJ74" s="2198"/>
      <c r="ICK74" s="2198"/>
      <c r="ICL74" s="2198"/>
      <c r="ICM74" s="2198"/>
      <c r="ICN74" s="2198"/>
      <c r="ICO74" s="2198"/>
      <c r="ICP74" s="2198"/>
      <c r="ICQ74" s="2198"/>
      <c r="ICR74" s="2198"/>
      <c r="ICS74" s="2198"/>
      <c r="ICT74" s="2198"/>
      <c r="ICU74" s="2198"/>
      <c r="ICV74" s="2198"/>
      <c r="ICW74" s="2198"/>
      <c r="ICX74" s="2198"/>
      <c r="ICY74" s="2198"/>
      <c r="ICZ74" s="2198"/>
      <c r="IDA74" s="2198"/>
      <c r="IDB74" s="2198"/>
      <c r="IDC74" s="2198"/>
      <c r="IDD74" s="2198"/>
      <c r="IDE74" s="2198"/>
      <c r="IDF74" s="2198"/>
      <c r="IDG74" s="2198"/>
      <c r="IDH74" s="2198"/>
      <c r="IDI74" s="2198"/>
      <c r="IDJ74" s="2198"/>
      <c r="IDK74" s="2198"/>
      <c r="IDL74" s="2198"/>
      <c r="IDM74" s="2198"/>
      <c r="IDN74" s="2198"/>
      <c r="IDO74" s="2198"/>
      <c r="IDP74" s="2198"/>
      <c r="IDQ74" s="2198"/>
      <c r="IDR74" s="2198"/>
      <c r="IDS74" s="2198"/>
      <c r="IDT74" s="2198"/>
      <c r="IDU74" s="2198"/>
      <c r="IDV74" s="2198"/>
      <c r="IDW74" s="2198"/>
      <c r="IDX74" s="2198"/>
      <c r="IDY74" s="2198"/>
      <c r="IDZ74" s="2198"/>
      <c r="IEA74" s="2198"/>
      <c r="IEB74" s="2198"/>
      <c r="IEC74" s="2198"/>
      <c r="IED74" s="2198"/>
      <c r="IEE74" s="2198"/>
      <c r="IEF74" s="2198"/>
      <c r="IEG74" s="2198"/>
      <c r="IEH74" s="2198"/>
      <c r="IEI74" s="2198"/>
      <c r="IEJ74" s="2198"/>
      <c r="IEK74" s="2198"/>
      <c r="IEL74" s="2198"/>
      <c r="IEM74" s="2198"/>
      <c r="IEN74" s="2198"/>
      <c r="IEO74" s="2198"/>
      <c r="IEP74" s="2198"/>
      <c r="IEQ74" s="2198"/>
      <c r="IER74" s="2198"/>
      <c r="IES74" s="2198"/>
      <c r="IET74" s="2198"/>
      <c r="IEU74" s="2198"/>
      <c r="IEV74" s="2198"/>
      <c r="IEW74" s="2198"/>
      <c r="IEX74" s="2198"/>
      <c r="IEY74" s="2198"/>
      <c r="IEZ74" s="2198"/>
      <c r="IFA74" s="2198"/>
      <c r="IFB74" s="2198"/>
      <c r="IFC74" s="2198"/>
      <c r="IFD74" s="2198"/>
      <c r="IFE74" s="2198"/>
      <c r="IFF74" s="2198"/>
      <c r="IFG74" s="2198"/>
      <c r="IFH74" s="2198"/>
      <c r="IFI74" s="2198"/>
      <c r="IFJ74" s="2198"/>
      <c r="IFK74" s="2198"/>
      <c r="IFL74" s="2198"/>
      <c r="IFM74" s="2198"/>
      <c r="IFN74" s="2198"/>
      <c r="IFO74" s="2198"/>
      <c r="IFP74" s="2198"/>
      <c r="IFQ74" s="2198"/>
      <c r="IFR74" s="2198"/>
      <c r="IFS74" s="2198"/>
      <c r="IFT74" s="2198"/>
      <c r="IFU74" s="2198"/>
      <c r="IFV74" s="2198"/>
      <c r="IFW74" s="2198"/>
      <c r="IFX74" s="2198"/>
      <c r="IFY74" s="2198"/>
      <c r="IFZ74" s="2198"/>
      <c r="IGA74" s="2198"/>
      <c r="IGB74" s="2198"/>
      <c r="IGC74" s="2198"/>
      <c r="IGD74" s="2198"/>
      <c r="IGE74" s="2198"/>
      <c r="IGF74" s="2198"/>
      <c r="IGG74" s="2198"/>
      <c r="IGH74" s="2198"/>
      <c r="IGI74" s="2198"/>
      <c r="IGJ74" s="2198"/>
      <c r="IGK74" s="2198"/>
      <c r="IGL74" s="2198"/>
      <c r="IGM74" s="2198"/>
      <c r="IGN74" s="2198"/>
      <c r="IGO74" s="2198"/>
      <c r="IGP74" s="2198"/>
      <c r="IGQ74" s="2198"/>
      <c r="IGR74" s="2198"/>
      <c r="IGS74" s="2198"/>
      <c r="IGT74" s="2198"/>
      <c r="IGU74" s="2198"/>
      <c r="IGV74" s="2198"/>
      <c r="IGW74" s="2198"/>
      <c r="IGX74" s="2198"/>
      <c r="IGY74" s="2198"/>
      <c r="IGZ74" s="2198"/>
      <c r="IHA74" s="2198"/>
      <c r="IHB74" s="2198"/>
      <c r="IHC74" s="2198"/>
      <c r="IHD74" s="2198"/>
      <c r="IHE74" s="2198"/>
      <c r="IHF74" s="2198"/>
      <c r="IHG74" s="2198"/>
      <c r="IHH74" s="2198"/>
      <c r="IHI74" s="2198"/>
      <c r="IHJ74" s="2198"/>
      <c r="IHK74" s="2198"/>
      <c r="IHL74" s="2198"/>
      <c r="IHM74" s="2198"/>
      <c r="IHN74" s="2198"/>
      <c r="IHO74" s="2198"/>
      <c r="IHP74" s="2198"/>
      <c r="IHQ74" s="2198"/>
      <c r="IHR74" s="2198"/>
      <c r="IHS74" s="2198"/>
      <c r="IHT74" s="2198"/>
      <c r="IHU74" s="2198"/>
      <c r="IHV74" s="2198"/>
      <c r="IHW74" s="2198"/>
      <c r="IHX74" s="2198"/>
      <c r="IHY74" s="2198"/>
      <c r="IHZ74" s="2198"/>
      <c r="IIA74" s="2198"/>
      <c r="IIB74" s="2198"/>
      <c r="IIC74" s="2198"/>
      <c r="IID74" s="2198"/>
      <c r="IIE74" s="2198"/>
      <c r="IIF74" s="2198"/>
      <c r="IIG74" s="2198"/>
      <c r="IIH74" s="2198"/>
      <c r="III74" s="2198"/>
      <c r="IIJ74" s="2198"/>
      <c r="IIK74" s="2198"/>
      <c r="IIL74" s="2198"/>
      <c r="IIM74" s="2198"/>
      <c r="IIN74" s="2198"/>
      <c r="IIO74" s="2198"/>
      <c r="IIP74" s="2198"/>
      <c r="IIQ74" s="2198"/>
      <c r="IIR74" s="2198"/>
      <c r="IIS74" s="2198"/>
      <c r="IIT74" s="2198"/>
      <c r="IIU74" s="2198"/>
      <c r="IIV74" s="2198"/>
      <c r="IIW74" s="2198"/>
      <c r="IIX74" s="2198"/>
      <c r="IIY74" s="2198"/>
      <c r="IIZ74" s="2198"/>
      <c r="IJA74" s="2198"/>
      <c r="IJB74" s="2198"/>
      <c r="IJC74" s="2198"/>
      <c r="IJD74" s="2198"/>
      <c r="IJE74" s="2198"/>
      <c r="IJF74" s="2198"/>
      <c r="IJG74" s="2198"/>
      <c r="IJH74" s="2198"/>
      <c r="IJI74" s="2198"/>
      <c r="IJJ74" s="2198"/>
      <c r="IJK74" s="2198"/>
      <c r="IJL74" s="2198"/>
      <c r="IJM74" s="2198"/>
      <c r="IJN74" s="2198"/>
      <c r="IJO74" s="2198"/>
      <c r="IJP74" s="2198"/>
      <c r="IJQ74" s="2198"/>
      <c r="IJR74" s="2198"/>
      <c r="IJS74" s="2198"/>
      <c r="IJT74" s="2198"/>
      <c r="IJU74" s="2198"/>
      <c r="IJV74" s="2198"/>
      <c r="IJW74" s="2198"/>
      <c r="IJX74" s="2198"/>
      <c r="IJY74" s="2198"/>
      <c r="IJZ74" s="2198"/>
      <c r="IKA74" s="2198"/>
      <c r="IKB74" s="2198"/>
      <c r="IKC74" s="2198"/>
      <c r="IKD74" s="2198"/>
      <c r="IKE74" s="2198"/>
      <c r="IKF74" s="2198"/>
      <c r="IKG74" s="2198"/>
      <c r="IKH74" s="2198"/>
      <c r="IKI74" s="2198"/>
      <c r="IKJ74" s="2198"/>
      <c r="IKK74" s="2198"/>
      <c r="IKL74" s="2198"/>
      <c r="IKM74" s="2198"/>
      <c r="IKN74" s="2198"/>
      <c r="IKO74" s="2198"/>
      <c r="IKP74" s="2198"/>
      <c r="IKQ74" s="2198"/>
      <c r="IKR74" s="2198"/>
      <c r="IKS74" s="2198"/>
      <c r="IKT74" s="2198"/>
      <c r="IKU74" s="2198"/>
      <c r="IKV74" s="2198"/>
      <c r="IKW74" s="2198"/>
      <c r="IKX74" s="2198"/>
      <c r="IKY74" s="2198"/>
      <c r="IKZ74" s="2198"/>
      <c r="ILA74" s="2198"/>
      <c r="ILB74" s="2198"/>
      <c r="ILC74" s="2198"/>
      <c r="ILD74" s="2198"/>
      <c r="ILE74" s="2198"/>
      <c r="ILF74" s="2198"/>
      <c r="ILG74" s="2198"/>
      <c r="ILH74" s="2198"/>
      <c r="ILI74" s="2198"/>
      <c r="ILJ74" s="2198"/>
      <c r="ILK74" s="2198"/>
      <c r="ILL74" s="2198"/>
      <c r="ILM74" s="2198"/>
      <c r="ILN74" s="2198"/>
      <c r="ILO74" s="2198"/>
      <c r="ILP74" s="2198"/>
      <c r="ILQ74" s="2198"/>
      <c r="ILR74" s="2198"/>
      <c r="ILS74" s="2198"/>
      <c r="ILT74" s="2198"/>
      <c r="ILU74" s="2198"/>
      <c r="ILV74" s="2198"/>
      <c r="ILW74" s="2198"/>
      <c r="ILX74" s="2198"/>
      <c r="ILY74" s="2198"/>
      <c r="ILZ74" s="2198"/>
      <c r="IMA74" s="2198"/>
      <c r="IMB74" s="2198"/>
      <c r="IMC74" s="2198"/>
      <c r="IMD74" s="2198"/>
      <c r="IME74" s="2198"/>
      <c r="IMF74" s="2198"/>
      <c r="IMG74" s="2198"/>
      <c r="IMH74" s="2198"/>
      <c r="IMI74" s="2198"/>
      <c r="IMJ74" s="2198"/>
      <c r="IMK74" s="2198"/>
      <c r="IML74" s="2198"/>
      <c r="IMM74" s="2198"/>
      <c r="IMN74" s="2198"/>
      <c r="IMO74" s="2198"/>
      <c r="IMP74" s="2198"/>
      <c r="IMQ74" s="2198"/>
      <c r="IMR74" s="2198"/>
      <c r="IMS74" s="2198"/>
      <c r="IMT74" s="2198"/>
      <c r="IMU74" s="2198"/>
      <c r="IMV74" s="2198"/>
      <c r="IMW74" s="2198"/>
      <c r="IMX74" s="2198"/>
      <c r="IMY74" s="2198"/>
      <c r="IMZ74" s="2198"/>
      <c r="INA74" s="2198"/>
      <c r="INB74" s="2198"/>
      <c r="INC74" s="2198"/>
      <c r="IND74" s="2198"/>
      <c r="INE74" s="2198"/>
      <c r="INF74" s="2198"/>
      <c r="ING74" s="2198"/>
      <c r="INH74" s="2198"/>
      <c r="INI74" s="2198"/>
      <c r="INJ74" s="2198"/>
      <c r="INK74" s="2198"/>
      <c r="INL74" s="2198"/>
      <c r="INM74" s="2198"/>
      <c r="INN74" s="2198"/>
      <c r="INO74" s="2198"/>
      <c r="INP74" s="2198"/>
      <c r="INQ74" s="2198"/>
      <c r="INR74" s="2198"/>
      <c r="INS74" s="2198"/>
      <c r="INT74" s="2198"/>
      <c r="INU74" s="2198"/>
      <c r="INV74" s="2198"/>
      <c r="INW74" s="2198"/>
      <c r="INX74" s="2198"/>
      <c r="INY74" s="2198"/>
      <c r="INZ74" s="2198"/>
      <c r="IOA74" s="2198"/>
      <c r="IOB74" s="2198"/>
      <c r="IOC74" s="2198"/>
      <c r="IOD74" s="2198"/>
      <c r="IOE74" s="2198"/>
      <c r="IOF74" s="2198"/>
      <c r="IOG74" s="2198"/>
      <c r="IOH74" s="2198"/>
      <c r="IOI74" s="2198"/>
      <c r="IOJ74" s="2198"/>
      <c r="IOK74" s="2198"/>
      <c r="IOL74" s="2198"/>
      <c r="IOM74" s="2198"/>
      <c r="ION74" s="2198"/>
      <c r="IOO74" s="2198"/>
      <c r="IOP74" s="2198"/>
      <c r="IOQ74" s="2198"/>
      <c r="IOR74" s="2198"/>
      <c r="IOS74" s="2198"/>
      <c r="IOT74" s="2198"/>
      <c r="IOU74" s="2198"/>
      <c r="IOV74" s="2198"/>
      <c r="IOW74" s="2198"/>
      <c r="IOX74" s="2198"/>
      <c r="IOY74" s="2198"/>
      <c r="IOZ74" s="2198"/>
      <c r="IPA74" s="2198"/>
      <c r="IPB74" s="2198"/>
      <c r="IPC74" s="2198"/>
      <c r="IPD74" s="2198"/>
      <c r="IPE74" s="2198"/>
      <c r="IPF74" s="2198"/>
      <c r="IPG74" s="2198"/>
      <c r="IPH74" s="2198"/>
      <c r="IPI74" s="2198"/>
      <c r="IPJ74" s="2198"/>
      <c r="IPK74" s="2198"/>
      <c r="IPL74" s="2198"/>
      <c r="IPM74" s="2198"/>
      <c r="IPN74" s="2198"/>
      <c r="IPO74" s="2198"/>
      <c r="IPP74" s="2198"/>
      <c r="IPQ74" s="2198"/>
      <c r="IPR74" s="2198"/>
      <c r="IPS74" s="2198"/>
      <c r="IPT74" s="2198"/>
      <c r="IPU74" s="2198"/>
      <c r="IPV74" s="2198"/>
      <c r="IPW74" s="2198"/>
      <c r="IPX74" s="2198"/>
      <c r="IPY74" s="2198"/>
      <c r="IPZ74" s="2198"/>
      <c r="IQA74" s="2198"/>
      <c r="IQB74" s="2198"/>
      <c r="IQC74" s="2198"/>
      <c r="IQD74" s="2198"/>
      <c r="IQE74" s="2198"/>
      <c r="IQF74" s="2198"/>
      <c r="IQG74" s="2198"/>
      <c r="IQH74" s="2198"/>
      <c r="IQI74" s="2198"/>
      <c r="IQJ74" s="2198"/>
      <c r="IQK74" s="2198"/>
      <c r="IQL74" s="2198"/>
      <c r="IQM74" s="2198"/>
      <c r="IQN74" s="2198"/>
      <c r="IQO74" s="2198"/>
      <c r="IQP74" s="2198"/>
      <c r="IQQ74" s="2198"/>
      <c r="IQR74" s="2198"/>
      <c r="IQS74" s="2198"/>
      <c r="IQT74" s="2198"/>
      <c r="IQU74" s="2198"/>
      <c r="IQV74" s="2198"/>
      <c r="IQW74" s="2198"/>
      <c r="IQX74" s="2198"/>
      <c r="IQY74" s="2198"/>
      <c r="IQZ74" s="2198"/>
      <c r="IRA74" s="2198"/>
      <c r="IRB74" s="2198"/>
      <c r="IRC74" s="2198"/>
      <c r="IRD74" s="2198"/>
      <c r="IRE74" s="2198"/>
      <c r="IRF74" s="2198"/>
      <c r="IRG74" s="2198"/>
      <c r="IRH74" s="2198"/>
      <c r="IRI74" s="2198"/>
      <c r="IRJ74" s="2198"/>
      <c r="IRK74" s="2198"/>
      <c r="IRL74" s="2198"/>
      <c r="IRM74" s="2198"/>
      <c r="IRN74" s="2198"/>
      <c r="IRO74" s="2198"/>
      <c r="IRP74" s="2198"/>
      <c r="IRQ74" s="2198"/>
      <c r="IRR74" s="2198"/>
      <c r="IRS74" s="2198"/>
      <c r="IRT74" s="2198"/>
      <c r="IRU74" s="2198"/>
      <c r="IRV74" s="2198"/>
      <c r="IRW74" s="2198"/>
      <c r="IRX74" s="2198"/>
      <c r="IRY74" s="2198"/>
      <c r="IRZ74" s="2198"/>
      <c r="ISA74" s="2198"/>
      <c r="ISB74" s="2198"/>
      <c r="ISC74" s="2198"/>
      <c r="ISD74" s="2198"/>
      <c r="ISE74" s="2198"/>
      <c r="ISF74" s="2198"/>
      <c r="ISG74" s="2198"/>
      <c r="ISH74" s="2198"/>
      <c r="ISI74" s="2198"/>
      <c r="ISJ74" s="2198"/>
      <c r="ISK74" s="2198"/>
      <c r="ISL74" s="2198"/>
      <c r="ISM74" s="2198"/>
      <c r="ISN74" s="2198"/>
      <c r="ISO74" s="2198"/>
      <c r="ISP74" s="2198"/>
      <c r="ISQ74" s="2198"/>
      <c r="ISR74" s="2198"/>
      <c r="ISS74" s="2198"/>
      <c r="IST74" s="2198"/>
      <c r="ISU74" s="2198"/>
      <c r="ISV74" s="2198"/>
      <c r="ISW74" s="2198"/>
      <c r="ISX74" s="2198"/>
      <c r="ISY74" s="2198"/>
      <c r="ISZ74" s="2198"/>
      <c r="ITA74" s="2198"/>
      <c r="ITB74" s="2198"/>
      <c r="ITC74" s="2198"/>
      <c r="ITD74" s="2198"/>
      <c r="ITE74" s="2198"/>
      <c r="ITF74" s="2198"/>
      <c r="ITG74" s="2198"/>
      <c r="ITH74" s="2198"/>
      <c r="ITI74" s="2198"/>
      <c r="ITJ74" s="2198"/>
      <c r="ITK74" s="2198"/>
      <c r="ITL74" s="2198"/>
      <c r="ITM74" s="2198"/>
      <c r="ITN74" s="2198"/>
      <c r="ITO74" s="2198"/>
      <c r="ITP74" s="2198"/>
      <c r="ITQ74" s="2198"/>
      <c r="ITR74" s="2198"/>
      <c r="ITS74" s="2198"/>
      <c r="ITT74" s="2198"/>
      <c r="ITU74" s="2198"/>
      <c r="ITV74" s="2198"/>
      <c r="ITW74" s="2198"/>
      <c r="ITX74" s="2198"/>
      <c r="ITY74" s="2198"/>
      <c r="ITZ74" s="2198"/>
      <c r="IUA74" s="2198"/>
      <c r="IUB74" s="2198"/>
      <c r="IUC74" s="2198"/>
      <c r="IUD74" s="2198"/>
      <c r="IUE74" s="2198"/>
      <c r="IUF74" s="2198"/>
      <c r="IUG74" s="2198"/>
      <c r="IUH74" s="2198"/>
      <c r="IUI74" s="2198"/>
      <c r="IUJ74" s="2198"/>
      <c r="IUK74" s="2198"/>
      <c r="IUL74" s="2198"/>
      <c r="IUM74" s="2198"/>
      <c r="IUN74" s="2198"/>
      <c r="IUO74" s="2198"/>
      <c r="IUP74" s="2198"/>
      <c r="IUQ74" s="2198"/>
      <c r="IUR74" s="2198"/>
      <c r="IUS74" s="2198"/>
      <c r="IUT74" s="2198"/>
      <c r="IUU74" s="2198"/>
      <c r="IUV74" s="2198"/>
      <c r="IUW74" s="2198"/>
      <c r="IUX74" s="2198"/>
      <c r="IUY74" s="2198"/>
      <c r="IUZ74" s="2198"/>
      <c r="IVA74" s="2198"/>
      <c r="IVB74" s="2198"/>
      <c r="IVC74" s="2198"/>
      <c r="IVD74" s="2198"/>
      <c r="IVE74" s="2198"/>
      <c r="IVF74" s="2198"/>
      <c r="IVG74" s="2198"/>
      <c r="IVH74" s="2198"/>
      <c r="IVI74" s="2198"/>
      <c r="IVJ74" s="2198"/>
      <c r="IVK74" s="2198"/>
      <c r="IVL74" s="2198"/>
      <c r="IVM74" s="2198"/>
      <c r="IVN74" s="2198"/>
      <c r="IVO74" s="2198"/>
      <c r="IVP74" s="2198"/>
      <c r="IVQ74" s="2198"/>
      <c r="IVR74" s="2198"/>
      <c r="IVS74" s="2198"/>
      <c r="IVT74" s="2198"/>
      <c r="IVU74" s="2198"/>
      <c r="IVV74" s="2198"/>
      <c r="IVW74" s="2198"/>
      <c r="IVX74" s="2198"/>
      <c r="IVY74" s="2198"/>
      <c r="IVZ74" s="2198"/>
      <c r="IWA74" s="2198"/>
      <c r="IWB74" s="2198"/>
      <c r="IWC74" s="2198"/>
      <c r="IWD74" s="2198"/>
      <c r="IWE74" s="2198"/>
      <c r="IWF74" s="2198"/>
      <c r="IWG74" s="2198"/>
      <c r="IWH74" s="2198"/>
      <c r="IWI74" s="2198"/>
      <c r="IWJ74" s="2198"/>
      <c r="IWK74" s="2198"/>
      <c r="IWL74" s="2198"/>
      <c r="IWM74" s="2198"/>
      <c r="IWN74" s="2198"/>
      <c r="IWO74" s="2198"/>
      <c r="IWP74" s="2198"/>
      <c r="IWQ74" s="2198"/>
      <c r="IWR74" s="2198"/>
      <c r="IWS74" s="2198"/>
      <c r="IWT74" s="2198"/>
      <c r="IWU74" s="2198"/>
      <c r="IWV74" s="2198"/>
      <c r="IWW74" s="2198"/>
      <c r="IWX74" s="2198"/>
      <c r="IWY74" s="2198"/>
      <c r="IWZ74" s="2198"/>
      <c r="IXA74" s="2198"/>
      <c r="IXB74" s="2198"/>
      <c r="IXC74" s="2198"/>
      <c r="IXD74" s="2198"/>
      <c r="IXE74" s="2198"/>
      <c r="IXF74" s="2198"/>
      <c r="IXG74" s="2198"/>
      <c r="IXH74" s="2198"/>
      <c r="IXI74" s="2198"/>
      <c r="IXJ74" s="2198"/>
      <c r="IXK74" s="2198"/>
      <c r="IXL74" s="2198"/>
      <c r="IXM74" s="2198"/>
      <c r="IXN74" s="2198"/>
      <c r="IXO74" s="2198"/>
      <c r="IXP74" s="2198"/>
      <c r="IXQ74" s="2198"/>
      <c r="IXR74" s="2198"/>
      <c r="IXS74" s="2198"/>
      <c r="IXT74" s="2198"/>
      <c r="IXU74" s="2198"/>
      <c r="IXV74" s="2198"/>
      <c r="IXW74" s="2198"/>
      <c r="IXX74" s="2198"/>
      <c r="IXY74" s="2198"/>
      <c r="IXZ74" s="2198"/>
      <c r="IYA74" s="2198"/>
      <c r="IYB74" s="2198"/>
      <c r="IYC74" s="2198"/>
      <c r="IYD74" s="2198"/>
      <c r="IYE74" s="2198"/>
      <c r="IYF74" s="2198"/>
      <c r="IYG74" s="2198"/>
      <c r="IYH74" s="2198"/>
      <c r="IYI74" s="2198"/>
      <c r="IYJ74" s="2198"/>
      <c r="IYK74" s="2198"/>
      <c r="IYL74" s="2198"/>
      <c r="IYM74" s="2198"/>
      <c r="IYN74" s="2198"/>
      <c r="IYO74" s="2198"/>
      <c r="IYP74" s="2198"/>
      <c r="IYQ74" s="2198"/>
      <c r="IYR74" s="2198"/>
      <c r="IYS74" s="2198"/>
      <c r="IYT74" s="2198"/>
      <c r="IYU74" s="2198"/>
      <c r="IYV74" s="2198"/>
      <c r="IYW74" s="2198"/>
      <c r="IYX74" s="2198"/>
      <c r="IYY74" s="2198"/>
      <c r="IYZ74" s="2198"/>
      <c r="IZA74" s="2198"/>
      <c r="IZB74" s="2198"/>
      <c r="IZC74" s="2198"/>
      <c r="IZD74" s="2198"/>
      <c r="IZE74" s="2198"/>
      <c r="IZF74" s="2198"/>
      <c r="IZG74" s="2198"/>
      <c r="IZH74" s="2198"/>
      <c r="IZI74" s="2198"/>
      <c r="IZJ74" s="2198"/>
      <c r="IZK74" s="2198"/>
      <c r="IZL74" s="2198"/>
      <c r="IZM74" s="2198"/>
      <c r="IZN74" s="2198"/>
      <c r="IZO74" s="2198"/>
      <c r="IZP74" s="2198"/>
      <c r="IZQ74" s="2198"/>
      <c r="IZR74" s="2198"/>
      <c r="IZS74" s="2198"/>
      <c r="IZT74" s="2198"/>
      <c r="IZU74" s="2198"/>
      <c r="IZV74" s="2198"/>
      <c r="IZW74" s="2198"/>
      <c r="IZX74" s="2198"/>
      <c r="IZY74" s="2198"/>
      <c r="IZZ74" s="2198"/>
      <c r="JAA74" s="2198"/>
      <c r="JAB74" s="2198"/>
      <c r="JAC74" s="2198"/>
      <c r="JAD74" s="2198"/>
      <c r="JAE74" s="2198"/>
      <c r="JAF74" s="2198"/>
      <c r="JAG74" s="2198"/>
      <c r="JAH74" s="2198"/>
      <c r="JAI74" s="2198"/>
      <c r="JAJ74" s="2198"/>
      <c r="JAK74" s="2198"/>
      <c r="JAL74" s="2198"/>
      <c r="JAM74" s="2198"/>
      <c r="JAN74" s="2198"/>
      <c r="JAO74" s="2198"/>
      <c r="JAP74" s="2198"/>
      <c r="JAQ74" s="2198"/>
      <c r="JAR74" s="2198"/>
      <c r="JAS74" s="2198"/>
      <c r="JAT74" s="2198"/>
      <c r="JAU74" s="2198"/>
      <c r="JAV74" s="2198"/>
      <c r="JAW74" s="2198"/>
      <c r="JAX74" s="2198"/>
      <c r="JAY74" s="2198"/>
      <c r="JAZ74" s="2198"/>
      <c r="JBA74" s="2198"/>
      <c r="JBB74" s="2198"/>
      <c r="JBC74" s="2198"/>
      <c r="JBD74" s="2198"/>
      <c r="JBE74" s="2198"/>
      <c r="JBF74" s="2198"/>
      <c r="JBG74" s="2198"/>
      <c r="JBH74" s="2198"/>
      <c r="JBI74" s="2198"/>
      <c r="JBJ74" s="2198"/>
      <c r="JBK74" s="2198"/>
      <c r="JBL74" s="2198"/>
      <c r="JBM74" s="2198"/>
      <c r="JBN74" s="2198"/>
      <c r="JBO74" s="2198"/>
      <c r="JBP74" s="2198"/>
      <c r="JBQ74" s="2198"/>
      <c r="JBR74" s="2198"/>
      <c r="JBS74" s="2198"/>
      <c r="JBT74" s="2198"/>
      <c r="JBU74" s="2198"/>
      <c r="JBV74" s="2198"/>
      <c r="JBW74" s="2198"/>
      <c r="JBX74" s="2198"/>
      <c r="JBY74" s="2198"/>
      <c r="JBZ74" s="2198"/>
      <c r="JCA74" s="2198"/>
      <c r="JCB74" s="2198"/>
      <c r="JCC74" s="2198"/>
      <c r="JCD74" s="2198"/>
      <c r="JCE74" s="2198"/>
      <c r="JCF74" s="2198"/>
      <c r="JCG74" s="2198"/>
      <c r="JCH74" s="2198"/>
      <c r="JCI74" s="2198"/>
      <c r="JCJ74" s="2198"/>
      <c r="JCK74" s="2198"/>
      <c r="JCL74" s="2198"/>
      <c r="JCM74" s="2198"/>
      <c r="JCN74" s="2198"/>
      <c r="JCO74" s="2198"/>
      <c r="JCP74" s="2198"/>
      <c r="JCQ74" s="2198"/>
      <c r="JCR74" s="2198"/>
      <c r="JCS74" s="2198"/>
      <c r="JCT74" s="2198"/>
      <c r="JCU74" s="2198"/>
      <c r="JCV74" s="2198"/>
      <c r="JCW74" s="2198"/>
      <c r="JCX74" s="2198"/>
      <c r="JCY74" s="2198"/>
      <c r="JCZ74" s="2198"/>
      <c r="JDA74" s="2198"/>
      <c r="JDB74" s="2198"/>
      <c r="JDC74" s="2198"/>
      <c r="JDD74" s="2198"/>
      <c r="JDE74" s="2198"/>
      <c r="JDF74" s="2198"/>
      <c r="JDG74" s="2198"/>
      <c r="JDH74" s="2198"/>
      <c r="JDI74" s="2198"/>
      <c r="JDJ74" s="2198"/>
      <c r="JDK74" s="2198"/>
      <c r="JDL74" s="2198"/>
      <c r="JDM74" s="2198"/>
      <c r="JDN74" s="2198"/>
      <c r="JDO74" s="2198"/>
      <c r="JDP74" s="2198"/>
      <c r="JDQ74" s="2198"/>
      <c r="JDR74" s="2198"/>
      <c r="JDS74" s="2198"/>
      <c r="JDT74" s="2198"/>
      <c r="JDU74" s="2198"/>
      <c r="JDV74" s="2198"/>
      <c r="JDW74" s="2198"/>
      <c r="JDX74" s="2198"/>
      <c r="JDY74" s="2198"/>
      <c r="JDZ74" s="2198"/>
      <c r="JEA74" s="2198"/>
      <c r="JEB74" s="2198"/>
      <c r="JEC74" s="2198"/>
      <c r="JED74" s="2198"/>
      <c r="JEE74" s="2198"/>
      <c r="JEF74" s="2198"/>
      <c r="JEG74" s="2198"/>
      <c r="JEH74" s="2198"/>
      <c r="JEI74" s="2198"/>
      <c r="JEJ74" s="2198"/>
      <c r="JEK74" s="2198"/>
      <c r="JEL74" s="2198"/>
      <c r="JEM74" s="2198"/>
      <c r="JEN74" s="2198"/>
      <c r="JEO74" s="2198"/>
      <c r="JEP74" s="2198"/>
      <c r="JEQ74" s="2198"/>
      <c r="JER74" s="2198"/>
      <c r="JES74" s="2198"/>
      <c r="JET74" s="2198"/>
      <c r="JEU74" s="2198"/>
      <c r="JEV74" s="2198"/>
      <c r="JEW74" s="2198"/>
      <c r="JEX74" s="2198"/>
      <c r="JEY74" s="2198"/>
      <c r="JEZ74" s="2198"/>
      <c r="JFA74" s="2198"/>
      <c r="JFB74" s="2198"/>
      <c r="JFC74" s="2198"/>
      <c r="JFD74" s="2198"/>
      <c r="JFE74" s="2198"/>
      <c r="JFF74" s="2198"/>
      <c r="JFG74" s="2198"/>
      <c r="JFH74" s="2198"/>
      <c r="JFI74" s="2198"/>
      <c r="JFJ74" s="2198"/>
      <c r="JFK74" s="2198"/>
      <c r="JFL74" s="2198"/>
      <c r="JFM74" s="2198"/>
      <c r="JFN74" s="2198"/>
      <c r="JFO74" s="2198"/>
      <c r="JFP74" s="2198"/>
      <c r="JFQ74" s="2198"/>
      <c r="JFR74" s="2198"/>
      <c r="JFS74" s="2198"/>
      <c r="JFT74" s="2198"/>
      <c r="JFU74" s="2198"/>
      <c r="JFV74" s="2198"/>
      <c r="JFW74" s="2198"/>
      <c r="JFX74" s="2198"/>
      <c r="JFY74" s="2198"/>
      <c r="JFZ74" s="2198"/>
      <c r="JGA74" s="2198"/>
      <c r="JGB74" s="2198"/>
      <c r="JGC74" s="2198"/>
      <c r="JGD74" s="2198"/>
      <c r="JGE74" s="2198"/>
      <c r="JGF74" s="2198"/>
      <c r="JGG74" s="2198"/>
      <c r="JGH74" s="2198"/>
      <c r="JGI74" s="2198"/>
      <c r="JGJ74" s="2198"/>
      <c r="JGK74" s="2198"/>
      <c r="JGL74" s="2198"/>
      <c r="JGM74" s="2198"/>
      <c r="JGN74" s="2198"/>
      <c r="JGO74" s="2198"/>
      <c r="JGP74" s="2198"/>
      <c r="JGQ74" s="2198"/>
      <c r="JGR74" s="2198"/>
      <c r="JGS74" s="2198"/>
      <c r="JGT74" s="2198"/>
      <c r="JGU74" s="2198"/>
      <c r="JGV74" s="2198"/>
      <c r="JGW74" s="2198"/>
      <c r="JGX74" s="2198"/>
      <c r="JGY74" s="2198"/>
      <c r="JGZ74" s="2198"/>
      <c r="JHA74" s="2198"/>
      <c r="JHB74" s="2198"/>
      <c r="JHC74" s="2198"/>
      <c r="JHD74" s="2198"/>
      <c r="JHE74" s="2198"/>
      <c r="JHF74" s="2198"/>
      <c r="JHG74" s="2198"/>
      <c r="JHH74" s="2198"/>
      <c r="JHI74" s="2198"/>
      <c r="JHJ74" s="2198"/>
      <c r="JHK74" s="2198"/>
      <c r="JHL74" s="2198"/>
      <c r="JHM74" s="2198"/>
      <c r="JHN74" s="2198"/>
      <c r="JHO74" s="2198"/>
      <c r="JHP74" s="2198"/>
      <c r="JHQ74" s="2198"/>
      <c r="JHR74" s="2198"/>
      <c r="JHS74" s="2198"/>
      <c r="JHT74" s="2198"/>
      <c r="JHU74" s="2198"/>
      <c r="JHV74" s="2198"/>
      <c r="JHW74" s="2198"/>
      <c r="JHX74" s="2198"/>
      <c r="JHY74" s="2198"/>
      <c r="JHZ74" s="2198"/>
      <c r="JIA74" s="2198"/>
      <c r="JIB74" s="2198"/>
      <c r="JIC74" s="2198"/>
      <c r="JID74" s="2198"/>
      <c r="JIE74" s="2198"/>
      <c r="JIF74" s="2198"/>
      <c r="JIG74" s="2198"/>
      <c r="JIH74" s="2198"/>
      <c r="JII74" s="2198"/>
      <c r="JIJ74" s="2198"/>
      <c r="JIK74" s="2198"/>
      <c r="JIL74" s="2198"/>
      <c r="JIM74" s="2198"/>
      <c r="JIN74" s="2198"/>
      <c r="JIO74" s="2198"/>
      <c r="JIP74" s="2198"/>
      <c r="JIQ74" s="2198"/>
      <c r="JIR74" s="2198"/>
      <c r="JIS74" s="2198"/>
      <c r="JIT74" s="2198"/>
      <c r="JIU74" s="2198"/>
      <c r="JIV74" s="2198"/>
      <c r="JIW74" s="2198"/>
      <c r="JIX74" s="2198"/>
      <c r="JIY74" s="2198"/>
      <c r="JIZ74" s="2198"/>
      <c r="JJA74" s="2198"/>
      <c r="JJB74" s="2198"/>
      <c r="JJC74" s="2198"/>
      <c r="JJD74" s="2198"/>
      <c r="JJE74" s="2198"/>
      <c r="JJF74" s="2198"/>
      <c r="JJG74" s="2198"/>
      <c r="JJH74" s="2198"/>
      <c r="JJI74" s="2198"/>
      <c r="JJJ74" s="2198"/>
      <c r="JJK74" s="2198"/>
      <c r="JJL74" s="2198"/>
      <c r="JJM74" s="2198"/>
      <c r="JJN74" s="2198"/>
      <c r="JJO74" s="2198"/>
      <c r="JJP74" s="2198"/>
      <c r="JJQ74" s="2198"/>
      <c r="JJR74" s="2198"/>
      <c r="JJS74" s="2198"/>
      <c r="JJT74" s="2198"/>
      <c r="JJU74" s="2198"/>
      <c r="JJV74" s="2198"/>
      <c r="JJW74" s="2198"/>
      <c r="JJX74" s="2198"/>
      <c r="JJY74" s="2198"/>
      <c r="JJZ74" s="2198"/>
      <c r="JKA74" s="2198"/>
      <c r="JKB74" s="2198"/>
      <c r="JKC74" s="2198"/>
      <c r="JKD74" s="2198"/>
      <c r="JKE74" s="2198"/>
      <c r="JKF74" s="2198"/>
      <c r="JKG74" s="2198"/>
      <c r="JKH74" s="2198"/>
      <c r="JKI74" s="2198"/>
      <c r="JKJ74" s="2198"/>
      <c r="JKK74" s="2198"/>
      <c r="JKL74" s="2198"/>
      <c r="JKM74" s="2198"/>
      <c r="JKN74" s="2198"/>
      <c r="JKO74" s="2198"/>
      <c r="JKP74" s="2198"/>
      <c r="JKQ74" s="2198"/>
      <c r="JKR74" s="2198"/>
      <c r="JKS74" s="2198"/>
      <c r="JKT74" s="2198"/>
      <c r="JKU74" s="2198"/>
      <c r="JKV74" s="2198"/>
      <c r="JKW74" s="2198"/>
      <c r="JKX74" s="2198"/>
      <c r="JKY74" s="2198"/>
      <c r="JKZ74" s="2198"/>
      <c r="JLA74" s="2198"/>
      <c r="JLB74" s="2198"/>
      <c r="JLC74" s="2198"/>
      <c r="JLD74" s="2198"/>
      <c r="JLE74" s="2198"/>
      <c r="JLF74" s="2198"/>
      <c r="JLG74" s="2198"/>
      <c r="JLH74" s="2198"/>
      <c r="JLI74" s="2198"/>
      <c r="JLJ74" s="2198"/>
      <c r="JLK74" s="2198"/>
      <c r="JLL74" s="2198"/>
      <c r="JLM74" s="2198"/>
      <c r="JLN74" s="2198"/>
      <c r="JLO74" s="2198"/>
      <c r="JLP74" s="2198"/>
      <c r="JLQ74" s="2198"/>
      <c r="JLR74" s="2198"/>
      <c r="JLS74" s="2198"/>
      <c r="JLT74" s="2198"/>
      <c r="JLU74" s="2198"/>
      <c r="JLV74" s="2198"/>
      <c r="JLW74" s="2198"/>
      <c r="JLX74" s="2198"/>
      <c r="JLY74" s="2198"/>
      <c r="JLZ74" s="2198"/>
      <c r="JMA74" s="2198"/>
      <c r="JMB74" s="2198"/>
      <c r="JMC74" s="2198"/>
      <c r="JMD74" s="2198"/>
      <c r="JME74" s="2198"/>
      <c r="JMF74" s="2198"/>
      <c r="JMG74" s="2198"/>
      <c r="JMH74" s="2198"/>
      <c r="JMI74" s="2198"/>
      <c r="JMJ74" s="2198"/>
      <c r="JMK74" s="2198"/>
      <c r="JML74" s="2198"/>
      <c r="JMM74" s="2198"/>
      <c r="JMN74" s="2198"/>
      <c r="JMO74" s="2198"/>
      <c r="JMP74" s="2198"/>
      <c r="JMQ74" s="2198"/>
      <c r="JMR74" s="2198"/>
      <c r="JMS74" s="2198"/>
      <c r="JMT74" s="2198"/>
      <c r="JMU74" s="2198"/>
      <c r="JMV74" s="2198"/>
      <c r="JMW74" s="2198"/>
      <c r="JMX74" s="2198"/>
      <c r="JMY74" s="2198"/>
      <c r="JMZ74" s="2198"/>
      <c r="JNA74" s="2198"/>
      <c r="JNB74" s="2198"/>
      <c r="JNC74" s="2198"/>
      <c r="JND74" s="2198"/>
      <c r="JNE74" s="2198"/>
      <c r="JNF74" s="2198"/>
      <c r="JNG74" s="2198"/>
      <c r="JNH74" s="2198"/>
      <c r="JNI74" s="2198"/>
      <c r="JNJ74" s="2198"/>
      <c r="JNK74" s="2198"/>
      <c r="JNL74" s="2198"/>
      <c r="JNM74" s="2198"/>
      <c r="JNN74" s="2198"/>
      <c r="JNO74" s="2198"/>
      <c r="JNP74" s="2198"/>
      <c r="JNQ74" s="2198"/>
      <c r="JNR74" s="2198"/>
      <c r="JNS74" s="2198"/>
      <c r="JNT74" s="2198"/>
      <c r="JNU74" s="2198"/>
      <c r="JNV74" s="2198"/>
      <c r="JNW74" s="2198"/>
      <c r="JNX74" s="2198"/>
      <c r="JNY74" s="2198"/>
      <c r="JNZ74" s="2198"/>
      <c r="JOA74" s="2198"/>
      <c r="JOB74" s="2198"/>
      <c r="JOC74" s="2198"/>
      <c r="JOD74" s="2198"/>
      <c r="JOE74" s="2198"/>
      <c r="JOF74" s="2198"/>
      <c r="JOG74" s="2198"/>
      <c r="JOH74" s="2198"/>
      <c r="JOI74" s="2198"/>
      <c r="JOJ74" s="2198"/>
      <c r="JOK74" s="2198"/>
      <c r="JOL74" s="2198"/>
      <c r="JOM74" s="2198"/>
      <c r="JON74" s="2198"/>
      <c r="JOO74" s="2198"/>
      <c r="JOP74" s="2198"/>
      <c r="JOQ74" s="2198"/>
      <c r="JOR74" s="2198"/>
      <c r="JOS74" s="2198"/>
      <c r="JOT74" s="2198"/>
      <c r="JOU74" s="2198"/>
      <c r="JOV74" s="2198"/>
      <c r="JOW74" s="2198"/>
      <c r="JOX74" s="2198"/>
      <c r="JOY74" s="2198"/>
      <c r="JOZ74" s="2198"/>
      <c r="JPA74" s="2198"/>
      <c r="JPB74" s="2198"/>
      <c r="JPC74" s="2198"/>
      <c r="JPD74" s="2198"/>
      <c r="JPE74" s="2198"/>
      <c r="JPF74" s="2198"/>
      <c r="JPG74" s="2198"/>
      <c r="JPH74" s="2198"/>
      <c r="JPI74" s="2198"/>
      <c r="JPJ74" s="2198"/>
      <c r="JPK74" s="2198"/>
      <c r="JPL74" s="2198"/>
      <c r="JPM74" s="2198"/>
      <c r="JPN74" s="2198"/>
      <c r="JPO74" s="2198"/>
      <c r="JPP74" s="2198"/>
      <c r="JPQ74" s="2198"/>
      <c r="JPR74" s="2198"/>
      <c r="JPS74" s="2198"/>
      <c r="JPT74" s="2198"/>
      <c r="JPU74" s="2198"/>
      <c r="JPV74" s="2198"/>
      <c r="JPW74" s="2198"/>
      <c r="JPX74" s="2198"/>
      <c r="JPY74" s="2198"/>
      <c r="JPZ74" s="2198"/>
      <c r="JQA74" s="2198"/>
      <c r="JQB74" s="2198"/>
      <c r="JQC74" s="2198"/>
      <c r="JQD74" s="2198"/>
      <c r="JQE74" s="2198"/>
      <c r="JQF74" s="2198"/>
      <c r="JQG74" s="2198"/>
      <c r="JQH74" s="2198"/>
      <c r="JQI74" s="2198"/>
      <c r="JQJ74" s="2198"/>
      <c r="JQK74" s="2198"/>
      <c r="JQL74" s="2198"/>
      <c r="JQM74" s="2198"/>
      <c r="JQN74" s="2198"/>
      <c r="JQO74" s="2198"/>
      <c r="JQP74" s="2198"/>
      <c r="JQQ74" s="2198"/>
      <c r="JQR74" s="2198"/>
      <c r="JQS74" s="2198"/>
      <c r="JQT74" s="2198"/>
      <c r="JQU74" s="2198"/>
      <c r="JQV74" s="2198"/>
      <c r="JQW74" s="2198"/>
      <c r="JQX74" s="2198"/>
      <c r="JQY74" s="2198"/>
      <c r="JQZ74" s="2198"/>
      <c r="JRA74" s="2198"/>
      <c r="JRB74" s="2198"/>
      <c r="JRC74" s="2198"/>
      <c r="JRD74" s="2198"/>
      <c r="JRE74" s="2198"/>
      <c r="JRF74" s="2198"/>
      <c r="JRG74" s="2198"/>
      <c r="JRH74" s="2198"/>
      <c r="JRI74" s="2198"/>
      <c r="JRJ74" s="2198"/>
      <c r="JRK74" s="2198"/>
      <c r="JRL74" s="2198"/>
      <c r="JRM74" s="2198"/>
      <c r="JRN74" s="2198"/>
      <c r="JRO74" s="2198"/>
      <c r="JRP74" s="2198"/>
      <c r="JRQ74" s="2198"/>
      <c r="JRR74" s="2198"/>
      <c r="JRS74" s="2198"/>
      <c r="JRT74" s="2198"/>
      <c r="JRU74" s="2198"/>
      <c r="JRV74" s="2198"/>
      <c r="JRW74" s="2198"/>
      <c r="JRX74" s="2198"/>
      <c r="JRY74" s="2198"/>
      <c r="JRZ74" s="2198"/>
      <c r="JSA74" s="2198"/>
      <c r="JSB74" s="2198"/>
      <c r="JSC74" s="2198"/>
      <c r="JSD74" s="2198"/>
      <c r="JSE74" s="2198"/>
      <c r="JSF74" s="2198"/>
      <c r="JSG74" s="2198"/>
      <c r="JSH74" s="2198"/>
      <c r="JSI74" s="2198"/>
      <c r="JSJ74" s="2198"/>
      <c r="JSK74" s="2198"/>
      <c r="JSL74" s="2198"/>
      <c r="JSM74" s="2198"/>
      <c r="JSN74" s="2198"/>
      <c r="JSO74" s="2198"/>
      <c r="JSP74" s="2198"/>
      <c r="JSQ74" s="2198"/>
      <c r="JSR74" s="2198"/>
      <c r="JSS74" s="2198"/>
      <c r="JST74" s="2198"/>
      <c r="JSU74" s="2198"/>
      <c r="JSV74" s="2198"/>
      <c r="JSW74" s="2198"/>
      <c r="JSX74" s="2198"/>
      <c r="JSY74" s="2198"/>
      <c r="JSZ74" s="2198"/>
      <c r="JTA74" s="2198"/>
      <c r="JTB74" s="2198"/>
      <c r="JTC74" s="2198"/>
      <c r="JTD74" s="2198"/>
      <c r="JTE74" s="2198"/>
      <c r="JTF74" s="2198"/>
      <c r="JTG74" s="2198"/>
      <c r="JTH74" s="2198"/>
      <c r="JTI74" s="2198"/>
      <c r="JTJ74" s="2198"/>
      <c r="JTK74" s="2198"/>
      <c r="JTL74" s="2198"/>
      <c r="JTM74" s="2198"/>
      <c r="JTN74" s="2198"/>
      <c r="JTO74" s="2198"/>
      <c r="JTP74" s="2198"/>
      <c r="JTQ74" s="2198"/>
      <c r="JTR74" s="2198"/>
      <c r="JTS74" s="2198"/>
      <c r="JTT74" s="2198"/>
      <c r="JTU74" s="2198"/>
      <c r="JTV74" s="2198"/>
      <c r="JTW74" s="2198"/>
      <c r="JTX74" s="2198"/>
      <c r="JTY74" s="2198"/>
      <c r="JTZ74" s="2198"/>
      <c r="JUA74" s="2198"/>
      <c r="JUB74" s="2198"/>
      <c r="JUC74" s="2198"/>
      <c r="JUD74" s="2198"/>
      <c r="JUE74" s="2198"/>
      <c r="JUF74" s="2198"/>
      <c r="JUG74" s="2198"/>
      <c r="JUH74" s="2198"/>
      <c r="JUI74" s="2198"/>
      <c r="JUJ74" s="2198"/>
      <c r="JUK74" s="2198"/>
      <c r="JUL74" s="2198"/>
      <c r="JUM74" s="2198"/>
      <c r="JUN74" s="2198"/>
      <c r="JUO74" s="2198"/>
      <c r="JUP74" s="2198"/>
      <c r="JUQ74" s="2198"/>
      <c r="JUR74" s="2198"/>
      <c r="JUS74" s="2198"/>
      <c r="JUT74" s="2198"/>
      <c r="JUU74" s="2198"/>
      <c r="JUV74" s="2198"/>
      <c r="JUW74" s="2198"/>
      <c r="JUX74" s="2198"/>
      <c r="JUY74" s="2198"/>
      <c r="JUZ74" s="2198"/>
      <c r="JVA74" s="2198"/>
      <c r="JVB74" s="2198"/>
      <c r="JVC74" s="2198"/>
      <c r="JVD74" s="2198"/>
      <c r="JVE74" s="2198"/>
      <c r="JVF74" s="2198"/>
      <c r="JVG74" s="2198"/>
      <c r="JVH74" s="2198"/>
      <c r="JVI74" s="2198"/>
      <c r="JVJ74" s="2198"/>
      <c r="JVK74" s="2198"/>
      <c r="JVL74" s="2198"/>
      <c r="JVM74" s="2198"/>
      <c r="JVN74" s="2198"/>
      <c r="JVO74" s="2198"/>
      <c r="JVP74" s="2198"/>
      <c r="JVQ74" s="2198"/>
      <c r="JVR74" s="2198"/>
      <c r="JVS74" s="2198"/>
      <c r="JVT74" s="2198"/>
      <c r="JVU74" s="2198"/>
      <c r="JVV74" s="2198"/>
      <c r="JVW74" s="2198"/>
      <c r="JVX74" s="2198"/>
      <c r="JVY74" s="2198"/>
      <c r="JVZ74" s="2198"/>
      <c r="JWA74" s="2198"/>
      <c r="JWB74" s="2198"/>
      <c r="JWC74" s="2198"/>
      <c r="JWD74" s="2198"/>
      <c r="JWE74" s="2198"/>
      <c r="JWF74" s="2198"/>
      <c r="JWG74" s="2198"/>
      <c r="JWH74" s="2198"/>
      <c r="JWI74" s="2198"/>
      <c r="JWJ74" s="2198"/>
      <c r="JWK74" s="2198"/>
      <c r="JWL74" s="2198"/>
      <c r="JWM74" s="2198"/>
      <c r="JWN74" s="2198"/>
      <c r="JWO74" s="2198"/>
      <c r="JWP74" s="2198"/>
      <c r="JWQ74" s="2198"/>
      <c r="JWR74" s="2198"/>
      <c r="JWS74" s="2198"/>
      <c r="JWT74" s="2198"/>
      <c r="JWU74" s="2198"/>
      <c r="JWV74" s="2198"/>
      <c r="JWW74" s="2198"/>
      <c r="JWX74" s="2198"/>
      <c r="JWY74" s="2198"/>
      <c r="JWZ74" s="2198"/>
      <c r="JXA74" s="2198"/>
      <c r="JXB74" s="2198"/>
      <c r="JXC74" s="2198"/>
      <c r="JXD74" s="2198"/>
      <c r="JXE74" s="2198"/>
      <c r="JXF74" s="2198"/>
      <c r="JXG74" s="2198"/>
      <c r="JXH74" s="2198"/>
      <c r="JXI74" s="2198"/>
      <c r="JXJ74" s="2198"/>
      <c r="JXK74" s="2198"/>
      <c r="JXL74" s="2198"/>
      <c r="JXM74" s="2198"/>
      <c r="JXN74" s="2198"/>
      <c r="JXO74" s="2198"/>
      <c r="JXP74" s="2198"/>
      <c r="JXQ74" s="2198"/>
      <c r="JXR74" s="2198"/>
      <c r="JXS74" s="2198"/>
      <c r="JXT74" s="2198"/>
      <c r="JXU74" s="2198"/>
      <c r="JXV74" s="2198"/>
      <c r="JXW74" s="2198"/>
      <c r="JXX74" s="2198"/>
      <c r="JXY74" s="2198"/>
      <c r="JXZ74" s="2198"/>
      <c r="JYA74" s="2198"/>
      <c r="JYB74" s="2198"/>
      <c r="JYC74" s="2198"/>
      <c r="JYD74" s="2198"/>
      <c r="JYE74" s="2198"/>
      <c r="JYF74" s="2198"/>
      <c r="JYG74" s="2198"/>
      <c r="JYH74" s="2198"/>
      <c r="JYI74" s="2198"/>
      <c r="JYJ74" s="2198"/>
      <c r="JYK74" s="2198"/>
      <c r="JYL74" s="2198"/>
      <c r="JYM74" s="2198"/>
      <c r="JYN74" s="2198"/>
      <c r="JYO74" s="2198"/>
      <c r="JYP74" s="2198"/>
      <c r="JYQ74" s="2198"/>
      <c r="JYR74" s="2198"/>
      <c r="JYS74" s="2198"/>
      <c r="JYT74" s="2198"/>
      <c r="JYU74" s="2198"/>
      <c r="JYV74" s="2198"/>
      <c r="JYW74" s="2198"/>
      <c r="JYX74" s="2198"/>
      <c r="JYY74" s="2198"/>
      <c r="JYZ74" s="2198"/>
      <c r="JZA74" s="2198"/>
      <c r="JZB74" s="2198"/>
      <c r="JZC74" s="2198"/>
      <c r="JZD74" s="2198"/>
      <c r="JZE74" s="2198"/>
      <c r="JZF74" s="2198"/>
      <c r="JZG74" s="2198"/>
      <c r="JZH74" s="2198"/>
      <c r="JZI74" s="2198"/>
      <c r="JZJ74" s="2198"/>
      <c r="JZK74" s="2198"/>
      <c r="JZL74" s="2198"/>
      <c r="JZM74" s="2198"/>
      <c r="JZN74" s="2198"/>
      <c r="JZO74" s="2198"/>
      <c r="JZP74" s="2198"/>
      <c r="JZQ74" s="2198"/>
      <c r="JZR74" s="2198"/>
      <c r="JZS74" s="2198"/>
      <c r="JZT74" s="2198"/>
      <c r="JZU74" s="2198"/>
      <c r="JZV74" s="2198"/>
      <c r="JZW74" s="2198"/>
      <c r="JZX74" s="2198"/>
      <c r="JZY74" s="2198"/>
      <c r="JZZ74" s="2198"/>
      <c r="KAA74" s="2198"/>
      <c r="KAB74" s="2198"/>
      <c r="KAC74" s="2198"/>
      <c r="KAD74" s="2198"/>
      <c r="KAE74" s="2198"/>
      <c r="KAF74" s="2198"/>
      <c r="KAG74" s="2198"/>
      <c r="KAH74" s="2198"/>
      <c r="KAI74" s="2198"/>
      <c r="KAJ74" s="2198"/>
      <c r="KAK74" s="2198"/>
      <c r="KAL74" s="2198"/>
      <c r="KAM74" s="2198"/>
      <c r="KAN74" s="2198"/>
      <c r="KAO74" s="2198"/>
      <c r="KAP74" s="2198"/>
      <c r="KAQ74" s="2198"/>
      <c r="KAR74" s="2198"/>
      <c r="KAS74" s="2198"/>
      <c r="KAT74" s="2198"/>
      <c r="KAU74" s="2198"/>
      <c r="KAV74" s="2198"/>
      <c r="KAW74" s="2198"/>
      <c r="KAX74" s="2198"/>
      <c r="KAY74" s="2198"/>
      <c r="KAZ74" s="2198"/>
      <c r="KBA74" s="2198"/>
      <c r="KBB74" s="2198"/>
      <c r="KBC74" s="2198"/>
      <c r="KBD74" s="2198"/>
      <c r="KBE74" s="2198"/>
      <c r="KBF74" s="2198"/>
      <c r="KBG74" s="2198"/>
      <c r="KBH74" s="2198"/>
      <c r="KBI74" s="2198"/>
      <c r="KBJ74" s="2198"/>
      <c r="KBK74" s="2198"/>
      <c r="KBL74" s="2198"/>
      <c r="KBM74" s="2198"/>
      <c r="KBN74" s="2198"/>
      <c r="KBO74" s="2198"/>
      <c r="KBP74" s="2198"/>
      <c r="KBQ74" s="2198"/>
      <c r="KBR74" s="2198"/>
      <c r="KBS74" s="2198"/>
      <c r="KBT74" s="2198"/>
      <c r="KBU74" s="2198"/>
      <c r="KBV74" s="2198"/>
      <c r="KBW74" s="2198"/>
      <c r="KBX74" s="2198"/>
      <c r="KBY74" s="2198"/>
      <c r="KBZ74" s="2198"/>
      <c r="KCA74" s="2198"/>
      <c r="KCB74" s="2198"/>
      <c r="KCC74" s="2198"/>
      <c r="KCD74" s="2198"/>
      <c r="KCE74" s="2198"/>
      <c r="KCF74" s="2198"/>
      <c r="KCG74" s="2198"/>
      <c r="KCH74" s="2198"/>
      <c r="KCI74" s="2198"/>
      <c r="KCJ74" s="2198"/>
      <c r="KCK74" s="2198"/>
      <c r="KCL74" s="2198"/>
      <c r="KCM74" s="2198"/>
      <c r="KCN74" s="2198"/>
      <c r="KCO74" s="2198"/>
      <c r="KCP74" s="2198"/>
      <c r="KCQ74" s="2198"/>
      <c r="KCR74" s="2198"/>
      <c r="KCS74" s="2198"/>
      <c r="KCT74" s="2198"/>
      <c r="KCU74" s="2198"/>
      <c r="KCV74" s="2198"/>
      <c r="KCW74" s="2198"/>
      <c r="KCX74" s="2198"/>
      <c r="KCY74" s="2198"/>
      <c r="KCZ74" s="2198"/>
      <c r="KDA74" s="2198"/>
      <c r="KDB74" s="2198"/>
      <c r="KDC74" s="2198"/>
      <c r="KDD74" s="2198"/>
      <c r="KDE74" s="2198"/>
      <c r="KDF74" s="2198"/>
      <c r="KDG74" s="2198"/>
      <c r="KDH74" s="2198"/>
      <c r="KDI74" s="2198"/>
      <c r="KDJ74" s="2198"/>
      <c r="KDK74" s="2198"/>
      <c r="KDL74" s="2198"/>
      <c r="KDM74" s="2198"/>
      <c r="KDN74" s="2198"/>
      <c r="KDO74" s="2198"/>
      <c r="KDP74" s="2198"/>
      <c r="KDQ74" s="2198"/>
      <c r="KDR74" s="2198"/>
      <c r="KDS74" s="2198"/>
      <c r="KDT74" s="2198"/>
      <c r="KDU74" s="2198"/>
      <c r="KDV74" s="2198"/>
      <c r="KDW74" s="2198"/>
      <c r="KDX74" s="2198"/>
      <c r="KDY74" s="2198"/>
      <c r="KDZ74" s="2198"/>
      <c r="KEA74" s="2198"/>
      <c r="KEB74" s="2198"/>
      <c r="KEC74" s="2198"/>
      <c r="KED74" s="2198"/>
      <c r="KEE74" s="2198"/>
      <c r="KEF74" s="2198"/>
      <c r="KEG74" s="2198"/>
      <c r="KEH74" s="2198"/>
      <c r="KEI74" s="2198"/>
      <c r="KEJ74" s="2198"/>
      <c r="KEK74" s="2198"/>
      <c r="KEL74" s="2198"/>
      <c r="KEM74" s="2198"/>
      <c r="KEN74" s="2198"/>
      <c r="KEO74" s="2198"/>
      <c r="KEP74" s="2198"/>
      <c r="KEQ74" s="2198"/>
      <c r="KER74" s="2198"/>
      <c r="KES74" s="2198"/>
      <c r="KET74" s="2198"/>
      <c r="KEU74" s="2198"/>
      <c r="KEV74" s="2198"/>
      <c r="KEW74" s="2198"/>
      <c r="KEX74" s="2198"/>
      <c r="KEY74" s="2198"/>
      <c r="KEZ74" s="2198"/>
      <c r="KFA74" s="2198"/>
      <c r="KFB74" s="2198"/>
      <c r="KFC74" s="2198"/>
      <c r="KFD74" s="2198"/>
      <c r="KFE74" s="2198"/>
      <c r="KFF74" s="2198"/>
      <c r="KFG74" s="2198"/>
      <c r="KFH74" s="2198"/>
      <c r="KFI74" s="2198"/>
      <c r="KFJ74" s="2198"/>
      <c r="KFK74" s="2198"/>
      <c r="KFL74" s="2198"/>
      <c r="KFM74" s="2198"/>
      <c r="KFN74" s="2198"/>
      <c r="KFO74" s="2198"/>
      <c r="KFP74" s="2198"/>
      <c r="KFQ74" s="2198"/>
      <c r="KFR74" s="2198"/>
      <c r="KFS74" s="2198"/>
      <c r="KFT74" s="2198"/>
      <c r="KFU74" s="2198"/>
      <c r="KFV74" s="2198"/>
      <c r="KFW74" s="2198"/>
      <c r="KFX74" s="2198"/>
      <c r="KFY74" s="2198"/>
      <c r="KFZ74" s="2198"/>
      <c r="KGA74" s="2198"/>
      <c r="KGB74" s="2198"/>
      <c r="KGC74" s="2198"/>
      <c r="KGD74" s="2198"/>
      <c r="KGE74" s="2198"/>
      <c r="KGF74" s="2198"/>
      <c r="KGG74" s="2198"/>
      <c r="KGH74" s="2198"/>
      <c r="KGI74" s="2198"/>
      <c r="KGJ74" s="2198"/>
      <c r="KGK74" s="2198"/>
      <c r="KGL74" s="2198"/>
      <c r="KGM74" s="2198"/>
      <c r="KGN74" s="2198"/>
      <c r="KGO74" s="2198"/>
      <c r="KGP74" s="2198"/>
      <c r="KGQ74" s="2198"/>
      <c r="KGR74" s="2198"/>
      <c r="KGS74" s="2198"/>
      <c r="KGT74" s="2198"/>
      <c r="KGU74" s="2198"/>
      <c r="KGV74" s="2198"/>
      <c r="KGW74" s="2198"/>
      <c r="KGX74" s="2198"/>
      <c r="KGY74" s="2198"/>
      <c r="KGZ74" s="2198"/>
      <c r="KHA74" s="2198"/>
      <c r="KHB74" s="2198"/>
      <c r="KHC74" s="2198"/>
      <c r="KHD74" s="2198"/>
      <c r="KHE74" s="2198"/>
      <c r="KHF74" s="2198"/>
      <c r="KHG74" s="2198"/>
      <c r="KHH74" s="2198"/>
      <c r="KHI74" s="2198"/>
      <c r="KHJ74" s="2198"/>
      <c r="KHK74" s="2198"/>
      <c r="KHL74" s="2198"/>
      <c r="KHM74" s="2198"/>
      <c r="KHN74" s="2198"/>
      <c r="KHO74" s="2198"/>
      <c r="KHP74" s="2198"/>
      <c r="KHQ74" s="2198"/>
      <c r="KHR74" s="2198"/>
      <c r="KHS74" s="2198"/>
      <c r="KHT74" s="2198"/>
      <c r="KHU74" s="2198"/>
      <c r="KHV74" s="2198"/>
      <c r="KHW74" s="2198"/>
      <c r="KHX74" s="2198"/>
      <c r="KHY74" s="2198"/>
      <c r="KHZ74" s="2198"/>
      <c r="KIA74" s="2198"/>
      <c r="KIB74" s="2198"/>
      <c r="KIC74" s="2198"/>
      <c r="KID74" s="2198"/>
      <c r="KIE74" s="2198"/>
      <c r="KIF74" s="2198"/>
      <c r="KIG74" s="2198"/>
      <c r="KIH74" s="2198"/>
      <c r="KII74" s="2198"/>
      <c r="KIJ74" s="2198"/>
      <c r="KIK74" s="2198"/>
      <c r="KIL74" s="2198"/>
      <c r="KIM74" s="2198"/>
      <c r="KIN74" s="2198"/>
      <c r="KIO74" s="2198"/>
      <c r="KIP74" s="2198"/>
      <c r="KIQ74" s="2198"/>
      <c r="KIR74" s="2198"/>
      <c r="KIS74" s="2198"/>
      <c r="KIT74" s="2198"/>
      <c r="KIU74" s="2198"/>
      <c r="KIV74" s="2198"/>
      <c r="KIW74" s="2198"/>
      <c r="KIX74" s="2198"/>
      <c r="KIY74" s="2198"/>
      <c r="KIZ74" s="2198"/>
      <c r="KJA74" s="2198"/>
      <c r="KJB74" s="2198"/>
      <c r="KJC74" s="2198"/>
      <c r="KJD74" s="2198"/>
      <c r="KJE74" s="2198"/>
      <c r="KJF74" s="2198"/>
      <c r="KJG74" s="2198"/>
      <c r="KJH74" s="2198"/>
      <c r="KJI74" s="2198"/>
      <c r="KJJ74" s="2198"/>
      <c r="KJK74" s="2198"/>
      <c r="KJL74" s="2198"/>
      <c r="KJM74" s="2198"/>
      <c r="KJN74" s="2198"/>
      <c r="KJO74" s="2198"/>
      <c r="KJP74" s="2198"/>
      <c r="KJQ74" s="2198"/>
      <c r="KJR74" s="2198"/>
      <c r="KJS74" s="2198"/>
      <c r="KJT74" s="2198"/>
      <c r="KJU74" s="2198"/>
      <c r="KJV74" s="2198"/>
      <c r="KJW74" s="2198"/>
      <c r="KJX74" s="2198"/>
      <c r="KJY74" s="2198"/>
      <c r="KJZ74" s="2198"/>
      <c r="KKA74" s="2198"/>
      <c r="KKB74" s="2198"/>
      <c r="KKC74" s="2198"/>
      <c r="KKD74" s="2198"/>
      <c r="KKE74" s="2198"/>
      <c r="KKF74" s="2198"/>
      <c r="KKG74" s="2198"/>
      <c r="KKH74" s="2198"/>
      <c r="KKI74" s="2198"/>
      <c r="KKJ74" s="2198"/>
      <c r="KKK74" s="2198"/>
      <c r="KKL74" s="2198"/>
      <c r="KKM74" s="2198"/>
      <c r="KKN74" s="2198"/>
      <c r="KKO74" s="2198"/>
      <c r="KKP74" s="2198"/>
      <c r="KKQ74" s="2198"/>
      <c r="KKR74" s="2198"/>
      <c r="KKS74" s="2198"/>
      <c r="KKT74" s="2198"/>
      <c r="KKU74" s="2198"/>
      <c r="KKV74" s="2198"/>
      <c r="KKW74" s="2198"/>
      <c r="KKX74" s="2198"/>
      <c r="KKY74" s="2198"/>
      <c r="KKZ74" s="2198"/>
      <c r="KLA74" s="2198"/>
      <c r="KLB74" s="2198"/>
      <c r="KLC74" s="2198"/>
      <c r="KLD74" s="2198"/>
      <c r="KLE74" s="2198"/>
      <c r="KLF74" s="2198"/>
      <c r="KLG74" s="2198"/>
      <c r="KLH74" s="2198"/>
      <c r="KLI74" s="2198"/>
      <c r="KLJ74" s="2198"/>
      <c r="KLK74" s="2198"/>
      <c r="KLL74" s="2198"/>
      <c r="KLM74" s="2198"/>
      <c r="KLN74" s="2198"/>
      <c r="KLO74" s="2198"/>
      <c r="KLP74" s="2198"/>
      <c r="KLQ74" s="2198"/>
      <c r="KLR74" s="2198"/>
      <c r="KLS74" s="2198"/>
      <c r="KLT74" s="2198"/>
      <c r="KLU74" s="2198"/>
      <c r="KLV74" s="2198"/>
      <c r="KLW74" s="2198"/>
      <c r="KLX74" s="2198"/>
      <c r="KLY74" s="2198"/>
      <c r="KLZ74" s="2198"/>
      <c r="KMA74" s="2198"/>
      <c r="KMB74" s="2198"/>
      <c r="KMC74" s="2198"/>
      <c r="KMD74" s="2198"/>
      <c r="KME74" s="2198"/>
      <c r="KMF74" s="2198"/>
      <c r="KMG74" s="2198"/>
      <c r="KMH74" s="2198"/>
      <c r="KMI74" s="2198"/>
      <c r="KMJ74" s="2198"/>
      <c r="KMK74" s="2198"/>
      <c r="KML74" s="2198"/>
      <c r="KMM74" s="2198"/>
      <c r="KMN74" s="2198"/>
      <c r="KMO74" s="2198"/>
      <c r="KMP74" s="2198"/>
      <c r="KMQ74" s="2198"/>
      <c r="KMR74" s="2198"/>
      <c r="KMS74" s="2198"/>
      <c r="KMT74" s="2198"/>
      <c r="KMU74" s="2198"/>
      <c r="KMV74" s="2198"/>
      <c r="KMW74" s="2198"/>
      <c r="KMX74" s="2198"/>
      <c r="KMY74" s="2198"/>
      <c r="KMZ74" s="2198"/>
      <c r="KNA74" s="2198"/>
      <c r="KNB74" s="2198"/>
      <c r="KNC74" s="2198"/>
      <c r="KND74" s="2198"/>
      <c r="KNE74" s="2198"/>
      <c r="KNF74" s="2198"/>
      <c r="KNG74" s="2198"/>
      <c r="KNH74" s="2198"/>
      <c r="KNI74" s="2198"/>
      <c r="KNJ74" s="2198"/>
      <c r="KNK74" s="2198"/>
      <c r="KNL74" s="2198"/>
      <c r="KNM74" s="2198"/>
      <c r="KNN74" s="2198"/>
      <c r="KNO74" s="2198"/>
      <c r="KNP74" s="2198"/>
      <c r="KNQ74" s="2198"/>
      <c r="KNR74" s="2198"/>
      <c r="KNS74" s="2198"/>
      <c r="KNT74" s="2198"/>
      <c r="KNU74" s="2198"/>
      <c r="KNV74" s="2198"/>
      <c r="KNW74" s="2198"/>
      <c r="KNX74" s="2198"/>
      <c r="KNY74" s="2198"/>
      <c r="KNZ74" s="2198"/>
      <c r="KOA74" s="2198"/>
      <c r="KOB74" s="2198"/>
      <c r="KOC74" s="2198"/>
      <c r="KOD74" s="2198"/>
      <c r="KOE74" s="2198"/>
      <c r="KOF74" s="2198"/>
      <c r="KOG74" s="2198"/>
      <c r="KOH74" s="2198"/>
      <c r="KOI74" s="2198"/>
      <c r="KOJ74" s="2198"/>
      <c r="KOK74" s="2198"/>
      <c r="KOL74" s="2198"/>
      <c r="KOM74" s="2198"/>
      <c r="KON74" s="2198"/>
      <c r="KOO74" s="2198"/>
      <c r="KOP74" s="2198"/>
      <c r="KOQ74" s="2198"/>
      <c r="KOR74" s="2198"/>
      <c r="KOS74" s="2198"/>
      <c r="KOT74" s="2198"/>
      <c r="KOU74" s="2198"/>
      <c r="KOV74" s="2198"/>
      <c r="KOW74" s="2198"/>
      <c r="KOX74" s="2198"/>
      <c r="KOY74" s="2198"/>
      <c r="KOZ74" s="2198"/>
      <c r="KPA74" s="2198"/>
      <c r="KPB74" s="2198"/>
      <c r="KPC74" s="2198"/>
      <c r="KPD74" s="2198"/>
      <c r="KPE74" s="2198"/>
      <c r="KPF74" s="2198"/>
      <c r="KPG74" s="2198"/>
      <c r="KPH74" s="2198"/>
      <c r="KPI74" s="2198"/>
      <c r="KPJ74" s="2198"/>
      <c r="KPK74" s="2198"/>
      <c r="KPL74" s="2198"/>
      <c r="KPM74" s="2198"/>
      <c r="KPN74" s="2198"/>
      <c r="KPO74" s="2198"/>
      <c r="KPP74" s="2198"/>
      <c r="KPQ74" s="2198"/>
      <c r="KPR74" s="2198"/>
      <c r="KPS74" s="2198"/>
      <c r="KPT74" s="2198"/>
      <c r="KPU74" s="2198"/>
      <c r="KPV74" s="2198"/>
      <c r="KPW74" s="2198"/>
      <c r="KPX74" s="2198"/>
      <c r="KPY74" s="2198"/>
      <c r="KPZ74" s="2198"/>
      <c r="KQA74" s="2198"/>
      <c r="KQB74" s="2198"/>
      <c r="KQC74" s="2198"/>
      <c r="KQD74" s="2198"/>
      <c r="KQE74" s="2198"/>
      <c r="KQF74" s="2198"/>
      <c r="KQG74" s="2198"/>
      <c r="KQH74" s="2198"/>
      <c r="KQI74" s="2198"/>
      <c r="KQJ74" s="2198"/>
      <c r="KQK74" s="2198"/>
      <c r="KQL74" s="2198"/>
      <c r="KQM74" s="2198"/>
      <c r="KQN74" s="2198"/>
      <c r="KQO74" s="2198"/>
      <c r="KQP74" s="2198"/>
      <c r="KQQ74" s="2198"/>
      <c r="KQR74" s="2198"/>
      <c r="KQS74" s="2198"/>
      <c r="KQT74" s="2198"/>
      <c r="KQU74" s="2198"/>
      <c r="KQV74" s="2198"/>
      <c r="KQW74" s="2198"/>
      <c r="KQX74" s="2198"/>
      <c r="KQY74" s="2198"/>
      <c r="KQZ74" s="2198"/>
      <c r="KRA74" s="2198"/>
      <c r="KRB74" s="2198"/>
      <c r="KRC74" s="2198"/>
      <c r="KRD74" s="2198"/>
      <c r="KRE74" s="2198"/>
      <c r="KRF74" s="2198"/>
      <c r="KRG74" s="2198"/>
      <c r="KRH74" s="2198"/>
      <c r="KRI74" s="2198"/>
      <c r="KRJ74" s="2198"/>
      <c r="KRK74" s="2198"/>
      <c r="KRL74" s="2198"/>
      <c r="KRM74" s="2198"/>
      <c r="KRN74" s="2198"/>
      <c r="KRO74" s="2198"/>
      <c r="KRP74" s="2198"/>
      <c r="KRQ74" s="2198"/>
      <c r="KRR74" s="2198"/>
      <c r="KRS74" s="2198"/>
      <c r="KRT74" s="2198"/>
      <c r="KRU74" s="2198"/>
      <c r="KRV74" s="2198"/>
      <c r="KRW74" s="2198"/>
      <c r="KRX74" s="2198"/>
      <c r="KRY74" s="2198"/>
      <c r="KRZ74" s="2198"/>
      <c r="KSA74" s="2198"/>
      <c r="KSB74" s="2198"/>
      <c r="KSC74" s="2198"/>
      <c r="KSD74" s="2198"/>
      <c r="KSE74" s="2198"/>
      <c r="KSF74" s="2198"/>
      <c r="KSG74" s="2198"/>
      <c r="KSH74" s="2198"/>
      <c r="KSI74" s="2198"/>
      <c r="KSJ74" s="2198"/>
      <c r="KSK74" s="2198"/>
      <c r="KSL74" s="2198"/>
      <c r="KSM74" s="2198"/>
      <c r="KSN74" s="2198"/>
      <c r="KSO74" s="2198"/>
      <c r="KSP74" s="2198"/>
      <c r="KSQ74" s="2198"/>
      <c r="KSR74" s="2198"/>
      <c r="KSS74" s="2198"/>
      <c r="KST74" s="2198"/>
      <c r="KSU74" s="2198"/>
      <c r="KSV74" s="2198"/>
      <c r="KSW74" s="2198"/>
      <c r="KSX74" s="2198"/>
      <c r="KSY74" s="2198"/>
      <c r="KSZ74" s="2198"/>
      <c r="KTA74" s="2198"/>
      <c r="KTB74" s="2198"/>
      <c r="KTC74" s="2198"/>
      <c r="KTD74" s="2198"/>
      <c r="KTE74" s="2198"/>
      <c r="KTF74" s="2198"/>
      <c r="KTG74" s="2198"/>
      <c r="KTH74" s="2198"/>
      <c r="KTI74" s="2198"/>
      <c r="KTJ74" s="2198"/>
      <c r="KTK74" s="2198"/>
      <c r="KTL74" s="2198"/>
      <c r="KTM74" s="2198"/>
      <c r="KTN74" s="2198"/>
      <c r="KTO74" s="2198"/>
      <c r="KTP74" s="2198"/>
      <c r="KTQ74" s="2198"/>
      <c r="KTR74" s="2198"/>
      <c r="KTS74" s="2198"/>
      <c r="KTT74" s="2198"/>
      <c r="KTU74" s="2198"/>
      <c r="KTV74" s="2198"/>
      <c r="KTW74" s="2198"/>
      <c r="KTX74" s="2198"/>
      <c r="KTY74" s="2198"/>
      <c r="KTZ74" s="2198"/>
      <c r="KUA74" s="2198"/>
      <c r="KUB74" s="2198"/>
      <c r="KUC74" s="2198"/>
      <c r="KUD74" s="2198"/>
      <c r="KUE74" s="2198"/>
      <c r="KUF74" s="2198"/>
      <c r="KUG74" s="2198"/>
      <c r="KUH74" s="2198"/>
      <c r="KUI74" s="2198"/>
      <c r="KUJ74" s="2198"/>
      <c r="KUK74" s="2198"/>
      <c r="KUL74" s="2198"/>
      <c r="KUM74" s="2198"/>
      <c r="KUN74" s="2198"/>
      <c r="KUO74" s="2198"/>
      <c r="KUP74" s="2198"/>
      <c r="KUQ74" s="2198"/>
      <c r="KUR74" s="2198"/>
      <c r="KUS74" s="2198"/>
      <c r="KUT74" s="2198"/>
      <c r="KUU74" s="2198"/>
      <c r="KUV74" s="2198"/>
      <c r="KUW74" s="2198"/>
      <c r="KUX74" s="2198"/>
      <c r="KUY74" s="2198"/>
      <c r="KUZ74" s="2198"/>
      <c r="KVA74" s="2198"/>
      <c r="KVB74" s="2198"/>
      <c r="KVC74" s="2198"/>
      <c r="KVD74" s="2198"/>
      <c r="KVE74" s="2198"/>
      <c r="KVF74" s="2198"/>
      <c r="KVG74" s="2198"/>
      <c r="KVH74" s="2198"/>
      <c r="KVI74" s="2198"/>
      <c r="KVJ74" s="2198"/>
      <c r="KVK74" s="2198"/>
      <c r="KVL74" s="2198"/>
      <c r="KVM74" s="2198"/>
      <c r="KVN74" s="2198"/>
      <c r="KVO74" s="2198"/>
      <c r="KVP74" s="2198"/>
      <c r="KVQ74" s="2198"/>
      <c r="KVR74" s="2198"/>
      <c r="KVS74" s="2198"/>
      <c r="KVT74" s="2198"/>
      <c r="KVU74" s="2198"/>
      <c r="KVV74" s="2198"/>
      <c r="KVW74" s="2198"/>
      <c r="KVX74" s="2198"/>
      <c r="KVY74" s="2198"/>
      <c r="KVZ74" s="2198"/>
      <c r="KWA74" s="2198"/>
      <c r="KWB74" s="2198"/>
      <c r="KWC74" s="2198"/>
      <c r="KWD74" s="2198"/>
      <c r="KWE74" s="2198"/>
      <c r="KWF74" s="2198"/>
      <c r="KWG74" s="2198"/>
      <c r="KWH74" s="2198"/>
      <c r="KWI74" s="2198"/>
      <c r="KWJ74" s="2198"/>
      <c r="KWK74" s="2198"/>
      <c r="KWL74" s="2198"/>
      <c r="KWM74" s="2198"/>
      <c r="KWN74" s="2198"/>
      <c r="KWO74" s="2198"/>
      <c r="KWP74" s="2198"/>
      <c r="KWQ74" s="2198"/>
      <c r="KWR74" s="2198"/>
      <c r="KWS74" s="2198"/>
      <c r="KWT74" s="2198"/>
      <c r="KWU74" s="2198"/>
      <c r="KWV74" s="2198"/>
      <c r="KWW74" s="2198"/>
      <c r="KWX74" s="2198"/>
      <c r="KWY74" s="2198"/>
      <c r="KWZ74" s="2198"/>
      <c r="KXA74" s="2198"/>
      <c r="KXB74" s="2198"/>
      <c r="KXC74" s="2198"/>
      <c r="KXD74" s="2198"/>
      <c r="KXE74" s="2198"/>
      <c r="KXF74" s="2198"/>
      <c r="KXG74" s="2198"/>
      <c r="KXH74" s="2198"/>
      <c r="KXI74" s="2198"/>
      <c r="KXJ74" s="2198"/>
      <c r="KXK74" s="2198"/>
      <c r="KXL74" s="2198"/>
      <c r="KXM74" s="2198"/>
      <c r="KXN74" s="2198"/>
      <c r="KXO74" s="2198"/>
      <c r="KXP74" s="2198"/>
      <c r="KXQ74" s="2198"/>
      <c r="KXR74" s="2198"/>
      <c r="KXS74" s="2198"/>
      <c r="KXT74" s="2198"/>
      <c r="KXU74" s="2198"/>
      <c r="KXV74" s="2198"/>
      <c r="KXW74" s="2198"/>
      <c r="KXX74" s="2198"/>
      <c r="KXY74" s="2198"/>
      <c r="KXZ74" s="2198"/>
      <c r="KYA74" s="2198"/>
      <c r="KYB74" s="2198"/>
      <c r="KYC74" s="2198"/>
      <c r="KYD74" s="2198"/>
      <c r="KYE74" s="2198"/>
      <c r="KYF74" s="2198"/>
      <c r="KYG74" s="2198"/>
      <c r="KYH74" s="2198"/>
      <c r="KYI74" s="2198"/>
      <c r="KYJ74" s="2198"/>
      <c r="KYK74" s="2198"/>
      <c r="KYL74" s="2198"/>
      <c r="KYM74" s="2198"/>
      <c r="KYN74" s="2198"/>
      <c r="KYO74" s="2198"/>
      <c r="KYP74" s="2198"/>
      <c r="KYQ74" s="2198"/>
      <c r="KYR74" s="2198"/>
      <c r="KYS74" s="2198"/>
      <c r="KYT74" s="2198"/>
      <c r="KYU74" s="2198"/>
      <c r="KYV74" s="2198"/>
      <c r="KYW74" s="2198"/>
      <c r="KYX74" s="2198"/>
      <c r="KYY74" s="2198"/>
      <c r="KYZ74" s="2198"/>
      <c r="KZA74" s="2198"/>
      <c r="KZB74" s="2198"/>
      <c r="KZC74" s="2198"/>
      <c r="KZD74" s="2198"/>
      <c r="KZE74" s="2198"/>
      <c r="KZF74" s="2198"/>
      <c r="KZG74" s="2198"/>
      <c r="KZH74" s="2198"/>
      <c r="KZI74" s="2198"/>
      <c r="KZJ74" s="2198"/>
      <c r="KZK74" s="2198"/>
      <c r="KZL74" s="2198"/>
      <c r="KZM74" s="2198"/>
      <c r="KZN74" s="2198"/>
      <c r="KZO74" s="2198"/>
      <c r="KZP74" s="2198"/>
      <c r="KZQ74" s="2198"/>
      <c r="KZR74" s="2198"/>
      <c r="KZS74" s="2198"/>
      <c r="KZT74" s="2198"/>
      <c r="KZU74" s="2198"/>
      <c r="KZV74" s="2198"/>
      <c r="KZW74" s="2198"/>
      <c r="KZX74" s="2198"/>
      <c r="KZY74" s="2198"/>
      <c r="KZZ74" s="2198"/>
      <c r="LAA74" s="2198"/>
      <c r="LAB74" s="2198"/>
      <c r="LAC74" s="2198"/>
      <c r="LAD74" s="2198"/>
      <c r="LAE74" s="2198"/>
      <c r="LAF74" s="2198"/>
      <c r="LAG74" s="2198"/>
      <c r="LAH74" s="2198"/>
      <c r="LAI74" s="2198"/>
      <c r="LAJ74" s="2198"/>
      <c r="LAK74" s="2198"/>
      <c r="LAL74" s="2198"/>
      <c r="LAM74" s="2198"/>
      <c r="LAN74" s="2198"/>
      <c r="LAO74" s="2198"/>
      <c r="LAP74" s="2198"/>
      <c r="LAQ74" s="2198"/>
      <c r="LAR74" s="2198"/>
      <c r="LAS74" s="2198"/>
      <c r="LAT74" s="2198"/>
      <c r="LAU74" s="2198"/>
      <c r="LAV74" s="2198"/>
      <c r="LAW74" s="2198"/>
      <c r="LAX74" s="2198"/>
      <c r="LAY74" s="2198"/>
      <c r="LAZ74" s="2198"/>
      <c r="LBA74" s="2198"/>
      <c r="LBB74" s="2198"/>
      <c r="LBC74" s="2198"/>
      <c r="LBD74" s="2198"/>
      <c r="LBE74" s="2198"/>
      <c r="LBF74" s="2198"/>
      <c r="LBG74" s="2198"/>
      <c r="LBH74" s="2198"/>
      <c r="LBI74" s="2198"/>
      <c r="LBJ74" s="2198"/>
      <c r="LBK74" s="2198"/>
      <c r="LBL74" s="2198"/>
      <c r="LBM74" s="2198"/>
      <c r="LBN74" s="2198"/>
      <c r="LBO74" s="2198"/>
      <c r="LBP74" s="2198"/>
      <c r="LBQ74" s="2198"/>
      <c r="LBR74" s="2198"/>
      <c r="LBS74" s="2198"/>
      <c r="LBT74" s="2198"/>
      <c r="LBU74" s="2198"/>
      <c r="LBV74" s="2198"/>
      <c r="LBW74" s="2198"/>
      <c r="LBX74" s="2198"/>
      <c r="LBY74" s="2198"/>
      <c r="LBZ74" s="2198"/>
      <c r="LCA74" s="2198"/>
      <c r="LCB74" s="2198"/>
      <c r="LCC74" s="2198"/>
      <c r="LCD74" s="2198"/>
      <c r="LCE74" s="2198"/>
      <c r="LCF74" s="2198"/>
      <c r="LCG74" s="2198"/>
      <c r="LCH74" s="2198"/>
      <c r="LCI74" s="2198"/>
      <c r="LCJ74" s="2198"/>
      <c r="LCK74" s="2198"/>
      <c r="LCL74" s="2198"/>
      <c r="LCM74" s="2198"/>
      <c r="LCN74" s="2198"/>
      <c r="LCO74" s="2198"/>
      <c r="LCP74" s="2198"/>
      <c r="LCQ74" s="2198"/>
      <c r="LCR74" s="2198"/>
      <c r="LCS74" s="2198"/>
      <c r="LCT74" s="2198"/>
      <c r="LCU74" s="2198"/>
      <c r="LCV74" s="2198"/>
      <c r="LCW74" s="2198"/>
      <c r="LCX74" s="2198"/>
      <c r="LCY74" s="2198"/>
      <c r="LCZ74" s="2198"/>
      <c r="LDA74" s="2198"/>
      <c r="LDB74" s="2198"/>
      <c r="LDC74" s="2198"/>
      <c r="LDD74" s="2198"/>
      <c r="LDE74" s="2198"/>
      <c r="LDF74" s="2198"/>
      <c r="LDG74" s="2198"/>
      <c r="LDH74" s="2198"/>
      <c r="LDI74" s="2198"/>
      <c r="LDJ74" s="2198"/>
      <c r="LDK74" s="2198"/>
      <c r="LDL74" s="2198"/>
      <c r="LDM74" s="2198"/>
      <c r="LDN74" s="2198"/>
      <c r="LDO74" s="2198"/>
      <c r="LDP74" s="2198"/>
      <c r="LDQ74" s="2198"/>
      <c r="LDR74" s="2198"/>
      <c r="LDS74" s="2198"/>
      <c r="LDT74" s="2198"/>
      <c r="LDU74" s="2198"/>
      <c r="LDV74" s="2198"/>
      <c r="LDW74" s="2198"/>
      <c r="LDX74" s="2198"/>
      <c r="LDY74" s="2198"/>
      <c r="LDZ74" s="2198"/>
      <c r="LEA74" s="2198"/>
      <c r="LEB74" s="2198"/>
      <c r="LEC74" s="2198"/>
      <c r="LED74" s="2198"/>
      <c r="LEE74" s="2198"/>
      <c r="LEF74" s="2198"/>
      <c r="LEG74" s="2198"/>
      <c r="LEH74" s="2198"/>
      <c r="LEI74" s="2198"/>
      <c r="LEJ74" s="2198"/>
      <c r="LEK74" s="2198"/>
      <c r="LEL74" s="2198"/>
      <c r="LEM74" s="2198"/>
      <c r="LEN74" s="2198"/>
      <c r="LEO74" s="2198"/>
      <c r="LEP74" s="2198"/>
      <c r="LEQ74" s="2198"/>
      <c r="LER74" s="2198"/>
      <c r="LES74" s="2198"/>
      <c r="LET74" s="2198"/>
      <c r="LEU74" s="2198"/>
      <c r="LEV74" s="2198"/>
      <c r="LEW74" s="2198"/>
      <c r="LEX74" s="2198"/>
      <c r="LEY74" s="2198"/>
      <c r="LEZ74" s="2198"/>
      <c r="LFA74" s="2198"/>
      <c r="LFB74" s="2198"/>
      <c r="LFC74" s="2198"/>
      <c r="LFD74" s="2198"/>
      <c r="LFE74" s="2198"/>
      <c r="LFF74" s="2198"/>
      <c r="LFG74" s="2198"/>
      <c r="LFH74" s="2198"/>
      <c r="LFI74" s="2198"/>
      <c r="LFJ74" s="2198"/>
      <c r="LFK74" s="2198"/>
      <c r="LFL74" s="2198"/>
      <c r="LFM74" s="2198"/>
      <c r="LFN74" s="2198"/>
      <c r="LFO74" s="2198"/>
      <c r="LFP74" s="2198"/>
      <c r="LFQ74" s="2198"/>
      <c r="LFR74" s="2198"/>
      <c r="LFS74" s="2198"/>
      <c r="LFT74" s="2198"/>
      <c r="LFU74" s="2198"/>
      <c r="LFV74" s="2198"/>
      <c r="LFW74" s="2198"/>
      <c r="LFX74" s="2198"/>
      <c r="LFY74" s="2198"/>
      <c r="LFZ74" s="2198"/>
      <c r="LGA74" s="2198"/>
      <c r="LGB74" s="2198"/>
      <c r="LGC74" s="2198"/>
      <c r="LGD74" s="2198"/>
      <c r="LGE74" s="2198"/>
      <c r="LGF74" s="2198"/>
      <c r="LGG74" s="2198"/>
      <c r="LGH74" s="2198"/>
      <c r="LGI74" s="2198"/>
      <c r="LGJ74" s="2198"/>
      <c r="LGK74" s="2198"/>
      <c r="LGL74" s="2198"/>
      <c r="LGM74" s="2198"/>
      <c r="LGN74" s="2198"/>
      <c r="LGO74" s="2198"/>
      <c r="LGP74" s="2198"/>
      <c r="LGQ74" s="2198"/>
      <c r="LGR74" s="2198"/>
      <c r="LGS74" s="2198"/>
      <c r="LGT74" s="2198"/>
      <c r="LGU74" s="2198"/>
      <c r="LGV74" s="2198"/>
      <c r="LGW74" s="2198"/>
      <c r="LGX74" s="2198"/>
      <c r="LGY74" s="2198"/>
      <c r="LGZ74" s="2198"/>
      <c r="LHA74" s="2198"/>
      <c r="LHB74" s="2198"/>
      <c r="LHC74" s="2198"/>
      <c r="LHD74" s="2198"/>
      <c r="LHE74" s="2198"/>
      <c r="LHF74" s="2198"/>
      <c r="LHG74" s="2198"/>
      <c r="LHH74" s="2198"/>
      <c r="LHI74" s="2198"/>
      <c r="LHJ74" s="2198"/>
      <c r="LHK74" s="2198"/>
      <c r="LHL74" s="2198"/>
      <c r="LHM74" s="2198"/>
      <c r="LHN74" s="2198"/>
      <c r="LHO74" s="2198"/>
      <c r="LHP74" s="2198"/>
      <c r="LHQ74" s="2198"/>
      <c r="LHR74" s="2198"/>
      <c r="LHS74" s="2198"/>
      <c r="LHT74" s="2198"/>
      <c r="LHU74" s="2198"/>
      <c r="LHV74" s="2198"/>
      <c r="LHW74" s="2198"/>
      <c r="LHX74" s="2198"/>
      <c r="LHY74" s="2198"/>
      <c r="LHZ74" s="2198"/>
      <c r="LIA74" s="2198"/>
      <c r="LIB74" s="2198"/>
      <c r="LIC74" s="2198"/>
      <c r="LID74" s="2198"/>
      <c r="LIE74" s="2198"/>
      <c r="LIF74" s="2198"/>
      <c r="LIG74" s="2198"/>
      <c r="LIH74" s="2198"/>
      <c r="LII74" s="2198"/>
      <c r="LIJ74" s="2198"/>
      <c r="LIK74" s="2198"/>
      <c r="LIL74" s="2198"/>
      <c r="LIM74" s="2198"/>
      <c r="LIN74" s="2198"/>
      <c r="LIO74" s="2198"/>
      <c r="LIP74" s="2198"/>
      <c r="LIQ74" s="2198"/>
      <c r="LIR74" s="2198"/>
      <c r="LIS74" s="2198"/>
      <c r="LIT74" s="2198"/>
      <c r="LIU74" s="2198"/>
      <c r="LIV74" s="2198"/>
      <c r="LIW74" s="2198"/>
      <c r="LIX74" s="2198"/>
      <c r="LIY74" s="2198"/>
      <c r="LIZ74" s="2198"/>
      <c r="LJA74" s="2198"/>
      <c r="LJB74" s="2198"/>
      <c r="LJC74" s="2198"/>
      <c r="LJD74" s="2198"/>
      <c r="LJE74" s="2198"/>
      <c r="LJF74" s="2198"/>
      <c r="LJG74" s="2198"/>
      <c r="LJH74" s="2198"/>
      <c r="LJI74" s="2198"/>
      <c r="LJJ74" s="2198"/>
      <c r="LJK74" s="2198"/>
      <c r="LJL74" s="2198"/>
      <c r="LJM74" s="2198"/>
      <c r="LJN74" s="2198"/>
      <c r="LJO74" s="2198"/>
      <c r="LJP74" s="2198"/>
      <c r="LJQ74" s="2198"/>
      <c r="LJR74" s="2198"/>
      <c r="LJS74" s="2198"/>
      <c r="LJT74" s="2198"/>
      <c r="LJU74" s="2198"/>
      <c r="LJV74" s="2198"/>
      <c r="LJW74" s="2198"/>
      <c r="LJX74" s="2198"/>
      <c r="LJY74" s="2198"/>
      <c r="LJZ74" s="2198"/>
      <c r="LKA74" s="2198"/>
      <c r="LKB74" s="2198"/>
      <c r="LKC74" s="2198"/>
      <c r="LKD74" s="2198"/>
      <c r="LKE74" s="2198"/>
      <c r="LKF74" s="2198"/>
      <c r="LKG74" s="2198"/>
      <c r="LKH74" s="2198"/>
      <c r="LKI74" s="2198"/>
      <c r="LKJ74" s="2198"/>
      <c r="LKK74" s="2198"/>
      <c r="LKL74" s="2198"/>
      <c r="LKM74" s="2198"/>
      <c r="LKN74" s="2198"/>
      <c r="LKO74" s="2198"/>
      <c r="LKP74" s="2198"/>
      <c r="LKQ74" s="2198"/>
      <c r="LKR74" s="2198"/>
      <c r="LKS74" s="2198"/>
      <c r="LKT74" s="2198"/>
      <c r="LKU74" s="2198"/>
      <c r="LKV74" s="2198"/>
      <c r="LKW74" s="2198"/>
      <c r="LKX74" s="2198"/>
      <c r="LKY74" s="2198"/>
      <c r="LKZ74" s="2198"/>
      <c r="LLA74" s="2198"/>
      <c r="LLB74" s="2198"/>
      <c r="LLC74" s="2198"/>
      <c r="LLD74" s="2198"/>
      <c r="LLE74" s="2198"/>
      <c r="LLF74" s="2198"/>
      <c r="LLG74" s="2198"/>
      <c r="LLH74" s="2198"/>
      <c r="LLI74" s="2198"/>
      <c r="LLJ74" s="2198"/>
      <c r="LLK74" s="2198"/>
      <c r="LLL74" s="2198"/>
      <c r="LLM74" s="2198"/>
      <c r="LLN74" s="2198"/>
      <c r="LLO74" s="2198"/>
      <c r="LLP74" s="2198"/>
      <c r="LLQ74" s="2198"/>
      <c r="LLR74" s="2198"/>
      <c r="LLS74" s="2198"/>
      <c r="LLT74" s="2198"/>
      <c r="LLU74" s="2198"/>
      <c r="LLV74" s="2198"/>
      <c r="LLW74" s="2198"/>
      <c r="LLX74" s="2198"/>
      <c r="LLY74" s="2198"/>
      <c r="LLZ74" s="2198"/>
      <c r="LMA74" s="2198"/>
      <c r="LMB74" s="2198"/>
      <c r="LMC74" s="2198"/>
      <c r="LMD74" s="2198"/>
      <c r="LME74" s="2198"/>
      <c r="LMF74" s="2198"/>
      <c r="LMG74" s="2198"/>
      <c r="LMH74" s="2198"/>
      <c r="LMI74" s="2198"/>
      <c r="LMJ74" s="2198"/>
      <c r="LMK74" s="2198"/>
      <c r="LML74" s="2198"/>
      <c r="LMM74" s="2198"/>
      <c r="LMN74" s="2198"/>
      <c r="LMO74" s="2198"/>
      <c r="LMP74" s="2198"/>
      <c r="LMQ74" s="2198"/>
      <c r="LMR74" s="2198"/>
      <c r="LMS74" s="2198"/>
      <c r="LMT74" s="2198"/>
      <c r="LMU74" s="2198"/>
      <c r="LMV74" s="2198"/>
      <c r="LMW74" s="2198"/>
      <c r="LMX74" s="2198"/>
      <c r="LMY74" s="2198"/>
      <c r="LMZ74" s="2198"/>
      <c r="LNA74" s="2198"/>
      <c r="LNB74" s="2198"/>
      <c r="LNC74" s="2198"/>
      <c r="LND74" s="2198"/>
      <c r="LNE74" s="2198"/>
      <c r="LNF74" s="2198"/>
      <c r="LNG74" s="2198"/>
      <c r="LNH74" s="2198"/>
      <c r="LNI74" s="2198"/>
      <c r="LNJ74" s="2198"/>
      <c r="LNK74" s="2198"/>
      <c r="LNL74" s="2198"/>
      <c r="LNM74" s="2198"/>
      <c r="LNN74" s="2198"/>
      <c r="LNO74" s="2198"/>
      <c r="LNP74" s="2198"/>
      <c r="LNQ74" s="2198"/>
      <c r="LNR74" s="2198"/>
      <c r="LNS74" s="2198"/>
      <c r="LNT74" s="2198"/>
      <c r="LNU74" s="2198"/>
      <c r="LNV74" s="2198"/>
      <c r="LNW74" s="2198"/>
      <c r="LNX74" s="2198"/>
      <c r="LNY74" s="2198"/>
      <c r="LNZ74" s="2198"/>
      <c r="LOA74" s="2198"/>
      <c r="LOB74" s="2198"/>
      <c r="LOC74" s="2198"/>
      <c r="LOD74" s="2198"/>
      <c r="LOE74" s="2198"/>
      <c r="LOF74" s="2198"/>
      <c r="LOG74" s="2198"/>
      <c r="LOH74" s="2198"/>
      <c r="LOI74" s="2198"/>
      <c r="LOJ74" s="2198"/>
      <c r="LOK74" s="2198"/>
      <c r="LOL74" s="2198"/>
      <c r="LOM74" s="2198"/>
      <c r="LON74" s="2198"/>
      <c r="LOO74" s="2198"/>
      <c r="LOP74" s="2198"/>
      <c r="LOQ74" s="2198"/>
      <c r="LOR74" s="2198"/>
      <c r="LOS74" s="2198"/>
      <c r="LOT74" s="2198"/>
      <c r="LOU74" s="2198"/>
      <c r="LOV74" s="2198"/>
      <c r="LOW74" s="2198"/>
      <c r="LOX74" s="2198"/>
      <c r="LOY74" s="2198"/>
      <c r="LOZ74" s="2198"/>
      <c r="LPA74" s="2198"/>
      <c r="LPB74" s="2198"/>
      <c r="LPC74" s="2198"/>
      <c r="LPD74" s="2198"/>
      <c r="LPE74" s="2198"/>
      <c r="LPF74" s="2198"/>
      <c r="LPG74" s="2198"/>
      <c r="LPH74" s="2198"/>
      <c r="LPI74" s="2198"/>
      <c r="LPJ74" s="2198"/>
      <c r="LPK74" s="2198"/>
      <c r="LPL74" s="2198"/>
      <c r="LPM74" s="2198"/>
      <c r="LPN74" s="2198"/>
      <c r="LPO74" s="2198"/>
      <c r="LPP74" s="2198"/>
      <c r="LPQ74" s="2198"/>
      <c r="LPR74" s="2198"/>
      <c r="LPS74" s="2198"/>
      <c r="LPT74" s="2198"/>
      <c r="LPU74" s="2198"/>
      <c r="LPV74" s="2198"/>
      <c r="LPW74" s="2198"/>
      <c r="LPX74" s="2198"/>
      <c r="LPY74" s="2198"/>
      <c r="LPZ74" s="2198"/>
      <c r="LQA74" s="2198"/>
      <c r="LQB74" s="2198"/>
      <c r="LQC74" s="2198"/>
      <c r="LQD74" s="2198"/>
      <c r="LQE74" s="2198"/>
      <c r="LQF74" s="2198"/>
      <c r="LQG74" s="2198"/>
      <c r="LQH74" s="2198"/>
      <c r="LQI74" s="2198"/>
      <c r="LQJ74" s="2198"/>
      <c r="LQK74" s="2198"/>
      <c r="LQL74" s="2198"/>
      <c r="LQM74" s="2198"/>
      <c r="LQN74" s="2198"/>
      <c r="LQO74" s="2198"/>
      <c r="LQP74" s="2198"/>
      <c r="LQQ74" s="2198"/>
      <c r="LQR74" s="2198"/>
      <c r="LQS74" s="2198"/>
      <c r="LQT74" s="2198"/>
      <c r="LQU74" s="2198"/>
      <c r="LQV74" s="2198"/>
      <c r="LQW74" s="2198"/>
      <c r="LQX74" s="2198"/>
      <c r="LQY74" s="2198"/>
      <c r="LQZ74" s="2198"/>
      <c r="LRA74" s="2198"/>
      <c r="LRB74" s="2198"/>
      <c r="LRC74" s="2198"/>
      <c r="LRD74" s="2198"/>
      <c r="LRE74" s="2198"/>
      <c r="LRF74" s="2198"/>
      <c r="LRG74" s="2198"/>
      <c r="LRH74" s="2198"/>
      <c r="LRI74" s="2198"/>
      <c r="LRJ74" s="2198"/>
      <c r="LRK74" s="2198"/>
      <c r="LRL74" s="2198"/>
      <c r="LRM74" s="2198"/>
      <c r="LRN74" s="2198"/>
      <c r="LRO74" s="2198"/>
      <c r="LRP74" s="2198"/>
      <c r="LRQ74" s="2198"/>
      <c r="LRR74" s="2198"/>
      <c r="LRS74" s="2198"/>
      <c r="LRT74" s="2198"/>
      <c r="LRU74" s="2198"/>
      <c r="LRV74" s="2198"/>
      <c r="LRW74" s="2198"/>
      <c r="LRX74" s="2198"/>
      <c r="LRY74" s="2198"/>
      <c r="LRZ74" s="2198"/>
      <c r="LSA74" s="2198"/>
      <c r="LSB74" s="2198"/>
      <c r="LSC74" s="2198"/>
      <c r="LSD74" s="2198"/>
      <c r="LSE74" s="2198"/>
      <c r="LSF74" s="2198"/>
      <c r="LSG74" s="2198"/>
      <c r="LSH74" s="2198"/>
      <c r="LSI74" s="2198"/>
      <c r="LSJ74" s="2198"/>
      <c r="LSK74" s="2198"/>
      <c r="LSL74" s="2198"/>
      <c r="LSM74" s="2198"/>
      <c r="LSN74" s="2198"/>
      <c r="LSO74" s="2198"/>
      <c r="LSP74" s="2198"/>
      <c r="LSQ74" s="2198"/>
      <c r="LSR74" s="2198"/>
      <c r="LSS74" s="2198"/>
      <c r="LST74" s="2198"/>
      <c r="LSU74" s="2198"/>
      <c r="LSV74" s="2198"/>
      <c r="LSW74" s="2198"/>
      <c r="LSX74" s="2198"/>
      <c r="LSY74" s="2198"/>
      <c r="LSZ74" s="2198"/>
      <c r="LTA74" s="2198"/>
      <c r="LTB74" s="2198"/>
      <c r="LTC74" s="2198"/>
      <c r="LTD74" s="2198"/>
      <c r="LTE74" s="2198"/>
      <c r="LTF74" s="2198"/>
      <c r="LTG74" s="2198"/>
      <c r="LTH74" s="2198"/>
      <c r="LTI74" s="2198"/>
      <c r="LTJ74" s="2198"/>
      <c r="LTK74" s="2198"/>
      <c r="LTL74" s="2198"/>
      <c r="LTM74" s="2198"/>
      <c r="LTN74" s="2198"/>
      <c r="LTO74" s="2198"/>
      <c r="LTP74" s="2198"/>
      <c r="LTQ74" s="2198"/>
      <c r="LTR74" s="2198"/>
      <c r="LTS74" s="2198"/>
      <c r="LTT74" s="2198"/>
      <c r="LTU74" s="2198"/>
      <c r="LTV74" s="2198"/>
      <c r="LTW74" s="2198"/>
      <c r="LTX74" s="2198"/>
      <c r="LTY74" s="2198"/>
      <c r="LTZ74" s="2198"/>
      <c r="LUA74" s="2198"/>
      <c r="LUB74" s="2198"/>
      <c r="LUC74" s="2198"/>
      <c r="LUD74" s="2198"/>
      <c r="LUE74" s="2198"/>
      <c r="LUF74" s="2198"/>
      <c r="LUG74" s="2198"/>
      <c r="LUH74" s="2198"/>
      <c r="LUI74" s="2198"/>
      <c r="LUJ74" s="2198"/>
      <c r="LUK74" s="2198"/>
      <c r="LUL74" s="2198"/>
      <c r="LUM74" s="2198"/>
      <c r="LUN74" s="2198"/>
      <c r="LUO74" s="2198"/>
      <c r="LUP74" s="2198"/>
      <c r="LUQ74" s="2198"/>
      <c r="LUR74" s="2198"/>
      <c r="LUS74" s="2198"/>
      <c r="LUT74" s="2198"/>
      <c r="LUU74" s="2198"/>
      <c r="LUV74" s="2198"/>
      <c r="LUW74" s="2198"/>
      <c r="LUX74" s="2198"/>
      <c r="LUY74" s="2198"/>
      <c r="LUZ74" s="2198"/>
      <c r="LVA74" s="2198"/>
      <c r="LVB74" s="2198"/>
      <c r="LVC74" s="2198"/>
      <c r="LVD74" s="2198"/>
      <c r="LVE74" s="2198"/>
      <c r="LVF74" s="2198"/>
      <c r="LVG74" s="2198"/>
      <c r="LVH74" s="2198"/>
      <c r="LVI74" s="2198"/>
      <c r="LVJ74" s="2198"/>
      <c r="LVK74" s="2198"/>
      <c r="LVL74" s="2198"/>
      <c r="LVM74" s="2198"/>
      <c r="LVN74" s="2198"/>
      <c r="LVO74" s="2198"/>
      <c r="LVP74" s="2198"/>
      <c r="LVQ74" s="2198"/>
      <c r="LVR74" s="2198"/>
      <c r="LVS74" s="2198"/>
      <c r="LVT74" s="2198"/>
      <c r="LVU74" s="2198"/>
      <c r="LVV74" s="2198"/>
      <c r="LVW74" s="2198"/>
      <c r="LVX74" s="2198"/>
      <c r="LVY74" s="2198"/>
      <c r="LVZ74" s="2198"/>
      <c r="LWA74" s="2198"/>
      <c r="LWB74" s="2198"/>
      <c r="LWC74" s="2198"/>
      <c r="LWD74" s="2198"/>
      <c r="LWE74" s="2198"/>
      <c r="LWF74" s="2198"/>
      <c r="LWG74" s="2198"/>
      <c r="LWH74" s="2198"/>
      <c r="LWI74" s="2198"/>
      <c r="LWJ74" s="2198"/>
      <c r="LWK74" s="2198"/>
      <c r="LWL74" s="2198"/>
      <c r="LWM74" s="2198"/>
      <c r="LWN74" s="2198"/>
      <c r="LWO74" s="2198"/>
      <c r="LWP74" s="2198"/>
      <c r="LWQ74" s="2198"/>
      <c r="LWR74" s="2198"/>
      <c r="LWS74" s="2198"/>
      <c r="LWT74" s="2198"/>
      <c r="LWU74" s="2198"/>
      <c r="LWV74" s="2198"/>
      <c r="LWW74" s="2198"/>
      <c r="LWX74" s="2198"/>
      <c r="LWY74" s="2198"/>
      <c r="LWZ74" s="2198"/>
      <c r="LXA74" s="2198"/>
      <c r="LXB74" s="2198"/>
      <c r="LXC74" s="2198"/>
      <c r="LXD74" s="2198"/>
      <c r="LXE74" s="2198"/>
      <c r="LXF74" s="2198"/>
      <c r="LXG74" s="2198"/>
      <c r="LXH74" s="2198"/>
      <c r="LXI74" s="2198"/>
      <c r="LXJ74" s="2198"/>
      <c r="LXK74" s="2198"/>
      <c r="LXL74" s="2198"/>
      <c r="LXM74" s="2198"/>
      <c r="LXN74" s="2198"/>
      <c r="LXO74" s="2198"/>
      <c r="LXP74" s="2198"/>
      <c r="LXQ74" s="2198"/>
      <c r="LXR74" s="2198"/>
      <c r="LXS74" s="2198"/>
      <c r="LXT74" s="2198"/>
      <c r="LXU74" s="2198"/>
      <c r="LXV74" s="2198"/>
      <c r="LXW74" s="2198"/>
      <c r="LXX74" s="2198"/>
      <c r="LXY74" s="2198"/>
      <c r="LXZ74" s="2198"/>
      <c r="LYA74" s="2198"/>
      <c r="LYB74" s="2198"/>
      <c r="LYC74" s="2198"/>
      <c r="LYD74" s="2198"/>
      <c r="LYE74" s="2198"/>
      <c r="LYF74" s="2198"/>
      <c r="LYG74" s="2198"/>
      <c r="LYH74" s="2198"/>
      <c r="LYI74" s="2198"/>
      <c r="LYJ74" s="2198"/>
      <c r="LYK74" s="2198"/>
      <c r="LYL74" s="2198"/>
      <c r="LYM74" s="2198"/>
      <c r="LYN74" s="2198"/>
      <c r="LYO74" s="2198"/>
      <c r="LYP74" s="2198"/>
      <c r="LYQ74" s="2198"/>
      <c r="LYR74" s="2198"/>
      <c r="LYS74" s="2198"/>
      <c r="LYT74" s="2198"/>
      <c r="LYU74" s="2198"/>
      <c r="LYV74" s="2198"/>
      <c r="LYW74" s="2198"/>
      <c r="LYX74" s="2198"/>
      <c r="LYY74" s="2198"/>
      <c r="LYZ74" s="2198"/>
      <c r="LZA74" s="2198"/>
      <c r="LZB74" s="2198"/>
      <c r="LZC74" s="2198"/>
      <c r="LZD74" s="2198"/>
      <c r="LZE74" s="2198"/>
      <c r="LZF74" s="2198"/>
      <c r="LZG74" s="2198"/>
      <c r="LZH74" s="2198"/>
      <c r="LZI74" s="2198"/>
      <c r="LZJ74" s="2198"/>
      <c r="LZK74" s="2198"/>
      <c r="LZL74" s="2198"/>
      <c r="LZM74" s="2198"/>
      <c r="LZN74" s="2198"/>
      <c r="LZO74" s="2198"/>
      <c r="LZP74" s="2198"/>
      <c r="LZQ74" s="2198"/>
      <c r="LZR74" s="2198"/>
      <c r="LZS74" s="2198"/>
      <c r="LZT74" s="2198"/>
      <c r="LZU74" s="2198"/>
      <c r="LZV74" s="2198"/>
      <c r="LZW74" s="2198"/>
      <c r="LZX74" s="2198"/>
      <c r="LZY74" s="2198"/>
      <c r="LZZ74" s="2198"/>
      <c r="MAA74" s="2198"/>
      <c r="MAB74" s="2198"/>
      <c r="MAC74" s="2198"/>
      <c r="MAD74" s="2198"/>
      <c r="MAE74" s="2198"/>
      <c r="MAF74" s="2198"/>
      <c r="MAG74" s="2198"/>
      <c r="MAH74" s="2198"/>
      <c r="MAI74" s="2198"/>
      <c r="MAJ74" s="2198"/>
      <c r="MAK74" s="2198"/>
      <c r="MAL74" s="2198"/>
      <c r="MAM74" s="2198"/>
      <c r="MAN74" s="2198"/>
      <c r="MAO74" s="2198"/>
      <c r="MAP74" s="2198"/>
      <c r="MAQ74" s="2198"/>
      <c r="MAR74" s="2198"/>
      <c r="MAS74" s="2198"/>
      <c r="MAT74" s="2198"/>
      <c r="MAU74" s="2198"/>
      <c r="MAV74" s="2198"/>
      <c r="MAW74" s="2198"/>
      <c r="MAX74" s="2198"/>
      <c r="MAY74" s="2198"/>
      <c r="MAZ74" s="2198"/>
      <c r="MBA74" s="2198"/>
      <c r="MBB74" s="2198"/>
      <c r="MBC74" s="2198"/>
      <c r="MBD74" s="2198"/>
      <c r="MBE74" s="2198"/>
      <c r="MBF74" s="2198"/>
      <c r="MBG74" s="2198"/>
      <c r="MBH74" s="2198"/>
      <c r="MBI74" s="2198"/>
      <c r="MBJ74" s="2198"/>
      <c r="MBK74" s="2198"/>
      <c r="MBL74" s="2198"/>
      <c r="MBM74" s="2198"/>
      <c r="MBN74" s="2198"/>
      <c r="MBO74" s="2198"/>
      <c r="MBP74" s="2198"/>
      <c r="MBQ74" s="2198"/>
      <c r="MBR74" s="2198"/>
      <c r="MBS74" s="2198"/>
      <c r="MBT74" s="2198"/>
      <c r="MBU74" s="2198"/>
      <c r="MBV74" s="2198"/>
      <c r="MBW74" s="2198"/>
      <c r="MBX74" s="2198"/>
      <c r="MBY74" s="2198"/>
      <c r="MBZ74" s="2198"/>
      <c r="MCA74" s="2198"/>
      <c r="MCB74" s="2198"/>
      <c r="MCC74" s="2198"/>
      <c r="MCD74" s="2198"/>
      <c r="MCE74" s="2198"/>
      <c r="MCF74" s="2198"/>
      <c r="MCG74" s="2198"/>
      <c r="MCH74" s="2198"/>
      <c r="MCI74" s="2198"/>
      <c r="MCJ74" s="2198"/>
      <c r="MCK74" s="2198"/>
      <c r="MCL74" s="2198"/>
      <c r="MCM74" s="2198"/>
      <c r="MCN74" s="2198"/>
      <c r="MCO74" s="2198"/>
      <c r="MCP74" s="2198"/>
      <c r="MCQ74" s="2198"/>
      <c r="MCR74" s="2198"/>
      <c r="MCS74" s="2198"/>
      <c r="MCT74" s="2198"/>
      <c r="MCU74" s="2198"/>
      <c r="MCV74" s="2198"/>
      <c r="MCW74" s="2198"/>
      <c r="MCX74" s="2198"/>
      <c r="MCY74" s="2198"/>
      <c r="MCZ74" s="2198"/>
      <c r="MDA74" s="2198"/>
      <c r="MDB74" s="2198"/>
      <c r="MDC74" s="2198"/>
      <c r="MDD74" s="2198"/>
      <c r="MDE74" s="2198"/>
      <c r="MDF74" s="2198"/>
      <c r="MDG74" s="2198"/>
      <c r="MDH74" s="2198"/>
      <c r="MDI74" s="2198"/>
      <c r="MDJ74" s="2198"/>
      <c r="MDK74" s="2198"/>
      <c r="MDL74" s="2198"/>
      <c r="MDM74" s="2198"/>
      <c r="MDN74" s="2198"/>
      <c r="MDO74" s="2198"/>
      <c r="MDP74" s="2198"/>
      <c r="MDQ74" s="2198"/>
      <c r="MDR74" s="2198"/>
      <c r="MDS74" s="2198"/>
      <c r="MDT74" s="2198"/>
      <c r="MDU74" s="2198"/>
      <c r="MDV74" s="2198"/>
      <c r="MDW74" s="2198"/>
      <c r="MDX74" s="2198"/>
      <c r="MDY74" s="2198"/>
      <c r="MDZ74" s="2198"/>
      <c r="MEA74" s="2198"/>
      <c r="MEB74" s="2198"/>
      <c r="MEC74" s="2198"/>
      <c r="MED74" s="2198"/>
      <c r="MEE74" s="2198"/>
      <c r="MEF74" s="2198"/>
      <c r="MEG74" s="2198"/>
      <c r="MEH74" s="2198"/>
      <c r="MEI74" s="2198"/>
      <c r="MEJ74" s="2198"/>
      <c r="MEK74" s="2198"/>
      <c r="MEL74" s="2198"/>
      <c r="MEM74" s="2198"/>
      <c r="MEN74" s="2198"/>
      <c r="MEO74" s="2198"/>
      <c r="MEP74" s="2198"/>
      <c r="MEQ74" s="2198"/>
      <c r="MER74" s="2198"/>
      <c r="MES74" s="2198"/>
      <c r="MET74" s="2198"/>
      <c r="MEU74" s="2198"/>
      <c r="MEV74" s="2198"/>
      <c r="MEW74" s="2198"/>
      <c r="MEX74" s="2198"/>
      <c r="MEY74" s="2198"/>
      <c r="MEZ74" s="2198"/>
      <c r="MFA74" s="2198"/>
      <c r="MFB74" s="2198"/>
      <c r="MFC74" s="2198"/>
      <c r="MFD74" s="2198"/>
      <c r="MFE74" s="2198"/>
      <c r="MFF74" s="2198"/>
      <c r="MFG74" s="2198"/>
      <c r="MFH74" s="2198"/>
      <c r="MFI74" s="2198"/>
      <c r="MFJ74" s="2198"/>
      <c r="MFK74" s="2198"/>
      <c r="MFL74" s="2198"/>
      <c r="MFM74" s="2198"/>
      <c r="MFN74" s="2198"/>
      <c r="MFO74" s="2198"/>
      <c r="MFP74" s="2198"/>
      <c r="MFQ74" s="2198"/>
      <c r="MFR74" s="2198"/>
      <c r="MFS74" s="2198"/>
      <c r="MFT74" s="2198"/>
      <c r="MFU74" s="2198"/>
      <c r="MFV74" s="2198"/>
      <c r="MFW74" s="2198"/>
      <c r="MFX74" s="2198"/>
      <c r="MFY74" s="2198"/>
      <c r="MFZ74" s="2198"/>
      <c r="MGA74" s="2198"/>
      <c r="MGB74" s="2198"/>
      <c r="MGC74" s="2198"/>
      <c r="MGD74" s="2198"/>
      <c r="MGE74" s="2198"/>
      <c r="MGF74" s="2198"/>
      <c r="MGG74" s="2198"/>
      <c r="MGH74" s="2198"/>
      <c r="MGI74" s="2198"/>
      <c r="MGJ74" s="2198"/>
      <c r="MGK74" s="2198"/>
      <c r="MGL74" s="2198"/>
      <c r="MGM74" s="2198"/>
      <c r="MGN74" s="2198"/>
      <c r="MGO74" s="2198"/>
      <c r="MGP74" s="2198"/>
      <c r="MGQ74" s="2198"/>
      <c r="MGR74" s="2198"/>
      <c r="MGS74" s="2198"/>
      <c r="MGT74" s="2198"/>
      <c r="MGU74" s="2198"/>
      <c r="MGV74" s="2198"/>
      <c r="MGW74" s="2198"/>
      <c r="MGX74" s="2198"/>
      <c r="MGY74" s="2198"/>
      <c r="MGZ74" s="2198"/>
      <c r="MHA74" s="2198"/>
      <c r="MHB74" s="2198"/>
      <c r="MHC74" s="2198"/>
      <c r="MHD74" s="2198"/>
      <c r="MHE74" s="2198"/>
      <c r="MHF74" s="2198"/>
      <c r="MHG74" s="2198"/>
      <c r="MHH74" s="2198"/>
      <c r="MHI74" s="2198"/>
      <c r="MHJ74" s="2198"/>
      <c r="MHK74" s="2198"/>
      <c r="MHL74" s="2198"/>
      <c r="MHM74" s="2198"/>
      <c r="MHN74" s="2198"/>
      <c r="MHO74" s="2198"/>
      <c r="MHP74" s="2198"/>
      <c r="MHQ74" s="2198"/>
      <c r="MHR74" s="2198"/>
      <c r="MHS74" s="2198"/>
      <c r="MHT74" s="2198"/>
      <c r="MHU74" s="2198"/>
      <c r="MHV74" s="2198"/>
      <c r="MHW74" s="2198"/>
      <c r="MHX74" s="2198"/>
      <c r="MHY74" s="2198"/>
      <c r="MHZ74" s="2198"/>
      <c r="MIA74" s="2198"/>
      <c r="MIB74" s="2198"/>
      <c r="MIC74" s="2198"/>
      <c r="MID74" s="2198"/>
      <c r="MIE74" s="2198"/>
      <c r="MIF74" s="2198"/>
      <c r="MIG74" s="2198"/>
      <c r="MIH74" s="2198"/>
      <c r="MII74" s="2198"/>
      <c r="MIJ74" s="2198"/>
      <c r="MIK74" s="2198"/>
      <c r="MIL74" s="2198"/>
      <c r="MIM74" s="2198"/>
      <c r="MIN74" s="2198"/>
      <c r="MIO74" s="2198"/>
      <c r="MIP74" s="2198"/>
      <c r="MIQ74" s="2198"/>
      <c r="MIR74" s="2198"/>
      <c r="MIS74" s="2198"/>
      <c r="MIT74" s="2198"/>
      <c r="MIU74" s="2198"/>
      <c r="MIV74" s="2198"/>
      <c r="MIW74" s="2198"/>
      <c r="MIX74" s="2198"/>
      <c r="MIY74" s="2198"/>
      <c r="MIZ74" s="2198"/>
      <c r="MJA74" s="2198"/>
      <c r="MJB74" s="2198"/>
      <c r="MJC74" s="2198"/>
      <c r="MJD74" s="2198"/>
      <c r="MJE74" s="2198"/>
      <c r="MJF74" s="2198"/>
      <c r="MJG74" s="2198"/>
      <c r="MJH74" s="2198"/>
      <c r="MJI74" s="2198"/>
      <c r="MJJ74" s="2198"/>
      <c r="MJK74" s="2198"/>
      <c r="MJL74" s="2198"/>
      <c r="MJM74" s="2198"/>
      <c r="MJN74" s="2198"/>
      <c r="MJO74" s="2198"/>
      <c r="MJP74" s="2198"/>
      <c r="MJQ74" s="2198"/>
      <c r="MJR74" s="2198"/>
      <c r="MJS74" s="2198"/>
      <c r="MJT74" s="2198"/>
      <c r="MJU74" s="2198"/>
      <c r="MJV74" s="2198"/>
      <c r="MJW74" s="2198"/>
      <c r="MJX74" s="2198"/>
      <c r="MJY74" s="2198"/>
      <c r="MJZ74" s="2198"/>
      <c r="MKA74" s="2198"/>
      <c r="MKB74" s="2198"/>
      <c r="MKC74" s="2198"/>
      <c r="MKD74" s="2198"/>
      <c r="MKE74" s="2198"/>
      <c r="MKF74" s="2198"/>
      <c r="MKG74" s="2198"/>
      <c r="MKH74" s="2198"/>
      <c r="MKI74" s="2198"/>
      <c r="MKJ74" s="2198"/>
      <c r="MKK74" s="2198"/>
      <c r="MKL74" s="2198"/>
      <c r="MKM74" s="2198"/>
      <c r="MKN74" s="2198"/>
      <c r="MKO74" s="2198"/>
      <c r="MKP74" s="2198"/>
      <c r="MKQ74" s="2198"/>
      <c r="MKR74" s="2198"/>
      <c r="MKS74" s="2198"/>
      <c r="MKT74" s="2198"/>
      <c r="MKU74" s="2198"/>
      <c r="MKV74" s="2198"/>
      <c r="MKW74" s="2198"/>
      <c r="MKX74" s="2198"/>
      <c r="MKY74" s="2198"/>
      <c r="MKZ74" s="2198"/>
      <c r="MLA74" s="2198"/>
      <c r="MLB74" s="2198"/>
      <c r="MLC74" s="2198"/>
      <c r="MLD74" s="2198"/>
      <c r="MLE74" s="2198"/>
      <c r="MLF74" s="2198"/>
      <c r="MLG74" s="2198"/>
      <c r="MLH74" s="2198"/>
      <c r="MLI74" s="2198"/>
      <c r="MLJ74" s="2198"/>
      <c r="MLK74" s="2198"/>
      <c r="MLL74" s="2198"/>
      <c r="MLM74" s="2198"/>
      <c r="MLN74" s="2198"/>
      <c r="MLO74" s="2198"/>
      <c r="MLP74" s="2198"/>
      <c r="MLQ74" s="2198"/>
      <c r="MLR74" s="2198"/>
      <c r="MLS74" s="2198"/>
      <c r="MLT74" s="2198"/>
      <c r="MLU74" s="2198"/>
      <c r="MLV74" s="2198"/>
      <c r="MLW74" s="2198"/>
      <c r="MLX74" s="2198"/>
      <c r="MLY74" s="2198"/>
      <c r="MLZ74" s="2198"/>
      <c r="MMA74" s="2198"/>
      <c r="MMB74" s="2198"/>
      <c r="MMC74" s="2198"/>
      <c r="MMD74" s="2198"/>
      <c r="MME74" s="2198"/>
      <c r="MMF74" s="2198"/>
      <c r="MMG74" s="2198"/>
      <c r="MMH74" s="2198"/>
      <c r="MMI74" s="2198"/>
      <c r="MMJ74" s="2198"/>
      <c r="MMK74" s="2198"/>
      <c r="MML74" s="2198"/>
      <c r="MMM74" s="2198"/>
      <c r="MMN74" s="2198"/>
      <c r="MMO74" s="2198"/>
      <c r="MMP74" s="2198"/>
      <c r="MMQ74" s="2198"/>
      <c r="MMR74" s="2198"/>
      <c r="MMS74" s="2198"/>
      <c r="MMT74" s="2198"/>
      <c r="MMU74" s="2198"/>
      <c r="MMV74" s="2198"/>
      <c r="MMW74" s="2198"/>
      <c r="MMX74" s="2198"/>
      <c r="MMY74" s="2198"/>
      <c r="MMZ74" s="2198"/>
      <c r="MNA74" s="2198"/>
      <c r="MNB74" s="2198"/>
      <c r="MNC74" s="2198"/>
      <c r="MND74" s="2198"/>
      <c r="MNE74" s="2198"/>
      <c r="MNF74" s="2198"/>
      <c r="MNG74" s="2198"/>
      <c r="MNH74" s="2198"/>
      <c r="MNI74" s="2198"/>
      <c r="MNJ74" s="2198"/>
      <c r="MNK74" s="2198"/>
      <c r="MNL74" s="2198"/>
      <c r="MNM74" s="2198"/>
      <c r="MNN74" s="2198"/>
      <c r="MNO74" s="2198"/>
      <c r="MNP74" s="2198"/>
      <c r="MNQ74" s="2198"/>
      <c r="MNR74" s="2198"/>
      <c r="MNS74" s="2198"/>
      <c r="MNT74" s="2198"/>
      <c r="MNU74" s="2198"/>
      <c r="MNV74" s="2198"/>
      <c r="MNW74" s="2198"/>
      <c r="MNX74" s="2198"/>
      <c r="MNY74" s="2198"/>
      <c r="MNZ74" s="2198"/>
      <c r="MOA74" s="2198"/>
      <c r="MOB74" s="2198"/>
      <c r="MOC74" s="2198"/>
      <c r="MOD74" s="2198"/>
      <c r="MOE74" s="2198"/>
      <c r="MOF74" s="2198"/>
      <c r="MOG74" s="2198"/>
      <c r="MOH74" s="2198"/>
      <c r="MOI74" s="2198"/>
      <c r="MOJ74" s="2198"/>
      <c r="MOK74" s="2198"/>
      <c r="MOL74" s="2198"/>
      <c r="MOM74" s="2198"/>
      <c r="MON74" s="2198"/>
      <c r="MOO74" s="2198"/>
      <c r="MOP74" s="2198"/>
      <c r="MOQ74" s="2198"/>
      <c r="MOR74" s="2198"/>
      <c r="MOS74" s="2198"/>
      <c r="MOT74" s="2198"/>
      <c r="MOU74" s="2198"/>
      <c r="MOV74" s="2198"/>
      <c r="MOW74" s="2198"/>
      <c r="MOX74" s="2198"/>
      <c r="MOY74" s="2198"/>
      <c r="MOZ74" s="2198"/>
      <c r="MPA74" s="2198"/>
      <c r="MPB74" s="2198"/>
      <c r="MPC74" s="2198"/>
      <c r="MPD74" s="2198"/>
      <c r="MPE74" s="2198"/>
      <c r="MPF74" s="2198"/>
      <c r="MPG74" s="2198"/>
      <c r="MPH74" s="2198"/>
      <c r="MPI74" s="2198"/>
      <c r="MPJ74" s="2198"/>
      <c r="MPK74" s="2198"/>
      <c r="MPL74" s="2198"/>
      <c r="MPM74" s="2198"/>
      <c r="MPN74" s="2198"/>
      <c r="MPO74" s="2198"/>
      <c r="MPP74" s="2198"/>
      <c r="MPQ74" s="2198"/>
      <c r="MPR74" s="2198"/>
      <c r="MPS74" s="2198"/>
      <c r="MPT74" s="2198"/>
      <c r="MPU74" s="2198"/>
      <c r="MPV74" s="2198"/>
      <c r="MPW74" s="2198"/>
      <c r="MPX74" s="2198"/>
      <c r="MPY74" s="2198"/>
      <c r="MPZ74" s="2198"/>
      <c r="MQA74" s="2198"/>
      <c r="MQB74" s="2198"/>
      <c r="MQC74" s="2198"/>
      <c r="MQD74" s="2198"/>
      <c r="MQE74" s="2198"/>
      <c r="MQF74" s="2198"/>
      <c r="MQG74" s="2198"/>
      <c r="MQH74" s="2198"/>
      <c r="MQI74" s="2198"/>
      <c r="MQJ74" s="2198"/>
      <c r="MQK74" s="2198"/>
      <c r="MQL74" s="2198"/>
      <c r="MQM74" s="2198"/>
      <c r="MQN74" s="2198"/>
      <c r="MQO74" s="2198"/>
      <c r="MQP74" s="2198"/>
      <c r="MQQ74" s="2198"/>
      <c r="MQR74" s="2198"/>
      <c r="MQS74" s="2198"/>
      <c r="MQT74" s="2198"/>
      <c r="MQU74" s="2198"/>
      <c r="MQV74" s="2198"/>
      <c r="MQW74" s="2198"/>
      <c r="MQX74" s="2198"/>
      <c r="MQY74" s="2198"/>
      <c r="MQZ74" s="2198"/>
      <c r="MRA74" s="2198"/>
      <c r="MRB74" s="2198"/>
      <c r="MRC74" s="2198"/>
      <c r="MRD74" s="2198"/>
      <c r="MRE74" s="2198"/>
      <c r="MRF74" s="2198"/>
      <c r="MRG74" s="2198"/>
      <c r="MRH74" s="2198"/>
      <c r="MRI74" s="2198"/>
      <c r="MRJ74" s="2198"/>
      <c r="MRK74" s="2198"/>
      <c r="MRL74" s="2198"/>
      <c r="MRM74" s="2198"/>
      <c r="MRN74" s="2198"/>
      <c r="MRO74" s="2198"/>
      <c r="MRP74" s="2198"/>
      <c r="MRQ74" s="2198"/>
      <c r="MRR74" s="2198"/>
      <c r="MRS74" s="2198"/>
      <c r="MRT74" s="2198"/>
      <c r="MRU74" s="2198"/>
      <c r="MRV74" s="2198"/>
      <c r="MRW74" s="2198"/>
      <c r="MRX74" s="2198"/>
      <c r="MRY74" s="2198"/>
      <c r="MRZ74" s="2198"/>
      <c r="MSA74" s="2198"/>
      <c r="MSB74" s="2198"/>
      <c r="MSC74" s="2198"/>
      <c r="MSD74" s="2198"/>
      <c r="MSE74" s="2198"/>
      <c r="MSF74" s="2198"/>
      <c r="MSG74" s="2198"/>
      <c r="MSH74" s="2198"/>
      <c r="MSI74" s="2198"/>
      <c r="MSJ74" s="2198"/>
      <c r="MSK74" s="2198"/>
      <c r="MSL74" s="2198"/>
      <c r="MSM74" s="2198"/>
      <c r="MSN74" s="2198"/>
      <c r="MSO74" s="2198"/>
      <c r="MSP74" s="2198"/>
      <c r="MSQ74" s="2198"/>
      <c r="MSR74" s="2198"/>
      <c r="MSS74" s="2198"/>
      <c r="MST74" s="2198"/>
      <c r="MSU74" s="2198"/>
      <c r="MSV74" s="2198"/>
      <c r="MSW74" s="2198"/>
      <c r="MSX74" s="2198"/>
      <c r="MSY74" s="2198"/>
      <c r="MSZ74" s="2198"/>
      <c r="MTA74" s="2198"/>
      <c r="MTB74" s="2198"/>
      <c r="MTC74" s="2198"/>
      <c r="MTD74" s="2198"/>
      <c r="MTE74" s="2198"/>
      <c r="MTF74" s="2198"/>
      <c r="MTG74" s="2198"/>
      <c r="MTH74" s="2198"/>
      <c r="MTI74" s="2198"/>
      <c r="MTJ74" s="2198"/>
      <c r="MTK74" s="2198"/>
      <c r="MTL74" s="2198"/>
      <c r="MTM74" s="2198"/>
      <c r="MTN74" s="2198"/>
      <c r="MTO74" s="2198"/>
      <c r="MTP74" s="2198"/>
      <c r="MTQ74" s="2198"/>
      <c r="MTR74" s="2198"/>
      <c r="MTS74" s="2198"/>
      <c r="MTT74" s="2198"/>
      <c r="MTU74" s="2198"/>
      <c r="MTV74" s="2198"/>
      <c r="MTW74" s="2198"/>
      <c r="MTX74" s="2198"/>
      <c r="MTY74" s="2198"/>
      <c r="MTZ74" s="2198"/>
      <c r="MUA74" s="2198"/>
      <c r="MUB74" s="2198"/>
      <c r="MUC74" s="2198"/>
      <c r="MUD74" s="2198"/>
      <c r="MUE74" s="2198"/>
      <c r="MUF74" s="2198"/>
      <c r="MUG74" s="2198"/>
      <c r="MUH74" s="2198"/>
      <c r="MUI74" s="2198"/>
      <c r="MUJ74" s="2198"/>
      <c r="MUK74" s="2198"/>
      <c r="MUL74" s="2198"/>
      <c r="MUM74" s="2198"/>
      <c r="MUN74" s="2198"/>
      <c r="MUO74" s="2198"/>
      <c r="MUP74" s="2198"/>
      <c r="MUQ74" s="2198"/>
      <c r="MUR74" s="2198"/>
      <c r="MUS74" s="2198"/>
      <c r="MUT74" s="2198"/>
      <c r="MUU74" s="2198"/>
      <c r="MUV74" s="2198"/>
      <c r="MUW74" s="2198"/>
      <c r="MUX74" s="2198"/>
      <c r="MUY74" s="2198"/>
      <c r="MUZ74" s="2198"/>
      <c r="MVA74" s="2198"/>
      <c r="MVB74" s="2198"/>
      <c r="MVC74" s="2198"/>
      <c r="MVD74" s="2198"/>
      <c r="MVE74" s="2198"/>
      <c r="MVF74" s="2198"/>
      <c r="MVG74" s="2198"/>
      <c r="MVH74" s="2198"/>
      <c r="MVI74" s="2198"/>
      <c r="MVJ74" s="2198"/>
      <c r="MVK74" s="2198"/>
      <c r="MVL74" s="2198"/>
      <c r="MVM74" s="2198"/>
      <c r="MVN74" s="2198"/>
      <c r="MVO74" s="2198"/>
      <c r="MVP74" s="2198"/>
      <c r="MVQ74" s="2198"/>
      <c r="MVR74" s="2198"/>
      <c r="MVS74" s="2198"/>
      <c r="MVT74" s="2198"/>
      <c r="MVU74" s="2198"/>
      <c r="MVV74" s="2198"/>
      <c r="MVW74" s="2198"/>
      <c r="MVX74" s="2198"/>
      <c r="MVY74" s="2198"/>
      <c r="MVZ74" s="2198"/>
      <c r="MWA74" s="2198"/>
      <c r="MWB74" s="2198"/>
      <c r="MWC74" s="2198"/>
      <c r="MWD74" s="2198"/>
      <c r="MWE74" s="2198"/>
      <c r="MWF74" s="2198"/>
      <c r="MWG74" s="2198"/>
      <c r="MWH74" s="2198"/>
      <c r="MWI74" s="2198"/>
      <c r="MWJ74" s="2198"/>
      <c r="MWK74" s="2198"/>
      <c r="MWL74" s="2198"/>
      <c r="MWM74" s="2198"/>
      <c r="MWN74" s="2198"/>
      <c r="MWO74" s="2198"/>
      <c r="MWP74" s="2198"/>
      <c r="MWQ74" s="2198"/>
      <c r="MWR74" s="2198"/>
      <c r="MWS74" s="2198"/>
      <c r="MWT74" s="2198"/>
      <c r="MWU74" s="2198"/>
      <c r="MWV74" s="2198"/>
      <c r="MWW74" s="2198"/>
      <c r="MWX74" s="2198"/>
      <c r="MWY74" s="2198"/>
      <c r="MWZ74" s="2198"/>
      <c r="MXA74" s="2198"/>
      <c r="MXB74" s="2198"/>
      <c r="MXC74" s="2198"/>
      <c r="MXD74" s="2198"/>
      <c r="MXE74" s="2198"/>
      <c r="MXF74" s="2198"/>
      <c r="MXG74" s="2198"/>
      <c r="MXH74" s="2198"/>
      <c r="MXI74" s="2198"/>
      <c r="MXJ74" s="2198"/>
      <c r="MXK74" s="2198"/>
      <c r="MXL74" s="2198"/>
      <c r="MXM74" s="2198"/>
      <c r="MXN74" s="2198"/>
      <c r="MXO74" s="2198"/>
      <c r="MXP74" s="2198"/>
      <c r="MXQ74" s="2198"/>
      <c r="MXR74" s="2198"/>
      <c r="MXS74" s="2198"/>
      <c r="MXT74" s="2198"/>
      <c r="MXU74" s="2198"/>
      <c r="MXV74" s="2198"/>
      <c r="MXW74" s="2198"/>
      <c r="MXX74" s="2198"/>
      <c r="MXY74" s="2198"/>
      <c r="MXZ74" s="2198"/>
      <c r="MYA74" s="2198"/>
      <c r="MYB74" s="2198"/>
      <c r="MYC74" s="2198"/>
      <c r="MYD74" s="2198"/>
      <c r="MYE74" s="2198"/>
      <c r="MYF74" s="2198"/>
      <c r="MYG74" s="2198"/>
      <c r="MYH74" s="2198"/>
      <c r="MYI74" s="2198"/>
      <c r="MYJ74" s="2198"/>
      <c r="MYK74" s="2198"/>
      <c r="MYL74" s="2198"/>
      <c r="MYM74" s="2198"/>
      <c r="MYN74" s="2198"/>
      <c r="MYO74" s="2198"/>
      <c r="MYP74" s="2198"/>
      <c r="MYQ74" s="2198"/>
      <c r="MYR74" s="2198"/>
      <c r="MYS74" s="2198"/>
      <c r="MYT74" s="2198"/>
      <c r="MYU74" s="2198"/>
      <c r="MYV74" s="2198"/>
      <c r="MYW74" s="2198"/>
      <c r="MYX74" s="2198"/>
      <c r="MYY74" s="2198"/>
      <c r="MYZ74" s="2198"/>
      <c r="MZA74" s="2198"/>
      <c r="MZB74" s="2198"/>
      <c r="MZC74" s="2198"/>
      <c r="MZD74" s="2198"/>
      <c r="MZE74" s="2198"/>
      <c r="MZF74" s="2198"/>
      <c r="MZG74" s="2198"/>
      <c r="MZH74" s="2198"/>
      <c r="MZI74" s="2198"/>
      <c r="MZJ74" s="2198"/>
      <c r="MZK74" s="2198"/>
      <c r="MZL74" s="2198"/>
      <c r="MZM74" s="2198"/>
      <c r="MZN74" s="2198"/>
      <c r="MZO74" s="2198"/>
      <c r="MZP74" s="2198"/>
      <c r="MZQ74" s="2198"/>
      <c r="MZR74" s="2198"/>
      <c r="MZS74" s="2198"/>
      <c r="MZT74" s="2198"/>
      <c r="MZU74" s="2198"/>
      <c r="MZV74" s="2198"/>
      <c r="MZW74" s="2198"/>
      <c r="MZX74" s="2198"/>
      <c r="MZY74" s="2198"/>
      <c r="MZZ74" s="2198"/>
      <c r="NAA74" s="2198"/>
      <c r="NAB74" s="2198"/>
      <c r="NAC74" s="2198"/>
      <c r="NAD74" s="2198"/>
      <c r="NAE74" s="2198"/>
      <c r="NAF74" s="2198"/>
      <c r="NAG74" s="2198"/>
      <c r="NAH74" s="2198"/>
      <c r="NAI74" s="2198"/>
      <c r="NAJ74" s="2198"/>
      <c r="NAK74" s="2198"/>
      <c r="NAL74" s="2198"/>
      <c r="NAM74" s="2198"/>
      <c r="NAN74" s="2198"/>
      <c r="NAO74" s="2198"/>
      <c r="NAP74" s="2198"/>
      <c r="NAQ74" s="2198"/>
      <c r="NAR74" s="2198"/>
      <c r="NAS74" s="2198"/>
      <c r="NAT74" s="2198"/>
      <c r="NAU74" s="2198"/>
      <c r="NAV74" s="2198"/>
      <c r="NAW74" s="2198"/>
      <c r="NAX74" s="2198"/>
      <c r="NAY74" s="2198"/>
      <c r="NAZ74" s="2198"/>
      <c r="NBA74" s="2198"/>
      <c r="NBB74" s="2198"/>
      <c r="NBC74" s="2198"/>
      <c r="NBD74" s="2198"/>
      <c r="NBE74" s="2198"/>
      <c r="NBF74" s="2198"/>
      <c r="NBG74" s="2198"/>
      <c r="NBH74" s="2198"/>
      <c r="NBI74" s="2198"/>
      <c r="NBJ74" s="2198"/>
      <c r="NBK74" s="2198"/>
      <c r="NBL74" s="2198"/>
      <c r="NBM74" s="2198"/>
      <c r="NBN74" s="2198"/>
      <c r="NBO74" s="2198"/>
      <c r="NBP74" s="2198"/>
      <c r="NBQ74" s="2198"/>
      <c r="NBR74" s="2198"/>
      <c r="NBS74" s="2198"/>
      <c r="NBT74" s="2198"/>
      <c r="NBU74" s="2198"/>
      <c r="NBV74" s="2198"/>
      <c r="NBW74" s="2198"/>
      <c r="NBX74" s="2198"/>
      <c r="NBY74" s="2198"/>
      <c r="NBZ74" s="2198"/>
      <c r="NCA74" s="2198"/>
      <c r="NCB74" s="2198"/>
      <c r="NCC74" s="2198"/>
      <c r="NCD74" s="2198"/>
      <c r="NCE74" s="2198"/>
      <c r="NCF74" s="2198"/>
      <c r="NCG74" s="2198"/>
      <c r="NCH74" s="2198"/>
      <c r="NCI74" s="2198"/>
      <c r="NCJ74" s="2198"/>
      <c r="NCK74" s="2198"/>
      <c r="NCL74" s="2198"/>
      <c r="NCM74" s="2198"/>
      <c r="NCN74" s="2198"/>
      <c r="NCO74" s="2198"/>
      <c r="NCP74" s="2198"/>
      <c r="NCQ74" s="2198"/>
      <c r="NCR74" s="2198"/>
      <c r="NCS74" s="2198"/>
      <c r="NCT74" s="2198"/>
      <c r="NCU74" s="2198"/>
      <c r="NCV74" s="2198"/>
      <c r="NCW74" s="2198"/>
      <c r="NCX74" s="2198"/>
      <c r="NCY74" s="2198"/>
      <c r="NCZ74" s="2198"/>
      <c r="NDA74" s="2198"/>
      <c r="NDB74" s="2198"/>
      <c r="NDC74" s="2198"/>
      <c r="NDD74" s="2198"/>
      <c r="NDE74" s="2198"/>
      <c r="NDF74" s="2198"/>
      <c r="NDG74" s="2198"/>
      <c r="NDH74" s="2198"/>
      <c r="NDI74" s="2198"/>
      <c r="NDJ74" s="2198"/>
      <c r="NDK74" s="2198"/>
      <c r="NDL74" s="2198"/>
      <c r="NDM74" s="2198"/>
      <c r="NDN74" s="2198"/>
      <c r="NDO74" s="2198"/>
      <c r="NDP74" s="2198"/>
      <c r="NDQ74" s="2198"/>
      <c r="NDR74" s="2198"/>
      <c r="NDS74" s="2198"/>
      <c r="NDT74" s="2198"/>
      <c r="NDU74" s="2198"/>
      <c r="NDV74" s="2198"/>
      <c r="NDW74" s="2198"/>
      <c r="NDX74" s="2198"/>
      <c r="NDY74" s="2198"/>
      <c r="NDZ74" s="2198"/>
      <c r="NEA74" s="2198"/>
      <c r="NEB74" s="2198"/>
      <c r="NEC74" s="2198"/>
      <c r="NED74" s="2198"/>
      <c r="NEE74" s="2198"/>
      <c r="NEF74" s="2198"/>
      <c r="NEG74" s="2198"/>
      <c r="NEH74" s="2198"/>
      <c r="NEI74" s="2198"/>
      <c r="NEJ74" s="2198"/>
      <c r="NEK74" s="2198"/>
      <c r="NEL74" s="2198"/>
      <c r="NEM74" s="2198"/>
      <c r="NEN74" s="2198"/>
      <c r="NEO74" s="2198"/>
      <c r="NEP74" s="2198"/>
      <c r="NEQ74" s="2198"/>
      <c r="NER74" s="2198"/>
      <c r="NES74" s="2198"/>
      <c r="NET74" s="2198"/>
      <c r="NEU74" s="2198"/>
      <c r="NEV74" s="2198"/>
      <c r="NEW74" s="2198"/>
      <c r="NEX74" s="2198"/>
      <c r="NEY74" s="2198"/>
      <c r="NEZ74" s="2198"/>
      <c r="NFA74" s="2198"/>
      <c r="NFB74" s="2198"/>
      <c r="NFC74" s="2198"/>
      <c r="NFD74" s="2198"/>
      <c r="NFE74" s="2198"/>
      <c r="NFF74" s="2198"/>
      <c r="NFG74" s="2198"/>
      <c r="NFH74" s="2198"/>
      <c r="NFI74" s="2198"/>
      <c r="NFJ74" s="2198"/>
      <c r="NFK74" s="2198"/>
      <c r="NFL74" s="2198"/>
      <c r="NFM74" s="2198"/>
      <c r="NFN74" s="2198"/>
      <c r="NFO74" s="2198"/>
      <c r="NFP74" s="2198"/>
      <c r="NFQ74" s="2198"/>
      <c r="NFR74" s="2198"/>
      <c r="NFS74" s="2198"/>
      <c r="NFT74" s="2198"/>
      <c r="NFU74" s="2198"/>
      <c r="NFV74" s="2198"/>
      <c r="NFW74" s="2198"/>
      <c r="NFX74" s="2198"/>
      <c r="NFY74" s="2198"/>
      <c r="NFZ74" s="2198"/>
      <c r="NGA74" s="2198"/>
      <c r="NGB74" s="2198"/>
      <c r="NGC74" s="2198"/>
      <c r="NGD74" s="2198"/>
      <c r="NGE74" s="2198"/>
      <c r="NGF74" s="2198"/>
      <c r="NGG74" s="2198"/>
      <c r="NGH74" s="2198"/>
      <c r="NGI74" s="2198"/>
      <c r="NGJ74" s="2198"/>
      <c r="NGK74" s="2198"/>
      <c r="NGL74" s="2198"/>
      <c r="NGM74" s="2198"/>
      <c r="NGN74" s="2198"/>
      <c r="NGO74" s="2198"/>
      <c r="NGP74" s="2198"/>
      <c r="NGQ74" s="2198"/>
      <c r="NGR74" s="2198"/>
      <c r="NGS74" s="2198"/>
      <c r="NGT74" s="2198"/>
      <c r="NGU74" s="2198"/>
      <c r="NGV74" s="2198"/>
      <c r="NGW74" s="2198"/>
      <c r="NGX74" s="2198"/>
      <c r="NGY74" s="2198"/>
      <c r="NGZ74" s="2198"/>
      <c r="NHA74" s="2198"/>
      <c r="NHB74" s="2198"/>
      <c r="NHC74" s="2198"/>
      <c r="NHD74" s="2198"/>
      <c r="NHE74" s="2198"/>
      <c r="NHF74" s="2198"/>
      <c r="NHG74" s="2198"/>
      <c r="NHH74" s="2198"/>
      <c r="NHI74" s="2198"/>
      <c r="NHJ74" s="2198"/>
      <c r="NHK74" s="2198"/>
      <c r="NHL74" s="2198"/>
      <c r="NHM74" s="2198"/>
      <c r="NHN74" s="2198"/>
      <c r="NHO74" s="2198"/>
      <c r="NHP74" s="2198"/>
      <c r="NHQ74" s="2198"/>
      <c r="NHR74" s="2198"/>
      <c r="NHS74" s="2198"/>
      <c r="NHT74" s="2198"/>
      <c r="NHU74" s="2198"/>
      <c r="NHV74" s="2198"/>
      <c r="NHW74" s="2198"/>
      <c r="NHX74" s="2198"/>
      <c r="NHY74" s="2198"/>
      <c r="NHZ74" s="2198"/>
      <c r="NIA74" s="2198"/>
      <c r="NIB74" s="2198"/>
      <c r="NIC74" s="2198"/>
      <c r="NID74" s="2198"/>
      <c r="NIE74" s="2198"/>
      <c r="NIF74" s="2198"/>
      <c r="NIG74" s="2198"/>
      <c r="NIH74" s="2198"/>
      <c r="NII74" s="2198"/>
      <c r="NIJ74" s="2198"/>
      <c r="NIK74" s="2198"/>
      <c r="NIL74" s="2198"/>
      <c r="NIM74" s="2198"/>
      <c r="NIN74" s="2198"/>
      <c r="NIO74" s="2198"/>
      <c r="NIP74" s="2198"/>
      <c r="NIQ74" s="2198"/>
      <c r="NIR74" s="2198"/>
      <c r="NIS74" s="2198"/>
      <c r="NIT74" s="2198"/>
      <c r="NIU74" s="2198"/>
      <c r="NIV74" s="2198"/>
      <c r="NIW74" s="2198"/>
      <c r="NIX74" s="2198"/>
      <c r="NIY74" s="2198"/>
      <c r="NIZ74" s="2198"/>
      <c r="NJA74" s="2198"/>
      <c r="NJB74" s="2198"/>
      <c r="NJC74" s="2198"/>
      <c r="NJD74" s="2198"/>
      <c r="NJE74" s="2198"/>
      <c r="NJF74" s="2198"/>
      <c r="NJG74" s="2198"/>
      <c r="NJH74" s="2198"/>
      <c r="NJI74" s="2198"/>
      <c r="NJJ74" s="2198"/>
      <c r="NJK74" s="2198"/>
      <c r="NJL74" s="2198"/>
      <c r="NJM74" s="2198"/>
      <c r="NJN74" s="2198"/>
      <c r="NJO74" s="2198"/>
      <c r="NJP74" s="2198"/>
      <c r="NJQ74" s="2198"/>
      <c r="NJR74" s="2198"/>
      <c r="NJS74" s="2198"/>
      <c r="NJT74" s="2198"/>
      <c r="NJU74" s="2198"/>
      <c r="NJV74" s="2198"/>
      <c r="NJW74" s="2198"/>
      <c r="NJX74" s="2198"/>
      <c r="NJY74" s="2198"/>
      <c r="NJZ74" s="2198"/>
      <c r="NKA74" s="2198"/>
      <c r="NKB74" s="2198"/>
      <c r="NKC74" s="2198"/>
      <c r="NKD74" s="2198"/>
      <c r="NKE74" s="2198"/>
      <c r="NKF74" s="2198"/>
      <c r="NKG74" s="2198"/>
      <c r="NKH74" s="2198"/>
      <c r="NKI74" s="2198"/>
      <c r="NKJ74" s="2198"/>
      <c r="NKK74" s="2198"/>
      <c r="NKL74" s="2198"/>
      <c r="NKM74" s="2198"/>
      <c r="NKN74" s="2198"/>
      <c r="NKO74" s="2198"/>
      <c r="NKP74" s="2198"/>
      <c r="NKQ74" s="2198"/>
      <c r="NKR74" s="2198"/>
      <c r="NKS74" s="2198"/>
      <c r="NKT74" s="2198"/>
      <c r="NKU74" s="2198"/>
      <c r="NKV74" s="2198"/>
      <c r="NKW74" s="2198"/>
      <c r="NKX74" s="2198"/>
      <c r="NKY74" s="2198"/>
      <c r="NKZ74" s="2198"/>
      <c r="NLA74" s="2198"/>
      <c r="NLB74" s="2198"/>
      <c r="NLC74" s="2198"/>
      <c r="NLD74" s="2198"/>
      <c r="NLE74" s="2198"/>
      <c r="NLF74" s="2198"/>
      <c r="NLG74" s="2198"/>
      <c r="NLH74" s="2198"/>
      <c r="NLI74" s="2198"/>
      <c r="NLJ74" s="2198"/>
      <c r="NLK74" s="2198"/>
      <c r="NLL74" s="2198"/>
      <c r="NLM74" s="2198"/>
      <c r="NLN74" s="2198"/>
      <c r="NLO74" s="2198"/>
      <c r="NLP74" s="2198"/>
      <c r="NLQ74" s="2198"/>
      <c r="NLR74" s="2198"/>
      <c r="NLS74" s="2198"/>
      <c r="NLT74" s="2198"/>
      <c r="NLU74" s="2198"/>
      <c r="NLV74" s="2198"/>
      <c r="NLW74" s="2198"/>
      <c r="NLX74" s="2198"/>
      <c r="NLY74" s="2198"/>
      <c r="NLZ74" s="2198"/>
      <c r="NMA74" s="2198"/>
      <c r="NMB74" s="2198"/>
      <c r="NMC74" s="2198"/>
      <c r="NMD74" s="2198"/>
      <c r="NME74" s="2198"/>
      <c r="NMF74" s="2198"/>
      <c r="NMG74" s="2198"/>
      <c r="NMH74" s="2198"/>
      <c r="NMI74" s="2198"/>
      <c r="NMJ74" s="2198"/>
      <c r="NMK74" s="2198"/>
      <c r="NML74" s="2198"/>
      <c r="NMM74" s="2198"/>
      <c r="NMN74" s="2198"/>
      <c r="NMO74" s="2198"/>
      <c r="NMP74" s="2198"/>
      <c r="NMQ74" s="2198"/>
      <c r="NMR74" s="2198"/>
      <c r="NMS74" s="2198"/>
      <c r="NMT74" s="2198"/>
      <c r="NMU74" s="2198"/>
      <c r="NMV74" s="2198"/>
      <c r="NMW74" s="2198"/>
      <c r="NMX74" s="2198"/>
      <c r="NMY74" s="2198"/>
      <c r="NMZ74" s="2198"/>
      <c r="NNA74" s="2198"/>
      <c r="NNB74" s="2198"/>
      <c r="NNC74" s="2198"/>
      <c r="NND74" s="2198"/>
      <c r="NNE74" s="2198"/>
      <c r="NNF74" s="2198"/>
      <c r="NNG74" s="2198"/>
      <c r="NNH74" s="2198"/>
      <c r="NNI74" s="2198"/>
      <c r="NNJ74" s="2198"/>
      <c r="NNK74" s="2198"/>
      <c r="NNL74" s="2198"/>
      <c r="NNM74" s="2198"/>
      <c r="NNN74" s="2198"/>
      <c r="NNO74" s="2198"/>
      <c r="NNP74" s="2198"/>
      <c r="NNQ74" s="2198"/>
      <c r="NNR74" s="2198"/>
      <c r="NNS74" s="2198"/>
      <c r="NNT74" s="2198"/>
      <c r="NNU74" s="2198"/>
      <c r="NNV74" s="2198"/>
      <c r="NNW74" s="2198"/>
      <c r="NNX74" s="2198"/>
      <c r="NNY74" s="2198"/>
      <c r="NNZ74" s="2198"/>
      <c r="NOA74" s="2198"/>
      <c r="NOB74" s="2198"/>
      <c r="NOC74" s="2198"/>
      <c r="NOD74" s="2198"/>
      <c r="NOE74" s="2198"/>
      <c r="NOF74" s="2198"/>
      <c r="NOG74" s="2198"/>
      <c r="NOH74" s="2198"/>
      <c r="NOI74" s="2198"/>
      <c r="NOJ74" s="2198"/>
      <c r="NOK74" s="2198"/>
      <c r="NOL74" s="2198"/>
      <c r="NOM74" s="2198"/>
      <c r="NON74" s="2198"/>
      <c r="NOO74" s="2198"/>
      <c r="NOP74" s="2198"/>
      <c r="NOQ74" s="2198"/>
      <c r="NOR74" s="2198"/>
      <c r="NOS74" s="2198"/>
      <c r="NOT74" s="2198"/>
      <c r="NOU74" s="2198"/>
      <c r="NOV74" s="2198"/>
      <c r="NOW74" s="2198"/>
      <c r="NOX74" s="2198"/>
      <c r="NOY74" s="2198"/>
      <c r="NOZ74" s="2198"/>
      <c r="NPA74" s="2198"/>
      <c r="NPB74" s="2198"/>
      <c r="NPC74" s="2198"/>
      <c r="NPD74" s="2198"/>
      <c r="NPE74" s="2198"/>
      <c r="NPF74" s="2198"/>
      <c r="NPG74" s="2198"/>
      <c r="NPH74" s="2198"/>
      <c r="NPI74" s="2198"/>
      <c r="NPJ74" s="2198"/>
      <c r="NPK74" s="2198"/>
      <c r="NPL74" s="2198"/>
      <c r="NPM74" s="2198"/>
      <c r="NPN74" s="2198"/>
      <c r="NPO74" s="2198"/>
      <c r="NPP74" s="2198"/>
      <c r="NPQ74" s="2198"/>
      <c r="NPR74" s="2198"/>
      <c r="NPS74" s="2198"/>
      <c r="NPT74" s="2198"/>
      <c r="NPU74" s="2198"/>
      <c r="NPV74" s="2198"/>
      <c r="NPW74" s="2198"/>
      <c r="NPX74" s="2198"/>
      <c r="NPY74" s="2198"/>
      <c r="NPZ74" s="2198"/>
      <c r="NQA74" s="2198"/>
      <c r="NQB74" s="2198"/>
      <c r="NQC74" s="2198"/>
      <c r="NQD74" s="2198"/>
      <c r="NQE74" s="2198"/>
      <c r="NQF74" s="2198"/>
      <c r="NQG74" s="2198"/>
      <c r="NQH74" s="2198"/>
      <c r="NQI74" s="2198"/>
      <c r="NQJ74" s="2198"/>
      <c r="NQK74" s="2198"/>
      <c r="NQL74" s="2198"/>
      <c r="NQM74" s="2198"/>
      <c r="NQN74" s="2198"/>
      <c r="NQO74" s="2198"/>
      <c r="NQP74" s="2198"/>
      <c r="NQQ74" s="2198"/>
      <c r="NQR74" s="2198"/>
      <c r="NQS74" s="2198"/>
      <c r="NQT74" s="2198"/>
      <c r="NQU74" s="2198"/>
      <c r="NQV74" s="2198"/>
      <c r="NQW74" s="2198"/>
      <c r="NQX74" s="2198"/>
      <c r="NQY74" s="2198"/>
      <c r="NQZ74" s="2198"/>
      <c r="NRA74" s="2198"/>
      <c r="NRB74" s="2198"/>
      <c r="NRC74" s="2198"/>
      <c r="NRD74" s="2198"/>
      <c r="NRE74" s="2198"/>
      <c r="NRF74" s="2198"/>
      <c r="NRG74" s="2198"/>
      <c r="NRH74" s="2198"/>
      <c r="NRI74" s="2198"/>
      <c r="NRJ74" s="2198"/>
      <c r="NRK74" s="2198"/>
      <c r="NRL74" s="2198"/>
      <c r="NRM74" s="2198"/>
      <c r="NRN74" s="2198"/>
      <c r="NRO74" s="2198"/>
      <c r="NRP74" s="2198"/>
      <c r="NRQ74" s="2198"/>
      <c r="NRR74" s="2198"/>
      <c r="NRS74" s="2198"/>
      <c r="NRT74" s="2198"/>
      <c r="NRU74" s="2198"/>
      <c r="NRV74" s="2198"/>
      <c r="NRW74" s="2198"/>
      <c r="NRX74" s="2198"/>
      <c r="NRY74" s="2198"/>
      <c r="NRZ74" s="2198"/>
      <c r="NSA74" s="2198"/>
      <c r="NSB74" s="2198"/>
      <c r="NSC74" s="2198"/>
      <c r="NSD74" s="2198"/>
      <c r="NSE74" s="2198"/>
      <c r="NSF74" s="2198"/>
      <c r="NSG74" s="2198"/>
      <c r="NSH74" s="2198"/>
      <c r="NSI74" s="2198"/>
      <c r="NSJ74" s="2198"/>
      <c r="NSK74" s="2198"/>
      <c r="NSL74" s="2198"/>
      <c r="NSM74" s="2198"/>
      <c r="NSN74" s="2198"/>
      <c r="NSO74" s="2198"/>
      <c r="NSP74" s="2198"/>
      <c r="NSQ74" s="2198"/>
      <c r="NSR74" s="2198"/>
      <c r="NSS74" s="2198"/>
      <c r="NST74" s="2198"/>
      <c r="NSU74" s="2198"/>
      <c r="NSV74" s="2198"/>
      <c r="NSW74" s="2198"/>
      <c r="NSX74" s="2198"/>
      <c r="NSY74" s="2198"/>
      <c r="NSZ74" s="2198"/>
      <c r="NTA74" s="2198"/>
      <c r="NTB74" s="2198"/>
      <c r="NTC74" s="2198"/>
      <c r="NTD74" s="2198"/>
      <c r="NTE74" s="2198"/>
      <c r="NTF74" s="2198"/>
      <c r="NTG74" s="2198"/>
      <c r="NTH74" s="2198"/>
      <c r="NTI74" s="2198"/>
      <c r="NTJ74" s="2198"/>
      <c r="NTK74" s="2198"/>
      <c r="NTL74" s="2198"/>
      <c r="NTM74" s="2198"/>
      <c r="NTN74" s="2198"/>
      <c r="NTO74" s="2198"/>
      <c r="NTP74" s="2198"/>
      <c r="NTQ74" s="2198"/>
      <c r="NTR74" s="2198"/>
      <c r="NTS74" s="2198"/>
      <c r="NTT74" s="2198"/>
      <c r="NTU74" s="2198"/>
      <c r="NTV74" s="2198"/>
      <c r="NTW74" s="2198"/>
      <c r="NTX74" s="2198"/>
      <c r="NTY74" s="2198"/>
      <c r="NTZ74" s="2198"/>
      <c r="NUA74" s="2198"/>
      <c r="NUB74" s="2198"/>
      <c r="NUC74" s="2198"/>
      <c r="NUD74" s="2198"/>
      <c r="NUE74" s="2198"/>
      <c r="NUF74" s="2198"/>
      <c r="NUG74" s="2198"/>
      <c r="NUH74" s="2198"/>
      <c r="NUI74" s="2198"/>
      <c r="NUJ74" s="2198"/>
      <c r="NUK74" s="2198"/>
      <c r="NUL74" s="2198"/>
      <c r="NUM74" s="2198"/>
      <c r="NUN74" s="2198"/>
      <c r="NUO74" s="2198"/>
      <c r="NUP74" s="2198"/>
      <c r="NUQ74" s="2198"/>
      <c r="NUR74" s="2198"/>
      <c r="NUS74" s="2198"/>
      <c r="NUT74" s="2198"/>
      <c r="NUU74" s="2198"/>
      <c r="NUV74" s="2198"/>
      <c r="NUW74" s="2198"/>
      <c r="NUX74" s="2198"/>
      <c r="NUY74" s="2198"/>
      <c r="NUZ74" s="2198"/>
      <c r="NVA74" s="2198"/>
      <c r="NVB74" s="2198"/>
      <c r="NVC74" s="2198"/>
      <c r="NVD74" s="2198"/>
      <c r="NVE74" s="2198"/>
      <c r="NVF74" s="2198"/>
      <c r="NVG74" s="2198"/>
      <c r="NVH74" s="2198"/>
      <c r="NVI74" s="2198"/>
      <c r="NVJ74" s="2198"/>
      <c r="NVK74" s="2198"/>
      <c r="NVL74" s="2198"/>
      <c r="NVM74" s="2198"/>
      <c r="NVN74" s="2198"/>
      <c r="NVO74" s="2198"/>
      <c r="NVP74" s="2198"/>
      <c r="NVQ74" s="2198"/>
      <c r="NVR74" s="2198"/>
      <c r="NVS74" s="2198"/>
      <c r="NVT74" s="2198"/>
      <c r="NVU74" s="2198"/>
      <c r="NVV74" s="2198"/>
      <c r="NVW74" s="2198"/>
      <c r="NVX74" s="2198"/>
      <c r="NVY74" s="2198"/>
      <c r="NVZ74" s="2198"/>
      <c r="NWA74" s="2198"/>
      <c r="NWB74" s="2198"/>
      <c r="NWC74" s="2198"/>
      <c r="NWD74" s="2198"/>
      <c r="NWE74" s="2198"/>
      <c r="NWF74" s="2198"/>
      <c r="NWG74" s="2198"/>
      <c r="NWH74" s="2198"/>
      <c r="NWI74" s="2198"/>
      <c r="NWJ74" s="2198"/>
      <c r="NWK74" s="2198"/>
      <c r="NWL74" s="2198"/>
      <c r="NWM74" s="2198"/>
      <c r="NWN74" s="2198"/>
      <c r="NWO74" s="2198"/>
      <c r="NWP74" s="2198"/>
      <c r="NWQ74" s="2198"/>
      <c r="NWR74" s="2198"/>
      <c r="NWS74" s="2198"/>
      <c r="NWT74" s="2198"/>
      <c r="NWU74" s="2198"/>
      <c r="NWV74" s="2198"/>
      <c r="NWW74" s="2198"/>
      <c r="NWX74" s="2198"/>
      <c r="NWY74" s="2198"/>
      <c r="NWZ74" s="2198"/>
      <c r="NXA74" s="2198"/>
      <c r="NXB74" s="2198"/>
      <c r="NXC74" s="2198"/>
      <c r="NXD74" s="2198"/>
      <c r="NXE74" s="2198"/>
      <c r="NXF74" s="2198"/>
      <c r="NXG74" s="2198"/>
      <c r="NXH74" s="2198"/>
      <c r="NXI74" s="2198"/>
      <c r="NXJ74" s="2198"/>
      <c r="NXK74" s="2198"/>
      <c r="NXL74" s="2198"/>
      <c r="NXM74" s="2198"/>
      <c r="NXN74" s="2198"/>
      <c r="NXO74" s="2198"/>
      <c r="NXP74" s="2198"/>
      <c r="NXQ74" s="2198"/>
      <c r="NXR74" s="2198"/>
      <c r="NXS74" s="2198"/>
      <c r="NXT74" s="2198"/>
      <c r="NXU74" s="2198"/>
      <c r="NXV74" s="2198"/>
      <c r="NXW74" s="2198"/>
      <c r="NXX74" s="2198"/>
      <c r="NXY74" s="2198"/>
      <c r="NXZ74" s="2198"/>
      <c r="NYA74" s="2198"/>
      <c r="NYB74" s="2198"/>
      <c r="NYC74" s="2198"/>
      <c r="NYD74" s="2198"/>
      <c r="NYE74" s="2198"/>
      <c r="NYF74" s="2198"/>
      <c r="NYG74" s="2198"/>
      <c r="NYH74" s="2198"/>
      <c r="NYI74" s="2198"/>
      <c r="NYJ74" s="2198"/>
      <c r="NYK74" s="2198"/>
      <c r="NYL74" s="2198"/>
      <c r="NYM74" s="2198"/>
      <c r="NYN74" s="2198"/>
      <c r="NYO74" s="2198"/>
      <c r="NYP74" s="2198"/>
      <c r="NYQ74" s="2198"/>
      <c r="NYR74" s="2198"/>
      <c r="NYS74" s="2198"/>
      <c r="NYT74" s="2198"/>
      <c r="NYU74" s="2198"/>
      <c r="NYV74" s="2198"/>
      <c r="NYW74" s="2198"/>
      <c r="NYX74" s="2198"/>
      <c r="NYY74" s="2198"/>
      <c r="NYZ74" s="2198"/>
      <c r="NZA74" s="2198"/>
      <c r="NZB74" s="2198"/>
      <c r="NZC74" s="2198"/>
      <c r="NZD74" s="2198"/>
      <c r="NZE74" s="2198"/>
      <c r="NZF74" s="2198"/>
      <c r="NZG74" s="2198"/>
      <c r="NZH74" s="2198"/>
      <c r="NZI74" s="2198"/>
      <c r="NZJ74" s="2198"/>
      <c r="NZK74" s="2198"/>
      <c r="NZL74" s="2198"/>
      <c r="NZM74" s="2198"/>
      <c r="NZN74" s="2198"/>
      <c r="NZO74" s="2198"/>
      <c r="NZP74" s="2198"/>
      <c r="NZQ74" s="2198"/>
      <c r="NZR74" s="2198"/>
      <c r="NZS74" s="2198"/>
      <c r="NZT74" s="2198"/>
      <c r="NZU74" s="2198"/>
      <c r="NZV74" s="2198"/>
      <c r="NZW74" s="2198"/>
      <c r="NZX74" s="2198"/>
      <c r="NZY74" s="2198"/>
      <c r="NZZ74" s="2198"/>
      <c r="OAA74" s="2198"/>
      <c r="OAB74" s="2198"/>
      <c r="OAC74" s="2198"/>
      <c r="OAD74" s="2198"/>
      <c r="OAE74" s="2198"/>
      <c r="OAF74" s="2198"/>
      <c r="OAG74" s="2198"/>
      <c r="OAH74" s="2198"/>
      <c r="OAI74" s="2198"/>
      <c r="OAJ74" s="2198"/>
      <c r="OAK74" s="2198"/>
      <c r="OAL74" s="2198"/>
      <c r="OAM74" s="2198"/>
      <c r="OAN74" s="2198"/>
      <c r="OAO74" s="2198"/>
      <c r="OAP74" s="2198"/>
      <c r="OAQ74" s="2198"/>
      <c r="OAR74" s="2198"/>
      <c r="OAS74" s="2198"/>
      <c r="OAT74" s="2198"/>
      <c r="OAU74" s="2198"/>
      <c r="OAV74" s="2198"/>
      <c r="OAW74" s="2198"/>
      <c r="OAX74" s="2198"/>
      <c r="OAY74" s="2198"/>
      <c r="OAZ74" s="2198"/>
      <c r="OBA74" s="2198"/>
      <c r="OBB74" s="2198"/>
      <c r="OBC74" s="2198"/>
      <c r="OBD74" s="2198"/>
      <c r="OBE74" s="2198"/>
      <c r="OBF74" s="2198"/>
      <c r="OBG74" s="2198"/>
      <c r="OBH74" s="2198"/>
      <c r="OBI74" s="2198"/>
      <c r="OBJ74" s="2198"/>
      <c r="OBK74" s="2198"/>
      <c r="OBL74" s="2198"/>
      <c r="OBM74" s="2198"/>
      <c r="OBN74" s="2198"/>
      <c r="OBO74" s="2198"/>
      <c r="OBP74" s="2198"/>
      <c r="OBQ74" s="2198"/>
      <c r="OBR74" s="2198"/>
      <c r="OBS74" s="2198"/>
      <c r="OBT74" s="2198"/>
      <c r="OBU74" s="2198"/>
      <c r="OBV74" s="2198"/>
      <c r="OBW74" s="2198"/>
      <c r="OBX74" s="2198"/>
      <c r="OBY74" s="2198"/>
      <c r="OBZ74" s="2198"/>
      <c r="OCA74" s="2198"/>
      <c r="OCB74" s="2198"/>
      <c r="OCC74" s="2198"/>
      <c r="OCD74" s="2198"/>
      <c r="OCE74" s="2198"/>
      <c r="OCF74" s="2198"/>
      <c r="OCG74" s="2198"/>
      <c r="OCH74" s="2198"/>
      <c r="OCI74" s="2198"/>
      <c r="OCJ74" s="2198"/>
      <c r="OCK74" s="2198"/>
      <c r="OCL74" s="2198"/>
      <c r="OCM74" s="2198"/>
      <c r="OCN74" s="2198"/>
      <c r="OCO74" s="2198"/>
      <c r="OCP74" s="2198"/>
      <c r="OCQ74" s="2198"/>
      <c r="OCR74" s="2198"/>
      <c r="OCS74" s="2198"/>
      <c r="OCT74" s="2198"/>
      <c r="OCU74" s="2198"/>
      <c r="OCV74" s="2198"/>
      <c r="OCW74" s="2198"/>
      <c r="OCX74" s="2198"/>
      <c r="OCY74" s="2198"/>
      <c r="OCZ74" s="2198"/>
      <c r="ODA74" s="2198"/>
      <c r="ODB74" s="2198"/>
      <c r="ODC74" s="2198"/>
      <c r="ODD74" s="2198"/>
      <c r="ODE74" s="2198"/>
      <c r="ODF74" s="2198"/>
      <c r="ODG74" s="2198"/>
      <c r="ODH74" s="2198"/>
      <c r="ODI74" s="2198"/>
      <c r="ODJ74" s="2198"/>
      <c r="ODK74" s="2198"/>
      <c r="ODL74" s="2198"/>
      <c r="ODM74" s="2198"/>
      <c r="ODN74" s="2198"/>
      <c r="ODO74" s="2198"/>
      <c r="ODP74" s="2198"/>
      <c r="ODQ74" s="2198"/>
      <c r="ODR74" s="2198"/>
      <c r="ODS74" s="2198"/>
      <c r="ODT74" s="2198"/>
      <c r="ODU74" s="2198"/>
      <c r="ODV74" s="2198"/>
      <c r="ODW74" s="2198"/>
      <c r="ODX74" s="2198"/>
      <c r="ODY74" s="2198"/>
      <c r="ODZ74" s="2198"/>
      <c r="OEA74" s="2198"/>
      <c r="OEB74" s="2198"/>
      <c r="OEC74" s="2198"/>
      <c r="OED74" s="2198"/>
      <c r="OEE74" s="2198"/>
      <c r="OEF74" s="2198"/>
      <c r="OEG74" s="2198"/>
      <c r="OEH74" s="2198"/>
      <c r="OEI74" s="2198"/>
      <c r="OEJ74" s="2198"/>
      <c r="OEK74" s="2198"/>
      <c r="OEL74" s="2198"/>
      <c r="OEM74" s="2198"/>
      <c r="OEN74" s="2198"/>
      <c r="OEO74" s="2198"/>
      <c r="OEP74" s="2198"/>
      <c r="OEQ74" s="2198"/>
      <c r="OER74" s="2198"/>
      <c r="OES74" s="2198"/>
      <c r="OET74" s="2198"/>
      <c r="OEU74" s="2198"/>
      <c r="OEV74" s="2198"/>
      <c r="OEW74" s="2198"/>
      <c r="OEX74" s="2198"/>
      <c r="OEY74" s="2198"/>
      <c r="OEZ74" s="2198"/>
      <c r="OFA74" s="2198"/>
      <c r="OFB74" s="2198"/>
      <c r="OFC74" s="2198"/>
      <c r="OFD74" s="2198"/>
      <c r="OFE74" s="2198"/>
      <c r="OFF74" s="2198"/>
      <c r="OFG74" s="2198"/>
      <c r="OFH74" s="2198"/>
      <c r="OFI74" s="2198"/>
      <c r="OFJ74" s="2198"/>
      <c r="OFK74" s="2198"/>
      <c r="OFL74" s="2198"/>
      <c r="OFM74" s="2198"/>
      <c r="OFN74" s="2198"/>
      <c r="OFO74" s="2198"/>
      <c r="OFP74" s="2198"/>
      <c r="OFQ74" s="2198"/>
      <c r="OFR74" s="2198"/>
      <c r="OFS74" s="2198"/>
      <c r="OFT74" s="2198"/>
      <c r="OFU74" s="2198"/>
      <c r="OFV74" s="2198"/>
      <c r="OFW74" s="2198"/>
      <c r="OFX74" s="2198"/>
      <c r="OFY74" s="2198"/>
      <c r="OFZ74" s="2198"/>
      <c r="OGA74" s="2198"/>
      <c r="OGB74" s="2198"/>
      <c r="OGC74" s="2198"/>
      <c r="OGD74" s="2198"/>
      <c r="OGE74" s="2198"/>
      <c r="OGF74" s="2198"/>
      <c r="OGG74" s="2198"/>
      <c r="OGH74" s="2198"/>
      <c r="OGI74" s="2198"/>
      <c r="OGJ74" s="2198"/>
      <c r="OGK74" s="2198"/>
      <c r="OGL74" s="2198"/>
      <c r="OGM74" s="2198"/>
      <c r="OGN74" s="2198"/>
      <c r="OGO74" s="2198"/>
      <c r="OGP74" s="2198"/>
      <c r="OGQ74" s="2198"/>
      <c r="OGR74" s="2198"/>
      <c r="OGS74" s="2198"/>
      <c r="OGT74" s="2198"/>
      <c r="OGU74" s="2198"/>
      <c r="OGV74" s="2198"/>
      <c r="OGW74" s="2198"/>
      <c r="OGX74" s="2198"/>
      <c r="OGY74" s="2198"/>
      <c r="OGZ74" s="2198"/>
      <c r="OHA74" s="2198"/>
      <c r="OHB74" s="2198"/>
      <c r="OHC74" s="2198"/>
      <c r="OHD74" s="2198"/>
      <c r="OHE74" s="2198"/>
      <c r="OHF74" s="2198"/>
      <c r="OHG74" s="2198"/>
      <c r="OHH74" s="2198"/>
      <c r="OHI74" s="2198"/>
      <c r="OHJ74" s="2198"/>
      <c r="OHK74" s="2198"/>
      <c r="OHL74" s="2198"/>
      <c r="OHM74" s="2198"/>
      <c r="OHN74" s="2198"/>
      <c r="OHO74" s="2198"/>
      <c r="OHP74" s="2198"/>
      <c r="OHQ74" s="2198"/>
      <c r="OHR74" s="2198"/>
      <c r="OHS74" s="2198"/>
      <c r="OHT74" s="2198"/>
      <c r="OHU74" s="2198"/>
      <c r="OHV74" s="2198"/>
      <c r="OHW74" s="2198"/>
      <c r="OHX74" s="2198"/>
      <c r="OHY74" s="2198"/>
      <c r="OHZ74" s="2198"/>
      <c r="OIA74" s="2198"/>
      <c r="OIB74" s="2198"/>
      <c r="OIC74" s="2198"/>
      <c r="OID74" s="2198"/>
      <c r="OIE74" s="2198"/>
      <c r="OIF74" s="2198"/>
      <c r="OIG74" s="2198"/>
      <c r="OIH74" s="2198"/>
      <c r="OII74" s="2198"/>
      <c r="OIJ74" s="2198"/>
      <c r="OIK74" s="2198"/>
      <c r="OIL74" s="2198"/>
      <c r="OIM74" s="2198"/>
      <c r="OIN74" s="2198"/>
      <c r="OIO74" s="2198"/>
      <c r="OIP74" s="2198"/>
      <c r="OIQ74" s="2198"/>
      <c r="OIR74" s="2198"/>
      <c r="OIS74" s="2198"/>
      <c r="OIT74" s="2198"/>
      <c r="OIU74" s="2198"/>
      <c r="OIV74" s="2198"/>
      <c r="OIW74" s="2198"/>
      <c r="OIX74" s="2198"/>
      <c r="OIY74" s="2198"/>
      <c r="OIZ74" s="2198"/>
      <c r="OJA74" s="2198"/>
      <c r="OJB74" s="2198"/>
      <c r="OJC74" s="2198"/>
      <c r="OJD74" s="2198"/>
      <c r="OJE74" s="2198"/>
      <c r="OJF74" s="2198"/>
      <c r="OJG74" s="2198"/>
      <c r="OJH74" s="2198"/>
      <c r="OJI74" s="2198"/>
      <c r="OJJ74" s="2198"/>
      <c r="OJK74" s="2198"/>
      <c r="OJL74" s="2198"/>
      <c r="OJM74" s="2198"/>
      <c r="OJN74" s="2198"/>
      <c r="OJO74" s="2198"/>
      <c r="OJP74" s="2198"/>
      <c r="OJQ74" s="2198"/>
      <c r="OJR74" s="2198"/>
      <c r="OJS74" s="2198"/>
      <c r="OJT74" s="2198"/>
      <c r="OJU74" s="2198"/>
      <c r="OJV74" s="2198"/>
      <c r="OJW74" s="2198"/>
      <c r="OJX74" s="2198"/>
      <c r="OJY74" s="2198"/>
      <c r="OJZ74" s="2198"/>
      <c r="OKA74" s="2198"/>
      <c r="OKB74" s="2198"/>
      <c r="OKC74" s="2198"/>
      <c r="OKD74" s="2198"/>
      <c r="OKE74" s="2198"/>
      <c r="OKF74" s="2198"/>
      <c r="OKG74" s="2198"/>
      <c r="OKH74" s="2198"/>
      <c r="OKI74" s="2198"/>
      <c r="OKJ74" s="2198"/>
      <c r="OKK74" s="2198"/>
      <c r="OKL74" s="2198"/>
      <c r="OKM74" s="2198"/>
      <c r="OKN74" s="2198"/>
      <c r="OKO74" s="2198"/>
      <c r="OKP74" s="2198"/>
      <c r="OKQ74" s="2198"/>
      <c r="OKR74" s="2198"/>
      <c r="OKS74" s="2198"/>
      <c r="OKT74" s="2198"/>
      <c r="OKU74" s="2198"/>
      <c r="OKV74" s="2198"/>
      <c r="OKW74" s="2198"/>
      <c r="OKX74" s="2198"/>
      <c r="OKY74" s="2198"/>
      <c r="OKZ74" s="2198"/>
      <c r="OLA74" s="2198"/>
      <c r="OLB74" s="2198"/>
      <c r="OLC74" s="2198"/>
      <c r="OLD74" s="2198"/>
      <c r="OLE74" s="2198"/>
      <c r="OLF74" s="2198"/>
      <c r="OLG74" s="2198"/>
      <c r="OLH74" s="2198"/>
      <c r="OLI74" s="2198"/>
      <c r="OLJ74" s="2198"/>
      <c r="OLK74" s="2198"/>
      <c r="OLL74" s="2198"/>
      <c r="OLM74" s="2198"/>
      <c r="OLN74" s="2198"/>
      <c r="OLO74" s="2198"/>
      <c r="OLP74" s="2198"/>
      <c r="OLQ74" s="2198"/>
      <c r="OLR74" s="2198"/>
      <c r="OLS74" s="2198"/>
      <c r="OLT74" s="2198"/>
      <c r="OLU74" s="2198"/>
      <c r="OLV74" s="2198"/>
      <c r="OLW74" s="2198"/>
      <c r="OLX74" s="2198"/>
      <c r="OLY74" s="2198"/>
      <c r="OLZ74" s="2198"/>
      <c r="OMA74" s="2198"/>
      <c r="OMB74" s="2198"/>
      <c r="OMC74" s="2198"/>
      <c r="OMD74" s="2198"/>
      <c r="OME74" s="2198"/>
      <c r="OMF74" s="2198"/>
      <c r="OMG74" s="2198"/>
      <c r="OMH74" s="2198"/>
      <c r="OMI74" s="2198"/>
      <c r="OMJ74" s="2198"/>
      <c r="OMK74" s="2198"/>
      <c r="OML74" s="2198"/>
      <c r="OMM74" s="2198"/>
      <c r="OMN74" s="2198"/>
      <c r="OMO74" s="2198"/>
      <c r="OMP74" s="2198"/>
      <c r="OMQ74" s="2198"/>
      <c r="OMR74" s="2198"/>
      <c r="OMS74" s="2198"/>
      <c r="OMT74" s="2198"/>
      <c r="OMU74" s="2198"/>
      <c r="OMV74" s="2198"/>
      <c r="OMW74" s="2198"/>
      <c r="OMX74" s="2198"/>
      <c r="OMY74" s="2198"/>
      <c r="OMZ74" s="2198"/>
      <c r="ONA74" s="2198"/>
      <c r="ONB74" s="2198"/>
      <c r="ONC74" s="2198"/>
      <c r="OND74" s="2198"/>
      <c r="ONE74" s="2198"/>
      <c r="ONF74" s="2198"/>
      <c r="ONG74" s="2198"/>
      <c r="ONH74" s="2198"/>
      <c r="ONI74" s="2198"/>
      <c r="ONJ74" s="2198"/>
      <c r="ONK74" s="2198"/>
      <c r="ONL74" s="2198"/>
      <c r="ONM74" s="2198"/>
      <c r="ONN74" s="2198"/>
      <c r="ONO74" s="2198"/>
      <c r="ONP74" s="2198"/>
      <c r="ONQ74" s="2198"/>
      <c r="ONR74" s="2198"/>
      <c r="ONS74" s="2198"/>
      <c r="ONT74" s="2198"/>
      <c r="ONU74" s="2198"/>
      <c r="ONV74" s="2198"/>
      <c r="ONW74" s="2198"/>
      <c r="ONX74" s="2198"/>
      <c r="ONY74" s="2198"/>
      <c r="ONZ74" s="2198"/>
      <c r="OOA74" s="2198"/>
      <c r="OOB74" s="2198"/>
      <c r="OOC74" s="2198"/>
      <c r="OOD74" s="2198"/>
      <c r="OOE74" s="2198"/>
      <c r="OOF74" s="2198"/>
      <c r="OOG74" s="2198"/>
      <c r="OOH74" s="2198"/>
      <c r="OOI74" s="2198"/>
      <c r="OOJ74" s="2198"/>
      <c r="OOK74" s="2198"/>
      <c r="OOL74" s="2198"/>
      <c r="OOM74" s="2198"/>
      <c r="OON74" s="2198"/>
      <c r="OOO74" s="2198"/>
      <c r="OOP74" s="2198"/>
      <c r="OOQ74" s="2198"/>
      <c r="OOR74" s="2198"/>
      <c r="OOS74" s="2198"/>
      <c r="OOT74" s="2198"/>
      <c r="OOU74" s="2198"/>
      <c r="OOV74" s="2198"/>
      <c r="OOW74" s="2198"/>
      <c r="OOX74" s="2198"/>
      <c r="OOY74" s="2198"/>
      <c r="OOZ74" s="2198"/>
      <c r="OPA74" s="2198"/>
      <c r="OPB74" s="2198"/>
      <c r="OPC74" s="2198"/>
      <c r="OPD74" s="2198"/>
      <c r="OPE74" s="2198"/>
      <c r="OPF74" s="2198"/>
      <c r="OPG74" s="2198"/>
      <c r="OPH74" s="2198"/>
      <c r="OPI74" s="2198"/>
      <c r="OPJ74" s="2198"/>
      <c r="OPK74" s="2198"/>
      <c r="OPL74" s="2198"/>
      <c r="OPM74" s="2198"/>
      <c r="OPN74" s="2198"/>
      <c r="OPO74" s="2198"/>
      <c r="OPP74" s="2198"/>
      <c r="OPQ74" s="2198"/>
      <c r="OPR74" s="2198"/>
      <c r="OPS74" s="2198"/>
      <c r="OPT74" s="2198"/>
      <c r="OPU74" s="2198"/>
      <c r="OPV74" s="2198"/>
      <c r="OPW74" s="2198"/>
      <c r="OPX74" s="2198"/>
      <c r="OPY74" s="2198"/>
      <c r="OPZ74" s="2198"/>
      <c r="OQA74" s="2198"/>
      <c r="OQB74" s="2198"/>
      <c r="OQC74" s="2198"/>
      <c r="OQD74" s="2198"/>
      <c r="OQE74" s="2198"/>
      <c r="OQF74" s="2198"/>
      <c r="OQG74" s="2198"/>
      <c r="OQH74" s="2198"/>
      <c r="OQI74" s="2198"/>
      <c r="OQJ74" s="2198"/>
      <c r="OQK74" s="2198"/>
      <c r="OQL74" s="2198"/>
      <c r="OQM74" s="2198"/>
      <c r="OQN74" s="2198"/>
      <c r="OQO74" s="2198"/>
      <c r="OQP74" s="2198"/>
      <c r="OQQ74" s="2198"/>
      <c r="OQR74" s="2198"/>
      <c r="OQS74" s="2198"/>
      <c r="OQT74" s="2198"/>
      <c r="OQU74" s="2198"/>
      <c r="OQV74" s="2198"/>
      <c r="OQW74" s="2198"/>
      <c r="OQX74" s="2198"/>
      <c r="OQY74" s="2198"/>
      <c r="OQZ74" s="2198"/>
      <c r="ORA74" s="2198"/>
      <c r="ORB74" s="2198"/>
      <c r="ORC74" s="2198"/>
      <c r="ORD74" s="2198"/>
      <c r="ORE74" s="2198"/>
      <c r="ORF74" s="2198"/>
      <c r="ORG74" s="2198"/>
      <c r="ORH74" s="2198"/>
      <c r="ORI74" s="2198"/>
      <c r="ORJ74" s="2198"/>
      <c r="ORK74" s="2198"/>
      <c r="ORL74" s="2198"/>
      <c r="ORM74" s="2198"/>
      <c r="ORN74" s="2198"/>
      <c r="ORO74" s="2198"/>
      <c r="ORP74" s="2198"/>
      <c r="ORQ74" s="2198"/>
      <c r="ORR74" s="2198"/>
      <c r="ORS74" s="2198"/>
      <c r="ORT74" s="2198"/>
      <c r="ORU74" s="2198"/>
      <c r="ORV74" s="2198"/>
      <c r="ORW74" s="2198"/>
      <c r="ORX74" s="2198"/>
      <c r="ORY74" s="2198"/>
      <c r="ORZ74" s="2198"/>
      <c r="OSA74" s="2198"/>
      <c r="OSB74" s="2198"/>
      <c r="OSC74" s="2198"/>
      <c r="OSD74" s="2198"/>
      <c r="OSE74" s="2198"/>
      <c r="OSF74" s="2198"/>
      <c r="OSG74" s="2198"/>
      <c r="OSH74" s="2198"/>
      <c r="OSI74" s="2198"/>
      <c r="OSJ74" s="2198"/>
      <c r="OSK74" s="2198"/>
      <c r="OSL74" s="2198"/>
      <c r="OSM74" s="2198"/>
      <c r="OSN74" s="2198"/>
      <c r="OSO74" s="2198"/>
      <c r="OSP74" s="2198"/>
      <c r="OSQ74" s="2198"/>
      <c r="OSR74" s="2198"/>
      <c r="OSS74" s="2198"/>
      <c r="OST74" s="2198"/>
      <c r="OSU74" s="2198"/>
      <c r="OSV74" s="2198"/>
      <c r="OSW74" s="2198"/>
      <c r="OSX74" s="2198"/>
      <c r="OSY74" s="2198"/>
      <c r="OSZ74" s="2198"/>
      <c r="OTA74" s="2198"/>
      <c r="OTB74" s="2198"/>
      <c r="OTC74" s="2198"/>
      <c r="OTD74" s="2198"/>
      <c r="OTE74" s="2198"/>
      <c r="OTF74" s="2198"/>
      <c r="OTG74" s="2198"/>
      <c r="OTH74" s="2198"/>
      <c r="OTI74" s="2198"/>
      <c r="OTJ74" s="2198"/>
      <c r="OTK74" s="2198"/>
      <c r="OTL74" s="2198"/>
      <c r="OTM74" s="2198"/>
      <c r="OTN74" s="2198"/>
      <c r="OTO74" s="2198"/>
      <c r="OTP74" s="2198"/>
      <c r="OTQ74" s="2198"/>
      <c r="OTR74" s="2198"/>
      <c r="OTS74" s="2198"/>
      <c r="OTT74" s="2198"/>
      <c r="OTU74" s="2198"/>
      <c r="OTV74" s="2198"/>
      <c r="OTW74" s="2198"/>
      <c r="OTX74" s="2198"/>
      <c r="OTY74" s="2198"/>
      <c r="OTZ74" s="2198"/>
      <c r="OUA74" s="2198"/>
      <c r="OUB74" s="2198"/>
      <c r="OUC74" s="2198"/>
      <c r="OUD74" s="2198"/>
      <c r="OUE74" s="2198"/>
      <c r="OUF74" s="2198"/>
      <c r="OUG74" s="2198"/>
      <c r="OUH74" s="2198"/>
      <c r="OUI74" s="2198"/>
      <c r="OUJ74" s="2198"/>
      <c r="OUK74" s="2198"/>
      <c r="OUL74" s="2198"/>
      <c r="OUM74" s="2198"/>
      <c r="OUN74" s="2198"/>
      <c r="OUO74" s="2198"/>
      <c r="OUP74" s="2198"/>
      <c r="OUQ74" s="2198"/>
      <c r="OUR74" s="2198"/>
      <c r="OUS74" s="2198"/>
      <c r="OUT74" s="2198"/>
      <c r="OUU74" s="2198"/>
      <c r="OUV74" s="2198"/>
      <c r="OUW74" s="2198"/>
      <c r="OUX74" s="2198"/>
      <c r="OUY74" s="2198"/>
      <c r="OUZ74" s="2198"/>
      <c r="OVA74" s="2198"/>
      <c r="OVB74" s="2198"/>
      <c r="OVC74" s="2198"/>
      <c r="OVD74" s="2198"/>
      <c r="OVE74" s="2198"/>
      <c r="OVF74" s="2198"/>
      <c r="OVG74" s="2198"/>
      <c r="OVH74" s="2198"/>
      <c r="OVI74" s="2198"/>
      <c r="OVJ74" s="2198"/>
      <c r="OVK74" s="2198"/>
      <c r="OVL74" s="2198"/>
      <c r="OVM74" s="2198"/>
      <c r="OVN74" s="2198"/>
      <c r="OVO74" s="2198"/>
      <c r="OVP74" s="2198"/>
      <c r="OVQ74" s="2198"/>
      <c r="OVR74" s="2198"/>
      <c r="OVS74" s="2198"/>
      <c r="OVT74" s="2198"/>
      <c r="OVU74" s="2198"/>
      <c r="OVV74" s="2198"/>
      <c r="OVW74" s="2198"/>
      <c r="OVX74" s="2198"/>
      <c r="OVY74" s="2198"/>
      <c r="OVZ74" s="2198"/>
      <c r="OWA74" s="2198"/>
      <c r="OWB74" s="2198"/>
      <c r="OWC74" s="2198"/>
      <c r="OWD74" s="2198"/>
      <c r="OWE74" s="2198"/>
      <c r="OWF74" s="2198"/>
      <c r="OWG74" s="2198"/>
      <c r="OWH74" s="2198"/>
      <c r="OWI74" s="2198"/>
      <c r="OWJ74" s="2198"/>
      <c r="OWK74" s="2198"/>
      <c r="OWL74" s="2198"/>
      <c r="OWM74" s="2198"/>
      <c r="OWN74" s="2198"/>
      <c r="OWO74" s="2198"/>
      <c r="OWP74" s="2198"/>
      <c r="OWQ74" s="2198"/>
      <c r="OWR74" s="2198"/>
      <c r="OWS74" s="2198"/>
      <c r="OWT74" s="2198"/>
      <c r="OWU74" s="2198"/>
      <c r="OWV74" s="2198"/>
      <c r="OWW74" s="2198"/>
      <c r="OWX74" s="2198"/>
      <c r="OWY74" s="2198"/>
      <c r="OWZ74" s="2198"/>
      <c r="OXA74" s="2198"/>
      <c r="OXB74" s="2198"/>
      <c r="OXC74" s="2198"/>
      <c r="OXD74" s="2198"/>
      <c r="OXE74" s="2198"/>
      <c r="OXF74" s="2198"/>
      <c r="OXG74" s="2198"/>
      <c r="OXH74" s="2198"/>
      <c r="OXI74" s="2198"/>
      <c r="OXJ74" s="2198"/>
      <c r="OXK74" s="2198"/>
      <c r="OXL74" s="2198"/>
      <c r="OXM74" s="2198"/>
      <c r="OXN74" s="2198"/>
      <c r="OXO74" s="2198"/>
      <c r="OXP74" s="2198"/>
      <c r="OXQ74" s="2198"/>
      <c r="OXR74" s="2198"/>
      <c r="OXS74" s="2198"/>
      <c r="OXT74" s="2198"/>
      <c r="OXU74" s="2198"/>
      <c r="OXV74" s="2198"/>
      <c r="OXW74" s="2198"/>
      <c r="OXX74" s="2198"/>
      <c r="OXY74" s="2198"/>
      <c r="OXZ74" s="2198"/>
      <c r="OYA74" s="2198"/>
      <c r="OYB74" s="2198"/>
      <c r="OYC74" s="2198"/>
      <c r="OYD74" s="2198"/>
      <c r="OYE74" s="2198"/>
      <c r="OYF74" s="2198"/>
      <c r="OYG74" s="2198"/>
      <c r="OYH74" s="2198"/>
      <c r="OYI74" s="2198"/>
      <c r="OYJ74" s="2198"/>
      <c r="OYK74" s="2198"/>
      <c r="OYL74" s="2198"/>
      <c r="OYM74" s="2198"/>
      <c r="OYN74" s="2198"/>
      <c r="OYO74" s="2198"/>
      <c r="OYP74" s="2198"/>
      <c r="OYQ74" s="2198"/>
      <c r="OYR74" s="2198"/>
      <c r="OYS74" s="2198"/>
      <c r="OYT74" s="2198"/>
      <c r="OYU74" s="2198"/>
      <c r="OYV74" s="2198"/>
      <c r="OYW74" s="2198"/>
      <c r="OYX74" s="2198"/>
      <c r="OYY74" s="2198"/>
      <c r="OYZ74" s="2198"/>
      <c r="OZA74" s="2198"/>
      <c r="OZB74" s="2198"/>
      <c r="OZC74" s="2198"/>
      <c r="OZD74" s="2198"/>
      <c r="OZE74" s="2198"/>
      <c r="OZF74" s="2198"/>
      <c r="OZG74" s="2198"/>
      <c r="OZH74" s="2198"/>
      <c r="OZI74" s="2198"/>
      <c r="OZJ74" s="2198"/>
      <c r="OZK74" s="2198"/>
      <c r="OZL74" s="2198"/>
      <c r="OZM74" s="2198"/>
      <c r="OZN74" s="2198"/>
      <c r="OZO74" s="2198"/>
      <c r="OZP74" s="2198"/>
      <c r="OZQ74" s="2198"/>
      <c r="OZR74" s="2198"/>
      <c r="OZS74" s="2198"/>
      <c r="OZT74" s="2198"/>
      <c r="OZU74" s="2198"/>
      <c r="OZV74" s="2198"/>
      <c r="OZW74" s="2198"/>
      <c r="OZX74" s="2198"/>
      <c r="OZY74" s="2198"/>
      <c r="OZZ74" s="2198"/>
      <c r="PAA74" s="2198"/>
      <c r="PAB74" s="2198"/>
      <c r="PAC74" s="2198"/>
      <c r="PAD74" s="2198"/>
      <c r="PAE74" s="2198"/>
      <c r="PAF74" s="2198"/>
      <c r="PAG74" s="2198"/>
      <c r="PAH74" s="2198"/>
      <c r="PAI74" s="2198"/>
      <c r="PAJ74" s="2198"/>
      <c r="PAK74" s="2198"/>
      <c r="PAL74" s="2198"/>
      <c r="PAM74" s="2198"/>
      <c r="PAN74" s="2198"/>
      <c r="PAO74" s="2198"/>
      <c r="PAP74" s="2198"/>
      <c r="PAQ74" s="2198"/>
      <c r="PAR74" s="2198"/>
      <c r="PAS74" s="2198"/>
      <c r="PAT74" s="2198"/>
      <c r="PAU74" s="2198"/>
      <c r="PAV74" s="2198"/>
      <c r="PAW74" s="2198"/>
      <c r="PAX74" s="2198"/>
      <c r="PAY74" s="2198"/>
      <c r="PAZ74" s="2198"/>
      <c r="PBA74" s="2198"/>
      <c r="PBB74" s="2198"/>
      <c r="PBC74" s="2198"/>
      <c r="PBD74" s="2198"/>
      <c r="PBE74" s="2198"/>
      <c r="PBF74" s="2198"/>
      <c r="PBG74" s="2198"/>
      <c r="PBH74" s="2198"/>
      <c r="PBI74" s="2198"/>
      <c r="PBJ74" s="2198"/>
      <c r="PBK74" s="2198"/>
      <c r="PBL74" s="2198"/>
      <c r="PBM74" s="2198"/>
      <c r="PBN74" s="2198"/>
      <c r="PBO74" s="2198"/>
      <c r="PBP74" s="2198"/>
      <c r="PBQ74" s="2198"/>
      <c r="PBR74" s="2198"/>
      <c r="PBS74" s="2198"/>
      <c r="PBT74" s="2198"/>
      <c r="PBU74" s="2198"/>
      <c r="PBV74" s="2198"/>
      <c r="PBW74" s="2198"/>
      <c r="PBX74" s="2198"/>
      <c r="PBY74" s="2198"/>
      <c r="PBZ74" s="2198"/>
      <c r="PCA74" s="2198"/>
      <c r="PCB74" s="2198"/>
      <c r="PCC74" s="2198"/>
      <c r="PCD74" s="2198"/>
      <c r="PCE74" s="2198"/>
      <c r="PCF74" s="2198"/>
      <c r="PCG74" s="2198"/>
      <c r="PCH74" s="2198"/>
      <c r="PCI74" s="2198"/>
      <c r="PCJ74" s="2198"/>
      <c r="PCK74" s="2198"/>
      <c r="PCL74" s="2198"/>
      <c r="PCM74" s="2198"/>
      <c r="PCN74" s="2198"/>
      <c r="PCO74" s="2198"/>
      <c r="PCP74" s="2198"/>
      <c r="PCQ74" s="2198"/>
      <c r="PCR74" s="2198"/>
      <c r="PCS74" s="2198"/>
      <c r="PCT74" s="2198"/>
      <c r="PCU74" s="2198"/>
      <c r="PCV74" s="2198"/>
      <c r="PCW74" s="2198"/>
      <c r="PCX74" s="2198"/>
      <c r="PCY74" s="2198"/>
      <c r="PCZ74" s="2198"/>
      <c r="PDA74" s="2198"/>
      <c r="PDB74" s="2198"/>
      <c r="PDC74" s="2198"/>
      <c r="PDD74" s="2198"/>
      <c r="PDE74" s="2198"/>
      <c r="PDF74" s="2198"/>
      <c r="PDG74" s="2198"/>
      <c r="PDH74" s="2198"/>
      <c r="PDI74" s="2198"/>
      <c r="PDJ74" s="2198"/>
      <c r="PDK74" s="2198"/>
      <c r="PDL74" s="2198"/>
      <c r="PDM74" s="2198"/>
      <c r="PDN74" s="2198"/>
      <c r="PDO74" s="2198"/>
      <c r="PDP74" s="2198"/>
      <c r="PDQ74" s="2198"/>
      <c r="PDR74" s="2198"/>
      <c r="PDS74" s="2198"/>
      <c r="PDT74" s="2198"/>
      <c r="PDU74" s="2198"/>
      <c r="PDV74" s="2198"/>
      <c r="PDW74" s="2198"/>
      <c r="PDX74" s="2198"/>
      <c r="PDY74" s="2198"/>
      <c r="PDZ74" s="2198"/>
      <c r="PEA74" s="2198"/>
      <c r="PEB74" s="2198"/>
      <c r="PEC74" s="2198"/>
      <c r="PED74" s="2198"/>
      <c r="PEE74" s="2198"/>
      <c r="PEF74" s="2198"/>
      <c r="PEG74" s="2198"/>
      <c r="PEH74" s="2198"/>
      <c r="PEI74" s="2198"/>
      <c r="PEJ74" s="2198"/>
      <c r="PEK74" s="2198"/>
      <c r="PEL74" s="2198"/>
      <c r="PEM74" s="2198"/>
      <c r="PEN74" s="2198"/>
      <c r="PEO74" s="2198"/>
      <c r="PEP74" s="2198"/>
      <c r="PEQ74" s="2198"/>
      <c r="PER74" s="2198"/>
      <c r="PES74" s="2198"/>
      <c r="PET74" s="2198"/>
      <c r="PEU74" s="2198"/>
      <c r="PEV74" s="2198"/>
      <c r="PEW74" s="2198"/>
      <c r="PEX74" s="2198"/>
      <c r="PEY74" s="2198"/>
      <c r="PEZ74" s="2198"/>
      <c r="PFA74" s="2198"/>
      <c r="PFB74" s="2198"/>
      <c r="PFC74" s="2198"/>
      <c r="PFD74" s="2198"/>
      <c r="PFE74" s="2198"/>
      <c r="PFF74" s="2198"/>
      <c r="PFG74" s="2198"/>
      <c r="PFH74" s="2198"/>
      <c r="PFI74" s="2198"/>
      <c r="PFJ74" s="2198"/>
      <c r="PFK74" s="2198"/>
      <c r="PFL74" s="2198"/>
      <c r="PFM74" s="2198"/>
      <c r="PFN74" s="2198"/>
      <c r="PFO74" s="2198"/>
      <c r="PFP74" s="2198"/>
      <c r="PFQ74" s="2198"/>
      <c r="PFR74" s="2198"/>
      <c r="PFS74" s="2198"/>
      <c r="PFT74" s="2198"/>
      <c r="PFU74" s="2198"/>
      <c r="PFV74" s="2198"/>
      <c r="PFW74" s="2198"/>
      <c r="PFX74" s="2198"/>
      <c r="PFY74" s="2198"/>
      <c r="PFZ74" s="2198"/>
      <c r="PGA74" s="2198"/>
      <c r="PGB74" s="2198"/>
      <c r="PGC74" s="2198"/>
      <c r="PGD74" s="2198"/>
      <c r="PGE74" s="2198"/>
      <c r="PGF74" s="2198"/>
      <c r="PGG74" s="2198"/>
      <c r="PGH74" s="2198"/>
      <c r="PGI74" s="2198"/>
      <c r="PGJ74" s="2198"/>
      <c r="PGK74" s="2198"/>
      <c r="PGL74" s="2198"/>
      <c r="PGM74" s="2198"/>
      <c r="PGN74" s="2198"/>
      <c r="PGO74" s="2198"/>
      <c r="PGP74" s="2198"/>
      <c r="PGQ74" s="2198"/>
      <c r="PGR74" s="2198"/>
      <c r="PGS74" s="2198"/>
      <c r="PGT74" s="2198"/>
      <c r="PGU74" s="2198"/>
      <c r="PGV74" s="2198"/>
      <c r="PGW74" s="2198"/>
      <c r="PGX74" s="2198"/>
      <c r="PGY74" s="2198"/>
      <c r="PGZ74" s="2198"/>
      <c r="PHA74" s="2198"/>
      <c r="PHB74" s="2198"/>
      <c r="PHC74" s="2198"/>
      <c r="PHD74" s="2198"/>
      <c r="PHE74" s="2198"/>
      <c r="PHF74" s="2198"/>
      <c r="PHG74" s="2198"/>
      <c r="PHH74" s="2198"/>
      <c r="PHI74" s="2198"/>
      <c r="PHJ74" s="2198"/>
      <c r="PHK74" s="2198"/>
      <c r="PHL74" s="2198"/>
      <c r="PHM74" s="2198"/>
      <c r="PHN74" s="2198"/>
      <c r="PHO74" s="2198"/>
      <c r="PHP74" s="2198"/>
      <c r="PHQ74" s="2198"/>
      <c r="PHR74" s="2198"/>
      <c r="PHS74" s="2198"/>
      <c r="PHT74" s="2198"/>
      <c r="PHU74" s="2198"/>
      <c r="PHV74" s="2198"/>
      <c r="PHW74" s="2198"/>
      <c r="PHX74" s="2198"/>
      <c r="PHY74" s="2198"/>
      <c r="PHZ74" s="2198"/>
      <c r="PIA74" s="2198"/>
      <c r="PIB74" s="2198"/>
      <c r="PIC74" s="2198"/>
      <c r="PID74" s="2198"/>
      <c r="PIE74" s="2198"/>
      <c r="PIF74" s="2198"/>
      <c r="PIG74" s="2198"/>
      <c r="PIH74" s="2198"/>
      <c r="PII74" s="2198"/>
      <c r="PIJ74" s="2198"/>
      <c r="PIK74" s="2198"/>
      <c r="PIL74" s="2198"/>
      <c r="PIM74" s="2198"/>
      <c r="PIN74" s="2198"/>
      <c r="PIO74" s="2198"/>
      <c r="PIP74" s="2198"/>
      <c r="PIQ74" s="2198"/>
      <c r="PIR74" s="2198"/>
      <c r="PIS74" s="2198"/>
      <c r="PIT74" s="2198"/>
      <c r="PIU74" s="2198"/>
      <c r="PIV74" s="2198"/>
      <c r="PIW74" s="2198"/>
      <c r="PIX74" s="2198"/>
      <c r="PIY74" s="2198"/>
      <c r="PIZ74" s="2198"/>
      <c r="PJA74" s="2198"/>
      <c r="PJB74" s="2198"/>
      <c r="PJC74" s="2198"/>
      <c r="PJD74" s="2198"/>
      <c r="PJE74" s="2198"/>
      <c r="PJF74" s="2198"/>
      <c r="PJG74" s="2198"/>
      <c r="PJH74" s="2198"/>
      <c r="PJI74" s="2198"/>
      <c r="PJJ74" s="2198"/>
      <c r="PJK74" s="2198"/>
      <c r="PJL74" s="2198"/>
      <c r="PJM74" s="2198"/>
      <c r="PJN74" s="2198"/>
      <c r="PJO74" s="2198"/>
      <c r="PJP74" s="2198"/>
      <c r="PJQ74" s="2198"/>
      <c r="PJR74" s="2198"/>
      <c r="PJS74" s="2198"/>
      <c r="PJT74" s="2198"/>
      <c r="PJU74" s="2198"/>
      <c r="PJV74" s="2198"/>
      <c r="PJW74" s="2198"/>
      <c r="PJX74" s="2198"/>
      <c r="PJY74" s="2198"/>
      <c r="PJZ74" s="2198"/>
      <c r="PKA74" s="2198"/>
      <c r="PKB74" s="2198"/>
      <c r="PKC74" s="2198"/>
      <c r="PKD74" s="2198"/>
      <c r="PKE74" s="2198"/>
      <c r="PKF74" s="2198"/>
      <c r="PKG74" s="2198"/>
      <c r="PKH74" s="2198"/>
      <c r="PKI74" s="2198"/>
      <c r="PKJ74" s="2198"/>
      <c r="PKK74" s="2198"/>
      <c r="PKL74" s="2198"/>
      <c r="PKM74" s="2198"/>
      <c r="PKN74" s="2198"/>
      <c r="PKO74" s="2198"/>
      <c r="PKP74" s="2198"/>
      <c r="PKQ74" s="2198"/>
      <c r="PKR74" s="2198"/>
      <c r="PKS74" s="2198"/>
      <c r="PKT74" s="2198"/>
      <c r="PKU74" s="2198"/>
      <c r="PKV74" s="2198"/>
      <c r="PKW74" s="2198"/>
      <c r="PKX74" s="2198"/>
      <c r="PKY74" s="2198"/>
      <c r="PKZ74" s="2198"/>
      <c r="PLA74" s="2198"/>
      <c r="PLB74" s="2198"/>
      <c r="PLC74" s="2198"/>
      <c r="PLD74" s="2198"/>
      <c r="PLE74" s="2198"/>
      <c r="PLF74" s="2198"/>
      <c r="PLG74" s="2198"/>
      <c r="PLH74" s="2198"/>
      <c r="PLI74" s="2198"/>
      <c r="PLJ74" s="2198"/>
      <c r="PLK74" s="2198"/>
      <c r="PLL74" s="2198"/>
      <c r="PLM74" s="2198"/>
      <c r="PLN74" s="2198"/>
      <c r="PLO74" s="2198"/>
      <c r="PLP74" s="2198"/>
      <c r="PLQ74" s="2198"/>
      <c r="PLR74" s="2198"/>
      <c r="PLS74" s="2198"/>
      <c r="PLT74" s="2198"/>
      <c r="PLU74" s="2198"/>
      <c r="PLV74" s="2198"/>
      <c r="PLW74" s="2198"/>
      <c r="PLX74" s="2198"/>
      <c r="PLY74" s="2198"/>
      <c r="PLZ74" s="2198"/>
      <c r="PMA74" s="2198"/>
      <c r="PMB74" s="2198"/>
      <c r="PMC74" s="2198"/>
      <c r="PMD74" s="2198"/>
      <c r="PME74" s="2198"/>
      <c r="PMF74" s="2198"/>
      <c r="PMG74" s="2198"/>
      <c r="PMH74" s="2198"/>
      <c r="PMI74" s="2198"/>
      <c r="PMJ74" s="2198"/>
      <c r="PMK74" s="2198"/>
      <c r="PML74" s="2198"/>
      <c r="PMM74" s="2198"/>
      <c r="PMN74" s="2198"/>
      <c r="PMO74" s="2198"/>
      <c r="PMP74" s="2198"/>
      <c r="PMQ74" s="2198"/>
      <c r="PMR74" s="2198"/>
      <c r="PMS74" s="2198"/>
      <c r="PMT74" s="2198"/>
      <c r="PMU74" s="2198"/>
      <c r="PMV74" s="2198"/>
      <c r="PMW74" s="2198"/>
      <c r="PMX74" s="2198"/>
      <c r="PMY74" s="2198"/>
      <c r="PMZ74" s="2198"/>
      <c r="PNA74" s="2198"/>
      <c r="PNB74" s="2198"/>
      <c r="PNC74" s="2198"/>
      <c r="PND74" s="2198"/>
      <c r="PNE74" s="2198"/>
      <c r="PNF74" s="2198"/>
      <c r="PNG74" s="2198"/>
      <c r="PNH74" s="2198"/>
      <c r="PNI74" s="2198"/>
      <c r="PNJ74" s="2198"/>
      <c r="PNK74" s="2198"/>
      <c r="PNL74" s="2198"/>
      <c r="PNM74" s="2198"/>
      <c r="PNN74" s="2198"/>
      <c r="PNO74" s="2198"/>
      <c r="PNP74" s="2198"/>
      <c r="PNQ74" s="2198"/>
      <c r="PNR74" s="2198"/>
      <c r="PNS74" s="2198"/>
      <c r="PNT74" s="2198"/>
      <c r="PNU74" s="2198"/>
      <c r="PNV74" s="2198"/>
      <c r="PNW74" s="2198"/>
      <c r="PNX74" s="2198"/>
      <c r="PNY74" s="2198"/>
      <c r="PNZ74" s="2198"/>
      <c r="POA74" s="2198"/>
      <c r="POB74" s="2198"/>
      <c r="POC74" s="2198"/>
      <c r="POD74" s="2198"/>
      <c r="POE74" s="2198"/>
      <c r="POF74" s="2198"/>
      <c r="POG74" s="2198"/>
      <c r="POH74" s="2198"/>
      <c r="POI74" s="2198"/>
      <c r="POJ74" s="2198"/>
      <c r="POK74" s="2198"/>
      <c r="POL74" s="2198"/>
      <c r="POM74" s="2198"/>
      <c r="PON74" s="2198"/>
      <c r="POO74" s="2198"/>
      <c r="POP74" s="2198"/>
      <c r="POQ74" s="2198"/>
      <c r="POR74" s="2198"/>
      <c r="POS74" s="2198"/>
      <c r="POT74" s="2198"/>
      <c r="POU74" s="2198"/>
      <c r="POV74" s="2198"/>
      <c r="POW74" s="2198"/>
      <c r="POX74" s="2198"/>
      <c r="POY74" s="2198"/>
      <c r="POZ74" s="2198"/>
      <c r="PPA74" s="2198"/>
      <c r="PPB74" s="2198"/>
      <c r="PPC74" s="2198"/>
      <c r="PPD74" s="2198"/>
      <c r="PPE74" s="2198"/>
      <c r="PPF74" s="2198"/>
      <c r="PPG74" s="2198"/>
      <c r="PPH74" s="2198"/>
      <c r="PPI74" s="2198"/>
      <c r="PPJ74" s="2198"/>
      <c r="PPK74" s="2198"/>
      <c r="PPL74" s="2198"/>
      <c r="PPM74" s="2198"/>
      <c r="PPN74" s="2198"/>
      <c r="PPO74" s="2198"/>
      <c r="PPP74" s="2198"/>
      <c r="PPQ74" s="2198"/>
      <c r="PPR74" s="2198"/>
      <c r="PPS74" s="2198"/>
      <c r="PPT74" s="2198"/>
      <c r="PPU74" s="2198"/>
      <c r="PPV74" s="2198"/>
      <c r="PPW74" s="2198"/>
      <c r="PPX74" s="2198"/>
      <c r="PPY74" s="2198"/>
      <c r="PPZ74" s="2198"/>
      <c r="PQA74" s="2198"/>
      <c r="PQB74" s="2198"/>
      <c r="PQC74" s="2198"/>
      <c r="PQD74" s="2198"/>
      <c r="PQE74" s="2198"/>
      <c r="PQF74" s="2198"/>
      <c r="PQG74" s="2198"/>
      <c r="PQH74" s="2198"/>
      <c r="PQI74" s="2198"/>
      <c r="PQJ74" s="2198"/>
      <c r="PQK74" s="2198"/>
      <c r="PQL74" s="2198"/>
      <c r="PQM74" s="2198"/>
      <c r="PQN74" s="2198"/>
      <c r="PQO74" s="2198"/>
      <c r="PQP74" s="2198"/>
      <c r="PQQ74" s="2198"/>
      <c r="PQR74" s="2198"/>
      <c r="PQS74" s="2198"/>
      <c r="PQT74" s="2198"/>
      <c r="PQU74" s="2198"/>
      <c r="PQV74" s="2198"/>
      <c r="PQW74" s="2198"/>
      <c r="PQX74" s="2198"/>
      <c r="PQY74" s="2198"/>
      <c r="PQZ74" s="2198"/>
      <c r="PRA74" s="2198"/>
      <c r="PRB74" s="2198"/>
      <c r="PRC74" s="2198"/>
      <c r="PRD74" s="2198"/>
      <c r="PRE74" s="2198"/>
      <c r="PRF74" s="2198"/>
      <c r="PRG74" s="2198"/>
      <c r="PRH74" s="2198"/>
      <c r="PRI74" s="2198"/>
      <c r="PRJ74" s="2198"/>
      <c r="PRK74" s="2198"/>
      <c r="PRL74" s="2198"/>
      <c r="PRM74" s="2198"/>
      <c r="PRN74" s="2198"/>
      <c r="PRO74" s="2198"/>
      <c r="PRP74" s="2198"/>
      <c r="PRQ74" s="2198"/>
      <c r="PRR74" s="2198"/>
      <c r="PRS74" s="2198"/>
      <c r="PRT74" s="2198"/>
      <c r="PRU74" s="2198"/>
      <c r="PRV74" s="2198"/>
      <c r="PRW74" s="2198"/>
      <c r="PRX74" s="2198"/>
      <c r="PRY74" s="2198"/>
      <c r="PRZ74" s="2198"/>
      <c r="PSA74" s="2198"/>
      <c r="PSB74" s="2198"/>
      <c r="PSC74" s="2198"/>
      <c r="PSD74" s="2198"/>
      <c r="PSE74" s="2198"/>
      <c r="PSF74" s="2198"/>
      <c r="PSG74" s="2198"/>
      <c r="PSH74" s="2198"/>
      <c r="PSI74" s="2198"/>
      <c r="PSJ74" s="2198"/>
      <c r="PSK74" s="2198"/>
      <c r="PSL74" s="2198"/>
      <c r="PSM74" s="2198"/>
      <c r="PSN74" s="2198"/>
      <c r="PSO74" s="2198"/>
      <c r="PSP74" s="2198"/>
      <c r="PSQ74" s="2198"/>
      <c r="PSR74" s="2198"/>
      <c r="PSS74" s="2198"/>
      <c r="PST74" s="2198"/>
      <c r="PSU74" s="2198"/>
      <c r="PSV74" s="2198"/>
      <c r="PSW74" s="2198"/>
      <c r="PSX74" s="2198"/>
      <c r="PSY74" s="2198"/>
      <c r="PSZ74" s="2198"/>
      <c r="PTA74" s="2198"/>
      <c r="PTB74" s="2198"/>
      <c r="PTC74" s="2198"/>
      <c r="PTD74" s="2198"/>
      <c r="PTE74" s="2198"/>
      <c r="PTF74" s="2198"/>
      <c r="PTG74" s="2198"/>
      <c r="PTH74" s="2198"/>
      <c r="PTI74" s="2198"/>
      <c r="PTJ74" s="2198"/>
      <c r="PTK74" s="2198"/>
      <c r="PTL74" s="2198"/>
      <c r="PTM74" s="2198"/>
      <c r="PTN74" s="2198"/>
      <c r="PTO74" s="2198"/>
      <c r="PTP74" s="2198"/>
      <c r="PTQ74" s="2198"/>
      <c r="PTR74" s="2198"/>
      <c r="PTS74" s="2198"/>
      <c r="PTT74" s="2198"/>
      <c r="PTU74" s="2198"/>
      <c r="PTV74" s="2198"/>
      <c r="PTW74" s="2198"/>
      <c r="PTX74" s="2198"/>
      <c r="PTY74" s="2198"/>
      <c r="PTZ74" s="2198"/>
      <c r="PUA74" s="2198"/>
      <c r="PUB74" s="2198"/>
      <c r="PUC74" s="2198"/>
      <c r="PUD74" s="2198"/>
      <c r="PUE74" s="2198"/>
      <c r="PUF74" s="2198"/>
      <c r="PUG74" s="2198"/>
      <c r="PUH74" s="2198"/>
      <c r="PUI74" s="2198"/>
      <c r="PUJ74" s="2198"/>
      <c r="PUK74" s="2198"/>
      <c r="PUL74" s="2198"/>
      <c r="PUM74" s="2198"/>
      <c r="PUN74" s="2198"/>
      <c r="PUO74" s="2198"/>
      <c r="PUP74" s="2198"/>
      <c r="PUQ74" s="2198"/>
      <c r="PUR74" s="2198"/>
      <c r="PUS74" s="2198"/>
      <c r="PUT74" s="2198"/>
      <c r="PUU74" s="2198"/>
      <c r="PUV74" s="2198"/>
      <c r="PUW74" s="2198"/>
      <c r="PUX74" s="2198"/>
      <c r="PUY74" s="2198"/>
      <c r="PUZ74" s="2198"/>
      <c r="PVA74" s="2198"/>
      <c r="PVB74" s="2198"/>
      <c r="PVC74" s="2198"/>
      <c r="PVD74" s="2198"/>
      <c r="PVE74" s="2198"/>
      <c r="PVF74" s="2198"/>
      <c r="PVG74" s="2198"/>
      <c r="PVH74" s="2198"/>
      <c r="PVI74" s="2198"/>
      <c r="PVJ74" s="2198"/>
      <c r="PVK74" s="2198"/>
      <c r="PVL74" s="2198"/>
      <c r="PVM74" s="2198"/>
      <c r="PVN74" s="2198"/>
      <c r="PVO74" s="2198"/>
      <c r="PVP74" s="2198"/>
      <c r="PVQ74" s="2198"/>
      <c r="PVR74" s="2198"/>
      <c r="PVS74" s="2198"/>
      <c r="PVT74" s="2198"/>
      <c r="PVU74" s="2198"/>
      <c r="PVV74" s="2198"/>
      <c r="PVW74" s="2198"/>
      <c r="PVX74" s="2198"/>
      <c r="PVY74" s="2198"/>
      <c r="PVZ74" s="2198"/>
      <c r="PWA74" s="2198"/>
      <c r="PWB74" s="2198"/>
      <c r="PWC74" s="2198"/>
      <c r="PWD74" s="2198"/>
      <c r="PWE74" s="2198"/>
      <c r="PWF74" s="2198"/>
      <c r="PWG74" s="2198"/>
      <c r="PWH74" s="2198"/>
      <c r="PWI74" s="2198"/>
      <c r="PWJ74" s="2198"/>
      <c r="PWK74" s="2198"/>
      <c r="PWL74" s="2198"/>
      <c r="PWM74" s="2198"/>
      <c r="PWN74" s="2198"/>
      <c r="PWO74" s="2198"/>
      <c r="PWP74" s="2198"/>
      <c r="PWQ74" s="2198"/>
      <c r="PWR74" s="2198"/>
      <c r="PWS74" s="2198"/>
      <c r="PWT74" s="2198"/>
      <c r="PWU74" s="2198"/>
      <c r="PWV74" s="2198"/>
      <c r="PWW74" s="2198"/>
      <c r="PWX74" s="2198"/>
      <c r="PWY74" s="2198"/>
      <c r="PWZ74" s="2198"/>
      <c r="PXA74" s="2198"/>
      <c r="PXB74" s="2198"/>
      <c r="PXC74" s="2198"/>
      <c r="PXD74" s="2198"/>
      <c r="PXE74" s="2198"/>
      <c r="PXF74" s="2198"/>
      <c r="PXG74" s="2198"/>
      <c r="PXH74" s="2198"/>
      <c r="PXI74" s="2198"/>
      <c r="PXJ74" s="2198"/>
      <c r="PXK74" s="2198"/>
      <c r="PXL74" s="2198"/>
      <c r="PXM74" s="2198"/>
      <c r="PXN74" s="2198"/>
      <c r="PXO74" s="2198"/>
      <c r="PXP74" s="2198"/>
      <c r="PXQ74" s="2198"/>
      <c r="PXR74" s="2198"/>
      <c r="PXS74" s="2198"/>
      <c r="PXT74" s="2198"/>
      <c r="PXU74" s="2198"/>
      <c r="PXV74" s="2198"/>
      <c r="PXW74" s="2198"/>
      <c r="PXX74" s="2198"/>
      <c r="PXY74" s="2198"/>
      <c r="PXZ74" s="2198"/>
      <c r="PYA74" s="2198"/>
      <c r="PYB74" s="2198"/>
      <c r="PYC74" s="2198"/>
      <c r="PYD74" s="2198"/>
      <c r="PYE74" s="2198"/>
      <c r="PYF74" s="2198"/>
      <c r="PYG74" s="2198"/>
      <c r="PYH74" s="2198"/>
      <c r="PYI74" s="2198"/>
      <c r="PYJ74" s="2198"/>
      <c r="PYK74" s="2198"/>
      <c r="PYL74" s="2198"/>
      <c r="PYM74" s="2198"/>
      <c r="PYN74" s="2198"/>
      <c r="PYO74" s="2198"/>
      <c r="PYP74" s="2198"/>
      <c r="PYQ74" s="2198"/>
      <c r="PYR74" s="2198"/>
      <c r="PYS74" s="2198"/>
      <c r="PYT74" s="2198"/>
      <c r="PYU74" s="2198"/>
      <c r="PYV74" s="2198"/>
      <c r="PYW74" s="2198"/>
      <c r="PYX74" s="2198"/>
      <c r="PYY74" s="2198"/>
      <c r="PYZ74" s="2198"/>
      <c r="PZA74" s="2198"/>
      <c r="PZB74" s="2198"/>
      <c r="PZC74" s="2198"/>
      <c r="PZD74" s="2198"/>
      <c r="PZE74" s="2198"/>
      <c r="PZF74" s="2198"/>
      <c r="PZG74" s="2198"/>
      <c r="PZH74" s="2198"/>
      <c r="PZI74" s="2198"/>
      <c r="PZJ74" s="2198"/>
      <c r="PZK74" s="2198"/>
      <c r="PZL74" s="2198"/>
      <c r="PZM74" s="2198"/>
      <c r="PZN74" s="2198"/>
      <c r="PZO74" s="2198"/>
      <c r="PZP74" s="2198"/>
      <c r="PZQ74" s="2198"/>
      <c r="PZR74" s="2198"/>
      <c r="PZS74" s="2198"/>
      <c r="PZT74" s="2198"/>
      <c r="PZU74" s="2198"/>
      <c r="PZV74" s="2198"/>
      <c r="PZW74" s="2198"/>
      <c r="PZX74" s="2198"/>
      <c r="PZY74" s="2198"/>
      <c r="PZZ74" s="2198"/>
      <c r="QAA74" s="2198"/>
      <c r="QAB74" s="2198"/>
      <c r="QAC74" s="2198"/>
      <c r="QAD74" s="2198"/>
      <c r="QAE74" s="2198"/>
      <c r="QAF74" s="2198"/>
      <c r="QAG74" s="2198"/>
      <c r="QAH74" s="2198"/>
      <c r="QAI74" s="2198"/>
      <c r="QAJ74" s="2198"/>
      <c r="QAK74" s="2198"/>
      <c r="QAL74" s="2198"/>
      <c r="QAM74" s="2198"/>
      <c r="QAN74" s="2198"/>
      <c r="QAO74" s="2198"/>
      <c r="QAP74" s="2198"/>
      <c r="QAQ74" s="2198"/>
      <c r="QAR74" s="2198"/>
      <c r="QAS74" s="2198"/>
      <c r="QAT74" s="2198"/>
      <c r="QAU74" s="2198"/>
      <c r="QAV74" s="2198"/>
      <c r="QAW74" s="2198"/>
      <c r="QAX74" s="2198"/>
      <c r="QAY74" s="2198"/>
      <c r="QAZ74" s="2198"/>
      <c r="QBA74" s="2198"/>
      <c r="QBB74" s="2198"/>
      <c r="QBC74" s="2198"/>
      <c r="QBD74" s="2198"/>
      <c r="QBE74" s="2198"/>
      <c r="QBF74" s="2198"/>
      <c r="QBG74" s="2198"/>
      <c r="QBH74" s="2198"/>
      <c r="QBI74" s="2198"/>
      <c r="QBJ74" s="2198"/>
      <c r="QBK74" s="2198"/>
      <c r="QBL74" s="2198"/>
      <c r="QBM74" s="2198"/>
      <c r="QBN74" s="2198"/>
      <c r="QBO74" s="2198"/>
      <c r="QBP74" s="2198"/>
      <c r="QBQ74" s="2198"/>
      <c r="QBR74" s="2198"/>
      <c r="QBS74" s="2198"/>
      <c r="QBT74" s="2198"/>
      <c r="QBU74" s="2198"/>
      <c r="QBV74" s="2198"/>
      <c r="QBW74" s="2198"/>
      <c r="QBX74" s="2198"/>
      <c r="QBY74" s="2198"/>
      <c r="QBZ74" s="2198"/>
      <c r="QCA74" s="2198"/>
      <c r="QCB74" s="2198"/>
      <c r="QCC74" s="2198"/>
      <c r="QCD74" s="2198"/>
      <c r="QCE74" s="2198"/>
      <c r="QCF74" s="2198"/>
      <c r="QCG74" s="2198"/>
      <c r="QCH74" s="2198"/>
      <c r="QCI74" s="2198"/>
      <c r="QCJ74" s="2198"/>
      <c r="QCK74" s="2198"/>
      <c r="QCL74" s="2198"/>
      <c r="QCM74" s="2198"/>
      <c r="QCN74" s="2198"/>
      <c r="QCO74" s="2198"/>
      <c r="QCP74" s="2198"/>
      <c r="QCQ74" s="2198"/>
      <c r="QCR74" s="2198"/>
      <c r="QCS74" s="2198"/>
      <c r="QCT74" s="2198"/>
      <c r="QCU74" s="2198"/>
      <c r="QCV74" s="2198"/>
      <c r="QCW74" s="2198"/>
      <c r="QCX74" s="2198"/>
      <c r="QCY74" s="2198"/>
      <c r="QCZ74" s="2198"/>
      <c r="QDA74" s="2198"/>
      <c r="QDB74" s="2198"/>
      <c r="QDC74" s="2198"/>
      <c r="QDD74" s="2198"/>
      <c r="QDE74" s="2198"/>
      <c r="QDF74" s="2198"/>
      <c r="QDG74" s="2198"/>
      <c r="QDH74" s="2198"/>
      <c r="QDI74" s="2198"/>
      <c r="QDJ74" s="2198"/>
      <c r="QDK74" s="2198"/>
      <c r="QDL74" s="2198"/>
      <c r="QDM74" s="2198"/>
      <c r="QDN74" s="2198"/>
      <c r="QDO74" s="2198"/>
      <c r="QDP74" s="2198"/>
      <c r="QDQ74" s="2198"/>
      <c r="QDR74" s="2198"/>
      <c r="QDS74" s="2198"/>
      <c r="QDT74" s="2198"/>
      <c r="QDU74" s="2198"/>
      <c r="QDV74" s="2198"/>
      <c r="QDW74" s="2198"/>
      <c r="QDX74" s="2198"/>
      <c r="QDY74" s="2198"/>
      <c r="QDZ74" s="2198"/>
      <c r="QEA74" s="2198"/>
      <c r="QEB74" s="2198"/>
      <c r="QEC74" s="2198"/>
      <c r="QED74" s="2198"/>
      <c r="QEE74" s="2198"/>
      <c r="QEF74" s="2198"/>
      <c r="QEG74" s="2198"/>
      <c r="QEH74" s="2198"/>
      <c r="QEI74" s="2198"/>
      <c r="QEJ74" s="2198"/>
      <c r="QEK74" s="2198"/>
      <c r="QEL74" s="2198"/>
      <c r="QEM74" s="2198"/>
      <c r="QEN74" s="2198"/>
      <c r="QEO74" s="2198"/>
      <c r="QEP74" s="2198"/>
      <c r="QEQ74" s="2198"/>
      <c r="QER74" s="2198"/>
      <c r="QES74" s="2198"/>
      <c r="QET74" s="2198"/>
      <c r="QEU74" s="2198"/>
      <c r="QEV74" s="2198"/>
      <c r="QEW74" s="2198"/>
      <c r="QEX74" s="2198"/>
      <c r="QEY74" s="2198"/>
      <c r="QEZ74" s="2198"/>
      <c r="QFA74" s="2198"/>
      <c r="QFB74" s="2198"/>
      <c r="QFC74" s="2198"/>
      <c r="QFD74" s="2198"/>
      <c r="QFE74" s="2198"/>
      <c r="QFF74" s="2198"/>
      <c r="QFG74" s="2198"/>
      <c r="QFH74" s="2198"/>
      <c r="QFI74" s="2198"/>
      <c r="QFJ74" s="2198"/>
      <c r="QFK74" s="2198"/>
      <c r="QFL74" s="2198"/>
      <c r="QFM74" s="2198"/>
      <c r="QFN74" s="2198"/>
      <c r="QFO74" s="2198"/>
      <c r="QFP74" s="2198"/>
      <c r="QFQ74" s="2198"/>
      <c r="QFR74" s="2198"/>
      <c r="QFS74" s="2198"/>
      <c r="QFT74" s="2198"/>
      <c r="QFU74" s="2198"/>
      <c r="QFV74" s="2198"/>
      <c r="QFW74" s="2198"/>
      <c r="QFX74" s="2198"/>
      <c r="QFY74" s="2198"/>
      <c r="QFZ74" s="2198"/>
      <c r="QGA74" s="2198"/>
      <c r="QGB74" s="2198"/>
      <c r="QGC74" s="2198"/>
      <c r="QGD74" s="2198"/>
      <c r="QGE74" s="2198"/>
      <c r="QGF74" s="2198"/>
      <c r="QGG74" s="2198"/>
      <c r="QGH74" s="2198"/>
      <c r="QGI74" s="2198"/>
      <c r="QGJ74" s="2198"/>
      <c r="QGK74" s="2198"/>
      <c r="QGL74" s="2198"/>
      <c r="QGM74" s="2198"/>
      <c r="QGN74" s="2198"/>
      <c r="QGO74" s="2198"/>
      <c r="QGP74" s="2198"/>
      <c r="QGQ74" s="2198"/>
      <c r="QGR74" s="2198"/>
      <c r="QGS74" s="2198"/>
      <c r="QGT74" s="2198"/>
      <c r="QGU74" s="2198"/>
      <c r="QGV74" s="2198"/>
      <c r="QGW74" s="2198"/>
      <c r="QGX74" s="2198"/>
      <c r="QGY74" s="2198"/>
      <c r="QGZ74" s="2198"/>
      <c r="QHA74" s="2198"/>
      <c r="QHB74" s="2198"/>
      <c r="QHC74" s="2198"/>
      <c r="QHD74" s="2198"/>
      <c r="QHE74" s="2198"/>
      <c r="QHF74" s="2198"/>
      <c r="QHG74" s="2198"/>
      <c r="QHH74" s="2198"/>
      <c r="QHI74" s="2198"/>
      <c r="QHJ74" s="2198"/>
      <c r="QHK74" s="2198"/>
      <c r="QHL74" s="2198"/>
      <c r="QHM74" s="2198"/>
      <c r="QHN74" s="2198"/>
      <c r="QHO74" s="2198"/>
      <c r="QHP74" s="2198"/>
      <c r="QHQ74" s="2198"/>
      <c r="QHR74" s="2198"/>
      <c r="QHS74" s="2198"/>
      <c r="QHT74" s="2198"/>
      <c r="QHU74" s="2198"/>
      <c r="QHV74" s="2198"/>
      <c r="QHW74" s="2198"/>
      <c r="QHX74" s="2198"/>
      <c r="QHY74" s="2198"/>
      <c r="QHZ74" s="2198"/>
      <c r="QIA74" s="2198"/>
      <c r="QIB74" s="2198"/>
      <c r="QIC74" s="2198"/>
      <c r="QID74" s="2198"/>
      <c r="QIE74" s="2198"/>
      <c r="QIF74" s="2198"/>
      <c r="QIG74" s="2198"/>
      <c r="QIH74" s="2198"/>
      <c r="QII74" s="2198"/>
      <c r="QIJ74" s="2198"/>
      <c r="QIK74" s="2198"/>
      <c r="QIL74" s="2198"/>
      <c r="QIM74" s="2198"/>
      <c r="QIN74" s="2198"/>
      <c r="QIO74" s="2198"/>
      <c r="QIP74" s="2198"/>
      <c r="QIQ74" s="2198"/>
      <c r="QIR74" s="2198"/>
      <c r="QIS74" s="2198"/>
      <c r="QIT74" s="2198"/>
      <c r="QIU74" s="2198"/>
      <c r="QIV74" s="2198"/>
      <c r="QIW74" s="2198"/>
      <c r="QIX74" s="2198"/>
      <c r="QIY74" s="2198"/>
      <c r="QIZ74" s="2198"/>
      <c r="QJA74" s="2198"/>
      <c r="QJB74" s="2198"/>
      <c r="QJC74" s="2198"/>
      <c r="QJD74" s="2198"/>
      <c r="QJE74" s="2198"/>
      <c r="QJF74" s="2198"/>
      <c r="QJG74" s="2198"/>
      <c r="QJH74" s="2198"/>
      <c r="QJI74" s="2198"/>
      <c r="QJJ74" s="2198"/>
      <c r="QJK74" s="2198"/>
      <c r="QJL74" s="2198"/>
      <c r="QJM74" s="2198"/>
      <c r="QJN74" s="2198"/>
      <c r="QJO74" s="2198"/>
      <c r="QJP74" s="2198"/>
      <c r="QJQ74" s="2198"/>
      <c r="QJR74" s="2198"/>
      <c r="QJS74" s="2198"/>
      <c r="QJT74" s="2198"/>
      <c r="QJU74" s="2198"/>
      <c r="QJV74" s="2198"/>
      <c r="QJW74" s="2198"/>
      <c r="QJX74" s="2198"/>
      <c r="QJY74" s="2198"/>
      <c r="QJZ74" s="2198"/>
      <c r="QKA74" s="2198"/>
      <c r="QKB74" s="2198"/>
      <c r="QKC74" s="2198"/>
      <c r="QKD74" s="2198"/>
      <c r="QKE74" s="2198"/>
      <c r="QKF74" s="2198"/>
      <c r="QKG74" s="2198"/>
      <c r="QKH74" s="2198"/>
      <c r="QKI74" s="2198"/>
      <c r="QKJ74" s="2198"/>
      <c r="QKK74" s="2198"/>
      <c r="QKL74" s="2198"/>
      <c r="QKM74" s="2198"/>
      <c r="QKN74" s="2198"/>
      <c r="QKO74" s="2198"/>
      <c r="QKP74" s="2198"/>
      <c r="QKQ74" s="2198"/>
      <c r="QKR74" s="2198"/>
      <c r="QKS74" s="2198"/>
      <c r="QKT74" s="2198"/>
      <c r="QKU74" s="2198"/>
      <c r="QKV74" s="2198"/>
      <c r="QKW74" s="2198"/>
      <c r="QKX74" s="2198"/>
      <c r="QKY74" s="2198"/>
      <c r="QKZ74" s="2198"/>
      <c r="QLA74" s="2198"/>
      <c r="QLB74" s="2198"/>
      <c r="QLC74" s="2198"/>
      <c r="QLD74" s="2198"/>
      <c r="QLE74" s="2198"/>
      <c r="QLF74" s="2198"/>
      <c r="QLG74" s="2198"/>
      <c r="QLH74" s="2198"/>
      <c r="QLI74" s="2198"/>
      <c r="QLJ74" s="2198"/>
      <c r="QLK74" s="2198"/>
      <c r="QLL74" s="2198"/>
      <c r="QLM74" s="2198"/>
      <c r="QLN74" s="2198"/>
      <c r="QLO74" s="2198"/>
      <c r="QLP74" s="2198"/>
      <c r="QLQ74" s="2198"/>
      <c r="QLR74" s="2198"/>
      <c r="QLS74" s="2198"/>
      <c r="QLT74" s="2198"/>
      <c r="QLU74" s="2198"/>
      <c r="QLV74" s="2198"/>
      <c r="QLW74" s="2198"/>
      <c r="QLX74" s="2198"/>
      <c r="QLY74" s="2198"/>
      <c r="QLZ74" s="2198"/>
      <c r="QMA74" s="2198"/>
      <c r="QMB74" s="2198"/>
      <c r="QMC74" s="2198"/>
      <c r="QMD74" s="2198"/>
      <c r="QME74" s="2198"/>
      <c r="QMF74" s="2198"/>
      <c r="QMG74" s="2198"/>
      <c r="QMH74" s="2198"/>
      <c r="QMI74" s="2198"/>
      <c r="QMJ74" s="2198"/>
      <c r="QMK74" s="2198"/>
      <c r="QML74" s="2198"/>
      <c r="QMM74" s="2198"/>
      <c r="QMN74" s="2198"/>
      <c r="QMO74" s="2198"/>
      <c r="QMP74" s="2198"/>
      <c r="QMQ74" s="2198"/>
      <c r="QMR74" s="2198"/>
      <c r="QMS74" s="2198"/>
      <c r="QMT74" s="2198"/>
      <c r="QMU74" s="2198"/>
      <c r="QMV74" s="2198"/>
      <c r="QMW74" s="2198"/>
      <c r="QMX74" s="2198"/>
      <c r="QMY74" s="2198"/>
      <c r="QMZ74" s="2198"/>
      <c r="QNA74" s="2198"/>
      <c r="QNB74" s="2198"/>
      <c r="QNC74" s="2198"/>
      <c r="QND74" s="2198"/>
      <c r="QNE74" s="2198"/>
      <c r="QNF74" s="2198"/>
      <c r="QNG74" s="2198"/>
      <c r="QNH74" s="2198"/>
      <c r="QNI74" s="2198"/>
      <c r="QNJ74" s="2198"/>
      <c r="QNK74" s="2198"/>
      <c r="QNL74" s="2198"/>
      <c r="QNM74" s="2198"/>
      <c r="QNN74" s="2198"/>
      <c r="QNO74" s="2198"/>
      <c r="QNP74" s="2198"/>
      <c r="QNQ74" s="2198"/>
      <c r="QNR74" s="2198"/>
      <c r="QNS74" s="2198"/>
      <c r="QNT74" s="2198"/>
      <c r="QNU74" s="2198"/>
      <c r="QNV74" s="2198"/>
      <c r="QNW74" s="2198"/>
      <c r="QNX74" s="2198"/>
      <c r="QNY74" s="2198"/>
      <c r="QNZ74" s="2198"/>
      <c r="QOA74" s="2198"/>
      <c r="QOB74" s="2198"/>
      <c r="QOC74" s="2198"/>
      <c r="QOD74" s="2198"/>
      <c r="QOE74" s="2198"/>
      <c r="QOF74" s="2198"/>
      <c r="QOG74" s="2198"/>
      <c r="QOH74" s="2198"/>
      <c r="QOI74" s="2198"/>
      <c r="QOJ74" s="2198"/>
      <c r="QOK74" s="2198"/>
      <c r="QOL74" s="2198"/>
      <c r="QOM74" s="2198"/>
      <c r="QON74" s="2198"/>
      <c r="QOO74" s="2198"/>
      <c r="QOP74" s="2198"/>
      <c r="QOQ74" s="2198"/>
      <c r="QOR74" s="2198"/>
      <c r="QOS74" s="2198"/>
      <c r="QOT74" s="2198"/>
      <c r="QOU74" s="2198"/>
      <c r="QOV74" s="2198"/>
      <c r="QOW74" s="2198"/>
      <c r="QOX74" s="2198"/>
      <c r="QOY74" s="2198"/>
      <c r="QOZ74" s="2198"/>
      <c r="QPA74" s="2198"/>
      <c r="QPB74" s="2198"/>
      <c r="QPC74" s="2198"/>
      <c r="QPD74" s="2198"/>
      <c r="QPE74" s="2198"/>
      <c r="QPF74" s="2198"/>
      <c r="QPG74" s="2198"/>
      <c r="QPH74" s="2198"/>
      <c r="QPI74" s="2198"/>
      <c r="QPJ74" s="2198"/>
      <c r="QPK74" s="2198"/>
      <c r="QPL74" s="2198"/>
      <c r="QPM74" s="2198"/>
      <c r="QPN74" s="2198"/>
      <c r="QPO74" s="2198"/>
      <c r="QPP74" s="2198"/>
      <c r="QPQ74" s="2198"/>
      <c r="QPR74" s="2198"/>
      <c r="QPS74" s="2198"/>
      <c r="QPT74" s="2198"/>
      <c r="QPU74" s="2198"/>
      <c r="QPV74" s="2198"/>
      <c r="QPW74" s="2198"/>
      <c r="QPX74" s="2198"/>
      <c r="QPY74" s="2198"/>
      <c r="QPZ74" s="2198"/>
      <c r="QQA74" s="2198"/>
      <c r="QQB74" s="2198"/>
      <c r="QQC74" s="2198"/>
      <c r="QQD74" s="2198"/>
      <c r="QQE74" s="2198"/>
      <c r="QQF74" s="2198"/>
      <c r="QQG74" s="2198"/>
      <c r="QQH74" s="2198"/>
      <c r="QQI74" s="2198"/>
      <c r="QQJ74" s="2198"/>
      <c r="QQK74" s="2198"/>
      <c r="QQL74" s="2198"/>
      <c r="QQM74" s="2198"/>
      <c r="QQN74" s="2198"/>
      <c r="QQO74" s="2198"/>
      <c r="QQP74" s="2198"/>
      <c r="QQQ74" s="2198"/>
      <c r="QQR74" s="2198"/>
      <c r="QQS74" s="2198"/>
      <c r="QQT74" s="2198"/>
      <c r="QQU74" s="2198"/>
      <c r="QQV74" s="2198"/>
      <c r="QQW74" s="2198"/>
      <c r="QQX74" s="2198"/>
      <c r="QQY74" s="2198"/>
      <c r="QQZ74" s="2198"/>
      <c r="QRA74" s="2198"/>
      <c r="QRB74" s="2198"/>
      <c r="QRC74" s="2198"/>
      <c r="QRD74" s="2198"/>
      <c r="QRE74" s="2198"/>
      <c r="QRF74" s="2198"/>
      <c r="QRG74" s="2198"/>
      <c r="QRH74" s="2198"/>
      <c r="QRI74" s="2198"/>
      <c r="QRJ74" s="2198"/>
      <c r="QRK74" s="2198"/>
      <c r="QRL74" s="2198"/>
      <c r="QRM74" s="2198"/>
      <c r="QRN74" s="2198"/>
      <c r="QRO74" s="2198"/>
      <c r="QRP74" s="2198"/>
      <c r="QRQ74" s="2198"/>
      <c r="QRR74" s="2198"/>
      <c r="QRS74" s="2198"/>
      <c r="QRT74" s="2198"/>
      <c r="QRU74" s="2198"/>
      <c r="QRV74" s="2198"/>
      <c r="QRW74" s="2198"/>
      <c r="QRX74" s="2198"/>
      <c r="QRY74" s="2198"/>
      <c r="QRZ74" s="2198"/>
      <c r="QSA74" s="2198"/>
      <c r="QSB74" s="2198"/>
      <c r="QSC74" s="2198"/>
      <c r="QSD74" s="2198"/>
      <c r="QSE74" s="2198"/>
      <c r="QSF74" s="2198"/>
      <c r="QSG74" s="2198"/>
      <c r="QSH74" s="2198"/>
      <c r="QSI74" s="2198"/>
      <c r="QSJ74" s="2198"/>
      <c r="QSK74" s="2198"/>
      <c r="QSL74" s="2198"/>
      <c r="QSM74" s="2198"/>
      <c r="QSN74" s="2198"/>
      <c r="QSO74" s="2198"/>
      <c r="QSP74" s="2198"/>
      <c r="QSQ74" s="2198"/>
      <c r="QSR74" s="2198"/>
      <c r="QSS74" s="2198"/>
      <c r="QST74" s="2198"/>
      <c r="QSU74" s="2198"/>
      <c r="QSV74" s="2198"/>
      <c r="QSW74" s="2198"/>
      <c r="QSX74" s="2198"/>
      <c r="QSY74" s="2198"/>
      <c r="QSZ74" s="2198"/>
      <c r="QTA74" s="2198"/>
      <c r="QTB74" s="2198"/>
      <c r="QTC74" s="2198"/>
      <c r="QTD74" s="2198"/>
      <c r="QTE74" s="2198"/>
      <c r="QTF74" s="2198"/>
      <c r="QTG74" s="2198"/>
      <c r="QTH74" s="2198"/>
      <c r="QTI74" s="2198"/>
      <c r="QTJ74" s="2198"/>
      <c r="QTK74" s="2198"/>
      <c r="QTL74" s="2198"/>
      <c r="QTM74" s="2198"/>
      <c r="QTN74" s="2198"/>
      <c r="QTO74" s="2198"/>
      <c r="QTP74" s="2198"/>
      <c r="QTQ74" s="2198"/>
      <c r="QTR74" s="2198"/>
      <c r="QTS74" s="2198"/>
      <c r="QTT74" s="2198"/>
      <c r="QTU74" s="2198"/>
      <c r="QTV74" s="2198"/>
      <c r="QTW74" s="2198"/>
      <c r="QTX74" s="2198"/>
      <c r="QTY74" s="2198"/>
      <c r="QTZ74" s="2198"/>
      <c r="QUA74" s="2198"/>
      <c r="QUB74" s="2198"/>
      <c r="QUC74" s="2198"/>
      <c r="QUD74" s="2198"/>
      <c r="QUE74" s="2198"/>
      <c r="QUF74" s="2198"/>
      <c r="QUG74" s="2198"/>
      <c r="QUH74" s="2198"/>
      <c r="QUI74" s="2198"/>
      <c r="QUJ74" s="2198"/>
      <c r="QUK74" s="2198"/>
      <c r="QUL74" s="2198"/>
      <c r="QUM74" s="2198"/>
      <c r="QUN74" s="2198"/>
      <c r="QUO74" s="2198"/>
      <c r="QUP74" s="2198"/>
      <c r="QUQ74" s="2198"/>
      <c r="QUR74" s="2198"/>
      <c r="QUS74" s="2198"/>
      <c r="QUT74" s="2198"/>
      <c r="QUU74" s="2198"/>
      <c r="QUV74" s="2198"/>
      <c r="QUW74" s="2198"/>
      <c r="QUX74" s="2198"/>
      <c r="QUY74" s="2198"/>
      <c r="QUZ74" s="2198"/>
      <c r="QVA74" s="2198"/>
      <c r="QVB74" s="2198"/>
      <c r="QVC74" s="2198"/>
      <c r="QVD74" s="2198"/>
      <c r="QVE74" s="2198"/>
      <c r="QVF74" s="2198"/>
      <c r="QVG74" s="2198"/>
      <c r="QVH74" s="2198"/>
      <c r="QVI74" s="2198"/>
      <c r="QVJ74" s="2198"/>
      <c r="QVK74" s="2198"/>
      <c r="QVL74" s="2198"/>
      <c r="QVM74" s="2198"/>
      <c r="QVN74" s="2198"/>
      <c r="QVO74" s="2198"/>
      <c r="QVP74" s="2198"/>
      <c r="QVQ74" s="2198"/>
      <c r="QVR74" s="2198"/>
      <c r="QVS74" s="2198"/>
      <c r="QVT74" s="2198"/>
      <c r="QVU74" s="2198"/>
      <c r="QVV74" s="2198"/>
      <c r="QVW74" s="2198"/>
      <c r="QVX74" s="2198"/>
      <c r="QVY74" s="2198"/>
      <c r="QVZ74" s="2198"/>
      <c r="QWA74" s="2198"/>
      <c r="QWB74" s="2198"/>
      <c r="QWC74" s="2198"/>
      <c r="QWD74" s="2198"/>
      <c r="QWE74" s="2198"/>
      <c r="QWF74" s="2198"/>
      <c r="QWG74" s="2198"/>
      <c r="QWH74" s="2198"/>
      <c r="QWI74" s="2198"/>
      <c r="QWJ74" s="2198"/>
      <c r="QWK74" s="2198"/>
      <c r="QWL74" s="2198"/>
      <c r="QWM74" s="2198"/>
      <c r="QWN74" s="2198"/>
      <c r="QWO74" s="2198"/>
      <c r="QWP74" s="2198"/>
      <c r="QWQ74" s="2198"/>
      <c r="QWR74" s="2198"/>
      <c r="QWS74" s="2198"/>
      <c r="QWT74" s="2198"/>
      <c r="QWU74" s="2198"/>
      <c r="QWV74" s="2198"/>
      <c r="QWW74" s="2198"/>
      <c r="QWX74" s="2198"/>
      <c r="QWY74" s="2198"/>
      <c r="QWZ74" s="2198"/>
      <c r="QXA74" s="2198"/>
      <c r="QXB74" s="2198"/>
      <c r="QXC74" s="2198"/>
      <c r="QXD74" s="2198"/>
      <c r="QXE74" s="2198"/>
      <c r="QXF74" s="2198"/>
      <c r="QXG74" s="2198"/>
      <c r="QXH74" s="2198"/>
      <c r="QXI74" s="2198"/>
      <c r="QXJ74" s="2198"/>
      <c r="QXK74" s="2198"/>
      <c r="QXL74" s="2198"/>
      <c r="QXM74" s="2198"/>
      <c r="QXN74" s="2198"/>
      <c r="QXO74" s="2198"/>
      <c r="QXP74" s="2198"/>
      <c r="QXQ74" s="2198"/>
      <c r="QXR74" s="2198"/>
      <c r="QXS74" s="2198"/>
      <c r="QXT74" s="2198"/>
      <c r="QXU74" s="2198"/>
      <c r="QXV74" s="2198"/>
      <c r="QXW74" s="2198"/>
      <c r="QXX74" s="2198"/>
      <c r="QXY74" s="2198"/>
      <c r="QXZ74" s="2198"/>
      <c r="QYA74" s="2198"/>
      <c r="QYB74" s="2198"/>
      <c r="QYC74" s="2198"/>
      <c r="QYD74" s="2198"/>
      <c r="QYE74" s="2198"/>
      <c r="QYF74" s="2198"/>
      <c r="QYG74" s="2198"/>
      <c r="QYH74" s="2198"/>
      <c r="QYI74" s="2198"/>
      <c r="QYJ74" s="2198"/>
      <c r="QYK74" s="2198"/>
      <c r="QYL74" s="2198"/>
      <c r="QYM74" s="2198"/>
      <c r="QYN74" s="2198"/>
      <c r="QYO74" s="2198"/>
      <c r="QYP74" s="2198"/>
      <c r="QYQ74" s="2198"/>
      <c r="QYR74" s="2198"/>
      <c r="QYS74" s="2198"/>
      <c r="QYT74" s="2198"/>
      <c r="QYU74" s="2198"/>
      <c r="QYV74" s="2198"/>
      <c r="QYW74" s="2198"/>
      <c r="QYX74" s="2198"/>
      <c r="QYY74" s="2198"/>
      <c r="QYZ74" s="2198"/>
      <c r="QZA74" s="2198"/>
      <c r="QZB74" s="2198"/>
      <c r="QZC74" s="2198"/>
      <c r="QZD74" s="2198"/>
      <c r="QZE74" s="2198"/>
      <c r="QZF74" s="2198"/>
      <c r="QZG74" s="2198"/>
      <c r="QZH74" s="2198"/>
      <c r="QZI74" s="2198"/>
      <c r="QZJ74" s="2198"/>
      <c r="QZK74" s="2198"/>
      <c r="QZL74" s="2198"/>
      <c r="QZM74" s="2198"/>
      <c r="QZN74" s="2198"/>
      <c r="QZO74" s="2198"/>
      <c r="QZP74" s="2198"/>
      <c r="QZQ74" s="2198"/>
      <c r="QZR74" s="2198"/>
      <c r="QZS74" s="2198"/>
      <c r="QZT74" s="2198"/>
      <c r="QZU74" s="2198"/>
      <c r="QZV74" s="2198"/>
      <c r="QZW74" s="2198"/>
      <c r="QZX74" s="2198"/>
      <c r="QZY74" s="2198"/>
      <c r="QZZ74" s="2198"/>
      <c r="RAA74" s="2198"/>
      <c r="RAB74" s="2198"/>
      <c r="RAC74" s="2198"/>
      <c r="RAD74" s="2198"/>
      <c r="RAE74" s="2198"/>
      <c r="RAF74" s="2198"/>
      <c r="RAG74" s="2198"/>
      <c r="RAH74" s="2198"/>
      <c r="RAI74" s="2198"/>
      <c r="RAJ74" s="2198"/>
      <c r="RAK74" s="2198"/>
      <c r="RAL74" s="2198"/>
      <c r="RAM74" s="2198"/>
      <c r="RAN74" s="2198"/>
      <c r="RAO74" s="2198"/>
      <c r="RAP74" s="2198"/>
      <c r="RAQ74" s="2198"/>
      <c r="RAR74" s="2198"/>
      <c r="RAS74" s="2198"/>
      <c r="RAT74" s="2198"/>
      <c r="RAU74" s="2198"/>
      <c r="RAV74" s="2198"/>
      <c r="RAW74" s="2198"/>
      <c r="RAX74" s="2198"/>
      <c r="RAY74" s="2198"/>
      <c r="RAZ74" s="2198"/>
      <c r="RBA74" s="2198"/>
      <c r="RBB74" s="2198"/>
      <c r="RBC74" s="2198"/>
      <c r="RBD74" s="2198"/>
      <c r="RBE74" s="2198"/>
      <c r="RBF74" s="2198"/>
      <c r="RBG74" s="2198"/>
      <c r="RBH74" s="2198"/>
      <c r="RBI74" s="2198"/>
      <c r="RBJ74" s="2198"/>
      <c r="RBK74" s="2198"/>
      <c r="RBL74" s="2198"/>
      <c r="RBM74" s="2198"/>
      <c r="RBN74" s="2198"/>
      <c r="RBO74" s="2198"/>
      <c r="RBP74" s="2198"/>
      <c r="RBQ74" s="2198"/>
      <c r="RBR74" s="2198"/>
      <c r="RBS74" s="2198"/>
      <c r="RBT74" s="2198"/>
      <c r="RBU74" s="2198"/>
      <c r="RBV74" s="2198"/>
      <c r="RBW74" s="2198"/>
      <c r="RBX74" s="2198"/>
      <c r="RBY74" s="2198"/>
      <c r="RBZ74" s="2198"/>
      <c r="RCA74" s="2198"/>
      <c r="RCB74" s="2198"/>
      <c r="RCC74" s="2198"/>
      <c r="RCD74" s="2198"/>
      <c r="RCE74" s="2198"/>
      <c r="RCF74" s="2198"/>
      <c r="RCG74" s="2198"/>
      <c r="RCH74" s="2198"/>
      <c r="RCI74" s="2198"/>
      <c r="RCJ74" s="2198"/>
      <c r="RCK74" s="2198"/>
      <c r="RCL74" s="2198"/>
      <c r="RCM74" s="2198"/>
      <c r="RCN74" s="2198"/>
      <c r="RCO74" s="2198"/>
      <c r="RCP74" s="2198"/>
      <c r="RCQ74" s="2198"/>
      <c r="RCR74" s="2198"/>
      <c r="RCS74" s="2198"/>
      <c r="RCT74" s="2198"/>
      <c r="RCU74" s="2198"/>
      <c r="RCV74" s="2198"/>
      <c r="RCW74" s="2198"/>
      <c r="RCX74" s="2198"/>
      <c r="RCY74" s="2198"/>
      <c r="RCZ74" s="2198"/>
      <c r="RDA74" s="2198"/>
      <c r="RDB74" s="2198"/>
      <c r="RDC74" s="2198"/>
      <c r="RDD74" s="2198"/>
      <c r="RDE74" s="2198"/>
      <c r="RDF74" s="2198"/>
      <c r="RDG74" s="2198"/>
      <c r="RDH74" s="2198"/>
      <c r="RDI74" s="2198"/>
      <c r="RDJ74" s="2198"/>
      <c r="RDK74" s="2198"/>
      <c r="RDL74" s="2198"/>
      <c r="RDM74" s="2198"/>
      <c r="RDN74" s="2198"/>
      <c r="RDO74" s="2198"/>
      <c r="RDP74" s="2198"/>
      <c r="RDQ74" s="2198"/>
      <c r="RDR74" s="2198"/>
      <c r="RDS74" s="2198"/>
      <c r="RDT74" s="2198"/>
      <c r="RDU74" s="2198"/>
      <c r="RDV74" s="2198"/>
      <c r="RDW74" s="2198"/>
      <c r="RDX74" s="2198"/>
      <c r="RDY74" s="2198"/>
      <c r="RDZ74" s="2198"/>
      <c r="REA74" s="2198"/>
      <c r="REB74" s="2198"/>
      <c r="REC74" s="2198"/>
      <c r="RED74" s="2198"/>
      <c r="REE74" s="2198"/>
      <c r="REF74" s="2198"/>
      <c r="REG74" s="2198"/>
      <c r="REH74" s="2198"/>
      <c r="REI74" s="2198"/>
      <c r="REJ74" s="2198"/>
      <c r="REK74" s="2198"/>
      <c r="REL74" s="2198"/>
      <c r="REM74" s="2198"/>
      <c r="REN74" s="2198"/>
      <c r="REO74" s="2198"/>
      <c r="REP74" s="2198"/>
      <c r="REQ74" s="2198"/>
      <c r="RER74" s="2198"/>
      <c r="RES74" s="2198"/>
      <c r="RET74" s="2198"/>
      <c r="REU74" s="2198"/>
      <c r="REV74" s="2198"/>
      <c r="REW74" s="2198"/>
      <c r="REX74" s="2198"/>
      <c r="REY74" s="2198"/>
      <c r="REZ74" s="2198"/>
      <c r="RFA74" s="2198"/>
      <c r="RFB74" s="2198"/>
      <c r="RFC74" s="2198"/>
      <c r="RFD74" s="2198"/>
      <c r="RFE74" s="2198"/>
      <c r="RFF74" s="2198"/>
      <c r="RFG74" s="2198"/>
      <c r="RFH74" s="2198"/>
      <c r="RFI74" s="2198"/>
      <c r="RFJ74" s="2198"/>
      <c r="RFK74" s="2198"/>
      <c r="RFL74" s="2198"/>
      <c r="RFM74" s="2198"/>
      <c r="RFN74" s="2198"/>
      <c r="RFO74" s="2198"/>
      <c r="RFP74" s="2198"/>
      <c r="RFQ74" s="2198"/>
      <c r="RFR74" s="2198"/>
      <c r="RFS74" s="2198"/>
      <c r="RFT74" s="2198"/>
      <c r="RFU74" s="2198"/>
      <c r="RFV74" s="2198"/>
      <c r="RFW74" s="2198"/>
      <c r="RFX74" s="2198"/>
      <c r="RFY74" s="2198"/>
      <c r="RFZ74" s="2198"/>
      <c r="RGA74" s="2198"/>
      <c r="RGB74" s="2198"/>
      <c r="RGC74" s="2198"/>
      <c r="RGD74" s="2198"/>
      <c r="RGE74" s="2198"/>
      <c r="RGF74" s="2198"/>
      <c r="RGG74" s="2198"/>
      <c r="RGH74" s="2198"/>
      <c r="RGI74" s="2198"/>
      <c r="RGJ74" s="2198"/>
      <c r="RGK74" s="2198"/>
      <c r="RGL74" s="2198"/>
      <c r="RGM74" s="2198"/>
      <c r="RGN74" s="2198"/>
      <c r="RGO74" s="2198"/>
      <c r="RGP74" s="2198"/>
      <c r="RGQ74" s="2198"/>
      <c r="RGR74" s="2198"/>
      <c r="RGS74" s="2198"/>
      <c r="RGT74" s="2198"/>
      <c r="RGU74" s="2198"/>
      <c r="RGV74" s="2198"/>
      <c r="RGW74" s="2198"/>
      <c r="RGX74" s="2198"/>
      <c r="RGY74" s="2198"/>
      <c r="RGZ74" s="2198"/>
      <c r="RHA74" s="2198"/>
      <c r="RHB74" s="2198"/>
      <c r="RHC74" s="2198"/>
      <c r="RHD74" s="2198"/>
      <c r="RHE74" s="2198"/>
      <c r="RHF74" s="2198"/>
      <c r="RHG74" s="2198"/>
      <c r="RHH74" s="2198"/>
      <c r="RHI74" s="2198"/>
      <c r="RHJ74" s="2198"/>
      <c r="RHK74" s="2198"/>
      <c r="RHL74" s="2198"/>
      <c r="RHM74" s="2198"/>
      <c r="RHN74" s="2198"/>
      <c r="RHO74" s="2198"/>
      <c r="RHP74" s="2198"/>
      <c r="RHQ74" s="2198"/>
      <c r="RHR74" s="2198"/>
      <c r="RHS74" s="2198"/>
      <c r="RHT74" s="2198"/>
      <c r="RHU74" s="2198"/>
      <c r="RHV74" s="2198"/>
      <c r="RHW74" s="2198"/>
      <c r="RHX74" s="2198"/>
      <c r="RHY74" s="2198"/>
      <c r="RHZ74" s="2198"/>
      <c r="RIA74" s="2198"/>
      <c r="RIB74" s="2198"/>
      <c r="RIC74" s="2198"/>
      <c r="RID74" s="2198"/>
      <c r="RIE74" s="2198"/>
      <c r="RIF74" s="2198"/>
      <c r="RIG74" s="2198"/>
      <c r="RIH74" s="2198"/>
      <c r="RII74" s="2198"/>
      <c r="RIJ74" s="2198"/>
      <c r="RIK74" s="2198"/>
      <c r="RIL74" s="2198"/>
      <c r="RIM74" s="2198"/>
      <c r="RIN74" s="2198"/>
      <c r="RIO74" s="2198"/>
      <c r="RIP74" s="2198"/>
      <c r="RIQ74" s="2198"/>
      <c r="RIR74" s="2198"/>
      <c r="RIS74" s="2198"/>
      <c r="RIT74" s="2198"/>
      <c r="RIU74" s="2198"/>
      <c r="RIV74" s="2198"/>
      <c r="RIW74" s="2198"/>
      <c r="RIX74" s="2198"/>
      <c r="RIY74" s="2198"/>
      <c r="RIZ74" s="2198"/>
      <c r="RJA74" s="2198"/>
      <c r="RJB74" s="2198"/>
      <c r="RJC74" s="2198"/>
      <c r="RJD74" s="2198"/>
      <c r="RJE74" s="2198"/>
      <c r="RJF74" s="2198"/>
      <c r="RJG74" s="2198"/>
      <c r="RJH74" s="2198"/>
      <c r="RJI74" s="2198"/>
      <c r="RJJ74" s="2198"/>
      <c r="RJK74" s="2198"/>
      <c r="RJL74" s="2198"/>
      <c r="RJM74" s="2198"/>
      <c r="RJN74" s="2198"/>
      <c r="RJO74" s="2198"/>
      <c r="RJP74" s="2198"/>
      <c r="RJQ74" s="2198"/>
      <c r="RJR74" s="2198"/>
      <c r="RJS74" s="2198"/>
      <c r="RJT74" s="2198"/>
      <c r="RJU74" s="2198"/>
      <c r="RJV74" s="2198"/>
      <c r="RJW74" s="2198"/>
      <c r="RJX74" s="2198"/>
      <c r="RJY74" s="2198"/>
      <c r="RJZ74" s="2198"/>
      <c r="RKA74" s="2198"/>
      <c r="RKB74" s="2198"/>
      <c r="RKC74" s="2198"/>
      <c r="RKD74" s="2198"/>
      <c r="RKE74" s="2198"/>
      <c r="RKF74" s="2198"/>
      <c r="RKG74" s="2198"/>
      <c r="RKH74" s="2198"/>
      <c r="RKI74" s="2198"/>
      <c r="RKJ74" s="2198"/>
      <c r="RKK74" s="2198"/>
      <c r="RKL74" s="2198"/>
      <c r="RKM74" s="2198"/>
      <c r="RKN74" s="2198"/>
      <c r="RKO74" s="2198"/>
      <c r="RKP74" s="2198"/>
      <c r="RKQ74" s="2198"/>
      <c r="RKR74" s="2198"/>
      <c r="RKS74" s="2198"/>
      <c r="RKT74" s="2198"/>
      <c r="RKU74" s="2198"/>
      <c r="RKV74" s="2198"/>
      <c r="RKW74" s="2198"/>
      <c r="RKX74" s="2198"/>
      <c r="RKY74" s="2198"/>
      <c r="RKZ74" s="2198"/>
      <c r="RLA74" s="2198"/>
      <c r="RLB74" s="2198"/>
      <c r="RLC74" s="2198"/>
      <c r="RLD74" s="2198"/>
      <c r="RLE74" s="2198"/>
      <c r="RLF74" s="2198"/>
      <c r="RLG74" s="2198"/>
      <c r="RLH74" s="2198"/>
      <c r="RLI74" s="2198"/>
      <c r="RLJ74" s="2198"/>
      <c r="RLK74" s="2198"/>
      <c r="RLL74" s="2198"/>
      <c r="RLM74" s="2198"/>
      <c r="RLN74" s="2198"/>
      <c r="RLO74" s="2198"/>
      <c r="RLP74" s="2198"/>
      <c r="RLQ74" s="2198"/>
      <c r="RLR74" s="2198"/>
      <c r="RLS74" s="2198"/>
      <c r="RLT74" s="2198"/>
      <c r="RLU74" s="2198"/>
      <c r="RLV74" s="2198"/>
      <c r="RLW74" s="2198"/>
      <c r="RLX74" s="2198"/>
      <c r="RLY74" s="2198"/>
      <c r="RLZ74" s="2198"/>
      <c r="RMA74" s="2198"/>
      <c r="RMB74" s="2198"/>
      <c r="RMC74" s="2198"/>
      <c r="RMD74" s="2198"/>
      <c r="RME74" s="2198"/>
      <c r="RMF74" s="2198"/>
      <c r="RMG74" s="2198"/>
      <c r="RMH74" s="2198"/>
      <c r="RMI74" s="2198"/>
      <c r="RMJ74" s="2198"/>
      <c r="RMK74" s="2198"/>
      <c r="RML74" s="2198"/>
      <c r="RMM74" s="2198"/>
      <c r="RMN74" s="2198"/>
      <c r="RMO74" s="2198"/>
      <c r="RMP74" s="2198"/>
      <c r="RMQ74" s="2198"/>
      <c r="RMR74" s="2198"/>
      <c r="RMS74" s="2198"/>
      <c r="RMT74" s="2198"/>
      <c r="RMU74" s="2198"/>
      <c r="RMV74" s="2198"/>
      <c r="RMW74" s="2198"/>
      <c r="RMX74" s="2198"/>
      <c r="RMY74" s="2198"/>
      <c r="RMZ74" s="2198"/>
      <c r="RNA74" s="2198"/>
      <c r="RNB74" s="2198"/>
      <c r="RNC74" s="2198"/>
      <c r="RND74" s="2198"/>
      <c r="RNE74" s="2198"/>
      <c r="RNF74" s="2198"/>
      <c r="RNG74" s="2198"/>
      <c r="RNH74" s="2198"/>
      <c r="RNI74" s="2198"/>
      <c r="RNJ74" s="2198"/>
      <c r="RNK74" s="2198"/>
      <c r="RNL74" s="2198"/>
      <c r="RNM74" s="2198"/>
      <c r="RNN74" s="2198"/>
      <c r="RNO74" s="2198"/>
      <c r="RNP74" s="2198"/>
      <c r="RNQ74" s="2198"/>
      <c r="RNR74" s="2198"/>
      <c r="RNS74" s="2198"/>
      <c r="RNT74" s="2198"/>
      <c r="RNU74" s="2198"/>
      <c r="RNV74" s="2198"/>
      <c r="RNW74" s="2198"/>
      <c r="RNX74" s="2198"/>
      <c r="RNY74" s="2198"/>
      <c r="RNZ74" s="2198"/>
      <c r="ROA74" s="2198"/>
      <c r="ROB74" s="2198"/>
      <c r="ROC74" s="2198"/>
      <c r="ROD74" s="2198"/>
      <c r="ROE74" s="2198"/>
      <c r="ROF74" s="2198"/>
      <c r="ROG74" s="2198"/>
      <c r="ROH74" s="2198"/>
      <c r="ROI74" s="2198"/>
      <c r="ROJ74" s="2198"/>
      <c r="ROK74" s="2198"/>
      <c r="ROL74" s="2198"/>
      <c r="ROM74" s="2198"/>
      <c r="RON74" s="2198"/>
      <c r="ROO74" s="2198"/>
      <c r="ROP74" s="2198"/>
      <c r="ROQ74" s="2198"/>
      <c r="ROR74" s="2198"/>
      <c r="ROS74" s="2198"/>
      <c r="ROT74" s="2198"/>
      <c r="ROU74" s="2198"/>
      <c r="ROV74" s="2198"/>
      <c r="ROW74" s="2198"/>
      <c r="ROX74" s="2198"/>
      <c r="ROY74" s="2198"/>
      <c r="ROZ74" s="2198"/>
      <c r="RPA74" s="2198"/>
      <c r="RPB74" s="2198"/>
      <c r="RPC74" s="2198"/>
      <c r="RPD74" s="2198"/>
      <c r="RPE74" s="2198"/>
      <c r="RPF74" s="2198"/>
      <c r="RPG74" s="2198"/>
      <c r="RPH74" s="2198"/>
      <c r="RPI74" s="2198"/>
      <c r="RPJ74" s="2198"/>
      <c r="RPK74" s="2198"/>
      <c r="RPL74" s="2198"/>
      <c r="RPM74" s="2198"/>
      <c r="RPN74" s="2198"/>
      <c r="RPO74" s="2198"/>
      <c r="RPP74" s="2198"/>
      <c r="RPQ74" s="2198"/>
      <c r="RPR74" s="2198"/>
      <c r="RPS74" s="2198"/>
      <c r="RPT74" s="2198"/>
      <c r="RPU74" s="2198"/>
      <c r="RPV74" s="2198"/>
      <c r="RPW74" s="2198"/>
      <c r="RPX74" s="2198"/>
      <c r="RPY74" s="2198"/>
      <c r="RPZ74" s="2198"/>
      <c r="RQA74" s="2198"/>
      <c r="RQB74" s="2198"/>
      <c r="RQC74" s="2198"/>
      <c r="RQD74" s="2198"/>
      <c r="RQE74" s="2198"/>
      <c r="RQF74" s="2198"/>
      <c r="RQG74" s="2198"/>
      <c r="RQH74" s="2198"/>
      <c r="RQI74" s="2198"/>
      <c r="RQJ74" s="2198"/>
      <c r="RQK74" s="2198"/>
      <c r="RQL74" s="2198"/>
      <c r="RQM74" s="2198"/>
      <c r="RQN74" s="2198"/>
      <c r="RQO74" s="2198"/>
      <c r="RQP74" s="2198"/>
      <c r="RQQ74" s="2198"/>
      <c r="RQR74" s="2198"/>
      <c r="RQS74" s="2198"/>
      <c r="RQT74" s="2198"/>
      <c r="RQU74" s="2198"/>
      <c r="RQV74" s="2198"/>
      <c r="RQW74" s="2198"/>
      <c r="RQX74" s="2198"/>
      <c r="RQY74" s="2198"/>
      <c r="RQZ74" s="2198"/>
      <c r="RRA74" s="2198"/>
      <c r="RRB74" s="2198"/>
      <c r="RRC74" s="2198"/>
      <c r="RRD74" s="2198"/>
      <c r="RRE74" s="2198"/>
      <c r="RRF74" s="2198"/>
      <c r="RRG74" s="2198"/>
      <c r="RRH74" s="2198"/>
      <c r="RRI74" s="2198"/>
      <c r="RRJ74" s="2198"/>
      <c r="RRK74" s="2198"/>
      <c r="RRL74" s="2198"/>
      <c r="RRM74" s="2198"/>
      <c r="RRN74" s="2198"/>
      <c r="RRO74" s="2198"/>
      <c r="RRP74" s="2198"/>
      <c r="RRQ74" s="2198"/>
      <c r="RRR74" s="2198"/>
      <c r="RRS74" s="2198"/>
      <c r="RRT74" s="2198"/>
      <c r="RRU74" s="2198"/>
      <c r="RRV74" s="2198"/>
      <c r="RRW74" s="2198"/>
      <c r="RRX74" s="2198"/>
      <c r="RRY74" s="2198"/>
      <c r="RRZ74" s="2198"/>
      <c r="RSA74" s="2198"/>
      <c r="RSB74" s="2198"/>
      <c r="RSC74" s="2198"/>
      <c r="RSD74" s="2198"/>
      <c r="RSE74" s="2198"/>
      <c r="RSF74" s="2198"/>
      <c r="RSG74" s="2198"/>
      <c r="RSH74" s="2198"/>
      <c r="RSI74" s="2198"/>
      <c r="RSJ74" s="2198"/>
      <c r="RSK74" s="2198"/>
      <c r="RSL74" s="2198"/>
      <c r="RSM74" s="2198"/>
      <c r="RSN74" s="2198"/>
      <c r="RSO74" s="2198"/>
      <c r="RSP74" s="2198"/>
      <c r="RSQ74" s="2198"/>
      <c r="RSR74" s="2198"/>
      <c r="RSS74" s="2198"/>
      <c r="RST74" s="2198"/>
      <c r="RSU74" s="2198"/>
      <c r="RSV74" s="2198"/>
      <c r="RSW74" s="2198"/>
      <c r="RSX74" s="2198"/>
      <c r="RSY74" s="2198"/>
      <c r="RSZ74" s="2198"/>
      <c r="RTA74" s="2198"/>
      <c r="RTB74" s="2198"/>
      <c r="RTC74" s="2198"/>
      <c r="RTD74" s="2198"/>
      <c r="RTE74" s="2198"/>
      <c r="RTF74" s="2198"/>
      <c r="RTG74" s="2198"/>
      <c r="RTH74" s="2198"/>
      <c r="RTI74" s="2198"/>
      <c r="RTJ74" s="2198"/>
      <c r="RTK74" s="2198"/>
      <c r="RTL74" s="2198"/>
      <c r="RTM74" s="2198"/>
      <c r="RTN74" s="2198"/>
      <c r="RTO74" s="2198"/>
      <c r="RTP74" s="2198"/>
      <c r="RTQ74" s="2198"/>
      <c r="RTR74" s="2198"/>
      <c r="RTS74" s="2198"/>
      <c r="RTT74" s="2198"/>
      <c r="RTU74" s="2198"/>
      <c r="RTV74" s="2198"/>
      <c r="RTW74" s="2198"/>
      <c r="RTX74" s="2198"/>
      <c r="RTY74" s="2198"/>
      <c r="RTZ74" s="2198"/>
      <c r="RUA74" s="2198"/>
      <c r="RUB74" s="2198"/>
      <c r="RUC74" s="2198"/>
      <c r="RUD74" s="2198"/>
      <c r="RUE74" s="2198"/>
      <c r="RUF74" s="2198"/>
      <c r="RUG74" s="2198"/>
      <c r="RUH74" s="2198"/>
      <c r="RUI74" s="2198"/>
      <c r="RUJ74" s="2198"/>
      <c r="RUK74" s="2198"/>
      <c r="RUL74" s="2198"/>
      <c r="RUM74" s="2198"/>
      <c r="RUN74" s="2198"/>
      <c r="RUO74" s="2198"/>
      <c r="RUP74" s="2198"/>
      <c r="RUQ74" s="2198"/>
      <c r="RUR74" s="2198"/>
      <c r="RUS74" s="2198"/>
      <c r="RUT74" s="2198"/>
      <c r="RUU74" s="2198"/>
      <c r="RUV74" s="2198"/>
      <c r="RUW74" s="2198"/>
      <c r="RUX74" s="2198"/>
      <c r="RUY74" s="2198"/>
      <c r="RUZ74" s="2198"/>
      <c r="RVA74" s="2198"/>
      <c r="RVB74" s="2198"/>
      <c r="RVC74" s="2198"/>
      <c r="RVD74" s="2198"/>
      <c r="RVE74" s="2198"/>
      <c r="RVF74" s="2198"/>
      <c r="RVG74" s="2198"/>
      <c r="RVH74" s="2198"/>
      <c r="RVI74" s="2198"/>
      <c r="RVJ74" s="2198"/>
      <c r="RVK74" s="2198"/>
      <c r="RVL74" s="2198"/>
      <c r="RVM74" s="2198"/>
      <c r="RVN74" s="2198"/>
      <c r="RVO74" s="2198"/>
      <c r="RVP74" s="2198"/>
      <c r="RVQ74" s="2198"/>
      <c r="RVR74" s="2198"/>
      <c r="RVS74" s="2198"/>
      <c r="RVT74" s="2198"/>
      <c r="RVU74" s="2198"/>
      <c r="RVV74" s="2198"/>
      <c r="RVW74" s="2198"/>
      <c r="RVX74" s="2198"/>
      <c r="RVY74" s="2198"/>
      <c r="RVZ74" s="2198"/>
      <c r="RWA74" s="2198"/>
      <c r="RWB74" s="2198"/>
      <c r="RWC74" s="2198"/>
      <c r="RWD74" s="2198"/>
      <c r="RWE74" s="2198"/>
      <c r="RWF74" s="2198"/>
      <c r="RWG74" s="2198"/>
      <c r="RWH74" s="2198"/>
      <c r="RWI74" s="2198"/>
      <c r="RWJ74" s="2198"/>
      <c r="RWK74" s="2198"/>
      <c r="RWL74" s="2198"/>
      <c r="RWM74" s="2198"/>
      <c r="RWN74" s="2198"/>
      <c r="RWO74" s="2198"/>
      <c r="RWP74" s="2198"/>
      <c r="RWQ74" s="2198"/>
      <c r="RWR74" s="2198"/>
      <c r="RWS74" s="2198"/>
      <c r="RWT74" s="2198"/>
      <c r="RWU74" s="2198"/>
      <c r="RWV74" s="2198"/>
      <c r="RWW74" s="2198"/>
      <c r="RWX74" s="2198"/>
      <c r="RWY74" s="2198"/>
      <c r="RWZ74" s="2198"/>
      <c r="RXA74" s="2198"/>
      <c r="RXB74" s="2198"/>
      <c r="RXC74" s="2198"/>
      <c r="RXD74" s="2198"/>
      <c r="RXE74" s="2198"/>
      <c r="RXF74" s="2198"/>
      <c r="RXG74" s="2198"/>
      <c r="RXH74" s="2198"/>
      <c r="RXI74" s="2198"/>
      <c r="RXJ74" s="2198"/>
      <c r="RXK74" s="2198"/>
      <c r="RXL74" s="2198"/>
      <c r="RXM74" s="2198"/>
      <c r="RXN74" s="2198"/>
      <c r="RXO74" s="2198"/>
      <c r="RXP74" s="2198"/>
      <c r="RXQ74" s="2198"/>
      <c r="RXR74" s="2198"/>
      <c r="RXS74" s="2198"/>
      <c r="RXT74" s="2198"/>
      <c r="RXU74" s="2198"/>
      <c r="RXV74" s="2198"/>
      <c r="RXW74" s="2198"/>
      <c r="RXX74" s="2198"/>
      <c r="RXY74" s="2198"/>
      <c r="RXZ74" s="2198"/>
      <c r="RYA74" s="2198"/>
      <c r="RYB74" s="2198"/>
      <c r="RYC74" s="2198"/>
      <c r="RYD74" s="2198"/>
      <c r="RYE74" s="2198"/>
      <c r="RYF74" s="2198"/>
      <c r="RYG74" s="2198"/>
      <c r="RYH74" s="2198"/>
      <c r="RYI74" s="2198"/>
      <c r="RYJ74" s="2198"/>
      <c r="RYK74" s="2198"/>
      <c r="RYL74" s="2198"/>
      <c r="RYM74" s="2198"/>
      <c r="RYN74" s="2198"/>
      <c r="RYO74" s="2198"/>
      <c r="RYP74" s="2198"/>
      <c r="RYQ74" s="2198"/>
      <c r="RYR74" s="2198"/>
      <c r="RYS74" s="2198"/>
      <c r="RYT74" s="2198"/>
      <c r="RYU74" s="2198"/>
      <c r="RYV74" s="2198"/>
      <c r="RYW74" s="2198"/>
      <c r="RYX74" s="2198"/>
      <c r="RYY74" s="2198"/>
      <c r="RYZ74" s="2198"/>
      <c r="RZA74" s="2198"/>
      <c r="RZB74" s="2198"/>
      <c r="RZC74" s="2198"/>
      <c r="RZD74" s="2198"/>
      <c r="RZE74" s="2198"/>
      <c r="RZF74" s="2198"/>
      <c r="RZG74" s="2198"/>
      <c r="RZH74" s="2198"/>
      <c r="RZI74" s="2198"/>
      <c r="RZJ74" s="2198"/>
      <c r="RZK74" s="2198"/>
      <c r="RZL74" s="2198"/>
      <c r="RZM74" s="2198"/>
      <c r="RZN74" s="2198"/>
      <c r="RZO74" s="2198"/>
      <c r="RZP74" s="2198"/>
      <c r="RZQ74" s="2198"/>
      <c r="RZR74" s="2198"/>
      <c r="RZS74" s="2198"/>
      <c r="RZT74" s="2198"/>
      <c r="RZU74" s="2198"/>
      <c r="RZV74" s="2198"/>
      <c r="RZW74" s="2198"/>
      <c r="RZX74" s="2198"/>
      <c r="RZY74" s="2198"/>
      <c r="RZZ74" s="2198"/>
      <c r="SAA74" s="2198"/>
      <c r="SAB74" s="2198"/>
      <c r="SAC74" s="2198"/>
      <c r="SAD74" s="2198"/>
      <c r="SAE74" s="2198"/>
      <c r="SAF74" s="2198"/>
      <c r="SAG74" s="2198"/>
      <c r="SAH74" s="2198"/>
      <c r="SAI74" s="2198"/>
      <c r="SAJ74" s="2198"/>
      <c r="SAK74" s="2198"/>
      <c r="SAL74" s="2198"/>
      <c r="SAM74" s="2198"/>
      <c r="SAN74" s="2198"/>
      <c r="SAO74" s="2198"/>
      <c r="SAP74" s="2198"/>
      <c r="SAQ74" s="2198"/>
      <c r="SAR74" s="2198"/>
      <c r="SAS74" s="2198"/>
      <c r="SAT74" s="2198"/>
      <c r="SAU74" s="2198"/>
      <c r="SAV74" s="2198"/>
      <c r="SAW74" s="2198"/>
      <c r="SAX74" s="2198"/>
      <c r="SAY74" s="2198"/>
      <c r="SAZ74" s="2198"/>
      <c r="SBA74" s="2198"/>
      <c r="SBB74" s="2198"/>
      <c r="SBC74" s="2198"/>
      <c r="SBD74" s="2198"/>
      <c r="SBE74" s="2198"/>
      <c r="SBF74" s="2198"/>
      <c r="SBG74" s="2198"/>
      <c r="SBH74" s="2198"/>
      <c r="SBI74" s="2198"/>
      <c r="SBJ74" s="2198"/>
      <c r="SBK74" s="2198"/>
      <c r="SBL74" s="2198"/>
      <c r="SBM74" s="2198"/>
      <c r="SBN74" s="2198"/>
      <c r="SBO74" s="2198"/>
      <c r="SBP74" s="2198"/>
      <c r="SBQ74" s="2198"/>
      <c r="SBR74" s="2198"/>
      <c r="SBS74" s="2198"/>
      <c r="SBT74" s="2198"/>
      <c r="SBU74" s="2198"/>
      <c r="SBV74" s="2198"/>
      <c r="SBW74" s="2198"/>
      <c r="SBX74" s="2198"/>
      <c r="SBY74" s="2198"/>
      <c r="SBZ74" s="2198"/>
      <c r="SCA74" s="2198"/>
      <c r="SCB74" s="2198"/>
      <c r="SCC74" s="2198"/>
      <c r="SCD74" s="2198"/>
      <c r="SCE74" s="2198"/>
      <c r="SCF74" s="2198"/>
      <c r="SCG74" s="2198"/>
      <c r="SCH74" s="2198"/>
      <c r="SCI74" s="2198"/>
      <c r="SCJ74" s="2198"/>
      <c r="SCK74" s="2198"/>
      <c r="SCL74" s="2198"/>
      <c r="SCM74" s="2198"/>
      <c r="SCN74" s="2198"/>
      <c r="SCO74" s="2198"/>
      <c r="SCP74" s="2198"/>
      <c r="SCQ74" s="2198"/>
      <c r="SCR74" s="2198"/>
      <c r="SCS74" s="2198"/>
      <c r="SCT74" s="2198"/>
      <c r="SCU74" s="2198"/>
      <c r="SCV74" s="2198"/>
      <c r="SCW74" s="2198"/>
      <c r="SCX74" s="2198"/>
      <c r="SCY74" s="2198"/>
      <c r="SCZ74" s="2198"/>
      <c r="SDA74" s="2198"/>
      <c r="SDB74" s="2198"/>
      <c r="SDC74" s="2198"/>
      <c r="SDD74" s="2198"/>
      <c r="SDE74" s="2198"/>
      <c r="SDF74" s="2198"/>
      <c r="SDG74" s="2198"/>
      <c r="SDH74" s="2198"/>
      <c r="SDI74" s="2198"/>
      <c r="SDJ74" s="2198"/>
      <c r="SDK74" s="2198"/>
      <c r="SDL74" s="2198"/>
      <c r="SDM74" s="2198"/>
      <c r="SDN74" s="2198"/>
      <c r="SDO74" s="2198"/>
      <c r="SDP74" s="2198"/>
      <c r="SDQ74" s="2198"/>
      <c r="SDR74" s="2198"/>
      <c r="SDS74" s="2198"/>
      <c r="SDT74" s="2198"/>
      <c r="SDU74" s="2198"/>
      <c r="SDV74" s="2198"/>
      <c r="SDW74" s="2198"/>
      <c r="SDX74" s="2198"/>
      <c r="SDY74" s="2198"/>
      <c r="SDZ74" s="2198"/>
      <c r="SEA74" s="2198"/>
      <c r="SEB74" s="2198"/>
      <c r="SEC74" s="2198"/>
      <c r="SED74" s="2198"/>
      <c r="SEE74" s="2198"/>
      <c r="SEF74" s="2198"/>
      <c r="SEG74" s="2198"/>
      <c r="SEH74" s="2198"/>
      <c r="SEI74" s="2198"/>
      <c r="SEJ74" s="2198"/>
      <c r="SEK74" s="2198"/>
      <c r="SEL74" s="2198"/>
      <c r="SEM74" s="2198"/>
      <c r="SEN74" s="2198"/>
      <c r="SEO74" s="2198"/>
      <c r="SEP74" s="2198"/>
      <c r="SEQ74" s="2198"/>
      <c r="SER74" s="2198"/>
      <c r="SES74" s="2198"/>
      <c r="SET74" s="2198"/>
      <c r="SEU74" s="2198"/>
      <c r="SEV74" s="2198"/>
      <c r="SEW74" s="2198"/>
      <c r="SEX74" s="2198"/>
      <c r="SEY74" s="2198"/>
      <c r="SEZ74" s="2198"/>
      <c r="SFA74" s="2198"/>
      <c r="SFB74" s="2198"/>
      <c r="SFC74" s="2198"/>
      <c r="SFD74" s="2198"/>
      <c r="SFE74" s="2198"/>
      <c r="SFF74" s="2198"/>
      <c r="SFG74" s="2198"/>
      <c r="SFH74" s="2198"/>
      <c r="SFI74" s="2198"/>
      <c r="SFJ74" s="2198"/>
      <c r="SFK74" s="2198"/>
      <c r="SFL74" s="2198"/>
      <c r="SFM74" s="2198"/>
      <c r="SFN74" s="2198"/>
      <c r="SFO74" s="2198"/>
      <c r="SFP74" s="2198"/>
      <c r="SFQ74" s="2198"/>
      <c r="SFR74" s="2198"/>
      <c r="SFS74" s="2198"/>
      <c r="SFT74" s="2198"/>
      <c r="SFU74" s="2198"/>
      <c r="SFV74" s="2198"/>
      <c r="SFW74" s="2198"/>
      <c r="SFX74" s="2198"/>
      <c r="SFY74" s="2198"/>
      <c r="SFZ74" s="2198"/>
      <c r="SGA74" s="2198"/>
      <c r="SGB74" s="2198"/>
      <c r="SGC74" s="2198"/>
      <c r="SGD74" s="2198"/>
      <c r="SGE74" s="2198"/>
      <c r="SGF74" s="2198"/>
      <c r="SGG74" s="2198"/>
      <c r="SGH74" s="2198"/>
      <c r="SGI74" s="2198"/>
      <c r="SGJ74" s="2198"/>
      <c r="SGK74" s="2198"/>
      <c r="SGL74" s="2198"/>
      <c r="SGM74" s="2198"/>
      <c r="SGN74" s="2198"/>
      <c r="SGO74" s="2198"/>
      <c r="SGP74" s="2198"/>
      <c r="SGQ74" s="2198"/>
      <c r="SGR74" s="2198"/>
      <c r="SGS74" s="2198"/>
      <c r="SGT74" s="2198"/>
      <c r="SGU74" s="2198"/>
      <c r="SGV74" s="2198"/>
      <c r="SGW74" s="2198"/>
      <c r="SGX74" s="2198"/>
      <c r="SGY74" s="2198"/>
      <c r="SGZ74" s="2198"/>
      <c r="SHA74" s="2198"/>
      <c r="SHB74" s="2198"/>
      <c r="SHC74" s="2198"/>
      <c r="SHD74" s="2198"/>
      <c r="SHE74" s="2198"/>
      <c r="SHF74" s="2198"/>
      <c r="SHG74" s="2198"/>
      <c r="SHH74" s="2198"/>
      <c r="SHI74" s="2198"/>
      <c r="SHJ74" s="2198"/>
      <c r="SHK74" s="2198"/>
      <c r="SHL74" s="2198"/>
      <c r="SHM74" s="2198"/>
      <c r="SHN74" s="2198"/>
      <c r="SHO74" s="2198"/>
      <c r="SHP74" s="2198"/>
      <c r="SHQ74" s="2198"/>
      <c r="SHR74" s="2198"/>
      <c r="SHS74" s="2198"/>
      <c r="SHT74" s="2198"/>
      <c r="SHU74" s="2198"/>
      <c r="SHV74" s="2198"/>
      <c r="SHW74" s="2198"/>
      <c r="SHX74" s="2198"/>
      <c r="SHY74" s="2198"/>
      <c r="SHZ74" s="2198"/>
      <c r="SIA74" s="2198"/>
      <c r="SIB74" s="2198"/>
      <c r="SIC74" s="2198"/>
      <c r="SID74" s="2198"/>
      <c r="SIE74" s="2198"/>
      <c r="SIF74" s="2198"/>
      <c r="SIG74" s="2198"/>
      <c r="SIH74" s="2198"/>
      <c r="SII74" s="2198"/>
      <c r="SIJ74" s="2198"/>
      <c r="SIK74" s="2198"/>
      <c r="SIL74" s="2198"/>
      <c r="SIM74" s="2198"/>
      <c r="SIN74" s="2198"/>
      <c r="SIO74" s="2198"/>
      <c r="SIP74" s="2198"/>
      <c r="SIQ74" s="2198"/>
      <c r="SIR74" s="2198"/>
      <c r="SIS74" s="2198"/>
      <c r="SIT74" s="2198"/>
      <c r="SIU74" s="2198"/>
      <c r="SIV74" s="2198"/>
      <c r="SIW74" s="2198"/>
      <c r="SIX74" s="2198"/>
      <c r="SIY74" s="2198"/>
      <c r="SIZ74" s="2198"/>
      <c r="SJA74" s="2198"/>
      <c r="SJB74" s="2198"/>
      <c r="SJC74" s="2198"/>
      <c r="SJD74" s="2198"/>
      <c r="SJE74" s="2198"/>
      <c r="SJF74" s="2198"/>
      <c r="SJG74" s="2198"/>
      <c r="SJH74" s="2198"/>
      <c r="SJI74" s="2198"/>
      <c r="SJJ74" s="2198"/>
      <c r="SJK74" s="2198"/>
      <c r="SJL74" s="2198"/>
      <c r="SJM74" s="2198"/>
      <c r="SJN74" s="2198"/>
      <c r="SJO74" s="2198"/>
      <c r="SJP74" s="2198"/>
      <c r="SJQ74" s="2198"/>
      <c r="SJR74" s="2198"/>
      <c r="SJS74" s="2198"/>
      <c r="SJT74" s="2198"/>
      <c r="SJU74" s="2198"/>
      <c r="SJV74" s="2198"/>
      <c r="SJW74" s="2198"/>
      <c r="SJX74" s="2198"/>
      <c r="SJY74" s="2198"/>
      <c r="SJZ74" s="2198"/>
      <c r="SKA74" s="2198"/>
      <c r="SKB74" s="2198"/>
      <c r="SKC74" s="2198"/>
      <c r="SKD74" s="2198"/>
      <c r="SKE74" s="2198"/>
      <c r="SKF74" s="2198"/>
      <c r="SKG74" s="2198"/>
      <c r="SKH74" s="2198"/>
      <c r="SKI74" s="2198"/>
      <c r="SKJ74" s="2198"/>
      <c r="SKK74" s="2198"/>
      <c r="SKL74" s="2198"/>
      <c r="SKM74" s="2198"/>
      <c r="SKN74" s="2198"/>
      <c r="SKO74" s="2198"/>
      <c r="SKP74" s="2198"/>
      <c r="SKQ74" s="2198"/>
      <c r="SKR74" s="2198"/>
      <c r="SKS74" s="2198"/>
      <c r="SKT74" s="2198"/>
      <c r="SKU74" s="2198"/>
      <c r="SKV74" s="2198"/>
      <c r="SKW74" s="2198"/>
      <c r="SKX74" s="2198"/>
      <c r="SKY74" s="2198"/>
      <c r="SKZ74" s="2198"/>
      <c r="SLA74" s="2198"/>
      <c r="SLB74" s="2198"/>
      <c r="SLC74" s="2198"/>
      <c r="SLD74" s="2198"/>
      <c r="SLE74" s="2198"/>
      <c r="SLF74" s="2198"/>
      <c r="SLG74" s="2198"/>
      <c r="SLH74" s="2198"/>
      <c r="SLI74" s="2198"/>
      <c r="SLJ74" s="2198"/>
      <c r="SLK74" s="2198"/>
      <c r="SLL74" s="2198"/>
      <c r="SLM74" s="2198"/>
      <c r="SLN74" s="2198"/>
      <c r="SLO74" s="2198"/>
      <c r="SLP74" s="2198"/>
      <c r="SLQ74" s="2198"/>
      <c r="SLR74" s="2198"/>
      <c r="SLS74" s="2198"/>
      <c r="SLT74" s="2198"/>
      <c r="SLU74" s="2198"/>
      <c r="SLV74" s="2198"/>
      <c r="SLW74" s="2198"/>
      <c r="SLX74" s="2198"/>
      <c r="SLY74" s="2198"/>
      <c r="SLZ74" s="2198"/>
      <c r="SMA74" s="2198"/>
      <c r="SMB74" s="2198"/>
      <c r="SMC74" s="2198"/>
      <c r="SMD74" s="2198"/>
      <c r="SME74" s="2198"/>
      <c r="SMF74" s="2198"/>
      <c r="SMG74" s="2198"/>
      <c r="SMH74" s="2198"/>
      <c r="SMI74" s="2198"/>
      <c r="SMJ74" s="2198"/>
      <c r="SMK74" s="2198"/>
      <c r="SML74" s="2198"/>
      <c r="SMM74" s="2198"/>
      <c r="SMN74" s="2198"/>
      <c r="SMO74" s="2198"/>
      <c r="SMP74" s="2198"/>
      <c r="SMQ74" s="2198"/>
      <c r="SMR74" s="2198"/>
      <c r="SMS74" s="2198"/>
      <c r="SMT74" s="2198"/>
      <c r="SMU74" s="2198"/>
      <c r="SMV74" s="2198"/>
      <c r="SMW74" s="2198"/>
      <c r="SMX74" s="2198"/>
      <c r="SMY74" s="2198"/>
      <c r="SMZ74" s="2198"/>
      <c r="SNA74" s="2198"/>
      <c r="SNB74" s="2198"/>
      <c r="SNC74" s="2198"/>
      <c r="SND74" s="2198"/>
      <c r="SNE74" s="2198"/>
      <c r="SNF74" s="2198"/>
      <c r="SNG74" s="2198"/>
      <c r="SNH74" s="2198"/>
      <c r="SNI74" s="2198"/>
      <c r="SNJ74" s="2198"/>
      <c r="SNK74" s="2198"/>
      <c r="SNL74" s="2198"/>
      <c r="SNM74" s="2198"/>
      <c r="SNN74" s="2198"/>
      <c r="SNO74" s="2198"/>
      <c r="SNP74" s="2198"/>
      <c r="SNQ74" s="2198"/>
      <c r="SNR74" s="2198"/>
      <c r="SNS74" s="2198"/>
      <c r="SNT74" s="2198"/>
      <c r="SNU74" s="2198"/>
      <c r="SNV74" s="2198"/>
      <c r="SNW74" s="2198"/>
      <c r="SNX74" s="2198"/>
      <c r="SNY74" s="2198"/>
      <c r="SNZ74" s="2198"/>
      <c r="SOA74" s="2198"/>
      <c r="SOB74" s="2198"/>
      <c r="SOC74" s="2198"/>
      <c r="SOD74" s="2198"/>
      <c r="SOE74" s="2198"/>
      <c r="SOF74" s="2198"/>
      <c r="SOG74" s="2198"/>
      <c r="SOH74" s="2198"/>
      <c r="SOI74" s="2198"/>
      <c r="SOJ74" s="2198"/>
      <c r="SOK74" s="2198"/>
      <c r="SOL74" s="2198"/>
      <c r="SOM74" s="2198"/>
      <c r="SON74" s="2198"/>
      <c r="SOO74" s="2198"/>
      <c r="SOP74" s="2198"/>
      <c r="SOQ74" s="2198"/>
      <c r="SOR74" s="2198"/>
      <c r="SOS74" s="2198"/>
      <c r="SOT74" s="2198"/>
      <c r="SOU74" s="2198"/>
      <c r="SOV74" s="2198"/>
      <c r="SOW74" s="2198"/>
      <c r="SOX74" s="2198"/>
      <c r="SOY74" s="2198"/>
      <c r="SOZ74" s="2198"/>
      <c r="SPA74" s="2198"/>
      <c r="SPB74" s="2198"/>
      <c r="SPC74" s="2198"/>
      <c r="SPD74" s="2198"/>
      <c r="SPE74" s="2198"/>
      <c r="SPF74" s="2198"/>
      <c r="SPG74" s="2198"/>
      <c r="SPH74" s="2198"/>
      <c r="SPI74" s="2198"/>
      <c r="SPJ74" s="2198"/>
      <c r="SPK74" s="2198"/>
      <c r="SPL74" s="2198"/>
      <c r="SPM74" s="2198"/>
      <c r="SPN74" s="2198"/>
      <c r="SPO74" s="2198"/>
      <c r="SPP74" s="2198"/>
      <c r="SPQ74" s="2198"/>
      <c r="SPR74" s="2198"/>
      <c r="SPS74" s="2198"/>
      <c r="SPT74" s="2198"/>
      <c r="SPU74" s="2198"/>
      <c r="SPV74" s="2198"/>
      <c r="SPW74" s="2198"/>
      <c r="SPX74" s="2198"/>
      <c r="SPY74" s="2198"/>
      <c r="SPZ74" s="2198"/>
      <c r="SQA74" s="2198"/>
      <c r="SQB74" s="2198"/>
      <c r="SQC74" s="2198"/>
      <c r="SQD74" s="2198"/>
      <c r="SQE74" s="2198"/>
      <c r="SQF74" s="2198"/>
      <c r="SQG74" s="2198"/>
      <c r="SQH74" s="2198"/>
      <c r="SQI74" s="2198"/>
      <c r="SQJ74" s="2198"/>
      <c r="SQK74" s="2198"/>
      <c r="SQL74" s="2198"/>
      <c r="SQM74" s="2198"/>
      <c r="SQN74" s="2198"/>
      <c r="SQO74" s="2198"/>
      <c r="SQP74" s="2198"/>
      <c r="SQQ74" s="2198"/>
      <c r="SQR74" s="2198"/>
      <c r="SQS74" s="2198"/>
      <c r="SQT74" s="2198"/>
      <c r="SQU74" s="2198"/>
      <c r="SQV74" s="2198"/>
      <c r="SQW74" s="2198"/>
      <c r="SQX74" s="2198"/>
      <c r="SQY74" s="2198"/>
      <c r="SQZ74" s="2198"/>
      <c r="SRA74" s="2198"/>
      <c r="SRB74" s="2198"/>
      <c r="SRC74" s="2198"/>
      <c r="SRD74" s="2198"/>
      <c r="SRE74" s="2198"/>
      <c r="SRF74" s="2198"/>
      <c r="SRG74" s="2198"/>
      <c r="SRH74" s="2198"/>
      <c r="SRI74" s="2198"/>
      <c r="SRJ74" s="2198"/>
      <c r="SRK74" s="2198"/>
      <c r="SRL74" s="2198"/>
      <c r="SRM74" s="2198"/>
      <c r="SRN74" s="2198"/>
      <c r="SRO74" s="2198"/>
      <c r="SRP74" s="2198"/>
      <c r="SRQ74" s="2198"/>
      <c r="SRR74" s="2198"/>
      <c r="SRS74" s="2198"/>
      <c r="SRT74" s="2198"/>
      <c r="SRU74" s="2198"/>
      <c r="SRV74" s="2198"/>
      <c r="SRW74" s="2198"/>
      <c r="SRX74" s="2198"/>
      <c r="SRY74" s="2198"/>
      <c r="SRZ74" s="2198"/>
      <c r="SSA74" s="2198"/>
      <c r="SSB74" s="2198"/>
      <c r="SSC74" s="2198"/>
      <c r="SSD74" s="2198"/>
      <c r="SSE74" s="2198"/>
      <c r="SSF74" s="2198"/>
      <c r="SSG74" s="2198"/>
      <c r="SSH74" s="2198"/>
      <c r="SSI74" s="2198"/>
      <c r="SSJ74" s="2198"/>
      <c r="SSK74" s="2198"/>
      <c r="SSL74" s="2198"/>
      <c r="SSM74" s="2198"/>
      <c r="SSN74" s="2198"/>
      <c r="SSO74" s="2198"/>
      <c r="SSP74" s="2198"/>
      <c r="SSQ74" s="2198"/>
      <c r="SSR74" s="2198"/>
      <c r="SSS74" s="2198"/>
      <c r="SST74" s="2198"/>
      <c r="SSU74" s="2198"/>
      <c r="SSV74" s="2198"/>
      <c r="SSW74" s="2198"/>
      <c r="SSX74" s="2198"/>
      <c r="SSY74" s="2198"/>
      <c r="SSZ74" s="2198"/>
      <c r="STA74" s="2198"/>
      <c r="STB74" s="2198"/>
      <c r="STC74" s="2198"/>
      <c r="STD74" s="2198"/>
      <c r="STE74" s="2198"/>
      <c r="STF74" s="2198"/>
      <c r="STG74" s="2198"/>
      <c r="STH74" s="2198"/>
      <c r="STI74" s="2198"/>
      <c r="STJ74" s="2198"/>
      <c r="STK74" s="2198"/>
      <c r="STL74" s="2198"/>
      <c r="STM74" s="2198"/>
      <c r="STN74" s="2198"/>
      <c r="STO74" s="2198"/>
      <c r="STP74" s="2198"/>
      <c r="STQ74" s="2198"/>
      <c r="STR74" s="2198"/>
      <c r="STS74" s="2198"/>
      <c r="STT74" s="2198"/>
      <c r="STU74" s="2198"/>
      <c r="STV74" s="2198"/>
      <c r="STW74" s="2198"/>
      <c r="STX74" s="2198"/>
      <c r="STY74" s="2198"/>
      <c r="STZ74" s="2198"/>
      <c r="SUA74" s="2198"/>
      <c r="SUB74" s="2198"/>
      <c r="SUC74" s="2198"/>
      <c r="SUD74" s="2198"/>
      <c r="SUE74" s="2198"/>
      <c r="SUF74" s="2198"/>
      <c r="SUG74" s="2198"/>
      <c r="SUH74" s="2198"/>
      <c r="SUI74" s="2198"/>
      <c r="SUJ74" s="2198"/>
      <c r="SUK74" s="2198"/>
      <c r="SUL74" s="2198"/>
      <c r="SUM74" s="2198"/>
      <c r="SUN74" s="2198"/>
      <c r="SUO74" s="2198"/>
      <c r="SUP74" s="2198"/>
      <c r="SUQ74" s="2198"/>
      <c r="SUR74" s="2198"/>
      <c r="SUS74" s="2198"/>
      <c r="SUT74" s="2198"/>
      <c r="SUU74" s="2198"/>
      <c r="SUV74" s="2198"/>
      <c r="SUW74" s="2198"/>
      <c r="SUX74" s="2198"/>
      <c r="SUY74" s="2198"/>
      <c r="SUZ74" s="2198"/>
      <c r="SVA74" s="2198"/>
      <c r="SVB74" s="2198"/>
      <c r="SVC74" s="2198"/>
      <c r="SVD74" s="2198"/>
      <c r="SVE74" s="2198"/>
      <c r="SVF74" s="2198"/>
      <c r="SVG74" s="2198"/>
      <c r="SVH74" s="2198"/>
      <c r="SVI74" s="2198"/>
      <c r="SVJ74" s="2198"/>
      <c r="SVK74" s="2198"/>
      <c r="SVL74" s="2198"/>
      <c r="SVM74" s="2198"/>
      <c r="SVN74" s="2198"/>
      <c r="SVO74" s="2198"/>
      <c r="SVP74" s="2198"/>
      <c r="SVQ74" s="2198"/>
      <c r="SVR74" s="2198"/>
      <c r="SVS74" s="2198"/>
      <c r="SVT74" s="2198"/>
      <c r="SVU74" s="2198"/>
      <c r="SVV74" s="2198"/>
      <c r="SVW74" s="2198"/>
      <c r="SVX74" s="2198"/>
      <c r="SVY74" s="2198"/>
      <c r="SVZ74" s="2198"/>
      <c r="SWA74" s="2198"/>
      <c r="SWB74" s="2198"/>
      <c r="SWC74" s="2198"/>
      <c r="SWD74" s="2198"/>
      <c r="SWE74" s="2198"/>
      <c r="SWF74" s="2198"/>
      <c r="SWG74" s="2198"/>
      <c r="SWH74" s="2198"/>
      <c r="SWI74" s="2198"/>
      <c r="SWJ74" s="2198"/>
      <c r="SWK74" s="2198"/>
      <c r="SWL74" s="2198"/>
      <c r="SWM74" s="2198"/>
      <c r="SWN74" s="2198"/>
      <c r="SWO74" s="2198"/>
      <c r="SWP74" s="2198"/>
      <c r="SWQ74" s="2198"/>
      <c r="SWR74" s="2198"/>
      <c r="SWS74" s="2198"/>
      <c r="SWT74" s="2198"/>
      <c r="SWU74" s="2198"/>
      <c r="SWV74" s="2198"/>
      <c r="SWW74" s="2198"/>
      <c r="SWX74" s="2198"/>
      <c r="SWY74" s="2198"/>
      <c r="SWZ74" s="2198"/>
      <c r="SXA74" s="2198"/>
      <c r="SXB74" s="2198"/>
      <c r="SXC74" s="2198"/>
      <c r="SXD74" s="2198"/>
      <c r="SXE74" s="2198"/>
      <c r="SXF74" s="2198"/>
      <c r="SXG74" s="2198"/>
      <c r="SXH74" s="2198"/>
      <c r="SXI74" s="2198"/>
      <c r="SXJ74" s="2198"/>
      <c r="SXK74" s="2198"/>
      <c r="SXL74" s="2198"/>
      <c r="SXM74" s="2198"/>
      <c r="SXN74" s="2198"/>
      <c r="SXO74" s="2198"/>
      <c r="SXP74" s="2198"/>
      <c r="SXQ74" s="2198"/>
      <c r="SXR74" s="2198"/>
      <c r="SXS74" s="2198"/>
      <c r="SXT74" s="2198"/>
      <c r="SXU74" s="2198"/>
      <c r="SXV74" s="2198"/>
      <c r="SXW74" s="2198"/>
      <c r="SXX74" s="2198"/>
      <c r="SXY74" s="2198"/>
      <c r="SXZ74" s="2198"/>
      <c r="SYA74" s="2198"/>
      <c r="SYB74" s="2198"/>
      <c r="SYC74" s="2198"/>
      <c r="SYD74" s="2198"/>
      <c r="SYE74" s="2198"/>
      <c r="SYF74" s="2198"/>
      <c r="SYG74" s="2198"/>
      <c r="SYH74" s="2198"/>
      <c r="SYI74" s="2198"/>
      <c r="SYJ74" s="2198"/>
      <c r="SYK74" s="2198"/>
      <c r="SYL74" s="2198"/>
      <c r="SYM74" s="2198"/>
      <c r="SYN74" s="2198"/>
      <c r="SYO74" s="2198"/>
      <c r="SYP74" s="2198"/>
      <c r="SYQ74" s="2198"/>
      <c r="SYR74" s="2198"/>
      <c r="SYS74" s="2198"/>
      <c r="SYT74" s="2198"/>
      <c r="SYU74" s="2198"/>
      <c r="SYV74" s="2198"/>
      <c r="SYW74" s="2198"/>
      <c r="SYX74" s="2198"/>
      <c r="SYY74" s="2198"/>
      <c r="SYZ74" s="2198"/>
      <c r="SZA74" s="2198"/>
      <c r="SZB74" s="2198"/>
      <c r="SZC74" s="2198"/>
      <c r="SZD74" s="2198"/>
      <c r="SZE74" s="2198"/>
      <c r="SZF74" s="2198"/>
      <c r="SZG74" s="2198"/>
      <c r="SZH74" s="2198"/>
      <c r="SZI74" s="2198"/>
      <c r="SZJ74" s="2198"/>
      <c r="SZK74" s="2198"/>
      <c r="SZL74" s="2198"/>
      <c r="SZM74" s="2198"/>
      <c r="SZN74" s="2198"/>
      <c r="SZO74" s="2198"/>
      <c r="SZP74" s="2198"/>
      <c r="SZQ74" s="2198"/>
      <c r="SZR74" s="2198"/>
      <c r="SZS74" s="2198"/>
      <c r="SZT74" s="2198"/>
      <c r="SZU74" s="2198"/>
      <c r="SZV74" s="2198"/>
      <c r="SZW74" s="2198"/>
      <c r="SZX74" s="2198"/>
      <c r="SZY74" s="2198"/>
      <c r="SZZ74" s="2198"/>
      <c r="TAA74" s="2198"/>
      <c r="TAB74" s="2198"/>
      <c r="TAC74" s="2198"/>
      <c r="TAD74" s="2198"/>
      <c r="TAE74" s="2198"/>
      <c r="TAF74" s="2198"/>
      <c r="TAG74" s="2198"/>
      <c r="TAH74" s="2198"/>
      <c r="TAI74" s="2198"/>
      <c r="TAJ74" s="2198"/>
      <c r="TAK74" s="2198"/>
      <c r="TAL74" s="2198"/>
      <c r="TAM74" s="2198"/>
      <c r="TAN74" s="2198"/>
      <c r="TAO74" s="2198"/>
      <c r="TAP74" s="2198"/>
      <c r="TAQ74" s="2198"/>
      <c r="TAR74" s="2198"/>
      <c r="TAS74" s="2198"/>
      <c r="TAT74" s="2198"/>
      <c r="TAU74" s="2198"/>
      <c r="TAV74" s="2198"/>
      <c r="TAW74" s="2198"/>
      <c r="TAX74" s="2198"/>
      <c r="TAY74" s="2198"/>
      <c r="TAZ74" s="2198"/>
      <c r="TBA74" s="2198"/>
      <c r="TBB74" s="2198"/>
      <c r="TBC74" s="2198"/>
      <c r="TBD74" s="2198"/>
      <c r="TBE74" s="2198"/>
      <c r="TBF74" s="2198"/>
      <c r="TBG74" s="2198"/>
      <c r="TBH74" s="2198"/>
      <c r="TBI74" s="2198"/>
      <c r="TBJ74" s="2198"/>
      <c r="TBK74" s="2198"/>
      <c r="TBL74" s="2198"/>
      <c r="TBM74" s="2198"/>
      <c r="TBN74" s="2198"/>
      <c r="TBO74" s="2198"/>
      <c r="TBP74" s="2198"/>
      <c r="TBQ74" s="2198"/>
      <c r="TBR74" s="2198"/>
      <c r="TBS74" s="2198"/>
      <c r="TBT74" s="2198"/>
      <c r="TBU74" s="2198"/>
      <c r="TBV74" s="2198"/>
      <c r="TBW74" s="2198"/>
      <c r="TBX74" s="2198"/>
      <c r="TBY74" s="2198"/>
      <c r="TBZ74" s="2198"/>
      <c r="TCA74" s="2198"/>
      <c r="TCB74" s="2198"/>
      <c r="TCC74" s="2198"/>
      <c r="TCD74" s="2198"/>
      <c r="TCE74" s="2198"/>
      <c r="TCF74" s="2198"/>
      <c r="TCG74" s="2198"/>
      <c r="TCH74" s="2198"/>
      <c r="TCI74" s="2198"/>
      <c r="TCJ74" s="2198"/>
      <c r="TCK74" s="2198"/>
      <c r="TCL74" s="2198"/>
      <c r="TCM74" s="2198"/>
      <c r="TCN74" s="2198"/>
      <c r="TCO74" s="2198"/>
      <c r="TCP74" s="2198"/>
      <c r="TCQ74" s="2198"/>
      <c r="TCR74" s="2198"/>
      <c r="TCS74" s="2198"/>
      <c r="TCT74" s="2198"/>
      <c r="TCU74" s="2198"/>
      <c r="TCV74" s="2198"/>
      <c r="TCW74" s="2198"/>
      <c r="TCX74" s="2198"/>
      <c r="TCY74" s="2198"/>
      <c r="TCZ74" s="2198"/>
      <c r="TDA74" s="2198"/>
      <c r="TDB74" s="2198"/>
      <c r="TDC74" s="2198"/>
      <c r="TDD74" s="2198"/>
      <c r="TDE74" s="2198"/>
      <c r="TDF74" s="2198"/>
      <c r="TDG74" s="2198"/>
      <c r="TDH74" s="2198"/>
      <c r="TDI74" s="2198"/>
      <c r="TDJ74" s="2198"/>
      <c r="TDK74" s="2198"/>
      <c r="TDL74" s="2198"/>
      <c r="TDM74" s="2198"/>
      <c r="TDN74" s="2198"/>
      <c r="TDO74" s="2198"/>
      <c r="TDP74" s="2198"/>
      <c r="TDQ74" s="2198"/>
      <c r="TDR74" s="2198"/>
      <c r="TDS74" s="2198"/>
      <c r="TDT74" s="2198"/>
      <c r="TDU74" s="2198"/>
      <c r="TDV74" s="2198"/>
      <c r="TDW74" s="2198"/>
      <c r="TDX74" s="2198"/>
      <c r="TDY74" s="2198"/>
      <c r="TDZ74" s="2198"/>
      <c r="TEA74" s="2198"/>
      <c r="TEB74" s="2198"/>
      <c r="TEC74" s="2198"/>
      <c r="TED74" s="2198"/>
      <c r="TEE74" s="2198"/>
      <c r="TEF74" s="2198"/>
      <c r="TEG74" s="2198"/>
      <c r="TEH74" s="2198"/>
      <c r="TEI74" s="2198"/>
      <c r="TEJ74" s="2198"/>
      <c r="TEK74" s="2198"/>
      <c r="TEL74" s="2198"/>
      <c r="TEM74" s="2198"/>
      <c r="TEN74" s="2198"/>
      <c r="TEO74" s="2198"/>
      <c r="TEP74" s="2198"/>
      <c r="TEQ74" s="2198"/>
      <c r="TER74" s="2198"/>
      <c r="TES74" s="2198"/>
      <c r="TET74" s="2198"/>
      <c r="TEU74" s="2198"/>
      <c r="TEV74" s="2198"/>
      <c r="TEW74" s="2198"/>
      <c r="TEX74" s="2198"/>
      <c r="TEY74" s="2198"/>
      <c r="TEZ74" s="2198"/>
      <c r="TFA74" s="2198"/>
      <c r="TFB74" s="2198"/>
      <c r="TFC74" s="2198"/>
      <c r="TFD74" s="2198"/>
      <c r="TFE74" s="2198"/>
      <c r="TFF74" s="2198"/>
      <c r="TFG74" s="2198"/>
      <c r="TFH74" s="2198"/>
      <c r="TFI74" s="2198"/>
      <c r="TFJ74" s="2198"/>
      <c r="TFK74" s="2198"/>
      <c r="TFL74" s="2198"/>
      <c r="TFM74" s="2198"/>
      <c r="TFN74" s="2198"/>
      <c r="TFO74" s="2198"/>
      <c r="TFP74" s="2198"/>
      <c r="TFQ74" s="2198"/>
      <c r="TFR74" s="2198"/>
      <c r="TFS74" s="2198"/>
      <c r="TFT74" s="2198"/>
      <c r="TFU74" s="2198"/>
      <c r="TFV74" s="2198"/>
      <c r="TFW74" s="2198"/>
      <c r="TFX74" s="2198"/>
      <c r="TFY74" s="2198"/>
      <c r="TFZ74" s="2198"/>
      <c r="TGA74" s="2198"/>
      <c r="TGB74" s="2198"/>
      <c r="TGC74" s="2198"/>
      <c r="TGD74" s="2198"/>
      <c r="TGE74" s="2198"/>
      <c r="TGF74" s="2198"/>
      <c r="TGG74" s="2198"/>
      <c r="TGH74" s="2198"/>
      <c r="TGI74" s="2198"/>
      <c r="TGJ74" s="2198"/>
      <c r="TGK74" s="2198"/>
      <c r="TGL74" s="2198"/>
      <c r="TGM74" s="2198"/>
      <c r="TGN74" s="2198"/>
      <c r="TGO74" s="2198"/>
      <c r="TGP74" s="2198"/>
      <c r="TGQ74" s="2198"/>
      <c r="TGR74" s="2198"/>
      <c r="TGS74" s="2198"/>
      <c r="TGT74" s="2198"/>
      <c r="TGU74" s="2198"/>
      <c r="TGV74" s="2198"/>
      <c r="TGW74" s="2198"/>
      <c r="TGX74" s="2198"/>
      <c r="TGY74" s="2198"/>
      <c r="TGZ74" s="2198"/>
      <c r="THA74" s="2198"/>
      <c r="THB74" s="2198"/>
      <c r="THC74" s="2198"/>
      <c r="THD74" s="2198"/>
      <c r="THE74" s="2198"/>
      <c r="THF74" s="2198"/>
      <c r="THG74" s="2198"/>
      <c r="THH74" s="2198"/>
      <c r="THI74" s="2198"/>
      <c r="THJ74" s="2198"/>
      <c r="THK74" s="2198"/>
      <c r="THL74" s="2198"/>
      <c r="THM74" s="2198"/>
      <c r="THN74" s="2198"/>
      <c r="THO74" s="2198"/>
      <c r="THP74" s="2198"/>
      <c r="THQ74" s="2198"/>
      <c r="THR74" s="2198"/>
      <c r="THS74" s="2198"/>
      <c r="THT74" s="2198"/>
      <c r="THU74" s="2198"/>
      <c r="THV74" s="2198"/>
      <c r="THW74" s="2198"/>
      <c r="THX74" s="2198"/>
      <c r="THY74" s="2198"/>
      <c r="THZ74" s="2198"/>
      <c r="TIA74" s="2198"/>
      <c r="TIB74" s="2198"/>
      <c r="TIC74" s="2198"/>
      <c r="TID74" s="2198"/>
      <c r="TIE74" s="2198"/>
      <c r="TIF74" s="2198"/>
      <c r="TIG74" s="2198"/>
      <c r="TIH74" s="2198"/>
      <c r="TII74" s="2198"/>
      <c r="TIJ74" s="2198"/>
      <c r="TIK74" s="2198"/>
      <c r="TIL74" s="2198"/>
      <c r="TIM74" s="2198"/>
      <c r="TIN74" s="2198"/>
      <c r="TIO74" s="2198"/>
      <c r="TIP74" s="2198"/>
      <c r="TIQ74" s="2198"/>
      <c r="TIR74" s="2198"/>
      <c r="TIS74" s="2198"/>
      <c r="TIT74" s="2198"/>
      <c r="TIU74" s="2198"/>
      <c r="TIV74" s="2198"/>
      <c r="TIW74" s="2198"/>
      <c r="TIX74" s="2198"/>
      <c r="TIY74" s="2198"/>
      <c r="TIZ74" s="2198"/>
      <c r="TJA74" s="2198"/>
      <c r="TJB74" s="2198"/>
      <c r="TJC74" s="2198"/>
      <c r="TJD74" s="2198"/>
      <c r="TJE74" s="2198"/>
      <c r="TJF74" s="2198"/>
      <c r="TJG74" s="2198"/>
      <c r="TJH74" s="2198"/>
      <c r="TJI74" s="2198"/>
      <c r="TJJ74" s="2198"/>
      <c r="TJK74" s="2198"/>
      <c r="TJL74" s="2198"/>
      <c r="TJM74" s="2198"/>
      <c r="TJN74" s="2198"/>
      <c r="TJO74" s="2198"/>
      <c r="TJP74" s="2198"/>
      <c r="TJQ74" s="2198"/>
      <c r="TJR74" s="2198"/>
      <c r="TJS74" s="2198"/>
      <c r="TJT74" s="2198"/>
      <c r="TJU74" s="2198"/>
      <c r="TJV74" s="2198"/>
      <c r="TJW74" s="2198"/>
      <c r="TJX74" s="2198"/>
      <c r="TJY74" s="2198"/>
      <c r="TJZ74" s="2198"/>
      <c r="TKA74" s="2198"/>
      <c r="TKB74" s="2198"/>
      <c r="TKC74" s="2198"/>
      <c r="TKD74" s="2198"/>
      <c r="TKE74" s="2198"/>
      <c r="TKF74" s="2198"/>
      <c r="TKG74" s="2198"/>
      <c r="TKH74" s="2198"/>
      <c r="TKI74" s="2198"/>
      <c r="TKJ74" s="2198"/>
      <c r="TKK74" s="2198"/>
      <c r="TKL74" s="2198"/>
      <c r="TKM74" s="2198"/>
      <c r="TKN74" s="2198"/>
      <c r="TKO74" s="2198"/>
      <c r="TKP74" s="2198"/>
      <c r="TKQ74" s="2198"/>
      <c r="TKR74" s="2198"/>
      <c r="TKS74" s="2198"/>
      <c r="TKT74" s="2198"/>
      <c r="TKU74" s="2198"/>
      <c r="TKV74" s="2198"/>
      <c r="TKW74" s="2198"/>
      <c r="TKX74" s="2198"/>
      <c r="TKY74" s="2198"/>
      <c r="TKZ74" s="2198"/>
      <c r="TLA74" s="2198"/>
      <c r="TLB74" s="2198"/>
      <c r="TLC74" s="2198"/>
      <c r="TLD74" s="2198"/>
      <c r="TLE74" s="2198"/>
      <c r="TLF74" s="2198"/>
      <c r="TLG74" s="2198"/>
      <c r="TLH74" s="2198"/>
      <c r="TLI74" s="2198"/>
      <c r="TLJ74" s="2198"/>
      <c r="TLK74" s="2198"/>
      <c r="TLL74" s="2198"/>
      <c r="TLM74" s="2198"/>
      <c r="TLN74" s="2198"/>
      <c r="TLO74" s="2198"/>
      <c r="TLP74" s="2198"/>
      <c r="TLQ74" s="2198"/>
      <c r="TLR74" s="2198"/>
      <c r="TLS74" s="2198"/>
      <c r="TLT74" s="2198"/>
      <c r="TLU74" s="2198"/>
      <c r="TLV74" s="2198"/>
      <c r="TLW74" s="2198"/>
      <c r="TLX74" s="2198"/>
      <c r="TLY74" s="2198"/>
      <c r="TLZ74" s="2198"/>
      <c r="TMA74" s="2198"/>
      <c r="TMB74" s="2198"/>
      <c r="TMC74" s="2198"/>
      <c r="TMD74" s="2198"/>
      <c r="TME74" s="2198"/>
      <c r="TMF74" s="2198"/>
      <c r="TMG74" s="2198"/>
      <c r="TMH74" s="2198"/>
      <c r="TMI74" s="2198"/>
      <c r="TMJ74" s="2198"/>
      <c r="TMK74" s="2198"/>
      <c r="TML74" s="2198"/>
      <c r="TMM74" s="2198"/>
      <c r="TMN74" s="2198"/>
      <c r="TMO74" s="2198"/>
      <c r="TMP74" s="2198"/>
      <c r="TMQ74" s="2198"/>
      <c r="TMR74" s="2198"/>
      <c r="TMS74" s="2198"/>
      <c r="TMT74" s="2198"/>
      <c r="TMU74" s="2198"/>
      <c r="TMV74" s="2198"/>
      <c r="TMW74" s="2198"/>
      <c r="TMX74" s="2198"/>
      <c r="TMY74" s="2198"/>
      <c r="TMZ74" s="2198"/>
      <c r="TNA74" s="2198"/>
      <c r="TNB74" s="2198"/>
      <c r="TNC74" s="2198"/>
      <c r="TND74" s="2198"/>
      <c r="TNE74" s="2198"/>
      <c r="TNF74" s="2198"/>
      <c r="TNG74" s="2198"/>
      <c r="TNH74" s="2198"/>
      <c r="TNI74" s="2198"/>
      <c r="TNJ74" s="2198"/>
      <c r="TNK74" s="2198"/>
      <c r="TNL74" s="2198"/>
      <c r="TNM74" s="2198"/>
      <c r="TNN74" s="2198"/>
      <c r="TNO74" s="2198"/>
      <c r="TNP74" s="2198"/>
      <c r="TNQ74" s="2198"/>
      <c r="TNR74" s="2198"/>
      <c r="TNS74" s="2198"/>
      <c r="TNT74" s="2198"/>
      <c r="TNU74" s="2198"/>
      <c r="TNV74" s="2198"/>
      <c r="TNW74" s="2198"/>
      <c r="TNX74" s="2198"/>
      <c r="TNY74" s="2198"/>
      <c r="TNZ74" s="2198"/>
      <c r="TOA74" s="2198"/>
      <c r="TOB74" s="2198"/>
      <c r="TOC74" s="2198"/>
      <c r="TOD74" s="2198"/>
      <c r="TOE74" s="2198"/>
      <c r="TOF74" s="2198"/>
      <c r="TOG74" s="2198"/>
      <c r="TOH74" s="2198"/>
      <c r="TOI74" s="2198"/>
      <c r="TOJ74" s="2198"/>
      <c r="TOK74" s="2198"/>
      <c r="TOL74" s="2198"/>
      <c r="TOM74" s="2198"/>
      <c r="TON74" s="2198"/>
      <c r="TOO74" s="2198"/>
      <c r="TOP74" s="2198"/>
      <c r="TOQ74" s="2198"/>
      <c r="TOR74" s="2198"/>
      <c r="TOS74" s="2198"/>
      <c r="TOT74" s="2198"/>
      <c r="TOU74" s="2198"/>
      <c r="TOV74" s="2198"/>
      <c r="TOW74" s="2198"/>
      <c r="TOX74" s="2198"/>
      <c r="TOY74" s="2198"/>
      <c r="TOZ74" s="2198"/>
      <c r="TPA74" s="2198"/>
      <c r="TPB74" s="2198"/>
      <c r="TPC74" s="2198"/>
      <c r="TPD74" s="2198"/>
      <c r="TPE74" s="2198"/>
      <c r="TPF74" s="2198"/>
      <c r="TPG74" s="2198"/>
      <c r="TPH74" s="2198"/>
      <c r="TPI74" s="2198"/>
      <c r="TPJ74" s="2198"/>
      <c r="TPK74" s="2198"/>
      <c r="TPL74" s="2198"/>
      <c r="TPM74" s="2198"/>
      <c r="TPN74" s="2198"/>
      <c r="TPO74" s="2198"/>
      <c r="TPP74" s="2198"/>
      <c r="TPQ74" s="2198"/>
      <c r="TPR74" s="2198"/>
      <c r="TPS74" s="2198"/>
      <c r="TPT74" s="2198"/>
      <c r="TPU74" s="2198"/>
      <c r="TPV74" s="2198"/>
      <c r="TPW74" s="2198"/>
      <c r="TPX74" s="2198"/>
      <c r="TPY74" s="2198"/>
      <c r="TPZ74" s="2198"/>
      <c r="TQA74" s="2198"/>
      <c r="TQB74" s="2198"/>
      <c r="TQC74" s="2198"/>
      <c r="TQD74" s="2198"/>
      <c r="TQE74" s="2198"/>
      <c r="TQF74" s="2198"/>
      <c r="TQG74" s="2198"/>
      <c r="TQH74" s="2198"/>
      <c r="TQI74" s="2198"/>
      <c r="TQJ74" s="2198"/>
      <c r="TQK74" s="2198"/>
      <c r="TQL74" s="2198"/>
      <c r="TQM74" s="2198"/>
      <c r="TQN74" s="2198"/>
      <c r="TQO74" s="2198"/>
      <c r="TQP74" s="2198"/>
      <c r="TQQ74" s="2198"/>
      <c r="TQR74" s="2198"/>
      <c r="TQS74" s="2198"/>
      <c r="TQT74" s="2198"/>
      <c r="TQU74" s="2198"/>
      <c r="TQV74" s="2198"/>
      <c r="TQW74" s="2198"/>
      <c r="TQX74" s="2198"/>
      <c r="TQY74" s="2198"/>
      <c r="TQZ74" s="2198"/>
      <c r="TRA74" s="2198"/>
      <c r="TRB74" s="2198"/>
      <c r="TRC74" s="2198"/>
      <c r="TRD74" s="2198"/>
      <c r="TRE74" s="2198"/>
      <c r="TRF74" s="2198"/>
      <c r="TRG74" s="2198"/>
      <c r="TRH74" s="2198"/>
      <c r="TRI74" s="2198"/>
      <c r="TRJ74" s="2198"/>
      <c r="TRK74" s="2198"/>
      <c r="TRL74" s="2198"/>
      <c r="TRM74" s="2198"/>
      <c r="TRN74" s="2198"/>
      <c r="TRO74" s="2198"/>
      <c r="TRP74" s="2198"/>
      <c r="TRQ74" s="2198"/>
      <c r="TRR74" s="2198"/>
      <c r="TRS74" s="2198"/>
      <c r="TRT74" s="2198"/>
      <c r="TRU74" s="2198"/>
      <c r="TRV74" s="2198"/>
      <c r="TRW74" s="2198"/>
      <c r="TRX74" s="2198"/>
      <c r="TRY74" s="2198"/>
      <c r="TRZ74" s="2198"/>
      <c r="TSA74" s="2198"/>
      <c r="TSB74" s="2198"/>
      <c r="TSC74" s="2198"/>
      <c r="TSD74" s="2198"/>
      <c r="TSE74" s="2198"/>
      <c r="TSF74" s="2198"/>
      <c r="TSG74" s="2198"/>
      <c r="TSH74" s="2198"/>
      <c r="TSI74" s="2198"/>
      <c r="TSJ74" s="2198"/>
      <c r="TSK74" s="2198"/>
      <c r="TSL74" s="2198"/>
      <c r="TSM74" s="2198"/>
      <c r="TSN74" s="2198"/>
      <c r="TSO74" s="2198"/>
      <c r="TSP74" s="2198"/>
      <c r="TSQ74" s="2198"/>
      <c r="TSR74" s="2198"/>
      <c r="TSS74" s="2198"/>
      <c r="TST74" s="2198"/>
      <c r="TSU74" s="2198"/>
      <c r="TSV74" s="2198"/>
      <c r="TSW74" s="2198"/>
      <c r="TSX74" s="2198"/>
      <c r="TSY74" s="2198"/>
      <c r="TSZ74" s="2198"/>
      <c r="TTA74" s="2198"/>
      <c r="TTB74" s="2198"/>
      <c r="TTC74" s="2198"/>
      <c r="TTD74" s="2198"/>
      <c r="TTE74" s="2198"/>
      <c r="TTF74" s="2198"/>
      <c r="TTG74" s="2198"/>
      <c r="TTH74" s="2198"/>
      <c r="TTI74" s="2198"/>
      <c r="TTJ74" s="2198"/>
      <c r="TTK74" s="2198"/>
      <c r="TTL74" s="2198"/>
      <c r="TTM74" s="2198"/>
      <c r="TTN74" s="2198"/>
      <c r="TTO74" s="2198"/>
      <c r="TTP74" s="2198"/>
      <c r="TTQ74" s="2198"/>
      <c r="TTR74" s="2198"/>
      <c r="TTS74" s="2198"/>
      <c r="TTT74" s="2198"/>
      <c r="TTU74" s="2198"/>
      <c r="TTV74" s="2198"/>
      <c r="TTW74" s="2198"/>
      <c r="TTX74" s="2198"/>
      <c r="TTY74" s="2198"/>
      <c r="TTZ74" s="2198"/>
      <c r="TUA74" s="2198"/>
      <c r="TUB74" s="2198"/>
      <c r="TUC74" s="2198"/>
      <c r="TUD74" s="2198"/>
      <c r="TUE74" s="2198"/>
      <c r="TUF74" s="2198"/>
      <c r="TUG74" s="2198"/>
      <c r="TUH74" s="2198"/>
      <c r="TUI74" s="2198"/>
      <c r="TUJ74" s="2198"/>
      <c r="TUK74" s="2198"/>
      <c r="TUL74" s="2198"/>
      <c r="TUM74" s="2198"/>
      <c r="TUN74" s="2198"/>
      <c r="TUO74" s="2198"/>
      <c r="TUP74" s="2198"/>
      <c r="TUQ74" s="2198"/>
      <c r="TUR74" s="2198"/>
      <c r="TUS74" s="2198"/>
      <c r="TUT74" s="2198"/>
      <c r="TUU74" s="2198"/>
      <c r="TUV74" s="2198"/>
      <c r="TUW74" s="2198"/>
      <c r="TUX74" s="2198"/>
      <c r="TUY74" s="2198"/>
      <c r="TUZ74" s="2198"/>
      <c r="TVA74" s="2198"/>
      <c r="TVB74" s="2198"/>
      <c r="TVC74" s="2198"/>
      <c r="TVD74" s="2198"/>
      <c r="TVE74" s="2198"/>
      <c r="TVF74" s="2198"/>
      <c r="TVG74" s="2198"/>
      <c r="TVH74" s="2198"/>
      <c r="TVI74" s="2198"/>
      <c r="TVJ74" s="2198"/>
      <c r="TVK74" s="2198"/>
      <c r="TVL74" s="2198"/>
      <c r="TVM74" s="2198"/>
      <c r="TVN74" s="2198"/>
      <c r="TVO74" s="2198"/>
      <c r="TVP74" s="2198"/>
      <c r="TVQ74" s="2198"/>
      <c r="TVR74" s="2198"/>
      <c r="TVS74" s="2198"/>
      <c r="TVT74" s="2198"/>
      <c r="TVU74" s="2198"/>
      <c r="TVV74" s="2198"/>
      <c r="TVW74" s="2198"/>
      <c r="TVX74" s="2198"/>
      <c r="TVY74" s="2198"/>
      <c r="TVZ74" s="2198"/>
      <c r="TWA74" s="2198"/>
      <c r="TWB74" s="2198"/>
      <c r="TWC74" s="2198"/>
      <c r="TWD74" s="2198"/>
      <c r="TWE74" s="2198"/>
      <c r="TWF74" s="2198"/>
      <c r="TWG74" s="2198"/>
      <c r="TWH74" s="2198"/>
      <c r="TWI74" s="2198"/>
      <c r="TWJ74" s="2198"/>
      <c r="TWK74" s="2198"/>
      <c r="TWL74" s="2198"/>
      <c r="TWM74" s="2198"/>
      <c r="TWN74" s="2198"/>
      <c r="TWO74" s="2198"/>
      <c r="TWP74" s="2198"/>
      <c r="TWQ74" s="2198"/>
      <c r="TWR74" s="2198"/>
      <c r="TWS74" s="2198"/>
      <c r="TWT74" s="2198"/>
      <c r="TWU74" s="2198"/>
      <c r="TWV74" s="2198"/>
      <c r="TWW74" s="2198"/>
      <c r="TWX74" s="2198"/>
      <c r="TWY74" s="2198"/>
      <c r="TWZ74" s="2198"/>
      <c r="TXA74" s="2198"/>
      <c r="TXB74" s="2198"/>
      <c r="TXC74" s="2198"/>
      <c r="TXD74" s="2198"/>
      <c r="TXE74" s="2198"/>
      <c r="TXF74" s="2198"/>
      <c r="TXG74" s="2198"/>
      <c r="TXH74" s="2198"/>
      <c r="TXI74" s="2198"/>
      <c r="TXJ74" s="2198"/>
      <c r="TXK74" s="2198"/>
      <c r="TXL74" s="2198"/>
      <c r="TXM74" s="2198"/>
      <c r="TXN74" s="2198"/>
      <c r="TXO74" s="2198"/>
      <c r="TXP74" s="2198"/>
      <c r="TXQ74" s="2198"/>
      <c r="TXR74" s="2198"/>
      <c r="TXS74" s="2198"/>
      <c r="TXT74" s="2198"/>
      <c r="TXU74" s="2198"/>
      <c r="TXV74" s="2198"/>
      <c r="TXW74" s="2198"/>
      <c r="TXX74" s="2198"/>
      <c r="TXY74" s="2198"/>
      <c r="TXZ74" s="2198"/>
      <c r="TYA74" s="2198"/>
      <c r="TYB74" s="2198"/>
      <c r="TYC74" s="2198"/>
      <c r="TYD74" s="2198"/>
      <c r="TYE74" s="2198"/>
      <c r="TYF74" s="2198"/>
      <c r="TYG74" s="2198"/>
      <c r="TYH74" s="2198"/>
      <c r="TYI74" s="2198"/>
      <c r="TYJ74" s="2198"/>
      <c r="TYK74" s="2198"/>
      <c r="TYL74" s="2198"/>
      <c r="TYM74" s="2198"/>
      <c r="TYN74" s="2198"/>
      <c r="TYO74" s="2198"/>
      <c r="TYP74" s="2198"/>
      <c r="TYQ74" s="2198"/>
      <c r="TYR74" s="2198"/>
      <c r="TYS74" s="2198"/>
      <c r="TYT74" s="2198"/>
      <c r="TYU74" s="2198"/>
      <c r="TYV74" s="2198"/>
      <c r="TYW74" s="2198"/>
      <c r="TYX74" s="2198"/>
      <c r="TYY74" s="2198"/>
      <c r="TYZ74" s="2198"/>
      <c r="TZA74" s="2198"/>
      <c r="TZB74" s="2198"/>
      <c r="TZC74" s="2198"/>
      <c r="TZD74" s="2198"/>
      <c r="TZE74" s="2198"/>
      <c r="TZF74" s="2198"/>
      <c r="TZG74" s="2198"/>
      <c r="TZH74" s="2198"/>
      <c r="TZI74" s="2198"/>
      <c r="TZJ74" s="2198"/>
      <c r="TZK74" s="2198"/>
      <c r="TZL74" s="2198"/>
      <c r="TZM74" s="2198"/>
      <c r="TZN74" s="2198"/>
      <c r="TZO74" s="2198"/>
      <c r="TZP74" s="2198"/>
      <c r="TZQ74" s="2198"/>
      <c r="TZR74" s="2198"/>
      <c r="TZS74" s="2198"/>
      <c r="TZT74" s="2198"/>
      <c r="TZU74" s="2198"/>
      <c r="TZV74" s="2198"/>
      <c r="TZW74" s="2198"/>
      <c r="TZX74" s="2198"/>
      <c r="TZY74" s="2198"/>
      <c r="TZZ74" s="2198"/>
      <c r="UAA74" s="2198"/>
      <c r="UAB74" s="2198"/>
      <c r="UAC74" s="2198"/>
      <c r="UAD74" s="2198"/>
      <c r="UAE74" s="2198"/>
      <c r="UAF74" s="2198"/>
      <c r="UAG74" s="2198"/>
      <c r="UAH74" s="2198"/>
      <c r="UAI74" s="2198"/>
      <c r="UAJ74" s="2198"/>
      <c r="UAK74" s="2198"/>
      <c r="UAL74" s="2198"/>
      <c r="UAM74" s="2198"/>
      <c r="UAN74" s="2198"/>
      <c r="UAO74" s="2198"/>
      <c r="UAP74" s="2198"/>
      <c r="UAQ74" s="2198"/>
      <c r="UAR74" s="2198"/>
      <c r="UAS74" s="2198"/>
      <c r="UAT74" s="2198"/>
      <c r="UAU74" s="2198"/>
      <c r="UAV74" s="2198"/>
      <c r="UAW74" s="2198"/>
      <c r="UAX74" s="2198"/>
      <c r="UAY74" s="2198"/>
      <c r="UAZ74" s="2198"/>
      <c r="UBA74" s="2198"/>
      <c r="UBB74" s="2198"/>
      <c r="UBC74" s="2198"/>
      <c r="UBD74" s="2198"/>
      <c r="UBE74" s="2198"/>
      <c r="UBF74" s="2198"/>
      <c r="UBG74" s="2198"/>
      <c r="UBH74" s="2198"/>
      <c r="UBI74" s="2198"/>
      <c r="UBJ74" s="2198"/>
      <c r="UBK74" s="2198"/>
      <c r="UBL74" s="2198"/>
      <c r="UBM74" s="2198"/>
      <c r="UBN74" s="2198"/>
      <c r="UBO74" s="2198"/>
      <c r="UBP74" s="2198"/>
      <c r="UBQ74" s="2198"/>
      <c r="UBR74" s="2198"/>
      <c r="UBS74" s="2198"/>
      <c r="UBT74" s="2198"/>
      <c r="UBU74" s="2198"/>
      <c r="UBV74" s="2198"/>
      <c r="UBW74" s="2198"/>
      <c r="UBX74" s="2198"/>
      <c r="UBY74" s="2198"/>
      <c r="UBZ74" s="2198"/>
      <c r="UCA74" s="2198"/>
      <c r="UCB74" s="2198"/>
      <c r="UCC74" s="2198"/>
      <c r="UCD74" s="2198"/>
      <c r="UCE74" s="2198"/>
      <c r="UCF74" s="2198"/>
      <c r="UCG74" s="2198"/>
      <c r="UCH74" s="2198"/>
      <c r="UCI74" s="2198"/>
      <c r="UCJ74" s="2198"/>
      <c r="UCK74" s="2198"/>
      <c r="UCL74" s="2198"/>
      <c r="UCM74" s="2198"/>
      <c r="UCN74" s="2198"/>
      <c r="UCO74" s="2198"/>
      <c r="UCP74" s="2198"/>
      <c r="UCQ74" s="2198"/>
      <c r="UCR74" s="2198"/>
      <c r="UCS74" s="2198"/>
      <c r="UCT74" s="2198"/>
      <c r="UCU74" s="2198"/>
      <c r="UCV74" s="2198"/>
      <c r="UCW74" s="2198"/>
      <c r="UCX74" s="2198"/>
      <c r="UCY74" s="2198"/>
      <c r="UCZ74" s="2198"/>
      <c r="UDA74" s="2198"/>
      <c r="UDB74" s="2198"/>
      <c r="UDC74" s="2198"/>
      <c r="UDD74" s="2198"/>
      <c r="UDE74" s="2198"/>
      <c r="UDF74" s="2198"/>
      <c r="UDG74" s="2198"/>
      <c r="UDH74" s="2198"/>
      <c r="UDI74" s="2198"/>
      <c r="UDJ74" s="2198"/>
      <c r="UDK74" s="2198"/>
      <c r="UDL74" s="2198"/>
      <c r="UDM74" s="2198"/>
      <c r="UDN74" s="2198"/>
      <c r="UDO74" s="2198"/>
      <c r="UDP74" s="2198"/>
      <c r="UDQ74" s="2198"/>
      <c r="UDR74" s="2198"/>
      <c r="UDS74" s="2198"/>
      <c r="UDT74" s="2198"/>
      <c r="UDU74" s="2198"/>
      <c r="UDV74" s="2198"/>
      <c r="UDW74" s="2198"/>
      <c r="UDX74" s="2198"/>
      <c r="UDY74" s="2198"/>
      <c r="UDZ74" s="2198"/>
      <c r="UEA74" s="2198"/>
      <c r="UEB74" s="2198"/>
      <c r="UEC74" s="2198"/>
      <c r="UED74" s="2198"/>
      <c r="UEE74" s="2198"/>
      <c r="UEF74" s="2198"/>
      <c r="UEG74" s="2198"/>
      <c r="UEH74" s="2198"/>
      <c r="UEI74" s="2198"/>
      <c r="UEJ74" s="2198"/>
      <c r="UEK74" s="2198"/>
      <c r="UEL74" s="2198"/>
      <c r="UEM74" s="2198"/>
      <c r="UEN74" s="2198"/>
      <c r="UEO74" s="2198"/>
      <c r="UEP74" s="2198"/>
      <c r="UEQ74" s="2198"/>
      <c r="UER74" s="2198"/>
      <c r="UES74" s="2198"/>
      <c r="UET74" s="2198"/>
      <c r="UEU74" s="2198"/>
      <c r="UEV74" s="2198"/>
      <c r="UEW74" s="2198"/>
      <c r="UEX74" s="2198"/>
      <c r="UEY74" s="2198"/>
      <c r="UEZ74" s="2198"/>
      <c r="UFA74" s="2198"/>
      <c r="UFB74" s="2198"/>
      <c r="UFC74" s="2198"/>
      <c r="UFD74" s="2198"/>
      <c r="UFE74" s="2198"/>
      <c r="UFF74" s="2198"/>
      <c r="UFG74" s="2198"/>
      <c r="UFH74" s="2198"/>
      <c r="UFI74" s="2198"/>
      <c r="UFJ74" s="2198"/>
      <c r="UFK74" s="2198"/>
      <c r="UFL74" s="2198"/>
      <c r="UFM74" s="2198"/>
      <c r="UFN74" s="2198"/>
      <c r="UFO74" s="2198"/>
      <c r="UFP74" s="2198"/>
      <c r="UFQ74" s="2198"/>
      <c r="UFR74" s="2198"/>
      <c r="UFS74" s="2198"/>
      <c r="UFT74" s="2198"/>
      <c r="UFU74" s="2198"/>
      <c r="UFV74" s="2198"/>
      <c r="UFW74" s="2198"/>
      <c r="UFX74" s="2198"/>
      <c r="UFY74" s="2198"/>
      <c r="UFZ74" s="2198"/>
      <c r="UGA74" s="2198"/>
      <c r="UGB74" s="2198"/>
      <c r="UGC74" s="2198"/>
      <c r="UGD74" s="2198"/>
      <c r="UGE74" s="2198"/>
      <c r="UGF74" s="2198"/>
      <c r="UGG74" s="2198"/>
      <c r="UGH74" s="2198"/>
      <c r="UGI74" s="2198"/>
      <c r="UGJ74" s="2198"/>
      <c r="UGK74" s="2198"/>
      <c r="UGL74" s="2198"/>
      <c r="UGM74" s="2198"/>
      <c r="UGN74" s="2198"/>
      <c r="UGO74" s="2198"/>
      <c r="UGP74" s="2198"/>
      <c r="UGQ74" s="2198"/>
      <c r="UGR74" s="2198"/>
      <c r="UGS74" s="2198"/>
      <c r="UGT74" s="2198"/>
      <c r="UGU74" s="2198"/>
      <c r="UGV74" s="2198"/>
      <c r="UGW74" s="2198"/>
      <c r="UGX74" s="2198"/>
      <c r="UGY74" s="2198"/>
      <c r="UGZ74" s="2198"/>
      <c r="UHA74" s="2198"/>
      <c r="UHB74" s="2198"/>
      <c r="UHC74" s="2198"/>
      <c r="UHD74" s="2198"/>
      <c r="UHE74" s="2198"/>
      <c r="UHF74" s="2198"/>
      <c r="UHG74" s="2198"/>
      <c r="UHH74" s="2198"/>
      <c r="UHI74" s="2198"/>
      <c r="UHJ74" s="2198"/>
      <c r="UHK74" s="2198"/>
      <c r="UHL74" s="2198"/>
      <c r="UHM74" s="2198"/>
      <c r="UHN74" s="2198"/>
      <c r="UHO74" s="2198"/>
      <c r="UHP74" s="2198"/>
      <c r="UHQ74" s="2198"/>
      <c r="UHR74" s="2198"/>
      <c r="UHS74" s="2198"/>
      <c r="UHT74" s="2198"/>
      <c r="UHU74" s="2198"/>
      <c r="UHV74" s="2198"/>
      <c r="UHW74" s="2198"/>
      <c r="UHX74" s="2198"/>
      <c r="UHY74" s="2198"/>
      <c r="UHZ74" s="2198"/>
      <c r="UIA74" s="2198"/>
      <c r="UIB74" s="2198"/>
      <c r="UIC74" s="2198"/>
      <c r="UID74" s="2198"/>
      <c r="UIE74" s="2198"/>
      <c r="UIF74" s="2198"/>
      <c r="UIG74" s="2198"/>
      <c r="UIH74" s="2198"/>
      <c r="UII74" s="2198"/>
      <c r="UIJ74" s="2198"/>
      <c r="UIK74" s="2198"/>
      <c r="UIL74" s="2198"/>
      <c r="UIM74" s="2198"/>
      <c r="UIN74" s="2198"/>
      <c r="UIO74" s="2198"/>
      <c r="UIP74" s="2198"/>
      <c r="UIQ74" s="2198"/>
      <c r="UIR74" s="2198"/>
      <c r="UIS74" s="2198"/>
      <c r="UIT74" s="2198"/>
      <c r="UIU74" s="2198"/>
      <c r="UIV74" s="2198"/>
      <c r="UIW74" s="2198"/>
      <c r="UIX74" s="2198"/>
      <c r="UIY74" s="2198"/>
      <c r="UIZ74" s="2198"/>
      <c r="UJA74" s="2198"/>
      <c r="UJB74" s="2198"/>
      <c r="UJC74" s="2198"/>
      <c r="UJD74" s="2198"/>
      <c r="UJE74" s="2198"/>
      <c r="UJF74" s="2198"/>
      <c r="UJG74" s="2198"/>
      <c r="UJH74" s="2198"/>
      <c r="UJI74" s="2198"/>
      <c r="UJJ74" s="2198"/>
      <c r="UJK74" s="2198"/>
      <c r="UJL74" s="2198"/>
      <c r="UJM74" s="2198"/>
      <c r="UJN74" s="2198"/>
      <c r="UJO74" s="2198"/>
      <c r="UJP74" s="2198"/>
      <c r="UJQ74" s="2198"/>
      <c r="UJR74" s="2198"/>
      <c r="UJS74" s="2198"/>
      <c r="UJT74" s="2198"/>
      <c r="UJU74" s="2198"/>
      <c r="UJV74" s="2198"/>
      <c r="UJW74" s="2198"/>
      <c r="UJX74" s="2198"/>
      <c r="UJY74" s="2198"/>
      <c r="UJZ74" s="2198"/>
      <c r="UKA74" s="2198"/>
      <c r="UKB74" s="2198"/>
      <c r="UKC74" s="2198"/>
      <c r="UKD74" s="2198"/>
      <c r="UKE74" s="2198"/>
      <c r="UKF74" s="2198"/>
      <c r="UKG74" s="2198"/>
      <c r="UKH74" s="2198"/>
      <c r="UKI74" s="2198"/>
      <c r="UKJ74" s="2198"/>
      <c r="UKK74" s="2198"/>
      <c r="UKL74" s="2198"/>
      <c r="UKM74" s="2198"/>
      <c r="UKN74" s="2198"/>
      <c r="UKO74" s="2198"/>
      <c r="UKP74" s="2198"/>
      <c r="UKQ74" s="2198"/>
      <c r="UKR74" s="2198"/>
      <c r="UKS74" s="2198"/>
      <c r="UKT74" s="2198"/>
      <c r="UKU74" s="2198"/>
      <c r="UKV74" s="2198"/>
      <c r="UKW74" s="2198"/>
      <c r="UKX74" s="2198"/>
      <c r="UKY74" s="2198"/>
      <c r="UKZ74" s="2198"/>
      <c r="ULA74" s="2198"/>
      <c r="ULB74" s="2198"/>
      <c r="ULC74" s="2198"/>
      <c r="ULD74" s="2198"/>
      <c r="ULE74" s="2198"/>
      <c r="ULF74" s="2198"/>
      <c r="ULG74" s="2198"/>
      <c r="ULH74" s="2198"/>
      <c r="ULI74" s="2198"/>
      <c r="ULJ74" s="2198"/>
      <c r="ULK74" s="2198"/>
      <c r="ULL74" s="2198"/>
      <c r="ULM74" s="2198"/>
      <c r="ULN74" s="2198"/>
      <c r="ULO74" s="2198"/>
      <c r="ULP74" s="2198"/>
      <c r="ULQ74" s="2198"/>
      <c r="ULR74" s="2198"/>
      <c r="ULS74" s="2198"/>
      <c r="ULT74" s="2198"/>
      <c r="ULU74" s="2198"/>
      <c r="ULV74" s="2198"/>
      <c r="ULW74" s="2198"/>
      <c r="ULX74" s="2198"/>
      <c r="ULY74" s="2198"/>
      <c r="ULZ74" s="2198"/>
      <c r="UMA74" s="2198"/>
      <c r="UMB74" s="2198"/>
      <c r="UMC74" s="2198"/>
      <c r="UMD74" s="2198"/>
      <c r="UME74" s="2198"/>
      <c r="UMF74" s="2198"/>
      <c r="UMG74" s="2198"/>
      <c r="UMH74" s="2198"/>
      <c r="UMI74" s="2198"/>
      <c r="UMJ74" s="2198"/>
      <c r="UMK74" s="2198"/>
      <c r="UML74" s="2198"/>
      <c r="UMM74" s="2198"/>
      <c r="UMN74" s="2198"/>
      <c r="UMO74" s="2198"/>
      <c r="UMP74" s="2198"/>
      <c r="UMQ74" s="2198"/>
      <c r="UMR74" s="2198"/>
      <c r="UMS74" s="2198"/>
      <c r="UMT74" s="2198"/>
      <c r="UMU74" s="2198"/>
      <c r="UMV74" s="2198"/>
      <c r="UMW74" s="2198"/>
      <c r="UMX74" s="2198"/>
      <c r="UMY74" s="2198"/>
      <c r="UMZ74" s="2198"/>
      <c r="UNA74" s="2198"/>
      <c r="UNB74" s="2198"/>
      <c r="UNC74" s="2198"/>
      <c r="UND74" s="2198"/>
      <c r="UNE74" s="2198"/>
      <c r="UNF74" s="2198"/>
      <c r="UNG74" s="2198"/>
      <c r="UNH74" s="2198"/>
      <c r="UNI74" s="2198"/>
      <c r="UNJ74" s="2198"/>
      <c r="UNK74" s="2198"/>
      <c r="UNL74" s="2198"/>
      <c r="UNM74" s="2198"/>
      <c r="UNN74" s="2198"/>
      <c r="UNO74" s="2198"/>
      <c r="UNP74" s="2198"/>
      <c r="UNQ74" s="2198"/>
      <c r="UNR74" s="2198"/>
      <c r="UNS74" s="2198"/>
      <c r="UNT74" s="2198"/>
      <c r="UNU74" s="2198"/>
      <c r="UNV74" s="2198"/>
      <c r="UNW74" s="2198"/>
      <c r="UNX74" s="2198"/>
      <c r="UNY74" s="2198"/>
      <c r="UNZ74" s="2198"/>
      <c r="UOA74" s="2198"/>
      <c r="UOB74" s="2198"/>
      <c r="UOC74" s="2198"/>
      <c r="UOD74" s="2198"/>
      <c r="UOE74" s="2198"/>
      <c r="UOF74" s="2198"/>
      <c r="UOG74" s="2198"/>
      <c r="UOH74" s="2198"/>
      <c r="UOI74" s="2198"/>
      <c r="UOJ74" s="2198"/>
      <c r="UOK74" s="2198"/>
      <c r="UOL74" s="2198"/>
      <c r="UOM74" s="2198"/>
      <c r="UON74" s="2198"/>
      <c r="UOO74" s="2198"/>
      <c r="UOP74" s="2198"/>
      <c r="UOQ74" s="2198"/>
      <c r="UOR74" s="2198"/>
      <c r="UOS74" s="2198"/>
      <c r="UOT74" s="2198"/>
      <c r="UOU74" s="2198"/>
      <c r="UOV74" s="2198"/>
      <c r="UOW74" s="2198"/>
      <c r="UOX74" s="2198"/>
      <c r="UOY74" s="2198"/>
      <c r="UOZ74" s="2198"/>
      <c r="UPA74" s="2198"/>
      <c r="UPB74" s="2198"/>
      <c r="UPC74" s="2198"/>
      <c r="UPD74" s="2198"/>
      <c r="UPE74" s="2198"/>
      <c r="UPF74" s="2198"/>
      <c r="UPG74" s="2198"/>
      <c r="UPH74" s="2198"/>
      <c r="UPI74" s="2198"/>
      <c r="UPJ74" s="2198"/>
      <c r="UPK74" s="2198"/>
      <c r="UPL74" s="2198"/>
      <c r="UPM74" s="2198"/>
      <c r="UPN74" s="2198"/>
      <c r="UPO74" s="2198"/>
      <c r="UPP74" s="2198"/>
      <c r="UPQ74" s="2198"/>
      <c r="UPR74" s="2198"/>
      <c r="UPS74" s="2198"/>
      <c r="UPT74" s="2198"/>
      <c r="UPU74" s="2198"/>
      <c r="UPV74" s="2198"/>
      <c r="UPW74" s="2198"/>
      <c r="UPX74" s="2198"/>
      <c r="UPY74" s="2198"/>
      <c r="UPZ74" s="2198"/>
      <c r="UQA74" s="2198"/>
      <c r="UQB74" s="2198"/>
      <c r="UQC74" s="2198"/>
      <c r="UQD74" s="2198"/>
      <c r="UQE74" s="2198"/>
      <c r="UQF74" s="2198"/>
      <c r="UQG74" s="2198"/>
      <c r="UQH74" s="2198"/>
      <c r="UQI74" s="2198"/>
      <c r="UQJ74" s="2198"/>
      <c r="UQK74" s="2198"/>
      <c r="UQL74" s="2198"/>
      <c r="UQM74" s="2198"/>
      <c r="UQN74" s="2198"/>
      <c r="UQO74" s="2198"/>
      <c r="UQP74" s="2198"/>
      <c r="UQQ74" s="2198"/>
      <c r="UQR74" s="2198"/>
      <c r="UQS74" s="2198"/>
      <c r="UQT74" s="2198"/>
      <c r="UQU74" s="2198"/>
      <c r="UQV74" s="2198"/>
      <c r="UQW74" s="2198"/>
      <c r="UQX74" s="2198"/>
      <c r="UQY74" s="2198"/>
      <c r="UQZ74" s="2198"/>
      <c r="URA74" s="2198"/>
      <c r="URB74" s="2198"/>
      <c r="URC74" s="2198"/>
      <c r="URD74" s="2198"/>
      <c r="URE74" s="2198"/>
      <c r="URF74" s="2198"/>
      <c r="URG74" s="2198"/>
      <c r="URH74" s="2198"/>
      <c r="URI74" s="2198"/>
      <c r="URJ74" s="2198"/>
      <c r="URK74" s="2198"/>
      <c r="URL74" s="2198"/>
      <c r="URM74" s="2198"/>
      <c r="URN74" s="2198"/>
      <c r="URO74" s="2198"/>
      <c r="URP74" s="2198"/>
      <c r="URQ74" s="2198"/>
      <c r="URR74" s="2198"/>
      <c r="URS74" s="2198"/>
      <c r="URT74" s="2198"/>
      <c r="URU74" s="2198"/>
      <c r="URV74" s="2198"/>
      <c r="URW74" s="2198"/>
      <c r="URX74" s="2198"/>
      <c r="URY74" s="2198"/>
      <c r="URZ74" s="2198"/>
      <c r="USA74" s="2198"/>
      <c r="USB74" s="2198"/>
      <c r="USC74" s="2198"/>
      <c r="USD74" s="2198"/>
      <c r="USE74" s="2198"/>
      <c r="USF74" s="2198"/>
      <c r="USG74" s="2198"/>
      <c r="USH74" s="2198"/>
      <c r="USI74" s="2198"/>
      <c r="USJ74" s="2198"/>
      <c r="USK74" s="2198"/>
      <c r="USL74" s="2198"/>
      <c r="USM74" s="2198"/>
      <c r="USN74" s="2198"/>
      <c r="USO74" s="2198"/>
      <c r="USP74" s="2198"/>
      <c r="USQ74" s="2198"/>
      <c r="USR74" s="2198"/>
      <c r="USS74" s="2198"/>
      <c r="UST74" s="2198"/>
      <c r="USU74" s="2198"/>
      <c r="USV74" s="2198"/>
      <c r="USW74" s="2198"/>
      <c r="USX74" s="2198"/>
      <c r="USY74" s="2198"/>
      <c r="USZ74" s="2198"/>
      <c r="UTA74" s="2198"/>
      <c r="UTB74" s="2198"/>
      <c r="UTC74" s="2198"/>
      <c r="UTD74" s="2198"/>
      <c r="UTE74" s="2198"/>
      <c r="UTF74" s="2198"/>
      <c r="UTG74" s="2198"/>
      <c r="UTH74" s="2198"/>
      <c r="UTI74" s="2198"/>
      <c r="UTJ74" s="2198"/>
      <c r="UTK74" s="2198"/>
      <c r="UTL74" s="2198"/>
      <c r="UTM74" s="2198"/>
      <c r="UTN74" s="2198"/>
      <c r="UTO74" s="2198"/>
      <c r="UTP74" s="2198"/>
      <c r="UTQ74" s="2198"/>
      <c r="UTR74" s="2198"/>
      <c r="UTS74" s="2198"/>
      <c r="UTT74" s="2198"/>
      <c r="UTU74" s="2198"/>
      <c r="UTV74" s="2198"/>
      <c r="UTW74" s="2198"/>
      <c r="UTX74" s="2198"/>
      <c r="UTY74" s="2198"/>
      <c r="UTZ74" s="2198"/>
      <c r="UUA74" s="2198"/>
      <c r="UUB74" s="2198"/>
      <c r="UUC74" s="2198"/>
      <c r="UUD74" s="2198"/>
      <c r="UUE74" s="2198"/>
      <c r="UUF74" s="2198"/>
      <c r="UUG74" s="2198"/>
      <c r="UUH74" s="2198"/>
      <c r="UUI74" s="2198"/>
      <c r="UUJ74" s="2198"/>
      <c r="UUK74" s="2198"/>
      <c r="UUL74" s="2198"/>
      <c r="UUM74" s="2198"/>
      <c r="UUN74" s="2198"/>
      <c r="UUO74" s="2198"/>
      <c r="UUP74" s="2198"/>
      <c r="UUQ74" s="2198"/>
      <c r="UUR74" s="2198"/>
      <c r="UUS74" s="2198"/>
      <c r="UUT74" s="2198"/>
      <c r="UUU74" s="2198"/>
      <c r="UUV74" s="2198"/>
      <c r="UUW74" s="2198"/>
      <c r="UUX74" s="2198"/>
      <c r="UUY74" s="2198"/>
      <c r="UUZ74" s="2198"/>
      <c r="UVA74" s="2198"/>
      <c r="UVB74" s="2198"/>
      <c r="UVC74" s="2198"/>
      <c r="UVD74" s="2198"/>
      <c r="UVE74" s="2198"/>
      <c r="UVF74" s="2198"/>
      <c r="UVG74" s="2198"/>
      <c r="UVH74" s="2198"/>
      <c r="UVI74" s="2198"/>
      <c r="UVJ74" s="2198"/>
      <c r="UVK74" s="2198"/>
      <c r="UVL74" s="2198"/>
      <c r="UVM74" s="2198"/>
      <c r="UVN74" s="2198"/>
      <c r="UVO74" s="2198"/>
      <c r="UVP74" s="2198"/>
      <c r="UVQ74" s="2198"/>
      <c r="UVR74" s="2198"/>
      <c r="UVS74" s="2198"/>
      <c r="UVT74" s="2198"/>
      <c r="UVU74" s="2198"/>
      <c r="UVV74" s="2198"/>
      <c r="UVW74" s="2198"/>
      <c r="UVX74" s="2198"/>
      <c r="UVY74" s="2198"/>
      <c r="UVZ74" s="2198"/>
      <c r="UWA74" s="2198"/>
      <c r="UWB74" s="2198"/>
      <c r="UWC74" s="2198"/>
      <c r="UWD74" s="2198"/>
      <c r="UWE74" s="2198"/>
      <c r="UWF74" s="2198"/>
      <c r="UWG74" s="2198"/>
      <c r="UWH74" s="2198"/>
      <c r="UWI74" s="2198"/>
      <c r="UWJ74" s="2198"/>
      <c r="UWK74" s="2198"/>
      <c r="UWL74" s="2198"/>
      <c r="UWM74" s="2198"/>
      <c r="UWN74" s="2198"/>
      <c r="UWO74" s="2198"/>
      <c r="UWP74" s="2198"/>
      <c r="UWQ74" s="2198"/>
      <c r="UWR74" s="2198"/>
      <c r="UWS74" s="2198"/>
      <c r="UWT74" s="2198"/>
      <c r="UWU74" s="2198"/>
      <c r="UWV74" s="2198"/>
      <c r="UWW74" s="2198"/>
      <c r="UWX74" s="2198"/>
      <c r="UWY74" s="2198"/>
      <c r="UWZ74" s="2198"/>
      <c r="UXA74" s="2198"/>
      <c r="UXB74" s="2198"/>
      <c r="UXC74" s="2198"/>
      <c r="UXD74" s="2198"/>
      <c r="UXE74" s="2198"/>
      <c r="UXF74" s="2198"/>
      <c r="UXG74" s="2198"/>
      <c r="UXH74" s="2198"/>
      <c r="UXI74" s="2198"/>
      <c r="UXJ74" s="2198"/>
      <c r="UXK74" s="2198"/>
      <c r="UXL74" s="2198"/>
      <c r="UXM74" s="2198"/>
      <c r="UXN74" s="2198"/>
      <c r="UXO74" s="2198"/>
      <c r="UXP74" s="2198"/>
      <c r="UXQ74" s="2198"/>
      <c r="UXR74" s="2198"/>
      <c r="UXS74" s="2198"/>
      <c r="UXT74" s="2198"/>
      <c r="UXU74" s="2198"/>
      <c r="UXV74" s="2198"/>
      <c r="UXW74" s="2198"/>
      <c r="UXX74" s="2198"/>
      <c r="UXY74" s="2198"/>
      <c r="UXZ74" s="2198"/>
      <c r="UYA74" s="2198"/>
      <c r="UYB74" s="2198"/>
      <c r="UYC74" s="2198"/>
      <c r="UYD74" s="2198"/>
      <c r="UYE74" s="2198"/>
      <c r="UYF74" s="2198"/>
      <c r="UYG74" s="2198"/>
      <c r="UYH74" s="2198"/>
      <c r="UYI74" s="2198"/>
      <c r="UYJ74" s="2198"/>
      <c r="UYK74" s="2198"/>
      <c r="UYL74" s="2198"/>
      <c r="UYM74" s="2198"/>
      <c r="UYN74" s="2198"/>
      <c r="UYO74" s="2198"/>
      <c r="UYP74" s="2198"/>
      <c r="UYQ74" s="2198"/>
      <c r="UYR74" s="2198"/>
      <c r="UYS74" s="2198"/>
      <c r="UYT74" s="2198"/>
      <c r="UYU74" s="2198"/>
      <c r="UYV74" s="2198"/>
      <c r="UYW74" s="2198"/>
      <c r="UYX74" s="2198"/>
      <c r="UYY74" s="2198"/>
      <c r="UYZ74" s="2198"/>
      <c r="UZA74" s="2198"/>
      <c r="UZB74" s="2198"/>
      <c r="UZC74" s="2198"/>
      <c r="UZD74" s="2198"/>
      <c r="UZE74" s="2198"/>
      <c r="UZF74" s="2198"/>
      <c r="UZG74" s="2198"/>
      <c r="UZH74" s="2198"/>
      <c r="UZI74" s="2198"/>
      <c r="UZJ74" s="2198"/>
      <c r="UZK74" s="2198"/>
      <c r="UZL74" s="2198"/>
      <c r="UZM74" s="2198"/>
      <c r="UZN74" s="2198"/>
      <c r="UZO74" s="2198"/>
      <c r="UZP74" s="2198"/>
      <c r="UZQ74" s="2198"/>
      <c r="UZR74" s="2198"/>
      <c r="UZS74" s="2198"/>
      <c r="UZT74" s="2198"/>
      <c r="UZU74" s="2198"/>
      <c r="UZV74" s="2198"/>
      <c r="UZW74" s="2198"/>
      <c r="UZX74" s="2198"/>
      <c r="UZY74" s="2198"/>
      <c r="UZZ74" s="2198"/>
      <c r="VAA74" s="2198"/>
      <c r="VAB74" s="2198"/>
      <c r="VAC74" s="2198"/>
      <c r="VAD74" s="2198"/>
      <c r="VAE74" s="2198"/>
      <c r="VAF74" s="2198"/>
      <c r="VAG74" s="2198"/>
      <c r="VAH74" s="2198"/>
      <c r="VAI74" s="2198"/>
      <c r="VAJ74" s="2198"/>
      <c r="VAK74" s="2198"/>
      <c r="VAL74" s="2198"/>
      <c r="VAM74" s="2198"/>
      <c r="VAN74" s="2198"/>
      <c r="VAO74" s="2198"/>
      <c r="VAP74" s="2198"/>
      <c r="VAQ74" s="2198"/>
      <c r="VAR74" s="2198"/>
      <c r="VAS74" s="2198"/>
      <c r="VAT74" s="2198"/>
      <c r="VAU74" s="2198"/>
      <c r="VAV74" s="2198"/>
      <c r="VAW74" s="2198"/>
      <c r="VAX74" s="2198"/>
      <c r="VAY74" s="2198"/>
      <c r="VAZ74" s="2198"/>
      <c r="VBA74" s="2198"/>
      <c r="VBB74" s="2198"/>
      <c r="VBC74" s="2198"/>
      <c r="VBD74" s="2198"/>
      <c r="VBE74" s="2198"/>
      <c r="VBF74" s="2198"/>
      <c r="VBG74" s="2198"/>
      <c r="VBH74" s="2198"/>
      <c r="VBI74" s="2198"/>
      <c r="VBJ74" s="2198"/>
      <c r="VBK74" s="2198"/>
      <c r="VBL74" s="2198"/>
      <c r="VBM74" s="2198"/>
      <c r="VBN74" s="2198"/>
      <c r="VBO74" s="2198"/>
      <c r="VBP74" s="2198"/>
      <c r="VBQ74" s="2198"/>
      <c r="VBR74" s="2198"/>
      <c r="VBS74" s="2198"/>
      <c r="VBT74" s="2198"/>
      <c r="VBU74" s="2198"/>
      <c r="VBV74" s="2198"/>
      <c r="VBW74" s="2198"/>
      <c r="VBX74" s="2198"/>
      <c r="VBY74" s="2198"/>
      <c r="VBZ74" s="2198"/>
      <c r="VCA74" s="2198"/>
      <c r="VCB74" s="2198"/>
      <c r="VCC74" s="2198"/>
      <c r="VCD74" s="2198"/>
      <c r="VCE74" s="2198"/>
      <c r="VCF74" s="2198"/>
      <c r="VCG74" s="2198"/>
      <c r="VCH74" s="2198"/>
      <c r="VCI74" s="2198"/>
      <c r="VCJ74" s="2198"/>
      <c r="VCK74" s="2198"/>
      <c r="VCL74" s="2198"/>
      <c r="VCM74" s="2198"/>
      <c r="VCN74" s="2198"/>
      <c r="VCO74" s="2198"/>
      <c r="VCP74" s="2198"/>
      <c r="VCQ74" s="2198"/>
      <c r="VCR74" s="2198"/>
      <c r="VCS74" s="2198"/>
      <c r="VCT74" s="2198"/>
      <c r="VCU74" s="2198"/>
      <c r="VCV74" s="2198"/>
      <c r="VCW74" s="2198"/>
      <c r="VCX74" s="2198"/>
      <c r="VCY74" s="2198"/>
      <c r="VCZ74" s="2198"/>
      <c r="VDA74" s="2198"/>
      <c r="VDB74" s="2198"/>
      <c r="VDC74" s="2198"/>
      <c r="VDD74" s="2198"/>
      <c r="VDE74" s="2198"/>
      <c r="VDF74" s="2198"/>
      <c r="VDG74" s="2198"/>
      <c r="VDH74" s="2198"/>
      <c r="VDI74" s="2198"/>
      <c r="VDJ74" s="2198"/>
      <c r="VDK74" s="2198"/>
      <c r="VDL74" s="2198"/>
      <c r="VDM74" s="2198"/>
      <c r="VDN74" s="2198"/>
      <c r="VDO74" s="2198"/>
      <c r="VDP74" s="2198"/>
      <c r="VDQ74" s="2198"/>
      <c r="VDR74" s="2198"/>
      <c r="VDS74" s="2198"/>
      <c r="VDT74" s="2198"/>
      <c r="VDU74" s="2198"/>
      <c r="VDV74" s="2198"/>
      <c r="VDW74" s="2198"/>
      <c r="VDX74" s="2198"/>
      <c r="VDY74" s="2198"/>
      <c r="VDZ74" s="2198"/>
      <c r="VEA74" s="2198"/>
      <c r="VEB74" s="2198"/>
      <c r="VEC74" s="2198"/>
      <c r="VED74" s="2198"/>
      <c r="VEE74" s="2198"/>
      <c r="VEF74" s="2198"/>
      <c r="VEG74" s="2198"/>
      <c r="VEH74" s="2198"/>
      <c r="VEI74" s="2198"/>
      <c r="VEJ74" s="2198"/>
      <c r="VEK74" s="2198"/>
      <c r="VEL74" s="2198"/>
      <c r="VEM74" s="2198"/>
      <c r="VEN74" s="2198"/>
      <c r="VEO74" s="2198"/>
      <c r="VEP74" s="2198"/>
      <c r="VEQ74" s="2198"/>
      <c r="VER74" s="2198"/>
      <c r="VES74" s="2198"/>
      <c r="VET74" s="2198"/>
      <c r="VEU74" s="2198"/>
      <c r="VEV74" s="2198"/>
      <c r="VEW74" s="2198"/>
      <c r="VEX74" s="2198"/>
      <c r="VEY74" s="2198"/>
      <c r="VEZ74" s="2198"/>
      <c r="VFA74" s="2198"/>
      <c r="VFB74" s="2198"/>
      <c r="VFC74" s="2198"/>
      <c r="VFD74" s="2198"/>
      <c r="VFE74" s="2198"/>
      <c r="VFF74" s="2198"/>
      <c r="VFG74" s="2198"/>
      <c r="VFH74" s="2198"/>
      <c r="VFI74" s="2198"/>
      <c r="VFJ74" s="2198"/>
      <c r="VFK74" s="2198"/>
      <c r="VFL74" s="2198"/>
      <c r="VFM74" s="2198"/>
      <c r="VFN74" s="2198"/>
      <c r="VFO74" s="2198"/>
      <c r="VFP74" s="2198"/>
      <c r="VFQ74" s="2198"/>
      <c r="VFR74" s="2198"/>
      <c r="VFS74" s="2198"/>
      <c r="VFT74" s="2198"/>
      <c r="VFU74" s="2198"/>
      <c r="VFV74" s="2198"/>
      <c r="VFW74" s="2198"/>
      <c r="VFX74" s="2198"/>
      <c r="VFY74" s="2198"/>
      <c r="VFZ74" s="2198"/>
      <c r="VGA74" s="2198"/>
      <c r="VGB74" s="2198"/>
      <c r="VGC74" s="2198"/>
      <c r="VGD74" s="2198"/>
      <c r="VGE74" s="2198"/>
      <c r="VGF74" s="2198"/>
      <c r="VGG74" s="2198"/>
      <c r="VGH74" s="2198"/>
      <c r="VGI74" s="2198"/>
      <c r="VGJ74" s="2198"/>
      <c r="VGK74" s="2198"/>
      <c r="VGL74" s="2198"/>
      <c r="VGM74" s="2198"/>
      <c r="VGN74" s="2198"/>
      <c r="VGO74" s="2198"/>
      <c r="VGP74" s="2198"/>
      <c r="VGQ74" s="2198"/>
      <c r="VGR74" s="2198"/>
      <c r="VGS74" s="2198"/>
      <c r="VGT74" s="2198"/>
      <c r="VGU74" s="2198"/>
      <c r="VGV74" s="2198"/>
      <c r="VGW74" s="2198"/>
      <c r="VGX74" s="2198"/>
      <c r="VGY74" s="2198"/>
      <c r="VGZ74" s="2198"/>
      <c r="VHA74" s="2198"/>
      <c r="VHB74" s="2198"/>
      <c r="VHC74" s="2198"/>
      <c r="VHD74" s="2198"/>
      <c r="VHE74" s="2198"/>
      <c r="VHF74" s="2198"/>
      <c r="VHG74" s="2198"/>
      <c r="VHH74" s="2198"/>
      <c r="VHI74" s="2198"/>
      <c r="VHJ74" s="2198"/>
      <c r="VHK74" s="2198"/>
      <c r="VHL74" s="2198"/>
      <c r="VHM74" s="2198"/>
      <c r="VHN74" s="2198"/>
      <c r="VHO74" s="2198"/>
      <c r="VHP74" s="2198"/>
      <c r="VHQ74" s="2198"/>
      <c r="VHR74" s="2198"/>
      <c r="VHS74" s="2198"/>
      <c r="VHT74" s="2198"/>
      <c r="VHU74" s="2198"/>
      <c r="VHV74" s="2198"/>
      <c r="VHW74" s="2198"/>
      <c r="VHX74" s="2198"/>
      <c r="VHY74" s="2198"/>
      <c r="VHZ74" s="2198"/>
      <c r="VIA74" s="2198"/>
      <c r="VIB74" s="2198"/>
      <c r="VIC74" s="2198"/>
      <c r="VID74" s="2198"/>
      <c r="VIE74" s="2198"/>
      <c r="VIF74" s="2198"/>
      <c r="VIG74" s="2198"/>
      <c r="VIH74" s="2198"/>
      <c r="VII74" s="2198"/>
      <c r="VIJ74" s="2198"/>
      <c r="VIK74" s="2198"/>
      <c r="VIL74" s="2198"/>
      <c r="VIM74" s="2198"/>
      <c r="VIN74" s="2198"/>
      <c r="VIO74" s="2198"/>
      <c r="VIP74" s="2198"/>
      <c r="VIQ74" s="2198"/>
      <c r="VIR74" s="2198"/>
      <c r="VIS74" s="2198"/>
      <c r="VIT74" s="2198"/>
      <c r="VIU74" s="2198"/>
      <c r="VIV74" s="2198"/>
      <c r="VIW74" s="2198"/>
      <c r="VIX74" s="2198"/>
      <c r="VIY74" s="2198"/>
      <c r="VIZ74" s="2198"/>
      <c r="VJA74" s="2198"/>
      <c r="VJB74" s="2198"/>
      <c r="VJC74" s="2198"/>
      <c r="VJD74" s="2198"/>
      <c r="VJE74" s="2198"/>
      <c r="VJF74" s="2198"/>
      <c r="VJG74" s="2198"/>
      <c r="VJH74" s="2198"/>
      <c r="VJI74" s="2198"/>
      <c r="VJJ74" s="2198"/>
      <c r="VJK74" s="2198"/>
      <c r="VJL74" s="2198"/>
      <c r="VJM74" s="2198"/>
      <c r="VJN74" s="2198"/>
      <c r="VJO74" s="2198"/>
      <c r="VJP74" s="2198"/>
      <c r="VJQ74" s="2198"/>
      <c r="VJR74" s="2198"/>
      <c r="VJS74" s="2198"/>
      <c r="VJT74" s="2198"/>
      <c r="VJU74" s="2198"/>
      <c r="VJV74" s="2198"/>
      <c r="VJW74" s="2198"/>
      <c r="VJX74" s="2198"/>
      <c r="VJY74" s="2198"/>
      <c r="VJZ74" s="2198"/>
      <c r="VKA74" s="2198"/>
      <c r="VKB74" s="2198"/>
      <c r="VKC74" s="2198"/>
      <c r="VKD74" s="2198"/>
      <c r="VKE74" s="2198"/>
      <c r="VKF74" s="2198"/>
      <c r="VKG74" s="2198"/>
      <c r="VKH74" s="2198"/>
      <c r="VKI74" s="2198"/>
      <c r="VKJ74" s="2198"/>
      <c r="VKK74" s="2198"/>
      <c r="VKL74" s="2198"/>
      <c r="VKM74" s="2198"/>
      <c r="VKN74" s="2198"/>
      <c r="VKO74" s="2198"/>
      <c r="VKP74" s="2198"/>
      <c r="VKQ74" s="2198"/>
      <c r="VKR74" s="2198"/>
      <c r="VKS74" s="2198"/>
      <c r="VKT74" s="2198"/>
      <c r="VKU74" s="2198"/>
      <c r="VKV74" s="2198"/>
      <c r="VKW74" s="2198"/>
      <c r="VKX74" s="2198"/>
      <c r="VKY74" s="2198"/>
      <c r="VKZ74" s="2198"/>
      <c r="VLA74" s="2198"/>
      <c r="VLB74" s="2198"/>
      <c r="VLC74" s="2198"/>
      <c r="VLD74" s="2198"/>
      <c r="VLE74" s="2198"/>
      <c r="VLF74" s="2198"/>
      <c r="VLG74" s="2198"/>
      <c r="VLH74" s="2198"/>
      <c r="VLI74" s="2198"/>
      <c r="VLJ74" s="2198"/>
      <c r="VLK74" s="2198"/>
      <c r="VLL74" s="2198"/>
      <c r="VLM74" s="2198"/>
      <c r="VLN74" s="2198"/>
      <c r="VLO74" s="2198"/>
      <c r="VLP74" s="2198"/>
      <c r="VLQ74" s="2198"/>
      <c r="VLR74" s="2198"/>
      <c r="VLS74" s="2198"/>
      <c r="VLT74" s="2198"/>
      <c r="VLU74" s="2198"/>
      <c r="VLV74" s="2198"/>
      <c r="VLW74" s="2198"/>
      <c r="VLX74" s="2198"/>
      <c r="VLY74" s="2198"/>
      <c r="VLZ74" s="2198"/>
      <c r="VMA74" s="2198"/>
      <c r="VMB74" s="2198"/>
      <c r="VMC74" s="2198"/>
      <c r="VMD74" s="2198"/>
      <c r="VME74" s="2198"/>
      <c r="VMF74" s="2198"/>
      <c r="VMG74" s="2198"/>
      <c r="VMH74" s="2198"/>
      <c r="VMI74" s="2198"/>
      <c r="VMJ74" s="2198"/>
      <c r="VMK74" s="2198"/>
      <c r="VML74" s="2198"/>
      <c r="VMM74" s="2198"/>
      <c r="VMN74" s="2198"/>
      <c r="VMO74" s="2198"/>
      <c r="VMP74" s="2198"/>
      <c r="VMQ74" s="2198"/>
      <c r="VMR74" s="2198"/>
      <c r="VMS74" s="2198"/>
      <c r="VMT74" s="2198"/>
      <c r="VMU74" s="2198"/>
      <c r="VMV74" s="2198"/>
      <c r="VMW74" s="2198"/>
      <c r="VMX74" s="2198"/>
      <c r="VMY74" s="2198"/>
      <c r="VMZ74" s="2198"/>
      <c r="VNA74" s="2198"/>
      <c r="VNB74" s="2198"/>
      <c r="VNC74" s="2198"/>
      <c r="VND74" s="2198"/>
      <c r="VNE74" s="2198"/>
      <c r="VNF74" s="2198"/>
      <c r="VNG74" s="2198"/>
      <c r="VNH74" s="2198"/>
      <c r="VNI74" s="2198"/>
      <c r="VNJ74" s="2198"/>
      <c r="VNK74" s="2198"/>
      <c r="VNL74" s="2198"/>
      <c r="VNM74" s="2198"/>
      <c r="VNN74" s="2198"/>
      <c r="VNO74" s="2198"/>
      <c r="VNP74" s="2198"/>
      <c r="VNQ74" s="2198"/>
      <c r="VNR74" s="2198"/>
      <c r="VNS74" s="2198"/>
      <c r="VNT74" s="2198"/>
      <c r="VNU74" s="2198"/>
      <c r="VNV74" s="2198"/>
      <c r="VNW74" s="2198"/>
      <c r="VNX74" s="2198"/>
      <c r="VNY74" s="2198"/>
      <c r="VNZ74" s="2198"/>
      <c r="VOA74" s="2198"/>
      <c r="VOB74" s="2198"/>
      <c r="VOC74" s="2198"/>
      <c r="VOD74" s="2198"/>
      <c r="VOE74" s="2198"/>
      <c r="VOF74" s="2198"/>
      <c r="VOG74" s="2198"/>
      <c r="VOH74" s="2198"/>
      <c r="VOI74" s="2198"/>
      <c r="VOJ74" s="2198"/>
      <c r="VOK74" s="2198"/>
      <c r="VOL74" s="2198"/>
      <c r="VOM74" s="2198"/>
      <c r="VON74" s="2198"/>
      <c r="VOO74" s="2198"/>
      <c r="VOP74" s="2198"/>
      <c r="VOQ74" s="2198"/>
      <c r="VOR74" s="2198"/>
      <c r="VOS74" s="2198"/>
      <c r="VOT74" s="2198"/>
      <c r="VOU74" s="2198"/>
      <c r="VOV74" s="2198"/>
      <c r="VOW74" s="2198"/>
      <c r="VOX74" s="2198"/>
      <c r="VOY74" s="2198"/>
      <c r="VOZ74" s="2198"/>
      <c r="VPA74" s="2198"/>
      <c r="VPB74" s="2198"/>
      <c r="VPC74" s="2198"/>
      <c r="VPD74" s="2198"/>
      <c r="VPE74" s="2198"/>
      <c r="VPF74" s="2198"/>
      <c r="VPG74" s="2198"/>
      <c r="VPH74" s="2198"/>
      <c r="VPI74" s="2198"/>
      <c r="VPJ74" s="2198"/>
      <c r="VPK74" s="2198"/>
      <c r="VPL74" s="2198"/>
      <c r="VPM74" s="2198"/>
      <c r="VPN74" s="2198"/>
      <c r="VPO74" s="2198"/>
      <c r="VPP74" s="2198"/>
      <c r="VPQ74" s="2198"/>
      <c r="VPR74" s="2198"/>
      <c r="VPS74" s="2198"/>
      <c r="VPT74" s="2198"/>
      <c r="VPU74" s="2198"/>
      <c r="VPV74" s="2198"/>
      <c r="VPW74" s="2198"/>
      <c r="VPX74" s="2198"/>
      <c r="VPY74" s="2198"/>
      <c r="VPZ74" s="2198"/>
      <c r="VQA74" s="2198"/>
      <c r="VQB74" s="2198"/>
      <c r="VQC74" s="2198"/>
      <c r="VQD74" s="2198"/>
      <c r="VQE74" s="2198"/>
      <c r="VQF74" s="2198"/>
      <c r="VQG74" s="2198"/>
      <c r="VQH74" s="2198"/>
      <c r="VQI74" s="2198"/>
      <c r="VQJ74" s="2198"/>
      <c r="VQK74" s="2198"/>
      <c r="VQL74" s="2198"/>
      <c r="VQM74" s="2198"/>
      <c r="VQN74" s="2198"/>
      <c r="VQO74" s="2198"/>
      <c r="VQP74" s="2198"/>
      <c r="VQQ74" s="2198"/>
      <c r="VQR74" s="2198"/>
      <c r="VQS74" s="2198"/>
      <c r="VQT74" s="2198"/>
      <c r="VQU74" s="2198"/>
      <c r="VQV74" s="2198"/>
      <c r="VQW74" s="2198"/>
      <c r="VQX74" s="2198"/>
      <c r="VQY74" s="2198"/>
      <c r="VQZ74" s="2198"/>
      <c r="VRA74" s="2198"/>
      <c r="VRB74" s="2198"/>
      <c r="VRC74" s="2198"/>
      <c r="VRD74" s="2198"/>
      <c r="VRE74" s="2198"/>
      <c r="VRF74" s="2198"/>
      <c r="VRG74" s="2198"/>
      <c r="VRH74" s="2198"/>
      <c r="VRI74" s="2198"/>
      <c r="VRJ74" s="2198"/>
      <c r="VRK74" s="2198"/>
      <c r="VRL74" s="2198"/>
      <c r="VRM74" s="2198"/>
      <c r="VRN74" s="2198"/>
      <c r="VRO74" s="2198"/>
      <c r="VRP74" s="2198"/>
      <c r="VRQ74" s="2198"/>
      <c r="VRR74" s="2198"/>
      <c r="VRS74" s="2198"/>
      <c r="VRT74" s="2198"/>
      <c r="VRU74" s="2198"/>
      <c r="VRV74" s="2198"/>
      <c r="VRW74" s="2198"/>
      <c r="VRX74" s="2198"/>
      <c r="VRY74" s="2198"/>
      <c r="VRZ74" s="2198"/>
      <c r="VSA74" s="2198"/>
      <c r="VSB74" s="2198"/>
      <c r="VSC74" s="2198"/>
      <c r="VSD74" s="2198"/>
      <c r="VSE74" s="2198"/>
      <c r="VSF74" s="2198"/>
      <c r="VSG74" s="2198"/>
      <c r="VSH74" s="2198"/>
      <c r="VSI74" s="2198"/>
      <c r="VSJ74" s="2198"/>
      <c r="VSK74" s="2198"/>
      <c r="VSL74" s="2198"/>
      <c r="VSM74" s="2198"/>
      <c r="VSN74" s="2198"/>
      <c r="VSO74" s="2198"/>
      <c r="VSP74" s="2198"/>
      <c r="VSQ74" s="2198"/>
      <c r="VSR74" s="2198"/>
      <c r="VSS74" s="2198"/>
      <c r="VST74" s="2198"/>
      <c r="VSU74" s="2198"/>
      <c r="VSV74" s="2198"/>
      <c r="VSW74" s="2198"/>
      <c r="VSX74" s="2198"/>
      <c r="VSY74" s="2198"/>
      <c r="VSZ74" s="2198"/>
      <c r="VTA74" s="2198"/>
      <c r="VTB74" s="2198"/>
      <c r="VTC74" s="2198"/>
      <c r="VTD74" s="2198"/>
      <c r="VTE74" s="2198"/>
      <c r="VTF74" s="2198"/>
      <c r="VTG74" s="2198"/>
      <c r="VTH74" s="2198"/>
      <c r="VTI74" s="2198"/>
      <c r="VTJ74" s="2198"/>
      <c r="VTK74" s="2198"/>
      <c r="VTL74" s="2198"/>
      <c r="VTM74" s="2198"/>
      <c r="VTN74" s="2198"/>
      <c r="VTO74" s="2198"/>
      <c r="VTP74" s="2198"/>
      <c r="VTQ74" s="2198"/>
      <c r="VTR74" s="2198"/>
      <c r="VTS74" s="2198"/>
      <c r="VTT74" s="2198"/>
      <c r="VTU74" s="2198"/>
      <c r="VTV74" s="2198"/>
      <c r="VTW74" s="2198"/>
      <c r="VTX74" s="2198"/>
      <c r="VTY74" s="2198"/>
      <c r="VTZ74" s="2198"/>
      <c r="VUA74" s="2198"/>
      <c r="VUB74" s="2198"/>
      <c r="VUC74" s="2198"/>
      <c r="VUD74" s="2198"/>
      <c r="VUE74" s="2198"/>
      <c r="VUF74" s="2198"/>
      <c r="VUG74" s="2198"/>
      <c r="VUH74" s="2198"/>
      <c r="VUI74" s="2198"/>
      <c r="VUJ74" s="2198"/>
      <c r="VUK74" s="2198"/>
      <c r="VUL74" s="2198"/>
      <c r="VUM74" s="2198"/>
      <c r="VUN74" s="2198"/>
      <c r="VUO74" s="2198"/>
      <c r="VUP74" s="2198"/>
      <c r="VUQ74" s="2198"/>
      <c r="VUR74" s="2198"/>
      <c r="VUS74" s="2198"/>
      <c r="VUT74" s="2198"/>
      <c r="VUU74" s="2198"/>
      <c r="VUV74" s="2198"/>
      <c r="VUW74" s="2198"/>
      <c r="VUX74" s="2198"/>
      <c r="VUY74" s="2198"/>
      <c r="VUZ74" s="2198"/>
      <c r="VVA74" s="2198"/>
      <c r="VVB74" s="2198"/>
      <c r="VVC74" s="2198"/>
      <c r="VVD74" s="2198"/>
      <c r="VVE74" s="2198"/>
      <c r="VVF74" s="2198"/>
      <c r="VVG74" s="2198"/>
      <c r="VVH74" s="2198"/>
      <c r="VVI74" s="2198"/>
      <c r="VVJ74" s="2198"/>
      <c r="VVK74" s="2198"/>
      <c r="VVL74" s="2198"/>
      <c r="VVM74" s="2198"/>
      <c r="VVN74" s="2198"/>
      <c r="VVO74" s="2198"/>
      <c r="VVP74" s="2198"/>
      <c r="VVQ74" s="2198"/>
      <c r="VVR74" s="2198"/>
      <c r="VVS74" s="2198"/>
      <c r="VVT74" s="2198"/>
      <c r="VVU74" s="2198"/>
      <c r="VVV74" s="2198"/>
      <c r="VVW74" s="2198"/>
      <c r="VVX74" s="2198"/>
      <c r="VVY74" s="2198"/>
      <c r="VVZ74" s="2198"/>
      <c r="VWA74" s="2198"/>
      <c r="VWB74" s="2198"/>
      <c r="VWC74" s="2198"/>
      <c r="VWD74" s="2198"/>
      <c r="VWE74" s="2198"/>
      <c r="VWF74" s="2198"/>
      <c r="VWG74" s="2198"/>
      <c r="VWH74" s="2198"/>
      <c r="VWI74" s="2198"/>
      <c r="VWJ74" s="2198"/>
      <c r="VWK74" s="2198"/>
      <c r="VWL74" s="2198"/>
      <c r="VWM74" s="2198"/>
      <c r="VWN74" s="2198"/>
      <c r="VWO74" s="2198"/>
      <c r="VWP74" s="2198"/>
      <c r="VWQ74" s="2198"/>
      <c r="VWR74" s="2198"/>
      <c r="VWS74" s="2198"/>
      <c r="VWT74" s="2198"/>
      <c r="VWU74" s="2198"/>
      <c r="VWV74" s="2198"/>
      <c r="VWW74" s="2198"/>
      <c r="VWX74" s="2198"/>
      <c r="VWY74" s="2198"/>
      <c r="VWZ74" s="2198"/>
      <c r="VXA74" s="2198"/>
      <c r="VXB74" s="2198"/>
      <c r="VXC74" s="2198"/>
      <c r="VXD74" s="2198"/>
      <c r="VXE74" s="2198"/>
      <c r="VXF74" s="2198"/>
      <c r="VXG74" s="2198"/>
      <c r="VXH74" s="2198"/>
      <c r="VXI74" s="2198"/>
      <c r="VXJ74" s="2198"/>
      <c r="VXK74" s="2198"/>
      <c r="VXL74" s="2198"/>
      <c r="VXM74" s="2198"/>
      <c r="VXN74" s="2198"/>
      <c r="VXO74" s="2198"/>
      <c r="VXP74" s="2198"/>
      <c r="VXQ74" s="2198"/>
      <c r="VXR74" s="2198"/>
      <c r="VXS74" s="2198"/>
      <c r="VXT74" s="2198"/>
      <c r="VXU74" s="2198"/>
      <c r="VXV74" s="2198"/>
      <c r="VXW74" s="2198"/>
      <c r="VXX74" s="2198"/>
      <c r="VXY74" s="2198"/>
      <c r="VXZ74" s="2198"/>
      <c r="VYA74" s="2198"/>
      <c r="VYB74" s="2198"/>
      <c r="VYC74" s="2198"/>
      <c r="VYD74" s="2198"/>
      <c r="VYE74" s="2198"/>
      <c r="VYF74" s="2198"/>
      <c r="VYG74" s="2198"/>
      <c r="VYH74" s="2198"/>
      <c r="VYI74" s="2198"/>
      <c r="VYJ74" s="2198"/>
      <c r="VYK74" s="2198"/>
      <c r="VYL74" s="2198"/>
      <c r="VYM74" s="2198"/>
      <c r="VYN74" s="2198"/>
      <c r="VYO74" s="2198"/>
      <c r="VYP74" s="2198"/>
      <c r="VYQ74" s="2198"/>
      <c r="VYR74" s="2198"/>
      <c r="VYS74" s="2198"/>
      <c r="VYT74" s="2198"/>
      <c r="VYU74" s="2198"/>
      <c r="VYV74" s="2198"/>
      <c r="VYW74" s="2198"/>
      <c r="VYX74" s="2198"/>
      <c r="VYY74" s="2198"/>
      <c r="VYZ74" s="2198"/>
      <c r="VZA74" s="2198"/>
      <c r="VZB74" s="2198"/>
      <c r="VZC74" s="2198"/>
      <c r="VZD74" s="2198"/>
      <c r="VZE74" s="2198"/>
      <c r="VZF74" s="2198"/>
      <c r="VZG74" s="2198"/>
      <c r="VZH74" s="2198"/>
      <c r="VZI74" s="2198"/>
      <c r="VZJ74" s="2198"/>
      <c r="VZK74" s="2198"/>
      <c r="VZL74" s="2198"/>
      <c r="VZM74" s="2198"/>
      <c r="VZN74" s="2198"/>
      <c r="VZO74" s="2198"/>
      <c r="VZP74" s="2198"/>
      <c r="VZQ74" s="2198"/>
      <c r="VZR74" s="2198"/>
      <c r="VZS74" s="2198"/>
      <c r="VZT74" s="2198"/>
      <c r="VZU74" s="2198"/>
      <c r="VZV74" s="2198"/>
      <c r="VZW74" s="2198"/>
      <c r="VZX74" s="2198"/>
      <c r="VZY74" s="2198"/>
      <c r="VZZ74" s="2198"/>
      <c r="WAA74" s="2198"/>
      <c r="WAB74" s="2198"/>
      <c r="WAC74" s="2198"/>
      <c r="WAD74" s="2198"/>
      <c r="WAE74" s="2198"/>
      <c r="WAF74" s="2198"/>
      <c r="WAG74" s="2198"/>
      <c r="WAH74" s="2198"/>
      <c r="WAI74" s="2198"/>
      <c r="WAJ74" s="2198"/>
      <c r="WAK74" s="2198"/>
      <c r="WAL74" s="2198"/>
      <c r="WAM74" s="2198"/>
      <c r="WAN74" s="2198"/>
      <c r="WAO74" s="2198"/>
      <c r="WAP74" s="2198"/>
      <c r="WAQ74" s="2198"/>
      <c r="WAR74" s="2198"/>
      <c r="WAS74" s="2198"/>
      <c r="WAT74" s="2198"/>
      <c r="WAU74" s="2198"/>
      <c r="WAV74" s="2198"/>
      <c r="WAW74" s="2198"/>
      <c r="WAX74" s="2198"/>
      <c r="WAY74" s="2198"/>
      <c r="WAZ74" s="2198"/>
      <c r="WBA74" s="2198"/>
      <c r="WBB74" s="2198"/>
      <c r="WBC74" s="2198"/>
      <c r="WBD74" s="2198"/>
      <c r="WBE74" s="2198"/>
      <c r="WBF74" s="2198"/>
      <c r="WBG74" s="2198"/>
      <c r="WBH74" s="2198"/>
      <c r="WBI74" s="2198"/>
      <c r="WBJ74" s="2198"/>
      <c r="WBK74" s="2198"/>
      <c r="WBL74" s="2198"/>
      <c r="WBM74" s="2198"/>
      <c r="WBN74" s="2198"/>
      <c r="WBO74" s="2198"/>
      <c r="WBP74" s="2198"/>
      <c r="WBQ74" s="2198"/>
      <c r="WBR74" s="2198"/>
      <c r="WBS74" s="2198"/>
      <c r="WBT74" s="2198"/>
      <c r="WBU74" s="2198"/>
      <c r="WBV74" s="2198"/>
      <c r="WBW74" s="2198"/>
      <c r="WBX74" s="2198"/>
      <c r="WBY74" s="2198"/>
      <c r="WBZ74" s="2198"/>
      <c r="WCA74" s="2198"/>
      <c r="WCB74" s="2198"/>
      <c r="WCC74" s="2198"/>
      <c r="WCD74" s="2198"/>
      <c r="WCE74" s="2198"/>
      <c r="WCF74" s="2198"/>
      <c r="WCG74" s="2198"/>
      <c r="WCH74" s="2198"/>
      <c r="WCI74" s="2198"/>
      <c r="WCJ74" s="2198"/>
      <c r="WCK74" s="2198"/>
      <c r="WCL74" s="2198"/>
      <c r="WCM74" s="2198"/>
      <c r="WCN74" s="2198"/>
      <c r="WCO74" s="2198"/>
      <c r="WCP74" s="2198"/>
      <c r="WCQ74" s="2198"/>
      <c r="WCR74" s="2198"/>
      <c r="WCS74" s="2198"/>
      <c r="WCT74" s="2198"/>
      <c r="WCU74" s="2198"/>
      <c r="WCV74" s="2198"/>
      <c r="WCW74" s="2198"/>
      <c r="WCX74" s="2198"/>
      <c r="WCY74" s="2198"/>
      <c r="WCZ74" s="2198"/>
      <c r="WDA74" s="2198"/>
      <c r="WDB74" s="2198"/>
      <c r="WDC74" s="2198"/>
      <c r="WDD74" s="2198"/>
      <c r="WDE74" s="2198"/>
      <c r="WDF74" s="2198"/>
      <c r="WDG74" s="2198"/>
      <c r="WDH74" s="2198"/>
      <c r="WDI74" s="2198"/>
      <c r="WDJ74" s="2198"/>
      <c r="WDK74" s="2198"/>
      <c r="WDL74" s="2198"/>
      <c r="WDM74" s="2198"/>
      <c r="WDN74" s="2198"/>
      <c r="WDO74" s="2198"/>
      <c r="WDP74" s="2198"/>
      <c r="WDQ74" s="2198"/>
      <c r="WDR74" s="2198"/>
      <c r="WDS74" s="2198"/>
      <c r="WDT74" s="2198"/>
      <c r="WDU74" s="2198"/>
      <c r="WDV74" s="2198"/>
      <c r="WDW74" s="2198"/>
      <c r="WDX74" s="2198"/>
      <c r="WDY74" s="2198"/>
      <c r="WDZ74" s="2198"/>
      <c r="WEA74" s="2198"/>
      <c r="WEB74" s="2198"/>
      <c r="WEC74" s="2198"/>
      <c r="WED74" s="2198"/>
      <c r="WEE74" s="2198"/>
      <c r="WEF74" s="2198"/>
      <c r="WEG74" s="2198"/>
      <c r="WEH74" s="2198"/>
      <c r="WEI74" s="2198"/>
      <c r="WEJ74" s="2198"/>
      <c r="WEK74" s="2198"/>
      <c r="WEL74" s="2198"/>
      <c r="WEM74" s="2198"/>
      <c r="WEN74" s="2198"/>
      <c r="WEO74" s="2198"/>
      <c r="WEP74" s="2198"/>
      <c r="WEQ74" s="2198"/>
      <c r="WER74" s="2198"/>
      <c r="WES74" s="2198"/>
      <c r="WET74" s="2198"/>
      <c r="WEU74" s="2198"/>
      <c r="WEV74" s="2198"/>
      <c r="WEW74" s="2198"/>
      <c r="WEX74" s="2198"/>
      <c r="WEY74" s="2198"/>
      <c r="WEZ74" s="2198"/>
      <c r="WFA74" s="2198"/>
      <c r="WFB74" s="2198"/>
      <c r="WFC74" s="2198"/>
      <c r="WFD74" s="2198"/>
      <c r="WFE74" s="2198"/>
      <c r="WFF74" s="2198"/>
      <c r="WFG74" s="2198"/>
      <c r="WFH74" s="2198"/>
      <c r="WFI74" s="2198"/>
      <c r="WFJ74" s="2198"/>
      <c r="WFK74" s="2198"/>
      <c r="WFL74" s="2198"/>
      <c r="WFM74" s="2198"/>
      <c r="WFN74" s="2198"/>
      <c r="WFO74" s="2198"/>
      <c r="WFP74" s="2198"/>
      <c r="WFQ74" s="2198"/>
      <c r="WFR74" s="2198"/>
      <c r="WFS74" s="2198"/>
      <c r="WFT74" s="2198"/>
      <c r="WFU74" s="2198"/>
      <c r="WFV74" s="2198"/>
      <c r="WFW74" s="2198"/>
      <c r="WFX74" s="2198"/>
      <c r="WFY74" s="2198"/>
      <c r="WFZ74" s="2198"/>
      <c r="WGA74" s="2198"/>
      <c r="WGB74" s="2198"/>
      <c r="WGC74" s="2198"/>
      <c r="WGD74" s="2198"/>
      <c r="WGE74" s="2198"/>
      <c r="WGF74" s="2198"/>
      <c r="WGG74" s="2198"/>
      <c r="WGH74" s="2198"/>
      <c r="WGI74" s="2198"/>
      <c r="WGJ74" s="2198"/>
      <c r="WGK74" s="2198"/>
      <c r="WGL74" s="2198"/>
      <c r="WGM74" s="2198"/>
      <c r="WGN74" s="2198"/>
      <c r="WGO74" s="2198"/>
      <c r="WGP74" s="2198"/>
      <c r="WGQ74" s="2198"/>
      <c r="WGR74" s="2198"/>
      <c r="WGS74" s="2198"/>
      <c r="WGT74" s="2198"/>
      <c r="WGU74" s="2198"/>
      <c r="WGV74" s="2198"/>
      <c r="WGW74" s="2198"/>
      <c r="WGX74" s="2198"/>
      <c r="WGY74" s="2198"/>
      <c r="WGZ74" s="2198"/>
      <c r="WHA74" s="2198"/>
      <c r="WHB74" s="2198"/>
      <c r="WHC74" s="2198"/>
      <c r="WHD74" s="2198"/>
      <c r="WHE74" s="2198"/>
      <c r="WHF74" s="2198"/>
      <c r="WHG74" s="2198"/>
      <c r="WHH74" s="2198"/>
      <c r="WHI74" s="2198"/>
      <c r="WHJ74" s="2198"/>
      <c r="WHK74" s="2198"/>
      <c r="WHL74" s="2198"/>
      <c r="WHM74" s="2198"/>
      <c r="WHN74" s="2198"/>
      <c r="WHO74" s="2198"/>
      <c r="WHP74" s="2198"/>
      <c r="WHQ74" s="2198"/>
      <c r="WHR74" s="2198"/>
      <c r="WHS74" s="2198"/>
      <c r="WHT74" s="2198"/>
      <c r="WHU74" s="2198"/>
      <c r="WHV74" s="2198"/>
      <c r="WHW74" s="2198"/>
      <c r="WHX74" s="2198"/>
      <c r="WHY74" s="2198"/>
      <c r="WHZ74" s="2198"/>
      <c r="WIA74" s="2198"/>
      <c r="WIB74" s="2198"/>
      <c r="WIC74" s="2198"/>
      <c r="WID74" s="2198"/>
      <c r="WIE74" s="2198"/>
      <c r="WIF74" s="2198"/>
      <c r="WIG74" s="2198"/>
      <c r="WIH74" s="2198"/>
      <c r="WII74" s="2198"/>
      <c r="WIJ74" s="2198"/>
      <c r="WIK74" s="2198"/>
      <c r="WIL74" s="2198"/>
      <c r="WIM74" s="2198"/>
      <c r="WIN74" s="2198"/>
      <c r="WIO74" s="2198"/>
      <c r="WIP74" s="2198"/>
      <c r="WIQ74" s="2198"/>
      <c r="WIR74" s="2198"/>
      <c r="WIS74" s="2198"/>
      <c r="WIT74" s="2198"/>
      <c r="WIU74" s="2198"/>
      <c r="WIV74" s="2198"/>
      <c r="WIW74" s="2198"/>
      <c r="WIX74" s="2198"/>
      <c r="WIY74" s="2198"/>
      <c r="WIZ74" s="2198"/>
      <c r="WJA74" s="2198"/>
      <c r="WJB74" s="2198"/>
      <c r="WJC74" s="2198"/>
      <c r="WJD74" s="2198"/>
      <c r="WJE74" s="2198"/>
      <c r="WJF74" s="2198"/>
      <c r="WJG74" s="2198"/>
      <c r="WJH74" s="2198"/>
      <c r="WJI74" s="2198"/>
      <c r="WJJ74" s="2198"/>
      <c r="WJK74" s="2198"/>
      <c r="WJL74" s="2198"/>
      <c r="WJM74" s="2198"/>
      <c r="WJN74" s="2198"/>
      <c r="WJO74" s="2198"/>
      <c r="WJP74" s="2198"/>
      <c r="WJQ74" s="2198"/>
      <c r="WJR74" s="2198"/>
      <c r="WJS74" s="2198"/>
      <c r="WJT74" s="2198"/>
      <c r="WJU74" s="2198"/>
      <c r="WJV74" s="2198"/>
      <c r="WJW74" s="2198"/>
      <c r="WJX74" s="2198"/>
      <c r="WJY74" s="2198"/>
      <c r="WJZ74" s="2198"/>
      <c r="WKA74" s="2198"/>
      <c r="WKB74" s="2198"/>
      <c r="WKC74" s="2198"/>
      <c r="WKD74" s="2198"/>
      <c r="WKE74" s="2198"/>
      <c r="WKF74" s="2198"/>
      <c r="WKG74" s="2198"/>
      <c r="WKH74" s="2198"/>
      <c r="WKI74" s="2198"/>
      <c r="WKJ74" s="2198"/>
      <c r="WKK74" s="2198"/>
      <c r="WKL74" s="2198"/>
      <c r="WKM74" s="2198"/>
      <c r="WKN74" s="2198"/>
      <c r="WKO74" s="2198"/>
      <c r="WKP74" s="2198"/>
      <c r="WKQ74" s="2198"/>
      <c r="WKR74" s="2198"/>
      <c r="WKS74" s="2198"/>
      <c r="WKT74" s="2198"/>
      <c r="WKU74" s="2198"/>
      <c r="WKV74" s="2198"/>
      <c r="WKW74" s="2198"/>
      <c r="WKX74" s="2198"/>
      <c r="WKY74" s="2198"/>
      <c r="WKZ74" s="2198"/>
      <c r="WLA74" s="2198"/>
      <c r="WLB74" s="2198"/>
      <c r="WLC74" s="2198"/>
      <c r="WLD74" s="2198"/>
      <c r="WLE74" s="2198"/>
      <c r="WLF74" s="2198"/>
      <c r="WLG74" s="2198"/>
      <c r="WLH74" s="2198"/>
      <c r="WLI74" s="2198"/>
      <c r="WLJ74" s="2198"/>
      <c r="WLK74" s="2198"/>
      <c r="WLL74" s="2198"/>
      <c r="WLM74" s="2198"/>
      <c r="WLN74" s="2198"/>
      <c r="WLO74" s="2198"/>
      <c r="WLP74" s="2198"/>
      <c r="WLQ74" s="2198"/>
      <c r="WLR74" s="2198"/>
      <c r="WLS74" s="2198"/>
      <c r="WLT74" s="2198"/>
      <c r="WLU74" s="2198"/>
      <c r="WLV74" s="2198"/>
      <c r="WLW74" s="2198"/>
      <c r="WLX74" s="2198"/>
      <c r="WLY74" s="2198"/>
      <c r="WLZ74" s="2198"/>
      <c r="WMA74" s="2198"/>
      <c r="WMB74" s="2198"/>
      <c r="WMC74" s="2198"/>
      <c r="WMD74" s="2198"/>
      <c r="WME74" s="2198"/>
      <c r="WMF74" s="2198"/>
      <c r="WMG74" s="2198"/>
      <c r="WMH74" s="2198"/>
      <c r="WMI74" s="2198"/>
      <c r="WMJ74" s="2198"/>
      <c r="WMK74" s="2198"/>
      <c r="WML74" s="2198"/>
      <c r="WMM74" s="2198"/>
      <c r="WMN74" s="2198"/>
      <c r="WMO74" s="2198"/>
      <c r="WMP74" s="2198"/>
      <c r="WMQ74" s="2198"/>
      <c r="WMR74" s="2198"/>
      <c r="WMS74" s="2198"/>
      <c r="WMT74" s="2198"/>
      <c r="WMU74" s="2198"/>
      <c r="WMV74" s="2198"/>
      <c r="WMW74" s="2198"/>
      <c r="WMX74" s="2198"/>
      <c r="WMY74" s="2198"/>
      <c r="WMZ74" s="2198"/>
      <c r="WNA74" s="2198"/>
      <c r="WNB74" s="2198"/>
      <c r="WNC74" s="2198"/>
      <c r="WND74" s="2198"/>
      <c r="WNE74" s="2198"/>
      <c r="WNF74" s="2198"/>
      <c r="WNG74" s="2198"/>
      <c r="WNH74" s="2198"/>
      <c r="WNI74" s="2198"/>
      <c r="WNJ74" s="2198"/>
      <c r="WNK74" s="2198"/>
      <c r="WNL74" s="2198"/>
      <c r="WNM74" s="2198"/>
      <c r="WNN74" s="2198"/>
      <c r="WNO74" s="2198"/>
      <c r="WNP74" s="2198"/>
      <c r="WNQ74" s="2198"/>
      <c r="WNR74" s="2198"/>
      <c r="WNS74" s="2198"/>
      <c r="WNT74" s="2198"/>
      <c r="WNU74" s="2198"/>
      <c r="WNV74" s="2198"/>
      <c r="WNW74" s="2198"/>
      <c r="WNX74" s="2198"/>
      <c r="WNY74" s="2198"/>
      <c r="WNZ74" s="2198"/>
      <c r="WOA74" s="2198"/>
      <c r="WOB74" s="2198"/>
      <c r="WOC74" s="2198"/>
      <c r="WOD74" s="2198"/>
      <c r="WOE74" s="2198"/>
      <c r="WOF74" s="2198"/>
      <c r="WOG74" s="2198"/>
      <c r="WOH74" s="2198"/>
      <c r="WOI74" s="2198"/>
      <c r="WOJ74" s="2198"/>
      <c r="WOK74" s="2198"/>
      <c r="WOL74" s="2198"/>
      <c r="WOM74" s="2198"/>
      <c r="WON74" s="2198"/>
      <c r="WOO74" s="2198"/>
      <c r="WOP74" s="2198"/>
      <c r="WOQ74" s="2198"/>
      <c r="WOR74" s="2198"/>
      <c r="WOS74" s="2198"/>
      <c r="WOT74" s="2198"/>
      <c r="WOU74" s="2198"/>
      <c r="WOV74" s="2198"/>
      <c r="WOW74" s="2198"/>
      <c r="WOX74" s="2198"/>
      <c r="WOY74" s="2198"/>
      <c r="WOZ74" s="2198"/>
      <c r="WPA74" s="2198"/>
      <c r="WPB74" s="2198"/>
      <c r="WPC74" s="2198"/>
      <c r="WPD74" s="2198"/>
      <c r="WPE74" s="2198"/>
      <c r="WPF74" s="2198"/>
      <c r="WPG74" s="2198"/>
      <c r="WPH74" s="2198"/>
      <c r="WPI74" s="2198"/>
      <c r="WPJ74" s="2198"/>
      <c r="WPK74" s="2198"/>
      <c r="WPL74" s="2198"/>
      <c r="WPM74" s="2198"/>
      <c r="WPN74" s="2198"/>
      <c r="WPO74" s="2198"/>
      <c r="WPP74" s="2198"/>
      <c r="WPQ74" s="2198"/>
      <c r="WPR74" s="2198"/>
      <c r="WPS74" s="2198"/>
      <c r="WPT74" s="2198"/>
      <c r="WPU74" s="2198"/>
      <c r="WPV74" s="2198"/>
      <c r="WPW74" s="2198"/>
      <c r="WPX74" s="2198"/>
      <c r="WPY74" s="2198"/>
      <c r="WPZ74" s="2198"/>
      <c r="WQA74" s="2198"/>
      <c r="WQB74" s="2198"/>
      <c r="WQC74" s="2198"/>
      <c r="WQD74" s="2198"/>
      <c r="WQE74" s="2198"/>
      <c r="WQF74" s="2198"/>
      <c r="WQG74" s="2198"/>
      <c r="WQH74" s="2198"/>
      <c r="WQI74" s="2198"/>
      <c r="WQJ74" s="2198"/>
      <c r="WQK74" s="2198"/>
      <c r="WQL74" s="2198"/>
      <c r="WQM74" s="2198"/>
      <c r="WQN74" s="2198"/>
      <c r="WQO74" s="2198"/>
      <c r="WQP74" s="2198"/>
      <c r="WQQ74" s="2198"/>
      <c r="WQR74" s="2198"/>
      <c r="WQS74" s="2198"/>
      <c r="WQT74" s="2198"/>
      <c r="WQU74" s="2198"/>
      <c r="WQV74" s="2198"/>
      <c r="WQW74" s="2198"/>
      <c r="WQX74" s="2198"/>
      <c r="WQY74" s="2198"/>
      <c r="WQZ74" s="2198"/>
      <c r="WRA74" s="2198"/>
      <c r="WRB74" s="2198"/>
      <c r="WRC74" s="2198"/>
      <c r="WRD74" s="2198"/>
      <c r="WRE74" s="2198"/>
      <c r="WRF74" s="2198"/>
      <c r="WRG74" s="2198"/>
      <c r="WRH74" s="2198"/>
      <c r="WRI74" s="2198"/>
      <c r="WRJ74" s="2198"/>
      <c r="WRK74" s="2198"/>
      <c r="WRL74" s="2198"/>
      <c r="WRM74" s="2198"/>
      <c r="WRN74" s="2198"/>
      <c r="WRO74" s="2198"/>
      <c r="WRP74" s="2198"/>
      <c r="WRQ74" s="2198"/>
      <c r="WRR74" s="2198"/>
      <c r="WRS74" s="2198"/>
      <c r="WRT74" s="2198"/>
      <c r="WRU74" s="2198"/>
      <c r="WRV74" s="2198"/>
      <c r="WRW74" s="2198"/>
      <c r="WRX74" s="2198"/>
      <c r="WRY74" s="2198"/>
      <c r="WRZ74" s="2198"/>
      <c r="WSA74" s="2198"/>
      <c r="WSB74" s="2198"/>
      <c r="WSC74" s="2198"/>
      <c r="WSD74" s="2198"/>
      <c r="WSE74" s="2198"/>
      <c r="WSF74" s="2198"/>
      <c r="WSG74" s="2198"/>
      <c r="WSH74" s="2198"/>
      <c r="WSI74" s="2198"/>
      <c r="WSJ74" s="2198"/>
      <c r="WSK74" s="2198"/>
      <c r="WSL74" s="2198"/>
      <c r="WSM74" s="2198"/>
      <c r="WSN74" s="2198"/>
      <c r="WSO74" s="2198"/>
      <c r="WSP74" s="2198"/>
      <c r="WSQ74" s="2198"/>
      <c r="WSR74" s="2198"/>
      <c r="WSS74" s="2198"/>
      <c r="WST74" s="2198"/>
      <c r="WSU74" s="2198"/>
      <c r="WSV74" s="2198"/>
      <c r="WSW74" s="2198"/>
      <c r="WSX74" s="2198"/>
      <c r="WSY74" s="2198"/>
      <c r="WSZ74" s="2198"/>
      <c r="WTA74" s="2198"/>
      <c r="WTB74" s="2198"/>
      <c r="WTC74" s="2198"/>
      <c r="WTD74" s="2198"/>
      <c r="WTE74" s="2198"/>
      <c r="WTF74" s="2198"/>
      <c r="WTG74" s="2198"/>
      <c r="WTH74" s="2198"/>
      <c r="WTI74" s="2198"/>
      <c r="WTJ74" s="2198"/>
      <c r="WTK74" s="2198"/>
      <c r="WTL74" s="2198"/>
      <c r="WTM74" s="2198"/>
      <c r="WTN74" s="2198"/>
      <c r="WTO74" s="2198"/>
      <c r="WTP74" s="2198"/>
      <c r="WTQ74" s="2198"/>
      <c r="WTR74" s="2198"/>
      <c r="WTS74" s="2198"/>
      <c r="WTT74" s="2198"/>
      <c r="WTU74" s="2198"/>
      <c r="WTV74" s="2198"/>
      <c r="WTW74" s="2198"/>
      <c r="WTX74" s="2198"/>
      <c r="WTY74" s="2198"/>
      <c r="WTZ74" s="2198"/>
      <c r="WUA74" s="2198"/>
      <c r="WUB74" s="2198"/>
      <c r="WUC74" s="2198"/>
      <c r="WUD74" s="2198"/>
      <c r="WUE74" s="2198"/>
      <c r="WUF74" s="2198"/>
      <c r="WUG74" s="2198"/>
      <c r="WUH74" s="2198"/>
      <c r="WUI74" s="2198"/>
      <c r="WUJ74" s="2198"/>
      <c r="WUK74" s="2198"/>
      <c r="WUL74" s="2198"/>
      <c r="WUM74" s="2198"/>
      <c r="WUN74" s="2198"/>
      <c r="WUO74" s="2198"/>
      <c r="WUP74" s="2198"/>
      <c r="WUQ74" s="2198"/>
      <c r="WUR74" s="2198"/>
      <c r="WUS74" s="2198"/>
      <c r="WUT74" s="2198"/>
      <c r="WUU74" s="2198"/>
      <c r="WUV74" s="2198"/>
      <c r="WUW74" s="2198"/>
      <c r="WUX74" s="2198"/>
      <c r="WUY74" s="2198"/>
      <c r="WUZ74" s="2198"/>
      <c r="WVA74" s="2198"/>
      <c r="WVB74" s="2198"/>
      <c r="WVC74" s="2198"/>
      <c r="WVD74" s="2198"/>
      <c r="WVE74" s="2198"/>
      <c r="WVF74" s="2198"/>
      <c r="WVG74" s="2198"/>
      <c r="WVH74" s="2198"/>
      <c r="WVI74" s="2198"/>
      <c r="WVJ74" s="2198"/>
      <c r="WVK74" s="2198"/>
      <c r="WVL74" s="2198"/>
      <c r="WVM74" s="2198"/>
      <c r="WVN74" s="2198"/>
      <c r="WVO74" s="2198"/>
      <c r="WVP74" s="2198"/>
      <c r="WVQ74" s="2198"/>
      <c r="WVR74" s="2198"/>
      <c r="WVS74" s="2198"/>
      <c r="WVT74" s="2198"/>
      <c r="WVU74" s="2198"/>
      <c r="WVV74" s="2198"/>
      <c r="WVW74" s="2198"/>
      <c r="WVX74" s="2198"/>
      <c r="WVY74" s="2198"/>
      <c r="WVZ74" s="2198"/>
      <c r="WWA74" s="2198"/>
      <c r="WWB74" s="2198"/>
      <c r="WWC74" s="2198"/>
      <c r="WWD74" s="2198"/>
      <c r="WWE74" s="2198"/>
      <c r="WWF74" s="2198"/>
      <c r="WWG74" s="2198"/>
      <c r="WWH74" s="2198"/>
      <c r="WWI74" s="2198"/>
      <c r="WWJ74" s="2198"/>
      <c r="WWK74" s="2198"/>
      <c r="WWL74" s="2198"/>
      <c r="WWM74" s="2198"/>
      <c r="WWN74" s="2198"/>
      <c r="WWO74" s="2198"/>
      <c r="WWP74" s="2198"/>
      <c r="WWQ74" s="2198"/>
      <c r="WWR74" s="2198"/>
      <c r="WWS74" s="2198"/>
      <c r="WWT74" s="2198"/>
      <c r="WWU74" s="2198"/>
      <c r="WWV74" s="2198"/>
      <c r="WWW74" s="2198"/>
      <c r="WWX74" s="2198"/>
      <c r="WWY74" s="2198"/>
      <c r="WWZ74" s="2198"/>
      <c r="WXA74" s="2198"/>
      <c r="WXB74" s="2198"/>
      <c r="WXC74" s="2198"/>
      <c r="WXD74" s="2198"/>
      <c r="WXE74" s="2198"/>
      <c r="WXF74" s="2198"/>
      <c r="WXG74" s="2198"/>
      <c r="WXH74" s="2198"/>
      <c r="WXI74" s="2198"/>
      <c r="WXJ74" s="2198"/>
      <c r="WXK74" s="2198"/>
      <c r="WXL74" s="2198"/>
      <c r="WXM74" s="2198"/>
      <c r="WXN74" s="2198"/>
      <c r="WXO74" s="2198"/>
      <c r="WXP74" s="2198"/>
      <c r="WXQ74" s="2198"/>
      <c r="WXR74" s="2198"/>
      <c r="WXS74" s="2198"/>
      <c r="WXT74" s="2198"/>
      <c r="WXU74" s="2198"/>
      <c r="WXV74" s="2198"/>
      <c r="WXW74" s="2198"/>
      <c r="WXX74" s="2198"/>
      <c r="WXY74" s="2198"/>
      <c r="WXZ74" s="2198"/>
      <c r="WYA74" s="2198"/>
      <c r="WYB74" s="2198"/>
      <c r="WYC74" s="2198"/>
      <c r="WYD74" s="2198"/>
      <c r="WYE74" s="2198"/>
      <c r="WYF74" s="2198"/>
      <c r="WYG74" s="2198"/>
      <c r="WYH74" s="2198"/>
      <c r="WYI74" s="2198"/>
      <c r="WYJ74" s="2198"/>
      <c r="WYK74" s="2198"/>
      <c r="WYL74" s="2198"/>
      <c r="WYM74" s="2198"/>
      <c r="WYN74" s="2198"/>
      <c r="WYO74" s="2198"/>
      <c r="WYP74" s="2198"/>
      <c r="WYQ74" s="2198"/>
      <c r="WYR74" s="2198"/>
      <c r="WYS74" s="2198"/>
      <c r="WYT74" s="2198"/>
      <c r="WYU74" s="2198"/>
      <c r="WYV74" s="2198"/>
      <c r="WYW74" s="2198"/>
      <c r="WYX74" s="2198"/>
      <c r="WYY74" s="2198"/>
      <c r="WYZ74" s="2198"/>
      <c r="WZA74" s="2198"/>
      <c r="WZB74" s="2198"/>
      <c r="WZC74" s="2198"/>
      <c r="WZD74" s="2198"/>
      <c r="WZE74" s="2198"/>
      <c r="WZF74" s="2198"/>
      <c r="WZG74" s="2198"/>
      <c r="WZH74" s="2198"/>
      <c r="WZI74" s="2198"/>
      <c r="WZJ74" s="2198"/>
      <c r="WZK74" s="2198"/>
      <c r="WZL74" s="2198"/>
      <c r="WZM74" s="2198"/>
      <c r="WZN74" s="2198"/>
      <c r="WZO74" s="2198"/>
      <c r="WZP74" s="2198"/>
      <c r="WZQ74" s="2198"/>
      <c r="WZR74" s="2198"/>
      <c r="WZS74" s="2198"/>
      <c r="WZT74" s="2198"/>
      <c r="WZU74" s="2198"/>
      <c r="WZV74" s="2198"/>
      <c r="WZW74" s="2198"/>
      <c r="WZX74" s="2198"/>
      <c r="WZY74" s="2198"/>
      <c r="WZZ74" s="2198"/>
      <c r="XAA74" s="2198"/>
      <c r="XAB74" s="2198"/>
      <c r="XAC74" s="2198"/>
      <c r="XAD74" s="2198"/>
      <c r="XAE74" s="2198"/>
      <c r="XAF74" s="2198"/>
      <c r="XAG74" s="2198"/>
      <c r="XAH74" s="2198"/>
      <c r="XAI74" s="2198"/>
      <c r="XAJ74" s="2198"/>
      <c r="XAK74" s="2198"/>
      <c r="XAL74" s="2198"/>
      <c r="XAM74" s="2198"/>
      <c r="XAN74" s="2198"/>
      <c r="XAO74" s="2198"/>
      <c r="XAP74" s="2198"/>
      <c r="XAQ74" s="2198"/>
      <c r="XAR74" s="2198"/>
      <c r="XAS74" s="2198"/>
      <c r="XAT74" s="2198"/>
      <c r="XAU74" s="2198"/>
      <c r="XAV74" s="2198"/>
      <c r="XAW74" s="2198"/>
      <c r="XAX74" s="2198"/>
      <c r="XAY74" s="2198"/>
      <c r="XAZ74" s="2198"/>
      <c r="XBA74" s="2198"/>
      <c r="XBB74" s="2198"/>
      <c r="XBC74" s="2198"/>
      <c r="XBD74" s="2198"/>
      <c r="XBE74" s="2198"/>
      <c r="XBF74" s="2198"/>
      <c r="XBG74" s="2198"/>
      <c r="XBH74" s="2198"/>
      <c r="XBI74" s="2198"/>
      <c r="XBJ74" s="2198"/>
      <c r="XBK74" s="2198"/>
      <c r="XBL74" s="2198"/>
      <c r="XBM74" s="2198"/>
      <c r="XBN74" s="2198"/>
      <c r="XBO74" s="2198"/>
      <c r="XBP74" s="2198"/>
      <c r="XBQ74" s="2198"/>
      <c r="XBR74" s="2198"/>
      <c r="XBS74" s="2198"/>
      <c r="XBT74" s="2198"/>
      <c r="XBU74" s="2198"/>
      <c r="XBV74" s="2198"/>
      <c r="XBW74" s="2198"/>
      <c r="XBX74" s="2198"/>
      <c r="XBY74" s="2198"/>
      <c r="XBZ74" s="2198"/>
      <c r="XCA74" s="2198"/>
      <c r="XCB74" s="2198"/>
      <c r="XCC74" s="2198"/>
      <c r="XCD74" s="2198"/>
      <c r="XCE74" s="2198"/>
      <c r="XCF74" s="2198"/>
      <c r="XCG74" s="2198"/>
      <c r="XCH74" s="2198"/>
      <c r="XCI74" s="2198"/>
      <c r="XCJ74" s="2198"/>
      <c r="XCK74" s="2198"/>
      <c r="XCL74" s="2198"/>
      <c r="XCM74" s="2198"/>
      <c r="XCN74" s="2198"/>
      <c r="XCO74" s="2198"/>
      <c r="XCP74" s="2198"/>
      <c r="XCQ74" s="2198"/>
      <c r="XCR74" s="2198"/>
      <c r="XCS74" s="2198"/>
      <c r="XCT74" s="2198"/>
      <c r="XCU74" s="2198"/>
      <c r="XCV74" s="2198"/>
      <c r="XCW74" s="2198"/>
      <c r="XCX74" s="2198"/>
      <c r="XCY74" s="2198"/>
      <c r="XCZ74" s="2198"/>
      <c r="XDA74" s="2198"/>
      <c r="XDB74" s="2198"/>
      <c r="XDC74" s="2198"/>
      <c r="XDD74" s="2198"/>
      <c r="XDE74" s="2198"/>
      <c r="XDF74" s="2198"/>
      <c r="XDG74" s="2198"/>
      <c r="XDH74" s="2198"/>
      <c r="XDI74" s="2198"/>
      <c r="XDJ74" s="2198"/>
      <c r="XDK74" s="2198"/>
      <c r="XDL74" s="2198"/>
      <c r="XDM74" s="2198"/>
      <c r="XDN74" s="2198"/>
      <c r="XDO74" s="2198"/>
      <c r="XDP74" s="2198"/>
      <c r="XDQ74" s="2198"/>
      <c r="XDR74" s="2198"/>
      <c r="XDS74" s="2198"/>
      <c r="XDT74" s="2198"/>
      <c r="XDU74" s="2198"/>
      <c r="XDV74" s="2198"/>
      <c r="XDW74" s="2198"/>
      <c r="XDX74" s="2198"/>
      <c r="XDY74" s="2198"/>
      <c r="XDZ74" s="2198"/>
      <c r="XEA74" s="2198"/>
      <c r="XEB74" s="2198"/>
      <c r="XEC74" s="2198"/>
      <c r="XED74" s="2198"/>
      <c r="XEE74" s="2198"/>
      <c r="XEF74" s="2198"/>
      <c r="XEG74" s="2198"/>
      <c r="XEH74" s="2198"/>
      <c r="XEI74" s="2198"/>
      <c r="XEJ74" s="2198"/>
      <c r="XEK74" s="2198"/>
      <c r="XEL74" s="2198"/>
      <c r="XEM74" s="2198"/>
      <c r="XEN74" s="2198"/>
      <c r="XEO74" s="2198"/>
      <c r="XEP74" s="2198"/>
      <c r="XEQ74" s="2198"/>
      <c r="XER74" s="2198"/>
      <c r="XES74" s="2198"/>
      <c r="XET74" s="2198"/>
      <c r="XEU74" s="2198"/>
      <c r="XEV74" s="2198"/>
      <c r="XEW74" s="2198"/>
      <c r="XEX74" s="2198"/>
      <c r="XEY74" s="2198"/>
      <c r="XEZ74" s="2198"/>
      <c r="XFA74" s="2198"/>
      <c r="XFB74" s="2198"/>
      <c r="XFC74" s="2198"/>
    </row>
    <row r="75" spans="2:16383" ht="15" x14ac:dyDescent="0.25">
      <c r="B75" s="2410"/>
      <c r="C75" s="2432" t="s">
        <v>1367</v>
      </c>
      <c r="D75" s="2415" t="s">
        <v>1365</v>
      </c>
      <c r="E75" s="2411" t="s">
        <v>319</v>
      </c>
      <c r="F75" s="2411"/>
      <c r="G75" s="2431">
        <v>612343.77141699858</v>
      </c>
      <c r="H75" s="2431">
        <v>610334.66206455615</v>
      </c>
      <c r="I75" s="2431">
        <v>611969.6517542447</v>
      </c>
      <c r="J75" s="2431">
        <v>611790.60052661318</v>
      </c>
      <c r="K75" s="2431">
        <v>610411.75031428493</v>
      </c>
      <c r="L75" s="2431">
        <v>607744.87421556236</v>
      </c>
      <c r="M75" s="2431">
        <v>603391.18460127315</v>
      </c>
      <c r="N75" s="2431">
        <v>599214.19884185086</v>
      </c>
      <c r="O75" s="2431">
        <v>595211.71244290506</v>
      </c>
      <c r="P75" s="2431">
        <v>591240.90022991283</v>
      </c>
      <c r="Q75" s="2431">
        <v>587110.26031138038</v>
      </c>
      <c r="R75" s="2431">
        <v>583825.51069021726</v>
      </c>
      <c r="S75" s="2431">
        <v>581210.13084078056</v>
      </c>
      <c r="T75" s="2431">
        <v>579125.61380320904</v>
      </c>
      <c r="U75" s="2431">
        <v>577462.86454834847</v>
      </c>
      <c r="V75" s="2431">
        <v>576135.68810536049</v>
      </c>
      <c r="W75" s="2431">
        <v>575075.8119921725</v>
      </c>
      <c r="X75" s="2431">
        <v>574229.05025080591</v>
      </c>
      <c r="Y75" s="2431">
        <v>573552.32693520258</v>
      </c>
      <c r="Z75" s="2431">
        <v>573011.3532768552</v>
      </c>
      <c r="AA75" s="2431">
        <v>572578.80640230828</v>
      </c>
      <c r="AB75" s="2431">
        <v>572232.89575863886</v>
      </c>
      <c r="AC75" s="2431">
        <v>571956.23112859461</v>
      </c>
      <c r="AD75" s="2431">
        <v>571734.92647575552</v>
      </c>
      <c r="AE75" s="2431">
        <v>571557.88899865956</v>
      </c>
      <c r="AF75" s="2431">
        <v>571416.25415786018</v>
      </c>
      <c r="AG75" s="2431">
        <v>571302.93608796096</v>
      </c>
      <c r="AH75" s="2431">
        <v>571212.26943338651</v>
      </c>
      <c r="AI75" s="2431">
        <v>571139.72376256168</v>
      </c>
      <c r="AJ75" s="2431">
        <v>571081.67568999971</v>
      </c>
      <c r="AK75" s="2431">
        <v>571035.22694067564</v>
      </c>
      <c r="AL75" s="2431">
        <v>570998.05902713363</v>
      </c>
      <c r="AM75" s="2431">
        <v>570968.31712836446</v>
      </c>
      <c r="AN75" s="2431">
        <v>570944.51727492316</v>
      </c>
      <c r="AO75" s="2431">
        <v>570925.47214491363</v>
      </c>
      <c r="AP75" s="2431">
        <v>570910.23172771942</v>
      </c>
      <c r="AQ75" s="2431">
        <v>570898.03586928989</v>
      </c>
      <c r="AR75" s="2431">
        <v>570888.27631515136</v>
      </c>
      <c r="AS75" s="2431">
        <v>570880.46634725004</v>
      </c>
      <c r="AT75" s="2198"/>
      <c r="AU75" s="2198"/>
      <c r="AV75" s="2198"/>
      <c r="AW75" s="2198"/>
      <c r="AX75" s="2198"/>
      <c r="AY75" s="2198"/>
      <c r="AZ75" s="2198"/>
      <c r="BA75" s="2198"/>
      <c r="BB75" s="2198"/>
      <c r="BC75" s="2198"/>
      <c r="BD75" s="2198"/>
      <c r="BE75" s="2198"/>
      <c r="BF75" s="2198"/>
      <c r="BG75" s="2198"/>
      <c r="BH75" s="2198"/>
      <c r="BI75" s="2198"/>
      <c r="BJ75" s="2198"/>
      <c r="BK75" s="2198"/>
      <c r="BL75" s="2198"/>
      <c r="BM75" s="2198"/>
      <c r="BN75" s="2198"/>
      <c r="BO75" s="2198"/>
      <c r="BP75" s="2198"/>
      <c r="BQ75" s="2198"/>
      <c r="BR75" s="2198"/>
      <c r="BS75" s="2198"/>
      <c r="BT75" s="2198"/>
      <c r="BU75" s="2198"/>
      <c r="BV75" s="2198"/>
      <c r="BW75" s="2198"/>
      <c r="BX75" s="2198"/>
      <c r="BY75" s="2198"/>
      <c r="BZ75" s="2198"/>
      <c r="CA75" s="2198"/>
      <c r="CB75" s="2198"/>
      <c r="CC75" s="2198"/>
      <c r="CD75" s="2198"/>
      <c r="CE75" s="2198"/>
      <c r="CF75" s="2198"/>
      <c r="CG75" s="2198"/>
      <c r="CH75" s="2198"/>
      <c r="CI75" s="2198"/>
      <c r="CJ75" s="2198"/>
      <c r="CK75" s="2198"/>
      <c r="CL75" s="2198"/>
      <c r="CM75" s="2198"/>
      <c r="CN75" s="2198"/>
      <c r="CO75" s="2198"/>
      <c r="CP75" s="2198"/>
      <c r="CQ75" s="2198"/>
      <c r="CR75" s="2198"/>
      <c r="CS75" s="2198"/>
      <c r="CT75" s="2198"/>
      <c r="CU75" s="2198"/>
      <c r="CV75" s="2198"/>
      <c r="CW75" s="2198"/>
      <c r="CX75" s="2198"/>
      <c r="CY75" s="2198"/>
      <c r="CZ75" s="2198"/>
      <c r="DA75" s="2198"/>
      <c r="DB75" s="2198"/>
      <c r="DC75" s="2198"/>
      <c r="DD75" s="2198"/>
      <c r="DE75" s="2198"/>
      <c r="DF75" s="2198"/>
      <c r="DG75" s="2198"/>
      <c r="DH75" s="2198"/>
      <c r="DI75" s="2198"/>
      <c r="DJ75" s="2198"/>
      <c r="DK75" s="2198"/>
      <c r="DL75" s="2198"/>
      <c r="DM75" s="2198"/>
      <c r="DN75" s="2198"/>
      <c r="DO75" s="2198"/>
      <c r="DP75" s="2198"/>
      <c r="DQ75" s="2198"/>
      <c r="DR75" s="2198"/>
      <c r="DS75" s="2198"/>
      <c r="DT75" s="2198"/>
      <c r="DU75" s="2198"/>
      <c r="DV75" s="2198"/>
      <c r="DW75" s="2198"/>
      <c r="DX75" s="2198"/>
      <c r="DY75" s="2198"/>
      <c r="DZ75" s="2198"/>
      <c r="EA75" s="2198"/>
      <c r="EB75" s="2198"/>
      <c r="EC75" s="2198"/>
      <c r="ED75" s="2198"/>
      <c r="EE75" s="2198"/>
      <c r="EF75" s="2198"/>
      <c r="EG75" s="2198"/>
      <c r="EH75" s="2198"/>
      <c r="EI75" s="2198"/>
      <c r="EJ75" s="2198"/>
      <c r="EK75" s="2198"/>
      <c r="EL75" s="2198"/>
      <c r="EM75" s="2198"/>
      <c r="EN75" s="2198"/>
      <c r="EO75" s="2198"/>
      <c r="EP75" s="2198"/>
      <c r="EQ75" s="2198"/>
      <c r="ER75" s="2198"/>
      <c r="ES75" s="2198"/>
      <c r="ET75" s="2198"/>
      <c r="EU75" s="2198"/>
      <c r="EV75" s="2198"/>
      <c r="EW75" s="2198"/>
      <c r="EX75" s="2198"/>
      <c r="EY75" s="2198"/>
      <c r="EZ75" s="2198"/>
      <c r="FA75" s="2198"/>
      <c r="FB75" s="2198"/>
      <c r="FC75" s="2198"/>
      <c r="FD75" s="2198"/>
      <c r="FE75" s="2198"/>
      <c r="FF75" s="2198"/>
      <c r="FG75" s="2198"/>
      <c r="FH75" s="2198"/>
      <c r="FI75" s="2198"/>
      <c r="FJ75" s="2198"/>
      <c r="FK75" s="2198"/>
      <c r="FL75" s="2198"/>
      <c r="FM75" s="2198"/>
      <c r="FN75" s="2198"/>
      <c r="FO75" s="2198"/>
      <c r="FP75" s="2198"/>
      <c r="FQ75" s="2198"/>
      <c r="FR75" s="2198"/>
      <c r="FS75" s="2198"/>
      <c r="FT75" s="2198"/>
      <c r="FU75" s="2198"/>
      <c r="FV75" s="2198"/>
      <c r="FW75" s="2198"/>
      <c r="FX75" s="2198"/>
      <c r="FY75" s="2198"/>
      <c r="FZ75" s="2198"/>
      <c r="GA75" s="2198"/>
      <c r="GB75" s="2198"/>
      <c r="GC75" s="2198"/>
      <c r="GD75" s="2198"/>
      <c r="GE75" s="2198"/>
      <c r="GF75" s="2198"/>
      <c r="GG75" s="2198"/>
      <c r="GH75" s="2198"/>
      <c r="GI75" s="2198"/>
      <c r="GJ75" s="2198"/>
      <c r="GK75" s="2198"/>
      <c r="GL75" s="2198"/>
      <c r="GM75" s="2198"/>
      <c r="GN75" s="2198"/>
      <c r="GO75" s="2198"/>
      <c r="GP75" s="2198"/>
      <c r="GQ75" s="2198"/>
      <c r="GR75" s="2198"/>
      <c r="GS75" s="2198"/>
      <c r="GT75" s="2198"/>
      <c r="GU75" s="2198"/>
      <c r="GV75" s="2198"/>
      <c r="GW75" s="2198"/>
      <c r="GX75" s="2198"/>
      <c r="GY75" s="2198"/>
      <c r="GZ75" s="2198"/>
      <c r="HA75" s="2198"/>
      <c r="HB75" s="2198"/>
      <c r="HC75" s="2198"/>
      <c r="HD75" s="2198"/>
      <c r="HE75" s="2198"/>
      <c r="HF75" s="2198"/>
      <c r="HG75" s="2198"/>
      <c r="HH75" s="2198"/>
      <c r="HI75" s="2198"/>
      <c r="HJ75" s="2198"/>
      <c r="HK75" s="2198"/>
      <c r="HL75" s="2198"/>
      <c r="HM75" s="2198"/>
      <c r="HN75" s="2198"/>
      <c r="HO75" s="2198"/>
      <c r="HP75" s="2198"/>
      <c r="HQ75" s="2198"/>
      <c r="HR75" s="2198"/>
      <c r="HS75" s="2198"/>
      <c r="HT75" s="2198"/>
      <c r="HU75" s="2198"/>
      <c r="HV75" s="2198"/>
      <c r="HW75" s="2198"/>
      <c r="HX75" s="2198"/>
      <c r="HY75" s="2198"/>
      <c r="HZ75" s="2198"/>
      <c r="IA75" s="2198"/>
      <c r="IB75" s="2198"/>
      <c r="IC75" s="2198"/>
      <c r="ID75" s="2198"/>
      <c r="IE75" s="2198"/>
      <c r="IF75" s="2198"/>
      <c r="IG75" s="2198"/>
      <c r="IH75" s="2198"/>
      <c r="II75" s="2198"/>
      <c r="IJ75" s="2198"/>
      <c r="IK75" s="2198"/>
      <c r="IL75" s="2198"/>
      <c r="IM75" s="2198"/>
      <c r="IN75" s="2198"/>
      <c r="IO75" s="2198"/>
      <c r="IP75" s="2198"/>
      <c r="IQ75" s="2198"/>
      <c r="IR75" s="2198"/>
      <c r="IS75" s="2198"/>
      <c r="IT75" s="2198"/>
      <c r="IU75" s="2198"/>
      <c r="IV75" s="2198"/>
      <c r="IW75" s="2198"/>
      <c r="IX75" s="2198"/>
      <c r="IY75" s="2198"/>
      <c r="IZ75" s="2198"/>
      <c r="JA75" s="2198"/>
      <c r="JB75" s="2198"/>
      <c r="JC75" s="2198"/>
      <c r="JD75" s="2198"/>
      <c r="JE75" s="2198"/>
      <c r="JF75" s="2198"/>
      <c r="JG75" s="2198"/>
      <c r="JH75" s="2198"/>
      <c r="JI75" s="2198"/>
      <c r="JJ75" s="2198"/>
      <c r="JK75" s="2198"/>
      <c r="JL75" s="2198"/>
      <c r="JM75" s="2198"/>
      <c r="JN75" s="2198"/>
      <c r="JO75" s="2198"/>
      <c r="JP75" s="2198"/>
      <c r="JQ75" s="2198"/>
      <c r="JR75" s="2198"/>
      <c r="JS75" s="2198"/>
      <c r="JT75" s="2198"/>
      <c r="JU75" s="2198"/>
      <c r="JV75" s="2198"/>
      <c r="JW75" s="2198"/>
      <c r="JX75" s="2198"/>
      <c r="JY75" s="2198"/>
      <c r="JZ75" s="2198"/>
      <c r="KA75" s="2198"/>
      <c r="KB75" s="2198"/>
      <c r="KC75" s="2198"/>
      <c r="KD75" s="2198"/>
      <c r="KE75" s="2198"/>
      <c r="KF75" s="2198"/>
      <c r="KG75" s="2198"/>
      <c r="KH75" s="2198"/>
      <c r="KI75" s="2198"/>
      <c r="KJ75" s="2198"/>
      <c r="KK75" s="2198"/>
      <c r="KL75" s="2198"/>
      <c r="KM75" s="2198"/>
      <c r="KN75" s="2198"/>
      <c r="KO75" s="2198"/>
      <c r="KP75" s="2198"/>
      <c r="KQ75" s="2198"/>
      <c r="KR75" s="2198"/>
      <c r="KS75" s="2198"/>
      <c r="KT75" s="2198"/>
      <c r="KU75" s="2198"/>
      <c r="KV75" s="2198"/>
      <c r="KW75" s="2198"/>
      <c r="KX75" s="2198"/>
      <c r="KY75" s="2198"/>
      <c r="KZ75" s="2198"/>
      <c r="LA75" s="2198"/>
      <c r="LB75" s="2198"/>
      <c r="LC75" s="2198"/>
      <c r="LD75" s="2198"/>
      <c r="LE75" s="2198"/>
      <c r="LF75" s="2198"/>
      <c r="LG75" s="2198"/>
      <c r="LH75" s="2198"/>
      <c r="LI75" s="2198"/>
      <c r="LJ75" s="2198"/>
      <c r="LK75" s="2198"/>
      <c r="LL75" s="2198"/>
      <c r="LM75" s="2198"/>
      <c r="LN75" s="2198"/>
      <c r="LO75" s="2198"/>
      <c r="LP75" s="2198"/>
      <c r="LQ75" s="2198"/>
      <c r="LR75" s="2198"/>
      <c r="LS75" s="2198"/>
      <c r="LT75" s="2198"/>
      <c r="LU75" s="2198"/>
      <c r="LV75" s="2198"/>
      <c r="LW75" s="2198"/>
      <c r="LX75" s="2198"/>
      <c r="LY75" s="2198"/>
      <c r="LZ75" s="2198"/>
      <c r="MA75" s="2198"/>
      <c r="MB75" s="2198"/>
      <c r="MC75" s="2198"/>
      <c r="MD75" s="2198"/>
      <c r="ME75" s="2198"/>
      <c r="MF75" s="2198"/>
      <c r="MG75" s="2198"/>
      <c r="MH75" s="2198"/>
      <c r="MI75" s="2198"/>
      <c r="MJ75" s="2198"/>
      <c r="MK75" s="2198"/>
      <c r="ML75" s="2198"/>
      <c r="MM75" s="2198"/>
      <c r="MN75" s="2198"/>
      <c r="MO75" s="2198"/>
      <c r="MP75" s="2198"/>
      <c r="MQ75" s="2198"/>
      <c r="MR75" s="2198"/>
      <c r="MS75" s="2198"/>
      <c r="MT75" s="2198"/>
      <c r="MU75" s="2198"/>
      <c r="MV75" s="2198"/>
      <c r="MW75" s="2198"/>
      <c r="MX75" s="2198"/>
      <c r="MY75" s="2198"/>
      <c r="MZ75" s="2198"/>
      <c r="NA75" s="2198"/>
      <c r="NB75" s="2198"/>
      <c r="NC75" s="2198"/>
      <c r="ND75" s="2198"/>
      <c r="NE75" s="2198"/>
      <c r="NF75" s="2198"/>
      <c r="NG75" s="2198"/>
      <c r="NH75" s="2198"/>
      <c r="NI75" s="2198"/>
      <c r="NJ75" s="2198"/>
      <c r="NK75" s="2198"/>
      <c r="NL75" s="2198"/>
      <c r="NM75" s="2198"/>
      <c r="NN75" s="2198"/>
      <c r="NO75" s="2198"/>
      <c r="NP75" s="2198"/>
      <c r="NQ75" s="2198"/>
      <c r="NR75" s="2198"/>
      <c r="NS75" s="2198"/>
      <c r="NT75" s="2198"/>
      <c r="NU75" s="2198"/>
      <c r="NV75" s="2198"/>
      <c r="NW75" s="2198"/>
      <c r="NX75" s="2198"/>
      <c r="NY75" s="2198"/>
      <c r="NZ75" s="2198"/>
      <c r="OA75" s="2198"/>
      <c r="OB75" s="2198"/>
      <c r="OC75" s="2198"/>
      <c r="OD75" s="2198"/>
      <c r="OE75" s="2198"/>
      <c r="OF75" s="2198"/>
      <c r="OG75" s="2198"/>
      <c r="OH75" s="2198"/>
      <c r="OI75" s="2198"/>
      <c r="OJ75" s="2198"/>
      <c r="OK75" s="2198"/>
      <c r="OL75" s="2198"/>
      <c r="OM75" s="2198"/>
      <c r="ON75" s="2198"/>
      <c r="OO75" s="2198"/>
      <c r="OP75" s="2198"/>
      <c r="OQ75" s="2198"/>
      <c r="OR75" s="2198"/>
      <c r="OS75" s="2198"/>
      <c r="OT75" s="2198"/>
      <c r="OU75" s="2198"/>
      <c r="OV75" s="2198"/>
      <c r="OW75" s="2198"/>
      <c r="OX75" s="2198"/>
      <c r="OY75" s="2198"/>
      <c r="OZ75" s="2198"/>
      <c r="PA75" s="2198"/>
      <c r="PB75" s="2198"/>
      <c r="PC75" s="2198"/>
      <c r="PD75" s="2198"/>
      <c r="PE75" s="2198"/>
      <c r="PF75" s="2198"/>
      <c r="PG75" s="2198"/>
      <c r="PH75" s="2198"/>
      <c r="PI75" s="2198"/>
      <c r="PJ75" s="2198"/>
      <c r="PK75" s="2198"/>
      <c r="PL75" s="2198"/>
      <c r="PM75" s="2198"/>
      <c r="PN75" s="2198"/>
      <c r="PO75" s="2198"/>
      <c r="PP75" s="2198"/>
      <c r="PQ75" s="2198"/>
      <c r="PR75" s="2198"/>
      <c r="PS75" s="2198"/>
      <c r="PT75" s="2198"/>
      <c r="PU75" s="2198"/>
      <c r="PV75" s="2198"/>
      <c r="PW75" s="2198"/>
      <c r="PX75" s="2198"/>
      <c r="PY75" s="2198"/>
      <c r="PZ75" s="2198"/>
      <c r="QA75" s="2198"/>
      <c r="QB75" s="2198"/>
      <c r="QC75" s="2198"/>
      <c r="QD75" s="2198"/>
      <c r="QE75" s="2198"/>
      <c r="QF75" s="2198"/>
      <c r="QG75" s="2198"/>
      <c r="QH75" s="2198"/>
      <c r="QI75" s="2198"/>
      <c r="QJ75" s="2198"/>
      <c r="QK75" s="2198"/>
      <c r="QL75" s="2198"/>
      <c r="QM75" s="2198"/>
      <c r="QN75" s="2198"/>
      <c r="QO75" s="2198"/>
      <c r="QP75" s="2198"/>
      <c r="QQ75" s="2198"/>
      <c r="QR75" s="2198"/>
      <c r="QS75" s="2198"/>
      <c r="QT75" s="2198"/>
      <c r="QU75" s="2198"/>
      <c r="QV75" s="2198"/>
      <c r="QW75" s="2198"/>
      <c r="QX75" s="2198"/>
      <c r="QY75" s="2198"/>
      <c r="QZ75" s="2198"/>
      <c r="RA75" s="2198"/>
      <c r="RB75" s="2198"/>
      <c r="RC75" s="2198"/>
      <c r="RD75" s="2198"/>
      <c r="RE75" s="2198"/>
      <c r="RF75" s="2198"/>
      <c r="RG75" s="2198"/>
      <c r="RH75" s="2198"/>
      <c r="RI75" s="2198"/>
      <c r="RJ75" s="2198"/>
      <c r="RK75" s="2198"/>
      <c r="RL75" s="2198"/>
      <c r="RM75" s="2198"/>
      <c r="RN75" s="2198"/>
      <c r="RO75" s="2198"/>
      <c r="RP75" s="2198"/>
      <c r="RQ75" s="2198"/>
      <c r="RR75" s="2198"/>
      <c r="RS75" s="2198"/>
      <c r="RT75" s="2198"/>
      <c r="RU75" s="2198"/>
      <c r="RV75" s="2198"/>
      <c r="RW75" s="2198"/>
      <c r="RX75" s="2198"/>
      <c r="RY75" s="2198"/>
      <c r="RZ75" s="2198"/>
      <c r="SA75" s="2198"/>
      <c r="SB75" s="2198"/>
      <c r="SC75" s="2198"/>
      <c r="SD75" s="2198"/>
      <c r="SE75" s="2198"/>
      <c r="SF75" s="2198"/>
      <c r="SG75" s="2198"/>
      <c r="SH75" s="2198"/>
      <c r="SI75" s="2198"/>
      <c r="SJ75" s="2198"/>
      <c r="SK75" s="2198"/>
      <c r="SL75" s="2198"/>
      <c r="SM75" s="2198"/>
      <c r="SN75" s="2198"/>
      <c r="SO75" s="2198"/>
      <c r="SP75" s="2198"/>
      <c r="SQ75" s="2198"/>
      <c r="SR75" s="2198"/>
      <c r="SS75" s="2198"/>
      <c r="ST75" s="2198"/>
      <c r="SU75" s="2198"/>
      <c r="SV75" s="2198"/>
      <c r="SW75" s="2198"/>
      <c r="SX75" s="2198"/>
      <c r="SY75" s="2198"/>
      <c r="SZ75" s="2198"/>
      <c r="TA75" s="2198"/>
      <c r="TB75" s="2198"/>
      <c r="TC75" s="2198"/>
      <c r="TD75" s="2198"/>
      <c r="TE75" s="2198"/>
      <c r="TF75" s="2198"/>
      <c r="TG75" s="2198"/>
      <c r="TH75" s="2198"/>
      <c r="TI75" s="2198"/>
      <c r="TJ75" s="2198"/>
      <c r="TK75" s="2198"/>
      <c r="TL75" s="2198"/>
      <c r="TM75" s="2198"/>
      <c r="TN75" s="2198"/>
      <c r="TO75" s="2198"/>
      <c r="TP75" s="2198"/>
      <c r="TQ75" s="2198"/>
      <c r="TR75" s="2198"/>
      <c r="TS75" s="2198"/>
      <c r="TT75" s="2198"/>
      <c r="TU75" s="2198"/>
      <c r="TV75" s="2198"/>
      <c r="TW75" s="2198"/>
      <c r="TX75" s="2198"/>
      <c r="TY75" s="2198"/>
      <c r="TZ75" s="2198"/>
      <c r="UA75" s="2198"/>
      <c r="UB75" s="2198"/>
      <c r="UC75" s="2198"/>
      <c r="UD75" s="2198"/>
      <c r="UE75" s="2198"/>
      <c r="UF75" s="2198"/>
      <c r="UG75" s="2198"/>
      <c r="UH75" s="2198"/>
      <c r="UI75" s="2198"/>
      <c r="UJ75" s="2198"/>
      <c r="UK75" s="2198"/>
      <c r="UL75" s="2198"/>
      <c r="UM75" s="2198"/>
      <c r="UN75" s="2198"/>
      <c r="UO75" s="2198"/>
      <c r="UP75" s="2198"/>
      <c r="UQ75" s="2198"/>
      <c r="UR75" s="2198"/>
      <c r="US75" s="2198"/>
      <c r="UT75" s="2198"/>
      <c r="UU75" s="2198"/>
      <c r="UV75" s="2198"/>
      <c r="UW75" s="2198"/>
      <c r="UX75" s="2198"/>
      <c r="UY75" s="2198"/>
      <c r="UZ75" s="2198"/>
      <c r="VA75" s="2198"/>
      <c r="VB75" s="2198"/>
      <c r="VC75" s="2198"/>
      <c r="VD75" s="2198"/>
      <c r="VE75" s="2198"/>
      <c r="VF75" s="2198"/>
      <c r="VG75" s="2198"/>
      <c r="VH75" s="2198"/>
      <c r="VI75" s="2198"/>
      <c r="VJ75" s="2198"/>
      <c r="VK75" s="2198"/>
      <c r="VL75" s="2198"/>
      <c r="VM75" s="2198"/>
      <c r="VN75" s="2198"/>
      <c r="VO75" s="2198"/>
      <c r="VP75" s="2198"/>
      <c r="VQ75" s="2198"/>
      <c r="VR75" s="2198"/>
      <c r="VS75" s="2198"/>
      <c r="VT75" s="2198"/>
      <c r="VU75" s="2198"/>
      <c r="VV75" s="2198"/>
      <c r="VW75" s="2198"/>
      <c r="VX75" s="2198"/>
      <c r="VY75" s="2198"/>
      <c r="VZ75" s="2198"/>
      <c r="WA75" s="2198"/>
      <c r="WB75" s="2198"/>
      <c r="WC75" s="2198"/>
      <c r="WD75" s="2198"/>
      <c r="WE75" s="2198"/>
      <c r="WF75" s="2198"/>
      <c r="WG75" s="2198"/>
      <c r="WH75" s="2198"/>
      <c r="WI75" s="2198"/>
      <c r="WJ75" s="2198"/>
      <c r="WK75" s="2198"/>
      <c r="WL75" s="2198"/>
      <c r="WM75" s="2198"/>
      <c r="WN75" s="2198"/>
      <c r="WO75" s="2198"/>
      <c r="WP75" s="2198"/>
      <c r="WQ75" s="2198"/>
      <c r="WR75" s="2198"/>
      <c r="WS75" s="2198"/>
      <c r="WT75" s="2198"/>
      <c r="WU75" s="2198"/>
      <c r="WV75" s="2198"/>
      <c r="WW75" s="2198"/>
      <c r="WX75" s="2198"/>
      <c r="WY75" s="2198"/>
      <c r="WZ75" s="2198"/>
      <c r="XA75" s="2198"/>
      <c r="XB75" s="2198"/>
      <c r="XC75" s="2198"/>
      <c r="XD75" s="2198"/>
      <c r="XE75" s="2198"/>
      <c r="XF75" s="2198"/>
      <c r="XG75" s="2198"/>
      <c r="XH75" s="2198"/>
      <c r="XI75" s="2198"/>
      <c r="XJ75" s="2198"/>
      <c r="XK75" s="2198"/>
      <c r="XL75" s="2198"/>
      <c r="XM75" s="2198"/>
      <c r="XN75" s="2198"/>
      <c r="XO75" s="2198"/>
      <c r="XP75" s="2198"/>
      <c r="XQ75" s="2198"/>
      <c r="XR75" s="2198"/>
      <c r="XS75" s="2198"/>
      <c r="XT75" s="2198"/>
      <c r="XU75" s="2198"/>
      <c r="XV75" s="2198"/>
      <c r="XW75" s="2198"/>
      <c r="XX75" s="2198"/>
      <c r="XY75" s="2198"/>
      <c r="XZ75" s="2198"/>
      <c r="YA75" s="2198"/>
      <c r="YB75" s="2198"/>
      <c r="YC75" s="2198"/>
      <c r="YD75" s="2198"/>
      <c r="YE75" s="2198"/>
      <c r="YF75" s="2198"/>
      <c r="YG75" s="2198"/>
      <c r="YH75" s="2198"/>
      <c r="YI75" s="2198"/>
      <c r="YJ75" s="2198"/>
      <c r="YK75" s="2198"/>
      <c r="YL75" s="2198"/>
      <c r="YM75" s="2198"/>
      <c r="YN75" s="2198"/>
      <c r="YO75" s="2198"/>
      <c r="YP75" s="2198"/>
      <c r="YQ75" s="2198"/>
      <c r="YR75" s="2198"/>
      <c r="YS75" s="2198"/>
      <c r="YT75" s="2198"/>
      <c r="YU75" s="2198"/>
      <c r="YV75" s="2198"/>
      <c r="YW75" s="2198"/>
      <c r="YX75" s="2198"/>
      <c r="YY75" s="2198"/>
      <c r="YZ75" s="2198"/>
      <c r="ZA75" s="2198"/>
      <c r="ZB75" s="2198"/>
      <c r="ZC75" s="2198"/>
      <c r="ZD75" s="2198"/>
      <c r="ZE75" s="2198"/>
      <c r="ZF75" s="2198"/>
      <c r="ZG75" s="2198"/>
      <c r="ZH75" s="2198"/>
      <c r="ZI75" s="2198"/>
      <c r="ZJ75" s="2198"/>
      <c r="ZK75" s="2198"/>
      <c r="ZL75" s="2198"/>
      <c r="ZM75" s="2198"/>
      <c r="ZN75" s="2198"/>
      <c r="ZO75" s="2198"/>
      <c r="ZP75" s="2198"/>
      <c r="ZQ75" s="2198"/>
      <c r="ZR75" s="2198"/>
      <c r="ZS75" s="2198"/>
      <c r="ZT75" s="2198"/>
      <c r="ZU75" s="2198"/>
      <c r="ZV75" s="2198"/>
      <c r="ZW75" s="2198"/>
      <c r="ZX75" s="2198"/>
      <c r="ZY75" s="2198"/>
      <c r="ZZ75" s="2198"/>
      <c r="AAA75" s="2198"/>
      <c r="AAB75" s="2198"/>
      <c r="AAC75" s="2198"/>
      <c r="AAD75" s="2198"/>
      <c r="AAE75" s="2198"/>
      <c r="AAF75" s="2198"/>
      <c r="AAG75" s="2198"/>
      <c r="AAH75" s="2198"/>
      <c r="AAI75" s="2198"/>
      <c r="AAJ75" s="2198"/>
      <c r="AAK75" s="2198"/>
      <c r="AAL75" s="2198"/>
      <c r="AAM75" s="2198"/>
      <c r="AAN75" s="2198"/>
      <c r="AAO75" s="2198"/>
      <c r="AAP75" s="2198"/>
      <c r="AAQ75" s="2198"/>
      <c r="AAR75" s="2198"/>
      <c r="AAS75" s="2198"/>
      <c r="AAT75" s="2198"/>
      <c r="AAU75" s="2198"/>
      <c r="AAV75" s="2198"/>
      <c r="AAW75" s="2198"/>
      <c r="AAX75" s="2198"/>
      <c r="AAY75" s="2198"/>
      <c r="AAZ75" s="2198"/>
      <c r="ABA75" s="2198"/>
      <c r="ABB75" s="2198"/>
      <c r="ABC75" s="2198"/>
      <c r="ABD75" s="2198"/>
      <c r="ABE75" s="2198"/>
      <c r="ABF75" s="2198"/>
      <c r="ABG75" s="2198"/>
      <c r="ABH75" s="2198"/>
      <c r="ABI75" s="2198"/>
      <c r="ABJ75" s="2198"/>
      <c r="ABK75" s="2198"/>
      <c r="ABL75" s="2198"/>
      <c r="ABM75" s="2198"/>
      <c r="ABN75" s="2198"/>
      <c r="ABO75" s="2198"/>
      <c r="ABP75" s="2198"/>
      <c r="ABQ75" s="2198"/>
      <c r="ABR75" s="2198"/>
      <c r="ABS75" s="2198"/>
      <c r="ABT75" s="2198"/>
      <c r="ABU75" s="2198"/>
      <c r="ABV75" s="2198"/>
      <c r="ABW75" s="2198"/>
      <c r="ABX75" s="2198"/>
      <c r="ABY75" s="2198"/>
      <c r="ABZ75" s="2198"/>
      <c r="ACA75" s="2198"/>
      <c r="ACB75" s="2198"/>
      <c r="ACC75" s="2198"/>
      <c r="ACD75" s="2198"/>
      <c r="ACE75" s="2198"/>
      <c r="ACF75" s="2198"/>
      <c r="ACG75" s="2198"/>
      <c r="ACH75" s="2198"/>
      <c r="ACI75" s="2198"/>
      <c r="ACJ75" s="2198"/>
      <c r="ACK75" s="2198"/>
      <c r="ACL75" s="2198"/>
      <c r="ACM75" s="2198"/>
      <c r="ACN75" s="2198"/>
      <c r="ACO75" s="2198"/>
      <c r="ACP75" s="2198"/>
      <c r="ACQ75" s="2198"/>
      <c r="ACR75" s="2198"/>
      <c r="ACS75" s="2198"/>
      <c r="ACT75" s="2198"/>
      <c r="ACU75" s="2198"/>
      <c r="ACV75" s="2198"/>
      <c r="ACW75" s="2198"/>
      <c r="ACX75" s="2198"/>
      <c r="ACY75" s="2198"/>
      <c r="ACZ75" s="2198"/>
      <c r="ADA75" s="2198"/>
      <c r="ADB75" s="2198"/>
      <c r="ADC75" s="2198"/>
      <c r="ADD75" s="2198"/>
      <c r="ADE75" s="2198"/>
      <c r="ADF75" s="2198"/>
      <c r="ADG75" s="2198"/>
      <c r="ADH75" s="2198"/>
      <c r="ADI75" s="2198"/>
      <c r="ADJ75" s="2198"/>
      <c r="ADK75" s="2198"/>
      <c r="ADL75" s="2198"/>
      <c r="ADM75" s="2198"/>
      <c r="ADN75" s="2198"/>
      <c r="ADO75" s="2198"/>
      <c r="ADP75" s="2198"/>
      <c r="ADQ75" s="2198"/>
      <c r="ADR75" s="2198"/>
      <c r="ADS75" s="2198"/>
      <c r="ADT75" s="2198"/>
      <c r="ADU75" s="2198"/>
      <c r="ADV75" s="2198"/>
      <c r="ADW75" s="2198"/>
      <c r="ADX75" s="2198"/>
      <c r="ADY75" s="2198"/>
      <c r="ADZ75" s="2198"/>
      <c r="AEA75" s="2198"/>
      <c r="AEB75" s="2198"/>
      <c r="AEC75" s="2198"/>
      <c r="AED75" s="2198"/>
      <c r="AEE75" s="2198"/>
      <c r="AEF75" s="2198"/>
      <c r="AEG75" s="2198"/>
      <c r="AEH75" s="2198"/>
      <c r="AEI75" s="2198"/>
      <c r="AEJ75" s="2198"/>
      <c r="AEK75" s="2198"/>
      <c r="AEL75" s="2198"/>
      <c r="AEM75" s="2198"/>
      <c r="AEN75" s="2198"/>
      <c r="AEO75" s="2198"/>
      <c r="AEP75" s="2198"/>
      <c r="AEQ75" s="2198"/>
      <c r="AER75" s="2198"/>
      <c r="AES75" s="2198"/>
      <c r="AET75" s="2198"/>
      <c r="AEU75" s="2198"/>
      <c r="AEV75" s="2198"/>
      <c r="AEW75" s="2198"/>
      <c r="AEX75" s="2198"/>
      <c r="AEY75" s="2198"/>
      <c r="AEZ75" s="2198"/>
      <c r="AFA75" s="2198"/>
      <c r="AFB75" s="2198"/>
      <c r="AFC75" s="2198"/>
      <c r="AFD75" s="2198"/>
      <c r="AFE75" s="2198"/>
      <c r="AFF75" s="2198"/>
      <c r="AFG75" s="2198"/>
      <c r="AFH75" s="2198"/>
      <c r="AFI75" s="2198"/>
      <c r="AFJ75" s="2198"/>
      <c r="AFK75" s="2198"/>
      <c r="AFL75" s="2198"/>
      <c r="AFM75" s="2198"/>
      <c r="AFN75" s="2198"/>
      <c r="AFO75" s="2198"/>
      <c r="AFP75" s="2198"/>
      <c r="AFQ75" s="2198"/>
      <c r="AFR75" s="2198"/>
      <c r="AFS75" s="2198"/>
      <c r="AFT75" s="2198"/>
      <c r="AFU75" s="2198"/>
      <c r="AFV75" s="2198"/>
      <c r="AFW75" s="2198"/>
      <c r="AFX75" s="2198"/>
      <c r="AFY75" s="2198"/>
      <c r="AFZ75" s="2198"/>
      <c r="AGA75" s="2198"/>
      <c r="AGB75" s="2198"/>
      <c r="AGC75" s="2198"/>
      <c r="AGD75" s="2198"/>
      <c r="AGE75" s="2198"/>
      <c r="AGF75" s="2198"/>
      <c r="AGG75" s="2198"/>
      <c r="AGH75" s="2198"/>
      <c r="AGI75" s="2198"/>
      <c r="AGJ75" s="2198"/>
      <c r="AGK75" s="2198"/>
      <c r="AGL75" s="2198"/>
      <c r="AGM75" s="2198"/>
      <c r="AGN75" s="2198"/>
      <c r="AGO75" s="2198"/>
      <c r="AGP75" s="2198"/>
      <c r="AGQ75" s="2198"/>
      <c r="AGR75" s="2198"/>
      <c r="AGS75" s="2198"/>
      <c r="AGT75" s="2198"/>
      <c r="AGU75" s="2198"/>
      <c r="AGV75" s="2198"/>
      <c r="AGW75" s="2198"/>
      <c r="AGX75" s="2198"/>
      <c r="AGY75" s="2198"/>
      <c r="AGZ75" s="2198"/>
      <c r="AHA75" s="2198"/>
      <c r="AHB75" s="2198"/>
      <c r="AHC75" s="2198"/>
      <c r="AHD75" s="2198"/>
      <c r="AHE75" s="2198"/>
      <c r="AHF75" s="2198"/>
      <c r="AHG75" s="2198"/>
      <c r="AHH75" s="2198"/>
      <c r="AHI75" s="2198"/>
      <c r="AHJ75" s="2198"/>
      <c r="AHK75" s="2198"/>
      <c r="AHL75" s="2198"/>
      <c r="AHM75" s="2198"/>
      <c r="AHN75" s="2198"/>
      <c r="AHO75" s="2198"/>
      <c r="AHP75" s="2198"/>
      <c r="AHQ75" s="2198"/>
      <c r="AHR75" s="2198"/>
      <c r="AHS75" s="2198"/>
      <c r="AHT75" s="2198"/>
      <c r="AHU75" s="2198"/>
      <c r="AHV75" s="2198"/>
      <c r="AHW75" s="2198"/>
      <c r="AHX75" s="2198"/>
      <c r="AHY75" s="2198"/>
      <c r="AHZ75" s="2198"/>
      <c r="AIA75" s="2198"/>
      <c r="AIB75" s="2198"/>
      <c r="AIC75" s="2198"/>
      <c r="AID75" s="2198"/>
      <c r="AIE75" s="2198"/>
      <c r="AIF75" s="2198"/>
      <c r="AIG75" s="2198"/>
      <c r="AIH75" s="2198"/>
      <c r="AII75" s="2198"/>
      <c r="AIJ75" s="2198"/>
      <c r="AIK75" s="2198"/>
      <c r="AIL75" s="2198"/>
      <c r="AIM75" s="2198"/>
      <c r="AIN75" s="2198"/>
      <c r="AIO75" s="2198"/>
      <c r="AIP75" s="2198"/>
      <c r="AIQ75" s="2198"/>
      <c r="AIR75" s="2198"/>
      <c r="AIS75" s="2198"/>
      <c r="AIT75" s="2198"/>
      <c r="AIU75" s="2198"/>
      <c r="AIV75" s="2198"/>
      <c r="AIW75" s="2198"/>
      <c r="AIX75" s="2198"/>
      <c r="AIY75" s="2198"/>
      <c r="AIZ75" s="2198"/>
      <c r="AJA75" s="2198"/>
      <c r="AJB75" s="2198"/>
      <c r="AJC75" s="2198"/>
      <c r="AJD75" s="2198"/>
      <c r="AJE75" s="2198"/>
      <c r="AJF75" s="2198"/>
      <c r="AJG75" s="2198"/>
      <c r="AJH75" s="2198"/>
      <c r="AJI75" s="2198"/>
      <c r="AJJ75" s="2198"/>
      <c r="AJK75" s="2198"/>
      <c r="AJL75" s="2198"/>
      <c r="AJM75" s="2198"/>
      <c r="AJN75" s="2198"/>
      <c r="AJO75" s="2198"/>
      <c r="AJP75" s="2198"/>
      <c r="AJQ75" s="2198"/>
      <c r="AJR75" s="2198"/>
      <c r="AJS75" s="2198"/>
      <c r="AJT75" s="2198"/>
      <c r="AJU75" s="2198"/>
      <c r="AJV75" s="2198"/>
      <c r="AJW75" s="2198"/>
      <c r="AJX75" s="2198"/>
      <c r="AJY75" s="2198"/>
      <c r="AJZ75" s="2198"/>
      <c r="AKA75" s="2198"/>
      <c r="AKB75" s="2198"/>
      <c r="AKC75" s="2198"/>
      <c r="AKD75" s="2198"/>
      <c r="AKE75" s="2198"/>
      <c r="AKF75" s="2198"/>
      <c r="AKG75" s="2198"/>
      <c r="AKH75" s="2198"/>
      <c r="AKI75" s="2198"/>
      <c r="AKJ75" s="2198"/>
      <c r="AKK75" s="2198"/>
      <c r="AKL75" s="2198"/>
      <c r="AKM75" s="2198"/>
      <c r="AKN75" s="2198"/>
      <c r="AKO75" s="2198"/>
      <c r="AKP75" s="2198"/>
      <c r="AKQ75" s="2198"/>
      <c r="AKR75" s="2198"/>
      <c r="AKS75" s="2198"/>
      <c r="AKT75" s="2198"/>
      <c r="AKU75" s="2198"/>
      <c r="AKV75" s="2198"/>
      <c r="AKW75" s="2198"/>
      <c r="AKX75" s="2198"/>
      <c r="AKY75" s="2198"/>
      <c r="AKZ75" s="2198"/>
      <c r="ALA75" s="2198"/>
      <c r="ALB75" s="2198"/>
      <c r="ALC75" s="2198"/>
      <c r="ALD75" s="2198"/>
      <c r="ALE75" s="2198"/>
      <c r="ALF75" s="2198"/>
      <c r="ALG75" s="2198"/>
      <c r="ALH75" s="2198"/>
      <c r="ALI75" s="2198"/>
      <c r="ALJ75" s="2198"/>
      <c r="ALK75" s="2198"/>
      <c r="ALL75" s="2198"/>
      <c r="ALM75" s="2198"/>
      <c r="ALN75" s="2198"/>
      <c r="ALO75" s="2198"/>
      <c r="ALP75" s="2198"/>
      <c r="ALQ75" s="2198"/>
      <c r="ALR75" s="2198"/>
      <c r="ALS75" s="2198"/>
      <c r="ALT75" s="2198"/>
      <c r="ALU75" s="2198"/>
      <c r="ALV75" s="2198"/>
      <c r="ALW75" s="2198"/>
      <c r="ALX75" s="2198"/>
      <c r="ALY75" s="2198"/>
      <c r="ALZ75" s="2198"/>
      <c r="AMA75" s="2198"/>
      <c r="AMB75" s="2198"/>
      <c r="AMC75" s="2198"/>
      <c r="AMD75" s="2198"/>
      <c r="AME75" s="2198"/>
      <c r="AMF75" s="2198"/>
      <c r="AMG75" s="2198"/>
      <c r="AMH75" s="2198"/>
      <c r="AMI75" s="2198"/>
      <c r="AMJ75" s="2198"/>
      <c r="AMK75" s="2198"/>
      <c r="AML75" s="2198"/>
      <c r="AMM75" s="2198"/>
      <c r="AMN75" s="2198"/>
      <c r="AMO75" s="2198"/>
      <c r="AMP75" s="2198"/>
      <c r="AMQ75" s="2198"/>
      <c r="AMR75" s="2198"/>
      <c r="AMS75" s="2198"/>
      <c r="AMT75" s="2198"/>
      <c r="AMU75" s="2198"/>
      <c r="AMV75" s="2198"/>
      <c r="AMW75" s="2198"/>
      <c r="AMX75" s="2198"/>
      <c r="AMY75" s="2198"/>
      <c r="AMZ75" s="2198"/>
      <c r="ANA75" s="2198"/>
      <c r="ANB75" s="2198"/>
      <c r="ANC75" s="2198"/>
      <c r="AND75" s="2198"/>
      <c r="ANE75" s="2198"/>
      <c r="ANF75" s="2198"/>
      <c r="ANG75" s="2198"/>
      <c r="ANH75" s="2198"/>
      <c r="ANI75" s="2198"/>
      <c r="ANJ75" s="2198"/>
      <c r="ANK75" s="2198"/>
      <c r="ANL75" s="2198"/>
      <c r="ANM75" s="2198"/>
      <c r="ANN75" s="2198"/>
      <c r="ANO75" s="2198"/>
      <c r="ANP75" s="2198"/>
      <c r="ANQ75" s="2198"/>
      <c r="ANR75" s="2198"/>
      <c r="ANS75" s="2198"/>
      <c r="ANT75" s="2198"/>
      <c r="ANU75" s="2198"/>
      <c r="ANV75" s="2198"/>
      <c r="ANW75" s="2198"/>
      <c r="ANX75" s="2198"/>
      <c r="ANY75" s="2198"/>
      <c r="ANZ75" s="2198"/>
      <c r="AOA75" s="2198"/>
      <c r="AOB75" s="2198"/>
      <c r="AOC75" s="2198"/>
      <c r="AOD75" s="2198"/>
      <c r="AOE75" s="2198"/>
      <c r="AOF75" s="2198"/>
      <c r="AOG75" s="2198"/>
      <c r="AOH75" s="2198"/>
      <c r="AOI75" s="2198"/>
      <c r="AOJ75" s="2198"/>
      <c r="AOK75" s="2198"/>
      <c r="AOL75" s="2198"/>
      <c r="AOM75" s="2198"/>
      <c r="AON75" s="2198"/>
      <c r="AOO75" s="2198"/>
      <c r="AOP75" s="2198"/>
      <c r="AOQ75" s="2198"/>
      <c r="AOR75" s="2198"/>
      <c r="AOS75" s="2198"/>
      <c r="AOT75" s="2198"/>
      <c r="AOU75" s="2198"/>
      <c r="AOV75" s="2198"/>
      <c r="AOW75" s="2198"/>
      <c r="AOX75" s="2198"/>
      <c r="AOY75" s="2198"/>
      <c r="AOZ75" s="2198"/>
      <c r="APA75" s="2198"/>
      <c r="APB75" s="2198"/>
      <c r="APC75" s="2198"/>
      <c r="APD75" s="2198"/>
      <c r="APE75" s="2198"/>
      <c r="APF75" s="2198"/>
      <c r="APG75" s="2198"/>
      <c r="APH75" s="2198"/>
      <c r="API75" s="2198"/>
      <c r="APJ75" s="2198"/>
      <c r="APK75" s="2198"/>
      <c r="APL75" s="2198"/>
      <c r="APM75" s="2198"/>
      <c r="APN75" s="2198"/>
      <c r="APO75" s="2198"/>
      <c r="APP75" s="2198"/>
      <c r="APQ75" s="2198"/>
      <c r="APR75" s="2198"/>
      <c r="APS75" s="2198"/>
      <c r="APT75" s="2198"/>
      <c r="APU75" s="2198"/>
      <c r="APV75" s="2198"/>
      <c r="APW75" s="2198"/>
      <c r="APX75" s="2198"/>
      <c r="APY75" s="2198"/>
      <c r="APZ75" s="2198"/>
      <c r="AQA75" s="2198"/>
      <c r="AQB75" s="2198"/>
      <c r="AQC75" s="2198"/>
      <c r="AQD75" s="2198"/>
      <c r="AQE75" s="2198"/>
      <c r="AQF75" s="2198"/>
      <c r="AQG75" s="2198"/>
      <c r="AQH75" s="2198"/>
      <c r="AQI75" s="2198"/>
      <c r="AQJ75" s="2198"/>
      <c r="AQK75" s="2198"/>
      <c r="AQL75" s="2198"/>
      <c r="AQM75" s="2198"/>
      <c r="AQN75" s="2198"/>
      <c r="AQO75" s="2198"/>
      <c r="AQP75" s="2198"/>
      <c r="AQQ75" s="2198"/>
      <c r="AQR75" s="2198"/>
      <c r="AQS75" s="2198"/>
      <c r="AQT75" s="2198"/>
      <c r="AQU75" s="2198"/>
      <c r="AQV75" s="2198"/>
      <c r="AQW75" s="2198"/>
      <c r="AQX75" s="2198"/>
      <c r="AQY75" s="2198"/>
      <c r="AQZ75" s="2198"/>
      <c r="ARA75" s="2198"/>
      <c r="ARB75" s="2198"/>
      <c r="ARC75" s="2198"/>
      <c r="ARD75" s="2198"/>
      <c r="ARE75" s="2198"/>
      <c r="ARF75" s="2198"/>
      <c r="ARG75" s="2198"/>
      <c r="ARH75" s="2198"/>
      <c r="ARI75" s="2198"/>
      <c r="ARJ75" s="2198"/>
      <c r="ARK75" s="2198"/>
      <c r="ARL75" s="2198"/>
      <c r="ARM75" s="2198"/>
      <c r="ARN75" s="2198"/>
      <c r="ARO75" s="2198"/>
      <c r="ARP75" s="2198"/>
      <c r="ARQ75" s="2198"/>
      <c r="ARR75" s="2198"/>
      <c r="ARS75" s="2198"/>
      <c r="ART75" s="2198"/>
      <c r="ARU75" s="2198"/>
      <c r="ARV75" s="2198"/>
      <c r="ARW75" s="2198"/>
      <c r="ARX75" s="2198"/>
      <c r="ARY75" s="2198"/>
      <c r="ARZ75" s="2198"/>
      <c r="ASA75" s="2198"/>
      <c r="ASB75" s="2198"/>
      <c r="ASC75" s="2198"/>
      <c r="ASD75" s="2198"/>
      <c r="ASE75" s="2198"/>
      <c r="ASF75" s="2198"/>
      <c r="ASG75" s="2198"/>
      <c r="ASH75" s="2198"/>
      <c r="ASI75" s="2198"/>
      <c r="ASJ75" s="2198"/>
      <c r="ASK75" s="2198"/>
      <c r="ASL75" s="2198"/>
      <c r="ASM75" s="2198"/>
      <c r="ASN75" s="2198"/>
      <c r="ASO75" s="2198"/>
      <c r="ASP75" s="2198"/>
      <c r="ASQ75" s="2198"/>
      <c r="ASR75" s="2198"/>
      <c r="ASS75" s="2198"/>
      <c r="AST75" s="2198"/>
      <c r="ASU75" s="2198"/>
      <c r="ASV75" s="2198"/>
      <c r="ASW75" s="2198"/>
      <c r="ASX75" s="2198"/>
      <c r="ASY75" s="2198"/>
      <c r="ASZ75" s="2198"/>
      <c r="ATA75" s="2198"/>
      <c r="ATB75" s="2198"/>
      <c r="ATC75" s="2198"/>
      <c r="ATD75" s="2198"/>
      <c r="ATE75" s="2198"/>
      <c r="ATF75" s="2198"/>
      <c r="ATG75" s="2198"/>
      <c r="ATH75" s="2198"/>
      <c r="ATI75" s="2198"/>
      <c r="ATJ75" s="2198"/>
      <c r="ATK75" s="2198"/>
      <c r="ATL75" s="2198"/>
      <c r="ATM75" s="2198"/>
      <c r="ATN75" s="2198"/>
      <c r="ATO75" s="2198"/>
      <c r="ATP75" s="2198"/>
      <c r="ATQ75" s="2198"/>
      <c r="ATR75" s="2198"/>
      <c r="ATS75" s="2198"/>
      <c r="ATT75" s="2198"/>
      <c r="ATU75" s="2198"/>
      <c r="ATV75" s="2198"/>
      <c r="ATW75" s="2198"/>
      <c r="ATX75" s="2198"/>
      <c r="ATY75" s="2198"/>
      <c r="ATZ75" s="2198"/>
      <c r="AUA75" s="2198"/>
      <c r="AUB75" s="2198"/>
      <c r="AUC75" s="2198"/>
      <c r="AUD75" s="2198"/>
      <c r="AUE75" s="2198"/>
      <c r="AUF75" s="2198"/>
      <c r="AUG75" s="2198"/>
      <c r="AUH75" s="2198"/>
      <c r="AUI75" s="2198"/>
      <c r="AUJ75" s="2198"/>
      <c r="AUK75" s="2198"/>
      <c r="AUL75" s="2198"/>
      <c r="AUM75" s="2198"/>
      <c r="AUN75" s="2198"/>
      <c r="AUO75" s="2198"/>
      <c r="AUP75" s="2198"/>
      <c r="AUQ75" s="2198"/>
      <c r="AUR75" s="2198"/>
      <c r="AUS75" s="2198"/>
      <c r="AUT75" s="2198"/>
      <c r="AUU75" s="2198"/>
      <c r="AUV75" s="2198"/>
      <c r="AUW75" s="2198"/>
      <c r="AUX75" s="2198"/>
      <c r="AUY75" s="2198"/>
      <c r="AUZ75" s="2198"/>
      <c r="AVA75" s="2198"/>
      <c r="AVB75" s="2198"/>
      <c r="AVC75" s="2198"/>
      <c r="AVD75" s="2198"/>
      <c r="AVE75" s="2198"/>
      <c r="AVF75" s="2198"/>
      <c r="AVG75" s="2198"/>
      <c r="AVH75" s="2198"/>
      <c r="AVI75" s="2198"/>
      <c r="AVJ75" s="2198"/>
      <c r="AVK75" s="2198"/>
      <c r="AVL75" s="2198"/>
      <c r="AVM75" s="2198"/>
      <c r="AVN75" s="2198"/>
      <c r="AVO75" s="2198"/>
      <c r="AVP75" s="2198"/>
      <c r="AVQ75" s="2198"/>
      <c r="AVR75" s="2198"/>
      <c r="AVS75" s="2198"/>
      <c r="AVT75" s="2198"/>
      <c r="AVU75" s="2198"/>
      <c r="AVV75" s="2198"/>
      <c r="AVW75" s="2198"/>
      <c r="AVX75" s="2198"/>
      <c r="AVY75" s="2198"/>
      <c r="AVZ75" s="2198"/>
      <c r="AWA75" s="2198"/>
      <c r="AWB75" s="2198"/>
      <c r="AWC75" s="2198"/>
      <c r="AWD75" s="2198"/>
      <c r="AWE75" s="2198"/>
      <c r="AWF75" s="2198"/>
      <c r="AWG75" s="2198"/>
      <c r="AWH75" s="2198"/>
      <c r="AWI75" s="2198"/>
      <c r="AWJ75" s="2198"/>
      <c r="AWK75" s="2198"/>
      <c r="AWL75" s="2198"/>
      <c r="AWM75" s="2198"/>
      <c r="AWN75" s="2198"/>
      <c r="AWO75" s="2198"/>
      <c r="AWP75" s="2198"/>
      <c r="AWQ75" s="2198"/>
      <c r="AWR75" s="2198"/>
      <c r="AWS75" s="2198"/>
      <c r="AWT75" s="2198"/>
      <c r="AWU75" s="2198"/>
      <c r="AWV75" s="2198"/>
      <c r="AWW75" s="2198"/>
      <c r="AWX75" s="2198"/>
      <c r="AWY75" s="2198"/>
      <c r="AWZ75" s="2198"/>
      <c r="AXA75" s="2198"/>
      <c r="AXB75" s="2198"/>
      <c r="AXC75" s="2198"/>
      <c r="AXD75" s="2198"/>
      <c r="AXE75" s="2198"/>
      <c r="AXF75" s="2198"/>
      <c r="AXG75" s="2198"/>
      <c r="AXH75" s="2198"/>
      <c r="AXI75" s="2198"/>
      <c r="AXJ75" s="2198"/>
      <c r="AXK75" s="2198"/>
      <c r="AXL75" s="2198"/>
      <c r="AXM75" s="2198"/>
      <c r="AXN75" s="2198"/>
      <c r="AXO75" s="2198"/>
      <c r="AXP75" s="2198"/>
      <c r="AXQ75" s="2198"/>
      <c r="AXR75" s="2198"/>
      <c r="AXS75" s="2198"/>
      <c r="AXT75" s="2198"/>
      <c r="AXU75" s="2198"/>
      <c r="AXV75" s="2198"/>
      <c r="AXW75" s="2198"/>
      <c r="AXX75" s="2198"/>
      <c r="AXY75" s="2198"/>
      <c r="AXZ75" s="2198"/>
      <c r="AYA75" s="2198"/>
      <c r="AYB75" s="2198"/>
      <c r="AYC75" s="2198"/>
      <c r="AYD75" s="2198"/>
      <c r="AYE75" s="2198"/>
      <c r="AYF75" s="2198"/>
      <c r="AYG75" s="2198"/>
      <c r="AYH75" s="2198"/>
      <c r="AYI75" s="2198"/>
      <c r="AYJ75" s="2198"/>
      <c r="AYK75" s="2198"/>
      <c r="AYL75" s="2198"/>
      <c r="AYM75" s="2198"/>
      <c r="AYN75" s="2198"/>
      <c r="AYO75" s="2198"/>
      <c r="AYP75" s="2198"/>
      <c r="AYQ75" s="2198"/>
      <c r="AYR75" s="2198"/>
      <c r="AYS75" s="2198"/>
      <c r="AYT75" s="2198"/>
      <c r="AYU75" s="2198"/>
      <c r="AYV75" s="2198"/>
      <c r="AYW75" s="2198"/>
      <c r="AYX75" s="2198"/>
      <c r="AYY75" s="2198"/>
      <c r="AYZ75" s="2198"/>
      <c r="AZA75" s="2198"/>
      <c r="AZB75" s="2198"/>
      <c r="AZC75" s="2198"/>
      <c r="AZD75" s="2198"/>
      <c r="AZE75" s="2198"/>
      <c r="AZF75" s="2198"/>
      <c r="AZG75" s="2198"/>
      <c r="AZH75" s="2198"/>
      <c r="AZI75" s="2198"/>
      <c r="AZJ75" s="2198"/>
      <c r="AZK75" s="2198"/>
      <c r="AZL75" s="2198"/>
      <c r="AZM75" s="2198"/>
      <c r="AZN75" s="2198"/>
      <c r="AZO75" s="2198"/>
      <c r="AZP75" s="2198"/>
      <c r="AZQ75" s="2198"/>
      <c r="AZR75" s="2198"/>
      <c r="AZS75" s="2198"/>
      <c r="AZT75" s="2198"/>
      <c r="AZU75" s="2198"/>
      <c r="AZV75" s="2198"/>
      <c r="AZW75" s="2198"/>
      <c r="AZX75" s="2198"/>
      <c r="AZY75" s="2198"/>
      <c r="AZZ75" s="2198"/>
      <c r="BAA75" s="2198"/>
      <c r="BAB75" s="2198"/>
      <c r="BAC75" s="2198"/>
      <c r="BAD75" s="2198"/>
      <c r="BAE75" s="2198"/>
      <c r="BAF75" s="2198"/>
      <c r="BAG75" s="2198"/>
      <c r="BAH75" s="2198"/>
      <c r="BAI75" s="2198"/>
      <c r="BAJ75" s="2198"/>
      <c r="BAK75" s="2198"/>
      <c r="BAL75" s="2198"/>
      <c r="BAM75" s="2198"/>
      <c r="BAN75" s="2198"/>
      <c r="BAO75" s="2198"/>
      <c r="BAP75" s="2198"/>
      <c r="BAQ75" s="2198"/>
      <c r="BAR75" s="2198"/>
      <c r="BAS75" s="2198"/>
      <c r="BAT75" s="2198"/>
      <c r="BAU75" s="2198"/>
      <c r="BAV75" s="2198"/>
      <c r="BAW75" s="2198"/>
      <c r="BAX75" s="2198"/>
      <c r="BAY75" s="2198"/>
      <c r="BAZ75" s="2198"/>
      <c r="BBA75" s="2198"/>
      <c r="BBB75" s="2198"/>
      <c r="BBC75" s="2198"/>
      <c r="BBD75" s="2198"/>
      <c r="BBE75" s="2198"/>
      <c r="BBF75" s="2198"/>
      <c r="BBG75" s="2198"/>
      <c r="BBH75" s="2198"/>
      <c r="BBI75" s="2198"/>
      <c r="BBJ75" s="2198"/>
      <c r="BBK75" s="2198"/>
      <c r="BBL75" s="2198"/>
      <c r="BBM75" s="2198"/>
      <c r="BBN75" s="2198"/>
      <c r="BBO75" s="2198"/>
      <c r="BBP75" s="2198"/>
      <c r="BBQ75" s="2198"/>
      <c r="BBR75" s="2198"/>
      <c r="BBS75" s="2198"/>
      <c r="BBT75" s="2198"/>
      <c r="BBU75" s="2198"/>
      <c r="BBV75" s="2198"/>
      <c r="BBW75" s="2198"/>
      <c r="BBX75" s="2198"/>
      <c r="BBY75" s="2198"/>
      <c r="BBZ75" s="2198"/>
      <c r="BCA75" s="2198"/>
      <c r="BCB75" s="2198"/>
      <c r="BCC75" s="2198"/>
      <c r="BCD75" s="2198"/>
      <c r="BCE75" s="2198"/>
      <c r="BCF75" s="2198"/>
      <c r="BCG75" s="2198"/>
      <c r="BCH75" s="2198"/>
      <c r="BCI75" s="2198"/>
      <c r="BCJ75" s="2198"/>
      <c r="BCK75" s="2198"/>
      <c r="BCL75" s="2198"/>
      <c r="BCM75" s="2198"/>
      <c r="BCN75" s="2198"/>
      <c r="BCO75" s="2198"/>
      <c r="BCP75" s="2198"/>
      <c r="BCQ75" s="2198"/>
      <c r="BCR75" s="2198"/>
      <c r="BCS75" s="2198"/>
      <c r="BCT75" s="2198"/>
      <c r="BCU75" s="2198"/>
      <c r="BCV75" s="2198"/>
      <c r="BCW75" s="2198"/>
      <c r="BCX75" s="2198"/>
      <c r="BCY75" s="2198"/>
      <c r="BCZ75" s="2198"/>
      <c r="BDA75" s="2198"/>
      <c r="BDB75" s="2198"/>
      <c r="BDC75" s="2198"/>
      <c r="BDD75" s="2198"/>
      <c r="BDE75" s="2198"/>
      <c r="BDF75" s="2198"/>
      <c r="BDG75" s="2198"/>
      <c r="BDH75" s="2198"/>
      <c r="BDI75" s="2198"/>
      <c r="BDJ75" s="2198"/>
      <c r="BDK75" s="2198"/>
      <c r="BDL75" s="2198"/>
      <c r="BDM75" s="2198"/>
      <c r="BDN75" s="2198"/>
      <c r="BDO75" s="2198"/>
      <c r="BDP75" s="2198"/>
      <c r="BDQ75" s="2198"/>
      <c r="BDR75" s="2198"/>
      <c r="BDS75" s="2198"/>
      <c r="BDT75" s="2198"/>
      <c r="BDU75" s="2198"/>
      <c r="BDV75" s="2198"/>
      <c r="BDW75" s="2198"/>
      <c r="BDX75" s="2198"/>
      <c r="BDY75" s="2198"/>
      <c r="BDZ75" s="2198"/>
      <c r="BEA75" s="2198"/>
      <c r="BEB75" s="2198"/>
      <c r="BEC75" s="2198"/>
      <c r="BED75" s="2198"/>
      <c r="BEE75" s="2198"/>
      <c r="BEF75" s="2198"/>
      <c r="BEG75" s="2198"/>
      <c r="BEH75" s="2198"/>
      <c r="BEI75" s="2198"/>
      <c r="BEJ75" s="2198"/>
      <c r="BEK75" s="2198"/>
      <c r="BEL75" s="2198"/>
      <c r="BEM75" s="2198"/>
      <c r="BEN75" s="2198"/>
      <c r="BEO75" s="2198"/>
      <c r="BEP75" s="2198"/>
      <c r="BEQ75" s="2198"/>
      <c r="BER75" s="2198"/>
      <c r="BES75" s="2198"/>
      <c r="BET75" s="2198"/>
      <c r="BEU75" s="2198"/>
      <c r="BEV75" s="2198"/>
      <c r="BEW75" s="2198"/>
      <c r="BEX75" s="2198"/>
      <c r="BEY75" s="2198"/>
      <c r="BEZ75" s="2198"/>
      <c r="BFA75" s="2198"/>
      <c r="BFB75" s="2198"/>
      <c r="BFC75" s="2198"/>
      <c r="BFD75" s="2198"/>
      <c r="BFE75" s="2198"/>
      <c r="BFF75" s="2198"/>
      <c r="BFG75" s="2198"/>
      <c r="BFH75" s="2198"/>
      <c r="BFI75" s="2198"/>
      <c r="BFJ75" s="2198"/>
      <c r="BFK75" s="2198"/>
      <c r="BFL75" s="2198"/>
      <c r="BFM75" s="2198"/>
      <c r="BFN75" s="2198"/>
      <c r="BFO75" s="2198"/>
      <c r="BFP75" s="2198"/>
      <c r="BFQ75" s="2198"/>
      <c r="BFR75" s="2198"/>
      <c r="BFS75" s="2198"/>
      <c r="BFT75" s="2198"/>
      <c r="BFU75" s="2198"/>
      <c r="BFV75" s="2198"/>
      <c r="BFW75" s="2198"/>
      <c r="BFX75" s="2198"/>
      <c r="BFY75" s="2198"/>
      <c r="BFZ75" s="2198"/>
      <c r="BGA75" s="2198"/>
      <c r="BGB75" s="2198"/>
      <c r="BGC75" s="2198"/>
      <c r="BGD75" s="2198"/>
      <c r="BGE75" s="2198"/>
      <c r="BGF75" s="2198"/>
      <c r="BGG75" s="2198"/>
      <c r="BGH75" s="2198"/>
      <c r="BGI75" s="2198"/>
      <c r="BGJ75" s="2198"/>
      <c r="BGK75" s="2198"/>
      <c r="BGL75" s="2198"/>
      <c r="BGM75" s="2198"/>
      <c r="BGN75" s="2198"/>
      <c r="BGO75" s="2198"/>
      <c r="BGP75" s="2198"/>
      <c r="BGQ75" s="2198"/>
      <c r="BGR75" s="2198"/>
      <c r="BGS75" s="2198"/>
      <c r="BGT75" s="2198"/>
      <c r="BGU75" s="2198"/>
      <c r="BGV75" s="2198"/>
      <c r="BGW75" s="2198"/>
      <c r="BGX75" s="2198"/>
      <c r="BGY75" s="2198"/>
      <c r="BGZ75" s="2198"/>
      <c r="BHA75" s="2198"/>
      <c r="BHB75" s="2198"/>
      <c r="BHC75" s="2198"/>
      <c r="BHD75" s="2198"/>
      <c r="BHE75" s="2198"/>
      <c r="BHF75" s="2198"/>
      <c r="BHG75" s="2198"/>
      <c r="BHH75" s="2198"/>
      <c r="BHI75" s="2198"/>
      <c r="BHJ75" s="2198"/>
      <c r="BHK75" s="2198"/>
      <c r="BHL75" s="2198"/>
      <c r="BHM75" s="2198"/>
      <c r="BHN75" s="2198"/>
      <c r="BHO75" s="2198"/>
      <c r="BHP75" s="2198"/>
      <c r="BHQ75" s="2198"/>
      <c r="BHR75" s="2198"/>
      <c r="BHS75" s="2198"/>
      <c r="BHT75" s="2198"/>
      <c r="BHU75" s="2198"/>
      <c r="BHV75" s="2198"/>
      <c r="BHW75" s="2198"/>
      <c r="BHX75" s="2198"/>
      <c r="BHY75" s="2198"/>
      <c r="BHZ75" s="2198"/>
      <c r="BIA75" s="2198"/>
      <c r="BIB75" s="2198"/>
      <c r="BIC75" s="2198"/>
      <c r="BID75" s="2198"/>
      <c r="BIE75" s="2198"/>
      <c r="BIF75" s="2198"/>
      <c r="BIG75" s="2198"/>
      <c r="BIH75" s="2198"/>
      <c r="BII75" s="2198"/>
      <c r="BIJ75" s="2198"/>
      <c r="BIK75" s="2198"/>
      <c r="BIL75" s="2198"/>
      <c r="BIM75" s="2198"/>
      <c r="BIN75" s="2198"/>
      <c r="BIO75" s="2198"/>
      <c r="BIP75" s="2198"/>
      <c r="BIQ75" s="2198"/>
      <c r="BIR75" s="2198"/>
      <c r="BIS75" s="2198"/>
      <c r="BIT75" s="2198"/>
      <c r="BIU75" s="2198"/>
      <c r="BIV75" s="2198"/>
      <c r="BIW75" s="2198"/>
      <c r="BIX75" s="2198"/>
      <c r="BIY75" s="2198"/>
      <c r="BIZ75" s="2198"/>
      <c r="BJA75" s="2198"/>
      <c r="BJB75" s="2198"/>
      <c r="BJC75" s="2198"/>
      <c r="BJD75" s="2198"/>
      <c r="BJE75" s="2198"/>
      <c r="BJF75" s="2198"/>
      <c r="BJG75" s="2198"/>
      <c r="BJH75" s="2198"/>
      <c r="BJI75" s="2198"/>
      <c r="BJJ75" s="2198"/>
      <c r="BJK75" s="2198"/>
      <c r="BJL75" s="2198"/>
      <c r="BJM75" s="2198"/>
      <c r="BJN75" s="2198"/>
      <c r="BJO75" s="2198"/>
      <c r="BJP75" s="2198"/>
      <c r="BJQ75" s="2198"/>
      <c r="BJR75" s="2198"/>
      <c r="BJS75" s="2198"/>
      <c r="BJT75" s="2198"/>
      <c r="BJU75" s="2198"/>
      <c r="BJV75" s="2198"/>
      <c r="BJW75" s="2198"/>
      <c r="BJX75" s="2198"/>
      <c r="BJY75" s="2198"/>
      <c r="BJZ75" s="2198"/>
      <c r="BKA75" s="2198"/>
      <c r="BKB75" s="2198"/>
      <c r="BKC75" s="2198"/>
      <c r="BKD75" s="2198"/>
      <c r="BKE75" s="2198"/>
      <c r="BKF75" s="2198"/>
      <c r="BKG75" s="2198"/>
      <c r="BKH75" s="2198"/>
      <c r="BKI75" s="2198"/>
      <c r="BKJ75" s="2198"/>
      <c r="BKK75" s="2198"/>
      <c r="BKL75" s="2198"/>
      <c r="BKM75" s="2198"/>
      <c r="BKN75" s="2198"/>
      <c r="BKO75" s="2198"/>
      <c r="BKP75" s="2198"/>
      <c r="BKQ75" s="2198"/>
      <c r="BKR75" s="2198"/>
      <c r="BKS75" s="2198"/>
      <c r="BKT75" s="2198"/>
      <c r="BKU75" s="2198"/>
      <c r="BKV75" s="2198"/>
      <c r="BKW75" s="2198"/>
      <c r="BKX75" s="2198"/>
      <c r="BKY75" s="2198"/>
      <c r="BKZ75" s="2198"/>
      <c r="BLA75" s="2198"/>
      <c r="BLB75" s="2198"/>
      <c r="BLC75" s="2198"/>
      <c r="BLD75" s="2198"/>
      <c r="BLE75" s="2198"/>
      <c r="BLF75" s="2198"/>
      <c r="BLG75" s="2198"/>
      <c r="BLH75" s="2198"/>
      <c r="BLI75" s="2198"/>
      <c r="BLJ75" s="2198"/>
      <c r="BLK75" s="2198"/>
      <c r="BLL75" s="2198"/>
      <c r="BLM75" s="2198"/>
      <c r="BLN75" s="2198"/>
      <c r="BLO75" s="2198"/>
      <c r="BLP75" s="2198"/>
      <c r="BLQ75" s="2198"/>
      <c r="BLR75" s="2198"/>
      <c r="BLS75" s="2198"/>
      <c r="BLT75" s="2198"/>
      <c r="BLU75" s="2198"/>
      <c r="BLV75" s="2198"/>
      <c r="BLW75" s="2198"/>
      <c r="BLX75" s="2198"/>
      <c r="BLY75" s="2198"/>
      <c r="BLZ75" s="2198"/>
      <c r="BMA75" s="2198"/>
      <c r="BMB75" s="2198"/>
      <c r="BMC75" s="2198"/>
      <c r="BMD75" s="2198"/>
      <c r="BME75" s="2198"/>
      <c r="BMF75" s="2198"/>
      <c r="BMG75" s="2198"/>
      <c r="BMH75" s="2198"/>
      <c r="BMI75" s="2198"/>
      <c r="BMJ75" s="2198"/>
      <c r="BMK75" s="2198"/>
      <c r="BML75" s="2198"/>
      <c r="BMM75" s="2198"/>
      <c r="BMN75" s="2198"/>
      <c r="BMO75" s="2198"/>
      <c r="BMP75" s="2198"/>
      <c r="BMQ75" s="2198"/>
      <c r="BMR75" s="2198"/>
      <c r="BMS75" s="2198"/>
      <c r="BMT75" s="2198"/>
      <c r="BMU75" s="2198"/>
      <c r="BMV75" s="2198"/>
      <c r="BMW75" s="2198"/>
      <c r="BMX75" s="2198"/>
      <c r="BMY75" s="2198"/>
      <c r="BMZ75" s="2198"/>
      <c r="BNA75" s="2198"/>
      <c r="BNB75" s="2198"/>
      <c r="BNC75" s="2198"/>
      <c r="BND75" s="2198"/>
      <c r="BNE75" s="2198"/>
      <c r="BNF75" s="2198"/>
      <c r="BNG75" s="2198"/>
      <c r="BNH75" s="2198"/>
      <c r="BNI75" s="2198"/>
      <c r="BNJ75" s="2198"/>
      <c r="BNK75" s="2198"/>
      <c r="BNL75" s="2198"/>
      <c r="BNM75" s="2198"/>
      <c r="BNN75" s="2198"/>
      <c r="BNO75" s="2198"/>
      <c r="BNP75" s="2198"/>
      <c r="BNQ75" s="2198"/>
      <c r="BNR75" s="2198"/>
      <c r="BNS75" s="2198"/>
      <c r="BNT75" s="2198"/>
      <c r="BNU75" s="2198"/>
      <c r="BNV75" s="2198"/>
      <c r="BNW75" s="2198"/>
      <c r="BNX75" s="2198"/>
      <c r="BNY75" s="2198"/>
      <c r="BNZ75" s="2198"/>
      <c r="BOA75" s="2198"/>
      <c r="BOB75" s="2198"/>
      <c r="BOC75" s="2198"/>
      <c r="BOD75" s="2198"/>
      <c r="BOE75" s="2198"/>
      <c r="BOF75" s="2198"/>
      <c r="BOG75" s="2198"/>
      <c r="BOH75" s="2198"/>
      <c r="BOI75" s="2198"/>
      <c r="BOJ75" s="2198"/>
      <c r="BOK75" s="2198"/>
      <c r="BOL75" s="2198"/>
      <c r="BOM75" s="2198"/>
      <c r="BON75" s="2198"/>
      <c r="BOO75" s="2198"/>
      <c r="BOP75" s="2198"/>
      <c r="BOQ75" s="2198"/>
      <c r="BOR75" s="2198"/>
      <c r="BOS75" s="2198"/>
      <c r="BOT75" s="2198"/>
      <c r="BOU75" s="2198"/>
      <c r="BOV75" s="2198"/>
      <c r="BOW75" s="2198"/>
      <c r="BOX75" s="2198"/>
      <c r="BOY75" s="2198"/>
      <c r="BOZ75" s="2198"/>
      <c r="BPA75" s="2198"/>
      <c r="BPB75" s="2198"/>
      <c r="BPC75" s="2198"/>
      <c r="BPD75" s="2198"/>
      <c r="BPE75" s="2198"/>
      <c r="BPF75" s="2198"/>
      <c r="BPG75" s="2198"/>
      <c r="BPH75" s="2198"/>
      <c r="BPI75" s="2198"/>
      <c r="BPJ75" s="2198"/>
      <c r="BPK75" s="2198"/>
      <c r="BPL75" s="2198"/>
      <c r="BPM75" s="2198"/>
      <c r="BPN75" s="2198"/>
      <c r="BPO75" s="2198"/>
      <c r="BPP75" s="2198"/>
      <c r="BPQ75" s="2198"/>
      <c r="BPR75" s="2198"/>
      <c r="BPS75" s="2198"/>
      <c r="BPT75" s="2198"/>
      <c r="BPU75" s="2198"/>
      <c r="BPV75" s="2198"/>
      <c r="BPW75" s="2198"/>
      <c r="BPX75" s="2198"/>
      <c r="BPY75" s="2198"/>
      <c r="BPZ75" s="2198"/>
      <c r="BQA75" s="2198"/>
      <c r="BQB75" s="2198"/>
      <c r="BQC75" s="2198"/>
      <c r="BQD75" s="2198"/>
      <c r="BQE75" s="2198"/>
      <c r="BQF75" s="2198"/>
      <c r="BQG75" s="2198"/>
      <c r="BQH75" s="2198"/>
      <c r="BQI75" s="2198"/>
      <c r="BQJ75" s="2198"/>
      <c r="BQK75" s="2198"/>
      <c r="BQL75" s="2198"/>
      <c r="BQM75" s="2198"/>
      <c r="BQN75" s="2198"/>
      <c r="BQO75" s="2198"/>
      <c r="BQP75" s="2198"/>
      <c r="BQQ75" s="2198"/>
      <c r="BQR75" s="2198"/>
      <c r="BQS75" s="2198"/>
      <c r="BQT75" s="2198"/>
      <c r="BQU75" s="2198"/>
      <c r="BQV75" s="2198"/>
      <c r="BQW75" s="2198"/>
      <c r="BQX75" s="2198"/>
      <c r="BQY75" s="2198"/>
      <c r="BQZ75" s="2198"/>
      <c r="BRA75" s="2198"/>
      <c r="BRB75" s="2198"/>
      <c r="BRC75" s="2198"/>
      <c r="BRD75" s="2198"/>
      <c r="BRE75" s="2198"/>
      <c r="BRF75" s="2198"/>
      <c r="BRG75" s="2198"/>
      <c r="BRH75" s="2198"/>
      <c r="BRI75" s="2198"/>
      <c r="BRJ75" s="2198"/>
      <c r="BRK75" s="2198"/>
      <c r="BRL75" s="2198"/>
      <c r="BRM75" s="2198"/>
      <c r="BRN75" s="2198"/>
      <c r="BRO75" s="2198"/>
      <c r="BRP75" s="2198"/>
      <c r="BRQ75" s="2198"/>
      <c r="BRR75" s="2198"/>
      <c r="BRS75" s="2198"/>
      <c r="BRT75" s="2198"/>
      <c r="BRU75" s="2198"/>
      <c r="BRV75" s="2198"/>
      <c r="BRW75" s="2198"/>
      <c r="BRX75" s="2198"/>
      <c r="BRY75" s="2198"/>
      <c r="BRZ75" s="2198"/>
      <c r="BSA75" s="2198"/>
      <c r="BSB75" s="2198"/>
      <c r="BSC75" s="2198"/>
      <c r="BSD75" s="2198"/>
      <c r="BSE75" s="2198"/>
      <c r="BSF75" s="2198"/>
      <c r="BSG75" s="2198"/>
      <c r="BSH75" s="2198"/>
      <c r="BSI75" s="2198"/>
      <c r="BSJ75" s="2198"/>
      <c r="BSK75" s="2198"/>
      <c r="BSL75" s="2198"/>
      <c r="BSM75" s="2198"/>
      <c r="BSN75" s="2198"/>
      <c r="BSO75" s="2198"/>
      <c r="BSP75" s="2198"/>
      <c r="BSQ75" s="2198"/>
      <c r="BSR75" s="2198"/>
      <c r="BSS75" s="2198"/>
      <c r="BST75" s="2198"/>
      <c r="BSU75" s="2198"/>
      <c r="BSV75" s="2198"/>
      <c r="BSW75" s="2198"/>
      <c r="BSX75" s="2198"/>
      <c r="BSY75" s="2198"/>
      <c r="BSZ75" s="2198"/>
      <c r="BTA75" s="2198"/>
      <c r="BTB75" s="2198"/>
      <c r="BTC75" s="2198"/>
      <c r="BTD75" s="2198"/>
      <c r="BTE75" s="2198"/>
      <c r="BTF75" s="2198"/>
      <c r="BTG75" s="2198"/>
      <c r="BTH75" s="2198"/>
      <c r="BTI75" s="2198"/>
      <c r="BTJ75" s="2198"/>
      <c r="BTK75" s="2198"/>
      <c r="BTL75" s="2198"/>
      <c r="BTM75" s="2198"/>
      <c r="BTN75" s="2198"/>
      <c r="BTO75" s="2198"/>
      <c r="BTP75" s="2198"/>
      <c r="BTQ75" s="2198"/>
      <c r="BTR75" s="2198"/>
      <c r="BTS75" s="2198"/>
      <c r="BTT75" s="2198"/>
      <c r="BTU75" s="2198"/>
      <c r="BTV75" s="2198"/>
      <c r="BTW75" s="2198"/>
      <c r="BTX75" s="2198"/>
      <c r="BTY75" s="2198"/>
      <c r="BTZ75" s="2198"/>
      <c r="BUA75" s="2198"/>
      <c r="BUB75" s="2198"/>
      <c r="BUC75" s="2198"/>
      <c r="BUD75" s="2198"/>
      <c r="BUE75" s="2198"/>
      <c r="BUF75" s="2198"/>
      <c r="BUG75" s="2198"/>
      <c r="BUH75" s="2198"/>
      <c r="BUI75" s="2198"/>
      <c r="BUJ75" s="2198"/>
      <c r="BUK75" s="2198"/>
      <c r="BUL75" s="2198"/>
      <c r="BUM75" s="2198"/>
      <c r="BUN75" s="2198"/>
      <c r="BUO75" s="2198"/>
      <c r="BUP75" s="2198"/>
      <c r="BUQ75" s="2198"/>
      <c r="BUR75" s="2198"/>
      <c r="BUS75" s="2198"/>
      <c r="BUT75" s="2198"/>
      <c r="BUU75" s="2198"/>
      <c r="BUV75" s="2198"/>
      <c r="BUW75" s="2198"/>
      <c r="BUX75" s="2198"/>
      <c r="BUY75" s="2198"/>
      <c r="BUZ75" s="2198"/>
      <c r="BVA75" s="2198"/>
      <c r="BVB75" s="2198"/>
      <c r="BVC75" s="2198"/>
      <c r="BVD75" s="2198"/>
      <c r="BVE75" s="2198"/>
      <c r="BVF75" s="2198"/>
      <c r="BVG75" s="2198"/>
      <c r="BVH75" s="2198"/>
      <c r="BVI75" s="2198"/>
      <c r="BVJ75" s="2198"/>
      <c r="BVK75" s="2198"/>
      <c r="BVL75" s="2198"/>
      <c r="BVM75" s="2198"/>
      <c r="BVN75" s="2198"/>
      <c r="BVO75" s="2198"/>
      <c r="BVP75" s="2198"/>
      <c r="BVQ75" s="2198"/>
      <c r="BVR75" s="2198"/>
      <c r="BVS75" s="2198"/>
      <c r="BVT75" s="2198"/>
      <c r="BVU75" s="2198"/>
      <c r="BVV75" s="2198"/>
      <c r="BVW75" s="2198"/>
      <c r="BVX75" s="2198"/>
      <c r="BVY75" s="2198"/>
      <c r="BVZ75" s="2198"/>
      <c r="BWA75" s="2198"/>
      <c r="BWB75" s="2198"/>
      <c r="BWC75" s="2198"/>
      <c r="BWD75" s="2198"/>
      <c r="BWE75" s="2198"/>
      <c r="BWF75" s="2198"/>
      <c r="BWG75" s="2198"/>
      <c r="BWH75" s="2198"/>
      <c r="BWI75" s="2198"/>
      <c r="BWJ75" s="2198"/>
      <c r="BWK75" s="2198"/>
      <c r="BWL75" s="2198"/>
      <c r="BWM75" s="2198"/>
      <c r="BWN75" s="2198"/>
      <c r="BWO75" s="2198"/>
      <c r="BWP75" s="2198"/>
      <c r="BWQ75" s="2198"/>
      <c r="BWR75" s="2198"/>
      <c r="BWS75" s="2198"/>
      <c r="BWT75" s="2198"/>
      <c r="BWU75" s="2198"/>
      <c r="BWV75" s="2198"/>
      <c r="BWW75" s="2198"/>
      <c r="BWX75" s="2198"/>
      <c r="BWY75" s="2198"/>
      <c r="BWZ75" s="2198"/>
      <c r="BXA75" s="2198"/>
      <c r="BXB75" s="2198"/>
      <c r="BXC75" s="2198"/>
      <c r="BXD75" s="2198"/>
      <c r="BXE75" s="2198"/>
      <c r="BXF75" s="2198"/>
      <c r="BXG75" s="2198"/>
      <c r="BXH75" s="2198"/>
      <c r="BXI75" s="2198"/>
      <c r="BXJ75" s="2198"/>
      <c r="BXK75" s="2198"/>
      <c r="BXL75" s="2198"/>
      <c r="BXM75" s="2198"/>
      <c r="BXN75" s="2198"/>
      <c r="BXO75" s="2198"/>
      <c r="BXP75" s="2198"/>
      <c r="BXQ75" s="2198"/>
      <c r="BXR75" s="2198"/>
      <c r="BXS75" s="2198"/>
      <c r="BXT75" s="2198"/>
      <c r="BXU75" s="2198"/>
      <c r="BXV75" s="2198"/>
      <c r="BXW75" s="2198"/>
      <c r="BXX75" s="2198"/>
      <c r="BXY75" s="2198"/>
      <c r="BXZ75" s="2198"/>
      <c r="BYA75" s="2198"/>
      <c r="BYB75" s="2198"/>
      <c r="BYC75" s="2198"/>
      <c r="BYD75" s="2198"/>
      <c r="BYE75" s="2198"/>
      <c r="BYF75" s="2198"/>
      <c r="BYG75" s="2198"/>
      <c r="BYH75" s="2198"/>
      <c r="BYI75" s="2198"/>
      <c r="BYJ75" s="2198"/>
      <c r="BYK75" s="2198"/>
      <c r="BYL75" s="2198"/>
      <c r="BYM75" s="2198"/>
      <c r="BYN75" s="2198"/>
      <c r="BYO75" s="2198"/>
      <c r="BYP75" s="2198"/>
      <c r="BYQ75" s="2198"/>
      <c r="BYR75" s="2198"/>
      <c r="BYS75" s="2198"/>
      <c r="BYT75" s="2198"/>
      <c r="BYU75" s="2198"/>
      <c r="BYV75" s="2198"/>
      <c r="BYW75" s="2198"/>
      <c r="BYX75" s="2198"/>
      <c r="BYY75" s="2198"/>
      <c r="BYZ75" s="2198"/>
      <c r="BZA75" s="2198"/>
      <c r="BZB75" s="2198"/>
      <c r="BZC75" s="2198"/>
      <c r="BZD75" s="2198"/>
      <c r="BZE75" s="2198"/>
      <c r="BZF75" s="2198"/>
      <c r="BZG75" s="2198"/>
      <c r="BZH75" s="2198"/>
      <c r="BZI75" s="2198"/>
      <c r="BZJ75" s="2198"/>
      <c r="BZK75" s="2198"/>
      <c r="BZL75" s="2198"/>
      <c r="BZM75" s="2198"/>
      <c r="BZN75" s="2198"/>
      <c r="BZO75" s="2198"/>
      <c r="BZP75" s="2198"/>
      <c r="BZQ75" s="2198"/>
      <c r="BZR75" s="2198"/>
      <c r="BZS75" s="2198"/>
      <c r="BZT75" s="2198"/>
      <c r="BZU75" s="2198"/>
      <c r="BZV75" s="2198"/>
      <c r="BZW75" s="2198"/>
      <c r="BZX75" s="2198"/>
      <c r="BZY75" s="2198"/>
      <c r="BZZ75" s="2198"/>
      <c r="CAA75" s="2198"/>
      <c r="CAB75" s="2198"/>
      <c r="CAC75" s="2198"/>
      <c r="CAD75" s="2198"/>
      <c r="CAE75" s="2198"/>
      <c r="CAF75" s="2198"/>
      <c r="CAG75" s="2198"/>
      <c r="CAH75" s="2198"/>
      <c r="CAI75" s="2198"/>
      <c r="CAJ75" s="2198"/>
      <c r="CAK75" s="2198"/>
      <c r="CAL75" s="2198"/>
      <c r="CAM75" s="2198"/>
      <c r="CAN75" s="2198"/>
      <c r="CAO75" s="2198"/>
      <c r="CAP75" s="2198"/>
      <c r="CAQ75" s="2198"/>
      <c r="CAR75" s="2198"/>
      <c r="CAS75" s="2198"/>
      <c r="CAT75" s="2198"/>
      <c r="CAU75" s="2198"/>
      <c r="CAV75" s="2198"/>
      <c r="CAW75" s="2198"/>
      <c r="CAX75" s="2198"/>
      <c r="CAY75" s="2198"/>
      <c r="CAZ75" s="2198"/>
      <c r="CBA75" s="2198"/>
      <c r="CBB75" s="2198"/>
      <c r="CBC75" s="2198"/>
      <c r="CBD75" s="2198"/>
      <c r="CBE75" s="2198"/>
      <c r="CBF75" s="2198"/>
      <c r="CBG75" s="2198"/>
      <c r="CBH75" s="2198"/>
      <c r="CBI75" s="2198"/>
      <c r="CBJ75" s="2198"/>
      <c r="CBK75" s="2198"/>
      <c r="CBL75" s="2198"/>
      <c r="CBM75" s="2198"/>
      <c r="CBN75" s="2198"/>
      <c r="CBO75" s="2198"/>
      <c r="CBP75" s="2198"/>
      <c r="CBQ75" s="2198"/>
      <c r="CBR75" s="2198"/>
      <c r="CBS75" s="2198"/>
      <c r="CBT75" s="2198"/>
      <c r="CBU75" s="2198"/>
      <c r="CBV75" s="2198"/>
      <c r="CBW75" s="2198"/>
      <c r="CBX75" s="2198"/>
      <c r="CBY75" s="2198"/>
      <c r="CBZ75" s="2198"/>
      <c r="CCA75" s="2198"/>
      <c r="CCB75" s="2198"/>
      <c r="CCC75" s="2198"/>
      <c r="CCD75" s="2198"/>
      <c r="CCE75" s="2198"/>
      <c r="CCF75" s="2198"/>
      <c r="CCG75" s="2198"/>
      <c r="CCH75" s="2198"/>
      <c r="CCI75" s="2198"/>
      <c r="CCJ75" s="2198"/>
      <c r="CCK75" s="2198"/>
      <c r="CCL75" s="2198"/>
      <c r="CCM75" s="2198"/>
      <c r="CCN75" s="2198"/>
      <c r="CCO75" s="2198"/>
      <c r="CCP75" s="2198"/>
      <c r="CCQ75" s="2198"/>
      <c r="CCR75" s="2198"/>
      <c r="CCS75" s="2198"/>
      <c r="CCT75" s="2198"/>
      <c r="CCU75" s="2198"/>
      <c r="CCV75" s="2198"/>
      <c r="CCW75" s="2198"/>
      <c r="CCX75" s="2198"/>
      <c r="CCY75" s="2198"/>
      <c r="CCZ75" s="2198"/>
      <c r="CDA75" s="2198"/>
      <c r="CDB75" s="2198"/>
      <c r="CDC75" s="2198"/>
      <c r="CDD75" s="2198"/>
      <c r="CDE75" s="2198"/>
      <c r="CDF75" s="2198"/>
      <c r="CDG75" s="2198"/>
      <c r="CDH75" s="2198"/>
      <c r="CDI75" s="2198"/>
      <c r="CDJ75" s="2198"/>
      <c r="CDK75" s="2198"/>
      <c r="CDL75" s="2198"/>
      <c r="CDM75" s="2198"/>
      <c r="CDN75" s="2198"/>
      <c r="CDO75" s="2198"/>
      <c r="CDP75" s="2198"/>
      <c r="CDQ75" s="2198"/>
      <c r="CDR75" s="2198"/>
      <c r="CDS75" s="2198"/>
      <c r="CDT75" s="2198"/>
      <c r="CDU75" s="2198"/>
      <c r="CDV75" s="2198"/>
      <c r="CDW75" s="2198"/>
      <c r="CDX75" s="2198"/>
      <c r="CDY75" s="2198"/>
      <c r="CDZ75" s="2198"/>
      <c r="CEA75" s="2198"/>
      <c r="CEB75" s="2198"/>
      <c r="CEC75" s="2198"/>
      <c r="CED75" s="2198"/>
      <c r="CEE75" s="2198"/>
      <c r="CEF75" s="2198"/>
      <c r="CEG75" s="2198"/>
      <c r="CEH75" s="2198"/>
      <c r="CEI75" s="2198"/>
      <c r="CEJ75" s="2198"/>
      <c r="CEK75" s="2198"/>
      <c r="CEL75" s="2198"/>
      <c r="CEM75" s="2198"/>
      <c r="CEN75" s="2198"/>
      <c r="CEO75" s="2198"/>
      <c r="CEP75" s="2198"/>
      <c r="CEQ75" s="2198"/>
      <c r="CER75" s="2198"/>
      <c r="CES75" s="2198"/>
      <c r="CET75" s="2198"/>
      <c r="CEU75" s="2198"/>
      <c r="CEV75" s="2198"/>
      <c r="CEW75" s="2198"/>
      <c r="CEX75" s="2198"/>
      <c r="CEY75" s="2198"/>
      <c r="CEZ75" s="2198"/>
      <c r="CFA75" s="2198"/>
      <c r="CFB75" s="2198"/>
      <c r="CFC75" s="2198"/>
      <c r="CFD75" s="2198"/>
      <c r="CFE75" s="2198"/>
      <c r="CFF75" s="2198"/>
      <c r="CFG75" s="2198"/>
      <c r="CFH75" s="2198"/>
      <c r="CFI75" s="2198"/>
      <c r="CFJ75" s="2198"/>
      <c r="CFK75" s="2198"/>
      <c r="CFL75" s="2198"/>
      <c r="CFM75" s="2198"/>
      <c r="CFN75" s="2198"/>
      <c r="CFO75" s="2198"/>
      <c r="CFP75" s="2198"/>
      <c r="CFQ75" s="2198"/>
      <c r="CFR75" s="2198"/>
      <c r="CFS75" s="2198"/>
      <c r="CFT75" s="2198"/>
      <c r="CFU75" s="2198"/>
      <c r="CFV75" s="2198"/>
      <c r="CFW75" s="2198"/>
      <c r="CFX75" s="2198"/>
      <c r="CFY75" s="2198"/>
      <c r="CFZ75" s="2198"/>
      <c r="CGA75" s="2198"/>
      <c r="CGB75" s="2198"/>
      <c r="CGC75" s="2198"/>
      <c r="CGD75" s="2198"/>
      <c r="CGE75" s="2198"/>
      <c r="CGF75" s="2198"/>
      <c r="CGG75" s="2198"/>
      <c r="CGH75" s="2198"/>
      <c r="CGI75" s="2198"/>
      <c r="CGJ75" s="2198"/>
      <c r="CGK75" s="2198"/>
      <c r="CGL75" s="2198"/>
      <c r="CGM75" s="2198"/>
      <c r="CGN75" s="2198"/>
      <c r="CGO75" s="2198"/>
      <c r="CGP75" s="2198"/>
      <c r="CGQ75" s="2198"/>
      <c r="CGR75" s="2198"/>
      <c r="CGS75" s="2198"/>
      <c r="CGT75" s="2198"/>
      <c r="CGU75" s="2198"/>
      <c r="CGV75" s="2198"/>
      <c r="CGW75" s="2198"/>
      <c r="CGX75" s="2198"/>
      <c r="CGY75" s="2198"/>
      <c r="CGZ75" s="2198"/>
      <c r="CHA75" s="2198"/>
      <c r="CHB75" s="2198"/>
      <c r="CHC75" s="2198"/>
      <c r="CHD75" s="2198"/>
      <c r="CHE75" s="2198"/>
      <c r="CHF75" s="2198"/>
      <c r="CHG75" s="2198"/>
      <c r="CHH75" s="2198"/>
      <c r="CHI75" s="2198"/>
      <c r="CHJ75" s="2198"/>
      <c r="CHK75" s="2198"/>
      <c r="CHL75" s="2198"/>
      <c r="CHM75" s="2198"/>
      <c r="CHN75" s="2198"/>
      <c r="CHO75" s="2198"/>
      <c r="CHP75" s="2198"/>
      <c r="CHQ75" s="2198"/>
      <c r="CHR75" s="2198"/>
      <c r="CHS75" s="2198"/>
      <c r="CHT75" s="2198"/>
      <c r="CHU75" s="2198"/>
      <c r="CHV75" s="2198"/>
      <c r="CHW75" s="2198"/>
      <c r="CHX75" s="2198"/>
      <c r="CHY75" s="2198"/>
      <c r="CHZ75" s="2198"/>
      <c r="CIA75" s="2198"/>
      <c r="CIB75" s="2198"/>
      <c r="CIC75" s="2198"/>
      <c r="CID75" s="2198"/>
      <c r="CIE75" s="2198"/>
      <c r="CIF75" s="2198"/>
      <c r="CIG75" s="2198"/>
      <c r="CIH75" s="2198"/>
      <c r="CII75" s="2198"/>
      <c r="CIJ75" s="2198"/>
      <c r="CIK75" s="2198"/>
      <c r="CIL75" s="2198"/>
      <c r="CIM75" s="2198"/>
      <c r="CIN75" s="2198"/>
      <c r="CIO75" s="2198"/>
      <c r="CIP75" s="2198"/>
      <c r="CIQ75" s="2198"/>
      <c r="CIR75" s="2198"/>
      <c r="CIS75" s="2198"/>
      <c r="CIT75" s="2198"/>
      <c r="CIU75" s="2198"/>
      <c r="CIV75" s="2198"/>
      <c r="CIW75" s="2198"/>
      <c r="CIX75" s="2198"/>
      <c r="CIY75" s="2198"/>
      <c r="CIZ75" s="2198"/>
      <c r="CJA75" s="2198"/>
      <c r="CJB75" s="2198"/>
      <c r="CJC75" s="2198"/>
      <c r="CJD75" s="2198"/>
      <c r="CJE75" s="2198"/>
      <c r="CJF75" s="2198"/>
      <c r="CJG75" s="2198"/>
      <c r="CJH75" s="2198"/>
      <c r="CJI75" s="2198"/>
      <c r="CJJ75" s="2198"/>
      <c r="CJK75" s="2198"/>
      <c r="CJL75" s="2198"/>
      <c r="CJM75" s="2198"/>
      <c r="CJN75" s="2198"/>
      <c r="CJO75" s="2198"/>
      <c r="CJP75" s="2198"/>
      <c r="CJQ75" s="2198"/>
      <c r="CJR75" s="2198"/>
      <c r="CJS75" s="2198"/>
      <c r="CJT75" s="2198"/>
      <c r="CJU75" s="2198"/>
      <c r="CJV75" s="2198"/>
      <c r="CJW75" s="2198"/>
      <c r="CJX75" s="2198"/>
      <c r="CJY75" s="2198"/>
      <c r="CJZ75" s="2198"/>
      <c r="CKA75" s="2198"/>
      <c r="CKB75" s="2198"/>
      <c r="CKC75" s="2198"/>
      <c r="CKD75" s="2198"/>
      <c r="CKE75" s="2198"/>
      <c r="CKF75" s="2198"/>
      <c r="CKG75" s="2198"/>
      <c r="CKH75" s="2198"/>
      <c r="CKI75" s="2198"/>
      <c r="CKJ75" s="2198"/>
      <c r="CKK75" s="2198"/>
      <c r="CKL75" s="2198"/>
      <c r="CKM75" s="2198"/>
      <c r="CKN75" s="2198"/>
      <c r="CKO75" s="2198"/>
      <c r="CKP75" s="2198"/>
      <c r="CKQ75" s="2198"/>
      <c r="CKR75" s="2198"/>
      <c r="CKS75" s="2198"/>
      <c r="CKT75" s="2198"/>
      <c r="CKU75" s="2198"/>
      <c r="CKV75" s="2198"/>
      <c r="CKW75" s="2198"/>
      <c r="CKX75" s="2198"/>
      <c r="CKY75" s="2198"/>
      <c r="CKZ75" s="2198"/>
      <c r="CLA75" s="2198"/>
      <c r="CLB75" s="2198"/>
      <c r="CLC75" s="2198"/>
      <c r="CLD75" s="2198"/>
      <c r="CLE75" s="2198"/>
      <c r="CLF75" s="2198"/>
      <c r="CLG75" s="2198"/>
      <c r="CLH75" s="2198"/>
      <c r="CLI75" s="2198"/>
      <c r="CLJ75" s="2198"/>
      <c r="CLK75" s="2198"/>
      <c r="CLL75" s="2198"/>
      <c r="CLM75" s="2198"/>
      <c r="CLN75" s="2198"/>
      <c r="CLO75" s="2198"/>
      <c r="CLP75" s="2198"/>
      <c r="CLQ75" s="2198"/>
      <c r="CLR75" s="2198"/>
      <c r="CLS75" s="2198"/>
      <c r="CLT75" s="2198"/>
      <c r="CLU75" s="2198"/>
      <c r="CLV75" s="2198"/>
      <c r="CLW75" s="2198"/>
      <c r="CLX75" s="2198"/>
      <c r="CLY75" s="2198"/>
      <c r="CLZ75" s="2198"/>
      <c r="CMA75" s="2198"/>
      <c r="CMB75" s="2198"/>
      <c r="CMC75" s="2198"/>
      <c r="CMD75" s="2198"/>
      <c r="CME75" s="2198"/>
      <c r="CMF75" s="2198"/>
      <c r="CMG75" s="2198"/>
      <c r="CMH75" s="2198"/>
      <c r="CMI75" s="2198"/>
      <c r="CMJ75" s="2198"/>
      <c r="CMK75" s="2198"/>
      <c r="CML75" s="2198"/>
      <c r="CMM75" s="2198"/>
      <c r="CMN75" s="2198"/>
      <c r="CMO75" s="2198"/>
      <c r="CMP75" s="2198"/>
      <c r="CMQ75" s="2198"/>
      <c r="CMR75" s="2198"/>
      <c r="CMS75" s="2198"/>
      <c r="CMT75" s="2198"/>
      <c r="CMU75" s="2198"/>
      <c r="CMV75" s="2198"/>
      <c r="CMW75" s="2198"/>
      <c r="CMX75" s="2198"/>
      <c r="CMY75" s="2198"/>
      <c r="CMZ75" s="2198"/>
      <c r="CNA75" s="2198"/>
      <c r="CNB75" s="2198"/>
      <c r="CNC75" s="2198"/>
      <c r="CND75" s="2198"/>
      <c r="CNE75" s="2198"/>
      <c r="CNF75" s="2198"/>
      <c r="CNG75" s="2198"/>
      <c r="CNH75" s="2198"/>
      <c r="CNI75" s="2198"/>
      <c r="CNJ75" s="2198"/>
      <c r="CNK75" s="2198"/>
      <c r="CNL75" s="2198"/>
      <c r="CNM75" s="2198"/>
      <c r="CNN75" s="2198"/>
      <c r="CNO75" s="2198"/>
      <c r="CNP75" s="2198"/>
      <c r="CNQ75" s="2198"/>
      <c r="CNR75" s="2198"/>
      <c r="CNS75" s="2198"/>
      <c r="CNT75" s="2198"/>
      <c r="CNU75" s="2198"/>
      <c r="CNV75" s="2198"/>
      <c r="CNW75" s="2198"/>
      <c r="CNX75" s="2198"/>
      <c r="CNY75" s="2198"/>
      <c r="CNZ75" s="2198"/>
      <c r="COA75" s="2198"/>
      <c r="COB75" s="2198"/>
      <c r="COC75" s="2198"/>
      <c r="COD75" s="2198"/>
      <c r="COE75" s="2198"/>
      <c r="COF75" s="2198"/>
      <c r="COG75" s="2198"/>
      <c r="COH75" s="2198"/>
      <c r="COI75" s="2198"/>
      <c r="COJ75" s="2198"/>
      <c r="COK75" s="2198"/>
      <c r="COL75" s="2198"/>
      <c r="COM75" s="2198"/>
      <c r="CON75" s="2198"/>
      <c r="COO75" s="2198"/>
      <c r="COP75" s="2198"/>
      <c r="COQ75" s="2198"/>
      <c r="COR75" s="2198"/>
      <c r="COS75" s="2198"/>
      <c r="COT75" s="2198"/>
      <c r="COU75" s="2198"/>
      <c r="COV75" s="2198"/>
      <c r="COW75" s="2198"/>
      <c r="COX75" s="2198"/>
      <c r="COY75" s="2198"/>
      <c r="COZ75" s="2198"/>
      <c r="CPA75" s="2198"/>
      <c r="CPB75" s="2198"/>
      <c r="CPC75" s="2198"/>
      <c r="CPD75" s="2198"/>
      <c r="CPE75" s="2198"/>
      <c r="CPF75" s="2198"/>
      <c r="CPG75" s="2198"/>
      <c r="CPH75" s="2198"/>
      <c r="CPI75" s="2198"/>
      <c r="CPJ75" s="2198"/>
      <c r="CPK75" s="2198"/>
      <c r="CPL75" s="2198"/>
      <c r="CPM75" s="2198"/>
      <c r="CPN75" s="2198"/>
      <c r="CPO75" s="2198"/>
      <c r="CPP75" s="2198"/>
      <c r="CPQ75" s="2198"/>
      <c r="CPR75" s="2198"/>
      <c r="CPS75" s="2198"/>
      <c r="CPT75" s="2198"/>
      <c r="CPU75" s="2198"/>
      <c r="CPV75" s="2198"/>
      <c r="CPW75" s="2198"/>
      <c r="CPX75" s="2198"/>
      <c r="CPY75" s="2198"/>
      <c r="CPZ75" s="2198"/>
      <c r="CQA75" s="2198"/>
      <c r="CQB75" s="2198"/>
      <c r="CQC75" s="2198"/>
      <c r="CQD75" s="2198"/>
      <c r="CQE75" s="2198"/>
      <c r="CQF75" s="2198"/>
      <c r="CQG75" s="2198"/>
      <c r="CQH75" s="2198"/>
      <c r="CQI75" s="2198"/>
      <c r="CQJ75" s="2198"/>
      <c r="CQK75" s="2198"/>
      <c r="CQL75" s="2198"/>
      <c r="CQM75" s="2198"/>
      <c r="CQN75" s="2198"/>
      <c r="CQO75" s="2198"/>
      <c r="CQP75" s="2198"/>
      <c r="CQQ75" s="2198"/>
      <c r="CQR75" s="2198"/>
      <c r="CQS75" s="2198"/>
      <c r="CQT75" s="2198"/>
      <c r="CQU75" s="2198"/>
      <c r="CQV75" s="2198"/>
      <c r="CQW75" s="2198"/>
      <c r="CQX75" s="2198"/>
      <c r="CQY75" s="2198"/>
      <c r="CQZ75" s="2198"/>
      <c r="CRA75" s="2198"/>
      <c r="CRB75" s="2198"/>
      <c r="CRC75" s="2198"/>
      <c r="CRD75" s="2198"/>
      <c r="CRE75" s="2198"/>
      <c r="CRF75" s="2198"/>
      <c r="CRG75" s="2198"/>
      <c r="CRH75" s="2198"/>
      <c r="CRI75" s="2198"/>
      <c r="CRJ75" s="2198"/>
      <c r="CRK75" s="2198"/>
      <c r="CRL75" s="2198"/>
      <c r="CRM75" s="2198"/>
      <c r="CRN75" s="2198"/>
      <c r="CRO75" s="2198"/>
      <c r="CRP75" s="2198"/>
      <c r="CRQ75" s="2198"/>
      <c r="CRR75" s="2198"/>
      <c r="CRS75" s="2198"/>
      <c r="CRT75" s="2198"/>
      <c r="CRU75" s="2198"/>
      <c r="CRV75" s="2198"/>
      <c r="CRW75" s="2198"/>
      <c r="CRX75" s="2198"/>
      <c r="CRY75" s="2198"/>
      <c r="CRZ75" s="2198"/>
      <c r="CSA75" s="2198"/>
      <c r="CSB75" s="2198"/>
      <c r="CSC75" s="2198"/>
      <c r="CSD75" s="2198"/>
      <c r="CSE75" s="2198"/>
      <c r="CSF75" s="2198"/>
      <c r="CSG75" s="2198"/>
      <c r="CSH75" s="2198"/>
      <c r="CSI75" s="2198"/>
      <c r="CSJ75" s="2198"/>
      <c r="CSK75" s="2198"/>
      <c r="CSL75" s="2198"/>
      <c r="CSM75" s="2198"/>
      <c r="CSN75" s="2198"/>
      <c r="CSO75" s="2198"/>
      <c r="CSP75" s="2198"/>
      <c r="CSQ75" s="2198"/>
      <c r="CSR75" s="2198"/>
      <c r="CSS75" s="2198"/>
      <c r="CST75" s="2198"/>
      <c r="CSU75" s="2198"/>
      <c r="CSV75" s="2198"/>
      <c r="CSW75" s="2198"/>
      <c r="CSX75" s="2198"/>
      <c r="CSY75" s="2198"/>
      <c r="CSZ75" s="2198"/>
      <c r="CTA75" s="2198"/>
      <c r="CTB75" s="2198"/>
      <c r="CTC75" s="2198"/>
      <c r="CTD75" s="2198"/>
      <c r="CTE75" s="2198"/>
      <c r="CTF75" s="2198"/>
      <c r="CTG75" s="2198"/>
      <c r="CTH75" s="2198"/>
      <c r="CTI75" s="2198"/>
      <c r="CTJ75" s="2198"/>
      <c r="CTK75" s="2198"/>
      <c r="CTL75" s="2198"/>
      <c r="CTM75" s="2198"/>
      <c r="CTN75" s="2198"/>
      <c r="CTO75" s="2198"/>
      <c r="CTP75" s="2198"/>
      <c r="CTQ75" s="2198"/>
      <c r="CTR75" s="2198"/>
      <c r="CTS75" s="2198"/>
      <c r="CTT75" s="2198"/>
      <c r="CTU75" s="2198"/>
      <c r="CTV75" s="2198"/>
      <c r="CTW75" s="2198"/>
      <c r="CTX75" s="2198"/>
      <c r="CTY75" s="2198"/>
      <c r="CTZ75" s="2198"/>
      <c r="CUA75" s="2198"/>
      <c r="CUB75" s="2198"/>
      <c r="CUC75" s="2198"/>
      <c r="CUD75" s="2198"/>
      <c r="CUE75" s="2198"/>
      <c r="CUF75" s="2198"/>
      <c r="CUG75" s="2198"/>
      <c r="CUH75" s="2198"/>
      <c r="CUI75" s="2198"/>
      <c r="CUJ75" s="2198"/>
      <c r="CUK75" s="2198"/>
      <c r="CUL75" s="2198"/>
      <c r="CUM75" s="2198"/>
      <c r="CUN75" s="2198"/>
      <c r="CUO75" s="2198"/>
      <c r="CUP75" s="2198"/>
      <c r="CUQ75" s="2198"/>
      <c r="CUR75" s="2198"/>
      <c r="CUS75" s="2198"/>
      <c r="CUT75" s="2198"/>
      <c r="CUU75" s="2198"/>
      <c r="CUV75" s="2198"/>
      <c r="CUW75" s="2198"/>
      <c r="CUX75" s="2198"/>
      <c r="CUY75" s="2198"/>
      <c r="CUZ75" s="2198"/>
      <c r="CVA75" s="2198"/>
      <c r="CVB75" s="2198"/>
      <c r="CVC75" s="2198"/>
      <c r="CVD75" s="2198"/>
      <c r="CVE75" s="2198"/>
      <c r="CVF75" s="2198"/>
      <c r="CVG75" s="2198"/>
      <c r="CVH75" s="2198"/>
      <c r="CVI75" s="2198"/>
      <c r="CVJ75" s="2198"/>
      <c r="CVK75" s="2198"/>
      <c r="CVL75" s="2198"/>
      <c r="CVM75" s="2198"/>
      <c r="CVN75" s="2198"/>
      <c r="CVO75" s="2198"/>
      <c r="CVP75" s="2198"/>
      <c r="CVQ75" s="2198"/>
      <c r="CVR75" s="2198"/>
      <c r="CVS75" s="2198"/>
      <c r="CVT75" s="2198"/>
      <c r="CVU75" s="2198"/>
      <c r="CVV75" s="2198"/>
      <c r="CVW75" s="2198"/>
      <c r="CVX75" s="2198"/>
      <c r="CVY75" s="2198"/>
      <c r="CVZ75" s="2198"/>
      <c r="CWA75" s="2198"/>
      <c r="CWB75" s="2198"/>
      <c r="CWC75" s="2198"/>
      <c r="CWD75" s="2198"/>
      <c r="CWE75" s="2198"/>
      <c r="CWF75" s="2198"/>
      <c r="CWG75" s="2198"/>
      <c r="CWH75" s="2198"/>
      <c r="CWI75" s="2198"/>
      <c r="CWJ75" s="2198"/>
      <c r="CWK75" s="2198"/>
      <c r="CWL75" s="2198"/>
      <c r="CWM75" s="2198"/>
      <c r="CWN75" s="2198"/>
      <c r="CWO75" s="2198"/>
      <c r="CWP75" s="2198"/>
      <c r="CWQ75" s="2198"/>
      <c r="CWR75" s="2198"/>
      <c r="CWS75" s="2198"/>
      <c r="CWT75" s="2198"/>
      <c r="CWU75" s="2198"/>
      <c r="CWV75" s="2198"/>
      <c r="CWW75" s="2198"/>
      <c r="CWX75" s="2198"/>
      <c r="CWY75" s="2198"/>
      <c r="CWZ75" s="2198"/>
      <c r="CXA75" s="2198"/>
      <c r="CXB75" s="2198"/>
      <c r="CXC75" s="2198"/>
      <c r="CXD75" s="2198"/>
      <c r="CXE75" s="2198"/>
      <c r="CXF75" s="2198"/>
      <c r="CXG75" s="2198"/>
      <c r="CXH75" s="2198"/>
      <c r="CXI75" s="2198"/>
      <c r="CXJ75" s="2198"/>
      <c r="CXK75" s="2198"/>
      <c r="CXL75" s="2198"/>
      <c r="CXM75" s="2198"/>
      <c r="CXN75" s="2198"/>
      <c r="CXO75" s="2198"/>
      <c r="CXP75" s="2198"/>
      <c r="CXQ75" s="2198"/>
      <c r="CXR75" s="2198"/>
      <c r="CXS75" s="2198"/>
      <c r="CXT75" s="2198"/>
      <c r="CXU75" s="2198"/>
      <c r="CXV75" s="2198"/>
      <c r="CXW75" s="2198"/>
      <c r="CXX75" s="2198"/>
      <c r="CXY75" s="2198"/>
      <c r="CXZ75" s="2198"/>
      <c r="CYA75" s="2198"/>
      <c r="CYB75" s="2198"/>
      <c r="CYC75" s="2198"/>
      <c r="CYD75" s="2198"/>
      <c r="CYE75" s="2198"/>
      <c r="CYF75" s="2198"/>
      <c r="CYG75" s="2198"/>
      <c r="CYH75" s="2198"/>
      <c r="CYI75" s="2198"/>
      <c r="CYJ75" s="2198"/>
      <c r="CYK75" s="2198"/>
      <c r="CYL75" s="2198"/>
      <c r="CYM75" s="2198"/>
      <c r="CYN75" s="2198"/>
      <c r="CYO75" s="2198"/>
      <c r="CYP75" s="2198"/>
      <c r="CYQ75" s="2198"/>
      <c r="CYR75" s="2198"/>
      <c r="CYS75" s="2198"/>
      <c r="CYT75" s="2198"/>
      <c r="CYU75" s="2198"/>
      <c r="CYV75" s="2198"/>
      <c r="CYW75" s="2198"/>
      <c r="CYX75" s="2198"/>
      <c r="CYY75" s="2198"/>
      <c r="CYZ75" s="2198"/>
      <c r="CZA75" s="2198"/>
      <c r="CZB75" s="2198"/>
      <c r="CZC75" s="2198"/>
      <c r="CZD75" s="2198"/>
      <c r="CZE75" s="2198"/>
      <c r="CZF75" s="2198"/>
      <c r="CZG75" s="2198"/>
      <c r="CZH75" s="2198"/>
      <c r="CZI75" s="2198"/>
      <c r="CZJ75" s="2198"/>
      <c r="CZK75" s="2198"/>
      <c r="CZL75" s="2198"/>
      <c r="CZM75" s="2198"/>
      <c r="CZN75" s="2198"/>
      <c r="CZO75" s="2198"/>
      <c r="CZP75" s="2198"/>
      <c r="CZQ75" s="2198"/>
      <c r="CZR75" s="2198"/>
      <c r="CZS75" s="2198"/>
      <c r="CZT75" s="2198"/>
      <c r="CZU75" s="2198"/>
      <c r="CZV75" s="2198"/>
      <c r="CZW75" s="2198"/>
      <c r="CZX75" s="2198"/>
      <c r="CZY75" s="2198"/>
      <c r="CZZ75" s="2198"/>
      <c r="DAA75" s="2198"/>
      <c r="DAB75" s="2198"/>
      <c r="DAC75" s="2198"/>
      <c r="DAD75" s="2198"/>
      <c r="DAE75" s="2198"/>
      <c r="DAF75" s="2198"/>
      <c r="DAG75" s="2198"/>
      <c r="DAH75" s="2198"/>
      <c r="DAI75" s="2198"/>
      <c r="DAJ75" s="2198"/>
      <c r="DAK75" s="2198"/>
      <c r="DAL75" s="2198"/>
      <c r="DAM75" s="2198"/>
      <c r="DAN75" s="2198"/>
      <c r="DAO75" s="2198"/>
      <c r="DAP75" s="2198"/>
      <c r="DAQ75" s="2198"/>
      <c r="DAR75" s="2198"/>
      <c r="DAS75" s="2198"/>
      <c r="DAT75" s="2198"/>
      <c r="DAU75" s="2198"/>
      <c r="DAV75" s="2198"/>
      <c r="DAW75" s="2198"/>
      <c r="DAX75" s="2198"/>
      <c r="DAY75" s="2198"/>
      <c r="DAZ75" s="2198"/>
      <c r="DBA75" s="2198"/>
      <c r="DBB75" s="2198"/>
      <c r="DBC75" s="2198"/>
      <c r="DBD75" s="2198"/>
      <c r="DBE75" s="2198"/>
      <c r="DBF75" s="2198"/>
      <c r="DBG75" s="2198"/>
      <c r="DBH75" s="2198"/>
      <c r="DBI75" s="2198"/>
      <c r="DBJ75" s="2198"/>
      <c r="DBK75" s="2198"/>
      <c r="DBL75" s="2198"/>
      <c r="DBM75" s="2198"/>
      <c r="DBN75" s="2198"/>
      <c r="DBO75" s="2198"/>
      <c r="DBP75" s="2198"/>
      <c r="DBQ75" s="2198"/>
      <c r="DBR75" s="2198"/>
      <c r="DBS75" s="2198"/>
      <c r="DBT75" s="2198"/>
      <c r="DBU75" s="2198"/>
      <c r="DBV75" s="2198"/>
      <c r="DBW75" s="2198"/>
      <c r="DBX75" s="2198"/>
      <c r="DBY75" s="2198"/>
      <c r="DBZ75" s="2198"/>
      <c r="DCA75" s="2198"/>
      <c r="DCB75" s="2198"/>
      <c r="DCC75" s="2198"/>
      <c r="DCD75" s="2198"/>
      <c r="DCE75" s="2198"/>
      <c r="DCF75" s="2198"/>
      <c r="DCG75" s="2198"/>
      <c r="DCH75" s="2198"/>
      <c r="DCI75" s="2198"/>
      <c r="DCJ75" s="2198"/>
      <c r="DCK75" s="2198"/>
      <c r="DCL75" s="2198"/>
      <c r="DCM75" s="2198"/>
      <c r="DCN75" s="2198"/>
      <c r="DCO75" s="2198"/>
      <c r="DCP75" s="2198"/>
      <c r="DCQ75" s="2198"/>
      <c r="DCR75" s="2198"/>
      <c r="DCS75" s="2198"/>
      <c r="DCT75" s="2198"/>
      <c r="DCU75" s="2198"/>
      <c r="DCV75" s="2198"/>
      <c r="DCW75" s="2198"/>
      <c r="DCX75" s="2198"/>
      <c r="DCY75" s="2198"/>
      <c r="DCZ75" s="2198"/>
      <c r="DDA75" s="2198"/>
      <c r="DDB75" s="2198"/>
      <c r="DDC75" s="2198"/>
      <c r="DDD75" s="2198"/>
      <c r="DDE75" s="2198"/>
      <c r="DDF75" s="2198"/>
      <c r="DDG75" s="2198"/>
      <c r="DDH75" s="2198"/>
      <c r="DDI75" s="2198"/>
      <c r="DDJ75" s="2198"/>
      <c r="DDK75" s="2198"/>
      <c r="DDL75" s="2198"/>
      <c r="DDM75" s="2198"/>
      <c r="DDN75" s="2198"/>
      <c r="DDO75" s="2198"/>
      <c r="DDP75" s="2198"/>
      <c r="DDQ75" s="2198"/>
      <c r="DDR75" s="2198"/>
      <c r="DDS75" s="2198"/>
      <c r="DDT75" s="2198"/>
      <c r="DDU75" s="2198"/>
      <c r="DDV75" s="2198"/>
      <c r="DDW75" s="2198"/>
      <c r="DDX75" s="2198"/>
      <c r="DDY75" s="2198"/>
      <c r="DDZ75" s="2198"/>
      <c r="DEA75" s="2198"/>
      <c r="DEB75" s="2198"/>
      <c r="DEC75" s="2198"/>
      <c r="DED75" s="2198"/>
      <c r="DEE75" s="2198"/>
      <c r="DEF75" s="2198"/>
      <c r="DEG75" s="2198"/>
      <c r="DEH75" s="2198"/>
      <c r="DEI75" s="2198"/>
      <c r="DEJ75" s="2198"/>
      <c r="DEK75" s="2198"/>
      <c r="DEL75" s="2198"/>
      <c r="DEM75" s="2198"/>
      <c r="DEN75" s="2198"/>
      <c r="DEO75" s="2198"/>
      <c r="DEP75" s="2198"/>
      <c r="DEQ75" s="2198"/>
      <c r="DER75" s="2198"/>
      <c r="DES75" s="2198"/>
      <c r="DET75" s="2198"/>
      <c r="DEU75" s="2198"/>
      <c r="DEV75" s="2198"/>
      <c r="DEW75" s="2198"/>
      <c r="DEX75" s="2198"/>
      <c r="DEY75" s="2198"/>
      <c r="DEZ75" s="2198"/>
      <c r="DFA75" s="2198"/>
      <c r="DFB75" s="2198"/>
      <c r="DFC75" s="2198"/>
      <c r="DFD75" s="2198"/>
      <c r="DFE75" s="2198"/>
      <c r="DFF75" s="2198"/>
      <c r="DFG75" s="2198"/>
      <c r="DFH75" s="2198"/>
      <c r="DFI75" s="2198"/>
      <c r="DFJ75" s="2198"/>
      <c r="DFK75" s="2198"/>
      <c r="DFL75" s="2198"/>
      <c r="DFM75" s="2198"/>
      <c r="DFN75" s="2198"/>
      <c r="DFO75" s="2198"/>
      <c r="DFP75" s="2198"/>
      <c r="DFQ75" s="2198"/>
      <c r="DFR75" s="2198"/>
      <c r="DFS75" s="2198"/>
      <c r="DFT75" s="2198"/>
      <c r="DFU75" s="2198"/>
      <c r="DFV75" s="2198"/>
      <c r="DFW75" s="2198"/>
      <c r="DFX75" s="2198"/>
      <c r="DFY75" s="2198"/>
      <c r="DFZ75" s="2198"/>
      <c r="DGA75" s="2198"/>
      <c r="DGB75" s="2198"/>
      <c r="DGC75" s="2198"/>
      <c r="DGD75" s="2198"/>
      <c r="DGE75" s="2198"/>
      <c r="DGF75" s="2198"/>
      <c r="DGG75" s="2198"/>
      <c r="DGH75" s="2198"/>
      <c r="DGI75" s="2198"/>
      <c r="DGJ75" s="2198"/>
      <c r="DGK75" s="2198"/>
      <c r="DGL75" s="2198"/>
      <c r="DGM75" s="2198"/>
      <c r="DGN75" s="2198"/>
      <c r="DGO75" s="2198"/>
      <c r="DGP75" s="2198"/>
      <c r="DGQ75" s="2198"/>
      <c r="DGR75" s="2198"/>
      <c r="DGS75" s="2198"/>
      <c r="DGT75" s="2198"/>
      <c r="DGU75" s="2198"/>
      <c r="DGV75" s="2198"/>
      <c r="DGW75" s="2198"/>
      <c r="DGX75" s="2198"/>
      <c r="DGY75" s="2198"/>
      <c r="DGZ75" s="2198"/>
      <c r="DHA75" s="2198"/>
      <c r="DHB75" s="2198"/>
      <c r="DHC75" s="2198"/>
      <c r="DHD75" s="2198"/>
      <c r="DHE75" s="2198"/>
      <c r="DHF75" s="2198"/>
      <c r="DHG75" s="2198"/>
      <c r="DHH75" s="2198"/>
      <c r="DHI75" s="2198"/>
      <c r="DHJ75" s="2198"/>
      <c r="DHK75" s="2198"/>
      <c r="DHL75" s="2198"/>
      <c r="DHM75" s="2198"/>
      <c r="DHN75" s="2198"/>
      <c r="DHO75" s="2198"/>
      <c r="DHP75" s="2198"/>
      <c r="DHQ75" s="2198"/>
      <c r="DHR75" s="2198"/>
      <c r="DHS75" s="2198"/>
      <c r="DHT75" s="2198"/>
      <c r="DHU75" s="2198"/>
      <c r="DHV75" s="2198"/>
      <c r="DHW75" s="2198"/>
      <c r="DHX75" s="2198"/>
      <c r="DHY75" s="2198"/>
      <c r="DHZ75" s="2198"/>
      <c r="DIA75" s="2198"/>
      <c r="DIB75" s="2198"/>
      <c r="DIC75" s="2198"/>
      <c r="DID75" s="2198"/>
      <c r="DIE75" s="2198"/>
      <c r="DIF75" s="2198"/>
      <c r="DIG75" s="2198"/>
      <c r="DIH75" s="2198"/>
      <c r="DII75" s="2198"/>
      <c r="DIJ75" s="2198"/>
      <c r="DIK75" s="2198"/>
      <c r="DIL75" s="2198"/>
      <c r="DIM75" s="2198"/>
      <c r="DIN75" s="2198"/>
      <c r="DIO75" s="2198"/>
      <c r="DIP75" s="2198"/>
      <c r="DIQ75" s="2198"/>
      <c r="DIR75" s="2198"/>
      <c r="DIS75" s="2198"/>
      <c r="DIT75" s="2198"/>
      <c r="DIU75" s="2198"/>
      <c r="DIV75" s="2198"/>
      <c r="DIW75" s="2198"/>
      <c r="DIX75" s="2198"/>
      <c r="DIY75" s="2198"/>
      <c r="DIZ75" s="2198"/>
      <c r="DJA75" s="2198"/>
      <c r="DJB75" s="2198"/>
      <c r="DJC75" s="2198"/>
      <c r="DJD75" s="2198"/>
      <c r="DJE75" s="2198"/>
      <c r="DJF75" s="2198"/>
      <c r="DJG75" s="2198"/>
      <c r="DJH75" s="2198"/>
      <c r="DJI75" s="2198"/>
      <c r="DJJ75" s="2198"/>
      <c r="DJK75" s="2198"/>
      <c r="DJL75" s="2198"/>
      <c r="DJM75" s="2198"/>
      <c r="DJN75" s="2198"/>
      <c r="DJO75" s="2198"/>
      <c r="DJP75" s="2198"/>
      <c r="DJQ75" s="2198"/>
      <c r="DJR75" s="2198"/>
      <c r="DJS75" s="2198"/>
      <c r="DJT75" s="2198"/>
      <c r="DJU75" s="2198"/>
      <c r="DJV75" s="2198"/>
      <c r="DJW75" s="2198"/>
      <c r="DJX75" s="2198"/>
      <c r="DJY75" s="2198"/>
      <c r="DJZ75" s="2198"/>
      <c r="DKA75" s="2198"/>
      <c r="DKB75" s="2198"/>
      <c r="DKC75" s="2198"/>
      <c r="DKD75" s="2198"/>
      <c r="DKE75" s="2198"/>
      <c r="DKF75" s="2198"/>
      <c r="DKG75" s="2198"/>
      <c r="DKH75" s="2198"/>
      <c r="DKI75" s="2198"/>
      <c r="DKJ75" s="2198"/>
      <c r="DKK75" s="2198"/>
      <c r="DKL75" s="2198"/>
      <c r="DKM75" s="2198"/>
      <c r="DKN75" s="2198"/>
      <c r="DKO75" s="2198"/>
      <c r="DKP75" s="2198"/>
      <c r="DKQ75" s="2198"/>
      <c r="DKR75" s="2198"/>
      <c r="DKS75" s="2198"/>
      <c r="DKT75" s="2198"/>
      <c r="DKU75" s="2198"/>
      <c r="DKV75" s="2198"/>
      <c r="DKW75" s="2198"/>
      <c r="DKX75" s="2198"/>
      <c r="DKY75" s="2198"/>
      <c r="DKZ75" s="2198"/>
      <c r="DLA75" s="2198"/>
      <c r="DLB75" s="2198"/>
      <c r="DLC75" s="2198"/>
      <c r="DLD75" s="2198"/>
      <c r="DLE75" s="2198"/>
      <c r="DLF75" s="2198"/>
      <c r="DLG75" s="2198"/>
      <c r="DLH75" s="2198"/>
      <c r="DLI75" s="2198"/>
      <c r="DLJ75" s="2198"/>
      <c r="DLK75" s="2198"/>
      <c r="DLL75" s="2198"/>
      <c r="DLM75" s="2198"/>
      <c r="DLN75" s="2198"/>
      <c r="DLO75" s="2198"/>
      <c r="DLP75" s="2198"/>
      <c r="DLQ75" s="2198"/>
      <c r="DLR75" s="2198"/>
      <c r="DLS75" s="2198"/>
      <c r="DLT75" s="2198"/>
      <c r="DLU75" s="2198"/>
      <c r="DLV75" s="2198"/>
      <c r="DLW75" s="2198"/>
      <c r="DLX75" s="2198"/>
      <c r="DLY75" s="2198"/>
      <c r="DLZ75" s="2198"/>
      <c r="DMA75" s="2198"/>
      <c r="DMB75" s="2198"/>
      <c r="DMC75" s="2198"/>
      <c r="DMD75" s="2198"/>
      <c r="DME75" s="2198"/>
      <c r="DMF75" s="2198"/>
      <c r="DMG75" s="2198"/>
      <c r="DMH75" s="2198"/>
      <c r="DMI75" s="2198"/>
      <c r="DMJ75" s="2198"/>
      <c r="DMK75" s="2198"/>
      <c r="DML75" s="2198"/>
      <c r="DMM75" s="2198"/>
      <c r="DMN75" s="2198"/>
      <c r="DMO75" s="2198"/>
      <c r="DMP75" s="2198"/>
      <c r="DMQ75" s="2198"/>
      <c r="DMR75" s="2198"/>
      <c r="DMS75" s="2198"/>
      <c r="DMT75" s="2198"/>
      <c r="DMU75" s="2198"/>
      <c r="DMV75" s="2198"/>
      <c r="DMW75" s="2198"/>
      <c r="DMX75" s="2198"/>
      <c r="DMY75" s="2198"/>
      <c r="DMZ75" s="2198"/>
      <c r="DNA75" s="2198"/>
      <c r="DNB75" s="2198"/>
      <c r="DNC75" s="2198"/>
      <c r="DND75" s="2198"/>
      <c r="DNE75" s="2198"/>
      <c r="DNF75" s="2198"/>
      <c r="DNG75" s="2198"/>
      <c r="DNH75" s="2198"/>
      <c r="DNI75" s="2198"/>
      <c r="DNJ75" s="2198"/>
      <c r="DNK75" s="2198"/>
      <c r="DNL75" s="2198"/>
      <c r="DNM75" s="2198"/>
      <c r="DNN75" s="2198"/>
      <c r="DNO75" s="2198"/>
      <c r="DNP75" s="2198"/>
      <c r="DNQ75" s="2198"/>
      <c r="DNR75" s="2198"/>
      <c r="DNS75" s="2198"/>
      <c r="DNT75" s="2198"/>
      <c r="DNU75" s="2198"/>
      <c r="DNV75" s="2198"/>
      <c r="DNW75" s="2198"/>
      <c r="DNX75" s="2198"/>
      <c r="DNY75" s="2198"/>
      <c r="DNZ75" s="2198"/>
      <c r="DOA75" s="2198"/>
      <c r="DOB75" s="2198"/>
      <c r="DOC75" s="2198"/>
      <c r="DOD75" s="2198"/>
      <c r="DOE75" s="2198"/>
      <c r="DOF75" s="2198"/>
      <c r="DOG75" s="2198"/>
      <c r="DOH75" s="2198"/>
      <c r="DOI75" s="2198"/>
      <c r="DOJ75" s="2198"/>
      <c r="DOK75" s="2198"/>
      <c r="DOL75" s="2198"/>
      <c r="DOM75" s="2198"/>
      <c r="DON75" s="2198"/>
      <c r="DOO75" s="2198"/>
      <c r="DOP75" s="2198"/>
      <c r="DOQ75" s="2198"/>
      <c r="DOR75" s="2198"/>
      <c r="DOS75" s="2198"/>
      <c r="DOT75" s="2198"/>
      <c r="DOU75" s="2198"/>
      <c r="DOV75" s="2198"/>
      <c r="DOW75" s="2198"/>
      <c r="DOX75" s="2198"/>
      <c r="DOY75" s="2198"/>
      <c r="DOZ75" s="2198"/>
      <c r="DPA75" s="2198"/>
      <c r="DPB75" s="2198"/>
      <c r="DPC75" s="2198"/>
      <c r="DPD75" s="2198"/>
      <c r="DPE75" s="2198"/>
      <c r="DPF75" s="2198"/>
      <c r="DPG75" s="2198"/>
      <c r="DPH75" s="2198"/>
      <c r="DPI75" s="2198"/>
      <c r="DPJ75" s="2198"/>
      <c r="DPK75" s="2198"/>
      <c r="DPL75" s="2198"/>
      <c r="DPM75" s="2198"/>
      <c r="DPN75" s="2198"/>
      <c r="DPO75" s="2198"/>
      <c r="DPP75" s="2198"/>
      <c r="DPQ75" s="2198"/>
      <c r="DPR75" s="2198"/>
      <c r="DPS75" s="2198"/>
      <c r="DPT75" s="2198"/>
      <c r="DPU75" s="2198"/>
      <c r="DPV75" s="2198"/>
      <c r="DPW75" s="2198"/>
      <c r="DPX75" s="2198"/>
      <c r="DPY75" s="2198"/>
      <c r="DPZ75" s="2198"/>
      <c r="DQA75" s="2198"/>
      <c r="DQB75" s="2198"/>
      <c r="DQC75" s="2198"/>
      <c r="DQD75" s="2198"/>
      <c r="DQE75" s="2198"/>
      <c r="DQF75" s="2198"/>
      <c r="DQG75" s="2198"/>
      <c r="DQH75" s="2198"/>
      <c r="DQI75" s="2198"/>
      <c r="DQJ75" s="2198"/>
      <c r="DQK75" s="2198"/>
      <c r="DQL75" s="2198"/>
      <c r="DQM75" s="2198"/>
      <c r="DQN75" s="2198"/>
      <c r="DQO75" s="2198"/>
      <c r="DQP75" s="2198"/>
      <c r="DQQ75" s="2198"/>
      <c r="DQR75" s="2198"/>
      <c r="DQS75" s="2198"/>
      <c r="DQT75" s="2198"/>
      <c r="DQU75" s="2198"/>
      <c r="DQV75" s="2198"/>
      <c r="DQW75" s="2198"/>
      <c r="DQX75" s="2198"/>
      <c r="DQY75" s="2198"/>
      <c r="DQZ75" s="2198"/>
      <c r="DRA75" s="2198"/>
      <c r="DRB75" s="2198"/>
      <c r="DRC75" s="2198"/>
      <c r="DRD75" s="2198"/>
      <c r="DRE75" s="2198"/>
      <c r="DRF75" s="2198"/>
      <c r="DRG75" s="2198"/>
      <c r="DRH75" s="2198"/>
      <c r="DRI75" s="2198"/>
      <c r="DRJ75" s="2198"/>
      <c r="DRK75" s="2198"/>
      <c r="DRL75" s="2198"/>
      <c r="DRM75" s="2198"/>
      <c r="DRN75" s="2198"/>
      <c r="DRO75" s="2198"/>
      <c r="DRP75" s="2198"/>
      <c r="DRQ75" s="2198"/>
      <c r="DRR75" s="2198"/>
      <c r="DRS75" s="2198"/>
      <c r="DRT75" s="2198"/>
      <c r="DRU75" s="2198"/>
      <c r="DRV75" s="2198"/>
      <c r="DRW75" s="2198"/>
      <c r="DRX75" s="2198"/>
      <c r="DRY75" s="2198"/>
      <c r="DRZ75" s="2198"/>
      <c r="DSA75" s="2198"/>
      <c r="DSB75" s="2198"/>
      <c r="DSC75" s="2198"/>
      <c r="DSD75" s="2198"/>
      <c r="DSE75" s="2198"/>
      <c r="DSF75" s="2198"/>
      <c r="DSG75" s="2198"/>
      <c r="DSH75" s="2198"/>
      <c r="DSI75" s="2198"/>
      <c r="DSJ75" s="2198"/>
      <c r="DSK75" s="2198"/>
      <c r="DSL75" s="2198"/>
      <c r="DSM75" s="2198"/>
      <c r="DSN75" s="2198"/>
      <c r="DSO75" s="2198"/>
      <c r="DSP75" s="2198"/>
      <c r="DSQ75" s="2198"/>
      <c r="DSR75" s="2198"/>
      <c r="DSS75" s="2198"/>
      <c r="DST75" s="2198"/>
      <c r="DSU75" s="2198"/>
      <c r="DSV75" s="2198"/>
      <c r="DSW75" s="2198"/>
      <c r="DSX75" s="2198"/>
      <c r="DSY75" s="2198"/>
      <c r="DSZ75" s="2198"/>
      <c r="DTA75" s="2198"/>
      <c r="DTB75" s="2198"/>
      <c r="DTC75" s="2198"/>
      <c r="DTD75" s="2198"/>
      <c r="DTE75" s="2198"/>
      <c r="DTF75" s="2198"/>
      <c r="DTG75" s="2198"/>
      <c r="DTH75" s="2198"/>
      <c r="DTI75" s="2198"/>
      <c r="DTJ75" s="2198"/>
      <c r="DTK75" s="2198"/>
      <c r="DTL75" s="2198"/>
      <c r="DTM75" s="2198"/>
      <c r="DTN75" s="2198"/>
      <c r="DTO75" s="2198"/>
      <c r="DTP75" s="2198"/>
      <c r="DTQ75" s="2198"/>
      <c r="DTR75" s="2198"/>
      <c r="DTS75" s="2198"/>
      <c r="DTT75" s="2198"/>
      <c r="DTU75" s="2198"/>
      <c r="DTV75" s="2198"/>
      <c r="DTW75" s="2198"/>
      <c r="DTX75" s="2198"/>
      <c r="DTY75" s="2198"/>
      <c r="DTZ75" s="2198"/>
      <c r="DUA75" s="2198"/>
      <c r="DUB75" s="2198"/>
      <c r="DUC75" s="2198"/>
      <c r="DUD75" s="2198"/>
      <c r="DUE75" s="2198"/>
      <c r="DUF75" s="2198"/>
      <c r="DUG75" s="2198"/>
      <c r="DUH75" s="2198"/>
      <c r="DUI75" s="2198"/>
      <c r="DUJ75" s="2198"/>
      <c r="DUK75" s="2198"/>
      <c r="DUL75" s="2198"/>
      <c r="DUM75" s="2198"/>
      <c r="DUN75" s="2198"/>
      <c r="DUO75" s="2198"/>
      <c r="DUP75" s="2198"/>
      <c r="DUQ75" s="2198"/>
      <c r="DUR75" s="2198"/>
      <c r="DUS75" s="2198"/>
      <c r="DUT75" s="2198"/>
      <c r="DUU75" s="2198"/>
      <c r="DUV75" s="2198"/>
      <c r="DUW75" s="2198"/>
      <c r="DUX75" s="2198"/>
      <c r="DUY75" s="2198"/>
      <c r="DUZ75" s="2198"/>
      <c r="DVA75" s="2198"/>
      <c r="DVB75" s="2198"/>
      <c r="DVC75" s="2198"/>
      <c r="DVD75" s="2198"/>
      <c r="DVE75" s="2198"/>
      <c r="DVF75" s="2198"/>
      <c r="DVG75" s="2198"/>
      <c r="DVH75" s="2198"/>
      <c r="DVI75" s="2198"/>
      <c r="DVJ75" s="2198"/>
      <c r="DVK75" s="2198"/>
      <c r="DVL75" s="2198"/>
      <c r="DVM75" s="2198"/>
      <c r="DVN75" s="2198"/>
      <c r="DVO75" s="2198"/>
      <c r="DVP75" s="2198"/>
      <c r="DVQ75" s="2198"/>
      <c r="DVR75" s="2198"/>
      <c r="DVS75" s="2198"/>
      <c r="DVT75" s="2198"/>
      <c r="DVU75" s="2198"/>
      <c r="DVV75" s="2198"/>
      <c r="DVW75" s="2198"/>
      <c r="DVX75" s="2198"/>
      <c r="DVY75" s="2198"/>
      <c r="DVZ75" s="2198"/>
      <c r="DWA75" s="2198"/>
      <c r="DWB75" s="2198"/>
      <c r="DWC75" s="2198"/>
      <c r="DWD75" s="2198"/>
      <c r="DWE75" s="2198"/>
      <c r="DWF75" s="2198"/>
      <c r="DWG75" s="2198"/>
      <c r="DWH75" s="2198"/>
      <c r="DWI75" s="2198"/>
      <c r="DWJ75" s="2198"/>
      <c r="DWK75" s="2198"/>
      <c r="DWL75" s="2198"/>
      <c r="DWM75" s="2198"/>
      <c r="DWN75" s="2198"/>
      <c r="DWO75" s="2198"/>
      <c r="DWP75" s="2198"/>
      <c r="DWQ75" s="2198"/>
      <c r="DWR75" s="2198"/>
      <c r="DWS75" s="2198"/>
      <c r="DWT75" s="2198"/>
      <c r="DWU75" s="2198"/>
      <c r="DWV75" s="2198"/>
      <c r="DWW75" s="2198"/>
      <c r="DWX75" s="2198"/>
      <c r="DWY75" s="2198"/>
      <c r="DWZ75" s="2198"/>
      <c r="DXA75" s="2198"/>
      <c r="DXB75" s="2198"/>
      <c r="DXC75" s="2198"/>
      <c r="DXD75" s="2198"/>
      <c r="DXE75" s="2198"/>
      <c r="DXF75" s="2198"/>
      <c r="DXG75" s="2198"/>
      <c r="DXH75" s="2198"/>
      <c r="DXI75" s="2198"/>
      <c r="DXJ75" s="2198"/>
      <c r="DXK75" s="2198"/>
      <c r="DXL75" s="2198"/>
      <c r="DXM75" s="2198"/>
      <c r="DXN75" s="2198"/>
      <c r="DXO75" s="2198"/>
      <c r="DXP75" s="2198"/>
      <c r="DXQ75" s="2198"/>
      <c r="DXR75" s="2198"/>
      <c r="DXS75" s="2198"/>
      <c r="DXT75" s="2198"/>
      <c r="DXU75" s="2198"/>
      <c r="DXV75" s="2198"/>
      <c r="DXW75" s="2198"/>
      <c r="DXX75" s="2198"/>
      <c r="DXY75" s="2198"/>
      <c r="DXZ75" s="2198"/>
      <c r="DYA75" s="2198"/>
      <c r="DYB75" s="2198"/>
      <c r="DYC75" s="2198"/>
      <c r="DYD75" s="2198"/>
      <c r="DYE75" s="2198"/>
      <c r="DYF75" s="2198"/>
      <c r="DYG75" s="2198"/>
      <c r="DYH75" s="2198"/>
      <c r="DYI75" s="2198"/>
      <c r="DYJ75" s="2198"/>
      <c r="DYK75" s="2198"/>
      <c r="DYL75" s="2198"/>
      <c r="DYM75" s="2198"/>
      <c r="DYN75" s="2198"/>
      <c r="DYO75" s="2198"/>
      <c r="DYP75" s="2198"/>
      <c r="DYQ75" s="2198"/>
      <c r="DYR75" s="2198"/>
      <c r="DYS75" s="2198"/>
      <c r="DYT75" s="2198"/>
      <c r="DYU75" s="2198"/>
      <c r="DYV75" s="2198"/>
      <c r="DYW75" s="2198"/>
      <c r="DYX75" s="2198"/>
      <c r="DYY75" s="2198"/>
      <c r="DYZ75" s="2198"/>
      <c r="DZA75" s="2198"/>
      <c r="DZB75" s="2198"/>
      <c r="DZC75" s="2198"/>
      <c r="DZD75" s="2198"/>
      <c r="DZE75" s="2198"/>
      <c r="DZF75" s="2198"/>
      <c r="DZG75" s="2198"/>
      <c r="DZH75" s="2198"/>
      <c r="DZI75" s="2198"/>
      <c r="DZJ75" s="2198"/>
      <c r="DZK75" s="2198"/>
      <c r="DZL75" s="2198"/>
      <c r="DZM75" s="2198"/>
      <c r="DZN75" s="2198"/>
      <c r="DZO75" s="2198"/>
      <c r="DZP75" s="2198"/>
      <c r="DZQ75" s="2198"/>
      <c r="DZR75" s="2198"/>
      <c r="DZS75" s="2198"/>
      <c r="DZT75" s="2198"/>
      <c r="DZU75" s="2198"/>
      <c r="DZV75" s="2198"/>
      <c r="DZW75" s="2198"/>
      <c r="DZX75" s="2198"/>
      <c r="DZY75" s="2198"/>
      <c r="DZZ75" s="2198"/>
      <c r="EAA75" s="2198"/>
      <c r="EAB75" s="2198"/>
      <c r="EAC75" s="2198"/>
      <c r="EAD75" s="2198"/>
      <c r="EAE75" s="2198"/>
      <c r="EAF75" s="2198"/>
      <c r="EAG75" s="2198"/>
      <c r="EAH75" s="2198"/>
      <c r="EAI75" s="2198"/>
      <c r="EAJ75" s="2198"/>
      <c r="EAK75" s="2198"/>
      <c r="EAL75" s="2198"/>
      <c r="EAM75" s="2198"/>
      <c r="EAN75" s="2198"/>
      <c r="EAO75" s="2198"/>
      <c r="EAP75" s="2198"/>
      <c r="EAQ75" s="2198"/>
      <c r="EAR75" s="2198"/>
      <c r="EAS75" s="2198"/>
      <c r="EAT75" s="2198"/>
      <c r="EAU75" s="2198"/>
      <c r="EAV75" s="2198"/>
      <c r="EAW75" s="2198"/>
      <c r="EAX75" s="2198"/>
      <c r="EAY75" s="2198"/>
      <c r="EAZ75" s="2198"/>
      <c r="EBA75" s="2198"/>
      <c r="EBB75" s="2198"/>
      <c r="EBC75" s="2198"/>
      <c r="EBD75" s="2198"/>
      <c r="EBE75" s="2198"/>
      <c r="EBF75" s="2198"/>
      <c r="EBG75" s="2198"/>
      <c r="EBH75" s="2198"/>
      <c r="EBI75" s="2198"/>
      <c r="EBJ75" s="2198"/>
      <c r="EBK75" s="2198"/>
      <c r="EBL75" s="2198"/>
      <c r="EBM75" s="2198"/>
      <c r="EBN75" s="2198"/>
      <c r="EBO75" s="2198"/>
      <c r="EBP75" s="2198"/>
      <c r="EBQ75" s="2198"/>
      <c r="EBR75" s="2198"/>
      <c r="EBS75" s="2198"/>
      <c r="EBT75" s="2198"/>
      <c r="EBU75" s="2198"/>
      <c r="EBV75" s="2198"/>
      <c r="EBW75" s="2198"/>
      <c r="EBX75" s="2198"/>
      <c r="EBY75" s="2198"/>
      <c r="EBZ75" s="2198"/>
      <c r="ECA75" s="2198"/>
      <c r="ECB75" s="2198"/>
      <c r="ECC75" s="2198"/>
      <c r="ECD75" s="2198"/>
      <c r="ECE75" s="2198"/>
      <c r="ECF75" s="2198"/>
      <c r="ECG75" s="2198"/>
      <c r="ECH75" s="2198"/>
      <c r="ECI75" s="2198"/>
      <c r="ECJ75" s="2198"/>
      <c r="ECK75" s="2198"/>
      <c r="ECL75" s="2198"/>
      <c r="ECM75" s="2198"/>
      <c r="ECN75" s="2198"/>
      <c r="ECO75" s="2198"/>
      <c r="ECP75" s="2198"/>
      <c r="ECQ75" s="2198"/>
      <c r="ECR75" s="2198"/>
      <c r="ECS75" s="2198"/>
      <c r="ECT75" s="2198"/>
      <c r="ECU75" s="2198"/>
      <c r="ECV75" s="2198"/>
      <c r="ECW75" s="2198"/>
      <c r="ECX75" s="2198"/>
      <c r="ECY75" s="2198"/>
      <c r="ECZ75" s="2198"/>
      <c r="EDA75" s="2198"/>
      <c r="EDB75" s="2198"/>
      <c r="EDC75" s="2198"/>
      <c r="EDD75" s="2198"/>
      <c r="EDE75" s="2198"/>
      <c r="EDF75" s="2198"/>
      <c r="EDG75" s="2198"/>
      <c r="EDH75" s="2198"/>
      <c r="EDI75" s="2198"/>
      <c r="EDJ75" s="2198"/>
      <c r="EDK75" s="2198"/>
      <c r="EDL75" s="2198"/>
      <c r="EDM75" s="2198"/>
      <c r="EDN75" s="2198"/>
      <c r="EDO75" s="2198"/>
      <c r="EDP75" s="2198"/>
      <c r="EDQ75" s="2198"/>
      <c r="EDR75" s="2198"/>
      <c r="EDS75" s="2198"/>
      <c r="EDT75" s="2198"/>
      <c r="EDU75" s="2198"/>
      <c r="EDV75" s="2198"/>
      <c r="EDW75" s="2198"/>
      <c r="EDX75" s="2198"/>
      <c r="EDY75" s="2198"/>
      <c r="EDZ75" s="2198"/>
      <c r="EEA75" s="2198"/>
      <c r="EEB75" s="2198"/>
      <c r="EEC75" s="2198"/>
      <c r="EED75" s="2198"/>
      <c r="EEE75" s="2198"/>
      <c r="EEF75" s="2198"/>
      <c r="EEG75" s="2198"/>
      <c r="EEH75" s="2198"/>
      <c r="EEI75" s="2198"/>
      <c r="EEJ75" s="2198"/>
      <c r="EEK75" s="2198"/>
      <c r="EEL75" s="2198"/>
      <c r="EEM75" s="2198"/>
      <c r="EEN75" s="2198"/>
      <c r="EEO75" s="2198"/>
      <c r="EEP75" s="2198"/>
      <c r="EEQ75" s="2198"/>
      <c r="EER75" s="2198"/>
      <c r="EES75" s="2198"/>
      <c r="EET75" s="2198"/>
      <c r="EEU75" s="2198"/>
      <c r="EEV75" s="2198"/>
      <c r="EEW75" s="2198"/>
      <c r="EEX75" s="2198"/>
      <c r="EEY75" s="2198"/>
      <c r="EEZ75" s="2198"/>
      <c r="EFA75" s="2198"/>
      <c r="EFB75" s="2198"/>
      <c r="EFC75" s="2198"/>
      <c r="EFD75" s="2198"/>
      <c r="EFE75" s="2198"/>
      <c r="EFF75" s="2198"/>
      <c r="EFG75" s="2198"/>
      <c r="EFH75" s="2198"/>
      <c r="EFI75" s="2198"/>
      <c r="EFJ75" s="2198"/>
      <c r="EFK75" s="2198"/>
      <c r="EFL75" s="2198"/>
      <c r="EFM75" s="2198"/>
      <c r="EFN75" s="2198"/>
      <c r="EFO75" s="2198"/>
      <c r="EFP75" s="2198"/>
      <c r="EFQ75" s="2198"/>
      <c r="EFR75" s="2198"/>
      <c r="EFS75" s="2198"/>
      <c r="EFT75" s="2198"/>
      <c r="EFU75" s="2198"/>
      <c r="EFV75" s="2198"/>
      <c r="EFW75" s="2198"/>
      <c r="EFX75" s="2198"/>
      <c r="EFY75" s="2198"/>
      <c r="EFZ75" s="2198"/>
      <c r="EGA75" s="2198"/>
      <c r="EGB75" s="2198"/>
      <c r="EGC75" s="2198"/>
      <c r="EGD75" s="2198"/>
      <c r="EGE75" s="2198"/>
      <c r="EGF75" s="2198"/>
      <c r="EGG75" s="2198"/>
      <c r="EGH75" s="2198"/>
      <c r="EGI75" s="2198"/>
      <c r="EGJ75" s="2198"/>
      <c r="EGK75" s="2198"/>
      <c r="EGL75" s="2198"/>
      <c r="EGM75" s="2198"/>
      <c r="EGN75" s="2198"/>
      <c r="EGO75" s="2198"/>
      <c r="EGP75" s="2198"/>
      <c r="EGQ75" s="2198"/>
      <c r="EGR75" s="2198"/>
      <c r="EGS75" s="2198"/>
      <c r="EGT75" s="2198"/>
      <c r="EGU75" s="2198"/>
      <c r="EGV75" s="2198"/>
      <c r="EGW75" s="2198"/>
      <c r="EGX75" s="2198"/>
      <c r="EGY75" s="2198"/>
      <c r="EGZ75" s="2198"/>
      <c r="EHA75" s="2198"/>
      <c r="EHB75" s="2198"/>
      <c r="EHC75" s="2198"/>
      <c r="EHD75" s="2198"/>
      <c r="EHE75" s="2198"/>
      <c r="EHF75" s="2198"/>
      <c r="EHG75" s="2198"/>
      <c r="EHH75" s="2198"/>
      <c r="EHI75" s="2198"/>
      <c r="EHJ75" s="2198"/>
      <c r="EHK75" s="2198"/>
      <c r="EHL75" s="2198"/>
      <c r="EHM75" s="2198"/>
      <c r="EHN75" s="2198"/>
      <c r="EHO75" s="2198"/>
      <c r="EHP75" s="2198"/>
      <c r="EHQ75" s="2198"/>
      <c r="EHR75" s="2198"/>
      <c r="EHS75" s="2198"/>
      <c r="EHT75" s="2198"/>
      <c r="EHU75" s="2198"/>
      <c r="EHV75" s="2198"/>
      <c r="EHW75" s="2198"/>
      <c r="EHX75" s="2198"/>
      <c r="EHY75" s="2198"/>
      <c r="EHZ75" s="2198"/>
      <c r="EIA75" s="2198"/>
      <c r="EIB75" s="2198"/>
      <c r="EIC75" s="2198"/>
      <c r="EID75" s="2198"/>
      <c r="EIE75" s="2198"/>
      <c r="EIF75" s="2198"/>
      <c r="EIG75" s="2198"/>
      <c r="EIH75" s="2198"/>
      <c r="EII75" s="2198"/>
      <c r="EIJ75" s="2198"/>
      <c r="EIK75" s="2198"/>
      <c r="EIL75" s="2198"/>
      <c r="EIM75" s="2198"/>
      <c r="EIN75" s="2198"/>
      <c r="EIO75" s="2198"/>
      <c r="EIP75" s="2198"/>
      <c r="EIQ75" s="2198"/>
      <c r="EIR75" s="2198"/>
      <c r="EIS75" s="2198"/>
      <c r="EIT75" s="2198"/>
      <c r="EIU75" s="2198"/>
      <c r="EIV75" s="2198"/>
      <c r="EIW75" s="2198"/>
      <c r="EIX75" s="2198"/>
      <c r="EIY75" s="2198"/>
      <c r="EIZ75" s="2198"/>
      <c r="EJA75" s="2198"/>
      <c r="EJB75" s="2198"/>
      <c r="EJC75" s="2198"/>
      <c r="EJD75" s="2198"/>
      <c r="EJE75" s="2198"/>
      <c r="EJF75" s="2198"/>
      <c r="EJG75" s="2198"/>
      <c r="EJH75" s="2198"/>
      <c r="EJI75" s="2198"/>
      <c r="EJJ75" s="2198"/>
      <c r="EJK75" s="2198"/>
      <c r="EJL75" s="2198"/>
      <c r="EJM75" s="2198"/>
      <c r="EJN75" s="2198"/>
      <c r="EJO75" s="2198"/>
      <c r="EJP75" s="2198"/>
      <c r="EJQ75" s="2198"/>
      <c r="EJR75" s="2198"/>
      <c r="EJS75" s="2198"/>
      <c r="EJT75" s="2198"/>
      <c r="EJU75" s="2198"/>
      <c r="EJV75" s="2198"/>
      <c r="EJW75" s="2198"/>
      <c r="EJX75" s="2198"/>
      <c r="EJY75" s="2198"/>
      <c r="EJZ75" s="2198"/>
      <c r="EKA75" s="2198"/>
      <c r="EKB75" s="2198"/>
      <c r="EKC75" s="2198"/>
      <c r="EKD75" s="2198"/>
      <c r="EKE75" s="2198"/>
      <c r="EKF75" s="2198"/>
      <c r="EKG75" s="2198"/>
      <c r="EKH75" s="2198"/>
      <c r="EKI75" s="2198"/>
      <c r="EKJ75" s="2198"/>
      <c r="EKK75" s="2198"/>
      <c r="EKL75" s="2198"/>
      <c r="EKM75" s="2198"/>
      <c r="EKN75" s="2198"/>
      <c r="EKO75" s="2198"/>
      <c r="EKP75" s="2198"/>
      <c r="EKQ75" s="2198"/>
      <c r="EKR75" s="2198"/>
      <c r="EKS75" s="2198"/>
      <c r="EKT75" s="2198"/>
      <c r="EKU75" s="2198"/>
      <c r="EKV75" s="2198"/>
      <c r="EKW75" s="2198"/>
      <c r="EKX75" s="2198"/>
      <c r="EKY75" s="2198"/>
      <c r="EKZ75" s="2198"/>
      <c r="ELA75" s="2198"/>
      <c r="ELB75" s="2198"/>
      <c r="ELC75" s="2198"/>
      <c r="ELD75" s="2198"/>
      <c r="ELE75" s="2198"/>
      <c r="ELF75" s="2198"/>
      <c r="ELG75" s="2198"/>
      <c r="ELH75" s="2198"/>
      <c r="ELI75" s="2198"/>
      <c r="ELJ75" s="2198"/>
      <c r="ELK75" s="2198"/>
      <c r="ELL75" s="2198"/>
      <c r="ELM75" s="2198"/>
      <c r="ELN75" s="2198"/>
      <c r="ELO75" s="2198"/>
      <c r="ELP75" s="2198"/>
      <c r="ELQ75" s="2198"/>
      <c r="ELR75" s="2198"/>
      <c r="ELS75" s="2198"/>
      <c r="ELT75" s="2198"/>
      <c r="ELU75" s="2198"/>
      <c r="ELV75" s="2198"/>
      <c r="ELW75" s="2198"/>
      <c r="ELX75" s="2198"/>
      <c r="ELY75" s="2198"/>
      <c r="ELZ75" s="2198"/>
      <c r="EMA75" s="2198"/>
      <c r="EMB75" s="2198"/>
      <c r="EMC75" s="2198"/>
      <c r="EMD75" s="2198"/>
      <c r="EME75" s="2198"/>
      <c r="EMF75" s="2198"/>
      <c r="EMG75" s="2198"/>
      <c r="EMH75" s="2198"/>
      <c r="EMI75" s="2198"/>
      <c r="EMJ75" s="2198"/>
      <c r="EMK75" s="2198"/>
      <c r="EML75" s="2198"/>
      <c r="EMM75" s="2198"/>
      <c r="EMN75" s="2198"/>
      <c r="EMO75" s="2198"/>
      <c r="EMP75" s="2198"/>
      <c r="EMQ75" s="2198"/>
      <c r="EMR75" s="2198"/>
      <c r="EMS75" s="2198"/>
      <c r="EMT75" s="2198"/>
      <c r="EMU75" s="2198"/>
      <c r="EMV75" s="2198"/>
      <c r="EMW75" s="2198"/>
      <c r="EMX75" s="2198"/>
      <c r="EMY75" s="2198"/>
      <c r="EMZ75" s="2198"/>
      <c r="ENA75" s="2198"/>
      <c r="ENB75" s="2198"/>
      <c r="ENC75" s="2198"/>
      <c r="END75" s="2198"/>
      <c r="ENE75" s="2198"/>
      <c r="ENF75" s="2198"/>
      <c r="ENG75" s="2198"/>
      <c r="ENH75" s="2198"/>
      <c r="ENI75" s="2198"/>
      <c r="ENJ75" s="2198"/>
      <c r="ENK75" s="2198"/>
      <c r="ENL75" s="2198"/>
      <c r="ENM75" s="2198"/>
      <c r="ENN75" s="2198"/>
      <c r="ENO75" s="2198"/>
      <c r="ENP75" s="2198"/>
      <c r="ENQ75" s="2198"/>
      <c r="ENR75" s="2198"/>
      <c r="ENS75" s="2198"/>
      <c r="ENT75" s="2198"/>
      <c r="ENU75" s="2198"/>
      <c r="ENV75" s="2198"/>
      <c r="ENW75" s="2198"/>
      <c r="ENX75" s="2198"/>
      <c r="ENY75" s="2198"/>
      <c r="ENZ75" s="2198"/>
      <c r="EOA75" s="2198"/>
      <c r="EOB75" s="2198"/>
      <c r="EOC75" s="2198"/>
      <c r="EOD75" s="2198"/>
      <c r="EOE75" s="2198"/>
      <c r="EOF75" s="2198"/>
      <c r="EOG75" s="2198"/>
      <c r="EOH75" s="2198"/>
      <c r="EOI75" s="2198"/>
      <c r="EOJ75" s="2198"/>
      <c r="EOK75" s="2198"/>
      <c r="EOL75" s="2198"/>
      <c r="EOM75" s="2198"/>
      <c r="EON75" s="2198"/>
      <c r="EOO75" s="2198"/>
      <c r="EOP75" s="2198"/>
      <c r="EOQ75" s="2198"/>
      <c r="EOR75" s="2198"/>
      <c r="EOS75" s="2198"/>
      <c r="EOT75" s="2198"/>
      <c r="EOU75" s="2198"/>
      <c r="EOV75" s="2198"/>
      <c r="EOW75" s="2198"/>
      <c r="EOX75" s="2198"/>
      <c r="EOY75" s="2198"/>
      <c r="EOZ75" s="2198"/>
      <c r="EPA75" s="2198"/>
      <c r="EPB75" s="2198"/>
      <c r="EPC75" s="2198"/>
      <c r="EPD75" s="2198"/>
      <c r="EPE75" s="2198"/>
      <c r="EPF75" s="2198"/>
      <c r="EPG75" s="2198"/>
      <c r="EPH75" s="2198"/>
      <c r="EPI75" s="2198"/>
      <c r="EPJ75" s="2198"/>
      <c r="EPK75" s="2198"/>
      <c r="EPL75" s="2198"/>
      <c r="EPM75" s="2198"/>
      <c r="EPN75" s="2198"/>
      <c r="EPO75" s="2198"/>
      <c r="EPP75" s="2198"/>
      <c r="EPQ75" s="2198"/>
      <c r="EPR75" s="2198"/>
      <c r="EPS75" s="2198"/>
      <c r="EPT75" s="2198"/>
      <c r="EPU75" s="2198"/>
      <c r="EPV75" s="2198"/>
      <c r="EPW75" s="2198"/>
      <c r="EPX75" s="2198"/>
      <c r="EPY75" s="2198"/>
      <c r="EPZ75" s="2198"/>
      <c r="EQA75" s="2198"/>
      <c r="EQB75" s="2198"/>
      <c r="EQC75" s="2198"/>
      <c r="EQD75" s="2198"/>
      <c r="EQE75" s="2198"/>
      <c r="EQF75" s="2198"/>
      <c r="EQG75" s="2198"/>
      <c r="EQH75" s="2198"/>
      <c r="EQI75" s="2198"/>
      <c r="EQJ75" s="2198"/>
      <c r="EQK75" s="2198"/>
      <c r="EQL75" s="2198"/>
      <c r="EQM75" s="2198"/>
      <c r="EQN75" s="2198"/>
      <c r="EQO75" s="2198"/>
      <c r="EQP75" s="2198"/>
      <c r="EQQ75" s="2198"/>
      <c r="EQR75" s="2198"/>
      <c r="EQS75" s="2198"/>
      <c r="EQT75" s="2198"/>
      <c r="EQU75" s="2198"/>
      <c r="EQV75" s="2198"/>
      <c r="EQW75" s="2198"/>
      <c r="EQX75" s="2198"/>
      <c r="EQY75" s="2198"/>
      <c r="EQZ75" s="2198"/>
      <c r="ERA75" s="2198"/>
      <c r="ERB75" s="2198"/>
      <c r="ERC75" s="2198"/>
      <c r="ERD75" s="2198"/>
      <c r="ERE75" s="2198"/>
      <c r="ERF75" s="2198"/>
      <c r="ERG75" s="2198"/>
      <c r="ERH75" s="2198"/>
      <c r="ERI75" s="2198"/>
      <c r="ERJ75" s="2198"/>
      <c r="ERK75" s="2198"/>
      <c r="ERL75" s="2198"/>
      <c r="ERM75" s="2198"/>
      <c r="ERN75" s="2198"/>
      <c r="ERO75" s="2198"/>
      <c r="ERP75" s="2198"/>
      <c r="ERQ75" s="2198"/>
      <c r="ERR75" s="2198"/>
      <c r="ERS75" s="2198"/>
      <c r="ERT75" s="2198"/>
      <c r="ERU75" s="2198"/>
      <c r="ERV75" s="2198"/>
      <c r="ERW75" s="2198"/>
      <c r="ERX75" s="2198"/>
      <c r="ERY75" s="2198"/>
      <c r="ERZ75" s="2198"/>
      <c r="ESA75" s="2198"/>
      <c r="ESB75" s="2198"/>
      <c r="ESC75" s="2198"/>
      <c r="ESD75" s="2198"/>
      <c r="ESE75" s="2198"/>
      <c r="ESF75" s="2198"/>
      <c r="ESG75" s="2198"/>
      <c r="ESH75" s="2198"/>
      <c r="ESI75" s="2198"/>
      <c r="ESJ75" s="2198"/>
      <c r="ESK75" s="2198"/>
      <c r="ESL75" s="2198"/>
      <c r="ESM75" s="2198"/>
      <c r="ESN75" s="2198"/>
      <c r="ESO75" s="2198"/>
      <c r="ESP75" s="2198"/>
      <c r="ESQ75" s="2198"/>
      <c r="ESR75" s="2198"/>
      <c r="ESS75" s="2198"/>
      <c r="EST75" s="2198"/>
      <c r="ESU75" s="2198"/>
      <c r="ESV75" s="2198"/>
      <c r="ESW75" s="2198"/>
      <c r="ESX75" s="2198"/>
      <c r="ESY75" s="2198"/>
      <c r="ESZ75" s="2198"/>
      <c r="ETA75" s="2198"/>
      <c r="ETB75" s="2198"/>
      <c r="ETC75" s="2198"/>
      <c r="ETD75" s="2198"/>
      <c r="ETE75" s="2198"/>
      <c r="ETF75" s="2198"/>
      <c r="ETG75" s="2198"/>
      <c r="ETH75" s="2198"/>
      <c r="ETI75" s="2198"/>
      <c r="ETJ75" s="2198"/>
      <c r="ETK75" s="2198"/>
      <c r="ETL75" s="2198"/>
      <c r="ETM75" s="2198"/>
      <c r="ETN75" s="2198"/>
      <c r="ETO75" s="2198"/>
      <c r="ETP75" s="2198"/>
      <c r="ETQ75" s="2198"/>
      <c r="ETR75" s="2198"/>
      <c r="ETS75" s="2198"/>
      <c r="ETT75" s="2198"/>
      <c r="ETU75" s="2198"/>
      <c r="ETV75" s="2198"/>
      <c r="ETW75" s="2198"/>
      <c r="ETX75" s="2198"/>
      <c r="ETY75" s="2198"/>
      <c r="ETZ75" s="2198"/>
      <c r="EUA75" s="2198"/>
      <c r="EUB75" s="2198"/>
      <c r="EUC75" s="2198"/>
      <c r="EUD75" s="2198"/>
      <c r="EUE75" s="2198"/>
      <c r="EUF75" s="2198"/>
      <c r="EUG75" s="2198"/>
      <c r="EUH75" s="2198"/>
      <c r="EUI75" s="2198"/>
      <c r="EUJ75" s="2198"/>
      <c r="EUK75" s="2198"/>
      <c r="EUL75" s="2198"/>
      <c r="EUM75" s="2198"/>
      <c r="EUN75" s="2198"/>
      <c r="EUO75" s="2198"/>
      <c r="EUP75" s="2198"/>
      <c r="EUQ75" s="2198"/>
      <c r="EUR75" s="2198"/>
      <c r="EUS75" s="2198"/>
      <c r="EUT75" s="2198"/>
      <c r="EUU75" s="2198"/>
      <c r="EUV75" s="2198"/>
      <c r="EUW75" s="2198"/>
      <c r="EUX75" s="2198"/>
      <c r="EUY75" s="2198"/>
      <c r="EUZ75" s="2198"/>
      <c r="EVA75" s="2198"/>
      <c r="EVB75" s="2198"/>
      <c r="EVC75" s="2198"/>
      <c r="EVD75" s="2198"/>
      <c r="EVE75" s="2198"/>
      <c r="EVF75" s="2198"/>
      <c r="EVG75" s="2198"/>
      <c r="EVH75" s="2198"/>
      <c r="EVI75" s="2198"/>
      <c r="EVJ75" s="2198"/>
      <c r="EVK75" s="2198"/>
      <c r="EVL75" s="2198"/>
      <c r="EVM75" s="2198"/>
      <c r="EVN75" s="2198"/>
      <c r="EVO75" s="2198"/>
      <c r="EVP75" s="2198"/>
      <c r="EVQ75" s="2198"/>
      <c r="EVR75" s="2198"/>
      <c r="EVS75" s="2198"/>
      <c r="EVT75" s="2198"/>
      <c r="EVU75" s="2198"/>
      <c r="EVV75" s="2198"/>
      <c r="EVW75" s="2198"/>
      <c r="EVX75" s="2198"/>
      <c r="EVY75" s="2198"/>
      <c r="EVZ75" s="2198"/>
      <c r="EWA75" s="2198"/>
      <c r="EWB75" s="2198"/>
      <c r="EWC75" s="2198"/>
      <c r="EWD75" s="2198"/>
      <c r="EWE75" s="2198"/>
      <c r="EWF75" s="2198"/>
      <c r="EWG75" s="2198"/>
      <c r="EWH75" s="2198"/>
      <c r="EWI75" s="2198"/>
      <c r="EWJ75" s="2198"/>
      <c r="EWK75" s="2198"/>
      <c r="EWL75" s="2198"/>
      <c r="EWM75" s="2198"/>
      <c r="EWN75" s="2198"/>
      <c r="EWO75" s="2198"/>
      <c r="EWP75" s="2198"/>
      <c r="EWQ75" s="2198"/>
      <c r="EWR75" s="2198"/>
      <c r="EWS75" s="2198"/>
      <c r="EWT75" s="2198"/>
      <c r="EWU75" s="2198"/>
      <c r="EWV75" s="2198"/>
      <c r="EWW75" s="2198"/>
      <c r="EWX75" s="2198"/>
      <c r="EWY75" s="2198"/>
      <c r="EWZ75" s="2198"/>
      <c r="EXA75" s="2198"/>
      <c r="EXB75" s="2198"/>
      <c r="EXC75" s="2198"/>
      <c r="EXD75" s="2198"/>
      <c r="EXE75" s="2198"/>
      <c r="EXF75" s="2198"/>
      <c r="EXG75" s="2198"/>
      <c r="EXH75" s="2198"/>
      <c r="EXI75" s="2198"/>
      <c r="EXJ75" s="2198"/>
      <c r="EXK75" s="2198"/>
      <c r="EXL75" s="2198"/>
      <c r="EXM75" s="2198"/>
      <c r="EXN75" s="2198"/>
      <c r="EXO75" s="2198"/>
      <c r="EXP75" s="2198"/>
      <c r="EXQ75" s="2198"/>
      <c r="EXR75" s="2198"/>
      <c r="EXS75" s="2198"/>
      <c r="EXT75" s="2198"/>
      <c r="EXU75" s="2198"/>
      <c r="EXV75" s="2198"/>
      <c r="EXW75" s="2198"/>
      <c r="EXX75" s="2198"/>
      <c r="EXY75" s="2198"/>
      <c r="EXZ75" s="2198"/>
      <c r="EYA75" s="2198"/>
      <c r="EYB75" s="2198"/>
      <c r="EYC75" s="2198"/>
      <c r="EYD75" s="2198"/>
      <c r="EYE75" s="2198"/>
      <c r="EYF75" s="2198"/>
      <c r="EYG75" s="2198"/>
      <c r="EYH75" s="2198"/>
      <c r="EYI75" s="2198"/>
      <c r="EYJ75" s="2198"/>
      <c r="EYK75" s="2198"/>
      <c r="EYL75" s="2198"/>
      <c r="EYM75" s="2198"/>
      <c r="EYN75" s="2198"/>
      <c r="EYO75" s="2198"/>
      <c r="EYP75" s="2198"/>
      <c r="EYQ75" s="2198"/>
      <c r="EYR75" s="2198"/>
      <c r="EYS75" s="2198"/>
      <c r="EYT75" s="2198"/>
      <c r="EYU75" s="2198"/>
      <c r="EYV75" s="2198"/>
      <c r="EYW75" s="2198"/>
      <c r="EYX75" s="2198"/>
      <c r="EYY75" s="2198"/>
      <c r="EYZ75" s="2198"/>
      <c r="EZA75" s="2198"/>
      <c r="EZB75" s="2198"/>
      <c r="EZC75" s="2198"/>
      <c r="EZD75" s="2198"/>
      <c r="EZE75" s="2198"/>
      <c r="EZF75" s="2198"/>
      <c r="EZG75" s="2198"/>
      <c r="EZH75" s="2198"/>
      <c r="EZI75" s="2198"/>
      <c r="EZJ75" s="2198"/>
      <c r="EZK75" s="2198"/>
      <c r="EZL75" s="2198"/>
      <c r="EZM75" s="2198"/>
      <c r="EZN75" s="2198"/>
      <c r="EZO75" s="2198"/>
      <c r="EZP75" s="2198"/>
      <c r="EZQ75" s="2198"/>
      <c r="EZR75" s="2198"/>
      <c r="EZS75" s="2198"/>
      <c r="EZT75" s="2198"/>
      <c r="EZU75" s="2198"/>
      <c r="EZV75" s="2198"/>
      <c r="EZW75" s="2198"/>
      <c r="EZX75" s="2198"/>
      <c r="EZY75" s="2198"/>
      <c r="EZZ75" s="2198"/>
      <c r="FAA75" s="2198"/>
      <c r="FAB75" s="2198"/>
      <c r="FAC75" s="2198"/>
      <c r="FAD75" s="2198"/>
      <c r="FAE75" s="2198"/>
      <c r="FAF75" s="2198"/>
      <c r="FAG75" s="2198"/>
      <c r="FAH75" s="2198"/>
      <c r="FAI75" s="2198"/>
      <c r="FAJ75" s="2198"/>
      <c r="FAK75" s="2198"/>
      <c r="FAL75" s="2198"/>
      <c r="FAM75" s="2198"/>
      <c r="FAN75" s="2198"/>
      <c r="FAO75" s="2198"/>
      <c r="FAP75" s="2198"/>
      <c r="FAQ75" s="2198"/>
      <c r="FAR75" s="2198"/>
      <c r="FAS75" s="2198"/>
      <c r="FAT75" s="2198"/>
      <c r="FAU75" s="2198"/>
      <c r="FAV75" s="2198"/>
      <c r="FAW75" s="2198"/>
      <c r="FAX75" s="2198"/>
      <c r="FAY75" s="2198"/>
      <c r="FAZ75" s="2198"/>
      <c r="FBA75" s="2198"/>
      <c r="FBB75" s="2198"/>
      <c r="FBC75" s="2198"/>
      <c r="FBD75" s="2198"/>
      <c r="FBE75" s="2198"/>
      <c r="FBF75" s="2198"/>
      <c r="FBG75" s="2198"/>
      <c r="FBH75" s="2198"/>
      <c r="FBI75" s="2198"/>
      <c r="FBJ75" s="2198"/>
      <c r="FBK75" s="2198"/>
      <c r="FBL75" s="2198"/>
      <c r="FBM75" s="2198"/>
      <c r="FBN75" s="2198"/>
      <c r="FBO75" s="2198"/>
      <c r="FBP75" s="2198"/>
      <c r="FBQ75" s="2198"/>
      <c r="FBR75" s="2198"/>
      <c r="FBS75" s="2198"/>
      <c r="FBT75" s="2198"/>
      <c r="FBU75" s="2198"/>
      <c r="FBV75" s="2198"/>
      <c r="FBW75" s="2198"/>
      <c r="FBX75" s="2198"/>
      <c r="FBY75" s="2198"/>
      <c r="FBZ75" s="2198"/>
      <c r="FCA75" s="2198"/>
      <c r="FCB75" s="2198"/>
      <c r="FCC75" s="2198"/>
      <c r="FCD75" s="2198"/>
      <c r="FCE75" s="2198"/>
      <c r="FCF75" s="2198"/>
      <c r="FCG75" s="2198"/>
      <c r="FCH75" s="2198"/>
      <c r="FCI75" s="2198"/>
      <c r="FCJ75" s="2198"/>
      <c r="FCK75" s="2198"/>
      <c r="FCL75" s="2198"/>
      <c r="FCM75" s="2198"/>
      <c r="FCN75" s="2198"/>
      <c r="FCO75" s="2198"/>
      <c r="FCP75" s="2198"/>
      <c r="FCQ75" s="2198"/>
      <c r="FCR75" s="2198"/>
      <c r="FCS75" s="2198"/>
      <c r="FCT75" s="2198"/>
      <c r="FCU75" s="2198"/>
      <c r="FCV75" s="2198"/>
      <c r="FCW75" s="2198"/>
      <c r="FCX75" s="2198"/>
      <c r="FCY75" s="2198"/>
      <c r="FCZ75" s="2198"/>
      <c r="FDA75" s="2198"/>
      <c r="FDB75" s="2198"/>
      <c r="FDC75" s="2198"/>
      <c r="FDD75" s="2198"/>
      <c r="FDE75" s="2198"/>
      <c r="FDF75" s="2198"/>
      <c r="FDG75" s="2198"/>
      <c r="FDH75" s="2198"/>
      <c r="FDI75" s="2198"/>
      <c r="FDJ75" s="2198"/>
      <c r="FDK75" s="2198"/>
      <c r="FDL75" s="2198"/>
      <c r="FDM75" s="2198"/>
      <c r="FDN75" s="2198"/>
      <c r="FDO75" s="2198"/>
      <c r="FDP75" s="2198"/>
      <c r="FDQ75" s="2198"/>
      <c r="FDR75" s="2198"/>
      <c r="FDS75" s="2198"/>
      <c r="FDT75" s="2198"/>
      <c r="FDU75" s="2198"/>
      <c r="FDV75" s="2198"/>
      <c r="FDW75" s="2198"/>
      <c r="FDX75" s="2198"/>
      <c r="FDY75" s="2198"/>
      <c r="FDZ75" s="2198"/>
      <c r="FEA75" s="2198"/>
      <c r="FEB75" s="2198"/>
      <c r="FEC75" s="2198"/>
      <c r="FED75" s="2198"/>
      <c r="FEE75" s="2198"/>
      <c r="FEF75" s="2198"/>
      <c r="FEG75" s="2198"/>
      <c r="FEH75" s="2198"/>
      <c r="FEI75" s="2198"/>
      <c r="FEJ75" s="2198"/>
      <c r="FEK75" s="2198"/>
      <c r="FEL75" s="2198"/>
      <c r="FEM75" s="2198"/>
      <c r="FEN75" s="2198"/>
      <c r="FEO75" s="2198"/>
      <c r="FEP75" s="2198"/>
      <c r="FEQ75" s="2198"/>
      <c r="FER75" s="2198"/>
      <c r="FES75" s="2198"/>
      <c r="FET75" s="2198"/>
      <c r="FEU75" s="2198"/>
      <c r="FEV75" s="2198"/>
      <c r="FEW75" s="2198"/>
      <c r="FEX75" s="2198"/>
      <c r="FEY75" s="2198"/>
      <c r="FEZ75" s="2198"/>
      <c r="FFA75" s="2198"/>
      <c r="FFB75" s="2198"/>
      <c r="FFC75" s="2198"/>
      <c r="FFD75" s="2198"/>
      <c r="FFE75" s="2198"/>
      <c r="FFF75" s="2198"/>
      <c r="FFG75" s="2198"/>
      <c r="FFH75" s="2198"/>
      <c r="FFI75" s="2198"/>
      <c r="FFJ75" s="2198"/>
      <c r="FFK75" s="2198"/>
      <c r="FFL75" s="2198"/>
      <c r="FFM75" s="2198"/>
      <c r="FFN75" s="2198"/>
      <c r="FFO75" s="2198"/>
      <c r="FFP75" s="2198"/>
      <c r="FFQ75" s="2198"/>
      <c r="FFR75" s="2198"/>
      <c r="FFS75" s="2198"/>
      <c r="FFT75" s="2198"/>
      <c r="FFU75" s="2198"/>
      <c r="FFV75" s="2198"/>
      <c r="FFW75" s="2198"/>
      <c r="FFX75" s="2198"/>
      <c r="FFY75" s="2198"/>
      <c r="FFZ75" s="2198"/>
      <c r="FGA75" s="2198"/>
      <c r="FGB75" s="2198"/>
      <c r="FGC75" s="2198"/>
      <c r="FGD75" s="2198"/>
      <c r="FGE75" s="2198"/>
      <c r="FGF75" s="2198"/>
      <c r="FGG75" s="2198"/>
      <c r="FGH75" s="2198"/>
      <c r="FGI75" s="2198"/>
      <c r="FGJ75" s="2198"/>
      <c r="FGK75" s="2198"/>
      <c r="FGL75" s="2198"/>
      <c r="FGM75" s="2198"/>
      <c r="FGN75" s="2198"/>
      <c r="FGO75" s="2198"/>
      <c r="FGP75" s="2198"/>
      <c r="FGQ75" s="2198"/>
      <c r="FGR75" s="2198"/>
      <c r="FGS75" s="2198"/>
      <c r="FGT75" s="2198"/>
      <c r="FGU75" s="2198"/>
      <c r="FGV75" s="2198"/>
      <c r="FGW75" s="2198"/>
      <c r="FGX75" s="2198"/>
      <c r="FGY75" s="2198"/>
      <c r="FGZ75" s="2198"/>
      <c r="FHA75" s="2198"/>
      <c r="FHB75" s="2198"/>
      <c r="FHC75" s="2198"/>
      <c r="FHD75" s="2198"/>
      <c r="FHE75" s="2198"/>
      <c r="FHF75" s="2198"/>
      <c r="FHG75" s="2198"/>
      <c r="FHH75" s="2198"/>
      <c r="FHI75" s="2198"/>
      <c r="FHJ75" s="2198"/>
      <c r="FHK75" s="2198"/>
      <c r="FHL75" s="2198"/>
      <c r="FHM75" s="2198"/>
      <c r="FHN75" s="2198"/>
      <c r="FHO75" s="2198"/>
      <c r="FHP75" s="2198"/>
      <c r="FHQ75" s="2198"/>
      <c r="FHR75" s="2198"/>
      <c r="FHS75" s="2198"/>
      <c r="FHT75" s="2198"/>
      <c r="FHU75" s="2198"/>
      <c r="FHV75" s="2198"/>
      <c r="FHW75" s="2198"/>
      <c r="FHX75" s="2198"/>
      <c r="FHY75" s="2198"/>
      <c r="FHZ75" s="2198"/>
      <c r="FIA75" s="2198"/>
      <c r="FIB75" s="2198"/>
      <c r="FIC75" s="2198"/>
      <c r="FID75" s="2198"/>
      <c r="FIE75" s="2198"/>
      <c r="FIF75" s="2198"/>
      <c r="FIG75" s="2198"/>
      <c r="FIH75" s="2198"/>
      <c r="FII75" s="2198"/>
      <c r="FIJ75" s="2198"/>
      <c r="FIK75" s="2198"/>
      <c r="FIL75" s="2198"/>
      <c r="FIM75" s="2198"/>
      <c r="FIN75" s="2198"/>
      <c r="FIO75" s="2198"/>
      <c r="FIP75" s="2198"/>
      <c r="FIQ75" s="2198"/>
      <c r="FIR75" s="2198"/>
      <c r="FIS75" s="2198"/>
      <c r="FIT75" s="2198"/>
      <c r="FIU75" s="2198"/>
      <c r="FIV75" s="2198"/>
      <c r="FIW75" s="2198"/>
      <c r="FIX75" s="2198"/>
      <c r="FIY75" s="2198"/>
      <c r="FIZ75" s="2198"/>
      <c r="FJA75" s="2198"/>
      <c r="FJB75" s="2198"/>
      <c r="FJC75" s="2198"/>
      <c r="FJD75" s="2198"/>
      <c r="FJE75" s="2198"/>
      <c r="FJF75" s="2198"/>
      <c r="FJG75" s="2198"/>
      <c r="FJH75" s="2198"/>
      <c r="FJI75" s="2198"/>
      <c r="FJJ75" s="2198"/>
      <c r="FJK75" s="2198"/>
      <c r="FJL75" s="2198"/>
      <c r="FJM75" s="2198"/>
      <c r="FJN75" s="2198"/>
      <c r="FJO75" s="2198"/>
      <c r="FJP75" s="2198"/>
      <c r="FJQ75" s="2198"/>
      <c r="FJR75" s="2198"/>
      <c r="FJS75" s="2198"/>
      <c r="FJT75" s="2198"/>
      <c r="FJU75" s="2198"/>
      <c r="FJV75" s="2198"/>
      <c r="FJW75" s="2198"/>
      <c r="FJX75" s="2198"/>
      <c r="FJY75" s="2198"/>
      <c r="FJZ75" s="2198"/>
      <c r="FKA75" s="2198"/>
      <c r="FKB75" s="2198"/>
      <c r="FKC75" s="2198"/>
      <c r="FKD75" s="2198"/>
      <c r="FKE75" s="2198"/>
      <c r="FKF75" s="2198"/>
      <c r="FKG75" s="2198"/>
      <c r="FKH75" s="2198"/>
      <c r="FKI75" s="2198"/>
      <c r="FKJ75" s="2198"/>
      <c r="FKK75" s="2198"/>
      <c r="FKL75" s="2198"/>
      <c r="FKM75" s="2198"/>
      <c r="FKN75" s="2198"/>
      <c r="FKO75" s="2198"/>
      <c r="FKP75" s="2198"/>
      <c r="FKQ75" s="2198"/>
      <c r="FKR75" s="2198"/>
      <c r="FKS75" s="2198"/>
      <c r="FKT75" s="2198"/>
      <c r="FKU75" s="2198"/>
      <c r="FKV75" s="2198"/>
      <c r="FKW75" s="2198"/>
      <c r="FKX75" s="2198"/>
      <c r="FKY75" s="2198"/>
      <c r="FKZ75" s="2198"/>
      <c r="FLA75" s="2198"/>
      <c r="FLB75" s="2198"/>
      <c r="FLC75" s="2198"/>
      <c r="FLD75" s="2198"/>
      <c r="FLE75" s="2198"/>
      <c r="FLF75" s="2198"/>
      <c r="FLG75" s="2198"/>
      <c r="FLH75" s="2198"/>
      <c r="FLI75" s="2198"/>
      <c r="FLJ75" s="2198"/>
      <c r="FLK75" s="2198"/>
      <c r="FLL75" s="2198"/>
      <c r="FLM75" s="2198"/>
      <c r="FLN75" s="2198"/>
      <c r="FLO75" s="2198"/>
      <c r="FLP75" s="2198"/>
      <c r="FLQ75" s="2198"/>
      <c r="FLR75" s="2198"/>
      <c r="FLS75" s="2198"/>
      <c r="FLT75" s="2198"/>
      <c r="FLU75" s="2198"/>
      <c r="FLV75" s="2198"/>
      <c r="FLW75" s="2198"/>
      <c r="FLX75" s="2198"/>
      <c r="FLY75" s="2198"/>
      <c r="FLZ75" s="2198"/>
      <c r="FMA75" s="2198"/>
      <c r="FMB75" s="2198"/>
      <c r="FMC75" s="2198"/>
      <c r="FMD75" s="2198"/>
      <c r="FME75" s="2198"/>
      <c r="FMF75" s="2198"/>
      <c r="FMG75" s="2198"/>
      <c r="FMH75" s="2198"/>
      <c r="FMI75" s="2198"/>
      <c r="FMJ75" s="2198"/>
      <c r="FMK75" s="2198"/>
      <c r="FML75" s="2198"/>
      <c r="FMM75" s="2198"/>
      <c r="FMN75" s="2198"/>
      <c r="FMO75" s="2198"/>
      <c r="FMP75" s="2198"/>
      <c r="FMQ75" s="2198"/>
      <c r="FMR75" s="2198"/>
      <c r="FMS75" s="2198"/>
      <c r="FMT75" s="2198"/>
      <c r="FMU75" s="2198"/>
      <c r="FMV75" s="2198"/>
      <c r="FMW75" s="2198"/>
      <c r="FMX75" s="2198"/>
      <c r="FMY75" s="2198"/>
      <c r="FMZ75" s="2198"/>
      <c r="FNA75" s="2198"/>
      <c r="FNB75" s="2198"/>
      <c r="FNC75" s="2198"/>
      <c r="FND75" s="2198"/>
      <c r="FNE75" s="2198"/>
      <c r="FNF75" s="2198"/>
      <c r="FNG75" s="2198"/>
      <c r="FNH75" s="2198"/>
      <c r="FNI75" s="2198"/>
      <c r="FNJ75" s="2198"/>
      <c r="FNK75" s="2198"/>
      <c r="FNL75" s="2198"/>
      <c r="FNM75" s="2198"/>
      <c r="FNN75" s="2198"/>
      <c r="FNO75" s="2198"/>
      <c r="FNP75" s="2198"/>
      <c r="FNQ75" s="2198"/>
      <c r="FNR75" s="2198"/>
      <c r="FNS75" s="2198"/>
      <c r="FNT75" s="2198"/>
      <c r="FNU75" s="2198"/>
      <c r="FNV75" s="2198"/>
      <c r="FNW75" s="2198"/>
      <c r="FNX75" s="2198"/>
      <c r="FNY75" s="2198"/>
      <c r="FNZ75" s="2198"/>
      <c r="FOA75" s="2198"/>
      <c r="FOB75" s="2198"/>
      <c r="FOC75" s="2198"/>
      <c r="FOD75" s="2198"/>
      <c r="FOE75" s="2198"/>
      <c r="FOF75" s="2198"/>
      <c r="FOG75" s="2198"/>
      <c r="FOH75" s="2198"/>
      <c r="FOI75" s="2198"/>
      <c r="FOJ75" s="2198"/>
      <c r="FOK75" s="2198"/>
      <c r="FOL75" s="2198"/>
      <c r="FOM75" s="2198"/>
      <c r="FON75" s="2198"/>
      <c r="FOO75" s="2198"/>
      <c r="FOP75" s="2198"/>
      <c r="FOQ75" s="2198"/>
      <c r="FOR75" s="2198"/>
      <c r="FOS75" s="2198"/>
      <c r="FOT75" s="2198"/>
      <c r="FOU75" s="2198"/>
      <c r="FOV75" s="2198"/>
      <c r="FOW75" s="2198"/>
      <c r="FOX75" s="2198"/>
      <c r="FOY75" s="2198"/>
      <c r="FOZ75" s="2198"/>
      <c r="FPA75" s="2198"/>
      <c r="FPB75" s="2198"/>
      <c r="FPC75" s="2198"/>
      <c r="FPD75" s="2198"/>
      <c r="FPE75" s="2198"/>
      <c r="FPF75" s="2198"/>
      <c r="FPG75" s="2198"/>
      <c r="FPH75" s="2198"/>
      <c r="FPI75" s="2198"/>
      <c r="FPJ75" s="2198"/>
      <c r="FPK75" s="2198"/>
      <c r="FPL75" s="2198"/>
      <c r="FPM75" s="2198"/>
      <c r="FPN75" s="2198"/>
      <c r="FPO75" s="2198"/>
      <c r="FPP75" s="2198"/>
      <c r="FPQ75" s="2198"/>
      <c r="FPR75" s="2198"/>
      <c r="FPS75" s="2198"/>
      <c r="FPT75" s="2198"/>
      <c r="FPU75" s="2198"/>
      <c r="FPV75" s="2198"/>
      <c r="FPW75" s="2198"/>
      <c r="FPX75" s="2198"/>
      <c r="FPY75" s="2198"/>
      <c r="FPZ75" s="2198"/>
      <c r="FQA75" s="2198"/>
      <c r="FQB75" s="2198"/>
      <c r="FQC75" s="2198"/>
      <c r="FQD75" s="2198"/>
      <c r="FQE75" s="2198"/>
      <c r="FQF75" s="2198"/>
      <c r="FQG75" s="2198"/>
      <c r="FQH75" s="2198"/>
      <c r="FQI75" s="2198"/>
      <c r="FQJ75" s="2198"/>
      <c r="FQK75" s="2198"/>
      <c r="FQL75" s="2198"/>
      <c r="FQM75" s="2198"/>
      <c r="FQN75" s="2198"/>
      <c r="FQO75" s="2198"/>
      <c r="FQP75" s="2198"/>
      <c r="FQQ75" s="2198"/>
      <c r="FQR75" s="2198"/>
      <c r="FQS75" s="2198"/>
      <c r="FQT75" s="2198"/>
      <c r="FQU75" s="2198"/>
      <c r="FQV75" s="2198"/>
      <c r="FQW75" s="2198"/>
      <c r="FQX75" s="2198"/>
      <c r="FQY75" s="2198"/>
      <c r="FQZ75" s="2198"/>
      <c r="FRA75" s="2198"/>
      <c r="FRB75" s="2198"/>
      <c r="FRC75" s="2198"/>
      <c r="FRD75" s="2198"/>
      <c r="FRE75" s="2198"/>
      <c r="FRF75" s="2198"/>
      <c r="FRG75" s="2198"/>
      <c r="FRH75" s="2198"/>
      <c r="FRI75" s="2198"/>
      <c r="FRJ75" s="2198"/>
      <c r="FRK75" s="2198"/>
      <c r="FRL75" s="2198"/>
      <c r="FRM75" s="2198"/>
      <c r="FRN75" s="2198"/>
      <c r="FRO75" s="2198"/>
      <c r="FRP75" s="2198"/>
      <c r="FRQ75" s="2198"/>
      <c r="FRR75" s="2198"/>
      <c r="FRS75" s="2198"/>
      <c r="FRT75" s="2198"/>
      <c r="FRU75" s="2198"/>
      <c r="FRV75" s="2198"/>
      <c r="FRW75" s="2198"/>
      <c r="FRX75" s="2198"/>
      <c r="FRY75" s="2198"/>
      <c r="FRZ75" s="2198"/>
      <c r="FSA75" s="2198"/>
      <c r="FSB75" s="2198"/>
      <c r="FSC75" s="2198"/>
      <c r="FSD75" s="2198"/>
      <c r="FSE75" s="2198"/>
      <c r="FSF75" s="2198"/>
      <c r="FSG75" s="2198"/>
      <c r="FSH75" s="2198"/>
      <c r="FSI75" s="2198"/>
      <c r="FSJ75" s="2198"/>
      <c r="FSK75" s="2198"/>
      <c r="FSL75" s="2198"/>
      <c r="FSM75" s="2198"/>
      <c r="FSN75" s="2198"/>
      <c r="FSO75" s="2198"/>
      <c r="FSP75" s="2198"/>
      <c r="FSQ75" s="2198"/>
      <c r="FSR75" s="2198"/>
      <c r="FSS75" s="2198"/>
      <c r="FST75" s="2198"/>
      <c r="FSU75" s="2198"/>
      <c r="FSV75" s="2198"/>
      <c r="FSW75" s="2198"/>
      <c r="FSX75" s="2198"/>
      <c r="FSY75" s="2198"/>
      <c r="FSZ75" s="2198"/>
      <c r="FTA75" s="2198"/>
      <c r="FTB75" s="2198"/>
      <c r="FTC75" s="2198"/>
      <c r="FTD75" s="2198"/>
      <c r="FTE75" s="2198"/>
      <c r="FTF75" s="2198"/>
      <c r="FTG75" s="2198"/>
      <c r="FTH75" s="2198"/>
      <c r="FTI75" s="2198"/>
      <c r="FTJ75" s="2198"/>
      <c r="FTK75" s="2198"/>
      <c r="FTL75" s="2198"/>
      <c r="FTM75" s="2198"/>
      <c r="FTN75" s="2198"/>
      <c r="FTO75" s="2198"/>
      <c r="FTP75" s="2198"/>
      <c r="FTQ75" s="2198"/>
      <c r="FTR75" s="2198"/>
      <c r="FTS75" s="2198"/>
      <c r="FTT75" s="2198"/>
      <c r="FTU75" s="2198"/>
      <c r="FTV75" s="2198"/>
      <c r="FTW75" s="2198"/>
      <c r="FTX75" s="2198"/>
      <c r="FTY75" s="2198"/>
      <c r="FTZ75" s="2198"/>
      <c r="FUA75" s="2198"/>
      <c r="FUB75" s="2198"/>
      <c r="FUC75" s="2198"/>
      <c r="FUD75" s="2198"/>
      <c r="FUE75" s="2198"/>
      <c r="FUF75" s="2198"/>
      <c r="FUG75" s="2198"/>
      <c r="FUH75" s="2198"/>
      <c r="FUI75" s="2198"/>
      <c r="FUJ75" s="2198"/>
      <c r="FUK75" s="2198"/>
      <c r="FUL75" s="2198"/>
      <c r="FUM75" s="2198"/>
      <c r="FUN75" s="2198"/>
      <c r="FUO75" s="2198"/>
      <c r="FUP75" s="2198"/>
      <c r="FUQ75" s="2198"/>
      <c r="FUR75" s="2198"/>
      <c r="FUS75" s="2198"/>
      <c r="FUT75" s="2198"/>
      <c r="FUU75" s="2198"/>
      <c r="FUV75" s="2198"/>
      <c r="FUW75" s="2198"/>
      <c r="FUX75" s="2198"/>
      <c r="FUY75" s="2198"/>
      <c r="FUZ75" s="2198"/>
      <c r="FVA75" s="2198"/>
      <c r="FVB75" s="2198"/>
      <c r="FVC75" s="2198"/>
      <c r="FVD75" s="2198"/>
      <c r="FVE75" s="2198"/>
      <c r="FVF75" s="2198"/>
      <c r="FVG75" s="2198"/>
      <c r="FVH75" s="2198"/>
      <c r="FVI75" s="2198"/>
      <c r="FVJ75" s="2198"/>
      <c r="FVK75" s="2198"/>
      <c r="FVL75" s="2198"/>
      <c r="FVM75" s="2198"/>
      <c r="FVN75" s="2198"/>
      <c r="FVO75" s="2198"/>
      <c r="FVP75" s="2198"/>
      <c r="FVQ75" s="2198"/>
      <c r="FVR75" s="2198"/>
      <c r="FVS75" s="2198"/>
      <c r="FVT75" s="2198"/>
      <c r="FVU75" s="2198"/>
      <c r="FVV75" s="2198"/>
      <c r="FVW75" s="2198"/>
      <c r="FVX75" s="2198"/>
      <c r="FVY75" s="2198"/>
      <c r="FVZ75" s="2198"/>
      <c r="FWA75" s="2198"/>
      <c r="FWB75" s="2198"/>
      <c r="FWC75" s="2198"/>
      <c r="FWD75" s="2198"/>
      <c r="FWE75" s="2198"/>
      <c r="FWF75" s="2198"/>
      <c r="FWG75" s="2198"/>
      <c r="FWH75" s="2198"/>
      <c r="FWI75" s="2198"/>
      <c r="FWJ75" s="2198"/>
      <c r="FWK75" s="2198"/>
      <c r="FWL75" s="2198"/>
      <c r="FWM75" s="2198"/>
      <c r="FWN75" s="2198"/>
      <c r="FWO75" s="2198"/>
      <c r="FWP75" s="2198"/>
      <c r="FWQ75" s="2198"/>
      <c r="FWR75" s="2198"/>
      <c r="FWS75" s="2198"/>
      <c r="FWT75" s="2198"/>
      <c r="FWU75" s="2198"/>
      <c r="FWV75" s="2198"/>
      <c r="FWW75" s="2198"/>
      <c r="FWX75" s="2198"/>
      <c r="FWY75" s="2198"/>
      <c r="FWZ75" s="2198"/>
      <c r="FXA75" s="2198"/>
      <c r="FXB75" s="2198"/>
      <c r="FXC75" s="2198"/>
      <c r="FXD75" s="2198"/>
      <c r="FXE75" s="2198"/>
      <c r="FXF75" s="2198"/>
      <c r="FXG75" s="2198"/>
      <c r="FXH75" s="2198"/>
      <c r="FXI75" s="2198"/>
      <c r="FXJ75" s="2198"/>
      <c r="FXK75" s="2198"/>
      <c r="FXL75" s="2198"/>
      <c r="FXM75" s="2198"/>
      <c r="FXN75" s="2198"/>
      <c r="FXO75" s="2198"/>
      <c r="FXP75" s="2198"/>
      <c r="FXQ75" s="2198"/>
      <c r="FXR75" s="2198"/>
      <c r="FXS75" s="2198"/>
      <c r="FXT75" s="2198"/>
      <c r="FXU75" s="2198"/>
      <c r="FXV75" s="2198"/>
      <c r="FXW75" s="2198"/>
      <c r="FXX75" s="2198"/>
      <c r="FXY75" s="2198"/>
      <c r="FXZ75" s="2198"/>
      <c r="FYA75" s="2198"/>
      <c r="FYB75" s="2198"/>
      <c r="FYC75" s="2198"/>
      <c r="FYD75" s="2198"/>
      <c r="FYE75" s="2198"/>
      <c r="FYF75" s="2198"/>
      <c r="FYG75" s="2198"/>
      <c r="FYH75" s="2198"/>
      <c r="FYI75" s="2198"/>
      <c r="FYJ75" s="2198"/>
      <c r="FYK75" s="2198"/>
      <c r="FYL75" s="2198"/>
      <c r="FYM75" s="2198"/>
      <c r="FYN75" s="2198"/>
      <c r="FYO75" s="2198"/>
      <c r="FYP75" s="2198"/>
      <c r="FYQ75" s="2198"/>
      <c r="FYR75" s="2198"/>
      <c r="FYS75" s="2198"/>
      <c r="FYT75" s="2198"/>
      <c r="FYU75" s="2198"/>
      <c r="FYV75" s="2198"/>
      <c r="FYW75" s="2198"/>
      <c r="FYX75" s="2198"/>
      <c r="FYY75" s="2198"/>
      <c r="FYZ75" s="2198"/>
      <c r="FZA75" s="2198"/>
      <c r="FZB75" s="2198"/>
      <c r="FZC75" s="2198"/>
      <c r="FZD75" s="2198"/>
      <c r="FZE75" s="2198"/>
      <c r="FZF75" s="2198"/>
      <c r="FZG75" s="2198"/>
      <c r="FZH75" s="2198"/>
      <c r="FZI75" s="2198"/>
      <c r="FZJ75" s="2198"/>
      <c r="FZK75" s="2198"/>
      <c r="FZL75" s="2198"/>
      <c r="FZM75" s="2198"/>
      <c r="FZN75" s="2198"/>
      <c r="FZO75" s="2198"/>
      <c r="FZP75" s="2198"/>
      <c r="FZQ75" s="2198"/>
      <c r="FZR75" s="2198"/>
      <c r="FZS75" s="2198"/>
      <c r="FZT75" s="2198"/>
      <c r="FZU75" s="2198"/>
      <c r="FZV75" s="2198"/>
      <c r="FZW75" s="2198"/>
      <c r="FZX75" s="2198"/>
      <c r="FZY75" s="2198"/>
      <c r="FZZ75" s="2198"/>
      <c r="GAA75" s="2198"/>
      <c r="GAB75" s="2198"/>
      <c r="GAC75" s="2198"/>
      <c r="GAD75" s="2198"/>
      <c r="GAE75" s="2198"/>
      <c r="GAF75" s="2198"/>
      <c r="GAG75" s="2198"/>
      <c r="GAH75" s="2198"/>
      <c r="GAI75" s="2198"/>
      <c r="GAJ75" s="2198"/>
      <c r="GAK75" s="2198"/>
      <c r="GAL75" s="2198"/>
      <c r="GAM75" s="2198"/>
      <c r="GAN75" s="2198"/>
      <c r="GAO75" s="2198"/>
      <c r="GAP75" s="2198"/>
      <c r="GAQ75" s="2198"/>
      <c r="GAR75" s="2198"/>
      <c r="GAS75" s="2198"/>
      <c r="GAT75" s="2198"/>
      <c r="GAU75" s="2198"/>
      <c r="GAV75" s="2198"/>
      <c r="GAW75" s="2198"/>
      <c r="GAX75" s="2198"/>
      <c r="GAY75" s="2198"/>
      <c r="GAZ75" s="2198"/>
      <c r="GBA75" s="2198"/>
      <c r="GBB75" s="2198"/>
      <c r="GBC75" s="2198"/>
      <c r="GBD75" s="2198"/>
      <c r="GBE75" s="2198"/>
      <c r="GBF75" s="2198"/>
      <c r="GBG75" s="2198"/>
      <c r="GBH75" s="2198"/>
      <c r="GBI75" s="2198"/>
      <c r="GBJ75" s="2198"/>
      <c r="GBK75" s="2198"/>
      <c r="GBL75" s="2198"/>
      <c r="GBM75" s="2198"/>
      <c r="GBN75" s="2198"/>
      <c r="GBO75" s="2198"/>
      <c r="GBP75" s="2198"/>
      <c r="GBQ75" s="2198"/>
      <c r="GBR75" s="2198"/>
      <c r="GBS75" s="2198"/>
      <c r="GBT75" s="2198"/>
      <c r="GBU75" s="2198"/>
      <c r="GBV75" s="2198"/>
      <c r="GBW75" s="2198"/>
      <c r="GBX75" s="2198"/>
      <c r="GBY75" s="2198"/>
      <c r="GBZ75" s="2198"/>
      <c r="GCA75" s="2198"/>
      <c r="GCB75" s="2198"/>
      <c r="GCC75" s="2198"/>
      <c r="GCD75" s="2198"/>
      <c r="GCE75" s="2198"/>
      <c r="GCF75" s="2198"/>
      <c r="GCG75" s="2198"/>
      <c r="GCH75" s="2198"/>
      <c r="GCI75" s="2198"/>
      <c r="GCJ75" s="2198"/>
      <c r="GCK75" s="2198"/>
      <c r="GCL75" s="2198"/>
      <c r="GCM75" s="2198"/>
      <c r="GCN75" s="2198"/>
      <c r="GCO75" s="2198"/>
      <c r="GCP75" s="2198"/>
      <c r="GCQ75" s="2198"/>
      <c r="GCR75" s="2198"/>
      <c r="GCS75" s="2198"/>
      <c r="GCT75" s="2198"/>
      <c r="GCU75" s="2198"/>
      <c r="GCV75" s="2198"/>
      <c r="GCW75" s="2198"/>
      <c r="GCX75" s="2198"/>
      <c r="GCY75" s="2198"/>
      <c r="GCZ75" s="2198"/>
      <c r="GDA75" s="2198"/>
      <c r="GDB75" s="2198"/>
      <c r="GDC75" s="2198"/>
      <c r="GDD75" s="2198"/>
      <c r="GDE75" s="2198"/>
      <c r="GDF75" s="2198"/>
      <c r="GDG75" s="2198"/>
      <c r="GDH75" s="2198"/>
      <c r="GDI75" s="2198"/>
      <c r="GDJ75" s="2198"/>
      <c r="GDK75" s="2198"/>
      <c r="GDL75" s="2198"/>
      <c r="GDM75" s="2198"/>
      <c r="GDN75" s="2198"/>
      <c r="GDO75" s="2198"/>
      <c r="GDP75" s="2198"/>
      <c r="GDQ75" s="2198"/>
      <c r="GDR75" s="2198"/>
      <c r="GDS75" s="2198"/>
      <c r="GDT75" s="2198"/>
      <c r="GDU75" s="2198"/>
      <c r="GDV75" s="2198"/>
      <c r="GDW75" s="2198"/>
      <c r="GDX75" s="2198"/>
      <c r="GDY75" s="2198"/>
      <c r="GDZ75" s="2198"/>
      <c r="GEA75" s="2198"/>
      <c r="GEB75" s="2198"/>
      <c r="GEC75" s="2198"/>
      <c r="GED75" s="2198"/>
      <c r="GEE75" s="2198"/>
      <c r="GEF75" s="2198"/>
      <c r="GEG75" s="2198"/>
      <c r="GEH75" s="2198"/>
      <c r="GEI75" s="2198"/>
      <c r="GEJ75" s="2198"/>
      <c r="GEK75" s="2198"/>
      <c r="GEL75" s="2198"/>
      <c r="GEM75" s="2198"/>
      <c r="GEN75" s="2198"/>
      <c r="GEO75" s="2198"/>
      <c r="GEP75" s="2198"/>
      <c r="GEQ75" s="2198"/>
      <c r="GER75" s="2198"/>
      <c r="GES75" s="2198"/>
      <c r="GET75" s="2198"/>
      <c r="GEU75" s="2198"/>
      <c r="GEV75" s="2198"/>
      <c r="GEW75" s="2198"/>
      <c r="GEX75" s="2198"/>
      <c r="GEY75" s="2198"/>
      <c r="GEZ75" s="2198"/>
      <c r="GFA75" s="2198"/>
      <c r="GFB75" s="2198"/>
      <c r="GFC75" s="2198"/>
      <c r="GFD75" s="2198"/>
      <c r="GFE75" s="2198"/>
      <c r="GFF75" s="2198"/>
      <c r="GFG75" s="2198"/>
      <c r="GFH75" s="2198"/>
      <c r="GFI75" s="2198"/>
      <c r="GFJ75" s="2198"/>
      <c r="GFK75" s="2198"/>
      <c r="GFL75" s="2198"/>
      <c r="GFM75" s="2198"/>
      <c r="GFN75" s="2198"/>
      <c r="GFO75" s="2198"/>
      <c r="GFP75" s="2198"/>
      <c r="GFQ75" s="2198"/>
      <c r="GFR75" s="2198"/>
      <c r="GFS75" s="2198"/>
      <c r="GFT75" s="2198"/>
      <c r="GFU75" s="2198"/>
      <c r="GFV75" s="2198"/>
      <c r="GFW75" s="2198"/>
      <c r="GFX75" s="2198"/>
      <c r="GFY75" s="2198"/>
      <c r="GFZ75" s="2198"/>
      <c r="GGA75" s="2198"/>
      <c r="GGB75" s="2198"/>
      <c r="GGC75" s="2198"/>
      <c r="GGD75" s="2198"/>
      <c r="GGE75" s="2198"/>
      <c r="GGF75" s="2198"/>
      <c r="GGG75" s="2198"/>
      <c r="GGH75" s="2198"/>
      <c r="GGI75" s="2198"/>
      <c r="GGJ75" s="2198"/>
      <c r="GGK75" s="2198"/>
      <c r="GGL75" s="2198"/>
      <c r="GGM75" s="2198"/>
      <c r="GGN75" s="2198"/>
      <c r="GGO75" s="2198"/>
      <c r="GGP75" s="2198"/>
      <c r="GGQ75" s="2198"/>
      <c r="GGR75" s="2198"/>
      <c r="GGS75" s="2198"/>
      <c r="GGT75" s="2198"/>
      <c r="GGU75" s="2198"/>
      <c r="GGV75" s="2198"/>
      <c r="GGW75" s="2198"/>
      <c r="GGX75" s="2198"/>
      <c r="GGY75" s="2198"/>
      <c r="GGZ75" s="2198"/>
      <c r="GHA75" s="2198"/>
      <c r="GHB75" s="2198"/>
      <c r="GHC75" s="2198"/>
      <c r="GHD75" s="2198"/>
      <c r="GHE75" s="2198"/>
      <c r="GHF75" s="2198"/>
      <c r="GHG75" s="2198"/>
      <c r="GHH75" s="2198"/>
      <c r="GHI75" s="2198"/>
      <c r="GHJ75" s="2198"/>
      <c r="GHK75" s="2198"/>
      <c r="GHL75" s="2198"/>
      <c r="GHM75" s="2198"/>
      <c r="GHN75" s="2198"/>
      <c r="GHO75" s="2198"/>
      <c r="GHP75" s="2198"/>
      <c r="GHQ75" s="2198"/>
      <c r="GHR75" s="2198"/>
      <c r="GHS75" s="2198"/>
      <c r="GHT75" s="2198"/>
      <c r="GHU75" s="2198"/>
      <c r="GHV75" s="2198"/>
      <c r="GHW75" s="2198"/>
      <c r="GHX75" s="2198"/>
      <c r="GHY75" s="2198"/>
      <c r="GHZ75" s="2198"/>
      <c r="GIA75" s="2198"/>
      <c r="GIB75" s="2198"/>
      <c r="GIC75" s="2198"/>
      <c r="GID75" s="2198"/>
      <c r="GIE75" s="2198"/>
      <c r="GIF75" s="2198"/>
      <c r="GIG75" s="2198"/>
      <c r="GIH75" s="2198"/>
      <c r="GII75" s="2198"/>
      <c r="GIJ75" s="2198"/>
      <c r="GIK75" s="2198"/>
      <c r="GIL75" s="2198"/>
      <c r="GIM75" s="2198"/>
      <c r="GIN75" s="2198"/>
      <c r="GIO75" s="2198"/>
      <c r="GIP75" s="2198"/>
      <c r="GIQ75" s="2198"/>
      <c r="GIR75" s="2198"/>
      <c r="GIS75" s="2198"/>
      <c r="GIT75" s="2198"/>
      <c r="GIU75" s="2198"/>
      <c r="GIV75" s="2198"/>
      <c r="GIW75" s="2198"/>
      <c r="GIX75" s="2198"/>
      <c r="GIY75" s="2198"/>
      <c r="GIZ75" s="2198"/>
      <c r="GJA75" s="2198"/>
      <c r="GJB75" s="2198"/>
      <c r="GJC75" s="2198"/>
      <c r="GJD75" s="2198"/>
      <c r="GJE75" s="2198"/>
      <c r="GJF75" s="2198"/>
      <c r="GJG75" s="2198"/>
      <c r="GJH75" s="2198"/>
      <c r="GJI75" s="2198"/>
      <c r="GJJ75" s="2198"/>
      <c r="GJK75" s="2198"/>
      <c r="GJL75" s="2198"/>
      <c r="GJM75" s="2198"/>
      <c r="GJN75" s="2198"/>
      <c r="GJO75" s="2198"/>
      <c r="GJP75" s="2198"/>
      <c r="GJQ75" s="2198"/>
      <c r="GJR75" s="2198"/>
      <c r="GJS75" s="2198"/>
      <c r="GJT75" s="2198"/>
      <c r="GJU75" s="2198"/>
      <c r="GJV75" s="2198"/>
      <c r="GJW75" s="2198"/>
      <c r="GJX75" s="2198"/>
      <c r="GJY75" s="2198"/>
      <c r="GJZ75" s="2198"/>
      <c r="GKA75" s="2198"/>
      <c r="GKB75" s="2198"/>
      <c r="GKC75" s="2198"/>
      <c r="GKD75" s="2198"/>
      <c r="GKE75" s="2198"/>
      <c r="GKF75" s="2198"/>
      <c r="GKG75" s="2198"/>
      <c r="GKH75" s="2198"/>
      <c r="GKI75" s="2198"/>
      <c r="GKJ75" s="2198"/>
      <c r="GKK75" s="2198"/>
      <c r="GKL75" s="2198"/>
      <c r="GKM75" s="2198"/>
      <c r="GKN75" s="2198"/>
      <c r="GKO75" s="2198"/>
      <c r="GKP75" s="2198"/>
      <c r="GKQ75" s="2198"/>
      <c r="GKR75" s="2198"/>
      <c r="GKS75" s="2198"/>
      <c r="GKT75" s="2198"/>
      <c r="GKU75" s="2198"/>
      <c r="GKV75" s="2198"/>
      <c r="GKW75" s="2198"/>
      <c r="GKX75" s="2198"/>
      <c r="GKY75" s="2198"/>
      <c r="GKZ75" s="2198"/>
      <c r="GLA75" s="2198"/>
      <c r="GLB75" s="2198"/>
      <c r="GLC75" s="2198"/>
      <c r="GLD75" s="2198"/>
      <c r="GLE75" s="2198"/>
      <c r="GLF75" s="2198"/>
      <c r="GLG75" s="2198"/>
      <c r="GLH75" s="2198"/>
      <c r="GLI75" s="2198"/>
      <c r="GLJ75" s="2198"/>
      <c r="GLK75" s="2198"/>
      <c r="GLL75" s="2198"/>
      <c r="GLM75" s="2198"/>
      <c r="GLN75" s="2198"/>
      <c r="GLO75" s="2198"/>
      <c r="GLP75" s="2198"/>
      <c r="GLQ75" s="2198"/>
      <c r="GLR75" s="2198"/>
      <c r="GLS75" s="2198"/>
      <c r="GLT75" s="2198"/>
      <c r="GLU75" s="2198"/>
      <c r="GLV75" s="2198"/>
      <c r="GLW75" s="2198"/>
      <c r="GLX75" s="2198"/>
      <c r="GLY75" s="2198"/>
      <c r="GLZ75" s="2198"/>
      <c r="GMA75" s="2198"/>
      <c r="GMB75" s="2198"/>
      <c r="GMC75" s="2198"/>
      <c r="GMD75" s="2198"/>
      <c r="GME75" s="2198"/>
      <c r="GMF75" s="2198"/>
      <c r="GMG75" s="2198"/>
      <c r="GMH75" s="2198"/>
      <c r="GMI75" s="2198"/>
      <c r="GMJ75" s="2198"/>
      <c r="GMK75" s="2198"/>
      <c r="GML75" s="2198"/>
      <c r="GMM75" s="2198"/>
      <c r="GMN75" s="2198"/>
      <c r="GMO75" s="2198"/>
      <c r="GMP75" s="2198"/>
      <c r="GMQ75" s="2198"/>
      <c r="GMR75" s="2198"/>
      <c r="GMS75" s="2198"/>
      <c r="GMT75" s="2198"/>
      <c r="GMU75" s="2198"/>
      <c r="GMV75" s="2198"/>
      <c r="GMW75" s="2198"/>
      <c r="GMX75" s="2198"/>
      <c r="GMY75" s="2198"/>
      <c r="GMZ75" s="2198"/>
      <c r="GNA75" s="2198"/>
      <c r="GNB75" s="2198"/>
      <c r="GNC75" s="2198"/>
      <c r="GND75" s="2198"/>
      <c r="GNE75" s="2198"/>
      <c r="GNF75" s="2198"/>
      <c r="GNG75" s="2198"/>
      <c r="GNH75" s="2198"/>
      <c r="GNI75" s="2198"/>
      <c r="GNJ75" s="2198"/>
      <c r="GNK75" s="2198"/>
      <c r="GNL75" s="2198"/>
      <c r="GNM75" s="2198"/>
      <c r="GNN75" s="2198"/>
      <c r="GNO75" s="2198"/>
      <c r="GNP75" s="2198"/>
      <c r="GNQ75" s="2198"/>
      <c r="GNR75" s="2198"/>
      <c r="GNS75" s="2198"/>
      <c r="GNT75" s="2198"/>
      <c r="GNU75" s="2198"/>
      <c r="GNV75" s="2198"/>
      <c r="GNW75" s="2198"/>
      <c r="GNX75" s="2198"/>
      <c r="GNY75" s="2198"/>
      <c r="GNZ75" s="2198"/>
      <c r="GOA75" s="2198"/>
      <c r="GOB75" s="2198"/>
      <c r="GOC75" s="2198"/>
      <c r="GOD75" s="2198"/>
      <c r="GOE75" s="2198"/>
      <c r="GOF75" s="2198"/>
      <c r="GOG75" s="2198"/>
      <c r="GOH75" s="2198"/>
      <c r="GOI75" s="2198"/>
      <c r="GOJ75" s="2198"/>
      <c r="GOK75" s="2198"/>
      <c r="GOL75" s="2198"/>
      <c r="GOM75" s="2198"/>
      <c r="GON75" s="2198"/>
      <c r="GOO75" s="2198"/>
      <c r="GOP75" s="2198"/>
      <c r="GOQ75" s="2198"/>
      <c r="GOR75" s="2198"/>
      <c r="GOS75" s="2198"/>
      <c r="GOT75" s="2198"/>
      <c r="GOU75" s="2198"/>
      <c r="GOV75" s="2198"/>
      <c r="GOW75" s="2198"/>
      <c r="GOX75" s="2198"/>
      <c r="GOY75" s="2198"/>
      <c r="GOZ75" s="2198"/>
      <c r="GPA75" s="2198"/>
      <c r="GPB75" s="2198"/>
      <c r="GPC75" s="2198"/>
      <c r="GPD75" s="2198"/>
      <c r="GPE75" s="2198"/>
      <c r="GPF75" s="2198"/>
      <c r="GPG75" s="2198"/>
      <c r="GPH75" s="2198"/>
      <c r="GPI75" s="2198"/>
      <c r="GPJ75" s="2198"/>
      <c r="GPK75" s="2198"/>
      <c r="GPL75" s="2198"/>
      <c r="GPM75" s="2198"/>
      <c r="GPN75" s="2198"/>
      <c r="GPO75" s="2198"/>
      <c r="GPP75" s="2198"/>
      <c r="GPQ75" s="2198"/>
      <c r="GPR75" s="2198"/>
      <c r="GPS75" s="2198"/>
      <c r="GPT75" s="2198"/>
      <c r="GPU75" s="2198"/>
      <c r="GPV75" s="2198"/>
      <c r="GPW75" s="2198"/>
      <c r="GPX75" s="2198"/>
      <c r="GPY75" s="2198"/>
      <c r="GPZ75" s="2198"/>
      <c r="GQA75" s="2198"/>
      <c r="GQB75" s="2198"/>
      <c r="GQC75" s="2198"/>
      <c r="GQD75" s="2198"/>
      <c r="GQE75" s="2198"/>
      <c r="GQF75" s="2198"/>
      <c r="GQG75" s="2198"/>
      <c r="GQH75" s="2198"/>
      <c r="GQI75" s="2198"/>
      <c r="GQJ75" s="2198"/>
      <c r="GQK75" s="2198"/>
      <c r="GQL75" s="2198"/>
      <c r="GQM75" s="2198"/>
      <c r="GQN75" s="2198"/>
      <c r="GQO75" s="2198"/>
      <c r="GQP75" s="2198"/>
      <c r="GQQ75" s="2198"/>
      <c r="GQR75" s="2198"/>
      <c r="GQS75" s="2198"/>
      <c r="GQT75" s="2198"/>
      <c r="GQU75" s="2198"/>
      <c r="GQV75" s="2198"/>
      <c r="GQW75" s="2198"/>
      <c r="GQX75" s="2198"/>
      <c r="GQY75" s="2198"/>
      <c r="GQZ75" s="2198"/>
      <c r="GRA75" s="2198"/>
      <c r="GRB75" s="2198"/>
      <c r="GRC75" s="2198"/>
      <c r="GRD75" s="2198"/>
      <c r="GRE75" s="2198"/>
      <c r="GRF75" s="2198"/>
      <c r="GRG75" s="2198"/>
      <c r="GRH75" s="2198"/>
      <c r="GRI75" s="2198"/>
      <c r="GRJ75" s="2198"/>
      <c r="GRK75" s="2198"/>
      <c r="GRL75" s="2198"/>
      <c r="GRM75" s="2198"/>
      <c r="GRN75" s="2198"/>
      <c r="GRO75" s="2198"/>
      <c r="GRP75" s="2198"/>
      <c r="GRQ75" s="2198"/>
      <c r="GRR75" s="2198"/>
      <c r="GRS75" s="2198"/>
      <c r="GRT75" s="2198"/>
      <c r="GRU75" s="2198"/>
      <c r="GRV75" s="2198"/>
      <c r="GRW75" s="2198"/>
      <c r="GRX75" s="2198"/>
      <c r="GRY75" s="2198"/>
      <c r="GRZ75" s="2198"/>
      <c r="GSA75" s="2198"/>
      <c r="GSB75" s="2198"/>
      <c r="GSC75" s="2198"/>
      <c r="GSD75" s="2198"/>
      <c r="GSE75" s="2198"/>
      <c r="GSF75" s="2198"/>
      <c r="GSG75" s="2198"/>
      <c r="GSH75" s="2198"/>
      <c r="GSI75" s="2198"/>
      <c r="GSJ75" s="2198"/>
      <c r="GSK75" s="2198"/>
      <c r="GSL75" s="2198"/>
      <c r="GSM75" s="2198"/>
      <c r="GSN75" s="2198"/>
      <c r="GSO75" s="2198"/>
      <c r="GSP75" s="2198"/>
      <c r="GSQ75" s="2198"/>
      <c r="GSR75" s="2198"/>
      <c r="GSS75" s="2198"/>
      <c r="GST75" s="2198"/>
      <c r="GSU75" s="2198"/>
      <c r="GSV75" s="2198"/>
      <c r="GSW75" s="2198"/>
      <c r="GSX75" s="2198"/>
      <c r="GSY75" s="2198"/>
      <c r="GSZ75" s="2198"/>
      <c r="GTA75" s="2198"/>
      <c r="GTB75" s="2198"/>
      <c r="GTC75" s="2198"/>
      <c r="GTD75" s="2198"/>
      <c r="GTE75" s="2198"/>
      <c r="GTF75" s="2198"/>
      <c r="GTG75" s="2198"/>
      <c r="GTH75" s="2198"/>
      <c r="GTI75" s="2198"/>
      <c r="GTJ75" s="2198"/>
      <c r="GTK75" s="2198"/>
      <c r="GTL75" s="2198"/>
      <c r="GTM75" s="2198"/>
      <c r="GTN75" s="2198"/>
      <c r="GTO75" s="2198"/>
      <c r="GTP75" s="2198"/>
      <c r="GTQ75" s="2198"/>
      <c r="GTR75" s="2198"/>
      <c r="GTS75" s="2198"/>
      <c r="GTT75" s="2198"/>
      <c r="GTU75" s="2198"/>
      <c r="GTV75" s="2198"/>
      <c r="GTW75" s="2198"/>
      <c r="GTX75" s="2198"/>
      <c r="GTY75" s="2198"/>
      <c r="GTZ75" s="2198"/>
      <c r="GUA75" s="2198"/>
      <c r="GUB75" s="2198"/>
      <c r="GUC75" s="2198"/>
      <c r="GUD75" s="2198"/>
      <c r="GUE75" s="2198"/>
      <c r="GUF75" s="2198"/>
      <c r="GUG75" s="2198"/>
      <c r="GUH75" s="2198"/>
      <c r="GUI75" s="2198"/>
      <c r="GUJ75" s="2198"/>
      <c r="GUK75" s="2198"/>
      <c r="GUL75" s="2198"/>
      <c r="GUM75" s="2198"/>
      <c r="GUN75" s="2198"/>
      <c r="GUO75" s="2198"/>
      <c r="GUP75" s="2198"/>
      <c r="GUQ75" s="2198"/>
      <c r="GUR75" s="2198"/>
      <c r="GUS75" s="2198"/>
      <c r="GUT75" s="2198"/>
      <c r="GUU75" s="2198"/>
      <c r="GUV75" s="2198"/>
      <c r="GUW75" s="2198"/>
      <c r="GUX75" s="2198"/>
      <c r="GUY75" s="2198"/>
      <c r="GUZ75" s="2198"/>
      <c r="GVA75" s="2198"/>
      <c r="GVB75" s="2198"/>
      <c r="GVC75" s="2198"/>
      <c r="GVD75" s="2198"/>
      <c r="GVE75" s="2198"/>
      <c r="GVF75" s="2198"/>
      <c r="GVG75" s="2198"/>
      <c r="GVH75" s="2198"/>
      <c r="GVI75" s="2198"/>
      <c r="GVJ75" s="2198"/>
      <c r="GVK75" s="2198"/>
      <c r="GVL75" s="2198"/>
      <c r="GVM75" s="2198"/>
      <c r="GVN75" s="2198"/>
      <c r="GVO75" s="2198"/>
      <c r="GVP75" s="2198"/>
      <c r="GVQ75" s="2198"/>
      <c r="GVR75" s="2198"/>
      <c r="GVS75" s="2198"/>
      <c r="GVT75" s="2198"/>
      <c r="GVU75" s="2198"/>
      <c r="GVV75" s="2198"/>
      <c r="GVW75" s="2198"/>
      <c r="GVX75" s="2198"/>
      <c r="GVY75" s="2198"/>
      <c r="GVZ75" s="2198"/>
      <c r="GWA75" s="2198"/>
      <c r="GWB75" s="2198"/>
      <c r="GWC75" s="2198"/>
      <c r="GWD75" s="2198"/>
      <c r="GWE75" s="2198"/>
      <c r="GWF75" s="2198"/>
      <c r="GWG75" s="2198"/>
      <c r="GWH75" s="2198"/>
      <c r="GWI75" s="2198"/>
      <c r="GWJ75" s="2198"/>
      <c r="GWK75" s="2198"/>
      <c r="GWL75" s="2198"/>
      <c r="GWM75" s="2198"/>
      <c r="GWN75" s="2198"/>
      <c r="GWO75" s="2198"/>
      <c r="GWP75" s="2198"/>
      <c r="GWQ75" s="2198"/>
      <c r="GWR75" s="2198"/>
      <c r="GWS75" s="2198"/>
      <c r="GWT75" s="2198"/>
      <c r="GWU75" s="2198"/>
      <c r="GWV75" s="2198"/>
      <c r="GWW75" s="2198"/>
      <c r="GWX75" s="2198"/>
      <c r="GWY75" s="2198"/>
      <c r="GWZ75" s="2198"/>
      <c r="GXA75" s="2198"/>
      <c r="GXB75" s="2198"/>
      <c r="GXC75" s="2198"/>
      <c r="GXD75" s="2198"/>
      <c r="GXE75" s="2198"/>
      <c r="GXF75" s="2198"/>
      <c r="GXG75" s="2198"/>
      <c r="GXH75" s="2198"/>
      <c r="GXI75" s="2198"/>
      <c r="GXJ75" s="2198"/>
      <c r="GXK75" s="2198"/>
      <c r="GXL75" s="2198"/>
      <c r="GXM75" s="2198"/>
      <c r="GXN75" s="2198"/>
      <c r="GXO75" s="2198"/>
      <c r="GXP75" s="2198"/>
      <c r="GXQ75" s="2198"/>
      <c r="GXR75" s="2198"/>
      <c r="GXS75" s="2198"/>
      <c r="GXT75" s="2198"/>
      <c r="GXU75" s="2198"/>
      <c r="GXV75" s="2198"/>
      <c r="GXW75" s="2198"/>
      <c r="GXX75" s="2198"/>
      <c r="GXY75" s="2198"/>
      <c r="GXZ75" s="2198"/>
      <c r="GYA75" s="2198"/>
      <c r="GYB75" s="2198"/>
      <c r="GYC75" s="2198"/>
      <c r="GYD75" s="2198"/>
      <c r="GYE75" s="2198"/>
      <c r="GYF75" s="2198"/>
      <c r="GYG75" s="2198"/>
      <c r="GYH75" s="2198"/>
      <c r="GYI75" s="2198"/>
      <c r="GYJ75" s="2198"/>
      <c r="GYK75" s="2198"/>
      <c r="GYL75" s="2198"/>
      <c r="GYM75" s="2198"/>
      <c r="GYN75" s="2198"/>
      <c r="GYO75" s="2198"/>
      <c r="GYP75" s="2198"/>
      <c r="GYQ75" s="2198"/>
      <c r="GYR75" s="2198"/>
      <c r="GYS75" s="2198"/>
      <c r="GYT75" s="2198"/>
      <c r="GYU75" s="2198"/>
      <c r="GYV75" s="2198"/>
      <c r="GYW75" s="2198"/>
      <c r="GYX75" s="2198"/>
      <c r="GYY75" s="2198"/>
      <c r="GYZ75" s="2198"/>
      <c r="GZA75" s="2198"/>
      <c r="GZB75" s="2198"/>
      <c r="GZC75" s="2198"/>
      <c r="GZD75" s="2198"/>
      <c r="GZE75" s="2198"/>
      <c r="GZF75" s="2198"/>
      <c r="GZG75" s="2198"/>
      <c r="GZH75" s="2198"/>
      <c r="GZI75" s="2198"/>
      <c r="GZJ75" s="2198"/>
      <c r="GZK75" s="2198"/>
      <c r="GZL75" s="2198"/>
      <c r="GZM75" s="2198"/>
      <c r="GZN75" s="2198"/>
      <c r="GZO75" s="2198"/>
      <c r="GZP75" s="2198"/>
      <c r="GZQ75" s="2198"/>
      <c r="GZR75" s="2198"/>
      <c r="GZS75" s="2198"/>
      <c r="GZT75" s="2198"/>
      <c r="GZU75" s="2198"/>
      <c r="GZV75" s="2198"/>
      <c r="GZW75" s="2198"/>
      <c r="GZX75" s="2198"/>
      <c r="GZY75" s="2198"/>
      <c r="GZZ75" s="2198"/>
      <c r="HAA75" s="2198"/>
      <c r="HAB75" s="2198"/>
      <c r="HAC75" s="2198"/>
      <c r="HAD75" s="2198"/>
      <c r="HAE75" s="2198"/>
      <c r="HAF75" s="2198"/>
      <c r="HAG75" s="2198"/>
      <c r="HAH75" s="2198"/>
      <c r="HAI75" s="2198"/>
      <c r="HAJ75" s="2198"/>
      <c r="HAK75" s="2198"/>
      <c r="HAL75" s="2198"/>
      <c r="HAM75" s="2198"/>
      <c r="HAN75" s="2198"/>
      <c r="HAO75" s="2198"/>
      <c r="HAP75" s="2198"/>
      <c r="HAQ75" s="2198"/>
      <c r="HAR75" s="2198"/>
      <c r="HAS75" s="2198"/>
      <c r="HAT75" s="2198"/>
      <c r="HAU75" s="2198"/>
      <c r="HAV75" s="2198"/>
      <c r="HAW75" s="2198"/>
      <c r="HAX75" s="2198"/>
      <c r="HAY75" s="2198"/>
      <c r="HAZ75" s="2198"/>
      <c r="HBA75" s="2198"/>
      <c r="HBB75" s="2198"/>
      <c r="HBC75" s="2198"/>
      <c r="HBD75" s="2198"/>
      <c r="HBE75" s="2198"/>
      <c r="HBF75" s="2198"/>
      <c r="HBG75" s="2198"/>
      <c r="HBH75" s="2198"/>
      <c r="HBI75" s="2198"/>
      <c r="HBJ75" s="2198"/>
      <c r="HBK75" s="2198"/>
      <c r="HBL75" s="2198"/>
      <c r="HBM75" s="2198"/>
      <c r="HBN75" s="2198"/>
      <c r="HBO75" s="2198"/>
      <c r="HBP75" s="2198"/>
      <c r="HBQ75" s="2198"/>
      <c r="HBR75" s="2198"/>
      <c r="HBS75" s="2198"/>
      <c r="HBT75" s="2198"/>
      <c r="HBU75" s="2198"/>
      <c r="HBV75" s="2198"/>
      <c r="HBW75" s="2198"/>
      <c r="HBX75" s="2198"/>
      <c r="HBY75" s="2198"/>
      <c r="HBZ75" s="2198"/>
      <c r="HCA75" s="2198"/>
      <c r="HCB75" s="2198"/>
      <c r="HCC75" s="2198"/>
      <c r="HCD75" s="2198"/>
      <c r="HCE75" s="2198"/>
      <c r="HCF75" s="2198"/>
      <c r="HCG75" s="2198"/>
      <c r="HCH75" s="2198"/>
      <c r="HCI75" s="2198"/>
      <c r="HCJ75" s="2198"/>
      <c r="HCK75" s="2198"/>
      <c r="HCL75" s="2198"/>
      <c r="HCM75" s="2198"/>
      <c r="HCN75" s="2198"/>
      <c r="HCO75" s="2198"/>
      <c r="HCP75" s="2198"/>
      <c r="HCQ75" s="2198"/>
      <c r="HCR75" s="2198"/>
      <c r="HCS75" s="2198"/>
      <c r="HCT75" s="2198"/>
      <c r="HCU75" s="2198"/>
      <c r="HCV75" s="2198"/>
      <c r="HCW75" s="2198"/>
      <c r="HCX75" s="2198"/>
      <c r="HCY75" s="2198"/>
      <c r="HCZ75" s="2198"/>
      <c r="HDA75" s="2198"/>
      <c r="HDB75" s="2198"/>
      <c r="HDC75" s="2198"/>
      <c r="HDD75" s="2198"/>
      <c r="HDE75" s="2198"/>
      <c r="HDF75" s="2198"/>
      <c r="HDG75" s="2198"/>
      <c r="HDH75" s="2198"/>
      <c r="HDI75" s="2198"/>
      <c r="HDJ75" s="2198"/>
      <c r="HDK75" s="2198"/>
      <c r="HDL75" s="2198"/>
      <c r="HDM75" s="2198"/>
      <c r="HDN75" s="2198"/>
      <c r="HDO75" s="2198"/>
      <c r="HDP75" s="2198"/>
      <c r="HDQ75" s="2198"/>
      <c r="HDR75" s="2198"/>
      <c r="HDS75" s="2198"/>
      <c r="HDT75" s="2198"/>
      <c r="HDU75" s="2198"/>
      <c r="HDV75" s="2198"/>
      <c r="HDW75" s="2198"/>
      <c r="HDX75" s="2198"/>
      <c r="HDY75" s="2198"/>
      <c r="HDZ75" s="2198"/>
      <c r="HEA75" s="2198"/>
      <c r="HEB75" s="2198"/>
      <c r="HEC75" s="2198"/>
      <c r="HED75" s="2198"/>
      <c r="HEE75" s="2198"/>
      <c r="HEF75" s="2198"/>
      <c r="HEG75" s="2198"/>
      <c r="HEH75" s="2198"/>
      <c r="HEI75" s="2198"/>
      <c r="HEJ75" s="2198"/>
      <c r="HEK75" s="2198"/>
      <c r="HEL75" s="2198"/>
      <c r="HEM75" s="2198"/>
      <c r="HEN75" s="2198"/>
      <c r="HEO75" s="2198"/>
      <c r="HEP75" s="2198"/>
      <c r="HEQ75" s="2198"/>
      <c r="HER75" s="2198"/>
      <c r="HES75" s="2198"/>
      <c r="HET75" s="2198"/>
      <c r="HEU75" s="2198"/>
      <c r="HEV75" s="2198"/>
      <c r="HEW75" s="2198"/>
      <c r="HEX75" s="2198"/>
      <c r="HEY75" s="2198"/>
      <c r="HEZ75" s="2198"/>
      <c r="HFA75" s="2198"/>
      <c r="HFB75" s="2198"/>
      <c r="HFC75" s="2198"/>
      <c r="HFD75" s="2198"/>
      <c r="HFE75" s="2198"/>
      <c r="HFF75" s="2198"/>
      <c r="HFG75" s="2198"/>
      <c r="HFH75" s="2198"/>
      <c r="HFI75" s="2198"/>
      <c r="HFJ75" s="2198"/>
      <c r="HFK75" s="2198"/>
      <c r="HFL75" s="2198"/>
      <c r="HFM75" s="2198"/>
      <c r="HFN75" s="2198"/>
      <c r="HFO75" s="2198"/>
      <c r="HFP75" s="2198"/>
      <c r="HFQ75" s="2198"/>
      <c r="HFR75" s="2198"/>
      <c r="HFS75" s="2198"/>
      <c r="HFT75" s="2198"/>
      <c r="HFU75" s="2198"/>
      <c r="HFV75" s="2198"/>
      <c r="HFW75" s="2198"/>
      <c r="HFX75" s="2198"/>
      <c r="HFY75" s="2198"/>
      <c r="HFZ75" s="2198"/>
      <c r="HGA75" s="2198"/>
      <c r="HGB75" s="2198"/>
      <c r="HGC75" s="2198"/>
      <c r="HGD75" s="2198"/>
      <c r="HGE75" s="2198"/>
      <c r="HGF75" s="2198"/>
      <c r="HGG75" s="2198"/>
      <c r="HGH75" s="2198"/>
      <c r="HGI75" s="2198"/>
      <c r="HGJ75" s="2198"/>
      <c r="HGK75" s="2198"/>
      <c r="HGL75" s="2198"/>
      <c r="HGM75" s="2198"/>
      <c r="HGN75" s="2198"/>
      <c r="HGO75" s="2198"/>
      <c r="HGP75" s="2198"/>
      <c r="HGQ75" s="2198"/>
      <c r="HGR75" s="2198"/>
      <c r="HGS75" s="2198"/>
      <c r="HGT75" s="2198"/>
      <c r="HGU75" s="2198"/>
      <c r="HGV75" s="2198"/>
      <c r="HGW75" s="2198"/>
      <c r="HGX75" s="2198"/>
      <c r="HGY75" s="2198"/>
      <c r="HGZ75" s="2198"/>
      <c r="HHA75" s="2198"/>
      <c r="HHB75" s="2198"/>
      <c r="HHC75" s="2198"/>
      <c r="HHD75" s="2198"/>
      <c r="HHE75" s="2198"/>
      <c r="HHF75" s="2198"/>
      <c r="HHG75" s="2198"/>
      <c r="HHH75" s="2198"/>
      <c r="HHI75" s="2198"/>
      <c r="HHJ75" s="2198"/>
      <c r="HHK75" s="2198"/>
      <c r="HHL75" s="2198"/>
      <c r="HHM75" s="2198"/>
      <c r="HHN75" s="2198"/>
      <c r="HHO75" s="2198"/>
      <c r="HHP75" s="2198"/>
      <c r="HHQ75" s="2198"/>
      <c r="HHR75" s="2198"/>
      <c r="HHS75" s="2198"/>
      <c r="HHT75" s="2198"/>
      <c r="HHU75" s="2198"/>
      <c r="HHV75" s="2198"/>
      <c r="HHW75" s="2198"/>
      <c r="HHX75" s="2198"/>
      <c r="HHY75" s="2198"/>
      <c r="HHZ75" s="2198"/>
      <c r="HIA75" s="2198"/>
      <c r="HIB75" s="2198"/>
      <c r="HIC75" s="2198"/>
      <c r="HID75" s="2198"/>
      <c r="HIE75" s="2198"/>
      <c r="HIF75" s="2198"/>
      <c r="HIG75" s="2198"/>
      <c r="HIH75" s="2198"/>
      <c r="HII75" s="2198"/>
      <c r="HIJ75" s="2198"/>
      <c r="HIK75" s="2198"/>
      <c r="HIL75" s="2198"/>
      <c r="HIM75" s="2198"/>
      <c r="HIN75" s="2198"/>
      <c r="HIO75" s="2198"/>
      <c r="HIP75" s="2198"/>
      <c r="HIQ75" s="2198"/>
      <c r="HIR75" s="2198"/>
      <c r="HIS75" s="2198"/>
      <c r="HIT75" s="2198"/>
      <c r="HIU75" s="2198"/>
      <c r="HIV75" s="2198"/>
      <c r="HIW75" s="2198"/>
      <c r="HIX75" s="2198"/>
      <c r="HIY75" s="2198"/>
      <c r="HIZ75" s="2198"/>
      <c r="HJA75" s="2198"/>
      <c r="HJB75" s="2198"/>
      <c r="HJC75" s="2198"/>
      <c r="HJD75" s="2198"/>
      <c r="HJE75" s="2198"/>
      <c r="HJF75" s="2198"/>
      <c r="HJG75" s="2198"/>
      <c r="HJH75" s="2198"/>
      <c r="HJI75" s="2198"/>
      <c r="HJJ75" s="2198"/>
      <c r="HJK75" s="2198"/>
      <c r="HJL75" s="2198"/>
      <c r="HJM75" s="2198"/>
      <c r="HJN75" s="2198"/>
      <c r="HJO75" s="2198"/>
      <c r="HJP75" s="2198"/>
      <c r="HJQ75" s="2198"/>
      <c r="HJR75" s="2198"/>
      <c r="HJS75" s="2198"/>
      <c r="HJT75" s="2198"/>
      <c r="HJU75" s="2198"/>
      <c r="HJV75" s="2198"/>
      <c r="HJW75" s="2198"/>
      <c r="HJX75" s="2198"/>
      <c r="HJY75" s="2198"/>
      <c r="HJZ75" s="2198"/>
      <c r="HKA75" s="2198"/>
      <c r="HKB75" s="2198"/>
      <c r="HKC75" s="2198"/>
      <c r="HKD75" s="2198"/>
      <c r="HKE75" s="2198"/>
      <c r="HKF75" s="2198"/>
      <c r="HKG75" s="2198"/>
      <c r="HKH75" s="2198"/>
      <c r="HKI75" s="2198"/>
      <c r="HKJ75" s="2198"/>
      <c r="HKK75" s="2198"/>
      <c r="HKL75" s="2198"/>
      <c r="HKM75" s="2198"/>
      <c r="HKN75" s="2198"/>
      <c r="HKO75" s="2198"/>
      <c r="HKP75" s="2198"/>
      <c r="HKQ75" s="2198"/>
      <c r="HKR75" s="2198"/>
      <c r="HKS75" s="2198"/>
      <c r="HKT75" s="2198"/>
      <c r="HKU75" s="2198"/>
      <c r="HKV75" s="2198"/>
      <c r="HKW75" s="2198"/>
      <c r="HKX75" s="2198"/>
      <c r="HKY75" s="2198"/>
      <c r="HKZ75" s="2198"/>
      <c r="HLA75" s="2198"/>
      <c r="HLB75" s="2198"/>
      <c r="HLC75" s="2198"/>
      <c r="HLD75" s="2198"/>
      <c r="HLE75" s="2198"/>
      <c r="HLF75" s="2198"/>
      <c r="HLG75" s="2198"/>
      <c r="HLH75" s="2198"/>
      <c r="HLI75" s="2198"/>
      <c r="HLJ75" s="2198"/>
      <c r="HLK75" s="2198"/>
      <c r="HLL75" s="2198"/>
      <c r="HLM75" s="2198"/>
      <c r="HLN75" s="2198"/>
      <c r="HLO75" s="2198"/>
      <c r="HLP75" s="2198"/>
      <c r="HLQ75" s="2198"/>
      <c r="HLR75" s="2198"/>
      <c r="HLS75" s="2198"/>
      <c r="HLT75" s="2198"/>
      <c r="HLU75" s="2198"/>
      <c r="HLV75" s="2198"/>
      <c r="HLW75" s="2198"/>
      <c r="HLX75" s="2198"/>
      <c r="HLY75" s="2198"/>
      <c r="HLZ75" s="2198"/>
      <c r="HMA75" s="2198"/>
      <c r="HMB75" s="2198"/>
      <c r="HMC75" s="2198"/>
      <c r="HMD75" s="2198"/>
      <c r="HME75" s="2198"/>
      <c r="HMF75" s="2198"/>
      <c r="HMG75" s="2198"/>
      <c r="HMH75" s="2198"/>
      <c r="HMI75" s="2198"/>
      <c r="HMJ75" s="2198"/>
      <c r="HMK75" s="2198"/>
      <c r="HML75" s="2198"/>
      <c r="HMM75" s="2198"/>
      <c r="HMN75" s="2198"/>
      <c r="HMO75" s="2198"/>
      <c r="HMP75" s="2198"/>
      <c r="HMQ75" s="2198"/>
      <c r="HMR75" s="2198"/>
      <c r="HMS75" s="2198"/>
      <c r="HMT75" s="2198"/>
      <c r="HMU75" s="2198"/>
      <c r="HMV75" s="2198"/>
      <c r="HMW75" s="2198"/>
      <c r="HMX75" s="2198"/>
      <c r="HMY75" s="2198"/>
      <c r="HMZ75" s="2198"/>
      <c r="HNA75" s="2198"/>
      <c r="HNB75" s="2198"/>
      <c r="HNC75" s="2198"/>
      <c r="HND75" s="2198"/>
      <c r="HNE75" s="2198"/>
      <c r="HNF75" s="2198"/>
      <c r="HNG75" s="2198"/>
      <c r="HNH75" s="2198"/>
      <c r="HNI75" s="2198"/>
      <c r="HNJ75" s="2198"/>
      <c r="HNK75" s="2198"/>
      <c r="HNL75" s="2198"/>
      <c r="HNM75" s="2198"/>
      <c r="HNN75" s="2198"/>
      <c r="HNO75" s="2198"/>
      <c r="HNP75" s="2198"/>
      <c r="HNQ75" s="2198"/>
      <c r="HNR75" s="2198"/>
      <c r="HNS75" s="2198"/>
      <c r="HNT75" s="2198"/>
      <c r="HNU75" s="2198"/>
      <c r="HNV75" s="2198"/>
      <c r="HNW75" s="2198"/>
      <c r="HNX75" s="2198"/>
      <c r="HNY75" s="2198"/>
      <c r="HNZ75" s="2198"/>
      <c r="HOA75" s="2198"/>
      <c r="HOB75" s="2198"/>
      <c r="HOC75" s="2198"/>
      <c r="HOD75" s="2198"/>
      <c r="HOE75" s="2198"/>
      <c r="HOF75" s="2198"/>
      <c r="HOG75" s="2198"/>
      <c r="HOH75" s="2198"/>
      <c r="HOI75" s="2198"/>
      <c r="HOJ75" s="2198"/>
      <c r="HOK75" s="2198"/>
      <c r="HOL75" s="2198"/>
      <c r="HOM75" s="2198"/>
      <c r="HON75" s="2198"/>
      <c r="HOO75" s="2198"/>
      <c r="HOP75" s="2198"/>
      <c r="HOQ75" s="2198"/>
      <c r="HOR75" s="2198"/>
      <c r="HOS75" s="2198"/>
      <c r="HOT75" s="2198"/>
      <c r="HOU75" s="2198"/>
      <c r="HOV75" s="2198"/>
      <c r="HOW75" s="2198"/>
      <c r="HOX75" s="2198"/>
      <c r="HOY75" s="2198"/>
      <c r="HOZ75" s="2198"/>
      <c r="HPA75" s="2198"/>
      <c r="HPB75" s="2198"/>
      <c r="HPC75" s="2198"/>
      <c r="HPD75" s="2198"/>
      <c r="HPE75" s="2198"/>
      <c r="HPF75" s="2198"/>
      <c r="HPG75" s="2198"/>
      <c r="HPH75" s="2198"/>
      <c r="HPI75" s="2198"/>
      <c r="HPJ75" s="2198"/>
      <c r="HPK75" s="2198"/>
      <c r="HPL75" s="2198"/>
      <c r="HPM75" s="2198"/>
      <c r="HPN75" s="2198"/>
      <c r="HPO75" s="2198"/>
      <c r="HPP75" s="2198"/>
      <c r="HPQ75" s="2198"/>
      <c r="HPR75" s="2198"/>
      <c r="HPS75" s="2198"/>
      <c r="HPT75" s="2198"/>
      <c r="HPU75" s="2198"/>
      <c r="HPV75" s="2198"/>
      <c r="HPW75" s="2198"/>
      <c r="HPX75" s="2198"/>
      <c r="HPY75" s="2198"/>
      <c r="HPZ75" s="2198"/>
      <c r="HQA75" s="2198"/>
      <c r="HQB75" s="2198"/>
      <c r="HQC75" s="2198"/>
      <c r="HQD75" s="2198"/>
      <c r="HQE75" s="2198"/>
      <c r="HQF75" s="2198"/>
      <c r="HQG75" s="2198"/>
      <c r="HQH75" s="2198"/>
      <c r="HQI75" s="2198"/>
      <c r="HQJ75" s="2198"/>
      <c r="HQK75" s="2198"/>
      <c r="HQL75" s="2198"/>
      <c r="HQM75" s="2198"/>
      <c r="HQN75" s="2198"/>
      <c r="HQO75" s="2198"/>
      <c r="HQP75" s="2198"/>
      <c r="HQQ75" s="2198"/>
      <c r="HQR75" s="2198"/>
      <c r="HQS75" s="2198"/>
      <c r="HQT75" s="2198"/>
      <c r="HQU75" s="2198"/>
      <c r="HQV75" s="2198"/>
      <c r="HQW75" s="2198"/>
      <c r="HQX75" s="2198"/>
      <c r="HQY75" s="2198"/>
      <c r="HQZ75" s="2198"/>
      <c r="HRA75" s="2198"/>
      <c r="HRB75" s="2198"/>
      <c r="HRC75" s="2198"/>
      <c r="HRD75" s="2198"/>
      <c r="HRE75" s="2198"/>
      <c r="HRF75" s="2198"/>
      <c r="HRG75" s="2198"/>
      <c r="HRH75" s="2198"/>
      <c r="HRI75" s="2198"/>
      <c r="HRJ75" s="2198"/>
      <c r="HRK75" s="2198"/>
      <c r="HRL75" s="2198"/>
      <c r="HRM75" s="2198"/>
      <c r="HRN75" s="2198"/>
      <c r="HRO75" s="2198"/>
      <c r="HRP75" s="2198"/>
      <c r="HRQ75" s="2198"/>
      <c r="HRR75" s="2198"/>
      <c r="HRS75" s="2198"/>
      <c r="HRT75" s="2198"/>
      <c r="HRU75" s="2198"/>
      <c r="HRV75" s="2198"/>
      <c r="HRW75" s="2198"/>
      <c r="HRX75" s="2198"/>
      <c r="HRY75" s="2198"/>
      <c r="HRZ75" s="2198"/>
      <c r="HSA75" s="2198"/>
      <c r="HSB75" s="2198"/>
      <c r="HSC75" s="2198"/>
      <c r="HSD75" s="2198"/>
      <c r="HSE75" s="2198"/>
      <c r="HSF75" s="2198"/>
      <c r="HSG75" s="2198"/>
      <c r="HSH75" s="2198"/>
      <c r="HSI75" s="2198"/>
      <c r="HSJ75" s="2198"/>
      <c r="HSK75" s="2198"/>
      <c r="HSL75" s="2198"/>
      <c r="HSM75" s="2198"/>
      <c r="HSN75" s="2198"/>
      <c r="HSO75" s="2198"/>
      <c r="HSP75" s="2198"/>
      <c r="HSQ75" s="2198"/>
      <c r="HSR75" s="2198"/>
      <c r="HSS75" s="2198"/>
      <c r="HST75" s="2198"/>
      <c r="HSU75" s="2198"/>
      <c r="HSV75" s="2198"/>
      <c r="HSW75" s="2198"/>
      <c r="HSX75" s="2198"/>
      <c r="HSY75" s="2198"/>
      <c r="HSZ75" s="2198"/>
      <c r="HTA75" s="2198"/>
      <c r="HTB75" s="2198"/>
      <c r="HTC75" s="2198"/>
      <c r="HTD75" s="2198"/>
      <c r="HTE75" s="2198"/>
      <c r="HTF75" s="2198"/>
      <c r="HTG75" s="2198"/>
      <c r="HTH75" s="2198"/>
      <c r="HTI75" s="2198"/>
      <c r="HTJ75" s="2198"/>
      <c r="HTK75" s="2198"/>
      <c r="HTL75" s="2198"/>
      <c r="HTM75" s="2198"/>
      <c r="HTN75" s="2198"/>
      <c r="HTO75" s="2198"/>
      <c r="HTP75" s="2198"/>
      <c r="HTQ75" s="2198"/>
      <c r="HTR75" s="2198"/>
      <c r="HTS75" s="2198"/>
      <c r="HTT75" s="2198"/>
      <c r="HTU75" s="2198"/>
      <c r="HTV75" s="2198"/>
      <c r="HTW75" s="2198"/>
      <c r="HTX75" s="2198"/>
      <c r="HTY75" s="2198"/>
      <c r="HTZ75" s="2198"/>
      <c r="HUA75" s="2198"/>
      <c r="HUB75" s="2198"/>
      <c r="HUC75" s="2198"/>
      <c r="HUD75" s="2198"/>
      <c r="HUE75" s="2198"/>
      <c r="HUF75" s="2198"/>
      <c r="HUG75" s="2198"/>
      <c r="HUH75" s="2198"/>
      <c r="HUI75" s="2198"/>
      <c r="HUJ75" s="2198"/>
      <c r="HUK75" s="2198"/>
      <c r="HUL75" s="2198"/>
      <c r="HUM75" s="2198"/>
      <c r="HUN75" s="2198"/>
      <c r="HUO75" s="2198"/>
      <c r="HUP75" s="2198"/>
      <c r="HUQ75" s="2198"/>
      <c r="HUR75" s="2198"/>
      <c r="HUS75" s="2198"/>
      <c r="HUT75" s="2198"/>
      <c r="HUU75" s="2198"/>
      <c r="HUV75" s="2198"/>
      <c r="HUW75" s="2198"/>
      <c r="HUX75" s="2198"/>
      <c r="HUY75" s="2198"/>
      <c r="HUZ75" s="2198"/>
      <c r="HVA75" s="2198"/>
      <c r="HVB75" s="2198"/>
      <c r="HVC75" s="2198"/>
      <c r="HVD75" s="2198"/>
      <c r="HVE75" s="2198"/>
      <c r="HVF75" s="2198"/>
      <c r="HVG75" s="2198"/>
      <c r="HVH75" s="2198"/>
      <c r="HVI75" s="2198"/>
      <c r="HVJ75" s="2198"/>
      <c r="HVK75" s="2198"/>
      <c r="HVL75" s="2198"/>
      <c r="HVM75" s="2198"/>
      <c r="HVN75" s="2198"/>
      <c r="HVO75" s="2198"/>
      <c r="HVP75" s="2198"/>
      <c r="HVQ75" s="2198"/>
      <c r="HVR75" s="2198"/>
      <c r="HVS75" s="2198"/>
      <c r="HVT75" s="2198"/>
      <c r="HVU75" s="2198"/>
      <c r="HVV75" s="2198"/>
      <c r="HVW75" s="2198"/>
      <c r="HVX75" s="2198"/>
      <c r="HVY75" s="2198"/>
      <c r="HVZ75" s="2198"/>
      <c r="HWA75" s="2198"/>
      <c r="HWB75" s="2198"/>
      <c r="HWC75" s="2198"/>
      <c r="HWD75" s="2198"/>
      <c r="HWE75" s="2198"/>
      <c r="HWF75" s="2198"/>
      <c r="HWG75" s="2198"/>
      <c r="HWH75" s="2198"/>
      <c r="HWI75" s="2198"/>
      <c r="HWJ75" s="2198"/>
      <c r="HWK75" s="2198"/>
      <c r="HWL75" s="2198"/>
      <c r="HWM75" s="2198"/>
      <c r="HWN75" s="2198"/>
      <c r="HWO75" s="2198"/>
      <c r="HWP75" s="2198"/>
      <c r="HWQ75" s="2198"/>
      <c r="HWR75" s="2198"/>
      <c r="HWS75" s="2198"/>
      <c r="HWT75" s="2198"/>
      <c r="HWU75" s="2198"/>
      <c r="HWV75" s="2198"/>
      <c r="HWW75" s="2198"/>
      <c r="HWX75" s="2198"/>
      <c r="HWY75" s="2198"/>
      <c r="HWZ75" s="2198"/>
      <c r="HXA75" s="2198"/>
      <c r="HXB75" s="2198"/>
      <c r="HXC75" s="2198"/>
      <c r="HXD75" s="2198"/>
      <c r="HXE75" s="2198"/>
      <c r="HXF75" s="2198"/>
      <c r="HXG75" s="2198"/>
      <c r="HXH75" s="2198"/>
      <c r="HXI75" s="2198"/>
      <c r="HXJ75" s="2198"/>
      <c r="HXK75" s="2198"/>
      <c r="HXL75" s="2198"/>
      <c r="HXM75" s="2198"/>
      <c r="HXN75" s="2198"/>
      <c r="HXO75" s="2198"/>
      <c r="HXP75" s="2198"/>
      <c r="HXQ75" s="2198"/>
      <c r="HXR75" s="2198"/>
      <c r="HXS75" s="2198"/>
      <c r="HXT75" s="2198"/>
      <c r="HXU75" s="2198"/>
      <c r="HXV75" s="2198"/>
      <c r="HXW75" s="2198"/>
      <c r="HXX75" s="2198"/>
      <c r="HXY75" s="2198"/>
      <c r="HXZ75" s="2198"/>
      <c r="HYA75" s="2198"/>
      <c r="HYB75" s="2198"/>
      <c r="HYC75" s="2198"/>
      <c r="HYD75" s="2198"/>
      <c r="HYE75" s="2198"/>
      <c r="HYF75" s="2198"/>
      <c r="HYG75" s="2198"/>
      <c r="HYH75" s="2198"/>
      <c r="HYI75" s="2198"/>
      <c r="HYJ75" s="2198"/>
      <c r="HYK75" s="2198"/>
      <c r="HYL75" s="2198"/>
      <c r="HYM75" s="2198"/>
      <c r="HYN75" s="2198"/>
      <c r="HYO75" s="2198"/>
      <c r="HYP75" s="2198"/>
      <c r="HYQ75" s="2198"/>
      <c r="HYR75" s="2198"/>
      <c r="HYS75" s="2198"/>
      <c r="HYT75" s="2198"/>
      <c r="HYU75" s="2198"/>
      <c r="HYV75" s="2198"/>
      <c r="HYW75" s="2198"/>
      <c r="HYX75" s="2198"/>
      <c r="HYY75" s="2198"/>
      <c r="HYZ75" s="2198"/>
      <c r="HZA75" s="2198"/>
      <c r="HZB75" s="2198"/>
      <c r="HZC75" s="2198"/>
      <c r="HZD75" s="2198"/>
      <c r="HZE75" s="2198"/>
      <c r="HZF75" s="2198"/>
      <c r="HZG75" s="2198"/>
      <c r="HZH75" s="2198"/>
      <c r="HZI75" s="2198"/>
      <c r="HZJ75" s="2198"/>
      <c r="HZK75" s="2198"/>
      <c r="HZL75" s="2198"/>
      <c r="HZM75" s="2198"/>
      <c r="HZN75" s="2198"/>
      <c r="HZO75" s="2198"/>
      <c r="HZP75" s="2198"/>
      <c r="HZQ75" s="2198"/>
      <c r="HZR75" s="2198"/>
      <c r="HZS75" s="2198"/>
      <c r="HZT75" s="2198"/>
      <c r="HZU75" s="2198"/>
      <c r="HZV75" s="2198"/>
      <c r="HZW75" s="2198"/>
      <c r="HZX75" s="2198"/>
      <c r="HZY75" s="2198"/>
      <c r="HZZ75" s="2198"/>
      <c r="IAA75" s="2198"/>
      <c r="IAB75" s="2198"/>
      <c r="IAC75" s="2198"/>
      <c r="IAD75" s="2198"/>
      <c r="IAE75" s="2198"/>
      <c r="IAF75" s="2198"/>
      <c r="IAG75" s="2198"/>
      <c r="IAH75" s="2198"/>
      <c r="IAI75" s="2198"/>
      <c r="IAJ75" s="2198"/>
      <c r="IAK75" s="2198"/>
      <c r="IAL75" s="2198"/>
      <c r="IAM75" s="2198"/>
      <c r="IAN75" s="2198"/>
      <c r="IAO75" s="2198"/>
      <c r="IAP75" s="2198"/>
      <c r="IAQ75" s="2198"/>
      <c r="IAR75" s="2198"/>
      <c r="IAS75" s="2198"/>
      <c r="IAT75" s="2198"/>
      <c r="IAU75" s="2198"/>
      <c r="IAV75" s="2198"/>
      <c r="IAW75" s="2198"/>
      <c r="IAX75" s="2198"/>
      <c r="IAY75" s="2198"/>
      <c r="IAZ75" s="2198"/>
      <c r="IBA75" s="2198"/>
      <c r="IBB75" s="2198"/>
      <c r="IBC75" s="2198"/>
      <c r="IBD75" s="2198"/>
      <c r="IBE75" s="2198"/>
      <c r="IBF75" s="2198"/>
      <c r="IBG75" s="2198"/>
      <c r="IBH75" s="2198"/>
      <c r="IBI75" s="2198"/>
      <c r="IBJ75" s="2198"/>
      <c r="IBK75" s="2198"/>
      <c r="IBL75" s="2198"/>
      <c r="IBM75" s="2198"/>
      <c r="IBN75" s="2198"/>
      <c r="IBO75" s="2198"/>
      <c r="IBP75" s="2198"/>
      <c r="IBQ75" s="2198"/>
      <c r="IBR75" s="2198"/>
      <c r="IBS75" s="2198"/>
      <c r="IBT75" s="2198"/>
      <c r="IBU75" s="2198"/>
      <c r="IBV75" s="2198"/>
      <c r="IBW75" s="2198"/>
      <c r="IBX75" s="2198"/>
      <c r="IBY75" s="2198"/>
      <c r="IBZ75" s="2198"/>
      <c r="ICA75" s="2198"/>
      <c r="ICB75" s="2198"/>
      <c r="ICC75" s="2198"/>
      <c r="ICD75" s="2198"/>
      <c r="ICE75" s="2198"/>
      <c r="ICF75" s="2198"/>
      <c r="ICG75" s="2198"/>
      <c r="ICH75" s="2198"/>
      <c r="ICI75" s="2198"/>
      <c r="ICJ75" s="2198"/>
      <c r="ICK75" s="2198"/>
      <c r="ICL75" s="2198"/>
      <c r="ICM75" s="2198"/>
      <c r="ICN75" s="2198"/>
      <c r="ICO75" s="2198"/>
      <c r="ICP75" s="2198"/>
      <c r="ICQ75" s="2198"/>
      <c r="ICR75" s="2198"/>
      <c r="ICS75" s="2198"/>
      <c r="ICT75" s="2198"/>
      <c r="ICU75" s="2198"/>
      <c r="ICV75" s="2198"/>
      <c r="ICW75" s="2198"/>
      <c r="ICX75" s="2198"/>
      <c r="ICY75" s="2198"/>
      <c r="ICZ75" s="2198"/>
      <c r="IDA75" s="2198"/>
      <c r="IDB75" s="2198"/>
      <c r="IDC75" s="2198"/>
      <c r="IDD75" s="2198"/>
      <c r="IDE75" s="2198"/>
      <c r="IDF75" s="2198"/>
      <c r="IDG75" s="2198"/>
      <c r="IDH75" s="2198"/>
      <c r="IDI75" s="2198"/>
      <c r="IDJ75" s="2198"/>
      <c r="IDK75" s="2198"/>
      <c r="IDL75" s="2198"/>
      <c r="IDM75" s="2198"/>
      <c r="IDN75" s="2198"/>
      <c r="IDO75" s="2198"/>
      <c r="IDP75" s="2198"/>
      <c r="IDQ75" s="2198"/>
      <c r="IDR75" s="2198"/>
      <c r="IDS75" s="2198"/>
      <c r="IDT75" s="2198"/>
      <c r="IDU75" s="2198"/>
      <c r="IDV75" s="2198"/>
      <c r="IDW75" s="2198"/>
      <c r="IDX75" s="2198"/>
      <c r="IDY75" s="2198"/>
      <c r="IDZ75" s="2198"/>
      <c r="IEA75" s="2198"/>
      <c r="IEB75" s="2198"/>
      <c r="IEC75" s="2198"/>
      <c r="IED75" s="2198"/>
      <c r="IEE75" s="2198"/>
      <c r="IEF75" s="2198"/>
      <c r="IEG75" s="2198"/>
      <c r="IEH75" s="2198"/>
      <c r="IEI75" s="2198"/>
      <c r="IEJ75" s="2198"/>
      <c r="IEK75" s="2198"/>
      <c r="IEL75" s="2198"/>
      <c r="IEM75" s="2198"/>
      <c r="IEN75" s="2198"/>
      <c r="IEO75" s="2198"/>
      <c r="IEP75" s="2198"/>
      <c r="IEQ75" s="2198"/>
      <c r="IER75" s="2198"/>
      <c r="IES75" s="2198"/>
      <c r="IET75" s="2198"/>
      <c r="IEU75" s="2198"/>
      <c r="IEV75" s="2198"/>
      <c r="IEW75" s="2198"/>
      <c r="IEX75" s="2198"/>
      <c r="IEY75" s="2198"/>
      <c r="IEZ75" s="2198"/>
      <c r="IFA75" s="2198"/>
      <c r="IFB75" s="2198"/>
      <c r="IFC75" s="2198"/>
      <c r="IFD75" s="2198"/>
      <c r="IFE75" s="2198"/>
      <c r="IFF75" s="2198"/>
      <c r="IFG75" s="2198"/>
      <c r="IFH75" s="2198"/>
      <c r="IFI75" s="2198"/>
      <c r="IFJ75" s="2198"/>
      <c r="IFK75" s="2198"/>
      <c r="IFL75" s="2198"/>
      <c r="IFM75" s="2198"/>
      <c r="IFN75" s="2198"/>
      <c r="IFO75" s="2198"/>
      <c r="IFP75" s="2198"/>
      <c r="IFQ75" s="2198"/>
      <c r="IFR75" s="2198"/>
      <c r="IFS75" s="2198"/>
      <c r="IFT75" s="2198"/>
      <c r="IFU75" s="2198"/>
      <c r="IFV75" s="2198"/>
      <c r="IFW75" s="2198"/>
      <c r="IFX75" s="2198"/>
      <c r="IFY75" s="2198"/>
      <c r="IFZ75" s="2198"/>
      <c r="IGA75" s="2198"/>
      <c r="IGB75" s="2198"/>
      <c r="IGC75" s="2198"/>
      <c r="IGD75" s="2198"/>
      <c r="IGE75" s="2198"/>
      <c r="IGF75" s="2198"/>
      <c r="IGG75" s="2198"/>
      <c r="IGH75" s="2198"/>
      <c r="IGI75" s="2198"/>
      <c r="IGJ75" s="2198"/>
      <c r="IGK75" s="2198"/>
      <c r="IGL75" s="2198"/>
      <c r="IGM75" s="2198"/>
      <c r="IGN75" s="2198"/>
      <c r="IGO75" s="2198"/>
      <c r="IGP75" s="2198"/>
      <c r="IGQ75" s="2198"/>
      <c r="IGR75" s="2198"/>
      <c r="IGS75" s="2198"/>
      <c r="IGT75" s="2198"/>
      <c r="IGU75" s="2198"/>
      <c r="IGV75" s="2198"/>
      <c r="IGW75" s="2198"/>
      <c r="IGX75" s="2198"/>
      <c r="IGY75" s="2198"/>
      <c r="IGZ75" s="2198"/>
      <c r="IHA75" s="2198"/>
      <c r="IHB75" s="2198"/>
      <c r="IHC75" s="2198"/>
      <c r="IHD75" s="2198"/>
      <c r="IHE75" s="2198"/>
      <c r="IHF75" s="2198"/>
      <c r="IHG75" s="2198"/>
      <c r="IHH75" s="2198"/>
      <c r="IHI75" s="2198"/>
      <c r="IHJ75" s="2198"/>
      <c r="IHK75" s="2198"/>
      <c r="IHL75" s="2198"/>
      <c r="IHM75" s="2198"/>
      <c r="IHN75" s="2198"/>
      <c r="IHO75" s="2198"/>
      <c r="IHP75" s="2198"/>
      <c r="IHQ75" s="2198"/>
      <c r="IHR75" s="2198"/>
      <c r="IHS75" s="2198"/>
      <c r="IHT75" s="2198"/>
      <c r="IHU75" s="2198"/>
      <c r="IHV75" s="2198"/>
      <c r="IHW75" s="2198"/>
      <c r="IHX75" s="2198"/>
      <c r="IHY75" s="2198"/>
      <c r="IHZ75" s="2198"/>
      <c r="IIA75" s="2198"/>
      <c r="IIB75" s="2198"/>
      <c r="IIC75" s="2198"/>
      <c r="IID75" s="2198"/>
      <c r="IIE75" s="2198"/>
      <c r="IIF75" s="2198"/>
      <c r="IIG75" s="2198"/>
      <c r="IIH75" s="2198"/>
      <c r="III75" s="2198"/>
      <c r="IIJ75" s="2198"/>
      <c r="IIK75" s="2198"/>
      <c r="IIL75" s="2198"/>
      <c r="IIM75" s="2198"/>
      <c r="IIN75" s="2198"/>
      <c r="IIO75" s="2198"/>
      <c r="IIP75" s="2198"/>
      <c r="IIQ75" s="2198"/>
      <c r="IIR75" s="2198"/>
      <c r="IIS75" s="2198"/>
      <c r="IIT75" s="2198"/>
      <c r="IIU75" s="2198"/>
      <c r="IIV75" s="2198"/>
      <c r="IIW75" s="2198"/>
      <c r="IIX75" s="2198"/>
      <c r="IIY75" s="2198"/>
      <c r="IIZ75" s="2198"/>
      <c r="IJA75" s="2198"/>
      <c r="IJB75" s="2198"/>
      <c r="IJC75" s="2198"/>
      <c r="IJD75" s="2198"/>
      <c r="IJE75" s="2198"/>
      <c r="IJF75" s="2198"/>
      <c r="IJG75" s="2198"/>
      <c r="IJH75" s="2198"/>
      <c r="IJI75" s="2198"/>
      <c r="IJJ75" s="2198"/>
      <c r="IJK75" s="2198"/>
      <c r="IJL75" s="2198"/>
      <c r="IJM75" s="2198"/>
      <c r="IJN75" s="2198"/>
      <c r="IJO75" s="2198"/>
      <c r="IJP75" s="2198"/>
      <c r="IJQ75" s="2198"/>
      <c r="IJR75" s="2198"/>
      <c r="IJS75" s="2198"/>
      <c r="IJT75" s="2198"/>
      <c r="IJU75" s="2198"/>
      <c r="IJV75" s="2198"/>
      <c r="IJW75" s="2198"/>
      <c r="IJX75" s="2198"/>
      <c r="IJY75" s="2198"/>
      <c r="IJZ75" s="2198"/>
      <c r="IKA75" s="2198"/>
      <c r="IKB75" s="2198"/>
      <c r="IKC75" s="2198"/>
      <c r="IKD75" s="2198"/>
      <c r="IKE75" s="2198"/>
      <c r="IKF75" s="2198"/>
      <c r="IKG75" s="2198"/>
      <c r="IKH75" s="2198"/>
      <c r="IKI75" s="2198"/>
      <c r="IKJ75" s="2198"/>
      <c r="IKK75" s="2198"/>
      <c r="IKL75" s="2198"/>
      <c r="IKM75" s="2198"/>
      <c r="IKN75" s="2198"/>
      <c r="IKO75" s="2198"/>
      <c r="IKP75" s="2198"/>
      <c r="IKQ75" s="2198"/>
      <c r="IKR75" s="2198"/>
      <c r="IKS75" s="2198"/>
      <c r="IKT75" s="2198"/>
      <c r="IKU75" s="2198"/>
      <c r="IKV75" s="2198"/>
      <c r="IKW75" s="2198"/>
      <c r="IKX75" s="2198"/>
      <c r="IKY75" s="2198"/>
      <c r="IKZ75" s="2198"/>
      <c r="ILA75" s="2198"/>
      <c r="ILB75" s="2198"/>
      <c r="ILC75" s="2198"/>
      <c r="ILD75" s="2198"/>
      <c r="ILE75" s="2198"/>
      <c r="ILF75" s="2198"/>
      <c r="ILG75" s="2198"/>
      <c r="ILH75" s="2198"/>
      <c r="ILI75" s="2198"/>
      <c r="ILJ75" s="2198"/>
      <c r="ILK75" s="2198"/>
      <c r="ILL75" s="2198"/>
      <c r="ILM75" s="2198"/>
      <c r="ILN75" s="2198"/>
      <c r="ILO75" s="2198"/>
      <c r="ILP75" s="2198"/>
      <c r="ILQ75" s="2198"/>
      <c r="ILR75" s="2198"/>
      <c r="ILS75" s="2198"/>
      <c r="ILT75" s="2198"/>
      <c r="ILU75" s="2198"/>
      <c r="ILV75" s="2198"/>
      <c r="ILW75" s="2198"/>
      <c r="ILX75" s="2198"/>
      <c r="ILY75" s="2198"/>
      <c r="ILZ75" s="2198"/>
      <c r="IMA75" s="2198"/>
      <c r="IMB75" s="2198"/>
      <c r="IMC75" s="2198"/>
      <c r="IMD75" s="2198"/>
      <c r="IME75" s="2198"/>
      <c r="IMF75" s="2198"/>
      <c r="IMG75" s="2198"/>
      <c r="IMH75" s="2198"/>
      <c r="IMI75" s="2198"/>
      <c r="IMJ75" s="2198"/>
      <c r="IMK75" s="2198"/>
      <c r="IML75" s="2198"/>
      <c r="IMM75" s="2198"/>
      <c r="IMN75" s="2198"/>
      <c r="IMO75" s="2198"/>
      <c r="IMP75" s="2198"/>
      <c r="IMQ75" s="2198"/>
      <c r="IMR75" s="2198"/>
      <c r="IMS75" s="2198"/>
      <c r="IMT75" s="2198"/>
      <c r="IMU75" s="2198"/>
      <c r="IMV75" s="2198"/>
      <c r="IMW75" s="2198"/>
      <c r="IMX75" s="2198"/>
      <c r="IMY75" s="2198"/>
      <c r="IMZ75" s="2198"/>
      <c r="INA75" s="2198"/>
      <c r="INB75" s="2198"/>
      <c r="INC75" s="2198"/>
      <c r="IND75" s="2198"/>
      <c r="INE75" s="2198"/>
      <c r="INF75" s="2198"/>
      <c r="ING75" s="2198"/>
      <c r="INH75" s="2198"/>
      <c r="INI75" s="2198"/>
      <c r="INJ75" s="2198"/>
      <c r="INK75" s="2198"/>
      <c r="INL75" s="2198"/>
      <c r="INM75" s="2198"/>
      <c r="INN75" s="2198"/>
      <c r="INO75" s="2198"/>
      <c r="INP75" s="2198"/>
      <c r="INQ75" s="2198"/>
      <c r="INR75" s="2198"/>
      <c r="INS75" s="2198"/>
      <c r="INT75" s="2198"/>
      <c r="INU75" s="2198"/>
      <c r="INV75" s="2198"/>
      <c r="INW75" s="2198"/>
      <c r="INX75" s="2198"/>
      <c r="INY75" s="2198"/>
      <c r="INZ75" s="2198"/>
      <c r="IOA75" s="2198"/>
      <c r="IOB75" s="2198"/>
      <c r="IOC75" s="2198"/>
      <c r="IOD75" s="2198"/>
      <c r="IOE75" s="2198"/>
      <c r="IOF75" s="2198"/>
      <c r="IOG75" s="2198"/>
      <c r="IOH75" s="2198"/>
      <c r="IOI75" s="2198"/>
      <c r="IOJ75" s="2198"/>
      <c r="IOK75" s="2198"/>
      <c r="IOL75" s="2198"/>
      <c r="IOM75" s="2198"/>
      <c r="ION75" s="2198"/>
      <c r="IOO75" s="2198"/>
      <c r="IOP75" s="2198"/>
      <c r="IOQ75" s="2198"/>
      <c r="IOR75" s="2198"/>
      <c r="IOS75" s="2198"/>
      <c r="IOT75" s="2198"/>
      <c r="IOU75" s="2198"/>
      <c r="IOV75" s="2198"/>
      <c r="IOW75" s="2198"/>
      <c r="IOX75" s="2198"/>
      <c r="IOY75" s="2198"/>
      <c r="IOZ75" s="2198"/>
      <c r="IPA75" s="2198"/>
      <c r="IPB75" s="2198"/>
      <c r="IPC75" s="2198"/>
      <c r="IPD75" s="2198"/>
      <c r="IPE75" s="2198"/>
      <c r="IPF75" s="2198"/>
      <c r="IPG75" s="2198"/>
      <c r="IPH75" s="2198"/>
      <c r="IPI75" s="2198"/>
      <c r="IPJ75" s="2198"/>
      <c r="IPK75" s="2198"/>
      <c r="IPL75" s="2198"/>
      <c r="IPM75" s="2198"/>
      <c r="IPN75" s="2198"/>
      <c r="IPO75" s="2198"/>
      <c r="IPP75" s="2198"/>
      <c r="IPQ75" s="2198"/>
      <c r="IPR75" s="2198"/>
      <c r="IPS75" s="2198"/>
      <c r="IPT75" s="2198"/>
      <c r="IPU75" s="2198"/>
      <c r="IPV75" s="2198"/>
      <c r="IPW75" s="2198"/>
      <c r="IPX75" s="2198"/>
      <c r="IPY75" s="2198"/>
      <c r="IPZ75" s="2198"/>
      <c r="IQA75" s="2198"/>
      <c r="IQB75" s="2198"/>
      <c r="IQC75" s="2198"/>
      <c r="IQD75" s="2198"/>
      <c r="IQE75" s="2198"/>
      <c r="IQF75" s="2198"/>
      <c r="IQG75" s="2198"/>
      <c r="IQH75" s="2198"/>
      <c r="IQI75" s="2198"/>
      <c r="IQJ75" s="2198"/>
      <c r="IQK75" s="2198"/>
      <c r="IQL75" s="2198"/>
      <c r="IQM75" s="2198"/>
      <c r="IQN75" s="2198"/>
      <c r="IQO75" s="2198"/>
      <c r="IQP75" s="2198"/>
      <c r="IQQ75" s="2198"/>
      <c r="IQR75" s="2198"/>
      <c r="IQS75" s="2198"/>
      <c r="IQT75" s="2198"/>
      <c r="IQU75" s="2198"/>
      <c r="IQV75" s="2198"/>
      <c r="IQW75" s="2198"/>
      <c r="IQX75" s="2198"/>
      <c r="IQY75" s="2198"/>
      <c r="IQZ75" s="2198"/>
      <c r="IRA75" s="2198"/>
      <c r="IRB75" s="2198"/>
      <c r="IRC75" s="2198"/>
      <c r="IRD75" s="2198"/>
      <c r="IRE75" s="2198"/>
      <c r="IRF75" s="2198"/>
      <c r="IRG75" s="2198"/>
      <c r="IRH75" s="2198"/>
      <c r="IRI75" s="2198"/>
      <c r="IRJ75" s="2198"/>
      <c r="IRK75" s="2198"/>
      <c r="IRL75" s="2198"/>
      <c r="IRM75" s="2198"/>
      <c r="IRN75" s="2198"/>
      <c r="IRO75" s="2198"/>
      <c r="IRP75" s="2198"/>
      <c r="IRQ75" s="2198"/>
      <c r="IRR75" s="2198"/>
      <c r="IRS75" s="2198"/>
      <c r="IRT75" s="2198"/>
      <c r="IRU75" s="2198"/>
      <c r="IRV75" s="2198"/>
      <c r="IRW75" s="2198"/>
      <c r="IRX75" s="2198"/>
      <c r="IRY75" s="2198"/>
      <c r="IRZ75" s="2198"/>
      <c r="ISA75" s="2198"/>
      <c r="ISB75" s="2198"/>
      <c r="ISC75" s="2198"/>
      <c r="ISD75" s="2198"/>
      <c r="ISE75" s="2198"/>
      <c r="ISF75" s="2198"/>
      <c r="ISG75" s="2198"/>
      <c r="ISH75" s="2198"/>
      <c r="ISI75" s="2198"/>
      <c r="ISJ75" s="2198"/>
      <c r="ISK75" s="2198"/>
      <c r="ISL75" s="2198"/>
      <c r="ISM75" s="2198"/>
      <c r="ISN75" s="2198"/>
      <c r="ISO75" s="2198"/>
      <c r="ISP75" s="2198"/>
      <c r="ISQ75" s="2198"/>
      <c r="ISR75" s="2198"/>
      <c r="ISS75" s="2198"/>
      <c r="IST75" s="2198"/>
      <c r="ISU75" s="2198"/>
      <c r="ISV75" s="2198"/>
      <c r="ISW75" s="2198"/>
      <c r="ISX75" s="2198"/>
      <c r="ISY75" s="2198"/>
      <c r="ISZ75" s="2198"/>
      <c r="ITA75" s="2198"/>
      <c r="ITB75" s="2198"/>
      <c r="ITC75" s="2198"/>
      <c r="ITD75" s="2198"/>
      <c r="ITE75" s="2198"/>
      <c r="ITF75" s="2198"/>
      <c r="ITG75" s="2198"/>
      <c r="ITH75" s="2198"/>
      <c r="ITI75" s="2198"/>
      <c r="ITJ75" s="2198"/>
      <c r="ITK75" s="2198"/>
      <c r="ITL75" s="2198"/>
      <c r="ITM75" s="2198"/>
      <c r="ITN75" s="2198"/>
      <c r="ITO75" s="2198"/>
      <c r="ITP75" s="2198"/>
      <c r="ITQ75" s="2198"/>
      <c r="ITR75" s="2198"/>
      <c r="ITS75" s="2198"/>
      <c r="ITT75" s="2198"/>
      <c r="ITU75" s="2198"/>
      <c r="ITV75" s="2198"/>
      <c r="ITW75" s="2198"/>
      <c r="ITX75" s="2198"/>
      <c r="ITY75" s="2198"/>
      <c r="ITZ75" s="2198"/>
      <c r="IUA75" s="2198"/>
      <c r="IUB75" s="2198"/>
      <c r="IUC75" s="2198"/>
      <c r="IUD75" s="2198"/>
      <c r="IUE75" s="2198"/>
      <c r="IUF75" s="2198"/>
      <c r="IUG75" s="2198"/>
      <c r="IUH75" s="2198"/>
      <c r="IUI75" s="2198"/>
      <c r="IUJ75" s="2198"/>
      <c r="IUK75" s="2198"/>
      <c r="IUL75" s="2198"/>
      <c r="IUM75" s="2198"/>
      <c r="IUN75" s="2198"/>
      <c r="IUO75" s="2198"/>
      <c r="IUP75" s="2198"/>
      <c r="IUQ75" s="2198"/>
      <c r="IUR75" s="2198"/>
      <c r="IUS75" s="2198"/>
      <c r="IUT75" s="2198"/>
      <c r="IUU75" s="2198"/>
      <c r="IUV75" s="2198"/>
      <c r="IUW75" s="2198"/>
      <c r="IUX75" s="2198"/>
      <c r="IUY75" s="2198"/>
      <c r="IUZ75" s="2198"/>
      <c r="IVA75" s="2198"/>
      <c r="IVB75" s="2198"/>
      <c r="IVC75" s="2198"/>
      <c r="IVD75" s="2198"/>
      <c r="IVE75" s="2198"/>
      <c r="IVF75" s="2198"/>
      <c r="IVG75" s="2198"/>
      <c r="IVH75" s="2198"/>
      <c r="IVI75" s="2198"/>
      <c r="IVJ75" s="2198"/>
      <c r="IVK75" s="2198"/>
      <c r="IVL75" s="2198"/>
      <c r="IVM75" s="2198"/>
      <c r="IVN75" s="2198"/>
      <c r="IVO75" s="2198"/>
      <c r="IVP75" s="2198"/>
      <c r="IVQ75" s="2198"/>
      <c r="IVR75" s="2198"/>
      <c r="IVS75" s="2198"/>
      <c r="IVT75" s="2198"/>
      <c r="IVU75" s="2198"/>
      <c r="IVV75" s="2198"/>
      <c r="IVW75" s="2198"/>
      <c r="IVX75" s="2198"/>
      <c r="IVY75" s="2198"/>
      <c r="IVZ75" s="2198"/>
      <c r="IWA75" s="2198"/>
      <c r="IWB75" s="2198"/>
      <c r="IWC75" s="2198"/>
      <c r="IWD75" s="2198"/>
      <c r="IWE75" s="2198"/>
      <c r="IWF75" s="2198"/>
      <c r="IWG75" s="2198"/>
      <c r="IWH75" s="2198"/>
      <c r="IWI75" s="2198"/>
      <c r="IWJ75" s="2198"/>
      <c r="IWK75" s="2198"/>
      <c r="IWL75" s="2198"/>
      <c r="IWM75" s="2198"/>
      <c r="IWN75" s="2198"/>
      <c r="IWO75" s="2198"/>
      <c r="IWP75" s="2198"/>
      <c r="IWQ75" s="2198"/>
      <c r="IWR75" s="2198"/>
      <c r="IWS75" s="2198"/>
      <c r="IWT75" s="2198"/>
      <c r="IWU75" s="2198"/>
      <c r="IWV75" s="2198"/>
      <c r="IWW75" s="2198"/>
      <c r="IWX75" s="2198"/>
      <c r="IWY75" s="2198"/>
      <c r="IWZ75" s="2198"/>
      <c r="IXA75" s="2198"/>
      <c r="IXB75" s="2198"/>
      <c r="IXC75" s="2198"/>
      <c r="IXD75" s="2198"/>
      <c r="IXE75" s="2198"/>
      <c r="IXF75" s="2198"/>
      <c r="IXG75" s="2198"/>
      <c r="IXH75" s="2198"/>
      <c r="IXI75" s="2198"/>
      <c r="IXJ75" s="2198"/>
      <c r="IXK75" s="2198"/>
      <c r="IXL75" s="2198"/>
      <c r="IXM75" s="2198"/>
      <c r="IXN75" s="2198"/>
      <c r="IXO75" s="2198"/>
      <c r="IXP75" s="2198"/>
      <c r="IXQ75" s="2198"/>
      <c r="IXR75" s="2198"/>
      <c r="IXS75" s="2198"/>
      <c r="IXT75" s="2198"/>
      <c r="IXU75" s="2198"/>
      <c r="IXV75" s="2198"/>
      <c r="IXW75" s="2198"/>
      <c r="IXX75" s="2198"/>
      <c r="IXY75" s="2198"/>
      <c r="IXZ75" s="2198"/>
      <c r="IYA75" s="2198"/>
      <c r="IYB75" s="2198"/>
      <c r="IYC75" s="2198"/>
      <c r="IYD75" s="2198"/>
      <c r="IYE75" s="2198"/>
      <c r="IYF75" s="2198"/>
      <c r="IYG75" s="2198"/>
      <c r="IYH75" s="2198"/>
      <c r="IYI75" s="2198"/>
      <c r="IYJ75" s="2198"/>
      <c r="IYK75" s="2198"/>
      <c r="IYL75" s="2198"/>
      <c r="IYM75" s="2198"/>
      <c r="IYN75" s="2198"/>
      <c r="IYO75" s="2198"/>
      <c r="IYP75" s="2198"/>
      <c r="IYQ75" s="2198"/>
      <c r="IYR75" s="2198"/>
      <c r="IYS75" s="2198"/>
      <c r="IYT75" s="2198"/>
      <c r="IYU75" s="2198"/>
      <c r="IYV75" s="2198"/>
      <c r="IYW75" s="2198"/>
      <c r="IYX75" s="2198"/>
      <c r="IYY75" s="2198"/>
      <c r="IYZ75" s="2198"/>
      <c r="IZA75" s="2198"/>
      <c r="IZB75" s="2198"/>
      <c r="IZC75" s="2198"/>
      <c r="IZD75" s="2198"/>
      <c r="IZE75" s="2198"/>
      <c r="IZF75" s="2198"/>
      <c r="IZG75" s="2198"/>
      <c r="IZH75" s="2198"/>
      <c r="IZI75" s="2198"/>
      <c r="IZJ75" s="2198"/>
      <c r="IZK75" s="2198"/>
      <c r="IZL75" s="2198"/>
      <c r="IZM75" s="2198"/>
      <c r="IZN75" s="2198"/>
      <c r="IZO75" s="2198"/>
      <c r="IZP75" s="2198"/>
      <c r="IZQ75" s="2198"/>
      <c r="IZR75" s="2198"/>
      <c r="IZS75" s="2198"/>
      <c r="IZT75" s="2198"/>
      <c r="IZU75" s="2198"/>
      <c r="IZV75" s="2198"/>
      <c r="IZW75" s="2198"/>
      <c r="IZX75" s="2198"/>
      <c r="IZY75" s="2198"/>
      <c r="IZZ75" s="2198"/>
      <c r="JAA75" s="2198"/>
      <c r="JAB75" s="2198"/>
      <c r="JAC75" s="2198"/>
      <c r="JAD75" s="2198"/>
      <c r="JAE75" s="2198"/>
      <c r="JAF75" s="2198"/>
      <c r="JAG75" s="2198"/>
      <c r="JAH75" s="2198"/>
      <c r="JAI75" s="2198"/>
      <c r="JAJ75" s="2198"/>
      <c r="JAK75" s="2198"/>
      <c r="JAL75" s="2198"/>
      <c r="JAM75" s="2198"/>
      <c r="JAN75" s="2198"/>
      <c r="JAO75" s="2198"/>
      <c r="JAP75" s="2198"/>
      <c r="JAQ75" s="2198"/>
      <c r="JAR75" s="2198"/>
      <c r="JAS75" s="2198"/>
      <c r="JAT75" s="2198"/>
      <c r="JAU75" s="2198"/>
      <c r="JAV75" s="2198"/>
      <c r="JAW75" s="2198"/>
      <c r="JAX75" s="2198"/>
      <c r="JAY75" s="2198"/>
      <c r="JAZ75" s="2198"/>
      <c r="JBA75" s="2198"/>
      <c r="JBB75" s="2198"/>
      <c r="JBC75" s="2198"/>
      <c r="JBD75" s="2198"/>
      <c r="JBE75" s="2198"/>
      <c r="JBF75" s="2198"/>
      <c r="JBG75" s="2198"/>
      <c r="JBH75" s="2198"/>
      <c r="JBI75" s="2198"/>
      <c r="JBJ75" s="2198"/>
      <c r="JBK75" s="2198"/>
      <c r="JBL75" s="2198"/>
      <c r="JBM75" s="2198"/>
      <c r="JBN75" s="2198"/>
      <c r="JBO75" s="2198"/>
      <c r="JBP75" s="2198"/>
      <c r="JBQ75" s="2198"/>
      <c r="JBR75" s="2198"/>
      <c r="JBS75" s="2198"/>
      <c r="JBT75" s="2198"/>
      <c r="JBU75" s="2198"/>
      <c r="JBV75" s="2198"/>
      <c r="JBW75" s="2198"/>
      <c r="JBX75" s="2198"/>
      <c r="JBY75" s="2198"/>
      <c r="JBZ75" s="2198"/>
      <c r="JCA75" s="2198"/>
      <c r="JCB75" s="2198"/>
      <c r="JCC75" s="2198"/>
      <c r="JCD75" s="2198"/>
      <c r="JCE75" s="2198"/>
      <c r="JCF75" s="2198"/>
      <c r="JCG75" s="2198"/>
      <c r="JCH75" s="2198"/>
      <c r="JCI75" s="2198"/>
      <c r="JCJ75" s="2198"/>
      <c r="JCK75" s="2198"/>
      <c r="JCL75" s="2198"/>
      <c r="JCM75" s="2198"/>
      <c r="JCN75" s="2198"/>
      <c r="JCO75" s="2198"/>
      <c r="JCP75" s="2198"/>
      <c r="JCQ75" s="2198"/>
      <c r="JCR75" s="2198"/>
      <c r="JCS75" s="2198"/>
      <c r="JCT75" s="2198"/>
      <c r="JCU75" s="2198"/>
      <c r="JCV75" s="2198"/>
      <c r="JCW75" s="2198"/>
      <c r="JCX75" s="2198"/>
      <c r="JCY75" s="2198"/>
      <c r="JCZ75" s="2198"/>
      <c r="JDA75" s="2198"/>
      <c r="JDB75" s="2198"/>
      <c r="JDC75" s="2198"/>
      <c r="JDD75" s="2198"/>
      <c r="JDE75" s="2198"/>
      <c r="JDF75" s="2198"/>
      <c r="JDG75" s="2198"/>
      <c r="JDH75" s="2198"/>
      <c r="JDI75" s="2198"/>
      <c r="JDJ75" s="2198"/>
      <c r="JDK75" s="2198"/>
      <c r="JDL75" s="2198"/>
      <c r="JDM75" s="2198"/>
      <c r="JDN75" s="2198"/>
      <c r="JDO75" s="2198"/>
      <c r="JDP75" s="2198"/>
      <c r="JDQ75" s="2198"/>
      <c r="JDR75" s="2198"/>
      <c r="JDS75" s="2198"/>
      <c r="JDT75" s="2198"/>
      <c r="JDU75" s="2198"/>
      <c r="JDV75" s="2198"/>
      <c r="JDW75" s="2198"/>
      <c r="JDX75" s="2198"/>
      <c r="JDY75" s="2198"/>
      <c r="JDZ75" s="2198"/>
      <c r="JEA75" s="2198"/>
      <c r="JEB75" s="2198"/>
      <c r="JEC75" s="2198"/>
      <c r="JED75" s="2198"/>
      <c r="JEE75" s="2198"/>
      <c r="JEF75" s="2198"/>
      <c r="JEG75" s="2198"/>
      <c r="JEH75" s="2198"/>
      <c r="JEI75" s="2198"/>
      <c r="JEJ75" s="2198"/>
      <c r="JEK75" s="2198"/>
      <c r="JEL75" s="2198"/>
      <c r="JEM75" s="2198"/>
      <c r="JEN75" s="2198"/>
      <c r="JEO75" s="2198"/>
      <c r="JEP75" s="2198"/>
      <c r="JEQ75" s="2198"/>
      <c r="JER75" s="2198"/>
      <c r="JES75" s="2198"/>
      <c r="JET75" s="2198"/>
      <c r="JEU75" s="2198"/>
      <c r="JEV75" s="2198"/>
      <c r="JEW75" s="2198"/>
      <c r="JEX75" s="2198"/>
      <c r="JEY75" s="2198"/>
      <c r="JEZ75" s="2198"/>
      <c r="JFA75" s="2198"/>
      <c r="JFB75" s="2198"/>
      <c r="JFC75" s="2198"/>
      <c r="JFD75" s="2198"/>
      <c r="JFE75" s="2198"/>
      <c r="JFF75" s="2198"/>
      <c r="JFG75" s="2198"/>
      <c r="JFH75" s="2198"/>
      <c r="JFI75" s="2198"/>
      <c r="JFJ75" s="2198"/>
      <c r="JFK75" s="2198"/>
      <c r="JFL75" s="2198"/>
      <c r="JFM75" s="2198"/>
      <c r="JFN75" s="2198"/>
      <c r="JFO75" s="2198"/>
      <c r="JFP75" s="2198"/>
      <c r="JFQ75" s="2198"/>
      <c r="JFR75" s="2198"/>
      <c r="JFS75" s="2198"/>
      <c r="JFT75" s="2198"/>
      <c r="JFU75" s="2198"/>
      <c r="JFV75" s="2198"/>
      <c r="JFW75" s="2198"/>
      <c r="JFX75" s="2198"/>
      <c r="JFY75" s="2198"/>
      <c r="JFZ75" s="2198"/>
      <c r="JGA75" s="2198"/>
      <c r="JGB75" s="2198"/>
      <c r="JGC75" s="2198"/>
      <c r="JGD75" s="2198"/>
      <c r="JGE75" s="2198"/>
      <c r="JGF75" s="2198"/>
      <c r="JGG75" s="2198"/>
      <c r="JGH75" s="2198"/>
      <c r="JGI75" s="2198"/>
      <c r="JGJ75" s="2198"/>
      <c r="JGK75" s="2198"/>
      <c r="JGL75" s="2198"/>
      <c r="JGM75" s="2198"/>
      <c r="JGN75" s="2198"/>
      <c r="JGO75" s="2198"/>
      <c r="JGP75" s="2198"/>
      <c r="JGQ75" s="2198"/>
      <c r="JGR75" s="2198"/>
      <c r="JGS75" s="2198"/>
      <c r="JGT75" s="2198"/>
      <c r="JGU75" s="2198"/>
      <c r="JGV75" s="2198"/>
      <c r="JGW75" s="2198"/>
      <c r="JGX75" s="2198"/>
      <c r="JGY75" s="2198"/>
      <c r="JGZ75" s="2198"/>
      <c r="JHA75" s="2198"/>
      <c r="JHB75" s="2198"/>
      <c r="JHC75" s="2198"/>
      <c r="JHD75" s="2198"/>
      <c r="JHE75" s="2198"/>
      <c r="JHF75" s="2198"/>
      <c r="JHG75" s="2198"/>
      <c r="JHH75" s="2198"/>
      <c r="JHI75" s="2198"/>
      <c r="JHJ75" s="2198"/>
      <c r="JHK75" s="2198"/>
      <c r="JHL75" s="2198"/>
      <c r="JHM75" s="2198"/>
      <c r="JHN75" s="2198"/>
      <c r="JHO75" s="2198"/>
      <c r="JHP75" s="2198"/>
      <c r="JHQ75" s="2198"/>
      <c r="JHR75" s="2198"/>
      <c r="JHS75" s="2198"/>
      <c r="JHT75" s="2198"/>
      <c r="JHU75" s="2198"/>
      <c r="JHV75" s="2198"/>
      <c r="JHW75" s="2198"/>
      <c r="JHX75" s="2198"/>
      <c r="JHY75" s="2198"/>
      <c r="JHZ75" s="2198"/>
      <c r="JIA75" s="2198"/>
      <c r="JIB75" s="2198"/>
      <c r="JIC75" s="2198"/>
      <c r="JID75" s="2198"/>
      <c r="JIE75" s="2198"/>
      <c r="JIF75" s="2198"/>
      <c r="JIG75" s="2198"/>
      <c r="JIH75" s="2198"/>
      <c r="JII75" s="2198"/>
      <c r="JIJ75" s="2198"/>
      <c r="JIK75" s="2198"/>
      <c r="JIL75" s="2198"/>
      <c r="JIM75" s="2198"/>
      <c r="JIN75" s="2198"/>
      <c r="JIO75" s="2198"/>
      <c r="JIP75" s="2198"/>
      <c r="JIQ75" s="2198"/>
      <c r="JIR75" s="2198"/>
      <c r="JIS75" s="2198"/>
      <c r="JIT75" s="2198"/>
      <c r="JIU75" s="2198"/>
      <c r="JIV75" s="2198"/>
      <c r="JIW75" s="2198"/>
      <c r="JIX75" s="2198"/>
      <c r="JIY75" s="2198"/>
      <c r="JIZ75" s="2198"/>
      <c r="JJA75" s="2198"/>
      <c r="JJB75" s="2198"/>
      <c r="JJC75" s="2198"/>
      <c r="JJD75" s="2198"/>
      <c r="JJE75" s="2198"/>
      <c r="JJF75" s="2198"/>
      <c r="JJG75" s="2198"/>
      <c r="JJH75" s="2198"/>
      <c r="JJI75" s="2198"/>
      <c r="JJJ75" s="2198"/>
      <c r="JJK75" s="2198"/>
      <c r="JJL75" s="2198"/>
      <c r="JJM75" s="2198"/>
      <c r="JJN75" s="2198"/>
      <c r="JJO75" s="2198"/>
      <c r="JJP75" s="2198"/>
      <c r="JJQ75" s="2198"/>
      <c r="JJR75" s="2198"/>
      <c r="JJS75" s="2198"/>
      <c r="JJT75" s="2198"/>
      <c r="JJU75" s="2198"/>
      <c r="JJV75" s="2198"/>
      <c r="JJW75" s="2198"/>
      <c r="JJX75" s="2198"/>
      <c r="JJY75" s="2198"/>
      <c r="JJZ75" s="2198"/>
      <c r="JKA75" s="2198"/>
      <c r="JKB75" s="2198"/>
      <c r="JKC75" s="2198"/>
      <c r="JKD75" s="2198"/>
      <c r="JKE75" s="2198"/>
      <c r="JKF75" s="2198"/>
      <c r="JKG75" s="2198"/>
      <c r="JKH75" s="2198"/>
      <c r="JKI75" s="2198"/>
      <c r="JKJ75" s="2198"/>
      <c r="JKK75" s="2198"/>
      <c r="JKL75" s="2198"/>
      <c r="JKM75" s="2198"/>
      <c r="JKN75" s="2198"/>
      <c r="JKO75" s="2198"/>
      <c r="JKP75" s="2198"/>
      <c r="JKQ75" s="2198"/>
      <c r="JKR75" s="2198"/>
      <c r="JKS75" s="2198"/>
      <c r="JKT75" s="2198"/>
      <c r="JKU75" s="2198"/>
      <c r="JKV75" s="2198"/>
      <c r="JKW75" s="2198"/>
      <c r="JKX75" s="2198"/>
      <c r="JKY75" s="2198"/>
      <c r="JKZ75" s="2198"/>
      <c r="JLA75" s="2198"/>
      <c r="JLB75" s="2198"/>
      <c r="JLC75" s="2198"/>
      <c r="JLD75" s="2198"/>
      <c r="JLE75" s="2198"/>
      <c r="JLF75" s="2198"/>
      <c r="JLG75" s="2198"/>
      <c r="JLH75" s="2198"/>
      <c r="JLI75" s="2198"/>
      <c r="JLJ75" s="2198"/>
      <c r="JLK75" s="2198"/>
      <c r="JLL75" s="2198"/>
      <c r="JLM75" s="2198"/>
      <c r="JLN75" s="2198"/>
      <c r="JLO75" s="2198"/>
      <c r="JLP75" s="2198"/>
      <c r="JLQ75" s="2198"/>
      <c r="JLR75" s="2198"/>
      <c r="JLS75" s="2198"/>
      <c r="JLT75" s="2198"/>
      <c r="JLU75" s="2198"/>
      <c r="JLV75" s="2198"/>
      <c r="JLW75" s="2198"/>
      <c r="JLX75" s="2198"/>
      <c r="JLY75" s="2198"/>
      <c r="JLZ75" s="2198"/>
      <c r="JMA75" s="2198"/>
      <c r="JMB75" s="2198"/>
      <c r="JMC75" s="2198"/>
      <c r="JMD75" s="2198"/>
      <c r="JME75" s="2198"/>
      <c r="JMF75" s="2198"/>
      <c r="JMG75" s="2198"/>
      <c r="JMH75" s="2198"/>
      <c r="JMI75" s="2198"/>
      <c r="JMJ75" s="2198"/>
      <c r="JMK75" s="2198"/>
      <c r="JML75" s="2198"/>
      <c r="JMM75" s="2198"/>
      <c r="JMN75" s="2198"/>
      <c r="JMO75" s="2198"/>
      <c r="JMP75" s="2198"/>
      <c r="JMQ75" s="2198"/>
      <c r="JMR75" s="2198"/>
      <c r="JMS75" s="2198"/>
      <c r="JMT75" s="2198"/>
      <c r="JMU75" s="2198"/>
      <c r="JMV75" s="2198"/>
      <c r="JMW75" s="2198"/>
      <c r="JMX75" s="2198"/>
      <c r="JMY75" s="2198"/>
      <c r="JMZ75" s="2198"/>
      <c r="JNA75" s="2198"/>
      <c r="JNB75" s="2198"/>
      <c r="JNC75" s="2198"/>
      <c r="JND75" s="2198"/>
      <c r="JNE75" s="2198"/>
      <c r="JNF75" s="2198"/>
      <c r="JNG75" s="2198"/>
      <c r="JNH75" s="2198"/>
      <c r="JNI75" s="2198"/>
      <c r="JNJ75" s="2198"/>
      <c r="JNK75" s="2198"/>
      <c r="JNL75" s="2198"/>
      <c r="JNM75" s="2198"/>
      <c r="JNN75" s="2198"/>
      <c r="JNO75" s="2198"/>
      <c r="JNP75" s="2198"/>
      <c r="JNQ75" s="2198"/>
      <c r="JNR75" s="2198"/>
      <c r="JNS75" s="2198"/>
      <c r="JNT75" s="2198"/>
      <c r="JNU75" s="2198"/>
      <c r="JNV75" s="2198"/>
      <c r="JNW75" s="2198"/>
      <c r="JNX75" s="2198"/>
      <c r="JNY75" s="2198"/>
      <c r="JNZ75" s="2198"/>
      <c r="JOA75" s="2198"/>
      <c r="JOB75" s="2198"/>
      <c r="JOC75" s="2198"/>
      <c r="JOD75" s="2198"/>
      <c r="JOE75" s="2198"/>
      <c r="JOF75" s="2198"/>
      <c r="JOG75" s="2198"/>
      <c r="JOH75" s="2198"/>
      <c r="JOI75" s="2198"/>
      <c r="JOJ75" s="2198"/>
      <c r="JOK75" s="2198"/>
      <c r="JOL75" s="2198"/>
      <c r="JOM75" s="2198"/>
      <c r="JON75" s="2198"/>
      <c r="JOO75" s="2198"/>
      <c r="JOP75" s="2198"/>
      <c r="JOQ75" s="2198"/>
      <c r="JOR75" s="2198"/>
      <c r="JOS75" s="2198"/>
      <c r="JOT75" s="2198"/>
      <c r="JOU75" s="2198"/>
      <c r="JOV75" s="2198"/>
      <c r="JOW75" s="2198"/>
      <c r="JOX75" s="2198"/>
      <c r="JOY75" s="2198"/>
      <c r="JOZ75" s="2198"/>
      <c r="JPA75" s="2198"/>
      <c r="JPB75" s="2198"/>
      <c r="JPC75" s="2198"/>
      <c r="JPD75" s="2198"/>
      <c r="JPE75" s="2198"/>
      <c r="JPF75" s="2198"/>
      <c r="JPG75" s="2198"/>
      <c r="JPH75" s="2198"/>
      <c r="JPI75" s="2198"/>
      <c r="JPJ75" s="2198"/>
      <c r="JPK75" s="2198"/>
      <c r="JPL75" s="2198"/>
      <c r="JPM75" s="2198"/>
      <c r="JPN75" s="2198"/>
      <c r="JPO75" s="2198"/>
      <c r="JPP75" s="2198"/>
      <c r="JPQ75" s="2198"/>
      <c r="JPR75" s="2198"/>
      <c r="JPS75" s="2198"/>
      <c r="JPT75" s="2198"/>
      <c r="JPU75" s="2198"/>
      <c r="JPV75" s="2198"/>
      <c r="JPW75" s="2198"/>
      <c r="JPX75" s="2198"/>
      <c r="JPY75" s="2198"/>
      <c r="JPZ75" s="2198"/>
      <c r="JQA75" s="2198"/>
      <c r="JQB75" s="2198"/>
      <c r="JQC75" s="2198"/>
      <c r="JQD75" s="2198"/>
      <c r="JQE75" s="2198"/>
      <c r="JQF75" s="2198"/>
      <c r="JQG75" s="2198"/>
      <c r="JQH75" s="2198"/>
      <c r="JQI75" s="2198"/>
      <c r="JQJ75" s="2198"/>
      <c r="JQK75" s="2198"/>
      <c r="JQL75" s="2198"/>
      <c r="JQM75" s="2198"/>
      <c r="JQN75" s="2198"/>
      <c r="JQO75" s="2198"/>
      <c r="JQP75" s="2198"/>
      <c r="JQQ75" s="2198"/>
      <c r="JQR75" s="2198"/>
      <c r="JQS75" s="2198"/>
      <c r="JQT75" s="2198"/>
      <c r="JQU75" s="2198"/>
      <c r="JQV75" s="2198"/>
      <c r="JQW75" s="2198"/>
      <c r="JQX75" s="2198"/>
      <c r="JQY75" s="2198"/>
      <c r="JQZ75" s="2198"/>
      <c r="JRA75" s="2198"/>
      <c r="JRB75" s="2198"/>
      <c r="JRC75" s="2198"/>
      <c r="JRD75" s="2198"/>
      <c r="JRE75" s="2198"/>
      <c r="JRF75" s="2198"/>
      <c r="JRG75" s="2198"/>
      <c r="JRH75" s="2198"/>
      <c r="JRI75" s="2198"/>
      <c r="JRJ75" s="2198"/>
      <c r="JRK75" s="2198"/>
      <c r="JRL75" s="2198"/>
      <c r="JRM75" s="2198"/>
      <c r="JRN75" s="2198"/>
      <c r="JRO75" s="2198"/>
      <c r="JRP75" s="2198"/>
      <c r="JRQ75" s="2198"/>
      <c r="JRR75" s="2198"/>
      <c r="JRS75" s="2198"/>
      <c r="JRT75" s="2198"/>
      <c r="JRU75" s="2198"/>
      <c r="JRV75" s="2198"/>
      <c r="JRW75" s="2198"/>
      <c r="JRX75" s="2198"/>
      <c r="JRY75" s="2198"/>
      <c r="JRZ75" s="2198"/>
      <c r="JSA75" s="2198"/>
      <c r="JSB75" s="2198"/>
      <c r="JSC75" s="2198"/>
      <c r="JSD75" s="2198"/>
      <c r="JSE75" s="2198"/>
      <c r="JSF75" s="2198"/>
      <c r="JSG75" s="2198"/>
      <c r="JSH75" s="2198"/>
      <c r="JSI75" s="2198"/>
      <c r="JSJ75" s="2198"/>
      <c r="JSK75" s="2198"/>
      <c r="JSL75" s="2198"/>
      <c r="JSM75" s="2198"/>
      <c r="JSN75" s="2198"/>
      <c r="JSO75" s="2198"/>
      <c r="JSP75" s="2198"/>
      <c r="JSQ75" s="2198"/>
      <c r="JSR75" s="2198"/>
      <c r="JSS75" s="2198"/>
      <c r="JST75" s="2198"/>
      <c r="JSU75" s="2198"/>
      <c r="JSV75" s="2198"/>
      <c r="JSW75" s="2198"/>
      <c r="JSX75" s="2198"/>
      <c r="JSY75" s="2198"/>
      <c r="JSZ75" s="2198"/>
      <c r="JTA75" s="2198"/>
      <c r="JTB75" s="2198"/>
      <c r="JTC75" s="2198"/>
      <c r="JTD75" s="2198"/>
      <c r="JTE75" s="2198"/>
      <c r="JTF75" s="2198"/>
      <c r="JTG75" s="2198"/>
      <c r="JTH75" s="2198"/>
      <c r="JTI75" s="2198"/>
      <c r="JTJ75" s="2198"/>
      <c r="JTK75" s="2198"/>
      <c r="JTL75" s="2198"/>
      <c r="JTM75" s="2198"/>
      <c r="JTN75" s="2198"/>
      <c r="JTO75" s="2198"/>
      <c r="JTP75" s="2198"/>
      <c r="JTQ75" s="2198"/>
      <c r="JTR75" s="2198"/>
      <c r="JTS75" s="2198"/>
      <c r="JTT75" s="2198"/>
      <c r="JTU75" s="2198"/>
      <c r="JTV75" s="2198"/>
      <c r="JTW75" s="2198"/>
      <c r="JTX75" s="2198"/>
      <c r="JTY75" s="2198"/>
      <c r="JTZ75" s="2198"/>
      <c r="JUA75" s="2198"/>
      <c r="JUB75" s="2198"/>
      <c r="JUC75" s="2198"/>
      <c r="JUD75" s="2198"/>
      <c r="JUE75" s="2198"/>
      <c r="JUF75" s="2198"/>
      <c r="JUG75" s="2198"/>
      <c r="JUH75" s="2198"/>
      <c r="JUI75" s="2198"/>
      <c r="JUJ75" s="2198"/>
      <c r="JUK75" s="2198"/>
      <c r="JUL75" s="2198"/>
      <c r="JUM75" s="2198"/>
      <c r="JUN75" s="2198"/>
      <c r="JUO75" s="2198"/>
      <c r="JUP75" s="2198"/>
      <c r="JUQ75" s="2198"/>
      <c r="JUR75" s="2198"/>
      <c r="JUS75" s="2198"/>
      <c r="JUT75" s="2198"/>
      <c r="JUU75" s="2198"/>
      <c r="JUV75" s="2198"/>
      <c r="JUW75" s="2198"/>
      <c r="JUX75" s="2198"/>
      <c r="JUY75" s="2198"/>
      <c r="JUZ75" s="2198"/>
      <c r="JVA75" s="2198"/>
      <c r="JVB75" s="2198"/>
      <c r="JVC75" s="2198"/>
      <c r="JVD75" s="2198"/>
      <c r="JVE75" s="2198"/>
      <c r="JVF75" s="2198"/>
      <c r="JVG75" s="2198"/>
      <c r="JVH75" s="2198"/>
      <c r="JVI75" s="2198"/>
      <c r="JVJ75" s="2198"/>
      <c r="JVK75" s="2198"/>
      <c r="JVL75" s="2198"/>
      <c r="JVM75" s="2198"/>
      <c r="JVN75" s="2198"/>
      <c r="JVO75" s="2198"/>
      <c r="JVP75" s="2198"/>
      <c r="JVQ75" s="2198"/>
      <c r="JVR75" s="2198"/>
      <c r="JVS75" s="2198"/>
      <c r="JVT75" s="2198"/>
      <c r="JVU75" s="2198"/>
      <c r="JVV75" s="2198"/>
      <c r="JVW75" s="2198"/>
      <c r="JVX75" s="2198"/>
      <c r="JVY75" s="2198"/>
      <c r="JVZ75" s="2198"/>
      <c r="JWA75" s="2198"/>
      <c r="JWB75" s="2198"/>
      <c r="JWC75" s="2198"/>
      <c r="JWD75" s="2198"/>
      <c r="JWE75" s="2198"/>
      <c r="JWF75" s="2198"/>
      <c r="JWG75" s="2198"/>
      <c r="JWH75" s="2198"/>
      <c r="JWI75" s="2198"/>
      <c r="JWJ75" s="2198"/>
      <c r="JWK75" s="2198"/>
      <c r="JWL75" s="2198"/>
      <c r="JWM75" s="2198"/>
      <c r="JWN75" s="2198"/>
      <c r="JWO75" s="2198"/>
      <c r="JWP75" s="2198"/>
      <c r="JWQ75" s="2198"/>
      <c r="JWR75" s="2198"/>
      <c r="JWS75" s="2198"/>
      <c r="JWT75" s="2198"/>
      <c r="JWU75" s="2198"/>
      <c r="JWV75" s="2198"/>
      <c r="JWW75" s="2198"/>
      <c r="JWX75" s="2198"/>
      <c r="JWY75" s="2198"/>
      <c r="JWZ75" s="2198"/>
      <c r="JXA75" s="2198"/>
      <c r="JXB75" s="2198"/>
      <c r="JXC75" s="2198"/>
      <c r="JXD75" s="2198"/>
      <c r="JXE75" s="2198"/>
      <c r="JXF75" s="2198"/>
      <c r="JXG75" s="2198"/>
      <c r="JXH75" s="2198"/>
      <c r="JXI75" s="2198"/>
      <c r="JXJ75" s="2198"/>
      <c r="JXK75" s="2198"/>
      <c r="JXL75" s="2198"/>
      <c r="JXM75" s="2198"/>
      <c r="JXN75" s="2198"/>
      <c r="JXO75" s="2198"/>
      <c r="JXP75" s="2198"/>
      <c r="JXQ75" s="2198"/>
      <c r="JXR75" s="2198"/>
      <c r="JXS75" s="2198"/>
      <c r="JXT75" s="2198"/>
      <c r="JXU75" s="2198"/>
      <c r="JXV75" s="2198"/>
      <c r="JXW75" s="2198"/>
      <c r="JXX75" s="2198"/>
      <c r="JXY75" s="2198"/>
      <c r="JXZ75" s="2198"/>
      <c r="JYA75" s="2198"/>
      <c r="JYB75" s="2198"/>
      <c r="JYC75" s="2198"/>
      <c r="JYD75" s="2198"/>
      <c r="JYE75" s="2198"/>
      <c r="JYF75" s="2198"/>
      <c r="JYG75" s="2198"/>
      <c r="JYH75" s="2198"/>
      <c r="JYI75" s="2198"/>
      <c r="JYJ75" s="2198"/>
      <c r="JYK75" s="2198"/>
      <c r="JYL75" s="2198"/>
      <c r="JYM75" s="2198"/>
      <c r="JYN75" s="2198"/>
      <c r="JYO75" s="2198"/>
      <c r="JYP75" s="2198"/>
      <c r="JYQ75" s="2198"/>
      <c r="JYR75" s="2198"/>
      <c r="JYS75" s="2198"/>
      <c r="JYT75" s="2198"/>
      <c r="JYU75" s="2198"/>
      <c r="JYV75" s="2198"/>
      <c r="JYW75" s="2198"/>
      <c r="JYX75" s="2198"/>
      <c r="JYY75" s="2198"/>
      <c r="JYZ75" s="2198"/>
      <c r="JZA75" s="2198"/>
      <c r="JZB75" s="2198"/>
      <c r="JZC75" s="2198"/>
      <c r="JZD75" s="2198"/>
      <c r="JZE75" s="2198"/>
      <c r="JZF75" s="2198"/>
      <c r="JZG75" s="2198"/>
      <c r="JZH75" s="2198"/>
      <c r="JZI75" s="2198"/>
      <c r="JZJ75" s="2198"/>
      <c r="JZK75" s="2198"/>
      <c r="JZL75" s="2198"/>
      <c r="JZM75" s="2198"/>
      <c r="JZN75" s="2198"/>
      <c r="JZO75" s="2198"/>
      <c r="JZP75" s="2198"/>
      <c r="JZQ75" s="2198"/>
      <c r="JZR75" s="2198"/>
      <c r="JZS75" s="2198"/>
      <c r="JZT75" s="2198"/>
      <c r="JZU75" s="2198"/>
      <c r="JZV75" s="2198"/>
      <c r="JZW75" s="2198"/>
      <c r="JZX75" s="2198"/>
      <c r="JZY75" s="2198"/>
      <c r="JZZ75" s="2198"/>
      <c r="KAA75" s="2198"/>
      <c r="KAB75" s="2198"/>
      <c r="KAC75" s="2198"/>
      <c r="KAD75" s="2198"/>
      <c r="KAE75" s="2198"/>
      <c r="KAF75" s="2198"/>
      <c r="KAG75" s="2198"/>
      <c r="KAH75" s="2198"/>
      <c r="KAI75" s="2198"/>
      <c r="KAJ75" s="2198"/>
      <c r="KAK75" s="2198"/>
      <c r="KAL75" s="2198"/>
      <c r="KAM75" s="2198"/>
      <c r="KAN75" s="2198"/>
      <c r="KAO75" s="2198"/>
      <c r="KAP75" s="2198"/>
      <c r="KAQ75" s="2198"/>
      <c r="KAR75" s="2198"/>
      <c r="KAS75" s="2198"/>
      <c r="KAT75" s="2198"/>
      <c r="KAU75" s="2198"/>
      <c r="KAV75" s="2198"/>
      <c r="KAW75" s="2198"/>
      <c r="KAX75" s="2198"/>
      <c r="KAY75" s="2198"/>
      <c r="KAZ75" s="2198"/>
      <c r="KBA75" s="2198"/>
      <c r="KBB75" s="2198"/>
      <c r="KBC75" s="2198"/>
      <c r="KBD75" s="2198"/>
      <c r="KBE75" s="2198"/>
      <c r="KBF75" s="2198"/>
      <c r="KBG75" s="2198"/>
      <c r="KBH75" s="2198"/>
      <c r="KBI75" s="2198"/>
      <c r="KBJ75" s="2198"/>
      <c r="KBK75" s="2198"/>
      <c r="KBL75" s="2198"/>
      <c r="KBM75" s="2198"/>
      <c r="KBN75" s="2198"/>
      <c r="KBO75" s="2198"/>
      <c r="KBP75" s="2198"/>
      <c r="KBQ75" s="2198"/>
      <c r="KBR75" s="2198"/>
      <c r="KBS75" s="2198"/>
      <c r="KBT75" s="2198"/>
      <c r="KBU75" s="2198"/>
      <c r="KBV75" s="2198"/>
      <c r="KBW75" s="2198"/>
      <c r="KBX75" s="2198"/>
      <c r="KBY75" s="2198"/>
      <c r="KBZ75" s="2198"/>
      <c r="KCA75" s="2198"/>
      <c r="KCB75" s="2198"/>
      <c r="KCC75" s="2198"/>
      <c r="KCD75" s="2198"/>
      <c r="KCE75" s="2198"/>
      <c r="KCF75" s="2198"/>
      <c r="KCG75" s="2198"/>
      <c r="KCH75" s="2198"/>
      <c r="KCI75" s="2198"/>
      <c r="KCJ75" s="2198"/>
      <c r="KCK75" s="2198"/>
      <c r="KCL75" s="2198"/>
      <c r="KCM75" s="2198"/>
      <c r="KCN75" s="2198"/>
      <c r="KCO75" s="2198"/>
      <c r="KCP75" s="2198"/>
      <c r="KCQ75" s="2198"/>
      <c r="KCR75" s="2198"/>
      <c r="KCS75" s="2198"/>
      <c r="KCT75" s="2198"/>
      <c r="KCU75" s="2198"/>
      <c r="KCV75" s="2198"/>
      <c r="KCW75" s="2198"/>
      <c r="KCX75" s="2198"/>
      <c r="KCY75" s="2198"/>
      <c r="KCZ75" s="2198"/>
      <c r="KDA75" s="2198"/>
      <c r="KDB75" s="2198"/>
      <c r="KDC75" s="2198"/>
      <c r="KDD75" s="2198"/>
      <c r="KDE75" s="2198"/>
      <c r="KDF75" s="2198"/>
      <c r="KDG75" s="2198"/>
      <c r="KDH75" s="2198"/>
      <c r="KDI75" s="2198"/>
      <c r="KDJ75" s="2198"/>
      <c r="KDK75" s="2198"/>
      <c r="KDL75" s="2198"/>
      <c r="KDM75" s="2198"/>
      <c r="KDN75" s="2198"/>
      <c r="KDO75" s="2198"/>
      <c r="KDP75" s="2198"/>
      <c r="KDQ75" s="2198"/>
      <c r="KDR75" s="2198"/>
      <c r="KDS75" s="2198"/>
      <c r="KDT75" s="2198"/>
      <c r="KDU75" s="2198"/>
      <c r="KDV75" s="2198"/>
      <c r="KDW75" s="2198"/>
      <c r="KDX75" s="2198"/>
      <c r="KDY75" s="2198"/>
      <c r="KDZ75" s="2198"/>
      <c r="KEA75" s="2198"/>
      <c r="KEB75" s="2198"/>
      <c r="KEC75" s="2198"/>
      <c r="KED75" s="2198"/>
      <c r="KEE75" s="2198"/>
      <c r="KEF75" s="2198"/>
      <c r="KEG75" s="2198"/>
      <c r="KEH75" s="2198"/>
      <c r="KEI75" s="2198"/>
      <c r="KEJ75" s="2198"/>
      <c r="KEK75" s="2198"/>
      <c r="KEL75" s="2198"/>
      <c r="KEM75" s="2198"/>
      <c r="KEN75" s="2198"/>
      <c r="KEO75" s="2198"/>
      <c r="KEP75" s="2198"/>
      <c r="KEQ75" s="2198"/>
      <c r="KER75" s="2198"/>
      <c r="KES75" s="2198"/>
      <c r="KET75" s="2198"/>
      <c r="KEU75" s="2198"/>
      <c r="KEV75" s="2198"/>
      <c r="KEW75" s="2198"/>
      <c r="KEX75" s="2198"/>
      <c r="KEY75" s="2198"/>
      <c r="KEZ75" s="2198"/>
      <c r="KFA75" s="2198"/>
      <c r="KFB75" s="2198"/>
      <c r="KFC75" s="2198"/>
      <c r="KFD75" s="2198"/>
      <c r="KFE75" s="2198"/>
      <c r="KFF75" s="2198"/>
      <c r="KFG75" s="2198"/>
      <c r="KFH75" s="2198"/>
      <c r="KFI75" s="2198"/>
      <c r="KFJ75" s="2198"/>
      <c r="KFK75" s="2198"/>
      <c r="KFL75" s="2198"/>
      <c r="KFM75" s="2198"/>
      <c r="KFN75" s="2198"/>
      <c r="KFO75" s="2198"/>
      <c r="KFP75" s="2198"/>
      <c r="KFQ75" s="2198"/>
      <c r="KFR75" s="2198"/>
      <c r="KFS75" s="2198"/>
      <c r="KFT75" s="2198"/>
      <c r="KFU75" s="2198"/>
      <c r="KFV75" s="2198"/>
      <c r="KFW75" s="2198"/>
      <c r="KFX75" s="2198"/>
      <c r="KFY75" s="2198"/>
      <c r="KFZ75" s="2198"/>
      <c r="KGA75" s="2198"/>
      <c r="KGB75" s="2198"/>
      <c r="KGC75" s="2198"/>
      <c r="KGD75" s="2198"/>
      <c r="KGE75" s="2198"/>
      <c r="KGF75" s="2198"/>
      <c r="KGG75" s="2198"/>
      <c r="KGH75" s="2198"/>
      <c r="KGI75" s="2198"/>
      <c r="KGJ75" s="2198"/>
      <c r="KGK75" s="2198"/>
      <c r="KGL75" s="2198"/>
      <c r="KGM75" s="2198"/>
      <c r="KGN75" s="2198"/>
      <c r="KGO75" s="2198"/>
      <c r="KGP75" s="2198"/>
      <c r="KGQ75" s="2198"/>
      <c r="KGR75" s="2198"/>
      <c r="KGS75" s="2198"/>
      <c r="KGT75" s="2198"/>
      <c r="KGU75" s="2198"/>
      <c r="KGV75" s="2198"/>
      <c r="KGW75" s="2198"/>
      <c r="KGX75" s="2198"/>
      <c r="KGY75" s="2198"/>
      <c r="KGZ75" s="2198"/>
      <c r="KHA75" s="2198"/>
      <c r="KHB75" s="2198"/>
      <c r="KHC75" s="2198"/>
      <c r="KHD75" s="2198"/>
      <c r="KHE75" s="2198"/>
      <c r="KHF75" s="2198"/>
      <c r="KHG75" s="2198"/>
      <c r="KHH75" s="2198"/>
      <c r="KHI75" s="2198"/>
      <c r="KHJ75" s="2198"/>
      <c r="KHK75" s="2198"/>
      <c r="KHL75" s="2198"/>
      <c r="KHM75" s="2198"/>
      <c r="KHN75" s="2198"/>
      <c r="KHO75" s="2198"/>
      <c r="KHP75" s="2198"/>
      <c r="KHQ75" s="2198"/>
      <c r="KHR75" s="2198"/>
      <c r="KHS75" s="2198"/>
      <c r="KHT75" s="2198"/>
      <c r="KHU75" s="2198"/>
      <c r="KHV75" s="2198"/>
      <c r="KHW75" s="2198"/>
      <c r="KHX75" s="2198"/>
      <c r="KHY75" s="2198"/>
      <c r="KHZ75" s="2198"/>
      <c r="KIA75" s="2198"/>
      <c r="KIB75" s="2198"/>
      <c r="KIC75" s="2198"/>
      <c r="KID75" s="2198"/>
      <c r="KIE75" s="2198"/>
      <c r="KIF75" s="2198"/>
      <c r="KIG75" s="2198"/>
      <c r="KIH75" s="2198"/>
      <c r="KII75" s="2198"/>
      <c r="KIJ75" s="2198"/>
      <c r="KIK75" s="2198"/>
      <c r="KIL75" s="2198"/>
      <c r="KIM75" s="2198"/>
      <c r="KIN75" s="2198"/>
      <c r="KIO75" s="2198"/>
      <c r="KIP75" s="2198"/>
      <c r="KIQ75" s="2198"/>
      <c r="KIR75" s="2198"/>
      <c r="KIS75" s="2198"/>
      <c r="KIT75" s="2198"/>
      <c r="KIU75" s="2198"/>
      <c r="KIV75" s="2198"/>
      <c r="KIW75" s="2198"/>
      <c r="KIX75" s="2198"/>
      <c r="KIY75" s="2198"/>
      <c r="KIZ75" s="2198"/>
      <c r="KJA75" s="2198"/>
      <c r="KJB75" s="2198"/>
      <c r="KJC75" s="2198"/>
      <c r="KJD75" s="2198"/>
      <c r="KJE75" s="2198"/>
      <c r="KJF75" s="2198"/>
      <c r="KJG75" s="2198"/>
      <c r="KJH75" s="2198"/>
      <c r="KJI75" s="2198"/>
      <c r="KJJ75" s="2198"/>
      <c r="KJK75" s="2198"/>
      <c r="KJL75" s="2198"/>
      <c r="KJM75" s="2198"/>
      <c r="KJN75" s="2198"/>
      <c r="KJO75" s="2198"/>
      <c r="KJP75" s="2198"/>
      <c r="KJQ75" s="2198"/>
      <c r="KJR75" s="2198"/>
      <c r="KJS75" s="2198"/>
      <c r="KJT75" s="2198"/>
      <c r="KJU75" s="2198"/>
      <c r="KJV75" s="2198"/>
      <c r="KJW75" s="2198"/>
      <c r="KJX75" s="2198"/>
      <c r="KJY75" s="2198"/>
      <c r="KJZ75" s="2198"/>
      <c r="KKA75" s="2198"/>
      <c r="KKB75" s="2198"/>
      <c r="KKC75" s="2198"/>
      <c r="KKD75" s="2198"/>
      <c r="KKE75" s="2198"/>
      <c r="KKF75" s="2198"/>
      <c r="KKG75" s="2198"/>
      <c r="KKH75" s="2198"/>
      <c r="KKI75" s="2198"/>
      <c r="KKJ75" s="2198"/>
      <c r="KKK75" s="2198"/>
      <c r="KKL75" s="2198"/>
      <c r="KKM75" s="2198"/>
      <c r="KKN75" s="2198"/>
      <c r="KKO75" s="2198"/>
      <c r="KKP75" s="2198"/>
      <c r="KKQ75" s="2198"/>
      <c r="KKR75" s="2198"/>
      <c r="KKS75" s="2198"/>
      <c r="KKT75" s="2198"/>
      <c r="KKU75" s="2198"/>
      <c r="KKV75" s="2198"/>
      <c r="KKW75" s="2198"/>
      <c r="KKX75" s="2198"/>
      <c r="KKY75" s="2198"/>
      <c r="KKZ75" s="2198"/>
      <c r="KLA75" s="2198"/>
      <c r="KLB75" s="2198"/>
      <c r="KLC75" s="2198"/>
      <c r="KLD75" s="2198"/>
      <c r="KLE75" s="2198"/>
      <c r="KLF75" s="2198"/>
      <c r="KLG75" s="2198"/>
      <c r="KLH75" s="2198"/>
      <c r="KLI75" s="2198"/>
      <c r="KLJ75" s="2198"/>
      <c r="KLK75" s="2198"/>
      <c r="KLL75" s="2198"/>
      <c r="KLM75" s="2198"/>
      <c r="KLN75" s="2198"/>
      <c r="KLO75" s="2198"/>
      <c r="KLP75" s="2198"/>
      <c r="KLQ75" s="2198"/>
      <c r="KLR75" s="2198"/>
      <c r="KLS75" s="2198"/>
      <c r="KLT75" s="2198"/>
      <c r="KLU75" s="2198"/>
      <c r="KLV75" s="2198"/>
      <c r="KLW75" s="2198"/>
      <c r="KLX75" s="2198"/>
      <c r="KLY75" s="2198"/>
      <c r="KLZ75" s="2198"/>
      <c r="KMA75" s="2198"/>
      <c r="KMB75" s="2198"/>
      <c r="KMC75" s="2198"/>
      <c r="KMD75" s="2198"/>
      <c r="KME75" s="2198"/>
      <c r="KMF75" s="2198"/>
      <c r="KMG75" s="2198"/>
      <c r="KMH75" s="2198"/>
      <c r="KMI75" s="2198"/>
      <c r="KMJ75" s="2198"/>
      <c r="KMK75" s="2198"/>
      <c r="KML75" s="2198"/>
      <c r="KMM75" s="2198"/>
      <c r="KMN75" s="2198"/>
      <c r="KMO75" s="2198"/>
      <c r="KMP75" s="2198"/>
      <c r="KMQ75" s="2198"/>
      <c r="KMR75" s="2198"/>
      <c r="KMS75" s="2198"/>
      <c r="KMT75" s="2198"/>
      <c r="KMU75" s="2198"/>
      <c r="KMV75" s="2198"/>
      <c r="KMW75" s="2198"/>
      <c r="KMX75" s="2198"/>
      <c r="KMY75" s="2198"/>
      <c r="KMZ75" s="2198"/>
      <c r="KNA75" s="2198"/>
      <c r="KNB75" s="2198"/>
      <c r="KNC75" s="2198"/>
      <c r="KND75" s="2198"/>
      <c r="KNE75" s="2198"/>
      <c r="KNF75" s="2198"/>
      <c r="KNG75" s="2198"/>
      <c r="KNH75" s="2198"/>
      <c r="KNI75" s="2198"/>
      <c r="KNJ75" s="2198"/>
      <c r="KNK75" s="2198"/>
      <c r="KNL75" s="2198"/>
      <c r="KNM75" s="2198"/>
      <c r="KNN75" s="2198"/>
      <c r="KNO75" s="2198"/>
      <c r="KNP75" s="2198"/>
      <c r="KNQ75" s="2198"/>
      <c r="KNR75" s="2198"/>
      <c r="KNS75" s="2198"/>
      <c r="KNT75" s="2198"/>
      <c r="KNU75" s="2198"/>
      <c r="KNV75" s="2198"/>
      <c r="KNW75" s="2198"/>
      <c r="KNX75" s="2198"/>
      <c r="KNY75" s="2198"/>
      <c r="KNZ75" s="2198"/>
      <c r="KOA75" s="2198"/>
      <c r="KOB75" s="2198"/>
      <c r="KOC75" s="2198"/>
      <c r="KOD75" s="2198"/>
      <c r="KOE75" s="2198"/>
      <c r="KOF75" s="2198"/>
      <c r="KOG75" s="2198"/>
      <c r="KOH75" s="2198"/>
      <c r="KOI75" s="2198"/>
      <c r="KOJ75" s="2198"/>
      <c r="KOK75" s="2198"/>
      <c r="KOL75" s="2198"/>
      <c r="KOM75" s="2198"/>
      <c r="KON75" s="2198"/>
      <c r="KOO75" s="2198"/>
      <c r="KOP75" s="2198"/>
      <c r="KOQ75" s="2198"/>
      <c r="KOR75" s="2198"/>
      <c r="KOS75" s="2198"/>
      <c r="KOT75" s="2198"/>
      <c r="KOU75" s="2198"/>
      <c r="KOV75" s="2198"/>
      <c r="KOW75" s="2198"/>
      <c r="KOX75" s="2198"/>
      <c r="KOY75" s="2198"/>
      <c r="KOZ75" s="2198"/>
      <c r="KPA75" s="2198"/>
      <c r="KPB75" s="2198"/>
      <c r="KPC75" s="2198"/>
      <c r="KPD75" s="2198"/>
      <c r="KPE75" s="2198"/>
      <c r="KPF75" s="2198"/>
      <c r="KPG75" s="2198"/>
      <c r="KPH75" s="2198"/>
      <c r="KPI75" s="2198"/>
      <c r="KPJ75" s="2198"/>
      <c r="KPK75" s="2198"/>
      <c r="KPL75" s="2198"/>
      <c r="KPM75" s="2198"/>
      <c r="KPN75" s="2198"/>
      <c r="KPO75" s="2198"/>
      <c r="KPP75" s="2198"/>
      <c r="KPQ75" s="2198"/>
      <c r="KPR75" s="2198"/>
      <c r="KPS75" s="2198"/>
      <c r="KPT75" s="2198"/>
      <c r="KPU75" s="2198"/>
      <c r="KPV75" s="2198"/>
      <c r="KPW75" s="2198"/>
      <c r="KPX75" s="2198"/>
      <c r="KPY75" s="2198"/>
      <c r="KPZ75" s="2198"/>
      <c r="KQA75" s="2198"/>
      <c r="KQB75" s="2198"/>
      <c r="KQC75" s="2198"/>
      <c r="KQD75" s="2198"/>
      <c r="KQE75" s="2198"/>
      <c r="KQF75" s="2198"/>
      <c r="KQG75" s="2198"/>
      <c r="KQH75" s="2198"/>
      <c r="KQI75" s="2198"/>
      <c r="KQJ75" s="2198"/>
      <c r="KQK75" s="2198"/>
      <c r="KQL75" s="2198"/>
      <c r="KQM75" s="2198"/>
      <c r="KQN75" s="2198"/>
      <c r="KQO75" s="2198"/>
      <c r="KQP75" s="2198"/>
      <c r="KQQ75" s="2198"/>
      <c r="KQR75" s="2198"/>
      <c r="KQS75" s="2198"/>
      <c r="KQT75" s="2198"/>
      <c r="KQU75" s="2198"/>
      <c r="KQV75" s="2198"/>
      <c r="KQW75" s="2198"/>
      <c r="KQX75" s="2198"/>
      <c r="KQY75" s="2198"/>
      <c r="KQZ75" s="2198"/>
      <c r="KRA75" s="2198"/>
      <c r="KRB75" s="2198"/>
      <c r="KRC75" s="2198"/>
      <c r="KRD75" s="2198"/>
      <c r="KRE75" s="2198"/>
      <c r="KRF75" s="2198"/>
      <c r="KRG75" s="2198"/>
      <c r="KRH75" s="2198"/>
      <c r="KRI75" s="2198"/>
      <c r="KRJ75" s="2198"/>
      <c r="KRK75" s="2198"/>
      <c r="KRL75" s="2198"/>
      <c r="KRM75" s="2198"/>
      <c r="KRN75" s="2198"/>
      <c r="KRO75" s="2198"/>
      <c r="KRP75" s="2198"/>
      <c r="KRQ75" s="2198"/>
      <c r="KRR75" s="2198"/>
      <c r="KRS75" s="2198"/>
      <c r="KRT75" s="2198"/>
      <c r="KRU75" s="2198"/>
      <c r="KRV75" s="2198"/>
      <c r="KRW75" s="2198"/>
      <c r="KRX75" s="2198"/>
      <c r="KRY75" s="2198"/>
      <c r="KRZ75" s="2198"/>
      <c r="KSA75" s="2198"/>
      <c r="KSB75" s="2198"/>
      <c r="KSC75" s="2198"/>
      <c r="KSD75" s="2198"/>
      <c r="KSE75" s="2198"/>
      <c r="KSF75" s="2198"/>
      <c r="KSG75" s="2198"/>
      <c r="KSH75" s="2198"/>
      <c r="KSI75" s="2198"/>
      <c r="KSJ75" s="2198"/>
      <c r="KSK75" s="2198"/>
      <c r="KSL75" s="2198"/>
      <c r="KSM75" s="2198"/>
      <c r="KSN75" s="2198"/>
      <c r="KSO75" s="2198"/>
      <c r="KSP75" s="2198"/>
      <c r="KSQ75" s="2198"/>
      <c r="KSR75" s="2198"/>
      <c r="KSS75" s="2198"/>
      <c r="KST75" s="2198"/>
      <c r="KSU75" s="2198"/>
      <c r="KSV75" s="2198"/>
      <c r="KSW75" s="2198"/>
      <c r="KSX75" s="2198"/>
      <c r="KSY75" s="2198"/>
      <c r="KSZ75" s="2198"/>
      <c r="KTA75" s="2198"/>
      <c r="KTB75" s="2198"/>
      <c r="KTC75" s="2198"/>
      <c r="KTD75" s="2198"/>
      <c r="KTE75" s="2198"/>
      <c r="KTF75" s="2198"/>
      <c r="KTG75" s="2198"/>
      <c r="KTH75" s="2198"/>
      <c r="KTI75" s="2198"/>
      <c r="KTJ75" s="2198"/>
      <c r="KTK75" s="2198"/>
      <c r="KTL75" s="2198"/>
      <c r="KTM75" s="2198"/>
      <c r="KTN75" s="2198"/>
      <c r="KTO75" s="2198"/>
      <c r="KTP75" s="2198"/>
      <c r="KTQ75" s="2198"/>
      <c r="KTR75" s="2198"/>
      <c r="KTS75" s="2198"/>
      <c r="KTT75" s="2198"/>
      <c r="KTU75" s="2198"/>
      <c r="KTV75" s="2198"/>
      <c r="KTW75" s="2198"/>
      <c r="KTX75" s="2198"/>
      <c r="KTY75" s="2198"/>
      <c r="KTZ75" s="2198"/>
      <c r="KUA75" s="2198"/>
      <c r="KUB75" s="2198"/>
      <c r="KUC75" s="2198"/>
      <c r="KUD75" s="2198"/>
      <c r="KUE75" s="2198"/>
      <c r="KUF75" s="2198"/>
      <c r="KUG75" s="2198"/>
      <c r="KUH75" s="2198"/>
      <c r="KUI75" s="2198"/>
      <c r="KUJ75" s="2198"/>
      <c r="KUK75" s="2198"/>
      <c r="KUL75" s="2198"/>
      <c r="KUM75" s="2198"/>
      <c r="KUN75" s="2198"/>
      <c r="KUO75" s="2198"/>
      <c r="KUP75" s="2198"/>
      <c r="KUQ75" s="2198"/>
      <c r="KUR75" s="2198"/>
      <c r="KUS75" s="2198"/>
      <c r="KUT75" s="2198"/>
      <c r="KUU75" s="2198"/>
      <c r="KUV75" s="2198"/>
      <c r="KUW75" s="2198"/>
      <c r="KUX75" s="2198"/>
      <c r="KUY75" s="2198"/>
      <c r="KUZ75" s="2198"/>
      <c r="KVA75" s="2198"/>
      <c r="KVB75" s="2198"/>
      <c r="KVC75" s="2198"/>
      <c r="KVD75" s="2198"/>
      <c r="KVE75" s="2198"/>
      <c r="KVF75" s="2198"/>
      <c r="KVG75" s="2198"/>
      <c r="KVH75" s="2198"/>
      <c r="KVI75" s="2198"/>
      <c r="KVJ75" s="2198"/>
      <c r="KVK75" s="2198"/>
      <c r="KVL75" s="2198"/>
      <c r="KVM75" s="2198"/>
      <c r="KVN75" s="2198"/>
      <c r="KVO75" s="2198"/>
      <c r="KVP75" s="2198"/>
      <c r="KVQ75" s="2198"/>
      <c r="KVR75" s="2198"/>
      <c r="KVS75" s="2198"/>
      <c r="KVT75" s="2198"/>
      <c r="KVU75" s="2198"/>
      <c r="KVV75" s="2198"/>
      <c r="KVW75" s="2198"/>
      <c r="KVX75" s="2198"/>
      <c r="KVY75" s="2198"/>
      <c r="KVZ75" s="2198"/>
      <c r="KWA75" s="2198"/>
      <c r="KWB75" s="2198"/>
      <c r="KWC75" s="2198"/>
      <c r="KWD75" s="2198"/>
      <c r="KWE75" s="2198"/>
      <c r="KWF75" s="2198"/>
      <c r="KWG75" s="2198"/>
      <c r="KWH75" s="2198"/>
      <c r="KWI75" s="2198"/>
      <c r="KWJ75" s="2198"/>
      <c r="KWK75" s="2198"/>
      <c r="KWL75" s="2198"/>
      <c r="KWM75" s="2198"/>
      <c r="KWN75" s="2198"/>
      <c r="KWO75" s="2198"/>
      <c r="KWP75" s="2198"/>
      <c r="KWQ75" s="2198"/>
      <c r="KWR75" s="2198"/>
      <c r="KWS75" s="2198"/>
      <c r="KWT75" s="2198"/>
      <c r="KWU75" s="2198"/>
      <c r="KWV75" s="2198"/>
      <c r="KWW75" s="2198"/>
      <c r="KWX75" s="2198"/>
      <c r="KWY75" s="2198"/>
      <c r="KWZ75" s="2198"/>
      <c r="KXA75" s="2198"/>
      <c r="KXB75" s="2198"/>
      <c r="KXC75" s="2198"/>
      <c r="KXD75" s="2198"/>
      <c r="KXE75" s="2198"/>
      <c r="KXF75" s="2198"/>
      <c r="KXG75" s="2198"/>
      <c r="KXH75" s="2198"/>
      <c r="KXI75" s="2198"/>
      <c r="KXJ75" s="2198"/>
      <c r="KXK75" s="2198"/>
      <c r="KXL75" s="2198"/>
      <c r="KXM75" s="2198"/>
      <c r="KXN75" s="2198"/>
      <c r="KXO75" s="2198"/>
      <c r="KXP75" s="2198"/>
      <c r="KXQ75" s="2198"/>
      <c r="KXR75" s="2198"/>
      <c r="KXS75" s="2198"/>
      <c r="KXT75" s="2198"/>
      <c r="KXU75" s="2198"/>
      <c r="KXV75" s="2198"/>
      <c r="KXW75" s="2198"/>
      <c r="KXX75" s="2198"/>
      <c r="KXY75" s="2198"/>
      <c r="KXZ75" s="2198"/>
      <c r="KYA75" s="2198"/>
      <c r="KYB75" s="2198"/>
      <c r="KYC75" s="2198"/>
      <c r="KYD75" s="2198"/>
      <c r="KYE75" s="2198"/>
      <c r="KYF75" s="2198"/>
      <c r="KYG75" s="2198"/>
      <c r="KYH75" s="2198"/>
      <c r="KYI75" s="2198"/>
      <c r="KYJ75" s="2198"/>
      <c r="KYK75" s="2198"/>
      <c r="KYL75" s="2198"/>
      <c r="KYM75" s="2198"/>
      <c r="KYN75" s="2198"/>
      <c r="KYO75" s="2198"/>
      <c r="KYP75" s="2198"/>
      <c r="KYQ75" s="2198"/>
      <c r="KYR75" s="2198"/>
      <c r="KYS75" s="2198"/>
      <c r="KYT75" s="2198"/>
      <c r="KYU75" s="2198"/>
      <c r="KYV75" s="2198"/>
      <c r="KYW75" s="2198"/>
      <c r="KYX75" s="2198"/>
      <c r="KYY75" s="2198"/>
      <c r="KYZ75" s="2198"/>
      <c r="KZA75" s="2198"/>
      <c r="KZB75" s="2198"/>
      <c r="KZC75" s="2198"/>
      <c r="KZD75" s="2198"/>
      <c r="KZE75" s="2198"/>
      <c r="KZF75" s="2198"/>
      <c r="KZG75" s="2198"/>
      <c r="KZH75" s="2198"/>
      <c r="KZI75" s="2198"/>
      <c r="KZJ75" s="2198"/>
      <c r="KZK75" s="2198"/>
      <c r="KZL75" s="2198"/>
      <c r="KZM75" s="2198"/>
      <c r="KZN75" s="2198"/>
      <c r="KZO75" s="2198"/>
      <c r="KZP75" s="2198"/>
      <c r="KZQ75" s="2198"/>
      <c r="KZR75" s="2198"/>
      <c r="KZS75" s="2198"/>
      <c r="KZT75" s="2198"/>
      <c r="KZU75" s="2198"/>
      <c r="KZV75" s="2198"/>
      <c r="KZW75" s="2198"/>
      <c r="KZX75" s="2198"/>
      <c r="KZY75" s="2198"/>
      <c r="KZZ75" s="2198"/>
      <c r="LAA75" s="2198"/>
      <c r="LAB75" s="2198"/>
      <c r="LAC75" s="2198"/>
      <c r="LAD75" s="2198"/>
      <c r="LAE75" s="2198"/>
      <c r="LAF75" s="2198"/>
      <c r="LAG75" s="2198"/>
      <c r="LAH75" s="2198"/>
      <c r="LAI75" s="2198"/>
      <c r="LAJ75" s="2198"/>
      <c r="LAK75" s="2198"/>
      <c r="LAL75" s="2198"/>
      <c r="LAM75" s="2198"/>
      <c r="LAN75" s="2198"/>
      <c r="LAO75" s="2198"/>
      <c r="LAP75" s="2198"/>
      <c r="LAQ75" s="2198"/>
      <c r="LAR75" s="2198"/>
      <c r="LAS75" s="2198"/>
      <c r="LAT75" s="2198"/>
      <c r="LAU75" s="2198"/>
      <c r="LAV75" s="2198"/>
      <c r="LAW75" s="2198"/>
      <c r="LAX75" s="2198"/>
      <c r="LAY75" s="2198"/>
      <c r="LAZ75" s="2198"/>
      <c r="LBA75" s="2198"/>
      <c r="LBB75" s="2198"/>
      <c r="LBC75" s="2198"/>
      <c r="LBD75" s="2198"/>
      <c r="LBE75" s="2198"/>
      <c r="LBF75" s="2198"/>
      <c r="LBG75" s="2198"/>
      <c r="LBH75" s="2198"/>
      <c r="LBI75" s="2198"/>
      <c r="LBJ75" s="2198"/>
      <c r="LBK75" s="2198"/>
      <c r="LBL75" s="2198"/>
      <c r="LBM75" s="2198"/>
      <c r="LBN75" s="2198"/>
      <c r="LBO75" s="2198"/>
      <c r="LBP75" s="2198"/>
      <c r="LBQ75" s="2198"/>
      <c r="LBR75" s="2198"/>
      <c r="LBS75" s="2198"/>
      <c r="LBT75" s="2198"/>
      <c r="LBU75" s="2198"/>
      <c r="LBV75" s="2198"/>
      <c r="LBW75" s="2198"/>
      <c r="LBX75" s="2198"/>
      <c r="LBY75" s="2198"/>
      <c r="LBZ75" s="2198"/>
      <c r="LCA75" s="2198"/>
      <c r="LCB75" s="2198"/>
      <c r="LCC75" s="2198"/>
      <c r="LCD75" s="2198"/>
      <c r="LCE75" s="2198"/>
      <c r="LCF75" s="2198"/>
      <c r="LCG75" s="2198"/>
      <c r="LCH75" s="2198"/>
      <c r="LCI75" s="2198"/>
      <c r="LCJ75" s="2198"/>
      <c r="LCK75" s="2198"/>
      <c r="LCL75" s="2198"/>
      <c r="LCM75" s="2198"/>
      <c r="LCN75" s="2198"/>
      <c r="LCO75" s="2198"/>
      <c r="LCP75" s="2198"/>
      <c r="LCQ75" s="2198"/>
      <c r="LCR75" s="2198"/>
      <c r="LCS75" s="2198"/>
      <c r="LCT75" s="2198"/>
      <c r="LCU75" s="2198"/>
      <c r="LCV75" s="2198"/>
      <c r="LCW75" s="2198"/>
      <c r="LCX75" s="2198"/>
      <c r="LCY75" s="2198"/>
      <c r="LCZ75" s="2198"/>
      <c r="LDA75" s="2198"/>
      <c r="LDB75" s="2198"/>
      <c r="LDC75" s="2198"/>
      <c r="LDD75" s="2198"/>
      <c r="LDE75" s="2198"/>
      <c r="LDF75" s="2198"/>
      <c r="LDG75" s="2198"/>
      <c r="LDH75" s="2198"/>
      <c r="LDI75" s="2198"/>
      <c r="LDJ75" s="2198"/>
      <c r="LDK75" s="2198"/>
      <c r="LDL75" s="2198"/>
      <c r="LDM75" s="2198"/>
      <c r="LDN75" s="2198"/>
      <c r="LDO75" s="2198"/>
      <c r="LDP75" s="2198"/>
      <c r="LDQ75" s="2198"/>
      <c r="LDR75" s="2198"/>
      <c r="LDS75" s="2198"/>
      <c r="LDT75" s="2198"/>
      <c r="LDU75" s="2198"/>
      <c r="LDV75" s="2198"/>
      <c r="LDW75" s="2198"/>
      <c r="LDX75" s="2198"/>
      <c r="LDY75" s="2198"/>
      <c r="LDZ75" s="2198"/>
      <c r="LEA75" s="2198"/>
      <c r="LEB75" s="2198"/>
      <c r="LEC75" s="2198"/>
      <c r="LED75" s="2198"/>
      <c r="LEE75" s="2198"/>
      <c r="LEF75" s="2198"/>
      <c r="LEG75" s="2198"/>
      <c r="LEH75" s="2198"/>
      <c r="LEI75" s="2198"/>
      <c r="LEJ75" s="2198"/>
      <c r="LEK75" s="2198"/>
      <c r="LEL75" s="2198"/>
      <c r="LEM75" s="2198"/>
      <c r="LEN75" s="2198"/>
      <c r="LEO75" s="2198"/>
      <c r="LEP75" s="2198"/>
      <c r="LEQ75" s="2198"/>
      <c r="LER75" s="2198"/>
      <c r="LES75" s="2198"/>
      <c r="LET75" s="2198"/>
      <c r="LEU75" s="2198"/>
      <c r="LEV75" s="2198"/>
      <c r="LEW75" s="2198"/>
      <c r="LEX75" s="2198"/>
      <c r="LEY75" s="2198"/>
      <c r="LEZ75" s="2198"/>
      <c r="LFA75" s="2198"/>
      <c r="LFB75" s="2198"/>
      <c r="LFC75" s="2198"/>
      <c r="LFD75" s="2198"/>
      <c r="LFE75" s="2198"/>
      <c r="LFF75" s="2198"/>
      <c r="LFG75" s="2198"/>
      <c r="LFH75" s="2198"/>
      <c r="LFI75" s="2198"/>
      <c r="LFJ75" s="2198"/>
      <c r="LFK75" s="2198"/>
      <c r="LFL75" s="2198"/>
      <c r="LFM75" s="2198"/>
      <c r="LFN75" s="2198"/>
      <c r="LFO75" s="2198"/>
      <c r="LFP75" s="2198"/>
      <c r="LFQ75" s="2198"/>
      <c r="LFR75" s="2198"/>
      <c r="LFS75" s="2198"/>
      <c r="LFT75" s="2198"/>
      <c r="LFU75" s="2198"/>
      <c r="LFV75" s="2198"/>
      <c r="LFW75" s="2198"/>
      <c r="LFX75" s="2198"/>
      <c r="LFY75" s="2198"/>
      <c r="LFZ75" s="2198"/>
      <c r="LGA75" s="2198"/>
      <c r="LGB75" s="2198"/>
      <c r="LGC75" s="2198"/>
      <c r="LGD75" s="2198"/>
      <c r="LGE75" s="2198"/>
      <c r="LGF75" s="2198"/>
      <c r="LGG75" s="2198"/>
      <c r="LGH75" s="2198"/>
      <c r="LGI75" s="2198"/>
      <c r="LGJ75" s="2198"/>
      <c r="LGK75" s="2198"/>
      <c r="LGL75" s="2198"/>
      <c r="LGM75" s="2198"/>
      <c r="LGN75" s="2198"/>
      <c r="LGO75" s="2198"/>
      <c r="LGP75" s="2198"/>
      <c r="LGQ75" s="2198"/>
      <c r="LGR75" s="2198"/>
      <c r="LGS75" s="2198"/>
      <c r="LGT75" s="2198"/>
      <c r="LGU75" s="2198"/>
      <c r="LGV75" s="2198"/>
      <c r="LGW75" s="2198"/>
      <c r="LGX75" s="2198"/>
      <c r="LGY75" s="2198"/>
      <c r="LGZ75" s="2198"/>
      <c r="LHA75" s="2198"/>
      <c r="LHB75" s="2198"/>
      <c r="LHC75" s="2198"/>
      <c r="LHD75" s="2198"/>
      <c r="LHE75" s="2198"/>
      <c r="LHF75" s="2198"/>
      <c r="LHG75" s="2198"/>
      <c r="LHH75" s="2198"/>
      <c r="LHI75" s="2198"/>
      <c r="LHJ75" s="2198"/>
      <c r="LHK75" s="2198"/>
      <c r="LHL75" s="2198"/>
      <c r="LHM75" s="2198"/>
      <c r="LHN75" s="2198"/>
      <c r="LHO75" s="2198"/>
      <c r="LHP75" s="2198"/>
      <c r="LHQ75" s="2198"/>
      <c r="LHR75" s="2198"/>
      <c r="LHS75" s="2198"/>
      <c r="LHT75" s="2198"/>
      <c r="LHU75" s="2198"/>
      <c r="LHV75" s="2198"/>
      <c r="LHW75" s="2198"/>
      <c r="LHX75" s="2198"/>
      <c r="LHY75" s="2198"/>
      <c r="LHZ75" s="2198"/>
      <c r="LIA75" s="2198"/>
      <c r="LIB75" s="2198"/>
      <c r="LIC75" s="2198"/>
      <c r="LID75" s="2198"/>
      <c r="LIE75" s="2198"/>
      <c r="LIF75" s="2198"/>
      <c r="LIG75" s="2198"/>
      <c r="LIH75" s="2198"/>
      <c r="LII75" s="2198"/>
      <c r="LIJ75" s="2198"/>
      <c r="LIK75" s="2198"/>
      <c r="LIL75" s="2198"/>
      <c r="LIM75" s="2198"/>
      <c r="LIN75" s="2198"/>
      <c r="LIO75" s="2198"/>
      <c r="LIP75" s="2198"/>
      <c r="LIQ75" s="2198"/>
      <c r="LIR75" s="2198"/>
      <c r="LIS75" s="2198"/>
      <c r="LIT75" s="2198"/>
      <c r="LIU75" s="2198"/>
      <c r="LIV75" s="2198"/>
      <c r="LIW75" s="2198"/>
      <c r="LIX75" s="2198"/>
      <c r="LIY75" s="2198"/>
      <c r="LIZ75" s="2198"/>
      <c r="LJA75" s="2198"/>
      <c r="LJB75" s="2198"/>
      <c r="LJC75" s="2198"/>
      <c r="LJD75" s="2198"/>
      <c r="LJE75" s="2198"/>
      <c r="LJF75" s="2198"/>
      <c r="LJG75" s="2198"/>
      <c r="LJH75" s="2198"/>
      <c r="LJI75" s="2198"/>
      <c r="LJJ75" s="2198"/>
      <c r="LJK75" s="2198"/>
      <c r="LJL75" s="2198"/>
      <c r="LJM75" s="2198"/>
      <c r="LJN75" s="2198"/>
      <c r="LJO75" s="2198"/>
      <c r="LJP75" s="2198"/>
      <c r="LJQ75" s="2198"/>
      <c r="LJR75" s="2198"/>
      <c r="LJS75" s="2198"/>
      <c r="LJT75" s="2198"/>
      <c r="LJU75" s="2198"/>
      <c r="LJV75" s="2198"/>
      <c r="LJW75" s="2198"/>
      <c r="LJX75" s="2198"/>
      <c r="LJY75" s="2198"/>
      <c r="LJZ75" s="2198"/>
      <c r="LKA75" s="2198"/>
      <c r="LKB75" s="2198"/>
      <c r="LKC75" s="2198"/>
      <c r="LKD75" s="2198"/>
      <c r="LKE75" s="2198"/>
      <c r="LKF75" s="2198"/>
      <c r="LKG75" s="2198"/>
      <c r="LKH75" s="2198"/>
      <c r="LKI75" s="2198"/>
      <c r="LKJ75" s="2198"/>
      <c r="LKK75" s="2198"/>
      <c r="LKL75" s="2198"/>
      <c r="LKM75" s="2198"/>
      <c r="LKN75" s="2198"/>
      <c r="LKO75" s="2198"/>
      <c r="LKP75" s="2198"/>
      <c r="LKQ75" s="2198"/>
      <c r="LKR75" s="2198"/>
      <c r="LKS75" s="2198"/>
      <c r="LKT75" s="2198"/>
      <c r="LKU75" s="2198"/>
      <c r="LKV75" s="2198"/>
      <c r="LKW75" s="2198"/>
      <c r="LKX75" s="2198"/>
      <c r="LKY75" s="2198"/>
      <c r="LKZ75" s="2198"/>
      <c r="LLA75" s="2198"/>
      <c r="LLB75" s="2198"/>
      <c r="LLC75" s="2198"/>
      <c r="LLD75" s="2198"/>
      <c r="LLE75" s="2198"/>
      <c r="LLF75" s="2198"/>
      <c r="LLG75" s="2198"/>
      <c r="LLH75" s="2198"/>
      <c r="LLI75" s="2198"/>
      <c r="LLJ75" s="2198"/>
      <c r="LLK75" s="2198"/>
      <c r="LLL75" s="2198"/>
      <c r="LLM75" s="2198"/>
      <c r="LLN75" s="2198"/>
      <c r="LLO75" s="2198"/>
      <c r="LLP75" s="2198"/>
      <c r="LLQ75" s="2198"/>
      <c r="LLR75" s="2198"/>
      <c r="LLS75" s="2198"/>
      <c r="LLT75" s="2198"/>
      <c r="LLU75" s="2198"/>
      <c r="LLV75" s="2198"/>
      <c r="LLW75" s="2198"/>
      <c r="LLX75" s="2198"/>
      <c r="LLY75" s="2198"/>
      <c r="LLZ75" s="2198"/>
      <c r="LMA75" s="2198"/>
      <c r="LMB75" s="2198"/>
      <c r="LMC75" s="2198"/>
      <c r="LMD75" s="2198"/>
      <c r="LME75" s="2198"/>
      <c r="LMF75" s="2198"/>
      <c r="LMG75" s="2198"/>
      <c r="LMH75" s="2198"/>
      <c r="LMI75" s="2198"/>
      <c r="LMJ75" s="2198"/>
      <c r="LMK75" s="2198"/>
      <c r="LML75" s="2198"/>
      <c r="LMM75" s="2198"/>
      <c r="LMN75" s="2198"/>
      <c r="LMO75" s="2198"/>
      <c r="LMP75" s="2198"/>
      <c r="LMQ75" s="2198"/>
      <c r="LMR75" s="2198"/>
      <c r="LMS75" s="2198"/>
      <c r="LMT75" s="2198"/>
      <c r="LMU75" s="2198"/>
      <c r="LMV75" s="2198"/>
      <c r="LMW75" s="2198"/>
      <c r="LMX75" s="2198"/>
      <c r="LMY75" s="2198"/>
      <c r="LMZ75" s="2198"/>
      <c r="LNA75" s="2198"/>
      <c r="LNB75" s="2198"/>
      <c r="LNC75" s="2198"/>
      <c r="LND75" s="2198"/>
      <c r="LNE75" s="2198"/>
      <c r="LNF75" s="2198"/>
      <c r="LNG75" s="2198"/>
      <c r="LNH75" s="2198"/>
      <c r="LNI75" s="2198"/>
      <c r="LNJ75" s="2198"/>
      <c r="LNK75" s="2198"/>
      <c r="LNL75" s="2198"/>
      <c r="LNM75" s="2198"/>
      <c r="LNN75" s="2198"/>
      <c r="LNO75" s="2198"/>
      <c r="LNP75" s="2198"/>
      <c r="LNQ75" s="2198"/>
      <c r="LNR75" s="2198"/>
      <c r="LNS75" s="2198"/>
      <c r="LNT75" s="2198"/>
      <c r="LNU75" s="2198"/>
      <c r="LNV75" s="2198"/>
      <c r="LNW75" s="2198"/>
      <c r="LNX75" s="2198"/>
      <c r="LNY75" s="2198"/>
      <c r="LNZ75" s="2198"/>
      <c r="LOA75" s="2198"/>
      <c r="LOB75" s="2198"/>
      <c r="LOC75" s="2198"/>
      <c r="LOD75" s="2198"/>
      <c r="LOE75" s="2198"/>
      <c r="LOF75" s="2198"/>
      <c r="LOG75" s="2198"/>
      <c r="LOH75" s="2198"/>
      <c r="LOI75" s="2198"/>
      <c r="LOJ75" s="2198"/>
      <c r="LOK75" s="2198"/>
      <c r="LOL75" s="2198"/>
      <c r="LOM75" s="2198"/>
      <c r="LON75" s="2198"/>
      <c r="LOO75" s="2198"/>
      <c r="LOP75" s="2198"/>
      <c r="LOQ75" s="2198"/>
      <c r="LOR75" s="2198"/>
      <c r="LOS75" s="2198"/>
      <c r="LOT75" s="2198"/>
      <c r="LOU75" s="2198"/>
      <c r="LOV75" s="2198"/>
      <c r="LOW75" s="2198"/>
      <c r="LOX75" s="2198"/>
      <c r="LOY75" s="2198"/>
      <c r="LOZ75" s="2198"/>
      <c r="LPA75" s="2198"/>
      <c r="LPB75" s="2198"/>
      <c r="LPC75" s="2198"/>
      <c r="LPD75" s="2198"/>
      <c r="LPE75" s="2198"/>
      <c r="LPF75" s="2198"/>
      <c r="LPG75" s="2198"/>
      <c r="LPH75" s="2198"/>
      <c r="LPI75" s="2198"/>
      <c r="LPJ75" s="2198"/>
      <c r="LPK75" s="2198"/>
      <c r="LPL75" s="2198"/>
      <c r="LPM75" s="2198"/>
      <c r="LPN75" s="2198"/>
      <c r="LPO75" s="2198"/>
      <c r="LPP75" s="2198"/>
      <c r="LPQ75" s="2198"/>
      <c r="LPR75" s="2198"/>
      <c r="LPS75" s="2198"/>
      <c r="LPT75" s="2198"/>
      <c r="LPU75" s="2198"/>
      <c r="LPV75" s="2198"/>
      <c r="LPW75" s="2198"/>
      <c r="LPX75" s="2198"/>
      <c r="LPY75" s="2198"/>
      <c r="LPZ75" s="2198"/>
      <c r="LQA75" s="2198"/>
      <c r="LQB75" s="2198"/>
      <c r="LQC75" s="2198"/>
      <c r="LQD75" s="2198"/>
      <c r="LQE75" s="2198"/>
      <c r="LQF75" s="2198"/>
      <c r="LQG75" s="2198"/>
      <c r="LQH75" s="2198"/>
      <c r="LQI75" s="2198"/>
      <c r="LQJ75" s="2198"/>
      <c r="LQK75" s="2198"/>
      <c r="LQL75" s="2198"/>
      <c r="LQM75" s="2198"/>
      <c r="LQN75" s="2198"/>
      <c r="LQO75" s="2198"/>
      <c r="LQP75" s="2198"/>
      <c r="LQQ75" s="2198"/>
      <c r="LQR75" s="2198"/>
      <c r="LQS75" s="2198"/>
      <c r="LQT75" s="2198"/>
      <c r="LQU75" s="2198"/>
      <c r="LQV75" s="2198"/>
      <c r="LQW75" s="2198"/>
      <c r="LQX75" s="2198"/>
      <c r="LQY75" s="2198"/>
      <c r="LQZ75" s="2198"/>
      <c r="LRA75" s="2198"/>
      <c r="LRB75" s="2198"/>
      <c r="LRC75" s="2198"/>
      <c r="LRD75" s="2198"/>
      <c r="LRE75" s="2198"/>
      <c r="LRF75" s="2198"/>
      <c r="LRG75" s="2198"/>
      <c r="LRH75" s="2198"/>
      <c r="LRI75" s="2198"/>
      <c r="LRJ75" s="2198"/>
      <c r="LRK75" s="2198"/>
      <c r="LRL75" s="2198"/>
      <c r="LRM75" s="2198"/>
      <c r="LRN75" s="2198"/>
      <c r="LRO75" s="2198"/>
      <c r="LRP75" s="2198"/>
      <c r="LRQ75" s="2198"/>
      <c r="LRR75" s="2198"/>
      <c r="LRS75" s="2198"/>
      <c r="LRT75" s="2198"/>
      <c r="LRU75" s="2198"/>
      <c r="LRV75" s="2198"/>
      <c r="LRW75" s="2198"/>
      <c r="LRX75" s="2198"/>
      <c r="LRY75" s="2198"/>
      <c r="LRZ75" s="2198"/>
      <c r="LSA75" s="2198"/>
      <c r="LSB75" s="2198"/>
      <c r="LSC75" s="2198"/>
      <c r="LSD75" s="2198"/>
      <c r="LSE75" s="2198"/>
      <c r="LSF75" s="2198"/>
      <c r="LSG75" s="2198"/>
      <c r="LSH75" s="2198"/>
      <c r="LSI75" s="2198"/>
      <c r="LSJ75" s="2198"/>
      <c r="LSK75" s="2198"/>
      <c r="LSL75" s="2198"/>
      <c r="LSM75" s="2198"/>
      <c r="LSN75" s="2198"/>
      <c r="LSO75" s="2198"/>
      <c r="LSP75" s="2198"/>
      <c r="LSQ75" s="2198"/>
      <c r="LSR75" s="2198"/>
      <c r="LSS75" s="2198"/>
      <c r="LST75" s="2198"/>
      <c r="LSU75" s="2198"/>
      <c r="LSV75" s="2198"/>
      <c r="LSW75" s="2198"/>
      <c r="LSX75" s="2198"/>
      <c r="LSY75" s="2198"/>
      <c r="LSZ75" s="2198"/>
      <c r="LTA75" s="2198"/>
      <c r="LTB75" s="2198"/>
      <c r="LTC75" s="2198"/>
      <c r="LTD75" s="2198"/>
      <c r="LTE75" s="2198"/>
      <c r="LTF75" s="2198"/>
      <c r="LTG75" s="2198"/>
      <c r="LTH75" s="2198"/>
      <c r="LTI75" s="2198"/>
      <c r="LTJ75" s="2198"/>
      <c r="LTK75" s="2198"/>
      <c r="LTL75" s="2198"/>
      <c r="LTM75" s="2198"/>
      <c r="LTN75" s="2198"/>
      <c r="LTO75" s="2198"/>
      <c r="LTP75" s="2198"/>
      <c r="LTQ75" s="2198"/>
      <c r="LTR75" s="2198"/>
      <c r="LTS75" s="2198"/>
      <c r="LTT75" s="2198"/>
      <c r="LTU75" s="2198"/>
      <c r="LTV75" s="2198"/>
      <c r="LTW75" s="2198"/>
      <c r="LTX75" s="2198"/>
      <c r="LTY75" s="2198"/>
      <c r="LTZ75" s="2198"/>
      <c r="LUA75" s="2198"/>
      <c r="LUB75" s="2198"/>
      <c r="LUC75" s="2198"/>
      <c r="LUD75" s="2198"/>
      <c r="LUE75" s="2198"/>
      <c r="LUF75" s="2198"/>
      <c r="LUG75" s="2198"/>
      <c r="LUH75" s="2198"/>
      <c r="LUI75" s="2198"/>
      <c r="LUJ75" s="2198"/>
      <c r="LUK75" s="2198"/>
      <c r="LUL75" s="2198"/>
      <c r="LUM75" s="2198"/>
      <c r="LUN75" s="2198"/>
      <c r="LUO75" s="2198"/>
      <c r="LUP75" s="2198"/>
      <c r="LUQ75" s="2198"/>
      <c r="LUR75" s="2198"/>
      <c r="LUS75" s="2198"/>
      <c r="LUT75" s="2198"/>
      <c r="LUU75" s="2198"/>
      <c r="LUV75" s="2198"/>
      <c r="LUW75" s="2198"/>
      <c r="LUX75" s="2198"/>
      <c r="LUY75" s="2198"/>
      <c r="LUZ75" s="2198"/>
      <c r="LVA75" s="2198"/>
      <c r="LVB75" s="2198"/>
      <c r="LVC75" s="2198"/>
      <c r="LVD75" s="2198"/>
      <c r="LVE75" s="2198"/>
      <c r="LVF75" s="2198"/>
      <c r="LVG75" s="2198"/>
      <c r="LVH75" s="2198"/>
      <c r="LVI75" s="2198"/>
      <c r="LVJ75" s="2198"/>
      <c r="LVK75" s="2198"/>
      <c r="LVL75" s="2198"/>
      <c r="LVM75" s="2198"/>
      <c r="LVN75" s="2198"/>
      <c r="LVO75" s="2198"/>
      <c r="LVP75" s="2198"/>
      <c r="LVQ75" s="2198"/>
      <c r="LVR75" s="2198"/>
      <c r="LVS75" s="2198"/>
      <c r="LVT75" s="2198"/>
      <c r="LVU75" s="2198"/>
      <c r="LVV75" s="2198"/>
      <c r="LVW75" s="2198"/>
      <c r="LVX75" s="2198"/>
      <c r="LVY75" s="2198"/>
      <c r="LVZ75" s="2198"/>
      <c r="LWA75" s="2198"/>
      <c r="LWB75" s="2198"/>
      <c r="LWC75" s="2198"/>
      <c r="LWD75" s="2198"/>
      <c r="LWE75" s="2198"/>
      <c r="LWF75" s="2198"/>
      <c r="LWG75" s="2198"/>
      <c r="LWH75" s="2198"/>
      <c r="LWI75" s="2198"/>
      <c r="LWJ75" s="2198"/>
      <c r="LWK75" s="2198"/>
      <c r="LWL75" s="2198"/>
      <c r="LWM75" s="2198"/>
      <c r="LWN75" s="2198"/>
      <c r="LWO75" s="2198"/>
      <c r="LWP75" s="2198"/>
      <c r="LWQ75" s="2198"/>
      <c r="LWR75" s="2198"/>
      <c r="LWS75" s="2198"/>
      <c r="LWT75" s="2198"/>
      <c r="LWU75" s="2198"/>
      <c r="LWV75" s="2198"/>
      <c r="LWW75" s="2198"/>
      <c r="LWX75" s="2198"/>
      <c r="LWY75" s="2198"/>
      <c r="LWZ75" s="2198"/>
      <c r="LXA75" s="2198"/>
      <c r="LXB75" s="2198"/>
      <c r="LXC75" s="2198"/>
      <c r="LXD75" s="2198"/>
      <c r="LXE75" s="2198"/>
      <c r="LXF75" s="2198"/>
      <c r="LXG75" s="2198"/>
      <c r="LXH75" s="2198"/>
      <c r="LXI75" s="2198"/>
      <c r="LXJ75" s="2198"/>
      <c r="LXK75" s="2198"/>
      <c r="LXL75" s="2198"/>
      <c r="LXM75" s="2198"/>
      <c r="LXN75" s="2198"/>
      <c r="LXO75" s="2198"/>
      <c r="LXP75" s="2198"/>
      <c r="LXQ75" s="2198"/>
      <c r="LXR75" s="2198"/>
      <c r="LXS75" s="2198"/>
      <c r="LXT75" s="2198"/>
      <c r="LXU75" s="2198"/>
      <c r="LXV75" s="2198"/>
      <c r="LXW75" s="2198"/>
      <c r="LXX75" s="2198"/>
      <c r="LXY75" s="2198"/>
      <c r="LXZ75" s="2198"/>
      <c r="LYA75" s="2198"/>
      <c r="LYB75" s="2198"/>
      <c r="LYC75" s="2198"/>
      <c r="LYD75" s="2198"/>
      <c r="LYE75" s="2198"/>
      <c r="LYF75" s="2198"/>
      <c r="LYG75" s="2198"/>
      <c r="LYH75" s="2198"/>
      <c r="LYI75" s="2198"/>
      <c r="LYJ75" s="2198"/>
      <c r="LYK75" s="2198"/>
      <c r="LYL75" s="2198"/>
      <c r="LYM75" s="2198"/>
      <c r="LYN75" s="2198"/>
      <c r="LYO75" s="2198"/>
      <c r="LYP75" s="2198"/>
      <c r="LYQ75" s="2198"/>
      <c r="LYR75" s="2198"/>
      <c r="LYS75" s="2198"/>
      <c r="LYT75" s="2198"/>
      <c r="LYU75" s="2198"/>
      <c r="LYV75" s="2198"/>
      <c r="LYW75" s="2198"/>
      <c r="LYX75" s="2198"/>
      <c r="LYY75" s="2198"/>
      <c r="LYZ75" s="2198"/>
      <c r="LZA75" s="2198"/>
      <c r="LZB75" s="2198"/>
      <c r="LZC75" s="2198"/>
      <c r="LZD75" s="2198"/>
      <c r="LZE75" s="2198"/>
      <c r="LZF75" s="2198"/>
      <c r="LZG75" s="2198"/>
      <c r="LZH75" s="2198"/>
      <c r="LZI75" s="2198"/>
      <c r="LZJ75" s="2198"/>
      <c r="LZK75" s="2198"/>
      <c r="LZL75" s="2198"/>
      <c r="LZM75" s="2198"/>
      <c r="LZN75" s="2198"/>
      <c r="LZO75" s="2198"/>
      <c r="LZP75" s="2198"/>
      <c r="LZQ75" s="2198"/>
      <c r="LZR75" s="2198"/>
      <c r="LZS75" s="2198"/>
      <c r="LZT75" s="2198"/>
      <c r="LZU75" s="2198"/>
      <c r="LZV75" s="2198"/>
      <c r="LZW75" s="2198"/>
      <c r="LZX75" s="2198"/>
      <c r="LZY75" s="2198"/>
      <c r="LZZ75" s="2198"/>
      <c r="MAA75" s="2198"/>
      <c r="MAB75" s="2198"/>
      <c r="MAC75" s="2198"/>
      <c r="MAD75" s="2198"/>
      <c r="MAE75" s="2198"/>
      <c r="MAF75" s="2198"/>
      <c r="MAG75" s="2198"/>
      <c r="MAH75" s="2198"/>
      <c r="MAI75" s="2198"/>
      <c r="MAJ75" s="2198"/>
      <c r="MAK75" s="2198"/>
      <c r="MAL75" s="2198"/>
      <c r="MAM75" s="2198"/>
      <c r="MAN75" s="2198"/>
      <c r="MAO75" s="2198"/>
      <c r="MAP75" s="2198"/>
      <c r="MAQ75" s="2198"/>
      <c r="MAR75" s="2198"/>
      <c r="MAS75" s="2198"/>
      <c r="MAT75" s="2198"/>
      <c r="MAU75" s="2198"/>
      <c r="MAV75" s="2198"/>
      <c r="MAW75" s="2198"/>
      <c r="MAX75" s="2198"/>
      <c r="MAY75" s="2198"/>
      <c r="MAZ75" s="2198"/>
      <c r="MBA75" s="2198"/>
      <c r="MBB75" s="2198"/>
      <c r="MBC75" s="2198"/>
      <c r="MBD75" s="2198"/>
      <c r="MBE75" s="2198"/>
      <c r="MBF75" s="2198"/>
      <c r="MBG75" s="2198"/>
      <c r="MBH75" s="2198"/>
      <c r="MBI75" s="2198"/>
      <c r="MBJ75" s="2198"/>
      <c r="MBK75" s="2198"/>
      <c r="MBL75" s="2198"/>
      <c r="MBM75" s="2198"/>
      <c r="MBN75" s="2198"/>
      <c r="MBO75" s="2198"/>
      <c r="MBP75" s="2198"/>
      <c r="MBQ75" s="2198"/>
      <c r="MBR75" s="2198"/>
      <c r="MBS75" s="2198"/>
      <c r="MBT75" s="2198"/>
      <c r="MBU75" s="2198"/>
      <c r="MBV75" s="2198"/>
      <c r="MBW75" s="2198"/>
      <c r="MBX75" s="2198"/>
      <c r="MBY75" s="2198"/>
      <c r="MBZ75" s="2198"/>
      <c r="MCA75" s="2198"/>
      <c r="MCB75" s="2198"/>
      <c r="MCC75" s="2198"/>
      <c r="MCD75" s="2198"/>
      <c r="MCE75" s="2198"/>
      <c r="MCF75" s="2198"/>
      <c r="MCG75" s="2198"/>
      <c r="MCH75" s="2198"/>
      <c r="MCI75" s="2198"/>
      <c r="MCJ75" s="2198"/>
      <c r="MCK75" s="2198"/>
      <c r="MCL75" s="2198"/>
      <c r="MCM75" s="2198"/>
      <c r="MCN75" s="2198"/>
      <c r="MCO75" s="2198"/>
      <c r="MCP75" s="2198"/>
      <c r="MCQ75" s="2198"/>
      <c r="MCR75" s="2198"/>
      <c r="MCS75" s="2198"/>
      <c r="MCT75" s="2198"/>
      <c r="MCU75" s="2198"/>
      <c r="MCV75" s="2198"/>
      <c r="MCW75" s="2198"/>
      <c r="MCX75" s="2198"/>
      <c r="MCY75" s="2198"/>
      <c r="MCZ75" s="2198"/>
      <c r="MDA75" s="2198"/>
      <c r="MDB75" s="2198"/>
      <c r="MDC75" s="2198"/>
      <c r="MDD75" s="2198"/>
      <c r="MDE75" s="2198"/>
      <c r="MDF75" s="2198"/>
      <c r="MDG75" s="2198"/>
      <c r="MDH75" s="2198"/>
      <c r="MDI75" s="2198"/>
      <c r="MDJ75" s="2198"/>
      <c r="MDK75" s="2198"/>
      <c r="MDL75" s="2198"/>
      <c r="MDM75" s="2198"/>
      <c r="MDN75" s="2198"/>
      <c r="MDO75" s="2198"/>
      <c r="MDP75" s="2198"/>
      <c r="MDQ75" s="2198"/>
      <c r="MDR75" s="2198"/>
      <c r="MDS75" s="2198"/>
      <c r="MDT75" s="2198"/>
      <c r="MDU75" s="2198"/>
      <c r="MDV75" s="2198"/>
      <c r="MDW75" s="2198"/>
      <c r="MDX75" s="2198"/>
      <c r="MDY75" s="2198"/>
      <c r="MDZ75" s="2198"/>
      <c r="MEA75" s="2198"/>
      <c r="MEB75" s="2198"/>
      <c r="MEC75" s="2198"/>
      <c r="MED75" s="2198"/>
      <c r="MEE75" s="2198"/>
      <c r="MEF75" s="2198"/>
      <c r="MEG75" s="2198"/>
      <c r="MEH75" s="2198"/>
      <c r="MEI75" s="2198"/>
      <c r="MEJ75" s="2198"/>
      <c r="MEK75" s="2198"/>
      <c r="MEL75" s="2198"/>
      <c r="MEM75" s="2198"/>
      <c r="MEN75" s="2198"/>
      <c r="MEO75" s="2198"/>
      <c r="MEP75" s="2198"/>
      <c r="MEQ75" s="2198"/>
      <c r="MER75" s="2198"/>
      <c r="MES75" s="2198"/>
      <c r="MET75" s="2198"/>
      <c r="MEU75" s="2198"/>
      <c r="MEV75" s="2198"/>
      <c r="MEW75" s="2198"/>
      <c r="MEX75" s="2198"/>
      <c r="MEY75" s="2198"/>
      <c r="MEZ75" s="2198"/>
      <c r="MFA75" s="2198"/>
      <c r="MFB75" s="2198"/>
      <c r="MFC75" s="2198"/>
      <c r="MFD75" s="2198"/>
      <c r="MFE75" s="2198"/>
      <c r="MFF75" s="2198"/>
      <c r="MFG75" s="2198"/>
      <c r="MFH75" s="2198"/>
      <c r="MFI75" s="2198"/>
      <c r="MFJ75" s="2198"/>
      <c r="MFK75" s="2198"/>
      <c r="MFL75" s="2198"/>
      <c r="MFM75" s="2198"/>
      <c r="MFN75" s="2198"/>
      <c r="MFO75" s="2198"/>
      <c r="MFP75" s="2198"/>
      <c r="MFQ75" s="2198"/>
      <c r="MFR75" s="2198"/>
      <c r="MFS75" s="2198"/>
      <c r="MFT75" s="2198"/>
      <c r="MFU75" s="2198"/>
      <c r="MFV75" s="2198"/>
      <c r="MFW75" s="2198"/>
      <c r="MFX75" s="2198"/>
      <c r="MFY75" s="2198"/>
      <c r="MFZ75" s="2198"/>
      <c r="MGA75" s="2198"/>
      <c r="MGB75" s="2198"/>
      <c r="MGC75" s="2198"/>
      <c r="MGD75" s="2198"/>
      <c r="MGE75" s="2198"/>
      <c r="MGF75" s="2198"/>
      <c r="MGG75" s="2198"/>
      <c r="MGH75" s="2198"/>
      <c r="MGI75" s="2198"/>
      <c r="MGJ75" s="2198"/>
      <c r="MGK75" s="2198"/>
      <c r="MGL75" s="2198"/>
      <c r="MGM75" s="2198"/>
      <c r="MGN75" s="2198"/>
      <c r="MGO75" s="2198"/>
      <c r="MGP75" s="2198"/>
      <c r="MGQ75" s="2198"/>
      <c r="MGR75" s="2198"/>
      <c r="MGS75" s="2198"/>
      <c r="MGT75" s="2198"/>
      <c r="MGU75" s="2198"/>
      <c r="MGV75" s="2198"/>
      <c r="MGW75" s="2198"/>
      <c r="MGX75" s="2198"/>
      <c r="MGY75" s="2198"/>
      <c r="MGZ75" s="2198"/>
      <c r="MHA75" s="2198"/>
      <c r="MHB75" s="2198"/>
      <c r="MHC75" s="2198"/>
      <c r="MHD75" s="2198"/>
      <c r="MHE75" s="2198"/>
      <c r="MHF75" s="2198"/>
      <c r="MHG75" s="2198"/>
      <c r="MHH75" s="2198"/>
      <c r="MHI75" s="2198"/>
      <c r="MHJ75" s="2198"/>
      <c r="MHK75" s="2198"/>
      <c r="MHL75" s="2198"/>
      <c r="MHM75" s="2198"/>
      <c r="MHN75" s="2198"/>
      <c r="MHO75" s="2198"/>
      <c r="MHP75" s="2198"/>
      <c r="MHQ75" s="2198"/>
      <c r="MHR75" s="2198"/>
      <c r="MHS75" s="2198"/>
      <c r="MHT75" s="2198"/>
      <c r="MHU75" s="2198"/>
      <c r="MHV75" s="2198"/>
      <c r="MHW75" s="2198"/>
      <c r="MHX75" s="2198"/>
      <c r="MHY75" s="2198"/>
      <c r="MHZ75" s="2198"/>
      <c r="MIA75" s="2198"/>
      <c r="MIB75" s="2198"/>
      <c r="MIC75" s="2198"/>
      <c r="MID75" s="2198"/>
      <c r="MIE75" s="2198"/>
      <c r="MIF75" s="2198"/>
      <c r="MIG75" s="2198"/>
      <c r="MIH75" s="2198"/>
      <c r="MII75" s="2198"/>
      <c r="MIJ75" s="2198"/>
      <c r="MIK75" s="2198"/>
      <c r="MIL75" s="2198"/>
      <c r="MIM75" s="2198"/>
      <c r="MIN75" s="2198"/>
      <c r="MIO75" s="2198"/>
      <c r="MIP75" s="2198"/>
      <c r="MIQ75" s="2198"/>
      <c r="MIR75" s="2198"/>
      <c r="MIS75" s="2198"/>
      <c r="MIT75" s="2198"/>
      <c r="MIU75" s="2198"/>
      <c r="MIV75" s="2198"/>
      <c r="MIW75" s="2198"/>
      <c r="MIX75" s="2198"/>
      <c r="MIY75" s="2198"/>
      <c r="MIZ75" s="2198"/>
      <c r="MJA75" s="2198"/>
      <c r="MJB75" s="2198"/>
      <c r="MJC75" s="2198"/>
      <c r="MJD75" s="2198"/>
      <c r="MJE75" s="2198"/>
      <c r="MJF75" s="2198"/>
      <c r="MJG75" s="2198"/>
      <c r="MJH75" s="2198"/>
      <c r="MJI75" s="2198"/>
      <c r="MJJ75" s="2198"/>
      <c r="MJK75" s="2198"/>
      <c r="MJL75" s="2198"/>
      <c r="MJM75" s="2198"/>
      <c r="MJN75" s="2198"/>
      <c r="MJO75" s="2198"/>
      <c r="MJP75" s="2198"/>
      <c r="MJQ75" s="2198"/>
      <c r="MJR75" s="2198"/>
      <c r="MJS75" s="2198"/>
      <c r="MJT75" s="2198"/>
      <c r="MJU75" s="2198"/>
      <c r="MJV75" s="2198"/>
      <c r="MJW75" s="2198"/>
      <c r="MJX75" s="2198"/>
      <c r="MJY75" s="2198"/>
      <c r="MJZ75" s="2198"/>
      <c r="MKA75" s="2198"/>
      <c r="MKB75" s="2198"/>
      <c r="MKC75" s="2198"/>
      <c r="MKD75" s="2198"/>
      <c r="MKE75" s="2198"/>
      <c r="MKF75" s="2198"/>
      <c r="MKG75" s="2198"/>
      <c r="MKH75" s="2198"/>
      <c r="MKI75" s="2198"/>
      <c r="MKJ75" s="2198"/>
      <c r="MKK75" s="2198"/>
      <c r="MKL75" s="2198"/>
      <c r="MKM75" s="2198"/>
      <c r="MKN75" s="2198"/>
      <c r="MKO75" s="2198"/>
      <c r="MKP75" s="2198"/>
      <c r="MKQ75" s="2198"/>
      <c r="MKR75" s="2198"/>
      <c r="MKS75" s="2198"/>
      <c r="MKT75" s="2198"/>
      <c r="MKU75" s="2198"/>
      <c r="MKV75" s="2198"/>
      <c r="MKW75" s="2198"/>
      <c r="MKX75" s="2198"/>
      <c r="MKY75" s="2198"/>
      <c r="MKZ75" s="2198"/>
      <c r="MLA75" s="2198"/>
      <c r="MLB75" s="2198"/>
      <c r="MLC75" s="2198"/>
      <c r="MLD75" s="2198"/>
      <c r="MLE75" s="2198"/>
      <c r="MLF75" s="2198"/>
      <c r="MLG75" s="2198"/>
      <c r="MLH75" s="2198"/>
      <c r="MLI75" s="2198"/>
      <c r="MLJ75" s="2198"/>
      <c r="MLK75" s="2198"/>
      <c r="MLL75" s="2198"/>
      <c r="MLM75" s="2198"/>
      <c r="MLN75" s="2198"/>
      <c r="MLO75" s="2198"/>
      <c r="MLP75" s="2198"/>
      <c r="MLQ75" s="2198"/>
      <c r="MLR75" s="2198"/>
      <c r="MLS75" s="2198"/>
      <c r="MLT75" s="2198"/>
      <c r="MLU75" s="2198"/>
      <c r="MLV75" s="2198"/>
      <c r="MLW75" s="2198"/>
      <c r="MLX75" s="2198"/>
      <c r="MLY75" s="2198"/>
      <c r="MLZ75" s="2198"/>
      <c r="MMA75" s="2198"/>
      <c r="MMB75" s="2198"/>
      <c r="MMC75" s="2198"/>
      <c r="MMD75" s="2198"/>
      <c r="MME75" s="2198"/>
      <c r="MMF75" s="2198"/>
      <c r="MMG75" s="2198"/>
      <c r="MMH75" s="2198"/>
      <c r="MMI75" s="2198"/>
      <c r="MMJ75" s="2198"/>
      <c r="MMK75" s="2198"/>
      <c r="MML75" s="2198"/>
      <c r="MMM75" s="2198"/>
      <c r="MMN75" s="2198"/>
      <c r="MMO75" s="2198"/>
      <c r="MMP75" s="2198"/>
      <c r="MMQ75" s="2198"/>
      <c r="MMR75" s="2198"/>
      <c r="MMS75" s="2198"/>
      <c r="MMT75" s="2198"/>
      <c r="MMU75" s="2198"/>
      <c r="MMV75" s="2198"/>
      <c r="MMW75" s="2198"/>
      <c r="MMX75" s="2198"/>
      <c r="MMY75" s="2198"/>
      <c r="MMZ75" s="2198"/>
      <c r="MNA75" s="2198"/>
      <c r="MNB75" s="2198"/>
      <c r="MNC75" s="2198"/>
      <c r="MND75" s="2198"/>
      <c r="MNE75" s="2198"/>
      <c r="MNF75" s="2198"/>
      <c r="MNG75" s="2198"/>
      <c r="MNH75" s="2198"/>
      <c r="MNI75" s="2198"/>
      <c r="MNJ75" s="2198"/>
      <c r="MNK75" s="2198"/>
      <c r="MNL75" s="2198"/>
      <c r="MNM75" s="2198"/>
      <c r="MNN75" s="2198"/>
      <c r="MNO75" s="2198"/>
      <c r="MNP75" s="2198"/>
      <c r="MNQ75" s="2198"/>
      <c r="MNR75" s="2198"/>
      <c r="MNS75" s="2198"/>
      <c r="MNT75" s="2198"/>
      <c r="MNU75" s="2198"/>
      <c r="MNV75" s="2198"/>
      <c r="MNW75" s="2198"/>
      <c r="MNX75" s="2198"/>
      <c r="MNY75" s="2198"/>
      <c r="MNZ75" s="2198"/>
      <c r="MOA75" s="2198"/>
      <c r="MOB75" s="2198"/>
      <c r="MOC75" s="2198"/>
      <c r="MOD75" s="2198"/>
      <c r="MOE75" s="2198"/>
      <c r="MOF75" s="2198"/>
      <c r="MOG75" s="2198"/>
      <c r="MOH75" s="2198"/>
      <c r="MOI75" s="2198"/>
      <c r="MOJ75" s="2198"/>
      <c r="MOK75" s="2198"/>
      <c r="MOL75" s="2198"/>
      <c r="MOM75" s="2198"/>
      <c r="MON75" s="2198"/>
      <c r="MOO75" s="2198"/>
      <c r="MOP75" s="2198"/>
      <c r="MOQ75" s="2198"/>
      <c r="MOR75" s="2198"/>
      <c r="MOS75" s="2198"/>
      <c r="MOT75" s="2198"/>
      <c r="MOU75" s="2198"/>
      <c r="MOV75" s="2198"/>
      <c r="MOW75" s="2198"/>
      <c r="MOX75" s="2198"/>
      <c r="MOY75" s="2198"/>
      <c r="MOZ75" s="2198"/>
      <c r="MPA75" s="2198"/>
      <c r="MPB75" s="2198"/>
      <c r="MPC75" s="2198"/>
      <c r="MPD75" s="2198"/>
      <c r="MPE75" s="2198"/>
      <c r="MPF75" s="2198"/>
      <c r="MPG75" s="2198"/>
      <c r="MPH75" s="2198"/>
      <c r="MPI75" s="2198"/>
      <c r="MPJ75" s="2198"/>
      <c r="MPK75" s="2198"/>
      <c r="MPL75" s="2198"/>
      <c r="MPM75" s="2198"/>
      <c r="MPN75" s="2198"/>
      <c r="MPO75" s="2198"/>
      <c r="MPP75" s="2198"/>
      <c r="MPQ75" s="2198"/>
      <c r="MPR75" s="2198"/>
      <c r="MPS75" s="2198"/>
      <c r="MPT75" s="2198"/>
      <c r="MPU75" s="2198"/>
      <c r="MPV75" s="2198"/>
      <c r="MPW75" s="2198"/>
      <c r="MPX75" s="2198"/>
      <c r="MPY75" s="2198"/>
      <c r="MPZ75" s="2198"/>
      <c r="MQA75" s="2198"/>
      <c r="MQB75" s="2198"/>
      <c r="MQC75" s="2198"/>
      <c r="MQD75" s="2198"/>
      <c r="MQE75" s="2198"/>
      <c r="MQF75" s="2198"/>
      <c r="MQG75" s="2198"/>
      <c r="MQH75" s="2198"/>
      <c r="MQI75" s="2198"/>
      <c r="MQJ75" s="2198"/>
      <c r="MQK75" s="2198"/>
      <c r="MQL75" s="2198"/>
      <c r="MQM75" s="2198"/>
      <c r="MQN75" s="2198"/>
      <c r="MQO75" s="2198"/>
      <c r="MQP75" s="2198"/>
      <c r="MQQ75" s="2198"/>
      <c r="MQR75" s="2198"/>
      <c r="MQS75" s="2198"/>
      <c r="MQT75" s="2198"/>
      <c r="MQU75" s="2198"/>
      <c r="MQV75" s="2198"/>
      <c r="MQW75" s="2198"/>
      <c r="MQX75" s="2198"/>
      <c r="MQY75" s="2198"/>
      <c r="MQZ75" s="2198"/>
      <c r="MRA75" s="2198"/>
      <c r="MRB75" s="2198"/>
      <c r="MRC75" s="2198"/>
      <c r="MRD75" s="2198"/>
      <c r="MRE75" s="2198"/>
      <c r="MRF75" s="2198"/>
      <c r="MRG75" s="2198"/>
      <c r="MRH75" s="2198"/>
      <c r="MRI75" s="2198"/>
      <c r="MRJ75" s="2198"/>
      <c r="MRK75" s="2198"/>
      <c r="MRL75" s="2198"/>
      <c r="MRM75" s="2198"/>
      <c r="MRN75" s="2198"/>
      <c r="MRO75" s="2198"/>
      <c r="MRP75" s="2198"/>
      <c r="MRQ75" s="2198"/>
      <c r="MRR75" s="2198"/>
      <c r="MRS75" s="2198"/>
      <c r="MRT75" s="2198"/>
      <c r="MRU75" s="2198"/>
      <c r="MRV75" s="2198"/>
      <c r="MRW75" s="2198"/>
      <c r="MRX75" s="2198"/>
      <c r="MRY75" s="2198"/>
      <c r="MRZ75" s="2198"/>
      <c r="MSA75" s="2198"/>
      <c r="MSB75" s="2198"/>
      <c r="MSC75" s="2198"/>
      <c r="MSD75" s="2198"/>
      <c r="MSE75" s="2198"/>
      <c r="MSF75" s="2198"/>
      <c r="MSG75" s="2198"/>
      <c r="MSH75" s="2198"/>
      <c r="MSI75" s="2198"/>
      <c r="MSJ75" s="2198"/>
      <c r="MSK75" s="2198"/>
      <c r="MSL75" s="2198"/>
      <c r="MSM75" s="2198"/>
      <c r="MSN75" s="2198"/>
      <c r="MSO75" s="2198"/>
      <c r="MSP75" s="2198"/>
      <c r="MSQ75" s="2198"/>
      <c r="MSR75" s="2198"/>
      <c r="MSS75" s="2198"/>
      <c r="MST75" s="2198"/>
      <c r="MSU75" s="2198"/>
      <c r="MSV75" s="2198"/>
      <c r="MSW75" s="2198"/>
      <c r="MSX75" s="2198"/>
      <c r="MSY75" s="2198"/>
      <c r="MSZ75" s="2198"/>
      <c r="MTA75" s="2198"/>
      <c r="MTB75" s="2198"/>
      <c r="MTC75" s="2198"/>
      <c r="MTD75" s="2198"/>
      <c r="MTE75" s="2198"/>
      <c r="MTF75" s="2198"/>
      <c r="MTG75" s="2198"/>
      <c r="MTH75" s="2198"/>
      <c r="MTI75" s="2198"/>
      <c r="MTJ75" s="2198"/>
      <c r="MTK75" s="2198"/>
      <c r="MTL75" s="2198"/>
      <c r="MTM75" s="2198"/>
      <c r="MTN75" s="2198"/>
      <c r="MTO75" s="2198"/>
      <c r="MTP75" s="2198"/>
      <c r="MTQ75" s="2198"/>
      <c r="MTR75" s="2198"/>
      <c r="MTS75" s="2198"/>
      <c r="MTT75" s="2198"/>
      <c r="MTU75" s="2198"/>
      <c r="MTV75" s="2198"/>
      <c r="MTW75" s="2198"/>
      <c r="MTX75" s="2198"/>
      <c r="MTY75" s="2198"/>
      <c r="MTZ75" s="2198"/>
      <c r="MUA75" s="2198"/>
      <c r="MUB75" s="2198"/>
      <c r="MUC75" s="2198"/>
      <c r="MUD75" s="2198"/>
      <c r="MUE75" s="2198"/>
      <c r="MUF75" s="2198"/>
      <c r="MUG75" s="2198"/>
      <c r="MUH75" s="2198"/>
      <c r="MUI75" s="2198"/>
      <c r="MUJ75" s="2198"/>
      <c r="MUK75" s="2198"/>
      <c r="MUL75" s="2198"/>
      <c r="MUM75" s="2198"/>
      <c r="MUN75" s="2198"/>
      <c r="MUO75" s="2198"/>
      <c r="MUP75" s="2198"/>
      <c r="MUQ75" s="2198"/>
      <c r="MUR75" s="2198"/>
      <c r="MUS75" s="2198"/>
      <c r="MUT75" s="2198"/>
      <c r="MUU75" s="2198"/>
      <c r="MUV75" s="2198"/>
      <c r="MUW75" s="2198"/>
      <c r="MUX75" s="2198"/>
      <c r="MUY75" s="2198"/>
      <c r="MUZ75" s="2198"/>
      <c r="MVA75" s="2198"/>
      <c r="MVB75" s="2198"/>
      <c r="MVC75" s="2198"/>
      <c r="MVD75" s="2198"/>
      <c r="MVE75" s="2198"/>
      <c r="MVF75" s="2198"/>
      <c r="MVG75" s="2198"/>
      <c r="MVH75" s="2198"/>
      <c r="MVI75" s="2198"/>
      <c r="MVJ75" s="2198"/>
      <c r="MVK75" s="2198"/>
      <c r="MVL75" s="2198"/>
      <c r="MVM75" s="2198"/>
      <c r="MVN75" s="2198"/>
      <c r="MVO75" s="2198"/>
      <c r="MVP75" s="2198"/>
      <c r="MVQ75" s="2198"/>
      <c r="MVR75" s="2198"/>
      <c r="MVS75" s="2198"/>
      <c r="MVT75" s="2198"/>
      <c r="MVU75" s="2198"/>
      <c r="MVV75" s="2198"/>
      <c r="MVW75" s="2198"/>
      <c r="MVX75" s="2198"/>
      <c r="MVY75" s="2198"/>
      <c r="MVZ75" s="2198"/>
      <c r="MWA75" s="2198"/>
      <c r="MWB75" s="2198"/>
      <c r="MWC75" s="2198"/>
      <c r="MWD75" s="2198"/>
      <c r="MWE75" s="2198"/>
      <c r="MWF75" s="2198"/>
      <c r="MWG75" s="2198"/>
      <c r="MWH75" s="2198"/>
      <c r="MWI75" s="2198"/>
      <c r="MWJ75" s="2198"/>
      <c r="MWK75" s="2198"/>
      <c r="MWL75" s="2198"/>
      <c r="MWM75" s="2198"/>
      <c r="MWN75" s="2198"/>
      <c r="MWO75" s="2198"/>
      <c r="MWP75" s="2198"/>
      <c r="MWQ75" s="2198"/>
      <c r="MWR75" s="2198"/>
      <c r="MWS75" s="2198"/>
      <c r="MWT75" s="2198"/>
      <c r="MWU75" s="2198"/>
      <c r="MWV75" s="2198"/>
      <c r="MWW75" s="2198"/>
      <c r="MWX75" s="2198"/>
      <c r="MWY75" s="2198"/>
      <c r="MWZ75" s="2198"/>
      <c r="MXA75" s="2198"/>
      <c r="MXB75" s="2198"/>
      <c r="MXC75" s="2198"/>
      <c r="MXD75" s="2198"/>
      <c r="MXE75" s="2198"/>
      <c r="MXF75" s="2198"/>
      <c r="MXG75" s="2198"/>
      <c r="MXH75" s="2198"/>
      <c r="MXI75" s="2198"/>
      <c r="MXJ75" s="2198"/>
      <c r="MXK75" s="2198"/>
      <c r="MXL75" s="2198"/>
      <c r="MXM75" s="2198"/>
      <c r="MXN75" s="2198"/>
      <c r="MXO75" s="2198"/>
      <c r="MXP75" s="2198"/>
      <c r="MXQ75" s="2198"/>
      <c r="MXR75" s="2198"/>
      <c r="MXS75" s="2198"/>
      <c r="MXT75" s="2198"/>
      <c r="MXU75" s="2198"/>
      <c r="MXV75" s="2198"/>
      <c r="MXW75" s="2198"/>
      <c r="MXX75" s="2198"/>
      <c r="MXY75" s="2198"/>
      <c r="MXZ75" s="2198"/>
      <c r="MYA75" s="2198"/>
      <c r="MYB75" s="2198"/>
      <c r="MYC75" s="2198"/>
      <c r="MYD75" s="2198"/>
      <c r="MYE75" s="2198"/>
      <c r="MYF75" s="2198"/>
      <c r="MYG75" s="2198"/>
      <c r="MYH75" s="2198"/>
      <c r="MYI75" s="2198"/>
      <c r="MYJ75" s="2198"/>
      <c r="MYK75" s="2198"/>
      <c r="MYL75" s="2198"/>
      <c r="MYM75" s="2198"/>
      <c r="MYN75" s="2198"/>
      <c r="MYO75" s="2198"/>
      <c r="MYP75" s="2198"/>
      <c r="MYQ75" s="2198"/>
      <c r="MYR75" s="2198"/>
      <c r="MYS75" s="2198"/>
      <c r="MYT75" s="2198"/>
      <c r="MYU75" s="2198"/>
      <c r="MYV75" s="2198"/>
      <c r="MYW75" s="2198"/>
      <c r="MYX75" s="2198"/>
      <c r="MYY75" s="2198"/>
      <c r="MYZ75" s="2198"/>
      <c r="MZA75" s="2198"/>
      <c r="MZB75" s="2198"/>
      <c r="MZC75" s="2198"/>
      <c r="MZD75" s="2198"/>
      <c r="MZE75" s="2198"/>
      <c r="MZF75" s="2198"/>
      <c r="MZG75" s="2198"/>
      <c r="MZH75" s="2198"/>
      <c r="MZI75" s="2198"/>
      <c r="MZJ75" s="2198"/>
      <c r="MZK75" s="2198"/>
      <c r="MZL75" s="2198"/>
      <c r="MZM75" s="2198"/>
      <c r="MZN75" s="2198"/>
      <c r="MZO75" s="2198"/>
      <c r="MZP75" s="2198"/>
      <c r="MZQ75" s="2198"/>
      <c r="MZR75" s="2198"/>
      <c r="MZS75" s="2198"/>
      <c r="MZT75" s="2198"/>
      <c r="MZU75" s="2198"/>
      <c r="MZV75" s="2198"/>
      <c r="MZW75" s="2198"/>
      <c r="MZX75" s="2198"/>
      <c r="MZY75" s="2198"/>
      <c r="MZZ75" s="2198"/>
      <c r="NAA75" s="2198"/>
      <c r="NAB75" s="2198"/>
      <c r="NAC75" s="2198"/>
      <c r="NAD75" s="2198"/>
      <c r="NAE75" s="2198"/>
      <c r="NAF75" s="2198"/>
      <c r="NAG75" s="2198"/>
      <c r="NAH75" s="2198"/>
      <c r="NAI75" s="2198"/>
      <c r="NAJ75" s="2198"/>
      <c r="NAK75" s="2198"/>
      <c r="NAL75" s="2198"/>
      <c r="NAM75" s="2198"/>
      <c r="NAN75" s="2198"/>
      <c r="NAO75" s="2198"/>
      <c r="NAP75" s="2198"/>
      <c r="NAQ75" s="2198"/>
      <c r="NAR75" s="2198"/>
      <c r="NAS75" s="2198"/>
      <c r="NAT75" s="2198"/>
      <c r="NAU75" s="2198"/>
      <c r="NAV75" s="2198"/>
      <c r="NAW75" s="2198"/>
      <c r="NAX75" s="2198"/>
      <c r="NAY75" s="2198"/>
      <c r="NAZ75" s="2198"/>
      <c r="NBA75" s="2198"/>
      <c r="NBB75" s="2198"/>
      <c r="NBC75" s="2198"/>
      <c r="NBD75" s="2198"/>
      <c r="NBE75" s="2198"/>
      <c r="NBF75" s="2198"/>
      <c r="NBG75" s="2198"/>
      <c r="NBH75" s="2198"/>
      <c r="NBI75" s="2198"/>
      <c r="NBJ75" s="2198"/>
      <c r="NBK75" s="2198"/>
      <c r="NBL75" s="2198"/>
      <c r="NBM75" s="2198"/>
      <c r="NBN75" s="2198"/>
      <c r="NBO75" s="2198"/>
      <c r="NBP75" s="2198"/>
      <c r="NBQ75" s="2198"/>
      <c r="NBR75" s="2198"/>
      <c r="NBS75" s="2198"/>
      <c r="NBT75" s="2198"/>
      <c r="NBU75" s="2198"/>
      <c r="NBV75" s="2198"/>
      <c r="NBW75" s="2198"/>
      <c r="NBX75" s="2198"/>
      <c r="NBY75" s="2198"/>
      <c r="NBZ75" s="2198"/>
      <c r="NCA75" s="2198"/>
      <c r="NCB75" s="2198"/>
      <c r="NCC75" s="2198"/>
      <c r="NCD75" s="2198"/>
      <c r="NCE75" s="2198"/>
      <c r="NCF75" s="2198"/>
      <c r="NCG75" s="2198"/>
      <c r="NCH75" s="2198"/>
      <c r="NCI75" s="2198"/>
      <c r="NCJ75" s="2198"/>
      <c r="NCK75" s="2198"/>
      <c r="NCL75" s="2198"/>
      <c r="NCM75" s="2198"/>
      <c r="NCN75" s="2198"/>
      <c r="NCO75" s="2198"/>
      <c r="NCP75" s="2198"/>
      <c r="NCQ75" s="2198"/>
      <c r="NCR75" s="2198"/>
      <c r="NCS75" s="2198"/>
      <c r="NCT75" s="2198"/>
      <c r="NCU75" s="2198"/>
      <c r="NCV75" s="2198"/>
      <c r="NCW75" s="2198"/>
      <c r="NCX75" s="2198"/>
      <c r="NCY75" s="2198"/>
      <c r="NCZ75" s="2198"/>
      <c r="NDA75" s="2198"/>
      <c r="NDB75" s="2198"/>
      <c r="NDC75" s="2198"/>
      <c r="NDD75" s="2198"/>
      <c r="NDE75" s="2198"/>
      <c r="NDF75" s="2198"/>
      <c r="NDG75" s="2198"/>
      <c r="NDH75" s="2198"/>
      <c r="NDI75" s="2198"/>
      <c r="NDJ75" s="2198"/>
      <c r="NDK75" s="2198"/>
      <c r="NDL75" s="2198"/>
      <c r="NDM75" s="2198"/>
      <c r="NDN75" s="2198"/>
      <c r="NDO75" s="2198"/>
      <c r="NDP75" s="2198"/>
      <c r="NDQ75" s="2198"/>
      <c r="NDR75" s="2198"/>
      <c r="NDS75" s="2198"/>
      <c r="NDT75" s="2198"/>
      <c r="NDU75" s="2198"/>
      <c r="NDV75" s="2198"/>
      <c r="NDW75" s="2198"/>
      <c r="NDX75" s="2198"/>
      <c r="NDY75" s="2198"/>
      <c r="NDZ75" s="2198"/>
      <c r="NEA75" s="2198"/>
      <c r="NEB75" s="2198"/>
      <c r="NEC75" s="2198"/>
      <c r="NED75" s="2198"/>
      <c r="NEE75" s="2198"/>
      <c r="NEF75" s="2198"/>
      <c r="NEG75" s="2198"/>
      <c r="NEH75" s="2198"/>
      <c r="NEI75" s="2198"/>
      <c r="NEJ75" s="2198"/>
      <c r="NEK75" s="2198"/>
      <c r="NEL75" s="2198"/>
      <c r="NEM75" s="2198"/>
      <c r="NEN75" s="2198"/>
      <c r="NEO75" s="2198"/>
      <c r="NEP75" s="2198"/>
      <c r="NEQ75" s="2198"/>
      <c r="NER75" s="2198"/>
      <c r="NES75" s="2198"/>
      <c r="NET75" s="2198"/>
      <c r="NEU75" s="2198"/>
      <c r="NEV75" s="2198"/>
      <c r="NEW75" s="2198"/>
      <c r="NEX75" s="2198"/>
      <c r="NEY75" s="2198"/>
      <c r="NEZ75" s="2198"/>
      <c r="NFA75" s="2198"/>
      <c r="NFB75" s="2198"/>
      <c r="NFC75" s="2198"/>
      <c r="NFD75" s="2198"/>
      <c r="NFE75" s="2198"/>
      <c r="NFF75" s="2198"/>
      <c r="NFG75" s="2198"/>
      <c r="NFH75" s="2198"/>
      <c r="NFI75" s="2198"/>
      <c r="NFJ75" s="2198"/>
      <c r="NFK75" s="2198"/>
      <c r="NFL75" s="2198"/>
      <c r="NFM75" s="2198"/>
      <c r="NFN75" s="2198"/>
      <c r="NFO75" s="2198"/>
      <c r="NFP75" s="2198"/>
      <c r="NFQ75" s="2198"/>
      <c r="NFR75" s="2198"/>
      <c r="NFS75" s="2198"/>
      <c r="NFT75" s="2198"/>
      <c r="NFU75" s="2198"/>
      <c r="NFV75" s="2198"/>
      <c r="NFW75" s="2198"/>
      <c r="NFX75" s="2198"/>
      <c r="NFY75" s="2198"/>
      <c r="NFZ75" s="2198"/>
      <c r="NGA75" s="2198"/>
      <c r="NGB75" s="2198"/>
      <c r="NGC75" s="2198"/>
      <c r="NGD75" s="2198"/>
      <c r="NGE75" s="2198"/>
      <c r="NGF75" s="2198"/>
      <c r="NGG75" s="2198"/>
      <c r="NGH75" s="2198"/>
      <c r="NGI75" s="2198"/>
      <c r="NGJ75" s="2198"/>
      <c r="NGK75" s="2198"/>
      <c r="NGL75" s="2198"/>
      <c r="NGM75" s="2198"/>
      <c r="NGN75" s="2198"/>
      <c r="NGO75" s="2198"/>
      <c r="NGP75" s="2198"/>
      <c r="NGQ75" s="2198"/>
      <c r="NGR75" s="2198"/>
      <c r="NGS75" s="2198"/>
      <c r="NGT75" s="2198"/>
      <c r="NGU75" s="2198"/>
      <c r="NGV75" s="2198"/>
      <c r="NGW75" s="2198"/>
      <c r="NGX75" s="2198"/>
      <c r="NGY75" s="2198"/>
      <c r="NGZ75" s="2198"/>
      <c r="NHA75" s="2198"/>
      <c r="NHB75" s="2198"/>
      <c r="NHC75" s="2198"/>
      <c r="NHD75" s="2198"/>
      <c r="NHE75" s="2198"/>
      <c r="NHF75" s="2198"/>
      <c r="NHG75" s="2198"/>
      <c r="NHH75" s="2198"/>
      <c r="NHI75" s="2198"/>
      <c r="NHJ75" s="2198"/>
      <c r="NHK75" s="2198"/>
      <c r="NHL75" s="2198"/>
      <c r="NHM75" s="2198"/>
      <c r="NHN75" s="2198"/>
      <c r="NHO75" s="2198"/>
      <c r="NHP75" s="2198"/>
      <c r="NHQ75" s="2198"/>
      <c r="NHR75" s="2198"/>
      <c r="NHS75" s="2198"/>
      <c r="NHT75" s="2198"/>
      <c r="NHU75" s="2198"/>
      <c r="NHV75" s="2198"/>
      <c r="NHW75" s="2198"/>
      <c r="NHX75" s="2198"/>
      <c r="NHY75" s="2198"/>
      <c r="NHZ75" s="2198"/>
      <c r="NIA75" s="2198"/>
      <c r="NIB75" s="2198"/>
      <c r="NIC75" s="2198"/>
      <c r="NID75" s="2198"/>
      <c r="NIE75" s="2198"/>
      <c r="NIF75" s="2198"/>
      <c r="NIG75" s="2198"/>
      <c r="NIH75" s="2198"/>
      <c r="NII75" s="2198"/>
      <c r="NIJ75" s="2198"/>
      <c r="NIK75" s="2198"/>
      <c r="NIL75" s="2198"/>
      <c r="NIM75" s="2198"/>
      <c r="NIN75" s="2198"/>
      <c r="NIO75" s="2198"/>
      <c r="NIP75" s="2198"/>
      <c r="NIQ75" s="2198"/>
      <c r="NIR75" s="2198"/>
      <c r="NIS75" s="2198"/>
      <c r="NIT75" s="2198"/>
      <c r="NIU75" s="2198"/>
      <c r="NIV75" s="2198"/>
      <c r="NIW75" s="2198"/>
      <c r="NIX75" s="2198"/>
      <c r="NIY75" s="2198"/>
      <c r="NIZ75" s="2198"/>
      <c r="NJA75" s="2198"/>
      <c r="NJB75" s="2198"/>
      <c r="NJC75" s="2198"/>
      <c r="NJD75" s="2198"/>
      <c r="NJE75" s="2198"/>
      <c r="NJF75" s="2198"/>
      <c r="NJG75" s="2198"/>
      <c r="NJH75" s="2198"/>
      <c r="NJI75" s="2198"/>
      <c r="NJJ75" s="2198"/>
      <c r="NJK75" s="2198"/>
      <c r="NJL75" s="2198"/>
      <c r="NJM75" s="2198"/>
      <c r="NJN75" s="2198"/>
      <c r="NJO75" s="2198"/>
      <c r="NJP75" s="2198"/>
      <c r="NJQ75" s="2198"/>
      <c r="NJR75" s="2198"/>
      <c r="NJS75" s="2198"/>
      <c r="NJT75" s="2198"/>
      <c r="NJU75" s="2198"/>
      <c r="NJV75" s="2198"/>
      <c r="NJW75" s="2198"/>
      <c r="NJX75" s="2198"/>
      <c r="NJY75" s="2198"/>
      <c r="NJZ75" s="2198"/>
      <c r="NKA75" s="2198"/>
      <c r="NKB75" s="2198"/>
      <c r="NKC75" s="2198"/>
      <c r="NKD75" s="2198"/>
      <c r="NKE75" s="2198"/>
      <c r="NKF75" s="2198"/>
      <c r="NKG75" s="2198"/>
      <c r="NKH75" s="2198"/>
      <c r="NKI75" s="2198"/>
      <c r="NKJ75" s="2198"/>
      <c r="NKK75" s="2198"/>
      <c r="NKL75" s="2198"/>
      <c r="NKM75" s="2198"/>
      <c r="NKN75" s="2198"/>
      <c r="NKO75" s="2198"/>
      <c r="NKP75" s="2198"/>
      <c r="NKQ75" s="2198"/>
      <c r="NKR75" s="2198"/>
      <c r="NKS75" s="2198"/>
      <c r="NKT75" s="2198"/>
      <c r="NKU75" s="2198"/>
      <c r="NKV75" s="2198"/>
      <c r="NKW75" s="2198"/>
      <c r="NKX75" s="2198"/>
      <c r="NKY75" s="2198"/>
      <c r="NKZ75" s="2198"/>
      <c r="NLA75" s="2198"/>
      <c r="NLB75" s="2198"/>
      <c r="NLC75" s="2198"/>
      <c r="NLD75" s="2198"/>
      <c r="NLE75" s="2198"/>
      <c r="NLF75" s="2198"/>
      <c r="NLG75" s="2198"/>
      <c r="NLH75" s="2198"/>
      <c r="NLI75" s="2198"/>
      <c r="NLJ75" s="2198"/>
      <c r="NLK75" s="2198"/>
      <c r="NLL75" s="2198"/>
      <c r="NLM75" s="2198"/>
      <c r="NLN75" s="2198"/>
      <c r="NLO75" s="2198"/>
      <c r="NLP75" s="2198"/>
      <c r="NLQ75" s="2198"/>
      <c r="NLR75" s="2198"/>
      <c r="NLS75" s="2198"/>
      <c r="NLT75" s="2198"/>
      <c r="NLU75" s="2198"/>
      <c r="NLV75" s="2198"/>
      <c r="NLW75" s="2198"/>
      <c r="NLX75" s="2198"/>
      <c r="NLY75" s="2198"/>
      <c r="NLZ75" s="2198"/>
      <c r="NMA75" s="2198"/>
      <c r="NMB75" s="2198"/>
      <c r="NMC75" s="2198"/>
      <c r="NMD75" s="2198"/>
      <c r="NME75" s="2198"/>
      <c r="NMF75" s="2198"/>
      <c r="NMG75" s="2198"/>
      <c r="NMH75" s="2198"/>
      <c r="NMI75" s="2198"/>
      <c r="NMJ75" s="2198"/>
      <c r="NMK75" s="2198"/>
      <c r="NML75" s="2198"/>
      <c r="NMM75" s="2198"/>
      <c r="NMN75" s="2198"/>
      <c r="NMO75" s="2198"/>
      <c r="NMP75" s="2198"/>
      <c r="NMQ75" s="2198"/>
      <c r="NMR75" s="2198"/>
      <c r="NMS75" s="2198"/>
      <c r="NMT75" s="2198"/>
      <c r="NMU75" s="2198"/>
      <c r="NMV75" s="2198"/>
      <c r="NMW75" s="2198"/>
      <c r="NMX75" s="2198"/>
      <c r="NMY75" s="2198"/>
      <c r="NMZ75" s="2198"/>
      <c r="NNA75" s="2198"/>
      <c r="NNB75" s="2198"/>
      <c r="NNC75" s="2198"/>
      <c r="NND75" s="2198"/>
      <c r="NNE75" s="2198"/>
      <c r="NNF75" s="2198"/>
      <c r="NNG75" s="2198"/>
      <c r="NNH75" s="2198"/>
      <c r="NNI75" s="2198"/>
      <c r="NNJ75" s="2198"/>
      <c r="NNK75" s="2198"/>
      <c r="NNL75" s="2198"/>
      <c r="NNM75" s="2198"/>
      <c r="NNN75" s="2198"/>
      <c r="NNO75" s="2198"/>
      <c r="NNP75" s="2198"/>
      <c r="NNQ75" s="2198"/>
      <c r="NNR75" s="2198"/>
      <c r="NNS75" s="2198"/>
      <c r="NNT75" s="2198"/>
      <c r="NNU75" s="2198"/>
      <c r="NNV75" s="2198"/>
      <c r="NNW75" s="2198"/>
      <c r="NNX75" s="2198"/>
      <c r="NNY75" s="2198"/>
      <c r="NNZ75" s="2198"/>
      <c r="NOA75" s="2198"/>
      <c r="NOB75" s="2198"/>
      <c r="NOC75" s="2198"/>
      <c r="NOD75" s="2198"/>
      <c r="NOE75" s="2198"/>
      <c r="NOF75" s="2198"/>
      <c r="NOG75" s="2198"/>
      <c r="NOH75" s="2198"/>
      <c r="NOI75" s="2198"/>
      <c r="NOJ75" s="2198"/>
      <c r="NOK75" s="2198"/>
      <c r="NOL75" s="2198"/>
      <c r="NOM75" s="2198"/>
      <c r="NON75" s="2198"/>
      <c r="NOO75" s="2198"/>
      <c r="NOP75" s="2198"/>
      <c r="NOQ75" s="2198"/>
      <c r="NOR75" s="2198"/>
      <c r="NOS75" s="2198"/>
      <c r="NOT75" s="2198"/>
      <c r="NOU75" s="2198"/>
      <c r="NOV75" s="2198"/>
      <c r="NOW75" s="2198"/>
      <c r="NOX75" s="2198"/>
      <c r="NOY75" s="2198"/>
      <c r="NOZ75" s="2198"/>
      <c r="NPA75" s="2198"/>
      <c r="NPB75" s="2198"/>
      <c r="NPC75" s="2198"/>
      <c r="NPD75" s="2198"/>
      <c r="NPE75" s="2198"/>
      <c r="NPF75" s="2198"/>
      <c r="NPG75" s="2198"/>
      <c r="NPH75" s="2198"/>
      <c r="NPI75" s="2198"/>
      <c r="NPJ75" s="2198"/>
      <c r="NPK75" s="2198"/>
      <c r="NPL75" s="2198"/>
      <c r="NPM75" s="2198"/>
      <c r="NPN75" s="2198"/>
      <c r="NPO75" s="2198"/>
      <c r="NPP75" s="2198"/>
      <c r="NPQ75" s="2198"/>
      <c r="NPR75" s="2198"/>
      <c r="NPS75" s="2198"/>
      <c r="NPT75" s="2198"/>
      <c r="NPU75" s="2198"/>
      <c r="NPV75" s="2198"/>
      <c r="NPW75" s="2198"/>
      <c r="NPX75" s="2198"/>
      <c r="NPY75" s="2198"/>
      <c r="NPZ75" s="2198"/>
      <c r="NQA75" s="2198"/>
      <c r="NQB75" s="2198"/>
      <c r="NQC75" s="2198"/>
      <c r="NQD75" s="2198"/>
      <c r="NQE75" s="2198"/>
      <c r="NQF75" s="2198"/>
      <c r="NQG75" s="2198"/>
      <c r="NQH75" s="2198"/>
      <c r="NQI75" s="2198"/>
      <c r="NQJ75" s="2198"/>
      <c r="NQK75" s="2198"/>
      <c r="NQL75" s="2198"/>
      <c r="NQM75" s="2198"/>
      <c r="NQN75" s="2198"/>
      <c r="NQO75" s="2198"/>
      <c r="NQP75" s="2198"/>
      <c r="NQQ75" s="2198"/>
      <c r="NQR75" s="2198"/>
      <c r="NQS75" s="2198"/>
      <c r="NQT75" s="2198"/>
      <c r="NQU75" s="2198"/>
      <c r="NQV75" s="2198"/>
      <c r="NQW75" s="2198"/>
      <c r="NQX75" s="2198"/>
      <c r="NQY75" s="2198"/>
      <c r="NQZ75" s="2198"/>
      <c r="NRA75" s="2198"/>
      <c r="NRB75" s="2198"/>
      <c r="NRC75" s="2198"/>
      <c r="NRD75" s="2198"/>
      <c r="NRE75" s="2198"/>
      <c r="NRF75" s="2198"/>
      <c r="NRG75" s="2198"/>
      <c r="NRH75" s="2198"/>
      <c r="NRI75" s="2198"/>
      <c r="NRJ75" s="2198"/>
      <c r="NRK75" s="2198"/>
      <c r="NRL75" s="2198"/>
      <c r="NRM75" s="2198"/>
      <c r="NRN75" s="2198"/>
      <c r="NRO75" s="2198"/>
      <c r="NRP75" s="2198"/>
      <c r="NRQ75" s="2198"/>
      <c r="NRR75" s="2198"/>
      <c r="NRS75" s="2198"/>
      <c r="NRT75" s="2198"/>
      <c r="NRU75" s="2198"/>
      <c r="NRV75" s="2198"/>
      <c r="NRW75" s="2198"/>
      <c r="NRX75" s="2198"/>
      <c r="NRY75" s="2198"/>
      <c r="NRZ75" s="2198"/>
      <c r="NSA75" s="2198"/>
      <c r="NSB75" s="2198"/>
      <c r="NSC75" s="2198"/>
      <c r="NSD75" s="2198"/>
      <c r="NSE75" s="2198"/>
      <c r="NSF75" s="2198"/>
      <c r="NSG75" s="2198"/>
      <c r="NSH75" s="2198"/>
      <c r="NSI75" s="2198"/>
      <c r="NSJ75" s="2198"/>
      <c r="NSK75" s="2198"/>
      <c r="NSL75" s="2198"/>
      <c r="NSM75" s="2198"/>
      <c r="NSN75" s="2198"/>
      <c r="NSO75" s="2198"/>
      <c r="NSP75" s="2198"/>
      <c r="NSQ75" s="2198"/>
      <c r="NSR75" s="2198"/>
      <c r="NSS75" s="2198"/>
      <c r="NST75" s="2198"/>
      <c r="NSU75" s="2198"/>
      <c r="NSV75" s="2198"/>
      <c r="NSW75" s="2198"/>
      <c r="NSX75" s="2198"/>
      <c r="NSY75" s="2198"/>
      <c r="NSZ75" s="2198"/>
      <c r="NTA75" s="2198"/>
      <c r="NTB75" s="2198"/>
      <c r="NTC75" s="2198"/>
      <c r="NTD75" s="2198"/>
      <c r="NTE75" s="2198"/>
      <c r="NTF75" s="2198"/>
      <c r="NTG75" s="2198"/>
      <c r="NTH75" s="2198"/>
      <c r="NTI75" s="2198"/>
      <c r="NTJ75" s="2198"/>
      <c r="NTK75" s="2198"/>
      <c r="NTL75" s="2198"/>
      <c r="NTM75" s="2198"/>
      <c r="NTN75" s="2198"/>
      <c r="NTO75" s="2198"/>
      <c r="NTP75" s="2198"/>
      <c r="NTQ75" s="2198"/>
      <c r="NTR75" s="2198"/>
      <c r="NTS75" s="2198"/>
      <c r="NTT75" s="2198"/>
      <c r="NTU75" s="2198"/>
      <c r="NTV75" s="2198"/>
      <c r="NTW75" s="2198"/>
      <c r="NTX75" s="2198"/>
      <c r="NTY75" s="2198"/>
      <c r="NTZ75" s="2198"/>
      <c r="NUA75" s="2198"/>
      <c r="NUB75" s="2198"/>
      <c r="NUC75" s="2198"/>
      <c r="NUD75" s="2198"/>
      <c r="NUE75" s="2198"/>
      <c r="NUF75" s="2198"/>
      <c r="NUG75" s="2198"/>
      <c r="NUH75" s="2198"/>
      <c r="NUI75" s="2198"/>
      <c r="NUJ75" s="2198"/>
      <c r="NUK75" s="2198"/>
      <c r="NUL75" s="2198"/>
      <c r="NUM75" s="2198"/>
      <c r="NUN75" s="2198"/>
      <c r="NUO75" s="2198"/>
      <c r="NUP75" s="2198"/>
      <c r="NUQ75" s="2198"/>
      <c r="NUR75" s="2198"/>
      <c r="NUS75" s="2198"/>
      <c r="NUT75" s="2198"/>
      <c r="NUU75" s="2198"/>
      <c r="NUV75" s="2198"/>
      <c r="NUW75" s="2198"/>
      <c r="NUX75" s="2198"/>
      <c r="NUY75" s="2198"/>
      <c r="NUZ75" s="2198"/>
      <c r="NVA75" s="2198"/>
      <c r="NVB75" s="2198"/>
      <c r="NVC75" s="2198"/>
      <c r="NVD75" s="2198"/>
      <c r="NVE75" s="2198"/>
      <c r="NVF75" s="2198"/>
      <c r="NVG75" s="2198"/>
      <c r="NVH75" s="2198"/>
      <c r="NVI75" s="2198"/>
      <c r="NVJ75" s="2198"/>
      <c r="NVK75" s="2198"/>
      <c r="NVL75" s="2198"/>
      <c r="NVM75" s="2198"/>
      <c r="NVN75" s="2198"/>
      <c r="NVO75" s="2198"/>
      <c r="NVP75" s="2198"/>
      <c r="NVQ75" s="2198"/>
      <c r="NVR75" s="2198"/>
      <c r="NVS75" s="2198"/>
      <c r="NVT75" s="2198"/>
      <c r="NVU75" s="2198"/>
      <c r="NVV75" s="2198"/>
      <c r="NVW75" s="2198"/>
      <c r="NVX75" s="2198"/>
      <c r="NVY75" s="2198"/>
      <c r="NVZ75" s="2198"/>
      <c r="NWA75" s="2198"/>
      <c r="NWB75" s="2198"/>
      <c r="NWC75" s="2198"/>
      <c r="NWD75" s="2198"/>
      <c r="NWE75" s="2198"/>
      <c r="NWF75" s="2198"/>
      <c r="NWG75" s="2198"/>
      <c r="NWH75" s="2198"/>
      <c r="NWI75" s="2198"/>
      <c r="NWJ75" s="2198"/>
      <c r="NWK75" s="2198"/>
      <c r="NWL75" s="2198"/>
      <c r="NWM75" s="2198"/>
      <c r="NWN75" s="2198"/>
      <c r="NWO75" s="2198"/>
      <c r="NWP75" s="2198"/>
      <c r="NWQ75" s="2198"/>
      <c r="NWR75" s="2198"/>
      <c r="NWS75" s="2198"/>
      <c r="NWT75" s="2198"/>
      <c r="NWU75" s="2198"/>
      <c r="NWV75" s="2198"/>
      <c r="NWW75" s="2198"/>
      <c r="NWX75" s="2198"/>
      <c r="NWY75" s="2198"/>
      <c r="NWZ75" s="2198"/>
      <c r="NXA75" s="2198"/>
      <c r="NXB75" s="2198"/>
      <c r="NXC75" s="2198"/>
      <c r="NXD75" s="2198"/>
      <c r="NXE75" s="2198"/>
      <c r="NXF75" s="2198"/>
      <c r="NXG75" s="2198"/>
      <c r="NXH75" s="2198"/>
      <c r="NXI75" s="2198"/>
      <c r="NXJ75" s="2198"/>
      <c r="NXK75" s="2198"/>
      <c r="NXL75" s="2198"/>
      <c r="NXM75" s="2198"/>
      <c r="NXN75" s="2198"/>
      <c r="NXO75" s="2198"/>
      <c r="NXP75" s="2198"/>
      <c r="NXQ75" s="2198"/>
      <c r="NXR75" s="2198"/>
      <c r="NXS75" s="2198"/>
      <c r="NXT75" s="2198"/>
      <c r="NXU75" s="2198"/>
      <c r="NXV75" s="2198"/>
      <c r="NXW75" s="2198"/>
      <c r="NXX75" s="2198"/>
      <c r="NXY75" s="2198"/>
      <c r="NXZ75" s="2198"/>
      <c r="NYA75" s="2198"/>
      <c r="NYB75" s="2198"/>
      <c r="NYC75" s="2198"/>
      <c r="NYD75" s="2198"/>
      <c r="NYE75" s="2198"/>
      <c r="NYF75" s="2198"/>
      <c r="NYG75" s="2198"/>
      <c r="NYH75" s="2198"/>
      <c r="NYI75" s="2198"/>
      <c r="NYJ75" s="2198"/>
      <c r="NYK75" s="2198"/>
      <c r="NYL75" s="2198"/>
      <c r="NYM75" s="2198"/>
      <c r="NYN75" s="2198"/>
      <c r="NYO75" s="2198"/>
      <c r="NYP75" s="2198"/>
      <c r="NYQ75" s="2198"/>
      <c r="NYR75" s="2198"/>
      <c r="NYS75" s="2198"/>
      <c r="NYT75" s="2198"/>
      <c r="NYU75" s="2198"/>
      <c r="NYV75" s="2198"/>
      <c r="NYW75" s="2198"/>
      <c r="NYX75" s="2198"/>
      <c r="NYY75" s="2198"/>
      <c r="NYZ75" s="2198"/>
      <c r="NZA75" s="2198"/>
      <c r="NZB75" s="2198"/>
      <c r="NZC75" s="2198"/>
      <c r="NZD75" s="2198"/>
      <c r="NZE75" s="2198"/>
      <c r="NZF75" s="2198"/>
      <c r="NZG75" s="2198"/>
      <c r="NZH75" s="2198"/>
      <c r="NZI75" s="2198"/>
      <c r="NZJ75" s="2198"/>
      <c r="NZK75" s="2198"/>
      <c r="NZL75" s="2198"/>
      <c r="NZM75" s="2198"/>
      <c r="NZN75" s="2198"/>
      <c r="NZO75" s="2198"/>
      <c r="NZP75" s="2198"/>
      <c r="NZQ75" s="2198"/>
      <c r="NZR75" s="2198"/>
      <c r="NZS75" s="2198"/>
      <c r="NZT75" s="2198"/>
      <c r="NZU75" s="2198"/>
      <c r="NZV75" s="2198"/>
      <c r="NZW75" s="2198"/>
      <c r="NZX75" s="2198"/>
      <c r="NZY75" s="2198"/>
      <c r="NZZ75" s="2198"/>
      <c r="OAA75" s="2198"/>
      <c r="OAB75" s="2198"/>
      <c r="OAC75" s="2198"/>
      <c r="OAD75" s="2198"/>
      <c r="OAE75" s="2198"/>
      <c r="OAF75" s="2198"/>
      <c r="OAG75" s="2198"/>
      <c r="OAH75" s="2198"/>
      <c r="OAI75" s="2198"/>
      <c r="OAJ75" s="2198"/>
      <c r="OAK75" s="2198"/>
      <c r="OAL75" s="2198"/>
      <c r="OAM75" s="2198"/>
      <c r="OAN75" s="2198"/>
      <c r="OAO75" s="2198"/>
      <c r="OAP75" s="2198"/>
      <c r="OAQ75" s="2198"/>
      <c r="OAR75" s="2198"/>
      <c r="OAS75" s="2198"/>
      <c r="OAT75" s="2198"/>
      <c r="OAU75" s="2198"/>
      <c r="OAV75" s="2198"/>
      <c r="OAW75" s="2198"/>
      <c r="OAX75" s="2198"/>
      <c r="OAY75" s="2198"/>
      <c r="OAZ75" s="2198"/>
      <c r="OBA75" s="2198"/>
      <c r="OBB75" s="2198"/>
      <c r="OBC75" s="2198"/>
      <c r="OBD75" s="2198"/>
      <c r="OBE75" s="2198"/>
      <c r="OBF75" s="2198"/>
      <c r="OBG75" s="2198"/>
      <c r="OBH75" s="2198"/>
      <c r="OBI75" s="2198"/>
      <c r="OBJ75" s="2198"/>
      <c r="OBK75" s="2198"/>
      <c r="OBL75" s="2198"/>
      <c r="OBM75" s="2198"/>
      <c r="OBN75" s="2198"/>
      <c r="OBO75" s="2198"/>
      <c r="OBP75" s="2198"/>
      <c r="OBQ75" s="2198"/>
      <c r="OBR75" s="2198"/>
      <c r="OBS75" s="2198"/>
      <c r="OBT75" s="2198"/>
      <c r="OBU75" s="2198"/>
      <c r="OBV75" s="2198"/>
      <c r="OBW75" s="2198"/>
      <c r="OBX75" s="2198"/>
      <c r="OBY75" s="2198"/>
      <c r="OBZ75" s="2198"/>
      <c r="OCA75" s="2198"/>
      <c r="OCB75" s="2198"/>
      <c r="OCC75" s="2198"/>
      <c r="OCD75" s="2198"/>
      <c r="OCE75" s="2198"/>
      <c r="OCF75" s="2198"/>
      <c r="OCG75" s="2198"/>
      <c r="OCH75" s="2198"/>
      <c r="OCI75" s="2198"/>
      <c r="OCJ75" s="2198"/>
      <c r="OCK75" s="2198"/>
      <c r="OCL75" s="2198"/>
      <c r="OCM75" s="2198"/>
      <c r="OCN75" s="2198"/>
      <c r="OCO75" s="2198"/>
      <c r="OCP75" s="2198"/>
      <c r="OCQ75" s="2198"/>
      <c r="OCR75" s="2198"/>
      <c r="OCS75" s="2198"/>
      <c r="OCT75" s="2198"/>
      <c r="OCU75" s="2198"/>
      <c r="OCV75" s="2198"/>
      <c r="OCW75" s="2198"/>
      <c r="OCX75" s="2198"/>
      <c r="OCY75" s="2198"/>
      <c r="OCZ75" s="2198"/>
      <c r="ODA75" s="2198"/>
      <c r="ODB75" s="2198"/>
      <c r="ODC75" s="2198"/>
      <c r="ODD75" s="2198"/>
      <c r="ODE75" s="2198"/>
      <c r="ODF75" s="2198"/>
      <c r="ODG75" s="2198"/>
      <c r="ODH75" s="2198"/>
      <c r="ODI75" s="2198"/>
      <c r="ODJ75" s="2198"/>
      <c r="ODK75" s="2198"/>
      <c r="ODL75" s="2198"/>
      <c r="ODM75" s="2198"/>
      <c r="ODN75" s="2198"/>
      <c r="ODO75" s="2198"/>
      <c r="ODP75" s="2198"/>
      <c r="ODQ75" s="2198"/>
      <c r="ODR75" s="2198"/>
      <c r="ODS75" s="2198"/>
      <c r="ODT75" s="2198"/>
      <c r="ODU75" s="2198"/>
      <c r="ODV75" s="2198"/>
      <c r="ODW75" s="2198"/>
      <c r="ODX75" s="2198"/>
      <c r="ODY75" s="2198"/>
      <c r="ODZ75" s="2198"/>
      <c r="OEA75" s="2198"/>
      <c r="OEB75" s="2198"/>
      <c r="OEC75" s="2198"/>
      <c r="OED75" s="2198"/>
      <c r="OEE75" s="2198"/>
      <c r="OEF75" s="2198"/>
      <c r="OEG75" s="2198"/>
      <c r="OEH75" s="2198"/>
      <c r="OEI75" s="2198"/>
      <c r="OEJ75" s="2198"/>
      <c r="OEK75" s="2198"/>
      <c r="OEL75" s="2198"/>
      <c r="OEM75" s="2198"/>
      <c r="OEN75" s="2198"/>
      <c r="OEO75" s="2198"/>
      <c r="OEP75" s="2198"/>
      <c r="OEQ75" s="2198"/>
      <c r="OER75" s="2198"/>
      <c r="OES75" s="2198"/>
      <c r="OET75" s="2198"/>
      <c r="OEU75" s="2198"/>
      <c r="OEV75" s="2198"/>
      <c r="OEW75" s="2198"/>
      <c r="OEX75" s="2198"/>
      <c r="OEY75" s="2198"/>
      <c r="OEZ75" s="2198"/>
      <c r="OFA75" s="2198"/>
      <c r="OFB75" s="2198"/>
      <c r="OFC75" s="2198"/>
      <c r="OFD75" s="2198"/>
      <c r="OFE75" s="2198"/>
      <c r="OFF75" s="2198"/>
      <c r="OFG75" s="2198"/>
      <c r="OFH75" s="2198"/>
      <c r="OFI75" s="2198"/>
      <c r="OFJ75" s="2198"/>
      <c r="OFK75" s="2198"/>
      <c r="OFL75" s="2198"/>
      <c r="OFM75" s="2198"/>
      <c r="OFN75" s="2198"/>
      <c r="OFO75" s="2198"/>
      <c r="OFP75" s="2198"/>
      <c r="OFQ75" s="2198"/>
      <c r="OFR75" s="2198"/>
      <c r="OFS75" s="2198"/>
      <c r="OFT75" s="2198"/>
      <c r="OFU75" s="2198"/>
      <c r="OFV75" s="2198"/>
      <c r="OFW75" s="2198"/>
      <c r="OFX75" s="2198"/>
      <c r="OFY75" s="2198"/>
      <c r="OFZ75" s="2198"/>
      <c r="OGA75" s="2198"/>
      <c r="OGB75" s="2198"/>
      <c r="OGC75" s="2198"/>
      <c r="OGD75" s="2198"/>
      <c r="OGE75" s="2198"/>
      <c r="OGF75" s="2198"/>
      <c r="OGG75" s="2198"/>
      <c r="OGH75" s="2198"/>
      <c r="OGI75" s="2198"/>
      <c r="OGJ75" s="2198"/>
      <c r="OGK75" s="2198"/>
      <c r="OGL75" s="2198"/>
      <c r="OGM75" s="2198"/>
      <c r="OGN75" s="2198"/>
      <c r="OGO75" s="2198"/>
      <c r="OGP75" s="2198"/>
      <c r="OGQ75" s="2198"/>
      <c r="OGR75" s="2198"/>
      <c r="OGS75" s="2198"/>
      <c r="OGT75" s="2198"/>
      <c r="OGU75" s="2198"/>
      <c r="OGV75" s="2198"/>
      <c r="OGW75" s="2198"/>
      <c r="OGX75" s="2198"/>
      <c r="OGY75" s="2198"/>
      <c r="OGZ75" s="2198"/>
      <c r="OHA75" s="2198"/>
      <c r="OHB75" s="2198"/>
      <c r="OHC75" s="2198"/>
      <c r="OHD75" s="2198"/>
      <c r="OHE75" s="2198"/>
      <c r="OHF75" s="2198"/>
      <c r="OHG75" s="2198"/>
      <c r="OHH75" s="2198"/>
      <c r="OHI75" s="2198"/>
      <c r="OHJ75" s="2198"/>
      <c r="OHK75" s="2198"/>
      <c r="OHL75" s="2198"/>
      <c r="OHM75" s="2198"/>
      <c r="OHN75" s="2198"/>
      <c r="OHO75" s="2198"/>
      <c r="OHP75" s="2198"/>
      <c r="OHQ75" s="2198"/>
      <c r="OHR75" s="2198"/>
      <c r="OHS75" s="2198"/>
      <c r="OHT75" s="2198"/>
      <c r="OHU75" s="2198"/>
      <c r="OHV75" s="2198"/>
      <c r="OHW75" s="2198"/>
      <c r="OHX75" s="2198"/>
      <c r="OHY75" s="2198"/>
      <c r="OHZ75" s="2198"/>
      <c r="OIA75" s="2198"/>
      <c r="OIB75" s="2198"/>
      <c r="OIC75" s="2198"/>
      <c r="OID75" s="2198"/>
      <c r="OIE75" s="2198"/>
      <c r="OIF75" s="2198"/>
      <c r="OIG75" s="2198"/>
      <c r="OIH75" s="2198"/>
      <c r="OII75" s="2198"/>
      <c r="OIJ75" s="2198"/>
      <c r="OIK75" s="2198"/>
      <c r="OIL75" s="2198"/>
      <c r="OIM75" s="2198"/>
      <c r="OIN75" s="2198"/>
      <c r="OIO75" s="2198"/>
      <c r="OIP75" s="2198"/>
      <c r="OIQ75" s="2198"/>
      <c r="OIR75" s="2198"/>
      <c r="OIS75" s="2198"/>
      <c r="OIT75" s="2198"/>
      <c r="OIU75" s="2198"/>
      <c r="OIV75" s="2198"/>
      <c r="OIW75" s="2198"/>
      <c r="OIX75" s="2198"/>
      <c r="OIY75" s="2198"/>
      <c r="OIZ75" s="2198"/>
      <c r="OJA75" s="2198"/>
      <c r="OJB75" s="2198"/>
      <c r="OJC75" s="2198"/>
      <c r="OJD75" s="2198"/>
      <c r="OJE75" s="2198"/>
      <c r="OJF75" s="2198"/>
      <c r="OJG75" s="2198"/>
      <c r="OJH75" s="2198"/>
      <c r="OJI75" s="2198"/>
      <c r="OJJ75" s="2198"/>
      <c r="OJK75" s="2198"/>
      <c r="OJL75" s="2198"/>
      <c r="OJM75" s="2198"/>
      <c r="OJN75" s="2198"/>
      <c r="OJO75" s="2198"/>
      <c r="OJP75" s="2198"/>
      <c r="OJQ75" s="2198"/>
      <c r="OJR75" s="2198"/>
      <c r="OJS75" s="2198"/>
      <c r="OJT75" s="2198"/>
      <c r="OJU75" s="2198"/>
      <c r="OJV75" s="2198"/>
      <c r="OJW75" s="2198"/>
      <c r="OJX75" s="2198"/>
      <c r="OJY75" s="2198"/>
      <c r="OJZ75" s="2198"/>
      <c r="OKA75" s="2198"/>
      <c r="OKB75" s="2198"/>
      <c r="OKC75" s="2198"/>
      <c r="OKD75" s="2198"/>
      <c r="OKE75" s="2198"/>
      <c r="OKF75" s="2198"/>
      <c r="OKG75" s="2198"/>
      <c r="OKH75" s="2198"/>
      <c r="OKI75" s="2198"/>
      <c r="OKJ75" s="2198"/>
      <c r="OKK75" s="2198"/>
      <c r="OKL75" s="2198"/>
      <c r="OKM75" s="2198"/>
      <c r="OKN75" s="2198"/>
      <c r="OKO75" s="2198"/>
      <c r="OKP75" s="2198"/>
      <c r="OKQ75" s="2198"/>
      <c r="OKR75" s="2198"/>
      <c r="OKS75" s="2198"/>
      <c r="OKT75" s="2198"/>
      <c r="OKU75" s="2198"/>
      <c r="OKV75" s="2198"/>
      <c r="OKW75" s="2198"/>
      <c r="OKX75" s="2198"/>
      <c r="OKY75" s="2198"/>
      <c r="OKZ75" s="2198"/>
      <c r="OLA75" s="2198"/>
      <c r="OLB75" s="2198"/>
      <c r="OLC75" s="2198"/>
      <c r="OLD75" s="2198"/>
      <c r="OLE75" s="2198"/>
      <c r="OLF75" s="2198"/>
      <c r="OLG75" s="2198"/>
      <c r="OLH75" s="2198"/>
      <c r="OLI75" s="2198"/>
      <c r="OLJ75" s="2198"/>
      <c r="OLK75" s="2198"/>
      <c r="OLL75" s="2198"/>
      <c r="OLM75" s="2198"/>
      <c r="OLN75" s="2198"/>
      <c r="OLO75" s="2198"/>
      <c r="OLP75" s="2198"/>
      <c r="OLQ75" s="2198"/>
      <c r="OLR75" s="2198"/>
      <c r="OLS75" s="2198"/>
      <c r="OLT75" s="2198"/>
      <c r="OLU75" s="2198"/>
      <c r="OLV75" s="2198"/>
      <c r="OLW75" s="2198"/>
      <c r="OLX75" s="2198"/>
      <c r="OLY75" s="2198"/>
      <c r="OLZ75" s="2198"/>
      <c r="OMA75" s="2198"/>
      <c r="OMB75" s="2198"/>
      <c r="OMC75" s="2198"/>
      <c r="OMD75" s="2198"/>
      <c r="OME75" s="2198"/>
      <c r="OMF75" s="2198"/>
      <c r="OMG75" s="2198"/>
      <c r="OMH75" s="2198"/>
      <c r="OMI75" s="2198"/>
      <c r="OMJ75" s="2198"/>
      <c r="OMK75" s="2198"/>
      <c r="OML75" s="2198"/>
      <c r="OMM75" s="2198"/>
      <c r="OMN75" s="2198"/>
      <c r="OMO75" s="2198"/>
      <c r="OMP75" s="2198"/>
      <c r="OMQ75" s="2198"/>
      <c r="OMR75" s="2198"/>
      <c r="OMS75" s="2198"/>
      <c r="OMT75" s="2198"/>
      <c r="OMU75" s="2198"/>
      <c r="OMV75" s="2198"/>
      <c r="OMW75" s="2198"/>
      <c r="OMX75" s="2198"/>
      <c r="OMY75" s="2198"/>
      <c r="OMZ75" s="2198"/>
      <c r="ONA75" s="2198"/>
      <c r="ONB75" s="2198"/>
      <c r="ONC75" s="2198"/>
      <c r="OND75" s="2198"/>
      <c r="ONE75" s="2198"/>
      <c r="ONF75" s="2198"/>
      <c r="ONG75" s="2198"/>
      <c r="ONH75" s="2198"/>
      <c r="ONI75" s="2198"/>
      <c r="ONJ75" s="2198"/>
      <c r="ONK75" s="2198"/>
      <c r="ONL75" s="2198"/>
      <c r="ONM75" s="2198"/>
      <c r="ONN75" s="2198"/>
      <c r="ONO75" s="2198"/>
      <c r="ONP75" s="2198"/>
      <c r="ONQ75" s="2198"/>
      <c r="ONR75" s="2198"/>
      <c r="ONS75" s="2198"/>
      <c r="ONT75" s="2198"/>
      <c r="ONU75" s="2198"/>
      <c r="ONV75" s="2198"/>
      <c r="ONW75" s="2198"/>
      <c r="ONX75" s="2198"/>
      <c r="ONY75" s="2198"/>
      <c r="ONZ75" s="2198"/>
      <c r="OOA75" s="2198"/>
      <c r="OOB75" s="2198"/>
      <c r="OOC75" s="2198"/>
      <c r="OOD75" s="2198"/>
      <c r="OOE75" s="2198"/>
      <c r="OOF75" s="2198"/>
      <c r="OOG75" s="2198"/>
      <c r="OOH75" s="2198"/>
      <c r="OOI75" s="2198"/>
      <c r="OOJ75" s="2198"/>
      <c r="OOK75" s="2198"/>
      <c r="OOL75" s="2198"/>
      <c r="OOM75" s="2198"/>
      <c r="OON75" s="2198"/>
      <c r="OOO75" s="2198"/>
      <c r="OOP75" s="2198"/>
      <c r="OOQ75" s="2198"/>
      <c r="OOR75" s="2198"/>
      <c r="OOS75" s="2198"/>
      <c r="OOT75" s="2198"/>
      <c r="OOU75" s="2198"/>
      <c r="OOV75" s="2198"/>
      <c r="OOW75" s="2198"/>
      <c r="OOX75" s="2198"/>
      <c r="OOY75" s="2198"/>
      <c r="OOZ75" s="2198"/>
      <c r="OPA75" s="2198"/>
      <c r="OPB75" s="2198"/>
      <c r="OPC75" s="2198"/>
      <c r="OPD75" s="2198"/>
      <c r="OPE75" s="2198"/>
      <c r="OPF75" s="2198"/>
      <c r="OPG75" s="2198"/>
      <c r="OPH75" s="2198"/>
      <c r="OPI75" s="2198"/>
      <c r="OPJ75" s="2198"/>
      <c r="OPK75" s="2198"/>
      <c r="OPL75" s="2198"/>
      <c r="OPM75" s="2198"/>
      <c r="OPN75" s="2198"/>
      <c r="OPO75" s="2198"/>
      <c r="OPP75" s="2198"/>
      <c r="OPQ75" s="2198"/>
      <c r="OPR75" s="2198"/>
      <c r="OPS75" s="2198"/>
      <c r="OPT75" s="2198"/>
      <c r="OPU75" s="2198"/>
      <c r="OPV75" s="2198"/>
      <c r="OPW75" s="2198"/>
      <c r="OPX75" s="2198"/>
      <c r="OPY75" s="2198"/>
      <c r="OPZ75" s="2198"/>
      <c r="OQA75" s="2198"/>
      <c r="OQB75" s="2198"/>
      <c r="OQC75" s="2198"/>
      <c r="OQD75" s="2198"/>
      <c r="OQE75" s="2198"/>
      <c r="OQF75" s="2198"/>
      <c r="OQG75" s="2198"/>
      <c r="OQH75" s="2198"/>
      <c r="OQI75" s="2198"/>
      <c r="OQJ75" s="2198"/>
      <c r="OQK75" s="2198"/>
      <c r="OQL75" s="2198"/>
      <c r="OQM75" s="2198"/>
      <c r="OQN75" s="2198"/>
      <c r="OQO75" s="2198"/>
      <c r="OQP75" s="2198"/>
      <c r="OQQ75" s="2198"/>
      <c r="OQR75" s="2198"/>
      <c r="OQS75" s="2198"/>
      <c r="OQT75" s="2198"/>
      <c r="OQU75" s="2198"/>
      <c r="OQV75" s="2198"/>
      <c r="OQW75" s="2198"/>
      <c r="OQX75" s="2198"/>
      <c r="OQY75" s="2198"/>
      <c r="OQZ75" s="2198"/>
      <c r="ORA75" s="2198"/>
      <c r="ORB75" s="2198"/>
      <c r="ORC75" s="2198"/>
      <c r="ORD75" s="2198"/>
      <c r="ORE75" s="2198"/>
      <c r="ORF75" s="2198"/>
      <c r="ORG75" s="2198"/>
      <c r="ORH75" s="2198"/>
      <c r="ORI75" s="2198"/>
      <c r="ORJ75" s="2198"/>
      <c r="ORK75" s="2198"/>
      <c r="ORL75" s="2198"/>
      <c r="ORM75" s="2198"/>
      <c r="ORN75" s="2198"/>
      <c r="ORO75" s="2198"/>
      <c r="ORP75" s="2198"/>
      <c r="ORQ75" s="2198"/>
      <c r="ORR75" s="2198"/>
      <c r="ORS75" s="2198"/>
      <c r="ORT75" s="2198"/>
      <c r="ORU75" s="2198"/>
      <c r="ORV75" s="2198"/>
      <c r="ORW75" s="2198"/>
      <c r="ORX75" s="2198"/>
      <c r="ORY75" s="2198"/>
      <c r="ORZ75" s="2198"/>
      <c r="OSA75" s="2198"/>
      <c r="OSB75" s="2198"/>
      <c r="OSC75" s="2198"/>
      <c r="OSD75" s="2198"/>
      <c r="OSE75" s="2198"/>
      <c r="OSF75" s="2198"/>
      <c r="OSG75" s="2198"/>
      <c r="OSH75" s="2198"/>
      <c r="OSI75" s="2198"/>
      <c r="OSJ75" s="2198"/>
      <c r="OSK75" s="2198"/>
      <c r="OSL75" s="2198"/>
      <c r="OSM75" s="2198"/>
      <c r="OSN75" s="2198"/>
      <c r="OSO75" s="2198"/>
      <c r="OSP75" s="2198"/>
      <c r="OSQ75" s="2198"/>
      <c r="OSR75" s="2198"/>
      <c r="OSS75" s="2198"/>
      <c r="OST75" s="2198"/>
      <c r="OSU75" s="2198"/>
      <c r="OSV75" s="2198"/>
      <c r="OSW75" s="2198"/>
      <c r="OSX75" s="2198"/>
      <c r="OSY75" s="2198"/>
      <c r="OSZ75" s="2198"/>
      <c r="OTA75" s="2198"/>
      <c r="OTB75" s="2198"/>
      <c r="OTC75" s="2198"/>
      <c r="OTD75" s="2198"/>
      <c r="OTE75" s="2198"/>
      <c r="OTF75" s="2198"/>
      <c r="OTG75" s="2198"/>
      <c r="OTH75" s="2198"/>
      <c r="OTI75" s="2198"/>
      <c r="OTJ75" s="2198"/>
      <c r="OTK75" s="2198"/>
      <c r="OTL75" s="2198"/>
      <c r="OTM75" s="2198"/>
      <c r="OTN75" s="2198"/>
      <c r="OTO75" s="2198"/>
      <c r="OTP75" s="2198"/>
      <c r="OTQ75" s="2198"/>
      <c r="OTR75" s="2198"/>
      <c r="OTS75" s="2198"/>
      <c r="OTT75" s="2198"/>
      <c r="OTU75" s="2198"/>
      <c r="OTV75" s="2198"/>
      <c r="OTW75" s="2198"/>
      <c r="OTX75" s="2198"/>
      <c r="OTY75" s="2198"/>
      <c r="OTZ75" s="2198"/>
      <c r="OUA75" s="2198"/>
      <c r="OUB75" s="2198"/>
      <c r="OUC75" s="2198"/>
      <c r="OUD75" s="2198"/>
      <c r="OUE75" s="2198"/>
      <c r="OUF75" s="2198"/>
      <c r="OUG75" s="2198"/>
      <c r="OUH75" s="2198"/>
      <c r="OUI75" s="2198"/>
      <c r="OUJ75" s="2198"/>
      <c r="OUK75" s="2198"/>
      <c r="OUL75" s="2198"/>
      <c r="OUM75" s="2198"/>
      <c r="OUN75" s="2198"/>
      <c r="OUO75" s="2198"/>
      <c r="OUP75" s="2198"/>
      <c r="OUQ75" s="2198"/>
      <c r="OUR75" s="2198"/>
      <c r="OUS75" s="2198"/>
      <c r="OUT75" s="2198"/>
      <c r="OUU75" s="2198"/>
      <c r="OUV75" s="2198"/>
      <c r="OUW75" s="2198"/>
      <c r="OUX75" s="2198"/>
      <c r="OUY75" s="2198"/>
      <c r="OUZ75" s="2198"/>
      <c r="OVA75" s="2198"/>
      <c r="OVB75" s="2198"/>
      <c r="OVC75" s="2198"/>
      <c r="OVD75" s="2198"/>
      <c r="OVE75" s="2198"/>
      <c r="OVF75" s="2198"/>
      <c r="OVG75" s="2198"/>
      <c r="OVH75" s="2198"/>
      <c r="OVI75" s="2198"/>
      <c r="OVJ75" s="2198"/>
      <c r="OVK75" s="2198"/>
      <c r="OVL75" s="2198"/>
      <c r="OVM75" s="2198"/>
      <c r="OVN75" s="2198"/>
      <c r="OVO75" s="2198"/>
      <c r="OVP75" s="2198"/>
      <c r="OVQ75" s="2198"/>
      <c r="OVR75" s="2198"/>
      <c r="OVS75" s="2198"/>
      <c r="OVT75" s="2198"/>
      <c r="OVU75" s="2198"/>
      <c r="OVV75" s="2198"/>
      <c r="OVW75" s="2198"/>
      <c r="OVX75" s="2198"/>
      <c r="OVY75" s="2198"/>
      <c r="OVZ75" s="2198"/>
      <c r="OWA75" s="2198"/>
      <c r="OWB75" s="2198"/>
      <c r="OWC75" s="2198"/>
      <c r="OWD75" s="2198"/>
      <c r="OWE75" s="2198"/>
      <c r="OWF75" s="2198"/>
      <c r="OWG75" s="2198"/>
      <c r="OWH75" s="2198"/>
      <c r="OWI75" s="2198"/>
      <c r="OWJ75" s="2198"/>
      <c r="OWK75" s="2198"/>
      <c r="OWL75" s="2198"/>
      <c r="OWM75" s="2198"/>
      <c r="OWN75" s="2198"/>
      <c r="OWO75" s="2198"/>
      <c r="OWP75" s="2198"/>
      <c r="OWQ75" s="2198"/>
      <c r="OWR75" s="2198"/>
      <c r="OWS75" s="2198"/>
      <c r="OWT75" s="2198"/>
      <c r="OWU75" s="2198"/>
      <c r="OWV75" s="2198"/>
      <c r="OWW75" s="2198"/>
      <c r="OWX75" s="2198"/>
      <c r="OWY75" s="2198"/>
      <c r="OWZ75" s="2198"/>
      <c r="OXA75" s="2198"/>
      <c r="OXB75" s="2198"/>
      <c r="OXC75" s="2198"/>
      <c r="OXD75" s="2198"/>
      <c r="OXE75" s="2198"/>
      <c r="OXF75" s="2198"/>
      <c r="OXG75" s="2198"/>
      <c r="OXH75" s="2198"/>
      <c r="OXI75" s="2198"/>
      <c r="OXJ75" s="2198"/>
      <c r="OXK75" s="2198"/>
      <c r="OXL75" s="2198"/>
      <c r="OXM75" s="2198"/>
      <c r="OXN75" s="2198"/>
      <c r="OXO75" s="2198"/>
      <c r="OXP75" s="2198"/>
      <c r="OXQ75" s="2198"/>
      <c r="OXR75" s="2198"/>
      <c r="OXS75" s="2198"/>
      <c r="OXT75" s="2198"/>
      <c r="OXU75" s="2198"/>
      <c r="OXV75" s="2198"/>
      <c r="OXW75" s="2198"/>
      <c r="OXX75" s="2198"/>
      <c r="OXY75" s="2198"/>
      <c r="OXZ75" s="2198"/>
      <c r="OYA75" s="2198"/>
      <c r="OYB75" s="2198"/>
      <c r="OYC75" s="2198"/>
      <c r="OYD75" s="2198"/>
      <c r="OYE75" s="2198"/>
      <c r="OYF75" s="2198"/>
      <c r="OYG75" s="2198"/>
      <c r="OYH75" s="2198"/>
      <c r="OYI75" s="2198"/>
      <c r="OYJ75" s="2198"/>
      <c r="OYK75" s="2198"/>
      <c r="OYL75" s="2198"/>
      <c r="OYM75" s="2198"/>
      <c r="OYN75" s="2198"/>
      <c r="OYO75" s="2198"/>
      <c r="OYP75" s="2198"/>
      <c r="OYQ75" s="2198"/>
      <c r="OYR75" s="2198"/>
      <c r="OYS75" s="2198"/>
      <c r="OYT75" s="2198"/>
      <c r="OYU75" s="2198"/>
      <c r="OYV75" s="2198"/>
      <c r="OYW75" s="2198"/>
      <c r="OYX75" s="2198"/>
      <c r="OYY75" s="2198"/>
      <c r="OYZ75" s="2198"/>
      <c r="OZA75" s="2198"/>
      <c r="OZB75" s="2198"/>
      <c r="OZC75" s="2198"/>
      <c r="OZD75" s="2198"/>
      <c r="OZE75" s="2198"/>
      <c r="OZF75" s="2198"/>
      <c r="OZG75" s="2198"/>
      <c r="OZH75" s="2198"/>
      <c r="OZI75" s="2198"/>
      <c r="OZJ75" s="2198"/>
      <c r="OZK75" s="2198"/>
      <c r="OZL75" s="2198"/>
      <c r="OZM75" s="2198"/>
      <c r="OZN75" s="2198"/>
      <c r="OZO75" s="2198"/>
      <c r="OZP75" s="2198"/>
      <c r="OZQ75" s="2198"/>
      <c r="OZR75" s="2198"/>
      <c r="OZS75" s="2198"/>
      <c r="OZT75" s="2198"/>
      <c r="OZU75" s="2198"/>
      <c r="OZV75" s="2198"/>
      <c r="OZW75" s="2198"/>
      <c r="OZX75" s="2198"/>
      <c r="OZY75" s="2198"/>
      <c r="OZZ75" s="2198"/>
      <c r="PAA75" s="2198"/>
      <c r="PAB75" s="2198"/>
      <c r="PAC75" s="2198"/>
      <c r="PAD75" s="2198"/>
      <c r="PAE75" s="2198"/>
      <c r="PAF75" s="2198"/>
      <c r="PAG75" s="2198"/>
      <c r="PAH75" s="2198"/>
      <c r="PAI75" s="2198"/>
      <c r="PAJ75" s="2198"/>
      <c r="PAK75" s="2198"/>
      <c r="PAL75" s="2198"/>
      <c r="PAM75" s="2198"/>
      <c r="PAN75" s="2198"/>
      <c r="PAO75" s="2198"/>
      <c r="PAP75" s="2198"/>
      <c r="PAQ75" s="2198"/>
      <c r="PAR75" s="2198"/>
      <c r="PAS75" s="2198"/>
      <c r="PAT75" s="2198"/>
      <c r="PAU75" s="2198"/>
      <c r="PAV75" s="2198"/>
      <c r="PAW75" s="2198"/>
      <c r="PAX75" s="2198"/>
      <c r="PAY75" s="2198"/>
      <c r="PAZ75" s="2198"/>
      <c r="PBA75" s="2198"/>
      <c r="PBB75" s="2198"/>
      <c r="PBC75" s="2198"/>
      <c r="PBD75" s="2198"/>
      <c r="PBE75" s="2198"/>
      <c r="PBF75" s="2198"/>
      <c r="PBG75" s="2198"/>
      <c r="PBH75" s="2198"/>
      <c r="PBI75" s="2198"/>
      <c r="PBJ75" s="2198"/>
      <c r="PBK75" s="2198"/>
      <c r="PBL75" s="2198"/>
      <c r="PBM75" s="2198"/>
      <c r="PBN75" s="2198"/>
      <c r="PBO75" s="2198"/>
      <c r="PBP75" s="2198"/>
      <c r="PBQ75" s="2198"/>
      <c r="PBR75" s="2198"/>
      <c r="PBS75" s="2198"/>
      <c r="PBT75" s="2198"/>
      <c r="PBU75" s="2198"/>
      <c r="PBV75" s="2198"/>
      <c r="PBW75" s="2198"/>
      <c r="PBX75" s="2198"/>
      <c r="PBY75" s="2198"/>
      <c r="PBZ75" s="2198"/>
      <c r="PCA75" s="2198"/>
      <c r="PCB75" s="2198"/>
      <c r="PCC75" s="2198"/>
      <c r="PCD75" s="2198"/>
      <c r="PCE75" s="2198"/>
      <c r="PCF75" s="2198"/>
      <c r="PCG75" s="2198"/>
      <c r="PCH75" s="2198"/>
      <c r="PCI75" s="2198"/>
      <c r="PCJ75" s="2198"/>
      <c r="PCK75" s="2198"/>
      <c r="PCL75" s="2198"/>
      <c r="PCM75" s="2198"/>
      <c r="PCN75" s="2198"/>
      <c r="PCO75" s="2198"/>
      <c r="PCP75" s="2198"/>
      <c r="PCQ75" s="2198"/>
      <c r="PCR75" s="2198"/>
      <c r="PCS75" s="2198"/>
      <c r="PCT75" s="2198"/>
      <c r="PCU75" s="2198"/>
      <c r="PCV75" s="2198"/>
      <c r="PCW75" s="2198"/>
      <c r="PCX75" s="2198"/>
      <c r="PCY75" s="2198"/>
      <c r="PCZ75" s="2198"/>
      <c r="PDA75" s="2198"/>
      <c r="PDB75" s="2198"/>
      <c r="PDC75" s="2198"/>
      <c r="PDD75" s="2198"/>
      <c r="PDE75" s="2198"/>
      <c r="PDF75" s="2198"/>
      <c r="PDG75" s="2198"/>
      <c r="PDH75" s="2198"/>
      <c r="PDI75" s="2198"/>
      <c r="PDJ75" s="2198"/>
      <c r="PDK75" s="2198"/>
      <c r="PDL75" s="2198"/>
      <c r="PDM75" s="2198"/>
      <c r="PDN75" s="2198"/>
      <c r="PDO75" s="2198"/>
      <c r="PDP75" s="2198"/>
      <c r="PDQ75" s="2198"/>
      <c r="PDR75" s="2198"/>
      <c r="PDS75" s="2198"/>
      <c r="PDT75" s="2198"/>
      <c r="PDU75" s="2198"/>
      <c r="PDV75" s="2198"/>
      <c r="PDW75" s="2198"/>
      <c r="PDX75" s="2198"/>
      <c r="PDY75" s="2198"/>
      <c r="PDZ75" s="2198"/>
      <c r="PEA75" s="2198"/>
      <c r="PEB75" s="2198"/>
      <c r="PEC75" s="2198"/>
      <c r="PED75" s="2198"/>
      <c r="PEE75" s="2198"/>
      <c r="PEF75" s="2198"/>
      <c r="PEG75" s="2198"/>
      <c r="PEH75" s="2198"/>
      <c r="PEI75" s="2198"/>
      <c r="PEJ75" s="2198"/>
      <c r="PEK75" s="2198"/>
      <c r="PEL75" s="2198"/>
      <c r="PEM75" s="2198"/>
      <c r="PEN75" s="2198"/>
      <c r="PEO75" s="2198"/>
      <c r="PEP75" s="2198"/>
      <c r="PEQ75" s="2198"/>
      <c r="PER75" s="2198"/>
      <c r="PES75" s="2198"/>
      <c r="PET75" s="2198"/>
      <c r="PEU75" s="2198"/>
      <c r="PEV75" s="2198"/>
      <c r="PEW75" s="2198"/>
      <c r="PEX75" s="2198"/>
      <c r="PEY75" s="2198"/>
      <c r="PEZ75" s="2198"/>
      <c r="PFA75" s="2198"/>
      <c r="PFB75" s="2198"/>
      <c r="PFC75" s="2198"/>
      <c r="PFD75" s="2198"/>
      <c r="PFE75" s="2198"/>
      <c r="PFF75" s="2198"/>
      <c r="PFG75" s="2198"/>
      <c r="PFH75" s="2198"/>
      <c r="PFI75" s="2198"/>
      <c r="PFJ75" s="2198"/>
      <c r="PFK75" s="2198"/>
      <c r="PFL75" s="2198"/>
      <c r="PFM75" s="2198"/>
      <c r="PFN75" s="2198"/>
      <c r="PFO75" s="2198"/>
      <c r="PFP75" s="2198"/>
      <c r="PFQ75" s="2198"/>
      <c r="PFR75" s="2198"/>
      <c r="PFS75" s="2198"/>
      <c r="PFT75" s="2198"/>
      <c r="PFU75" s="2198"/>
      <c r="PFV75" s="2198"/>
      <c r="PFW75" s="2198"/>
      <c r="PFX75" s="2198"/>
      <c r="PFY75" s="2198"/>
      <c r="PFZ75" s="2198"/>
      <c r="PGA75" s="2198"/>
      <c r="PGB75" s="2198"/>
      <c r="PGC75" s="2198"/>
      <c r="PGD75" s="2198"/>
      <c r="PGE75" s="2198"/>
      <c r="PGF75" s="2198"/>
      <c r="PGG75" s="2198"/>
      <c r="PGH75" s="2198"/>
      <c r="PGI75" s="2198"/>
      <c r="PGJ75" s="2198"/>
      <c r="PGK75" s="2198"/>
      <c r="PGL75" s="2198"/>
      <c r="PGM75" s="2198"/>
      <c r="PGN75" s="2198"/>
      <c r="PGO75" s="2198"/>
      <c r="PGP75" s="2198"/>
      <c r="PGQ75" s="2198"/>
      <c r="PGR75" s="2198"/>
      <c r="PGS75" s="2198"/>
      <c r="PGT75" s="2198"/>
      <c r="PGU75" s="2198"/>
      <c r="PGV75" s="2198"/>
      <c r="PGW75" s="2198"/>
      <c r="PGX75" s="2198"/>
      <c r="PGY75" s="2198"/>
      <c r="PGZ75" s="2198"/>
      <c r="PHA75" s="2198"/>
      <c r="PHB75" s="2198"/>
      <c r="PHC75" s="2198"/>
      <c r="PHD75" s="2198"/>
      <c r="PHE75" s="2198"/>
      <c r="PHF75" s="2198"/>
      <c r="PHG75" s="2198"/>
      <c r="PHH75" s="2198"/>
      <c r="PHI75" s="2198"/>
      <c r="PHJ75" s="2198"/>
      <c r="PHK75" s="2198"/>
      <c r="PHL75" s="2198"/>
      <c r="PHM75" s="2198"/>
      <c r="PHN75" s="2198"/>
      <c r="PHO75" s="2198"/>
      <c r="PHP75" s="2198"/>
      <c r="PHQ75" s="2198"/>
      <c r="PHR75" s="2198"/>
      <c r="PHS75" s="2198"/>
      <c r="PHT75" s="2198"/>
      <c r="PHU75" s="2198"/>
      <c r="PHV75" s="2198"/>
      <c r="PHW75" s="2198"/>
      <c r="PHX75" s="2198"/>
      <c r="PHY75" s="2198"/>
      <c r="PHZ75" s="2198"/>
      <c r="PIA75" s="2198"/>
      <c r="PIB75" s="2198"/>
      <c r="PIC75" s="2198"/>
      <c r="PID75" s="2198"/>
      <c r="PIE75" s="2198"/>
      <c r="PIF75" s="2198"/>
      <c r="PIG75" s="2198"/>
      <c r="PIH75" s="2198"/>
      <c r="PII75" s="2198"/>
      <c r="PIJ75" s="2198"/>
      <c r="PIK75" s="2198"/>
      <c r="PIL75" s="2198"/>
      <c r="PIM75" s="2198"/>
      <c r="PIN75" s="2198"/>
      <c r="PIO75" s="2198"/>
      <c r="PIP75" s="2198"/>
      <c r="PIQ75" s="2198"/>
      <c r="PIR75" s="2198"/>
      <c r="PIS75" s="2198"/>
      <c r="PIT75" s="2198"/>
      <c r="PIU75" s="2198"/>
      <c r="PIV75" s="2198"/>
      <c r="PIW75" s="2198"/>
      <c r="PIX75" s="2198"/>
      <c r="PIY75" s="2198"/>
      <c r="PIZ75" s="2198"/>
      <c r="PJA75" s="2198"/>
      <c r="PJB75" s="2198"/>
      <c r="PJC75" s="2198"/>
      <c r="PJD75" s="2198"/>
      <c r="PJE75" s="2198"/>
      <c r="PJF75" s="2198"/>
      <c r="PJG75" s="2198"/>
      <c r="PJH75" s="2198"/>
      <c r="PJI75" s="2198"/>
      <c r="PJJ75" s="2198"/>
      <c r="PJK75" s="2198"/>
      <c r="PJL75" s="2198"/>
      <c r="PJM75" s="2198"/>
      <c r="PJN75" s="2198"/>
      <c r="PJO75" s="2198"/>
      <c r="PJP75" s="2198"/>
      <c r="PJQ75" s="2198"/>
      <c r="PJR75" s="2198"/>
      <c r="PJS75" s="2198"/>
      <c r="PJT75" s="2198"/>
      <c r="PJU75" s="2198"/>
      <c r="PJV75" s="2198"/>
      <c r="PJW75" s="2198"/>
      <c r="PJX75" s="2198"/>
      <c r="PJY75" s="2198"/>
      <c r="PJZ75" s="2198"/>
      <c r="PKA75" s="2198"/>
      <c r="PKB75" s="2198"/>
      <c r="PKC75" s="2198"/>
      <c r="PKD75" s="2198"/>
      <c r="PKE75" s="2198"/>
      <c r="PKF75" s="2198"/>
      <c r="PKG75" s="2198"/>
      <c r="PKH75" s="2198"/>
      <c r="PKI75" s="2198"/>
      <c r="PKJ75" s="2198"/>
      <c r="PKK75" s="2198"/>
      <c r="PKL75" s="2198"/>
      <c r="PKM75" s="2198"/>
      <c r="PKN75" s="2198"/>
      <c r="PKO75" s="2198"/>
      <c r="PKP75" s="2198"/>
      <c r="PKQ75" s="2198"/>
      <c r="PKR75" s="2198"/>
      <c r="PKS75" s="2198"/>
      <c r="PKT75" s="2198"/>
      <c r="PKU75" s="2198"/>
      <c r="PKV75" s="2198"/>
      <c r="PKW75" s="2198"/>
      <c r="PKX75" s="2198"/>
      <c r="PKY75" s="2198"/>
      <c r="PKZ75" s="2198"/>
      <c r="PLA75" s="2198"/>
      <c r="PLB75" s="2198"/>
      <c r="PLC75" s="2198"/>
      <c r="PLD75" s="2198"/>
      <c r="PLE75" s="2198"/>
      <c r="PLF75" s="2198"/>
      <c r="PLG75" s="2198"/>
      <c r="PLH75" s="2198"/>
      <c r="PLI75" s="2198"/>
      <c r="PLJ75" s="2198"/>
      <c r="PLK75" s="2198"/>
      <c r="PLL75" s="2198"/>
      <c r="PLM75" s="2198"/>
      <c r="PLN75" s="2198"/>
      <c r="PLO75" s="2198"/>
      <c r="PLP75" s="2198"/>
      <c r="PLQ75" s="2198"/>
      <c r="PLR75" s="2198"/>
      <c r="PLS75" s="2198"/>
      <c r="PLT75" s="2198"/>
      <c r="PLU75" s="2198"/>
      <c r="PLV75" s="2198"/>
      <c r="PLW75" s="2198"/>
      <c r="PLX75" s="2198"/>
      <c r="PLY75" s="2198"/>
      <c r="PLZ75" s="2198"/>
      <c r="PMA75" s="2198"/>
      <c r="PMB75" s="2198"/>
      <c r="PMC75" s="2198"/>
      <c r="PMD75" s="2198"/>
      <c r="PME75" s="2198"/>
      <c r="PMF75" s="2198"/>
      <c r="PMG75" s="2198"/>
      <c r="PMH75" s="2198"/>
      <c r="PMI75" s="2198"/>
      <c r="PMJ75" s="2198"/>
      <c r="PMK75" s="2198"/>
      <c r="PML75" s="2198"/>
      <c r="PMM75" s="2198"/>
      <c r="PMN75" s="2198"/>
      <c r="PMO75" s="2198"/>
      <c r="PMP75" s="2198"/>
      <c r="PMQ75" s="2198"/>
      <c r="PMR75" s="2198"/>
      <c r="PMS75" s="2198"/>
      <c r="PMT75" s="2198"/>
      <c r="PMU75" s="2198"/>
      <c r="PMV75" s="2198"/>
      <c r="PMW75" s="2198"/>
      <c r="PMX75" s="2198"/>
      <c r="PMY75" s="2198"/>
      <c r="PMZ75" s="2198"/>
      <c r="PNA75" s="2198"/>
      <c r="PNB75" s="2198"/>
      <c r="PNC75" s="2198"/>
      <c r="PND75" s="2198"/>
      <c r="PNE75" s="2198"/>
      <c r="PNF75" s="2198"/>
      <c r="PNG75" s="2198"/>
      <c r="PNH75" s="2198"/>
      <c r="PNI75" s="2198"/>
      <c r="PNJ75" s="2198"/>
      <c r="PNK75" s="2198"/>
      <c r="PNL75" s="2198"/>
      <c r="PNM75" s="2198"/>
      <c r="PNN75" s="2198"/>
      <c r="PNO75" s="2198"/>
      <c r="PNP75" s="2198"/>
      <c r="PNQ75" s="2198"/>
      <c r="PNR75" s="2198"/>
      <c r="PNS75" s="2198"/>
      <c r="PNT75" s="2198"/>
      <c r="PNU75" s="2198"/>
      <c r="PNV75" s="2198"/>
      <c r="PNW75" s="2198"/>
      <c r="PNX75" s="2198"/>
      <c r="PNY75" s="2198"/>
      <c r="PNZ75" s="2198"/>
      <c r="POA75" s="2198"/>
      <c r="POB75" s="2198"/>
      <c r="POC75" s="2198"/>
      <c r="POD75" s="2198"/>
      <c r="POE75" s="2198"/>
      <c r="POF75" s="2198"/>
      <c r="POG75" s="2198"/>
      <c r="POH75" s="2198"/>
      <c r="POI75" s="2198"/>
      <c r="POJ75" s="2198"/>
      <c r="POK75" s="2198"/>
      <c r="POL75" s="2198"/>
      <c r="POM75" s="2198"/>
      <c r="PON75" s="2198"/>
      <c r="POO75" s="2198"/>
      <c r="POP75" s="2198"/>
      <c r="POQ75" s="2198"/>
      <c r="POR75" s="2198"/>
      <c r="POS75" s="2198"/>
      <c r="POT75" s="2198"/>
      <c r="POU75" s="2198"/>
      <c r="POV75" s="2198"/>
      <c r="POW75" s="2198"/>
      <c r="POX75" s="2198"/>
      <c r="POY75" s="2198"/>
      <c r="POZ75" s="2198"/>
      <c r="PPA75" s="2198"/>
      <c r="PPB75" s="2198"/>
      <c r="PPC75" s="2198"/>
      <c r="PPD75" s="2198"/>
      <c r="PPE75" s="2198"/>
      <c r="PPF75" s="2198"/>
      <c r="PPG75" s="2198"/>
      <c r="PPH75" s="2198"/>
      <c r="PPI75" s="2198"/>
      <c r="PPJ75" s="2198"/>
      <c r="PPK75" s="2198"/>
      <c r="PPL75" s="2198"/>
      <c r="PPM75" s="2198"/>
      <c r="PPN75" s="2198"/>
      <c r="PPO75" s="2198"/>
      <c r="PPP75" s="2198"/>
      <c r="PPQ75" s="2198"/>
      <c r="PPR75" s="2198"/>
      <c r="PPS75" s="2198"/>
      <c r="PPT75" s="2198"/>
      <c r="PPU75" s="2198"/>
      <c r="PPV75" s="2198"/>
      <c r="PPW75" s="2198"/>
      <c r="PPX75" s="2198"/>
      <c r="PPY75" s="2198"/>
      <c r="PPZ75" s="2198"/>
      <c r="PQA75" s="2198"/>
      <c r="PQB75" s="2198"/>
      <c r="PQC75" s="2198"/>
      <c r="PQD75" s="2198"/>
      <c r="PQE75" s="2198"/>
      <c r="PQF75" s="2198"/>
      <c r="PQG75" s="2198"/>
      <c r="PQH75" s="2198"/>
      <c r="PQI75" s="2198"/>
      <c r="PQJ75" s="2198"/>
      <c r="PQK75" s="2198"/>
      <c r="PQL75" s="2198"/>
      <c r="PQM75" s="2198"/>
      <c r="PQN75" s="2198"/>
      <c r="PQO75" s="2198"/>
      <c r="PQP75" s="2198"/>
      <c r="PQQ75" s="2198"/>
      <c r="PQR75" s="2198"/>
      <c r="PQS75" s="2198"/>
      <c r="PQT75" s="2198"/>
      <c r="PQU75" s="2198"/>
      <c r="PQV75" s="2198"/>
      <c r="PQW75" s="2198"/>
      <c r="PQX75" s="2198"/>
      <c r="PQY75" s="2198"/>
      <c r="PQZ75" s="2198"/>
      <c r="PRA75" s="2198"/>
      <c r="PRB75" s="2198"/>
      <c r="PRC75" s="2198"/>
      <c r="PRD75" s="2198"/>
      <c r="PRE75" s="2198"/>
      <c r="PRF75" s="2198"/>
      <c r="PRG75" s="2198"/>
      <c r="PRH75" s="2198"/>
      <c r="PRI75" s="2198"/>
      <c r="PRJ75" s="2198"/>
      <c r="PRK75" s="2198"/>
      <c r="PRL75" s="2198"/>
      <c r="PRM75" s="2198"/>
      <c r="PRN75" s="2198"/>
      <c r="PRO75" s="2198"/>
      <c r="PRP75" s="2198"/>
      <c r="PRQ75" s="2198"/>
      <c r="PRR75" s="2198"/>
      <c r="PRS75" s="2198"/>
      <c r="PRT75" s="2198"/>
      <c r="PRU75" s="2198"/>
      <c r="PRV75" s="2198"/>
      <c r="PRW75" s="2198"/>
      <c r="PRX75" s="2198"/>
      <c r="PRY75" s="2198"/>
      <c r="PRZ75" s="2198"/>
      <c r="PSA75" s="2198"/>
      <c r="PSB75" s="2198"/>
      <c r="PSC75" s="2198"/>
      <c r="PSD75" s="2198"/>
      <c r="PSE75" s="2198"/>
      <c r="PSF75" s="2198"/>
      <c r="PSG75" s="2198"/>
      <c r="PSH75" s="2198"/>
      <c r="PSI75" s="2198"/>
      <c r="PSJ75" s="2198"/>
      <c r="PSK75" s="2198"/>
      <c r="PSL75" s="2198"/>
      <c r="PSM75" s="2198"/>
      <c r="PSN75" s="2198"/>
      <c r="PSO75" s="2198"/>
      <c r="PSP75" s="2198"/>
      <c r="PSQ75" s="2198"/>
      <c r="PSR75" s="2198"/>
      <c r="PSS75" s="2198"/>
      <c r="PST75" s="2198"/>
      <c r="PSU75" s="2198"/>
      <c r="PSV75" s="2198"/>
      <c r="PSW75" s="2198"/>
      <c r="PSX75" s="2198"/>
      <c r="PSY75" s="2198"/>
      <c r="PSZ75" s="2198"/>
      <c r="PTA75" s="2198"/>
      <c r="PTB75" s="2198"/>
      <c r="PTC75" s="2198"/>
      <c r="PTD75" s="2198"/>
      <c r="PTE75" s="2198"/>
      <c r="PTF75" s="2198"/>
      <c r="PTG75" s="2198"/>
      <c r="PTH75" s="2198"/>
      <c r="PTI75" s="2198"/>
      <c r="PTJ75" s="2198"/>
      <c r="PTK75" s="2198"/>
      <c r="PTL75" s="2198"/>
      <c r="PTM75" s="2198"/>
      <c r="PTN75" s="2198"/>
      <c r="PTO75" s="2198"/>
      <c r="PTP75" s="2198"/>
      <c r="PTQ75" s="2198"/>
      <c r="PTR75" s="2198"/>
      <c r="PTS75" s="2198"/>
      <c r="PTT75" s="2198"/>
      <c r="PTU75" s="2198"/>
      <c r="PTV75" s="2198"/>
      <c r="PTW75" s="2198"/>
      <c r="PTX75" s="2198"/>
      <c r="PTY75" s="2198"/>
      <c r="PTZ75" s="2198"/>
      <c r="PUA75" s="2198"/>
      <c r="PUB75" s="2198"/>
      <c r="PUC75" s="2198"/>
      <c r="PUD75" s="2198"/>
      <c r="PUE75" s="2198"/>
      <c r="PUF75" s="2198"/>
      <c r="PUG75" s="2198"/>
      <c r="PUH75" s="2198"/>
      <c r="PUI75" s="2198"/>
      <c r="PUJ75" s="2198"/>
      <c r="PUK75" s="2198"/>
      <c r="PUL75" s="2198"/>
      <c r="PUM75" s="2198"/>
      <c r="PUN75" s="2198"/>
      <c r="PUO75" s="2198"/>
      <c r="PUP75" s="2198"/>
      <c r="PUQ75" s="2198"/>
      <c r="PUR75" s="2198"/>
      <c r="PUS75" s="2198"/>
      <c r="PUT75" s="2198"/>
      <c r="PUU75" s="2198"/>
      <c r="PUV75" s="2198"/>
      <c r="PUW75" s="2198"/>
      <c r="PUX75" s="2198"/>
      <c r="PUY75" s="2198"/>
      <c r="PUZ75" s="2198"/>
      <c r="PVA75" s="2198"/>
      <c r="PVB75" s="2198"/>
      <c r="PVC75" s="2198"/>
      <c r="PVD75" s="2198"/>
      <c r="PVE75" s="2198"/>
      <c r="PVF75" s="2198"/>
      <c r="PVG75" s="2198"/>
      <c r="PVH75" s="2198"/>
      <c r="PVI75" s="2198"/>
      <c r="PVJ75" s="2198"/>
      <c r="PVK75" s="2198"/>
      <c r="PVL75" s="2198"/>
      <c r="PVM75" s="2198"/>
      <c r="PVN75" s="2198"/>
      <c r="PVO75" s="2198"/>
      <c r="PVP75" s="2198"/>
      <c r="PVQ75" s="2198"/>
      <c r="PVR75" s="2198"/>
      <c r="PVS75" s="2198"/>
      <c r="PVT75" s="2198"/>
      <c r="PVU75" s="2198"/>
      <c r="PVV75" s="2198"/>
      <c r="PVW75" s="2198"/>
      <c r="PVX75" s="2198"/>
      <c r="PVY75" s="2198"/>
      <c r="PVZ75" s="2198"/>
      <c r="PWA75" s="2198"/>
      <c r="PWB75" s="2198"/>
      <c r="PWC75" s="2198"/>
      <c r="PWD75" s="2198"/>
      <c r="PWE75" s="2198"/>
      <c r="PWF75" s="2198"/>
      <c r="PWG75" s="2198"/>
      <c r="PWH75" s="2198"/>
      <c r="PWI75" s="2198"/>
      <c r="PWJ75" s="2198"/>
      <c r="PWK75" s="2198"/>
      <c r="PWL75" s="2198"/>
      <c r="PWM75" s="2198"/>
      <c r="PWN75" s="2198"/>
      <c r="PWO75" s="2198"/>
      <c r="PWP75" s="2198"/>
      <c r="PWQ75" s="2198"/>
      <c r="PWR75" s="2198"/>
      <c r="PWS75" s="2198"/>
      <c r="PWT75" s="2198"/>
      <c r="PWU75" s="2198"/>
      <c r="PWV75" s="2198"/>
      <c r="PWW75" s="2198"/>
      <c r="PWX75" s="2198"/>
      <c r="PWY75" s="2198"/>
      <c r="PWZ75" s="2198"/>
      <c r="PXA75" s="2198"/>
      <c r="PXB75" s="2198"/>
      <c r="PXC75" s="2198"/>
      <c r="PXD75" s="2198"/>
      <c r="PXE75" s="2198"/>
      <c r="PXF75" s="2198"/>
      <c r="PXG75" s="2198"/>
      <c r="PXH75" s="2198"/>
      <c r="PXI75" s="2198"/>
      <c r="PXJ75" s="2198"/>
      <c r="PXK75" s="2198"/>
      <c r="PXL75" s="2198"/>
      <c r="PXM75" s="2198"/>
      <c r="PXN75" s="2198"/>
      <c r="PXO75" s="2198"/>
      <c r="PXP75" s="2198"/>
      <c r="PXQ75" s="2198"/>
      <c r="PXR75" s="2198"/>
      <c r="PXS75" s="2198"/>
      <c r="PXT75" s="2198"/>
      <c r="PXU75" s="2198"/>
      <c r="PXV75" s="2198"/>
      <c r="PXW75" s="2198"/>
      <c r="PXX75" s="2198"/>
      <c r="PXY75" s="2198"/>
      <c r="PXZ75" s="2198"/>
      <c r="PYA75" s="2198"/>
      <c r="PYB75" s="2198"/>
      <c r="PYC75" s="2198"/>
      <c r="PYD75" s="2198"/>
      <c r="PYE75" s="2198"/>
      <c r="PYF75" s="2198"/>
      <c r="PYG75" s="2198"/>
      <c r="PYH75" s="2198"/>
      <c r="PYI75" s="2198"/>
      <c r="PYJ75" s="2198"/>
      <c r="PYK75" s="2198"/>
      <c r="PYL75" s="2198"/>
      <c r="PYM75" s="2198"/>
      <c r="PYN75" s="2198"/>
      <c r="PYO75" s="2198"/>
      <c r="PYP75" s="2198"/>
      <c r="PYQ75" s="2198"/>
      <c r="PYR75" s="2198"/>
      <c r="PYS75" s="2198"/>
      <c r="PYT75" s="2198"/>
      <c r="PYU75" s="2198"/>
      <c r="PYV75" s="2198"/>
      <c r="PYW75" s="2198"/>
      <c r="PYX75" s="2198"/>
      <c r="PYY75" s="2198"/>
      <c r="PYZ75" s="2198"/>
      <c r="PZA75" s="2198"/>
      <c r="PZB75" s="2198"/>
      <c r="PZC75" s="2198"/>
      <c r="PZD75" s="2198"/>
      <c r="PZE75" s="2198"/>
      <c r="PZF75" s="2198"/>
      <c r="PZG75" s="2198"/>
      <c r="PZH75" s="2198"/>
      <c r="PZI75" s="2198"/>
      <c r="PZJ75" s="2198"/>
      <c r="PZK75" s="2198"/>
      <c r="PZL75" s="2198"/>
      <c r="PZM75" s="2198"/>
      <c r="PZN75" s="2198"/>
      <c r="PZO75" s="2198"/>
      <c r="PZP75" s="2198"/>
      <c r="PZQ75" s="2198"/>
      <c r="PZR75" s="2198"/>
      <c r="PZS75" s="2198"/>
      <c r="PZT75" s="2198"/>
      <c r="PZU75" s="2198"/>
      <c r="PZV75" s="2198"/>
      <c r="PZW75" s="2198"/>
      <c r="PZX75" s="2198"/>
      <c r="PZY75" s="2198"/>
      <c r="PZZ75" s="2198"/>
      <c r="QAA75" s="2198"/>
      <c r="QAB75" s="2198"/>
      <c r="QAC75" s="2198"/>
      <c r="QAD75" s="2198"/>
      <c r="QAE75" s="2198"/>
      <c r="QAF75" s="2198"/>
      <c r="QAG75" s="2198"/>
      <c r="QAH75" s="2198"/>
      <c r="QAI75" s="2198"/>
      <c r="QAJ75" s="2198"/>
      <c r="QAK75" s="2198"/>
      <c r="QAL75" s="2198"/>
      <c r="QAM75" s="2198"/>
      <c r="QAN75" s="2198"/>
      <c r="QAO75" s="2198"/>
      <c r="QAP75" s="2198"/>
      <c r="QAQ75" s="2198"/>
      <c r="QAR75" s="2198"/>
      <c r="QAS75" s="2198"/>
      <c r="QAT75" s="2198"/>
      <c r="QAU75" s="2198"/>
      <c r="QAV75" s="2198"/>
      <c r="QAW75" s="2198"/>
      <c r="QAX75" s="2198"/>
      <c r="QAY75" s="2198"/>
      <c r="QAZ75" s="2198"/>
      <c r="QBA75" s="2198"/>
      <c r="QBB75" s="2198"/>
      <c r="QBC75" s="2198"/>
      <c r="QBD75" s="2198"/>
      <c r="QBE75" s="2198"/>
      <c r="QBF75" s="2198"/>
      <c r="QBG75" s="2198"/>
      <c r="QBH75" s="2198"/>
      <c r="QBI75" s="2198"/>
      <c r="QBJ75" s="2198"/>
      <c r="QBK75" s="2198"/>
      <c r="QBL75" s="2198"/>
      <c r="QBM75" s="2198"/>
      <c r="QBN75" s="2198"/>
      <c r="QBO75" s="2198"/>
      <c r="QBP75" s="2198"/>
      <c r="QBQ75" s="2198"/>
      <c r="QBR75" s="2198"/>
      <c r="QBS75" s="2198"/>
      <c r="QBT75" s="2198"/>
      <c r="QBU75" s="2198"/>
      <c r="QBV75" s="2198"/>
      <c r="QBW75" s="2198"/>
      <c r="QBX75" s="2198"/>
      <c r="QBY75" s="2198"/>
      <c r="QBZ75" s="2198"/>
      <c r="QCA75" s="2198"/>
      <c r="QCB75" s="2198"/>
      <c r="QCC75" s="2198"/>
      <c r="QCD75" s="2198"/>
      <c r="QCE75" s="2198"/>
      <c r="QCF75" s="2198"/>
      <c r="QCG75" s="2198"/>
      <c r="QCH75" s="2198"/>
      <c r="QCI75" s="2198"/>
      <c r="QCJ75" s="2198"/>
      <c r="QCK75" s="2198"/>
      <c r="QCL75" s="2198"/>
      <c r="QCM75" s="2198"/>
      <c r="QCN75" s="2198"/>
      <c r="QCO75" s="2198"/>
      <c r="QCP75" s="2198"/>
      <c r="QCQ75" s="2198"/>
      <c r="QCR75" s="2198"/>
      <c r="QCS75" s="2198"/>
      <c r="QCT75" s="2198"/>
      <c r="QCU75" s="2198"/>
      <c r="QCV75" s="2198"/>
      <c r="QCW75" s="2198"/>
      <c r="QCX75" s="2198"/>
      <c r="QCY75" s="2198"/>
      <c r="QCZ75" s="2198"/>
      <c r="QDA75" s="2198"/>
      <c r="QDB75" s="2198"/>
      <c r="QDC75" s="2198"/>
      <c r="QDD75" s="2198"/>
      <c r="QDE75" s="2198"/>
      <c r="QDF75" s="2198"/>
      <c r="QDG75" s="2198"/>
      <c r="QDH75" s="2198"/>
      <c r="QDI75" s="2198"/>
      <c r="QDJ75" s="2198"/>
      <c r="QDK75" s="2198"/>
      <c r="QDL75" s="2198"/>
      <c r="QDM75" s="2198"/>
      <c r="QDN75" s="2198"/>
      <c r="QDO75" s="2198"/>
      <c r="QDP75" s="2198"/>
      <c r="QDQ75" s="2198"/>
      <c r="QDR75" s="2198"/>
      <c r="QDS75" s="2198"/>
      <c r="QDT75" s="2198"/>
      <c r="QDU75" s="2198"/>
      <c r="QDV75" s="2198"/>
      <c r="QDW75" s="2198"/>
      <c r="QDX75" s="2198"/>
      <c r="QDY75" s="2198"/>
      <c r="QDZ75" s="2198"/>
      <c r="QEA75" s="2198"/>
      <c r="QEB75" s="2198"/>
      <c r="QEC75" s="2198"/>
      <c r="QED75" s="2198"/>
      <c r="QEE75" s="2198"/>
      <c r="QEF75" s="2198"/>
      <c r="QEG75" s="2198"/>
      <c r="QEH75" s="2198"/>
      <c r="QEI75" s="2198"/>
      <c r="QEJ75" s="2198"/>
      <c r="QEK75" s="2198"/>
      <c r="QEL75" s="2198"/>
      <c r="QEM75" s="2198"/>
      <c r="QEN75" s="2198"/>
      <c r="QEO75" s="2198"/>
      <c r="QEP75" s="2198"/>
      <c r="QEQ75" s="2198"/>
      <c r="QER75" s="2198"/>
      <c r="QES75" s="2198"/>
      <c r="QET75" s="2198"/>
      <c r="QEU75" s="2198"/>
      <c r="QEV75" s="2198"/>
      <c r="QEW75" s="2198"/>
      <c r="QEX75" s="2198"/>
      <c r="QEY75" s="2198"/>
      <c r="QEZ75" s="2198"/>
      <c r="QFA75" s="2198"/>
      <c r="QFB75" s="2198"/>
      <c r="QFC75" s="2198"/>
      <c r="QFD75" s="2198"/>
      <c r="QFE75" s="2198"/>
      <c r="QFF75" s="2198"/>
      <c r="QFG75" s="2198"/>
      <c r="QFH75" s="2198"/>
      <c r="QFI75" s="2198"/>
      <c r="QFJ75" s="2198"/>
      <c r="QFK75" s="2198"/>
      <c r="QFL75" s="2198"/>
      <c r="QFM75" s="2198"/>
      <c r="QFN75" s="2198"/>
      <c r="QFO75" s="2198"/>
      <c r="QFP75" s="2198"/>
      <c r="QFQ75" s="2198"/>
      <c r="QFR75" s="2198"/>
      <c r="QFS75" s="2198"/>
      <c r="QFT75" s="2198"/>
      <c r="QFU75" s="2198"/>
      <c r="QFV75" s="2198"/>
      <c r="QFW75" s="2198"/>
      <c r="QFX75" s="2198"/>
      <c r="QFY75" s="2198"/>
      <c r="QFZ75" s="2198"/>
      <c r="QGA75" s="2198"/>
      <c r="QGB75" s="2198"/>
      <c r="QGC75" s="2198"/>
      <c r="QGD75" s="2198"/>
      <c r="QGE75" s="2198"/>
      <c r="QGF75" s="2198"/>
      <c r="QGG75" s="2198"/>
      <c r="QGH75" s="2198"/>
      <c r="QGI75" s="2198"/>
      <c r="QGJ75" s="2198"/>
      <c r="QGK75" s="2198"/>
      <c r="QGL75" s="2198"/>
      <c r="QGM75" s="2198"/>
      <c r="QGN75" s="2198"/>
      <c r="QGO75" s="2198"/>
      <c r="QGP75" s="2198"/>
      <c r="QGQ75" s="2198"/>
      <c r="QGR75" s="2198"/>
      <c r="QGS75" s="2198"/>
      <c r="QGT75" s="2198"/>
      <c r="QGU75" s="2198"/>
      <c r="QGV75" s="2198"/>
      <c r="QGW75" s="2198"/>
      <c r="QGX75" s="2198"/>
      <c r="QGY75" s="2198"/>
      <c r="QGZ75" s="2198"/>
      <c r="QHA75" s="2198"/>
      <c r="QHB75" s="2198"/>
      <c r="QHC75" s="2198"/>
      <c r="QHD75" s="2198"/>
      <c r="QHE75" s="2198"/>
      <c r="QHF75" s="2198"/>
      <c r="QHG75" s="2198"/>
      <c r="QHH75" s="2198"/>
      <c r="QHI75" s="2198"/>
      <c r="QHJ75" s="2198"/>
      <c r="QHK75" s="2198"/>
      <c r="QHL75" s="2198"/>
      <c r="QHM75" s="2198"/>
      <c r="QHN75" s="2198"/>
      <c r="QHO75" s="2198"/>
      <c r="QHP75" s="2198"/>
      <c r="QHQ75" s="2198"/>
      <c r="QHR75" s="2198"/>
      <c r="QHS75" s="2198"/>
      <c r="QHT75" s="2198"/>
      <c r="QHU75" s="2198"/>
      <c r="QHV75" s="2198"/>
      <c r="QHW75" s="2198"/>
      <c r="QHX75" s="2198"/>
      <c r="QHY75" s="2198"/>
      <c r="QHZ75" s="2198"/>
      <c r="QIA75" s="2198"/>
      <c r="QIB75" s="2198"/>
      <c r="QIC75" s="2198"/>
      <c r="QID75" s="2198"/>
      <c r="QIE75" s="2198"/>
      <c r="QIF75" s="2198"/>
      <c r="QIG75" s="2198"/>
      <c r="QIH75" s="2198"/>
      <c r="QII75" s="2198"/>
      <c r="QIJ75" s="2198"/>
      <c r="QIK75" s="2198"/>
      <c r="QIL75" s="2198"/>
      <c r="QIM75" s="2198"/>
      <c r="QIN75" s="2198"/>
      <c r="QIO75" s="2198"/>
      <c r="QIP75" s="2198"/>
      <c r="QIQ75" s="2198"/>
      <c r="QIR75" s="2198"/>
      <c r="QIS75" s="2198"/>
      <c r="QIT75" s="2198"/>
      <c r="QIU75" s="2198"/>
      <c r="QIV75" s="2198"/>
      <c r="QIW75" s="2198"/>
      <c r="QIX75" s="2198"/>
      <c r="QIY75" s="2198"/>
      <c r="QIZ75" s="2198"/>
      <c r="QJA75" s="2198"/>
      <c r="QJB75" s="2198"/>
      <c r="QJC75" s="2198"/>
      <c r="QJD75" s="2198"/>
      <c r="QJE75" s="2198"/>
      <c r="QJF75" s="2198"/>
      <c r="QJG75" s="2198"/>
      <c r="QJH75" s="2198"/>
      <c r="QJI75" s="2198"/>
      <c r="QJJ75" s="2198"/>
      <c r="QJK75" s="2198"/>
      <c r="QJL75" s="2198"/>
      <c r="QJM75" s="2198"/>
      <c r="QJN75" s="2198"/>
      <c r="QJO75" s="2198"/>
      <c r="QJP75" s="2198"/>
      <c r="QJQ75" s="2198"/>
      <c r="QJR75" s="2198"/>
      <c r="QJS75" s="2198"/>
      <c r="QJT75" s="2198"/>
      <c r="QJU75" s="2198"/>
      <c r="QJV75" s="2198"/>
      <c r="QJW75" s="2198"/>
      <c r="QJX75" s="2198"/>
      <c r="QJY75" s="2198"/>
      <c r="QJZ75" s="2198"/>
      <c r="QKA75" s="2198"/>
      <c r="QKB75" s="2198"/>
      <c r="QKC75" s="2198"/>
      <c r="QKD75" s="2198"/>
      <c r="QKE75" s="2198"/>
      <c r="QKF75" s="2198"/>
      <c r="QKG75" s="2198"/>
      <c r="QKH75" s="2198"/>
      <c r="QKI75" s="2198"/>
      <c r="QKJ75" s="2198"/>
      <c r="QKK75" s="2198"/>
      <c r="QKL75" s="2198"/>
      <c r="QKM75" s="2198"/>
      <c r="QKN75" s="2198"/>
      <c r="QKO75" s="2198"/>
      <c r="QKP75" s="2198"/>
      <c r="QKQ75" s="2198"/>
      <c r="QKR75" s="2198"/>
      <c r="QKS75" s="2198"/>
      <c r="QKT75" s="2198"/>
      <c r="QKU75" s="2198"/>
      <c r="QKV75" s="2198"/>
      <c r="QKW75" s="2198"/>
      <c r="QKX75" s="2198"/>
      <c r="QKY75" s="2198"/>
      <c r="QKZ75" s="2198"/>
      <c r="QLA75" s="2198"/>
      <c r="QLB75" s="2198"/>
      <c r="QLC75" s="2198"/>
      <c r="QLD75" s="2198"/>
      <c r="QLE75" s="2198"/>
      <c r="QLF75" s="2198"/>
      <c r="QLG75" s="2198"/>
      <c r="QLH75" s="2198"/>
      <c r="QLI75" s="2198"/>
      <c r="QLJ75" s="2198"/>
      <c r="QLK75" s="2198"/>
      <c r="QLL75" s="2198"/>
      <c r="QLM75" s="2198"/>
      <c r="QLN75" s="2198"/>
      <c r="QLO75" s="2198"/>
      <c r="QLP75" s="2198"/>
      <c r="QLQ75" s="2198"/>
      <c r="QLR75" s="2198"/>
      <c r="QLS75" s="2198"/>
      <c r="QLT75" s="2198"/>
      <c r="QLU75" s="2198"/>
      <c r="QLV75" s="2198"/>
      <c r="QLW75" s="2198"/>
      <c r="QLX75" s="2198"/>
      <c r="QLY75" s="2198"/>
      <c r="QLZ75" s="2198"/>
      <c r="QMA75" s="2198"/>
      <c r="QMB75" s="2198"/>
      <c r="QMC75" s="2198"/>
      <c r="QMD75" s="2198"/>
      <c r="QME75" s="2198"/>
      <c r="QMF75" s="2198"/>
      <c r="QMG75" s="2198"/>
      <c r="QMH75" s="2198"/>
      <c r="QMI75" s="2198"/>
      <c r="QMJ75" s="2198"/>
      <c r="QMK75" s="2198"/>
      <c r="QML75" s="2198"/>
      <c r="QMM75" s="2198"/>
      <c r="QMN75" s="2198"/>
      <c r="QMO75" s="2198"/>
      <c r="QMP75" s="2198"/>
      <c r="QMQ75" s="2198"/>
      <c r="QMR75" s="2198"/>
      <c r="QMS75" s="2198"/>
      <c r="QMT75" s="2198"/>
      <c r="QMU75" s="2198"/>
      <c r="QMV75" s="2198"/>
      <c r="QMW75" s="2198"/>
      <c r="QMX75" s="2198"/>
      <c r="QMY75" s="2198"/>
      <c r="QMZ75" s="2198"/>
      <c r="QNA75" s="2198"/>
      <c r="QNB75" s="2198"/>
      <c r="QNC75" s="2198"/>
      <c r="QND75" s="2198"/>
      <c r="QNE75" s="2198"/>
      <c r="QNF75" s="2198"/>
      <c r="QNG75" s="2198"/>
      <c r="QNH75" s="2198"/>
      <c r="QNI75" s="2198"/>
      <c r="QNJ75" s="2198"/>
      <c r="QNK75" s="2198"/>
      <c r="QNL75" s="2198"/>
      <c r="QNM75" s="2198"/>
      <c r="QNN75" s="2198"/>
      <c r="QNO75" s="2198"/>
      <c r="QNP75" s="2198"/>
      <c r="QNQ75" s="2198"/>
      <c r="QNR75" s="2198"/>
      <c r="QNS75" s="2198"/>
      <c r="QNT75" s="2198"/>
      <c r="QNU75" s="2198"/>
      <c r="QNV75" s="2198"/>
      <c r="QNW75" s="2198"/>
      <c r="QNX75" s="2198"/>
      <c r="QNY75" s="2198"/>
      <c r="QNZ75" s="2198"/>
      <c r="QOA75" s="2198"/>
      <c r="QOB75" s="2198"/>
      <c r="QOC75" s="2198"/>
      <c r="QOD75" s="2198"/>
      <c r="QOE75" s="2198"/>
      <c r="QOF75" s="2198"/>
      <c r="QOG75" s="2198"/>
      <c r="QOH75" s="2198"/>
      <c r="QOI75" s="2198"/>
      <c r="QOJ75" s="2198"/>
      <c r="QOK75" s="2198"/>
      <c r="QOL75" s="2198"/>
      <c r="QOM75" s="2198"/>
      <c r="QON75" s="2198"/>
      <c r="QOO75" s="2198"/>
      <c r="QOP75" s="2198"/>
      <c r="QOQ75" s="2198"/>
      <c r="QOR75" s="2198"/>
      <c r="QOS75" s="2198"/>
      <c r="QOT75" s="2198"/>
      <c r="QOU75" s="2198"/>
      <c r="QOV75" s="2198"/>
      <c r="QOW75" s="2198"/>
      <c r="QOX75" s="2198"/>
      <c r="QOY75" s="2198"/>
      <c r="QOZ75" s="2198"/>
      <c r="QPA75" s="2198"/>
      <c r="QPB75" s="2198"/>
      <c r="QPC75" s="2198"/>
      <c r="QPD75" s="2198"/>
      <c r="QPE75" s="2198"/>
      <c r="QPF75" s="2198"/>
      <c r="QPG75" s="2198"/>
      <c r="QPH75" s="2198"/>
      <c r="QPI75" s="2198"/>
      <c r="QPJ75" s="2198"/>
      <c r="QPK75" s="2198"/>
      <c r="QPL75" s="2198"/>
      <c r="QPM75" s="2198"/>
      <c r="QPN75" s="2198"/>
      <c r="QPO75" s="2198"/>
      <c r="QPP75" s="2198"/>
      <c r="QPQ75" s="2198"/>
      <c r="QPR75" s="2198"/>
      <c r="QPS75" s="2198"/>
      <c r="QPT75" s="2198"/>
      <c r="QPU75" s="2198"/>
      <c r="QPV75" s="2198"/>
      <c r="QPW75" s="2198"/>
      <c r="QPX75" s="2198"/>
      <c r="QPY75" s="2198"/>
      <c r="QPZ75" s="2198"/>
      <c r="QQA75" s="2198"/>
      <c r="QQB75" s="2198"/>
      <c r="QQC75" s="2198"/>
      <c r="QQD75" s="2198"/>
      <c r="QQE75" s="2198"/>
      <c r="QQF75" s="2198"/>
      <c r="QQG75" s="2198"/>
      <c r="QQH75" s="2198"/>
      <c r="QQI75" s="2198"/>
      <c r="QQJ75" s="2198"/>
      <c r="QQK75" s="2198"/>
      <c r="QQL75" s="2198"/>
      <c r="QQM75" s="2198"/>
      <c r="QQN75" s="2198"/>
      <c r="QQO75" s="2198"/>
      <c r="QQP75" s="2198"/>
      <c r="QQQ75" s="2198"/>
      <c r="QQR75" s="2198"/>
      <c r="QQS75" s="2198"/>
      <c r="QQT75" s="2198"/>
      <c r="QQU75" s="2198"/>
      <c r="QQV75" s="2198"/>
      <c r="QQW75" s="2198"/>
      <c r="QQX75" s="2198"/>
      <c r="QQY75" s="2198"/>
      <c r="QQZ75" s="2198"/>
      <c r="QRA75" s="2198"/>
      <c r="QRB75" s="2198"/>
      <c r="QRC75" s="2198"/>
      <c r="QRD75" s="2198"/>
      <c r="QRE75" s="2198"/>
      <c r="QRF75" s="2198"/>
      <c r="QRG75" s="2198"/>
      <c r="QRH75" s="2198"/>
      <c r="QRI75" s="2198"/>
      <c r="QRJ75" s="2198"/>
      <c r="QRK75" s="2198"/>
      <c r="QRL75" s="2198"/>
      <c r="QRM75" s="2198"/>
      <c r="QRN75" s="2198"/>
      <c r="QRO75" s="2198"/>
      <c r="QRP75" s="2198"/>
      <c r="QRQ75" s="2198"/>
      <c r="QRR75" s="2198"/>
      <c r="QRS75" s="2198"/>
      <c r="QRT75" s="2198"/>
      <c r="QRU75" s="2198"/>
      <c r="QRV75" s="2198"/>
      <c r="QRW75" s="2198"/>
      <c r="QRX75" s="2198"/>
      <c r="QRY75" s="2198"/>
      <c r="QRZ75" s="2198"/>
      <c r="QSA75" s="2198"/>
      <c r="QSB75" s="2198"/>
      <c r="QSC75" s="2198"/>
      <c r="QSD75" s="2198"/>
      <c r="QSE75" s="2198"/>
      <c r="QSF75" s="2198"/>
      <c r="QSG75" s="2198"/>
      <c r="QSH75" s="2198"/>
      <c r="QSI75" s="2198"/>
      <c r="QSJ75" s="2198"/>
      <c r="QSK75" s="2198"/>
      <c r="QSL75" s="2198"/>
      <c r="QSM75" s="2198"/>
      <c r="QSN75" s="2198"/>
      <c r="QSO75" s="2198"/>
      <c r="QSP75" s="2198"/>
      <c r="QSQ75" s="2198"/>
      <c r="QSR75" s="2198"/>
      <c r="QSS75" s="2198"/>
      <c r="QST75" s="2198"/>
      <c r="QSU75" s="2198"/>
      <c r="QSV75" s="2198"/>
      <c r="QSW75" s="2198"/>
      <c r="QSX75" s="2198"/>
      <c r="QSY75" s="2198"/>
      <c r="QSZ75" s="2198"/>
      <c r="QTA75" s="2198"/>
      <c r="QTB75" s="2198"/>
      <c r="QTC75" s="2198"/>
      <c r="QTD75" s="2198"/>
      <c r="QTE75" s="2198"/>
      <c r="QTF75" s="2198"/>
      <c r="QTG75" s="2198"/>
      <c r="QTH75" s="2198"/>
      <c r="QTI75" s="2198"/>
      <c r="QTJ75" s="2198"/>
      <c r="QTK75" s="2198"/>
      <c r="QTL75" s="2198"/>
      <c r="QTM75" s="2198"/>
      <c r="QTN75" s="2198"/>
      <c r="QTO75" s="2198"/>
      <c r="QTP75" s="2198"/>
      <c r="QTQ75" s="2198"/>
      <c r="QTR75" s="2198"/>
      <c r="QTS75" s="2198"/>
      <c r="QTT75" s="2198"/>
      <c r="QTU75" s="2198"/>
      <c r="QTV75" s="2198"/>
      <c r="QTW75" s="2198"/>
      <c r="QTX75" s="2198"/>
      <c r="QTY75" s="2198"/>
      <c r="QTZ75" s="2198"/>
      <c r="QUA75" s="2198"/>
      <c r="QUB75" s="2198"/>
      <c r="QUC75" s="2198"/>
      <c r="QUD75" s="2198"/>
      <c r="QUE75" s="2198"/>
      <c r="QUF75" s="2198"/>
      <c r="QUG75" s="2198"/>
      <c r="QUH75" s="2198"/>
      <c r="QUI75" s="2198"/>
      <c r="QUJ75" s="2198"/>
      <c r="QUK75" s="2198"/>
      <c r="QUL75" s="2198"/>
      <c r="QUM75" s="2198"/>
      <c r="QUN75" s="2198"/>
      <c r="QUO75" s="2198"/>
      <c r="QUP75" s="2198"/>
      <c r="QUQ75" s="2198"/>
      <c r="QUR75" s="2198"/>
      <c r="QUS75" s="2198"/>
      <c r="QUT75" s="2198"/>
      <c r="QUU75" s="2198"/>
      <c r="QUV75" s="2198"/>
      <c r="QUW75" s="2198"/>
      <c r="QUX75" s="2198"/>
      <c r="QUY75" s="2198"/>
      <c r="QUZ75" s="2198"/>
      <c r="QVA75" s="2198"/>
      <c r="QVB75" s="2198"/>
      <c r="QVC75" s="2198"/>
      <c r="QVD75" s="2198"/>
      <c r="QVE75" s="2198"/>
      <c r="QVF75" s="2198"/>
      <c r="QVG75" s="2198"/>
      <c r="QVH75" s="2198"/>
      <c r="QVI75" s="2198"/>
      <c r="QVJ75" s="2198"/>
      <c r="QVK75" s="2198"/>
      <c r="QVL75" s="2198"/>
      <c r="QVM75" s="2198"/>
      <c r="QVN75" s="2198"/>
      <c r="QVO75" s="2198"/>
      <c r="QVP75" s="2198"/>
      <c r="QVQ75" s="2198"/>
      <c r="QVR75" s="2198"/>
      <c r="QVS75" s="2198"/>
      <c r="QVT75" s="2198"/>
      <c r="QVU75" s="2198"/>
      <c r="QVV75" s="2198"/>
      <c r="QVW75" s="2198"/>
      <c r="QVX75" s="2198"/>
      <c r="QVY75" s="2198"/>
      <c r="QVZ75" s="2198"/>
      <c r="QWA75" s="2198"/>
      <c r="QWB75" s="2198"/>
      <c r="QWC75" s="2198"/>
      <c r="QWD75" s="2198"/>
      <c r="QWE75" s="2198"/>
      <c r="QWF75" s="2198"/>
      <c r="QWG75" s="2198"/>
      <c r="QWH75" s="2198"/>
      <c r="QWI75" s="2198"/>
      <c r="QWJ75" s="2198"/>
      <c r="QWK75" s="2198"/>
      <c r="QWL75" s="2198"/>
      <c r="QWM75" s="2198"/>
      <c r="QWN75" s="2198"/>
      <c r="QWO75" s="2198"/>
      <c r="QWP75" s="2198"/>
      <c r="QWQ75" s="2198"/>
      <c r="QWR75" s="2198"/>
      <c r="QWS75" s="2198"/>
      <c r="QWT75" s="2198"/>
      <c r="QWU75" s="2198"/>
      <c r="QWV75" s="2198"/>
      <c r="QWW75" s="2198"/>
      <c r="QWX75" s="2198"/>
      <c r="QWY75" s="2198"/>
      <c r="QWZ75" s="2198"/>
      <c r="QXA75" s="2198"/>
      <c r="QXB75" s="2198"/>
      <c r="QXC75" s="2198"/>
      <c r="QXD75" s="2198"/>
      <c r="QXE75" s="2198"/>
      <c r="QXF75" s="2198"/>
      <c r="QXG75" s="2198"/>
      <c r="QXH75" s="2198"/>
      <c r="QXI75" s="2198"/>
      <c r="QXJ75" s="2198"/>
      <c r="QXK75" s="2198"/>
      <c r="QXL75" s="2198"/>
      <c r="QXM75" s="2198"/>
      <c r="QXN75" s="2198"/>
      <c r="QXO75" s="2198"/>
      <c r="QXP75" s="2198"/>
      <c r="QXQ75" s="2198"/>
      <c r="QXR75" s="2198"/>
      <c r="QXS75" s="2198"/>
      <c r="QXT75" s="2198"/>
      <c r="QXU75" s="2198"/>
      <c r="QXV75" s="2198"/>
      <c r="QXW75" s="2198"/>
      <c r="QXX75" s="2198"/>
      <c r="QXY75" s="2198"/>
      <c r="QXZ75" s="2198"/>
      <c r="QYA75" s="2198"/>
      <c r="QYB75" s="2198"/>
      <c r="QYC75" s="2198"/>
      <c r="QYD75" s="2198"/>
      <c r="QYE75" s="2198"/>
      <c r="QYF75" s="2198"/>
      <c r="QYG75" s="2198"/>
      <c r="QYH75" s="2198"/>
      <c r="QYI75" s="2198"/>
      <c r="QYJ75" s="2198"/>
      <c r="QYK75" s="2198"/>
      <c r="QYL75" s="2198"/>
      <c r="QYM75" s="2198"/>
      <c r="QYN75" s="2198"/>
      <c r="QYO75" s="2198"/>
      <c r="QYP75" s="2198"/>
      <c r="QYQ75" s="2198"/>
      <c r="QYR75" s="2198"/>
      <c r="QYS75" s="2198"/>
      <c r="QYT75" s="2198"/>
      <c r="QYU75" s="2198"/>
      <c r="QYV75" s="2198"/>
      <c r="QYW75" s="2198"/>
      <c r="QYX75" s="2198"/>
      <c r="QYY75" s="2198"/>
      <c r="QYZ75" s="2198"/>
      <c r="QZA75" s="2198"/>
      <c r="QZB75" s="2198"/>
      <c r="QZC75" s="2198"/>
      <c r="QZD75" s="2198"/>
      <c r="QZE75" s="2198"/>
      <c r="QZF75" s="2198"/>
      <c r="QZG75" s="2198"/>
      <c r="QZH75" s="2198"/>
      <c r="QZI75" s="2198"/>
      <c r="QZJ75" s="2198"/>
      <c r="QZK75" s="2198"/>
      <c r="QZL75" s="2198"/>
      <c r="QZM75" s="2198"/>
      <c r="QZN75" s="2198"/>
      <c r="QZO75" s="2198"/>
      <c r="QZP75" s="2198"/>
      <c r="QZQ75" s="2198"/>
      <c r="QZR75" s="2198"/>
      <c r="QZS75" s="2198"/>
      <c r="QZT75" s="2198"/>
      <c r="QZU75" s="2198"/>
      <c r="QZV75" s="2198"/>
      <c r="QZW75" s="2198"/>
      <c r="QZX75" s="2198"/>
      <c r="QZY75" s="2198"/>
      <c r="QZZ75" s="2198"/>
      <c r="RAA75" s="2198"/>
      <c r="RAB75" s="2198"/>
      <c r="RAC75" s="2198"/>
      <c r="RAD75" s="2198"/>
      <c r="RAE75" s="2198"/>
      <c r="RAF75" s="2198"/>
      <c r="RAG75" s="2198"/>
      <c r="RAH75" s="2198"/>
      <c r="RAI75" s="2198"/>
      <c r="RAJ75" s="2198"/>
      <c r="RAK75" s="2198"/>
      <c r="RAL75" s="2198"/>
      <c r="RAM75" s="2198"/>
      <c r="RAN75" s="2198"/>
      <c r="RAO75" s="2198"/>
      <c r="RAP75" s="2198"/>
      <c r="RAQ75" s="2198"/>
      <c r="RAR75" s="2198"/>
      <c r="RAS75" s="2198"/>
      <c r="RAT75" s="2198"/>
      <c r="RAU75" s="2198"/>
      <c r="RAV75" s="2198"/>
      <c r="RAW75" s="2198"/>
      <c r="RAX75" s="2198"/>
      <c r="RAY75" s="2198"/>
      <c r="RAZ75" s="2198"/>
      <c r="RBA75" s="2198"/>
      <c r="RBB75" s="2198"/>
      <c r="RBC75" s="2198"/>
      <c r="RBD75" s="2198"/>
      <c r="RBE75" s="2198"/>
      <c r="RBF75" s="2198"/>
      <c r="RBG75" s="2198"/>
      <c r="RBH75" s="2198"/>
      <c r="RBI75" s="2198"/>
      <c r="RBJ75" s="2198"/>
      <c r="RBK75" s="2198"/>
      <c r="RBL75" s="2198"/>
      <c r="RBM75" s="2198"/>
      <c r="RBN75" s="2198"/>
      <c r="RBO75" s="2198"/>
      <c r="RBP75" s="2198"/>
      <c r="RBQ75" s="2198"/>
      <c r="RBR75" s="2198"/>
      <c r="RBS75" s="2198"/>
      <c r="RBT75" s="2198"/>
      <c r="RBU75" s="2198"/>
      <c r="RBV75" s="2198"/>
      <c r="RBW75" s="2198"/>
      <c r="RBX75" s="2198"/>
      <c r="RBY75" s="2198"/>
      <c r="RBZ75" s="2198"/>
      <c r="RCA75" s="2198"/>
      <c r="RCB75" s="2198"/>
      <c r="RCC75" s="2198"/>
      <c r="RCD75" s="2198"/>
      <c r="RCE75" s="2198"/>
      <c r="RCF75" s="2198"/>
      <c r="RCG75" s="2198"/>
      <c r="RCH75" s="2198"/>
      <c r="RCI75" s="2198"/>
      <c r="RCJ75" s="2198"/>
      <c r="RCK75" s="2198"/>
      <c r="RCL75" s="2198"/>
      <c r="RCM75" s="2198"/>
      <c r="RCN75" s="2198"/>
      <c r="RCO75" s="2198"/>
      <c r="RCP75" s="2198"/>
      <c r="RCQ75" s="2198"/>
      <c r="RCR75" s="2198"/>
      <c r="RCS75" s="2198"/>
      <c r="RCT75" s="2198"/>
      <c r="RCU75" s="2198"/>
      <c r="RCV75" s="2198"/>
      <c r="RCW75" s="2198"/>
      <c r="RCX75" s="2198"/>
      <c r="RCY75" s="2198"/>
      <c r="RCZ75" s="2198"/>
      <c r="RDA75" s="2198"/>
      <c r="RDB75" s="2198"/>
      <c r="RDC75" s="2198"/>
      <c r="RDD75" s="2198"/>
      <c r="RDE75" s="2198"/>
      <c r="RDF75" s="2198"/>
      <c r="RDG75" s="2198"/>
      <c r="RDH75" s="2198"/>
      <c r="RDI75" s="2198"/>
      <c r="RDJ75" s="2198"/>
      <c r="RDK75" s="2198"/>
      <c r="RDL75" s="2198"/>
      <c r="RDM75" s="2198"/>
      <c r="RDN75" s="2198"/>
      <c r="RDO75" s="2198"/>
      <c r="RDP75" s="2198"/>
      <c r="RDQ75" s="2198"/>
      <c r="RDR75" s="2198"/>
      <c r="RDS75" s="2198"/>
      <c r="RDT75" s="2198"/>
      <c r="RDU75" s="2198"/>
      <c r="RDV75" s="2198"/>
      <c r="RDW75" s="2198"/>
      <c r="RDX75" s="2198"/>
      <c r="RDY75" s="2198"/>
      <c r="RDZ75" s="2198"/>
      <c r="REA75" s="2198"/>
      <c r="REB75" s="2198"/>
      <c r="REC75" s="2198"/>
      <c r="RED75" s="2198"/>
      <c r="REE75" s="2198"/>
      <c r="REF75" s="2198"/>
      <c r="REG75" s="2198"/>
      <c r="REH75" s="2198"/>
      <c r="REI75" s="2198"/>
      <c r="REJ75" s="2198"/>
      <c r="REK75" s="2198"/>
      <c r="REL75" s="2198"/>
      <c r="REM75" s="2198"/>
      <c r="REN75" s="2198"/>
      <c r="REO75" s="2198"/>
      <c r="REP75" s="2198"/>
      <c r="REQ75" s="2198"/>
      <c r="RER75" s="2198"/>
      <c r="RES75" s="2198"/>
      <c r="RET75" s="2198"/>
      <c r="REU75" s="2198"/>
      <c r="REV75" s="2198"/>
      <c r="REW75" s="2198"/>
      <c r="REX75" s="2198"/>
      <c r="REY75" s="2198"/>
      <c r="REZ75" s="2198"/>
      <c r="RFA75" s="2198"/>
      <c r="RFB75" s="2198"/>
      <c r="RFC75" s="2198"/>
      <c r="RFD75" s="2198"/>
      <c r="RFE75" s="2198"/>
      <c r="RFF75" s="2198"/>
      <c r="RFG75" s="2198"/>
      <c r="RFH75" s="2198"/>
      <c r="RFI75" s="2198"/>
      <c r="RFJ75" s="2198"/>
      <c r="RFK75" s="2198"/>
      <c r="RFL75" s="2198"/>
      <c r="RFM75" s="2198"/>
      <c r="RFN75" s="2198"/>
      <c r="RFO75" s="2198"/>
      <c r="RFP75" s="2198"/>
      <c r="RFQ75" s="2198"/>
      <c r="RFR75" s="2198"/>
      <c r="RFS75" s="2198"/>
      <c r="RFT75" s="2198"/>
      <c r="RFU75" s="2198"/>
      <c r="RFV75" s="2198"/>
      <c r="RFW75" s="2198"/>
      <c r="RFX75" s="2198"/>
      <c r="RFY75" s="2198"/>
      <c r="RFZ75" s="2198"/>
      <c r="RGA75" s="2198"/>
      <c r="RGB75" s="2198"/>
      <c r="RGC75" s="2198"/>
      <c r="RGD75" s="2198"/>
      <c r="RGE75" s="2198"/>
      <c r="RGF75" s="2198"/>
      <c r="RGG75" s="2198"/>
      <c r="RGH75" s="2198"/>
      <c r="RGI75" s="2198"/>
      <c r="RGJ75" s="2198"/>
      <c r="RGK75" s="2198"/>
      <c r="RGL75" s="2198"/>
      <c r="RGM75" s="2198"/>
      <c r="RGN75" s="2198"/>
      <c r="RGO75" s="2198"/>
      <c r="RGP75" s="2198"/>
      <c r="RGQ75" s="2198"/>
      <c r="RGR75" s="2198"/>
      <c r="RGS75" s="2198"/>
      <c r="RGT75" s="2198"/>
      <c r="RGU75" s="2198"/>
      <c r="RGV75" s="2198"/>
      <c r="RGW75" s="2198"/>
      <c r="RGX75" s="2198"/>
      <c r="RGY75" s="2198"/>
      <c r="RGZ75" s="2198"/>
      <c r="RHA75" s="2198"/>
      <c r="RHB75" s="2198"/>
      <c r="RHC75" s="2198"/>
      <c r="RHD75" s="2198"/>
      <c r="RHE75" s="2198"/>
      <c r="RHF75" s="2198"/>
      <c r="RHG75" s="2198"/>
      <c r="RHH75" s="2198"/>
      <c r="RHI75" s="2198"/>
      <c r="RHJ75" s="2198"/>
      <c r="RHK75" s="2198"/>
      <c r="RHL75" s="2198"/>
      <c r="RHM75" s="2198"/>
      <c r="RHN75" s="2198"/>
      <c r="RHO75" s="2198"/>
      <c r="RHP75" s="2198"/>
      <c r="RHQ75" s="2198"/>
      <c r="RHR75" s="2198"/>
      <c r="RHS75" s="2198"/>
      <c r="RHT75" s="2198"/>
      <c r="RHU75" s="2198"/>
      <c r="RHV75" s="2198"/>
      <c r="RHW75" s="2198"/>
      <c r="RHX75" s="2198"/>
      <c r="RHY75" s="2198"/>
      <c r="RHZ75" s="2198"/>
      <c r="RIA75" s="2198"/>
      <c r="RIB75" s="2198"/>
      <c r="RIC75" s="2198"/>
      <c r="RID75" s="2198"/>
      <c r="RIE75" s="2198"/>
      <c r="RIF75" s="2198"/>
      <c r="RIG75" s="2198"/>
      <c r="RIH75" s="2198"/>
      <c r="RII75" s="2198"/>
      <c r="RIJ75" s="2198"/>
      <c r="RIK75" s="2198"/>
      <c r="RIL75" s="2198"/>
      <c r="RIM75" s="2198"/>
      <c r="RIN75" s="2198"/>
      <c r="RIO75" s="2198"/>
      <c r="RIP75" s="2198"/>
      <c r="RIQ75" s="2198"/>
      <c r="RIR75" s="2198"/>
      <c r="RIS75" s="2198"/>
      <c r="RIT75" s="2198"/>
      <c r="RIU75" s="2198"/>
      <c r="RIV75" s="2198"/>
      <c r="RIW75" s="2198"/>
      <c r="RIX75" s="2198"/>
      <c r="RIY75" s="2198"/>
      <c r="RIZ75" s="2198"/>
      <c r="RJA75" s="2198"/>
      <c r="RJB75" s="2198"/>
      <c r="RJC75" s="2198"/>
      <c r="RJD75" s="2198"/>
      <c r="RJE75" s="2198"/>
      <c r="RJF75" s="2198"/>
      <c r="RJG75" s="2198"/>
      <c r="RJH75" s="2198"/>
      <c r="RJI75" s="2198"/>
      <c r="RJJ75" s="2198"/>
      <c r="RJK75" s="2198"/>
      <c r="RJL75" s="2198"/>
      <c r="RJM75" s="2198"/>
      <c r="RJN75" s="2198"/>
      <c r="RJO75" s="2198"/>
      <c r="RJP75" s="2198"/>
      <c r="RJQ75" s="2198"/>
      <c r="RJR75" s="2198"/>
      <c r="RJS75" s="2198"/>
      <c r="RJT75" s="2198"/>
      <c r="RJU75" s="2198"/>
      <c r="RJV75" s="2198"/>
      <c r="RJW75" s="2198"/>
      <c r="RJX75" s="2198"/>
      <c r="RJY75" s="2198"/>
      <c r="RJZ75" s="2198"/>
      <c r="RKA75" s="2198"/>
      <c r="RKB75" s="2198"/>
      <c r="RKC75" s="2198"/>
      <c r="RKD75" s="2198"/>
      <c r="RKE75" s="2198"/>
      <c r="RKF75" s="2198"/>
      <c r="RKG75" s="2198"/>
      <c r="RKH75" s="2198"/>
      <c r="RKI75" s="2198"/>
      <c r="RKJ75" s="2198"/>
      <c r="RKK75" s="2198"/>
      <c r="RKL75" s="2198"/>
      <c r="RKM75" s="2198"/>
      <c r="RKN75" s="2198"/>
      <c r="RKO75" s="2198"/>
      <c r="RKP75" s="2198"/>
      <c r="RKQ75" s="2198"/>
      <c r="RKR75" s="2198"/>
      <c r="RKS75" s="2198"/>
      <c r="RKT75" s="2198"/>
      <c r="RKU75" s="2198"/>
      <c r="RKV75" s="2198"/>
      <c r="RKW75" s="2198"/>
      <c r="RKX75" s="2198"/>
      <c r="RKY75" s="2198"/>
      <c r="RKZ75" s="2198"/>
      <c r="RLA75" s="2198"/>
      <c r="RLB75" s="2198"/>
      <c r="RLC75" s="2198"/>
      <c r="RLD75" s="2198"/>
      <c r="RLE75" s="2198"/>
      <c r="RLF75" s="2198"/>
      <c r="RLG75" s="2198"/>
      <c r="RLH75" s="2198"/>
      <c r="RLI75" s="2198"/>
      <c r="RLJ75" s="2198"/>
      <c r="RLK75" s="2198"/>
      <c r="RLL75" s="2198"/>
      <c r="RLM75" s="2198"/>
      <c r="RLN75" s="2198"/>
      <c r="RLO75" s="2198"/>
      <c r="RLP75" s="2198"/>
      <c r="RLQ75" s="2198"/>
      <c r="RLR75" s="2198"/>
      <c r="RLS75" s="2198"/>
      <c r="RLT75" s="2198"/>
      <c r="RLU75" s="2198"/>
      <c r="RLV75" s="2198"/>
      <c r="RLW75" s="2198"/>
      <c r="RLX75" s="2198"/>
      <c r="RLY75" s="2198"/>
      <c r="RLZ75" s="2198"/>
      <c r="RMA75" s="2198"/>
      <c r="RMB75" s="2198"/>
      <c r="RMC75" s="2198"/>
      <c r="RMD75" s="2198"/>
      <c r="RME75" s="2198"/>
      <c r="RMF75" s="2198"/>
      <c r="RMG75" s="2198"/>
      <c r="RMH75" s="2198"/>
      <c r="RMI75" s="2198"/>
      <c r="RMJ75" s="2198"/>
      <c r="RMK75" s="2198"/>
      <c r="RML75" s="2198"/>
      <c r="RMM75" s="2198"/>
      <c r="RMN75" s="2198"/>
      <c r="RMO75" s="2198"/>
      <c r="RMP75" s="2198"/>
      <c r="RMQ75" s="2198"/>
      <c r="RMR75" s="2198"/>
      <c r="RMS75" s="2198"/>
      <c r="RMT75" s="2198"/>
      <c r="RMU75" s="2198"/>
      <c r="RMV75" s="2198"/>
      <c r="RMW75" s="2198"/>
      <c r="RMX75" s="2198"/>
      <c r="RMY75" s="2198"/>
      <c r="RMZ75" s="2198"/>
      <c r="RNA75" s="2198"/>
      <c r="RNB75" s="2198"/>
      <c r="RNC75" s="2198"/>
      <c r="RND75" s="2198"/>
      <c r="RNE75" s="2198"/>
      <c r="RNF75" s="2198"/>
      <c r="RNG75" s="2198"/>
      <c r="RNH75" s="2198"/>
      <c r="RNI75" s="2198"/>
      <c r="RNJ75" s="2198"/>
      <c r="RNK75" s="2198"/>
      <c r="RNL75" s="2198"/>
      <c r="RNM75" s="2198"/>
      <c r="RNN75" s="2198"/>
      <c r="RNO75" s="2198"/>
      <c r="RNP75" s="2198"/>
      <c r="RNQ75" s="2198"/>
      <c r="RNR75" s="2198"/>
      <c r="RNS75" s="2198"/>
      <c r="RNT75" s="2198"/>
      <c r="RNU75" s="2198"/>
      <c r="RNV75" s="2198"/>
      <c r="RNW75" s="2198"/>
      <c r="RNX75" s="2198"/>
      <c r="RNY75" s="2198"/>
      <c r="RNZ75" s="2198"/>
      <c r="ROA75" s="2198"/>
      <c r="ROB75" s="2198"/>
      <c r="ROC75" s="2198"/>
      <c r="ROD75" s="2198"/>
      <c r="ROE75" s="2198"/>
      <c r="ROF75" s="2198"/>
      <c r="ROG75" s="2198"/>
      <c r="ROH75" s="2198"/>
      <c r="ROI75" s="2198"/>
      <c r="ROJ75" s="2198"/>
      <c r="ROK75" s="2198"/>
      <c r="ROL75" s="2198"/>
      <c r="ROM75" s="2198"/>
      <c r="RON75" s="2198"/>
      <c r="ROO75" s="2198"/>
      <c r="ROP75" s="2198"/>
      <c r="ROQ75" s="2198"/>
      <c r="ROR75" s="2198"/>
      <c r="ROS75" s="2198"/>
      <c r="ROT75" s="2198"/>
      <c r="ROU75" s="2198"/>
      <c r="ROV75" s="2198"/>
      <c r="ROW75" s="2198"/>
      <c r="ROX75" s="2198"/>
      <c r="ROY75" s="2198"/>
      <c r="ROZ75" s="2198"/>
      <c r="RPA75" s="2198"/>
      <c r="RPB75" s="2198"/>
      <c r="RPC75" s="2198"/>
      <c r="RPD75" s="2198"/>
      <c r="RPE75" s="2198"/>
      <c r="RPF75" s="2198"/>
      <c r="RPG75" s="2198"/>
      <c r="RPH75" s="2198"/>
      <c r="RPI75" s="2198"/>
      <c r="RPJ75" s="2198"/>
      <c r="RPK75" s="2198"/>
      <c r="RPL75" s="2198"/>
      <c r="RPM75" s="2198"/>
      <c r="RPN75" s="2198"/>
      <c r="RPO75" s="2198"/>
      <c r="RPP75" s="2198"/>
      <c r="RPQ75" s="2198"/>
      <c r="RPR75" s="2198"/>
      <c r="RPS75" s="2198"/>
      <c r="RPT75" s="2198"/>
      <c r="RPU75" s="2198"/>
      <c r="RPV75" s="2198"/>
      <c r="RPW75" s="2198"/>
      <c r="RPX75" s="2198"/>
      <c r="RPY75" s="2198"/>
      <c r="RPZ75" s="2198"/>
      <c r="RQA75" s="2198"/>
      <c r="RQB75" s="2198"/>
      <c r="RQC75" s="2198"/>
      <c r="RQD75" s="2198"/>
      <c r="RQE75" s="2198"/>
      <c r="RQF75" s="2198"/>
      <c r="RQG75" s="2198"/>
      <c r="RQH75" s="2198"/>
      <c r="RQI75" s="2198"/>
      <c r="RQJ75" s="2198"/>
      <c r="RQK75" s="2198"/>
      <c r="RQL75" s="2198"/>
      <c r="RQM75" s="2198"/>
      <c r="RQN75" s="2198"/>
      <c r="RQO75" s="2198"/>
      <c r="RQP75" s="2198"/>
      <c r="RQQ75" s="2198"/>
      <c r="RQR75" s="2198"/>
      <c r="RQS75" s="2198"/>
      <c r="RQT75" s="2198"/>
      <c r="RQU75" s="2198"/>
      <c r="RQV75" s="2198"/>
      <c r="RQW75" s="2198"/>
      <c r="RQX75" s="2198"/>
      <c r="RQY75" s="2198"/>
      <c r="RQZ75" s="2198"/>
      <c r="RRA75" s="2198"/>
      <c r="RRB75" s="2198"/>
      <c r="RRC75" s="2198"/>
      <c r="RRD75" s="2198"/>
      <c r="RRE75" s="2198"/>
      <c r="RRF75" s="2198"/>
      <c r="RRG75" s="2198"/>
      <c r="RRH75" s="2198"/>
      <c r="RRI75" s="2198"/>
      <c r="RRJ75" s="2198"/>
      <c r="RRK75" s="2198"/>
      <c r="RRL75" s="2198"/>
      <c r="RRM75" s="2198"/>
      <c r="RRN75" s="2198"/>
      <c r="RRO75" s="2198"/>
      <c r="RRP75" s="2198"/>
      <c r="RRQ75" s="2198"/>
      <c r="RRR75" s="2198"/>
      <c r="RRS75" s="2198"/>
      <c r="RRT75" s="2198"/>
      <c r="RRU75" s="2198"/>
      <c r="RRV75" s="2198"/>
      <c r="RRW75" s="2198"/>
      <c r="RRX75" s="2198"/>
      <c r="RRY75" s="2198"/>
      <c r="RRZ75" s="2198"/>
      <c r="RSA75" s="2198"/>
      <c r="RSB75" s="2198"/>
      <c r="RSC75" s="2198"/>
      <c r="RSD75" s="2198"/>
      <c r="RSE75" s="2198"/>
      <c r="RSF75" s="2198"/>
      <c r="RSG75" s="2198"/>
      <c r="RSH75" s="2198"/>
      <c r="RSI75" s="2198"/>
      <c r="RSJ75" s="2198"/>
      <c r="RSK75" s="2198"/>
      <c r="RSL75" s="2198"/>
      <c r="RSM75" s="2198"/>
      <c r="RSN75" s="2198"/>
      <c r="RSO75" s="2198"/>
      <c r="RSP75" s="2198"/>
      <c r="RSQ75" s="2198"/>
      <c r="RSR75" s="2198"/>
      <c r="RSS75" s="2198"/>
      <c r="RST75" s="2198"/>
      <c r="RSU75" s="2198"/>
      <c r="RSV75" s="2198"/>
      <c r="RSW75" s="2198"/>
      <c r="RSX75" s="2198"/>
      <c r="RSY75" s="2198"/>
      <c r="RSZ75" s="2198"/>
      <c r="RTA75" s="2198"/>
      <c r="RTB75" s="2198"/>
      <c r="RTC75" s="2198"/>
      <c r="RTD75" s="2198"/>
      <c r="RTE75" s="2198"/>
      <c r="RTF75" s="2198"/>
      <c r="RTG75" s="2198"/>
      <c r="RTH75" s="2198"/>
      <c r="RTI75" s="2198"/>
      <c r="RTJ75" s="2198"/>
      <c r="RTK75" s="2198"/>
      <c r="RTL75" s="2198"/>
      <c r="RTM75" s="2198"/>
      <c r="RTN75" s="2198"/>
      <c r="RTO75" s="2198"/>
      <c r="RTP75" s="2198"/>
      <c r="RTQ75" s="2198"/>
      <c r="RTR75" s="2198"/>
      <c r="RTS75" s="2198"/>
      <c r="RTT75" s="2198"/>
      <c r="RTU75" s="2198"/>
      <c r="RTV75" s="2198"/>
      <c r="RTW75" s="2198"/>
      <c r="RTX75" s="2198"/>
      <c r="RTY75" s="2198"/>
      <c r="RTZ75" s="2198"/>
      <c r="RUA75" s="2198"/>
      <c r="RUB75" s="2198"/>
      <c r="RUC75" s="2198"/>
      <c r="RUD75" s="2198"/>
      <c r="RUE75" s="2198"/>
      <c r="RUF75" s="2198"/>
      <c r="RUG75" s="2198"/>
      <c r="RUH75" s="2198"/>
      <c r="RUI75" s="2198"/>
      <c r="RUJ75" s="2198"/>
      <c r="RUK75" s="2198"/>
      <c r="RUL75" s="2198"/>
      <c r="RUM75" s="2198"/>
      <c r="RUN75" s="2198"/>
      <c r="RUO75" s="2198"/>
      <c r="RUP75" s="2198"/>
      <c r="RUQ75" s="2198"/>
      <c r="RUR75" s="2198"/>
      <c r="RUS75" s="2198"/>
      <c r="RUT75" s="2198"/>
      <c r="RUU75" s="2198"/>
      <c r="RUV75" s="2198"/>
      <c r="RUW75" s="2198"/>
      <c r="RUX75" s="2198"/>
      <c r="RUY75" s="2198"/>
      <c r="RUZ75" s="2198"/>
      <c r="RVA75" s="2198"/>
      <c r="RVB75" s="2198"/>
      <c r="RVC75" s="2198"/>
      <c r="RVD75" s="2198"/>
      <c r="RVE75" s="2198"/>
      <c r="RVF75" s="2198"/>
      <c r="RVG75" s="2198"/>
      <c r="RVH75" s="2198"/>
      <c r="RVI75" s="2198"/>
      <c r="RVJ75" s="2198"/>
      <c r="RVK75" s="2198"/>
      <c r="RVL75" s="2198"/>
      <c r="RVM75" s="2198"/>
      <c r="RVN75" s="2198"/>
      <c r="RVO75" s="2198"/>
      <c r="RVP75" s="2198"/>
      <c r="RVQ75" s="2198"/>
      <c r="RVR75" s="2198"/>
      <c r="RVS75" s="2198"/>
      <c r="RVT75" s="2198"/>
      <c r="RVU75" s="2198"/>
      <c r="RVV75" s="2198"/>
      <c r="RVW75" s="2198"/>
      <c r="RVX75" s="2198"/>
      <c r="RVY75" s="2198"/>
      <c r="RVZ75" s="2198"/>
      <c r="RWA75" s="2198"/>
      <c r="RWB75" s="2198"/>
      <c r="RWC75" s="2198"/>
      <c r="RWD75" s="2198"/>
      <c r="RWE75" s="2198"/>
      <c r="RWF75" s="2198"/>
      <c r="RWG75" s="2198"/>
      <c r="RWH75" s="2198"/>
      <c r="RWI75" s="2198"/>
      <c r="RWJ75" s="2198"/>
      <c r="RWK75" s="2198"/>
      <c r="RWL75" s="2198"/>
      <c r="RWM75" s="2198"/>
      <c r="RWN75" s="2198"/>
      <c r="RWO75" s="2198"/>
      <c r="RWP75" s="2198"/>
      <c r="RWQ75" s="2198"/>
      <c r="RWR75" s="2198"/>
      <c r="RWS75" s="2198"/>
      <c r="RWT75" s="2198"/>
      <c r="RWU75" s="2198"/>
      <c r="RWV75" s="2198"/>
      <c r="RWW75" s="2198"/>
      <c r="RWX75" s="2198"/>
      <c r="RWY75" s="2198"/>
      <c r="RWZ75" s="2198"/>
      <c r="RXA75" s="2198"/>
      <c r="RXB75" s="2198"/>
      <c r="RXC75" s="2198"/>
      <c r="RXD75" s="2198"/>
      <c r="RXE75" s="2198"/>
      <c r="RXF75" s="2198"/>
      <c r="RXG75" s="2198"/>
      <c r="RXH75" s="2198"/>
      <c r="RXI75" s="2198"/>
      <c r="RXJ75" s="2198"/>
      <c r="RXK75" s="2198"/>
      <c r="RXL75" s="2198"/>
      <c r="RXM75" s="2198"/>
      <c r="RXN75" s="2198"/>
      <c r="RXO75" s="2198"/>
      <c r="RXP75" s="2198"/>
      <c r="RXQ75" s="2198"/>
      <c r="RXR75" s="2198"/>
      <c r="RXS75" s="2198"/>
      <c r="RXT75" s="2198"/>
      <c r="RXU75" s="2198"/>
      <c r="RXV75" s="2198"/>
      <c r="RXW75" s="2198"/>
      <c r="RXX75" s="2198"/>
      <c r="RXY75" s="2198"/>
      <c r="RXZ75" s="2198"/>
      <c r="RYA75" s="2198"/>
      <c r="RYB75" s="2198"/>
      <c r="RYC75" s="2198"/>
      <c r="RYD75" s="2198"/>
      <c r="RYE75" s="2198"/>
      <c r="RYF75" s="2198"/>
      <c r="RYG75" s="2198"/>
      <c r="RYH75" s="2198"/>
      <c r="RYI75" s="2198"/>
      <c r="RYJ75" s="2198"/>
      <c r="RYK75" s="2198"/>
      <c r="RYL75" s="2198"/>
      <c r="RYM75" s="2198"/>
      <c r="RYN75" s="2198"/>
      <c r="RYO75" s="2198"/>
      <c r="RYP75" s="2198"/>
      <c r="RYQ75" s="2198"/>
      <c r="RYR75" s="2198"/>
      <c r="RYS75" s="2198"/>
      <c r="RYT75" s="2198"/>
      <c r="RYU75" s="2198"/>
      <c r="RYV75" s="2198"/>
      <c r="RYW75" s="2198"/>
      <c r="RYX75" s="2198"/>
      <c r="RYY75" s="2198"/>
      <c r="RYZ75" s="2198"/>
      <c r="RZA75" s="2198"/>
      <c r="RZB75" s="2198"/>
      <c r="RZC75" s="2198"/>
      <c r="RZD75" s="2198"/>
      <c r="RZE75" s="2198"/>
      <c r="RZF75" s="2198"/>
      <c r="RZG75" s="2198"/>
      <c r="RZH75" s="2198"/>
      <c r="RZI75" s="2198"/>
      <c r="RZJ75" s="2198"/>
      <c r="RZK75" s="2198"/>
      <c r="RZL75" s="2198"/>
      <c r="RZM75" s="2198"/>
      <c r="RZN75" s="2198"/>
      <c r="RZO75" s="2198"/>
      <c r="RZP75" s="2198"/>
      <c r="RZQ75" s="2198"/>
      <c r="RZR75" s="2198"/>
      <c r="RZS75" s="2198"/>
      <c r="RZT75" s="2198"/>
      <c r="RZU75" s="2198"/>
      <c r="RZV75" s="2198"/>
      <c r="RZW75" s="2198"/>
      <c r="RZX75" s="2198"/>
      <c r="RZY75" s="2198"/>
      <c r="RZZ75" s="2198"/>
      <c r="SAA75" s="2198"/>
      <c r="SAB75" s="2198"/>
      <c r="SAC75" s="2198"/>
      <c r="SAD75" s="2198"/>
      <c r="SAE75" s="2198"/>
      <c r="SAF75" s="2198"/>
      <c r="SAG75" s="2198"/>
      <c r="SAH75" s="2198"/>
      <c r="SAI75" s="2198"/>
      <c r="SAJ75" s="2198"/>
      <c r="SAK75" s="2198"/>
      <c r="SAL75" s="2198"/>
      <c r="SAM75" s="2198"/>
      <c r="SAN75" s="2198"/>
      <c r="SAO75" s="2198"/>
      <c r="SAP75" s="2198"/>
      <c r="SAQ75" s="2198"/>
      <c r="SAR75" s="2198"/>
      <c r="SAS75" s="2198"/>
      <c r="SAT75" s="2198"/>
      <c r="SAU75" s="2198"/>
      <c r="SAV75" s="2198"/>
      <c r="SAW75" s="2198"/>
      <c r="SAX75" s="2198"/>
      <c r="SAY75" s="2198"/>
      <c r="SAZ75" s="2198"/>
      <c r="SBA75" s="2198"/>
      <c r="SBB75" s="2198"/>
      <c r="SBC75" s="2198"/>
      <c r="SBD75" s="2198"/>
      <c r="SBE75" s="2198"/>
      <c r="SBF75" s="2198"/>
      <c r="SBG75" s="2198"/>
      <c r="SBH75" s="2198"/>
      <c r="SBI75" s="2198"/>
      <c r="SBJ75" s="2198"/>
      <c r="SBK75" s="2198"/>
      <c r="SBL75" s="2198"/>
      <c r="SBM75" s="2198"/>
      <c r="SBN75" s="2198"/>
      <c r="SBO75" s="2198"/>
      <c r="SBP75" s="2198"/>
      <c r="SBQ75" s="2198"/>
      <c r="SBR75" s="2198"/>
      <c r="SBS75" s="2198"/>
      <c r="SBT75" s="2198"/>
      <c r="SBU75" s="2198"/>
      <c r="SBV75" s="2198"/>
      <c r="SBW75" s="2198"/>
      <c r="SBX75" s="2198"/>
      <c r="SBY75" s="2198"/>
      <c r="SBZ75" s="2198"/>
      <c r="SCA75" s="2198"/>
      <c r="SCB75" s="2198"/>
      <c r="SCC75" s="2198"/>
      <c r="SCD75" s="2198"/>
      <c r="SCE75" s="2198"/>
      <c r="SCF75" s="2198"/>
      <c r="SCG75" s="2198"/>
      <c r="SCH75" s="2198"/>
      <c r="SCI75" s="2198"/>
      <c r="SCJ75" s="2198"/>
      <c r="SCK75" s="2198"/>
      <c r="SCL75" s="2198"/>
      <c r="SCM75" s="2198"/>
      <c r="SCN75" s="2198"/>
      <c r="SCO75" s="2198"/>
      <c r="SCP75" s="2198"/>
      <c r="SCQ75" s="2198"/>
      <c r="SCR75" s="2198"/>
      <c r="SCS75" s="2198"/>
      <c r="SCT75" s="2198"/>
      <c r="SCU75" s="2198"/>
      <c r="SCV75" s="2198"/>
      <c r="SCW75" s="2198"/>
      <c r="SCX75" s="2198"/>
      <c r="SCY75" s="2198"/>
      <c r="SCZ75" s="2198"/>
      <c r="SDA75" s="2198"/>
      <c r="SDB75" s="2198"/>
      <c r="SDC75" s="2198"/>
      <c r="SDD75" s="2198"/>
      <c r="SDE75" s="2198"/>
      <c r="SDF75" s="2198"/>
      <c r="SDG75" s="2198"/>
      <c r="SDH75" s="2198"/>
      <c r="SDI75" s="2198"/>
      <c r="SDJ75" s="2198"/>
      <c r="SDK75" s="2198"/>
      <c r="SDL75" s="2198"/>
      <c r="SDM75" s="2198"/>
      <c r="SDN75" s="2198"/>
      <c r="SDO75" s="2198"/>
      <c r="SDP75" s="2198"/>
      <c r="SDQ75" s="2198"/>
      <c r="SDR75" s="2198"/>
      <c r="SDS75" s="2198"/>
      <c r="SDT75" s="2198"/>
      <c r="SDU75" s="2198"/>
      <c r="SDV75" s="2198"/>
      <c r="SDW75" s="2198"/>
      <c r="SDX75" s="2198"/>
      <c r="SDY75" s="2198"/>
      <c r="SDZ75" s="2198"/>
      <c r="SEA75" s="2198"/>
      <c r="SEB75" s="2198"/>
      <c r="SEC75" s="2198"/>
      <c r="SED75" s="2198"/>
      <c r="SEE75" s="2198"/>
      <c r="SEF75" s="2198"/>
      <c r="SEG75" s="2198"/>
      <c r="SEH75" s="2198"/>
      <c r="SEI75" s="2198"/>
      <c r="SEJ75" s="2198"/>
      <c r="SEK75" s="2198"/>
      <c r="SEL75" s="2198"/>
      <c r="SEM75" s="2198"/>
      <c r="SEN75" s="2198"/>
      <c r="SEO75" s="2198"/>
      <c r="SEP75" s="2198"/>
      <c r="SEQ75" s="2198"/>
      <c r="SER75" s="2198"/>
      <c r="SES75" s="2198"/>
      <c r="SET75" s="2198"/>
      <c r="SEU75" s="2198"/>
      <c r="SEV75" s="2198"/>
      <c r="SEW75" s="2198"/>
      <c r="SEX75" s="2198"/>
      <c r="SEY75" s="2198"/>
      <c r="SEZ75" s="2198"/>
      <c r="SFA75" s="2198"/>
      <c r="SFB75" s="2198"/>
      <c r="SFC75" s="2198"/>
      <c r="SFD75" s="2198"/>
      <c r="SFE75" s="2198"/>
      <c r="SFF75" s="2198"/>
      <c r="SFG75" s="2198"/>
      <c r="SFH75" s="2198"/>
      <c r="SFI75" s="2198"/>
      <c r="SFJ75" s="2198"/>
      <c r="SFK75" s="2198"/>
      <c r="SFL75" s="2198"/>
      <c r="SFM75" s="2198"/>
      <c r="SFN75" s="2198"/>
      <c r="SFO75" s="2198"/>
      <c r="SFP75" s="2198"/>
      <c r="SFQ75" s="2198"/>
      <c r="SFR75" s="2198"/>
      <c r="SFS75" s="2198"/>
      <c r="SFT75" s="2198"/>
      <c r="SFU75" s="2198"/>
      <c r="SFV75" s="2198"/>
      <c r="SFW75" s="2198"/>
      <c r="SFX75" s="2198"/>
      <c r="SFY75" s="2198"/>
      <c r="SFZ75" s="2198"/>
      <c r="SGA75" s="2198"/>
      <c r="SGB75" s="2198"/>
      <c r="SGC75" s="2198"/>
      <c r="SGD75" s="2198"/>
      <c r="SGE75" s="2198"/>
      <c r="SGF75" s="2198"/>
      <c r="SGG75" s="2198"/>
      <c r="SGH75" s="2198"/>
      <c r="SGI75" s="2198"/>
      <c r="SGJ75" s="2198"/>
      <c r="SGK75" s="2198"/>
      <c r="SGL75" s="2198"/>
      <c r="SGM75" s="2198"/>
      <c r="SGN75" s="2198"/>
      <c r="SGO75" s="2198"/>
      <c r="SGP75" s="2198"/>
      <c r="SGQ75" s="2198"/>
      <c r="SGR75" s="2198"/>
      <c r="SGS75" s="2198"/>
      <c r="SGT75" s="2198"/>
      <c r="SGU75" s="2198"/>
      <c r="SGV75" s="2198"/>
      <c r="SGW75" s="2198"/>
      <c r="SGX75" s="2198"/>
      <c r="SGY75" s="2198"/>
      <c r="SGZ75" s="2198"/>
      <c r="SHA75" s="2198"/>
      <c r="SHB75" s="2198"/>
      <c r="SHC75" s="2198"/>
      <c r="SHD75" s="2198"/>
      <c r="SHE75" s="2198"/>
      <c r="SHF75" s="2198"/>
      <c r="SHG75" s="2198"/>
      <c r="SHH75" s="2198"/>
      <c r="SHI75" s="2198"/>
      <c r="SHJ75" s="2198"/>
      <c r="SHK75" s="2198"/>
      <c r="SHL75" s="2198"/>
      <c r="SHM75" s="2198"/>
      <c r="SHN75" s="2198"/>
      <c r="SHO75" s="2198"/>
      <c r="SHP75" s="2198"/>
      <c r="SHQ75" s="2198"/>
      <c r="SHR75" s="2198"/>
      <c r="SHS75" s="2198"/>
      <c r="SHT75" s="2198"/>
      <c r="SHU75" s="2198"/>
      <c r="SHV75" s="2198"/>
      <c r="SHW75" s="2198"/>
      <c r="SHX75" s="2198"/>
      <c r="SHY75" s="2198"/>
      <c r="SHZ75" s="2198"/>
      <c r="SIA75" s="2198"/>
      <c r="SIB75" s="2198"/>
      <c r="SIC75" s="2198"/>
      <c r="SID75" s="2198"/>
      <c r="SIE75" s="2198"/>
      <c r="SIF75" s="2198"/>
      <c r="SIG75" s="2198"/>
      <c r="SIH75" s="2198"/>
      <c r="SII75" s="2198"/>
      <c r="SIJ75" s="2198"/>
      <c r="SIK75" s="2198"/>
      <c r="SIL75" s="2198"/>
      <c r="SIM75" s="2198"/>
      <c r="SIN75" s="2198"/>
      <c r="SIO75" s="2198"/>
      <c r="SIP75" s="2198"/>
      <c r="SIQ75" s="2198"/>
      <c r="SIR75" s="2198"/>
      <c r="SIS75" s="2198"/>
      <c r="SIT75" s="2198"/>
      <c r="SIU75" s="2198"/>
      <c r="SIV75" s="2198"/>
      <c r="SIW75" s="2198"/>
      <c r="SIX75" s="2198"/>
      <c r="SIY75" s="2198"/>
      <c r="SIZ75" s="2198"/>
      <c r="SJA75" s="2198"/>
      <c r="SJB75" s="2198"/>
      <c r="SJC75" s="2198"/>
      <c r="SJD75" s="2198"/>
      <c r="SJE75" s="2198"/>
      <c r="SJF75" s="2198"/>
      <c r="SJG75" s="2198"/>
      <c r="SJH75" s="2198"/>
      <c r="SJI75" s="2198"/>
      <c r="SJJ75" s="2198"/>
      <c r="SJK75" s="2198"/>
      <c r="SJL75" s="2198"/>
      <c r="SJM75" s="2198"/>
      <c r="SJN75" s="2198"/>
      <c r="SJO75" s="2198"/>
      <c r="SJP75" s="2198"/>
      <c r="SJQ75" s="2198"/>
      <c r="SJR75" s="2198"/>
      <c r="SJS75" s="2198"/>
      <c r="SJT75" s="2198"/>
      <c r="SJU75" s="2198"/>
      <c r="SJV75" s="2198"/>
      <c r="SJW75" s="2198"/>
      <c r="SJX75" s="2198"/>
      <c r="SJY75" s="2198"/>
      <c r="SJZ75" s="2198"/>
      <c r="SKA75" s="2198"/>
      <c r="SKB75" s="2198"/>
      <c r="SKC75" s="2198"/>
      <c r="SKD75" s="2198"/>
      <c r="SKE75" s="2198"/>
      <c r="SKF75" s="2198"/>
      <c r="SKG75" s="2198"/>
      <c r="SKH75" s="2198"/>
      <c r="SKI75" s="2198"/>
      <c r="SKJ75" s="2198"/>
      <c r="SKK75" s="2198"/>
      <c r="SKL75" s="2198"/>
      <c r="SKM75" s="2198"/>
      <c r="SKN75" s="2198"/>
      <c r="SKO75" s="2198"/>
      <c r="SKP75" s="2198"/>
      <c r="SKQ75" s="2198"/>
      <c r="SKR75" s="2198"/>
      <c r="SKS75" s="2198"/>
      <c r="SKT75" s="2198"/>
      <c r="SKU75" s="2198"/>
      <c r="SKV75" s="2198"/>
      <c r="SKW75" s="2198"/>
      <c r="SKX75" s="2198"/>
      <c r="SKY75" s="2198"/>
      <c r="SKZ75" s="2198"/>
      <c r="SLA75" s="2198"/>
      <c r="SLB75" s="2198"/>
      <c r="SLC75" s="2198"/>
      <c r="SLD75" s="2198"/>
      <c r="SLE75" s="2198"/>
      <c r="SLF75" s="2198"/>
      <c r="SLG75" s="2198"/>
      <c r="SLH75" s="2198"/>
      <c r="SLI75" s="2198"/>
      <c r="SLJ75" s="2198"/>
      <c r="SLK75" s="2198"/>
      <c r="SLL75" s="2198"/>
      <c r="SLM75" s="2198"/>
      <c r="SLN75" s="2198"/>
      <c r="SLO75" s="2198"/>
      <c r="SLP75" s="2198"/>
      <c r="SLQ75" s="2198"/>
      <c r="SLR75" s="2198"/>
      <c r="SLS75" s="2198"/>
      <c r="SLT75" s="2198"/>
      <c r="SLU75" s="2198"/>
      <c r="SLV75" s="2198"/>
      <c r="SLW75" s="2198"/>
      <c r="SLX75" s="2198"/>
      <c r="SLY75" s="2198"/>
      <c r="SLZ75" s="2198"/>
      <c r="SMA75" s="2198"/>
      <c r="SMB75" s="2198"/>
      <c r="SMC75" s="2198"/>
      <c r="SMD75" s="2198"/>
      <c r="SME75" s="2198"/>
      <c r="SMF75" s="2198"/>
      <c r="SMG75" s="2198"/>
      <c r="SMH75" s="2198"/>
      <c r="SMI75" s="2198"/>
      <c r="SMJ75" s="2198"/>
      <c r="SMK75" s="2198"/>
      <c r="SML75" s="2198"/>
      <c r="SMM75" s="2198"/>
      <c r="SMN75" s="2198"/>
      <c r="SMO75" s="2198"/>
      <c r="SMP75" s="2198"/>
      <c r="SMQ75" s="2198"/>
      <c r="SMR75" s="2198"/>
      <c r="SMS75" s="2198"/>
      <c r="SMT75" s="2198"/>
      <c r="SMU75" s="2198"/>
      <c r="SMV75" s="2198"/>
      <c r="SMW75" s="2198"/>
      <c r="SMX75" s="2198"/>
      <c r="SMY75" s="2198"/>
      <c r="SMZ75" s="2198"/>
      <c r="SNA75" s="2198"/>
      <c r="SNB75" s="2198"/>
      <c r="SNC75" s="2198"/>
      <c r="SND75" s="2198"/>
      <c r="SNE75" s="2198"/>
      <c r="SNF75" s="2198"/>
      <c r="SNG75" s="2198"/>
      <c r="SNH75" s="2198"/>
      <c r="SNI75" s="2198"/>
      <c r="SNJ75" s="2198"/>
      <c r="SNK75" s="2198"/>
      <c r="SNL75" s="2198"/>
      <c r="SNM75" s="2198"/>
      <c r="SNN75" s="2198"/>
      <c r="SNO75" s="2198"/>
      <c r="SNP75" s="2198"/>
      <c r="SNQ75" s="2198"/>
      <c r="SNR75" s="2198"/>
      <c r="SNS75" s="2198"/>
      <c r="SNT75" s="2198"/>
      <c r="SNU75" s="2198"/>
      <c r="SNV75" s="2198"/>
      <c r="SNW75" s="2198"/>
      <c r="SNX75" s="2198"/>
      <c r="SNY75" s="2198"/>
      <c r="SNZ75" s="2198"/>
      <c r="SOA75" s="2198"/>
      <c r="SOB75" s="2198"/>
      <c r="SOC75" s="2198"/>
      <c r="SOD75" s="2198"/>
      <c r="SOE75" s="2198"/>
      <c r="SOF75" s="2198"/>
      <c r="SOG75" s="2198"/>
      <c r="SOH75" s="2198"/>
      <c r="SOI75" s="2198"/>
      <c r="SOJ75" s="2198"/>
      <c r="SOK75" s="2198"/>
      <c r="SOL75" s="2198"/>
      <c r="SOM75" s="2198"/>
      <c r="SON75" s="2198"/>
      <c r="SOO75" s="2198"/>
      <c r="SOP75" s="2198"/>
      <c r="SOQ75" s="2198"/>
      <c r="SOR75" s="2198"/>
      <c r="SOS75" s="2198"/>
      <c r="SOT75" s="2198"/>
      <c r="SOU75" s="2198"/>
      <c r="SOV75" s="2198"/>
      <c r="SOW75" s="2198"/>
      <c r="SOX75" s="2198"/>
      <c r="SOY75" s="2198"/>
      <c r="SOZ75" s="2198"/>
      <c r="SPA75" s="2198"/>
      <c r="SPB75" s="2198"/>
      <c r="SPC75" s="2198"/>
      <c r="SPD75" s="2198"/>
      <c r="SPE75" s="2198"/>
      <c r="SPF75" s="2198"/>
      <c r="SPG75" s="2198"/>
      <c r="SPH75" s="2198"/>
      <c r="SPI75" s="2198"/>
      <c r="SPJ75" s="2198"/>
      <c r="SPK75" s="2198"/>
      <c r="SPL75" s="2198"/>
      <c r="SPM75" s="2198"/>
      <c r="SPN75" s="2198"/>
      <c r="SPO75" s="2198"/>
      <c r="SPP75" s="2198"/>
      <c r="SPQ75" s="2198"/>
      <c r="SPR75" s="2198"/>
      <c r="SPS75" s="2198"/>
      <c r="SPT75" s="2198"/>
      <c r="SPU75" s="2198"/>
      <c r="SPV75" s="2198"/>
      <c r="SPW75" s="2198"/>
      <c r="SPX75" s="2198"/>
      <c r="SPY75" s="2198"/>
      <c r="SPZ75" s="2198"/>
      <c r="SQA75" s="2198"/>
      <c r="SQB75" s="2198"/>
      <c r="SQC75" s="2198"/>
      <c r="SQD75" s="2198"/>
      <c r="SQE75" s="2198"/>
      <c r="SQF75" s="2198"/>
      <c r="SQG75" s="2198"/>
      <c r="SQH75" s="2198"/>
      <c r="SQI75" s="2198"/>
      <c r="SQJ75" s="2198"/>
      <c r="SQK75" s="2198"/>
      <c r="SQL75" s="2198"/>
      <c r="SQM75" s="2198"/>
      <c r="SQN75" s="2198"/>
      <c r="SQO75" s="2198"/>
      <c r="SQP75" s="2198"/>
      <c r="SQQ75" s="2198"/>
      <c r="SQR75" s="2198"/>
      <c r="SQS75" s="2198"/>
      <c r="SQT75" s="2198"/>
      <c r="SQU75" s="2198"/>
      <c r="SQV75" s="2198"/>
      <c r="SQW75" s="2198"/>
      <c r="SQX75" s="2198"/>
      <c r="SQY75" s="2198"/>
      <c r="SQZ75" s="2198"/>
      <c r="SRA75" s="2198"/>
      <c r="SRB75" s="2198"/>
      <c r="SRC75" s="2198"/>
      <c r="SRD75" s="2198"/>
      <c r="SRE75" s="2198"/>
      <c r="SRF75" s="2198"/>
      <c r="SRG75" s="2198"/>
      <c r="SRH75" s="2198"/>
      <c r="SRI75" s="2198"/>
      <c r="SRJ75" s="2198"/>
      <c r="SRK75" s="2198"/>
      <c r="SRL75" s="2198"/>
      <c r="SRM75" s="2198"/>
      <c r="SRN75" s="2198"/>
      <c r="SRO75" s="2198"/>
      <c r="SRP75" s="2198"/>
      <c r="SRQ75" s="2198"/>
      <c r="SRR75" s="2198"/>
      <c r="SRS75" s="2198"/>
      <c r="SRT75" s="2198"/>
      <c r="SRU75" s="2198"/>
      <c r="SRV75" s="2198"/>
      <c r="SRW75" s="2198"/>
      <c r="SRX75" s="2198"/>
      <c r="SRY75" s="2198"/>
      <c r="SRZ75" s="2198"/>
      <c r="SSA75" s="2198"/>
      <c r="SSB75" s="2198"/>
      <c r="SSC75" s="2198"/>
      <c r="SSD75" s="2198"/>
      <c r="SSE75" s="2198"/>
      <c r="SSF75" s="2198"/>
      <c r="SSG75" s="2198"/>
      <c r="SSH75" s="2198"/>
      <c r="SSI75" s="2198"/>
      <c r="SSJ75" s="2198"/>
      <c r="SSK75" s="2198"/>
      <c r="SSL75" s="2198"/>
      <c r="SSM75" s="2198"/>
      <c r="SSN75" s="2198"/>
      <c r="SSO75" s="2198"/>
      <c r="SSP75" s="2198"/>
      <c r="SSQ75" s="2198"/>
      <c r="SSR75" s="2198"/>
      <c r="SSS75" s="2198"/>
      <c r="SST75" s="2198"/>
      <c r="SSU75" s="2198"/>
      <c r="SSV75" s="2198"/>
      <c r="SSW75" s="2198"/>
      <c r="SSX75" s="2198"/>
      <c r="SSY75" s="2198"/>
      <c r="SSZ75" s="2198"/>
      <c r="STA75" s="2198"/>
      <c r="STB75" s="2198"/>
      <c r="STC75" s="2198"/>
      <c r="STD75" s="2198"/>
      <c r="STE75" s="2198"/>
      <c r="STF75" s="2198"/>
      <c r="STG75" s="2198"/>
      <c r="STH75" s="2198"/>
      <c r="STI75" s="2198"/>
      <c r="STJ75" s="2198"/>
      <c r="STK75" s="2198"/>
      <c r="STL75" s="2198"/>
      <c r="STM75" s="2198"/>
      <c r="STN75" s="2198"/>
      <c r="STO75" s="2198"/>
      <c r="STP75" s="2198"/>
      <c r="STQ75" s="2198"/>
      <c r="STR75" s="2198"/>
      <c r="STS75" s="2198"/>
      <c r="STT75" s="2198"/>
      <c r="STU75" s="2198"/>
      <c r="STV75" s="2198"/>
      <c r="STW75" s="2198"/>
      <c r="STX75" s="2198"/>
      <c r="STY75" s="2198"/>
      <c r="STZ75" s="2198"/>
      <c r="SUA75" s="2198"/>
      <c r="SUB75" s="2198"/>
      <c r="SUC75" s="2198"/>
      <c r="SUD75" s="2198"/>
      <c r="SUE75" s="2198"/>
      <c r="SUF75" s="2198"/>
      <c r="SUG75" s="2198"/>
      <c r="SUH75" s="2198"/>
      <c r="SUI75" s="2198"/>
      <c r="SUJ75" s="2198"/>
      <c r="SUK75" s="2198"/>
      <c r="SUL75" s="2198"/>
      <c r="SUM75" s="2198"/>
      <c r="SUN75" s="2198"/>
      <c r="SUO75" s="2198"/>
      <c r="SUP75" s="2198"/>
      <c r="SUQ75" s="2198"/>
      <c r="SUR75" s="2198"/>
      <c r="SUS75" s="2198"/>
      <c r="SUT75" s="2198"/>
      <c r="SUU75" s="2198"/>
      <c r="SUV75" s="2198"/>
      <c r="SUW75" s="2198"/>
      <c r="SUX75" s="2198"/>
      <c r="SUY75" s="2198"/>
      <c r="SUZ75" s="2198"/>
      <c r="SVA75" s="2198"/>
      <c r="SVB75" s="2198"/>
      <c r="SVC75" s="2198"/>
      <c r="SVD75" s="2198"/>
      <c r="SVE75" s="2198"/>
      <c r="SVF75" s="2198"/>
      <c r="SVG75" s="2198"/>
      <c r="SVH75" s="2198"/>
      <c r="SVI75" s="2198"/>
      <c r="SVJ75" s="2198"/>
      <c r="SVK75" s="2198"/>
      <c r="SVL75" s="2198"/>
      <c r="SVM75" s="2198"/>
      <c r="SVN75" s="2198"/>
      <c r="SVO75" s="2198"/>
      <c r="SVP75" s="2198"/>
      <c r="SVQ75" s="2198"/>
      <c r="SVR75" s="2198"/>
      <c r="SVS75" s="2198"/>
      <c r="SVT75" s="2198"/>
      <c r="SVU75" s="2198"/>
      <c r="SVV75" s="2198"/>
      <c r="SVW75" s="2198"/>
      <c r="SVX75" s="2198"/>
      <c r="SVY75" s="2198"/>
      <c r="SVZ75" s="2198"/>
      <c r="SWA75" s="2198"/>
      <c r="SWB75" s="2198"/>
      <c r="SWC75" s="2198"/>
      <c r="SWD75" s="2198"/>
      <c r="SWE75" s="2198"/>
      <c r="SWF75" s="2198"/>
      <c r="SWG75" s="2198"/>
      <c r="SWH75" s="2198"/>
      <c r="SWI75" s="2198"/>
      <c r="SWJ75" s="2198"/>
      <c r="SWK75" s="2198"/>
      <c r="SWL75" s="2198"/>
      <c r="SWM75" s="2198"/>
      <c r="SWN75" s="2198"/>
      <c r="SWO75" s="2198"/>
      <c r="SWP75" s="2198"/>
      <c r="SWQ75" s="2198"/>
      <c r="SWR75" s="2198"/>
      <c r="SWS75" s="2198"/>
      <c r="SWT75" s="2198"/>
      <c r="SWU75" s="2198"/>
      <c r="SWV75" s="2198"/>
      <c r="SWW75" s="2198"/>
      <c r="SWX75" s="2198"/>
      <c r="SWY75" s="2198"/>
      <c r="SWZ75" s="2198"/>
      <c r="SXA75" s="2198"/>
      <c r="SXB75" s="2198"/>
      <c r="SXC75" s="2198"/>
      <c r="SXD75" s="2198"/>
      <c r="SXE75" s="2198"/>
      <c r="SXF75" s="2198"/>
      <c r="SXG75" s="2198"/>
      <c r="SXH75" s="2198"/>
      <c r="SXI75" s="2198"/>
      <c r="SXJ75" s="2198"/>
      <c r="SXK75" s="2198"/>
      <c r="SXL75" s="2198"/>
      <c r="SXM75" s="2198"/>
      <c r="SXN75" s="2198"/>
      <c r="SXO75" s="2198"/>
      <c r="SXP75" s="2198"/>
      <c r="SXQ75" s="2198"/>
      <c r="SXR75" s="2198"/>
      <c r="SXS75" s="2198"/>
      <c r="SXT75" s="2198"/>
      <c r="SXU75" s="2198"/>
      <c r="SXV75" s="2198"/>
      <c r="SXW75" s="2198"/>
      <c r="SXX75" s="2198"/>
      <c r="SXY75" s="2198"/>
      <c r="SXZ75" s="2198"/>
      <c r="SYA75" s="2198"/>
      <c r="SYB75" s="2198"/>
      <c r="SYC75" s="2198"/>
      <c r="SYD75" s="2198"/>
      <c r="SYE75" s="2198"/>
      <c r="SYF75" s="2198"/>
      <c r="SYG75" s="2198"/>
      <c r="SYH75" s="2198"/>
      <c r="SYI75" s="2198"/>
      <c r="SYJ75" s="2198"/>
      <c r="SYK75" s="2198"/>
      <c r="SYL75" s="2198"/>
      <c r="SYM75" s="2198"/>
      <c r="SYN75" s="2198"/>
      <c r="SYO75" s="2198"/>
      <c r="SYP75" s="2198"/>
      <c r="SYQ75" s="2198"/>
      <c r="SYR75" s="2198"/>
      <c r="SYS75" s="2198"/>
      <c r="SYT75" s="2198"/>
      <c r="SYU75" s="2198"/>
      <c r="SYV75" s="2198"/>
      <c r="SYW75" s="2198"/>
      <c r="SYX75" s="2198"/>
      <c r="SYY75" s="2198"/>
      <c r="SYZ75" s="2198"/>
      <c r="SZA75" s="2198"/>
      <c r="SZB75" s="2198"/>
      <c r="SZC75" s="2198"/>
      <c r="SZD75" s="2198"/>
      <c r="SZE75" s="2198"/>
      <c r="SZF75" s="2198"/>
      <c r="SZG75" s="2198"/>
      <c r="SZH75" s="2198"/>
      <c r="SZI75" s="2198"/>
      <c r="SZJ75" s="2198"/>
      <c r="SZK75" s="2198"/>
      <c r="SZL75" s="2198"/>
      <c r="SZM75" s="2198"/>
      <c r="SZN75" s="2198"/>
      <c r="SZO75" s="2198"/>
      <c r="SZP75" s="2198"/>
      <c r="SZQ75" s="2198"/>
      <c r="SZR75" s="2198"/>
      <c r="SZS75" s="2198"/>
      <c r="SZT75" s="2198"/>
      <c r="SZU75" s="2198"/>
      <c r="SZV75" s="2198"/>
      <c r="SZW75" s="2198"/>
      <c r="SZX75" s="2198"/>
      <c r="SZY75" s="2198"/>
      <c r="SZZ75" s="2198"/>
      <c r="TAA75" s="2198"/>
      <c r="TAB75" s="2198"/>
      <c r="TAC75" s="2198"/>
      <c r="TAD75" s="2198"/>
      <c r="TAE75" s="2198"/>
      <c r="TAF75" s="2198"/>
      <c r="TAG75" s="2198"/>
      <c r="TAH75" s="2198"/>
      <c r="TAI75" s="2198"/>
      <c r="TAJ75" s="2198"/>
      <c r="TAK75" s="2198"/>
      <c r="TAL75" s="2198"/>
      <c r="TAM75" s="2198"/>
      <c r="TAN75" s="2198"/>
      <c r="TAO75" s="2198"/>
      <c r="TAP75" s="2198"/>
      <c r="TAQ75" s="2198"/>
      <c r="TAR75" s="2198"/>
      <c r="TAS75" s="2198"/>
      <c r="TAT75" s="2198"/>
      <c r="TAU75" s="2198"/>
      <c r="TAV75" s="2198"/>
      <c r="TAW75" s="2198"/>
      <c r="TAX75" s="2198"/>
      <c r="TAY75" s="2198"/>
      <c r="TAZ75" s="2198"/>
      <c r="TBA75" s="2198"/>
      <c r="TBB75" s="2198"/>
      <c r="TBC75" s="2198"/>
      <c r="TBD75" s="2198"/>
      <c r="TBE75" s="2198"/>
      <c r="TBF75" s="2198"/>
      <c r="TBG75" s="2198"/>
      <c r="TBH75" s="2198"/>
      <c r="TBI75" s="2198"/>
      <c r="TBJ75" s="2198"/>
      <c r="TBK75" s="2198"/>
      <c r="TBL75" s="2198"/>
      <c r="TBM75" s="2198"/>
      <c r="TBN75" s="2198"/>
      <c r="TBO75" s="2198"/>
      <c r="TBP75" s="2198"/>
      <c r="TBQ75" s="2198"/>
      <c r="TBR75" s="2198"/>
      <c r="TBS75" s="2198"/>
      <c r="TBT75" s="2198"/>
      <c r="TBU75" s="2198"/>
      <c r="TBV75" s="2198"/>
      <c r="TBW75" s="2198"/>
      <c r="TBX75" s="2198"/>
      <c r="TBY75" s="2198"/>
      <c r="TBZ75" s="2198"/>
      <c r="TCA75" s="2198"/>
      <c r="TCB75" s="2198"/>
      <c r="TCC75" s="2198"/>
      <c r="TCD75" s="2198"/>
      <c r="TCE75" s="2198"/>
      <c r="TCF75" s="2198"/>
      <c r="TCG75" s="2198"/>
      <c r="TCH75" s="2198"/>
      <c r="TCI75" s="2198"/>
      <c r="TCJ75" s="2198"/>
      <c r="TCK75" s="2198"/>
      <c r="TCL75" s="2198"/>
      <c r="TCM75" s="2198"/>
      <c r="TCN75" s="2198"/>
      <c r="TCO75" s="2198"/>
      <c r="TCP75" s="2198"/>
      <c r="TCQ75" s="2198"/>
      <c r="TCR75" s="2198"/>
      <c r="TCS75" s="2198"/>
      <c r="TCT75" s="2198"/>
      <c r="TCU75" s="2198"/>
      <c r="TCV75" s="2198"/>
      <c r="TCW75" s="2198"/>
      <c r="TCX75" s="2198"/>
      <c r="TCY75" s="2198"/>
      <c r="TCZ75" s="2198"/>
      <c r="TDA75" s="2198"/>
      <c r="TDB75" s="2198"/>
      <c r="TDC75" s="2198"/>
      <c r="TDD75" s="2198"/>
      <c r="TDE75" s="2198"/>
      <c r="TDF75" s="2198"/>
      <c r="TDG75" s="2198"/>
      <c r="TDH75" s="2198"/>
      <c r="TDI75" s="2198"/>
      <c r="TDJ75" s="2198"/>
      <c r="TDK75" s="2198"/>
      <c r="TDL75" s="2198"/>
      <c r="TDM75" s="2198"/>
      <c r="TDN75" s="2198"/>
      <c r="TDO75" s="2198"/>
      <c r="TDP75" s="2198"/>
      <c r="TDQ75" s="2198"/>
      <c r="TDR75" s="2198"/>
      <c r="TDS75" s="2198"/>
      <c r="TDT75" s="2198"/>
      <c r="TDU75" s="2198"/>
      <c r="TDV75" s="2198"/>
      <c r="TDW75" s="2198"/>
      <c r="TDX75" s="2198"/>
      <c r="TDY75" s="2198"/>
      <c r="TDZ75" s="2198"/>
      <c r="TEA75" s="2198"/>
      <c r="TEB75" s="2198"/>
      <c r="TEC75" s="2198"/>
      <c r="TED75" s="2198"/>
      <c r="TEE75" s="2198"/>
      <c r="TEF75" s="2198"/>
      <c r="TEG75" s="2198"/>
      <c r="TEH75" s="2198"/>
      <c r="TEI75" s="2198"/>
      <c r="TEJ75" s="2198"/>
      <c r="TEK75" s="2198"/>
      <c r="TEL75" s="2198"/>
      <c r="TEM75" s="2198"/>
      <c r="TEN75" s="2198"/>
      <c r="TEO75" s="2198"/>
      <c r="TEP75" s="2198"/>
      <c r="TEQ75" s="2198"/>
      <c r="TER75" s="2198"/>
      <c r="TES75" s="2198"/>
      <c r="TET75" s="2198"/>
      <c r="TEU75" s="2198"/>
      <c r="TEV75" s="2198"/>
      <c r="TEW75" s="2198"/>
      <c r="TEX75" s="2198"/>
      <c r="TEY75" s="2198"/>
      <c r="TEZ75" s="2198"/>
      <c r="TFA75" s="2198"/>
      <c r="TFB75" s="2198"/>
      <c r="TFC75" s="2198"/>
      <c r="TFD75" s="2198"/>
      <c r="TFE75" s="2198"/>
      <c r="TFF75" s="2198"/>
      <c r="TFG75" s="2198"/>
      <c r="TFH75" s="2198"/>
      <c r="TFI75" s="2198"/>
      <c r="TFJ75" s="2198"/>
      <c r="TFK75" s="2198"/>
      <c r="TFL75" s="2198"/>
      <c r="TFM75" s="2198"/>
      <c r="TFN75" s="2198"/>
      <c r="TFO75" s="2198"/>
      <c r="TFP75" s="2198"/>
      <c r="TFQ75" s="2198"/>
      <c r="TFR75" s="2198"/>
      <c r="TFS75" s="2198"/>
      <c r="TFT75" s="2198"/>
      <c r="TFU75" s="2198"/>
      <c r="TFV75" s="2198"/>
      <c r="TFW75" s="2198"/>
      <c r="TFX75" s="2198"/>
      <c r="TFY75" s="2198"/>
      <c r="TFZ75" s="2198"/>
      <c r="TGA75" s="2198"/>
      <c r="TGB75" s="2198"/>
      <c r="TGC75" s="2198"/>
      <c r="TGD75" s="2198"/>
      <c r="TGE75" s="2198"/>
      <c r="TGF75" s="2198"/>
      <c r="TGG75" s="2198"/>
      <c r="TGH75" s="2198"/>
      <c r="TGI75" s="2198"/>
      <c r="TGJ75" s="2198"/>
      <c r="TGK75" s="2198"/>
      <c r="TGL75" s="2198"/>
      <c r="TGM75" s="2198"/>
      <c r="TGN75" s="2198"/>
      <c r="TGO75" s="2198"/>
      <c r="TGP75" s="2198"/>
      <c r="TGQ75" s="2198"/>
      <c r="TGR75" s="2198"/>
      <c r="TGS75" s="2198"/>
      <c r="TGT75" s="2198"/>
      <c r="TGU75" s="2198"/>
      <c r="TGV75" s="2198"/>
      <c r="TGW75" s="2198"/>
      <c r="TGX75" s="2198"/>
      <c r="TGY75" s="2198"/>
      <c r="TGZ75" s="2198"/>
      <c r="THA75" s="2198"/>
      <c r="THB75" s="2198"/>
      <c r="THC75" s="2198"/>
      <c r="THD75" s="2198"/>
      <c r="THE75" s="2198"/>
      <c r="THF75" s="2198"/>
      <c r="THG75" s="2198"/>
      <c r="THH75" s="2198"/>
      <c r="THI75" s="2198"/>
      <c r="THJ75" s="2198"/>
      <c r="THK75" s="2198"/>
      <c r="THL75" s="2198"/>
      <c r="THM75" s="2198"/>
      <c r="THN75" s="2198"/>
      <c r="THO75" s="2198"/>
      <c r="THP75" s="2198"/>
      <c r="THQ75" s="2198"/>
      <c r="THR75" s="2198"/>
      <c r="THS75" s="2198"/>
      <c r="THT75" s="2198"/>
      <c r="THU75" s="2198"/>
      <c r="THV75" s="2198"/>
      <c r="THW75" s="2198"/>
      <c r="THX75" s="2198"/>
      <c r="THY75" s="2198"/>
      <c r="THZ75" s="2198"/>
      <c r="TIA75" s="2198"/>
      <c r="TIB75" s="2198"/>
      <c r="TIC75" s="2198"/>
      <c r="TID75" s="2198"/>
      <c r="TIE75" s="2198"/>
      <c r="TIF75" s="2198"/>
      <c r="TIG75" s="2198"/>
      <c r="TIH75" s="2198"/>
      <c r="TII75" s="2198"/>
      <c r="TIJ75" s="2198"/>
      <c r="TIK75" s="2198"/>
      <c r="TIL75" s="2198"/>
      <c r="TIM75" s="2198"/>
      <c r="TIN75" s="2198"/>
      <c r="TIO75" s="2198"/>
      <c r="TIP75" s="2198"/>
      <c r="TIQ75" s="2198"/>
      <c r="TIR75" s="2198"/>
      <c r="TIS75" s="2198"/>
      <c r="TIT75" s="2198"/>
      <c r="TIU75" s="2198"/>
      <c r="TIV75" s="2198"/>
      <c r="TIW75" s="2198"/>
      <c r="TIX75" s="2198"/>
      <c r="TIY75" s="2198"/>
      <c r="TIZ75" s="2198"/>
      <c r="TJA75" s="2198"/>
      <c r="TJB75" s="2198"/>
      <c r="TJC75" s="2198"/>
      <c r="TJD75" s="2198"/>
      <c r="TJE75" s="2198"/>
      <c r="TJF75" s="2198"/>
      <c r="TJG75" s="2198"/>
      <c r="TJH75" s="2198"/>
      <c r="TJI75" s="2198"/>
      <c r="TJJ75" s="2198"/>
      <c r="TJK75" s="2198"/>
      <c r="TJL75" s="2198"/>
      <c r="TJM75" s="2198"/>
      <c r="TJN75" s="2198"/>
      <c r="TJO75" s="2198"/>
      <c r="TJP75" s="2198"/>
      <c r="TJQ75" s="2198"/>
      <c r="TJR75" s="2198"/>
      <c r="TJS75" s="2198"/>
      <c r="TJT75" s="2198"/>
      <c r="TJU75" s="2198"/>
      <c r="TJV75" s="2198"/>
      <c r="TJW75" s="2198"/>
      <c r="TJX75" s="2198"/>
      <c r="TJY75" s="2198"/>
      <c r="TJZ75" s="2198"/>
      <c r="TKA75" s="2198"/>
      <c r="TKB75" s="2198"/>
      <c r="TKC75" s="2198"/>
      <c r="TKD75" s="2198"/>
      <c r="TKE75" s="2198"/>
      <c r="TKF75" s="2198"/>
      <c r="TKG75" s="2198"/>
      <c r="TKH75" s="2198"/>
      <c r="TKI75" s="2198"/>
      <c r="TKJ75" s="2198"/>
      <c r="TKK75" s="2198"/>
      <c r="TKL75" s="2198"/>
      <c r="TKM75" s="2198"/>
      <c r="TKN75" s="2198"/>
      <c r="TKO75" s="2198"/>
      <c r="TKP75" s="2198"/>
      <c r="TKQ75" s="2198"/>
      <c r="TKR75" s="2198"/>
      <c r="TKS75" s="2198"/>
      <c r="TKT75" s="2198"/>
      <c r="TKU75" s="2198"/>
      <c r="TKV75" s="2198"/>
      <c r="TKW75" s="2198"/>
      <c r="TKX75" s="2198"/>
      <c r="TKY75" s="2198"/>
      <c r="TKZ75" s="2198"/>
      <c r="TLA75" s="2198"/>
      <c r="TLB75" s="2198"/>
      <c r="TLC75" s="2198"/>
      <c r="TLD75" s="2198"/>
      <c r="TLE75" s="2198"/>
      <c r="TLF75" s="2198"/>
      <c r="TLG75" s="2198"/>
      <c r="TLH75" s="2198"/>
      <c r="TLI75" s="2198"/>
      <c r="TLJ75" s="2198"/>
      <c r="TLK75" s="2198"/>
      <c r="TLL75" s="2198"/>
      <c r="TLM75" s="2198"/>
      <c r="TLN75" s="2198"/>
      <c r="TLO75" s="2198"/>
      <c r="TLP75" s="2198"/>
      <c r="TLQ75" s="2198"/>
      <c r="TLR75" s="2198"/>
      <c r="TLS75" s="2198"/>
      <c r="TLT75" s="2198"/>
      <c r="TLU75" s="2198"/>
      <c r="TLV75" s="2198"/>
      <c r="TLW75" s="2198"/>
      <c r="TLX75" s="2198"/>
      <c r="TLY75" s="2198"/>
      <c r="TLZ75" s="2198"/>
      <c r="TMA75" s="2198"/>
      <c r="TMB75" s="2198"/>
      <c r="TMC75" s="2198"/>
      <c r="TMD75" s="2198"/>
      <c r="TME75" s="2198"/>
      <c r="TMF75" s="2198"/>
      <c r="TMG75" s="2198"/>
      <c r="TMH75" s="2198"/>
      <c r="TMI75" s="2198"/>
      <c r="TMJ75" s="2198"/>
      <c r="TMK75" s="2198"/>
      <c r="TML75" s="2198"/>
      <c r="TMM75" s="2198"/>
      <c r="TMN75" s="2198"/>
      <c r="TMO75" s="2198"/>
      <c r="TMP75" s="2198"/>
      <c r="TMQ75" s="2198"/>
      <c r="TMR75" s="2198"/>
      <c r="TMS75" s="2198"/>
      <c r="TMT75" s="2198"/>
      <c r="TMU75" s="2198"/>
      <c r="TMV75" s="2198"/>
      <c r="TMW75" s="2198"/>
      <c r="TMX75" s="2198"/>
      <c r="TMY75" s="2198"/>
      <c r="TMZ75" s="2198"/>
      <c r="TNA75" s="2198"/>
      <c r="TNB75" s="2198"/>
      <c r="TNC75" s="2198"/>
      <c r="TND75" s="2198"/>
      <c r="TNE75" s="2198"/>
      <c r="TNF75" s="2198"/>
      <c r="TNG75" s="2198"/>
      <c r="TNH75" s="2198"/>
      <c r="TNI75" s="2198"/>
      <c r="TNJ75" s="2198"/>
      <c r="TNK75" s="2198"/>
      <c r="TNL75" s="2198"/>
      <c r="TNM75" s="2198"/>
      <c r="TNN75" s="2198"/>
      <c r="TNO75" s="2198"/>
      <c r="TNP75" s="2198"/>
      <c r="TNQ75" s="2198"/>
      <c r="TNR75" s="2198"/>
      <c r="TNS75" s="2198"/>
      <c r="TNT75" s="2198"/>
      <c r="TNU75" s="2198"/>
      <c r="TNV75" s="2198"/>
      <c r="TNW75" s="2198"/>
      <c r="TNX75" s="2198"/>
      <c r="TNY75" s="2198"/>
      <c r="TNZ75" s="2198"/>
      <c r="TOA75" s="2198"/>
      <c r="TOB75" s="2198"/>
      <c r="TOC75" s="2198"/>
      <c r="TOD75" s="2198"/>
      <c r="TOE75" s="2198"/>
      <c r="TOF75" s="2198"/>
      <c r="TOG75" s="2198"/>
      <c r="TOH75" s="2198"/>
      <c r="TOI75" s="2198"/>
      <c r="TOJ75" s="2198"/>
      <c r="TOK75" s="2198"/>
      <c r="TOL75" s="2198"/>
      <c r="TOM75" s="2198"/>
      <c r="TON75" s="2198"/>
      <c r="TOO75" s="2198"/>
      <c r="TOP75" s="2198"/>
      <c r="TOQ75" s="2198"/>
      <c r="TOR75" s="2198"/>
      <c r="TOS75" s="2198"/>
      <c r="TOT75" s="2198"/>
      <c r="TOU75" s="2198"/>
      <c r="TOV75" s="2198"/>
      <c r="TOW75" s="2198"/>
      <c r="TOX75" s="2198"/>
      <c r="TOY75" s="2198"/>
      <c r="TOZ75" s="2198"/>
      <c r="TPA75" s="2198"/>
      <c r="TPB75" s="2198"/>
      <c r="TPC75" s="2198"/>
      <c r="TPD75" s="2198"/>
      <c r="TPE75" s="2198"/>
      <c r="TPF75" s="2198"/>
      <c r="TPG75" s="2198"/>
      <c r="TPH75" s="2198"/>
      <c r="TPI75" s="2198"/>
      <c r="TPJ75" s="2198"/>
      <c r="TPK75" s="2198"/>
      <c r="TPL75" s="2198"/>
      <c r="TPM75" s="2198"/>
      <c r="TPN75" s="2198"/>
      <c r="TPO75" s="2198"/>
      <c r="TPP75" s="2198"/>
      <c r="TPQ75" s="2198"/>
      <c r="TPR75" s="2198"/>
      <c r="TPS75" s="2198"/>
      <c r="TPT75" s="2198"/>
      <c r="TPU75" s="2198"/>
      <c r="TPV75" s="2198"/>
      <c r="TPW75" s="2198"/>
      <c r="TPX75" s="2198"/>
      <c r="TPY75" s="2198"/>
      <c r="TPZ75" s="2198"/>
      <c r="TQA75" s="2198"/>
      <c r="TQB75" s="2198"/>
      <c r="TQC75" s="2198"/>
      <c r="TQD75" s="2198"/>
      <c r="TQE75" s="2198"/>
      <c r="TQF75" s="2198"/>
      <c r="TQG75" s="2198"/>
      <c r="TQH75" s="2198"/>
      <c r="TQI75" s="2198"/>
      <c r="TQJ75" s="2198"/>
      <c r="TQK75" s="2198"/>
      <c r="TQL75" s="2198"/>
      <c r="TQM75" s="2198"/>
      <c r="TQN75" s="2198"/>
      <c r="TQO75" s="2198"/>
      <c r="TQP75" s="2198"/>
      <c r="TQQ75" s="2198"/>
      <c r="TQR75" s="2198"/>
      <c r="TQS75" s="2198"/>
      <c r="TQT75" s="2198"/>
      <c r="TQU75" s="2198"/>
      <c r="TQV75" s="2198"/>
      <c r="TQW75" s="2198"/>
      <c r="TQX75" s="2198"/>
      <c r="TQY75" s="2198"/>
      <c r="TQZ75" s="2198"/>
      <c r="TRA75" s="2198"/>
      <c r="TRB75" s="2198"/>
      <c r="TRC75" s="2198"/>
      <c r="TRD75" s="2198"/>
      <c r="TRE75" s="2198"/>
      <c r="TRF75" s="2198"/>
      <c r="TRG75" s="2198"/>
      <c r="TRH75" s="2198"/>
      <c r="TRI75" s="2198"/>
      <c r="TRJ75" s="2198"/>
      <c r="TRK75" s="2198"/>
      <c r="TRL75" s="2198"/>
      <c r="TRM75" s="2198"/>
      <c r="TRN75" s="2198"/>
      <c r="TRO75" s="2198"/>
      <c r="TRP75" s="2198"/>
      <c r="TRQ75" s="2198"/>
      <c r="TRR75" s="2198"/>
      <c r="TRS75" s="2198"/>
      <c r="TRT75" s="2198"/>
      <c r="TRU75" s="2198"/>
      <c r="TRV75" s="2198"/>
      <c r="TRW75" s="2198"/>
      <c r="TRX75" s="2198"/>
      <c r="TRY75" s="2198"/>
      <c r="TRZ75" s="2198"/>
      <c r="TSA75" s="2198"/>
      <c r="TSB75" s="2198"/>
      <c r="TSC75" s="2198"/>
      <c r="TSD75" s="2198"/>
      <c r="TSE75" s="2198"/>
      <c r="TSF75" s="2198"/>
      <c r="TSG75" s="2198"/>
      <c r="TSH75" s="2198"/>
      <c r="TSI75" s="2198"/>
      <c r="TSJ75" s="2198"/>
      <c r="TSK75" s="2198"/>
      <c r="TSL75" s="2198"/>
      <c r="TSM75" s="2198"/>
      <c r="TSN75" s="2198"/>
      <c r="TSO75" s="2198"/>
      <c r="TSP75" s="2198"/>
      <c r="TSQ75" s="2198"/>
      <c r="TSR75" s="2198"/>
      <c r="TSS75" s="2198"/>
      <c r="TST75" s="2198"/>
      <c r="TSU75" s="2198"/>
      <c r="TSV75" s="2198"/>
      <c r="TSW75" s="2198"/>
      <c r="TSX75" s="2198"/>
      <c r="TSY75" s="2198"/>
      <c r="TSZ75" s="2198"/>
      <c r="TTA75" s="2198"/>
      <c r="TTB75" s="2198"/>
      <c r="TTC75" s="2198"/>
      <c r="TTD75" s="2198"/>
      <c r="TTE75" s="2198"/>
      <c r="TTF75" s="2198"/>
      <c r="TTG75" s="2198"/>
      <c r="TTH75" s="2198"/>
      <c r="TTI75" s="2198"/>
      <c r="TTJ75" s="2198"/>
      <c r="TTK75" s="2198"/>
      <c r="TTL75" s="2198"/>
      <c r="TTM75" s="2198"/>
      <c r="TTN75" s="2198"/>
      <c r="TTO75" s="2198"/>
      <c r="TTP75" s="2198"/>
      <c r="TTQ75" s="2198"/>
      <c r="TTR75" s="2198"/>
      <c r="TTS75" s="2198"/>
      <c r="TTT75" s="2198"/>
      <c r="TTU75" s="2198"/>
      <c r="TTV75" s="2198"/>
      <c r="TTW75" s="2198"/>
      <c r="TTX75" s="2198"/>
      <c r="TTY75" s="2198"/>
      <c r="TTZ75" s="2198"/>
      <c r="TUA75" s="2198"/>
      <c r="TUB75" s="2198"/>
      <c r="TUC75" s="2198"/>
      <c r="TUD75" s="2198"/>
      <c r="TUE75" s="2198"/>
      <c r="TUF75" s="2198"/>
      <c r="TUG75" s="2198"/>
      <c r="TUH75" s="2198"/>
      <c r="TUI75" s="2198"/>
      <c r="TUJ75" s="2198"/>
      <c r="TUK75" s="2198"/>
      <c r="TUL75" s="2198"/>
      <c r="TUM75" s="2198"/>
      <c r="TUN75" s="2198"/>
      <c r="TUO75" s="2198"/>
      <c r="TUP75" s="2198"/>
      <c r="TUQ75" s="2198"/>
      <c r="TUR75" s="2198"/>
      <c r="TUS75" s="2198"/>
      <c r="TUT75" s="2198"/>
      <c r="TUU75" s="2198"/>
      <c r="TUV75" s="2198"/>
      <c r="TUW75" s="2198"/>
      <c r="TUX75" s="2198"/>
      <c r="TUY75" s="2198"/>
      <c r="TUZ75" s="2198"/>
      <c r="TVA75" s="2198"/>
      <c r="TVB75" s="2198"/>
      <c r="TVC75" s="2198"/>
      <c r="TVD75" s="2198"/>
      <c r="TVE75" s="2198"/>
      <c r="TVF75" s="2198"/>
      <c r="TVG75" s="2198"/>
      <c r="TVH75" s="2198"/>
      <c r="TVI75" s="2198"/>
      <c r="TVJ75" s="2198"/>
      <c r="TVK75" s="2198"/>
      <c r="TVL75" s="2198"/>
      <c r="TVM75" s="2198"/>
      <c r="TVN75" s="2198"/>
      <c r="TVO75" s="2198"/>
      <c r="TVP75" s="2198"/>
      <c r="TVQ75" s="2198"/>
      <c r="TVR75" s="2198"/>
      <c r="TVS75" s="2198"/>
      <c r="TVT75" s="2198"/>
      <c r="TVU75" s="2198"/>
      <c r="TVV75" s="2198"/>
      <c r="TVW75" s="2198"/>
      <c r="TVX75" s="2198"/>
      <c r="TVY75" s="2198"/>
      <c r="TVZ75" s="2198"/>
      <c r="TWA75" s="2198"/>
      <c r="TWB75" s="2198"/>
      <c r="TWC75" s="2198"/>
      <c r="TWD75" s="2198"/>
      <c r="TWE75" s="2198"/>
      <c r="TWF75" s="2198"/>
      <c r="TWG75" s="2198"/>
      <c r="TWH75" s="2198"/>
      <c r="TWI75" s="2198"/>
      <c r="TWJ75" s="2198"/>
      <c r="TWK75" s="2198"/>
      <c r="TWL75" s="2198"/>
      <c r="TWM75" s="2198"/>
      <c r="TWN75" s="2198"/>
      <c r="TWO75" s="2198"/>
      <c r="TWP75" s="2198"/>
      <c r="TWQ75" s="2198"/>
      <c r="TWR75" s="2198"/>
      <c r="TWS75" s="2198"/>
      <c r="TWT75" s="2198"/>
      <c r="TWU75" s="2198"/>
      <c r="TWV75" s="2198"/>
      <c r="TWW75" s="2198"/>
      <c r="TWX75" s="2198"/>
      <c r="TWY75" s="2198"/>
      <c r="TWZ75" s="2198"/>
      <c r="TXA75" s="2198"/>
      <c r="TXB75" s="2198"/>
      <c r="TXC75" s="2198"/>
      <c r="TXD75" s="2198"/>
      <c r="TXE75" s="2198"/>
      <c r="TXF75" s="2198"/>
      <c r="TXG75" s="2198"/>
      <c r="TXH75" s="2198"/>
      <c r="TXI75" s="2198"/>
      <c r="TXJ75" s="2198"/>
      <c r="TXK75" s="2198"/>
      <c r="TXL75" s="2198"/>
      <c r="TXM75" s="2198"/>
      <c r="TXN75" s="2198"/>
      <c r="TXO75" s="2198"/>
      <c r="TXP75" s="2198"/>
      <c r="TXQ75" s="2198"/>
      <c r="TXR75" s="2198"/>
      <c r="TXS75" s="2198"/>
      <c r="TXT75" s="2198"/>
      <c r="TXU75" s="2198"/>
      <c r="TXV75" s="2198"/>
      <c r="TXW75" s="2198"/>
      <c r="TXX75" s="2198"/>
      <c r="TXY75" s="2198"/>
      <c r="TXZ75" s="2198"/>
      <c r="TYA75" s="2198"/>
      <c r="TYB75" s="2198"/>
      <c r="TYC75" s="2198"/>
      <c r="TYD75" s="2198"/>
      <c r="TYE75" s="2198"/>
      <c r="TYF75" s="2198"/>
      <c r="TYG75" s="2198"/>
      <c r="TYH75" s="2198"/>
      <c r="TYI75" s="2198"/>
      <c r="TYJ75" s="2198"/>
      <c r="TYK75" s="2198"/>
      <c r="TYL75" s="2198"/>
      <c r="TYM75" s="2198"/>
      <c r="TYN75" s="2198"/>
      <c r="TYO75" s="2198"/>
      <c r="TYP75" s="2198"/>
      <c r="TYQ75" s="2198"/>
      <c r="TYR75" s="2198"/>
      <c r="TYS75" s="2198"/>
      <c r="TYT75" s="2198"/>
      <c r="TYU75" s="2198"/>
      <c r="TYV75" s="2198"/>
      <c r="TYW75" s="2198"/>
      <c r="TYX75" s="2198"/>
      <c r="TYY75" s="2198"/>
      <c r="TYZ75" s="2198"/>
      <c r="TZA75" s="2198"/>
      <c r="TZB75" s="2198"/>
      <c r="TZC75" s="2198"/>
      <c r="TZD75" s="2198"/>
      <c r="TZE75" s="2198"/>
      <c r="TZF75" s="2198"/>
      <c r="TZG75" s="2198"/>
      <c r="TZH75" s="2198"/>
      <c r="TZI75" s="2198"/>
      <c r="TZJ75" s="2198"/>
      <c r="TZK75" s="2198"/>
      <c r="TZL75" s="2198"/>
      <c r="TZM75" s="2198"/>
      <c r="TZN75" s="2198"/>
      <c r="TZO75" s="2198"/>
      <c r="TZP75" s="2198"/>
      <c r="TZQ75" s="2198"/>
      <c r="TZR75" s="2198"/>
      <c r="TZS75" s="2198"/>
      <c r="TZT75" s="2198"/>
      <c r="TZU75" s="2198"/>
      <c r="TZV75" s="2198"/>
      <c r="TZW75" s="2198"/>
      <c r="TZX75" s="2198"/>
      <c r="TZY75" s="2198"/>
      <c r="TZZ75" s="2198"/>
      <c r="UAA75" s="2198"/>
      <c r="UAB75" s="2198"/>
      <c r="UAC75" s="2198"/>
      <c r="UAD75" s="2198"/>
      <c r="UAE75" s="2198"/>
      <c r="UAF75" s="2198"/>
      <c r="UAG75" s="2198"/>
      <c r="UAH75" s="2198"/>
      <c r="UAI75" s="2198"/>
      <c r="UAJ75" s="2198"/>
      <c r="UAK75" s="2198"/>
      <c r="UAL75" s="2198"/>
      <c r="UAM75" s="2198"/>
      <c r="UAN75" s="2198"/>
      <c r="UAO75" s="2198"/>
      <c r="UAP75" s="2198"/>
      <c r="UAQ75" s="2198"/>
      <c r="UAR75" s="2198"/>
      <c r="UAS75" s="2198"/>
      <c r="UAT75" s="2198"/>
      <c r="UAU75" s="2198"/>
      <c r="UAV75" s="2198"/>
      <c r="UAW75" s="2198"/>
      <c r="UAX75" s="2198"/>
      <c r="UAY75" s="2198"/>
      <c r="UAZ75" s="2198"/>
      <c r="UBA75" s="2198"/>
      <c r="UBB75" s="2198"/>
      <c r="UBC75" s="2198"/>
      <c r="UBD75" s="2198"/>
      <c r="UBE75" s="2198"/>
      <c r="UBF75" s="2198"/>
      <c r="UBG75" s="2198"/>
      <c r="UBH75" s="2198"/>
      <c r="UBI75" s="2198"/>
      <c r="UBJ75" s="2198"/>
      <c r="UBK75" s="2198"/>
      <c r="UBL75" s="2198"/>
      <c r="UBM75" s="2198"/>
      <c r="UBN75" s="2198"/>
      <c r="UBO75" s="2198"/>
      <c r="UBP75" s="2198"/>
      <c r="UBQ75" s="2198"/>
      <c r="UBR75" s="2198"/>
      <c r="UBS75" s="2198"/>
      <c r="UBT75" s="2198"/>
      <c r="UBU75" s="2198"/>
      <c r="UBV75" s="2198"/>
      <c r="UBW75" s="2198"/>
      <c r="UBX75" s="2198"/>
      <c r="UBY75" s="2198"/>
      <c r="UBZ75" s="2198"/>
      <c r="UCA75" s="2198"/>
      <c r="UCB75" s="2198"/>
      <c r="UCC75" s="2198"/>
      <c r="UCD75" s="2198"/>
      <c r="UCE75" s="2198"/>
      <c r="UCF75" s="2198"/>
      <c r="UCG75" s="2198"/>
      <c r="UCH75" s="2198"/>
      <c r="UCI75" s="2198"/>
      <c r="UCJ75" s="2198"/>
      <c r="UCK75" s="2198"/>
      <c r="UCL75" s="2198"/>
      <c r="UCM75" s="2198"/>
      <c r="UCN75" s="2198"/>
      <c r="UCO75" s="2198"/>
      <c r="UCP75" s="2198"/>
      <c r="UCQ75" s="2198"/>
      <c r="UCR75" s="2198"/>
      <c r="UCS75" s="2198"/>
      <c r="UCT75" s="2198"/>
      <c r="UCU75" s="2198"/>
      <c r="UCV75" s="2198"/>
      <c r="UCW75" s="2198"/>
      <c r="UCX75" s="2198"/>
      <c r="UCY75" s="2198"/>
      <c r="UCZ75" s="2198"/>
      <c r="UDA75" s="2198"/>
      <c r="UDB75" s="2198"/>
      <c r="UDC75" s="2198"/>
      <c r="UDD75" s="2198"/>
      <c r="UDE75" s="2198"/>
      <c r="UDF75" s="2198"/>
      <c r="UDG75" s="2198"/>
      <c r="UDH75" s="2198"/>
      <c r="UDI75" s="2198"/>
      <c r="UDJ75" s="2198"/>
      <c r="UDK75" s="2198"/>
      <c r="UDL75" s="2198"/>
      <c r="UDM75" s="2198"/>
      <c r="UDN75" s="2198"/>
      <c r="UDO75" s="2198"/>
      <c r="UDP75" s="2198"/>
      <c r="UDQ75" s="2198"/>
      <c r="UDR75" s="2198"/>
      <c r="UDS75" s="2198"/>
      <c r="UDT75" s="2198"/>
      <c r="UDU75" s="2198"/>
      <c r="UDV75" s="2198"/>
      <c r="UDW75" s="2198"/>
      <c r="UDX75" s="2198"/>
      <c r="UDY75" s="2198"/>
      <c r="UDZ75" s="2198"/>
      <c r="UEA75" s="2198"/>
      <c r="UEB75" s="2198"/>
      <c r="UEC75" s="2198"/>
      <c r="UED75" s="2198"/>
      <c r="UEE75" s="2198"/>
      <c r="UEF75" s="2198"/>
      <c r="UEG75" s="2198"/>
      <c r="UEH75" s="2198"/>
      <c r="UEI75" s="2198"/>
      <c r="UEJ75" s="2198"/>
      <c r="UEK75" s="2198"/>
      <c r="UEL75" s="2198"/>
      <c r="UEM75" s="2198"/>
      <c r="UEN75" s="2198"/>
      <c r="UEO75" s="2198"/>
      <c r="UEP75" s="2198"/>
      <c r="UEQ75" s="2198"/>
      <c r="UER75" s="2198"/>
      <c r="UES75" s="2198"/>
      <c r="UET75" s="2198"/>
      <c r="UEU75" s="2198"/>
      <c r="UEV75" s="2198"/>
      <c r="UEW75" s="2198"/>
      <c r="UEX75" s="2198"/>
      <c r="UEY75" s="2198"/>
      <c r="UEZ75" s="2198"/>
      <c r="UFA75" s="2198"/>
      <c r="UFB75" s="2198"/>
      <c r="UFC75" s="2198"/>
      <c r="UFD75" s="2198"/>
      <c r="UFE75" s="2198"/>
      <c r="UFF75" s="2198"/>
      <c r="UFG75" s="2198"/>
      <c r="UFH75" s="2198"/>
      <c r="UFI75" s="2198"/>
      <c r="UFJ75" s="2198"/>
      <c r="UFK75" s="2198"/>
      <c r="UFL75" s="2198"/>
      <c r="UFM75" s="2198"/>
      <c r="UFN75" s="2198"/>
      <c r="UFO75" s="2198"/>
      <c r="UFP75" s="2198"/>
      <c r="UFQ75" s="2198"/>
      <c r="UFR75" s="2198"/>
      <c r="UFS75" s="2198"/>
      <c r="UFT75" s="2198"/>
      <c r="UFU75" s="2198"/>
      <c r="UFV75" s="2198"/>
      <c r="UFW75" s="2198"/>
      <c r="UFX75" s="2198"/>
      <c r="UFY75" s="2198"/>
      <c r="UFZ75" s="2198"/>
      <c r="UGA75" s="2198"/>
      <c r="UGB75" s="2198"/>
      <c r="UGC75" s="2198"/>
      <c r="UGD75" s="2198"/>
      <c r="UGE75" s="2198"/>
      <c r="UGF75" s="2198"/>
      <c r="UGG75" s="2198"/>
      <c r="UGH75" s="2198"/>
      <c r="UGI75" s="2198"/>
      <c r="UGJ75" s="2198"/>
      <c r="UGK75" s="2198"/>
      <c r="UGL75" s="2198"/>
      <c r="UGM75" s="2198"/>
      <c r="UGN75" s="2198"/>
      <c r="UGO75" s="2198"/>
      <c r="UGP75" s="2198"/>
      <c r="UGQ75" s="2198"/>
      <c r="UGR75" s="2198"/>
      <c r="UGS75" s="2198"/>
      <c r="UGT75" s="2198"/>
      <c r="UGU75" s="2198"/>
      <c r="UGV75" s="2198"/>
      <c r="UGW75" s="2198"/>
      <c r="UGX75" s="2198"/>
      <c r="UGY75" s="2198"/>
      <c r="UGZ75" s="2198"/>
      <c r="UHA75" s="2198"/>
      <c r="UHB75" s="2198"/>
      <c r="UHC75" s="2198"/>
      <c r="UHD75" s="2198"/>
      <c r="UHE75" s="2198"/>
      <c r="UHF75" s="2198"/>
      <c r="UHG75" s="2198"/>
      <c r="UHH75" s="2198"/>
      <c r="UHI75" s="2198"/>
      <c r="UHJ75" s="2198"/>
      <c r="UHK75" s="2198"/>
      <c r="UHL75" s="2198"/>
      <c r="UHM75" s="2198"/>
      <c r="UHN75" s="2198"/>
      <c r="UHO75" s="2198"/>
      <c r="UHP75" s="2198"/>
      <c r="UHQ75" s="2198"/>
      <c r="UHR75" s="2198"/>
      <c r="UHS75" s="2198"/>
      <c r="UHT75" s="2198"/>
      <c r="UHU75" s="2198"/>
      <c r="UHV75" s="2198"/>
      <c r="UHW75" s="2198"/>
      <c r="UHX75" s="2198"/>
      <c r="UHY75" s="2198"/>
      <c r="UHZ75" s="2198"/>
      <c r="UIA75" s="2198"/>
      <c r="UIB75" s="2198"/>
      <c r="UIC75" s="2198"/>
      <c r="UID75" s="2198"/>
      <c r="UIE75" s="2198"/>
      <c r="UIF75" s="2198"/>
      <c r="UIG75" s="2198"/>
      <c r="UIH75" s="2198"/>
      <c r="UII75" s="2198"/>
      <c r="UIJ75" s="2198"/>
      <c r="UIK75" s="2198"/>
      <c r="UIL75" s="2198"/>
      <c r="UIM75" s="2198"/>
      <c r="UIN75" s="2198"/>
      <c r="UIO75" s="2198"/>
      <c r="UIP75" s="2198"/>
      <c r="UIQ75" s="2198"/>
      <c r="UIR75" s="2198"/>
      <c r="UIS75" s="2198"/>
      <c r="UIT75" s="2198"/>
      <c r="UIU75" s="2198"/>
      <c r="UIV75" s="2198"/>
      <c r="UIW75" s="2198"/>
      <c r="UIX75" s="2198"/>
      <c r="UIY75" s="2198"/>
      <c r="UIZ75" s="2198"/>
      <c r="UJA75" s="2198"/>
      <c r="UJB75" s="2198"/>
      <c r="UJC75" s="2198"/>
      <c r="UJD75" s="2198"/>
      <c r="UJE75" s="2198"/>
      <c r="UJF75" s="2198"/>
      <c r="UJG75" s="2198"/>
      <c r="UJH75" s="2198"/>
      <c r="UJI75" s="2198"/>
      <c r="UJJ75" s="2198"/>
      <c r="UJK75" s="2198"/>
      <c r="UJL75" s="2198"/>
      <c r="UJM75" s="2198"/>
      <c r="UJN75" s="2198"/>
      <c r="UJO75" s="2198"/>
      <c r="UJP75" s="2198"/>
      <c r="UJQ75" s="2198"/>
      <c r="UJR75" s="2198"/>
      <c r="UJS75" s="2198"/>
      <c r="UJT75" s="2198"/>
      <c r="UJU75" s="2198"/>
      <c r="UJV75" s="2198"/>
      <c r="UJW75" s="2198"/>
      <c r="UJX75" s="2198"/>
      <c r="UJY75" s="2198"/>
      <c r="UJZ75" s="2198"/>
      <c r="UKA75" s="2198"/>
      <c r="UKB75" s="2198"/>
      <c r="UKC75" s="2198"/>
      <c r="UKD75" s="2198"/>
      <c r="UKE75" s="2198"/>
      <c r="UKF75" s="2198"/>
      <c r="UKG75" s="2198"/>
      <c r="UKH75" s="2198"/>
      <c r="UKI75" s="2198"/>
      <c r="UKJ75" s="2198"/>
      <c r="UKK75" s="2198"/>
      <c r="UKL75" s="2198"/>
      <c r="UKM75" s="2198"/>
      <c r="UKN75" s="2198"/>
      <c r="UKO75" s="2198"/>
      <c r="UKP75" s="2198"/>
      <c r="UKQ75" s="2198"/>
      <c r="UKR75" s="2198"/>
      <c r="UKS75" s="2198"/>
      <c r="UKT75" s="2198"/>
      <c r="UKU75" s="2198"/>
      <c r="UKV75" s="2198"/>
      <c r="UKW75" s="2198"/>
      <c r="UKX75" s="2198"/>
      <c r="UKY75" s="2198"/>
      <c r="UKZ75" s="2198"/>
      <c r="ULA75" s="2198"/>
      <c r="ULB75" s="2198"/>
      <c r="ULC75" s="2198"/>
      <c r="ULD75" s="2198"/>
      <c r="ULE75" s="2198"/>
      <c r="ULF75" s="2198"/>
      <c r="ULG75" s="2198"/>
      <c r="ULH75" s="2198"/>
      <c r="ULI75" s="2198"/>
      <c r="ULJ75" s="2198"/>
      <c r="ULK75" s="2198"/>
      <c r="ULL75" s="2198"/>
      <c r="ULM75" s="2198"/>
      <c r="ULN75" s="2198"/>
      <c r="ULO75" s="2198"/>
      <c r="ULP75" s="2198"/>
      <c r="ULQ75" s="2198"/>
      <c r="ULR75" s="2198"/>
      <c r="ULS75" s="2198"/>
      <c r="ULT75" s="2198"/>
      <c r="ULU75" s="2198"/>
      <c r="ULV75" s="2198"/>
      <c r="ULW75" s="2198"/>
      <c r="ULX75" s="2198"/>
      <c r="ULY75" s="2198"/>
      <c r="ULZ75" s="2198"/>
      <c r="UMA75" s="2198"/>
      <c r="UMB75" s="2198"/>
      <c r="UMC75" s="2198"/>
      <c r="UMD75" s="2198"/>
      <c r="UME75" s="2198"/>
      <c r="UMF75" s="2198"/>
      <c r="UMG75" s="2198"/>
      <c r="UMH75" s="2198"/>
      <c r="UMI75" s="2198"/>
      <c r="UMJ75" s="2198"/>
      <c r="UMK75" s="2198"/>
      <c r="UML75" s="2198"/>
      <c r="UMM75" s="2198"/>
      <c r="UMN75" s="2198"/>
      <c r="UMO75" s="2198"/>
      <c r="UMP75" s="2198"/>
      <c r="UMQ75" s="2198"/>
      <c r="UMR75" s="2198"/>
      <c r="UMS75" s="2198"/>
      <c r="UMT75" s="2198"/>
      <c r="UMU75" s="2198"/>
      <c r="UMV75" s="2198"/>
      <c r="UMW75" s="2198"/>
      <c r="UMX75" s="2198"/>
      <c r="UMY75" s="2198"/>
      <c r="UMZ75" s="2198"/>
      <c r="UNA75" s="2198"/>
      <c r="UNB75" s="2198"/>
      <c r="UNC75" s="2198"/>
      <c r="UND75" s="2198"/>
      <c r="UNE75" s="2198"/>
      <c r="UNF75" s="2198"/>
      <c r="UNG75" s="2198"/>
      <c r="UNH75" s="2198"/>
      <c r="UNI75" s="2198"/>
      <c r="UNJ75" s="2198"/>
      <c r="UNK75" s="2198"/>
      <c r="UNL75" s="2198"/>
      <c r="UNM75" s="2198"/>
      <c r="UNN75" s="2198"/>
      <c r="UNO75" s="2198"/>
      <c r="UNP75" s="2198"/>
      <c r="UNQ75" s="2198"/>
      <c r="UNR75" s="2198"/>
      <c r="UNS75" s="2198"/>
      <c r="UNT75" s="2198"/>
      <c r="UNU75" s="2198"/>
      <c r="UNV75" s="2198"/>
      <c r="UNW75" s="2198"/>
      <c r="UNX75" s="2198"/>
      <c r="UNY75" s="2198"/>
      <c r="UNZ75" s="2198"/>
      <c r="UOA75" s="2198"/>
      <c r="UOB75" s="2198"/>
      <c r="UOC75" s="2198"/>
      <c r="UOD75" s="2198"/>
      <c r="UOE75" s="2198"/>
      <c r="UOF75" s="2198"/>
      <c r="UOG75" s="2198"/>
      <c r="UOH75" s="2198"/>
      <c r="UOI75" s="2198"/>
      <c r="UOJ75" s="2198"/>
      <c r="UOK75" s="2198"/>
      <c r="UOL75" s="2198"/>
      <c r="UOM75" s="2198"/>
      <c r="UON75" s="2198"/>
      <c r="UOO75" s="2198"/>
      <c r="UOP75" s="2198"/>
      <c r="UOQ75" s="2198"/>
      <c r="UOR75" s="2198"/>
      <c r="UOS75" s="2198"/>
      <c r="UOT75" s="2198"/>
      <c r="UOU75" s="2198"/>
      <c r="UOV75" s="2198"/>
      <c r="UOW75" s="2198"/>
      <c r="UOX75" s="2198"/>
      <c r="UOY75" s="2198"/>
      <c r="UOZ75" s="2198"/>
      <c r="UPA75" s="2198"/>
      <c r="UPB75" s="2198"/>
      <c r="UPC75" s="2198"/>
      <c r="UPD75" s="2198"/>
      <c r="UPE75" s="2198"/>
      <c r="UPF75" s="2198"/>
      <c r="UPG75" s="2198"/>
      <c r="UPH75" s="2198"/>
      <c r="UPI75" s="2198"/>
      <c r="UPJ75" s="2198"/>
      <c r="UPK75" s="2198"/>
      <c r="UPL75" s="2198"/>
      <c r="UPM75" s="2198"/>
      <c r="UPN75" s="2198"/>
      <c r="UPO75" s="2198"/>
      <c r="UPP75" s="2198"/>
      <c r="UPQ75" s="2198"/>
      <c r="UPR75" s="2198"/>
      <c r="UPS75" s="2198"/>
      <c r="UPT75" s="2198"/>
      <c r="UPU75" s="2198"/>
      <c r="UPV75" s="2198"/>
      <c r="UPW75" s="2198"/>
      <c r="UPX75" s="2198"/>
      <c r="UPY75" s="2198"/>
      <c r="UPZ75" s="2198"/>
      <c r="UQA75" s="2198"/>
      <c r="UQB75" s="2198"/>
      <c r="UQC75" s="2198"/>
      <c r="UQD75" s="2198"/>
      <c r="UQE75" s="2198"/>
      <c r="UQF75" s="2198"/>
      <c r="UQG75" s="2198"/>
      <c r="UQH75" s="2198"/>
      <c r="UQI75" s="2198"/>
      <c r="UQJ75" s="2198"/>
      <c r="UQK75" s="2198"/>
      <c r="UQL75" s="2198"/>
      <c r="UQM75" s="2198"/>
      <c r="UQN75" s="2198"/>
      <c r="UQO75" s="2198"/>
      <c r="UQP75" s="2198"/>
      <c r="UQQ75" s="2198"/>
      <c r="UQR75" s="2198"/>
      <c r="UQS75" s="2198"/>
      <c r="UQT75" s="2198"/>
      <c r="UQU75" s="2198"/>
      <c r="UQV75" s="2198"/>
      <c r="UQW75" s="2198"/>
      <c r="UQX75" s="2198"/>
      <c r="UQY75" s="2198"/>
      <c r="UQZ75" s="2198"/>
      <c r="URA75" s="2198"/>
      <c r="URB75" s="2198"/>
      <c r="URC75" s="2198"/>
      <c r="URD75" s="2198"/>
      <c r="URE75" s="2198"/>
      <c r="URF75" s="2198"/>
      <c r="URG75" s="2198"/>
      <c r="URH75" s="2198"/>
      <c r="URI75" s="2198"/>
      <c r="URJ75" s="2198"/>
      <c r="URK75" s="2198"/>
      <c r="URL75" s="2198"/>
      <c r="URM75" s="2198"/>
      <c r="URN75" s="2198"/>
      <c r="URO75" s="2198"/>
      <c r="URP75" s="2198"/>
      <c r="URQ75" s="2198"/>
      <c r="URR75" s="2198"/>
      <c r="URS75" s="2198"/>
      <c r="URT75" s="2198"/>
      <c r="URU75" s="2198"/>
      <c r="URV75" s="2198"/>
      <c r="URW75" s="2198"/>
      <c r="URX75" s="2198"/>
      <c r="URY75" s="2198"/>
      <c r="URZ75" s="2198"/>
      <c r="USA75" s="2198"/>
      <c r="USB75" s="2198"/>
      <c r="USC75" s="2198"/>
      <c r="USD75" s="2198"/>
      <c r="USE75" s="2198"/>
      <c r="USF75" s="2198"/>
      <c r="USG75" s="2198"/>
      <c r="USH75" s="2198"/>
      <c r="USI75" s="2198"/>
      <c r="USJ75" s="2198"/>
      <c r="USK75" s="2198"/>
      <c r="USL75" s="2198"/>
      <c r="USM75" s="2198"/>
      <c r="USN75" s="2198"/>
      <c r="USO75" s="2198"/>
      <c r="USP75" s="2198"/>
      <c r="USQ75" s="2198"/>
      <c r="USR75" s="2198"/>
      <c r="USS75" s="2198"/>
      <c r="UST75" s="2198"/>
      <c r="USU75" s="2198"/>
      <c r="USV75" s="2198"/>
      <c r="USW75" s="2198"/>
      <c r="USX75" s="2198"/>
      <c r="USY75" s="2198"/>
      <c r="USZ75" s="2198"/>
      <c r="UTA75" s="2198"/>
      <c r="UTB75" s="2198"/>
      <c r="UTC75" s="2198"/>
      <c r="UTD75" s="2198"/>
      <c r="UTE75" s="2198"/>
      <c r="UTF75" s="2198"/>
      <c r="UTG75" s="2198"/>
      <c r="UTH75" s="2198"/>
      <c r="UTI75" s="2198"/>
      <c r="UTJ75" s="2198"/>
      <c r="UTK75" s="2198"/>
      <c r="UTL75" s="2198"/>
      <c r="UTM75" s="2198"/>
      <c r="UTN75" s="2198"/>
      <c r="UTO75" s="2198"/>
      <c r="UTP75" s="2198"/>
      <c r="UTQ75" s="2198"/>
      <c r="UTR75" s="2198"/>
      <c r="UTS75" s="2198"/>
      <c r="UTT75" s="2198"/>
      <c r="UTU75" s="2198"/>
      <c r="UTV75" s="2198"/>
      <c r="UTW75" s="2198"/>
      <c r="UTX75" s="2198"/>
      <c r="UTY75" s="2198"/>
      <c r="UTZ75" s="2198"/>
      <c r="UUA75" s="2198"/>
      <c r="UUB75" s="2198"/>
      <c r="UUC75" s="2198"/>
      <c r="UUD75" s="2198"/>
      <c r="UUE75" s="2198"/>
      <c r="UUF75" s="2198"/>
      <c r="UUG75" s="2198"/>
      <c r="UUH75" s="2198"/>
      <c r="UUI75" s="2198"/>
      <c r="UUJ75" s="2198"/>
      <c r="UUK75" s="2198"/>
      <c r="UUL75" s="2198"/>
      <c r="UUM75" s="2198"/>
      <c r="UUN75" s="2198"/>
      <c r="UUO75" s="2198"/>
      <c r="UUP75" s="2198"/>
      <c r="UUQ75" s="2198"/>
      <c r="UUR75" s="2198"/>
      <c r="UUS75" s="2198"/>
      <c r="UUT75" s="2198"/>
      <c r="UUU75" s="2198"/>
      <c r="UUV75" s="2198"/>
      <c r="UUW75" s="2198"/>
      <c r="UUX75" s="2198"/>
      <c r="UUY75" s="2198"/>
      <c r="UUZ75" s="2198"/>
      <c r="UVA75" s="2198"/>
      <c r="UVB75" s="2198"/>
      <c r="UVC75" s="2198"/>
      <c r="UVD75" s="2198"/>
      <c r="UVE75" s="2198"/>
      <c r="UVF75" s="2198"/>
      <c r="UVG75" s="2198"/>
      <c r="UVH75" s="2198"/>
      <c r="UVI75" s="2198"/>
      <c r="UVJ75" s="2198"/>
      <c r="UVK75" s="2198"/>
      <c r="UVL75" s="2198"/>
      <c r="UVM75" s="2198"/>
      <c r="UVN75" s="2198"/>
      <c r="UVO75" s="2198"/>
      <c r="UVP75" s="2198"/>
      <c r="UVQ75" s="2198"/>
      <c r="UVR75" s="2198"/>
      <c r="UVS75" s="2198"/>
      <c r="UVT75" s="2198"/>
      <c r="UVU75" s="2198"/>
      <c r="UVV75" s="2198"/>
      <c r="UVW75" s="2198"/>
      <c r="UVX75" s="2198"/>
      <c r="UVY75" s="2198"/>
      <c r="UVZ75" s="2198"/>
      <c r="UWA75" s="2198"/>
      <c r="UWB75" s="2198"/>
      <c r="UWC75" s="2198"/>
      <c r="UWD75" s="2198"/>
      <c r="UWE75" s="2198"/>
      <c r="UWF75" s="2198"/>
      <c r="UWG75" s="2198"/>
      <c r="UWH75" s="2198"/>
      <c r="UWI75" s="2198"/>
      <c r="UWJ75" s="2198"/>
      <c r="UWK75" s="2198"/>
      <c r="UWL75" s="2198"/>
      <c r="UWM75" s="2198"/>
      <c r="UWN75" s="2198"/>
      <c r="UWO75" s="2198"/>
      <c r="UWP75" s="2198"/>
      <c r="UWQ75" s="2198"/>
      <c r="UWR75" s="2198"/>
      <c r="UWS75" s="2198"/>
      <c r="UWT75" s="2198"/>
      <c r="UWU75" s="2198"/>
      <c r="UWV75" s="2198"/>
      <c r="UWW75" s="2198"/>
      <c r="UWX75" s="2198"/>
      <c r="UWY75" s="2198"/>
      <c r="UWZ75" s="2198"/>
      <c r="UXA75" s="2198"/>
      <c r="UXB75" s="2198"/>
      <c r="UXC75" s="2198"/>
      <c r="UXD75" s="2198"/>
      <c r="UXE75" s="2198"/>
      <c r="UXF75" s="2198"/>
      <c r="UXG75" s="2198"/>
      <c r="UXH75" s="2198"/>
      <c r="UXI75" s="2198"/>
      <c r="UXJ75" s="2198"/>
      <c r="UXK75" s="2198"/>
      <c r="UXL75" s="2198"/>
      <c r="UXM75" s="2198"/>
      <c r="UXN75" s="2198"/>
      <c r="UXO75" s="2198"/>
      <c r="UXP75" s="2198"/>
      <c r="UXQ75" s="2198"/>
      <c r="UXR75" s="2198"/>
      <c r="UXS75" s="2198"/>
      <c r="UXT75" s="2198"/>
      <c r="UXU75" s="2198"/>
      <c r="UXV75" s="2198"/>
      <c r="UXW75" s="2198"/>
      <c r="UXX75" s="2198"/>
      <c r="UXY75" s="2198"/>
      <c r="UXZ75" s="2198"/>
      <c r="UYA75" s="2198"/>
      <c r="UYB75" s="2198"/>
      <c r="UYC75" s="2198"/>
      <c r="UYD75" s="2198"/>
      <c r="UYE75" s="2198"/>
      <c r="UYF75" s="2198"/>
      <c r="UYG75" s="2198"/>
      <c r="UYH75" s="2198"/>
      <c r="UYI75" s="2198"/>
      <c r="UYJ75" s="2198"/>
      <c r="UYK75" s="2198"/>
      <c r="UYL75" s="2198"/>
      <c r="UYM75" s="2198"/>
      <c r="UYN75" s="2198"/>
      <c r="UYO75" s="2198"/>
      <c r="UYP75" s="2198"/>
      <c r="UYQ75" s="2198"/>
      <c r="UYR75" s="2198"/>
      <c r="UYS75" s="2198"/>
      <c r="UYT75" s="2198"/>
      <c r="UYU75" s="2198"/>
      <c r="UYV75" s="2198"/>
      <c r="UYW75" s="2198"/>
      <c r="UYX75" s="2198"/>
      <c r="UYY75" s="2198"/>
      <c r="UYZ75" s="2198"/>
      <c r="UZA75" s="2198"/>
      <c r="UZB75" s="2198"/>
      <c r="UZC75" s="2198"/>
      <c r="UZD75" s="2198"/>
      <c r="UZE75" s="2198"/>
      <c r="UZF75" s="2198"/>
      <c r="UZG75" s="2198"/>
      <c r="UZH75" s="2198"/>
      <c r="UZI75" s="2198"/>
      <c r="UZJ75" s="2198"/>
      <c r="UZK75" s="2198"/>
      <c r="UZL75" s="2198"/>
      <c r="UZM75" s="2198"/>
      <c r="UZN75" s="2198"/>
      <c r="UZO75" s="2198"/>
      <c r="UZP75" s="2198"/>
      <c r="UZQ75" s="2198"/>
      <c r="UZR75" s="2198"/>
      <c r="UZS75" s="2198"/>
      <c r="UZT75" s="2198"/>
      <c r="UZU75" s="2198"/>
      <c r="UZV75" s="2198"/>
      <c r="UZW75" s="2198"/>
      <c r="UZX75" s="2198"/>
      <c r="UZY75" s="2198"/>
      <c r="UZZ75" s="2198"/>
      <c r="VAA75" s="2198"/>
      <c r="VAB75" s="2198"/>
      <c r="VAC75" s="2198"/>
      <c r="VAD75" s="2198"/>
      <c r="VAE75" s="2198"/>
      <c r="VAF75" s="2198"/>
      <c r="VAG75" s="2198"/>
      <c r="VAH75" s="2198"/>
      <c r="VAI75" s="2198"/>
      <c r="VAJ75" s="2198"/>
      <c r="VAK75" s="2198"/>
      <c r="VAL75" s="2198"/>
      <c r="VAM75" s="2198"/>
      <c r="VAN75" s="2198"/>
      <c r="VAO75" s="2198"/>
      <c r="VAP75" s="2198"/>
      <c r="VAQ75" s="2198"/>
      <c r="VAR75" s="2198"/>
      <c r="VAS75" s="2198"/>
      <c r="VAT75" s="2198"/>
      <c r="VAU75" s="2198"/>
      <c r="VAV75" s="2198"/>
      <c r="VAW75" s="2198"/>
      <c r="VAX75" s="2198"/>
      <c r="VAY75" s="2198"/>
      <c r="VAZ75" s="2198"/>
      <c r="VBA75" s="2198"/>
      <c r="VBB75" s="2198"/>
      <c r="VBC75" s="2198"/>
      <c r="VBD75" s="2198"/>
      <c r="VBE75" s="2198"/>
      <c r="VBF75" s="2198"/>
      <c r="VBG75" s="2198"/>
      <c r="VBH75" s="2198"/>
      <c r="VBI75" s="2198"/>
      <c r="VBJ75" s="2198"/>
      <c r="VBK75" s="2198"/>
      <c r="VBL75" s="2198"/>
      <c r="VBM75" s="2198"/>
      <c r="VBN75" s="2198"/>
      <c r="VBO75" s="2198"/>
      <c r="VBP75" s="2198"/>
      <c r="VBQ75" s="2198"/>
      <c r="VBR75" s="2198"/>
      <c r="VBS75" s="2198"/>
      <c r="VBT75" s="2198"/>
      <c r="VBU75" s="2198"/>
      <c r="VBV75" s="2198"/>
      <c r="VBW75" s="2198"/>
      <c r="VBX75" s="2198"/>
      <c r="VBY75" s="2198"/>
      <c r="VBZ75" s="2198"/>
      <c r="VCA75" s="2198"/>
      <c r="VCB75" s="2198"/>
      <c r="VCC75" s="2198"/>
      <c r="VCD75" s="2198"/>
      <c r="VCE75" s="2198"/>
      <c r="VCF75" s="2198"/>
      <c r="VCG75" s="2198"/>
      <c r="VCH75" s="2198"/>
      <c r="VCI75" s="2198"/>
      <c r="VCJ75" s="2198"/>
      <c r="VCK75" s="2198"/>
      <c r="VCL75" s="2198"/>
      <c r="VCM75" s="2198"/>
      <c r="VCN75" s="2198"/>
      <c r="VCO75" s="2198"/>
      <c r="VCP75" s="2198"/>
      <c r="VCQ75" s="2198"/>
      <c r="VCR75" s="2198"/>
      <c r="VCS75" s="2198"/>
      <c r="VCT75" s="2198"/>
      <c r="VCU75" s="2198"/>
      <c r="VCV75" s="2198"/>
      <c r="VCW75" s="2198"/>
      <c r="VCX75" s="2198"/>
      <c r="VCY75" s="2198"/>
      <c r="VCZ75" s="2198"/>
      <c r="VDA75" s="2198"/>
      <c r="VDB75" s="2198"/>
      <c r="VDC75" s="2198"/>
      <c r="VDD75" s="2198"/>
      <c r="VDE75" s="2198"/>
      <c r="VDF75" s="2198"/>
      <c r="VDG75" s="2198"/>
      <c r="VDH75" s="2198"/>
      <c r="VDI75" s="2198"/>
      <c r="VDJ75" s="2198"/>
      <c r="VDK75" s="2198"/>
      <c r="VDL75" s="2198"/>
      <c r="VDM75" s="2198"/>
      <c r="VDN75" s="2198"/>
      <c r="VDO75" s="2198"/>
      <c r="VDP75" s="2198"/>
      <c r="VDQ75" s="2198"/>
      <c r="VDR75" s="2198"/>
      <c r="VDS75" s="2198"/>
      <c r="VDT75" s="2198"/>
      <c r="VDU75" s="2198"/>
      <c r="VDV75" s="2198"/>
      <c r="VDW75" s="2198"/>
      <c r="VDX75" s="2198"/>
      <c r="VDY75" s="2198"/>
      <c r="VDZ75" s="2198"/>
      <c r="VEA75" s="2198"/>
      <c r="VEB75" s="2198"/>
      <c r="VEC75" s="2198"/>
      <c r="VED75" s="2198"/>
      <c r="VEE75" s="2198"/>
      <c r="VEF75" s="2198"/>
      <c r="VEG75" s="2198"/>
      <c r="VEH75" s="2198"/>
      <c r="VEI75" s="2198"/>
      <c r="VEJ75" s="2198"/>
      <c r="VEK75" s="2198"/>
      <c r="VEL75" s="2198"/>
      <c r="VEM75" s="2198"/>
      <c r="VEN75" s="2198"/>
      <c r="VEO75" s="2198"/>
      <c r="VEP75" s="2198"/>
      <c r="VEQ75" s="2198"/>
      <c r="VER75" s="2198"/>
      <c r="VES75" s="2198"/>
      <c r="VET75" s="2198"/>
      <c r="VEU75" s="2198"/>
      <c r="VEV75" s="2198"/>
      <c r="VEW75" s="2198"/>
      <c r="VEX75" s="2198"/>
      <c r="VEY75" s="2198"/>
      <c r="VEZ75" s="2198"/>
      <c r="VFA75" s="2198"/>
      <c r="VFB75" s="2198"/>
      <c r="VFC75" s="2198"/>
      <c r="VFD75" s="2198"/>
      <c r="VFE75" s="2198"/>
      <c r="VFF75" s="2198"/>
      <c r="VFG75" s="2198"/>
      <c r="VFH75" s="2198"/>
      <c r="VFI75" s="2198"/>
      <c r="VFJ75" s="2198"/>
      <c r="VFK75" s="2198"/>
      <c r="VFL75" s="2198"/>
      <c r="VFM75" s="2198"/>
      <c r="VFN75" s="2198"/>
      <c r="VFO75" s="2198"/>
      <c r="VFP75" s="2198"/>
      <c r="VFQ75" s="2198"/>
      <c r="VFR75" s="2198"/>
      <c r="VFS75" s="2198"/>
      <c r="VFT75" s="2198"/>
      <c r="VFU75" s="2198"/>
      <c r="VFV75" s="2198"/>
      <c r="VFW75" s="2198"/>
      <c r="VFX75" s="2198"/>
      <c r="VFY75" s="2198"/>
      <c r="VFZ75" s="2198"/>
      <c r="VGA75" s="2198"/>
      <c r="VGB75" s="2198"/>
      <c r="VGC75" s="2198"/>
      <c r="VGD75" s="2198"/>
      <c r="VGE75" s="2198"/>
      <c r="VGF75" s="2198"/>
      <c r="VGG75" s="2198"/>
      <c r="VGH75" s="2198"/>
      <c r="VGI75" s="2198"/>
      <c r="VGJ75" s="2198"/>
      <c r="VGK75" s="2198"/>
      <c r="VGL75" s="2198"/>
      <c r="VGM75" s="2198"/>
      <c r="VGN75" s="2198"/>
      <c r="VGO75" s="2198"/>
      <c r="VGP75" s="2198"/>
      <c r="VGQ75" s="2198"/>
      <c r="VGR75" s="2198"/>
      <c r="VGS75" s="2198"/>
      <c r="VGT75" s="2198"/>
      <c r="VGU75" s="2198"/>
      <c r="VGV75" s="2198"/>
      <c r="VGW75" s="2198"/>
      <c r="VGX75" s="2198"/>
      <c r="VGY75" s="2198"/>
      <c r="VGZ75" s="2198"/>
      <c r="VHA75" s="2198"/>
      <c r="VHB75" s="2198"/>
      <c r="VHC75" s="2198"/>
      <c r="VHD75" s="2198"/>
      <c r="VHE75" s="2198"/>
      <c r="VHF75" s="2198"/>
      <c r="VHG75" s="2198"/>
      <c r="VHH75" s="2198"/>
      <c r="VHI75" s="2198"/>
      <c r="VHJ75" s="2198"/>
      <c r="VHK75" s="2198"/>
      <c r="VHL75" s="2198"/>
      <c r="VHM75" s="2198"/>
      <c r="VHN75" s="2198"/>
      <c r="VHO75" s="2198"/>
      <c r="VHP75" s="2198"/>
      <c r="VHQ75" s="2198"/>
      <c r="VHR75" s="2198"/>
      <c r="VHS75" s="2198"/>
      <c r="VHT75" s="2198"/>
      <c r="VHU75" s="2198"/>
      <c r="VHV75" s="2198"/>
      <c r="VHW75" s="2198"/>
      <c r="VHX75" s="2198"/>
      <c r="VHY75" s="2198"/>
      <c r="VHZ75" s="2198"/>
      <c r="VIA75" s="2198"/>
      <c r="VIB75" s="2198"/>
      <c r="VIC75" s="2198"/>
      <c r="VID75" s="2198"/>
      <c r="VIE75" s="2198"/>
      <c r="VIF75" s="2198"/>
      <c r="VIG75" s="2198"/>
      <c r="VIH75" s="2198"/>
      <c r="VII75" s="2198"/>
      <c r="VIJ75" s="2198"/>
      <c r="VIK75" s="2198"/>
      <c r="VIL75" s="2198"/>
      <c r="VIM75" s="2198"/>
      <c r="VIN75" s="2198"/>
      <c r="VIO75" s="2198"/>
      <c r="VIP75" s="2198"/>
      <c r="VIQ75" s="2198"/>
      <c r="VIR75" s="2198"/>
      <c r="VIS75" s="2198"/>
      <c r="VIT75" s="2198"/>
      <c r="VIU75" s="2198"/>
      <c r="VIV75" s="2198"/>
      <c r="VIW75" s="2198"/>
      <c r="VIX75" s="2198"/>
      <c r="VIY75" s="2198"/>
      <c r="VIZ75" s="2198"/>
      <c r="VJA75" s="2198"/>
      <c r="VJB75" s="2198"/>
      <c r="VJC75" s="2198"/>
      <c r="VJD75" s="2198"/>
      <c r="VJE75" s="2198"/>
      <c r="VJF75" s="2198"/>
      <c r="VJG75" s="2198"/>
      <c r="VJH75" s="2198"/>
      <c r="VJI75" s="2198"/>
      <c r="VJJ75" s="2198"/>
      <c r="VJK75" s="2198"/>
      <c r="VJL75" s="2198"/>
      <c r="VJM75" s="2198"/>
      <c r="VJN75" s="2198"/>
      <c r="VJO75" s="2198"/>
      <c r="VJP75" s="2198"/>
      <c r="VJQ75" s="2198"/>
      <c r="VJR75" s="2198"/>
      <c r="VJS75" s="2198"/>
      <c r="VJT75" s="2198"/>
      <c r="VJU75" s="2198"/>
      <c r="VJV75" s="2198"/>
      <c r="VJW75" s="2198"/>
      <c r="VJX75" s="2198"/>
      <c r="VJY75" s="2198"/>
      <c r="VJZ75" s="2198"/>
      <c r="VKA75" s="2198"/>
      <c r="VKB75" s="2198"/>
      <c r="VKC75" s="2198"/>
      <c r="VKD75" s="2198"/>
      <c r="VKE75" s="2198"/>
      <c r="VKF75" s="2198"/>
      <c r="VKG75" s="2198"/>
      <c r="VKH75" s="2198"/>
      <c r="VKI75" s="2198"/>
      <c r="VKJ75" s="2198"/>
      <c r="VKK75" s="2198"/>
      <c r="VKL75" s="2198"/>
      <c r="VKM75" s="2198"/>
      <c r="VKN75" s="2198"/>
      <c r="VKO75" s="2198"/>
      <c r="VKP75" s="2198"/>
      <c r="VKQ75" s="2198"/>
      <c r="VKR75" s="2198"/>
      <c r="VKS75" s="2198"/>
      <c r="VKT75" s="2198"/>
      <c r="VKU75" s="2198"/>
      <c r="VKV75" s="2198"/>
      <c r="VKW75" s="2198"/>
      <c r="VKX75" s="2198"/>
      <c r="VKY75" s="2198"/>
      <c r="VKZ75" s="2198"/>
      <c r="VLA75" s="2198"/>
      <c r="VLB75" s="2198"/>
      <c r="VLC75" s="2198"/>
      <c r="VLD75" s="2198"/>
      <c r="VLE75" s="2198"/>
      <c r="VLF75" s="2198"/>
      <c r="VLG75" s="2198"/>
      <c r="VLH75" s="2198"/>
      <c r="VLI75" s="2198"/>
      <c r="VLJ75" s="2198"/>
      <c r="VLK75" s="2198"/>
      <c r="VLL75" s="2198"/>
      <c r="VLM75" s="2198"/>
      <c r="VLN75" s="2198"/>
      <c r="VLO75" s="2198"/>
      <c r="VLP75" s="2198"/>
      <c r="VLQ75" s="2198"/>
      <c r="VLR75" s="2198"/>
      <c r="VLS75" s="2198"/>
      <c r="VLT75" s="2198"/>
      <c r="VLU75" s="2198"/>
      <c r="VLV75" s="2198"/>
      <c r="VLW75" s="2198"/>
      <c r="VLX75" s="2198"/>
      <c r="VLY75" s="2198"/>
      <c r="VLZ75" s="2198"/>
      <c r="VMA75" s="2198"/>
      <c r="VMB75" s="2198"/>
      <c r="VMC75" s="2198"/>
      <c r="VMD75" s="2198"/>
      <c r="VME75" s="2198"/>
      <c r="VMF75" s="2198"/>
      <c r="VMG75" s="2198"/>
      <c r="VMH75" s="2198"/>
      <c r="VMI75" s="2198"/>
      <c r="VMJ75" s="2198"/>
      <c r="VMK75" s="2198"/>
      <c r="VML75" s="2198"/>
      <c r="VMM75" s="2198"/>
      <c r="VMN75" s="2198"/>
      <c r="VMO75" s="2198"/>
      <c r="VMP75" s="2198"/>
      <c r="VMQ75" s="2198"/>
      <c r="VMR75" s="2198"/>
      <c r="VMS75" s="2198"/>
      <c r="VMT75" s="2198"/>
      <c r="VMU75" s="2198"/>
      <c r="VMV75" s="2198"/>
      <c r="VMW75" s="2198"/>
      <c r="VMX75" s="2198"/>
      <c r="VMY75" s="2198"/>
      <c r="VMZ75" s="2198"/>
      <c r="VNA75" s="2198"/>
      <c r="VNB75" s="2198"/>
      <c r="VNC75" s="2198"/>
      <c r="VND75" s="2198"/>
      <c r="VNE75" s="2198"/>
      <c r="VNF75" s="2198"/>
      <c r="VNG75" s="2198"/>
      <c r="VNH75" s="2198"/>
      <c r="VNI75" s="2198"/>
      <c r="VNJ75" s="2198"/>
      <c r="VNK75" s="2198"/>
      <c r="VNL75" s="2198"/>
      <c r="VNM75" s="2198"/>
      <c r="VNN75" s="2198"/>
      <c r="VNO75" s="2198"/>
      <c r="VNP75" s="2198"/>
      <c r="VNQ75" s="2198"/>
      <c r="VNR75" s="2198"/>
      <c r="VNS75" s="2198"/>
      <c r="VNT75" s="2198"/>
      <c r="VNU75" s="2198"/>
      <c r="VNV75" s="2198"/>
      <c r="VNW75" s="2198"/>
      <c r="VNX75" s="2198"/>
      <c r="VNY75" s="2198"/>
      <c r="VNZ75" s="2198"/>
      <c r="VOA75" s="2198"/>
      <c r="VOB75" s="2198"/>
      <c r="VOC75" s="2198"/>
      <c r="VOD75" s="2198"/>
      <c r="VOE75" s="2198"/>
      <c r="VOF75" s="2198"/>
      <c r="VOG75" s="2198"/>
      <c r="VOH75" s="2198"/>
      <c r="VOI75" s="2198"/>
      <c r="VOJ75" s="2198"/>
      <c r="VOK75" s="2198"/>
      <c r="VOL75" s="2198"/>
      <c r="VOM75" s="2198"/>
      <c r="VON75" s="2198"/>
      <c r="VOO75" s="2198"/>
      <c r="VOP75" s="2198"/>
      <c r="VOQ75" s="2198"/>
      <c r="VOR75" s="2198"/>
      <c r="VOS75" s="2198"/>
      <c r="VOT75" s="2198"/>
      <c r="VOU75" s="2198"/>
      <c r="VOV75" s="2198"/>
      <c r="VOW75" s="2198"/>
      <c r="VOX75" s="2198"/>
      <c r="VOY75" s="2198"/>
      <c r="VOZ75" s="2198"/>
      <c r="VPA75" s="2198"/>
      <c r="VPB75" s="2198"/>
      <c r="VPC75" s="2198"/>
      <c r="VPD75" s="2198"/>
      <c r="VPE75" s="2198"/>
      <c r="VPF75" s="2198"/>
      <c r="VPG75" s="2198"/>
      <c r="VPH75" s="2198"/>
      <c r="VPI75" s="2198"/>
      <c r="VPJ75" s="2198"/>
      <c r="VPK75" s="2198"/>
      <c r="VPL75" s="2198"/>
      <c r="VPM75" s="2198"/>
      <c r="VPN75" s="2198"/>
      <c r="VPO75" s="2198"/>
      <c r="VPP75" s="2198"/>
      <c r="VPQ75" s="2198"/>
      <c r="VPR75" s="2198"/>
      <c r="VPS75" s="2198"/>
      <c r="VPT75" s="2198"/>
      <c r="VPU75" s="2198"/>
      <c r="VPV75" s="2198"/>
      <c r="VPW75" s="2198"/>
      <c r="VPX75" s="2198"/>
      <c r="VPY75" s="2198"/>
      <c r="VPZ75" s="2198"/>
      <c r="VQA75" s="2198"/>
      <c r="VQB75" s="2198"/>
      <c r="VQC75" s="2198"/>
      <c r="VQD75" s="2198"/>
      <c r="VQE75" s="2198"/>
      <c r="VQF75" s="2198"/>
      <c r="VQG75" s="2198"/>
      <c r="VQH75" s="2198"/>
      <c r="VQI75" s="2198"/>
      <c r="VQJ75" s="2198"/>
      <c r="VQK75" s="2198"/>
      <c r="VQL75" s="2198"/>
      <c r="VQM75" s="2198"/>
      <c r="VQN75" s="2198"/>
      <c r="VQO75" s="2198"/>
      <c r="VQP75" s="2198"/>
      <c r="VQQ75" s="2198"/>
      <c r="VQR75" s="2198"/>
      <c r="VQS75" s="2198"/>
      <c r="VQT75" s="2198"/>
      <c r="VQU75" s="2198"/>
      <c r="VQV75" s="2198"/>
      <c r="VQW75" s="2198"/>
      <c r="VQX75" s="2198"/>
      <c r="VQY75" s="2198"/>
      <c r="VQZ75" s="2198"/>
      <c r="VRA75" s="2198"/>
      <c r="VRB75" s="2198"/>
      <c r="VRC75" s="2198"/>
      <c r="VRD75" s="2198"/>
      <c r="VRE75" s="2198"/>
      <c r="VRF75" s="2198"/>
      <c r="VRG75" s="2198"/>
      <c r="VRH75" s="2198"/>
      <c r="VRI75" s="2198"/>
      <c r="VRJ75" s="2198"/>
      <c r="VRK75" s="2198"/>
      <c r="VRL75" s="2198"/>
      <c r="VRM75" s="2198"/>
      <c r="VRN75" s="2198"/>
      <c r="VRO75" s="2198"/>
      <c r="VRP75" s="2198"/>
      <c r="VRQ75" s="2198"/>
      <c r="VRR75" s="2198"/>
      <c r="VRS75" s="2198"/>
      <c r="VRT75" s="2198"/>
      <c r="VRU75" s="2198"/>
      <c r="VRV75" s="2198"/>
      <c r="VRW75" s="2198"/>
      <c r="VRX75" s="2198"/>
      <c r="VRY75" s="2198"/>
      <c r="VRZ75" s="2198"/>
      <c r="VSA75" s="2198"/>
      <c r="VSB75" s="2198"/>
      <c r="VSC75" s="2198"/>
      <c r="VSD75" s="2198"/>
      <c r="VSE75" s="2198"/>
      <c r="VSF75" s="2198"/>
      <c r="VSG75" s="2198"/>
      <c r="VSH75" s="2198"/>
      <c r="VSI75" s="2198"/>
      <c r="VSJ75" s="2198"/>
      <c r="VSK75" s="2198"/>
      <c r="VSL75" s="2198"/>
      <c r="VSM75" s="2198"/>
      <c r="VSN75" s="2198"/>
      <c r="VSO75" s="2198"/>
      <c r="VSP75" s="2198"/>
      <c r="VSQ75" s="2198"/>
      <c r="VSR75" s="2198"/>
      <c r="VSS75" s="2198"/>
      <c r="VST75" s="2198"/>
      <c r="VSU75" s="2198"/>
      <c r="VSV75" s="2198"/>
      <c r="VSW75" s="2198"/>
      <c r="VSX75" s="2198"/>
      <c r="VSY75" s="2198"/>
      <c r="VSZ75" s="2198"/>
      <c r="VTA75" s="2198"/>
      <c r="VTB75" s="2198"/>
      <c r="VTC75" s="2198"/>
      <c r="VTD75" s="2198"/>
      <c r="VTE75" s="2198"/>
      <c r="VTF75" s="2198"/>
      <c r="VTG75" s="2198"/>
      <c r="VTH75" s="2198"/>
      <c r="VTI75" s="2198"/>
      <c r="VTJ75" s="2198"/>
      <c r="VTK75" s="2198"/>
      <c r="VTL75" s="2198"/>
      <c r="VTM75" s="2198"/>
      <c r="VTN75" s="2198"/>
      <c r="VTO75" s="2198"/>
      <c r="VTP75" s="2198"/>
      <c r="VTQ75" s="2198"/>
      <c r="VTR75" s="2198"/>
      <c r="VTS75" s="2198"/>
      <c r="VTT75" s="2198"/>
      <c r="VTU75" s="2198"/>
      <c r="VTV75" s="2198"/>
      <c r="VTW75" s="2198"/>
      <c r="VTX75" s="2198"/>
      <c r="VTY75" s="2198"/>
      <c r="VTZ75" s="2198"/>
      <c r="VUA75" s="2198"/>
      <c r="VUB75" s="2198"/>
      <c r="VUC75" s="2198"/>
      <c r="VUD75" s="2198"/>
      <c r="VUE75" s="2198"/>
      <c r="VUF75" s="2198"/>
      <c r="VUG75" s="2198"/>
      <c r="VUH75" s="2198"/>
      <c r="VUI75" s="2198"/>
      <c r="VUJ75" s="2198"/>
      <c r="VUK75" s="2198"/>
      <c r="VUL75" s="2198"/>
      <c r="VUM75" s="2198"/>
      <c r="VUN75" s="2198"/>
      <c r="VUO75" s="2198"/>
      <c r="VUP75" s="2198"/>
      <c r="VUQ75" s="2198"/>
      <c r="VUR75" s="2198"/>
      <c r="VUS75" s="2198"/>
      <c r="VUT75" s="2198"/>
      <c r="VUU75" s="2198"/>
      <c r="VUV75" s="2198"/>
      <c r="VUW75" s="2198"/>
      <c r="VUX75" s="2198"/>
      <c r="VUY75" s="2198"/>
      <c r="VUZ75" s="2198"/>
      <c r="VVA75" s="2198"/>
      <c r="VVB75" s="2198"/>
      <c r="VVC75" s="2198"/>
      <c r="VVD75" s="2198"/>
      <c r="VVE75" s="2198"/>
      <c r="VVF75" s="2198"/>
      <c r="VVG75" s="2198"/>
      <c r="VVH75" s="2198"/>
      <c r="VVI75" s="2198"/>
      <c r="VVJ75" s="2198"/>
      <c r="VVK75" s="2198"/>
      <c r="VVL75" s="2198"/>
      <c r="VVM75" s="2198"/>
      <c r="VVN75" s="2198"/>
      <c r="VVO75" s="2198"/>
      <c r="VVP75" s="2198"/>
      <c r="VVQ75" s="2198"/>
      <c r="VVR75" s="2198"/>
      <c r="VVS75" s="2198"/>
      <c r="VVT75" s="2198"/>
      <c r="VVU75" s="2198"/>
      <c r="VVV75" s="2198"/>
      <c r="VVW75" s="2198"/>
      <c r="VVX75" s="2198"/>
      <c r="VVY75" s="2198"/>
      <c r="VVZ75" s="2198"/>
      <c r="VWA75" s="2198"/>
      <c r="VWB75" s="2198"/>
      <c r="VWC75" s="2198"/>
      <c r="VWD75" s="2198"/>
      <c r="VWE75" s="2198"/>
      <c r="VWF75" s="2198"/>
      <c r="VWG75" s="2198"/>
      <c r="VWH75" s="2198"/>
      <c r="VWI75" s="2198"/>
      <c r="VWJ75" s="2198"/>
      <c r="VWK75" s="2198"/>
      <c r="VWL75" s="2198"/>
      <c r="VWM75" s="2198"/>
      <c r="VWN75" s="2198"/>
      <c r="VWO75" s="2198"/>
      <c r="VWP75" s="2198"/>
      <c r="VWQ75" s="2198"/>
      <c r="VWR75" s="2198"/>
      <c r="VWS75" s="2198"/>
      <c r="VWT75" s="2198"/>
      <c r="VWU75" s="2198"/>
      <c r="VWV75" s="2198"/>
      <c r="VWW75" s="2198"/>
      <c r="VWX75" s="2198"/>
      <c r="VWY75" s="2198"/>
      <c r="VWZ75" s="2198"/>
      <c r="VXA75" s="2198"/>
      <c r="VXB75" s="2198"/>
      <c r="VXC75" s="2198"/>
      <c r="VXD75" s="2198"/>
      <c r="VXE75" s="2198"/>
      <c r="VXF75" s="2198"/>
      <c r="VXG75" s="2198"/>
      <c r="VXH75" s="2198"/>
      <c r="VXI75" s="2198"/>
      <c r="VXJ75" s="2198"/>
      <c r="VXK75" s="2198"/>
      <c r="VXL75" s="2198"/>
      <c r="VXM75" s="2198"/>
      <c r="VXN75" s="2198"/>
      <c r="VXO75" s="2198"/>
      <c r="VXP75" s="2198"/>
      <c r="VXQ75" s="2198"/>
      <c r="VXR75" s="2198"/>
      <c r="VXS75" s="2198"/>
      <c r="VXT75" s="2198"/>
      <c r="VXU75" s="2198"/>
      <c r="VXV75" s="2198"/>
      <c r="VXW75" s="2198"/>
      <c r="VXX75" s="2198"/>
      <c r="VXY75" s="2198"/>
      <c r="VXZ75" s="2198"/>
      <c r="VYA75" s="2198"/>
      <c r="VYB75" s="2198"/>
      <c r="VYC75" s="2198"/>
      <c r="VYD75" s="2198"/>
      <c r="VYE75" s="2198"/>
      <c r="VYF75" s="2198"/>
      <c r="VYG75" s="2198"/>
      <c r="VYH75" s="2198"/>
      <c r="VYI75" s="2198"/>
      <c r="VYJ75" s="2198"/>
      <c r="VYK75" s="2198"/>
      <c r="VYL75" s="2198"/>
      <c r="VYM75" s="2198"/>
      <c r="VYN75" s="2198"/>
      <c r="VYO75" s="2198"/>
      <c r="VYP75" s="2198"/>
      <c r="VYQ75" s="2198"/>
      <c r="VYR75" s="2198"/>
      <c r="VYS75" s="2198"/>
      <c r="VYT75" s="2198"/>
      <c r="VYU75" s="2198"/>
      <c r="VYV75" s="2198"/>
      <c r="VYW75" s="2198"/>
      <c r="VYX75" s="2198"/>
      <c r="VYY75" s="2198"/>
      <c r="VYZ75" s="2198"/>
      <c r="VZA75" s="2198"/>
      <c r="VZB75" s="2198"/>
      <c r="VZC75" s="2198"/>
      <c r="VZD75" s="2198"/>
      <c r="VZE75" s="2198"/>
      <c r="VZF75" s="2198"/>
      <c r="VZG75" s="2198"/>
      <c r="VZH75" s="2198"/>
      <c r="VZI75" s="2198"/>
      <c r="VZJ75" s="2198"/>
      <c r="VZK75" s="2198"/>
      <c r="VZL75" s="2198"/>
      <c r="VZM75" s="2198"/>
      <c r="VZN75" s="2198"/>
      <c r="VZO75" s="2198"/>
      <c r="VZP75" s="2198"/>
      <c r="VZQ75" s="2198"/>
      <c r="VZR75" s="2198"/>
      <c r="VZS75" s="2198"/>
      <c r="VZT75" s="2198"/>
      <c r="VZU75" s="2198"/>
      <c r="VZV75" s="2198"/>
      <c r="VZW75" s="2198"/>
      <c r="VZX75" s="2198"/>
      <c r="VZY75" s="2198"/>
      <c r="VZZ75" s="2198"/>
      <c r="WAA75" s="2198"/>
      <c r="WAB75" s="2198"/>
      <c r="WAC75" s="2198"/>
      <c r="WAD75" s="2198"/>
      <c r="WAE75" s="2198"/>
      <c r="WAF75" s="2198"/>
      <c r="WAG75" s="2198"/>
      <c r="WAH75" s="2198"/>
      <c r="WAI75" s="2198"/>
      <c r="WAJ75" s="2198"/>
      <c r="WAK75" s="2198"/>
      <c r="WAL75" s="2198"/>
      <c r="WAM75" s="2198"/>
      <c r="WAN75" s="2198"/>
      <c r="WAO75" s="2198"/>
      <c r="WAP75" s="2198"/>
      <c r="WAQ75" s="2198"/>
      <c r="WAR75" s="2198"/>
      <c r="WAS75" s="2198"/>
      <c r="WAT75" s="2198"/>
      <c r="WAU75" s="2198"/>
      <c r="WAV75" s="2198"/>
      <c r="WAW75" s="2198"/>
      <c r="WAX75" s="2198"/>
      <c r="WAY75" s="2198"/>
      <c r="WAZ75" s="2198"/>
      <c r="WBA75" s="2198"/>
      <c r="WBB75" s="2198"/>
      <c r="WBC75" s="2198"/>
      <c r="WBD75" s="2198"/>
      <c r="WBE75" s="2198"/>
      <c r="WBF75" s="2198"/>
      <c r="WBG75" s="2198"/>
      <c r="WBH75" s="2198"/>
      <c r="WBI75" s="2198"/>
      <c r="WBJ75" s="2198"/>
      <c r="WBK75" s="2198"/>
      <c r="WBL75" s="2198"/>
      <c r="WBM75" s="2198"/>
      <c r="WBN75" s="2198"/>
      <c r="WBO75" s="2198"/>
      <c r="WBP75" s="2198"/>
      <c r="WBQ75" s="2198"/>
      <c r="WBR75" s="2198"/>
      <c r="WBS75" s="2198"/>
      <c r="WBT75" s="2198"/>
      <c r="WBU75" s="2198"/>
      <c r="WBV75" s="2198"/>
      <c r="WBW75" s="2198"/>
      <c r="WBX75" s="2198"/>
      <c r="WBY75" s="2198"/>
      <c r="WBZ75" s="2198"/>
      <c r="WCA75" s="2198"/>
      <c r="WCB75" s="2198"/>
      <c r="WCC75" s="2198"/>
      <c r="WCD75" s="2198"/>
      <c r="WCE75" s="2198"/>
      <c r="WCF75" s="2198"/>
      <c r="WCG75" s="2198"/>
      <c r="WCH75" s="2198"/>
      <c r="WCI75" s="2198"/>
      <c r="WCJ75" s="2198"/>
      <c r="WCK75" s="2198"/>
      <c r="WCL75" s="2198"/>
      <c r="WCM75" s="2198"/>
      <c r="WCN75" s="2198"/>
      <c r="WCO75" s="2198"/>
      <c r="WCP75" s="2198"/>
      <c r="WCQ75" s="2198"/>
      <c r="WCR75" s="2198"/>
      <c r="WCS75" s="2198"/>
      <c r="WCT75" s="2198"/>
      <c r="WCU75" s="2198"/>
      <c r="WCV75" s="2198"/>
      <c r="WCW75" s="2198"/>
      <c r="WCX75" s="2198"/>
      <c r="WCY75" s="2198"/>
      <c r="WCZ75" s="2198"/>
      <c r="WDA75" s="2198"/>
      <c r="WDB75" s="2198"/>
      <c r="WDC75" s="2198"/>
      <c r="WDD75" s="2198"/>
      <c r="WDE75" s="2198"/>
      <c r="WDF75" s="2198"/>
      <c r="WDG75" s="2198"/>
      <c r="WDH75" s="2198"/>
      <c r="WDI75" s="2198"/>
      <c r="WDJ75" s="2198"/>
      <c r="WDK75" s="2198"/>
      <c r="WDL75" s="2198"/>
      <c r="WDM75" s="2198"/>
      <c r="WDN75" s="2198"/>
      <c r="WDO75" s="2198"/>
      <c r="WDP75" s="2198"/>
      <c r="WDQ75" s="2198"/>
      <c r="WDR75" s="2198"/>
      <c r="WDS75" s="2198"/>
      <c r="WDT75" s="2198"/>
      <c r="WDU75" s="2198"/>
      <c r="WDV75" s="2198"/>
      <c r="WDW75" s="2198"/>
      <c r="WDX75" s="2198"/>
      <c r="WDY75" s="2198"/>
      <c r="WDZ75" s="2198"/>
      <c r="WEA75" s="2198"/>
      <c r="WEB75" s="2198"/>
      <c r="WEC75" s="2198"/>
      <c r="WED75" s="2198"/>
      <c r="WEE75" s="2198"/>
      <c r="WEF75" s="2198"/>
      <c r="WEG75" s="2198"/>
      <c r="WEH75" s="2198"/>
      <c r="WEI75" s="2198"/>
      <c r="WEJ75" s="2198"/>
      <c r="WEK75" s="2198"/>
      <c r="WEL75" s="2198"/>
      <c r="WEM75" s="2198"/>
      <c r="WEN75" s="2198"/>
      <c r="WEO75" s="2198"/>
      <c r="WEP75" s="2198"/>
      <c r="WEQ75" s="2198"/>
      <c r="WER75" s="2198"/>
      <c r="WES75" s="2198"/>
      <c r="WET75" s="2198"/>
      <c r="WEU75" s="2198"/>
      <c r="WEV75" s="2198"/>
      <c r="WEW75" s="2198"/>
      <c r="WEX75" s="2198"/>
      <c r="WEY75" s="2198"/>
      <c r="WEZ75" s="2198"/>
      <c r="WFA75" s="2198"/>
      <c r="WFB75" s="2198"/>
      <c r="WFC75" s="2198"/>
      <c r="WFD75" s="2198"/>
      <c r="WFE75" s="2198"/>
      <c r="WFF75" s="2198"/>
      <c r="WFG75" s="2198"/>
      <c r="WFH75" s="2198"/>
      <c r="WFI75" s="2198"/>
      <c r="WFJ75" s="2198"/>
      <c r="WFK75" s="2198"/>
      <c r="WFL75" s="2198"/>
      <c r="WFM75" s="2198"/>
      <c r="WFN75" s="2198"/>
      <c r="WFO75" s="2198"/>
      <c r="WFP75" s="2198"/>
      <c r="WFQ75" s="2198"/>
      <c r="WFR75" s="2198"/>
      <c r="WFS75" s="2198"/>
      <c r="WFT75" s="2198"/>
      <c r="WFU75" s="2198"/>
      <c r="WFV75" s="2198"/>
      <c r="WFW75" s="2198"/>
      <c r="WFX75" s="2198"/>
      <c r="WFY75" s="2198"/>
      <c r="WFZ75" s="2198"/>
      <c r="WGA75" s="2198"/>
      <c r="WGB75" s="2198"/>
      <c r="WGC75" s="2198"/>
      <c r="WGD75" s="2198"/>
      <c r="WGE75" s="2198"/>
      <c r="WGF75" s="2198"/>
      <c r="WGG75" s="2198"/>
      <c r="WGH75" s="2198"/>
      <c r="WGI75" s="2198"/>
      <c r="WGJ75" s="2198"/>
      <c r="WGK75" s="2198"/>
      <c r="WGL75" s="2198"/>
      <c r="WGM75" s="2198"/>
      <c r="WGN75" s="2198"/>
      <c r="WGO75" s="2198"/>
      <c r="WGP75" s="2198"/>
      <c r="WGQ75" s="2198"/>
      <c r="WGR75" s="2198"/>
      <c r="WGS75" s="2198"/>
      <c r="WGT75" s="2198"/>
      <c r="WGU75" s="2198"/>
      <c r="WGV75" s="2198"/>
      <c r="WGW75" s="2198"/>
      <c r="WGX75" s="2198"/>
      <c r="WGY75" s="2198"/>
      <c r="WGZ75" s="2198"/>
      <c r="WHA75" s="2198"/>
      <c r="WHB75" s="2198"/>
      <c r="WHC75" s="2198"/>
      <c r="WHD75" s="2198"/>
      <c r="WHE75" s="2198"/>
      <c r="WHF75" s="2198"/>
      <c r="WHG75" s="2198"/>
      <c r="WHH75" s="2198"/>
      <c r="WHI75" s="2198"/>
      <c r="WHJ75" s="2198"/>
      <c r="WHK75" s="2198"/>
      <c r="WHL75" s="2198"/>
      <c r="WHM75" s="2198"/>
      <c r="WHN75" s="2198"/>
      <c r="WHO75" s="2198"/>
      <c r="WHP75" s="2198"/>
      <c r="WHQ75" s="2198"/>
      <c r="WHR75" s="2198"/>
      <c r="WHS75" s="2198"/>
      <c r="WHT75" s="2198"/>
      <c r="WHU75" s="2198"/>
      <c r="WHV75" s="2198"/>
      <c r="WHW75" s="2198"/>
      <c r="WHX75" s="2198"/>
      <c r="WHY75" s="2198"/>
      <c r="WHZ75" s="2198"/>
      <c r="WIA75" s="2198"/>
      <c r="WIB75" s="2198"/>
      <c r="WIC75" s="2198"/>
      <c r="WID75" s="2198"/>
      <c r="WIE75" s="2198"/>
      <c r="WIF75" s="2198"/>
      <c r="WIG75" s="2198"/>
      <c r="WIH75" s="2198"/>
      <c r="WII75" s="2198"/>
      <c r="WIJ75" s="2198"/>
      <c r="WIK75" s="2198"/>
      <c r="WIL75" s="2198"/>
      <c r="WIM75" s="2198"/>
      <c r="WIN75" s="2198"/>
      <c r="WIO75" s="2198"/>
      <c r="WIP75" s="2198"/>
      <c r="WIQ75" s="2198"/>
      <c r="WIR75" s="2198"/>
      <c r="WIS75" s="2198"/>
      <c r="WIT75" s="2198"/>
      <c r="WIU75" s="2198"/>
      <c r="WIV75" s="2198"/>
      <c r="WIW75" s="2198"/>
      <c r="WIX75" s="2198"/>
      <c r="WIY75" s="2198"/>
      <c r="WIZ75" s="2198"/>
      <c r="WJA75" s="2198"/>
      <c r="WJB75" s="2198"/>
      <c r="WJC75" s="2198"/>
      <c r="WJD75" s="2198"/>
      <c r="WJE75" s="2198"/>
      <c r="WJF75" s="2198"/>
      <c r="WJG75" s="2198"/>
      <c r="WJH75" s="2198"/>
      <c r="WJI75" s="2198"/>
      <c r="WJJ75" s="2198"/>
      <c r="WJK75" s="2198"/>
      <c r="WJL75" s="2198"/>
      <c r="WJM75" s="2198"/>
      <c r="WJN75" s="2198"/>
      <c r="WJO75" s="2198"/>
      <c r="WJP75" s="2198"/>
      <c r="WJQ75" s="2198"/>
      <c r="WJR75" s="2198"/>
      <c r="WJS75" s="2198"/>
      <c r="WJT75" s="2198"/>
      <c r="WJU75" s="2198"/>
      <c r="WJV75" s="2198"/>
      <c r="WJW75" s="2198"/>
      <c r="WJX75" s="2198"/>
      <c r="WJY75" s="2198"/>
      <c r="WJZ75" s="2198"/>
      <c r="WKA75" s="2198"/>
      <c r="WKB75" s="2198"/>
      <c r="WKC75" s="2198"/>
      <c r="WKD75" s="2198"/>
      <c r="WKE75" s="2198"/>
      <c r="WKF75" s="2198"/>
      <c r="WKG75" s="2198"/>
      <c r="WKH75" s="2198"/>
      <c r="WKI75" s="2198"/>
      <c r="WKJ75" s="2198"/>
      <c r="WKK75" s="2198"/>
      <c r="WKL75" s="2198"/>
      <c r="WKM75" s="2198"/>
      <c r="WKN75" s="2198"/>
      <c r="WKO75" s="2198"/>
      <c r="WKP75" s="2198"/>
      <c r="WKQ75" s="2198"/>
      <c r="WKR75" s="2198"/>
      <c r="WKS75" s="2198"/>
      <c r="WKT75" s="2198"/>
      <c r="WKU75" s="2198"/>
      <c r="WKV75" s="2198"/>
      <c r="WKW75" s="2198"/>
      <c r="WKX75" s="2198"/>
      <c r="WKY75" s="2198"/>
      <c r="WKZ75" s="2198"/>
      <c r="WLA75" s="2198"/>
      <c r="WLB75" s="2198"/>
      <c r="WLC75" s="2198"/>
      <c r="WLD75" s="2198"/>
      <c r="WLE75" s="2198"/>
      <c r="WLF75" s="2198"/>
      <c r="WLG75" s="2198"/>
      <c r="WLH75" s="2198"/>
      <c r="WLI75" s="2198"/>
      <c r="WLJ75" s="2198"/>
      <c r="WLK75" s="2198"/>
      <c r="WLL75" s="2198"/>
      <c r="WLM75" s="2198"/>
      <c r="WLN75" s="2198"/>
      <c r="WLO75" s="2198"/>
      <c r="WLP75" s="2198"/>
      <c r="WLQ75" s="2198"/>
      <c r="WLR75" s="2198"/>
      <c r="WLS75" s="2198"/>
      <c r="WLT75" s="2198"/>
      <c r="WLU75" s="2198"/>
      <c r="WLV75" s="2198"/>
      <c r="WLW75" s="2198"/>
      <c r="WLX75" s="2198"/>
      <c r="WLY75" s="2198"/>
      <c r="WLZ75" s="2198"/>
      <c r="WMA75" s="2198"/>
      <c r="WMB75" s="2198"/>
      <c r="WMC75" s="2198"/>
      <c r="WMD75" s="2198"/>
      <c r="WME75" s="2198"/>
      <c r="WMF75" s="2198"/>
      <c r="WMG75" s="2198"/>
      <c r="WMH75" s="2198"/>
      <c r="WMI75" s="2198"/>
      <c r="WMJ75" s="2198"/>
      <c r="WMK75" s="2198"/>
      <c r="WML75" s="2198"/>
      <c r="WMM75" s="2198"/>
      <c r="WMN75" s="2198"/>
      <c r="WMO75" s="2198"/>
      <c r="WMP75" s="2198"/>
      <c r="WMQ75" s="2198"/>
      <c r="WMR75" s="2198"/>
      <c r="WMS75" s="2198"/>
      <c r="WMT75" s="2198"/>
      <c r="WMU75" s="2198"/>
      <c r="WMV75" s="2198"/>
      <c r="WMW75" s="2198"/>
      <c r="WMX75" s="2198"/>
      <c r="WMY75" s="2198"/>
      <c r="WMZ75" s="2198"/>
      <c r="WNA75" s="2198"/>
      <c r="WNB75" s="2198"/>
      <c r="WNC75" s="2198"/>
      <c r="WND75" s="2198"/>
      <c r="WNE75" s="2198"/>
      <c r="WNF75" s="2198"/>
      <c r="WNG75" s="2198"/>
      <c r="WNH75" s="2198"/>
      <c r="WNI75" s="2198"/>
      <c r="WNJ75" s="2198"/>
      <c r="WNK75" s="2198"/>
      <c r="WNL75" s="2198"/>
      <c r="WNM75" s="2198"/>
      <c r="WNN75" s="2198"/>
      <c r="WNO75" s="2198"/>
      <c r="WNP75" s="2198"/>
      <c r="WNQ75" s="2198"/>
      <c r="WNR75" s="2198"/>
      <c r="WNS75" s="2198"/>
      <c r="WNT75" s="2198"/>
      <c r="WNU75" s="2198"/>
      <c r="WNV75" s="2198"/>
      <c r="WNW75" s="2198"/>
      <c r="WNX75" s="2198"/>
      <c r="WNY75" s="2198"/>
      <c r="WNZ75" s="2198"/>
      <c r="WOA75" s="2198"/>
      <c r="WOB75" s="2198"/>
      <c r="WOC75" s="2198"/>
      <c r="WOD75" s="2198"/>
      <c r="WOE75" s="2198"/>
      <c r="WOF75" s="2198"/>
      <c r="WOG75" s="2198"/>
      <c r="WOH75" s="2198"/>
      <c r="WOI75" s="2198"/>
      <c r="WOJ75" s="2198"/>
      <c r="WOK75" s="2198"/>
      <c r="WOL75" s="2198"/>
      <c r="WOM75" s="2198"/>
      <c r="WON75" s="2198"/>
      <c r="WOO75" s="2198"/>
      <c r="WOP75" s="2198"/>
      <c r="WOQ75" s="2198"/>
      <c r="WOR75" s="2198"/>
      <c r="WOS75" s="2198"/>
      <c r="WOT75" s="2198"/>
      <c r="WOU75" s="2198"/>
      <c r="WOV75" s="2198"/>
      <c r="WOW75" s="2198"/>
      <c r="WOX75" s="2198"/>
      <c r="WOY75" s="2198"/>
      <c r="WOZ75" s="2198"/>
      <c r="WPA75" s="2198"/>
      <c r="WPB75" s="2198"/>
      <c r="WPC75" s="2198"/>
      <c r="WPD75" s="2198"/>
      <c r="WPE75" s="2198"/>
      <c r="WPF75" s="2198"/>
      <c r="WPG75" s="2198"/>
      <c r="WPH75" s="2198"/>
      <c r="WPI75" s="2198"/>
      <c r="WPJ75" s="2198"/>
      <c r="WPK75" s="2198"/>
      <c r="WPL75" s="2198"/>
      <c r="WPM75" s="2198"/>
      <c r="WPN75" s="2198"/>
      <c r="WPO75" s="2198"/>
      <c r="WPP75" s="2198"/>
      <c r="WPQ75" s="2198"/>
      <c r="WPR75" s="2198"/>
      <c r="WPS75" s="2198"/>
      <c r="WPT75" s="2198"/>
      <c r="WPU75" s="2198"/>
      <c r="WPV75" s="2198"/>
      <c r="WPW75" s="2198"/>
      <c r="WPX75" s="2198"/>
      <c r="WPY75" s="2198"/>
      <c r="WPZ75" s="2198"/>
      <c r="WQA75" s="2198"/>
      <c r="WQB75" s="2198"/>
      <c r="WQC75" s="2198"/>
      <c r="WQD75" s="2198"/>
      <c r="WQE75" s="2198"/>
      <c r="WQF75" s="2198"/>
      <c r="WQG75" s="2198"/>
      <c r="WQH75" s="2198"/>
      <c r="WQI75" s="2198"/>
      <c r="WQJ75" s="2198"/>
      <c r="WQK75" s="2198"/>
      <c r="WQL75" s="2198"/>
      <c r="WQM75" s="2198"/>
      <c r="WQN75" s="2198"/>
      <c r="WQO75" s="2198"/>
      <c r="WQP75" s="2198"/>
      <c r="WQQ75" s="2198"/>
      <c r="WQR75" s="2198"/>
      <c r="WQS75" s="2198"/>
      <c r="WQT75" s="2198"/>
      <c r="WQU75" s="2198"/>
      <c r="WQV75" s="2198"/>
      <c r="WQW75" s="2198"/>
      <c r="WQX75" s="2198"/>
      <c r="WQY75" s="2198"/>
      <c r="WQZ75" s="2198"/>
      <c r="WRA75" s="2198"/>
      <c r="WRB75" s="2198"/>
      <c r="WRC75" s="2198"/>
      <c r="WRD75" s="2198"/>
      <c r="WRE75" s="2198"/>
      <c r="WRF75" s="2198"/>
      <c r="WRG75" s="2198"/>
      <c r="WRH75" s="2198"/>
      <c r="WRI75" s="2198"/>
      <c r="WRJ75" s="2198"/>
      <c r="WRK75" s="2198"/>
      <c r="WRL75" s="2198"/>
      <c r="WRM75" s="2198"/>
      <c r="WRN75" s="2198"/>
      <c r="WRO75" s="2198"/>
      <c r="WRP75" s="2198"/>
      <c r="WRQ75" s="2198"/>
      <c r="WRR75" s="2198"/>
      <c r="WRS75" s="2198"/>
      <c r="WRT75" s="2198"/>
      <c r="WRU75" s="2198"/>
      <c r="WRV75" s="2198"/>
      <c r="WRW75" s="2198"/>
      <c r="WRX75" s="2198"/>
      <c r="WRY75" s="2198"/>
      <c r="WRZ75" s="2198"/>
      <c r="WSA75" s="2198"/>
      <c r="WSB75" s="2198"/>
      <c r="WSC75" s="2198"/>
      <c r="WSD75" s="2198"/>
      <c r="WSE75" s="2198"/>
      <c r="WSF75" s="2198"/>
      <c r="WSG75" s="2198"/>
      <c r="WSH75" s="2198"/>
      <c r="WSI75" s="2198"/>
      <c r="WSJ75" s="2198"/>
      <c r="WSK75" s="2198"/>
      <c r="WSL75" s="2198"/>
      <c r="WSM75" s="2198"/>
      <c r="WSN75" s="2198"/>
      <c r="WSO75" s="2198"/>
      <c r="WSP75" s="2198"/>
      <c r="WSQ75" s="2198"/>
      <c r="WSR75" s="2198"/>
      <c r="WSS75" s="2198"/>
      <c r="WST75" s="2198"/>
      <c r="WSU75" s="2198"/>
      <c r="WSV75" s="2198"/>
      <c r="WSW75" s="2198"/>
      <c r="WSX75" s="2198"/>
      <c r="WSY75" s="2198"/>
      <c r="WSZ75" s="2198"/>
      <c r="WTA75" s="2198"/>
      <c r="WTB75" s="2198"/>
      <c r="WTC75" s="2198"/>
      <c r="WTD75" s="2198"/>
      <c r="WTE75" s="2198"/>
      <c r="WTF75" s="2198"/>
      <c r="WTG75" s="2198"/>
      <c r="WTH75" s="2198"/>
      <c r="WTI75" s="2198"/>
      <c r="WTJ75" s="2198"/>
      <c r="WTK75" s="2198"/>
      <c r="WTL75" s="2198"/>
      <c r="WTM75" s="2198"/>
      <c r="WTN75" s="2198"/>
      <c r="WTO75" s="2198"/>
      <c r="WTP75" s="2198"/>
      <c r="WTQ75" s="2198"/>
      <c r="WTR75" s="2198"/>
      <c r="WTS75" s="2198"/>
      <c r="WTT75" s="2198"/>
      <c r="WTU75" s="2198"/>
      <c r="WTV75" s="2198"/>
      <c r="WTW75" s="2198"/>
      <c r="WTX75" s="2198"/>
      <c r="WTY75" s="2198"/>
      <c r="WTZ75" s="2198"/>
      <c r="WUA75" s="2198"/>
      <c r="WUB75" s="2198"/>
      <c r="WUC75" s="2198"/>
      <c r="WUD75" s="2198"/>
      <c r="WUE75" s="2198"/>
      <c r="WUF75" s="2198"/>
      <c r="WUG75" s="2198"/>
      <c r="WUH75" s="2198"/>
      <c r="WUI75" s="2198"/>
      <c r="WUJ75" s="2198"/>
      <c r="WUK75" s="2198"/>
      <c r="WUL75" s="2198"/>
      <c r="WUM75" s="2198"/>
      <c r="WUN75" s="2198"/>
      <c r="WUO75" s="2198"/>
      <c r="WUP75" s="2198"/>
      <c r="WUQ75" s="2198"/>
      <c r="WUR75" s="2198"/>
      <c r="WUS75" s="2198"/>
      <c r="WUT75" s="2198"/>
      <c r="WUU75" s="2198"/>
      <c r="WUV75" s="2198"/>
      <c r="WUW75" s="2198"/>
      <c r="WUX75" s="2198"/>
      <c r="WUY75" s="2198"/>
      <c r="WUZ75" s="2198"/>
      <c r="WVA75" s="2198"/>
      <c r="WVB75" s="2198"/>
      <c r="WVC75" s="2198"/>
      <c r="WVD75" s="2198"/>
      <c r="WVE75" s="2198"/>
      <c r="WVF75" s="2198"/>
      <c r="WVG75" s="2198"/>
      <c r="WVH75" s="2198"/>
      <c r="WVI75" s="2198"/>
      <c r="WVJ75" s="2198"/>
      <c r="WVK75" s="2198"/>
      <c r="WVL75" s="2198"/>
      <c r="WVM75" s="2198"/>
      <c r="WVN75" s="2198"/>
      <c r="WVO75" s="2198"/>
      <c r="WVP75" s="2198"/>
      <c r="WVQ75" s="2198"/>
      <c r="WVR75" s="2198"/>
      <c r="WVS75" s="2198"/>
      <c r="WVT75" s="2198"/>
      <c r="WVU75" s="2198"/>
      <c r="WVV75" s="2198"/>
      <c r="WVW75" s="2198"/>
      <c r="WVX75" s="2198"/>
      <c r="WVY75" s="2198"/>
      <c r="WVZ75" s="2198"/>
      <c r="WWA75" s="2198"/>
      <c r="WWB75" s="2198"/>
      <c r="WWC75" s="2198"/>
      <c r="WWD75" s="2198"/>
      <c r="WWE75" s="2198"/>
      <c r="WWF75" s="2198"/>
      <c r="WWG75" s="2198"/>
      <c r="WWH75" s="2198"/>
      <c r="WWI75" s="2198"/>
      <c r="WWJ75" s="2198"/>
      <c r="WWK75" s="2198"/>
      <c r="WWL75" s="2198"/>
      <c r="WWM75" s="2198"/>
      <c r="WWN75" s="2198"/>
      <c r="WWO75" s="2198"/>
      <c r="WWP75" s="2198"/>
      <c r="WWQ75" s="2198"/>
      <c r="WWR75" s="2198"/>
      <c r="WWS75" s="2198"/>
      <c r="WWT75" s="2198"/>
      <c r="WWU75" s="2198"/>
      <c r="WWV75" s="2198"/>
      <c r="WWW75" s="2198"/>
      <c r="WWX75" s="2198"/>
      <c r="WWY75" s="2198"/>
      <c r="WWZ75" s="2198"/>
      <c r="WXA75" s="2198"/>
      <c r="WXB75" s="2198"/>
      <c r="WXC75" s="2198"/>
      <c r="WXD75" s="2198"/>
      <c r="WXE75" s="2198"/>
      <c r="WXF75" s="2198"/>
      <c r="WXG75" s="2198"/>
      <c r="WXH75" s="2198"/>
      <c r="WXI75" s="2198"/>
      <c r="WXJ75" s="2198"/>
      <c r="WXK75" s="2198"/>
      <c r="WXL75" s="2198"/>
      <c r="WXM75" s="2198"/>
      <c r="WXN75" s="2198"/>
      <c r="WXO75" s="2198"/>
      <c r="WXP75" s="2198"/>
      <c r="WXQ75" s="2198"/>
      <c r="WXR75" s="2198"/>
      <c r="WXS75" s="2198"/>
      <c r="WXT75" s="2198"/>
      <c r="WXU75" s="2198"/>
      <c r="WXV75" s="2198"/>
      <c r="WXW75" s="2198"/>
      <c r="WXX75" s="2198"/>
      <c r="WXY75" s="2198"/>
      <c r="WXZ75" s="2198"/>
      <c r="WYA75" s="2198"/>
      <c r="WYB75" s="2198"/>
      <c r="WYC75" s="2198"/>
      <c r="WYD75" s="2198"/>
      <c r="WYE75" s="2198"/>
      <c r="WYF75" s="2198"/>
      <c r="WYG75" s="2198"/>
      <c r="WYH75" s="2198"/>
      <c r="WYI75" s="2198"/>
      <c r="WYJ75" s="2198"/>
      <c r="WYK75" s="2198"/>
      <c r="WYL75" s="2198"/>
      <c r="WYM75" s="2198"/>
      <c r="WYN75" s="2198"/>
      <c r="WYO75" s="2198"/>
      <c r="WYP75" s="2198"/>
      <c r="WYQ75" s="2198"/>
      <c r="WYR75" s="2198"/>
      <c r="WYS75" s="2198"/>
      <c r="WYT75" s="2198"/>
      <c r="WYU75" s="2198"/>
      <c r="WYV75" s="2198"/>
      <c r="WYW75" s="2198"/>
      <c r="WYX75" s="2198"/>
      <c r="WYY75" s="2198"/>
      <c r="WYZ75" s="2198"/>
      <c r="WZA75" s="2198"/>
      <c r="WZB75" s="2198"/>
      <c r="WZC75" s="2198"/>
      <c r="WZD75" s="2198"/>
      <c r="WZE75" s="2198"/>
      <c r="WZF75" s="2198"/>
      <c r="WZG75" s="2198"/>
      <c r="WZH75" s="2198"/>
      <c r="WZI75" s="2198"/>
      <c r="WZJ75" s="2198"/>
      <c r="WZK75" s="2198"/>
      <c r="WZL75" s="2198"/>
      <c r="WZM75" s="2198"/>
      <c r="WZN75" s="2198"/>
      <c r="WZO75" s="2198"/>
      <c r="WZP75" s="2198"/>
      <c r="WZQ75" s="2198"/>
      <c r="WZR75" s="2198"/>
      <c r="WZS75" s="2198"/>
      <c r="WZT75" s="2198"/>
      <c r="WZU75" s="2198"/>
      <c r="WZV75" s="2198"/>
      <c r="WZW75" s="2198"/>
      <c r="WZX75" s="2198"/>
      <c r="WZY75" s="2198"/>
      <c r="WZZ75" s="2198"/>
      <c r="XAA75" s="2198"/>
      <c r="XAB75" s="2198"/>
      <c r="XAC75" s="2198"/>
      <c r="XAD75" s="2198"/>
      <c r="XAE75" s="2198"/>
      <c r="XAF75" s="2198"/>
      <c r="XAG75" s="2198"/>
      <c r="XAH75" s="2198"/>
      <c r="XAI75" s="2198"/>
      <c r="XAJ75" s="2198"/>
      <c r="XAK75" s="2198"/>
      <c r="XAL75" s="2198"/>
      <c r="XAM75" s="2198"/>
      <c r="XAN75" s="2198"/>
      <c r="XAO75" s="2198"/>
      <c r="XAP75" s="2198"/>
      <c r="XAQ75" s="2198"/>
      <c r="XAR75" s="2198"/>
      <c r="XAS75" s="2198"/>
      <c r="XAT75" s="2198"/>
      <c r="XAU75" s="2198"/>
      <c r="XAV75" s="2198"/>
      <c r="XAW75" s="2198"/>
      <c r="XAX75" s="2198"/>
      <c r="XAY75" s="2198"/>
      <c r="XAZ75" s="2198"/>
      <c r="XBA75" s="2198"/>
      <c r="XBB75" s="2198"/>
      <c r="XBC75" s="2198"/>
      <c r="XBD75" s="2198"/>
      <c r="XBE75" s="2198"/>
      <c r="XBF75" s="2198"/>
      <c r="XBG75" s="2198"/>
      <c r="XBH75" s="2198"/>
      <c r="XBI75" s="2198"/>
      <c r="XBJ75" s="2198"/>
      <c r="XBK75" s="2198"/>
      <c r="XBL75" s="2198"/>
      <c r="XBM75" s="2198"/>
      <c r="XBN75" s="2198"/>
      <c r="XBO75" s="2198"/>
      <c r="XBP75" s="2198"/>
      <c r="XBQ75" s="2198"/>
      <c r="XBR75" s="2198"/>
      <c r="XBS75" s="2198"/>
      <c r="XBT75" s="2198"/>
      <c r="XBU75" s="2198"/>
      <c r="XBV75" s="2198"/>
      <c r="XBW75" s="2198"/>
      <c r="XBX75" s="2198"/>
      <c r="XBY75" s="2198"/>
      <c r="XBZ75" s="2198"/>
      <c r="XCA75" s="2198"/>
      <c r="XCB75" s="2198"/>
      <c r="XCC75" s="2198"/>
      <c r="XCD75" s="2198"/>
      <c r="XCE75" s="2198"/>
      <c r="XCF75" s="2198"/>
      <c r="XCG75" s="2198"/>
      <c r="XCH75" s="2198"/>
      <c r="XCI75" s="2198"/>
      <c r="XCJ75" s="2198"/>
      <c r="XCK75" s="2198"/>
      <c r="XCL75" s="2198"/>
      <c r="XCM75" s="2198"/>
      <c r="XCN75" s="2198"/>
      <c r="XCO75" s="2198"/>
      <c r="XCP75" s="2198"/>
      <c r="XCQ75" s="2198"/>
      <c r="XCR75" s="2198"/>
      <c r="XCS75" s="2198"/>
      <c r="XCT75" s="2198"/>
      <c r="XCU75" s="2198"/>
      <c r="XCV75" s="2198"/>
      <c r="XCW75" s="2198"/>
      <c r="XCX75" s="2198"/>
      <c r="XCY75" s="2198"/>
      <c r="XCZ75" s="2198"/>
      <c r="XDA75" s="2198"/>
      <c r="XDB75" s="2198"/>
      <c r="XDC75" s="2198"/>
      <c r="XDD75" s="2198"/>
      <c r="XDE75" s="2198"/>
      <c r="XDF75" s="2198"/>
      <c r="XDG75" s="2198"/>
      <c r="XDH75" s="2198"/>
      <c r="XDI75" s="2198"/>
      <c r="XDJ75" s="2198"/>
      <c r="XDK75" s="2198"/>
      <c r="XDL75" s="2198"/>
      <c r="XDM75" s="2198"/>
      <c r="XDN75" s="2198"/>
      <c r="XDO75" s="2198"/>
      <c r="XDP75" s="2198"/>
      <c r="XDQ75" s="2198"/>
      <c r="XDR75" s="2198"/>
      <c r="XDS75" s="2198"/>
      <c r="XDT75" s="2198"/>
      <c r="XDU75" s="2198"/>
      <c r="XDV75" s="2198"/>
      <c r="XDW75" s="2198"/>
      <c r="XDX75" s="2198"/>
      <c r="XDY75" s="2198"/>
      <c r="XDZ75" s="2198"/>
      <c r="XEA75" s="2198"/>
      <c r="XEB75" s="2198"/>
      <c r="XEC75" s="2198"/>
      <c r="XED75" s="2198"/>
      <c r="XEE75" s="2198"/>
      <c r="XEF75" s="2198"/>
      <c r="XEG75" s="2198"/>
      <c r="XEH75" s="2198"/>
      <c r="XEI75" s="2198"/>
      <c r="XEJ75" s="2198"/>
      <c r="XEK75" s="2198"/>
      <c r="XEL75" s="2198"/>
      <c r="XEM75" s="2198"/>
      <c r="XEN75" s="2198"/>
      <c r="XEO75" s="2198"/>
      <c r="XEP75" s="2198"/>
      <c r="XEQ75" s="2198"/>
      <c r="XER75" s="2198"/>
      <c r="XES75" s="2198"/>
      <c r="XET75" s="2198"/>
      <c r="XEU75" s="2198"/>
      <c r="XEV75" s="2198"/>
      <c r="XEW75" s="2198"/>
      <c r="XEX75" s="2198"/>
      <c r="XEY75" s="2198"/>
      <c r="XEZ75" s="2198"/>
      <c r="XFA75" s="2198"/>
      <c r="XFB75" s="2198"/>
      <c r="XFC75" s="2198"/>
    </row>
    <row r="76" spans="2:16383" ht="15" x14ac:dyDescent="0.25">
      <c r="B76" s="2410"/>
      <c r="C76" s="2432" t="s">
        <v>1368</v>
      </c>
      <c r="D76" s="2415" t="s">
        <v>1365</v>
      </c>
      <c r="E76" s="2411" t="s">
        <v>319</v>
      </c>
      <c r="F76" s="2411"/>
      <c r="G76" s="2431">
        <v>438910.85467203968</v>
      </c>
      <c r="H76" s="2431">
        <v>437470.78139266343</v>
      </c>
      <c r="I76" s="2431">
        <v>438642.69618232572</v>
      </c>
      <c r="J76" s="2431">
        <v>438514.35728019569</v>
      </c>
      <c r="K76" s="2431">
        <v>437526.03608970292</v>
      </c>
      <c r="L76" s="2431">
        <v>435614.49404023268</v>
      </c>
      <c r="M76" s="2431">
        <v>432493.89133505191</v>
      </c>
      <c r="N76" s="2431">
        <v>429499.94500098767</v>
      </c>
      <c r="O76" s="2431">
        <v>426631.07491824101</v>
      </c>
      <c r="P76" s="2431">
        <v>423784.90800432989</v>
      </c>
      <c r="Q76" s="2431">
        <v>420824.18107019266</v>
      </c>
      <c r="R76" s="2431">
        <v>418469.7645954857</v>
      </c>
      <c r="S76" s="2431">
        <v>416595.1336143426</v>
      </c>
      <c r="T76" s="2431">
        <v>415101.01021953486</v>
      </c>
      <c r="U76" s="2431">
        <v>413909.19815150759</v>
      </c>
      <c r="V76" s="2431">
        <v>412957.91527074185</v>
      </c>
      <c r="W76" s="2431">
        <v>412198.22577539628</v>
      </c>
      <c r="X76" s="2431">
        <v>411591.29068933055</v>
      </c>
      <c r="Y76" s="2431">
        <v>411106.23438159568</v>
      </c>
      <c r="Z76" s="2431">
        <v>410718.47962385422</v>
      </c>
      <c r="AA76" s="2431">
        <v>410408.44214612537</v>
      </c>
      <c r="AB76" s="2431">
        <v>410160.50309074513</v>
      </c>
      <c r="AC76" s="2431">
        <v>409962.19763734064</v>
      </c>
      <c r="AD76" s="2431">
        <v>409803.5726641565</v>
      </c>
      <c r="AE76" s="2431">
        <v>409676.67716197588</v>
      </c>
      <c r="AF76" s="2431">
        <v>409575.15727734839</v>
      </c>
      <c r="AG76" s="2431">
        <v>409493.93406053638</v>
      </c>
      <c r="AH76" s="2431">
        <v>409428.94674343278</v>
      </c>
      <c r="AI76" s="2431">
        <v>409376.94803964783</v>
      </c>
      <c r="AJ76" s="2431">
        <v>409335.34080800845</v>
      </c>
      <c r="AK76" s="2431">
        <v>409302.04764619988</v>
      </c>
      <c r="AL76" s="2431">
        <v>409275.40672738827</v>
      </c>
      <c r="AM76" s="2431">
        <v>409254.08856785489</v>
      </c>
      <c r="AN76" s="2431">
        <v>409237.02949988918</v>
      </c>
      <c r="AO76" s="2431">
        <v>409223.37848443014</v>
      </c>
      <c r="AP76" s="2431">
        <v>409212.4545804917</v>
      </c>
      <c r="AQ76" s="2431">
        <v>409203.7129309533</v>
      </c>
      <c r="AR76" s="2431">
        <v>409196.71755605424</v>
      </c>
      <c r="AS76" s="2431">
        <v>409191.11958993366</v>
      </c>
      <c r="AT76" s="2198"/>
      <c r="AU76" s="2198"/>
      <c r="AV76" s="2198"/>
      <c r="AW76" s="2198"/>
      <c r="AX76" s="2198"/>
      <c r="AY76" s="2198"/>
      <c r="AZ76" s="2198"/>
      <c r="BA76" s="2198"/>
      <c r="BB76" s="2198"/>
      <c r="BC76" s="2198"/>
      <c r="BD76" s="2198"/>
      <c r="BE76" s="2198"/>
      <c r="BF76" s="2198"/>
      <c r="BG76" s="2198"/>
      <c r="BH76" s="2198"/>
      <c r="BI76" s="2198"/>
      <c r="BJ76" s="2198"/>
      <c r="BK76" s="2198"/>
      <c r="BL76" s="2198"/>
      <c r="BM76" s="2198"/>
      <c r="BN76" s="2198"/>
      <c r="BO76" s="2198"/>
      <c r="BP76" s="2198"/>
      <c r="BQ76" s="2198"/>
      <c r="BR76" s="2198"/>
      <c r="BS76" s="2198"/>
      <c r="BT76" s="2198"/>
      <c r="BU76" s="2198"/>
      <c r="BV76" s="2198"/>
      <c r="BW76" s="2198"/>
      <c r="BX76" s="2198"/>
      <c r="BY76" s="2198"/>
      <c r="BZ76" s="2198"/>
      <c r="CA76" s="2198"/>
      <c r="CB76" s="2198"/>
      <c r="CC76" s="2198"/>
      <c r="CD76" s="2198"/>
      <c r="CE76" s="2198"/>
      <c r="CF76" s="2198"/>
      <c r="CG76" s="2198"/>
      <c r="CH76" s="2198"/>
      <c r="CI76" s="2198"/>
      <c r="CJ76" s="2198"/>
      <c r="CK76" s="2198"/>
      <c r="CL76" s="2198"/>
      <c r="CM76" s="2198"/>
      <c r="CN76" s="2198"/>
      <c r="CO76" s="2198"/>
      <c r="CP76" s="2198"/>
      <c r="CQ76" s="2198"/>
      <c r="CR76" s="2198"/>
      <c r="CS76" s="2198"/>
      <c r="CT76" s="2198"/>
      <c r="CU76" s="2198"/>
      <c r="CV76" s="2198"/>
      <c r="CW76" s="2198"/>
      <c r="CX76" s="2198"/>
      <c r="CY76" s="2198"/>
      <c r="CZ76" s="2198"/>
      <c r="DA76" s="2198"/>
      <c r="DB76" s="2198"/>
      <c r="DC76" s="2198"/>
      <c r="DD76" s="2198"/>
      <c r="DE76" s="2198"/>
      <c r="DF76" s="2198"/>
      <c r="DG76" s="2198"/>
      <c r="DH76" s="2198"/>
      <c r="DI76" s="2198"/>
      <c r="DJ76" s="2198"/>
      <c r="DK76" s="2198"/>
      <c r="DL76" s="2198"/>
      <c r="DM76" s="2198"/>
      <c r="DN76" s="2198"/>
      <c r="DO76" s="2198"/>
      <c r="DP76" s="2198"/>
      <c r="DQ76" s="2198"/>
      <c r="DR76" s="2198"/>
      <c r="DS76" s="2198"/>
      <c r="DT76" s="2198"/>
      <c r="DU76" s="2198"/>
      <c r="DV76" s="2198"/>
      <c r="DW76" s="2198"/>
      <c r="DX76" s="2198"/>
      <c r="DY76" s="2198"/>
      <c r="DZ76" s="2198"/>
      <c r="EA76" s="2198"/>
      <c r="EB76" s="2198"/>
      <c r="EC76" s="2198"/>
      <c r="ED76" s="2198"/>
      <c r="EE76" s="2198"/>
      <c r="EF76" s="2198"/>
      <c r="EG76" s="2198"/>
      <c r="EH76" s="2198"/>
      <c r="EI76" s="2198"/>
      <c r="EJ76" s="2198"/>
      <c r="EK76" s="2198"/>
      <c r="EL76" s="2198"/>
      <c r="EM76" s="2198"/>
      <c r="EN76" s="2198"/>
      <c r="EO76" s="2198"/>
      <c r="EP76" s="2198"/>
      <c r="EQ76" s="2198"/>
      <c r="ER76" s="2198"/>
      <c r="ES76" s="2198"/>
      <c r="ET76" s="2198"/>
      <c r="EU76" s="2198"/>
      <c r="EV76" s="2198"/>
      <c r="EW76" s="2198"/>
      <c r="EX76" s="2198"/>
      <c r="EY76" s="2198"/>
      <c r="EZ76" s="2198"/>
      <c r="FA76" s="2198"/>
      <c r="FB76" s="2198"/>
      <c r="FC76" s="2198"/>
      <c r="FD76" s="2198"/>
      <c r="FE76" s="2198"/>
      <c r="FF76" s="2198"/>
      <c r="FG76" s="2198"/>
      <c r="FH76" s="2198"/>
      <c r="FI76" s="2198"/>
      <c r="FJ76" s="2198"/>
      <c r="FK76" s="2198"/>
      <c r="FL76" s="2198"/>
      <c r="FM76" s="2198"/>
      <c r="FN76" s="2198"/>
      <c r="FO76" s="2198"/>
      <c r="FP76" s="2198"/>
      <c r="FQ76" s="2198"/>
      <c r="FR76" s="2198"/>
      <c r="FS76" s="2198"/>
      <c r="FT76" s="2198"/>
      <c r="FU76" s="2198"/>
      <c r="FV76" s="2198"/>
      <c r="FW76" s="2198"/>
      <c r="FX76" s="2198"/>
      <c r="FY76" s="2198"/>
      <c r="FZ76" s="2198"/>
      <c r="GA76" s="2198"/>
      <c r="GB76" s="2198"/>
      <c r="GC76" s="2198"/>
      <c r="GD76" s="2198"/>
      <c r="GE76" s="2198"/>
      <c r="GF76" s="2198"/>
      <c r="GG76" s="2198"/>
      <c r="GH76" s="2198"/>
      <c r="GI76" s="2198"/>
      <c r="GJ76" s="2198"/>
      <c r="GK76" s="2198"/>
      <c r="GL76" s="2198"/>
      <c r="GM76" s="2198"/>
      <c r="GN76" s="2198"/>
      <c r="GO76" s="2198"/>
      <c r="GP76" s="2198"/>
      <c r="GQ76" s="2198"/>
      <c r="GR76" s="2198"/>
      <c r="GS76" s="2198"/>
      <c r="GT76" s="2198"/>
      <c r="GU76" s="2198"/>
      <c r="GV76" s="2198"/>
      <c r="GW76" s="2198"/>
      <c r="GX76" s="2198"/>
      <c r="GY76" s="2198"/>
      <c r="GZ76" s="2198"/>
      <c r="HA76" s="2198"/>
      <c r="HB76" s="2198"/>
      <c r="HC76" s="2198"/>
      <c r="HD76" s="2198"/>
      <c r="HE76" s="2198"/>
      <c r="HF76" s="2198"/>
      <c r="HG76" s="2198"/>
      <c r="HH76" s="2198"/>
      <c r="HI76" s="2198"/>
      <c r="HJ76" s="2198"/>
      <c r="HK76" s="2198"/>
      <c r="HL76" s="2198"/>
      <c r="HM76" s="2198"/>
      <c r="HN76" s="2198"/>
      <c r="HO76" s="2198"/>
      <c r="HP76" s="2198"/>
      <c r="HQ76" s="2198"/>
      <c r="HR76" s="2198"/>
      <c r="HS76" s="2198"/>
      <c r="HT76" s="2198"/>
      <c r="HU76" s="2198"/>
      <c r="HV76" s="2198"/>
      <c r="HW76" s="2198"/>
      <c r="HX76" s="2198"/>
      <c r="HY76" s="2198"/>
      <c r="HZ76" s="2198"/>
      <c r="IA76" s="2198"/>
      <c r="IB76" s="2198"/>
      <c r="IC76" s="2198"/>
      <c r="ID76" s="2198"/>
      <c r="IE76" s="2198"/>
      <c r="IF76" s="2198"/>
      <c r="IG76" s="2198"/>
      <c r="IH76" s="2198"/>
      <c r="II76" s="2198"/>
      <c r="IJ76" s="2198"/>
      <c r="IK76" s="2198"/>
      <c r="IL76" s="2198"/>
      <c r="IM76" s="2198"/>
      <c r="IN76" s="2198"/>
      <c r="IO76" s="2198"/>
      <c r="IP76" s="2198"/>
      <c r="IQ76" s="2198"/>
      <c r="IR76" s="2198"/>
      <c r="IS76" s="2198"/>
      <c r="IT76" s="2198"/>
      <c r="IU76" s="2198"/>
      <c r="IV76" s="2198"/>
      <c r="IW76" s="2198"/>
      <c r="IX76" s="2198"/>
      <c r="IY76" s="2198"/>
      <c r="IZ76" s="2198"/>
      <c r="JA76" s="2198"/>
      <c r="JB76" s="2198"/>
      <c r="JC76" s="2198"/>
      <c r="JD76" s="2198"/>
      <c r="JE76" s="2198"/>
      <c r="JF76" s="2198"/>
      <c r="JG76" s="2198"/>
      <c r="JH76" s="2198"/>
      <c r="JI76" s="2198"/>
      <c r="JJ76" s="2198"/>
      <c r="JK76" s="2198"/>
      <c r="JL76" s="2198"/>
      <c r="JM76" s="2198"/>
      <c r="JN76" s="2198"/>
      <c r="JO76" s="2198"/>
      <c r="JP76" s="2198"/>
      <c r="JQ76" s="2198"/>
      <c r="JR76" s="2198"/>
      <c r="JS76" s="2198"/>
      <c r="JT76" s="2198"/>
      <c r="JU76" s="2198"/>
      <c r="JV76" s="2198"/>
      <c r="JW76" s="2198"/>
      <c r="JX76" s="2198"/>
      <c r="JY76" s="2198"/>
      <c r="JZ76" s="2198"/>
      <c r="KA76" s="2198"/>
      <c r="KB76" s="2198"/>
      <c r="KC76" s="2198"/>
      <c r="KD76" s="2198"/>
      <c r="KE76" s="2198"/>
      <c r="KF76" s="2198"/>
      <c r="KG76" s="2198"/>
      <c r="KH76" s="2198"/>
      <c r="KI76" s="2198"/>
      <c r="KJ76" s="2198"/>
      <c r="KK76" s="2198"/>
      <c r="KL76" s="2198"/>
      <c r="KM76" s="2198"/>
      <c r="KN76" s="2198"/>
      <c r="KO76" s="2198"/>
      <c r="KP76" s="2198"/>
      <c r="KQ76" s="2198"/>
      <c r="KR76" s="2198"/>
      <c r="KS76" s="2198"/>
      <c r="KT76" s="2198"/>
      <c r="KU76" s="2198"/>
      <c r="KV76" s="2198"/>
      <c r="KW76" s="2198"/>
      <c r="KX76" s="2198"/>
      <c r="KY76" s="2198"/>
      <c r="KZ76" s="2198"/>
      <c r="LA76" s="2198"/>
      <c r="LB76" s="2198"/>
      <c r="LC76" s="2198"/>
      <c r="LD76" s="2198"/>
      <c r="LE76" s="2198"/>
      <c r="LF76" s="2198"/>
      <c r="LG76" s="2198"/>
      <c r="LH76" s="2198"/>
      <c r="LI76" s="2198"/>
      <c r="LJ76" s="2198"/>
      <c r="LK76" s="2198"/>
      <c r="LL76" s="2198"/>
      <c r="LM76" s="2198"/>
      <c r="LN76" s="2198"/>
      <c r="LO76" s="2198"/>
      <c r="LP76" s="2198"/>
      <c r="LQ76" s="2198"/>
      <c r="LR76" s="2198"/>
      <c r="LS76" s="2198"/>
      <c r="LT76" s="2198"/>
      <c r="LU76" s="2198"/>
      <c r="LV76" s="2198"/>
      <c r="LW76" s="2198"/>
      <c r="LX76" s="2198"/>
      <c r="LY76" s="2198"/>
      <c r="LZ76" s="2198"/>
      <c r="MA76" s="2198"/>
      <c r="MB76" s="2198"/>
      <c r="MC76" s="2198"/>
      <c r="MD76" s="2198"/>
      <c r="ME76" s="2198"/>
      <c r="MF76" s="2198"/>
      <c r="MG76" s="2198"/>
      <c r="MH76" s="2198"/>
      <c r="MI76" s="2198"/>
      <c r="MJ76" s="2198"/>
      <c r="MK76" s="2198"/>
      <c r="ML76" s="2198"/>
      <c r="MM76" s="2198"/>
      <c r="MN76" s="2198"/>
      <c r="MO76" s="2198"/>
      <c r="MP76" s="2198"/>
      <c r="MQ76" s="2198"/>
      <c r="MR76" s="2198"/>
      <c r="MS76" s="2198"/>
      <c r="MT76" s="2198"/>
      <c r="MU76" s="2198"/>
      <c r="MV76" s="2198"/>
      <c r="MW76" s="2198"/>
      <c r="MX76" s="2198"/>
      <c r="MY76" s="2198"/>
      <c r="MZ76" s="2198"/>
      <c r="NA76" s="2198"/>
      <c r="NB76" s="2198"/>
      <c r="NC76" s="2198"/>
      <c r="ND76" s="2198"/>
      <c r="NE76" s="2198"/>
      <c r="NF76" s="2198"/>
      <c r="NG76" s="2198"/>
      <c r="NH76" s="2198"/>
      <c r="NI76" s="2198"/>
      <c r="NJ76" s="2198"/>
      <c r="NK76" s="2198"/>
      <c r="NL76" s="2198"/>
      <c r="NM76" s="2198"/>
      <c r="NN76" s="2198"/>
      <c r="NO76" s="2198"/>
      <c r="NP76" s="2198"/>
      <c r="NQ76" s="2198"/>
      <c r="NR76" s="2198"/>
      <c r="NS76" s="2198"/>
      <c r="NT76" s="2198"/>
      <c r="NU76" s="2198"/>
      <c r="NV76" s="2198"/>
      <c r="NW76" s="2198"/>
      <c r="NX76" s="2198"/>
      <c r="NY76" s="2198"/>
      <c r="NZ76" s="2198"/>
      <c r="OA76" s="2198"/>
      <c r="OB76" s="2198"/>
      <c r="OC76" s="2198"/>
      <c r="OD76" s="2198"/>
      <c r="OE76" s="2198"/>
      <c r="OF76" s="2198"/>
      <c r="OG76" s="2198"/>
      <c r="OH76" s="2198"/>
      <c r="OI76" s="2198"/>
      <c r="OJ76" s="2198"/>
      <c r="OK76" s="2198"/>
      <c r="OL76" s="2198"/>
      <c r="OM76" s="2198"/>
      <c r="ON76" s="2198"/>
      <c r="OO76" s="2198"/>
      <c r="OP76" s="2198"/>
      <c r="OQ76" s="2198"/>
      <c r="OR76" s="2198"/>
      <c r="OS76" s="2198"/>
      <c r="OT76" s="2198"/>
      <c r="OU76" s="2198"/>
      <c r="OV76" s="2198"/>
      <c r="OW76" s="2198"/>
      <c r="OX76" s="2198"/>
      <c r="OY76" s="2198"/>
      <c r="OZ76" s="2198"/>
      <c r="PA76" s="2198"/>
      <c r="PB76" s="2198"/>
      <c r="PC76" s="2198"/>
      <c r="PD76" s="2198"/>
      <c r="PE76" s="2198"/>
      <c r="PF76" s="2198"/>
      <c r="PG76" s="2198"/>
      <c r="PH76" s="2198"/>
      <c r="PI76" s="2198"/>
      <c r="PJ76" s="2198"/>
      <c r="PK76" s="2198"/>
      <c r="PL76" s="2198"/>
      <c r="PM76" s="2198"/>
      <c r="PN76" s="2198"/>
      <c r="PO76" s="2198"/>
      <c r="PP76" s="2198"/>
      <c r="PQ76" s="2198"/>
      <c r="PR76" s="2198"/>
      <c r="PS76" s="2198"/>
      <c r="PT76" s="2198"/>
      <c r="PU76" s="2198"/>
      <c r="PV76" s="2198"/>
      <c r="PW76" s="2198"/>
      <c r="PX76" s="2198"/>
      <c r="PY76" s="2198"/>
      <c r="PZ76" s="2198"/>
      <c r="QA76" s="2198"/>
      <c r="QB76" s="2198"/>
      <c r="QC76" s="2198"/>
      <c r="QD76" s="2198"/>
      <c r="QE76" s="2198"/>
      <c r="QF76" s="2198"/>
      <c r="QG76" s="2198"/>
      <c r="QH76" s="2198"/>
      <c r="QI76" s="2198"/>
      <c r="QJ76" s="2198"/>
      <c r="QK76" s="2198"/>
      <c r="QL76" s="2198"/>
      <c r="QM76" s="2198"/>
      <c r="QN76" s="2198"/>
      <c r="QO76" s="2198"/>
      <c r="QP76" s="2198"/>
      <c r="QQ76" s="2198"/>
      <c r="QR76" s="2198"/>
      <c r="QS76" s="2198"/>
      <c r="QT76" s="2198"/>
      <c r="QU76" s="2198"/>
      <c r="QV76" s="2198"/>
      <c r="QW76" s="2198"/>
      <c r="QX76" s="2198"/>
      <c r="QY76" s="2198"/>
      <c r="QZ76" s="2198"/>
      <c r="RA76" s="2198"/>
      <c r="RB76" s="2198"/>
      <c r="RC76" s="2198"/>
      <c r="RD76" s="2198"/>
      <c r="RE76" s="2198"/>
      <c r="RF76" s="2198"/>
      <c r="RG76" s="2198"/>
      <c r="RH76" s="2198"/>
      <c r="RI76" s="2198"/>
      <c r="RJ76" s="2198"/>
      <c r="RK76" s="2198"/>
      <c r="RL76" s="2198"/>
      <c r="RM76" s="2198"/>
      <c r="RN76" s="2198"/>
      <c r="RO76" s="2198"/>
      <c r="RP76" s="2198"/>
      <c r="RQ76" s="2198"/>
      <c r="RR76" s="2198"/>
      <c r="RS76" s="2198"/>
      <c r="RT76" s="2198"/>
      <c r="RU76" s="2198"/>
      <c r="RV76" s="2198"/>
      <c r="RW76" s="2198"/>
      <c r="RX76" s="2198"/>
      <c r="RY76" s="2198"/>
      <c r="RZ76" s="2198"/>
      <c r="SA76" s="2198"/>
      <c r="SB76" s="2198"/>
      <c r="SC76" s="2198"/>
      <c r="SD76" s="2198"/>
      <c r="SE76" s="2198"/>
      <c r="SF76" s="2198"/>
      <c r="SG76" s="2198"/>
      <c r="SH76" s="2198"/>
      <c r="SI76" s="2198"/>
      <c r="SJ76" s="2198"/>
      <c r="SK76" s="2198"/>
      <c r="SL76" s="2198"/>
      <c r="SM76" s="2198"/>
      <c r="SN76" s="2198"/>
      <c r="SO76" s="2198"/>
      <c r="SP76" s="2198"/>
      <c r="SQ76" s="2198"/>
      <c r="SR76" s="2198"/>
      <c r="SS76" s="2198"/>
      <c r="ST76" s="2198"/>
      <c r="SU76" s="2198"/>
      <c r="SV76" s="2198"/>
      <c r="SW76" s="2198"/>
      <c r="SX76" s="2198"/>
      <c r="SY76" s="2198"/>
      <c r="SZ76" s="2198"/>
      <c r="TA76" s="2198"/>
      <c r="TB76" s="2198"/>
      <c r="TC76" s="2198"/>
      <c r="TD76" s="2198"/>
      <c r="TE76" s="2198"/>
      <c r="TF76" s="2198"/>
      <c r="TG76" s="2198"/>
      <c r="TH76" s="2198"/>
      <c r="TI76" s="2198"/>
      <c r="TJ76" s="2198"/>
      <c r="TK76" s="2198"/>
      <c r="TL76" s="2198"/>
      <c r="TM76" s="2198"/>
      <c r="TN76" s="2198"/>
      <c r="TO76" s="2198"/>
      <c r="TP76" s="2198"/>
      <c r="TQ76" s="2198"/>
      <c r="TR76" s="2198"/>
      <c r="TS76" s="2198"/>
      <c r="TT76" s="2198"/>
      <c r="TU76" s="2198"/>
      <c r="TV76" s="2198"/>
      <c r="TW76" s="2198"/>
      <c r="TX76" s="2198"/>
      <c r="TY76" s="2198"/>
      <c r="TZ76" s="2198"/>
      <c r="UA76" s="2198"/>
      <c r="UB76" s="2198"/>
      <c r="UC76" s="2198"/>
      <c r="UD76" s="2198"/>
      <c r="UE76" s="2198"/>
      <c r="UF76" s="2198"/>
      <c r="UG76" s="2198"/>
      <c r="UH76" s="2198"/>
      <c r="UI76" s="2198"/>
      <c r="UJ76" s="2198"/>
      <c r="UK76" s="2198"/>
      <c r="UL76" s="2198"/>
      <c r="UM76" s="2198"/>
      <c r="UN76" s="2198"/>
      <c r="UO76" s="2198"/>
      <c r="UP76" s="2198"/>
      <c r="UQ76" s="2198"/>
      <c r="UR76" s="2198"/>
      <c r="US76" s="2198"/>
      <c r="UT76" s="2198"/>
      <c r="UU76" s="2198"/>
      <c r="UV76" s="2198"/>
      <c r="UW76" s="2198"/>
      <c r="UX76" s="2198"/>
      <c r="UY76" s="2198"/>
      <c r="UZ76" s="2198"/>
      <c r="VA76" s="2198"/>
      <c r="VB76" s="2198"/>
      <c r="VC76" s="2198"/>
      <c r="VD76" s="2198"/>
      <c r="VE76" s="2198"/>
      <c r="VF76" s="2198"/>
      <c r="VG76" s="2198"/>
      <c r="VH76" s="2198"/>
      <c r="VI76" s="2198"/>
      <c r="VJ76" s="2198"/>
      <c r="VK76" s="2198"/>
      <c r="VL76" s="2198"/>
      <c r="VM76" s="2198"/>
      <c r="VN76" s="2198"/>
      <c r="VO76" s="2198"/>
      <c r="VP76" s="2198"/>
      <c r="VQ76" s="2198"/>
      <c r="VR76" s="2198"/>
      <c r="VS76" s="2198"/>
      <c r="VT76" s="2198"/>
      <c r="VU76" s="2198"/>
      <c r="VV76" s="2198"/>
      <c r="VW76" s="2198"/>
      <c r="VX76" s="2198"/>
      <c r="VY76" s="2198"/>
      <c r="VZ76" s="2198"/>
      <c r="WA76" s="2198"/>
      <c r="WB76" s="2198"/>
      <c r="WC76" s="2198"/>
      <c r="WD76" s="2198"/>
      <c r="WE76" s="2198"/>
      <c r="WF76" s="2198"/>
      <c r="WG76" s="2198"/>
      <c r="WH76" s="2198"/>
      <c r="WI76" s="2198"/>
      <c r="WJ76" s="2198"/>
      <c r="WK76" s="2198"/>
      <c r="WL76" s="2198"/>
      <c r="WM76" s="2198"/>
      <c r="WN76" s="2198"/>
      <c r="WO76" s="2198"/>
      <c r="WP76" s="2198"/>
      <c r="WQ76" s="2198"/>
      <c r="WR76" s="2198"/>
      <c r="WS76" s="2198"/>
      <c r="WT76" s="2198"/>
      <c r="WU76" s="2198"/>
      <c r="WV76" s="2198"/>
      <c r="WW76" s="2198"/>
      <c r="WX76" s="2198"/>
      <c r="WY76" s="2198"/>
      <c r="WZ76" s="2198"/>
      <c r="XA76" s="2198"/>
      <c r="XB76" s="2198"/>
      <c r="XC76" s="2198"/>
      <c r="XD76" s="2198"/>
      <c r="XE76" s="2198"/>
      <c r="XF76" s="2198"/>
      <c r="XG76" s="2198"/>
      <c r="XH76" s="2198"/>
      <c r="XI76" s="2198"/>
      <c r="XJ76" s="2198"/>
      <c r="XK76" s="2198"/>
      <c r="XL76" s="2198"/>
      <c r="XM76" s="2198"/>
      <c r="XN76" s="2198"/>
      <c r="XO76" s="2198"/>
      <c r="XP76" s="2198"/>
      <c r="XQ76" s="2198"/>
      <c r="XR76" s="2198"/>
      <c r="XS76" s="2198"/>
      <c r="XT76" s="2198"/>
      <c r="XU76" s="2198"/>
      <c r="XV76" s="2198"/>
      <c r="XW76" s="2198"/>
      <c r="XX76" s="2198"/>
      <c r="XY76" s="2198"/>
      <c r="XZ76" s="2198"/>
      <c r="YA76" s="2198"/>
      <c r="YB76" s="2198"/>
      <c r="YC76" s="2198"/>
      <c r="YD76" s="2198"/>
      <c r="YE76" s="2198"/>
      <c r="YF76" s="2198"/>
      <c r="YG76" s="2198"/>
      <c r="YH76" s="2198"/>
      <c r="YI76" s="2198"/>
      <c r="YJ76" s="2198"/>
      <c r="YK76" s="2198"/>
      <c r="YL76" s="2198"/>
      <c r="YM76" s="2198"/>
      <c r="YN76" s="2198"/>
      <c r="YO76" s="2198"/>
      <c r="YP76" s="2198"/>
      <c r="YQ76" s="2198"/>
      <c r="YR76" s="2198"/>
      <c r="YS76" s="2198"/>
      <c r="YT76" s="2198"/>
      <c r="YU76" s="2198"/>
      <c r="YV76" s="2198"/>
      <c r="YW76" s="2198"/>
      <c r="YX76" s="2198"/>
      <c r="YY76" s="2198"/>
      <c r="YZ76" s="2198"/>
      <c r="ZA76" s="2198"/>
      <c r="ZB76" s="2198"/>
      <c r="ZC76" s="2198"/>
      <c r="ZD76" s="2198"/>
      <c r="ZE76" s="2198"/>
      <c r="ZF76" s="2198"/>
      <c r="ZG76" s="2198"/>
      <c r="ZH76" s="2198"/>
      <c r="ZI76" s="2198"/>
      <c r="ZJ76" s="2198"/>
      <c r="ZK76" s="2198"/>
      <c r="ZL76" s="2198"/>
      <c r="ZM76" s="2198"/>
      <c r="ZN76" s="2198"/>
      <c r="ZO76" s="2198"/>
      <c r="ZP76" s="2198"/>
      <c r="ZQ76" s="2198"/>
      <c r="ZR76" s="2198"/>
      <c r="ZS76" s="2198"/>
      <c r="ZT76" s="2198"/>
      <c r="ZU76" s="2198"/>
      <c r="ZV76" s="2198"/>
      <c r="ZW76" s="2198"/>
      <c r="ZX76" s="2198"/>
      <c r="ZY76" s="2198"/>
      <c r="ZZ76" s="2198"/>
      <c r="AAA76" s="2198"/>
      <c r="AAB76" s="2198"/>
      <c r="AAC76" s="2198"/>
      <c r="AAD76" s="2198"/>
      <c r="AAE76" s="2198"/>
      <c r="AAF76" s="2198"/>
      <c r="AAG76" s="2198"/>
      <c r="AAH76" s="2198"/>
      <c r="AAI76" s="2198"/>
      <c r="AAJ76" s="2198"/>
      <c r="AAK76" s="2198"/>
      <c r="AAL76" s="2198"/>
      <c r="AAM76" s="2198"/>
      <c r="AAN76" s="2198"/>
      <c r="AAO76" s="2198"/>
      <c r="AAP76" s="2198"/>
      <c r="AAQ76" s="2198"/>
      <c r="AAR76" s="2198"/>
      <c r="AAS76" s="2198"/>
      <c r="AAT76" s="2198"/>
      <c r="AAU76" s="2198"/>
      <c r="AAV76" s="2198"/>
      <c r="AAW76" s="2198"/>
      <c r="AAX76" s="2198"/>
      <c r="AAY76" s="2198"/>
      <c r="AAZ76" s="2198"/>
      <c r="ABA76" s="2198"/>
      <c r="ABB76" s="2198"/>
      <c r="ABC76" s="2198"/>
      <c r="ABD76" s="2198"/>
      <c r="ABE76" s="2198"/>
      <c r="ABF76" s="2198"/>
      <c r="ABG76" s="2198"/>
      <c r="ABH76" s="2198"/>
      <c r="ABI76" s="2198"/>
      <c r="ABJ76" s="2198"/>
      <c r="ABK76" s="2198"/>
      <c r="ABL76" s="2198"/>
      <c r="ABM76" s="2198"/>
      <c r="ABN76" s="2198"/>
      <c r="ABO76" s="2198"/>
      <c r="ABP76" s="2198"/>
      <c r="ABQ76" s="2198"/>
      <c r="ABR76" s="2198"/>
      <c r="ABS76" s="2198"/>
      <c r="ABT76" s="2198"/>
      <c r="ABU76" s="2198"/>
      <c r="ABV76" s="2198"/>
      <c r="ABW76" s="2198"/>
      <c r="ABX76" s="2198"/>
      <c r="ABY76" s="2198"/>
      <c r="ABZ76" s="2198"/>
      <c r="ACA76" s="2198"/>
      <c r="ACB76" s="2198"/>
      <c r="ACC76" s="2198"/>
      <c r="ACD76" s="2198"/>
      <c r="ACE76" s="2198"/>
      <c r="ACF76" s="2198"/>
      <c r="ACG76" s="2198"/>
      <c r="ACH76" s="2198"/>
      <c r="ACI76" s="2198"/>
      <c r="ACJ76" s="2198"/>
      <c r="ACK76" s="2198"/>
      <c r="ACL76" s="2198"/>
      <c r="ACM76" s="2198"/>
      <c r="ACN76" s="2198"/>
      <c r="ACO76" s="2198"/>
      <c r="ACP76" s="2198"/>
      <c r="ACQ76" s="2198"/>
      <c r="ACR76" s="2198"/>
      <c r="ACS76" s="2198"/>
      <c r="ACT76" s="2198"/>
      <c r="ACU76" s="2198"/>
      <c r="ACV76" s="2198"/>
      <c r="ACW76" s="2198"/>
      <c r="ACX76" s="2198"/>
      <c r="ACY76" s="2198"/>
      <c r="ACZ76" s="2198"/>
      <c r="ADA76" s="2198"/>
      <c r="ADB76" s="2198"/>
      <c r="ADC76" s="2198"/>
      <c r="ADD76" s="2198"/>
      <c r="ADE76" s="2198"/>
      <c r="ADF76" s="2198"/>
      <c r="ADG76" s="2198"/>
      <c r="ADH76" s="2198"/>
      <c r="ADI76" s="2198"/>
      <c r="ADJ76" s="2198"/>
      <c r="ADK76" s="2198"/>
      <c r="ADL76" s="2198"/>
      <c r="ADM76" s="2198"/>
      <c r="ADN76" s="2198"/>
      <c r="ADO76" s="2198"/>
      <c r="ADP76" s="2198"/>
      <c r="ADQ76" s="2198"/>
      <c r="ADR76" s="2198"/>
      <c r="ADS76" s="2198"/>
      <c r="ADT76" s="2198"/>
      <c r="ADU76" s="2198"/>
      <c r="ADV76" s="2198"/>
      <c r="ADW76" s="2198"/>
      <c r="ADX76" s="2198"/>
      <c r="ADY76" s="2198"/>
      <c r="ADZ76" s="2198"/>
      <c r="AEA76" s="2198"/>
      <c r="AEB76" s="2198"/>
      <c r="AEC76" s="2198"/>
      <c r="AED76" s="2198"/>
      <c r="AEE76" s="2198"/>
      <c r="AEF76" s="2198"/>
      <c r="AEG76" s="2198"/>
      <c r="AEH76" s="2198"/>
      <c r="AEI76" s="2198"/>
      <c r="AEJ76" s="2198"/>
      <c r="AEK76" s="2198"/>
      <c r="AEL76" s="2198"/>
      <c r="AEM76" s="2198"/>
      <c r="AEN76" s="2198"/>
      <c r="AEO76" s="2198"/>
      <c r="AEP76" s="2198"/>
      <c r="AEQ76" s="2198"/>
      <c r="AER76" s="2198"/>
      <c r="AES76" s="2198"/>
      <c r="AET76" s="2198"/>
      <c r="AEU76" s="2198"/>
      <c r="AEV76" s="2198"/>
      <c r="AEW76" s="2198"/>
      <c r="AEX76" s="2198"/>
      <c r="AEY76" s="2198"/>
      <c r="AEZ76" s="2198"/>
      <c r="AFA76" s="2198"/>
      <c r="AFB76" s="2198"/>
      <c r="AFC76" s="2198"/>
      <c r="AFD76" s="2198"/>
      <c r="AFE76" s="2198"/>
      <c r="AFF76" s="2198"/>
      <c r="AFG76" s="2198"/>
      <c r="AFH76" s="2198"/>
      <c r="AFI76" s="2198"/>
      <c r="AFJ76" s="2198"/>
      <c r="AFK76" s="2198"/>
      <c r="AFL76" s="2198"/>
      <c r="AFM76" s="2198"/>
      <c r="AFN76" s="2198"/>
      <c r="AFO76" s="2198"/>
      <c r="AFP76" s="2198"/>
      <c r="AFQ76" s="2198"/>
      <c r="AFR76" s="2198"/>
      <c r="AFS76" s="2198"/>
      <c r="AFT76" s="2198"/>
      <c r="AFU76" s="2198"/>
      <c r="AFV76" s="2198"/>
      <c r="AFW76" s="2198"/>
      <c r="AFX76" s="2198"/>
      <c r="AFY76" s="2198"/>
      <c r="AFZ76" s="2198"/>
      <c r="AGA76" s="2198"/>
      <c r="AGB76" s="2198"/>
      <c r="AGC76" s="2198"/>
      <c r="AGD76" s="2198"/>
      <c r="AGE76" s="2198"/>
      <c r="AGF76" s="2198"/>
      <c r="AGG76" s="2198"/>
      <c r="AGH76" s="2198"/>
      <c r="AGI76" s="2198"/>
      <c r="AGJ76" s="2198"/>
      <c r="AGK76" s="2198"/>
      <c r="AGL76" s="2198"/>
      <c r="AGM76" s="2198"/>
      <c r="AGN76" s="2198"/>
      <c r="AGO76" s="2198"/>
      <c r="AGP76" s="2198"/>
      <c r="AGQ76" s="2198"/>
      <c r="AGR76" s="2198"/>
      <c r="AGS76" s="2198"/>
      <c r="AGT76" s="2198"/>
      <c r="AGU76" s="2198"/>
      <c r="AGV76" s="2198"/>
      <c r="AGW76" s="2198"/>
      <c r="AGX76" s="2198"/>
      <c r="AGY76" s="2198"/>
      <c r="AGZ76" s="2198"/>
      <c r="AHA76" s="2198"/>
      <c r="AHB76" s="2198"/>
      <c r="AHC76" s="2198"/>
      <c r="AHD76" s="2198"/>
      <c r="AHE76" s="2198"/>
      <c r="AHF76" s="2198"/>
      <c r="AHG76" s="2198"/>
      <c r="AHH76" s="2198"/>
      <c r="AHI76" s="2198"/>
      <c r="AHJ76" s="2198"/>
      <c r="AHK76" s="2198"/>
      <c r="AHL76" s="2198"/>
      <c r="AHM76" s="2198"/>
      <c r="AHN76" s="2198"/>
      <c r="AHO76" s="2198"/>
      <c r="AHP76" s="2198"/>
      <c r="AHQ76" s="2198"/>
      <c r="AHR76" s="2198"/>
      <c r="AHS76" s="2198"/>
      <c r="AHT76" s="2198"/>
      <c r="AHU76" s="2198"/>
      <c r="AHV76" s="2198"/>
      <c r="AHW76" s="2198"/>
      <c r="AHX76" s="2198"/>
      <c r="AHY76" s="2198"/>
      <c r="AHZ76" s="2198"/>
      <c r="AIA76" s="2198"/>
      <c r="AIB76" s="2198"/>
      <c r="AIC76" s="2198"/>
      <c r="AID76" s="2198"/>
      <c r="AIE76" s="2198"/>
      <c r="AIF76" s="2198"/>
      <c r="AIG76" s="2198"/>
      <c r="AIH76" s="2198"/>
      <c r="AII76" s="2198"/>
      <c r="AIJ76" s="2198"/>
      <c r="AIK76" s="2198"/>
      <c r="AIL76" s="2198"/>
      <c r="AIM76" s="2198"/>
      <c r="AIN76" s="2198"/>
      <c r="AIO76" s="2198"/>
      <c r="AIP76" s="2198"/>
      <c r="AIQ76" s="2198"/>
      <c r="AIR76" s="2198"/>
      <c r="AIS76" s="2198"/>
      <c r="AIT76" s="2198"/>
      <c r="AIU76" s="2198"/>
      <c r="AIV76" s="2198"/>
      <c r="AIW76" s="2198"/>
      <c r="AIX76" s="2198"/>
      <c r="AIY76" s="2198"/>
      <c r="AIZ76" s="2198"/>
      <c r="AJA76" s="2198"/>
      <c r="AJB76" s="2198"/>
      <c r="AJC76" s="2198"/>
      <c r="AJD76" s="2198"/>
      <c r="AJE76" s="2198"/>
      <c r="AJF76" s="2198"/>
      <c r="AJG76" s="2198"/>
      <c r="AJH76" s="2198"/>
      <c r="AJI76" s="2198"/>
      <c r="AJJ76" s="2198"/>
      <c r="AJK76" s="2198"/>
      <c r="AJL76" s="2198"/>
      <c r="AJM76" s="2198"/>
      <c r="AJN76" s="2198"/>
      <c r="AJO76" s="2198"/>
      <c r="AJP76" s="2198"/>
      <c r="AJQ76" s="2198"/>
      <c r="AJR76" s="2198"/>
      <c r="AJS76" s="2198"/>
      <c r="AJT76" s="2198"/>
      <c r="AJU76" s="2198"/>
      <c r="AJV76" s="2198"/>
      <c r="AJW76" s="2198"/>
      <c r="AJX76" s="2198"/>
      <c r="AJY76" s="2198"/>
      <c r="AJZ76" s="2198"/>
      <c r="AKA76" s="2198"/>
      <c r="AKB76" s="2198"/>
      <c r="AKC76" s="2198"/>
      <c r="AKD76" s="2198"/>
      <c r="AKE76" s="2198"/>
      <c r="AKF76" s="2198"/>
      <c r="AKG76" s="2198"/>
      <c r="AKH76" s="2198"/>
      <c r="AKI76" s="2198"/>
      <c r="AKJ76" s="2198"/>
      <c r="AKK76" s="2198"/>
      <c r="AKL76" s="2198"/>
      <c r="AKM76" s="2198"/>
      <c r="AKN76" s="2198"/>
      <c r="AKO76" s="2198"/>
      <c r="AKP76" s="2198"/>
      <c r="AKQ76" s="2198"/>
      <c r="AKR76" s="2198"/>
      <c r="AKS76" s="2198"/>
      <c r="AKT76" s="2198"/>
      <c r="AKU76" s="2198"/>
      <c r="AKV76" s="2198"/>
      <c r="AKW76" s="2198"/>
      <c r="AKX76" s="2198"/>
      <c r="AKY76" s="2198"/>
      <c r="AKZ76" s="2198"/>
      <c r="ALA76" s="2198"/>
      <c r="ALB76" s="2198"/>
      <c r="ALC76" s="2198"/>
      <c r="ALD76" s="2198"/>
      <c r="ALE76" s="2198"/>
      <c r="ALF76" s="2198"/>
      <c r="ALG76" s="2198"/>
      <c r="ALH76" s="2198"/>
      <c r="ALI76" s="2198"/>
      <c r="ALJ76" s="2198"/>
      <c r="ALK76" s="2198"/>
      <c r="ALL76" s="2198"/>
      <c r="ALM76" s="2198"/>
      <c r="ALN76" s="2198"/>
      <c r="ALO76" s="2198"/>
      <c r="ALP76" s="2198"/>
      <c r="ALQ76" s="2198"/>
      <c r="ALR76" s="2198"/>
      <c r="ALS76" s="2198"/>
      <c r="ALT76" s="2198"/>
      <c r="ALU76" s="2198"/>
      <c r="ALV76" s="2198"/>
      <c r="ALW76" s="2198"/>
      <c r="ALX76" s="2198"/>
      <c r="ALY76" s="2198"/>
      <c r="ALZ76" s="2198"/>
      <c r="AMA76" s="2198"/>
      <c r="AMB76" s="2198"/>
      <c r="AMC76" s="2198"/>
      <c r="AMD76" s="2198"/>
      <c r="AME76" s="2198"/>
      <c r="AMF76" s="2198"/>
      <c r="AMG76" s="2198"/>
      <c r="AMH76" s="2198"/>
      <c r="AMI76" s="2198"/>
      <c r="AMJ76" s="2198"/>
      <c r="AMK76" s="2198"/>
      <c r="AML76" s="2198"/>
      <c r="AMM76" s="2198"/>
      <c r="AMN76" s="2198"/>
      <c r="AMO76" s="2198"/>
      <c r="AMP76" s="2198"/>
      <c r="AMQ76" s="2198"/>
      <c r="AMR76" s="2198"/>
      <c r="AMS76" s="2198"/>
      <c r="AMT76" s="2198"/>
      <c r="AMU76" s="2198"/>
      <c r="AMV76" s="2198"/>
      <c r="AMW76" s="2198"/>
      <c r="AMX76" s="2198"/>
      <c r="AMY76" s="2198"/>
      <c r="AMZ76" s="2198"/>
      <c r="ANA76" s="2198"/>
      <c r="ANB76" s="2198"/>
      <c r="ANC76" s="2198"/>
      <c r="AND76" s="2198"/>
      <c r="ANE76" s="2198"/>
      <c r="ANF76" s="2198"/>
      <c r="ANG76" s="2198"/>
      <c r="ANH76" s="2198"/>
      <c r="ANI76" s="2198"/>
      <c r="ANJ76" s="2198"/>
      <c r="ANK76" s="2198"/>
      <c r="ANL76" s="2198"/>
      <c r="ANM76" s="2198"/>
      <c r="ANN76" s="2198"/>
      <c r="ANO76" s="2198"/>
      <c r="ANP76" s="2198"/>
      <c r="ANQ76" s="2198"/>
      <c r="ANR76" s="2198"/>
      <c r="ANS76" s="2198"/>
      <c r="ANT76" s="2198"/>
      <c r="ANU76" s="2198"/>
      <c r="ANV76" s="2198"/>
      <c r="ANW76" s="2198"/>
      <c r="ANX76" s="2198"/>
      <c r="ANY76" s="2198"/>
      <c r="ANZ76" s="2198"/>
      <c r="AOA76" s="2198"/>
      <c r="AOB76" s="2198"/>
      <c r="AOC76" s="2198"/>
      <c r="AOD76" s="2198"/>
      <c r="AOE76" s="2198"/>
      <c r="AOF76" s="2198"/>
      <c r="AOG76" s="2198"/>
      <c r="AOH76" s="2198"/>
      <c r="AOI76" s="2198"/>
      <c r="AOJ76" s="2198"/>
      <c r="AOK76" s="2198"/>
      <c r="AOL76" s="2198"/>
      <c r="AOM76" s="2198"/>
      <c r="AON76" s="2198"/>
      <c r="AOO76" s="2198"/>
      <c r="AOP76" s="2198"/>
      <c r="AOQ76" s="2198"/>
      <c r="AOR76" s="2198"/>
      <c r="AOS76" s="2198"/>
      <c r="AOT76" s="2198"/>
      <c r="AOU76" s="2198"/>
      <c r="AOV76" s="2198"/>
      <c r="AOW76" s="2198"/>
      <c r="AOX76" s="2198"/>
      <c r="AOY76" s="2198"/>
      <c r="AOZ76" s="2198"/>
      <c r="APA76" s="2198"/>
      <c r="APB76" s="2198"/>
      <c r="APC76" s="2198"/>
      <c r="APD76" s="2198"/>
      <c r="APE76" s="2198"/>
      <c r="APF76" s="2198"/>
      <c r="APG76" s="2198"/>
      <c r="APH76" s="2198"/>
      <c r="API76" s="2198"/>
      <c r="APJ76" s="2198"/>
      <c r="APK76" s="2198"/>
      <c r="APL76" s="2198"/>
      <c r="APM76" s="2198"/>
      <c r="APN76" s="2198"/>
      <c r="APO76" s="2198"/>
      <c r="APP76" s="2198"/>
      <c r="APQ76" s="2198"/>
      <c r="APR76" s="2198"/>
      <c r="APS76" s="2198"/>
      <c r="APT76" s="2198"/>
      <c r="APU76" s="2198"/>
      <c r="APV76" s="2198"/>
      <c r="APW76" s="2198"/>
      <c r="APX76" s="2198"/>
      <c r="APY76" s="2198"/>
      <c r="APZ76" s="2198"/>
      <c r="AQA76" s="2198"/>
      <c r="AQB76" s="2198"/>
      <c r="AQC76" s="2198"/>
      <c r="AQD76" s="2198"/>
      <c r="AQE76" s="2198"/>
      <c r="AQF76" s="2198"/>
      <c r="AQG76" s="2198"/>
      <c r="AQH76" s="2198"/>
      <c r="AQI76" s="2198"/>
      <c r="AQJ76" s="2198"/>
      <c r="AQK76" s="2198"/>
      <c r="AQL76" s="2198"/>
      <c r="AQM76" s="2198"/>
      <c r="AQN76" s="2198"/>
      <c r="AQO76" s="2198"/>
      <c r="AQP76" s="2198"/>
      <c r="AQQ76" s="2198"/>
      <c r="AQR76" s="2198"/>
      <c r="AQS76" s="2198"/>
      <c r="AQT76" s="2198"/>
      <c r="AQU76" s="2198"/>
      <c r="AQV76" s="2198"/>
      <c r="AQW76" s="2198"/>
      <c r="AQX76" s="2198"/>
      <c r="AQY76" s="2198"/>
      <c r="AQZ76" s="2198"/>
      <c r="ARA76" s="2198"/>
      <c r="ARB76" s="2198"/>
      <c r="ARC76" s="2198"/>
      <c r="ARD76" s="2198"/>
      <c r="ARE76" s="2198"/>
      <c r="ARF76" s="2198"/>
      <c r="ARG76" s="2198"/>
      <c r="ARH76" s="2198"/>
      <c r="ARI76" s="2198"/>
      <c r="ARJ76" s="2198"/>
      <c r="ARK76" s="2198"/>
      <c r="ARL76" s="2198"/>
      <c r="ARM76" s="2198"/>
      <c r="ARN76" s="2198"/>
      <c r="ARO76" s="2198"/>
      <c r="ARP76" s="2198"/>
      <c r="ARQ76" s="2198"/>
      <c r="ARR76" s="2198"/>
      <c r="ARS76" s="2198"/>
      <c r="ART76" s="2198"/>
      <c r="ARU76" s="2198"/>
      <c r="ARV76" s="2198"/>
      <c r="ARW76" s="2198"/>
      <c r="ARX76" s="2198"/>
      <c r="ARY76" s="2198"/>
      <c r="ARZ76" s="2198"/>
      <c r="ASA76" s="2198"/>
      <c r="ASB76" s="2198"/>
      <c r="ASC76" s="2198"/>
      <c r="ASD76" s="2198"/>
      <c r="ASE76" s="2198"/>
      <c r="ASF76" s="2198"/>
      <c r="ASG76" s="2198"/>
      <c r="ASH76" s="2198"/>
      <c r="ASI76" s="2198"/>
      <c r="ASJ76" s="2198"/>
      <c r="ASK76" s="2198"/>
      <c r="ASL76" s="2198"/>
      <c r="ASM76" s="2198"/>
      <c r="ASN76" s="2198"/>
      <c r="ASO76" s="2198"/>
      <c r="ASP76" s="2198"/>
      <c r="ASQ76" s="2198"/>
      <c r="ASR76" s="2198"/>
      <c r="ASS76" s="2198"/>
      <c r="AST76" s="2198"/>
      <c r="ASU76" s="2198"/>
      <c r="ASV76" s="2198"/>
      <c r="ASW76" s="2198"/>
      <c r="ASX76" s="2198"/>
      <c r="ASY76" s="2198"/>
      <c r="ASZ76" s="2198"/>
      <c r="ATA76" s="2198"/>
      <c r="ATB76" s="2198"/>
      <c r="ATC76" s="2198"/>
      <c r="ATD76" s="2198"/>
      <c r="ATE76" s="2198"/>
      <c r="ATF76" s="2198"/>
      <c r="ATG76" s="2198"/>
      <c r="ATH76" s="2198"/>
      <c r="ATI76" s="2198"/>
      <c r="ATJ76" s="2198"/>
      <c r="ATK76" s="2198"/>
      <c r="ATL76" s="2198"/>
      <c r="ATM76" s="2198"/>
      <c r="ATN76" s="2198"/>
      <c r="ATO76" s="2198"/>
      <c r="ATP76" s="2198"/>
      <c r="ATQ76" s="2198"/>
      <c r="ATR76" s="2198"/>
      <c r="ATS76" s="2198"/>
      <c r="ATT76" s="2198"/>
      <c r="ATU76" s="2198"/>
      <c r="ATV76" s="2198"/>
      <c r="ATW76" s="2198"/>
      <c r="ATX76" s="2198"/>
      <c r="ATY76" s="2198"/>
      <c r="ATZ76" s="2198"/>
      <c r="AUA76" s="2198"/>
      <c r="AUB76" s="2198"/>
      <c r="AUC76" s="2198"/>
      <c r="AUD76" s="2198"/>
      <c r="AUE76" s="2198"/>
      <c r="AUF76" s="2198"/>
      <c r="AUG76" s="2198"/>
      <c r="AUH76" s="2198"/>
      <c r="AUI76" s="2198"/>
      <c r="AUJ76" s="2198"/>
      <c r="AUK76" s="2198"/>
      <c r="AUL76" s="2198"/>
      <c r="AUM76" s="2198"/>
      <c r="AUN76" s="2198"/>
      <c r="AUO76" s="2198"/>
      <c r="AUP76" s="2198"/>
      <c r="AUQ76" s="2198"/>
      <c r="AUR76" s="2198"/>
      <c r="AUS76" s="2198"/>
      <c r="AUT76" s="2198"/>
      <c r="AUU76" s="2198"/>
      <c r="AUV76" s="2198"/>
      <c r="AUW76" s="2198"/>
      <c r="AUX76" s="2198"/>
      <c r="AUY76" s="2198"/>
      <c r="AUZ76" s="2198"/>
      <c r="AVA76" s="2198"/>
      <c r="AVB76" s="2198"/>
      <c r="AVC76" s="2198"/>
      <c r="AVD76" s="2198"/>
      <c r="AVE76" s="2198"/>
      <c r="AVF76" s="2198"/>
      <c r="AVG76" s="2198"/>
      <c r="AVH76" s="2198"/>
      <c r="AVI76" s="2198"/>
      <c r="AVJ76" s="2198"/>
      <c r="AVK76" s="2198"/>
      <c r="AVL76" s="2198"/>
      <c r="AVM76" s="2198"/>
      <c r="AVN76" s="2198"/>
      <c r="AVO76" s="2198"/>
      <c r="AVP76" s="2198"/>
      <c r="AVQ76" s="2198"/>
      <c r="AVR76" s="2198"/>
      <c r="AVS76" s="2198"/>
      <c r="AVT76" s="2198"/>
      <c r="AVU76" s="2198"/>
      <c r="AVV76" s="2198"/>
      <c r="AVW76" s="2198"/>
      <c r="AVX76" s="2198"/>
      <c r="AVY76" s="2198"/>
      <c r="AVZ76" s="2198"/>
      <c r="AWA76" s="2198"/>
      <c r="AWB76" s="2198"/>
      <c r="AWC76" s="2198"/>
      <c r="AWD76" s="2198"/>
      <c r="AWE76" s="2198"/>
      <c r="AWF76" s="2198"/>
      <c r="AWG76" s="2198"/>
      <c r="AWH76" s="2198"/>
      <c r="AWI76" s="2198"/>
      <c r="AWJ76" s="2198"/>
      <c r="AWK76" s="2198"/>
      <c r="AWL76" s="2198"/>
      <c r="AWM76" s="2198"/>
      <c r="AWN76" s="2198"/>
      <c r="AWO76" s="2198"/>
      <c r="AWP76" s="2198"/>
      <c r="AWQ76" s="2198"/>
      <c r="AWR76" s="2198"/>
      <c r="AWS76" s="2198"/>
      <c r="AWT76" s="2198"/>
      <c r="AWU76" s="2198"/>
      <c r="AWV76" s="2198"/>
      <c r="AWW76" s="2198"/>
      <c r="AWX76" s="2198"/>
      <c r="AWY76" s="2198"/>
      <c r="AWZ76" s="2198"/>
      <c r="AXA76" s="2198"/>
      <c r="AXB76" s="2198"/>
      <c r="AXC76" s="2198"/>
      <c r="AXD76" s="2198"/>
      <c r="AXE76" s="2198"/>
      <c r="AXF76" s="2198"/>
      <c r="AXG76" s="2198"/>
      <c r="AXH76" s="2198"/>
      <c r="AXI76" s="2198"/>
      <c r="AXJ76" s="2198"/>
      <c r="AXK76" s="2198"/>
      <c r="AXL76" s="2198"/>
      <c r="AXM76" s="2198"/>
      <c r="AXN76" s="2198"/>
      <c r="AXO76" s="2198"/>
      <c r="AXP76" s="2198"/>
      <c r="AXQ76" s="2198"/>
      <c r="AXR76" s="2198"/>
      <c r="AXS76" s="2198"/>
      <c r="AXT76" s="2198"/>
      <c r="AXU76" s="2198"/>
      <c r="AXV76" s="2198"/>
      <c r="AXW76" s="2198"/>
      <c r="AXX76" s="2198"/>
      <c r="AXY76" s="2198"/>
      <c r="AXZ76" s="2198"/>
      <c r="AYA76" s="2198"/>
      <c r="AYB76" s="2198"/>
      <c r="AYC76" s="2198"/>
      <c r="AYD76" s="2198"/>
      <c r="AYE76" s="2198"/>
      <c r="AYF76" s="2198"/>
      <c r="AYG76" s="2198"/>
      <c r="AYH76" s="2198"/>
      <c r="AYI76" s="2198"/>
      <c r="AYJ76" s="2198"/>
      <c r="AYK76" s="2198"/>
      <c r="AYL76" s="2198"/>
      <c r="AYM76" s="2198"/>
      <c r="AYN76" s="2198"/>
      <c r="AYO76" s="2198"/>
      <c r="AYP76" s="2198"/>
      <c r="AYQ76" s="2198"/>
      <c r="AYR76" s="2198"/>
      <c r="AYS76" s="2198"/>
      <c r="AYT76" s="2198"/>
      <c r="AYU76" s="2198"/>
      <c r="AYV76" s="2198"/>
      <c r="AYW76" s="2198"/>
      <c r="AYX76" s="2198"/>
      <c r="AYY76" s="2198"/>
      <c r="AYZ76" s="2198"/>
      <c r="AZA76" s="2198"/>
      <c r="AZB76" s="2198"/>
      <c r="AZC76" s="2198"/>
      <c r="AZD76" s="2198"/>
      <c r="AZE76" s="2198"/>
      <c r="AZF76" s="2198"/>
      <c r="AZG76" s="2198"/>
      <c r="AZH76" s="2198"/>
      <c r="AZI76" s="2198"/>
      <c r="AZJ76" s="2198"/>
      <c r="AZK76" s="2198"/>
      <c r="AZL76" s="2198"/>
      <c r="AZM76" s="2198"/>
      <c r="AZN76" s="2198"/>
      <c r="AZO76" s="2198"/>
      <c r="AZP76" s="2198"/>
      <c r="AZQ76" s="2198"/>
      <c r="AZR76" s="2198"/>
      <c r="AZS76" s="2198"/>
      <c r="AZT76" s="2198"/>
      <c r="AZU76" s="2198"/>
      <c r="AZV76" s="2198"/>
      <c r="AZW76" s="2198"/>
      <c r="AZX76" s="2198"/>
      <c r="AZY76" s="2198"/>
      <c r="AZZ76" s="2198"/>
      <c r="BAA76" s="2198"/>
      <c r="BAB76" s="2198"/>
      <c r="BAC76" s="2198"/>
      <c r="BAD76" s="2198"/>
      <c r="BAE76" s="2198"/>
      <c r="BAF76" s="2198"/>
      <c r="BAG76" s="2198"/>
      <c r="BAH76" s="2198"/>
      <c r="BAI76" s="2198"/>
      <c r="BAJ76" s="2198"/>
      <c r="BAK76" s="2198"/>
      <c r="BAL76" s="2198"/>
      <c r="BAM76" s="2198"/>
      <c r="BAN76" s="2198"/>
      <c r="BAO76" s="2198"/>
      <c r="BAP76" s="2198"/>
      <c r="BAQ76" s="2198"/>
      <c r="BAR76" s="2198"/>
      <c r="BAS76" s="2198"/>
      <c r="BAT76" s="2198"/>
      <c r="BAU76" s="2198"/>
      <c r="BAV76" s="2198"/>
      <c r="BAW76" s="2198"/>
      <c r="BAX76" s="2198"/>
      <c r="BAY76" s="2198"/>
      <c r="BAZ76" s="2198"/>
      <c r="BBA76" s="2198"/>
      <c r="BBB76" s="2198"/>
      <c r="BBC76" s="2198"/>
      <c r="BBD76" s="2198"/>
      <c r="BBE76" s="2198"/>
      <c r="BBF76" s="2198"/>
      <c r="BBG76" s="2198"/>
      <c r="BBH76" s="2198"/>
      <c r="BBI76" s="2198"/>
      <c r="BBJ76" s="2198"/>
      <c r="BBK76" s="2198"/>
      <c r="BBL76" s="2198"/>
      <c r="BBM76" s="2198"/>
      <c r="BBN76" s="2198"/>
      <c r="BBO76" s="2198"/>
      <c r="BBP76" s="2198"/>
      <c r="BBQ76" s="2198"/>
      <c r="BBR76" s="2198"/>
      <c r="BBS76" s="2198"/>
      <c r="BBT76" s="2198"/>
      <c r="BBU76" s="2198"/>
      <c r="BBV76" s="2198"/>
      <c r="BBW76" s="2198"/>
      <c r="BBX76" s="2198"/>
      <c r="BBY76" s="2198"/>
      <c r="BBZ76" s="2198"/>
      <c r="BCA76" s="2198"/>
      <c r="BCB76" s="2198"/>
      <c r="BCC76" s="2198"/>
      <c r="BCD76" s="2198"/>
      <c r="BCE76" s="2198"/>
      <c r="BCF76" s="2198"/>
      <c r="BCG76" s="2198"/>
      <c r="BCH76" s="2198"/>
      <c r="BCI76" s="2198"/>
      <c r="BCJ76" s="2198"/>
      <c r="BCK76" s="2198"/>
      <c r="BCL76" s="2198"/>
      <c r="BCM76" s="2198"/>
      <c r="BCN76" s="2198"/>
      <c r="BCO76" s="2198"/>
      <c r="BCP76" s="2198"/>
      <c r="BCQ76" s="2198"/>
      <c r="BCR76" s="2198"/>
      <c r="BCS76" s="2198"/>
      <c r="BCT76" s="2198"/>
      <c r="BCU76" s="2198"/>
      <c r="BCV76" s="2198"/>
      <c r="BCW76" s="2198"/>
      <c r="BCX76" s="2198"/>
      <c r="BCY76" s="2198"/>
      <c r="BCZ76" s="2198"/>
      <c r="BDA76" s="2198"/>
      <c r="BDB76" s="2198"/>
      <c r="BDC76" s="2198"/>
      <c r="BDD76" s="2198"/>
      <c r="BDE76" s="2198"/>
      <c r="BDF76" s="2198"/>
      <c r="BDG76" s="2198"/>
      <c r="BDH76" s="2198"/>
      <c r="BDI76" s="2198"/>
      <c r="BDJ76" s="2198"/>
      <c r="BDK76" s="2198"/>
      <c r="BDL76" s="2198"/>
      <c r="BDM76" s="2198"/>
      <c r="BDN76" s="2198"/>
      <c r="BDO76" s="2198"/>
      <c r="BDP76" s="2198"/>
      <c r="BDQ76" s="2198"/>
      <c r="BDR76" s="2198"/>
      <c r="BDS76" s="2198"/>
      <c r="BDT76" s="2198"/>
      <c r="BDU76" s="2198"/>
      <c r="BDV76" s="2198"/>
      <c r="BDW76" s="2198"/>
      <c r="BDX76" s="2198"/>
      <c r="BDY76" s="2198"/>
      <c r="BDZ76" s="2198"/>
      <c r="BEA76" s="2198"/>
      <c r="BEB76" s="2198"/>
      <c r="BEC76" s="2198"/>
      <c r="BED76" s="2198"/>
      <c r="BEE76" s="2198"/>
      <c r="BEF76" s="2198"/>
      <c r="BEG76" s="2198"/>
      <c r="BEH76" s="2198"/>
      <c r="BEI76" s="2198"/>
      <c r="BEJ76" s="2198"/>
      <c r="BEK76" s="2198"/>
      <c r="BEL76" s="2198"/>
      <c r="BEM76" s="2198"/>
      <c r="BEN76" s="2198"/>
      <c r="BEO76" s="2198"/>
      <c r="BEP76" s="2198"/>
      <c r="BEQ76" s="2198"/>
      <c r="BER76" s="2198"/>
      <c r="BES76" s="2198"/>
      <c r="BET76" s="2198"/>
      <c r="BEU76" s="2198"/>
      <c r="BEV76" s="2198"/>
      <c r="BEW76" s="2198"/>
      <c r="BEX76" s="2198"/>
      <c r="BEY76" s="2198"/>
      <c r="BEZ76" s="2198"/>
      <c r="BFA76" s="2198"/>
      <c r="BFB76" s="2198"/>
      <c r="BFC76" s="2198"/>
      <c r="BFD76" s="2198"/>
      <c r="BFE76" s="2198"/>
      <c r="BFF76" s="2198"/>
      <c r="BFG76" s="2198"/>
      <c r="BFH76" s="2198"/>
      <c r="BFI76" s="2198"/>
      <c r="BFJ76" s="2198"/>
      <c r="BFK76" s="2198"/>
      <c r="BFL76" s="2198"/>
      <c r="BFM76" s="2198"/>
      <c r="BFN76" s="2198"/>
      <c r="BFO76" s="2198"/>
      <c r="BFP76" s="2198"/>
      <c r="BFQ76" s="2198"/>
      <c r="BFR76" s="2198"/>
      <c r="BFS76" s="2198"/>
      <c r="BFT76" s="2198"/>
      <c r="BFU76" s="2198"/>
      <c r="BFV76" s="2198"/>
      <c r="BFW76" s="2198"/>
      <c r="BFX76" s="2198"/>
      <c r="BFY76" s="2198"/>
      <c r="BFZ76" s="2198"/>
      <c r="BGA76" s="2198"/>
      <c r="BGB76" s="2198"/>
      <c r="BGC76" s="2198"/>
      <c r="BGD76" s="2198"/>
      <c r="BGE76" s="2198"/>
      <c r="BGF76" s="2198"/>
      <c r="BGG76" s="2198"/>
      <c r="BGH76" s="2198"/>
      <c r="BGI76" s="2198"/>
      <c r="BGJ76" s="2198"/>
      <c r="BGK76" s="2198"/>
      <c r="BGL76" s="2198"/>
      <c r="BGM76" s="2198"/>
      <c r="BGN76" s="2198"/>
      <c r="BGO76" s="2198"/>
      <c r="BGP76" s="2198"/>
      <c r="BGQ76" s="2198"/>
      <c r="BGR76" s="2198"/>
      <c r="BGS76" s="2198"/>
      <c r="BGT76" s="2198"/>
      <c r="BGU76" s="2198"/>
      <c r="BGV76" s="2198"/>
      <c r="BGW76" s="2198"/>
      <c r="BGX76" s="2198"/>
      <c r="BGY76" s="2198"/>
      <c r="BGZ76" s="2198"/>
      <c r="BHA76" s="2198"/>
      <c r="BHB76" s="2198"/>
      <c r="BHC76" s="2198"/>
      <c r="BHD76" s="2198"/>
      <c r="BHE76" s="2198"/>
      <c r="BHF76" s="2198"/>
      <c r="BHG76" s="2198"/>
      <c r="BHH76" s="2198"/>
      <c r="BHI76" s="2198"/>
      <c r="BHJ76" s="2198"/>
      <c r="BHK76" s="2198"/>
      <c r="BHL76" s="2198"/>
      <c r="BHM76" s="2198"/>
      <c r="BHN76" s="2198"/>
      <c r="BHO76" s="2198"/>
      <c r="BHP76" s="2198"/>
      <c r="BHQ76" s="2198"/>
      <c r="BHR76" s="2198"/>
      <c r="BHS76" s="2198"/>
      <c r="BHT76" s="2198"/>
      <c r="BHU76" s="2198"/>
      <c r="BHV76" s="2198"/>
      <c r="BHW76" s="2198"/>
      <c r="BHX76" s="2198"/>
      <c r="BHY76" s="2198"/>
      <c r="BHZ76" s="2198"/>
      <c r="BIA76" s="2198"/>
      <c r="BIB76" s="2198"/>
      <c r="BIC76" s="2198"/>
      <c r="BID76" s="2198"/>
      <c r="BIE76" s="2198"/>
      <c r="BIF76" s="2198"/>
      <c r="BIG76" s="2198"/>
      <c r="BIH76" s="2198"/>
      <c r="BII76" s="2198"/>
      <c r="BIJ76" s="2198"/>
      <c r="BIK76" s="2198"/>
      <c r="BIL76" s="2198"/>
      <c r="BIM76" s="2198"/>
      <c r="BIN76" s="2198"/>
      <c r="BIO76" s="2198"/>
      <c r="BIP76" s="2198"/>
      <c r="BIQ76" s="2198"/>
      <c r="BIR76" s="2198"/>
      <c r="BIS76" s="2198"/>
      <c r="BIT76" s="2198"/>
      <c r="BIU76" s="2198"/>
      <c r="BIV76" s="2198"/>
      <c r="BIW76" s="2198"/>
      <c r="BIX76" s="2198"/>
      <c r="BIY76" s="2198"/>
      <c r="BIZ76" s="2198"/>
      <c r="BJA76" s="2198"/>
      <c r="BJB76" s="2198"/>
      <c r="BJC76" s="2198"/>
      <c r="BJD76" s="2198"/>
      <c r="BJE76" s="2198"/>
      <c r="BJF76" s="2198"/>
      <c r="BJG76" s="2198"/>
      <c r="BJH76" s="2198"/>
      <c r="BJI76" s="2198"/>
      <c r="BJJ76" s="2198"/>
      <c r="BJK76" s="2198"/>
      <c r="BJL76" s="2198"/>
      <c r="BJM76" s="2198"/>
      <c r="BJN76" s="2198"/>
      <c r="BJO76" s="2198"/>
      <c r="BJP76" s="2198"/>
      <c r="BJQ76" s="2198"/>
      <c r="BJR76" s="2198"/>
      <c r="BJS76" s="2198"/>
      <c r="BJT76" s="2198"/>
      <c r="BJU76" s="2198"/>
      <c r="BJV76" s="2198"/>
      <c r="BJW76" s="2198"/>
      <c r="BJX76" s="2198"/>
      <c r="BJY76" s="2198"/>
      <c r="BJZ76" s="2198"/>
      <c r="BKA76" s="2198"/>
      <c r="BKB76" s="2198"/>
      <c r="BKC76" s="2198"/>
      <c r="BKD76" s="2198"/>
      <c r="BKE76" s="2198"/>
      <c r="BKF76" s="2198"/>
      <c r="BKG76" s="2198"/>
      <c r="BKH76" s="2198"/>
      <c r="BKI76" s="2198"/>
      <c r="BKJ76" s="2198"/>
      <c r="BKK76" s="2198"/>
      <c r="BKL76" s="2198"/>
      <c r="BKM76" s="2198"/>
      <c r="BKN76" s="2198"/>
      <c r="BKO76" s="2198"/>
      <c r="BKP76" s="2198"/>
      <c r="BKQ76" s="2198"/>
      <c r="BKR76" s="2198"/>
      <c r="BKS76" s="2198"/>
      <c r="BKT76" s="2198"/>
      <c r="BKU76" s="2198"/>
      <c r="BKV76" s="2198"/>
      <c r="BKW76" s="2198"/>
      <c r="BKX76" s="2198"/>
      <c r="BKY76" s="2198"/>
      <c r="BKZ76" s="2198"/>
      <c r="BLA76" s="2198"/>
      <c r="BLB76" s="2198"/>
      <c r="BLC76" s="2198"/>
      <c r="BLD76" s="2198"/>
      <c r="BLE76" s="2198"/>
      <c r="BLF76" s="2198"/>
      <c r="BLG76" s="2198"/>
      <c r="BLH76" s="2198"/>
      <c r="BLI76" s="2198"/>
      <c r="BLJ76" s="2198"/>
      <c r="BLK76" s="2198"/>
      <c r="BLL76" s="2198"/>
      <c r="BLM76" s="2198"/>
      <c r="BLN76" s="2198"/>
      <c r="BLO76" s="2198"/>
      <c r="BLP76" s="2198"/>
      <c r="BLQ76" s="2198"/>
      <c r="BLR76" s="2198"/>
      <c r="BLS76" s="2198"/>
      <c r="BLT76" s="2198"/>
      <c r="BLU76" s="2198"/>
      <c r="BLV76" s="2198"/>
      <c r="BLW76" s="2198"/>
      <c r="BLX76" s="2198"/>
      <c r="BLY76" s="2198"/>
      <c r="BLZ76" s="2198"/>
      <c r="BMA76" s="2198"/>
      <c r="BMB76" s="2198"/>
      <c r="BMC76" s="2198"/>
      <c r="BMD76" s="2198"/>
      <c r="BME76" s="2198"/>
      <c r="BMF76" s="2198"/>
      <c r="BMG76" s="2198"/>
      <c r="BMH76" s="2198"/>
      <c r="BMI76" s="2198"/>
      <c r="BMJ76" s="2198"/>
      <c r="BMK76" s="2198"/>
      <c r="BML76" s="2198"/>
      <c r="BMM76" s="2198"/>
      <c r="BMN76" s="2198"/>
      <c r="BMO76" s="2198"/>
      <c r="BMP76" s="2198"/>
      <c r="BMQ76" s="2198"/>
      <c r="BMR76" s="2198"/>
      <c r="BMS76" s="2198"/>
      <c r="BMT76" s="2198"/>
      <c r="BMU76" s="2198"/>
      <c r="BMV76" s="2198"/>
      <c r="BMW76" s="2198"/>
      <c r="BMX76" s="2198"/>
      <c r="BMY76" s="2198"/>
      <c r="BMZ76" s="2198"/>
      <c r="BNA76" s="2198"/>
      <c r="BNB76" s="2198"/>
      <c r="BNC76" s="2198"/>
      <c r="BND76" s="2198"/>
      <c r="BNE76" s="2198"/>
      <c r="BNF76" s="2198"/>
      <c r="BNG76" s="2198"/>
      <c r="BNH76" s="2198"/>
      <c r="BNI76" s="2198"/>
      <c r="BNJ76" s="2198"/>
      <c r="BNK76" s="2198"/>
      <c r="BNL76" s="2198"/>
      <c r="BNM76" s="2198"/>
      <c r="BNN76" s="2198"/>
      <c r="BNO76" s="2198"/>
      <c r="BNP76" s="2198"/>
      <c r="BNQ76" s="2198"/>
      <c r="BNR76" s="2198"/>
      <c r="BNS76" s="2198"/>
      <c r="BNT76" s="2198"/>
      <c r="BNU76" s="2198"/>
      <c r="BNV76" s="2198"/>
      <c r="BNW76" s="2198"/>
      <c r="BNX76" s="2198"/>
      <c r="BNY76" s="2198"/>
      <c r="BNZ76" s="2198"/>
      <c r="BOA76" s="2198"/>
      <c r="BOB76" s="2198"/>
      <c r="BOC76" s="2198"/>
      <c r="BOD76" s="2198"/>
      <c r="BOE76" s="2198"/>
      <c r="BOF76" s="2198"/>
      <c r="BOG76" s="2198"/>
      <c r="BOH76" s="2198"/>
      <c r="BOI76" s="2198"/>
      <c r="BOJ76" s="2198"/>
      <c r="BOK76" s="2198"/>
      <c r="BOL76" s="2198"/>
      <c r="BOM76" s="2198"/>
      <c r="BON76" s="2198"/>
      <c r="BOO76" s="2198"/>
      <c r="BOP76" s="2198"/>
      <c r="BOQ76" s="2198"/>
      <c r="BOR76" s="2198"/>
      <c r="BOS76" s="2198"/>
      <c r="BOT76" s="2198"/>
      <c r="BOU76" s="2198"/>
      <c r="BOV76" s="2198"/>
      <c r="BOW76" s="2198"/>
      <c r="BOX76" s="2198"/>
      <c r="BOY76" s="2198"/>
      <c r="BOZ76" s="2198"/>
      <c r="BPA76" s="2198"/>
      <c r="BPB76" s="2198"/>
      <c r="BPC76" s="2198"/>
      <c r="BPD76" s="2198"/>
      <c r="BPE76" s="2198"/>
      <c r="BPF76" s="2198"/>
      <c r="BPG76" s="2198"/>
      <c r="BPH76" s="2198"/>
      <c r="BPI76" s="2198"/>
      <c r="BPJ76" s="2198"/>
      <c r="BPK76" s="2198"/>
      <c r="BPL76" s="2198"/>
      <c r="BPM76" s="2198"/>
      <c r="BPN76" s="2198"/>
      <c r="BPO76" s="2198"/>
      <c r="BPP76" s="2198"/>
      <c r="BPQ76" s="2198"/>
      <c r="BPR76" s="2198"/>
      <c r="BPS76" s="2198"/>
      <c r="BPT76" s="2198"/>
      <c r="BPU76" s="2198"/>
      <c r="BPV76" s="2198"/>
      <c r="BPW76" s="2198"/>
      <c r="BPX76" s="2198"/>
      <c r="BPY76" s="2198"/>
      <c r="BPZ76" s="2198"/>
      <c r="BQA76" s="2198"/>
      <c r="BQB76" s="2198"/>
      <c r="BQC76" s="2198"/>
      <c r="BQD76" s="2198"/>
      <c r="BQE76" s="2198"/>
      <c r="BQF76" s="2198"/>
      <c r="BQG76" s="2198"/>
      <c r="BQH76" s="2198"/>
      <c r="BQI76" s="2198"/>
      <c r="BQJ76" s="2198"/>
      <c r="BQK76" s="2198"/>
      <c r="BQL76" s="2198"/>
      <c r="BQM76" s="2198"/>
      <c r="BQN76" s="2198"/>
      <c r="BQO76" s="2198"/>
      <c r="BQP76" s="2198"/>
      <c r="BQQ76" s="2198"/>
      <c r="BQR76" s="2198"/>
      <c r="BQS76" s="2198"/>
      <c r="BQT76" s="2198"/>
      <c r="BQU76" s="2198"/>
      <c r="BQV76" s="2198"/>
      <c r="BQW76" s="2198"/>
      <c r="BQX76" s="2198"/>
      <c r="BQY76" s="2198"/>
      <c r="BQZ76" s="2198"/>
      <c r="BRA76" s="2198"/>
      <c r="BRB76" s="2198"/>
      <c r="BRC76" s="2198"/>
      <c r="BRD76" s="2198"/>
      <c r="BRE76" s="2198"/>
      <c r="BRF76" s="2198"/>
      <c r="BRG76" s="2198"/>
      <c r="BRH76" s="2198"/>
      <c r="BRI76" s="2198"/>
      <c r="BRJ76" s="2198"/>
      <c r="BRK76" s="2198"/>
      <c r="BRL76" s="2198"/>
      <c r="BRM76" s="2198"/>
      <c r="BRN76" s="2198"/>
      <c r="BRO76" s="2198"/>
      <c r="BRP76" s="2198"/>
      <c r="BRQ76" s="2198"/>
      <c r="BRR76" s="2198"/>
      <c r="BRS76" s="2198"/>
      <c r="BRT76" s="2198"/>
      <c r="BRU76" s="2198"/>
      <c r="BRV76" s="2198"/>
      <c r="BRW76" s="2198"/>
      <c r="BRX76" s="2198"/>
      <c r="BRY76" s="2198"/>
      <c r="BRZ76" s="2198"/>
      <c r="BSA76" s="2198"/>
      <c r="BSB76" s="2198"/>
      <c r="BSC76" s="2198"/>
      <c r="BSD76" s="2198"/>
      <c r="BSE76" s="2198"/>
      <c r="BSF76" s="2198"/>
      <c r="BSG76" s="2198"/>
      <c r="BSH76" s="2198"/>
      <c r="BSI76" s="2198"/>
      <c r="BSJ76" s="2198"/>
      <c r="BSK76" s="2198"/>
      <c r="BSL76" s="2198"/>
      <c r="BSM76" s="2198"/>
      <c r="BSN76" s="2198"/>
      <c r="BSO76" s="2198"/>
      <c r="BSP76" s="2198"/>
      <c r="BSQ76" s="2198"/>
      <c r="BSR76" s="2198"/>
      <c r="BSS76" s="2198"/>
      <c r="BST76" s="2198"/>
      <c r="BSU76" s="2198"/>
      <c r="BSV76" s="2198"/>
      <c r="BSW76" s="2198"/>
      <c r="BSX76" s="2198"/>
      <c r="BSY76" s="2198"/>
      <c r="BSZ76" s="2198"/>
      <c r="BTA76" s="2198"/>
      <c r="BTB76" s="2198"/>
      <c r="BTC76" s="2198"/>
      <c r="BTD76" s="2198"/>
      <c r="BTE76" s="2198"/>
      <c r="BTF76" s="2198"/>
      <c r="BTG76" s="2198"/>
      <c r="BTH76" s="2198"/>
      <c r="BTI76" s="2198"/>
      <c r="BTJ76" s="2198"/>
      <c r="BTK76" s="2198"/>
      <c r="BTL76" s="2198"/>
      <c r="BTM76" s="2198"/>
      <c r="BTN76" s="2198"/>
      <c r="BTO76" s="2198"/>
      <c r="BTP76" s="2198"/>
      <c r="BTQ76" s="2198"/>
      <c r="BTR76" s="2198"/>
      <c r="BTS76" s="2198"/>
      <c r="BTT76" s="2198"/>
      <c r="BTU76" s="2198"/>
      <c r="BTV76" s="2198"/>
      <c r="BTW76" s="2198"/>
      <c r="BTX76" s="2198"/>
      <c r="BTY76" s="2198"/>
      <c r="BTZ76" s="2198"/>
      <c r="BUA76" s="2198"/>
      <c r="BUB76" s="2198"/>
      <c r="BUC76" s="2198"/>
      <c r="BUD76" s="2198"/>
      <c r="BUE76" s="2198"/>
      <c r="BUF76" s="2198"/>
      <c r="BUG76" s="2198"/>
      <c r="BUH76" s="2198"/>
      <c r="BUI76" s="2198"/>
      <c r="BUJ76" s="2198"/>
      <c r="BUK76" s="2198"/>
      <c r="BUL76" s="2198"/>
      <c r="BUM76" s="2198"/>
      <c r="BUN76" s="2198"/>
      <c r="BUO76" s="2198"/>
      <c r="BUP76" s="2198"/>
      <c r="BUQ76" s="2198"/>
      <c r="BUR76" s="2198"/>
      <c r="BUS76" s="2198"/>
      <c r="BUT76" s="2198"/>
      <c r="BUU76" s="2198"/>
      <c r="BUV76" s="2198"/>
      <c r="BUW76" s="2198"/>
      <c r="BUX76" s="2198"/>
      <c r="BUY76" s="2198"/>
      <c r="BUZ76" s="2198"/>
      <c r="BVA76" s="2198"/>
      <c r="BVB76" s="2198"/>
      <c r="BVC76" s="2198"/>
      <c r="BVD76" s="2198"/>
      <c r="BVE76" s="2198"/>
      <c r="BVF76" s="2198"/>
      <c r="BVG76" s="2198"/>
      <c r="BVH76" s="2198"/>
      <c r="BVI76" s="2198"/>
      <c r="BVJ76" s="2198"/>
      <c r="BVK76" s="2198"/>
      <c r="BVL76" s="2198"/>
      <c r="BVM76" s="2198"/>
      <c r="BVN76" s="2198"/>
      <c r="BVO76" s="2198"/>
      <c r="BVP76" s="2198"/>
      <c r="BVQ76" s="2198"/>
      <c r="BVR76" s="2198"/>
      <c r="BVS76" s="2198"/>
      <c r="BVT76" s="2198"/>
      <c r="BVU76" s="2198"/>
      <c r="BVV76" s="2198"/>
      <c r="BVW76" s="2198"/>
      <c r="BVX76" s="2198"/>
      <c r="BVY76" s="2198"/>
      <c r="BVZ76" s="2198"/>
      <c r="BWA76" s="2198"/>
      <c r="BWB76" s="2198"/>
      <c r="BWC76" s="2198"/>
      <c r="BWD76" s="2198"/>
      <c r="BWE76" s="2198"/>
      <c r="BWF76" s="2198"/>
      <c r="BWG76" s="2198"/>
      <c r="BWH76" s="2198"/>
      <c r="BWI76" s="2198"/>
      <c r="BWJ76" s="2198"/>
      <c r="BWK76" s="2198"/>
      <c r="BWL76" s="2198"/>
      <c r="BWM76" s="2198"/>
      <c r="BWN76" s="2198"/>
      <c r="BWO76" s="2198"/>
      <c r="BWP76" s="2198"/>
      <c r="BWQ76" s="2198"/>
      <c r="BWR76" s="2198"/>
      <c r="BWS76" s="2198"/>
      <c r="BWT76" s="2198"/>
      <c r="BWU76" s="2198"/>
      <c r="BWV76" s="2198"/>
      <c r="BWW76" s="2198"/>
      <c r="BWX76" s="2198"/>
      <c r="BWY76" s="2198"/>
      <c r="BWZ76" s="2198"/>
      <c r="BXA76" s="2198"/>
      <c r="BXB76" s="2198"/>
      <c r="BXC76" s="2198"/>
      <c r="BXD76" s="2198"/>
      <c r="BXE76" s="2198"/>
      <c r="BXF76" s="2198"/>
      <c r="BXG76" s="2198"/>
      <c r="BXH76" s="2198"/>
      <c r="BXI76" s="2198"/>
      <c r="BXJ76" s="2198"/>
      <c r="BXK76" s="2198"/>
      <c r="BXL76" s="2198"/>
      <c r="BXM76" s="2198"/>
      <c r="BXN76" s="2198"/>
      <c r="BXO76" s="2198"/>
      <c r="BXP76" s="2198"/>
      <c r="BXQ76" s="2198"/>
      <c r="BXR76" s="2198"/>
      <c r="BXS76" s="2198"/>
      <c r="BXT76" s="2198"/>
      <c r="BXU76" s="2198"/>
      <c r="BXV76" s="2198"/>
      <c r="BXW76" s="2198"/>
      <c r="BXX76" s="2198"/>
      <c r="BXY76" s="2198"/>
      <c r="BXZ76" s="2198"/>
      <c r="BYA76" s="2198"/>
      <c r="BYB76" s="2198"/>
      <c r="BYC76" s="2198"/>
      <c r="BYD76" s="2198"/>
      <c r="BYE76" s="2198"/>
      <c r="BYF76" s="2198"/>
      <c r="BYG76" s="2198"/>
      <c r="BYH76" s="2198"/>
      <c r="BYI76" s="2198"/>
      <c r="BYJ76" s="2198"/>
      <c r="BYK76" s="2198"/>
      <c r="BYL76" s="2198"/>
      <c r="BYM76" s="2198"/>
      <c r="BYN76" s="2198"/>
      <c r="BYO76" s="2198"/>
      <c r="BYP76" s="2198"/>
      <c r="BYQ76" s="2198"/>
      <c r="BYR76" s="2198"/>
      <c r="BYS76" s="2198"/>
      <c r="BYT76" s="2198"/>
      <c r="BYU76" s="2198"/>
      <c r="BYV76" s="2198"/>
      <c r="BYW76" s="2198"/>
      <c r="BYX76" s="2198"/>
      <c r="BYY76" s="2198"/>
      <c r="BYZ76" s="2198"/>
      <c r="BZA76" s="2198"/>
      <c r="BZB76" s="2198"/>
      <c r="BZC76" s="2198"/>
      <c r="BZD76" s="2198"/>
      <c r="BZE76" s="2198"/>
      <c r="BZF76" s="2198"/>
      <c r="BZG76" s="2198"/>
      <c r="BZH76" s="2198"/>
      <c r="BZI76" s="2198"/>
      <c r="BZJ76" s="2198"/>
      <c r="BZK76" s="2198"/>
      <c r="BZL76" s="2198"/>
      <c r="BZM76" s="2198"/>
      <c r="BZN76" s="2198"/>
      <c r="BZO76" s="2198"/>
      <c r="BZP76" s="2198"/>
      <c r="BZQ76" s="2198"/>
      <c r="BZR76" s="2198"/>
      <c r="BZS76" s="2198"/>
      <c r="BZT76" s="2198"/>
      <c r="BZU76" s="2198"/>
      <c r="BZV76" s="2198"/>
      <c r="BZW76" s="2198"/>
      <c r="BZX76" s="2198"/>
      <c r="BZY76" s="2198"/>
      <c r="BZZ76" s="2198"/>
      <c r="CAA76" s="2198"/>
      <c r="CAB76" s="2198"/>
      <c r="CAC76" s="2198"/>
      <c r="CAD76" s="2198"/>
      <c r="CAE76" s="2198"/>
      <c r="CAF76" s="2198"/>
      <c r="CAG76" s="2198"/>
      <c r="CAH76" s="2198"/>
      <c r="CAI76" s="2198"/>
      <c r="CAJ76" s="2198"/>
      <c r="CAK76" s="2198"/>
      <c r="CAL76" s="2198"/>
      <c r="CAM76" s="2198"/>
      <c r="CAN76" s="2198"/>
      <c r="CAO76" s="2198"/>
      <c r="CAP76" s="2198"/>
      <c r="CAQ76" s="2198"/>
      <c r="CAR76" s="2198"/>
      <c r="CAS76" s="2198"/>
      <c r="CAT76" s="2198"/>
      <c r="CAU76" s="2198"/>
      <c r="CAV76" s="2198"/>
      <c r="CAW76" s="2198"/>
      <c r="CAX76" s="2198"/>
      <c r="CAY76" s="2198"/>
      <c r="CAZ76" s="2198"/>
      <c r="CBA76" s="2198"/>
      <c r="CBB76" s="2198"/>
      <c r="CBC76" s="2198"/>
      <c r="CBD76" s="2198"/>
      <c r="CBE76" s="2198"/>
      <c r="CBF76" s="2198"/>
      <c r="CBG76" s="2198"/>
      <c r="CBH76" s="2198"/>
      <c r="CBI76" s="2198"/>
      <c r="CBJ76" s="2198"/>
      <c r="CBK76" s="2198"/>
      <c r="CBL76" s="2198"/>
      <c r="CBM76" s="2198"/>
      <c r="CBN76" s="2198"/>
      <c r="CBO76" s="2198"/>
      <c r="CBP76" s="2198"/>
      <c r="CBQ76" s="2198"/>
      <c r="CBR76" s="2198"/>
      <c r="CBS76" s="2198"/>
      <c r="CBT76" s="2198"/>
      <c r="CBU76" s="2198"/>
      <c r="CBV76" s="2198"/>
      <c r="CBW76" s="2198"/>
      <c r="CBX76" s="2198"/>
      <c r="CBY76" s="2198"/>
      <c r="CBZ76" s="2198"/>
      <c r="CCA76" s="2198"/>
      <c r="CCB76" s="2198"/>
      <c r="CCC76" s="2198"/>
      <c r="CCD76" s="2198"/>
      <c r="CCE76" s="2198"/>
      <c r="CCF76" s="2198"/>
      <c r="CCG76" s="2198"/>
      <c r="CCH76" s="2198"/>
      <c r="CCI76" s="2198"/>
      <c r="CCJ76" s="2198"/>
      <c r="CCK76" s="2198"/>
      <c r="CCL76" s="2198"/>
      <c r="CCM76" s="2198"/>
      <c r="CCN76" s="2198"/>
      <c r="CCO76" s="2198"/>
      <c r="CCP76" s="2198"/>
      <c r="CCQ76" s="2198"/>
      <c r="CCR76" s="2198"/>
      <c r="CCS76" s="2198"/>
      <c r="CCT76" s="2198"/>
      <c r="CCU76" s="2198"/>
      <c r="CCV76" s="2198"/>
      <c r="CCW76" s="2198"/>
      <c r="CCX76" s="2198"/>
      <c r="CCY76" s="2198"/>
      <c r="CCZ76" s="2198"/>
      <c r="CDA76" s="2198"/>
      <c r="CDB76" s="2198"/>
      <c r="CDC76" s="2198"/>
      <c r="CDD76" s="2198"/>
      <c r="CDE76" s="2198"/>
      <c r="CDF76" s="2198"/>
      <c r="CDG76" s="2198"/>
      <c r="CDH76" s="2198"/>
      <c r="CDI76" s="2198"/>
      <c r="CDJ76" s="2198"/>
      <c r="CDK76" s="2198"/>
      <c r="CDL76" s="2198"/>
      <c r="CDM76" s="2198"/>
      <c r="CDN76" s="2198"/>
      <c r="CDO76" s="2198"/>
      <c r="CDP76" s="2198"/>
      <c r="CDQ76" s="2198"/>
      <c r="CDR76" s="2198"/>
      <c r="CDS76" s="2198"/>
      <c r="CDT76" s="2198"/>
      <c r="CDU76" s="2198"/>
      <c r="CDV76" s="2198"/>
      <c r="CDW76" s="2198"/>
      <c r="CDX76" s="2198"/>
      <c r="CDY76" s="2198"/>
      <c r="CDZ76" s="2198"/>
      <c r="CEA76" s="2198"/>
      <c r="CEB76" s="2198"/>
      <c r="CEC76" s="2198"/>
      <c r="CED76" s="2198"/>
      <c r="CEE76" s="2198"/>
      <c r="CEF76" s="2198"/>
      <c r="CEG76" s="2198"/>
      <c r="CEH76" s="2198"/>
      <c r="CEI76" s="2198"/>
      <c r="CEJ76" s="2198"/>
      <c r="CEK76" s="2198"/>
      <c r="CEL76" s="2198"/>
      <c r="CEM76" s="2198"/>
      <c r="CEN76" s="2198"/>
      <c r="CEO76" s="2198"/>
      <c r="CEP76" s="2198"/>
      <c r="CEQ76" s="2198"/>
      <c r="CER76" s="2198"/>
      <c r="CES76" s="2198"/>
      <c r="CET76" s="2198"/>
      <c r="CEU76" s="2198"/>
      <c r="CEV76" s="2198"/>
      <c r="CEW76" s="2198"/>
      <c r="CEX76" s="2198"/>
      <c r="CEY76" s="2198"/>
      <c r="CEZ76" s="2198"/>
      <c r="CFA76" s="2198"/>
      <c r="CFB76" s="2198"/>
      <c r="CFC76" s="2198"/>
      <c r="CFD76" s="2198"/>
      <c r="CFE76" s="2198"/>
      <c r="CFF76" s="2198"/>
      <c r="CFG76" s="2198"/>
      <c r="CFH76" s="2198"/>
      <c r="CFI76" s="2198"/>
      <c r="CFJ76" s="2198"/>
      <c r="CFK76" s="2198"/>
      <c r="CFL76" s="2198"/>
      <c r="CFM76" s="2198"/>
      <c r="CFN76" s="2198"/>
      <c r="CFO76" s="2198"/>
      <c r="CFP76" s="2198"/>
      <c r="CFQ76" s="2198"/>
      <c r="CFR76" s="2198"/>
      <c r="CFS76" s="2198"/>
      <c r="CFT76" s="2198"/>
      <c r="CFU76" s="2198"/>
      <c r="CFV76" s="2198"/>
      <c r="CFW76" s="2198"/>
      <c r="CFX76" s="2198"/>
      <c r="CFY76" s="2198"/>
      <c r="CFZ76" s="2198"/>
      <c r="CGA76" s="2198"/>
      <c r="CGB76" s="2198"/>
      <c r="CGC76" s="2198"/>
      <c r="CGD76" s="2198"/>
      <c r="CGE76" s="2198"/>
      <c r="CGF76" s="2198"/>
      <c r="CGG76" s="2198"/>
      <c r="CGH76" s="2198"/>
      <c r="CGI76" s="2198"/>
      <c r="CGJ76" s="2198"/>
      <c r="CGK76" s="2198"/>
      <c r="CGL76" s="2198"/>
      <c r="CGM76" s="2198"/>
      <c r="CGN76" s="2198"/>
      <c r="CGO76" s="2198"/>
      <c r="CGP76" s="2198"/>
      <c r="CGQ76" s="2198"/>
      <c r="CGR76" s="2198"/>
      <c r="CGS76" s="2198"/>
      <c r="CGT76" s="2198"/>
      <c r="CGU76" s="2198"/>
      <c r="CGV76" s="2198"/>
      <c r="CGW76" s="2198"/>
      <c r="CGX76" s="2198"/>
      <c r="CGY76" s="2198"/>
      <c r="CGZ76" s="2198"/>
      <c r="CHA76" s="2198"/>
      <c r="CHB76" s="2198"/>
      <c r="CHC76" s="2198"/>
      <c r="CHD76" s="2198"/>
      <c r="CHE76" s="2198"/>
      <c r="CHF76" s="2198"/>
      <c r="CHG76" s="2198"/>
      <c r="CHH76" s="2198"/>
      <c r="CHI76" s="2198"/>
      <c r="CHJ76" s="2198"/>
      <c r="CHK76" s="2198"/>
      <c r="CHL76" s="2198"/>
      <c r="CHM76" s="2198"/>
      <c r="CHN76" s="2198"/>
      <c r="CHO76" s="2198"/>
      <c r="CHP76" s="2198"/>
      <c r="CHQ76" s="2198"/>
      <c r="CHR76" s="2198"/>
      <c r="CHS76" s="2198"/>
      <c r="CHT76" s="2198"/>
      <c r="CHU76" s="2198"/>
      <c r="CHV76" s="2198"/>
      <c r="CHW76" s="2198"/>
      <c r="CHX76" s="2198"/>
      <c r="CHY76" s="2198"/>
      <c r="CHZ76" s="2198"/>
      <c r="CIA76" s="2198"/>
      <c r="CIB76" s="2198"/>
      <c r="CIC76" s="2198"/>
      <c r="CID76" s="2198"/>
      <c r="CIE76" s="2198"/>
      <c r="CIF76" s="2198"/>
      <c r="CIG76" s="2198"/>
      <c r="CIH76" s="2198"/>
      <c r="CII76" s="2198"/>
      <c r="CIJ76" s="2198"/>
      <c r="CIK76" s="2198"/>
      <c r="CIL76" s="2198"/>
      <c r="CIM76" s="2198"/>
      <c r="CIN76" s="2198"/>
      <c r="CIO76" s="2198"/>
      <c r="CIP76" s="2198"/>
      <c r="CIQ76" s="2198"/>
      <c r="CIR76" s="2198"/>
      <c r="CIS76" s="2198"/>
      <c r="CIT76" s="2198"/>
      <c r="CIU76" s="2198"/>
      <c r="CIV76" s="2198"/>
      <c r="CIW76" s="2198"/>
      <c r="CIX76" s="2198"/>
      <c r="CIY76" s="2198"/>
      <c r="CIZ76" s="2198"/>
      <c r="CJA76" s="2198"/>
      <c r="CJB76" s="2198"/>
      <c r="CJC76" s="2198"/>
      <c r="CJD76" s="2198"/>
      <c r="CJE76" s="2198"/>
      <c r="CJF76" s="2198"/>
      <c r="CJG76" s="2198"/>
      <c r="CJH76" s="2198"/>
      <c r="CJI76" s="2198"/>
      <c r="CJJ76" s="2198"/>
      <c r="CJK76" s="2198"/>
      <c r="CJL76" s="2198"/>
      <c r="CJM76" s="2198"/>
      <c r="CJN76" s="2198"/>
      <c r="CJO76" s="2198"/>
      <c r="CJP76" s="2198"/>
      <c r="CJQ76" s="2198"/>
      <c r="CJR76" s="2198"/>
      <c r="CJS76" s="2198"/>
      <c r="CJT76" s="2198"/>
      <c r="CJU76" s="2198"/>
      <c r="CJV76" s="2198"/>
      <c r="CJW76" s="2198"/>
      <c r="CJX76" s="2198"/>
      <c r="CJY76" s="2198"/>
      <c r="CJZ76" s="2198"/>
      <c r="CKA76" s="2198"/>
      <c r="CKB76" s="2198"/>
      <c r="CKC76" s="2198"/>
      <c r="CKD76" s="2198"/>
      <c r="CKE76" s="2198"/>
      <c r="CKF76" s="2198"/>
      <c r="CKG76" s="2198"/>
      <c r="CKH76" s="2198"/>
      <c r="CKI76" s="2198"/>
      <c r="CKJ76" s="2198"/>
      <c r="CKK76" s="2198"/>
      <c r="CKL76" s="2198"/>
      <c r="CKM76" s="2198"/>
      <c r="CKN76" s="2198"/>
      <c r="CKO76" s="2198"/>
      <c r="CKP76" s="2198"/>
      <c r="CKQ76" s="2198"/>
      <c r="CKR76" s="2198"/>
      <c r="CKS76" s="2198"/>
      <c r="CKT76" s="2198"/>
      <c r="CKU76" s="2198"/>
      <c r="CKV76" s="2198"/>
      <c r="CKW76" s="2198"/>
      <c r="CKX76" s="2198"/>
      <c r="CKY76" s="2198"/>
      <c r="CKZ76" s="2198"/>
      <c r="CLA76" s="2198"/>
      <c r="CLB76" s="2198"/>
      <c r="CLC76" s="2198"/>
      <c r="CLD76" s="2198"/>
      <c r="CLE76" s="2198"/>
      <c r="CLF76" s="2198"/>
      <c r="CLG76" s="2198"/>
      <c r="CLH76" s="2198"/>
      <c r="CLI76" s="2198"/>
      <c r="CLJ76" s="2198"/>
      <c r="CLK76" s="2198"/>
      <c r="CLL76" s="2198"/>
      <c r="CLM76" s="2198"/>
      <c r="CLN76" s="2198"/>
      <c r="CLO76" s="2198"/>
      <c r="CLP76" s="2198"/>
      <c r="CLQ76" s="2198"/>
      <c r="CLR76" s="2198"/>
      <c r="CLS76" s="2198"/>
      <c r="CLT76" s="2198"/>
      <c r="CLU76" s="2198"/>
      <c r="CLV76" s="2198"/>
      <c r="CLW76" s="2198"/>
      <c r="CLX76" s="2198"/>
      <c r="CLY76" s="2198"/>
      <c r="CLZ76" s="2198"/>
      <c r="CMA76" s="2198"/>
      <c r="CMB76" s="2198"/>
      <c r="CMC76" s="2198"/>
      <c r="CMD76" s="2198"/>
      <c r="CME76" s="2198"/>
      <c r="CMF76" s="2198"/>
      <c r="CMG76" s="2198"/>
      <c r="CMH76" s="2198"/>
      <c r="CMI76" s="2198"/>
      <c r="CMJ76" s="2198"/>
      <c r="CMK76" s="2198"/>
      <c r="CML76" s="2198"/>
      <c r="CMM76" s="2198"/>
      <c r="CMN76" s="2198"/>
      <c r="CMO76" s="2198"/>
      <c r="CMP76" s="2198"/>
      <c r="CMQ76" s="2198"/>
      <c r="CMR76" s="2198"/>
      <c r="CMS76" s="2198"/>
      <c r="CMT76" s="2198"/>
      <c r="CMU76" s="2198"/>
      <c r="CMV76" s="2198"/>
      <c r="CMW76" s="2198"/>
      <c r="CMX76" s="2198"/>
      <c r="CMY76" s="2198"/>
      <c r="CMZ76" s="2198"/>
      <c r="CNA76" s="2198"/>
      <c r="CNB76" s="2198"/>
      <c r="CNC76" s="2198"/>
      <c r="CND76" s="2198"/>
      <c r="CNE76" s="2198"/>
      <c r="CNF76" s="2198"/>
      <c r="CNG76" s="2198"/>
      <c r="CNH76" s="2198"/>
      <c r="CNI76" s="2198"/>
      <c r="CNJ76" s="2198"/>
      <c r="CNK76" s="2198"/>
      <c r="CNL76" s="2198"/>
      <c r="CNM76" s="2198"/>
      <c r="CNN76" s="2198"/>
      <c r="CNO76" s="2198"/>
      <c r="CNP76" s="2198"/>
      <c r="CNQ76" s="2198"/>
      <c r="CNR76" s="2198"/>
      <c r="CNS76" s="2198"/>
      <c r="CNT76" s="2198"/>
      <c r="CNU76" s="2198"/>
      <c r="CNV76" s="2198"/>
      <c r="CNW76" s="2198"/>
      <c r="CNX76" s="2198"/>
      <c r="CNY76" s="2198"/>
      <c r="CNZ76" s="2198"/>
      <c r="COA76" s="2198"/>
      <c r="COB76" s="2198"/>
      <c r="COC76" s="2198"/>
      <c r="COD76" s="2198"/>
      <c r="COE76" s="2198"/>
      <c r="COF76" s="2198"/>
      <c r="COG76" s="2198"/>
      <c r="COH76" s="2198"/>
      <c r="COI76" s="2198"/>
      <c r="COJ76" s="2198"/>
      <c r="COK76" s="2198"/>
      <c r="COL76" s="2198"/>
      <c r="COM76" s="2198"/>
      <c r="CON76" s="2198"/>
      <c r="COO76" s="2198"/>
      <c r="COP76" s="2198"/>
      <c r="COQ76" s="2198"/>
      <c r="COR76" s="2198"/>
      <c r="COS76" s="2198"/>
      <c r="COT76" s="2198"/>
      <c r="COU76" s="2198"/>
      <c r="COV76" s="2198"/>
      <c r="COW76" s="2198"/>
      <c r="COX76" s="2198"/>
      <c r="COY76" s="2198"/>
      <c r="COZ76" s="2198"/>
      <c r="CPA76" s="2198"/>
      <c r="CPB76" s="2198"/>
      <c r="CPC76" s="2198"/>
      <c r="CPD76" s="2198"/>
      <c r="CPE76" s="2198"/>
      <c r="CPF76" s="2198"/>
      <c r="CPG76" s="2198"/>
      <c r="CPH76" s="2198"/>
      <c r="CPI76" s="2198"/>
      <c r="CPJ76" s="2198"/>
      <c r="CPK76" s="2198"/>
      <c r="CPL76" s="2198"/>
      <c r="CPM76" s="2198"/>
      <c r="CPN76" s="2198"/>
      <c r="CPO76" s="2198"/>
      <c r="CPP76" s="2198"/>
      <c r="CPQ76" s="2198"/>
      <c r="CPR76" s="2198"/>
      <c r="CPS76" s="2198"/>
      <c r="CPT76" s="2198"/>
      <c r="CPU76" s="2198"/>
      <c r="CPV76" s="2198"/>
      <c r="CPW76" s="2198"/>
      <c r="CPX76" s="2198"/>
      <c r="CPY76" s="2198"/>
      <c r="CPZ76" s="2198"/>
      <c r="CQA76" s="2198"/>
      <c r="CQB76" s="2198"/>
      <c r="CQC76" s="2198"/>
      <c r="CQD76" s="2198"/>
      <c r="CQE76" s="2198"/>
      <c r="CQF76" s="2198"/>
      <c r="CQG76" s="2198"/>
      <c r="CQH76" s="2198"/>
      <c r="CQI76" s="2198"/>
      <c r="CQJ76" s="2198"/>
      <c r="CQK76" s="2198"/>
      <c r="CQL76" s="2198"/>
      <c r="CQM76" s="2198"/>
      <c r="CQN76" s="2198"/>
      <c r="CQO76" s="2198"/>
      <c r="CQP76" s="2198"/>
      <c r="CQQ76" s="2198"/>
      <c r="CQR76" s="2198"/>
      <c r="CQS76" s="2198"/>
      <c r="CQT76" s="2198"/>
      <c r="CQU76" s="2198"/>
      <c r="CQV76" s="2198"/>
      <c r="CQW76" s="2198"/>
      <c r="CQX76" s="2198"/>
      <c r="CQY76" s="2198"/>
      <c r="CQZ76" s="2198"/>
      <c r="CRA76" s="2198"/>
      <c r="CRB76" s="2198"/>
      <c r="CRC76" s="2198"/>
      <c r="CRD76" s="2198"/>
      <c r="CRE76" s="2198"/>
      <c r="CRF76" s="2198"/>
      <c r="CRG76" s="2198"/>
      <c r="CRH76" s="2198"/>
      <c r="CRI76" s="2198"/>
      <c r="CRJ76" s="2198"/>
      <c r="CRK76" s="2198"/>
      <c r="CRL76" s="2198"/>
      <c r="CRM76" s="2198"/>
      <c r="CRN76" s="2198"/>
      <c r="CRO76" s="2198"/>
      <c r="CRP76" s="2198"/>
      <c r="CRQ76" s="2198"/>
      <c r="CRR76" s="2198"/>
      <c r="CRS76" s="2198"/>
      <c r="CRT76" s="2198"/>
      <c r="CRU76" s="2198"/>
      <c r="CRV76" s="2198"/>
      <c r="CRW76" s="2198"/>
      <c r="CRX76" s="2198"/>
      <c r="CRY76" s="2198"/>
      <c r="CRZ76" s="2198"/>
      <c r="CSA76" s="2198"/>
      <c r="CSB76" s="2198"/>
      <c r="CSC76" s="2198"/>
      <c r="CSD76" s="2198"/>
      <c r="CSE76" s="2198"/>
      <c r="CSF76" s="2198"/>
      <c r="CSG76" s="2198"/>
      <c r="CSH76" s="2198"/>
      <c r="CSI76" s="2198"/>
      <c r="CSJ76" s="2198"/>
      <c r="CSK76" s="2198"/>
      <c r="CSL76" s="2198"/>
      <c r="CSM76" s="2198"/>
      <c r="CSN76" s="2198"/>
      <c r="CSO76" s="2198"/>
      <c r="CSP76" s="2198"/>
      <c r="CSQ76" s="2198"/>
      <c r="CSR76" s="2198"/>
      <c r="CSS76" s="2198"/>
      <c r="CST76" s="2198"/>
      <c r="CSU76" s="2198"/>
      <c r="CSV76" s="2198"/>
      <c r="CSW76" s="2198"/>
      <c r="CSX76" s="2198"/>
      <c r="CSY76" s="2198"/>
      <c r="CSZ76" s="2198"/>
      <c r="CTA76" s="2198"/>
      <c r="CTB76" s="2198"/>
      <c r="CTC76" s="2198"/>
      <c r="CTD76" s="2198"/>
      <c r="CTE76" s="2198"/>
      <c r="CTF76" s="2198"/>
      <c r="CTG76" s="2198"/>
      <c r="CTH76" s="2198"/>
      <c r="CTI76" s="2198"/>
      <c r="CTJ76" s="2198"/>
      <c r="CTK76" s="2198"/>
      <c r="CTL76" s="2198"/>
      <c r="CTM76" s="2198"/>
      <c r="CTN76" s="2198"/>
      <c r="CTO76" s="2198"/>
      <c r="CTP76" s="2198"/>
      <c r="CTQ76" s="2198"/>
      <c r="CTR76" s="2198"/>
      <c r="CTS76" s="2198"/>
      <c r="CTT76" s="2198"/>
      <c r="CTU76" s="2198"/>
      <c r="CTV76" s="2198"/>
      <c r="CTW76" s="2198"/>
      <c r="CTX76" s="2198"/>
      <c r="CTY76" s="2198"/>
      <c r="CTZ76" s="2198"/>
      <c r="CUA76" s="2198"/>
      <c r="CUB76" s="2198"/>
      <c r="CUC76" s="2198"/>
      <c r="CUD76" s="2198"/>
      <c r="CUE76" s="2198"/>
      <c r="CUF76" s="2198"/>
      <c r="CUG76" s="2198"/>
      <c r="CUH76" s="2198"/>
      <c r="CUI76" s="2198"/>
      <c r="CUJ76" s="2198"/>
      <c r="CUK76" s="2198"/>
      <c r="CUL76" s="2198"/>
      <c r="CUM76" s="2198"/>
      <c r="CUN76" s="2198"/>
      <c r="CUO76" s="2198"/>
      <c r="CUP76" s="2198"/>
      <c r="CUQ76" s="2198"/>
      <c r="CUR76" s="2198"/>
      <c r="CUS76" s="2198"/>
      <c r="CUT76" s="2198"/>
      <c r="CUU76" s="2198"/>
      <c r="CUV76" s="2198"/>
      <c r="CUW76" s="2198"/>
      <c r="CUX76" s="2198"/>
      <c r="CUY76" s="2198"/>
      <c r="CUZ76" s="2198"/>
      <c r="CVA76" s="2198"/>
      <c r="CVB76" s="2198"/>
      <c r="CVC76" s="2198"/>
      <c r="CVD76" s="2198"/>
      <c r="CVE76" s="2198"/>
      <c r="CVF76" s="2198"/>
      <c r="CVG76" s="2198"/>
      <c r="CVH76" s="2198"/>
      <c r="CVI76" s="2198"/>
      <c r="CVJ76" s="2198"/>
      <c r="CVK76" s="2198"/>
      <c r="CVL76" s="2198"/>
      <c r="CVM76" s="2198"/>
      <c r="CVN76" s="2198"/>
      <c r="CVO76" s="2198"/>
      <c r="CVP76" s="2198"/>
      <c r="CVQ76" s="2198"/>
      <c r="CVR76" s="2198"/>
      <c r="CVS76" s="2198"/>
      <c r="CVT76" s="2198"/>
      <c r="CVU76" s="2198"/>
      <c r="CVV76" s="2198"/>
      <c r="CVW76" s="2198"/>
      <c r="CVX76" s="2198"/>
      <c r="CVY76" s="2198"/>
      <c r="CVZ76" s="2198"/>
      <c r="CWA76" s="2198"/>
      <c r="CWB76" s="2198"/>
      <c r="CWC76" s="2198"/>
      <c r="CWD76" s="2198"/>
      <c r="CWE76" s="2198"/>
      <c r="CWF76" s="2198"/>
      <c r="CWG76" s="2198"/>
      <c r="CWH76" s="2198"/>
      <c r="CWI76" s="2198"/>
      <c r="CWJ76" s="2198"/>
      <c r="CWK76" s="2198"/>
      <c r="CWL76" s="2198"/>
      <c r="CWM76" s="2198"/>
      <c r="CWN76" s="2198"/>
      <c r="CWO76" s="2198"/>
      <c r="CWP76" s="2198"/>
      <c r="CWQ76" s="2198"/>
      <c r="CWR76" s="2198"/>
      <c r="CWS76" s="2198"/>
      <c r="CWT76" s="2198"/>
      <c r="CWU76" s="2198"/>
      <c r="CWV76" s="2198"/>
      <c r="CWW76" s="2198"/>
      <c r="CWX76" s="2198"/>
      <c r="CWY76" s="2198"/>
      <c r="CWZ76" s="2198"/>
      <c r="CXA76" s="2198"/>
      <c r="CXB76" s="2198"/>
      <c r="CXC76" s="2198"/>
      <c r="CXD76" s="2198"/>
      <c r="CXE76" s="2198"/>
      <c r="CXF76" s="2198"/>
      <c r="CXG76" s="2198"/>
      <c r="CXH76" s="2198"/>
      <c r="CXI76" s="2198"/>
      <c r="CXJ76" s="2198"/>
      <c r="CXK76" s="2198"/>
      <c r="CXL76" s="2198"/>
      <c r="CXM76" s="2198"/>
      <c r="CXN76" s="2198"/>
      <c r="CXO76" s="2198"/>
      <c r="CXP76" s="2198"/>
      <c r="CXQ76" s="2198"/>
      <c r="CXR76" s="2198"/>
      <c r="CXS76" s="2198"/>
      <c r="CXT76" s="2198"/>
      <c r="CXU76" s="2198"/>
      <c r="CXV76" s="2198"/>
      <c r="CXW76" s="2198"/>
      <c r="CXX76" s="2198"/>
      <c r="CXY76" s="2198"/>
      <c r="CXZ76" s="2198"/>
      <c r="CYA76" s="2198"/>
      <c r="CYB76" s="2198"/>
      <c r="CYC76" s="2198"/>
      <c r="CYD76" s="2198"/>
      <c r="CYE76" s="2198"/>
      <c r="CYF76" s="2198"/>
      <c r="CYG76" s="2198"/>
      <c r="CYH76" s="2198"/>
      <c r="CYI76" s="2198"/>
      <c r="CYJ76" s="2198"/>
      <c r="CYK76" s="2198"/>
      <c r="CYL76" s="2198"/>
      <c r="CYM76" s="2198"/>
      <c r="CYN76" s="2198"/>
      <c r="CYO76" s="2198"/>
      <c r="CYP76" s="2198"/>
      <c r="CYQ76" s="2198"/>
      <c r="CYR76" s="2198"/>
      <c r="CYS76" s="2198"/>
      <c r="CYT76" s="2198"/>
      <c r="CYU76" s="2198"/>
      <c r="CYV76" s="2198"/>
      <c r="CYW76" s="2198"/>
      <c r="CYX76" s="2198"/>
      <c r="CYY76" s="2198"/>
      <c r="CYZ76" s="2198"/>
      <c r="CZA76" s="2198"/>
      <c r="CZB76" s="2198"/>
      <c r="CZC76" s="2198"/>
      <c r="CZD76" s="2198"/>
      <c r="CZE76" s="2198"/>
      <c r="CZF76" s="2198"/>
      <c r="CZG76" s="2198"/>
      <c r="CZH76" s="2198"/>
      <c r="CZI76" s="2198"/>
      <c r="CZJ76" s="2198"/>
      <c r="CZK76" s="2198"/>
      <c r="CZL76" s="2198"/>
      <c r="CZM76" s="2198"/>
      <c r="CZN76" s="2198"/>
      <c r="CZO76" s="2198"/>
      <c r="CZP76" s="2198"/>
      <c r="CZQ76" s="2198"/>
      <c r="CZR76" s="2198"/>
      <c r="CZS76" s="2198"/>
      <c r="CZT76" s="2198"/>
      <c r="CZU76" s="2198"/>
      <c r="CZV76" s="2198"/>
      <c r="CZW76" s="2198"/>
      <c r="CZX76" s="2198"/>
      <c r="CZY76" s="2198"/>
      <c r="CZZ76" s="2198"/>
      <c r="DAA76" s="2198"/>
      <c r="DAB76" s="2198"/>
      <c r="DAC76" s="2198"/>
      <c r="DAD76" s="2198"/>
      <c r="DAE76" s="2198"/>
      <c r="DAF76" s="2198"/>
      <c r="DAG76" s="2198"/>
      <c r="DAH76" s="2198"/>
      <c r="DAI76" s="2198"/>
      <c r="DAJ76" s="2198"/>
      <c r="DAK76" s="2198"/>
      <c r="DAL76" s="2198"/>
      <c r="DAM76" s="2198"/>
      <c r="DAN76" s="2198"/>
      <c r="DAO76" s="2198"/>
      <c r="DAP76" s="2198"/>
      <c r="DAQ76" s="2198"/>
      <c r="DAR76" s="2198"/>
      <c r="DAS76" s="2198"/>
      <c r="DAT76" s="2198"/>
      <c r="DAU76" s="2198"/>
      <c r="DAV76" s="2198"/>
      <c r="DAW76" s="2198"/>
      <c r="DAX76" s="2198"/>
      <c r="DAY76" s="2198"/>
      <c r="DAZ76" s="2198"/>
      <c r="DBA76" s="2198"/>
      <c r="DBB76" s="2198"/>
      <c r="DBC76" s="2198"/>
      <c r="DBD76" s="2198"/>
      <c r="DBE76" s="2198"/>
      <c r="DBF76" s="2198"/>
      <c r="DBG76" s="2198"/>
      <c r="DBH76" s="2198"/>
      <c r="DBI76" s="2198"/>
      <c r="DBJ76" s="2198"/>
      <c r="DBK76" s="2198"/>
      <c r="DBL76" s="2198"/>
      <c r="DBM76" s="2198"/>
      <c r="DBN76" s="2198"/>
      <c r="DBO76" s="2198"/>
      <c r="DBP76" s="2198"/>
      <c r="DBQ76" s="2198"/>
      <c r="DBR76" s="2198"/>
      <c r="DBS76" s="2198"/>
      <c r="DBT76" s="2198"/>
      <c r="DBU76" s="2198"/>
      <c r="DBV76" s="2198"/>
      <c r="DBW76" s="2198"/>
      <c r="DBX76" s="2198"/>
      <c r="DBY76" s="2198"/>
      <c r="DBZ76" s="2198"/>
      <c r="DCA76" s="2198"/>
      <c r="DCB76" s="2198"/>
      <c r="DCC76" s="2198"/>
      <c r="DCD76" s="2198"/>
      <c r="DCE76" s="2198"/>
      <c r="DCF76" s="2198"/>
      <c r="DCG76" s="2198"/>
      <c r="DCH76" s="2198"/>
      <c r="DCI76" s="2198"/>
      <c r="DCJ76" s="2198"/>
      <c r="DCK76" s="2198"/>
      <c r="DCL76" s="2198"/>
      <c r="DCM76" s="2198"/>
      <c r="DCN76" s="2198"/>
      <c r="DCO76" s="2198"/>
      <c r="DCP76" s="2198"/>
      <c r="DCQ76" s="2198"/>
      <c r="DCR76" s="2198"/>
      <c r="DCS76" s="2198"/>
      <c r="DCT76" s="2198"/>
      <c r="DCU76" s="2198"/>
      <c r="DCV76" s="2198"/>
      <c r="DCW76" s="2198"/>
      <c r="DCX76" s="2198"/>
      <c r="DCY76" s="2198"/>
      <c r="DCZ76" s="2198"/>
      <c r="DDA76" s="2198"/>
      <c r="DDB76" s="2198"/>
      <c r="DDC76" s="2198"/>
      <c r="DDD76" s="2198"/>
      <c r="DDE76" s="2198"/>
      <c r="DDF76" s="2198"/>
      <c r="DDG76" s="2198"/>
      <c r="DDH76" s="2198"/>
      <c r="DDI76" s="2198"/>
      <c r="DDJ76" s="2198"/>
      <c r="DDK76" s="2198"/>
      <c r="DDL76" s="2198"/>
      <c r="DDM76" s="2198"/>
      <c r="DDN76" s="2198"/>
      <c r="DDO76" s="2198"/>
      <c r="DDP76" s="2198"/>
      <c r="DDQ76" s="2198"/>
      <c r="DDR76" s="2198"/>
      <c r="DDS76" s="2198"/>
      <c r="DDT76" s="2198"/>
      <c r="DDU76" s="2198"/>
      <c r="DDV76" s="2198"/>
      <c r="DDW76" s="2198"/>
      <c r="DDX76" s="2198"/>
      <c r="DDY76" s="2198"/>
      <c r="DDZ76" s="2198"/>
      <c r="DEA76" s="2198"/>
      <c r="DEB76" s="2198"/>
      <c r="DEC76" s="2198"/>
      <c r="DED76" s="2198"/>
      <c r="DEE76" s="2198"/>
      <c r="DEF76" s="2198"/>
      <c r="DEG76" s="2198"/>
      <c r="DEH76" s="2198"/>
      <c r="DEI76" s="2198"/>
      <c r="DEJ76" s="2198"/>
      <c r="DEK76" s="2198"/>
      <c r="DEL76" s="2198"/>
      <c r="DEM76" s="2198"/>
      <c r="DEN76" s="2198"/>
      <c r="DEO76" s="2198"/>
      <c r="DEP76" s="2198"/>
      <c r="DEQ76" s="2198"/>
      <c r="DER76" s="2198"/>
      <c r="DES76" s="2198"/>
      <c r="DET76" s="2198"/>
      <c r="DEU76" s="2198"/>
      <c r="DEV76" s="2198"/>
      <c r="DEW76" s="2198"/>
      <c r="DEX76" s="2198"/>
      <c r="DEY76" s="2198"/>
      <c r="DEZ76" s="2198"/>
      <c r="DFA76" s="2198"/>
      <c r="DFB76" s="2198"/>
      <c r="DFC76" s="2198"/>
      <c r="DFD76" s="2198"/>
      <c r="DFE76" s="2198"/>
      <c r="DFF76" s="2198"/>
      <c r="DFG76" s="2198"/>
      <c r="DFH76" s="2198"/>
      <c r="DFI76" s="2198"/>
      <c r="DFJ76" s="2198"/>
      <c r="DFK76" s="2198"/>
      <c r="DFL76" s="2198"/>
      <c r="DFM76" s="2198"/>
      <c r="DFN76" s="2198"/>
      <c r="DFO76" s="2198"/>
      <c r="DFP76" s="2198"/>
      <c r="DFQ76" s="2198"/>
      <c r="DFR76" s="2198"/>
      <c r="DFS76" s="2198"/>
      <c r="DFT76" s="2198"/>
      <c r="DFU76" s="2198"/>
      <c r="DFV76" s="2198"/>
      <c r="DFW76" s="2198"/>
      <c r="DFX76" s="2198"/>
      <c r="DFY76" s="2198"/>
      <c r="DFZ76" s="2198"/>
      <c r="DGA76" s="2198"/>
      <c r="DGB76" s="2198"/>
      <c r="DGC76" s="2198"/>
      <c r="DGD76" s="2198"/>
      <c r="DGE76" s="2198"/>
      <c r="DGF76" s="2198"/>
      <c r="DGG76" s="2198"/>
      <c r="DGH76" s="2198"/>
      <c r="DGI76" s="2198"/>
      <c r="DGJ76" s="2198"/>
      <c r="DGK76" s="2198"/>
      <c r="DGL76" s="2198"/>
      <c r="DGM76" s="2198"/>
      <c r="DGN76" s="2198"/>
      <c r="DGO76" s="2198"/>
      <c r="DGP76" s="2198"/>
      <c r="DGQ76" s="2198"/>
      <c r="DGR76" s="2198"/>
      <c r="DGS76" s="2198"/>
      <c r="DGT76" s="2198"/>
      <c r="DGU76" s="2198"/>
      <c r="DGV76" s="2198"/>
      <c r="DGW76" s="2198"/>
      <c r="DGX76" s="2198"/>
      <c r="DGY76" s="2198"/>
      <c r="DGZ76" s="2198"/>
      <c r="DHA76" s="2198"/>
      <c r="DHB76" s="2198"/>
      <c r="DHC76" s="2198"/>
      <c r="DHD76" s="2198"/>
      <c r="DHE76" s="2198"/>
      <c r="DHF76" s="2198"/>
      <c r="DHG76" s="2198"/>
      <c r="DHH76" s="2198"/>
      <c r="DHI76" s="2198"/>
      <c r="DHJ76" s="2198"/>
      <c r="DHK76" s="2198"/>
      <c r="DHL76" s="2198"/>
      <c r="DHM76" s="2198"/>
      <c r="DHN76" s="2198"/>
      <c r="DHO76" s="2198"/>
      <c r="DHP76" s="2198"/>
      <c r="DHQ76" s="2198"/>
      <c r="DHR76" s="2198"/>
      <c r="DHS76" s="2198"/>
      <c r="DHT76" s="2198"/>
      <c r="DHU76" s="2198"/>
      <c r="DHV76" s="2198"/>
      <c r="DHW76" s="2198"/>
      <c r="DHX76" s="2198"/>
      <c r="DHY76" s="2198"/>
      <c r="DHZ76" s="2198"/>
      <c r="DIA76" s="2198"/>
      <c r="DIB76" s="2198"/>
      <c r="DIC76" s="2198"/>
      <c r="DID76" s="2198"/>
      <c r="DIE76" s="2198"/>
      <c r="DIF76" s="2198"/>
      <c r="DIG76" s="2198"/>
      <c r="DIH76" s="2198"/>
      <c r="DII76" s="2198"/>
      <c r="DIJ76" s="2198"/>
      <c r="DIK76" s="2198"/>
      <c r="DIL76" s="2198"/>
      <c r="DIM76" s="2198"/>
      <c r="DIN76" s="2198"/>
      <c r="DIO76" s="2198"/>
      <c r="DIP76" s="2198"/>
      <c r="DIQ76" s="2198"/>
      <c r="DIR76" s="2198"/>
      <c r="DIS76" s="2198"/>
      <c r="DIT76" s="2198"/>
      <c r="DIU76" s="2198"/>
      <c r="DIV76" s="2198"/>
      <c r="DIW76" s="2198"/>
      <c r="DIX76" s="2198"/>
      <c r="DIY76" s="2198"/>
      <c r="DIZ76" s="2198"/>
      <c r="DJA76" s="2198"/>
      <c r="DJB76" s="2198"/>
      <c r="DJC76" s="2198"/>
      <c r="DJD76" s="2198"/>
      <c r="DJE76" s="2198"/>
      <c r="DJF76" s="2198"/>
      <c r="DJG76" s="2198"/>
      <c r="DJH76" s="2198"/>
      <c r="DJI76" s="2198"/>
      <c r="DJJ76" s="2198"/>
      <c r="DJK76" s="2198"/>
      <c r="DJL76" s="2198"/>
      <c r="DJM76" s="2198"/>
      <c r="DJN76" s="2198"/>
      <c r="DJO76" s="2198"/>
      <c r="DJP76" s="2198"/>
      <c r="DJQ76" s="2198"/>
      <c r="DJR76" s="2198"/>
      <c r="DJS76" s="2198"/>
      <c r="DJT76" s="2198"/>
      <c r="DJU76" s="2198"/>
      <c r="DJV76" s="2198"/>
      <c r="DJW76" s="2198"/>
      <c r="DJX76" s="2198"/>
      <c r="DJY76" s="2198"/>
      <c r="DJZ76" s="2198"/>
      <c r="DKA76" s="2198"/>
      <c r="DKB76" s="2198"/>
      <c r="DKC76" s="2198"/>
      <c r="DKD76" s="2198"/>
      <c r="DKE76" s="2198"/>
      <c r="DKF76" s="2198"/>
      <c r="DKG76" s="2198"/>
      <c r="DKH76" s="2198"/>
      <c r="DKI76" s="2198"/>
      <c r="DKJ76" s="2198"/>
      <c r="DKK76" s="2198"/>
      <c r="DKL76" s="2198"/>
      <c r="DKM76" s="2198"/>
      <c r="DKN76" s="2198"/>
      <c r="DKO76" s="2198"/>
      <c r="DKP76" s="2198"/>
      <c r="DKQ76" s="2198"/>
      <c r="DKR76" s="2198"/>
      <c r="DKS76" s="2198"/>
      <c r="DKT76" s="2198"/>
      <c r="DKU76" s="2198"/>
      <c r="DKV76" s="2198"/>
      <c r="DKW76" s="2198"/>
      <c r="DKX76" s="2198"/>
      <c r="DKY76" s="2198"/>
      <c r="DKZ76" s="2198"/>
      <c r="DLA76" s="2198"/>
      <c r="DLB76" s="2198"/>
      <c r="DLC76" s="2198"/>
      <c r="DLD76" s="2198"/>
      <c r="DLE76" s="2198"/>
      <c r="DLF76" s="2198"/>
      <c r="DLG76" s="2198"/>
      <c r="DLH76" s="2198"/>
      <c r="DLI76" s="2198"/>
      <c r="DLJ76" s="2198"/>
      <c r="DLK76" s="2198"/>
      <c r="DLL76" s="2198"/>
      <c r="DLM76" s="2198"/>
      <c r="DLN76" s="2198"/>
      <c r="DLO76" s="2198"/>
      <c r="DLP76" s="2198"/>
      <c r="DLQ76" s="2198"/>
      <c r="DLR76" s="2198"/>
      <c r="DLS76" s="2198"/>
      <c r="DLT76" s="2198"/>
      <c r="DLU76" s="2198"/>
      <c r="DLV76" s="2198"/>
      <c r="DLW76" s="2198"/>
      <c r="DLX76" s="2198"/>
      <c r="DLY76" s="2198"/>
      <c r="DLZ76" s="2198"/>
      <c r="DMA76" s="2198"/>
      <c r="DMB76" s="2198"/>
      <c r="DMC76" s="2198"/>
      <c r="DMD76" s="2198"/>
      <c r="DME76" s="2198"/>
      <c r="DMF76" s="2198"/>
      <c r="DMG76" s="2198"/>
      <c r="DMH76" s="2198"/>
      <c r="DMI76" s="2198"/>
      <c r="DMJ76" s="2198"/>
      <c r="DMK76" s="2198"/>
      <c r="DML76" s="2198"/>
      <c r="DMM76" s="2198"/>
      <c r="DMN76" s="2198"/>
      <c r="DMO76" s="2198"/>
      <c r="DMP76" s="2198"/>
      <c r="DMQ76" s="2198"/>
      <c r="DMR76" s="2198"/>
      <c r="DMS76" s="2198"/>
      <c r="DMT76" s="2198"/>
      <c r="DMU76" s="2198"/>
      <c r="DMV76" s="2198"/>
      <c r="DMW76" s="2198"/>
      <c r="DMX76" s="2198"/>
      <c r="DMY76" s="2198"/>
      <c r="DMZ76" s="2198"/>
      <c r="DNA76" s="2198"/>
      <c r="DNB76" s="2198"/>
      <c r="DNC76" s="2198"/>
      <c r="DND76" s="2198"/>
      <c r="DNE76" s="2198"/>
      <c r="DNF76" s="2198"/>
      <c r="DNG76" s="2198"/>
      <c r="DNH76" s="2198"/>
      <c r="DNI76" s="2198"/>
      <c r="DNJ76" s="2198"/>
      <c r="DNK76" s="2198"/>
      <c r="DNL76" s="2198"/>
      <c r="DNM76" s="2198"/>
      <c r="DNN76" s="2198"/>
      <c r="DNO76" s="2198"/>
      <c r="DNP76" s="2198"/>
      <c r="DNQ76" s="2198"/>
      <c r="DNR76" s="2198"/>
      <c r="DNS76" s="2198"/>
      <c r="DNT76" s="2198"/>
      <c r="DNU76" s="2198"/>
      <c r="DNV76" s="2198"/>
      <c r="DNW76" s="2198"/>
      <c r="DNX76" s="2198"/>
      <c r="DNY76" s="2198"/>
      <c r="DNZ76" s="2198"/>
      <c r="DOA76" s="2198"/>
      <c r="DOB76" s="2198"/>
      <c r="DOC76" s="2198"/>
      <c r="DOD76" s="2198"/>
      <c r="DOE76" s="2198"/>
      <c r="DOF76" s="2198"/>
      <c r="DOG76" s="2198"/>
      <c r="DOH76" s="2198"/>
      <c r="DOI76" s="2198"/>
      <c r="DOJ76" s="2198"/>
      <c r="DOK76" s="2198"/>
      <c r="DOL76" s="2198"/>
      <c r="DOM76" s="2198"/>
      <c r="DON76" s="2198"/>
      <c r="DOO76" s="2198"/>
      <c r="DOP76" s="2198"/>
      <c r="DOQ76" s="2198"/>
      <c r="DOR76" s="2198"/>
      <c r="DOS76" s="2198"/>
      <c r="DOT76" s="2198"/>
      <c r="DOU76" s="2198"/>
      <c r="DOV76" s="2198"/>
      <c r="DOW76" s="2198"/>
      <c r="DOX76" s="2198"/>
      <c r="DOY76" s="2198"/>
      <c r="DOZ76" s="2198"/>
      <c r="DPA76" s="2198"/>
      <c r="DPB76" s="2198"/>
      <c r="DPC76" s="2198"/>
      <c r="DPD76" s="2198"/>
      <c r="DPE76" s="2198"/>
      <c r="DPF76" s="2198"/>
      <c r="DPG76" s="2198"/>
      <c r="DPH76" s="2198"/>
      <c r="DPI76" s="2198"/>
      <c r="DPJ76" s="2198"/>
      <c r="DPK76" s="2198"/>
      <c r="DPL76" s="2198"/>
      <c r="DPM76" s="2198"/>
      <c r="DPN76" s="2198"/>
      <c r="DPO76" s="2198"/>
      <c r="DPP76" s="2198"/>
      <c r="DPQ76" s="2198"/>
      <c r="DPR76" s="2198"/>
      <c r="DPS76" s="2198"/>
      <c r="DPT76" s="2198"/>
      <c r="DPU76" s="2198"/>
      <c r="DPV76" s="2198"/>
      <c r="DPW76" s="2198"/>
      <c r="DPX76" s="2198"/>
      <c r="DPY76" s="2198"/>
      <c r="DPZ76" s="2198"/>
      <c r="DQA76" s="2198"/>
      <c r="DQB76" s="2198"/>
      <c r="DQC76" s="2198"/>
      <c r="DQD76" s="2198"/>
      <c r="DQE76" s="2198"/>
      <c r="DQF76" s="2198"/>
      <c r="DQG76" s="2198"/>
      <c r="DQH76" s="2198"/>
      <c r="DQI76" s="2198"/>
      <c r="DQJ76" s="2198"/>
      <c r="DQK76" s="2198"/>
      <c r="DQL76" s="2198"/>
      <c r="DQM76" s="2198"/>
      <c r="DQN76" s="2198"/>
      <c r="DQO76" s="2198"/>
      <c r="DQP76" s="2198"/>
      <c r="DQQ76" s="2198"/>
      <c r="DQR76" s="2198"/>
      <c r="DQS76" s="2198"/>
      <c r="DQT76" s="2198"/>
      <c r="DQU76" s="2198"/>
      <c r="DQV76" s="2198"/>
      <c r="DQW76" s="2198"/>
      <c r="DQX76" s="2198"/>
      <c r="DQY76" s="2198"/>
      <c r="DQZ76" s="2198"/>
      <c r="DRA76" s="2198"/>
      <c r="DRB76" s="2198"/>
      <c r="DRC76" s="2198"/>
      <c r="DRD76" s="2198"/>
      <c r="DRE76" s="2198"/>
      <c r="DRF76" s="2198"/>
      <c r="DRG76" s="2198"/>
      <c r="DRH76" s="2198"/>
      <c r="DRI76" s="2198"/>
      <c r="DRJ76" s="2198"/>
      <c r="DRK76" s="2198"/>
      <c r="DRL76" s="2198"/>
      <c r="DRM76" s="2198"/>
      <c r="DRN76" s="2198"/>
      <c r="DRO76" s="2198"/>
      <c r="DRP76" s="2198"/>
      <c r="DRQ76" s="2198"/>
      <c r="DRR76" s="2198"/>
      <c r="DRS76" s="2198"/>
      <c r="DRT76" s="2198"/>
      <c r="DRU76" s="2198"/>
      <c r="DRV76" s="2198"/>
      <c r="DRW76" s="2198"/>
      <c r="DRX76" s="2198"/>
      <c r="DRY76" s="2198"/>
      <c r="DRZ76" s="2198"/>
      <c r="DSA76" s="2198"/>
      <c r="DSB76" s="2198"/>
      <c r="DSC76" s="2198"/>
      <c r="DSD76" s="2198"/>
      <c r="DSE76" s="2198"/>
      <c r="DSF76" s="2198"/>
      <c r="DSG76" s="2198"/>
      <c r="DSH76" s="2198"/>
      <c r="DSI76" s="2198"/>
      <c r="DSJ76" s="2198"/>
      <c r="DSK76" s="2198"/>
      <c r="DSL76" s="2198"/>
      <c r="DSM76" s="2198"/>
      <c r="DSN76" s="2198"/>
      <c r="DSO76" s="2198"/>
      <c r="DSP76" s="2198"/>
      <c r="DSQ76" s="2198"/>
      <c r="DSR76" s="2198"/>
      <c r="DSS76" s="2198"/>
      <c r="DST76" s="2198"/>
      <c r="DSU76" s="2198"/>
      <c r="DSV76" s="2198"/>
      <c r="DSW76" s="2198"/>
      <c r="DSX76" s="2198"/>
      <c r="DSY76" s="2198"/>
      <c r="DSZ76" s="2198"/>
      <c r="DTA76" s="2198"/>
      <c r="DTB76" s="2198"/>
      <c r="DTC76" s="2198"/>
      <c r="DTD76" s="2198"/>
      <c r="DTE76" s="2198"/>
      <c r="DTF76" s="2198"/>
      <c r="DTG76" s="2198"/>
      <c r="DTH76" s="2198"/>
      <c r="DTI76" s="2198"/>
      <c r="DTJ76" s="2198"/>
      <c r="DTK76" s="2198"/>
      <c r="DTL76" s="2198"/>
      <c r="DTM76" s="2198"/>
      <c r="DTN76" s="2198"/>
      <c r="DTO76" s="2198"/>
      <c r="DTP76" s="2198"/>
      <c r="DTQ76" s="2198"/>
      <c r="DTR76" s="2198"/>
      <c r="DTS76" s="2198"/>
      <c r="DTT76" s="2198"/>
      <c r="DTU76" s="2198"/>
      <c r="DTV76" s="2198"/>
      <c r="DTW76" s="2198"/>
      <c r="DTX76" s="2198"/>
      <c r="DTY76" s="2198"/>
      <c r="DTZ76" s="2198"/>
      <c r="DUA76" s="2198"/>
      <c r="DUB76" s="2198"/>
      <c r="DUC76" s="2198"/>
      <c r="DUD76" s="2198"/>
      <c r="DUE76" s="2198"/>
      <c r="DUF76" s="2198"/>
      <c r="DUG76" s="2198"/>
      <c r="DUH76" s="2198"/>
      <c r="DUI76" s="2198"/>
      <c r="DUJ76" s="2198"/>
      <c r="DUK76" s="2198"/>
      <c r="DUL76" s="2198"/>
      <c r="DUM76" s="2198"/>
      <c r="DUN76" s="2198"/>
      <c r="DUO76" s="2198"/>
      <c r="DUP76" s="2198"/>
      <c r="DUQ76" s="2198"/>
      <c r="DUR76" s="2198"/>
      <c r="DUS76" s="2198"/>
      <c r="DUT76" s="2198"/>
      <c r="DUU76" s="2198"/>
      <c r="DUV76" s="2198"/>
      <c r="DUW76" s="2198"/>
      <c r="DUX76" s="2198"/>
      <c r="DUY76" s="2198"/>
      <c r="DUZ76" s="2198"/>
      <c r="DVA76" s="2198"/>
      <c r="DVB76" s="2198"/>
      <c r="DVC76" s="2198"/>
      <c r="DVD76" s="2198"/>
      <c r="DVE76" s="2198"/>
      <c r="DVF76" s="2198"/>
      <c r="DVG76" s="2198"/>
      <c r="DVH76" s="2198"/>
      <c r="DVI76" s="2198"/>
      <c r="DVJ76" s="2198"/>
      <c r="DVK76" s="2198"/>
      <c r="DVL76" s="2198"/>
      <c r="DVM76" s="2198"/>
      <c r="DVN76" s="2198"/>
      <c r="DVO76" s="2198"/>
      <c r="DVP76" s="2198"/>
      <c r="DVQ76" s="2198"/>
      <c r="DVR76" s="2198"/>
      <c r="DVS76" s="2198"/>
      <c r="DVT76" s="2198"/>
      <c r="DVU76" s="2198"/>
      <c r="DVV76" s="2198"/>
      <c r="DVW76" s="2198"/>
      <c r="DVX76" s="2198"/>
      <c r="DVY76" s="2198"/>
      <c r="DVZ76" s="2198"/>
      <c r="DWA76" s="2198"/>
      <c r="DWB76" s="2198"/>
      <c r="DWC76" s="2198"/>
      <c r="DWD76" s="2198"/>
      <c r="DWE76" s="2198"/>
      <c r="DWF76" s="2198"/>
      <c r="DWG76" s="2198"/>
      <c r="DWH76" s="2198"/>
      <c r="DWI76" s="2198"/>
      <c r="DWJ76" s="2198"/>
      <c r="DWK76" s="2198"/>
      <c r="DWL76" s="2198"/>
      <c r="DWM76" s="2198"/>
      <c r="DWN76" s="2198"/>
      <c r="DWO76" s="2198"/>
      <c r="DWP76" s="2198"/>
      <c r="DWQ76" s="2198"/>
      <c r="DWR76" s="2198"/>
      <c r="DWS76" s="2198"/>
      <c r="DWT76" s="2198"/>
      <c r="DWU76" s="2198"/>
      <c r="DWV76" s="2198"/>
      <c r="DWW76" s="2198"/>
      <c r="DWX76" s="2198"/>
      <c r="DWY76" s="2198"/>
      <c r="DWZ76" s="2198"/>
      <c r="DXA76" s="2198"/>
      <c r="DXB76" s="2198"/>
      <c r="DXC76" s="2198"/>
      <c r="DXD76" s="2198"/>
      <c r="DXE76" s="2198"/>
      <c r="DXF76" s="2198"/>
      <c r="DXG76" s="2198"/>
      <c r="DXH76" s="2198"/>
      <c r="DXI76" s="2198"/>
      <c r="DXJ76" s="2198"/>
      <c r="DXK76" s="2198"/>
      <c r="DXL76" s="2198"/>
      <c r="DXM76" s="2198"/>
      <c r="DXN76" s="2198"/>
      <c r="DXO76" s="2198"/>
      <c r="DXP76" s="2198"/>
      <c r="DXQ76" s="2198"/>
      <c r="DXR76" s="2198"/>
      <c r="DXS76" s="2198"/>
      <c r="DXT76" s="2198"/>
      <c r="DXU76" s="2198"/>
      <c r="DXV76" s="2198"/>
      <c r="DXW76" s="2198"/>
      <c r="DXX76" s="2198"/>
      <c r="DXY76" s="2198"/>
      <c r="DXZ76" s="2198"/>
      <c r="DYA76" s="2198"/>
      <c r="DYB76" s="2198"/>
      <c r="DYC76" s="2198"/>
      <c r="DYD76" s="2198"/>
      <c r="DYE76" s="2198"/>
      <c r="DYF76" s="2198"/>
      <c r="DYG76" s="2198"/>
      <c r="DYH76" s="2198"/>
      <c r="DYI76" s="2198"/>
      <c r="DYJ76" s="2198"/>
      <c r="DYK76" s="2198"/>
      <c r="DYL76" s="2198"/>
      <c r="DYM76" s="2198"/>
      <c r="DYN76" s="2198"/>
      <c r="DYO76" s="2198"/>
      <c r="DYP76" s="2198"/>
      <c r="DYQ76" s="2198"/>
      <c r="DYR76" s="2198"/>
      <c r="DYS76" s="2198"/>
      <c r="DYT76" s="2198"/>
      <c r="DYU76" s="2198"/>
      <c r="DYV76" s="2198"/>
      <c r="DYW76" s="2198"/>
      <c r="DYX76" s="2198"/>
      <c r="DYY76" s="2198"/>
      <c r="DYZ76" s="2198"/>
      <c r="DZA76" s="2198"/>
      <c r="DZB76" s="2198"/>
      <c r="DZC76" s="2198"/>
      <c r="DZD76" s="2198"/>
      <c r="DZE76" s="2198"/>
      <c r="DZF76" s="2198"/>
      <c r="DZG76" s="2198"/>
      <c r="DZH76" s="2198"/>
      <c r="DZI76" s="2198"/>
      <c r="DZJ76" s="2198"/>
      <c r="DZK76" s="2198"/>
      <c r="DZL76" s="2198"/>
      <c r="DZM76" s="2198"/>
      <c r="DZN76" s="2198"/>
      <c r="DZO76" s="2198"/>
      <c r="DZP76" s="2198"/>
      <c r="DZQ76" s="2198"/>
      <c r="DZR76" s="2198"/>
      <c r="DZS76" s="2198"/>
      <c r="DZT76" s="2198"/>
      <c r="DZU76" s="2198"/>
      <c r="DZV76" s="2198"/>
      <c r="DZW76" s="2198"/>
      <c r="DZX76" s="2198"/>
      <c r="DZY76" s="2198"/>
      <c r="DZZ76" s="2198"/>
      <c r="EAA76" s="2198"/>
      <c r="EAB76" s="2198"/>
      <c r="EAC76" s="2198"/>
      <c r="EAD76" s="2198"/>
      <c r="EAE76" s="2198"/>
      <c r="EAF76" s="2198"/>
      <c r="EAG76" s="2198"/>
      <c r="EAH76" s="2198"/>
      <c r="EAI76" s="2198"/>
      <c r="EAJ76" s="2198"/>
      <c r="EAK76" s="2198"/>
      <c r="EAL76" s="2198"/>
      <c r="EAM76" s="2198"/>
      <c r="EAN76" s="2198"/>
      <c r="EAO76" s="2198"/>
      <c r="EAP76" s="2198"/>
      <c r="EAQ76" s="2198"/>
      <c r="EAR76" s="2198"/>
      <c r="EAS76" s="2198"/>
      <c r="EAT76" s="2198"/>
      <c r="EAU76" s="2198"/>
      <c r="EAV76" s="2198"/>
      <c r="EAW76" s="2198"/>
      <c r="EAX76" s="2198"/>
      <c r="EAY76" s="2198"/>
      <c r="EAZ76" s="2198"/>
      <c r="EBA76" s="2198"/>
      <c r="EBB76" s="2198"/>
      <c r="EBC76" s="2198"/>
      <c r="EBD76" s="2198"/>
      <c r="EBE76" s="2198"/>
      <c r="EBF76" s="2198"/>
      <c r="EBG76" s="2198"/>
      <c r="EBH76" s="2198"/>
      <c r="EBI76" s="2198"/>
      <c r="EBJ76" s="2198"/>
      <c r="EBK76" s="2198"/>
      <c r="EBL76" s="2198"/>
      <c r="EBM76" s="2198"/>
      <c r="EBN76" s="2198"/>
      <c r="EBO76" s="2198"/>
      <c r="EBP76" s="2198"/>
      <c r="EBQ76" s="2198"/>
      <c r="EBR76" s="2198"/>
      <c r="EBS76" s="2198"/>
      <c r="EBT76" s="2198"/>
      <c r="EBU76" s="2198"/>
      <c r="EBV76" s="2198"/>
      <c r="EBW76" s="2198"/>
      <c r="EBX76" s="2198"/>
      <c r="EBY76" s="2198"/>
      <c r="EBZ76" s="2198"/>
      <c r="ECA76" s="2198"/>
      <c r="ECB76" s="2198"/>
      <c r="ECC76" s="2198"/>
      <c r="ECD76" s="2198"/>
      <c r="ECE76" s="2198"/>
      <c r="ECF76" s="2198"/>
      <c r="ECG76" s="2198"/>
      <c r="ECH76" s="2198"/>
      <c r="ECI76" s="2198"/>
      <c r="ECJ76" s="2198"/>
      <c r="ECK76" s="2198"/>
      <c r="ECL76" s="2198"/>
      <c r="ECM76" s="2198"/>
      <c r="ECN76" s="2198"/>
      <c r="ECO76" s="2198"/>
      <c r="ECP76" s="2198"/>
      <c r="ECQ76" s="2198"/>
      <c r="ECR76" s="2198"/>
      <c r="ECS76" s="2198"/>
      <c r="ECT76" s="2198"/>
      <c r="ECU76" s="2198"/>
      <c r="ECV76" s="2198"/>
      <c r="ECW76" s="2198"/>
      <c r="ECX76" s="2198"/>
      <c r="ECY76" s="2198"/>
      <c r="ECZ76" s="2198"/>
      <c r="EDA76" s="2198"/>
      <c r="EDB76" s="2198"/>
      <c r="EDC76" s="2198"/>
      <c r="EDD76" s="2198"/>
      <c r="EDE76" s="2198"/>
      <c r="EDF76" s="2198"/>
      <c r="EDG76" s="2198"/>
      <c r="EDH76" s="2198"/>
      <c r="EDI76" s="2198"/>
      <c r="EDJ76" s="2198"/>
      <c r="EDK76" s="2198"/>
      <c r="EDL76" s="2198"/>
      <c r="EDM76" s="2198"/>
      <c r="EDN76" s="2198"/>
      <c r="EDO76" s="2198"/>
      <c r="EDP76" s="2198"/>
      <c r="EDQ76" s="2198"/>
      <c r="EDR76" s="2198"/>
      <c r="EDS76" s="2198"/>
      <c r="EDT76" s="2198"/>
      <c r="EDU76" s="2198"/>
      <c r="EDV76" s="2198"/>
      <c r="EDW76" s="2198"/>
      <c r="EDX76" s="2198"/>
      <c r="EDY76" s="2198"/>
      <c r="EDZ76" s="2198"/>
      <c r="EEA76" s="2198"/>
      <c r="EEB76" s="2198"/>
      <c r="EEC76" s="2198"/>
      <c r="EED76" s="2198"/>
      <c r="EEE76" s="2198"/>
      <c r="EEF76" s="2198"/>
      <c r="EEG76" s="2198"/>
      <c r="EEH76" s="2198"/>
      <c r="EEI76" s="2198"/>
      <c r="EEJ76" s="2198"/>
      <c r="EEK76" s="2198"/>
      <c r="EEL76" s="2198"/>
      <c r="EEM76" s="2198"/>
      <c r="EEN76" s="2198"/>
      <c r="EEO76" s="2198"/>
      <c r="EEP76" s="2198"/>
      <c r="EEQ76" s="2198"/>
      <c r="EER76" s="2198"/>
      <c r="EES76" s="2198"/>
      <c r="EET76" s="2198"/>
      <c r="EEU76" s="2198"/>
      <c r="EEV76" s="2198"/>
      <c r="EEW76" s="2198"/>
      <c r="EEX76" s="2198"/>
      <c r="EEY76" s="2198"/>
      <c r="EEZ76" s="2198"/>
      <c r="EFA76" s="2198"/>
      <c r="EFB76" s="2198"/>
      <c r="EFC76" s="2198"/>
      <c r="EFD76" s="2198"/>
      <c r="EFE76" s="2198"/>
      <c r="EFF76" s="2198"/>
      <c r="EFG76" s="2198"/>
      <c r="EFH76" s="2198"/>
      <c r="EFI76" s="2198"/>
      <c r="EFJ76" s="2198"/>
      <c r="EFK76" s="2198"/>
      <c r="EFL76" s="2198"/>
      <c r="EFM76" s="2198"/>
      <c r="EFN76" s="2198"/>
      <c r="EFO76" s="2198"/>
      <c r="EFP76" s="2198"/>
      <c r="EFQ76" s="2198"/>
      <c r="EFR76" s="2198"/>
      <c r="EFS76" s="2198"/>
      <c r="EFT76" s="2198"/>
      <c r="EFU76" s="2198"/>
      <c r="EFV76" s="2198"/>
      <c r="EFW76" s="2198"/>
      <c r="EFX76" s="2198"/>
      <c r="EFY76" s="2198"/>
      <c r="EFZ76" s="2198"/>
      <c r="EGA76" s="2198"/>
      <c r="EGB76" s="2198"/>
      <c r="EGC76" s="2198"/>
      <c r="EGD76" s="2198"/>
      <c r="EGE76" s="2198"/>
      <c r="EGF76" s="2198"/>
      <c r="EGG76" s="2198"/>
      <c r="EGH76" s="2198"/>
      <c r="EGI76" s="2198"/>
      <c r="EGJ76" s="2198"/>
      <c r="EGK76" s="2198"/>
      <c r="EGL76" s="2198"/>
      <c r="EGM76" s="2198"/>
      <c r="EGN76" s="2198"/>
      <c r="EGO76" s="2198"/>
      <c r="EGP76" s="2198"/>
      <c r="EGQ76" s="2198"/>
      <c r="EGR76" s="2198"/>
      <c r="EGS76" s="2198"/>
      <c r="EGT76" s="2198"/>
      <c r="EGU76" s="2198"/>
      <c r="EGV76" s="2198"/>
      <c r="EGW76" s="2198"/>
      <c r="EGX76" s="2198"/>
      <c r="EGY76" s="2198"/>
      <c r="EGZ76" s="2198"/>
      <c r="EHA76" s="2198"/>
      <c r="EHB76" s="2198"/>
      <c r="EHC76" s="2198"/>
      <c r="EHD76" s="2198"/>
      <c r="EHE76" s="2198"/>
      <c r="EHF76" s="2198"/>
      <c r="EHG76" s="2198"/>
      <c r="EHH76" s="2198"/>
      <c r="EHI76" s="2198"/>
      <c r="EHJ76" s="2198"/>
      <c r="EHK76" s="2198"/>
      <c r="EHL76" s="2198"/>
      <c r="EHM76" s="2198"/>
      <c r="EHN76" s="2198"/>
      <c r="EHO76" s="2198"/>
      <c r="EHP76" s="2198"/>
      <c r="EHQ76" s="2198"/>
      <c r="EHR76" s="2198"/>
      <c r="EHS76" s="2198"/>
      <c r="EHT76" s="2198"/>
      <c r="EHU76" s="2198"/>
      <c r="EHV76" s="2198"/>
      <c r="EHW76" s="2198"/>
      <c r="EHX76" s="2198"/>
      <c r="EHY76" s="2198"/>
      <c r="EHZ76" s="2198"/>
      <c r="EIA76" s="2198"/>
      <c r="EIB76" s="2198"/>
      <c r="EIC76" s="2198"/>
      <c r="EID76" s="2198"/>
      <c r="EIE76" s="2198"/>
      <c r="EIF76" s="2198"/>
      <c r="EIG76" s="2198"/>
      <c r="EIH76" s="2198"/>
      <c r="EII76" s="2198"/>
      <c r="EIJ76" s="2198"/>
      <c r="EIK76" s="2198"/>
      <c r="EIL76" s="2198"/>
      <c r="EIM76" s="2198"/>
      <c r="EIN76" s="2198"/>
      <c r="EIO76" s="2198"/>
      <c r="EIP76" s="2198"/>
      <c r="EIQ76" s="2198"/>
      <c r="EIR76" s="2198"/>
      <c r="EIS76" s="2198"/>
      <c r="EIT76" s="2198"/>
      <c r="EIU76" s="2198"/>
      <c r="EIV76" s="2198"/>
      <c r="EIW76" s="2198"/>
      <c r="EIX76" s="2198"/>
      <c r="EIY76" s="2198"/>
      <c r="EIZ76" s="2198"/>
      <c r="EJA76" s="2198"/>
      <c r="EJB76" s="2198"/>
      <c r="EJC76" s="2198"/>
      <c r="EJD76" s="2198"/>
      <c r="EJE76" s="2198"/>
      <c r="EJF76" s="2198"/>
      <c r="EJG76" s="2198"/>
      <c r="EJH76" s="2198"/>
      <c r="EJI76" s="2198"/>
      <c r="EJJ76" s="2198"/>
      <c r="EJK76" s="2198"/>
      <c r="EJL76" s="2198"/>
      <c r="EJM76" s="2198"/>
      <c r="EJN76" s="2198"/>
      <c r="EJO76" s="2198"/>
      <c r="EJP76" s="2198"/>
      <c r="EJQ76" s="2198"/>
      <c r="EJR76" s="2198"/>
      <c r="EJS76" s="2198"/>
      <c r="EJT76" s="2198"/>
      <c r="EJU76" s="2198"/>
      <c r="EJV76" s="2198"/>
      <c r="EJW76" s="2198"/>
      <c r="EJX76" s="2198"/>
      <c r="EJY76" s="2198"/>
      <c r="EJZ76" s="2198"/>
      <c r="EKA76" s="2198"/>
      <c r="EKB76" s="2198"/>
      <c r="EKC76" s="2198"/>
      <c r="EKD76" s="2198"/>
      <c r="EKE76" s="2198"/>
      <c r="EKF76" s="2198"/>
      <c r="EKG76" s="2198"/>
      <c r="EKH76" s="2198"/>
      <c r="EKI76" s="2198"/>
      <c r="EKJ76" s="2198"/>
      <c r="EKK76" s="2198"/>
      <c r="EKL76" s="2198"/>
      <c r="EKM76" s="2198"/>
      <c r="EKN76" s="2198"/>
      <c r="EKO76" s="2198"/>
      <c r="EKP76" s="2198"/>
      <c r="EKQ76" s="2198"/>
      <c r="EKR76" s="2198"/>
      <c r="EKS76" s="2198"/>
      <c r="EKT76" s="2198"/>
      <c r="EKU76" s="2198"/>
      <c r="EKV76" s="2198"/>
      <c r="EKW76" s="2198"/>
      <c r="EKX76" s="2198"/>
      <c r="EKY76" s="2198"/>
      <c r="EKZ76" s="2198"/>
      <c r="ELA76" s="2198"/>
      <c r="ELB76" s="2198"/>
      <c r="ELC76" s="2198"/>
      <c r="ELD76" s="2198"/>
      <c r="ELE76" s="2198"/>
      <c r="ELF76" s="2198"/>
      <c r="ELG76" s="2198"/>
      <c r="ELH76" s="2198"/>
      <c r="ELI76" s="2198"/>
      <c r="ELJ76" s="2198"/>
      <c r="ELK76" s="2198"/>
      <c r="ELL76" s="2198"/>
      <c r="ELM76" s="2198"/>
      <c r="ELN76" s="2198"/>
      <c r="ELO76" s="2198"/>
      <c r="ELP76" s="2198"/>
      <c r="ELQ76" s="2198"/>
      <c r="ELR76" s="2198"/>
      <c r="ELS76" s="2198"/>
      <c r="ELT76" s="2198"/>
      <c r="ELU76" s="2198"/>
      <c r="ELV76" s="2198"/>
      <c r="ELW76" s="2198"/>
      <c r="ELX76" s="2198"/>
      <c r="ELY76" s="2198"/>
      <c r="ELZ76" s="2198"/>
      <c r="EMA76" s="2198"/>
      <c r="EMB76" s="2198"/>
      <c r="EMC76" s="2198"/>
      <c r="EMD76" s="2198"/>
      <c r="EME76" s="2198"/>
      <c r="EMF76" s="2198"/>
      <c r="EMG76" s="2198"/>
      <c r="EMH76" s="2198"/>
      <c r="EMI76" s="2198"/>
      <c r="EMJ76" s="2198"/>
      <c r="EMK76" s="2198"/>
      <c r="EML76" s="2198"/>
      <c r="EMM76" s="2198"/>
      <c r="EMN76" s="2198"/>
      <c r="EMO76" s="2198"/>
      <c r="EMP76" s="2198"/>
      <c r="EMQ76" s="2198"/>
      <c r="EMR76" s="2198"/>
      <c r="EMS76" s="2198"/>
      <c r="EMT76" s="2198"/>
      <c r="EMU76" s="2198"/>
      <c r="EMV76" s="2198"/>
      <c r="EMW76" s="2198"/>
      <c r="EMX76" s="2198"/>
      <c r="EMY76" s="2198"/>
      <c r="EMZ76" s="2198"/>
      <c r="ENA76" s="2198"/>
      <c r="ENB76" s="2198"/>
      <c r="ENC76" s="2198"/>
      <c r="END76" s="2198"/>
      <c r="ENE76" s="2198"/>
      <c r="ENF76" s="2198"/>
      <c r="ENG76" s="2198"/>
      <c r="ENH76" s="2198"/>
      <c r="ENI76" s="2198"/>
      <c r="ENJ76" s="2198"/>
      <c r="ENK76" s="2198"/>
      <c r="ENL76" s="2198"/>
      <c r="ENM76" s="2198"/>
      <c r="ENN76" s="2198"/>
      <c r="ENO76" s="2198"/>
      <c r="ENP76" s="2198"/>
      <c r="ENQ76" s="2198"/>
      <c r="ENR76" s="2198"/>
      <c r="ENS76" s="2198"/>
      <c r="ENT76" s="2198"/>
      <c r="ENU76" s="2198"/>
      <c r="ENV76" s="2198"/>
      <c r="ENW76" s="2198"/>
      <c r="ENX76" s="2198"/>
      <c r="ENY76" s="2198"/>
      <c r="ENZ76" s="2198"/>
      <c r="EOA76" s="2198"/>
      <c r="EOB76" s="2198"/>
      <c r="EOC76" s="2198"/>
      <c r="EOD76" s="2198"/>
      <c r="EOE76" s="2198"/>
      <c r="EOF76" s="2198"/>
      <c r="EOG76" s="2198"/>
      <c r="EOH76" s="2198"/>
      <c r="EOI76" s="2198"/>
      <c r="EOJ76" s="2198"/>
      <c r="EOK76" s="2198"/>
      <c r="EOL76" s="2198"/>
      <c r="EOM76" s="2198"/>
      <c r="EON76" s="2198"/>
      <c r="EOO76" s="2198"/>
      <c r="EOP76" s="2198"/>
      <c r="EOQ76" s="2198"/>
      <c r="EOR76" s="2198"/>
      <c r="EOS76" s="2198"/>
      <c r="EOT76" s="2198"/>
      <c r="EOU76" s="2198"/>
      <c r="EOV76" s="2198"/>
      <c r="EOW76" s="2198"/>
      <c r="EOX76" s="2198"/>
      <c r="EOY76" s="2198"/>
      <c r="EOZ76" s="2198"/>
      <c r="EPA76" s="2198"/>
      <c r="EPB76" s="2198"/>
      <c r="EPC76" s="2198"/>
      <c r="EPD76" s="2198"/>
      <c r="EPE76" s="2198"/>
      <c r="EPF76" s="2198"/>
      <c r="EPG76" s="2198"/>
      <c r="EPH76" s="2198"/>
      <c r="EPI76" s="2198"/>
      <c r="EPJ76" s="2198"/>
      <c r="EPK76" s="2198"/>
      <c r="EPL76" s="2198"/>
      <c r="EPM76" s="2198"/>
      <c r="EPN76" s="2198"/>
      <c r="EPO76" s="2198"/>
      <c r="EPP76" s="2198"/>
      <c r="EPQ76" s="2198"/>
      <c r="EPR76" s="2198"/>
      <c r="EPS76" s="2198"/>
      <c r="EPT76" s="2198"/>
      <c r="EPU76" s="2198"/>
      <c r="EPV76" s="2198"/>
      <c r="EPW76" s="2198"/>
      <c r="EPX76" s="2198"/>
      <c r="EPY76" s="2198"/>
      <c r="EPZ76" s="2198"/>
      <c r="EQA76" s="2198"/>
      <c r="EQB76" s="2198"/>
      <c r="EQC76" s="2198"/>
      <c r="EQD76" s="2198"/>
      <c r="EQE76" s="2198"/>
      <c r="EQF76" s="2198"/>
      <c r="EQG76" s="2198"/>
      <c r="EQH76" s="2198"/>
      <c r="EQI76" s="2198"/>
      <c r="EQJ76" s="2198"/>
      <c r="EQK76" s="2198"/>
      <c r="EQL76" s="2198"/>
      <c r="EQM76" s="2198"/>
      <c r="EQN76" s="2198"/>
      <c r="EQO76" s="2198"/>
      <c r="EQP76" s="2198"/>
      <c r="EQQ76" s="2198"/>
      <c r="EQR76" s="2198"/>
      <c r="EQS76" s="2198"/>
      <c r="EQT76" s="2198"/>
      <c r="EQU76" s="2198"/>
      <c r="EQV76" s="2198"/>
      <c r="EQW76" s="2198"/>
      <c r="EQX76" s="2198"/>
      <c r="EQY76" s="2198"/>
      <c r="EQZ76" s="2198"/>
      <c r="ERA76" s="2198"/>
      <c r="ERB76" s="2198"/>
      <c r="ERC76" s="2198"/>
      <c r="ERD76" s="2198"/>
      <c r="ERE76" s="2198"/>
      <c r="ERF76" s="2198"/>
      <c r="ERG76" s="2198"/>
      <c r="ERH76" s="2198"/>
      <c r="ERI76" s="2198"/>
      <c r="ERJ76" s="2198"/>
      <c r="ERK76" s="2198"/>
      <c r="ERL76" s="2198"/>
      <c r="ERM76" s="2198"/>
      <c r="ERN76" s="2198"/>
      <c r="ERO76" s="2198"/>
      <c r="ERP76" s="2198"/>
      <c r="ERQ76" s="2198"/>
      <c r="ERR76" s="2198"/>
      <c r="ERS76" s="2198"/>
      <c r="ERT76" s="2198"/>
      <c r="ERU76" s="2198"/>
      <c r="ERV76" s="2198"/>
      <c r="ERW76" s="2198"/>
      <c r="ERX76" s="2198"/>
      <c r="ERY76" s="2198"/>
      <c r="ERZ76" s="2198"/>
      <c r="ESA76" s="2198"/>
      <c r="ESB76" s="2198"/>
      <c r="ESC76" s="2198"/>
      <c r="ESD76" s="2198"/>
      <c r="ESE76" s="2198"/>
      <c r="ESF76" s="2198"/>
      <c r="ESG76" s="2198"/>
      <c r="ESH76" s="2198"/>
      <c r="ESI76" s="2198"/>
      <c r="ESJ76" s="2198"/>
      <c r="ESK76" s="2198"/>
      <c r="ESL76" s="2198"/>
      <c r="ESM76" s="2198"/>
      <c r="ESN76" s="2198"/>
      <c r="ESO76" s="2198"/>
      <c r="ESP76" s="2198"/>
      <c r="ESQ76" s="2198"/>
      <c r="ESR76" s="2198"/>
      <c r="ESS76" s="2198"/>
      <c r="EST76" s="2198"/>
      <c r="ESU76" s="2198"/>
      <c r="ESV76" s="2198"/>
      <c r="ESW76" s="2198"/>
      <c r="ESX76" s="2198"/>
      <c r="ESY76" s="2198"/>
      <c r="ESZ76" s="2198"/>
      <c r="ETA76" s="2198"/>
      <c r="ETB76" s="2198"/>
      <c r="ETC76" s="2198"/>
      <c r="ETD76" s="2198"/>
      <c r="ETE76" s="2198"/>
      <c r="ETF76" s="2198"/>
      <c r="ETG76" s="2198"/>
      <c r="ETH76" s="2198"/>
      <c r="ETI76" s="2198"/>
      <c r="ETJ76" s="2198"/>
      <c r="ETK76" s="2198"/>
      <c r="ETL76" s="2198"/>
      <c r="ETM76" s="2198"/>
      <c r="ETN76" s="2198"/>
      <c r="ETO76" s="2198"/>
      <c r="ETP76" s="2198"/>
      <c r="ETQ76" s="2198"/>
      <c r="ETR76" s="2198"/>
      <c r="ETS76" s="2198"/>
      <c r="ETT76" s="2198"/>
      <c r="ETU76" s="2198"/>
      <c r="ETV76" s="2198"/>
      <c r="ETW76" s="2198"/>
      <c r="ETX76" s="2198"/>
      <c r="ETY76" s="2198"/>
      <c r="ETZ76" s="2198"/>
      <c r="EUA76" s="2198"/>
      <c r="EUB76" s="2198"/>
      <c r="EUC76" s="2198"/>
      <c r="EUD76" s="2198"/>
      <c r="EUE76" s="2198"/>
      <c r="EUF76" s="2198"/>
      <c r="EUG76" s="2198"/>
      <c r="EUH76" s="2198"/>
      <c r="EUI76" s="2198"/>
      <c r="EUJ76" s="2198"/>
      <c r="EUK76" s="2198"/>
      <c r="EUL76" s="2198"/>
      <c r="EUM76" s="2198"/>
      <c r="EUN76" s="2198"/>
      <c r="EUO76" s="2198"/>
      <c r="EUP76" s="2198"/>
      <c r="EUQ76" s="2198"/>
      <c r="EUR76" s="2198"/>
      <c r="EUS76" s="2198"/>
      <c r="EUT76" s="2198"/>
      <c r="EUU76" s="2198"/>
      <c r="EUV76" s="2198"/>
      <c r="EUW76" s="2198"/>
      <c r="EUX76" s="2198"/>
      <c r="EUY76" s="2198"/>
      <c r="EUZ76" s="2198"/>
      <c r="EVA76" s="2198"/>
      <c r="EVB76" s="2198"/>
      <c r="EVC76" s="2198"/>
      <c r="EVD76" s="2198"/>
      <c r="EVE76" s="2198"/>
      <c r="EVF76" s="2198"/>
      <c r="EVG76" s="2198"/>
      <c r="EVH76" s="2198"/>
      <c r="EVI76" s="2198"/>
      <c r="EVJ76" s="2198"/>
      <c r="EVK76" s="2198"/>
      <c r="EVL76" s="2198"/>
      <c r="EVM76" s="2198"/>
      <c r="EVN76" s="2198"/>
      <c r="EVO76" s="2198"/>
      <c r="EVP76" s="2198"/>
      <c r="EVQ76" s="2198"/>
      <c r="EVR76" s="2198"/>
      <c r="EVS76" s="2198"/>
      <c r="EVT76" s="2198"/>
      <c r="EVU76" s="2198"/>
      <c r="EVV76" s="2198"/>
      <c r="EVW76" s="2198"/>
      <c r="EVX76" s="2198"/>
      <c r="EVY76" s="2198"/>
      <c r="EVZ76" s="2198"/>
      <c r="EWA76" s="2198"/>
      <c r="EWB76" s="2198"/>
      <c r="EWC76" s="2198"/>
      <c r="EWD76" s="2198"/>
      <c r="EWE76" s="2198"/>
      <c r="EWF76" s="2198"/>
      <c r="EWG76" s="2198"/>
      <c r="EWH76" s="2198"/>
      <c r="EWI76" s="2198"/>
      <c r="EWJ76" s="2198"/>
      <c r="EWK76" s="2198"/>
      <c r="EWL76" s="2198"/>
      <c r="EWM76" s="2198"/>
      <c r="EWN76" s="2198"/>
      <c r="EWO76" s="2198"/>
      <c r="EWP76" s="2198"/>
      <c r="EWQ76" s="2198"/>
      <c r="EWR76" s="2198"/>
      <c r="EWS76" s="2198"/>
      <c r="EWT76" s="2198"/>
      <c r="EWU76" s="2198"/>
      <c r="EWV76" s="2198"/>
      <c r="EWW76" s="2198"/>
      <c r="EWX76" s="2198"/>
      <c r="EWY76" s="2198"/>
      <c r="EWZ76" s="2198"/>
      <c r="EXA76" s="2198"/>
      <c r="EXB76" s="2198"/>
      <c r="EXC76" s="2198"/>
      <c r="EXD76" s="2198"/>
      <c r="EXE76" s="2198"/>
      <c r="EXF76" s="2198"/>
      <c r="EXG76" s="2198"/>
      <c r="EXH76" s="2198"/>
      <c r="EXI76" s="2198"/>
      <c r="EXJ76" s="2198"/>
      <c r="EXK76" s="2198"/>
      <c r="EXL76" s="2198"/>
      <c r="EXM76" s="2198"/>
      <c r="EXN76" s="2198"/>
      <c r="EXO76" s="2198"/>
      <c r="EXP76" s="2198"/>
      <c r="EXQ76" s="2198"/>
      <c r="EXR76" s="2198"/>
      <c r="EXS76" s="2198"/>
      <c r="EXT76" s="2198"/>
      <c r="EXU76" s="2198"/>
      <c r="EXV76" s="2198"/>
      <c r="EXW76" s="2198"/>
      <c r="EXX76" s="2198"/>
      <c r="EXY76" s="2198"/>
      <c r="EXZ76" s="2198"/>
      <c r="EYA76" s="2198"/>
      <c r="EYB76" s="2198"/>
      <c r="EYC76" s="2198"/>
      <c r="EYD76" s="2198"/>
      <c r="EYE76" s="2198"/>
      <c r="EYF76" s="2198"/>
      <c r="EYG76" s="2198"/>
      <c r="EYH76" s="2198"/>
      <c r="EYI76" s="2198"/>
      <c r="EYJ76" s="2198"/>
      <c r="EYK76" s="2198"/>
      <c r="EYL76" s="2198"/>
      <c r="EYM76" s="2198"/>
      <c r="EYN76" s="2198"/>
      <c r="EYO76" s="2198"/>
      <c r="EYP76" s="2198"/>
      <c r="EYQ76" s="2198"/>
      <c r="EYR76" s="2198"/>
      <c r="EYS76" s="2198"/>
      <c r="EYT76" s="2198"/>
      <c r="EYU76" s="2198"/>
      <c r="EYV76" s="2198"/>
      <c r="EYW76" s="2198"/>
      <c r="EYX76" s="2198"/>
      <c r="EYY76" s="2198"/>
      <c r="EYZ76" s="2198"/>
      <c r="EZA76" s="2198"/>
      <c r="EZB76" s="2198"/>
      <c r="EZC76" s="2198"/>
      <c r="EZD76" s="2198"/>
      <c r="EZE76" s="2198"/>
      <c r="EZF76" s="2198"/>
      <c r="EZG76" s="2198"/>
      <c r="EZH76" s="2198"/>
      <c r="EZI76" s="2198"/>
      <c r="EZJ76" s="2198"/>
      <c r="EZK76" s="2198"/>
      <c r="EZL76" s="2198"/>
      <c r="EZM76" s="2198"/>
      <c r="EZN76" s="2198"/>
      <c r="EZO76" s="2198"/>
      <c r="EZP76" s="2198"/>
      <c r="EZQ76" s="2198"/>
      <c r="EZR76" s="2198"/>
      <c r="EZS76" s="2198"/>
      <c r="EZT76" s="2198"/>
      <c r="EZU76" s="2198"/>
      <c r="EZV76" s="2198"/>
      <c r="EZW76" s="2198"/>
      <c r="EZX76" s="2198"/>
      <c r="EZY76" s="2198"/>
      <c r="EZZ76" s="2198"/>
      <c r="FAA76" s="2198"/>
      <c r="FAB76" s="2198"/>
      <c r="FAC76" s="2198"/>
      <c r="FAD76" s="2198"/>
      <c r="FAE76" s="2198"/>
      <c r="FAF76" s="2198"/>
      <c r="FAG76" s="2198"/>
      <c r="FAH76" s="2198"/>
      <c r="FAI76" s="2198"/>
      <c r="FAJ76" s="2198"/>
      <c r="FAK76" s="2198"/>
      <c r="FAL76" s="2198"/>
      <c r="FAM76" s="2198"/>
      <c r="FAN76" s="2198"/>
      <c r="FAO76" s="2198"/>
      <c r="FAP76" s="2198"/>
      <c r="FAQ76" s="2198"/>
      <c r="FAR76" s="2198"/>
      <c r="FAS76" s="2198"/>
      <c r="FAT76" s="2198"/>
      <c r="FAU76" s="2198"/>
      <c r="FAV76" s="2198"/>
      <c r="FAW76" s="2198"/>
      <c r="FAX76" s="2198"/>
      <c r="FAY76" s="2198"/>
      <c r="FAZ76" s="2198"/>
      <c r="FBA76" s="2198"/>
      <c r="FBB76" s="2198"/>
      <c r="FBC76" s="2198"/>
      <c r="FBD76" s="2198"/>
      <c r="FBE76" s="2198"/>
      <c r="FBF76" s="2198"/>
      <c r="FBG76" s="2198"/>
      <c r="FBH76" s="2198"/>
      <c r="FBI76" s="2198"/>
      <c r="FBJ76" s="2198"/>
      <c r="FBK76" s="2198"/>
      <c r="FBL76" s="2198"/>
      <c r="FBM76" s="2198"/>
      <c r="FBN76" s="2198"/>
      <c r="FBO76" s="2198"/>
      <c r="FBP76" s="2198"/>
      <c r="FBQ76" s="2198"/>
      <c r="FBR76" s="2198"/>
      <c r="FBS76" s="2198"/>
      <c r="FBT76" s="2198"/>
      <c r="FBU76" s="2198"/>
      <c r="FBV76" s="2198"/>
      <c r="FBW76" s="2198"/>
      <c r="FBX76" s="2198"/>
      <c r="FBY76" s="2198"/>
      <c r="FBZ76" s="2198"/>
      <c r="FCA76" s="2198"/>
      <c r="FCB76" s="2198"/>
      <c r="FCC76" s="2198"/>
      <c r="FCD76" s="2198"/>
      <c r="FCE76" s="2198"/>
      <c r="FCF76" s="2198"/>
      <c r="FCG76" s="2198"/>
      <c r="FCH76" s="2198"/>
      <c r="FCI76" s="2198"/>
      <c r="FCJ76" s="2198"/>
      <c r="FCK76" s="2198"/>
      <c r="FCL76" s="2198"/>
      <c r="FCM76" s="2198"/>
      <c r="FCN76" s="2198"/>
      <c r="FCO76" s="2198"/>
      <c r="FCP76" s="2198"/>
      <c r="FCQ76" s="2198"/>
      <c r="FCR76" s="2198"/>
      <c r="FCS76" s="2198"/>
      <c r="FCT76" s="2198"/>
      <c r="FCU76" s="2198"/>
      <c r="FCV76" s="2198"/>
      <c r="FCW76" s="2198"/>
      <c r="FCX76" s="2198"/>
      <c r="FCY76" s="2198"/>
      <c r="FCZ76" s="2198"/>
      <c r="FDA76" s="2198"/>
      <c r="FDB76" s="2198"/>
      <c r="FDC76" s="2198"/>
      <c r="FDD76" s="2198"/>
      <c r="FDE76" s="2198"/>
      <c r="FDF76" s="2198"/>
      <c r="FDG76" s="2198"/>
      <c r="FDH76" s="2198"/>
      <c r="FDI76" s="2198"/>
      <c r="FDJ76" s="2198"/>
      <c r="FDK76" s="2198"/>
      <c r="FDL76" s="2198"/>
      <c r="FDM76" s="2198"/>
      <c r="FDN76" s="2198"/>
      <c r="FDO76" s="2198"/>
      <c r="FDP76" s="2198"/>
      <c r="FDQ76" s="2198"/>
      <c r="FDR76" s="2198"/>
      <c r="FDS76" s="2198"/>
      <c r="FDT76" s="2198"/>
      <c r="FDU76" s="2198"/>
      <c r="FDV76" s="2198"/>
      <c r="FDW76" s="2198"/>
      <c r="FDX76" s="2198"/>
      <c r="FDY76" s="2198"/>
      <c r="FDZ76" s="2198"/>
      <c r="FEA76" s="2198"/>
      <c r="FEB76" s="2198"/>
      <c r="FEC76" s="2198"/>
      <c r="FED76" s="2198"/>
      <c r="FEE76" s="2198"/>
      <c r="FEF76" s="2198"/>
      <c r="FEG76" s="2198"/>
      <c r="FEH76" s="2198"/>
      <c r="FEI76" s="2198"/>
      <c r="FEJ76" s="2198"/>
      <c r="FEK76" s="2198"/>
      <c r="FEL76" s="2198"/>
      <c r="FEM76" s="2198"/>
      <c r="FEN76" s="2198"/>
      <c r="FEO76" s="2198"/>
      <c r="FEP76" s="2198"/>
      <c r="FEQ76" s="2198"/>
      <c r="FER76" s="2198"/>
      <c r="FES76" s="2198"/>
      <c r="FET76" s="2198"/>
      <c r="FEU76" s="2198"/>
      <c r="FEV76" s="2198"/>
      <c r="FEW76" s="2198"/>
      <c r="FEX76" s="2198"/>
      <c r="FEY76" s="2198"/>
      <c r="FEZ76" s="2198"/>
      <c r="FFA76" s="2198"/>
      <c r="FFB76" s="2198"/>
      <c r="FFC76" s="2198"/>
      <c r="FFD76" s="2198"/>
      <c r="FFE76" s="2198"/>
      <c r="FFF76" s="2198"/>
      <c r="FFG76" s="2198"/>
      <c r="FFH76" s="2198"/>
      <c r="FFI76" s="2198"/>
      <c r="FFJ76" s="2198"/>
      <c r="FFK76" s="2198"/>
      <c r="FFL76" s="2198"/>
      <c r="FFM76" s="2198"/>
      <c r="FFN76" s="2198"/>
      <c r="FFO76" s="2198"/>
      <c r="FFP76" s="2198"/>
      <c r="FFQ76" s="2198"/>
      <c r="FFR76" s="2198"/>
      <c r="FFS76" s="2198"/>
      <c r="FFT76" s="2198"/>
      <c r="FFU76" s="2198"/>
      <c r="FFV76" s="2198"/>
      <c r="FFW76" s="2198"/>
      <c r="FFX76" s="2198"/>
      <c r="FFY76" s="2198"/>
      <c r="FFZ76" s="2198"/>
      <c r="FGA76" s="2198"/>
      <c r="FGB76" s="2198"/>
      <c r="FGC76" s="2198"/>
      <c r="FGD76" s="2198"/>
      <c r="FGE76" s="2198"/>
      <c r="FGF76" s="2198"/>
      <c r="FGG76" s="2198"/>
      <c r="FGH76" s="2198"/>
      <c r="FGI76" s="2198"/>
      <c r="FGJ76" s="2198"/>
      <c r="FGK76" s="2198"/>
      <c r="FGL76" s="2198"/>
      <c r="FGM76" s="2198"/>
      <c r="FGN76" s="2198"/>
      <c r="FGO76" s="2198"/>
      <c r="FGP76" s="2198"/>
      <c r="FGQ76" s="2198"/>
      <c r="FGR76" s="2198"/>
      <c r="FGS76" s="2198"/>
      <c r="FGT76" s="2198"/>
      <c r="FGU76" s="2198"/>
      <c r="FGV76" s="2198"/>
      <c r="FGW76" s="2198"/>
      <c r="FGX76" s="2198"/>
      <c r="FGY76" s="2198"/>
      <c r="FGZ76" s="2198"/>
      <c r="FHA76" s="2198"/>
      <c r="FHB76" s="2198"/>
      <c r="FHC76" s="2198"/>
      <c r="FHD76" s="2198"/>
      <c r="FHE76" s="2198"/>
      <c r="FHF76" s="2198"/>
      <c r="FHG76" s="2198"/>
      <c r="FHH76" s="2198"/>
      <c r="FHI76" s="2198"/>
      <c r="FHJ76" s="2198"/>
      <c r="FHK76" s="2198"/>
      <c r="FHL76" s="2198"/>
      <c r="FHM76" s="2198"/>
      <c r="FHN76" s="2198"/>
      <c r="FHO76" s="2198"/>
      <c r="FHP76" s="2198"/>
      <c r="FHQ76" s="2198"/>
      <c r="FHR76" s="2198"/>
      <c r="FHS76" s="2198"/>
      <c r="FHT76" s="2198"/>
      <c r="FHU76" s="2198"/>
      <c r="FHV76" s="2198"/>
      <c r="FHW76" s="2198"/>
      <c r="FHX76" s="2198"/>
      <c r="FHY76" s="2198"/>
      <c r="FHZ76" s="2198"/>
      <c r="FIA76" s="2198"/>
      <c r="FIB76" s="2198"/>
      <c r="FIC76" s="2198"/>
      <c r="FID76" s="2198"/>
      <c r="FIE76" s="2198"/>
      <c r="FIF76" s="2198"/>
      <c r="FIG76" s="2198"/>
      <c r="FIH76" s="2198"/>
      <c r="FII76" s="2198"/>
      <c r="FIJ76" s="2198"/>
      <c r="FIK76" s="2198"/>
      <c r="FIL76" s="2198"/>
      <c r="FIM76" s="2198"/>
      <c r="FIN76" s="2198"/>
      <c r="FIO76" s="2198"/>
      <c r="FIP76" s="2198"/>
      <c r="FIQ76" s="2198"/>
      <c r="FIR76" s="2198"/>
      <c r="FIS76" s="2198"/>
      <c r="FIT76" s="2198"/>
      <c r="FIU76" s="2198"/>
      <c r="FIV76" s="2198"/>
      <c r="FIW76" s="2198"/>
      <c r="FIX76" s="2198"/>
      <c r="FIY76" s="2198"/>
      <c r="FIZ76" s="2198"/>
      <c r="FJA76" s="2198"/>
      <c r="FJB76" s="2198"/>
      <c r="FJC76" s="2198"/>
      <c r="FJD76" s="2198"/>
      <c r="FJE76" s="2198"/>
      <c r="FJF76" s="2198"/>
      <c r="FJG76" s="2198"/>
      <c r="FJH76" s="2198"/>
      <c r="FJI76" s="2198"/>
      <c r="FJJ76" s="2198"/>
      <c r="FJK76" s="2198"/>
      <c r="FJL76" s="2198"/>
      <c r="FJM76" s="2198"/>
      <c r="FJN76" s="2198"/>
      <c r="FJO76" s="2198"/>
      <c r="FJP76" s="2198"/>
      <c r="FJQ76" s="2198"/>
      <c r="FJR76" s="2198"/>
      <c r="FJS76" s="2198"/>
      <c r="FJT76" s="2198"/>
      <c r="FJU76" s="2198"/>
      <c r="FJV76" s="2198"/>
      <c r="FJW76" s="2198"/>
      <c r="FJX76" s="2198"/>
      <c r="FJY76" s="2198"/>
      <c r="FJZ76" s="2198"/>
      <c r="FKA76" s="2198"/>
      <c r="FKB76" s="2198"/>
      <c r="FKC76" s="2198"/>
      <c r="FKD76" s="2198"/>
      <c r="FKE76" s="2198"/>
      <c r="FKF76" s="2198"/>
      <c r="FKG76" s="2198"/>
      <c r="FKH76" s="2198"/>
      <c r="FKI76" s="2198"/>
      <c r="FKJ76" s="2198"/>
      <c r="FKK76" s="2198"/>
      <c r="FKL76" s="2198"/>
      <c r="FKM76" s="2198"/>
      <c r="FKN76" s="2198"/>
      <c r="FKO76" s="2198"/>
      <c r="FKP76" s="2198"/>
      <c r="FKQ76" s="2198"/>
      <c r="FKR76" s="2198"/>
      <c r="FKS76" s="2198"/>
      <c r="FKT76" s="2198"/>
      <c r="FKU76" s="2198"/>
      <c r="FKV76" s="2198"/>
      <c r="FKW76" s="2198"/>
      <c r="FKX76" s="2198"/>
      <c r="FKY76" s="2198"/>
      <c r="FKZ76" s="2198"/>
      <c r="FLA76" s="2198"/>
      <c r="FLB76" s="2198"/>
      <c r="FLC76" s="2198"/>
      <c r="FLD76" s="2198"/>
      <c r="FLE76" s="2198"/>
      <c r="FLF76" s="2198"/>
      <c r="FLG76" s="2198"/>
      <c r="FLH76" s="2198"/>
      <c r="FLI76" s="2198"/>
      <c r="FLJ76" s="2198"/>
      <c r="FLK76" s="2198"/>
      <c r="FLL76" s="2198"/>
      <c r="FLM76" s="2198"/>
      <c r="FLN76" s="2198"/>
      <c r="FLO76" s="2198"/>
      <c r="FLP76" s="2198"/>
      <c r="FLQ76" s="2198"/>
      <c r="FLR76" s="2198"/>
      <c r="FLS76" s="2198"/>
      <c r="FLT76" s="2198"/>
      <c r="FLU76" s="2198"/>
      <c r="FLV76" s="2198"/>
      <c r="FLW76" s="2198"/>
      <c r="FLX76" s="2198"/>
      <c r="FLY76" s="2198"/>
      <c r="FLZ76" s="2198"/>
      <c r="FMA76" s="2198"/>
      <c r="FMB76" s="2198"/>
      <c r="FMC76" s="2198"/>
      <c r="FMD76" s="2198"/>
      <c r="FME76" s="2198"/>
      <c r="FMF76" s="2198"/>
      <c r="FMG76" s="2198"/>
      <c r="FMH76" s="2198"/>
      <c r="FMI76" s="2198"/>
      <c r="FMJ76" s="2198"/>
      <c r="FMK76" s="2198"/>
      <c r="FML76" s="2198"/>
      <c r="FMM76" s="2198"/>
      <c r="FMN76" s="2198"/>
      <c r="FMO76" s="2198"/>
      <c r="FMP76" s="2198"/>
      <c r="FMQ76" s="2198"/>
      <c r="FMR76" s="2198"/>
      <c r="FMS76" s="2198"/>
      <c r="FMT76" s="2198"/>
      <c r="FMU76" s="2198"/>
      <c r="FMV76" s="2198"/>
      <c r="FMW76" s="2198"/>
      <c r="FMX76" s="2198"/>
      <c r="FMY76" s="2198"/>
      <c r="FMZ76" s="2198"/>
      <c r="FNA76" s="2198"/>
      <c r="FNB76" s="2198"/>
      <c r="FNC76" s="2198"/>
      <c r="FND76" s="2198"/>
      <c r="FNE76" s="2198"/>
      <c r="FNF76" s="2198"/>
      <c r="FNG76" s="2198"/>
      <c r="FNH76" s="2198"/>
      <c r="FNI76" s="2198"/>
      <c r="FNJ76" s="2198"/>
      <c r="FNK76" s="2198"/>
      <c r="FNL76" s="2198"/>
      <c r="FNM76" s="2198"/>
      <c r="FNN76" s="2198"/>
      <c r="FNO76" s="2198"/>
      <c r="FNP76" s="2198"/>
      <c r="FNQ76" s="2198"/>
      <c r="FNR76" s="2198"/>
      <c r="FNS76" s="2198"/>
      <c r="FNT76" s="2198"/>
      <c r="FNU76" s="2198"/>
      <c r="FNV76" s="2198"/>
      <c r="FNW76" s="2198"/>
      <c r="FNX76" s="2198"/>
      <c r="FNY76" s="2198"/>
      <c r="FNZ76" s="2198"/>
      <c r="FOA76" s="2198"/>
      <c r="FOB76" s="2198"/>
      <c r="FOC76" s="2198"/>
      <c r="FOD76" s="2198"/>
      <c r="FOE76" s="2198"/>
      <c r="FOF76" s="2198"/>
      <c r="FOG76" s="2198"/>
      <c r="FOH76" s="2198"/>
      <c r="FOI76" s="2198"/>
      <c r="FOJ76" s="2198"/>
      <c r="FOK76" s="2198"/>
      <c r="FOL76" s="2198"/>
      <c r="FOM76" s="2198"/>
      <c r="FON76" s="2198"/>
      <c r="FOO76" s="2198"/>
      <c r="FOP76" s="2198"/>
      <c r="FOQ76" s="2198"/>
      <c r="FOR76" s="2198"/>
      <c r="FOS76" s="2198"/>
      <c r="FOT76" s="2198"/>
      <c r="FOU76" s="2198"/>
      <c r="FOV76" s="2198"/>
      <c r="FOW76" s="2198"/>
      <c r="FOX76" s="2198"/>
      <c r="FOY76" s="2198"/>
      <c r="FOZ76" s="2198"/>
      <c r="FPA76" s="2198"/>
      <c r="FPB76" s="2198"/>
      <c r="FPC76" s="2198"/>
      <c r="FPD76" s="2198"/>
      <c r="FPE76" s="2198"/>
      <c r="FPF76" s="2198"/>
      <c r="FPG76" s="2198"/>
      <c r="FPH76" s="2198"/>
      <c r="FPI76" s="2198"/>
      <c r="FPJ76" s="2198"/>
      <c r="FPK76" s="2198"/>
      <c r="FPL76" s="2198"/>
      <c r="FPM76" s="2198"/>
      <c r="FPN76" s="2198"/>
      <c r="FPO76" s="2198"/>
      <c r="FPP76" s="2198"/>
      <c r="FPQ76" s="2198"/>
      <c r="FPR76" s="2198"/>
      <c r="FPS76" s="2198"/>
      <c r="FPT76" s="2198"/>
      <c r="FPU76" s="2198"/>
      <c r="FPV76" s="2198"/>
      <c r="FPW76" s="2198"/>
      <c r="FPX76" s="2198"/>
      <c r="FPY76" s="2198"/>
      <c r="FPZ76" s="2198"/>
      <c r="FQA76" s="2198"/>
      <c r="FQB76" s="2198"/>
      <c r="FQC76" s="2198"/>
      <c r="FQD76" s="2198"/>
      <c r="FQE76" s="2198"/>
      <c r="FQF76" s="2198"/>
      <c r="FQG76" s="2198"/>
      <c r="FQH76" s="2198"/>
      <c r="FQI76" s="2198"/>
      <c r="FQJ76" s="2198"/>
      <c r="FQK76" s="2198"/>
      <c r="FQL76" s="2198"/>
      <c r="FQM76" s="2198"/>
      <c r="FQN76" s="2198"/>
      <c r="FQO76" s="2198"/>
      <c r="FQP76" s="2198"/>
      <c r="FQQ76" s="2198"/>
      <c r="FQR76" s="2198"/>
      <c r="FQS76" s="2198"/>
      <c r="FQT76" s="2198"/>
      <c r="FQU76" s="2198"/>
      <c r="FQV76" s="2198"/>
      <c r="FQW76" s="2198"/>
      <c r="FQX76" s="2198"/>
      <c r="FQY76" s="2198"/>
      <c r="FQZ76" s="2198"/>
      <c r="FRA76" s="2198"/>
      <c r="FRB76" s="2198"/>
      <c r="FRC76" s="2198"/>
      <c r="FRD76" s="2198"/>
      <c r="FRE76" s="2198"/>
      <c r="FRF76" s="2198"/>
      <c r="FRG76" s="2198"/>
      <c r="FRH76" s="2198"/>
      <c r="FRI76" s="2198"/>
      <c r="FRJ76" s="2198"/>
      <c r="FRK76" s="2198"/>
      <c r="FRL76" s="2198"/>
      <c r="FRM76" s="2198"/>
      <c r="FRN76" s="2198"/>
      <c r="FRO76" s="2198"/>
      <c r="FRP76" s="2198"/>
      <c r="FRQ76" s="2198"/>
      <c r="FRR76" s="2198"/>
      <c r="FRS76" s="2198"/>
      <c r="FRT76" s="2198"/>
      <c r="FRU76" s="2198"/>
      <c r="FRV76" s="2198"/>
      <c r="FRW76" s="2198"/>
      <c r="FRX76" s="2198"/>
      <c r="FRY76" s="2198"/>
      <c r="FRZ76" s="2198"/>
      <c r="FSA76" s="2198"/>
      <c r="FSB76" s="2198"/>
      <c r="FSC76" s="2198"/>
      <c r="FSD76" s="2198"/>
      <c r="FSE76" s="2198"/>
      <c r="FSF76" s="2198"/>
      <c r="FSG76" s="2198"/>
      <c r="FSH76" s="2198"/>
      <c r="FSI76" s="2198"/>
      <c r="FSJ76" s="2198"/>
      <c r="FSK76" s="2198"/>
      <c r="FSL76" s="2198"/>
      <c r="FSM76" s="2198"/>
      <c r="FSN76" s="2198"/>
      <c r="FSO76" s="2198"/>
      <c r="FSP76" s="2198"/>
      <c r="FSQ76" s="2198"/>
      <c r="FSR76" s="2198"/>
      <c r="FSS76" s="2198"/>
      <c r="FST76" s="2198"/>
      <c r="FSU76" s="2198"/>
      <c r="FSV76" s="2198"/>
      <c r="FSW76" s="2198"/>
      <c r="FSX76" s="2198"/>
      <c r="FSY76" s="2198"/>
      <c r="FSZ76" s="2198"/>
      <c r="FTA76" s="2198"/>
      <c r="FTB76" s="2198"/>
      <c r="FTC76" s="2198"/>
      <c r="FTD76" s="2198"/>
      <c r="FTE76" s="2198"/>
      <c r="FTF76" s="2198"/>
      <c r="FTG76" s="2198"/>
      <c r="FTH76" s="2198"/>
      <c r="FTI76" s="2198"/>
      <c r="FTJ76" s="2198"/>
      <c r="FTK76" s="2198"/>
      <c r="FTL76" s="2198"/>
      <c r="FTM76" s="2198"/>
      <c r="FTN76" s="2198"/>
      <c r="FTO76" s="2198"/>
      <c r="FTP76" s="2198"/>
      <c r="FTQ76" s="2198"/>
      <c r="FTR76" s="2198"/>
      <c r="FTS76" s="2198"/>
      <c r="FTT76" s="2198"/>
      <c r="FTU76" s="2198"/>
      <c r="FTV76" s="2198"/>
      <c r="FTW76" s="2198"/>
      <c r="FTX76" s="2198"/>
      <c r="FTY76" s="2198"/>
      <c r="FTZ76" s="2198"/>
      <c r="FUA76" s="2198"/>
      <c r="FUB76" s="2198"/>
      <c r="FUC76" s="2198"/>
      <c r="FUD76" s="2198"/>
      <c r="FUE76" s="2198"/>
      <c r="FUF76" s="2198"/>
      <c r="FUG76" s="2198"/>
      <c r="FUH76" s="2198"/>
      <c r="FUI76" s="2198"/>
      <c r="FUJ76" s="2198"/>
      <c r="FUK76" s="2198"/>
      <c r="FUL76" s="2198"/>
      <c r="FUM76" s="2198"/>
      <c r="FUN76" s="2198"/>
      <c r="FUO76" s="2198"/>
      <c r="FUP76" s="2198"/>
      <c r="FUQ76" s="2198"/>
      <c r="FUR76" s="2198"/>
      <c r="FUS76" s="2198"/>
      <c r="FUT76" s="2198"/>
      <c r="FUU76" s="2198"/>
      <c r="FUV76" s="2198"/>
      <c r="FUW76" s="2198"/>
      <c r="FUX76" s="2198"/>
      <c r="FUY76" s="2198"/>
      <c r="FUZ76" s="2198"/>
      <c r="FVA76" s="2198"/>
      <c r="FVB76" s="2198"/>
      <c r="FVC76" s="2198"/>
      <c r="FVD76" s="2198"/>
      <c r="FVE76" s="2198"/>
      <c r="FVF76" s="2198"/>
      <c r="FVG76" s="2198"/>
      <c r="FVH76" s="2198"/>
      <c r="FVI76" s="2198"/>
      <c r="FVJ76" s="2198"/>
      <c r="FVK76" s="2198"/>
      <c r="FVL76" s="2198"/>
      <c r="FVM76" s="2198"/>
      <c r="FVN76" s="2198"/>
      <c r="FVO76" s="2198"/>
      <c r="FVP76" s="2198"/>
      <c r="FVQ76" s="2198"/>
      <c r="FVR76" s="2198"/>
      <c r="FVS76" s="2198"/>
      <c r="FVT76" s="2198"/>
      <c r="FVU76" s="2198"/>
      <c r="FVV76" s="2198"/>
      <c r="FVW76" s="2198"/>
      <c r="FVX76" s="2198"/>
      <c r="FVY76" s="2198"/>
      <c r="FVZ76" s="2198"/>
      <c r="FWA76" s="2198"/>
      <c r="FWB76" s="2198"/>
      <c r="FWC76" s="2198"/>
      <c r="FWD76" s="2198"/>
      <c r="FWE76" s="2198"/>
      <c r="FWF76" s="2198"/>
      <c r="FWG76" s="2198"/>
      <c r="FWH76" s="2198"/>
      <c r="FWI76" s="2198"/>
      <c r="FWJ76" s="2198"/>
      <c r="FWK76" s="2198"/>
      <c r="FWL76" s="2198"/>
      <c r="FWM76" s="2198"/>
      <c r="FWN76" s="2198"/>
      <c r="FWO76" s="2198"/>
      <c r="FWP76" s="2198"/>
      <c r="FWQ76" s="2198"/>
      <c r="FWR76" s="2198"/>
      <c r="FWS76" s="2198"/>
      <c r="FWT76" s="2198"/>
      <c r="FWU76" s="2198"/>
      <c r="FWV76" s="2198"/>
      <c r="FWW76" s="2198"/>
      <c r="FWX76" s="2198"/>
      <c r="FWY76" s="2198"/>
      <c r="FWZ76" s="2198"/>
      <c r="FXA76" s="2198"/>
      <c r="FXB76" s="2198"/>
      <c r="FXC76" s="2198"/>
      <c r="FXD76" s="2198"/>
      <c r="FXE76" s="2198"/>
      <c r="FXF76" s="2198"/>
      <c r="FXG76" s="2198"/>
      <c r="FXH76" s="2198"/>
      <c r="FXI76" s="2198"/>
      <c r="FXJ76" s="2198"/>
      <c r="FXK76" s="2198"/>
      <c r="FXL76" s="2198"/>
      <c r="FXM76" s="2198"/>
      <c r="FXN76" s="2198"/>
      <c r="FXO76" s="2198"/>
      <c r="FXP76" s="2198"/>
      <c r="FXQ76" s="2198"/>
      <c r="FXR76" s="2198"/>
      <c r="FXS76" s="2198"/>
      <c r="FXT76" s="2198"/>
      <c r="FXU76" s="2198"/>
      <c r="FXV76" s="2198"/>
      <c r="FXW76" s="2198"/>
      <c r="FXX76" s="2198"/>
      <c r="FXY76" s="2198"/>
      <c r="FXZ76" s="2198"/>
      <c r="FYA76" s="2198"/>
      <c r="FYB76" s="2198"/>
      <c r="FYC76" s="2198"/>
      <c r="FYD76" s="2198"/>
      <c r="FYE76" s="2198"/>
      <c r="FYF76" s="2198"/>
      <c r="FYG76" s="2198"/>
      <c r="FYH76" s="2198"/>
      <c r="FYI76" s="2198"/>
      <c r="FYJ76" s="2198"/>
      <c r="FYK76" s="2198"/>
      <c r="FYL76" s="2198"/>
      <c r="FYM76" s="2198"/>
      <c r="FYN76" s="2198"/>
      <c r="FYO76" s="2198"/>
      <c r="FYP76" s="2198"/>
      <c r="FYQ76" s="2198"/>
      <c r="FYR76" s="2198"/>
      <c r="FYS76" s="2198"/>
      <c r="FYT76" s="2198"/>
      <c r="FYU76" s="2198"/>
      <c r="FYV76" s="2198"/>
      <c r="FYW76" s="2198"/>
      <c r="FYX76" s="2198"/>
      <c r="FYY76" s="2198"/>
      <c r="FYZ76" s="2198"/>
      <c r="FZA76" s="2198"/>
      <c r="FZB76" s="2198"/>
      <c r="FZC76" s="2198"/>
      <c r="FZD76" s="2198"/>
      <c r="FZE76" s="2198"/>
      <c r="FZF76" s="2198"/>
      <c r="FZG76" s="2198"/>
      <c r="FZH76" s="2198"/>
      <c r="FZI76" s="2198"/>
      <c r="FZJ76" s="2198"/>
      <c r="FZK76" s="2198"/>
      <c r="FZL76" s="2198"/>
      <c r="FZM76" s="2198"/>
      <c r="FZN76" s="2198"/>
      <c r="FZO76" s="2198"/>
      <c r="FZP76" s="2198"/>
      <c r="FZQ76" s="2198"/>
      <c r="FZR76" s="2198"/>
      <c r="FZS76" s="2198"/>
      <c r="FZT76" s="2198"/>
      <c r="FZU76" s="2198"/>
      <c r="FZV76" s="2198"/>
      <c r="FZW76" s="2198"/>
      <c r="FZX76" s="2198"/>
      <c r="FZY76" s="2198"/>
      <c r="FZZ76" s="2198"/>
      <c r="GAA76" s="2198"/>
      <c r="GAB76" s="2198"/>
      <c r="GAC76" s="2198"/>
      <c r="GAD76" s="2198"/>
      <c r="GAE76" s="2198"/>
      <c r="GAF76" s="2198"/>
      <c r="GAG76" s="2198"/>
      <c r="GAH76" s="2198"/>
      <c r="GAI76" s="2198"/>
      <c r="GAJ76" s="2198"/>
      <c r="GAK76" s="2198"/>
      <c r="GAL76" s="2198"/>
      <c r="GAM76" s="2198"/>
      <c r="GAN76" s="2198"/>
      <c r="GAO76" s="2198"/>
      <c r="GAP76" s="2198"/>
      <c r="GAQ76" s="2198"/>
      <c r="GAR76" s="2198"/>
      <c r="GAS76" s="2198"/>
      <c r="GAT76" s="2198"/>
      <c r="GAU76" s="2198"/>
      <c r="GAV76" s="2198"/>
      <c r="GAW76" s="2198"/>
      <c r="GAX76" s="2198"/>
      <c r="GAY76" s="2198"/>
      <c r="GAZ76" s="2198"/>
      <c r="GBA76" s="2198"/>
      <c r="GBB76" s="2198"/>
      <c r="GBC76" s="2198"/>
      <c r="GBD76" s="2198"/>
      <c r="GBE76" s="2198"/>
      <c r="GBF76" s="2198"/>
      <c r="GBG76" s="2198"/>
      <c r="GBH76" s="2198"/>
      <c r="GBI76" s="2198"/>
      <c r="GBJ76" s="2198"/>
      <c r="GBK76" s="2198"/>
      <c r="GBL76" s="2198"/>
      <c r="GBM76" s="2198"/>
      <c r="GBN76" s="2198"/>
      <c r="GBO76" s="2198"/>
      <c r="GBP76" s="2198"/>
      <c r="GBQ76" s="2198"/>
      <c r="GBR76" s="2198"/>
      <c r="GBS76" s="2198"/>
      <c r="GBT76" s="2198"/>
      <c r="GBU76" s="2198"/>
      <c r="GBV76" s="2198"/>
      <c r="GBW76" s="2198"/>
      <c r="GBX76" s="2198"/>
      <c r="GBY76" s="2198"/>
      <c r="GBZ76" s="2198"/>
      <c r="GCA76" s="2198"/>
      <c r="GCB76" s="2198"/>
      <c r="GCC76" s="2198"/>
      <c r="GCD76" s="2198"/>
      <c r="GCE76" s="2198"/>
      <c r="GCF76" s="2198"/>
      <c r="GCG76" s="2198"/>
      <c r="GCH76" s="2198"/>
      <c r="GCI76" s="2198"/>
      <c r="GCJ76" s="2198"/>
      <c r="GCK76" s="2198"/>
      <c r="GCL76" s="2198"/>
      <c r="GCM76" s="2198"/>
      <c r="GCN76" s="2198"/>
      <c r="GCO76" s="2198"/>
      <c r="GCP76" s="2198"/>
      <c r="GCQ76" s="2198"/>
      <c r="GCR76" s="2198"/>
      <c r="GCS76" s="2198"/>
      <c r="GCT76" s="2198"/>
      <c r="GCU76" s="2198"/>
      <c r="GCV76" s="2198"/>
      <c r="GCW76" s="2198"/>
      <c r="GCX76" s="2198"/>
      <c r="GCY76" s="2198"/>
      <c r="GCZ76" s="2198"/>
      <c r="GDA76" s="2198"/>
      <c r="GDB76" s="2198"/>
      <c r="GDC76" s="2198"/>
      <c r="GDD76" s="2198"/>
      <c r="GDE76" s="2198"/>
      <c r="GDF76" s="2198"/>
      <c r="GDG76" s="2198"/>
      <c r="GDH76" s="2198"/>
      <c r="GDI76" s="2198"/>
      <c r="GDJ76" s="2198"/>
      <c r="GDK76" s="2198"/>
      <c r="GDL76" s="2198"/>
      <c r="GDM76" s="2198"/>
      <c r="GDN76" s="2198"/>
      <c r="GDO76" s="2198"/>
      <c r="GDP76" s="2198"/>
      <c r="GDQ76" s="2198"/>
      <c r="GDR76" s="2198"/>
      <c r="GDS76" s="2198"/>
      <c r="GDT76" s="2198"/>
      <c r="GDU76" s="2198"/>
      <c r="GDV76" s="2198"/>
      <c r="GDW76" s="2198"/>
      <c r="GDX76" s="2198"/>
      <c r="GDY76" s="2198"/>
      <c r="GDZ76" s="2198"/>
      <c r="GEA76" s="2198"/>
      <c r="GEB76" s="2198"/>
      <c r="GEC76" s="2198"/>
      <c r="GED76" s="2198"/>
      <c r="GEE76" s="2198"/>
      <c r="GEF76" s="2198"/>
      <c r="GEG76" s="2198"/>
      <c r="GEH76" s="2198"/>
      <c r="GEI76" s="2198"/>
      <c r="GEJ76" s="2198"/>
      <c r="GEK76" s="2198"/>
      <c r="GEL76" s="2198"/>
      <c r="GEM76" s="2198"/>
      <c r="GEN76" s="2198"/>
      <c r="GEO76" s="2198"/>
      <c r="GEP76" s="2198"/>
      <c r="GEQ76" s="2198"/>
      <c r="GER76" s="2198"/>
      <c r="GES76" s="2198"/>
      <c r="GET76" s="2198"/>
      <c r="GEU76" s="2198"/>
      <c r="GEV76" s="2198"/>
      <c r="GEW76" s="2198"/>
      <c r="GEX76" s="2198"/>
      <c r="GEY76" s="2198"/>
      <c r="GEZ76" s="2198"/>
      <c r="GFA76" s="2198"/>
      <c r="GFB76" s="2198"/>
      <c r="GFC76" s="2198"/>
      <c r="GFD76" s="2198"/>
      <c r="GFE76" s="2198"/>
      <c r="GFF76" s="2198"/>
      <c r="GFG76" s="2198"/>
      <c r="GFH76" s="2198"/>
      <c r="GFI76" s="2198"/>
      <c r="GFJ76" s="2198"/>
      <c r="GFK76" s="2198"/>
      <c r="GFL76" s="2198"/>
      <c r="GFM76" s="2198"/>
      <c r="GFN76" s="2198"/>
      <c r="GFO76" s="2198"/>
      <c r="GFP76" s="2198"/>
      <c r="GFQ76" s="2198"/>
      <c r="GFR76" s="2198"/>
      <c r="GFS76" s="2198"/>
      <c r="GFT76" s="2198"/>
      <c r="GFU76" s="2198"/>
      <c r="GFV76" s="2198"/>
      <c r="GFW76" s="2198"/>
      <c r="GFX76" s="2198"/>
      <c r="GFY76" s="2198"/>
      <c r="GFZ76" s="2198"/>
      <c r="GGA76" s="2198"/>
      <c r="GGB76" s="2198"/>
      <c r="GGC76" s="2198"/>
      <c r="GGD76" s="2198"/>
      <c r="GGE76" s="2198"/>
      <c r="GGF76" s="2198"/>
      <c r="GGG76" s="2198"/>
      <c r="GGH76" s="2198"/>
      <c r="GGI76" s="2198"/>
      <c r="GGJ76" s="2198"/>
      <c r="GGK76" s="2198"/>
      <c r="GGL76" s="2198"/>
      <c r="GGM76" s="2198"/>
      <c r="GGN76" s="2198"/>
      <c r="GGO76" s="2198"/>
      <c r="GGP76" s="2198"/>
      <c r="GGQ76" s="2198"/>
      <c r="GGR76" s="2198"/>
      <c r="GGS76" s="2198"/>
      <c r="GGT76" s="2198"/>
      <c r="GGU76" s="2198"/>
      <c r="GGV76" s="2198"/>
      <c r="GGW76" s="2198"/>
      <c r="GGX76" s="2198"/>
      <c r="GGY76" s="2198"/>
      <c r="GGZ76" s="2198"/>
      <c r="GHA76" s="2198"/>
      <c r="GHB76" s="2198"/>
      <c r="GHC76" s="2198"/>
      <c r="GHD76" s="2198"/>
      <c r="GHE76" s="2198"/>
      <c r="GHF76" s="2198"/>
      <c r="GHG76" s="2198"/>
      <c r="GHH76" s="2198"/>
      <c r="GHI76" s="2198"/>
      <c r="GHJ76" s="2198"/>
      <c r="GHK76" s="2198"/>
      <c r="GHL76" s="2198"/>
      <c r="GHM76" s="2198"/>
      <c r="GHN76" s="2198"/>
      <c r="GHO76" s="2198"/>
      <c r="GHP76" s="2198"/>
      <c r="GHQ76" s="2198"/>
      <c r="GHR76" s="2198"/>
      <c r="GHS76" s="2198"/>
      <c r="GHT76" s="2198"/>
      <c r="GHU76" s="2198"/>
      <c r="GHV76" s="2198"/>
      <c r="GHW76" s="2198"/>
      <c r="GHX76" s="2198"/>
      <c r="GHY76" s="2198"/>
      <c r="GHZ76" s="2198"/>
      <c r="GIA76" s="2198"/>
      <c r="GIB76" s="2198"/>
      <c r="GIC76" s="2198"/>
      <c r="GID76" s="2198"/>
      <c r="GIE76" s="2198"/>
      <c r="GIF76" s="2198"/>
      <c r="GIG76" s="2198"/>
      <c r="GIH76" s="2198"/>
      <c r="GII76" s="2198"/>
      <c r="GIJ76" s="2198"/>
      <c r="GIK76" s="2198"/>
      <c r="GIL76" s="2198"/>
      <c r="GIM76" s="2198"/>
      <c r="GIN76" s="2198"/>
      <c r="GIO76" s="2198"/>
      <c r="GIP76" s="2198"/>
      <c r="GIQ76" s="2198"/>
      <c r="GIR76" s="2198"/>
      <c r="GIS76" s="2198"/>
      <c r="GIT76" s="2198"/>
      <c r="GIU76" s="2198"/>
      <c r="GIV76" s="2198"/>
      <c r="GIW76" s="2198"/>
      <c r="GIX76" s="2198"/>
      <c r="GIY76" s="2198"/>
      <c r="GIZ76" s="2198"/>
      <c r="GJA76" s="2198"/>
      <c r="GJB76" s="2198"/>
      <c r="GJC76" s="2198"/>
      <c r="GJD76" s="2198"/>
      <c r="GJE76" s="2198"/>
      <c r="GJF76" s="2198"/>
      <c r="GJG76" s="2198"/>
      <c r="GJH76" s="2198"/>
      <c r="GJI76" s="2198"/>
      <c r="GJJ76" s="2198"/>
      <c r="GJK76" s="2198"/>
      <c r="GJL76" s="2198"/>
      <c r="GJM76" s="2198"/>
      <c r="GJN76" s="2198"/>
      <c r="GJO76" s="2198"/>
      <c r="GJP76" s="2198"/>
      <c r="GJQ76" s="2198"/>
      <c r="GJR76" s="2198"/>
      <c r="GJS76" s="2198"/>
      <c r="GJT76" s="2198"/>
      <c r="GJU76" s="2198"/>
      <c r="GJV76" s="2198"/>
      <c r="GJW76" s="2198"/>
      <c r="GJX76" s="2198"/>
      <c r="GJY76" s="2198"/>
      <c r="GJZ76" s="2198"/>
      <c r="GKA76" s="2198"/>
      <c r="GKB76" s="2198"/>
      <c r="GKC76" s="2198"/>
      <c r="GKD76" s="2198"/>
      <c r="GKE76" s="2198"/>
      <c r="GKF76" s="2198"/>
      <c r="GKG76" s="2198"/>
      <c r="GKH76" s="2198"/>
      <c r="GKI76" s="2198"/>
      <c r="GKJ76" s="2198"/>
      <c r="GKK76" s="2198"/>
      <c r="GKL76" s="2198"/>
      <c r="GKM76" s="2198"/>
      <c r="GKN76" s="2198"/>
      <c r="GKO76" s="2198"/>
      <c r="GKP76" s="2198"/>
      <c r="GKQ76" s="2198"/>
      <c r="GKR76" s="2198"/>
      <c r="GKS76" s="2198"/>
      <c r="GKT76" s="2198"/>
      <c r="GKU76" s="2198"/>
      <c r="GKV76" s="2198"/>
      <c r="GKW76" s="2198"/>
      <c r="GKX76" s="2198"/>
      <c r="GKY76" s="2198"/>
      <c r="GKZ76" s="2198"/>
      <c r="GLA76" s="2198"/>
      <c r="GLB76" s="2198"/>
      <c r="GLC76" s="2198"/>
      <c r="GLD76" s="2198"/>
      <c r="GLE76" s="2198"/>
      <c r="GLF76" s="2198"/>
      <c r="GLG76" s="2198"/>
      <c r="GLH76" s="2198"/>
      <c r="GLI76" s="2198"/>
      <c r="GLJ76" s="2198"/>
      <c r="GLK76" s="2198"/>
      <c r="GLL76" s="2198"/>
      <c r="GLM76" s="2198"/>
      <c r="GLN76" s="2198"/>
      <c r="GLO76" s="2198"/>
      <c r="GLP76" s="2198"/>
      <c r="GLQ76" s="2198"/>
      <c r="GLR76" s="2198"/>
      <c r="GLS76" s="2198"/>
      <c r="GLT76" s="2198"/>
      <c r="GLU76" s="2198"/>
      <c r="GLV76" s="2198"/>
      <c r="GLW76" s="2198"/>
      <c r="GLX76" s="2198"/>
      <c r="GLY76" s="2198"/>
      <c r="GLZ76" s="2198"/>
      <c r="GMA76" s="2198"/>
      <c r="GMB76" s="2198"/>
      <c r="GMC76" s="2198"/>
      <c r="GMD76" s="2198"/>
      <c r="GME76" s="2198"/>
      <c r="GMF76" s="2198"/>
      <c r="GMG76" s="2198"/>
      <c r="GMH76" s="2198"/>
      <c r="GMI76" s="2198"/>
      <c r="GMJ76" s="2198"/>
      <c r="GMK76" s="2198"/>
      <c r="GML76" s="2198"/>
      <c r="GMM76" s="2198"/>
      <c r="GMN76" s="2198"/>
      <c r="GMO76" s="2198"/>
      <c r="GMP76" s="2198"/>
      <c r="GMQ76" s="2198"/>
      <c r="GMR76" s="2198"/>
      <c r="GMS76" s="2198"/>
      <c r="GMT76" s="2198"/>
      <c r="GMU76" s="2198"/>
      <c r="GMV76" s="2198"/>
      <c r="GMW76" s="2198"/>
      <c r="GMX76" s="2198"/>
      <c r="GMY76" s="2198"/>
      <c r="GMZ76" s="2198"/>
      <c r="GNA76" s="2198"/>
      <c r="GNB76" s="2198"/>
      <c r="GNC76" s="2198"/>
      <c r="GND76" s="2198"/>
      <c r="GNE76" s="2198"/>
      <c r="GNF76" s="2198"/>
      <c r="GNG76" s="2198"/>
      <c r="GNH76" s="2198"/>
      <c r="GNI76" s="2198"/>
      <c r="GNJ76" s="2198"/>
      <c r="GNK76" s="2198"/>
      <c r="GNL76" s="2198"/>
      <c r="GNM76" s="2198"/>
      <c r="GNN76" s="2198"/>
      <c r="GNO76" s="2198"/>
      <c r="GNP76" s="2198"/>
      <c r="GNQ76" s="2198"/>
      <c r="GNR76" s="2198"/>
      <c r="GNS76" s="2198"/>
      <c r="GNT76" s="2198"/>
      <c r="GNU76" s="2198"/>
      <c r="GNV76" s="2198"/>
      <c r="GNW76" s="2198"/>
      <c r="GNX76" s="2198"/>
      <c r="GNY76" s="2198"/>
      <c r="GNZ76" s="2198"/>
      <c r="GOA76" s="2198"/>
      <c r="GOB76" s="2198"/>
      <c r="GOC76" s="2198"/>
      <c r="GOD76" s="2198"/>
      <c r="GOE76" s="2198"/>
      <c r="GOF76" s="2198"/>
      <c r="GOG76" s="2198"/>
      <c r="GOH76" s="2198"/>
      <c r="GOI76" s="2198"/>
      <c r="GOJ76" s="2198"/>
      <c r="GOK76" s="2198"/>
      <c r="GOL76" s="2198"/>
      <c r="GOM76" s="2198"/>
      <c r="GON76" s="2198"/>
      <c r="GOO76" s="2198"/>
      <c r="GOP76" s="2198"/>
      <c r="GOQ76" s="2198"/>
      <c r="GOR76" s="2198"/>
      <c r="GOS76" s="2198"/>
      <c r="GOT76" s="2198"/>
      <c r="GOU76" s="2198"/>
      <c r="GOV76" s="2198"/>
      <c r="GOW76" s="2198"/>
      <c r="GOX76" s="2198"/>
      <c r="GOY76" s="2198"/>
      <c r="GOZ76" s="2198"/>
      <c r="GPA76" s="2198"/>
      <c r="GPB76" s="2198"/>
      <c r="GPC76" s="2198"/>
      <c r="GPD76" s="2198"/>
      <c r="GPE76" s="2198"/>
      <c r="GPF76" s="2198"/>
      <c r="GPG76" s="2198"/>
      <c r="GPH76" s="2198"/>
      <c r="GPI76" s="2198"/>
      <c r="GPJ76" s="2198"/>
      <c r="GPK76" s="2198"/>
      <c r="GPL76" s="2198"/>
      <c r="GPM76" s="2198"/>
      <c r="GPN76" s="2198"/>
      <c r="GPO76" s="2198"/>
      <c r="GPP76" s="2198"/>
      <c r="GPQ76" s="2198"/>
      <c r="GPR76" s="2198"/>
      <c r="GPS76" s="2198"/>
      <c r="GPT76" s="2198"/>
      <c r="GPU76" s="2198"/>
      <c r="GPV76" s="2198"/>
      <c r="GPW76" s="2198"/>
      <c r="GPX76" s="2198"/>
      <c r="GPY76" s="2198"/>
      <c r="GPZ76" s="2198"/>
      <c r="GQA76" s="2198"/>
      <c r="GQB76" s="2198"/>
      <c r="GQC76" s="2198"/>
      <c r="GQD76" s="2198"/>
      <c r="GQE76" s="2198"/>
      <c r="GQF76" s="2198"/>
      <c r="GQG76" s="2198"/>
      <c r="GQH76" s="2198"/>
      <c r="GQI76" s="2198"/>
      <c r="GQJ76" s="2198"/>
      <c r="GQK76" s="2198"/>
      <c r="GQL76" s="2198"/>
      <c r="GQM76" s="2198"/>
      <c r="GQN76" s="2198"/>
      <c r="GQO76" s="2198"/>
      <c r="GQP76" s="2198"/>
      <c r="GQQ76" s="2198"/>
      <c r="GQR76" s="2198"/>
      <c r="GQS76" s="2198"/>
      <c r="GQT76" s="2198"/>
      <c r="GQU76" s="2198"/>
      <c r="GQV76" s="2198"/>
      <c r="GQW76" s="2198"/>
      <c r="GQX76" s="2198"/>
      <c r="GQY76" s="2198"/>
      <c r="GQZ76" s="2198"/>
      <c r="GRA76" s="2198"/>
      <c r="GRB76" s="2198"/>
      <c r="GRC76" s="2198"/>
      <c r="GRD76" s="2198"/>
      <c r="GRE76" s="2198"/>
      <c r="GRF76" s="2198"/>
      <c r="GRG76" s="2198"/>
      <c r="GRH76" s="2198"/>
      <c r="GRI76" s="2198"/>
      <c r="GRJ76" s="2198"/>
      <c r="GRK76" s="2198"/>
      <c r="GRL76" s="2198"/>
      <c r="GRM76" s="2198"/>
      <c r="GRN76" s="2198"/>
      <c r="GRO76" s="2198"/>
      <c r="GRP76" s="2198"/>
      <c r="GRQ76" s="2198"/>
      <c r="GRR76" s="2198"/>
      <c r="GRS76" s="2198"/>
      <c r="GRT76" s="2198"/>
      <c r="GRU76" s="2198"/>
      <c r="GRV76" s="2198"/>
      <c r="GRW76" s="2198"/>
      <c r="GRX76" s="2198"/>
      <c r="GRY76" s="2198"/>
      <c r="GRZ76" s="2198"/>
      <c r="GSA76" s="2198"/>
      <c r="GSB76" s="2198"/>
      <c r="GSC76" s="2198"/>
      <c r="GSD76" s="2198"/>
      <c r="GSE76" s="2198"/>
      <c r="GSF76" s="2198"/>
      <c r="GSG76" s="2198"/>
      <c r="GSH76" s="2198"/>
      <c r="GSI76" s="2198"/>
      <c r="GSJ76" s="2198"/>
      <c r="GSK76" s="2198"/>
      <c r="GSL76" s="2198"/>
      <c r="GSM76" s="2198"/>
      <c r="GSN76" s="2198"/>
      <c r="GSO76" s="2198"/>
      <c r="GSP76" s="2198"/>
      <c r="GSQ76" s="2198"/>
      <c r="GSR76" s="2198"/>
      <c r="GSS76" s="2198"/>
      <c r="GST76" s="2198"/>
      <c r="GSU76" s="2198"/>
      <c r="GSV76" s="2198"/>
      <c r="GSW76" s="2198"/>
      <c r="GSX76" s="2198"/>
      <c r="GSY76" s="2198"/>
      <c r="GSZ76" s="2198"/>
      <c r="GTA76" s="2198"/>
      <c r="GTB76" s="2198"/>
      <c r="GTC76" s="2198"/>
      <c r="GTD76" s="2198"/>
      <c r="GTE76" s="2198"/>
      <c r="GTF76" s="2198"/>
      <c r="GTG76" s="2198"/>
      <c r="GTH76" s="2198"/>
      <c r="GTI76" s="2198"/>
      <c r="GTJ76" s="2198"/>
      <c r="GTK76" s="2198"/>
      <c r="GTL76" s="2198"/>
      <c r="GTM76" s="2198"/>
      <c r="GTN76" s="2198"/>
      <c r="GTO76" s="2198"/>
      <c r="GTP76" s="2198"/>
      <c r="GTQ76" s="2198"/>
      <c r="GTR76" s="2198"/>
      <c r="GTS76" s="2198"/>
      <c r="GTT76" s="2198"/>
      <c r="GTU76" s="2198"/>
      <c r="GTV76" s="2198"/>
      <c r="GTW76" s="2198"/>
      <c r="GTX76" s="2198"/>
      <c r="GTY76" s="2198"/>
      <c r="GTZ76" s="2198"/>
      <c r="GUA76" s="2198"/>
      <c r="GUB76" s="2198"/>
      <c r="GUC76" s="2198"/>
      <c r="GUD76" s="2198"/>
      <c r="GUE76" s="2198"/>
      <c r="GUF76" s="2198"/>
      <c r="GUG76" s="2198"/>
      <c r="GUH76" s="2198"/>
      <c r="GUI76" s="2198"/>
      <c r="GUJ76" s="2198"/>
      <c r="GUK76" s="2198"/>
      <c r="GUL76" s="2198"/>
      <c r="GUM76" s="2198"/>
      <c r="GUN76" s="2198"/>
      <c r="GUO76" s="2198"/>
      <c r="GUP76" s="2198"/>
      <c r="GUQ76" s="2198"/>
      <c r="GUR76" s="2198"/>
      <c r="GUS76" s="2198"/>
      <c r="GUT76" s="2198"/>
      <c r="GUU76" s="2198"/>
      <c r="GUV76" s="2198"/>
      <c r="GUW76" s="2198"/>
      <c r="GUX76" s="2198"/>
      <c r="GUY76" s="2198"/>
      <c r="GUZ76" s="2198"/>
      <c r="GVA76" s="2198"/>
      <c r="GVB76" s="2198"/>
      <c r="GVC76" s="2198"/>
      <c r="GVD76" s="2198"/>
      <c r="GVE76" s="2198"/>
      <c r="GVF76" s="2198"/>
      <c r="GVG76" s="2198"/>
      <c r="GVH76" s="2198"/>
      <c r="GVI76" s="2198"/>
      <c r="GVJ76" s="2198"/>
      <c r="GVK76" s="2198"/>
      <c r="GVL76" s="2198"/>
      <c r="GVM76" s="2198"/>
      <c r="GVN76" s="2198"/>
      <c r="GVO76" s="2198"/>
      <c r="GVP76" s="2198"/>
      <c r="GVQ76" s="2198"/>
      <c r="GVR76" s="2198"/>
      <c r="GVS76" s="2198"/>
      <c r="GVT76" s="2198"/>
      <c r="GVU76" s="2198"/>
      <c r="GVV76" s="2198"/>
      <c r="GVW76" s="2198"/>
      <c r="GVX76" s="2198"/>
      <c r="GVY76" s="2198"/>
      <c r="GVZ76" s="2198"/>
      <c r="GWA76" s="2198"/>
      <c r="GWB76" s="2198"/>
      <c r="GWC76" s="2198"/>
      <c r="GWD76" s="2198"/>
      <c r="GWE76" s="2198"/>
      <c r="GWF76" s="2198"/>
      <c r="GWG76" s="2198"/>
      <c r="GWH76" s="2198"/>
      <c r="GWI76" s="2198"/>
      <c r="GWJ76" s="2198"/>
      <c r="GWK76" s="2198"/>
      <c r="GWL76" s="2198"/>
      <c r="GWM76" s="2198"/>
      <c r="GWN76" s="2198"/>
      <c r="GWO76" s="2198"/>
      <c r="GWP76" s="2198"/>
      <c r="GWQ76" s="2198"/>
      <c r="GWR76" s="2198"/>
      <c r="GWS76" s="2198"/>
      <c r="GWT76" s="2198"/>
      <c r="GWU76" s="2198"/>
      <c r="GWV76" s="2198"/>
      <c r="GWW76" s="2198"/>
      <c r="GWX76" s="2198"/>
      <c r="GWY76" s="2198"/>
      <c r="GWZ76" s="2198"/>
      <c r="GXA76" s="2198"/>
      <c r="GXB76" s="2198"/>
      <c r="GXC76" s="2198"/>
      <c r="GXD76" s="2198"/>
      <c r="GXE76" s="2198"/>
      <c r="GXF76" s="2198"/>
      <c r="GXG76" s="2198"/>
      <c r="GXH76" s="2198"/>
      <c r="GXI76" s="2198"/>
      <c r="GXJ76" s="2198"/>
      <c r="GXK76" s="2198"/>
      <c r="GXL76" s="2198"/>
      <c r="GXM76" s="2198"/>
      <c r="GXN76" s="2198"/>
      <c r="GXO76" s="2198"/>
      <c r="GXP76" s="2198"/>
      <c r="GXQ76" s="2198"/>
      <c r="GXR76" s="2198"/>
      <c r="GXS76" s="2198"/>
      <c r="GXT76" s="2198"/>
      <c r="GXU76" s="2198"/>
      <c r="GXV76" s="2198"/>
      <c r="GXW76" s="2198"/>
      <c r="GXX76" s="2198"/>
      <c r="GXY76" s="2198"/>
      <c r="GXZ76" s="2198"/>
      <c r="GYA76" s="2198"/>
      <c r="GYB76" s="2198"/>
      <c r="GYC76" s="2198"/>
      <c r="GYD76" s="2198"/>
      <c r="GYE76" s="2198"/>
      <c r="GYF76" s="2198"/>
      <c r="GYG76" s="2198"/>
      <c r="GYH76" s="2198"/>
      <c r="GYI76" s="2198"/>
      <c r="GYJ76" s="2198"/>
      <c r="GYK76" s="2198"/>
      <c r="GYL76" s="2198"/>
      <c r="GYM76" s="2198"/>
      <c r="GYN76" s="2198"/>
      <c r="GYO76" s="2198"/>
      <c r="GYP76" s="2198"/>
      <c r="GYQ76" s="2198"/>
      <c r="GYR76" s="2198"/>
      <c r="GYS76" s="2198"/>
      <c r="GYT76" s="2198"/>
      <c r="GYU76" s="2198"/>
      <c r="GYV76" s="2198"/>
      <c r="GYW76" s="2198"/>
      <c r="GYX76" s="2198"/>
      <c r="GYY76" s="2198"/>
      <c r="GYZ76" s="2198"/>
      <c r="GZA76" s="2198"/>
      <c r="GZB76" s="2198"/>
      <c r="GZC76" s="2198"/>
      <c r="GZD76" s="2198"/>
      <c r="GZE76" s="2198"/>
      <c r="GZF76" s="2198"/>
      <c r="GZG76" s="2198"/>
      <c r="GZH76" s="2198"/>
      <c r="GZI76" s="2198"/>
      <c r="GZJ76" s="2198"/>
      <c r="GZK76" s="2198"/>
      <c r="GZL76" s="2198"/>
      <c r="GZM76" s="2198"/>
      <c r="GZN76" s="2198"/>
      <c r="GZO76" s="2198"/>
      <c r="GZP76" s="2198"/>
      <c r="GZQ76" s="2198"/>
      <c r="GZR76" s="2198"/>
      <c r="GZS76" s="2198"/>
      <c r="GZT76" s="2198"/>
      <c r="GZU76" s="2198"/>
      <c r="GZV76" s="2198"/>
      <c r="GZW76" s="2198"/>
      <c r="GZX76" s="2198"/>
      <c r="GZY76" s="2198"/>
      <c r="GZZ76" s="2198"/>
      <c r="HAA76" s="2198"/>
      <c r="HAB76" s="2198"/>
      <c r="HAC76" s="2198"/>
      <c r="HAD76" s="2198"/>
      <c r="HAE76" s="2198"/>
      <c r="HAF76" s="2198"/>
      <c r="HAG76" s="2198"/>
      <c r="HAH76" s="2198"/>
      <c r="HAI76" s="2198"/>
      <c r="HAJ76" s="2198"/>
      <c r="HAK76" s="2198"/>
      <c r="HAL76" s="2198"/>
      <c r="HAM76" s="2198"/>
      <c r="HAN76" s="2198"/>
      <c r="HAO76" s="2198"/>
      <c r="HAP76" s="2198"/>
      <c r="HAQ76" s="2198"/>
      <c r="HAR76" s="2198"/>
      <c r="HAS76" s="2198"/>
      <c r="HAT76" s="2198"/>
      <c r="HAU76" s="2198"/>
      <c r="HAV76" s="2198"/>
      <c r="HAW76" s="2198"/>
      <c r="HAX76" s="2198"/>
      <c r="HAY76" s="2198"/>
      <c r="HAZ76" s="2198"/>
      <c r="HBA76" s="2198"/>
      <c r="HBB76" s="2198"/>
      <c r="HBC76" s="2198"/>
      <c r="HBD76" s="2198"/>
      <c r="HBE76" s="2198"/>
      <c r="HBF76" s="2198"/>
      <c r="HBG76" s="2198"/>
      <c r="HBH76" s="2198"/>
      <c r="HBI76" s="2198"/>
      <c r="HBJ76" s="2198"/>
      <c r="HBK76" s="2198"/>
      <c r="HBL76" s="2198"/>
      <c r="HBM76" s="2198"/>
      <c r="HBN76" s="2198"/>
      <c r="HBO76" s="2198"/>
      <c r="HBP76" s="2198"/>
      <c r="HBQ76" s="2198"/>
      <c r="HBR76" s="2198"/>
      <c r="HBS76" s="2198"/>
      <c r="HBT76" s="2198"/>
      <c r="HBU76" s="2198"/>
      <c r="HBV76" s="2198"/>
      <c r="HBW76" s="2198"/>
      <c r="HBX76" s="2198"/>
      <c r="HBY76" s="2198"/>
      <c r="HBZ76" s="2198"/>
      <c r="HCA76" s="2198"/>
      <c r="HCB76" s="2198"/>
      <c r="HCC76" s="2198"/>
      <c r="HCD76" s="2198"/>
      <c r="HCE76" s="2198"/>
      <c r="HCF76" s="2198"/>
      <c r="HCG76" s="2198"/>
      <c r="HCH76" s="2198"/>
      <c r="HCI76" s="2198"/>
      <c r="HCJ76" s="2198"/>
      <c r="HCK76" s="2198"/>
      <c r="HCL76" s="2198"/>
      <c r="HCM76" s="2198"/>
      <c r="HCN76" s="2198"/>
      <c r="HCO76" s="2198"/>
      <c r="HCP76" s="2198"/>
      <c r="HCQ76" s="2198"/>
      <c r="HCR76" s="2198"/>
      <c r="HCS76" s="2198"/>
      <c r="HCT76" s="2198"/>
      <c r="HCU76" s="2198"/>
      <c r="HCV76" s="2198"/>
      <c r="HCW76" s="2198"/>
      <c r="HCX76" s="2198"/>
      <c r="HCY76" s="2198"/>
      <c r="HCZ76" s="2198"/>
      <c r="HDA76" s="2198"/>
      <c r="HDB76" s="2198"/>
      <c r="HDC76" s="2198"/>
      <c r="HDD76" s="2198"/>
      <c r="HDE76" s="2198"/>
      <c r="HDF76" s="2198"/>
      <c r="HDG76" s="2198"/>
      <c r="HDH76" s="2198"/>
      <c r="HDI76" s="2198"/>
      <c r="HDJ76" s="2198"/>
      <c r="HDK76" s="2198"/>
      <c r="HDL76" s="2198"/>
      <c r="HDM76" s="2198"/>
      <c r="HDN76" s="2198"/>
      <c r="HDO76" s="2198"/>
      <c r="HDP76" s="2198"/>
      <c r="HDQ76" s="2198"/>
      <c r="HDR76" s="2198"/>
      <c r="HDS76" s="2198"/>
      <c r="HDT76" s="2198"/>
      <c r="HDU76" s="2198"/>
      <c r="HDV76" s="2198"/>
      <c r="HDW76" s="2198"/>
      <c r="HDX76" s="2198"/>
      <c r="HDY76" s="2198"/>
      <c r="HDZ76" s="2198"/>
      <c r="HEA76" s="2198"/>
      <c r="HEB76" s="2198"/>
      <c r="HEC76" s="2198"/>
      <c r="HED76" s="2198"/>
      <c r="HEE76" s="2198"/>
      <c r="HEF76" s="2198"/>
      <c r="HEG76" s="2198"/>
      <c r="HEH76" s="2198"/>
      <c r="HEI76" s="2198"/>
      <c r="HEJ76" s="2198"/>
      <c r="HEK76" s="2198"/>
      <c r="HEL76" s="2198"/>
      <c r="HEM76" s="2198"/>
      <c r="HEN76" s="2198"/>
      <c r="HEO76" s="2198"/>
      <c r="HEP76" s="2198"/>
      <c r="HEQ76" s="2198"/>
      <c r="HER76" s="2198"/>
      <c r="HES76" s="2198"/>
      <c r="HET76" s="2198"/>
      <c r="HEU76" s="2198"/>
      <c r="HEV76" s="2198"/>
      <c r="HEW76" s="2198"/>
      <c r="HEX76" s="2198"/>
      <c r="HEY76" s="2198"/>
      <c r="HEZ76" s="2198"/>
      <c r="HFA76" s="2198"/>
      <c r="HFB76" s="2198"/>
      <c r="HFC76" s="2198"/>
      <c r="HFD76" s="2198"/>
      <c r="HFE76" s="2198"/>
      <c r="HFF76" s="2198"/>
      <c r="HFG76" s="2198"/>
      <c r="HFH76" s="2198"/>
      <c r="HFI76" s="2198"/>
      <c r="HFJ76" s="2198"/>
      <c r="HFK76" s="2198"/>
      <c r="HFL76" s="2198"/>
      <c r="HFM76" s="2198"/>
      <c r="HFN76" s="2198"/>
      <c r="HFO76" s="2198"/>
      <c r="HFP76" s="2198"/>
      <c r="HFQ76" s="2198"/>
      <c r="HFR76" s="2198"/>
      <c r="HFS76" s="2198"/>
      <c r="HFT76" s="2198"/>
      <c r="HFU76" s="2198"/>
      <c r="HFV76" s="2198"/>
      <c r="HFW76" s="2198"/>
      <c r="HFX76" s="2198"/>
      <c r="HFY76" s="2198"/>
      <c r="HFZ76" s="2198"/>
      <c r="HGA76" s="2198"/>
      <c r="HGB76" s="2198"/>
      <c r="HGC76" s="2198"/>
      <c r="HGD76" s="2198"/>
      <c r="HGE76" s="2198"/>
      <c r="HGF76" s="2198"/>
      <c r="HGG76" s="2198"/>
      <c r="HGH76" s="2198"/>
      <c r="HGI76" s="2198"/>
      <c r="HGJ76" s="2198"/>
      <c r="HGK76" s="2198"/>
      <c r="HGL76" s="2198"/>
      <c r="HGM76" s="2198"/>
      <c r="HGN76" s="2198"/>
      <c r="HGO76" s="2198"/>
      <c r="HGP76" s="2198"/>
      <c r="HGQ76" s="2198"/>
      <c r="HGR76" s="2198"/>
      <c r="HGS76" s="2198"/>
      <c r="HGT76" s="2198"/>
      <c r="HGU76" s="2198"/>
      <c r="HGV76" s="2198"/>
      <c r="HGW76" s="2198"/>
      <c r="HGX76" s="2198"/>
      <c r="HGY76" s="2198"/>
      <c r="HGZ76" s="2198"/>
      <c r="HHA76" s="2198"/>
      <c r="HHB76" s="2198"/>
      <c r="HHC76" s="2198"/>
      <c r="HHD76" s="2198"/>
      <c r="HHE76" s="2198"/>
      <c r="HHF76" s="2198"/>
      <c r="HHG76" s="2198"/>
      <c r="HHH76" s="2198"/>
      <c r="HHI76" s="2198"/>
      <c r="HHJ76" s="2198"/>
      <c r="HHK76" s="2198"/>
      <c r="HHL76" s="2198"/>
      <c r="HHM76" s="2198"/>
      <c r="HHN76" s="2198"/>
      <c r="HHO76" s="2198"/>
      <c r="HHP76" s="2198"/>
      <c r="HHQ76" s="2198"/>
      <c r="HHR76" s="2198"/>
      <c r="HHS76" s="2198"/>
      <c r="HHT76" s="2198"/>
      <c r="HHU76" s="2198"/>
      <c r="HHV76" s="2198"/>
      <c r="HHW76" s="2198"/>
      <c r="HHX76" s="2198"/>
      <c r="HHY76" s="2198"/>
      <c r="HHZ76" s="2198"/>
      <c r="HIA76" s="2198"/>
      <c r="HIB76" s="2198"/>
      <c r="HIC76" s="2198"/>
      <c r="HID76" s="2198"/>
      <c r="HIE76" s="2198"/>
      <c r="HIF76" s="2198"/>
      <c r="HIG76" s="2198"/>
      <c r="HIH76" s="2198"/>
      <c r="HII76" s="2198"/>
      <c r="HIJ76" s="2198"/>
      <c r="HIK76" s="2198"/>
      <c r="HIL76" s="2198"/>
      <c r="HIM76" s="2198"/>
      <c r="HIN76" s="2198"/>
      <c r="HIO76" s="2198"/>
      <c r="HIP76" s="2198"/>
      <c r="HIQ76" s="2198"/>
      <c r="HIR76" s="2198"/>
      <c r="HIS76" s="2198"/>
      <c r="HIT76" s="2198"/>
      <c r="HIU76" s="2198"/>
      <c r="HIV76" s="2198"/>
      <c r="HIW76" s="2198"/>
      <c r="HIX76" s="2198"/>
      <c r="HIY76" s="2198"/>
      <c r="HIZ76" s="2198"/>
      <c r="HJA76" s="2198"/>
      <c r="HJB76" s="2198"/>
      <c r="HJC76" s="2198"/>
      <c r="HJD76" s="2198"/>
      <c r="HJE76" s="2198"/>
      <c r="HJF76" s="2198"/>
      <c r="HJG76" s="2198"/>
      <c r="HJH76" s="2198"/>
      <c r="HJI76" s="2198"/>
      <c r="HJJ76" s="2198"/>
      <c r="HJK76" s="2198"/>
      <c r="HJL76" s="2198"/>
      <c r="HJM76" s="2198"/>
      <c r="HJN76" s="2198"/>
      <c r="HJO76" s="2198"/>
      <c r="HJP76" s="2198"/>
      <c r="HJQ76" s="2198"/>
      <c r="HJR76" s="2198"/>
      <c r="HJS76" s="2198"/>
      <c r="HJT76" s="2198"/>
      <c r="HJU76" s="2198"/>
      <c r="HJV76" s="2198"/>
      <c r="HJW76" s="2198"/>
      <c r="HJX76" s="2198"/>
      <c r="HJY76" s="2198"/>
      <c r="HJZ76" s="2198"/>
      <c r="HKA76" s="2198"/>
      <c r="HKB76" s="2198"/>
      <c r="HKC76" s="2198"/>
      <c r="HKD76" s="2198"/>
      <c r="HKE76" s="2198"/>
      <c r="HKF76" s="2198"/>
      <c r="HKG76" s="2198"/>
      <c r="HKH76" s="2198"/>
      <c r="HKI76" s="2198"/>
      <c r="HKJ76" s="2198"/>
      <c r="HKK76" s="2198"/>
      <c r="HKL76" s="2198"/>
      <c r="HKM76" s="2198"/>
      <c r="HKN76" s="2198"/>
      <c r="HKO76" s="2198"/>
      <c r="HKP76" s="2198"/>
      <c r="HKQ76" s="2198"/>
      <c r="HKR76" s="2198"/>
      <c r="HKS76" s="2198"/>
      <c r="HKT76" s="2198"/>
      <c r="HKU76" s="2198"/>
      <c r="HKV76" s="2198"/>
      <c r="HKW76" s="2198"/>
      <c r="HKX76" s="2198"/>
      <c r="HKY76" s="2198"/>
      <c r="HKZ76" s="2198"/>
      <c r="HLA76" s="2198"/>
      <c r="HLB76" s="2198"/>
      <c r="HLC76" s="2198"/>
      <c r="HLD76" s="2198"/>
      <c r="HLE76" s="2198"/>
      <c r="HLF76" s="2198"/>
      <c r="HLG76" s="2198"/>
      <c r="HLH76" s="2198"/>
      <c r="HLI76" s="2198"/>
      <c r="HLJ76" s="2198"/>
      <c r="HLK76" s="2198"/>
      <c r="HLL76" s="2198"/>
      <c r="HLM76" s="2198"/>
      <c r="HLN76" s="2198"/>
      <c r="HLO76" s="2198"/>
      <c r="HLP76" s="2198"/>
      <c r="HLQ76" s="2198"/>
      <c r="HLR76" s="2198"/>
      <c r="HLS76" s="2198"/>
      <c r="HLT76" s="2198"/>
      <c r="HLU76" s="2198"/>
      <c r="HLV76" s="2198"/>
      <c r="HLW76" s="2198"/>
      <c r="HLX76" s="2198"/>
      <c r="HLY76" s="2198"/>
      <c r="HLZ76" s="2198"/>
      <c r="HMA76" s="2198"/>
      <c r="HMB76" s="2198"/>
      <c r="HMC76" s="2198"/>
      <c r="HMD76" s="2198"/>
      <c r="HME76" s="2198"/>
      <c r="HMF76" s="2198"/>
      <c r="HMG76" s="2198"/>
      <c r="HMH76" s="2198"/>
      <c r="HMI76" s="2198"/>
      <c r="HMJ76" s="2198"/>
      <c r="HMK76" s="2198"/>
      <c r="HML76" s="2198"/>
      <c r="HMM76" s="2198"/>
      <c r="HMN76" s="2198"/>
      <c r="HMO76" s="2198"/>
      <c r="HMP76" s="2198"/>
      <c r="HMQ76" s="2198"/>
      <c r="HMR76" s="2198"/>
      <c r="HMS76" s="2198"/>
      <c r="HMT76" s="2198"/>
      <c r="HMU76" s="2198"/>
      <c r="HMV76" s="2198"/>
      <c r="HMW76" s="2198"/>
      <c r="HMX76" s="2198"/>
      <c r="HMY76" s="2198"/>
      <c r="HMZ76" s="2198"/>
      <c r="HNA76" s="2198"/>
      <c r="HNB76" s="2198"/>
      <c r="HNC76" s="2198"/>
      <c r="HND76" s="2198"/>
      <c r="HNE76" s="2198"/>
      <c r="HNF76" s="2198"/>
      <c r="HNG76" s="2198"/>
      <c r="HNH76" s="2198"/>
      <c r="HNI76" s="2198"/>
      <c r="HNJ76" s="2198"/>
      <c r="HNK76" s="2198"/>
      <c r="HNL76" s="2198"/>
      <c r="HNM76" s="2198"/>
      <c r="HNN76" s="2198"/>
      <c r="HNO76" s="2198"/>
      <c r="HNP76" s="2198"/>
      <c r="HNQ76" s="2198"/>
      <c r="HNR76" s="2198"/>
      <c r="HNS76" s="2198"/>
      <c r="HNT76" s="2198"/>
      <c r="HNU76" s="2198"/>
      <c r="HNV76" s="2198"/>
      <c r="HNW76" s="2198"/>
      <c r="HNX76" s="2198"/>
      <c r="HNY76" s="2198"/>
      <c r="HNZ76" s="2198"/>
      <c r="HOA76" s="2198"/>
      <c r="HOB76" s="2198"/>
      <c r="HOC76" s="2198"/>
      <c r="HOD76" s="2198"/>
      <c r="HOE76" s="2198"/>
      <c r="HOF76" s="2198"/>
      <c r="HOG76" s="2198"/>
      <c r="HOH76" s="2198"/>
      <c r="HOI76" s="2198"/>
      <c r="HOJ76" s="2198"/>
      <c r="HOK76" s="2198"/>
      <c r="HOL76" s="2198"/>
      <c r="HOM76" s="2198"/>
      <c r="HON76" s="2198"/>
      <c r="HOO76" s="2198"/>
      <c r="HOP76" s="2198"/>
      <c r="HOQ76" s="2198"/>
      <c r="HOR76" s="2198"/>
      <c r="HOS76" s="2198"/>
      <c r="HOT76" s="2198"/>
      <c r="HOU76" s="2198"/>
      <c r="HOV76" s="2198"/>
      <c r="HOW76" s="2198"/>
      <c r="HOX76" s="2198"/>
      <c r="HOY76" s="2198"/>
      <c r="HOZ76" s="2198"/>
      <c r="HPA76" s="2198"/>
      <c r="HPB76" s="2198"/>
      <c r="HPC76" s="2198"/>
      <c r="HPD76" s="2198"/>
      <c r="HPE76" s="2198"/>
      <c r="HPF76" s="2198"/>
      <c r="HPG76" s="2198"/>
      <c r="HPH76" s="2198"/>
      <c r="HPI76" s="2198"/>
      <c r="HPJ76" s="2198"/>
      <c r="HPK76" s="2198"/>
      <c r="HPL76" s="2198"/>
      <c r="HPM76" s="2198"/>
      <c r="HPN76" s="2198"/>
      <c r="HPO76" s="2198"/>
      <c r="HPP76" s="2198"/>
      <c r="HPQ76" s="2198"/>
      <c r="HPR76" s="2198"/>
      <c r="HPS76" s="2198"/>
      <c r="HPT76" s="2198"/>
      <c r="HPU76" s="2198"/>
      <c r="HPV76" s="2198"/>
      <c r="HPW76" s="2198"/>
      <c r="HPX76" s="2198"/>
      <c r="HPY76" s="2198"/>
      <c r="HPZ76" s="2198"/>
      <c r="HQA76" s="2198"/>
      <c r="HQB76" s="2198"/>
      <c r="HQC76" s="2198"/>
      <c r="HQD76" s="2198"/>
      <c r="HQE76" s="2198"/>
      <c r="HQF76" s="2198"/>
      <c r="HQG76" s="2198"/>
      <c r="HQH76" s="2198"/>
      <c r="HQI76" s="2198"/>
      <c r="HQJ76" s="2198"/>
      <c r="HQK76" s="2198"/>
      <c r="HQL76" s="2198"/>
      <c r="HQM76" s="2198"/>
      <c r="HQN76" s="2198"/>
      <c r="HQO76" s="2198"/>
      <c r="HQP76" s="2198"/>
      <c r="HQQ76" s="2198"/>
      <c r="HQR76" s="2198"/>
      <c r="HQS76" s="2198"/>
      <c r="HQT76" s="2198"/>
      <c r="HQU76" s="2198"/>
      <c r="HQV76" s="2198"/>
      <c r="HQW76" s="2198"/>
      <c r="HQX76" s="2198"/>
      <c r="HQY76" s="2198"/>
      <c r="HQZ76" s="2198"/>
      <c r="HRA76" s="2198"/>
      <c r="HRB76" s="2198"/>
      <c r="HRC76" s="2198"/>
      <c r="HRD76" s="2198"/>
      <c r="HRE76" s="2198"/>
      <c r="HRF76" s="2198"/>
      <c r="HRG76" s="2198"/>
      <c r="HRH76" s="2198"/>
      <c r="HRI76" s="2198"/>
      <c r="HRJ76" s="2198"/>
      <c r="HRK76" s="2198"/>
      <c r="HRL76" s="2198"/>
      <c r="HRM76" s="2198"/>
      <c r="HRN76" s="2198"/>
      <c r="HRO76" s="2198"/>
      <c r="HRP76" s="2198"/>
      <c r="HRQ76" s="2198"/>
      <c r="HRR76" s="2198"/>
      <c r="HRS76" s="2198"/>
      <c r="HRT76" s="2198"/>
      <c r="HRU76" s="2198"/>
      <c r="HRV76" s="2198"/>
      <c r="HRW76" s="2198"/>
      <c r="HRX76" s="2198"/>
      <c r="HRY76" s="2198"/>
      <c r="HRZ76" s="2198"/>
      <c r="HSA76" s="2198"/>
      <c r="HSB76" s="2198"/>
      <c r="HSC76" s="2198"/>
      <c r="HSD76" s="2198"/>
      <c r="HSE76" s="2198"/>
      <c r="HSF76" s="2198"/>
      <c r="HSG76" s="2198"/>
      <c r="HSH76" s="2198"/>
      <c r="HSI76" s="2198"/>
      <c r="HSJ76" s="2198"/>
      <c r="HSK76" s="2198"/>
      <c r="HSL76" s="2198"/>
      <c r="HSM76" s="2198"/>
      <c r="HSN76" s="2198"/>
      <c r="HSO76" s="2198"/>
      <c r="HSP76" s="2198"/>
      <c r="HSQ76" s="2198"/>
      <c r="HSR76" s="2198"/>
      <c r="HSS76" s="2198"/>
      <c r="HST76" s="2198"/>
      <c r="HSU76" s="2198"/>
      <c r="HSV76" s="2198"/>
      <c r="HSW76" s="2198"/>
      <c r="HSX76" s="2198"/>
      <c r="HSY76" s="2198"/>
      <c r="HSZ76" s="2198"/>
      <c r="HTA76" s="2198"/>
      <c r="HTB76" s="2198"/>
      <c r="HTC76" s="2198"/>
      <c r="HTD76" s="2198"/>
      <c r="HTE76" s="2198"/>
      <c r="HTF76" s="2198"/>
      <c r="HTG76" s="2198"/>
      <c r="HTH76" s="2198"/>
      <c r="HTI76" s="2198"/>
      <c r="HTJ76" s="2198"/>
      <c r="HTK76" s="2198"/>
      <c r="HTL76" s="2198"/>
      <c r="HTM76" s="2198"/>
      <c r="HTN76" s="2198"/>
      <c r="HTO76" s="2198"/>
      <c r="HTP76" s="2198"/>
      <c r="HTQ76" s="2198"/>
      <c r="HTR76" s="2198"/>
      <c r="HTS76" s="2198"/>
      <c r="HTT76" s="2198"/>
      <c r="HTU76" s="2198"/>
      <c r="HTV76" s="2198"/>
      <c r="HTW76" s="2198"/>
      <c r="HTX76" s="2198"/>
      <c r="HTY76" s="2198"/>
      <c r="HTZ76" s="2198"/>
      <c r="HUA76" s="2198"/>
      <c r="HUB76" s="2198"/>
      <c r="HUC76" s="2198"/>
      <c r="HUD76" s="2198"/>
      <c r="HUE76" s="2198"/>
      <c r="HUF76" s="2198"/>
      <c r="HUG76" s="2198"/>
      <c r="HUH76" s="2198"/>
      <c r="HUI76" s="2198"/>
      <c r="HUJ76" s="2198"/>
      <c r="HUK76" s="2198"/>
      <c r="HUL76" s="2198"/>
      <c r="HUM76" s="2198"/>
      <c r="HUN76" s="2198"/>
      <c r="HUO76" s="2198"/>
      <c r="HUP76" s="2198"/>
      <c r="HUQ76" s="2198"/>
      <c r="HUR76" s="2198"/>
      <c r="HUS76" s="2198"/>
      <c r="HUT76" s="2198"/>
      <c r="HUU76" s="2198"/>
      <c r="HUV76" s="2198"/>
      <c r="HUW76" s="2198"/>
      <c r="HUX76" s="2198"/>
      <c r="HUY76" s="2198"/>
      <c r="HUZ76" s="2198"/>
      <c r="HVA76" s="2198"/>
      <c r="HVB76" s="2198"/>
      <c r="HVC76" s="2198"/>
      <c r="HVD76" s="2198"/>
      <c r="HVE76" s="2198"/>
      <c r="HVF76" s="2198"/>
      <c r="HVG76" s="2198"/>
      <c r="HVH76" s="2198"/>
      <c r="HVI76" s="2198"/>
      <c r="HVJ76" s="2198"/>
      <c r="HVK76" s="2198"/>
      <c r="HVL76" s="2198"/>
      <c r="HVM76" s="2198"/>
      <c r="HVN76" s="2198"/>
      <c r="HVO76" s="2198"/>
      <c r="HVP76" s="2198"/>
      <c r="HVQ76" s="2198"/>
      <c r="HVR76" s="2198"/>
      <c r="HVS76" s="2198"/>
      <c r="HVT76" s="2198"/>
      <c r="HVU76" s="2198"/>
      <c r="HVV76" s="2198"/>
      <c r="HVW76" s="2198"/>
      <c r="HVX76" s="2198"/>
      <c r="HVY76" s="2198"/>
      <c r="HVZ76" s="2198"/>
      <c r="HWA76" s="2198"/>
      <c r="HWB76" s="2198"/>
      <c r="HWC76" s="2198"/>
      <c r="HWD76" s="2198"/>
      <c r="HWE76" s="2198"/>
      <c r="HWF76" s="2198"/>
      <c r="HWG76" s="2198"/>
      <c r="HWH76" s="2198"/>
      <c r="HWI76" s="2198"/>
      <c r="HWJ76" s="2198"/>
      <c r="HWK76" s="2198"/>
      <c r="HWL76" s="2198"/>
      <c r="HWM76" s="2198"/>
      <c r="HWN76" s="2198"/>
      <c r="HWO76" s="2198"/>
      <c r="HWP76" s="2198"/>
      <c r="HWQ76" s="2198"/>
      <c r="HWR76" s="2198"/>
      <c r="HWS76" s="2198"/>
      <c r="HWT76" s="2198"/>
      <c r="HWU76" s="2198"/>
      <c r="HWV76" s="2198"/>
      <c r="HWW76" s="2198"/>
      <c r="HWX76" s="2198"/>
      <c r="HWY76" s="2198"/>
      <c r="HWZ76" s="2198"/>
      <c r="HXA76" s="2198"/>
      <c r="HXB76" s="2198"/>
      <c r="HXC76" s="2198"/>
      <c r="HXD76" s="2198"/>
      <c r="HXE76" s="2198"/>
      <c r="HXF76" s="2198"/>
      <c r="HXG76" s="2198"/>
      <c r="HXH76" s="2198"/>
      <c r="HXI76" s="2198"/>
      <c r="HXJ76" s="2198"/>
      <c r="HXK76" s="2198"/>
      <c r="HXL76" s="2198"/>
      <c r="HXM76" s="2198"/>
      <c r="HXN76" s="2198"/>
      <c r="HXO76" s="2198"/>
      <c r="HXP76" s="2198"/>
      <c r="HXQ76" s="2198"/>
      <c r="HXR76" s="2198"/>
      <c r="HXS76" s="2198"/>
      <c r="HXT76" s="2198"/>
      <c r="HXU76" s="2198"/>
      <c r="HXV76" s="2198"/>
      <c r="HXW76" s="2198"/>
      <c r="HXX76" s="2198"/>
      <c r="HXY76" s="2198"/>
      <c r="HXZ76" s="2198"/>
      <c r="HYA76" s="2198"/>
      <c r="HYB76" s="2198"/>
      <c r="HYC76" s="2198"/>
      <c r="HYD76" s="2198"/>
      <c r="HYE76" s="2198"/>
      <c r="HYF76" s="2198"/>
      <c r="HYG76" s="2198"/>
      <c r="HYH76" s="2198"/>
      <c r="HYI76" s="2198"/>
      <c r="HYJ76" s="2198"/>
      <c r="HYK76" s="2198"/>
      <c r="HYL76" s="2198"/>
      <c r="HYM76" s="2198"/>
      <c r="HYN76" s="2198"/>
      <c r="HYO76" s="2198"/>
      <c r="HYP76" s="2198"/>
      <c r="HYQ76" s="2198"/>
      <c r="HYR76" s="2198"/>
      <c r="HYS76" s="2198"/>
      <c r="HYT76" s="2198"/>
      <c r="HYU76" s="2198"/>
      <c r="HYV76" s="2198"/>
      <c r="HYW76" s="2198"/>
      <c r="HYX76" s="2198"/>
      <c r="HYY76" s="2198"/>
      <c r="HYZ76" s="2198"/>
      <c r="HZA76" s="2198"/>
      <c r="HZB76" s="2198"/>
      <c r="HZC76" s="2198"/>
      <c r="HZD76" s="2198"/>
      <c r="HZE76" s="2198"/>
      <c r="HZF76" s="2198"/>
      <c r="HZG76" s="2198"/>
      <c r="HZH76" s="2198"/>
      <c r="HZI76" s="2198"/>
      <c r="HZJ76" s="2198"/>
      <c r="HZK76" s="2198"/>
      <c r="HZL76" s="2198"/>
      <c r="HZM76" s="2198"/>
      <c r="HZN76" s="2198"/>
      <c r="HZO76" s="2198"/>
      <c r="HZP76" s="2198"/>
      <c r="HZQ76" s="2198"/>
      <c r="HZR76" s="2198"/>
      <c r="HZS76" s="2198"/>
      <c r="HZT76" s="2198"/>
      <c r="HZU76" s="2198"/>
      <c r="HZV76" s="2198"/>
      <c r="HZW76" s="2198"/>
      <c r="HZX76" s="2198"/>
      <c r="HZY76" s="2198"/>
      <c r="HZZ76" s="2198"/>
      <c r="IAA76" s="2198"/>
      <c r="IAB76" s="2198"/>
      <c r="IAC76" s="2198"/>
      <c r="IAD76" s="2198"/>
      <c r="IAE76" s="2198"/>
      <c r="IAF76" s="2198"/>
      <c r="IAG76" s="2198"/>
      <c r="IAH76" s="2198"/>
      <c r="IAI76" s="2198"/>
      <c r="IAJ76" s="2198"/>
      <c r="IAK76" s="2198"/>
      <c r="IAL76" s="2198"/>
      <c r="IAM76" s="2198"/>
      <c r="IAN76" s="2198"/>
      <c r="IAO76" s="2198"/>
      <c r="IAP76" s="2198"/>
      <c r="IAQ76" s="2198"/>
      <c r="IAR76" s="2198"/>
      <c r="IAS76" s="2198"/>
      <c r="IAT76" s="2198"/>
      <c r="IAU76" s="2198"/>
      <c r="IAV76" s="2198"/>
      <c r="IAW76" s="2198"/>
      <c r="IAX76" s="2198"/>
      <c r="IAY76" s="2198"/>
      <c r="IAZ76" s="2198"/>
      <c r="IBA76" s="2198"/>
      <c r="IBB76" s="2198"/>
      <c r="IBC76" s="2198"/>
      <c r="IBD76" s="2198"/>
      <c r="IBE76" s="2198"/>
      <c r="IBF76" s="2198"/>
      <c r="IBG76" s="2198"/>
      <c r="IBH76" s="2198"/>
      <c r="IBI76" s="2198"/>
      <c r="IBJ76" s="2198"/>
      <c r="IBK76" s="2198"/>
      <c r="IBL76" s="2198"/>
      <c r="IBM76" s="2198"/>
      <c r="IBN76" s="2198"/>
      <c r="IBO76" s="2198"/>
      <c r="IBP76" s="2198"/>
      <c r="IBQ76" s="2198"/>
      <c r="IBR76" s="2198"/>
      <c r="IBS76" s="2198"/>
      <c r="IBT76" s="2198"/>
      <c r="IBU76" s="2198"/>
      <c r="IBV76" s="2198"/>
      <c r="IBW76" s="2198"/>
      <c r="IBX76" s="2198"/>
      <c r="IBY76" s="2198"/>
      <c r="IBZ76" s="2198"/>
      <c r="ICA76" s="2198"/>
      <c r="ICB76" s="2198"/>
      <c r="ICC76" s="2198"/>
      <c r="ICD76" s="2198"/>
      <c r="ICE76" s="2198"/>
      <c r="ICF76" s="2198"/>
      <c r="ICG76" s="2198"/>
      <c r="ICH76" s="2198"/>
      <c r="ICI76" s="2198"/>
      <c r="ICJ76" s="2198"/>
      <c r="ICK76" s="2198"/>
      <c r="ICL76" s="2198"/>
      <c r="ICM76" s="2198"/>
      <c r="ICN76" s="2198"/>
      <c r="ICO76" s="2198"/>
      <c r="ICP76" s="2198"/>
      <c r="ICQ76" s="2198"/>
      <c r="ICR76" s="2198"/>
      <c r="ICS76" s="2198"/>
      <c r="ICT76" s="2198"/>
      <c r="ICU76" s="2198"/>
      <c r="ICV76" s="2198"/>
      <c r="ICW76" s="2198"/>
      <c r="ICX76" s="2198"/>
      <c r="ICY76" s="2198"/>
      <c r="ICZ76" s="2198"/>
      <c r="IDA76" s="2198"/>
      <c r="IDB76" s="2198"/>
      <c r="IDC76" s="2198"/>
      <c r="IDD76" s="2198"/>
      <c r="IDE76" s="2198"/>
      <c r="IDF76" s="2198"/>
      <c r="IDG76" s="2198"/>
      <c r="IDH76" s="2198"/>
      <c r="IDI76" s="2198"/>
      <c r="IDJ76" s="2198"/>
      <c r="IDK76" s="2198"/>
      <c r="IDL76" s="2198"/>
      <c r="IDM76" s="2198"/>
      <c r="IDN76" s="2198"/>
      <c r="IDO76" s="2198"/>
      <c r="IDP76" s="2198"/>
      <c r="IDQ76" s="2198"/>
      <c r="IDR76" s="2198"/>
      <c r="IDS76" s="2198"/>
      <c r="IDT76" s="2198"/>
      <c r="IDU76" s="2198"/>
      <c r="IDV76" s="2198"/>
      <c r="IDW76" s="2198"/>
      <c r="IDX76" s="2198"/>
      <c r="IDY76" s="2198"/>
      <c r="IDZ76" s="2198"/>
      <c r="IEA76" s="2198"/>
      <c r="IEB76" s="2198"/>
      <c r="IEC76" s="2198"/>
      <c r="IED76" s="2198"/>
      <c r="IEE76" s="2198"/>
      <c r="IEF76" s="2198"/>
      <c r="IEG76" s="2198"/>
      <c r="IEH76" s="2198"/>
      <c r="IEI76" s="2198"/>
      <c r="IEJ76" s="2198"/>
      <c r="IEK76" s="2198"/>
      <c r="IEL76" s="2198"/>
      <c r="IEM76" s="2198"/>
      <c r="IEN76" s="2198"/>
      <c r="IEO76" s="2198"/>
      <c r="IEP76" s="2198"/>
      <c r="IEQ76" s="2198"/>
      <c r="IER76" s="2198"/>
      <c r="IES76" s="2198"/>
      <c r="IET76" s="2198"/>
      <c r="IEU76" s="2198"/>
      <c r="IEV76" s="2198"/>
      <c r="IEW76" s="2198"/>
      <c r="IEX76" s="2198"/>
      <c r="IEY76" s="2198"/>
      <c r="IEZ76" s="2198"/>
      <c r="IFA76" s="2198"/>
      <c r="IFB76" s="2198"/>
      <c r="IFC76" s="2198"/>
      <c r="IFD76" s="2198"/>
      <c r="IFE76" s="2198"/>
      <c r="IFF76" s="2198"/>
      <c r="IFG76" s="2198"/>
      <c r="IFH76" s="2198"/>
      <c r="IFI76" s="2198"/>
      <c r="IFJ76" s="2198"/>
      <c r="IFK76" s="2198"/>
      <c r="IFL76" s="2198"/>
      <c r="IFM76" s="2198"/>
      <c r="IFN76" s="2198"/>
      <c r="IFO76" s="2198"/>
      <c r="IFP76" s="2198"/>
      <c r="IFQ76" s="2198"/>
      <c r="IFR76" s="2198"/>
      <c r="IFS76" s="2198"/>
      <c r="IFT76" s="2198"/>
      <c r="IFU76" s="2198"/>
      <c r="IFV76" s="2198"/>
      <c r="IFW76" s="2198"/>
      <c r="IFX76" s="2198"/>
      <c r="IFY76" s="2198"/>
      <c r="IFZ76" s="2198"/>
      <c r="IGA76" s="2198"/>
      <c r="IGB76" s="2198"/>
      <c r="IGC76" s="2198"/>
      <c r="IGD76" s="2198"/>
      <c r="IGE76" s="2198"/>
      <c r="IGF76" s="2198"/>
      <c r="IGG76" s="2198"/>
      <c r="IGH76" s="2198"/>
      <c r="IGI76" s="2198"/>
      <c r="IGJ76" s="2198"/>
      <c r="IGK76" s="2198"/>
      <c r="IGL76" s="2198"/>
      <c r="IGM76" s="2198"/>
      <c r="IGN76" s="2198"/>
      <c r="IGO76" s="2198"/>
      <c r="IGP76" s="2198"/>
      <c r="IGQ76" s="2198"/>
      <c r="IGR76" s="2198"/>
      <c r="IGS76" s="2198"/>
      <c r="IGT76" s="2198"/>
      <c r="IGU76" s="2198"/>
      <c r="IGV76" s="2198"/>
      <c r="IGW76" s="2198"/>
      <c r="IGX76" s="2198"/>
      <c r="IGY76" s="2198"/>
      <c r="IGZ76" s="2198"/>
      <c r="IHA76" s="2198"/>
      <c r="IHB76" s="2198"/>
      <c r="IHC76" s="2198"/>
      <c r="IHD76" s="2198"/>
      <c r="IHE76" s="2198"/>
      <c r="IHF76" s="2198"/>
      <c r="IHG76" s="2198"/>
      <c r="IHH76" s="2198"/>
      <c r="IHI76" s="2198"/>
      <c r="IHJ76" s="2198"/>
      <c r="IHK76" s="2198"/>
      <c r="IHL76" s="2198"/>
      <c r="IHM76" s="2198"/>
      <c r="IHN76" s="2198"/>
      <c r="IHO76" s="2198"/>
      <c r="IHP76" s="2198"/>
      <c r="IHQ76" s="2198"/>
      <c r="IHR76" s="2198"/>
      <c r="IHS76" s="2198"/>
      <c r="IHT76" s="2198"/>
      <c r="IHU76" s="2198"/>
      <c r="IHV76" s="2198"/>
      <c r="IHW76" s="2198"/>
      <c r="IHX76" s="2198"/>
      <c r="IHY76" s="2198"/>
      <c r="IHZ76" s="2198"/>
      <c r="IIA76" s="2198"/>
      <c r="IIB76" s="2198"/>
      <c r="IIC76" s="2198"/>
      <c r="IID76" s="2198"/>
      <c r="IIE76" s="2198"/>
      <c r="IIF76" s="2198"/>
      <c r="IIG76" s="2198"/>
      <c r="IIH76" s="2198"/>
      <c r="III76" s="2198"/>
      <c r="IIJ76" s="2198"/>
      <c r="IIK76" s="2198"/>
      <c r="IIL76" s="2198"/>
      <c r="IIM76" s="2198"/>
      <c r="IIN76" s="2198"/>
      <c r="IIO76" s="2198"/>
      <c r="IIP76" s="2198"/>
      <c r="IIQ76" s="2198"/>
      <c r="IIR76" s="2198"/>
      <c r="IIS76" s="2198"/>
      <c r="IIT76" s="2198"/>
      <c r="IIU76" s="2198"/>
      <c r="IIV76" s="2198"/>
      <c r="IIW76" s="2198"/>
      <c r="IIX76" s="2198"/>
      <c r="IIY76" s="2198"/>
      <c r="IIZ76" s="2198"/>
      <c r="IJA76" s="2198"/>
      <c r="IJB76" s="2198"/>
      <c r="IJC76" s="2198"/>
      <c r="IJD76" s="2198"/>
      <c r="IJE76" s="2198"/>
      <c r="IJF76" s="2198"/>
      <c r="IJG76" s="2198"/>
      <c r="IJH76" s="2198"/>
      <c r="IJI76" s="2198"/>
      <c r="IJJ76" s="2198"/>
      <c r="IJK76" s="2198"/>
      <c r="IJL76" s="2198"/>
      <c r="IJM76" s="2198"/>
      <c r="IJN76" s="2198"/>
      <c r="IJO76" s="2198"/>
      <c r="IJP76" s="2198"/>
      <c r="IJQ76" s="2198"/>
      <c r="IJR76" s="2198"/>
      <c r="IJS76" s="2198"/>
      <c r="IJT76" s="2198"/>
      <c r="IJU76" s="2198"/>
      <c r="IJV76" s="2198"/>
      <c r="IJW76" s="2198"/>
      <c r="IJX76" s="2198"/>
      <c r="IJY76" s="2198"/>
      <c r="IJZ76" s="2198"/>
      <c r="IKA76" s="2198"/>
      <c r="IKB76" s="2198"/>
      <c r="IKC76" s="2198"/>
      <c r="IKD76" s="2198"/>
      <c r="IKE76" s="2198"/>
      <c r="IKF76" s="2198"/>
      <c r="IKG76" s="2198"/>
      <c r="IKH76" s="2198"/>
      <c r="IKI76" s="2198"/>
      <c r="IKJ76" s="2198"/>
      <c r="IKK76" s="2198"/>
      <c r="IKL76" s="2198"/>
      <c r="IKM76" s="2198"/>
      <c r="IKN76" s="2198"/>
      <c r="IKO76" s="2198"/>
      <c r="IKP76" s="2198"/>
      <c r="IKQ76" s="2198"/>
      <c r="IKR76" s="2198"/>
      <c r="IKS76" s="2198"/>
      <c r="IKT76" s="2198"/>
      <c r="IKU76" s="2198"/>
      <c r="IKV76" s="2198"/>
      <c r="IKW76" s="2198"/>
      <c r="IKX76" s="2198"/>
      <c r="IKY76" s="2198"/>
      <c r="IKZ76" s="2198"/>
      <c r="ILA76" s="2198"/>
      <c r="ILB76" s="2198"/>
      <c r="ILC76" s="2198"/>
      <c r="ILD76" s="2198"/>
      <c r="ILE76" s="2198"/>
      <c r="ILF76" s="2198"/>
      <c r="ILG76" s="2198"/>
      <c r="ILH76" s="2198"/>
      <c r="ILI76" s="2198"/>
      <c r="ILJ76" s="2198"/>
      <c r="ILK76" s="2198"/>
      <c r="ILL76" s="2198"/>
      <c r="ILM76" s="2198"/>
      <c r="ILN76" s="2198"/>
      <c r="ILO76" s="2198"/>
      <c r="ILP76" s="2198"/>
      <c r="ILQ76" s="2198"/>
      <c r="ILR76" s="2198"/>
      <c r="ILS76" s="2198"/>
      <c r="ILT76" s="2198"/>
      <c r="ILU76" s="2198"/>
      <c r="ILV76" s="2198"/>
      <c r="ILW76" s="2198"/>
      <c r="ILX76" s="2198"/>
      <c r="ILY76" s="2198"/>
      <c r="ILZ76" s="2198"/>
      <c r="IMA76" s="2198"/>
      <c r="IMB76" s="2198"/>
      <c r="IMC76" s="2198"/>
      <c r="IMD76" s="2198"/>
      <c r="IME76" s="2198"/>
      <c r="IMF76" s="2198"/>
      <c r="IMG76" s="2198"/>
      <c r="IMH76" s="2198"/>
      <c r="IMI76" s="2198"/>
      <c r="IMJ76" s="2198"/>
      <c r="IMK76" s="2198"/>
      <c r="IML76" s="2198"/>
      <c r="IMM76" s="2198"/>
      <c r="IMN76" s="2198"/>
      <c r="IMO76" s="2198"/>
      <c r="IMP76" s="2198"/>
      <c r="IMQ76" s="2198"/>
      <c r="IMR76" s="2198"/>
      <c r="IMS76" s="2198"/>
      <c r="IMT76" s="2198"/>
      <c r="IMU76" s="2198"/>
      <c r="IMV76" s="2198"/>
      <c r="IMW76" s="2198"/>
      <c r="IMX76" s="2198"/>
      <c r="IMY76" s="2198"/>
      <c r="IMZ76" s="2198"/>
      <c r="INA76" s="2198"/>
      <c r="INB76" s="2198"/>
      <c r="INC76" s="2198"/>
      <c r="IND76" s="2198"/>
      <c r="INE76" s="2198"/>
      <c r="INF76" s="2198"/>
      <c r="ING76" s="2198"/>
      <c r="INH76" s="2198"/>
      <c r="INI76" s="2198"/>
      <c r="INJ76" s="2198"/>
      <c r="INK76" s="2198"/>
      <c r="INL76" s="2198"/>
      <c r="INM76" s="2198"/>
      <c r="INN76" s="2198"/>
      <c r="INO76" s="2198"/>
      <c r="INP76" s="2198"/>
      <c r="INQ76" s="2198"/>
      <c r="INR76" s="2198"/>
      <c r="INS76" s="2198"/>
      <c r="INT76" s="2198"/>
      <c r="INU76" s="2198"/>
      <c r="INV76" s="2198"/>
      <c r="INW76" s="2198"/>
      <c r="INX76" s="2198"/>
      <c r="INY76" s="2198"/>
      <c r="INZ76" s="2198"/>
      <c r="IOA76" s="2198"/>
      <c r="IOB76" s="2198"/>
      <c r="IOC76" s="2198"/>
      <c r="IOD76" s="2198"/>
      <c r="IOE76" s="2198"/>
      <c r="IOF76" s="2198"/>
      <c r="IOG76" s="2198"/>
      <c r="IOH76" s="2198"/>
      <c r="IOI76" s="2198"/>
      <c r="IOJ76" s="2198"/>
      <c r="IOK76" s="2198"/>
      <c r="IOL76" s="2198"/>
      <c r="IOM76" s="2198"/>
      <c r="ION76" s="2198"/>
      <c r="IOO76" s="2198"/>
      <c r="IOP76" s="2198"/>
      <c r="IOQ76" s="2198"/>
      <c r="IOR76" s="2198"/>
      <c r="IOS76" s="2198"/>
      <c r="IOT76" s="2198"/>
      <c r="IOU76" s="2198"/>
      <c r="IOV76" s="2198"/>
      <c r="IOW76" s="2198"/>
      <c r="IOX76" s="2198"/>
      <c r="IOY76" s="2198"/>
      <c r="IOZ76" s="2198"/>
      <c r="IPA76" s="2198"/>
      <c r="IPB76" s="2198"/>
      <c r="IPC76" s="2198"/>
      <c r="IPD76" s="2198"/>
      <c r="IPE76" s="2198"/>
      <c r="IPF76" s="2198"/>
      <c r="IPG76" s="2198"/>
      <c r="IPH76" s="2198"/>
      <c r="IPI76" s="2198"/>
      <c r="IPJ76" s="2198"/>
      <c r="IPK76" s="2198"/>
      <c r="IPL76" s="2198"/>
      <c r="IPM76" s="2198"/>
      <c r="IPN76" s="2198"/>
      <c r="IPO76" s="2198"/>
      <c r="IPP76" s="2198"/>
      <c r="IPQ76" s="2198"/>
      <c r="IPR76" s="2198"/>
      <c r="IPS76" s="2198"/>
      <c r="IPT76" s="2198"/>
      <c r="IPU76" s="2198"/>
      <c r="IPV76" s="2198"/>
      <c r="IPW76" s="2198"/>
      <c r="IPX76" s="2198"/>
      <c r="IPY76" s="2198"/>
      <c r="IPZ76" s="2198"/>
      <c r="IQA76" s="2198"/>
      <c r="IQB76" s="2198"/>
      <c r="IQC76" s="2198"/>
      <c r="IQD76" s="2198"/>
      <c r="IQE76" s="2198"/>
      <c r="IQF76" s="2198"/>
      <c r="IQG76" s="2198"/>
      <c r="IQH76" s="2198"/>
      <c r="IQI76" s="2198"/>
      <c r="IQJ76" s="2198"/>
      <c r="IQK76" s="2198"/>
      <c r="IQL76" s="2198"/>
      <c r="IQM76" s="2198"/>
      <c r="IQN76" s="2198"/>
      <c r="IQO76" s="2198"/>
      <c r="IQP76" s="2198"/>
      <c r="IQQ76" s="2198"/>
      <c r="IQR76" s="2198"/>
      <c r="IQS76" s="2198"/>
      <c r="IQT76" s="2198"/>
      <c r="IQU76" s="2198"/>
      <c r="IQV76" s="2198"/>
      <c r="IQW76" s="2198"/>
      <c r="IQX76" s="2198"/>
      <c r="IQY76" s="2198"/>
      <c r="IQZ76" s="2198"/>
      <c r="IRA76" s="2198"/>
      <c r="IRB76" s="2198"/>
      <c r="IRC76" s="2198"/>
      <c r="IRD76" s="2198"/>
      <c r="IRE76" s="2198"/>
      <c r="IRF76" s="2198"/>
      <c r="IRG76" s="2198"/>
      <c r="IRH76" s="2198"/>
      <c r="IRI76" s="2198"/>
      <c r="IRJ76" s="2198"/>
      <c r="IRK76" s="2198"/>
      <c r="IRL76" s="2198"/>
      <c r="IRM76" s="2198"/>
      <c r="IRN76" s="2198"/>
      <c r="IRO76" s="2198"/>
      <c r="IRP76" s="2198"/>
      <c r="IRQ76" s="2198"/>
      <c r="IRR76" s="2198"/>
      <c r="IRS76" s="2198"/>
      <c r="IRT76" s="2198"/>
      <c r="IRU76" s="2198"/>
      <c r="IRV76" s="2198"/>
      <c r="IRW76" s="2198"/>
      <c r="IRX76" s="2198"/>
      <c r="IRY76" s="2198"/>
      <c r="IRZ76" s="2198"/>
      <c r="ISA76" s="2198"/>
      <c r="ISB76" s="2198"/>
      <c r="ISC76" s="2198"/>
      <c r="ISD76" s="2198"/>
      <c r="ISE76" s="2198"/>
      <c r="ISF76" s="2198"/>
      <c r="ISG76" s="2198"/>
      <c r="ISH76" s="2198"/>
      <c r="ISI76" s="2198"/>
      <c r="ISJ76" s="2198"/>
      <c r="ISK76" s="2198"/>
      <c r="ISL76" s="2198"/>
      <c r="ISM76" s="2198"/>
      <c r="ISN76" s="2198"/>
      <c r="ISO76" s="2198"/>
      <c r="ISP76" s="2198"/>
      <c r="ISQ76" s="2198"/>
      <c r="ISR76" s="2198"/>
      <c r="ISS76" s="2198"/>
      <c r="IST76" s="2198"/>
      <c r="ISU76" s="2198"/>
      <c r="ISV76" s="2198"/>
      <c r="ISW76" s="2198"/>
      <c r="ISX76" s="2198"/>
      <c r="ISY76" s="2198"/>
      <c r="ISZ76" s="2198"/>
      <c r="ITA76" s="2198"/>
      <c r="ITB76" s="2198"/>
      <c r="ITC76" s="2198"/>
      <c r="ITD76" s="2198"/>
      <c r="ITE76" s="2198"/>
      <c r="ITF76" s="2198"/>
      <c r="ITG76" s="2198"/>
      <c r="ITH76" s="2198"/>
      <c r="ITI76" s="2198"/>
      <c r="ITJ76" s="2198"/>
      <c r="ITK76" s="2198"/>
      <c r="ITL76" s="2198"/>
      <c r="ITM76" s="2198"/>
      <c r="ITN76" s="2198"/>
      <c r="ITO76" s="2198"/>
      <c r="ITP76" s="2198"/>
      <c r="ITQ76" s="2198"/>
      <c r="ITR76" s="2198"/>
      <c r="ITS76" s="2198"/>
      <c r="ITT76" s="2198"/>
      <c r="ITU76" s="2198"/>
      <c r="ITV76" s="2198"/>
      <c r="ITW76" s="2198"/>
      <c r="ITX76" s="2198"/>
      <c r="ITY76" s="2198"/>
      <c r="ITZ76" s="2198"/>
      <c r="IUA76" s="2198"/>
      <c r="IUB76" s="2198"/>
      <c r="IUC76" s="2198"/>
      <c r="IUD76" s="2198"/>
      <c r="IUE76" s="2198"/>
      <c r="IUF76" s="2198"/>
      <c r="IUG76" s="2198"/>
      <c r="IUH76" s="2198"/>
      <c r="IUI76" s="2198"/>
      <c r="IUJ76" s="2198"/>
      <c r="IUK76" s="2198"/>
      <c r="IUL76" s="2198"/>
      <c r="IUM76" s="2198"/>
      <c r="IUN76" s="2198"/>
      <c r="IUO76" s="2198"/>
      <c r="IUP76" s="2198"/>
      <c r="IUQ76" s="2198"/>
      <c r="IUR76" s="2198"/>
      <c r="IUS76" s="2198"/>
      <c r="IUT76" s="2198"/>
      <c r="IUU76" s="2198"/>
      <c r="IUV76" s="2198"/>
      <c r="IUW76" s="2198"/>
      <c r="IUX76" s="2198"/>
      <c r="IUY76" s="2198"/>
      <c r="IUZ76" s="2198"/>
      <c r="IVA76" s="2198"/>
      <c r="IVB76" s="2198"/>
      <c r="IVC76" s="2198"/>
      <c r="IVD76" s="2198"/>
      <c r="IVE76" s="2198"/>
      <c r="IVF76" s="2198"/>
      <c r="IVG76" s="2198"/>
      <c r="IVH76" s="2198"/>
      <c r="IVI76" s="2198"/>
      <c r="IVJ76" s="2198"/>
      <c r="IVK76" s="2198"/>
      <c r="IVL76" s="2198"/>
      <c r="IVM76" s="2198"/>
      <c r="IVN76" s="2198"/>
      <c r="IVO76" s="2198"/>
      <c r="IVP76" s="2198"/>
      <c r="IVQ76" s="2198"/>
      <c r="IVR76" s="2198"/>
      <c r="IVS76" s="2198"/>
      <c r="IVT76" s="2198"/>
      <c r="IVU76" s="2198"/>
      <c r="IVV76" s="2198"/>
      <c r="IVW76" s="2198"/>
      <c r="IVX76" s="2198"/>
      <c r="IVY76" s="2198"/>
      <c r="IVZ76" s="2198"/>
      <c r="IWA76" s="2198"/>
      <c r="IWB76" s="2198"/>
      <c r="IWC76" s="2198"/>
      <c r="IWD76" s="2198"/>
      <c r="IWE76" s="2198"/>
      <c r="IWF76" s="2198"/>
      <c r="IWG76" s="2198"/>
      <c r="IWH76" s="2198"/>
      <c r="IWI76" s="2198"/>
      <c r="IWJ76" s="2198"/>
      <c r="IWK76" s="2198"/>
      <c r="IWL76" s="2198"/>
      <c r="IWM76" s="2198"/>
      <c r="IWN76" s="2198"/>
      <c r="IWO76" s="2198"/>
      <c r="IWP76" s="2198"/>
      <c r="IWQ76" s="2198"/>
      <c r="IWR76" s="2198"/>
      <c r="IWS76" s="2198"/>
      <c r="IWT76" s="2198"/>
      <c r="IWU76" s="2198"/>
      <c r="IWV76" s="2198"/>
      <c r="IWW76" s="2198"/>
      <c r="IWX76" s="2198"/>
      <c r="IWY76" s="2198"/>
      <c r="IWZ76" s="2198"/>
      <c r="IXA76" s="2198"/>
      <c r="IXB76" s="2198"/>
      <c r="IXC76" s="2198"/>
      <c r="IXD76" s="2198"/>
      <c r="IXE76" s="2198"/>
      <c r="IXF76" s="2198"/>
      <c r="IXG76" s="2198"/>
      <c r="IXH76" s="2198"/>
      <c r="IXI76" s="2198"/>
      <c r="IXJ76" s="2198"/>
      <c r="IXK76" s="2198"/>
      <c r="IXL76" s="2198"/>
      <c r="IXM76" s="2198"/>
      <c r="IXN76" s="2198"/>
      <c r="IXO76" s="2198"/>
      <c r="IXP76" s="2198"/>
      <c r="IXQ76" s="2198"/>
      <c r="IXR76" s="2198"/>
      <c r="IXS76" s="2198"/>
      <c r="IXT76" s="2198"/>
      <c r="IXU76" s="2198"/>
      <c r="IXV76" s="2198"/>
      <c r="IXW76" s="2198"/>
      <c r="IXX76" s="2198"/>
      <c r="IXY76" s="2198"/>
      <c r="IXZ76" s="2198"/>
      <c r="IYA76" s="2198"/>
      <c r="IYB76" s="2198"/>
      <c r="IYC76" s="2198"/>
      <c r="IYD76" s="2198"/>
      <c r="IYE76" s="2198"/>
      <c r="IYF76" s="2198"/>
      <c r="IYG76" s="2198"/>
      <c r="IYH76" s="2198"/>
      <c r="IYI76" s="2198"/>
      <c r="IYJ76" s="2198"/>
      <c r="IYK76" s="2198"/>
      <c r="IYL76" s="2198"/>
      <c r="IYM76" s="2198"/>
      <c r="IYN76" s="2198"/>
      <c r="IYO76" s="2198"/>
      <c r="IYP76" s="2198"/>
      <c r="IYQ76" s="2198"/>
      <c r="IYR76" s="2198"/>
      <c r="IYS76" s="2198"/>
      <c r="IYT76" s="2198"/>
      <c r="IYU76" s="2198"/>
      <c r="IYV76" s="2198"/>
      <c r="IYW76" s="2198"/>
      <c r="IYX76" s="2198"/>
      <c r="IYY76" s="2198"/>
      <c r="IYZ76" s="2198"/>
      <c r="IZA76" s="2198"/>
      <c r="IZB76" s="2198"/>
      <c r="IZC76" s="2198"/>
      <c r="IZD76" s="2198"/>
      <c r="IZE76" s="2198"/>
      <c r="IZF76" s="2198"/>
      <c r="IZG76" s="2198"/>
      <c r="IZH76" s="2198"/>
      <c r="IZI76" s="2198"/>
      <c r="IZJ76" s="2198"/>
      <c r="IZK76" s="2198"/>
      <c r="IZL76" s="2198"/>
      <c r="IZM76" s="2198"/>
      <c r="IZN76" s="2198"/>
      <c r="IZO76" s="2198"/>
      <c r="IZP76" s="2198"/>
      <c r="IZQ76" s="2198"/>
      <c r="IZR76" s="2198"/>
      <c r="IZS76" s="2198"/>
      <c r="IZT76" s="2198"/>
      <c r="IZU76" s="2198"/>
      <c r="IZV76" s="2198"/>
      <c r="IZW76" s="2198"/>
      <c r="IZX76" s="2198"/>
      <c r="IZY76" s="2198"/>
      <c r="IZZ76" s="2198"/>
      <c r="JAA76" s="2198"/>
      <c r="JAB76" s="2198"/>
      <c r="JAC76" s="2198"/>
      <c r="JAD76" s="2198"/>
      <c r="JAE76" s="2198"/>
      <c r="JAF76" s="2198"/>
      <c r="JAG76" s="2198"/>
      <c r="JAH76" s="2198"/>
      <c r="JAI76" s="2198"/>
      <c r="JAJ76" s="2198"/>
      <c r="JAK76" s="2198"/>
      <c r="JAL76" s="2198"/>
      <c r="JAM76" s="2198"/>
      <c r="JAN76" s="2198"/>
      <c r="JAO76" s="2198"/>
      <c r="JAP76" s="2198"/>
      <c r="JAQ76" s="2198"/>
      <c r="JAR76" s="2198"/>
      <c r="JAS76" s="2198"/>
      <c r="JAT76" s="2198"/>
      <c r="JAU76" s="2198"/>
      <c r="JAV76" s="2198"/>
      <c r="JAW76" s="2198"/>
      <c r="JAX76" s="2198"/>
      <c r="JAY76" s="2198"/>
      <c r="JAZ76" s="2198"/>
      <c r="JBA76" s="2198"/>
      <c r="JBB76" s="2198"/>
      <c r="JBC76" s="2198"/>
      <c r="JBD76" s="2198"/>
      <c r="JBE76" s="2198"/>
      <c r="JBF76" s="2198"/>
      <c r="JBG76" s="2198"/>
      <c r="JBH76" s="2198"/>
      <c r="JBI76" s="2198"/>
      <c r="JBJ76" s="2198"/>
      <c r="JBK76" s="2198"/>
      <c r="JBL76" s="2198"/>
      <c r="JBM76" s="2198"/>
      <c r="JBN76" s="2198"/>
      <c r="JBO76" s="2198"/>
      <c r="JBP76" s="2198"/>
      <c r="JBQ76" s="2198"/>
      <c r="JBR76" s="2198"/>
      <c r="JBS76" s="2198"/>
      <c r="JBT76" s="2198"/>
      <c r="JBU76" s="2198"/>
      <c r="JBV76" s="2198"/>
      <c r="JBW76" s="2198"/>
      <c r="JBX76" s="2198"/>
      <c r="JBY76" s="2198"/>
      <c r="JBZ76" s="2198"/>
      <c r="JCA76" s="2198"/>
      <c r="JCB76" s="2198"/>
      <c r="JCC76" s="2198"/>
      <c r="JCD76" s="2198"/>
      <c r="JCE76" s="2198"/>
      <c r="JCF76" s="2198"/>
      <c r="JCG76" s="2198"/>
      <c r="JCH76" s="2198"/>
      <c r="JCI76" s="2198"/>
      <c r="JCJ76" s="2198"/>
      <c r="JCK76" s="2198"/>
      <c r="JCL76" s="2198"/>
      <c r="JCM76" s="2198"/>
      <c r="JCN76" s="2198"/>
      <c r="JCO76" s="2198"/>
      <c r="JCP76" s="2198"/>
      <c r="JCQ76" s="2198"/>
      <c r="JCR76" s="2198"/>
      <c r="JCS76" s="2198"/>
      <c r="JCT76" s="2198"/>
      <c r="JCU76" s="2198"/>
      <c r="JCV76" s="2198"/>
      <c r="JCW76" s="2198"/>
      <c r="JCX76" s="2198"/>
      <c r="JCY76" s="2198"/>
      <c r="JCZ76" s="2198"/>
      <c r="JDA76" s="2198"/>
      <c r="JDB76" s="2198"/>
      <c r="JDC76" s="2198"/>
      <c r="JDD76" s="2198"/>
      <c r="JDE76" s="2198"/>
      <c r="JDF76" s="2198"/>
      <c r="JDG76" s="2198"/>
      <c r="JDH76" s="2198"/>
      <c r="JDI76" s="2198"/>
      <c r="JDJ76" s="2198"/>
      <c r="JDK76" s="2198"/>
      <c r="JDL76" s="2198"/>
      <c r="JDM76" s="2198"/>
      <c r="JDN76" s="2198"/>
      <c r="JDO76" s="2198"/>
      <c r="JDP76" s="2198"/>
      <c r="JDQ76" s="2198"/>
      <c r="JDR76" s="2198"/>
      <c r="JDS76" s="2198"/>
      <c r="JDT76" s="2198"/>
      <c r="JDU76" s="2198"/>
      <c r="JDV76" s="2198"/>
      <c r="JDW76" s="2198"/>
      <c r="JDX76" s="2198"/>
      <c r="JDY76" s="2198"/>
      <c r="JDZ76" s="2198"/>
      <c r="JEA76" s="2198"/>
      <c r="JEB76" s="2198"/>
      <c r="JEC76" s="2198"/>
      <c r="JED76" s="2198"/>
      <c r="JEE76" s="2198"/>
      <c r="JEF76" s="2198"/>
      <c r="JEG76" s="2198"/>
      <c r="JEH76" s="2198"/>
      <c r="JEI76" s="2198"/>
      <c r="JEJ76" s="2198"/>
      <c r="JEK76" s="2198"/>
      <c r="JEL76" s="2198"/>
      <c r="JEM76" s="2198"/>
      <c r="JEN76" s="2198"/>
      <c r="JEO76" s="2198"/>
      <c r="JEP76" s="2198"/>
      <c r="JEQ76" s="2198"/>
      <c r="JER76" s="2198"/>
      <c r="JES76" s="2198"/>
      <c r="JET76" s="2198"/>
      <c r="JEU76" s="2198"/>
      <c r="JEV76" s="2198"/>
      <c r="JEW76" s="2198"/>
      <c r="JEX76" s="2198"/>
      <c r="JEY76" s="2198"/>
      <c r="JEZ76" s="2198"/>
      <c r="JFA76" s="2198"/>
      <c r="JFB76" s="2198"/>
      <c r="JFC76" s="2198"/>
      <c r="JFD76" s="2198"/>
      <c r="JFE76" s="2198"/>
      <c r="JFF76" s="2198"/>
      <c r="JFG76" s="2198"/>
      <c r="JFH76" s="2198"/>
      <c r="JFI76" s="2198"/>
      <c r="JFJ76" s="2198"/>
      <c r="JFK76" s="2198"/>
      <c r="JFL76" s="2198"/>
      <c r="JFM76" s="2198"/>
      <c r="JFN76" s="2198"/>
      <c r="JFO76" s="2198"/>
      <c r="JFP76" s="2198"/>
      <c r="JFQ76" s="2198"/>
      <c r="JFR76" s="2198"/>
      <c r="JFS76" s="2198"/>
      <c r="JFT76" s="2198"/>
      <c r="JFU76" s="2198"/>
      <c r="JFV76" s="2198"/>
      <c r="JFW76" s="2198"/>
      <c r="JFX76" s="2198"/>
      <c r="JFY76" s="2198"/>
      <c r="JFZ76" s="2198"/>
      <c r="JGA76" s="2198"/>
      <c r="JGB76" s="2198"/>
      <c r="JGC76" s="2198"/>
      <c r="JGD76" s="2198"/>
      <c r="JGE76" s="2198"/>
      <c r="JGF76" s="2198"/>
      <c r="JGG76" s="2198"/>
      <c r="JGH76" s="2198"/>
      <c r="JGI76" s="2198"/>
      <c r="JGJ76" s="2198"/>
      <c r="JGK76" s="2198"/>
      <c r="JGL76" s="2198"/>
      <c r="JGM76" s="2198"/>
      <c r="JGN76" s="2198"/>
      <c r="JGO76" s="2198"/>
      <c r="JGP76" s="2198"/>
      <c r="JGQ76" s="2198"/>
      <c r="JGR76" s="2198"/>
      <c r="JGS76" s="2198"/>
      <c r="JGT76" s="2198"/>
      <c r="JGU76" s="2198"/>
      <c r="JGV76" s="2198"/>
      <c r="JGW76" s="2198"/>
      <c r="JGX76" s="2198"/>
      <c r="JGY76" s="2198"/>
      <c r="JGZ76" s="2198"/>
      <c r="JHA76" s="2198"/>
      <c r="JHB76" s="2198"/>
      <c r="JHC76" s="2198"/>
      <c r="JHD76" s="2198"/>
      <c r="JHE76" s="2198"/>
      <c r="JHF76" s="2198"/>
      <c r="JHG76" s="2198"/>
      <c r="JHH76" s="2198"/>
      <c r="JHI76" s="2198"/>
      <c r="JHJ76" s="2198"/>
      <c r="JHK76" s="2198"/>
      <c r="JHL76" s="2198"/>
      <c r="JHM76" s="2198"/>
      <c r="JHN76" s="2198"/>
      <c r="JHO76" s="2198"/>
      <c r="JHP76" s="2198"/>
      <c r="JHQ76" s="2198"/>
      <c r="JHR76" s="2198"/>
      <c r="JHS76" s="2198"/>
      <c r="JHT76" s="2198"/>
      <c r="JHU76" s="2198"/>
      <c r="JHV76" s="2198"/>
      <c r="JHW76" s="2198"/>
      <c r="JHX76" s="2198"/>
      <c r="JHY76" s="2198"/>
      <c r="JHZ76" s="2198"/>
      <c r="JIA76" s="2198"/>
      <c r="JIB76" s="2198"/>
      <c r="JIC76" s="2198"/>
      <c r="JID76" s="2198"/>
      <c r="JIE76" s="2198"/>
      <c r="JIF76" s="2198"/>
      <c r="JIG76" s="2198"/>
      <c r="JIH76" s="2198"/>
      <c r="JII76" s="2198"/>
      <c r="JIJ76" s="2198"/>
      <c r="JIK76" s="2198"/>
      <c r="JIL76" s="2198"/>
      <c r="JIM76" s="2198"/>
      <c r="JIN76" s="2198"/>
      <c r="JIO76" s="2198"/>
      <c r="JIP76" s="2198"/>
      <c r="JIQ76" s="2198"/>
      <c r="JIR76" s="2198"/>
      <c r="JIS76" s="2198"/>
      <c r="JIT76" s="2198"/>
      <c r="JIU76" s="2198"/>
      <c r="JIV76" s="2198"/>
      <c r="JIW76" s="2198"/>
      <c r="JIX76" s="2198"/>
      <c r="JIY76" s="2198"/>
      <c r="JIZ76" s="2198"/>
      <c r="JJA76" s="2198"/>
      <c r="JJB76" s="2198"/>
      <c r="JJC76" s="2198"/>
      <c r="JJD76" s="2198"/>
      <c r="JJE76" s="2198"/>
      <c r="JJF76" s="2198"/>
      <c r="JJG76" s="2198"/>
      <c r="JJH76" s="2198"/>
      <c r="JJI76" s="2198"/>
      <c r="JJJ76" s="2198"/>
      <c r="JJK76" s="2198"/>
      <c r="JJL76" s="2198"/>
      <c r="JJM76" s="2198"/>
      <c r="JJN76" s="2198"/>
      <c r="JJO76" s="2198"/>
      <c r="JJP76" s="2198"/>
      <c r="JJQ76" s="2198"/>
      <c r="JJR76" s="2198"/>
      <c r="JJS76" s="2198"/>
      <c r="JJT76" s="2198"/>
      <c r="JJU76" s="2198"/>
      <c r="JJV76" s="2198"/>
      <c r="JJW76" s="2198"/>
      <c r="JJX76" s="2198"/>
      <c r="JJY76" s="2198"/>
      <c r="JJZ76" s="2198"/>
      <c r="JKA76" s="2198"/>
      <c r="JKB76" s="2198"/>
      <c r="JKC76" s="2198"/>
      <c r="JKD76" s="2198"/>
      <c r="JKE76" s="2198"/>
      <c r="JKF76" s="2198"/>
      <c r="JKG76" s="2198"/>
      <c r="JKH76" s="2198"/>
      <c r="JKI76" s="2198"/>
      <c r="JKJ76" s="2198"/>
      <c r="JKK76" s="2198"/>
      <c r="JKL76" s="2198"/>
      <c r="JKM76" s="2198"/>
      <c r="JKN76" s="2198"/>
      <c r="JKO76" s="2198"/>
      <c r="JKP76" s="2198"/>
      <c r="JKQ76" s="2198"/>
      <c r="JKR76" s="2198"/>
      <c r="JKS76" s="2198"/>
      <c r="JKT76" s="2198"/>
      <c r="JKU76" s="2198"/>
      <c r="JKV76" s="2198"/>
      <c r="JKW76" s="2198"/>
      <c r="JKX76" s="2198"/>
      <c r="JKY76" s="2198"/>
      <c r="JKZ76" s="2198"/>
      <c r="JLA76" s="2198"/>
      <c r="JLB76" s="2198"/>
      <c r="JLC76" s="2198"/>
      <c r="JLD76" s="2198"/>
      <c r="JLE76" s="2198"/>
      <c r="JLF76" s="2198"/>
      <c r="JLG76" s="2198"/>
      <c r="JLH76" s="2198"/>
      <c r="JLI76" s="2198"/>
      <c r="JLJ76" s="2198"/>
      <c r="JLK76" s="2198"/>
      <c r="JLL76" s="2198"/>
      <c r="JLM76" s="2198"/>
      <c r="JLN76" s="2198"/>
      <c r="JLO76" s="2198"/>
      <c r="JLP76" s="2198"/>
      <c r="JLQ76" s="2198"/>
      <c r="JLR76" s="2198"/>
      <c r="JLS76" s="2198"/>
      <c r="JLT76" s="2198"/>
      <c r="JLU76" s="2198"/>
      <c r="JLV76" s="2198"/>
      <c r="JLW76" s="2198"/>
      <c r="JLX76" s="2198"/>
      <c r="JLY76" s="2198"/>
      <c r="JLZ76" s="2198"/>
      <c r="JMA76" s="2198"/>
      <c r="JMB76" s="2198"/>
      <c r="JMC76" s="2198"/>
      <c r="JMD76" s="2198"/>
      <c r="JME76" s="2198"/>
      <c r="JMF76" s="2198"/>
      <c r="JMG76" s="2198"/>
      <c r="JMH76" s="2198"/>
      <c r="JMI76" s="2198"/>
      <c r="JMJ76" s="2198"/>
      <c r="JMK76" s="2198"/>
      <c r="JML76" s="2198"/>
      <c r="JMM76" s="2198"/>
      <c r="JMN76" s="2198"/>
      <c r="JMO76" s="2198"/>
      <c r="JMP76" s="2198"/>
      <c r="JMQ76" s="2198"/>
      <c r="JMR76" s="2198"/>
      <c r="JMS76" s="2198"/>
      <c r="JMT76" s="2198"/>
      <c r="JMU76" s="2198"/>
      <c r="JMV76" s="2198"/>
      <c r="JMW76" s="2198"/>
      <c r="JMX76" s="2198"/>
      <c r="JMY76" s="2198"/>
      <c r="JMZ76" s="2198"/>
      <c r="JNA76" s="2198"/>
      <c r="JNB76" s="2198"/>
      <c r="JNC76" s="2198"/>
      <c r="JND76" s="2198"/>
      <c r="JNE76" s="2198"/>
      <c r="JNF76" s="2198"/>
      <c r="JNG76" s="2198"/>
      <c r="JNH76" s="2198"/>
      <c r="JNI76" s="2198"/>
      <c r="JNJ76" s="2198"/>
      <c r="JNK76" s="2198"/>
      <c r="JNL76" s="2198"/>
      <c r="JNM76" s="2198"/>
      <c r="JNN76" s="2198"/>
      <c r="JNO76" s="2198"/>
      <c r="JNP76" s="2198"/>
      <c r="JNQ76" s="2198"/>
      <c r="JNR76" s="2198"/>
      <c r="JNS76" s="2198"/>
      <c r="JNT76" s="2198"/>
      <c r="JNU76" s="2198"/>
      <c r="JNV76" s="2198"/>
      <c r="JNW76" s="2198"/>
      <c r="JNX76" s="2198"/>
      <c r="JNY76" s="2198"/>
      <c r="JNZ76" s="2198"/>
      <c r="JOA76" s="2198"/>
      <c r="JOB76" s="2198"/>
      <c r="JOC76" s="2198"/>
      <c r="JOD76" s="2198"/>
      <c r="JOE76" s="2198"/>
      <c r="JOF76" s="2198"/>
      <c r="JOG76" s="2198"/>
      <c r="JOH76" s="2198"/>
      <c r="JOI76" s="2198"/>
      <c r="JOJ76" s="2198"/>
      <c r="JOK76" s="2198"/>
      <c r="JOL76" s="2198"/>
      <c r="JOM76" s="2198"/>
      <c r="JON76" s="2198"/>
      <c r="JOO76" s="2198"/>
      <c r="JOP76" s="2198"/>
      <c r="JOQ76" s="2198"/>
      <c r="JOR76" s="2198"/>
      <c r="JOS76" s="2198"/>
      <c r="JOT76" s="2198"/>
      <c r="JOU76" s="2198"/>
      <c r="JOV76" s="2198"/>
      <c r="JOW76" s="2198"/>
      <c r="JOX76" s="2198"/>
      <c r="JOY76" s="2198"/>
      <c r="JOZ76" s="2198"/>
      <c r="JPA76" s="2198"/>
      <c r="JPB76" s="2198"/>
      <c r="JPC76" s="2198"/>
      <c r="JPD76" s="2198"/>
      <c r="JPE76" s="2198"/>
      <c r="JPF76" s="2198"/>
      <c r="JPG76" s="2198"/>
      <c r="JPH76" s="2198"/>
      <c r="JPI76" s="2198"/>
      <c r="JPJ76" s="2198"/>
      <c r="JPK76" s="2198"/>
      <c r="JPL76" s="2198"/>
      <c r="JPM76" s="2198"/>
      <c r="JPN76" s="2198"/>
      <c r="JPO76" s="2198"/>
      <c r="JPP76" s="2198"/>
      <c r="JPQ76" s="2198"/>
      <c r="JPR76" s="2198"/>
      <c r="JPS76" s="2198"/>
      <c r="JPT76" s="2198"/>
      <c r="JPU76" s="2198"/>
      <c r="JPV76" s="2198"/>
      <c r="JPW76" s="2198"/>
      <c r="JPX76" s="2198"/>
      <c r="JPY76" s="2198"/>
      <c r="JPZ76" s="2198"/>
      <c r="JQA76" s="2198"/>
      <c r="JQB76" s="2198"/>
      <c r="JQC76" s="2198"/>
      <c r="JQD76" s="2198"/>
      <c r="JQE76" s="2198"/>
      <c r="JQF76" s="2198"/>
      <c r="JQG76" s="2198"/>
      <c r="JQH76" s="2198"/>
      <c r="JQI76" s="2198"/>
      <c r="JQJ76" s="2198"/>
      <c r="JQK76" s="2198"/>
      <c r="JQL76" s="2198"/>
      <c r="JQM76" s="2198"/>
      <c r="JQN76" s="2198"/>
      <c r="JQO76" s="2198"/>
      <c r="JQP76" s="2198"/>
      <c r="JQQ76" s="2198"/>
      <c r="JQR76" s="2198"/>
      <c r="JQS76" s="2198"/>
      <c r="JQT76" s="2198"/>
      <c r="JQU76" s="2198"/>
      <c r="JQV76" s="2198"/>
      <c r="JQW76" s="2198"/>
      <c r="JQX76" s="2198"/>
      <c r="JQY76" s="2198"/>
      <c r="JQZ76" s="2198"/>
      <c r="JRA76" s="2198"/>
      <c r="JRB76" s="2198"/>
      <c r="JRC76" s="2198"/>
      <c r="JRD76" s="2198"/>
      <c r="JRE76" s="2198"/>
      <c r="JRF76" s="2198"/>
      <c r="JRG76" s="2198"/>
      <c r="JRH76" s="2198"/>
      <c r="JRI76" s="2198"/>
      <c r="JRJ76" s="2198"/>
      <c r="JRK76" s="2198"/>
      <c r="JRL76" s="2198"/>
      <c r="JRM76" s="2198"/>
      <c r="JRN76" s="2198"/>
      <c r="JRO76" s="2198"/>
      <c r="JRP76" s="2198"/>
      <c r="JRQ76" s="2198"/>
      <c r="JRR76" s="2198"/>
      <c r="JRS76" s="2198"/>
      <c r="JRT76" s="2198"/>
      <c r="JRU76" s="2198"/>
      <c r="JRV76" s="2198"/>
      <c r="JRW76" s="2198"/>
      <c r="JRX76" s="2198"/>
      <c r="JRY76" s="2198"/>
      <c r="JRZ76" s="2198"/>
      <c r="JSA76" s="2198"/>
      <c r="JSB76" s="2198"/>
      <c r="JSC76" s="2198"/>
      <c r="JSD76" s="2198"/>
      <c r="JSE76" s="2198"/>
      <c r="JSF76" s="2198"/>
      <c r="JSG76" s="2198"/>
      <c r="JSH76" s="2198"/>
      <c r="JSI76" s="2198"/>
      <c r="JSJ76" s="2198"/>
      <c r="JSK76" s="2198"/>
      <c r="JSL76" s="2198"/>
      <c r="JSM76" s="2198"/>
      <c r="JSN76" s="2198"/>
      <c r="JSO76" s="2198"/>
      <c r="JSP76" s="2198"/>
      <c r="JSQ76" s="2198"/>
      <c r="JSR76" s="2198"/>
      <c r="JSS76" s="2198"/>
      <c r="JST76" s="2198"/>
      <c r="JSU76" s="2198"/>
      <c r="JSV76" s="2198"/>
      <c r="JSW76" s="2198"/>
      <c r="JSX76" s="2198"/>
      <c r="JSY76" s="2198"/>
      <c r="JSZ76" s="2198"/>
      <c r="JTA76" s="2198"/>
      <c r="JTB76" s="2198"/>
      <c r="JTC76" s="2198"/>
      <c r="JTD76" s="2198"/>
      <c r="JTE76" s="2198"/>
      <c r="JTF76" s="2198"/>
      <c r="JTG76" s="2198"/>
      <c r="JTH76" s="2198"/>
      <c r="JTI76" s="2198"/>
      <c r="JTJ76" s="2198"/>
      <c r="JTK76" s="2198"/>
      <c r="JTL76" s="2198"/>
      <c r="JTM76" s="2198"/>
      <c r="JTN76" s="2198"/>
      <c r="JTO76" s="2198"/>
      <c r="JTP76" s="2198"/>
      <c r="JTQ76" s="2198"/>
      <c r="JTR76" s="2198"/>
      <c r="JTS76" s="2198"/>
      <c r="JTT76" s="2198"/>
      <c r="JTU76" s="2198"/>
      <c r="JTV76" s="2198"/>
      <c r="JTW76" s="2198"/>
      <c r="JTX76" s="2198"/>
      <c r="JTY76" s="2198"/>
      <c r="JTZ76" s="2198"/>
      <c r="JUA76" s="2198"/>
      <c r="JUB76" s="2198"/>
      <c r="JUC76" s="2198"/>
      <c r="JUD76" s="2198"/>
      <c r="JUE76" s="2198"/>
      <c r="JUF76" s="2198"/>
      <c r="JUG76" s="2198"/>
      <c r="JUH76" s="2198"/>
      <c r="JUI76" s="2198"/>
      <c r="JUJ76" s="2198"/>
      <c r="JUK76" s="2198"/>
      <c r="JUL76" s="2198"/>
      <c r="JUM76" s="2198"/>
      <c r="JUN76" s="2198"/>
      <c r="JUO76" s="2198"/>
      <c r="JUP76" s="2198"/>
      <c r="JUQ76" s="2198"/>
      <c r="JUR76" s="2198"/>
      <c r="JUS76" s="2198"/>
      <c r="JUT76" s="2198"/>
      <c r="JUU76" s="2198"/>
      <c r="JUV76" s="2198"/>
      <c r="JUW76" s="2198"/>
      <c r="JUX76" s="2198"/>
      <c r="JUY76" s="2198"/>
      <c r="JUZ76" s="2198"/>
      <c r="JVA76" s="2198"/>
      <c r="JVB76" s="2198"/>
      <c r="JVC76" s="2198"/>
      <c r="JVD76" s="2198"/>
      <c r="JVE76" s="2198"/>
      <c r="JVF76" s="2198"/>
      <c r="JVG76" s="2198"/>
      <c r="JVH76" s="2198"/>
      <c r="JVI76" s="2198"/>
      <c r="JVJ76" s="2198"/>
      <c r="JVK76" s="2198"/>
      <c r="JVL76" s="2198"/>
      <c r="JVM76" s="2198"/>
      <c r="JVN76" s="2198"/>
      <c r="JVO76" s="2198"/>
      <c r="JVP76" s="2198"/>
      <c r="JVQ76" s="2198"/>
      <c r="JVR76" s="2198"/>
      <c r="JVS76" s="2198"/>
      <c r="JVT76" s="2198"/>
      <c r="JVU76" s="2198"/>
      <c r="JVV76" s="2198"/>
      <c r="JVW76" s="2198"/>
      <c r="JVX76" s="2198"/>
      <c r="JVY76" s="2198"/>
      <c r="JVZ76" s="2198"/>
      <c r="JWA76" s="2198"/>
      <c r="JWB76" s="2198"/>
      <c r="JWC76" s="2198"/>
      <c r="JWD76" s="2198"/>
      <c r="JWE76" s="2198"/>
      <c r="JWF76" s="2198"/>
      <c r="JWG76" s="2198"/>
      <c r="JWH76" s="2198"/>
      <c r="JWI76" s="2198"/>
      <c r="JWJ76" s="2198"/>
      <c r="JWK76" s="2198"/>
      <c r="JWL76" s="2198"/>
      <c r="JWM76" s="2198"/>
      <c r="JWN76" s="2198"/>
      <c r="JWO76" s="2198"/>
      <c r="JWP76" s="2198"/>
      <c r="JWQ76" s="2198"/>
      <c r="JWR76" s="2198"/>
      <c r="JWS76" s="2198"/>
      <c r="JWT76" s="2198"/>
      <c r="JWU76" s="2198"/>
      <c r="JWV76" s="2198"/>
      <c r="JWW76" s="2198"/>
      <c r="JWX76" s="2198"/>
      <c r="JWY76" s="2198"/>
      <c r="JWZ76" s="2198"/>
      <c r="JXA76" s="2198"/>
      <c r="JXB76" s="2198"/>
      <c r="JXC76" s="2198"/>
      <c r="JXD76" s="2198"/>
      <c r="JXE76" s="2198"/>
      <c r="JXF76" s="2198"/>
      <c r="JXG76" s="2198"/>
      <c r="JXH76" s="2198"/>
      <c r="JXI76" s="2198"/>
      <c r="JXJ76" s="2198"/>
      <c r="JXK76" s="2198"/>
      <c r="JXL76" s="2198"/>
      <c r="JXM76" s="2198"/>
      <c r="JXN76" s="2198"/>
      <c r="JXO76" s="2198"/>
      <c r="JXP76" s="2198"/>
      <c r="JXQ76" s="2198"/>
      <c r="JXR76" s="2198"/>
      <c r="JXS76" s="2198"/>
      <c r="JXT76" s="2198"/>
      <c r="JXU76" s="2198"/>
      <c r="JXV76" s="2198"/>
      <c r="JXW76" s="2198"/>
      <c r="JXX76" s="2198"/>
      <c r="JXY76" s="2198"/>
      <c r="JXZ76" s="2198"/>
      <c r="JYA76" s="2198"/>
      <c r="JYB76" s="2198"/>
      <c r="JYC76" s="2198"/>
      <c r="JYD76" s="2198"/>
      <c r="JYE76" s="2198"/>
      <c r="JYF76" s="2198"/>
      <c r="JYG76" s="2198"/>
      <c r="JYH76" s="2198"/>
      <c r="JYI76" s="2198"/>
      <c r="JYJ76" s="2198"/>
      <c r="JYK76" s="2198"/>
      <c r="JYL76" s="2198"/>
      <c r="JYM76" s="2198"/>
      <c r="JYN76" s="2198"/>
      <c r="JYO76" s="2198"/>
      <c r="JYP76" s="2198"/>
      <c r="JYQ76" s="2198"/>
      <c r="JYR76" s="2198"/>
      <c r="JYS76" s="2198"/>
      <c r="JYT76" s="2198"/>
      <c r="JYU76" s="2198"/>
      <c r="JYV76" s="2198"/>
      <c r="JYW76" s="2198"/>
      <c r="JYX76" s="2198"/>
      <c r="JYY76" s="2198"/>
      <c r="JYZ76" s="2198"/>
      <c r="JZA76" s="2198"/>
      <c r="JZB76" s="2198"/>
      <c r="JZC76" s="2198"/>
      <c r="JZD76" s="2198"/>
      <c r="JZE76" s="2198"/>
      <c r="JZF76" s="2198"/>
      <c r="JZG76" s="2198"/>
      <c r="JZH76" s="2198"/>
      <c r="JZI76" s="2198"/>
      <c r="JZJ76" s="2198"/>
      <c r="JZK76" s="2198"/>
      <c r="JZL76" s="2198"/>
      <c r="JZM76" s="2198"/>
      <c r="JZN76" s="2198"/>
      <c r="JZO76" s="2198"/>
      <c r="JZP76" s="2198"/>
      <c r="JZQ76" s="2198"/>
      <c r="JZR76" s="2198"/>
      <c r="JZS76" s="2198"/>
      <c r="JZT76" s="2198"/>
      <c r="JZU76" s="2198"/>
      <c r="JZV76" s="2198"/>
      <c r="JZW76" s="2198"/>
      <c r="JZX76" s="2198"/>
      <c r="JZY76" s="2198"/>
      <c r="JZZ76" s="2198"/>
      <c r="KAA76" s="2198"/>
      <c r="KAB76" s="2198"/>
      <c r="KAC76" s="2198"/>
      <c r="KAD76" s="2198"/>
      <c r="KAE76" s="2198"/>
      <c r="KAF76" s="2198"/>
      <c r="KAG76" s="2198"/>
      <c r="KAH76" s="2198"/>
      <c r="KAI76" s="2198"/>
      <c r="KAJ76" s="2198"/>
      <c r="KAK76" s="2198"/>
      <c r="KAL76" s="2198"/>
      <c r="KAM76" s="2198"/>
      <c r="KAN76" s="2198"/>
      <c r="KAO76" s="2198"/>
      <c r="KAP76" s="2198"/>
      <c r="KAQ76" s="2198"/>
      <c r="KAR76" s="2198"/>
      <c r="KAS76" s="2198"/>
      <c r="KAT76" s="2198"/>
      <c r="KAU76" s="2198"/>
      <c r="KAV76" s="2198"/>
      <c r="KAW76" s="2198"/>
      <c r="KAX76" s="2198"/>
      <c r="KAY76" s="2198"/>
      <c r="KAZ76" s="2198"/>
      <c r="KBA76" s="2198"/>
      <c r="KBB76" s="2198"/>
      <c r="KBC76" s="2198"/>
      <c r="KBD76" s="2198"/>
      <c r="KBE76" s="2198"/>
      <c r="KBF76" s="2198"/>
      <c r="KBG76" s="2198"/>
      <c r="KBH76" s="2198"/>
      <c r="KBI76" s="2198"/>
      <c r="KBJ76" s="2198"/>
      <c r="KBK76" s="2198"/>
      <c r="KBL76" s="2198"/>
      <c r="KBM76" s="2198"/>
      <c r="KBN76" s="2198"/>
      <c r="KBO76" s="2198"/>
      <c r="KBP76" s="2198"/>
      <c r="KBQ76" s="2198"/>
      <c r="KBR76" s="2198"/>
      <c r="KBS76" s="2198"/>
      <c r="KBT76" s="2198"/>
      <c r="KBU76" s="2198"/>
      <c r="KBV76" s="2198"/>
      <c r="KBW76" s="2198"/>
      <c r="KBX76" s="2198"/>
      <c r="KBY76" s="2198"/>
      <c r="KBZ76" s="2198"/>
      <c r="KCA76" s="2198"/>
      <c r="KCB76" s="2198"/>
      <c r="KCC76" s="2198"/>
      <c r="KCD76" s="2198"/>
      <c r="KCE76" s="2198"/>
      <c r="KCF76" s="2198"/>
      <c r="KCG76" s="2198"/>
      <c r="KCH76" s="2198"/>
      <c r="KCI76" s="2198"/>
      <c r="KCJ76" s="2198"/>
      <c r="KCK76" s="2198"/>
      <c r="KCL76" s="2198"/>
      <c r="KCM76" s="2198"/>
      <c r="KCN76" s="2198"/>
      <c r="KCO76" s="2198"/>
      <c r="KCP76" s="2198"/>
      <c r="KCQ76" s="2198"/>
      <c r="KCR76" s="2198"/>
      <c r="KCS76" s="2198"/>
      <c r="KCT76" s="2198"/>
      <c r="KCU76" s="2198"/>
      <c r="KCV76" s="2198"/>
      <c r="KCW76" s="2198"/>
      <c r="KCX76" s="2198"/>
      <c r="KCY76" s="2198"/>
      <c r="KCZ76" s="2198"/>
      <c r="KDA76" s="2198"/>
      <c r="KDB76" s="2198"/>
      <c r="KDC76" s="2198"/>
      <c r="KDD76" s="2198"/>
      <c r="KDE76" s="2198"/>
      <c r="KDF76" s="2198"/>
      <c r="KDG76" s="2198"/>
      <c r="KDH76" s="2198"/>
      <c r="KDI76" s="2198"/>
      <c r="KDJ76" s="2198"/>
      <c r="KDK76" s="2198"/>
      <c r="KDL76" s="2198"/>
      <c r="KDM76" s="2198"/>
      <c r="KDN76" s="2198"/>
      <c r="KDO76" s="2198"/>
      <c r="KDP76" s="2198"/>
      <c r="KDQ76" s="2198"/>
      <c r="KDR76" s="2198"/>
      <c r="KDS76" s="2198"/>
      <c r="KDT76" s="2198"/>
      <c r="KDU76" s="2198"/>
      <c r="KDV76" s="2198"/>
      <c r="KDW76" s="2198"/>
      <c r="KDX76" s="2198"/>
      <c r="KDY76" s="2198"/>
      <c r="KDZ76" s="2198"/>
      <c r="KEA76" s="2198"/>
      <c r="KEB76" s="2198"/>
      <c r="KEC76" s="2198"/>
      <c r="KED76" s="2198"/>
      <c r="KEE76" s="2198"/>
      <c r="KEF76" s="2198"/>
      <c r="KEG76" s="2198"/>
      <c r="KEH76" s="2198"/>
      <c r="KEI76" s="2198"/>
      <c r="KEJ76" s="2198"/>
      <c r="KEK76" s="2198"/>
      <c r="KEL76" s="2198"/>
      <c r="KEM76" s="2198"/>
      <c r="KEN76" s="2198"/>
      <c r="KEO76" s="2198"/>
      <c r="KEP76" s="2198"/>
      <c r="KEQ76" s="2198"/>
      <c r="KER76" s="2198"/>
      <c r="KES76" s="2198"/>
      <c r="KET76" s="2198"/>
      <c r="KEU76" s="2198"/>
      <c r="KEV76" s="2198"/>
      <c r="KEW76" s="2198"/>
      <c r="KEX76" s="2198"/>
      <c r="KEY76" s="2198"/>
      <c r="KEZ76" s="2198"/>
      <c r="KFA76" s="2198"/>
      <c r="KFB76" s="2198"/>
      <c r="KFC76" s="2198"/>
      <c r="KFD76" s="2198"/>
      <c r="KFE76" s="2198"/>
      <c r="KFF76" s="2198"/>
      <c r="KFG76" s="2198"/>
      <c r="KFH76" s="2198"/>
      <c r="KFI76" s="2198"/>
      <c r="KFJ76" s="2198"/>
      <c r="KFK76" s="2198"/>
      <c r="KFL76" s="2198"/>
      <c r="KFM76" s="2198"/>
      <c r="KFN76" s="2198"/>
      <c r="KFO76" s="2198"/>
      <c r="KFP76" s="2198"/>
      <c r="KFQ76" s="2198"/>
      <c r="KFR76" s="2198"/>
      <c r="KFS76" s="2198"/>
      <c r="KFT76" s="2198"/>
      <c r="KFU76" s="2198"/>
      <c r="KFV76" s="2198"/>
      <c r="KFW76" s="2198"/>
      <c r="KFX76" s="2198"/>
      <c r="KFY76" s="2198"/>
      <c r="KFZ76" s="2198"/>
      <c r="KGA76" s="2198"/>
      <c r="KGB76" s="2198"/>
      <c r="KGC76" s="2198"/>
      <c r="KGD76" s="2198"/>
      <c r="KGE76" s="2198"/>
      <c r="KGF76" s="2198"/>
      <c r="KGG76" s="2198"/>
      <c r="KGH76" s="2198"/>
      <c r="KGI76" s="2198"/>
      <c r="KGJ76" s="2198"/>
      <c r="KGK76" s="2198"/>
      <c r="KGL76" s="2198"/>
      <c r="KGM76" s="2198"/>
      <c r="KGN76" s="2198"/>
      <c r="KGO76" s="2198"/>
      <c r="KGP76" s="2198"/>
      <c r="KGQ76" s="2198"/>
      <c r="KGR76" s="2198"/>
      <c r="KGS76" s="2198"/>
      <c r="KGT76" s="2198"/>
      <c r="KGU76" s="2198"/>
      <c r="KGV76" s="2198"/>
      <c r="KGW76" s="2198"/>
      <c r="KGX76" s="2198"/>
      <c r="KGY76" s="2198"/>
      <c r="KGZ76" s="2198"/>
      <c r="KHA76" s="2198"/>
      <c r="KHB76" s="2198"/>
      <c r="KHC76" s="2198"/>
      <c r="KHD76" s="2198"/>
      <c r="KHE76" s="2198"/>
      <c r="KHF76" s="2198"/>
      <c r="KHG76" s="2198"/>
      <c r="KHH76" s="2198"/>
      <c r="KHI76" s="2198"/>
      <c r="KHJ76" s="2198"/>
      <c r="KHK76" s="2198"/>
      <c r="KHL76" s="2198"/>
      <c r="KHM76" s="2198"/>
      <c r="KHN76" s="2198"/>
      <c r="KHO76" s="2198"/>
      <c r="KHP76" s="2198"/>
      <c r="KHQ76" s="2198"/>
      <c r="KHR76" s="2198"/>
      <c r="KHS76" s="2198"/>
      <c r="KHT76" s="2198"/>
      <c r="KHU76" s="2198"/>
      <c r="KHV76" s="2198"/>
      <c r="KHW76" s="2198"/>
      <c r="KHX76" s="2198"/>
      <c r="KHY76" s="2198"/>
      <c r="KHZ76" s="2198"/>
      <c r="KIA76" s="2198"/>
      <c r="KIB76" s="2198"/>
      <c r="KIC76" s="2198"/>
      <c r="KID76" s="2198"/>
      <c r="KIE76" s="2198"/>
      <c r="KIF76" s="2198"/>
      <c r="KIG76" s="2198"/>
      <c r="KIH76" s="2198"/>
      <c r="KII76" s="2198"/>
      <c r="KIJ76" s="2198"/>
      <c r="KIK76" s="2198"/>
      <c r="KIL76" s="2198"/>
      <c r="KIM76" s="2198"/>
      <c r="KIN76" s="2198"/>
      <c r="KIO76" s="2198"/>
      <c r="KIP76" s="2198"/>
      <c r="KIQ76" s="2198"/>
      <c r="KIR76" s="2198"/>
      <c r="KIS76" s="2198"/>
      <c r="KIT76" s="2198"/>
      <c r="KIU76" s="2198"/>
      <c r="KIV76" s="2198"/>
      <c r="KIW76" s="2198"/>
      <c r="KIX76" s="2198"/>
      <c r="KIY76" s="2198"/>
      <c r="KIZ76" s="2198"/>
      <c r="KJA76" s="2198"/>
      <c r="KJB76" s="2198"/>
      <c r="KJC76" s="2198"/>
      <c r="KJD76" s="2198"/>
      <c r="KJE76" s="2198"/>
      <c r="KJF76" s="2198"/>
      <c r="KJG76" s="2198"/>
      <c r="KJH76" s="2198"/>
      <c r="KJI76" s="2198"/>
      <c r="KJJ76" s="2198"/>
      <c r="KJK76" s="2198"/>
      <c r="KJL76" s="2198"/>
      <c r="KJM76" s="2198"/>
      <c r="KJN76" s="2198"/>
      <c r="KJO76" s="2198"/>
      <c r="KJP76" s="2198"/>
      <c r="KJQ76" s="2198"/>
      <c r="KJR76" s="2198"/>
      <c r="KJS76" s="2198"/>
      <c r="KJT76" s="2198"/>
      <c r="KJU76" s="2198"/>
      <c r="KJV76" s="2198"/>
      <c r="KJW76" s="2198"/>
      <c r="KJX76" s="2198"/>
      <c r="KJY76" s="2198"/>
      <c r="KJZ76" s="2198"/>
      <c r="KKA76" s="2198"/>
      <c r="KKB76" s="2198"/>
      <c r="KKC76" s="2198"/>
      <c r="KKD76" s="2198"/>
      <c r="KKE76" s="2198"/>
      <c r="KKF76" s="2198"/>
      <c r="KKG76" s="2198"/>
      <c r="KKH76" s="2198"/>
      <c r="KKI76" s="2198"/>
      <c r="KKJ76" s="2198"/>
      <c r="KKK76" s="2198"/>
      <c r="KKL76" s="2198"/>
      <c r="KKM76" s="2198"/>
      <c r="KKN76" s="2198"/>
      <c r="KKO76" s="2198"/>
      <c r="KKP76" s="2198"/>
      <c r="KKQ76" s="2198"/>
      <c r="KKR76" s="2198"/>
      <c r="KKS76" s="2198"/>
      <c r="KKT76" s="2198"/>
      <c r="KKU76" s="2198"/>
      <c r="KKV76" s="2198"/>
      <c r="KKW76" s="2198"/>
      <c r="KKX76" s="2198"/>
      <c r="KKY76" s="2198"/>
      <c r="KKZ76" s="2198"/>
      <c r="KLA76" s="2198"/>
      <c r="KLB76" s="2198"/>
      <c r="KLC76" s="2198"/>
      <c r="KLD76" s="2198"/>
      <c r="KLE76" s="2198"/>
      <c r="KLF76" s="2198"/>
      <c r="KLG76" s="2198"/>
      <c r="KLH76" s="2198"/>
      <c r="KLI76" s="2198"/>
      <c r="KLJ76" s="2198"/>
      <c r="KLK76" s="2198"/>
      <c r="KLL76" s="2198"/>
      <c r="KLM76" s="2198"/>
      <c r="KLN76" s="2198"/>
      <c r="KLO76" s="2198"/>
      <c r="KLP76" s="2198"/>
      <c r="KLQ76" s="2198"/>
      <c r="KLR76" s="2198"/>
      <c r="KLS76" s="2198"/>
      <c r="KLT76" s="2198"/>
      <c r="KLU76" s="2198"/>
      <c r="KLV76" s="2198"/>
      <c r="KLW76" s="2198"/>
      <c r="KLX76" s="2198"/>
      <c r="KLY76" s="2198"/>
      <c r="KLZ76" s="2198"/>
      <c r="KMA76" s="2198"/>
      <c r="KMB76" s="2198"/>
      <c r="KMC76" s="2198"/>
      <c r="KMD76" s="2198"/>
      <c r="KME76" s="2198"/>
      <c r="KMF76" s="2198"/>
      <c r="KMG76" s="2198"/>
      <c r="KMH76" s="2198"/>
      <c r="KMI76" s="2198"/>
      <c r="KMJ76" s="2198"/>
      <c r="KMK76" s="2198"/>
      <c r="KML76" s="2198"/>
      <c r="KMM76" s="2198"/>
      <c r="KMN76" s="2198"/>
      <c r="KMO76" s="2198"/>
      <c r="KMP76" s="2198"/>
      <c r="KMQ76" s="2198"/>
      <c r="KMR76" s="2198"/>
      <c r="KMS76" s="2198"/>
      <c r="KMT76" s="2198"/>
      <c r="KMU76" s="2198"/>
      <c r="KMV76" s="2198"/>
      <c r="KMW76" s="2198"/>
      <c r="KMX76" s="2198"/>
      <c r="KMY76" s="2198"/>
      <c r="KMZ76" s="2198"/>
      <c r="KNA76" s="2198"/>
      <c r="KNB76" s="2198"/>
      <c r="KNC76" s="2198"/>
      <c r="KND76" s="2198"/>
      <c r="KNE76" s="2198"/>
      <c r="KNF76" s="2198"/>
      <c r="KNG76" s="2198"/>
      <c r="KNH76" s="2198"/>
      <c r="KNI76" s="2198"/>
      <c r="KNJ76" s="2198"/>
      <c r="KNK76" s="2198"/>
      <c r="KNL76" s="2198"/>
      <c r="KNM76" s="2198"/>
      <c r="KNN76" s="2198"/>
      <c r="KNO76" s="2198"/>
      <c r="KNP76" s="2198"/>
      <c r="KNQ76" s="2198"/>
      <c r="KNR76" s="2198"/>
      <c r="KNS76" s="2198"/>
      <c r="KNT76" s="2198"/>
      <c r="KNU76" s="2198"/>
      <c r="KNV76" s="2198"/>
      <c r="KNW76" s="2198"/>
      <c r="KNX76" s="2198"/>
      <c r="KNY76" s="2198"/>
      <c r="KNZ76" s="2198"/>
      <c r="KOA76" s="2198"/>
      <c r="KOB76" s="2198"/>
      <c r="KOC76" s="2198"/>
      <c r="KOD76" s="2198"/>
      <c r="KOE76" s="2198"/>
      <c r="KOF76" s="2198"/>
      <c r="KOG76" s="2198"/>
      <c r="KOH76" s="2198"/>
      <c r="KOI76" s="2198"/>
      <c r="KOJ76" s="2198"/>
      <c r="KOK76" s="2198"/>
      <c r="KOL76" s="2198"/>
      <c r="KOM76" s="2198"/>
      <c r="KON76" s="2198"/>
      <c r="KOO76" s="2198"/>
      <c r="KOP76" s="2198"/>
      <c r="KOQ76" s="2198"/>
      <c r="KOR76" s="2198"/>
      <c r="KOS76" s="2198"/>
      <c r="KOT76" s="2198"/>
      <c r="KOU76" s="2198"/>
      <c r="KOV76" s="2198"/>
      <c r="KOW76" s="2198"/>
      <c r="KOX76" s="2198"/>
      <c r="KOY76" s="2198"/>
      <c r="KOZ76" s="2198"/>
      <c r="KPA76" s="2198"/>
      <c r="KPB76" s="2198"/>
      <c r="KPC76" s="2198"/>
      <c r="KPD76" s="2198"/>
      <c r="KPE76" s="2198"/>
      <c r="KPF76" s="2198"/>
      <c r="KPG76" s="2198"/>
      <c r="KPH76" s="2198"/>
      <c r="KPI76" s="2198"/>
      <c r="KPJ76" s="2198"/>
      <c r="KPK76" s="2198"/>
      <c r="KPL76" s="2198"/>
      <c r="KPM76" s="2198"/>
      <c r="KPN76" s="2198"/>
      <c r="KPO76" s="2198"/>
      <c r="KPP76" s="2198"/>
      <c r="KPQ76" s="2198"/>
      <c r="KPR76" s="2198"/>
      <c r="KPS76" s="2198"/>
      <c r="KPT76" s="2198"/>
      <c r="KPU76" s="2198"/>
      <c r="KPV76" s="2198"/>
      <c r="KPW76" s="2198"/>
      <c r="KPX76" s="2198"/>
      <c r="KPY76" s="2198"/>
      <c r="KPZ76" s="2198"/>
      <c r="KQA76" s="2198"/>
      <c r="KQB76" s="2198"/>
      <c r="KQC76" s="2198"/>
      <c r="KQD76" s="2198"/>
      <c r="KQE76" s="2198"/>
      <c r="KQF76" s="2198"/>
      <c r="KQG76" s="2198"/>
      <c r="KQH76" s="2198"/>
      <c r="KQI76" s="2198"/>
      <c r="KQJ76" s="2198"/>
      <c r="KQK76" s="2198"/>
      <c r="KQL76" s="2198"/>
      <c r="KQM76" s="2198"/>
      <c r="KQN76" s="2198"/>
      <c r="KQO76" s="2198"/>
      <c r="KQP76" s="2198"/>
      <c r="KQQ76" s="2198"/>
      <c r="KQR76" s="2198"/>
      <c r="KQS76" s="2198"/>
      <c r="KQT76" s="2198"/>
      <c r="KQU76" s="2198"/>
      <c r="KQV76" s="2198"/>
      <c r="KQW76" s="2198"/>
      <c r="KQX76" s="2198"/>
      <c r="KQY76" s="2198"/>
      <c r="KQZ76" s="2198"/>
      <c r="KRA76" s="2198"/>
      <c r="KRB76" s="2198"/>
      <c r="KRC76" s="2198"/>
      <c r="KRD76" s="2198"/>
      <c r="KRE76" s="2198"/>
      <c r="KRF76" s="2198"/>
      <c r="KRG76" s="2198"/>
      <c r="KRH76" s="2198"/>
      <c r="KRI76" s="2198"/>
      <c r="KRJ76" s="2198"/>
      <c r="KRK76" s="2198"/>
      <c r="KRL76" s="2198"/>
      <c r="KRM76" s="2198"/>
      <c r="KRN76" s="2198"/>
      <c r="KRO76" s="2198"/>
      <c r="KRP76" s="2198"/>
      <c r="KRQ76" s="2198"/>
      <c r="KRR76" s="2198"/>
      <c r="KRS76" s="2198"/>
      <c r="KRT76" s="2198"/>
      <c r="KRU76" s="2198"/>
      <c r="KRV76" s="2198"/>
      <c r="KRW76" s="2198"/>
      <c r="KRX76" s="2198"/>
      <c r="KRY76" s="2198"/>
      <c r="KRZ76" s="2198"/>
      <c r="KSA76" s="2198"/>
      <c r="KSB76" s="2198"/>
      <c r="KSC76" s="2198"/>
      <c r="KSD76" s="2198"/>
      <c r="KSE76" s="2198"/>
      <c r="KSF76" s="2198"/>
      <c r="KSG76" s="2198"/>
      <c r="KSH76" s="2198"/>
      <c r="KSI76" s="2198"/>
      <c r="KSJ76" s="2198"/>
      <c r="KSK76" s="2198"/>
      <c r="KSL76" s="2198"/>
      <c r="KSM76" s="2198"/>
      <c r="KSN76" s="2198"/>
      <c r="KSO76" s="2198"/>
      <c r="KSP76" s="2198"/>
      <c r="KSQ76" s="2198"/>
      <c r="KSR76" s="2198"/>
      <c r="KSS76" s="2198"/>
      <c r="KST76" s="2198"/>
      <c r="KSU76" s="2198"/>
      <c r="KSV76" s="2198"/>
      <c r="KSW76" s="2198"/>
      <c r="KSX76" s="2198"/>
      <c r="KSY76" s="2198"/>
      <c r="KSZ76" s="2198"/>
      <c r="KTA76" s="2198"/>
      <c r="KTB76" s="2198"/>
      <c r="KTC76" s="2198"/>
      <c r="KTD76" s="2198"/>
      <c r="KTE76" s="2198"/>
      <c r="KTF76" s="2198"/>
      <c r="KTG76" s="2198"/>
      <c r="KTH76" s="2198"/>
      <c r="KTI76" s="2198"/>
      <c r="KTJ76" s="2198"/>
      <c r="KTK76" s="2198"/>
      <c r="KTL76" s="2198"/>
      <c r="KTM76" s="2198"/>
      <c r="KTN76" s="2198"/>
      <c r="KTO76" s="2198"/>
      <c r="KTP76" s="2198"/>
      <c r="KTQ76" s="2198"/>
      <c r="KTR76" s="2198"/>
      <c r="KTS76" s="2198"/>
      <c r="KTT76" s="2198"/>
      <c r="KTU76" s="2198"/>
      <c r="KTV76" s="2198"/>
      <c r="KTW76" s="2198"/>
      <c r="KTX76" s="2198"/>
      <c r="KTY76" s="2198"/>
      <c r="KTZ76" s="2198"/>
      <c r="KUA76" s="2198"/>
      <c r="KUB76" s="2198"/>
      <c r="KUC76" s="2198"/>
      <c r="KUD76" s="2198"/>
      <c r="KUE76" s="2198"/>
      <c r="KUF76" s="2198"/>
      <c r="KUG76" s="2198"/>
      <c r="KUH76" s="2198"/>
      <c r="KUI76" s="2198"/>
      <c r="KUJ76" s="2198"/>
      <c r="KUK76" s="2198"/>
      <c r="KUL76" s="2198"/>
      <c r="KUM76" s="2198"/>
      <c r="KUN76" s="2198"/>
      <c r="KUO76" s="2198"/>
      <c r="KUP76" s="2198"/>
      <c r="KUQ76" s="2198"/>
      <c r="KUR76" s="2198"/>
      <c r="KUS76" s="2198"/>
      <c r="KUT76" s="2198"/>
      <c r="KUU76" s="2198"/>
      <c r="KUV76" s="2198"/>
      <c r="KUW76" s="2198"/>
      <c r="KUX76" s="2198"/>
      <c r="KUY76" s="2198"/>
      <c r="KUZ76" s="2198"/>
      <c r="KVA76" s="2198"/>
      <c r="KVB76" s="2198"/>
      <c r="KVC76" s="2198"/>
      <c r="KVD76" s="2198"/>
      <c r="KVE76" s="2198"/>
      <c r="KVF76" s="2198"/>
      <c r="KVG76" s="2198"/>
      <c r="KVH76" s="2198"/>
      <c r="KVI76" s="2198"/>
      <c r="KVJ76" s="2198"/>
      <c r="KVK76" s="2198"/>
      <c r="KVL76" s="2198"/>
      <c r="KVM76" s="2198"/>
      <c r="KVN76" s="2198"/>
      <c r="KVO76" s="2198"/>
      <c r="KVP76" s="2198"/>
      <c r="KVQ76" s="2198"/>
      <c r="KVR76" s="2198"/>
      <c r="KVS76" s="2198"/>
      <c r="KVT76" s="2198"/>
      <c r="KVU76" s="2198"/>
      <c r="KVV76" s="2198"/>
      <c r="KVW76" s="2198"/>
      <c r="KVX76" s="2198"/>
      <c r="KVY76" s="2198"/>
      <c r="KVZ76" s="2198"/>
      <c r="KWA76" s="2198"/>
      <c r="KWB76" s="2198"/>
      <c r="KWC76" s="2198"/>
      <c r="KWD76" s="2198"/>
      <c r="KWE76" s="2198"/>
      <c r="KWF76" s="2198"/>
      <c r="KWG76" s="2198"/>
      <c r="KWH76" s="2198"/>
      <c r="KWI76" s="2198"/>
      <c r="KWJ76" s="2198"/>
      <c r="KWK76" s="2198"/>
      <c r="KWL76" s="2198"/>
      <c r="KWM76" s="2198"/>
      <c r="KWN76" s="2198"/>
      <c r="KWO76" s="2198"/>
      <c r="KWP76" s="2198"/>
      <c r="KWQ76" s="2198"/>
      <c r="KWR76" s="2198"/>
      <c r="KWS76" s="2198"/>
      <c r="KWT76" s="2198"/>
      <c r="KWU76" s="2198"/>
      <c r="KWV76" s="2198"/>
      <c r="KWW76" s="2198"/>
      <c r="KWX76" s="2198"/>
      <c r="KWY76" s="2198"/>
      <c r="KWZ76" s="2198"/>
      <c r="KXA76" s="2198"/>
      <c r="KXB76" s="2198"/>
      <c r="KXC76" s="2198"/>
      <c r="KXD76" s="2198"/>
      <c r="KXE76" s="2198"/>
      <c r="KXF76" s="2198"/>
      <c r="KXG76" s="2198"/>
      <c r="KXH76" s="2198"/>
      <c r="KXI76" s="2198"/>
      <c r="KXJ76" s="2198"/>
      <c r="KXK76" s="2198"/>
      <c r="KXL76" s="2198"/>
      <c r="KXM76" s="2198"/>
      <c r="KXN76" s="2198"/>
      <c r="KXO76" s="2198"/>
      <c r="KXP76" s="2198"/>
      <c r="KXQ76" s="2198"/>
      <c r="KXR76" s="2198"/>
      <c r="KXS76" s="2198"/>
      <c r="KXT76" s="2198"/>
      <c r="KXU76" s="2198"/>
      <c r="KXV76" s="2198"/>
      <c r="KXW76" s="2198"/>
      <c r="KXX76" s="2198"/>
      <c r="KXY76" s="2198"/>
      <c r="KXZ76" s="2198"/>
      <c r="KYA76" s="2198"/>
      <c r="KYB76" s="2198"/>
      <c r="KYC76" s="2198"/>
      <c r="KYD76" s="2198"/>
      <c r="KYE76" s="2198"/>
      <c r="KYF76" s="2198"/>
      <c r="KYG76" s="2198"/>
      <c r="KYH76" s="2198"/>
      <c r="KYI76" s="2198"/>
      <c r="KYJ76" s="2198"/>
      <c r="KYK76" s="2198"/>
      <c r="KYL76" s="2198"/>
      <c r="KYM76" s="2198"/>
      <c r="KYN76" s="2198"/>
      <c r="KYO76" s="2198"/>
      <c r="KYP76" s="2198"/>
      <c r="KYQ76" s="2198"/>
      <c r="KYR76" s="2198"/>
      <c r="KYS76" s="2198"/>
      <c r="KYT76" s="2198"/>
      <c r="KYU76" s="2198"/>
      <c r="KYV76" s="2198"/>
      <c r="KYW76" s="2198"/>
      <c r="KYX76" s="2198"/>
      <c r="KYY76" s="2198"/>
      <c r="KYZ76" s="2198"/>
      <c r="KZA76" s="2198"/>
      <c r="KZB76" s="2198"/>
      <c r="KZC76" s="2198"/>
      <c r="KZD76" s="2198"/>
      <c r="KZE76" s="2198"/>
      <c r="KZF76" s="2198"/>
      <c r="KZG76" s="2198"/>
      <c r="KZH76" s="2198"/>
      <c r="KZI76" s="2198"/>
      <c r="KZJ76" s="2198"/>
      <c r="KZK76" s="2198"/>
      <c r="KZL76" s="2198"/>
      <c r="KZM76" s="2198"/>
      <c r="KZN76" s="2198"/>
      <c r="KZO76" s="2198"/>
      <c r="KZP76" s="2198"/>
      <c r="KZQ76" s="2198"/>
      <c r="KZR76" s="2198"/>
      <c r="KZS76" s="2198"/>
      <c r="KZT76" s="2198"/>
      <c r="KZU76" s="2198"/>
      <c r="KZV76" s="2198"/>
      <c r="KZW76" s="2198"/>
      <c r="KZX76" s="2198"/>
      <c r="KZY76" s="2198"/>
      <c r="KZZ76" s="2198"/>
      <c r="LAA76" s="2198"/>
      <c r="LAB76" s="2198"/>
      <c r="LAC76" s="2198"/>
      <c r="LAD76" s="2198"/>
      <c r="LAE76" s="2198"/>
      <c r="LAF76" s="2198"/>
      <c r="LAG76" s="2198"/>
      <c r="LAH76" s="2198"/>
      <c r="LAI76" s="2198"/>
      <c r="LAJ76" s="2198"/>
      <c r="LAK76" s="2198"/>
      <c r="LAL76" s="2198"/>
      <c r="LAM76" s="2198"/>
      <c r="LAN76" s="2198"/>
      <c r="LAO76" s="2198"/>
      <c r="LAP76" s="2198"/>
      <c r="LAQ76" s="2198"/>
      <c r="LAR76" s="2198"/>
      <c r="LAS76" s="2198"/>
      <c r="LAT76" s="2198"/>
      <c r="LAU76" s="2198"/>
      <c r="LAV76" s="2198"/>
      <c r="LAW76" s="2198"/>
      <c r="LAX76" s="2198"/>
      <c r="LAY76" s="2198"/>
      <c r="LAZ76" s="2198"/>
      <c r="LBA76" s="2198"/>
      <c r="LBB76" s="2198"/>
      <c r="LBC76" s="2198"/>
      <c r="LBD76" s="2198"/>
      <c r="LBE76" s="2198"/>
      <c r="LBF76" s="2198"/>
      <c r="LBG76" s="2198"/>
      <c r="LBH76" s="2198"/>
      <c r="LBI76" s="2198"/>
      <c r="LBJ76" s="2198"/>
      <c r="LBK76" s="2198"/>
      <c r="LBL76" s="2198"/>
      <c r="LBM76" s="2198"/>
      <c r="LBN76" s="2198"/>
      <c r="LBO76" s="2198"/>
      <c r="LBP76" s="2198"/>
      <c r="LBQ76" s="2198"/>
      <c r="LBR76" s="2198"/>
      <c r="LBS76" s="2198"/>
      <c r="LBT76" s="2198"/>
      <c r="LBU76" s="2198"/>
      <c r="LBV76" s="2198"/>
      <c r="LBW76" s="2198"/>
      <c r="LBX76" s="2198"/>
      <c r="LBY76" s="2198"/>
      <c r="LBZ76" s="2198"/>
      <c r="LCA76" s="2198"/>
      <c r="LCB76" s="2198"/>
      <c r="LCC76" s="2198"/>
      <c r="LCD76" s="2198"/>
      <c r="LCE76" s="2198"/>
      <c r="LCF76" s="2198"/>
      <c r="LCG76" s="2198"/>
      <c r="LCH76" s="2198"/>
      <c r="LCI76" s="2198"/>
      <c r="LCJ76" s="2198"/>
      <c r="LCK76" s="2198"/>
      <c r="LCL76" s="2198"/>
      <c r="LCM76" s="2198"/>
      <c r="LCN76" s="2198"/>
      <c r="LCO76" s="2198"/>
      <c r="LCP76" s="2198"/>
      <c r="LCQ76" s="2198"/>
      <c r="LCR76" s="2198"/>
      <c r="LCS76" s="2198"/>
      <c r="LCT76" s="2198"/>
      <c r="LCU76" s="2198"/>
      <c r="LCV76" s="2198"/>
      <c r="LCW76" s="2198"/>
      <c r="LCX76" s="2198"/>
      <c r="LCY76" s="2198"/>
      <c r="LCZ76" s="2198"/>
      <c r="LDA76" s="2198"/>
      <c r="LDB76" s="2198"/>
      <c r="LDC76" s="2198"/>
      <c r="LDD76" s="2198"/>
      <c r="LDE76" s="2198"/>
      <c r="LDF76" s="2198"/>
      <c r="LDG76" s="2198"/>
      <c r="LDH76" s="2198"/>
      <c r="LDI76" s="2198"/>
      <c r="LDJ76" s="2198"/>
      <c r="LDK76" s="2198"/>
      <c r="LDL76" s="2198"/>
      <c r="LDM76" s="2198"/>
      <c r="LDN76" s="2198"/>
      <c r="LDO76" s="2198"/>
      <c r="LDP76" s="2198"/>
      <c r="LDQ76" s="2198"/>
      <c r="LDR76" s="2198"/>
      <c r="LDS76" s="2198"/>
      <c r="LDT76" s="2198"/>
      <c r="LDU76" s="2198"/>
      <c r="LDV76" s="2198"/>
      <c r="LDW76" s="2198"/>
      <c r="LDX76" s="2198"/>
      <c r="LDY76" s="2198"/>
      <c r="LDZ76" s="2198"/>
      <c r="LEA76" s="2198"/>
      <c r="LEB76" s="2198"/>
      <c r="LEC76" s="2198"/>
      <c r="LED76" s="2198"/>
      <c r="LEE76" s="2198"/>
      <c r="LEF76" s="2198"/>
      <c r="LEG76" s="2198"/>
      <c r="LEH76" s="2198"/>
      <c r="LEI76" s="2198"/>
      <c r="LEJ76" s="2198"/>
      <c r="LEK76" s="2198"/>
      <c r="LEL76" s="2198"/>
      <c r="LEM76" s="2198"/>
      <c r="LEN76" s="2198"/>
      <c r="LEO76" s="2198"/>
      <c r="LEP76" s="2198"/>
      <c r="LEQ76" s="2198"/>
      <c r="LER76" s="2198"/>
      <c r="LES76" s="2198"/>
      <c r="LET76" s="2198"/>
      <c r="LEU76" s="2198"/>
      <c r="LEV76" s="2198"/>
      <c r="LEW76" s="2198"/>
      <c r="LEX76" s="2198"/>
      <c r="LEY76" s="2198"/>
      <c r="LEZ76" s="2198"/>
      <c r="LFA76" s="2198"/>
      <c r="LFB76" s="2198"/>
      <c r="LFC76" s="2198"/>
      <c r="LFD76" s="2198"/>
      <c r="LFE76" s="2198"/>
      <c r="LFF76" s="2198"/>
      <c r="LFG76" s="2198"/>
      <c r="LFH76" s="2198"/>
      <c r="LFI76" s="2198"/>
      <c r="LFJ76" s="2198"/>
      <c r="LFK76" s="2198"/>
      <c r="LFL76" s="2198"/>
      <c r="LFM76" s="2198"/>
      <c r="LFN76" s="2198"/>
      <c r="LFO76" s="2198"/>
      <c r="LFP76" s="2198"/>
      <c r="LFQ76" s="2198"/>
      <c r="LFR76" s="2198"/>
      <c r="LFS76" s="2198"/>
      <c r="LFT76" s="2198"/>
      <c r="LFU76" s="2198"/>
      <c r="LFV76" s="2198"/>
      <c r="LFW76" s="2198"/>
      <c r="LFX76" s="2198"/>
      <c r="LFY76" s="2198"/>
      <c r="LFZ76" s="2198"/>
      <c r="LGA76" s="2198"/>
      <c r="LGB76" s="2198"/>
      <c r="LGC76" s="2198"/>
      <c r="LGD76" s="2198"/>
      <c r="LGE76" s="2198"/>
      <c r="LGF76" s="2198"/>
      <c r="LGG76" s="2198"/>
      <c r="LGH76" s="2198"/>
      <c r="LGI76" s="2198"/>
      <c r="LGJ76" s="2198"/>
      <c r="LGK76" s="2198"/>
      <c r="LGL76" s="2198"/>
      <c r="LGM76" s="2198"/>
      <c r="LGN76" s="2198"/>
      <c r="LGO76" s="2198"/>
      <c r="LGP76" s="2198"/>
      <c r="LGQ76" s="2198"/>
      <c r="LGR76" s="2198"/>
      <c r="LGS76" s="2198"/>
      <c r="LGT76" s="2198"/>
      <c r="LGU76" s="2198"/>
      <c r="LGV76" s="2198"/>
      <c r="LGW76" s="2198"/>
      <c r="LGX76" s="2198"/>
      <c r="LGY76" s="2198"/>
      <c r="LGZ76" s="2198"/>
      <c r="LHA76" s="2198"/>
      <c r="LHB76" s="2198"/>
      <c r="LHC76" s="2198"/>
      <c r="LHD76" s="2198"/>
      <c r="LHE76" s="2198"/>
      <c r="LHF76" s="2198"/>
      <c r="LHG76" s="2198"/>
      <c r="LHH76" s="2198"/>
      <c r="LHI76" s="2198"/>
      <c r="LHJ76" s="2198"/>
      <c r="LHK76" s="2198"/>
      <c r="LHL76" s="2198"/>
      <c r="LHM76" s="2198"/>
      <c r="LHN76" s="2198"/>
      <c r="LHO76" s="2198"/>
      <c r="LHP76" s="2198"/>
      <c r="LHQ76" s="2198"/>
      <c r="LHR76" s="2198"/>
      <c r="LHS76" s="2198"/>
      <c r="LHT76" s="2198"/>
      <c r="LHU76" s="2198"/>
      <c r="LHV76" s="2198"/>
      <c r="LHW76" s="2198"/>
      <c r="LHX76" s="2198"/>
      <c r="LHY76" s="2198"/>
      <c r="LHZ76" s="2198"/>
      <c r="LIA76" s="2198"/>
      <c r="LIB76" s="2198"/>
      <c r="LIC76" s="2198"/>
      <c r="LID76" s="2198"/>
      <c r="LIE76" s="2198"/>
      <c r="LIF76" s="2198"/>
      <c r="LIG76" s="2198"/>
      <c r="LIH76" s="2198"/>
      <c r="LII76" s="2198"/>
      <c r="LIJ76" s="2198"/>
      <c r="LIK76" s="2198"/>
      <c r="LIL76" s="2198"/>
      <c r="LIM76" s="2198"/>
      <c r="LIN76" s="2198"/>
      <c r="LIO76" s="2198"/>
      <c r="LIP76" s="2198"/>
      <c r="LIQ76" s="2198"/>
      <c r="LIR76" s="2198"/>
      <c r="LIS76" s="2198"/>
      <c r="LIT76" s="2198"/>
      <c r="LIU76" s="2198"/>
      <c r="LIV76" s="2198"/>
      <c r="LIW76" s="2198"/>
      <c r="LIX76" s="2198"/>
      <c r="LIY76" s="2198"/>
      <c r="LIZ76" s="2198"/>
      <c r="LJA76" s="2198"/>
      <c r="LJB76" s="2198"/>
      <c r="LJC76" s="2198"/>
      <c r="LJD76" s="2198"/>
      <c r="LJE76" s="2198"/>
      <c r="LJF76" s="2198"/>
      <c r="LJG76" s="2198"/>
      <c r="LJH76" s="2198"/>
      <c r="LJI76" s="2198"/>
      <c r="LJJ76" s="2198"/>
      <c r="LJK76" s="2198"/>
      <c r="LJL76" s="2198"/>
      <c r="LJM76" s="2198"/>
      <c r="LJN76" s="2198"/>
      <c r="LJO76" s="2198"/>
      <c r="LJP76" s="2198"/>
      <c r="LJQ76" s="2198"/>
      <c r="LJR76" s="2198"/>
      <c r="LJS76" s="2198"/>
      <c r="LJT76" s="2198"/>
      <c r="LJU76" s="2198"/>
      <c r="LJV76" s="2198"/>
      <c r="LJW76" s="2198"/>
      <c r="LJX76" s="2198"/>
      <c r="LJY76" s="2198"/>
      <c r="LJZ76" s="2198"/>
      <c r="LKA76" s="2198"/>
      <c r="LKB76" s="2198"/>
      <c r="LKC76" s="2198"/>
      <c r="LKD76" s="2198"/>
      <c r="LKE76" s="2198"/>
      <c r="LKF76" s="2198"/>
      <c r="LKG76" s="2198"/>
      <c r="LKH76" s="2198"/>
      <c r="LKI76" s="2198"/>
      <c r="LKJ76" s="2198"/>
      <c r="LKK76" s="2198"/>
      <c r="LKL76" s="2198"/>
      <c r="LKM76" s="2198"/>
      <c r="LKN76" s="2198"/>
      <c r="LKO76" s="2198"/>
      <c r="LKP76" s="2198"/>
      <c r="LKQ76" s="2198"/>
      <c r="LKR76" s="2198"/>
      <c r="LKS76" s="2198"/>
      <c r="LKT76" s="2198"/>
      <c r="LKU76" s="2198"/>
      <c r="LKV76" s="2198"/>
      <c r="LKW76" s="2198"/>
      <c r="LKX76" s="2198"/>
      <c r="LKY76" s="2198"/>
      <c r="LKZ76" s="2198"/>
      <c r="LLA76" s="2198"/>
      <c r="LLB76" s="2198"/>
      <c r="LLC76" s="2198"/>
      <c r="LLD76" s="2198"/>
      <c r="LLE76" s="2198"/>
      <c r="LLF76" s="2198"/>
      <c r="LLG76" s="2198"/>
      <c r="LLH76" s="2198"/>
      <c r="LLI76" s="2198"/>
      <c r="LLJ76" s="2198"/>
      <c r="LLK76" s="2198"/>
      <c r="LLL76" s="2198"/>
      <c r="LLM76" s="2198"/>
      <c r="LLN76" s="2198"/>
      <c r="LLO76" s="2198"/>
      <c r="LLP76" s="2198"/>
      <c r="LLQ76" s="2198"/>
      <c r="LLR76" s="2198"/>
      <c r="LLS76" s="2198"/>
      <c r="LLT76" s="2198"/>
      <c r="LLU76" s="2198"/>
      <c r="LLV76" s="2198"/>
      <c r="LLW76" s="2198"/>
      <c r="LLX76" s="2198"/>
      <c r="LLY76" s="2198"/>
      <c r="LLZ76" s="2198"/>
      <c r="LMA76" s="2198"/>
      <c r="LMB76" s="2198"/>
      <c r="LMC76" s="2198"/>
      <c r="LMD76" s="2198"/>
      <c r="LME76" s="2198"/>
      <c r="LMF76" s="2198"/>
      <c r="LMG76" s="2198"/>
      <c r="LMH76" s="2198"/>
      <c r="LMI76" s="2198"/>
      <c r="LMJ76" s="2198"/>
      <c r="LMK76" s="2198"/>
      <c r="LML76" s="2198"/>
      <c r="LMM76" s="2198"/>
      <c r="LMN76" s="2198"/>
      <c r="LMO76" s="2198"/>
      <c r="LMP76" s="2198"/>
      <c r="LMQ76" s="2198"/>
      <c r="LMR76" s="2198"/>
      <c r="LMS76" s="2198"/>
      <c r="LMT76" s="2198"/>
      <c r="LMU76" s="2198"/>
      <c r="LMV76" s="2198"/>
      <c r="LMW76" s="2198"/>
      <c r="LMX76" s="2198"/>
      <c r="LMY76" s="2198"/>
      <c r="LMZ76" s="2198"/>
      <c r="LNA76" s="2198"/>
      <c r="LNB76" s="2198"/>
      <c r="LNC76" s="2198"/>
      <c r="LND76" s="2198"/>
      <c r="LNE76" s="2198"/>
      <c r="LNF76" s="2198"/>
      <c r="LNG76" s="2198"/>
      <c r="LNH76" s="2198"/>
      <c r="LNI76" s="2198"/>
      <c r="LNJ76" s="2198"/>
      <c r="LNK76" s="2198"/>
      <c r="LNL76" s="2198"/>
      <c r="LNM76" s="2198"/>
      <c r="LNN76" s="2198"/>
      <c r="LNO76" s="2198"/>
      <c r="LNP76" s="2198"/>
      <c r="LNQ76" s="2198"/>
      <c r="LNR76" s="2198"/>
      <c r="LNS76" s="2198"/>
      <c r="LNT76" s="2198"/>
      <c r="LNU76" s="2198"/>
      <c r="LNV76" s="2198"/>
      <c r="LNW76" s="2198"/>
      <c r="LNX76" s="2198"/>
      <c r="LNY76" s="2198"/>
      <c r="LNZ76" s="2198"/>
      <c r="LOA76" s="2198"/>
      <c r="LOB76" s="2198"/>
      <c r="LOC76" s="2198"/>
      <c r="LOD76" s="2198"/>
      <c r="LOE76" s="2198"/>
      <c r="LOF76" s="2198"/>
      <c r="LOG76" s="2198"/>
      <c r="LOH76" s="2198"/>
      <c r="LOI76" s="2198"/>
      <c r="LOJ76" s="2198"/>
      <c r="LOK76" s="2198"/>
      <c r="LOL76" s="2198"/>
      <c r="LOM76" s="2198"/>
      <c r="LON76" s="2198"/>
      <c r="LOO76" s="2198"/>
      <c r="LOP76" s="2198"/>
      <c r="LOQ76" s="2198"/>
      <c r="LOR76" s="2198"/>
      <c r="LOS76" s="2198"/>
      <c r="LOT76" s="2198"/>
      <c r="LOU76" s="2198"/>
      <c r="LOV76" s="2198"/>
      <c r="LOW76" s="2198"/>
      <c r="LOX76" s="2198"/>
      <c r="LOY76" s="2198"/>
      <c r="LOZ76" s="2198"/>
      <c r="LPA76" s="2198"/>
      <c r="LPB76" s="2198"/>
      <c r="LPC76" s="2198"/>
      <c r="LPD76" s="2198"/>
      <c r="LPE76" s="2198"/>
      <c r="LPF76" s="2198"/>
      <c r="LPG76" s="2198"/>
      <c r="LPH76" s="2198"/>
      <c r="LPI76" s="2198"/>
      <c r="LPJ76" s="2198"/>
      <c r="LPK76" s="2198"/>
      <c r="LPL76" s="2198"/>
      <c r="LPM76" s="2198"/>
      <c r="LPN76" s="2198"/>
      <c r="LPO76" s="2198"/>
      <c r="LPP76" s="2198"/>
      <c r="LPQ76" s="2198"/>
      <c r="LPR76" s="2198"/>
      <c r="LPS76" s="2198"/>
      <c r="LPT76" s="2198"/>
      <c r="LPU76" s="2198"/>
      <c r="LPV76" s="2198"/>
      <c r="LPW76" s="2198"/>
      <c r="LPX76" s="2198"/>
      <c r="LPY76" s="2198"/>
      <c r="LPZ76" s="2198"/>
      <c r="LQA76" s="2198"/>
      <c r="LQB76" s="2198"/>
      <c r="LQC76" s="2198"/>
      <c r="LQD76" s="2198"/>
      <c r="LQE76" s="2198"/>
      <c r="LQF76" s="2198"/>
      <c r="LQG76" s="2198"/>
      <c r="LQH76" s="2198"/>
      <c r="LQI76" s="2198"/>
      <c r="LQJ76" s="2198"/>
      <c r="LQK76" s="2198"/>
      <c r="LQL76" s="2198"/>
      <c r="LQM76" s="2198"/>
      <c r="LQN76" s="2198"/>
      <c r="LQO76" s="2198"/>
      <c r="LQP76" s="2198"/>
      <c r="LQQ76" s="2198"/>
      <c r="LQR76" s="2198"/>
      <c r="LQS76" s="2198"/>
      <c r="LQT76" s="2198"/>
      <c r="LQU76" s="2198"/>
      <c r="LQV76" s="2198"/>
      <c r="LQW76" s="2198"/>
      <c r="LQX76" s="2198"/>
      <c r="LQY76" s="2198"/>
      <c r="LQZ76" s="2198"/>
      <c r="LRA76" s="2198"/>
      <c r="LRB76" s="2198"/>
      <c r="LRC76" s="2198"/>
      <c r="LRD76" s="2198"/>
      <c r="LRE76" s="2198"/>
      <c r="LRF76" s="2198"/>
      <c r="LRG76" s="2198"/>
      <c r="LRH76" s="2198"/>
      <c r="LRI76" s="2198"/>
      <c r="LRJ76" s="2198"/>
      <c r="LRK76" s="2198"/>
      <c r="LRL76" s="2198"/>
      <c r="LRM76" s="2198"/>
      <c r="LRN76" s="2198"/>
      <c r="LRO76" s="2198"/>
      <c r="LRP76" s="2198"/>
      <c r="LRQ76" s="2198"/>
      <c r="LRR76" s="2198"/>
      <c r="LRS76" s="2198"/>
      <c r="LRT76" s="2198"/>
      <c r="LRU76" s="2198"/>
      <c r="LRV76" s="2198"/>
      <c r="LRW76" s="2198"/>
      <c r="LRX76" s="2198"/>
      <c r="LRY76" s="2198"/>
      <c r="LRZ76" s="2198"/>
      <c r="LSA76" s="2198"/>
      <c r="LSB76" s="2198"/>
      <c r="LSC76" s="2198"/>
      <c r="LSD76" s="2198"/>
      <c r="LSE76" s="2198"/>
      <c r="LSF76" s="2198"/>
      <c r="LSG76" s="2198"/>
      <c r="LSH76" s="2198"/>
      <c r="LSI76" s="2198"/>
      <c r="LSJ76" s="2198"/>
      <c r="LSK76" s="2198"/>
      <c r="LSL76" s="2198"/>
      <c r="LSM76" s="2198"/>
      <c r="LSN76" s="2198"/>
      <c r="LSO76" s="2198"/>
      <c r="LSP76" s="2198"/>
      <c r="LSQ76" s="2198"/>
      <c r="LSR76" s="2198"/>
      <c r="LSS76" s="2198"/>
      <c r="LST76" s="2198"/>
      <c r="LSU76" s="2198"/>
      <c r="LSV76" s="2198"/>
      <c r="LSW76" s="2198"/>
      <c r="LSX76" s="2198"/>
      <c r="LSY76" s="2198"/>
      <c r="LSZ76" s="2198"/>
      <c r="LTA76" s="2198"/>
      <c r="LTB76" s="2198"/>
      <c r="LTC76" s="2198"/>
      <c r="LTD76" s="2198"/>
      <c r="LTE76" s="2198"/>
      <c r="LTF76" s="2198"/>
      <c r="LTG76" s="2198"/>
      <c r="LTH76" s="2198"/>
      <c r="LTI76" s="2198"/>
      <c r="LTJ76" s="2198"/>
      <c r="LTK76" s="2198"/>
      <c r="LTL76" s="2198"/>
      <c r="LTM76" s="2198"/>
      <c r="LTN76" s="2198"/>
      <c r="LTO76" s="2198"/>
      <c r="LTP76" s="2198"/>
      <c r="LTQ76" s="2198"/>
      <c r="LTR76" s="2198"/>
      <c r="LTS76" s="2198"/>
      <c r="LTT76" s="2198"/>
      <c r="LTU76" s="2198"/>
      <c r="LTV76" s="2198"/>
      <c r="LTW76" s="2198"/>
      <c r="LTX76" s="2198"/>
      <c r="LTY76" s="2198"/>
      <c r="LTZ76" s="2198"/>
      <c r="LUA76" s="2198"/>
      <c r="LUB76" s="2198"/>
      <c r="LUC76" s="2198"/>
      <c r="LUD76" s="2198"/>
      <c r="LUE76" s="2198"/>
      <c r="LUF76" s="2198"/>
      <c r="LUG76" s="2198"/>
      <c r="LUH76" s="2198"/>
      <c r="LUI76" s="2198"/>
      <c r="LUJ76" s="2198"/>
      <c r="LUK76" s="2198"/>
      <c r="LUL76" s="2198"/>
      <c r="LUM76" s="2198"/>
      <c r="LUN76" s="2198"/>
      <c r="LUO76" s="2198"/>
      <c r="LUP76" s="2198"/>
      <c r="LUQ76" s="2198"/>
      <c r="LUR76" s="2198"/>
      <c r="LUS76" s="2198"/>
      <c r="LUT76" s="2198"/>
      <c r="LUU76" s="2198"/>
      <c r="LUV76" s="2198"/>
      <c r="LUW76" s="2198"/>
      <c r="LUX76" s="2198"/>
      <c r="LUY76" s="2198"/>
      <c r="LUZ76" s="2198"/>
      <c r="LVA76" s="2198"/>
      <c r="LVB76" s="2198"/>
      <c r="LVC76" s="2198"/>
      <c r="LVD76" s="2198"/>
      <c r="LVE76" s="2198"/>
      <c r="LVF76" s="2198"/>
      <c r="LVG76" s="2198"/>
      <c r="LVH76" s="2198"/>
      <c r="LVI76" s="2198"/>
      <c r="LVJ76" s="2198"/>
      <c r="LVK76" s="2198"/>
      <c r="LVL76" s="2198"/>
      <c r="LVM76" s="2198"/>
      <c r="LVN76" s="2198"/>
      <c r="LVO76" s="2198"/>
      <c r="LVP76" s="2198"/>
      <c r="LVQ76" s="2198"/>
      <c r="LVR76" s="2198"/>
      <c r="LVS76" s="2198"/>
      <c r="LVT76" s="2198"/>
      <c r="LVU76" s="2198"/>
      <c r="LVV76" s="2198"/>
      <c r="LVW76" s="2198"/>
      <c r="LVX76" s="2198"/>
      <c r="LVY76" s="2198"/>
      <c r="LVZ76" s="2198"/>
      <c r="LWA76" s="2198"/>
      <c r="LWB76" s="2198"/>
      <c r="LWC76" s="2198"/>
      <c r="LWD76" s="2198"/>
      <c r="LWE76" s="2198"/>
      <c r="LWF76" s="2198"/>
      <c r="LWG76" s="2198"/>
      <c r="LWH76" s="2198"/>
      <c r="LWI76" s="2198"/>
      <c r="LWJ76" s="2198"/>
      <c r="LWK76" s="2198"/>
      <c r="LWL76" s="2198"/>
      <c r="LWM76" s="2198"/>
      <c r="LWN76" s="2198"/>
      <c r="LWO76" s="2198"/>
      <c r="LWP76" s="2198"/>
      <c r="LWQ76" s="2198"/>
      <c r="LWR76" s="2198"/>
      <c r="LWS76" s="2198"/>
      <c r="LWT76" s="2198"/>
      <c r="LWU76" s="2198"/>
      <c r="LWV76" s="2198"/>
      <c r="LWW76" s="2198"/>
      <c r="LWX76" s="2198"/>
      <c r="LWY76" s="2198"/>
      <c r="LWZ76" s="2198"/>
      <c r="LXA76" s="2198"/>
      <c r="LXB76" s="2198"/>
      <c r="LXC76" s="2198"/>
      <c r="LXD76" s="2198"/>
      <c r="LXE76" s="2198"/>
      <c r="LXF76" s="2198"/>
      <c r="LXG76" s="2198"/>
      <c r="LXH76" s="2198"/>
      <c r="LXI76" s="2198"/>
      <c r="LXJ76" s="2198"/>
      <c r="LXK76" s="2198"/>
      <c r="LXL76" s="2198"/>
      <c r="LXM76" s="2198"/>
      <c r="LXN76" s="2198"/>
      <c r="LXO76" s="2198"/>
      <c r="LXP76" s="2198"/>
      <c r="LXQ76" s="2198"/>
      <c r="LXR76" s="2198"/>
      <c r="LXS76" s="2198"/>
      <c r="LXT76" s="2198"/>
      <c r="LXU76" s="2198"/>
      <c r="LXV76" s="2198"/>
      <c r="LXW76" s="2198"/>
      <c r="LXX76" s="2198"/>
      <c r="LXY76" s="2198"/>
      <c r="LXZ76" s="2198"/>
      <c r="LYA76" s="2198"/>
      <c r="LYB76" s="2198"/>
      <c r="LYC76" s="2198"/>
      <c r="LYD76" s="2198"/>
      <c r="LYE76" s="2198"/>
      <c r="LYF76" s="2198"/>
      <c r="LYG76" s="2198"/>
      <c r="LYH76" s="2198"/>
      <c r="LYI76" s="2198"/>
      <c r="LYJ76" s="2198"/>
      <c r="LYK76" s="2198"/>
      <c r="LYL76" s="2198"/>
      <c r="LYM76" s="2198"/>
      <c r="LYN76" s="2198"/>
      <c r="LYO76" s="2198"/>
      <c r="LYP76" s="2198"/>
      <c r="LYQ76" s="2198"/>
      <c r="LYR76" s="2198"/>
      <c r="LYS76" s="2198"/>
      <c r="LYT76" s="2198"/>
      <c r="LYU76" s="2198"/>
      <c r="LYV76" s="2198"/>
      <c r="LYW76" s="2198"/>
      <c r="LYX76" s="2198"/>
      <c r="LYY76" s="2198"/>
      <c r="LYZ76" s="2198"/>
      <c r="LZA76" s="2198"/>
      <c r="LZB76" s="2198"/>
      <c r="LZC76" s="2198"/>
      <c r="LZD76" s="2198"/>
      <c r="LZE76" s="2198"/>
      <c r="LZF76" s="2198"/>
      <c r="LZG76" s="2198"/>
      <c r="LZH76" s="2198"/>
      <c r="LZI76" s="2198"/>
      <c r="LZJ76" s="2198"/>
      <c r="LZK76" s="2198"/>
      <c r="LZL76" s="2198"/>
      <c r="LZM76" s="2198"/>
      <c r="LZN76" s="2198"/>
      <c r="LZO76" s="2198"/>
      <c r="LZP76" s="2198"/>
      <c r="LZQ76" s="2198"/>
      <c r="LZR76" s="2198"/>
      <c r="LZS76" s="2198"/>
      <c r="LZT76" s="2198"/>
      <c r="LZU76" s="2198"/>
      <c r="LZV76" s="2198"/>
      <c r="LZW76" s="2198"/>
      <c r="LZX76" s="2198"/>
      <c r="LZY76" s="2198"/>
      <c r="LZZ76" s="2198"/>
      <c r="MAA76" s="2198"/>
      <c r="MAB76" s="2198"/>
      <c r="MAC76" s="2198"/>
      <c r="MAD76" s="2198"/>
      <c r="MAE76" s="2198"/>
      <c r="MAF76" s="2198"/>
      <c r="MAG76" s="2198"/>
      <c r="MAH76" s="2198"/>
      <c r="MAI76" s="2198"/>
      <c r="MAJ76" s="2198"/>
      <c r="MAK76" s="2198"/>
      <c r="MAL76" s="2198"/>
      <c r="MAM76" s="2198"/>
      <c r="MAN76" s="2198"/>
      <c r="MAO76" s="2198"/>
      <c r="MAP76" s="2198"/>
      <c r="MAQ76" s="2198"/>
      <c r="MAR76" s="2198"/>
      <c r="MAS76" s="2198"/>
      <c r="MAT76" s="2198"/>
      <c r="MAU76" s="2198"/>
      <c r="MAV76" s="2198"/>
      <c r="MAW76" s="2198"/>
      <c r="MAX76" s="2198"/>
      <c r="MAY76" s="2198"/>
      <c r="MAZ76" s="2198"/>
      <c r="MBA76" s="2198"/>
      <c r="MBB76" s="2198"/>
      <c r="MBC76" s="2198"/>
      <c r="MBD76" s="2198"/>
      <c r="MBE76" s="2198"/>
      <c r="MBF76" s="2198"/>
      <c r="MBG76" s="2198"/>
      <c r="MBH76" s="2198"/>
      <c r="MBI76" s="2198"/>
      <c r="MBJ76" s="2198"/>
      <c r="MBK76" s="2198"/>
      <c r="MBL76" s="2198"/>
      <c r="MBM76" s="2198"/>
      <c r="MBN76" s="2198"/>
      <c r="MBO76" s="2198"/>
      <c r="MBP76" s="2198"/>
      <c r="MBQ76" s="2198"/>
      <c r="MBR76" s="2198"/>
      <c r="MBS76" s="2198"/>
      <c r="MBT76" s="2198"/>
      <c r="MBU76" s="2198"/>
      <c r="MBV76" s="2198"/>
      <c r="MBW76" s="2198"/>
      <c r="MBX76" s="2198"/>
      <c r="MBY76" s="2198"/>
      <c r="MBZ76" s="2198"/>
      <c r="MCA76" s="2198"/>
      <c r="MCB76" s="2198"/>
      <c r="MCC76" s="2198"/>
      <c r="MCD76" s="2198"/>
      <c r="MCE76" s="2198"/>
      <c r="MCF76" s="2198"/>
      <c r="MCG76" s="2198"/>
      <c r="MCH76" s="2198"/>
      <c r="MCI76" s="2198"/>
      <c r="MCJ76" s="2198"/>
      <c r="MCK76" s="2198"/>
      <c r="MCL76" s="2198"/>
      <c r="MCM76" s="2198"/>
      <c r="MCN76" s="2198"/>
      <c r="MCO76" s="2198"/>
      <c r="MCP76" s="2198"/>
      <c r="MCQ76" s="2198"/>
      <c r="MCR76" s="2198"/>
      <c r="MCS76" s="2198"/>
      <c r="MCT76" s="2198"/>
      <c r="MCU76" s="2198"/>
      <c r="MCV76" s="2198"/>
      <c r="MCW76" s="2198"/>
      <c r="MCX76" s="2198"/>
      <c r="MCY76" s="2198"/>
      <c r="MCZ76" s="2198"/>
      <c r="MDA76" s="2198"/>
      <c r="MDB76" s="2198"/>
      <c r="MDC76" s="2198"/>
      <c r="MDD76" s="2198"/>
      <c r="MDE76" s="2198"/>
      <c r="MDF76" s="2198"/>
      <c r="MDG76" s="2198"/>
      <c r="MDH76" s="2198"/>
      <c r="MDI76" s="2198"/>
      <c r="MDJ76" s="2198"/>
      <c r="MDK76" s="2198"/>
      <c r="MDL76" s="2198"/>
      <c r="MDM76" s="2198"/>
      <c r="MDN76" s="2198"/>
      <c r="MDO76" s="2198"/>
      <c r="MDP76" s="2198"/>
      <c r="MDQ76" s="2198"/>
      <c r="MDR76" s="2198"/>
      <c r="MDS76" s="2198"/>
      <c r="MDT76" s="2198"/>
      <c r="MDU76" s="2198"/>
      <c r="MDV76" s="2198"/>
      <c r="MDW76" s="2198"/>
      <c r="MDX76" s="2198"/>
      <c r="MDY76" s="2198"/>
      <c r="MDZ76" s="2198"/>
      <c r="MEA76" s="2198"/>
      <c r="MEB76" s="2198"/>
      <c r="MEC76" s="2198"/>
      <c r="MED76" s="2198"/>
      <c r="MEE76" s="2198"/>
      <c r="MEF76" s="2198"/>
      <c r="MEG76" s="2198"/>
      <c r="MEH76" s="2198"/>
      <c r="MEI76" s="2198"/>
      <c r="MEJ76" s="2198"/>
      <c r="MEK76" s="2198"/>
      <c r="MEL76" s="2198"/>
      <c r="MEM76" s="2198"/>
      <c r="MEN76" s="2198"/>
      <c r="MEO76" s="2198"/>
      <c r="MEP76" s="2198"/>
      <c r="MEQ76" s="2198"/>
      <c r="MER76" s="2198"/>
      <c r="MES76" s="2198"/>
      <c r="MET76" s="2198"/>
      <c r="MEU76" s="2198"/>
      <c r="MEV76" s="2198"/>
      <c r="MEW76" s="2198"/>
      <c r="MEX76" s="2198"/>
      <c r="MEY76" s="2198"/>
      <c r="MEZ76" s="2198"/>
      <c r="MFA76" s="2198"/>
      <c r="MFB76" s="2198"/>
      <c r="MFC76" s="2198"/>
      <c r="MFD76" s="2198"/>
      <c r="MFE76" s="2198"/>
      <c r="MFF76" s="2198"/>
      <c r="MFG76" s="2198"/>
      <c r="MFH76" s="2198"/>
      <c r="MFI76" s="2198"/>
      <c r="MFJ76" s="2198"/>
      <c r="MFK76" s="2198"/>
      <c r="MFL76" s="2198"/>
      <c r="MFM76" s="2198"/>
      <c r="MFN76" s="2198"/>
      <c r="MFO76" s="2198"/>
      <c r="MFP76" s="2198"/>
      <c r="MFQ76" s="2198"/>
      <c r="MFR76" s="2198"/>
      <c r="MFS76" s="2198"/>
      <c r="MFT76" s="2198"/>
      <c r="MFU76" s="2198"/>
      <c r="MFV76" s="2198"/>
      <c r="MFW76" s="2198"/>
      <c r="MFX76" s="2198"/>
      <c r="MFY76" s="2198"/>
      <c r="MFZ76" s="2198"/>
      <c r="MGA76" s="2198"/>
      <c r="MGB76" s="2198"/>
      <c r="MGC76" s="2198"/>
      <c r="MGD76" s="2198"/>
      <c r="MGE76" s="2198"/>
      <c r="MGF76" s="2198"/>
      <c r="MGG76" s="2198"/>
      <c r="MGH76" s="2198"/>
      <c r="MGI76" s="2198"/>
      <c r="MGJ76" s="2198"/>
      <c r="MGK76" s="2198"/>
      <c r="MGL76" s="2198"/>
      <c r="MGM76" s="2198"/>
      <c r="MGN76" s="2198"/>
      <c r="MGO76" s="2198"/>
      <c r="MGP76" s="2198"/>
      <c r="MGQ76" s="2198"/>
      <c r="MGR76" s="2198"/>
      <c r="MGS76" s="2198"/>
      <c r="MGT76" s="2198"/>
      <c r="MGU76" s="2198"/>
      <c r="MGV76" s="2198"/>
      <c r="MGW76" s="2198"/>
      <c r="MGX76" s="2198"/>
      <c r="MGY76" s="2198"/>
      <c r="MGZ76" s="2198"/>
      <c r="MHA76" s="2198"/>
      <c r="MHB76" s="2198"/>
      <c r="MHC76" s="2198"/>
      <c r="MHD76" s="2198"/>
      <c r="MHE76" s="2198"/>
      <c r="MHF76" s="2198"/>
      <c r="MHG76" s="2198"/>
      <c r="MHH76" s="2198"/>
      <c r="MHI76" s="2198"/>
      <c r="MHJ76" s="2198"/>
      <c r="MHK76" s="2198"/>
      <c r="MHL76" s="2198"/>
      <c r="MHM76" s="2198"/>
      <c r="MHN76" s="2198"/>
      <c r="MHO76" s="2198"/>
      <c r="MHP76" s="2198"/>
      <c r="MHQ76" s="2198"/>
      <c r="MHR76" s="2198"/>
      <c r="MHS76" s="2198"/>
      <c r="MHT76" s="2198"/>
      <c r="MHU76" s="2198"/>
      <c r="MHV76" s="2198"/>
      <c r="MHW76" s="2198"/>
      <c r="MHX76" s="2198"/>
      <c r="MHY76" s="2198"/>
      <c r="MHZ76" s="2198"/>
      <c r="MIA76" s="2198"/>
      <c r="MIB76" s="2198"/>
      <c r="MIC76" s="2198"/>
      <c r="MID76" s="2198"/>
      <c r="MIE76" s="2198"/>
      <c r="MIF76" s="2198"/>
      <c r="MIG76" s="2198"/>
      <c r="MIH76" s="2198"/>
      <c r="MII76" s="2198"/>
      <c r="MIJ76" s="2198"/>
      <c r="MIK76" s="2198"/>
      <c r="MIL76" s="2198"/>
      <c r="MIM76" s="2198"/>
      <c r="MIN76" s="2198"/>
      <c r="MIO76" s="2198"/>
      <c r="MIP76" s="2198"/>
      <c r="MIQ76" s="2198"/>
      <c r="MIR76" s="2198"/>
      <c r="MIS76" s="2198"/>
      <c r="MIT76" s="2198"/>
      <c r="MIU76" s="2198"/>
      <c r="MIV76" s="2198"/>
      <c r="MIW76" s="2198"/>
      <c r="MIX76" s="2198"/>
      <c r="MIY76" s="2198"/>
      <c r="MIZ76" s="2198"/>
      <c r="MJA76" s="2198"/>
      <c r="MJB76" s="2198"/>
      <c r="MJC76" s="2198"/>
      <c r="MJD76" s="2198"/>
      <c r="MJE76" s="2198"/>
      <c r="MJF76" s="2198"/>
      <c r="MJG76" s="2198"/>
      <c r="MJH76" s="2198"/>
      <c r="MJI76" s="2198"/>
      <c r="MJJ76" s="2198"/>
      <c r="MJK76" s="2198"/>
      <c r="MJL76" s="2198"/>
      <c r="MJM76" s="2198"/>
      <c r="MJN76" s="2198"/>
      <c r="MJO76" s="2198"/>
      <c r="MJP76" s="2198"/>
      <c r="MJQ76" s="2198"/>
      <c r="MJR76" s="2198"/>
      <c r="MJS76" s="2198"/>
      <c r="MJT76" s="2198"/>
      <c r="MJU76" s="2198"/>
      <c r="MJV76" s="2198"/>
      <c r="MJW76" s="2198"/>
      <c r="MJX76" s="2198"/>
      <c r="MJY76" s="2198"/>
      <c r="MJZ76" s="2198"/>
      <c r="MKA76" s="2198"/>
      <c r="MKB76" s="2198"/>
      <c r="MKC76" s="2198"/>
      <c r="MKD76" s="2198"/>
      <c r="MKE76" s="2198"/>
      <c r="MKF76" s="2198"/>
      <c r="MKG76" s="2198"/>
      <c r="MKH76" s="2198"/>
      <c r="MKI76" s="2198"/>
      <c r="MKJ76" s="2198"/>
      <c r="MKK76" s="2198"/>
      <c r="MKL76" s="2198"/>
      <c r="MKM76" s="2198"/>
      <c r="MKN76" s="2198"/>
      <c r="MKO76" s="2198"/>
      <c r="MKP76" s="2198"/>
      <c r="MKQ76" s="2198"/>
      <c r="MKR76" s="2198"/>
      <c r="MKS76" s="2198"/>
      <c r="MKT76" s="2198"/>
      <c r="MKU76" s="2198"/>
      <c r="MKV76" s="2198"/>
      <c r="MKW76" s="2198"/>
      <c r="MKX76" s="2198"/>
      <c r="MKY76" s="2198"/>
      <c r="MKZ76" s="2198"/>
      <c r="MLA76" s="2198"/>
      <c r="MLB76" s="2198"/>
      <c r="MLC76" s="2198"/>
      <c r="MLD76" s="2198"/>
      <c r="MLE76" s="2198"/>
      <c r="MLF76" s="2198"/>
      <c r="MLG76" s="2198"/>
      <c r="MLH76" s="2198"/>
      <c r="MLI76" s="2198"/>
      <c r="MLJ76" s="2198"/>
      <c r="MLK76" s="2198"/>
      <c r="MLL76" s="2198"/>
      <c r="MLM76" s="2198"/>
      <c r="MLN76" s="2198"/>
      <c r="MLO76" s="2198"/>
      <c r="MLP76" s="2198"/>
      <c r="MLQ76" s="2198"/>
      <c r="MLR76" s="2198"/>
      <c r="MLS76" s="2198"/>
      <c r="MLT76" s="2198"/>
      <c r="MLU76" s="2198"/>
      <c r="MLV76" s="2198"/>
      <c r="MLW76" s="2198"/>
      <c r="MLX76" s="2198"/>
      <c r="MLY76" s="2198"/>
      <c r="MLZ76" s="2198"/>
      <c r="MMA76" s="2198"/>
      <c r="MMB76" s="2198"/>
      <c r="MMC76" s="2198"/>
      <c r="MMD76" s="2198"/>
      <c r="MME76" s="2198"/>
      <c r="MMF76" s="2198"/>
      <c r="MMG76" s="2198"/>
      <c r="MMH76" s="2198"/>
      <c r="MMI76" s="2198"/>
      <c r="MMJ76" s="2198"/>
      <c r="MMK76" s="2198"/>
      <c r="MML76" s="2198"/>
      <c r="MMM76" s="2198"/>
      <c r="MMN76" s="2198"/>
      <c r="MMO76" s="2198"/>
      <c r="MMP76" s="2198"/>
      <c r="MMQ76" s="2198"/>
      <c r="MMR76" s="2198"/>
      <c r="MMS76" s="2198"/>
      <c r="MMT76" s="2198"/>
      <c r="MMU76" s="2198"/>
      <c r="MMV76" s="2198"/>
      <c r="MMW76" s="2198"/>
      <c r="MMX76" s="2198"/>
      <c r="MMY76" s="2198"/>
      <c r="MMZ76" s="2198"/>
      <c r="MNA76" s="2198"/>
      <c r="MNB76" s="2198"/>
      <c r="MNC76" s="2198"/>
      <c r="MND76" s="2198"/>
      <c r="MNE76" s="2198"/>
      <c r="MNF76" s="2198"/>
      <c r="MNG76" s="2198"/>
      <c r="MNH76" s="2198"/>
      <c r="MNI76" s="2198"/>
      <c r="MNJ76" s="2198"/>
      <c r="MNK76" s="2198"/>
      <c r="MNL76" s="2198"/>
      <c r="MNM76" s="2198"/>
      <c r="MNN76" s="2198"/>
      <c r="MNO76" s="2198"/>
      <c r="MNP76" s="2198"/>
      <c r="MNQ76" s="2198"/>
      <c r="MNR76" s="2198"/>
      <c r="MNS76" s="2198"/>
      <c r="MNT76" s="2198"/>
      <c r="MNU76" s="2198"/>
      <c r="MNV76" s="2198"/>
      <c r="MNW76" s="2198"/>
      <c r="MNX76" s="2198"/>
      <c r="MNY76" s="2198"/>
      <c r="MNZ76" s="2198"/>
      <c r="MOA76" s="2198"/>
      <c r="MOB76" s="2198"/>
      <c r="MOC76" s="2198"/>
      <c r="MOD76" s="2198"/>
      <c r="MOE76" s="2198"/>
      <c r="MOF76" s="2198"/>
      <c r="MOG76" s="2198"/>
      <c r="MOH76" s="2198"/>
      <c r="MOI76" s="2198"/>
      <c r="MOJ76" s="2198"/>
      <c r="MOK76" s="2198"/>
      <c r="MOL76" s="2198"/>
      <c r="MOM76" s="2198"/>
      <c r="MON76" s="2198"/>
      <c r="MOO76" s="2198"/>
      <c r="MOP76" s="2198"/>
      <c r="MOQ76" s="2198"/>
      <c r="MOR76" s="2198"/>
      <c r="MOS76" s="2198"/>
      <c r="MOT76" s="2198"/>
      <c r="MOU76" s="2198"/>
      <c r="MOV76" s="2198"/>
      <c r="MOW76" s="2198"/>
      <c r="MOX76" s="2198"/>
      <c r="MOY76" s="2198"/>
      <c r="MOZ76" s="2198"/>
      <c r="MPA76" s="2198"/>
      <c r="MPB76" s="2198"/>
      <c r="MPC76" s="2198"/>
      <c r="MPD76" s="2198"/>
      <c r="MPE76" s="2198"/>
      <c r="MPF76" s="2198"/>
      <c r="MPG76" s="2198"/>
      <c r="MPH76" s="2198"/>
      <c r="MPI76" s="2198"/>
      <c r="MPJ76" s="2198"/>
      <c r="MPK76" s="2198"/>
      <c r="MPL76" s="2198"/>
      <c r="MPM76" s="2198"/>
      <c r="MPN76" s="2198"/>
      <c r="MPO76" s="2198"/>
      <c r="MPP76" s="2198"/>
      <c r="MPQ76" s="2198"/>
      <c r="MPR76" s="2198"/>
      <c r="MPS76" s="2198"/>
      <c r="MPT76" s="2198"/>
      <c r="MPU76" s="2198"/>
      <c r="MPV76" s="2198"/>
      <c r="MPW76" s="2198"/>
      <c r="MPX76" s="2198"/>
      <c r="MPY76" s="2198"/>
      <c r="MPZ76" s="2198"/>
      <c r="MQA76" s="2198"/>
      <c r="MQB76" s="2198"/>
      <c r="MQC76" s="2198"/>
      <c r="MQD76" s="2198"/>
      <c r="MQE76" s="2198"/>
      <c r="MQF76" s="2198"/>
      <c r="MQG76" s="2198"/>
      <c r="MQH76" s="2198"/>
      <c r="MQI76" s="2198"/>
      <c r="MQJ76" s="2198"/>
      <c r="MQK76" s="2198"/>
      <c r="MQL76" s="2198"/>
      <c r="MQM76" s="2198"/>
      <c r="MQN76" s="2198"/>
      <c r="MQO76" s="2198"/>
      <c r="MQP76" s="2198"/>
      <c r="MQQ76" s="2198"/>
      <c r="MQR76" s="2198"/>
      <c r="MQS76" s="2198"/>
      <c r="MQT76" s="2198"/>
      <c r="MQU76" s="2198"/>
      <c r="MQV76" s="2198"/>
      <c r="MQW76" s="2198"/>
      <c r="MQX76" s="2198"/>
      <c r="MQY76" s="2198"/>
      <c r="MQZ76" s="2198"/>
      <c r="MRA76" s="2198"/>
      <c r="MRB76" s="2198"/>
      <c r="MRC76" s="2198"/>
      <c r="MRD76" s="2198"/>
      <c r="MRE76" s="2198"/>
      <c r="MRF76" s="2198"/>
      <c r="MRG76" s="2198"/>
      <c r="MRH76" s="2198"/>
      <c r="MRI76" s="2198"/>
      <c r="MRJ76" s="2198"/>
      <c r="MRK76" s="2198"/>
      <c r="MRL76" s="2198"/>
      <c r="MRM76" s="2198"/>
      <c r="MRN76" s="2198"/>
      <c r="MRO76" s="2198"/>
      <c r="MRP76" s="2198"/>
      <c r="MRQ76" s="2198"/>
      <c r="MRR76" s="2198"/>
      <c r="MRS76" s="2198"/>
      <c r="MRT76" s="2198"/>
      <c r="MRU76" s="2198"/>
      <c r="MRV76" s="2198"/>
      <c r="MRW76" s="2198"/>
      <c r="MRX76" s="2198"/>
      <c r="MRY76" s="2198"/>
      <c r="MRZ76" s="2198"/>
      <c r="MSA76" s="2198"/>
      <c r="MSB76" s="2198"/>
      <c r="MSC76" s="2198"/>
      <c r="MSD76" s="2198"/>
      <c r="MSE76" s="2198"/>
      <c r="MSF76" s="2198"/>
      <c r="MSG76" s="2198"/>
      <c r="MSH76" s="2198"/>
      <c r="MSI76" s="2198"/>
      <c r="MSJ76" s="2198"/>
      <c r="MSK76" s="2198"/>
      <c r="MSL76" s="2198"/>
      <c r="MSM76" s="2198"/>
      <c r="MSN76" s="2198"/>
      <c r="MSO76" s="2198"/>
      <c r="MSP76" s="2198"/>
      <c r="MSQ76" s="2198"/>
      <c r="MSR76" s="2198"/>
      <c r="MSS76" s="2198"/>
      <c r="MST76" s="2198"/>
      <c r="MSU76" s="2198"/>
      <c r="MSV76" s="2198"/>
      <c r="MSW76" s="2198"/>
      <c r="MSX76" s="2198"/>
      <c r="MSY76" s="2198"/>
      <c r="MSZ76" s="2198"/>
      <c r="MTA76" s="2198"/>
      <c r="MTB76" s="2198"/>
      <c r="MTC76" s="2198"/>
      <c r="MTD76" s="2198"/>
      <c r="MTE76" s="2198"/>
      <c r="MTF76" s="2198"/>
      <c r="MTG76" s="2198"/>
      <c r="MTH76" s="2198"/>
      <c r="MTI76" s="2198"/>
      <c r="MTJ76" s="2198"/>
      <c r="MTK76" s="2198"/>
      <c r="MTL76" s="2198"/>
      <c r="MTM76" s="2198"/>
      <c r="MTN76" s="2198"/>
      <c r="MTO76" s="2198"/>
      <c r="MTP76" s="2198"/>
      <c r="MTQ76" s="2198"/>
      <c r="MTR76" s="2198"/>
      <c r="MTS76" s="2198"/>
      <c r="MTT76" s="2198"/>
      <c r="MTU76" s="2198"/>
      <c r="MTV76" s="2198"/>
      <c r="MTW76" s="2198"/>
      <c r="MTX76" s="2198"/>
      <c r="MTY76" s="2198"/>
      <c r="MTZ76" s="2198"/>
      <c r="MUA76" s="2198"/>
      <c r="MUB76" s="2198"/>
      <c r="MUC76" s="2198"/>
      <c r="MUD76" s="2198"/>
      <c r="MUE76" s="2198"/>
      <c r="MUF76" s="2198"/>
      <c r="MUG76" s="2198"/>
      <c r="MUH76" s="2198"/>
      <c r="MUI76" s="2198"/>
      <c r="MUJ76" s="2198"/>
      <c r="MUK76" s="2198"/>
      <c r="MUL76" s="2198"/>
      <c r="MUM76" s="2198"/>
      <c r="MUN76" s="2198"/>
      <c r="MUO76" s="2198"/>
      <c r="MUP76" s="2198"/>
      <c r="MUQ76" s="2198"/>
      <c r="MUR76" s="2198"/>
      <c r="MUS76" s="2198"/>
      <c r="MUT76" s="2198"/>
      <c r="MUU76" s="2198"/>
      <c r="MUV76" s="2198"/>
      <c r="MUW76" s="2198"/>
      <c r="MUX76" s="2198"/>
      <c r="MUY76" s="2198"/>
      <c r="MUZ76" s="2198"/>
      <c r="MVA76" s="2198"/>
      <c r="MVB76" s="2198"/>
      <c r="MVC76" s="2198"/>
      <c r="MVD76" s="2198"/>
      <c r="MVE76" s="2198"/>
      <c r="MVF76" s="2198"/>
      <c r="MVG76" s="2198"/>
      <c r="MVH76" s="2198"/>
      <c r="MVI76" s="2198"/>
      <c r="MVJ76" s="2198"/>
      <c r="MVK76" s="2198"/>
      <c r="MVL76" s="2198"/>
      <c r="MVM76" s="2198"/>
      <c r="MVN76" s="2198"/>
      <c r="MVO76" s="2198"/>
      <c r="MVP76" s="2198"/>
      <c r="MVQ76" s="2198"/>
      <c r="MVR76" s="2198"/>
      <c r="MVS76" s="2198"/>
      <c r="MVT76" s="2198"/>
      <c r="MVU76" s="2198"/>
      <c r="MVV76" s="2198"/>
      <c r="MVW76" s="2198"/>
      <c r="MVX76" s="2198"/>
      <c r="MVY76" s="2198"/>
      <c r="MVZ76" s="2198"/>
      <c r="MWA76" s="2198"/>
      <c r="MWB76" s="2198"/>
      <c r="MWC76" s="2198"/>
      <c r="MWD76" s="2198"/>
      <c r="MWE76" s="2198"/>
      <c r="MWF76" s="2198"/>
      <c r="MWG76" s="2198"/>
      <c r="MWH76" s="2198"/>
      <c r="MWI76" s="2198"/>
      <c r="MWJ76" s="2198"/>
      <c r="MWK76" s="2198"/>
      <c r="MWL76" s="2198"/>
      <c r="MWM76" s="2198"/>
      <c r="MWN76" s="2198"/>
      <c r="MWO76" s="2198"/>
      <c r="MWP76" s="2198"/>
      <c r="MWQ76" s="2198"/>
      <c r="MWR76" s="2198"/>
      <c r="MWS76" s="2198"/>
      <c r="MWT76" s="2198"/>
      <c r="MWU76" s="2198"/>
      <c r="MWV76" s="2198"/>
      <c r="MWW76" s="2198"/>
      <c r="MWX76" s="2198"/>
      <c r="MWY76" s="2198"/>
      <c r="MWZ76" s="2198"/>
      <c r="MXA76" s="2198"/>
      <c r="MXB76" s="2198"/>
      <c r="MXC76" s="2198"/>
      <c r="MXD76" s="2198"/>
      <c r="MXE76" s="2198"/>
      <c r="MXF76" s="2198"/>
      <c r="MXG76" s="2198"/>
      <c r="MXH76" s="2198"/>
      <c r="MXI76" s="2198"/>
      <c r="MXJ76" s="2198"/>
      <c r="MXK76" s="2198"/>
      <c r="MXL76" s="2198"/>
      <c r="MXM76" s="2198"/>
      <c r="MXN76" s="2198"/>
      <c r="MXO76" s="2198"/>
      <c r="MXP76" s="2198"/>
      <c r="MXQ76" s="2198"/>
      <c r="MXR76" s="2198"/>
      <c r="MXS76" s="2198"/>
      <c r="MXT76" s="2198"/>
      <c r="MXU76" s="2198"/>
      <c r="MXV76" s="2198"/>
      <c r="MXW76" s="2198"/>
      <c r="MXX76" s="2198"/>
      <c r="MXY76" s="2198"/>
      <c r="MXZ76" s="2198"/>
      <c r="MYA76" s="2198"/>
      <c r="MYB76" s="2198"/>
      <c r="MYC76" s="2198"/>
      <c r="MYD76" s="2198"/>
      <c r="MYE76" s="2198"/>
      <c r="MYF76" s="2198"/>
      <c r="MYG76" s="2198"/>
      <c r="MYH76" s="2198"/>
      <c r="MYI76" s="2198"/>
      <c r="MYJ76" s="2198"/>
      <c r="MYK76" s="2198"/>
      <c r="MYL76" s="2198"/>
      <c r="MYM76" s="2198"/>
      <c r="MYN76" s="2198"/>
      <c r="MYO76" s="2198"/>
      <c r="MYP76" s="2198"/>
      <c r="MYQ76" s="2198"/>
      <c r="MYR76" s="2198"/>
      <c r="MYS76" s="2198"/>
      <c r="MYT76" s="2198"/>
      <c r="MYU76" s="2198"/>
      <c r="MYV76" s="2198"/>
      <c r="MYW76" s="2198"/>
      <c r="MYX76" s="2198"/>
      <c r="MYY76" s="2198"/>
      <c r="MYZ76" s="2198"/>
      <c r="MZA76" s="2198"/>
      <c r="MZB76" s="2198"/>
      <c r="MZC76" s="2198"/>
      <c r="MZD76" s="2198"/>
      <c r="MZE76" s="2198"/>
      <c r="MZF76" s="2198"/>
      <c r="MZG76" s="2198"/>
      <c r="MZH76" s="2198"/>
      <c r="MZI76" s="2198"/>
      <c r="MZJ76" s="2198"/>
      <c r="MZK76" s="2198"/>
      <c r="MZL76" s="2198"/>
      <c r="MZM76" s="2198"/>
      <c r="MZN76" s="2198"/>
      <c r="MZO76" s="2198"/>
      <c r="MZP76" s="2198"/>
      <c r="MZQ76" s="2198"/>
      <c r="MZR76" s="2198"/>
      <c r="MZS76" s="2198"/>
      <c r="MZT76" s="2198"/>
      <c r="MZU76" s="2198"/>
      <c r="MZV76" s="2198"/>
      <c r="MZW76" s="2198"/>
      <c r="MZX76" s="2198"/>
      <c r="MZY76" s="2198"/>
      <c r="MZZ76" s="2198"/>
      <c r="NAA76" s="2198"/>
      <c r="NAB76" s="2198"/>
      <c r="NAC76" s="2198"/>
      <c r="NAD76" s="2198"/>
      <c r="NAE76" s="2198"/>
      <c r="NAF76" s="2198"/>
      <c r="NAG76" s="2198"/>
      <c r="NAH76" s="2198"/>
      <c r="NAI76" s="2198"/>
      <c r="NAJ76" s="2198"/>
      <c r="NAK76" s="2198"/>
      <c r="NAL76" s="2198"/>
      <c r="NAM76" s="2198"/>
      <c r="NAN76" s="2198"/>
      <c r="NAO76" s="2198"/>
      <c r="NAP76" s="2198"/>
      <c r="NAQ76" s="2198"/>
      <c r="NAR76" s="2198"/>
      <c r="NAS76" s="2198"/>
      <c r="NAT76" s="2198"/>
      <c r="NAU76" s="2198"/>
      <c r="NAV76" s="2198"/>
      <c r="NAW76" s="2198"/>
      <c r="NAX76" s="2198"/>
      <c r="NAY76" s="2198"/>
      <c r="NAZ76" s="2198"/>
      <c r="NBA76" s="2198"/>
      <c r="NBB76" s="2198"/>
      <c r="NBC76" s="2198"/>
      <c r="NBD76" s="2198"/>
      <c r="NBE76" s="2198"/>
      <c r="NBF76" s="2198"/>
      <c r="NBG76" s="2198"/>
      <c r="NBH76" s="2198"/>
      <c r="NBI76" s="2198"/>
      <c r="NBJ76" s="2198"/>
      <c r="NBK76" s="2198"/>
      <c r="NBL76" s="2198"/>
      <c r="NBM76" s="2198"/>
      <c r="NBN76" s="2198"/>
      <c r="NBO76" s="2198"/>
      <c r="NBP76" s="2198"/>
      <c r="NBQ76" s="2198"/>
      <c r="NBR76" s="2198"/>
      <c r="NBS76" s="2198"/>
      <c r="NBT76" s="2198"/>
      <c r="NBU76" s="2198"/>
      <c r="NBV76" s="2198"/>
      <c r="NBW76" s="2198"/>
      <c r="NBX76" s="2198"/>
      <c r="NBY76" s="2198"/>
      <c r="NBZ76" s="2198"/>
      <c r="NCA76" s="2198"/>
      <c r="NCB76" s="2198"/>
      <c r="NCC76" s="2198"/>
      <c r="NCD76" s="2198"/>
      <c r="NCE76" s="2198"/>
      <c r="NCF76" s="2198"/>
      <c r="NCG76" s="2198"/>
      <c r="NCH76" s="2198"/>
      <c r="NCI76" s="2198"/>
      <c r="NCJ76" s="2198"/>
      <c r="NCK76" s="2198"/>
      <c r="NCL76" s="2198"/>
      <c r="NCM76" s="2198"/>
      <c r="NCN76" s="2198"/>
      <c r="NCO76" s="2198"/>
      <c r="NCP76" s="2198"/>
      <c r="NCQ76" s="2198"/>
      <c r="NCR76" s="2198"/>
      <c r="NCS76" s="2198"/>
      <c r="NCT76" s="2198"/>
      <c r="NCU76" s="2198"/>
      <c r="NCV76" s="2198"/>
      <c r="NCW76" s="2198"/>
      <c r="NCX76" s="2198"/>
      <c r="NCY76" s="2198"/>
      <c r="NCZ76" s="2198"/>
      <c r="NDA76" s="2198"/>
      <c r="NDB76" s="2198"/>
      <c r="NDC76" s="2198"/>
      <c r="NDD76" s="2198"/>
      <c r="NDE76" s="2198"/>
      <c r="NDF76" s="2198"/>
      <c r="NDG76" s="2198"/>
      <c r="NDH76" s="2198"/>
      <c r="NDI76" s="2198"/>
      <c r="NDJ76" s="2198"/>
      <c r="NDK76" s="2198"/>
      <c r="NDL76" s="2198"/>
      <c r="NDM76" s="2198"/>
      <c r="NDN76" s="2198"/>
      <c r="NDO76" s="2198"/>
      <c r="NDP76" s="2198"/>
      <c r="NDQ76" s="2198"/>
      <c r="NDR76" s="2198"/>
      <c r="NDS76" s="2198"/>
      <c r="NDT76" s="2198"/>
      <c r="NDU76" s="2198"/>
      <c r="NDV76" s="2198"/>
      <c r="NDW76" s="2198"/>
      <c r="NDX76" s="2198"/>
      <c r="NDY76" s="2198"/>
      <c r="NDZ76" s="2198"/>
      <c r="NEA76" s="2198"/>
      <c r="NEB76" s="2198"/>
      <c r="NEC76" s="2198"/>
      <c r="NED76" s="2198"/>
      <c r="NEE76" s="2198"/>
      <c r="NEF76" s="2198"/>
      <c r="NEG76" s="2198"/>
      <c r="NEH76" s="2198"/>
      <c r="NEI76" s="2198"/>
      <c r="NEJ76" s="2198"/>
      <c r="NEK76" s="2198"/>
      <c r="NEL76" s="2198"/>
      <c r="NEM76" s="2198"/>
      <c r="NEN76" s="2198"/>
      <c r="NEO76" s="2198"/>
      <c r="NEP76" s="2198"/>
      <c r="NEQ76" s="2198"/>
      <c r="NER76" s="2198"/>
      <c r="NES76" s="2198"/>
      <c r="NET76" s="2198"/>
      <c r="NEU76" s="2198"/>
      <c r="NEV76" s="2198"/>
      <c r="NEW76" s="2198"/>
      <c r="NEX76" s="2198"/>
      <c r="NEY76" s="2198"/>
      <c r="NEZ76" s="2198"/>
      <c r="NFA76" s="2198"/>
      <c r="NFB76" s="2198"/>
      <c r="NFC76" s="2198"/>
      <c r="NFD76" s="2198"/>
      <c r="NFE76" s="2198"/>
      <c r="NFF76" s="2198"/>
      <c r="NFG76" s="2198"/>
      <c r="NFH76" s="2198"/>
      <c r="NFI76" s="2198"/>
      <c r="NFJ76" s="2198"/>
      <c r="NFK76" s="2198"/>
      <c r="NFL76" s="2198"/>
      <c r="NFM76" s="2198"/>
      <c r="NFN76" s="2198"/>
      <c r="NFO76" s="2198"/>
      <c r="NFP76" s="2198"/>
      <c r="NFQ76" s="2198"/>
      <c r="NFR76" s="2198"/>
      <c r="NFS76" s="2198"/>
      <c r="NFT76" s="2198"/>
      <c r="NFU76" s="2198"/>
      <c r="NFV76" s="2198"/>
      <c r="NFW76" s="2198"/>
      <c r="NFX76" s="2198"/>
      <c r="NFY76" s="2198"/>
      <c r="NFZ76" s="2198"/>
      <c r="NGA76" s="2198"/>
      <c r="NGB76" s="2198"/>
      <c r="NGC76" s="2198"/>
      <c r="NGD76" s="2198"/>
      <c r="NGE76" s="2198"/>
      <c r="NGF76" s="2198"/>
      <c r="NGG76" s="2198"/>
      <c r="NGH76" s="2198"/>
      <c r="NGI76" s="2198"/>
      <c r="NGJ76" s="2198"/>
      <c r="NGK76" s="2198"/>
      <c r="NGL76" s="2198"/>
      <c r="NGM76" s="2198"/>
      <c r="NGN76" s="2198"/>
      <c r="NGO76" s="2198"/>
      <c r="NGP76" s="2198"/>
      <c r="NGQ76" s="2198"/>
      <c r="NGR76" s="2198"/>
      <c r="NGS76" s="2198"/>
      <c r="NGT76" s="2198"/>
      <c r="NGU76" s="2198"/>
      <c r="NGV76" s="2198"/>
      <c r="NGW76" s="2198"/>
      <c r="NGX76" s="2198"/>
      <c r="NGY76" s="2198"/>
      <c r="NGZ76" s="2198"/>
      <c r="NHA76" s="2198"/>
      <c r="NHB76" s="2198"/>
      <c r="NHC76" s="2198"/>
      <c r="NHD76" s="2198"/>
      <c r="NHE76" s="2198"/>
      <c r="NHF76" s="2198"/>
      <c r="NHG76" s="2198"/>
      <c r="NHH76" s="2198"/>
      <c r="NHI76" s="2198"/>
      <c r="NHJ76" s="2198"/>
      <c r="NHK76" s="2198"/>
      <c r="NHL76" s="2198"/>
      <c r="NHM76" s="2198"/>
      <c r="NHN76" s="2198"/>
      <c r="NHO76" s="2198"/>
      <c r="NHP76" s="2198"/>
      <c r="NHQ76" s="2198"/>
      <c r="NHR76" s="2198"/>
      <c r="NHS76" s="2198"/>
      <c r="NHT76" s="2198"/>
      <c r="NHU76" s="2198"/>
      <c r="NHV76" s="2198"/>
      <c r="NHW76" s="2198"/>
      <c r="NHX76" s="2198"/>
      <c r="NHY76" s="2198"/>
      <c r="NHZ76" s="2198"/>
      <c r="NIA76" s="2198"/>
      <c r="NIB76" s="2198"/>
      <c r="NIC76" s="2198"/>
      <c r="NID76" s="2198"/>
      <c r="NIE76" s="2198"/>
      <c r="NIF76" s="2198"/>
      <c r="NIG76" s="2198"/>
      <c r="NIH76" s="2198"/>
      <c r="NII76" s="2198"/>
      <c r="NIJ76" s="2198"/>
      <c r="NIK76" s="2198"/>
      <c r="NIL76" s="2198"/>
      <c r="NIM76" s="2198"/>
      <c r="NIN76" s="2198"/>
      <c r="NIO76" s="2198"/>
      <c r="NIP76" s="2198"/>
      <c r="NIQ76" s="2198"/>
      <c r="NIR76" s="2198"/>
      <c r="NIS76" s="2198"/>
      <c r="NIT76" s="2198"/>
      <c r="NIU76" s="2198"/>
      <c r="NIV76" s="2198"/>
      <c r="NIW76" s="2198"/>
      <c r="NIX76" s="2198"/>
      <c r="NIY76" s="2198"/>
      <c r="NIZ76" s="2198"/>
      <c r="NJA76" s="2198"/>
      <c r="NJB76" s="2198"/>
      <c r="NJC76" s="2198"/>
      <c r="NJD76" s="2198"/>
      <c r="NJE76" s="2198"/>
      <c r="NJF76" s="2198"/>
      <c r="NJG76" s="2198"/>
      <c r="NJH76" s="2198"/>
      <c r="NJI76" s="2198"/>
      <c r="NJJ76" s="2198"/>
      <c r="NJK76" s="2198"/>
      <c r="NJL76" s="2198"/>
      <c r="NJM76" s="2198"/>
      <c r="NJN76" s="2198"/>
      <c r="NJO76" s="2198"/>
      <c r="NJP76" s="2198"/>
      <c r="NJQ76" s="2198"/>
      <c r="NJR76" s="2198"/>
      <c r="NJS76" s="2198"/>
      <c r="NJT76" s="2198"/>
      <c r="NJU76" s="2198"/>
      <c r="NJV76" s="2198"/>
      <c r="NJW76" s="2198"/>
      <c r="NJX76" s="2198"/>
      <c r="NJY76" s="2198"/>
      <c r="NJZ76" s="2198"/>
      <c r="NKA76" s="2198"/>
      <c r="NKB76" s="2198"/>
      <c r="NKC76" s="2198"/>
      <c r="NKD76" s="2198"/>
      <c r="NKE76" s="2198"/>
      <c r="NKF76" s="2198"/>
      <c r="NKG76" s="2198"/>
      <c r="NKH76" s="2198"/>
      <c r="NKI76" s="2198"/>
      <c r="NKJ76" s="2198"/>
      <c r="NKK76" s="2198"/>
      <c r="NKL76" s="2198"/>
      <c r="NKM76" s="2198"/>
      <c r="NKN76" s="2198"/>
      <c r="NKO76" s="2198"/>
      <c r="NKP76" s="2198"/>
      <c r="NKQ76" s="2198"/>
      <c r="NKR76" s="2198"/>
      <c r="NKS76" s="2198"/>
      <c r="NKT76" s="2198"/>
      <c r="NKU76" s="2198"/>
      <c r="NKV76" s="2198"/>
      <c r="NKW76" s="2198"/>
      <c r="NKX76" s="2198"/>
      <c r="NKY76" s="2198"/>
      <c r="NKZ76" s="2198"/>
      <c r="NLA76" s="2198"/>
      <c r="NLB76" s="2198"/>
      <c r="NLC76" s="2198"/>
      <c r="NLD76" s="2198"/>
      <c r="NLE76" s="2198"/>
      <c r="NLF76" s="2198"/>
      <c r="NLG76" s="2198"/>
      <c r="NLH76" s="2198"/>
      <c r="NLI76" s="2198"/>
      <c r="NLJ76" s="2198"/>
      <c r="NLK76" s="2198"/>
      <c r="NLL76" s="2198"/>
      <c r="NLM76" s="2198"/>
      <c r="NLN76" s="2198"/>
      <c r="NLO76" s="2198"/>
      <c r="NLP76" s="2198"/>
      <c r="NLQ76" s="2198"/>
      <c r="NLR76" s="2198"/>
      <c r="NLS76" s="2198"/>
      <c r="NLT76" s="2198"/>
      <c r="NLU76" s="2198"/>
      <c r="NLV76" s="2198"/>
      <c r="NLW76" s="2198"/>
      <c r="NLX76" s="2198"/>
      <c r="NLY76" s="2198"/>
      <c r="NLZ76" s="2198"/>
      <c r="NMA76" s="2198"/>
      <c r="NMB76" s="2198"/>
      <c r="NMC76" s="2198"/>
      <c r="NMD76" s="2198"/>
      <c r="NME76" s="2198"/>
      <c r="NMF76" s="2198"/>
      <c r="NMG76" s="2198"/>
      <c r="NMH76" s="2198"/>
      <c r="NMI76" s="2198"/>
      <c r="NMJ76" s="2198"/>
      <c r="NMK76" s="2198"/>
      <c r="NML76" s="2198"/>
      <c r="NMM76" s="2198"/>
      <c r="NMN76" s="2198"/>
      <c r="NMO76" s="2198"/>
      <c r="NMP76" s="2198"/>
      <c r="NMQ76" s="2198"/>
      <c r="NMR76" s="2198"/>
      <c r="NMS76" s="2198"/>
      <c r="NMT76" s="2198"/>
      <c r="NMU76" s="2198"/>
      <c r="NMV76" s="2198"/>
      <c r="NMW76" s="2198"/>
      <c r="NMX76" s="2198"/>
      <c r="NMY76" s="2198"/>
      <c r="NMZ76" s="2198"/>
      <c r="NNA76" s="2198"/>
      <c r="NNB76" s="2198"/>
      <c r="NNC76" s="2198"/>
      <c r="NND76" s="2198"/>
      <c r="NNE76" s="2198"/>
      <c r="NNF76" s="2198"/>
      <c r="NNG76" s="2198"/>
      <c r="NNH76" s="2198"/>
      <c r="NNI76" s="2198"/>
      <c r="NNJ76" s="2198"/>
      <c r="NNK76" s="2198"/>
      <c r="NNL76" s="2198"/>
      <c r="NNM76" s="2198"/>
      <c r="NNN76" s="2198"/>
      <c r="NNO76" s="2198"/>
      <c r="NNP76" s="2198"/>
      <c r="NNQ76" s="2198"/>
      <c r="NNR76" s="2198"/>
      <c r="NNS76" s="2198"/>
      <c r="NNT76" s="2198"/>
      <c r="NNU76" s="2198"/>
      <c r="NNV76" s="2198"/>
      <c r="NNW76" s="2198"/>
      <c r="NNX76" s="2198"/>
      <c r="NNY76" s="2198"/>
      <c r="NNZ76" s="2198"/>
      <c r="NOA76" s="2198"/>
      <c r="NOB76" s="2198"/>
      <c r="NOC76" s="2198"/>
      <c r="NOD76" s="2198"/>
      <c r="NOE76" s="2198"/>
      <c r="NOF76" s="2198"/>
      <c r="NOG76" s="2198"/>
      <c r="NOH76" s="2198"/>
      <c r="NOI76" s="2198"/>
      <c r="NOJ76" s="2198"/>
      <c r="NOK76" s="2198"/>
      <c r="NOL76" s="2198"/>
      <c r="NOM76" s="2198"/>
      <c r="NON76" s="2198"/>
      <c r="NOO76" s="2198"/>
      <c r="NOP76" s="2198"/>
      <c r="NOQ76" s="2198"/>
      <c r="NOR76" s="2198"/>
      <c r="NOS76" s="2198"/>
      <c r="NOT76" s="2198"/>
      <c r="NOU76" s="2198"/>
      <c r="NOV76" s="2198"/>
      <c r="NOW76" s="2198"/>
      <c r="NOX76" s="2198"/>
      <c r="NOY76" s="2198"/>
      <c r="NOZ76" s="2198"/>
      <c r="NPA76" s="2198"/>
      <c r="NPB76" s="2198"/>
      <c r="NPC76" s="2198"/>
      <c r="NPD76" s="2198"/>
      <c r="NPE76" s="2198"/>
      <c r="NPF76" s="2198"/>
      <c r="NPG76" s="2198"/>
      <c r="NPH76" s="2198"/>
      <c r="NPI76" s="2198"/>
      <c r="NPJ76" s="2198"/>
      <c r="NPK76" s="2198"/>
      <c r="NPL76" s="2198"/>
      <c r="NPM76" s="2198"/>
      <c r="NPN76" s="2198"/>
      <c r="NPO76" s="2198"/>
      <c r="NPP76" s="2198"/>
      <c r="NPQ76" s="2198"/>
      <c r="NPR76" s="2198"/>
      <c r="NPS76" s="2198"/>
      <c r="NPT76" s="2198"/>
      <c r="NPU76" s="2198"/>
      <c r="NPV76" s="2198"/>
      <c r="NPW76" s="2198"/>
      <c r="NPX76" s="2198"/>
      <c r="NPY76" s="2198"/>
      <c r="NPZ76" s="2198"/>
      <c r="NQA76" s="2198"/>
      <c r="NQB76" s="2198"/>
      <c r="NQC76" s="2198"/>
      <c r="NQD76" s="2198"/>
      <c r="NQE76" s="2198"/>
      <c r="NQF76" s="2198"/>
      <c r="NQG76" s="2198"/>
      <c r="NQH76" s="2198"/>
      <c r="NQI76" s="2198"/>
      <c r="NQJ76" s="2198"/>
      <c r="NQK76" s="2198"/>
      <c r="NQL76" s="2198"/>
      <c r="NQM76" s="2198"/>
      <c r="NQN76" s="2198"/>
      <c r="NQO76" s="2198"/>
      <c r="NQP76" s="2198"/>
      <c r="NQQ76" s="2198"/>
      <c r="NQR76" s="2198"/>
      <c r="NQS76" s="2198"/>
      <c r="NQT76" s="2198"/>
      <c r="NQU76" s="2198"/>
      <c r="NQV76" s="2198"/>
      <c r="NQW76" s="2198"/>
      <c r="NQX76" s="2198"/>
      <c r="NQY76" s="2198"/>
      <c r="NQZ76" s="2198"/>
      <c r="NRA76" s="2198"/>
      <c r="NRB76" s="2198"/>
      <c r="NRC76" s="2198"/>
      <c r="NRD76" s="2198"/>
      <c r="NRE76" s="2198"/>
      <c r="NRF76" s="2198"/>
      <c r="NRG76" s="2198"/>
      <c r="NRH76" s="2198"/>
      <c r="NRI76" s="2198"/>
      <c r="NRJ76" s="2198"/>
      <c r="NRK76" s="2198"/>
      <c r="NRL76" s="2198"/>
      <c r="NRM76" s="2198"/>
      <c r="NRN76" s="2198"/>
      <c r="NRO76" s="2198"/>
      <c r="NRP76" s="2198"/>
      <c r="NRQ76" s="2198"/>
      <c r="NRR76" s="2198"/>
      <c r="NRS76" s="2198"/>
      <c r="NRT76" s="2198"/>
      <c r="NRU76" s="2198"/>
      <c r="NRV76" s="2198"/>
      <c r="NRW76" s="2198"/>
      <c r="NRX76" s="2198"/>
      <c r="NRY76" s="2198"/>
      <c r="NRZ76" s="2198"/>
      <c r="NSA76" s="2198"/>
      <c r="NSB76" s="2198"/>
      <c r="NSC76" s="2198"/>
      <c r="NSD76" s="2198"/>
      <c r="NSE76" s="2198"/>
      <c r="NSF76" s="2198"/>
      <c r="NSG76" s="2198"/>
      <c r="NSH76" s="2198"/>
      <c r="NSI76" s="2198"/>
      <c r="NSJ76" s="2198"/>
      <c r="NSK76" s="2198"/>
      <c r="NSL76" s="2198"/>
      <c r="NSM76" s="2198"/>
      <c r="NSN76" s="2198"/>
      <c r="NSO76" s="2198"/>
      <c r="NSP76" s="2198"/>
      <c r="NSQ76" s="2198"/>
      <c r="NSR76" s="2198"/>
      <c r="NSS76" s="2198"/>
      <c r="NST76" s="2198"/>
      <c r="NSU76" s="2198"/>
      <c r="NSV76" s="2198"/>
      <c r="NSW76" s="2198"/>
      <c r="NSX76" s="2198"/>
      <c r="NSY76" s="2198"/>
      <c r="NSZ76" s="2198"/>
      <c r="NTA76" s="2198"/>
      <c r="NTB76" s="2198"/>
      <c r="NTC76" s="2198"/>
      <c r="NTD76" s="2198"/>
      <c r="NTE76" s="2198"/>
      <c r="NTF76" s="2198"/>
      <c r="NTG76" s="2198"/>
      <c r="NTH76" s="2198"/>
      <c r="NTI76" s="2198"/>
      <c r="NTJ76" s="2198"/>
      <c r="NTK76" s="2198"/>
      <c r="NTL76" s="2198"/>
      <c r="NTM76" s="2198"/>
      <c r="NTN76" s="2198"/>
      <c r="NTO76" s="2198"/>
      <c r="NTP76" s="2198"/>
      <c r="NTQ76" s="2198"/>
      <c r="NTR76" s="2198"/>
      <c r="NTS76" s="2198"/>
      <c r="NTT76" s="2198"/>
      <c r="NTU76" s="2198"/>
      <c r="NTV76" s="2198"/>
      <c r="NTW76" s="2198"/>
      <c r="NTX76" s="2198"/>
      <c r="NTY76" s="2198"/>
      <c r="NTZ76" s="2198"/>
      <c r="NUA76" s="2198"/>
      <c r="NUB76" s="2198"/>
      <c r="NUC76" s="2198"/>
      <c r="NUD76" s="2198"/>
      <c r="NUE76" s="2198"/>
      <c r="NUF76" s="2198"/>
      <c r="NUG76" s="2198"/>
      <c r="NUH76" s="2198"/>
      <c r="NUI76" s="2198"/>
      <c r="NUJ76" s="2198"/>
      <c r="NUK76" s="2198"/>
      <c r="NUL76" s="2198"/>
      <c r="NUM76" s="2198"/>
      <c r="NUN76" s="2198"/>
      <c r="NUO76" s="2198"/>
      <c r="NUP76" s="2198"/>
      <c r="NUQ76" s="2198"/>
      <c r="NUR76" s="2198"/>
      <c r="NUS76" s="2198"/>
      <c r="NUT76" s="2198"/>
      <c r="NUU76" s="2198"/>
      <c r="NUV76" s="2198"/>
      <c r="NUW76" s="2198"/>
      <c r="NUX76" s="2198"/>
      <c r="NUY76" s="2198"/>
      <c r="NUZ76" s="2198"/>
      <c r="NVA76" s="2198"/>
      <c r="NVB76" s="2198"/>
      <c r="NVC76" s="2198"/>
      <c r="NVD76" s="2198"/>
      <c r="NVE76" s="2198"/>
      <c r="NVF76" s="2198"/>
      <c r="NVG76" s="2198"/>
      <c r="NVH76" s="2198"/>
      <c r="NVI76" s="2198"/>
      <c r="NVJ76" s="2198"/>
      <c r="NVK76" s="2198"/>
      <c r="NVL76" s="2198"/>
      <c r="NVM76" s="2198"/>
      <c r="NVN76" s="2198"/>
      <c r="NVO76" s="2198"/>
      <c r="NVP76" s="2198"/>
      <c r="NVQ76" s="2198"/>
      <c r="NVR76" s="2198"/>
      <c r="NVS76" s="2198"/>
      <c r="NVT76" s="2198"/>
      <c r="NVU76" s="2198"/>
      <c r="NVV76" s="2198"/>
      <c r="NVW76" s="2198"/>
      <c r="NVX76" s="2198"/>
      <c r="NVY76" s="2198"/>
      <c r="NVZ76" s="2198"/>
      <c r="NWA76" s="2198"/>
      <c r="NWB76" s="2198"/>
      <c r="NWC76" s="2198"/>
      <c r="NWD76" s="2198"/>
      <c r="NWE76" s="2198"/>
      <c r="NWF76" s="2198"/>
      <c r="NWG76" s="2198"/>
      <c r="NWH76" s="2198"/>
      <c r="NWI76" s="2198"/>
      <c r="NWJ76" s="2198"/>
      <c r="NWK76" s="2198"/>
      <c r="NWL76" s="2198"/>
      <c r="NWM76" s="2198"/>
      <c r="NWN76" s="2198"/>
      <c r="NWO76" s="2198"/>
      <c r="NWP76" s="2198"/>
      <c r="NWQ76" s="2198"/>
      <c r="NWR76" s="2198"/>
      <c r="NWS76" s="2198"/>
      <c r="NWT76" s="2198"/>
      <c r="NWU76" s="2198"/>
      <c r="NWV76" s="2198"/>
      <c r="NWW76" s="2198"/>
      <c r="NWX76" s="2198"/>
      <c r="NWY76" s="2198"/>
      <c r="NWZ76" s="2198"/>
      <c r="NXA76" s="2198"/>
      <c r="NXB76" s="2198"/>
      <c r="NXC76" s="2198"/>
      <c r="NXD76" s="2198"/>
      <c r="NXE76" s="2198"/>
      <c r="NXF76" s="2198"/>
      <c r="NXG76" s="2198"/>
      <c r="NXH76" s="2198"/>
      <c r="NXI76" s="2198"/>
      <c r="NXJ76" s="2198"/>
      <c r="NXK76" s="2198"/>
      <c r="NXL76" s="2198"/>
      <c r="NXM76" s="2198"/>
      <c r="NXN76" s="2198"/>
      <c r="NXO76" s="2198"/>
      <c r="NXP76" s="2198"/>
      <c r="NXQ76" s="2198"/>
      <c r="NXR76" s="2198"/>
      <c r="NXS76" s="2198"/>
      <c r="NXT76" s="2198"/>
      <c r="NXU76" s="2198"/>
      <c r="NXV76" s="2198"/>
      <c r="NXW76" s="2198"/>
      <c r="NXX76" s="2198"/>
      <c r="NXY76" s="2198"/>
      <c r="NXZ76" s="2198"/>
      <c r="NYA76" s="2198"/>
      <c r="NYB76" s="2198"/>
      <c r="NYC76" s="2198"/>
      <c r="NYD76" s="2198"/>
      <c r="NYE76" s="2198"/>
      <c r="NYF76" s="2198"/>
      <c r="NYG76" s="2198"/>
      <c r="NYH76" s="2198"/>
      <c r="NYI76" s="2198"/>
      <c r="NYJ76" s="2198"/>
      <c r="NYK76" s="2198"/>
      <c r="NYL76" s="2198"/>
      <c r="NYM76" s="2198"/>
      <c r="NYN76" s="2198"/>
      <c r="NYO76" s="2198"/>
      <c r="NYP76" s="2198"/>
      <c r="NYQ76" s="2198"/>
      <c r="NYR76" s="2198"/>
      <c r="NYS76" s="2198"/>
      <c r="NYT76" s="2198"/>
      <c r="NYU76" s="2198"/>
      <c r="NYV76" s="2198"/>
      <c r="NYW76" s="2198"/>
      <c r="NYX76" s="2198"/>
      <c r="NYY76" s="2198"/>
      <c r="NYZ76" s="2198"/>
      <c r="NZA76" s="2198"/>
      <c r="NZB76" s="2198"/>
      <c r="NZC76" s="2198"/>
      <c r="NZD76" s="2198"/>
      <c r="NZE76" s="2198"/>
      <c r="NZF76" s="2198"/>
      <c r="NZG76" s="2198"/>
      <c r="NZH76" s="2198"/>
      <c r="NZI76" s="2198"/>
      <c r="NZJ76" s="2198"/>
      <c r="NZK76" s="2198"/>
      <c r="NZL76" s="2198"/>
      <c r="NZM76" s="2198"/>
      <c r="NZN76" s="2198"/>
      <c r="NZO76" s="2198"/>
      <c r="NZP76" s="2198"/>
      <c r="NZQ76" s="2198"/>
      <c r="NZR76" s="2198"/>
      <c r="NZS76" s="2198"/>
      <c r="NZT76" s="2198"/>
      <c r="NZU76" s="2198"/>
      <c r="NZV76" s="2198"/>
      <c r="NZW76" s="2198"/>
      <c r="NZX76" s="2198"/>
      <c r="NZY76" s="2198"/>
      <c r="NZZ76" s="2198"/>
      <c r="OAA76" s="2198"/>
      <c r="OAB76" s="2198"/>
      <c r="OAC76" s="2198"/>
      <c r="OAD76" s="2198"/>
      <c r="OAE76" s="2198"/>
      <c r="OAF76" s="2198"/>
      <c r="OAG76" s="2198"/>
      <c r="OAH76" s="2198"/>
      <c r="OAI76" s="2198"/>
      <c r="OAJ76" s="2198"/>
      <c r="OAK76" s="2198"/>
      <c r="OAL76" s="2198"/>
      <c r="OAM76" s="2198"/>
      <c r="OAN76" s="2198"/>
      <c r="OAO76" s="2198"/>
      <c r="OAP76" s="2198"/>
      <c r="OAQ76" s="2198"/>
      <c r="OAR76" s="2198"/>
      <c r="OAS76" s="2198"/>
      <c r="OAT76" s="2198"/>
      <c r="OAU76" s="2198"/>
      <c r="OAV76" s="2198"/>
      <c r="OAW76" s="2198"/>
      <c r="OAX76" s="2198"/>
      <c r="OAY76" s="2198"/>
      <c r="OAZ76" s="2198"/>
      <c r="OBA76" s="2198"/>
      <c r="OBB76" s="2198"/>
      <c r="OBC76" s="2198"/>
      <c r="OBD76" s="2198"/>
      <c r="OBE76" s="2198"/>
      <c r="OBF76" s="2198"/>
      <c r="OBG76" s="2198"/>
      <c r="OBH76" s="2198"/>
      <c r="OBI76" s="2198"/>
      <c r="OBJ76" s="2198"/>
      <c r="OBK76" s="2198"/>
      <c r="OBL76" s="2198"/>
      <c r="OBM76" s="2198"/>
      <c r="OBN76" s="2198"/>
      <c r="OBO76" s="2198"/>
      <c r="OBP76" s="2198"/>
      <c r="OBQ76" s="2198"/>
      <c r="OBR76" s="2198"/>
      <c r="OBS76" s="2198"/>
      <c r="OBT76" s="2198"/>
      <c r="OBU76" s="2198"/>
      <c r="OBV76" s="2198"/>
      <c r="OBW76" s="2198"/>
      <c r="OBX76" s="2198"/>
      <c r="OBY76" s="2198"/>
      <c r="OBZ76" s="2198"/>
      <c r="OCA76" s="2198"/>
      <c r="OCB76" s="2198"/>
      <c r="OCC76" s="2198"/>
      <c r="OCD76" s="2198"/>
      <c r="OCE76" s="2198"/>
      <c r="OCF76" s="2198"/>
      <c r="OCG76" s="2198"/>
      <c r="OCH76" s="2198"/>
      <c r="OCI76" s="2198"/>
      <c r="OCJ76" s="2198"/>
      <c r="OCK76" s="2198"/>
      <c r="OCL76" s="2198"/>
      <c r="OCM76" s="2198"/>
      <c r="OCN76" s="2198"/>
      <c r="OCO76" s="2198"/>
      <c r="OCP76" s="2198"/>
      <c r="OCQ76" s="2198"/>
      <c r="OCR76" s="2198"/>
      <c r="OCS76" s="2198"/>
      <c r="OCT76" s="2198"/>
      <c r="OCU76" s="2198"/>
      <c r="OCV76" s="2198"/>
      <c r="OCW76" s="2198"/>
      <c r="OCX76" s="2198"/>
      <c r="OCY76" s="2198"/>
      <c r="OCZ76" s="2198"/>
      <c r="ODA76" s="2198"/>
      <c r="ODB76" s="2198"/>
      <c r="ODC76" s="2198"/>
      <c r="ODD76" s="2198"/>
      <c r="ODE76" s="2198"/>
      <c r="ODF76" s="2198"/>
      <c r="ODG76" s="2198"/>
      <c r="ODH76" s="2198"/>
      <c r="ODI76" s="2198"/>
      <c r="ODJ76" s="2198"/>
      <c r="ODK76" s="2198"/>
      <c r="ODL76" s="2198"/>
      <c r="ODM76" s="2198"/>
      <c r="ODN76" s="2198"/>
      <c r="ODO76" s="2198"/>
      <c r="ODP76" s="2198"/>
      <c r="ODQ76" s="2198"/>
      <c r="ODR76" s="2198"/>
      <c r="ODS76" s="2198"/>
      <c r="ODT76" s="2198"/>
      <c r="ODU76" s="2198"/>
      <c r="ODV76" s="2198"/>
      <c r="ODW76" s="2198"/>
      <c r="ODX76" s="2198"/>
      <c r="ODY76" s="2198"/>
      <c r="ODZ76" s="2198"/>
      <c r="OEA76" s="2198"/>
      <c r="OEB76" s="2198"/>
      <c r="OEC76" s="2198"/>
      <c r="OED76" s="2198"/>
      <c r="OEE76" s="2198"/>
      <c r="OEF76" s="2198"/>
      <c r="OEG76" s="2198"/>
      <c r="OEH76" s="2198"/>
      <c r="OEI76" s="2198"/>
      <c r="OEJ76" s="2198"/>
      <c r="OEK76" s="2198"/>
      <c r="OEL76" s="2198"/>
      <c r="OEM76" s="2198"/>
      <c r="OEN76" s="2198"/>
      <c r="OEO76" s="2198"/>
      <c r="OEP76" s="2198"/>
      <c r="OEQ76" s="2198"/>
      <c r="OER76" s="2198"/>
      <c r="OES76" s="2198"/>
      <c r="OET76" s="2198"/>
      <c r="OEU76" s="2198"/>
      <c r="OEV76" s="2198"/>
      <c r="OEW76" s="2198"/>
      <c r="OEX76" s="2198"/>
      <c r="OEY76" s="2198"/>
      <c r="OEZ76" s="2198"/>
      <c r="OFA76" s="2198"/>
      <c r="OFB76" s="2198"/>
      <c r="OFC76" s="2198"/>
      <c r="OFD76" s="2198"/>
      <c r="OFE76" s="2198"/>
      <c r="OFF76" s="2198"/>
      <c r="OFG76" s="2198"/>
      <c r="OFH76" s="2198"/>
      <c r="OFI76" s="2198"/>
      <c r="OFJ76" s="2198"/>
      <c r="OFK76" s="2198"/>
      <c r="OFL76" s="2198"/>
      <c r="OFM76" s="2198"/>
      <c r="OFN76" s="2198"/>
      <c r="OFO76" s="2198"/>
      <c r="OFP76" s="2198"/>
      <c r="OFQ76" s="2198"/>
      <c r="OFR76" s="2198"/>
      <c r="OFS76" s="2198"/>
      <c r="OFT76" s="2198"/>
      <c r="OFU76" s="2198"/>
      <c r="OFV76" s="2198"/>
      <c r="OFW76" s="2198"/>
      <c r="OFX76" s="2198"/>
      <c r="OFY76" s="2198"/>
      <c r="OFZ76" s="2198"/>
      <c r="OGA76" s="2198"/>
      <c r="OGB76" s="2198"/>
      <c r="OGC76" s="2198"/>
      <c r="OGD76" s="2198"/>
      <c r="OGE76" s="2198"/>
      <c r="OGF76" s="2198"/>
      <c r="OGG76" s="2198"/>
      <c r="OGH76" s="2198"/>
      <c r="OGI76" s="2198"/>
      <c r="OGJ76" s="2198"/>
      <c r="OGK76" s="2198"/>
      <c r="OGL76" s="2198"/>
      <c r="OGM76" s="2198"/>
      <c r="OGN76" s="2198"/>
      <c r="OGO76" s="2198"/>
      <c r="OGP76" s="2198"/>
      <c r="OGQ76" s="2198"/>
      <c r="OGR76" s="2198"/>
      <c r="OGS76" s="2198"/>
      <c r="OGT76" s="2198"/>
      <c r="OGU76" s="2198"/>
      <c r="OGV76" s="2198"/>
      <c r="OGW76" s="2198"/>
      <c r="OGX76" s="2198"/>
      <c r="OGY76" s="2198"/>
      <c r="OGZ76" s="2198"/>
      <c r="OHA76" s="2198"/>
      <c r="OHB76" s="2198"/>
      <c r="OHC76" s="2198"/>
      <c r="OHD76" s="2198"/>
      <c r="OHE76" s="2198"/>
      <c r="OHF76" s="2198"/>
      <c r="OHG76" s="2198"/>
      <c r="OHH76" s="2198"/>
      <c r="OHI76" s="2198"/>
      <c r="OHJ76" s="2198"/>
      <c r="OHK76" s="2198"/>
      <c r="OHL76" s="2198"/>
      <c r="OHM76" s="2198"/>
      <c r="OHN76" s="2198"/>
      <c r="OHO76" s="2198"/>
      <c r="OHP76" s="2198"/>
      <c r="OHQ76" s="2198"/>
      <c r="OHR76" s="2198"/>
      <c r="OHS76" s="2198"/>
      <c r="OHT76" s="2198"/>
      <c r="OHU76" s="2198"/>
      <c r="OHV76" s="2198"/>
      <c r="OHW76" s="2198"/>
      <c r="OHX76" s="2198"/>
      <c r="OHY76" s="2198"/>
      <c r="OHZ76" s="2198"/>
      <c r="OIA76" s="2198"/>
      <c r="OIB76" s="2198"/>
      <c r="OIC76" s="2198"/>
      <c r="OID76" s="2198"/>
      <c r="OIE76" s="2198"/>
      <c r="OIF76" s="2198"/>
      <c r="OIG76" s="2198"/>
      <c r="OIH76" s="2198"/>
      <c r="OII76" s="2198"/>
      <c r="OIJ76" s="2198"/>
      <c r="OIK76" s="2198"/>
      <c r="OIL76" s="2198"/>
      <c r="OIM76" s="2198"/>
      <c r="OIN76" s="2198"/>
      <c r="OIO76" s="2198"/>
      <c r="OIP76" s="2198"/>
      <c r="OIQ76" s="2198"/>
      <c r="OIR76" s="2198"/>
      <c r="OIS76" s="2198"/>
      <c r="OIT76" s="2198"/>
      <c r="OIU76" s="2198"/>
      <c r="OIV76" s="2198"/>
      <c r="OIW76" s="2198"/>
      <c r="OIX76" s="2198"/>
      <c r="OIY76" s="2198"/>
      <c r="OIZ76" s="2198"/>
      <c r="OJA76" s="2198"/>
      <c r="OJB76" s="2198"/>
      <c r="OJC76" s="2198"/>
      <c r="OJD76" s="2198"/>
      <c r="OJE76" s="2198"/>
      <c r="OJF76" s="2198"/>
      <c r="OJG76" s="2198"/>
      <c r="OJH76" s="2198"/>
      <c r="OJI76" s="2198"/>
      <c r="OJJ76" s="2198"/>
      <c r="OJK76" s="2198"/>
      <c r="OJL76" s="2198"/>
      <c r="OJM76" s="2198"/>
      <c r="OJN76" s="2198"/>
      <c r="OJO76" s="2198"/>
      <c r="OJP76" s="2198"/>
      <c r="OJQ76" s="2198"/>
      <c r="OJR76" s="2198"/>
      <c r="OJS76" s="2198"/>
      <c r="OJT76" s="2198"/>
      <c r="OJU76" s="2198"/>
      <c r="OJV76" s="2198"/>
      <c r="OJW76" s="2198"/>
      <c r="OJX76" s="2198"/>
      <c r="OJY76" s="2198"/>
      <c r="OJZ76" s="2198"/>
      <c r="OKA76" s="2198"/>
      <c r="OKB76" s="2198"/>
      <c r="OKC76" s="2198"/>
      <c r="OKD76" s="2198"/>
      <c r="OKE76" s="2198"/>
      <c r="OKF76" s="2198"/>
      <c r="OKG76" s="2198"/>
      <c r="OKH76" s="2198"/>
      <c r="OKI76" s="2198"/>
      <c r="OKJ76" s="2198"/>
      <c r="OKK76" s="2198"/>
      <c r="OKL76" s="2198"/>
      <c r="OKM76" s="2198"/>
      <c r="OKN76" s="2198"/>
      <c r="OKO76" s="2198"/>
      <c r="OKP76" s="2198"/>
      <c r="OKQ76" s="2198"/>
      <c r="OKR76" s="2198"/>
      <c r="OKS76" s="2198"/>
      <c r="OKT76" s="2198"/>
      <c r="OKU76" s="2198"/>
      <c r="OKV76" s="2198"/>
      <c r="OKW76" s="2198"/>
      <c r="OKX76" s="2198"/>
      <c r="OKY76" s="2198"/>
      <c r="OKZ76" s="2198"/>
      <c r="OLA76" s="2198"/>
      <c r="OLB76" s="2198"/>
      <c r="OLC76" s="2198"/>
      <c r="OLD76" s="2198"/>
      <c r="OLE76" s="2198"/>
      <c r="OLF76" s="2198"/>
      <c r="OLG76" s="2198"/>
      <c r="OLH76" s="2198"/>
      <c r="OLI76" s="2198"/>
      <c r="OLJ76" s="2198"/>
      <c r="OLK76" s="2198"/>
      <c r="OLL76" s="2198"/>
      <c r="OLM76" s="2198"/>
      <c r="OLN76" s="2198"/>
      <c r="OLO76" s="2198"/>
      <c r="OLP76" s="2198"/>
      <c r="OLQ76" s="2198"/>
      <c r="OLR76" s="2198"/>
      <c r="OLS76" s="2198"/>
      <c r="OLT76" s="2198"/>
      <c r="OLU76" s="2198"/>
      <c r="OLV76" s="2198"/>
      <c r="OLW76" s="2198"/>
      <c r="OLX76" s="2198"/>
      <c r="OLY76" s="2198"/>
      <c r="OLZ76" s="2198"/>
      <c r="OMA76" s="2198"/>
      <c r="OMB76" s="2198"/>
      <c r="OMC76" s="2198"/>
      <c r="OMD76" s="2198"/>
      <c r="OME76" s="2198"/>
      <c r="OMF76" s="2198"/>
      <c r="OMG76" s="2198"/>
      <c r="OMH76" s="2198"/>
      <c r="OMI76" s="2198"/>
      <c r="OMJ76" s="2198"/>
      <c r="OMK76" s="2198"/>
      <c r="OML76" s="2198"/>
      <c r="OMM76" s="2198"/>
      <c r="OMN76" s="2198"/>
      <c r="OMO76" s="2198"/>
      <c r="OMP76" s="2198"/>
      <c r="OMQ76" s="2198"/>
      <c r="OMR76" s="2198"/>
      <c r="OMS76" s="2198"/>
      <c r="OMT76" s="2198"/>
      <c r="OMU76" s="2198"/>
      <c r="OMV76" s="2198"/>
      <c r="OMW76" s="2198"/>
      <c r="OMX76" s="2198"/>
      <c r="OMY76" s="2198"/>
      <c r="OMZ76" s="2198"/>
      <c r="ONA76" s="2198"/>
      <c r="ONB76" s="2198"/>
      <c r="ONC76" s="2198"/>
      <c r="OND76" s="2198"/>
      <c r="ONE76" s="2198"/>
      <c r="ONF76" s="2198"/>
      <c r="ONG76" s="2198"/>
      <c r="ONH76" s="2198"/>
      <c r="ONI76" s="2198"/>
      <c r="ONJ76" s="2198"/>
      <c r="ONK76" s="2198"/>
      <c r="ONL76" s="2198"/>
      <c r="ONM76" s="2198"/>
      <c r="ONN76" s="2198"/>
      <c r="ONO76" s="2198"/>
      <c r="ONP76" s="2198"/>
      <c r="ONQ76" s="2198"/>
      <c r="ONR76" s="2198"/>
      <c r="ONS76" s="2198"/>
      <c r="ONT76" s="2198"/>
      <c r="ONU76" s="2198"/>
      <c r="ONV76" s="2198"/>
      <c r="ONW76" s="2198"/>
      <c r="ONX76" s="2198"/>
      <c r="ONY76" s="2198"/>
      <c r="ONZ76" s="2198"/>
      <c r="OOA76" s="2198"/>
      <c r="OOB76" s="2198"/>
      <c r="OOC76" s="2198"/>
      <c r="OOD76" s="2198"/>
      <c r="OOE76" s="2198"/>
      <c r="OOF76" s="2198"/>
      <c r="OOG76" s="2198"/>
      <c r="OOH76" s="2198"/>
      <c r="OOI76" s="2198"/>
      <c r="OOJ76" s="2198"/>
      <c r="OOK76" s="2198"/>
      <c r="OOL76" s="2198"/>
      <c r="OOM76" s="2198"/>
      <c r="OON76" s="2198"/>
      <c r="OOO76" s="2198"/>
      <c r="OOP76" s="2198"/>
      <c r="OOQ76" s="2198"/>
      <c r="OOR76" s="2198"/>
      <c r="OOS76" s="2198"/>
      <c r="OOT76" s="2198"/>
      <c r="OOU76" s="2198"/>
      <c r="OOV76" s="2198"/>
      <c r="OOW76" s="2198"/>
      <c r="OOX76" s="2198"/>
      <c r="OOY76" s="2198"/>
      <c r="OOZ76" s="2198"/>
      <c r="OPA76" s="2198"/>
      <c r="OPB76" s="2198"/>
      <c r="OPC76" s="2198"/>
      <c r="OPD76" s="2198"/>
      <c r="OPE76" s="2198"/>
      <c r="OPF76" s="2198"/>
      <c r="OPG76" s="2198"/>
      <c r="OPH76" s="2198"/>
      <c r="OPI76" s="2198"/>
      <c r="OPJ76" s="2198"/>
      <c r="OPK76" s="2198"/>
      <c r="OPL76" s="2198"/>
      <c r="OPM76" s="2198"/>
      <c r="OPN76" s="2198"/>
      <c r="OPO76" s="2198"/>
      <c r="OPP76" s="2198"/>
      <c r="OPQ76" s="2198"/>
      <c r="OPR76" s="2198"/>
      <c r="OPS76" s="2198"/>
      <c r="OPT76" s="2198"/>
      <c r="OPU76" s="2198"/>
      <c r="OPV76" s="2198"/>
      <c r="OPW76" s="2198"/>
      <c r="OPX76" s="2198"/>
      <c r="OPY76" s="2198"/>
      <c r="OPZ76" s="2198"/>
      <c r="OQA76" s="2198"/>
      <c r="OQB76" s="2198"/>
      <c r="OQC76" s="2198"/>
      <c r="OQD76" s="2198"/>
      <c r="OQE76" s="2198"/>
      <c r="OQF76" s="2198"/>
      <c r="OQG76" s="2198"/>
      <c r="OQH76" s="2198"/>
      <c r="OQI76" s="2198"/>
      <c r="OQJ76" s="2198"/>
      <c r="OQK76" s="2198"/>
      <c r="OQL76" s="2198"/>
      <c r="OQM76" s="2198"/>
      <c r="OQN76" s="2198"/>
      <c r="OQO76" s="2198"/>
      <c r="OQP76" s="2198"/>
      <c r="OQQ76" s="2198"/>
      <c r="OQR76" s="2198"/>
      <c r="OQS76" s="2198"/>
      <c r="OQT76" s="2198"/>
      <c r="OQU76" s="2198"/>
      <c r="OQV76" s="2198"/>
      <c r="OQW76" s="2198"/>
      <c r="OQX76" s="2198"/>
      <c r="OQY76" s="2198"/>
      <c r="OQZ76" s="2198"/>
      <c r="ORA76" s="2198"/>
      <c r="ORB76" s="2198"/>
      <c r="ORC76" s="2198"/>
      <c r="ORD76" s="2198"/>
      <c r="ORE76" s="2198"/>
      <c r="ORF76" s="2198"/>
      <c r="ORG76" s="2198"/>
      <c r="ORH76" s="2198"/>
      <c r="ORI76" s="2198"/>
      <c r="ORJ76" s="2198"/>
      <c r="ORK76" s="2198"/>
      <c r="ORL76" s="2198"/>
      <c r="ORM76" s="2198"/>
      <c r="ORN76" s="2198"/>
      <c r="ORO76" s="2198"/>
      <c r="ORP76" s="2198"/>
      <c r="ORQ76" s="2198"/>
      <c r="ORR76" s="2198"/>
      <c r="ORS76" s="2198"/>
      <c r="ORT76" s="2198"/>
      <c r="ORU76" s="2198"/>
      <c r="ORV76" s="2198"/>
      <c r="ORW76" s="2198"/>
      <c r="ORX76" s="2198"/>
      <c r="ORY76" s="2198"/>
      <c r="ORZ76" s="2198"/>
      <c r="OSA76" s="2198"/>
      <c r="OSB76" s="2198"/>
      <c r="OSC76" s="2198"/>
      <c r="OSD76" s="2198"/>
      <c r="OSE76" s="2198"/>
      <c r="OSF76" s="2198"/>
      <c r="OSG76" s="2198"/>
      <c r="OSH76" s="2198"/>
      <c r="OSI76" s="2198"/>
      <c r="OSJ76" s="2198"/>
      <c r="OSK76" s="2198"/>
      <c r="OSL76" s="2198"/>
      <c r="OSM76" s="2198"/>
      <c r="OSN76" s="2198"/>
      <c r="OSO76" s="2198"/>
      <c r="OSP76" s="2198"/>
      <c r="OSQ76" s="2198"/>
      <c r="OSR76" s="2198"/>
      <c r="OSS76" s="2198"/>
      <c r="OST76" s="2198"/>
      <c r="OSU76" s="2198"/>
      <c r="OSV76" s="2198"/>
      <c r="OSW76" s="2198"/>
      <c r="OSX76" s="2198"/>
      <c r="OSY76" s="2198"/>
      <c r="OSZ76" s="2198"/>
      <c r="OTA76" s="2198"/>
      <c r="OTB76" s="2198"/>
      <c r="OTC76" s="2198"/>
      <c r="OTD76" s="2198"/>
      <c r="OTE76" s="2198"/>
      <c r="OTF76" s="2198"/>
      <c r="OTG76" s="2198"/>
      <c r="OTH76" s="2198"/>
      <c r="OTI76" s="2198"/>
      <c r="OTJ76" s="2198"/>
      <c r="OTK76" s="2198"/>
      <c r="OTL76" s="2198"/>
      <c r="OTM76" s="2198"/>
      <c r="OTN76" s="2198"/>
      <c r="OTO76" s="2198"/>
      <c r="OTP76" s="2198"/>
      <c r="OTQ76" s="2198"/>
      <c r="OTR76" s="2198"/>
      <c r="OTS76" s="2198"/>
      <c r="OTT76" s="2198"/>
      <c r="OTU76" s="2198"/>
      <c r="OTV76" s="2198"/>
      <c r="OTW76" s="2198"/>
      <c r="OTX76" s="2198"/>
      <c r="OTY76" s="2198"/>
      <c r="OTZ76" s="2198"/>
      <c r="OUA76" s="2198"/>
      <c r="OUB76" s="2198"/>
      <c r="OUC76" s="2198"/>
      <c r="OUD76" s="2198"/>
      <c r="OUE76" s="2198"/>
      <c r="OUF76" s="2198"/>
      <c r="OUG76" s="2198"/>
      <c r="OUH76" s="2198"/>
      <c r="OUI76" s="2198"/>
      <c r="OUJ76" s="2198"/>
      <c r="OUK76" s="2198"/>
      <c r="OUL76" s="2198"/>
      <c r="OUM76" s="2198"/>
      <c r="OUN76" s="2198"/>
      <c r="OUO76" s="2198"/>
      <c r="OUP76" s="2198"/>
      <c r="OUQ76" s="2198"/>
      <c r="OUR76" s="2198"/>
      <c r="OUS76" s="2198"/>
      <c r="OUT76" s="2198"/>
      <c r="OUU76" s="2198"/>
      <c r="OUV76" s="2198"/>
      <c r="OUW76" s="2198"/>
      <c r="OUX76" s="2198"/>
      <c r="OUY76" s="2198"/>
      <c r="OUZ76" s="2198"/>
      <c r="OVA76" s="2198"/>
      <c r="OVB76" s="2198"/>
      <c r="OVC76" s="2198"/>
      <c r="OVD76" s="2198"/>
      <c r="OVE76" s="2198"/>
      <c r="OVF76" s="2198"/>
      <c r="OVG76" s="2198"/>
      <c r="OVH76" s="2198"/>
      <c r="OVI76" s="2198"/>
      <c r="OVJ76" s="2198"/>
      <c r="OVK76" s="2198"/>
      <c r="OVL76" s="2198"/>
      <c r="OVM76" s="2198"/>
      <c r="OVN76" s="2198"/>
      <c r="OVO76" s="2198"/>
      <c r="OVP76" s="2198"/>
      <c r="OVQ76" s="2198"/>
      <c r="OVR76" s="2198"/>
      <c r="OVS76" s="2198"/>
      <c r="OVT76" s="2198"/>
      <c r="OVU76" s="2198"/>
      <c r="OVV76" s="2198"/>
      <c r="OVW76" s="2198"/>
      <c r="OVX76" s="2198"/>
      <c r="OVY76" s="2198"/>
      <c r="OVZ76" s="2198"/>
      <c r="OWA76" s="2198"/>
      <c r="OWB76" s="2198"/>
      <c r="OWC76" s="2198"/>
      <c r="OWD76" s="2198"/>
      <c r="OWE76" s="2198"/>
      <c r="OWF76" s="2198"/>
      <c r="OWG76" s="2198"/>
      <c r="OWH76" s="2198"/>
      <c r="OWI76" s="2198"/>
      <c r="OWJ76" s="2198"/>
      <c r="OWK76" s="2198"/>
      <c r="OWL76" s="2198"/>
      <c r="OWM76" s="2198"/>
      <c r="OWN76" s="2198"/>
      <c r="OWO76" s="2198"/>
      <c r="OWP76" s="2198"/>
      <c r="OWQ76" s="2198"/>
      <c r="OWR76" s="2198"/>
      <c r="OWS76" s="2198"/>
      <c r="OWT76" s="2198"/>
      <c r="OWU76" s="2198"/>
      <c r="OWV76" s="2198"/>
      <c r="OWW76" s="2198"/>
      <c r="OWX76" s="2198"/>
      <c r="OWY76" s="2198"/>
      <c r="OWZ76" s="2198"/>
      <c r="OXA76" s="2198"/>
      <c r="OXB76" s="2198"/>
      <c r="OXC76" s="2198"/>
      <c r="OXD76" s="2198"/>
      <c r="OXE76" s="2198"/>
      <c r="OXF76" s="2198"/>
      <c r="OXG76" s="2198"/>
      <c r="OXH76" s="2198"/>
      <c r="OXI76" s="2198"/>
      <c r="OXJ76" s="2198"/>
      <c r="OXK76" s="2198"/>
      <c r="OXL76" s="2198"/>
      <c r="OXM76" s="2198"/>
      <c r="OXN76" s="2198"/>
      <c r="OXO76" s="2198"/>
      <c r="OXP76" s="2198"/>
      <c r="OXQ76" s="2198"/>
      <c r="OXR76" s="2198"/>
      <c r="OXS76" s="2198"/>
      <c r="OXT76" s="2198"/>
      <c r="OXU76" s="2198"/>
      <c r="OXV76" s="2198"/>
      <c r="OXW76" s="2198"/>
      <c r="OXX76" s="2198"/>
      <c r="OXY76" s="2198"/>
      <c r="OXZ76" s="2198"/>
      <c r="OYA76" s="2198"/>
      <c r="OYB76" s="2198"/>
      <c r="OYC76" s="2198"/>
      <c r="OYD76" s="2198"/>
      <c r="OYE76" s="2198"/>
      <c r="OYF76" s="2198"/>
      <c r="OYG76" s="2198"/>
      <c r="OYH76" s="2198"/>
      <c r="OYI76" s="2198"/>
      <c r="OYJ76" s="2198"/>
      <c r="OYK76" s="2198"/>
      <c r="OYL76" s="2198"/>
      <c r="OYM76" s="2198"/>
      <c r="OYN76" s="2198"/>
      <c r="OYO76" s="2198"/>
      <c r="OYP76" s="2198"/>
      <c r="OYQ76" s="2198"/>
      <c r="OYR76" s="2198"/>
      <c r="OYS76" s="2198"/>
      <c r="OYT76" s="2198"/>
      <c r="OYU76" s="2198"/>
      <c r="OYV76" s="2198"/>
      <c r="OYW76" s="2198"/>
      <c r="OYX76" s="2198"/>
      <c r="OYY76" s="2198"/>
      <c r="OYZ76" s="2198"/>
      <c r="OZA76" s="2198"/>
      <c r="OZB76" s="2198"/>
      <c r="OZC76" s="2198"/>
      <c r="OZD76" s="2198"/>
      <c r="OZE76" s="2198"/>
      <c r="OZF76" s="2198"/>
      <c r="OZG76" s="2198"/>
      <c r="OZH76" s="2198"/>
      <c r="OZI76" s="2198"/>
      <c r="OZJ76" s="2198"/>
      <c r="OZK76" s="2198"/>
      <c r="OZL76" s="2198"/>
      <c r="OZM76" s="2198"/>
      <c r="OZN76" s="2198"/>
      <c r="OZO76" s="2198"/>
      <c r="OZP76" s="2198"/>
      <c r="OZQ76" s="2198"/>
      <c r="OZR76" s="2198"/>
      <c r="OZS76" s="2198"/>
      <c r="OZT76" s="2198"/>
      <c r="OZU76" s="2198"/>
      <c r="OZV76" s="2198"/>
      <c r="OZW76" s="2198"/>
      <c r="OZX76" s="2198"/>
      <c r="OZY76" s="2198"/>
      <c r="OZZ76" s="2198"/>
      <c r="PAA76" s="2198"/>
      <c r="PAB76" s="2198"/>
      <c r="PAC76" s="2198"/>
      <c r="PAD76" s="2198"/>
      <c r="PAE76" s="2198"/>
      <c r="PAF76" s="2198"/>
      <c r="PAG76" s="2198"/>
      <c r="PAH76" s="2198"/>
      <c r="PAI76" s="2198"/>
      <c r="PAJ76" s="2198"/>
      <c r="PAK76" s="2198"/>
      <c r="PAL76" s="2198"/>
      <c r="PAM76" s="2198"/>
      <c r="PAN76" s="2198"/>
      <c r="PAO76" s="2198"/>
      <c r="PAP76" s="2198"/>
      <c r="PAQ76" s="2198"/>
      <c r="PAR76" s="2198"/>
      <c r="PAS76" s="2198"/>
      <c r="PAT76" s="2198"/>
      <c r="PAU76" s="2198"/>
      <c r="PAV76" s="2198"/>
      <c r="PAW76" s="2198"/>
      <c r="PAX76" s="2198"/>
      <c r="PAY76" s="2198"/>
      <c r="PAZ76" s="2198"/>
      <c r="PBA76" s="2198"/>
      <c r="PBB76" s="2198"/>
      <c r="PBC76" s="2198"/>
      <c r="PBD76" s="2198"/>
      <c r="PBE76" s="2198"/>
      <c r="PBF76" s="2198"/>
      <c r="PBG76" s="2198"/>
      <c r="PBH76" s="2198"/>
      <c r="PBI76" s="2198"/>
      <c r="PBJ76" s="2198"/>
      <c r="PBK76" s="2198"/>
      <c r="PBL76" s="2198"/>
      <c r="PBM76" s="2198"/>
      <c r="PBN76" s="2198"/>
      <c r="PBO76" s="2198"/>
      <c r="PBP76" s="2198"/>
      <c r="PBQ76" s="2198"/>
      <c r="PBR76" s="2198"/>
      <c r="PBS76" s="2198"/>
      <c r="PBT76" s="2198"/>
      <c r="PBU76" s="2198"/>
      <c r="PBV76" s="2198"/>
      <c r="PBW76" s="2198"/>
      <c r="PBX76" s="2198"/>
      <c r="PBY76" s="2198"/>
      <c r="PBZ76" s="2198"/>
      <c r="PCA76" s="2198"/>
      <c r="PCB76" s="2198"/>
      <c r="PCC76" s="2198"/>
      <c r="PCD76" s="2198"/>
      <c r="PCE76" s="2198"/>
      <c r="PCF76" s="2198"/>
      <c r="PCG76" s="2198"/>
      <c r="PCH76" s="2198"/>
      <c r="PCI76" s="2198"/>
      <c r="PCJ76" s="2198"/>
      <c r="PCK76" s="2198"/>
      <c r="PCL76" s="2198"/>
      <c r="PCM76" s="2198"/>
      <c r="PCN76" s="2198"/>
      <c r="PCO76" s="2198"/>
      <c r="PCP76" s="2198"/>
      <c r="PCQ76" s="2198"/>
      <c r="PCR76" s="2198"/>
      <c r="PCS76" s="2198"/>
      <c r="PCT76" s="2198"/>
      <c r="PCU76" s="2198"/>
      <c r="PCV76" s="2198"/>
      <c r="PCW76" s="2198"/>
      <c r="PCX76" s="2198"/>
      <c r="PCY76" s="2198"/>
      <c r="PCZ76" s="2198"/>
      <c r="PDA76" s="2198"/>
      <c r="PDB76" s="2198"/>
      <c r="PDC76" s="2198"/>
      <c r="PDD76" s="2198"/>
      <c r="PDE76" s="2198"/>
      <c r="PDF76" s="2198"/>
      <c r="PDG76" s="2198"/>
      <c r="PDH76" s="2198"/>
      <c r="PDI76" s="2198"/>
      <c r="PDJ76" s="2198"/>
      <c r="PDK76" s="2198"/>
      <c r="PDL76" s="2198"/>
      <c r="PDM76" s="2198"/>
      <c r="PDN76" s="2198"/>
      <c r="PDO76" s="2198"/>
      <c r="PDP76" s="2198"/>
      <c r="PDQ76" s="2198"/>
      <c r="PDR76" s="2198"/>
      <c r="PDS76" s="2198"/>
      <c r="PDT76" s="2198"/>
      <c r="PDU76" s="2198"/>
      <c r="PDV76" s="2198"/>
      <c r="PDW76" s="2198"/>
      <c r="PDX76" s="2198"/>
      <c r="PDY76" s="2198"/>
      <c r="PDZ76" s="2198"/>
      <c r="PEA76" s="2198"/>
      <c r="PEB76" s="2198"/>
      <c r="PEC76" s="2198"/>
      <c r="PED76" s="2198"/>
      <c r="PEE76" s="2198"/>
      <c r="PEF76" s="2198"/>
      <c r="PEG76" s="2198"/>
      <c r="PEH76" s="2198"/>
      <c r="PEI76" s="2198"/>
      <c r="PEJ76" s="2198"/>
      <c r="PEK76" s="2198"/>
      <c r="PEL76" s="2198"/>
      <c r="PEM76" s="2198"/>
      <c r="PEN76" s="2198"/>
      <c r="PEO76" s="2198"/>
      <c r="PEP76" s="2198"/>
      <c r="PEQ76" s="2198"/>
      <c r="PER76" s="2198"/>
      <c r="PES76" s="2198"/>
      <c r="PET76" s="2198"/>
      <c r="PEU76" s="2198"/>
      <c r="PEV76" s="2198"/>
      <c r="PEW76" s="2198"/>
      <c r="PEX76" s="2198"/>
      <c r="PEY76" s="2198"/>
      <c r="PEZ76" s="2198"/>
      <c r="PFA76" s="2198"/>
      <c r="PFB76" s="2198"/>
      <c r="PFC76" s="2198"/>
      <c r="PFD76" s="2198"/>
      <c r="PFE76" s="2198"/>
      <c r="PFF76" s="2198"/>
      <c r="PFG76" s="2198"/>
      <c r="PFH76" s="2198"/>
      <c r="PFI76" s="2198"/>
      <c r="PFJ76" s="2198"/>
      <c r="PFK76" s="2198"/>
      <c r="PFL76" s="2198"/>
      <c r="PFM76" s="2198"/>
      <c r="PFN76" s="2198"/>
      <c r="PFO76" s="2198"/>
      <c r="PFP76" s="2198"/>
      <c r="PFQ76" s="2198"/>
      <c r="PFR76" s="2198"/>
      <c r="PFS76" s="2198"/>
      <c r="PFT76" s="2198"/>
      <c r="PFU76" s="2198"/>
      <c r="PFV76" s="2198"/>
      <c r="PFW76" s="2198"/>
      <c r="PFX76" s="2198"/>
      <c r="PFY76" s="2198"/>
      <c r="PFZ76" s="2198"/>
      <c r="PGA76" s="2198"/>
      <c r="PGB76" s="2198"/>
      <c r="PGC76" s="2198"/>
      <c r="PGD76" s="2198"/>
      <c r="PGE76" s="2198"/>
      <c r="PGF76" s="2198"/>
      <c r="PGG76" s="2198"/>
      <c r="PGH76" s="2198"/>
      <c r="PGI76" s="2198"/>
      <c r="PGJ76" s="2198"/>
      <c r="PGK76" s="2198"/>
      <c r="PGL76" s="2198"/>
      <c r="PGM76" s="2198"/>
      <c r="PGN76" s="2198"/>
      <c r="PGO76" s="2198"/>
      <c r="PGP76" s="2198"/>
      <c r="PGQ76" s="2198"/>
      <c r="PGR76" s="2198"/>
      <c r="PGS76" s="2198"/>
      <c r="PGT76" s="2198"/>
      <c r="PGU76" s="2198"/>
      <c r="PGV76" s="2198"/>
      <c r="PGW76" s="2198"/>
      <c r="PGX76" s="2198"/>
      <c r="PGY76" s="2198"/>
      <c r="PGZ76" s="2198"/>
      <c r="PHA76" s="2198"/>
      <c r="PHB76" s="2198"/>
      <c r="PHC76" s="2198"/>
      <c r="PHD76" s="2198"/>
      <c r="PHE76" s="2198"/>
      <c r="PHF76" s="2198"/>
      <c r="PHG76" s="2198"/>
      <c r="PHH76" s="2198"/>
      <c r="PHI76" s="2198"/>
      <c r="PHJ76" s="2198"/>
      <c r="PHK76" s="2198"/>
      <c r="PHL76" s="2198"/>
      <c r="PHM76" s="2198"/>
      <c r="PHN76" s="2198"/>
      <c r="PHO76" s="2198"/>
      <c r="PHP76" s="2198"/>
      <c r="PHQ76" s="2198"/>
      <c r="PHR76" s="2198"/>
      <c r="PHS76" s="2198"/>
      <c r="PHT76" s="2198"/>
      <c r="PHU76" s="2198"/>
      <c r="PHV76" s="2198"/>
      <c r="PHW76" s="2198"/>
      <c r="PHX76" s="2198"/>
      <c r="PHY76" s="2198"/>
      <c r="PHZ76" s="2198"/>
      <c r="PIA76" s="2198"/>
      <c r="PIB76" s="2198"/>
      <c r="PIC76" s="2198"/>
      <c r="PID76" s="2198"/>
      <c r="PIE76" s="2198"/>
      <c r="PIF76" s="2198"/>
      <c r="PIG76" s="2198"/>
      <c r="PIH76" s="2198"/>
      <c r="PII76" s="2198"/>
      <c r="PIJ76" s="2198"/>
      <c r="PIK76" s="2198"/>
      <c r="PIL76" s="2198"/>
      <c r="PIM76" s="2198"/>
      <c r="PIN76" s="2198"/>
      <c r="PIO76" s="2198"/>
      <c r="PIP76" s="2198"/>
      <c r="PIQ76" s="2198"/>
      <c r="PIR76" s="2198"/>
      <c r="PIS76" s="2198"/>
      <c r="PIT76" s="2198"/>
      <c r="PIU76" s="2198"/>
      <c r="PIV76" s="2198"/>
      <c r="PIW76" s="2198"/>
      <c r="PIX76" s="2198"/>
      <c r="PIY76" s="2198"/>
      <c r="PIZ76" s="2198"/>
      <c r="PJA76" s="2198"/>
      <c r="PJB76" s="2198"/>
      <c r="PJC76" s="2198"/>
      <c r="PJD76" s="2198"/>
      <c r="PJE76" s="2198"/>
      <c r="PJF76" s="2198"/>
      <c r="PJG76" s="2198"/>
      <c r="PJH76" s="2198"/>
      <c r="PJI76" s="2198"/>
      <c r="PJJ76" s="2198"/>
      <c r="PJK76" s="2198"/>
      <c r="PJL76" s="2198"/>
      <c r="PJM76" s="2198"/>
      <c r="PJN76" s="2198"/>
      <c r="PJO76" s="2198"/>
      <c r="PJP76" s="2198"/>
      <c r="PJQ76" s="2198"/>
      <c r="PJR76" s="2198"/>
      <c r="PJS76" s="2198"/>
      <c r="PJT76" s="2198"/>
      <c r="PJU76" s="2198"/>
      <c r="PJV76" s="2198"/>
      <c r="PJW76" s="2198"/>
      <c r="PJX76" s="2198"/>
      <c r="PJY76" s="2198"/>
      <c r="PJZ76" s="2198"/>
      <c r="PKA76" s="2198"/>
      <c r="PKB76" s="2198"/>
      <c r="PKC76" s="2198"/>
      <c r="PKD76" s="2198"/>
      <c r="PKE76" s="2198"/>
      <c r="PKF76" s="2198"/>
      <c r="PKG76" s="2198"/>
      <c r="PKH76" s="2198"/>
      <c r="PKI76" s="2198"/>
      <c r="PKJ76" s="2198"/>
      <c r="PKK76" s="2198"/>
      <c r="PKL76" s="2198"/>
      <c r="PKM76" s="2198"/>
      <c r="PKN76" s="2198"/>
      <c r="PKO76" s="2198"/>
      <c r="PKP76" s="2198"/>
      <c r="PKQ76" s="2198"/>
      <c r="PKR76" s="2198"/>
      <c r="PKS76" s="2198"/>
      <c r="PKT76" s="2198"/>
      <c r="PKU76" s="2198"/>
      <c r="PKV76" s="2198"/>
      <c r="PKW76" s="2198"/>
      <c r="PKX76" s="2198"/>
      <c r="PKY76" s="2198"/>
      <c r="PKZ76" s="2198"/>
      <c r="PLA76" s="2198"/>
      <c r="PLB76" s="2198"/>
      <c r="PLC76" s="2198"/>
      <c r="PLD76" s="2198"/>
      <c r="PLE76" s="2198"/>
      <c r="PLF76" s="2198"/>
      <c r="PLG76" s="2198"/>
      <c r="PLH76" s="2198"/>
      <c r="PLI76" s="2198"/>
      <c r="PLJ76" s="2198"/>
      <c r="PLK76" s="2198"/>
      <c r="PLL76" s="2198"/>
      <c r="PLM76" s="2198"/>
      <c r="PLN76" s="2198"/>
      <c r="PLO76" s="2198"/>
      <c r="PLP76" s="2198"/>
      <c r="PLQ76" s="2198"/>
      <c r="PLR76" s="2198"/>
      <c r="PLS76" s="2198"/>
      <c r="PLT76" s="2198"/>
      <c r="PLU76" s="2198"/>
      <c r="PLV76" s="2198"/>
      <c r="PLW76" s="2198"/>
      <c r="PLX76" s="2198"/>
      <c r="PLY76" s="2198"/>
      <c r="PLZ76" s="2198"/>
      <c r="PMA76" s="2198"/>
      <c r="PMB76" s="2198"/>
      <c r="PMC76" s="2198"/>
      <c r="PMD76" s="2198"/>
      <c r="PME76" s="2198"/>
      <c r="PMF76" s="2198"/>
      <c r="PMG76" s="2198"/>
      <c r="PMH76" s="2198"/>
      <c r="PMI76" s="2198"/>
      <c r="PMJ76" s="2198"/>
      <c r="PMK76" s="2198"/>
      <c r="PML76" s="2198"/>
      <c r="PMM76" s="2198"/>
      <c r="PMN76" s="2198"/>
      <c r="PMO76" s="2198"/>
      <c r="PMP76" s="2198"/>
      <c r="PMQ76" s="2198"/>
      <c r="PMR76" s="2198"/>
      <c r="PMS76" s="2198"/>
      <c r="PMT76" s="2198"/>
      <c r="PMU76" s="2198"/>
      <c r="PMV76" s="2198"/>
      <c r="PMW76" s="2198"/>
      <c r="PMX76" s="2198"/>
      <c r="PMY76" s="2198"/>
      <c r="PMZ76" s="2198"/>
      <c r="PNA76" s="2198"/>
      <c r="PNB76" s="2198"/>
      <c r="PNC76" s="2198"/>
      <c r="PND76" s="2198"/>
      <c r="PNE76" s="2198"/>
      <c r="PNF76" s="2198"/>
      <c r="PNG76" s="2198"/>
      <c r="PNH76" s="2198"/>
      <c r="PNI76" s="2198"/>
      <c r="PNJ76" s="2198"/>
      <c r="PNK76" s="2198"/>
      <c r="PNL76" s="2198"/>
      <c r="PNM76" s="2198"/>
      <c r="PNN76" s="2198"/>
      <c r="PNO76" s="2198"/>
      <c r="PNP76" s="2198"/>
      <c r="PNQ76" s="2198"/>
      <c r="PNR76" s="2198"/>
      <c r="PNS76" s="2198"/>
      <c r="PNT76" s="2198"/>
      <c r="PNU76" s="2198"/>
      <c r="PNV76" s="2198"/>
      <c r="PNW76" s="2198"/>
      <c r="PNX76" s="2198"/>
      <c r="PNY76" s="2198"/>
      <c r="PNZ76" s="2198"/>
      <c r="POA76" s="2198"/>
      <c r="POB76" s="2198"/>
      <c r="POC76" s="2198"/>
      <c r="POD76" s="2198"/>
      <c r="POE76" s="2198"/>
      <c r="POF76" s="2198"/>
      <c r="POG76" s="2198"/>
      <c r="POH76" s="2198"/>
      <c r="POI76" s="2198"/>
      <c r="POJ76" s="2198"/>
      <c r="POK76" s="2198"/>
      <c r="POL76" s="2198"/>
      <c r="POM76" s="2198"/>
      <c r="PON76" s="2198"/>
      <c r="POO76" s="2198"/>
      <c r="POP76" s="2198"/>
      <c r="POQ76" s="2198"/>
      <c r="POR76" s="2198"/>
      <c r="POS76" s="2198"/>
      <c r="POT76" s="2198"/>
      <c r="POU76" s="2198"/>
      <c r="POV76" s="2198"/>
      <c r="POW76" s="2198"/>
      <c r="POX76" s="2198"/>
      <c r="POY76" s="2198"/>
      <c r="POZ76" s="2198"/>
      <c r="PPA76" s="2198"/>
      <c r="PPB76" s="2198"/>
      <c r="PPC76" s="2198"/>
      <c r="PPD76" s="2198"/>
      <c r="PPE76" s="2198"/>
      <c r="PPF76" s="2198"/>
      <c r="PPG76" s="2198"/>
      <c r="PPH76" s="2198"/>
      <c r="PPI76" s="2198"/>
      <c r="PPJ76" s="2198"/>
      <c r="PPK76" s="2198"/>
      <c r="PPL76" s="2198"/>
      <c r="PPM76" s="2198"/>
      <c r="PPN76" s="2198"/>
      <c r="PPO76" s="2198"/>
      <c r="PPP76" s="2198"/>
      <c r="PPQ76" s="2198"/>
      <c r="PPR76" s="2198"/>
      <c r="PPS76" s="2198"/>
      <c r="PPT76" s="2198"/>
      <c r="PPU76" s="2198"/>
      <c r="PPV76" s="2198"/>
      <c r="PPW76" s="2198"/>
      <c r="PPX76" s="2198"/>
      <c r="PPY76" s="2198"/>
      <c r="PPZ76" s="2198"/>
      <c r="PQA76" s="2198"/>
      <c r="PQB76" s="2198"/>
      <c r="PQC76" s="2198"/>
      <c r="PQD76" s="2198"/>
      <c r="PQE76" s="2198"/>
      <c r="PQF76" s="2198"/>
      <c r="PQG76" s="2198"/>
      <c r="PQH76" s="2198"/>
      <c r="PQI76" s="2198"/>
      <c r="PQJ76" s="2198"/>
      <c r="PQK76" s="2198"/>
      <c r="PQL76" s="2198"/>
      <c r="PQM76" s="2198"/>
      <c r="PQN76" s="2198"/>
      <c r="PQO76" s="2198"/>
      <c r="PQP76" s="2198"/>
      <c r="PQQ76" s="2198"/>
      <c r="PQR76" s="2198"/>
      <c r="PQS76" s="2198"/>
      <c r="PQT76" s="2198"/>
      <c r="PQU76" s="2198"/>
      <c r="PQV76" s="2198"/>
      <c r="PQW76" s="2198"/>
      <c r="PQX76" s="2198"/>
      <c r="PQY76" s="2198"/>
      <c r="PQZ76" s="2198"/>
      <c r="PRA76" s="2198"/>
      <c r="PRB76" s="2198"/>
      <c r="PRC76" s="2198"/>
      <c r="PRD76" s="2198"/>
      <c r="PRE76" s="2198"/>
      <c r="PRF76" s="2198"/>
      <c r="PRG76" s="2198"/>
      <c r="PRH76" s="2198"/>
      <c r="PRI76" s="2198"/>
      <c r="PRJ76" s="2198"/>
      <c r="PRK76" s="2198"/>
      <c r="PRL76" s="2198"/>
      <c r="PRM76" s="2198"/>
      <c r="PRN76" s="2198"/>
      <c r="PRO76" s="2198"/>
      <c r="PRP76" s="2198"/>
      <c r="PRQ76" s="2198"/>
      <c r="PRR76" s="2198"/>
      <c r="PRS76" s="2198"/>
      <c r="PRT76" s="2198"/>
      <c r="PRU76" s="2198"/>
      <c r="PRV76" s="2198"/>
      <c r="PRW76" s="2198"/>
      <c r="PRX76" s="2198"/>
      <c r="PRY76" s="2198"/>
      <c r="PRZ76" s="2198"/>
      <c r="PSA76" s="2198"/>
      <c r="PSB76" s="2198"/>
      <c r="PSC76" s="2198"/>
      <c r="PSD76" s="2198"/>
      <c r="PSE76" s="2198"/>
      <c r="PSF76" s="2198"/>
      <c r="PSG76" s="2198"/>
      <c r="PSH76" s="2198"/>
      <c r="PSI76" s="2198"/>
      <c r="PSJ76" s="2198"/>
      <c r="PSK76" s="2198"/>
      <c r="PSL76" s="2198"/>
      <c r="PSM76" s="2198"/>
      <c r="PSN76" s="2198"/>
      <c r="PSO76" s="2198"/>
      <c r="PSP76" s="2198"/>
      <c r="PSQ76" s="2198"/>
      <c r="PSR76" s="2198"/>
      <c r="PSS76" s="2198"/>
      <c r="PST76" s="2198"/>
      <c r="PSU76" s="2198"/>
      <c r="PSV76" s="2198"/>
      <c r="PSW76" s="2198"/>
      <c r="PSX76" s="2198"/>
      <c r="PSY76" s="2198"/>
      <c r="PSZ76" s="2198"/>
      <c r="PTA76" s="2198"/>
      <c r="PTB76" s="2198"/>
      <c r="PTC76" s="2198"/>
      <c r="PTD76" s="2198"/>
      <c r="PTE76" s="2198"/>
      <c r="PTF76" s="2198"/>
      <c r="PTG76" s="2198"/>
      <c r="PTH76" s="2198"/>
      <c r="PTI76" s="2198"/>
      <c r="PTJ76" s="2198"/>
      <c r="PTK76" s="2198"/>
      <c r="PTL76" s="2198"/>
      <c r="PTM76" s="2198"/>
      <c r="PTN76" s="2198"/>
      <c r="PTO76" s="2198"/>
      <c r="PTP76" s="2198"/>
      <c r="PTQ76" s="2198"/>
      <c r="PTR76" s="2198"/>
      <c r="PTS76" s="2198"/>
      <c r="PTT76" s="2198"/>
      <c r="PTU76" s="2198"/>
      <c r="PTV76" s="2198"/>
      <c r="PTW76" s="2198"/>
      <c r="PTX76" s="2198"/>
      <c r="PTY76" s="2198"/>
      <c r="PTZ76" s="2198"/>
      <c r="PUA76" s="2198"/>
      <c r="PUB76" s="2198"/>
      <c r="PUC76" s="2198"/>
      <c r="PUD76" s="2198"/>
      <c r="PUE76" s="2198"/>
      <c r="PUF76" s="2198"/>
      <c r="PUG76" s="2198"/>
      <c r="PUH76" s="2198"/>
      <c r="PUI76" s="2198"/>
      <c r="PUJ76" s="2198"/>
      <c r="PUK76" s="2198"/>
      <c r="PUL76" s="2198"/>
      <c r="PUM76" s="2198"/>
      <c r="PUN76" s="2198"/>
      <c r="PUO76" s="2198"/>
      <c r="PUP76" s="2198"/>
      <c r="PUQ76" s="2198"/>
      <c r="PUR76" s="2198"/>
      <c r="PUS76" s="2198"/>
      <c r="PUT76" s="2198"/>
      <c r="PUU76" s="2198"/>
      <c r="PUV76" s="2198"/>
      <c r="PUW76" s="2198"/>
      <c r="PUX76" s="2198"/>
      <c r="PUY76" s="2198"/>
      <c r="PUZ76" s="2198"/>
      <c r="PVA76" s="2198"/>
      <c r="PVB76" s="2198"/>
      <c r="PVC76" s="2198"/>
      <c r="PVD76" s="2198"/>
      <c r="PVE76" s="2198"/>
      <c r="PVF76" s="2198"/>
      <c r="PVG76" s="2198"/>
      <c r="PVH76" s="2198"/>
      <c r="PVI76" s="2198"/>
      <c r="PVJ76" s="2198"/>
      <c r="PVK76" s="2198"/>
      <c r="PVL76" s="2198"/>
      <c r="PVM76" s="2198"/>
      <c r="PVN76" s="2198"/>
      <c r="PVO76" s="2198"/>
      <c r="PVP76" s="2198"/>
      <c r="PVQ76" s="2198"/>
      <c r="PVR76" s="2198"/>
      <c r="PVS76" s="2198"/>
      <c r="PVT76" s="2198"/>
      <c r="PVU76" s="2198"/>
      <c r="PVV76" s="2198"/>
      <c r="PVW76" s="2198"/>
      <c r="PVX76" s="2198"/>
      <c r="PVY76" s="2198"/>
      <c r="PVZ76" s="2198"/>
      <c r="PWA76" s="2198"/>
      <c r="PWB76" s="2198"/>
      <c r="PWC76" s="2198"/>
      <c r="PWD76" s="2198"/>
      <c r="PWE76" s="2198"/>
      <c r="PWF76" s="2198"/>
      <c r="PWG76" s="2198"/>
      <c r="PWH76" s="2198"/>
      <c r="PWI76" s="2198"/>
      <c r="PWJ76" s="2198"/>
      <c r="PWK76" s="2198"/>
      <c r="PWL76" s="2198"/>
      <c r="PWM76" s="2198"/>
      <c r="PWN76" s="2198"/>
      <c r="PWO76" s="2198"/>
      <c r="PWP76" s="2198"/>
      <c r="PWQ76" s="2198"/>
      <c r="PWR76" s="2198"/>
      <c r="PWS76" s="2198"/>
      <c r="PWT76" s="2198"/>
      <c r="PWU76" s="2198"/>
      <c r="PWV76" s="2198"/>
      <c r="PWW76" s="2198"/>
      <c r="PWX76" s="2198"/>
      <c r="PWY76" s="2198"/>
      <c r="PWZ76" s="2198"/>
      <c r="PXA76" s="2198"/>
      <c r="PXB76" s="2198"/>
      <c r="PXC76" s="2198"/>
      <c r="PXD76" s="2198"/>
      <c r="PXE76" s="2198"/>
      <c r="PXF76" s="2198"/>
      <c r="PXG76" s="2198"/>
      <c r="PXH76" s="2198"/>
      <c r="PXI76" s="2198"/>
      <c r="PXJ76" s="2198"/>
      <c r="PXK76" s="2198"/>
      <c r="PXL76" s="2198"/>
      <c r="PXM76" s="2198"/>
      <c r="PXN76" s="2198"/>
      <c r="PXO76" s="2198"/>
      <c r="PXP76" s="2198"/>
      <c r="PXQ76" s="2198"/>
      <c r="PXR76" s="2198"/>
      <c r="PXS76" s="2198"/>
      <c r="PXT76" s="2198"/>
      <c r="PXU76" s="2198"/>
      <c r="PXV76" s="2198"/>
      <c r="PXW76" s="2198"/>
      <c r="PXX76" s="2198"/>
      <c r="PXY76" s="2198"/>
      <c r="PXZ76" s="2198"/>
      <c r="PYA76" s="2198"/>
      <c r="PYB76" s="2198"/>
      <c r="PYC76" s="2198"/>
      <c r="PYD76" s="2198"/>
      <c r="PYE76" s="2198"/>
      <c r="PYF76" s="2198"/>
      <c r="PYG76" s="2198"/>
      <c r="PYH76" s="2198"/>
      <c r="PYI76" s="2198"/>
      <c r="PYJ76" s="2198"/>
      <c r="PYK76" s="2198"/>
      <c r="PYL76" s="2198"/>
      <c r="PYM76" s="2198"/>
      <c r="PYN76" s="2198"/>
      <c r="PYO76" s="2198"/>
      <c r="PYP76" s="2198"/>
      <c r="PYQ76" s="2198"/>
      <c r="PYR76" s="2198"/>
      <c r="PYS76" s="2198"/>
      <c r="PYT76" s="2198"/>
      <c r="PYU76" s="2198"/>
      <c r="PYV76" s="2198"/>
      <c r="PYW76" s="2198"/>
      <c r="PYX76" s="2198"/>
      <c r="PYY76" s="2198"/>
      <c r="PYZ76" s="2198"/>
      <c r="PZA76" s="2198"/>
      <c r="PZB76" s="2198"/>
      <c r="PZC76" s="2198"/>
      <c r="PZD76" s="2198"/>
      <c r="PZE76" s="2198"/>
      <c r="PZF76" s="2198"/>
      <c r="PZG76" s="2198"/>
      <c r="PZH76" s="2198"/>
      <c r="PZI76" s="2198"/>
      <c r="PZJ76" s="2198"/>
      <c r="PZK76" s="2198"/>
      <c r="PZL76" s="2198"/>
      <c r="PZM76" s="2198"/>
      <c r="PZN76" s="2198"/>
      <c r="PZO76" s="2198"/>
      <c r="PZP76" s="2198"/>
      <c r="PZQ76" s="2198"/>
      <c r="PZR76" s="2198"/>
      <c r="PZS76" s="2198"/>
      <c r="PZT76" s="2198"/>
      <c r="PZU76" s="2198"/>
      <c r="PZV76" s="2198"/>
      <c r="PZW76" s="2198"/>
      <c r="PZX76" s="2198"/>
      <c r="PZY76" s="2198"/>
      <c r="PZZ76" s="2198"/>
      <c r="QAA76" s="2198"/>
      <c r="QAB76" s="2198"/>
      <c r="QAC76" s="2198"/>
      <c r="QAD76" s="2198"/>
      <c r="QAE76" s="2198"/>
      <c r="QAF76" s="2198"/>
      <c r="QAG76" s="2198"/>
      <c r="QAH76" s="2198"/>
      <c r="QAI76" s="2198"/>
      <c r="QAJ76" s="2198"/>
      <c r="QAK76" s="2198"/>
      <c r="QAL76" s="2198"/>
      <c r="QAM76" s="2198"/>
      <c r="QAN76" s="2198"/>
      <c r="QAO76" s="2198"/>
      <c r="QAP76" s="2198"/>
      <c r="QAQ76" s="2198"/>
      <c r="QAR76" s="2198"/>
      <c r="QAS76" s="2198"/>
      <c r="QAT76" s="2198"/>
      <c r="QAU76" s="2198"/>
      <c r="QAV76" s="2198"/>
      <c r="QAW76" s="2198"/>
      <c r="QAX76" s="2198"/>
      <c r="QAY76" s="2198"/>
      <c r="QAZ76" s="2198"/>
      <c r="QBA76" s="2198"/>
      <c r="QBB76" s="2198"/>
      <c r="QBC76" s="2198"/>
      <c r="QBD76" s="2198"/>
      <c r="QBE76" s="2198"/>
      <c r="QBF76" s="2198"/>
      <c r="QBG76" s="2198"/>
      <c r="QBH76" s="2198"/>
      <c r="QBI76" s="2198"/>
      <c r="QBJ76" s="2198"/>
      <c r="QBK76" s="2198"/>
      <c r="QBL76" s="2198"/>
      <c r="QBM76" s="2198"/>
      <c r="QBN76" s="2198"/>
      <c r="QBO76" s="2198"/>
      <c r="QBP76" s="2198"/>
      <c r="QBQ76" s="2198"/>
      <c r="QBR76" s="2198"/>
      <c r="QBS76" s="2198"/>
      <c r="QBT76" s="2198"/>
      <c r="QBU76" s="2198"/>
      <c r="QBV76" s="2198"/>
      <c r="QBW76" s="2198"/>
      <c r="QBX76" s="2198"/>
      <c r="QBY76" s="2198"/>
      <c r="QBZ76" s="2198"/>
      <c r="QCA76" s="2198"/>
      <c r="QCB76" s="2198"/>
      <c r="QCC76" s="2198"/>
      <c r="QCD76" s="2198"/>
      <c r="QCE76" s="2198"/>
      <c r="QCF76" s="2198"/>
      <c r="QCG76" s="2198"/>
      <c r="QCH76" s="2198"/>
      <c r="QCI76" s="2198"/>
      <c r="QCJ76" s="2198"/>
      <c r="QCK76" s="2198"/>
      <c r="QCL76" s="2198"/>
      <c r="QCM76" s="2198"/>
      <c r="QCN76" s="2198"/>
      <c r="QCO76" s="2198"/>
      <c r="QCP76" s="2198"/>
      <c r="QCQ76" s="2198"/>
      <c r="QCR76" s="2198"/>
      <c r="QCS76" s="2198"/>
      <c r="QCT76" s="2198"/>
      <c r="QCU76" s="2198"/>
      <c r="QCV76" s="2198"/>
      <c r="QCW76" s="2198"/>
      <c r="QCX76" s="2198"/>
      <c r="QCY76" s="2198"/>
      <c r="QCZ76" s="2198"/>
      <c r="QDA76" s="2198"/>
      <c r="QDB76" s="2198"/>
      <c r="QDC76" s="2198"/>
      <c r="QDD76" s="2198"/>
      <c r="QDE76" s="2198"/>
      <c r="QDF76" s="2198"/>
      <c r="QDG76" s="2198"/>
      <c r="QDH76" s="2198"/>
      <c r="QDI76" s="2198"/>
      <c r="QDJ76" s="2198"/>
      <c r="QDK76" s="2198"/>
      <c r="QDL76" s="2198"/>
      <c r="QDM76" s="2198"/>
      <c r="QDN76" s="2198"/>
      <c r="QDO76" s="2198"/>
      <c r="QDP76" s="2198"/>
      <c r="QDQ76" s="2198"/>
      <c r="QDR76" s="2198"/>
      <c r="QDS76" s="2198"/>
      <c r="QDT76" s="2198"/>
      <c r="QDU76" s="2198"/>
      <c r="QDV76" s="2198"/>
      <c r="QDW76" s="2198"/>
      <c r="QDX76" s="2198"/>
      <c r="QDY76" s="2198"/>
      <c r="QDZ76" s="2198"/>
      <c r="QEA76" s="2198"/>
      <c r="QEB76" s="2198"/>
      <c r="QEC76" s="2198"/>
      <c r="QED76" s="2198"/>
      <c r="QEE76" s="2198"/>
      <c r="QEF76" s="2198"/>
      <c r="QEG76" s="2198"/>
      <c r="QEH76" s="2198"/>
      <c r="QEI76" s="2198"/>
      <c r="QEJ76" s="2198"/>
      <c r="QEK76" s="2198"/>
      <c r="QEL76" s="2198"/>
      <c r="QEM76" s="2198"/>
      <c r="QEN76" s="2198"/>
      <c r="QEO76" s="2198"/>
      <c r="QEP76" s="2198"/>
      <c r="QEQ76" s="2198"/>
      <c r="QER76" s="2198"/>
      <c r="QES76" s="2198"/>
      <c r="QET76" s="2198"/>
      <c r="QEU76" s="2198"/>
      <c r="QEV76" s="2198"/>
      <c r="QEW76" s="2198"/>
      <c r="QEX76" s="2198"/>
      <c r="QEY76" s="2198"/>
      <c r="QEZ76" s="2198"/>
      <c r="QFA76" s="2198"/>
      <c r="QFB76" s="2198"/>
      <c r="QFC76" s="2198"/>
      <c r="QFD76" s="2198"/>
      <c r="QFE76" s="2198"/>
      <c r="QFF76" s="2198"/>
      <c r="QFG76" s="2198"/>
      <c r="QFH76" s="2198"/>
      <c r="QFI76" s="2198"/>
      <c r="QFJ76" s="2198"/>
      <c r="QFK76" s="2198"/>
      <c r="QFL76" s="2198"/>
      <c r="QFM76" s="2198"/>
      <c r="QFN76" s="2198"/>
      <c r="QFO76" s="2198"/>
      <c r="QFP76" s="2198"/>
      <c r="QFQ76" s="2198"/>
      <c r="QFR76" s="2198"/>
      <c r="QFS76" s="2198"/>
      <c r="QFT76" s="2198"/>
      <c r="QFU76" s="2198"/>
      <c r="QFV76" s="2198"/>
      <c r="QFW76" s="2198"/>
      <c r="QFX76" s="2198"/>
      <c r="QFY76" s="2198"/>
      <c r="QFZ76" s="2198"/>
      <c r="QGA76" s="2198"/>
      <c r="QGB76" s="2198"/>
      <c r="QGC76" s="2198"/>
      <c r="QGD76" s="2198"/>
      <c r="QGE76" s="2198"/>
      <c r="QGF76" s="2198"/>
      <c r="QGG76" s="2198"/>
      <c r="QGH76" s="2198"/>
      <c r="QGI76" s="2198"/>
      <c r="QGJ76" s="2198"/>
      <c r="QGK76" s="2198"/>
      <c r="QGL76" s="2198"/>
      <c r="QGM76" s="2198"/>
      <c r="QGN76" s="2198"/>
      <c r="QGO76" s="2198"/>
      <c r="QGP76" s="2198"/>
      <c r="QGQ76" s="2198"/>
      <c r="QGR76" s="2198"/>
      <c r="QGS76" s="2198"/>
      <c r="QGT76" s="2198"/>
      <c r="QGU76" s="2198"/>
      <c r="QGV76" s="2198"/>
      <c r="QGW76" s="2198"/>
      <c r="QGX76" s="2198"/>
      <c r="QGY76" s="2198"/>
      <c r="QGZ76" s="2198"/>
      <c r="QHA76" s="2198"/>
      <c r="QHB76" s="2198"/>
      <c r="QHC76" s="2198"/>
      <c r="QHD76" s="2198"/>
      <c r="QHE76" s="2198"/>
      <c r="QHF76" s="2198"/>
      <c r="QHG76" s="2198"/>
      <c r="QHH76" s="2198"/>
      <c r="QHI76" s="2198"/>
      <c r="QHJ76" s="2198"/>
      <c r="QHK76" s="2198"/>
      <c r="QHL76" s="2198"/>
      <c r="QHM76" s="2198"/>
      <c r="QHN76" s="2198"/>
      <c r="QHO76" s="2198"/>
      <c r="QHP76" s="2198"/>
      <c r="QHQ76" s="2198"/>
      <c r="QHR76" s="2198"/>
      <c r="QHS76" s="2198"/>
      <c r="QHT76" s="2198"/>
      <c r="QHU76" s="2198"/>
      <c r="QHV76" s="2198"/>
      <c r="QHW76" s="2198"/>
      <c r="QHX76" s="2198"/>
      <c r="QHY76" s="2198"/>
      <c r="QHZ76" s="2198"/>
      <c r="QIA76" s="2198"/>
      <c r="QIB76" s="2198"/>
      <c r="QIC76" s="2198"/>
      <c r="QID76" s="2198"/>
      <c r="QIE76" s="2198"/>
      <c r="QIF76" s="2198"/>
      <c r="QIG76" s="2198"/>
      <c r="QIH76" s="2198"/>
      <c r="QII76" s="2198"/>
      <c r="QIJ76" s="2198"/>
      <c r="QIK76" s="2198"/>
      <c r="QIL76" s="2198"/>
      <c r="QIM76" s="2198"/>
      <c r="QIN76" s="2198"/>
      <c r="QIO76" s="2198"/>
      <c r="QIP76" s="2198"/>
      <c r="QIQ76" s="2198"/>
      <c r="QIR76" s="2198"/>
      <c r="QIS76" s="2198"/>
      <c r="QIT76" s="2198"/>
      <c r="QIU76" s="2198"/>
      <c r="QIV76" s="2198"/>
      <c r="QIW76" s="2198"/>
      <c r="QIX76" s="2198"/>
      <c r="QIY76" s="2198"/>
      <c r="QIZ76" s="2198"/>
      <c r="QJA76" s="2198"/>
      <c r="QJB76" s="2198"/>
      <c r="QJC76" s="2198"/>
      <c r="QJD76" s="2198"/>
      <c r="QJE76" s="2198"/>
      <c r="QJF76" s="2198"/>
      <c r="QJG76" s="2198"/>
      <c r="QJH76" s="2198"/>
      <c r="QJI76" s="2198"/>
      <c r="QJJ76" s="2198"/>
      <c r="QJK76" s="2198"/>
      <c r="QJL76" s="2198"/>
      <c r="QJM76" s="2198"/>
      <c r="QJN76" s="2198"/>
      <c r="QJO76" s="2198"/>
      <c r="QJP76" s="2198"/>
      <c r="QJQ76" s="2198"/>
      <c r="QJR76" s="2198"/>
      <c r="QJS76" s="2198"/>
      <c r="QJT76" s="2198"/>
      <c r="QJU76" s="2198"/>
      <c r="QJV76" s="2198"/>
      <c r="QJW76" s="2198"/>
      <c r="QJX76" s="2198"/>
      <c r="QJY76" s="2198"/>
      <c r="QJZ76" s="2198"/>
      <c r="QKA76" s="2198"/>
      <c r="QKB76" s="2198"/>
      <c r="QKC76" s="2198"/>
      <c r="QKD76" s="2198"/>
      <c r="QKE76" s="2198"/>
      <c r="QKF76" s="2198"/>
      <c r="QKG76" s="2198"/>
      <c r="QKH76" s="2198"/>
      <c r="QKI76" s="2198"/>
      <c r="QKJ76" s="2198"/>
      <c r="QKK76" s="2198"/>
      <c r="QKL76" s="2198"/>
      <c r="QKM76" s="2198"/>
      <c r="QKN76" s="2198"/>
      <c r="QKO76" s="2198"/>
      <c r="QKP76" s="2198"/>
      <c r="QKQ76" s="2198"/>
      <c r="QKR76" s="2198"/>
      <c r="QKS76" s="2198"/>
      <c r="QKT76" s="2198"/>
      <c r="QKU76" s="2198"/>
      <c r="QKV76" s="2198"/>
      <c r="QKW76" s="2198"/>
      <c r="QKX76" s="2198"/>
      <c r="QKY76" s="2198"/>
      <c r="QKZ76" s="2198"/>
      <c r="QLA76" s="2198"/>
      <c r="QLB76" s="2198"/>
      <c r="QLC76" s="2198"/>
      <c r="QLD76" s="2198"/>
      <c r="QLE76" s="2198"/>
      <c r="QLF76" s="2198"/>
      <c r="QLG76" s="2198"/>
      <c r="QLH76" s="2198"/>
      <c r="QLI76" s="2198"/>
      <c r="QLJ76" s="2198"/>
      <c r="QLK76" s="2198"/>
      <c r="QLL76" s="2198"/>
      <c r="QLM76" s="2198"/>
      <c r="QLN76" s="2198"/>
      <c r="QLO76" s="2198"/>
      <c r="QLP76" s="2198"/>
      <c r="QLQ76" s="2198"/>
      <c r="QLR76" s="2198"/>
      <c r="QLS76" s="2198"/>
      <c r="QLT76" s="2198"/>
      <c r="QLU76" s="2198"/>
      <c r="QLV76" s="2198"/>
      <c r="QLW76" s="2198"/>
      <c r="QLX76" s="2198"/>
      <c r="QLY76" s="2198"/>
      <c r="QLZ76" s="2198"/>
      <c r="QMA76" s="2198"/>
      <c r="QMB76" s="2198"/>
      <c r="QMC76" s="2198"/>
      <c r="QMD76" s="2198"/>
      <c r="QME76" s="2198"/>
      <c r="QMF76" s="2198"/>
      <c r="QMG76" s="2198"/>
      <c r="QMH76" s="2198"/>
      <c r="QMI76" s="2198"/>
      <c r="QMJ76" s="2198"/>
      <c r="QMK76" s="2198"/>
      <c r="QML76" s="2198"/>
      <c r="QMM76" s="2198"/>
      <c r="QMN76" s="2198"/>
      <c r="QMO76" s="2198"/>
      <c r="QMP76" s="2198"/>
      <c r="QMQ76" s="2198"/>
      <c r="QMR76" s="2198"/>
      <c r="QMS76" s="2198"/>
      <c r="QMT76" s="2198"/>
      <c r="QMU76" s="2198"/>
      <c r="QMV76" s="2198"/>
      <c r="QMW76" s="2198"/>
      <c r="QMX76" s="2198"/>
      <c r="QMY76" s="2198"/>
      <c r="QMZ76" s="2198"/>
      <c r="QNA76" s="2198"/>
      <c r="QNB76" s="2198"/>
      <c r="QNC76" s="2198"/>
      <c r="QND76" s="2198"/>
      <c r="QNE76" s="2198"/>
      <c r="QNF76" s="2198"/>
      <c r="QNG76" s="2198"/>
      <c r="QNH76" s="2198"/>
      <c r="QNI76" s="2198"/>
      <c r="QNJ76" s="2198"/>
      <c r="QNK76" s="2198"/>
      <c r="QNL76" s="2198"/>
      <c r="QNM76" s="2198"/>
      <c r="QNN76" s="2198"/>
      <c r="QNO76" s="2198"/>
      <c r="QNP76" s="2198"/>
      <c r="QNQ76" s="2198"/>
      <c r="QNR76" s="2198"/>
      <c r="QNS76" s="2198"/>
      <c r="QNT76" s="2198"/>
      <c r="QNU76" s="2198"/>
      <c r="QNV76" s="2198"/>
      <c r="QNW76" s="2198"/>
      <c r="QNX76" s="2198"/>
      <c r="QNY76" s="2198"/>
      <c r="QNZ76" s="2198"/>
      <c r="QOA76" s="2198"/>
      <c r="QOB76" s="2198"/>
      <c r="QOC76" s="2198"/>
      <c r="QOD76" s="2198"/>
      <c r="QOE76" s="2198"/>
      <c r="QOF76" s="2198"/>
      <c r="QOG76" s="2198"/>
      <c r="QOH76" s="2198"/>
      <c r="QOI76" s="2198"/>
      <c r="QOJ76" s="2198"/>
      <c r="QOK76" s="2198"/>
      <c r="QOL76" s="2198"/>
      <c r="QOM76" s="2198"/>
      <c r="QON76" s="2198"/>
      <c r="QOO76" s="2198"/>
      <c r="QOP76" s="2198"/>
      <c r="QOQ76" s="2198"/>
      <c r="QOR76" s="2198"/>
      <c r="QOS76" s="2198"/>
      <c r="QOT76" s="2198"/>
      <c r="QOU76" s="2198"/>
      <c r="QOV76" s="2198"/>
      <c r="QOW76" s="2198"/>
      <c r="QOX76" s="2198"/>
      <c r="QOY76" s="2198"/>
      <c r="QOZ76" s="2198"/>
      <c r="QPA76" s="2198"/>
      <c r="QPB76" s="2198"/>
      <c r="QPC76" s="2198"/>
      <c r="QPD76" s="2198"/>
      <c r="QPE76" s="2198"/>
      <c r="QPF76" s="2198"/>
      <c r="QPG76" s="2198"/>
      <c r="QPH76" s="2198"/>
      <c r="QPI76" s="2198"/>
      <c r="QPJ76" s="2198"/>
      <c r="QPK76" s="2198"/>
      <c r="QPL76" s="2198"/>
      <c r="QPM76" s="2198"/>
      <c r="QPN76" s="2198"/>
      <c r="QPO76" s="2198"/>
      <c r="QPP76" s="2198"/>
      <c r="QPQ76" s="2198"/>
      <c r="QPR76" s="2198"/>
      <c r="QPS76" s="2198"/>
      <c r="QPT76" s="2198"/>
      <c r="QPU76" s="2198"/>
      <c r="QPV76" s="2198"/>
      <c r="QPW76" s="2198"/>
      <c r="QPX76" s="2198"/>
      <c r="QPY76" s="2198"/>
      <c r="QPZ76" s="2198"/>
      <c r="QQA76" s="2198"/>
      <c r="QQB76" s="2198"/>
      <c r="QQC76" s="2198"/>
      <c r="QQD76" s="2198"/>
      <c r="QQE76" s="2198"/>
      <c r="QQF76" s="2198"/>
      <c r="QQG76" s="2198"/>
      <c r="QQH76" s="2198"/>
      <c r="QQI76" s="2198"/>
      <c r="QQJ76" s="2198"/>
      <c r="QQK76" s="2198"/>
      <c r="QQL76" s="2198"/>
      <c r="QQM76" s="2198"/>
      <c r="QQN76" s="2198"/>
      <c r="QQO76" s="2198"/>
      <c r="QQP76" s="2198"/>
      <c r="QQQ76" s="2198"/>
      <c r="QQR76" s="2198"/>
      <c r="QQS76" s="2198"/>
      <c r="QQT76" s="2198"/>
      <c r="QQU76" s="2198"/>
      <c r="QQV76" s="2198"/>
      <c r="QQW76" s="2198"/>
      <c r="QQX76" s="2198"/>
      <c r="QQY76" s="2198"/>
      <c r="QQZ76" s="2198"/>
      <c r="QRA76" s="2198"/>
      <c r="QRB76" s="2198"/>
      <c r="QRC76" s="2198"/>
      <c r="QRD76" s="2198"/>
      <c r="QRE76" s="2198"/>
      <c r="QRF76" s="2198"/>
      <c r="QRG76" s="2198"/>
      <c r="QRH76" s="2198"/>
      <c r="QRI76" s="2198"/>
      <c r="QRJ76" s="2198"/>
      <c r="QRK76" s="2198"/>
      <c r="QRL76" s="2198"/>
      <c r="QRM76" s="2198"/>
      <c r="QRN76" s="2198"/>
      <c r="QRO76" s="2198"/>
      <c r="QRP76" s="2198"/>
      <c r="QRQ76" s="2198"/>
      <c r="QRR76" s="2198"/>
      <c r="QRS76" s="2198"/>
      <c r="QRT76" s="2198"/>
      <c r="QRU76" s="2198"/>
      <c r="QRV76" s="2198"/>
      <c r="QRW76" s="2198"/>
      <c r="QRX76" s="2198"/>
      <c r="QRY76" s="2198"/>
      <c r="QRZ76" s="2198"/>
      <c r="QSA76" s="2198"/>
      <c r="QSB76" s="2198"/>
      <c r="QSC76" s="2198"/>
      <c r="QSD76" s="2198"/>
      <c r="QSE76" s="2198"/>
      <c r="QSF76" s="2198"/>
      <c r="QSG76" s="2198"/>
      <c r="QSH76" s="2198"/>
      <c r="QSI76" s="2198"/>
      <c r="QSJ76" s="2198"/>
      <c r="QSK76" s="2198"/>
      <c r="QSL76" s="2198"/>
      <c r="QSM76" s="2198"/>
      <c r="QSN76" s="2198"/>
      <c r="QSO76" s="2198"/>
      <c r="QSP76" s="2198"/>
      <c r="QSQ76" s="2198"/>
      <c r="QSR76" s="2198"/>
      <c r="QSS76" s="2198"/>
      <c r="QST76" s="2198"/>
      <c r="QSU76" s="2198"/>
      <c r="QSV76" s="2198"/>
      <c r="QSW76" s="2198"/>
      <c r="QSX76" s="2198"/>
      <c r="QSY76" s="2198"/>
      <c r="QSZ76" s="2198"/>
      <c r="QTA76" s="2198"/>
      <c r="QTB76" s="2198"/>
      <c r="QTC76" s="2198"/>
      <c r="QTD76" s="2198"/>
      <c r="QTE76" s="2198"/>
      <c r="QTF76" s="2198"/>
      <c r="QTG76" s="2198"/>
      <c r="QTH76" s="2198"/>
      <c r="QTI76" s="2198"/>
      <c r="QTJ76" s="2198"/>
      <c r="QTK76" s="2198"/>
      <c r="QTL76" s="2198"/>
      <c r="QTM76" s="2198"/>
      <c r="QTN76" s="2198"/>
      <c r="QTO76" s="2198"/>
      <c r="QTP76" s="2198"/>
      <c r="QTQ76" s="2198"/>
      <c r="QTR76" s="2198"/>
      <c r="QTS76" s="2198"/>
      <c r="QTT76" s="2198"/>
      <c r="QTU76" s="2198"/>
      <c r="QTV76" s="2198"/>
      <c r="QTW76" s="2198"/>
      <c r="QTX76" s="2198"/>
      <c r="QTY76" s="2198"/>
      <c r="QTZ76" s="2198"/>
      <c r="QUA76" s="2198"/>
      <c r="QUB76" s="2198"/>
      <c r="QUC76" s="2198"/>
      <c r="QUD76" s="2198"/>
      <c r="QUE76" s="2198"/>
      <c r="QUF76" s="2198"/>
      <c r="QUG76" s="2198"/>
      <c r="QUH76" s="2198"/>
      <c r="QUI76" s="2198"/>
      <c r="QUJ76" s="2198"/>
      <c r="QUK76" s="2198"/>
      <c r="QUL76" s="2198"/>
      <c r="QUM76" s="2198"/>
      <c r="QUN76" s="2198"/>
      <c r="QUO76" s="2198"/>
      <c r="QUP76" s="2198"/>
      <c r="QUQ76" s="2198"/>
      <c r="QUR76" s="2198"/>
      <c r="QUS76" s="2198"/>
      <c r="QUT76" s="2198"/>
      <c r="QUU76" s="2198"/>
      <c r="QUV76" s="2198"/>
      <c r="QUW76" s="2198"/>
      <c r="QUX76" s="2198"/>
      <c r="QUY76" s="2198"/>
      <c r="QUZ76" s="2198"/>
      <c r="QVA76" s="2198"/>
      <c r="QVB76" s="2198"/>
      <c r="QVC76" s="2198"/>
      <c r="QVD76" s="2198"/>
      <c r="QVE76" s="2198"/>
      <c r="QVF76" s="2198"/>
      <c r="QVG76" s="2198"/>
      <c r="QVH76" s="2198"/>
      <c r="QVI76" s="2198"/>
      <c r="QVJ76" s="2198"/>
      <c r="QVK76" s="2198"/>
      <c r="QVL76" s="2198"/>
      <c r="QVM76" s="2198"/>
      <c r="QVN76" s="2198"/>
      <c r="QVO76" s="2198"/>
      <c r="QVP76" s="2198"/>
      <c r="QVQ76" s="2198"/>
      <c r="QVR76" s="2198"/>
      <c r="QVS76" s="2198"/>
      <c r="QVT76" s="2198"/>
      <c r="QVU76" s="2198"/>
      <c r="QVV76" s="2198"/>
      <c r="QVW76" s="2198"/>
      <c r="QVX76" s="2198"/>
      <c r="QVY76" s="2198"/>
      <c r="QVZ76" s="2198"/>
      <c r="QWA76" s="2198"/>
      <c r="QWB76" s="2198"/>
      <c r="QWC76" s="2198"/>
      <c r="QWD76" s="2198"/>
      <c r="QWE76" s="2198"/>
      <c r="QWF76" s="2198"/>
      <c r="QWG76" s="2198"/>
      <c r="QWH76" s="2198"/>
      <c r="QWI76" s="2198"/>
      <c r="QWJ76" s="2198"/>
      <c r="QWK76" s="2198"/>
      <c r="QWL76" s="2198"/>
      <c r="QWM76" s="2198"/>
      <c r="QWN76" s="2198"/>
      <c r="QWO76" s="2198"/>
      <c r="QWP76" s="2198"/>
      <c r="QWQ76" s="2198"/>
      <c r="QWR76" s="2198"/>
      <c r="QWS76" s="2198"/>
      <c r="QWT76" s="2198"/>
      <c r="QWU76" s="2198"/>
      <c r="QWV76" s="2198"/>
      <c r="QWW76" s="2198"/>
      <c r="QWX76" s="2198"/>
      <c r="QWY76" s="2198"/>
      <c r="QWZ76" s="2198"/>
      <c r="QXA76" s="2198"/>
      <c r="QXB76" s="2198"/>
      <c r="QXC76" s="2198"/>
      <c r="QXD76" s="2198"/>
      <c r="QXE76" s="2198"/>
      <c r="QXF76" s="2198"/>
      <c r="QXG76" s="2198"/>
      <c r="QXH76" s="2198"/>
      <c r="QXI76" s="2198"/>
      <c r="QXJ76" s="2198"/>
      <c r="QXK76" s="2198"/>
      <c r="QXL76" s="2198"/>
      <c r="QXM76" s="2198"/>
      <c r="QXN76" s="2198"/>
      <c r="QXO76" s="2198"/>
      <c r="QXP76" s="2198"/>
      <c r="QXQ76" s="2198"/>
      <c r="QXR76" s="2198"/>
      <c r="QXS76" s="2198"/>
      <c r="QXT76" s="2198"/>
      <c r="QXU76" s="2198"/>
      <c r="QXV76" s="2198"/>
      <c r="QXW76" s="2198"/>
      <c r="QXX76" s="2198"/>
      <c r="QXY76" s="2198"/>
      <c r="QXZ76" s="2198"/>
      <c r="QYA76" s="2198"/>
      <c r="QYB76" s="2198"/>
      <c r="QYC76" s="2198"/>
      <c r="QYD76" s="2198"/>
      <c r="QYE76" s="2198"/>
      <c r="QYF76" s="2198"/>
      <c r="QYG76" s="2198"/>
      <c r="QYH76" s="2198"/>
      <c r="QYI76" s="2198"/>
      <c r="QYJ76" s="2198"/>
      <c r="QYK76" s="2198"/>
      <c r="QYL76" s="2198"/>
      <c r="QYM76" s="2198"/>
      <c r="QYN76" s="2198"/>
      <c r="QYO76" s="2198"/>
      <c r="QYP76" s="2198"/>
      <c r="QYQ76" s="2198"/>
      <c r="QYR76" s="2198"/>
      <c r="QYS76" s="2198"/>
      <c r="QYT76" s="2198"/>
      <c r="QYU76" s="2198"/>
      <c r="QYV76" s="2198"/>
      <c r="QYW76" s="2198"/>
      <c r="QYX76" s="2198"/>
      <c r="QYY76" s="2198"/>
      <c r="QYZ76" s="2198"/>
      <c r="QZA76" s="2198"/>
      <c r="QZB76" s="2198"/>
      <c r="QZC76" s="2198"/>
      <c r="QZD76" s="2198"/>
      <c r="QZE76" s="2198"/>
      <c r="QZF76" s="2198"/>
      <c r="QZG76" s="2198"/>
      <c r="QZH76" s="2198"/>
      <c r="QZI76" s="2198"/>
      <c r="QZJ76" s="2198"/>
      <c r="QZK76" s="2198"/>
      <c r="QZL76" s="2198"/>
      <c r="QZM76" s="2198"/>
      <c r="QZN76" s="2198"/>
      <c r="QZO76" s="2198"/>
      <c r="QZP76" s="2198"/>
      <c r="QZQ76" s="2198"/>
      <c r="QZR76" s="2198"/>
      <c r="QZS76" s="2198"/>
      <c r="QZT76" s="2198"/>
      <c r="QZU76" s="2198"/>
      <c r="QZV76" s="2198"/>
      <c r="QZW76" s="2198"/>
      <c r="QZX76" s="2198"/>
      <c r="QZY76" s="2198"/>
      <c r="QZZ76" s="2198"/>
      <c r="RAA76" s="2198"/>
      <c r="RAB76" s="2198"/>
      <c r="RAC76" s="2198"/>
      <c r="RAD76" s="2198"/>
      <c r="RAE76" s="2198"/>
      <c r="RAF76" s="2198"/>
      <c r="RAG76" s="2198"/>
      <c r="RAH76" s="2198"/>
      <c r="RAI76" s="2198"/>
      <c r="RAJ76" s="2198"/>
      <c r="RAK76" s="2198"/>
      <c r="RAL76" s="2198"/>
      <c r="RAM76" s="2198"/>
      <c r="RAN76" s="2198"/>
      <c r="RAO76" s="2198"/>
      <c r="RAP76" s="2198"/>
      <c r="RAQ76" s="2198"/>
      <c r="RAR76" s="2198"/>
      <c r="RAS76" s="2198"/>
      <c r="RAT76" s="2198"/>
      <c r="RAU76" s="2198"/>
      <c r="RAV76" s="2198"/>
      <c r="RAW76" s="2198"/>
      <c r="RAX76" s="2198"/>
      <c r="RAY76" s="2198"/>
      <c r="RAZ76" s="2198"/>
      <c r="RBA76" s="2198"/>
      <c r="RBB76" s="2198"/>
      <c r="RBC76" s="2198"/>
      <c r="RBD76" s="2198"/>
      <c r="RBE76" s="2198"/>
      <c r="RBF76" s="2198"/>
      <c r="RBG76" s="2198"/>
      <c r="RBH76" s="2198"/>
      <c r="RBI76" s="2198"/>
      <c r="RBJ76" s="2198"/>
      <c r="RBK76" s="2198"/>
      <c r="RBL76" s="2198"/>
      <c r="RBM76" s="2198"/>
      <c r="RBN76" s="2198"/>
      <c r="RBO76" s="2198"/>
      <c r="RBP76" s="2198"/>
      <c r="RBQ76" s="2198"/>
      <c r="RBR76" s="2198"/>
      <c r="RBS76" s="2198"/>
      <c r="RBT76" s="2198"/>
      <c r="RBU76" s="2198"/>
      <c r="RBV76" s="2198"/>
      <c r="RBW76" s="2198"/>
      <c r="RBX76" s="2198"/>
      <c r="RBY76" s="2198"/>
      <c r="RBZ76" s="2198"/>
      <c r="RCA76" s="2198"/>
      <c r="RCB76" s="2198"/>
      <c r="RCC76" s="2198"/>
      <c r="RCD76" s="2198"/>
      <c r="RCE76" s="2198"/>
      <c r="RCF76" s="2198"/>
      <c r="RCG76" s="2198"/>
      <c r="RCH76" s="2198"/>
      <c r="RCI76" s="2198"/>
      <c r="RCJ76" s="2198"/>
      <c r="RCK76" s="2198"/>
      <c r="RCL76" s="2198"/>
      <c r="RCM76" s="2198"/>
      <c r="RCN76" s="2198"/>
      <c r="RCO76" s="2198"/>
      <c r="RCP76" s="2198"/>
      <c r="RCQ76" s="2198"/>
      <c r="RCR76" s="2198"/>
      <c r="RCS76" s="2198"/>
      <c r="RCT76" s="2198"/>
      <c r="RCU76" s="2198"/>
      <c r="RCV76" s="2198"/>
      <c r="RCW76" s="2198"/>
      <c r="RCX76" s="2198"/>
      <c r="RCY76" s="2198"/>
      <c r="RCZ76" s="2198"/>
      <c r="RDA76" s="2198"/>
      <c r="RDB76" s="2198"/>
      <c r="RDC76" s="2198"/>
      <c r="RDD76" s="2198"/>
      <c r="RDE76" s="2198"/>
      <c r="RDF76" s="2198"/>
      <c r="RDG76" s="2198"/>
      <c r="RDH76" s="2198"/>
      <c r="RDI76" s="2198"/>
      <c r="RDJ76" s="2198"/>
      <c r="RDK76" s="2198"/>
      <c r="RDL76" s="2198"/>
      <c r="RDM76" s="2198"/>
      <c r="RDN76" s="2198"/>
      <c r="RDO76" s="2198"/>
      <c r="RDP76" s="2198"/>
      <c r="RDQ76" s="2198"/>
      <c r="RDR76" s="2198"/>
      <c r="RDS76" s="2198"/>
      <c r="RDT76" s="2198"/>
      <c r="RDU76" s="2198"/>
      <c r="RDV76" s="2198"/>
      <c r="RDW76" s="2198"/>
      <c r="RDX76" s="2198"/>
      <c r="RDY76" s="2198"/>
      <c r="RDZ76" s="2198"/>
      <c r="REA76" s="2198"/>
      <c r="REB76" s="2198"/>
      <c r="REC76" s="2198"/>
      <c r="RED76" s="2198"/>
      <c r="REE76" s="2198"/>
      <c r="REF76" s="2198"/>
      <c r="REG76" s="2198"/>
      <c r="REH76" s="2198"/>
      <c r="REI76" s="2198"/>
      <c r="REJ76" s="2198"/>
      <c r="REK76" s="2198"/>
      <c r="REL76" s="2198"/>
      <c r="REM76" s="2198"/>
      <c r="REN76" s="2198"/>
      <c r="REO76" s="2198"/>
      <c r="REP76" s="2198"/>
      <c r="REQ76" s="2198"/>
      <c r="RER76" s="2198"/>
      <c r="RES76" s="2198"/>
      <c r="RET76" s="2198"/>
      <c r="REU76" s="2198"/>
      <c r="REV76" s="2198"/>
      <c r="REW76" s="2198"/>
      <c r="REX76" s="2198"/>
      <c r="REY76" s="2198"/>
      <c r="REZ76" s="2198"/>
      <c r="RFA76" s="2198"/>
      <c r="RFB76" s="2198"/>
      <c r="RFC76" s="2198"/>
      <c r="RFD76" s="2198"/>
      <c r="RFE76" s="2198"/>
      <c r="RFF76" s="2198"/>
      <c r="RFG76" s="2198"/>
      <c r="RFH76" s="2198"/>
      <c r="RFI76" s="2198"/>
      <c r="RFJ76" s="2198"/>
      <c r="RFK76" s="2198"/>
      <c r="RFL76" s="2198"/>
      <c r="RFM76" s="2198"/>
      <c r="RFN76" s="2198"/>
      <c r="RFO76" s="2198"/>
      <c r="RFP76" s="2198"/>
      <c r="RFQ76" s="2198"/>
      <c r="RFR76" s="2198"/>
      <c r="RFS76" s="2198"/>
      <c r="RFT76" s="2198"/>
      <c r="RFU76" s="2198"/>
      <c r="RFV76" s="2198"/>
      <c r="RFW76" s="2198"/>
      <c r="RFX76" s="2198"/>
      <c r="RFY76" s="2198"/>
      <c r="RFZ76" s="2198"/>
      <c r="RGA76" s="2198"/>
      <c r="RGB76" s="2198"/>
      <c r="RGC76" s="2198"/>
      <c r="RGD76" s="2198"/>
      <c r="RGE76" s="2198"/>
      <c r="RGF76" s="2198"/>
      <c r="RGG76" s="2198"/>
      <c r="RGH76" s="2198"/>
      <c r="RGI76" s="2198"/>
      <c r="RGJ76" s="2198"/>
      <c r="RGK76" s="2198"/>
      <c r="RGL76" s="2198"/>
      <c r="RGM76" s="2198"/>
      <c r="RGN76" s="2198"/>
      <c r="RGO76" s="2198"/>
      <c r="RGP76" s="2198"/>
      <c r="RGQ76" s="2198"/>
      <c r="RGR76" s="2198"/>
      <c r="RGS76" s="2198"/>
      <c r="RGT76" s="2198"/>
      <c r="RGU76" s="2198"/>
      <c r="RGV76" s="2198"/>
      <c r="RGW76" s="2198"/>
      <c r="RGX76" s="2198"/>
      <c r="RGY76" s="2198"/>
      <c r="RGZ76" s="2198"/>
      <c r="RHA76" s="2198"/>
      <c r="RHB76" s="2198"/>
      <c r="RHC76" s="2198"/>
      <c r="RHD76" s="2198"/>
      <c r="RHE76" s="2198"/>
      <c r="RHF76" s="2198"/>
      <c r="RHG76" s="2198"/>
      <c r="RHH76" s="2198"/>
      <c r="RHI76" s="2198"/>
      <c r="RHJ76" s="2198"/>
      <c r="RHK76" s="2198"/>
      <c r="RHL76" s="2198"/>
      <c r="RHM76" s="2198"/>
      <c r="RHN76" s="2198"/>
      <c r="RHO76" s="2198"/>
      <c r="RHP76" s="2198"/>
      <c r="RHQ76" s="2198"/>
      <c r="RHR76" s="2198"/>
      <c r="RHS76" s="2198"/>
      <c r="RHT76" s="2198"/>
      <c r="RHU76" s="2198"/>
      <c r="RHV76" s="2198"/>
      <c r="RHW76" s="2198"/>
      <c r="RHX76" s="2198"/>
      <c r="RHY76" s="2198"/>
      <c r="RHZ76" s="2198"/>
      <c r="RIA76" s="2198"/>
      <c r="RIB76" s="2198"/>
      <c r="RIC76" s="2198"/>
      <c r="RID76" s="2198"/>
      <c r="RIE76" s="2198"/>
      <c r="RIF76" s="2198"/>
      <c r="RIG76" s="2198"/>
      <c r="RIH76" s="2198"/>
      <c r="RII76" s="2198"/>
      <c r="RIJ76" s="2198"/>
      <c r="RIK76" s="2198"/>
      <c r="RIL76" s="2198"/>
      <c r="RIM76" s="2198"/>
      <c r="RIN76" s="2198"/>
      <c r="RIO76" s="2198"/>
      <c r="RIP76" s="2198"/>
      <c r="RIQ76" s="2198"/>
      <c r="RIR76" s="2198"/>
      <c r="RIS76" s="2198"/>
      <c r="RIT76" s="2198"/>
      <c r="RIU76" s="2198"/>
      <c r="RIV76" s="2198"/>
      <c r="RIW76" s="2198"/>
      <c r="RIX76" s="2198"/>
      <c r="RIY76" s="2198"/>
      <c r="RIZ76" s="2198"/>
      <c r="RJA76" s="2198"/>
      <c r="RJB76" s="2198"/>
      <c r="RJC76" s="2198"/>
      <c r="RJD76" s="2198"/>
      <c r="RJE76" s="2198"/>
      <c r="RJF76" s="2198"/>
      <c r="RJG76" s="2198"/>
      <c r="RJH76" s="2198"/>
      <c r="RJI76" s="2198"/>
      <c r="RJJ76" s="2198"/>
      <c r="RJK76" s="2198"/>
      <c r="RJL76" s="2198"/>
      <c r="RJM76" s="2198"/>
      <c r="RJN76" s="2198"/>
      <c r="RJO76" s="2198"/>
      <c r="RJP76" s="2198"/>
      <c r="RJQ76" s="2198"/>
      <c r="RJR76" s="2198"/>
      <c r="RJS76" s="2198"/>
      <c r="RJT76" s="2198"/>
      <c r="RJU76" s="2198"/>
      <c r="RJV76" s="2198"/>
      <c r="RJW76" s="2198"/>
      <c r="RJX76" s="2198"/>
      <c r="RJY76" s="2198"/>
      <c r="RJZ76" s="2198"/>
      <c r="RKA76" s="2198"/>
      <c r="RKB76" s="2198"/>
      <c r="RKC76" s="2198"/>
      <c r="RKD76" s="2198"/>
      <c r="RKE76" s="2198"/>
      <c r="RKF76" s="2198"/>
      <c r="RKG76" s="2198"/>
      <c r="RKH76" s="2198"/>
      <c r="RKI76" s="2198"/>
      <c r="RKJ76" s="2198"/>
      <c r="RKK76" s="2198"/>
      <c r="RKL76" s="2198"/>
      <c r="RKM76" s="2198"/>
      <c r="RKN76" s="2198"/>
      <c r="RKO76" s="2198"/>
      <c r="RKP76" s="2198"/>
      <c r="RKQ76" s="2198"/>
      <c r="RKR76" s="2198"/>
      <c r="RKS76" s="2198"/>
      <c r="RKT76" s="2198"/>
      <c r="RKU76" s="2198"/>
      <c r="RKV76" s="2198"/>
      <c r="RKW76" s="2198"/>
      <c r="RKX76" s="2198"/>
      <c r="RKY76" s="2198"/>
      <c r="RKZ76" s="2198"/>
      <c r="RLA76" s="2198"/>
      <c r="RLB76" s="2198"/>
      <c r="RLC76" s="2198"/>
      <c r="RLD76" s="2198"/>
      <c r="RLE76" s="2198"/>
      <c r="RLF76" s="2198"/>
      <c r="RLG76" s="2198"/>
      <c r="RLH76" s="2198"/>
      <c r="RLI76" s="2198"/>
      <c r="RLJ76" s="2198"/>
      <c r="RLK76" s="2198"/>
      <c r="RLL76" s="2198"/>
      <c r="RLM76" s="2198"/>
      <c r="RLN76" s="2198"/>
      <c r="RLO76" s="2198"/>
      <c r="RLP76" s="2198"/>
      <c r="RLQ76" s="2198"/>
      <c r="RLR76" s="2198"/>
      <c r="RLS76" s="2198"/>
      <c r="RLT76" s="2198"/>
      <c r="RLU76" s="2198"/>
      <c r="RLV76" s="2198"/>
      <c r="RLW76" s="2198"/>
      <c r="RLX76" s="2198"/>
      <c r="RLY76" s="2198"/>
      <c r="RLZ76" s="2198"/>
      <c r="RMA76" s="2198"/>
      <c r="RMB76" s="2198"/>
      <c r="RMC76" s="2198"/>
      <c r="RMD76" s="2198"/>
      <c r="RME76" s="2198"/>
      <c r="RMF76" s="2198"/>
      <c r="RMG76" s="2198"/>
      <c r="RMH76" s="2198"/>
      <c r="RMI76" s="2198"/>
      <c r="RMJ76" s="2198"/>
      <c r="RMK76" s="2198"/>
      <c r="RML76" s="2198"/>
      <c r="RMM76" s="2198"/>
      <c r="RMN76" s="2198"/>
      <c r="RMO76" s="2198"/>
      <c r="RMP76" s="2198"/>
      <c r="RMQ76" s="2198"/>
      <c r="RMR76" s="2198"/>
      <c r="RMS76" s="2198"/>
      <c r="RMT76" s="2198"/>
      <c r="RMU76" s="2198"/>
      <c r="RMV76" s="2198"/>
      <c r="RMW76" s="2198"/>
      <c r="RMX76" s="2198"/>
      <c r="RMY76" s="2198"/>
      <c r="RMZ76" s="2198"/>
      <c r="RNA76" s="2198"/>
      <c r="RNB76" s="2198"/>
      <c r="RNC76" s="2198"/>
      <c r="RND76" s="2198"/>
      <c r="RNE76" s="2198"/>
      <c r="RNF76" s="2198"/>
      <c r="RNG76" s="2198"/>
      <c r="RNH76" s="2198"/>
      <c r="RNI76" s="2198"/>
      <c r="RNJ76" s="2198"/>
      <c r="RNK76" s="2198"/>
      <c r="RNL76" s="2198"/>
      <c r="RNM76" s="2198"/>
      <c r="RNN76" s="2198"/>
      <c r="RNO76" s="2198"/>
      <c r="RNP76" s="2198"/>
      <c r="RNQ76" s="2198"/>
      <c r="RNR76" s="2198"/>
      <c r="RNS76" s="2198"/>
      <c r="RNT76" s="2198"/>
      <c r="RNU76" s="2198"/>
      <c r="RNV76" s="2198"/>
      <c r="RNW76" s="2198"/>
      <c r="RNX76" s="2198"/>
      <c r="RNY76" s="2198"/>
      <c r="RNZ76" s="2198"/>
      <c r="ROA76" s="2198"/>
      <c r="ROB76" s="2198"/>
      <c r="ROC76" s="2198"/>
      <c r="ROD76" s="2198"/>
      <c r="ROE76" s="2198"/>
      <c r="ROF76" s="2198"/>
      <c r="ROG76" s="2198"/>
      <c r="ROH76" s="2198"/>
      <c r="ROI76" s="2198"/>
      <c r="ROJ76" s="2198"/>
      <c r="ROK76" s="2198"/>
      <c r="ROL76" s="2198"/>
      <c r="ROM76" s="2198"/>
      <c r="RON76" s="2198"/>
      <c r="ROO76" s="2198"/>
      <c r="ROP76" s="2198"/>
      <c r="ROQ76" s="2198"/>
      <c r="ROR76" s="2198"/>
      <c r="ROS76" s="2198"/>
      <c r="ROT76" s="2198"/>
      <c r="ROU76" s="2198"/>
      <c r="ROV76" s="2198"/>
      <c r="ROW76" s="2198"/>
      <c r="ROX76" s="2198"/>
      <c r="ROY76" s="2198"/>
      <c r="ROZ76" s="2198"/>
      <c r="RPA76" s="2198"/>
      <c r="RPB76" s="2198"/>
      <c r="RPC76" s="2198"/>
      <c r="RPD76" s="2198"/>
      <c r="RPE76" s="2198"/>
      <c r="RPF76" s="2198"/>
      <c r="RPG76" s="2198"/>
      <c r="RPH76" s="2198"/>
      <c r="RPI76" s="2198"/>
      <c r="RPJ76" s="2198"/>
      <c r="RPK76" s="2198"/>
      <c r="RPL76" s="2198"/>
      <c r="RPM76" s="2198"/>
      <c r="RPN76" s="2198"/>
      <c r="RPO76" s="2198"/>
      <c r="RPP76" s="2198"/>
      <c r="RPQ76" s="2198"/>
      <c r="RPR76" s="2198"/>
      <c r="RPS76" s="2198"/>
      <c r="RPT76" s="2198"/>
      <c r="RPU76" s="2198"/>
      <c r="RPV76" s="2198"/>
      <c r="RPW76" s="2198"/>
      <c r="RPX76" s="2198"/>
      <c r="RPY76" s="2198"/>
      <c r="RPZ76" s="2198"/>
      <c r="RQA76" s="2198"/>
      <c r="RQB76" s="2198"/>
      <c r="RQC76" s="2198"/>
      <c r="RQD76" s="2198"/>
      <c r="RQE76" s="2198"/>
      <c r="RQF76" s="2198"/>
      <c r="RQG76" s="2198"/>
      <c r="RQH76" s="2198"/>
      <c r="RQI76" s="2198"/>
      <c r="RQJ76" s="2198"/>
      <c r="RQK76" s="2198"/>
      <c r="RQL76" s="2198"/>
      <c r="RQM76" s="2198"/>
      <c r="RQN76" s="2198"/>
      <c r="RQO76" s="2198"/>
      <c r="RQP76" s="2198"/>
      <c r="RQQ76" s="2198"/>
      <c r="RQR76" s="2198"/>
      <c r="RQS76" s="2198"/>
      <c r="RQT76" s="2198"/>
      <c r="RQU76" s="2198"/>
      <c r="RQV76" s="2198"/>
      <c r="RQW76" s="2198"/>
      <c r="RQX76" s="2198"/>
      <c r="RQY76" s="2198"/>
      <c r="RQZ76" s="2198"/>
      <c r="RRA76" s="2198"/>
      <c r="RRB76" s="2198"/>
      <c r="RRC76" s="2198"/>
      <c r="RRD76" s="2198"/>
      <c r="RRE76" s="2198"/>
      <c r="RRF76" s="2198"/>
      <c r="RRG76" s="2198"/>
      <c r="RRH76" s="2198"/>
      <c r="RRI76" s="2198"/>
      <c r="RRJ76" s="2198"/>
      <c r="RRK76" s="2198"/>
      <c r="RRL76" s="2198"/>
      <c r="RRM76" s="2198"/>
      <c r="RRN76" s="2198"/>
      <c r="RRO76" s="2198"/>
      <c r="RRP76" s="2198"/>
      <c r="RRQ76" s="2198"/>
      <c r="RRR76" s="2198"/>
      <c r="RRS76" s="2198"/>
      <c r="RRT76" s="2198"/>
      <c r="RRU76" s="2198"/>
      <c r="RRV76" s="2198"/>
      <c r="RRW76" s="2198"/>
      <c r="RRX76" s="2198"/>
      <c r="RRY76" s="2198"/>
      <c r="RRZ76" s="2198"/>
      <c r="RSA76" s="2198"/>
      <c r="RSB76" s="2198"/>
      <c r="RSC76" s="2198"/>
      <c r="RSD76" s="2198"/>
      <c r="RSE76" s="2198"/>
      <c r="RSF76" s="2198"/>
      <c r="RSG76" s="2198"/>
      <c r="RSH76" s="2198"/>
      <c r="RSI76" s="2198"/>
      <c r="RSJ76" s="2198"/>
      <c r="RSK76" s="2198"/>
      <c r="RSL76" s="2198"/>
      <c r="RSM76" s="2198"/>
      <c r="RSN76" s="2198"/>
      <c r="RSO76" s="2198"/>
      <c r="RSP76" s="2198"/>
      <c r="RSQ76" s="2198"/>
      <c r="RSR76" s="2198"/>
      <c r="RSS76" s="2198"/>
      <c r="RST76" s="2198"/>
      <c r="RSU76" s="2198"/>
      <c r="RSV76" s="2198"/>
      <c r="RSW76" s="2198"/>
      <c r="RSX76" s="2198"/>
      <c r="RSY76" s="2198"/>
      <c r="RSZ76" s="2198"/>
      <c r="RTA76" s="2198"/>
      <c r="RTB76" s="2198"/>
      <c r="RTC76" s="2198"/>
      <c r="RTD76" s="2198"/>
      <c r="RTE76" s="2198"/>
      <c r="RTF76" s="2198"/>
      <c r="RTG76" s="2198"/>
      <c r="RTH76" s="2198"/>
      <c r="RTI76" s="2198"/>
      <c r="RTJ76" s="2198"/>
      <c r="RTK76" s="2198"/>
      <c r="RTL76" s="2198"/>
      <c r="RTM76" s="2198"/>
      <c r="RTN76" s="2198"/>
      <c r="RTO76" s="2198"/>
      <c r="RTP76" s="2198"/>
      <c r="RTQ76" s="2198"/>
      <c r="RTR76" s="2198"/>
      <c r="RTS76" s="2198"/>
      <c r="RTT76" s="2198"/>
      <c r="RTU76" s="2198"/>
      <c r="RTV76" s="2198"/>
      <c r="RTW76" s="2198"/>
      <c r="RTX76" s="2198"/>
      <c r="RTY76" s="2198"/>
      <c r="RTZ76" s="2198"/>
      <c r="RUA76" s="2198"/>
      <c r="RUB76" s="2198"/>
      <c r="RUC76" s="2198"/>
      <c r="RUD76" s="2198"/>
      <c r="RUE76" s="2198"/>
      <c r="RUF76" s="2198"/>
      <c r="RUG76" s="2198"/>
      <c r="RUH76" s="2198"/>
      <c r="RUI76" s="2198"/>
      <c r="RUJ76" s="2198"/>
      <c r="RUK76" s="2198"/>
      <c r="RUL76" s="2198"/>
      <c r="RUM76" s="2198"/>
      <c r="RUN76" s="2198"/>
      <c r="RUO76" s="2198"/>
      <c r="RUP76" s="2198"/>
      <c r="RUQ76" s="2198"/>
      <c r="RUR76" s="2198"/>
      <c r="RUS76" s="2198"/>
      <c r="RUT76" s="2198"/>
      <c r="RUU76" s="2198"/>
      <c r="RUV76" s="2198"/>
      <c r="RUW76" s="2198"/>
      <c r="RUX76" s="2198"/>
      <c r="RUY76" s="2198"/>
      <c r="RUZ76" s="2198"/>
      <c r="RVA76" s="2198"/>
      <c r="RVB76" s="2198"/>
      <c r="RVC76" s="2198"/>
      <c r="RVD76" s="2198"/>
      <c r="RVE76" s="2198"/>
      <c r="RVF76" s="2198"/>
      <c r="RVG76" s="2198"/>
      <c r="RVH76" s="2198"/>
      <c r="RVI76" s="2198"/>
      <c r="RVJ76" s="2198"/>
      <c r="RVK76" s="2198"/>
      <c r="RVL76" s="2198"/>
      <c r="RVM76" s="2198"/>
      <c r="RVN76" s="2198"/>
      <c r="RVO76" s="2198"/>
      <c r="RVP76" s="2198"/>
      <c r="RVQ76" s="2198"/>
      <c r="RVR76" s="2198"/>
      <c r="RVS76" s="2198"/>
      <c r="RVT76" s="2198"/>
      <c r="RVU76" s="2198"/>
      <c r="RVV76" s="2198"/>
      <c r="RVW76" s="2198"/>
      <c r="RVX76" s="2198"/>
      <c r="RVY76" s="2198"/>
      <c r="RVZ76" s="2198"/>
      <c r="RWA76" s="2198"/>
      <c r="RWB76" s="2198"/>
      <c r="RWC76" s="2198"/>
      <c r="RWD76" s="2198"/>
      <c r="RWE76" s="2198"/>
      <c r="RWF76" s="2198"/>
      <c r="RWG76" s="2198"/>
      <c r="RWH76" s="2198"/>
      <c r="RWI76" s="2198"/>
      <c r="RWJ76" s="2198"/>
      <c r="RWK76" s="2198"/>
      <c r="RWL76" s="2198"/>
      <c r="RWM76" s="2198"/>
      <c r="RWN76" s="2198"/>
      <c r="RWO76" s="2198"/>
      <c r="RWP76" s="2198"/>
      <c r="RWQ76" s="2198"/>
      <c r="RWR76" s="2198"/>
      <c r="RWS76" s="2198"/>
      <c r="RWT76" s="2198"/>
      <c r="RWU76" s="2198"/>
      <c r="RWV76" s="2198"/>
      <c r="RWW76" s="2198"/>
      <c r="RWX76" s="2198"/>
      <c r="RWY76" s="2198"/>
      <c r="RWZ76" s="2198"/>
      <c r="RXA76" s="2198"/>
      <c r="RXB76" s="2198"/>
      <c r="RXC76" s="2198"/>
      <c r="RXD76" s="2198"/>
      <c r="RXE76" s="2198"/>
      <c r="RXF76" s="2198"/>
      <c r="RXG76" s="2198"/>
      <c r="RXH76" s="2198"/>
      <c r="RXI76" s="2198"/>
      <c r="RXJ76" s="2198"/>
      <c r="RXK76" s="2198"/>
      <c r="RXL76" s="2198"/>
      <c r="RXM76" s="2198"/>
      <c r="RXN76" s="2198"/>
      <c r="RXO76" s="2198"/>
      <c r="RXP76" s="2198"/>
      <c r="RXQ76" s="2198"/>
      <c r="RXR76" s="2198"/>
      <c r="RXS76" s="2198"/>
      <c r="RXT76" s="2198"/>
      <c r="RXU76" s="2198"/>
      <c r="RXV76" s="2198"/>
      <c r="RXW76" s="2198"/>
      <c r="RXX76" s="2198"/>
      <c r="RXY76" s="2198"/>
      <c r="RXZ76" s="2198"/>
      <c r="RYA76" s="2198"/>
      <c r="RYB76" s="2198"/>
      <c r="RYC76" s="2198"/>
      <c r="RYD76" s="2198"/>
      <c r="RYE76" s="2198"/>
      <c r="RYF76" s="2198"/>
      <c r="RYG76" s="2198"/>
      <c r="RYH76" s="2198"/>
      <c r="RYI76" s="2198"/>
      <c r="RYJ76" s="2198"/>
      <c r="RYK76" s="2198"/>
      <c r="RYL76" s="2198"/>
      <c r="RYM76" s="2198"/>
      <c r="RYN76" s="2198"/>
      <c r="RYO76" s="2198"/>
      <c r="RYP76" s="2198"/>
      <c r="RYQ76" s="2198"/>
      <c r="RYR76" s="2198"/>
      <c r="RYS76" s="2198"/>
      <c r="RYT76" s="2198"/>
      <c r="RYU76" s="2198"/>
      <c r="RYV76" s="2198"/>
      <c r="RYW76" s="2198"/>
      <c r="RYX76" s="2198"/>
      <c r="RYY76" s="2198"/>
      <c r="RYZ76" s="2198"/>
      <c r="RZA76" s="2198"/>
      <c r="RZB76" s="2198"/>
      <c r="RZC76" s="2198"/>
      <c r="RZD76" s="2198"/>
      <c r="RZE76" s="2198"/>
      <c r="RZF76" s="2198"/>
      <c r="RZG76" s="2198"/>
      <c r="RZH76" s="2198"/>
      <c r="RZI76" s="2198"/>
      <c r="RZJ76" s="2198"/>
      <c r="RZK76" s="2198"/>
      <c r="RZL76" s="2198"/>
      <c r="RZM76" s="2198"/>
      <c r="RZN76" s="2198"/>
      <c r="RZO76" s="2198"/>
      <c r="RZP76" s="2198"/>
      <c r="RZQ76" s="2198"/>
      <c r="RZR76" s="2198"/>
      <c r="RZS76" s="2198"/>
      <c r="RZT76" s="2198"/>
      <c r="RZU76" s="2198"/>
      <c r="RZV76" s="2198"/>
      <c r="RZW76" s="2198"/>
      <c r="RZX76" s="2198"/>
      <c r="RZY76" s="2198"/>
      <c r="RZZ76" s="2198"/>
      <c r="SAA76" s="2198"/>
      <c r="SAB76" s="2198"/>
      <c r="SAC76" s="2198"/>
      <c r="SAD76" s="2198"/>
      <c r="SAE76" s="2198"/>
      <c r="SAF76" s="2198"/>
      <c r="SAG76" s="2198"/>
      <c r="SAH76" s="2198"/>
      <c r="SAI76" s="2198"/>
      <c r="SAJ76" s="2198"/>
      <c r="SAK76" s="2198"/>
      <c r="SAL76" s="2198"/>
      <c r="SAM76" s="2198"/>
      <c r="SAN76" s="2198"/>
      <c r="SAO76" s="2198"/>
      <c r="SAP76" s="2198"/>
      <c r="SAQ76" s="2198"/>
      <c r="SAR76" s="2198"/>
      <c r="SAS76" s="2198"/>
      <c r="SAT76" s="2198"/>
      <c r="SAU76" s="2198"/>
      <c r="SAV76" s="2198"/>
      <c r="SAW76" s="2198"/>
      <c r="SAX76" s="2198"/>
      <c r="SAY76" s="2198"/>
      <c r="SAZ76" s="2198"/>
      <c r="SBA76" s="2198"/>
      <c r="SBB76" s="2198"/>
      <c r="SBC76" s="2198"/>
      <c r="SBD76" s="2198"/>
      <c r="SBE76" s="2198"/>
      <c r="SBF76" s="2198"/>
      <c r="SBG76" s="2198"/>
      <c r="SBH76" s="2198"/>
      <c r="SBI76" s="2198"/>
      <c r="SBJ76" s="2198"/>
      <c r="SBK76" s="2198"/>
      <c r="SBL76" s="2198"/>
      <c r="SBM76" s="2198"/>
      <c r="SBN76" s="2198"/>
      <c r="SBO76" s="2198"/>
      <c r="SBP76" s="2198"/>
      <c r="SBQ76" s="2198"/>
      <c r="SBR76" s="2198"/>
      <c r="SBS76" s="2198"/>
      <c r="SBT76" s="2198"/>
      <c r="SBU76" s="2198"/>
      <c r="SBV76" s="2198"/>
      <c r="SBW76" s="2198"/>
      <c r="SBX76" s="2198"/>
      <c r="SBY76" s="2198"/>
      <c r="SBZ76" s="2198"/>
      <c r="SCA76" s="2198"/>
      <c r="SCB76" s="2198"/>
      <c r="SCC76" s="2198"/>
      <c r="SCD76" s="2198"/>
      <c r="SCE76" s="2198"/>
      <c r="SCF76" s="2198"/>
      <c r="SCG76" s="2198"/>
      <c r="SCH76" s="2198"/>
      <c r="SCI76" s="2198"/>
      <c r="SCJ76" s="2198"/>
      <c r="SCK76" s="2198"/>
      <c r="SCL76" s="2198"/>
      <c r="SCM76" s="2198"/>
      <c r="SCN76" s="2198"/>
      <c r="SCO76" s="2198"/>
      <c r="SCP76" s="2198"/>
      <c r="SCQ76" s="2198"/>
      <c r="SCR76" s="2198"/>
      <c r="SCS76" s="2198"/>
      <c r="SCT76" s="2198"/>
      <c r="SCU76" s="2198"/>
      <c r="SCV76" s="2198"/>
      <c r="SCW76" s="2198"/>
      <c r="SCX76" s="2198"/>
      <c r="SCY76" s="2198"/>
      <c r="SCZ76" s="2198"/>
      <c r="SDA76" s="2198"/>
      <c r="SDB76" s="2198"/>
      <c r="SDC76" s="2198"/>
      <c r="SDD76" s="2198"/>
      <c r="SDE76" s="2198"/>
      <c r="SDF76" s="2198"/>
      <c r="SDG76" s="2198"/>
      <c r="SDH76" s="2198"/>
      <c r="SDI76" s="2198"/>
      <c r="SDJ76" s="2198"/>
      <c r="SDK76" s="2198"/>
      <c r="SDL76" s="2198"/>
      <c r="SDM76" s="2198"/>
      <c r="SDN76" s="2198"/>
      <c r="SDO76" s="2198"/>
      <c r="SDP76" s="2198"/>
      <c r="SDQ76" s="2198"/>
      <c r="SDR76" s="2198"/>
      <c r="SDS76" s="2198"/>
      <c r="SDT76" s="2198"/>
      <c r="SDU76" s="2198"/>
      <c r="SDV76" s="2198"/>
      <c r="SDW76" s="2198"/>
      <c r="SDX76" s="2198"/>
      <c r="SDY76" s="2198"/>
      <c r="SDZ76" s="2198"/>
      <c r="SEA76" s="2198"/>
      <c r="SEB76" s="2198"/>
      <c r="SEC76" s="2198"/>
      <c r="SED76" s="2198"/>
      <c r="SEE76" s="2198"/>
      <c r="SEF76" s="2198"/>
      <c r="SEG76" s="2198"/>
      <c r="SEH76" s="2198"/>
      <c r="SEI76" s="2198"/>
      <c r="SEJ76" s="2198"/>
      <c r="SEK76" s="2198"/>
      <c r="SEL76" s="2198"/>
      <c r="SEM76" s="2198"/>
      <c r="SEN76" s="2198"/>
      <c r="SEO76" s="2198"/>
      <c r="SEP76" s="2198"/>
      <c r="SEQ76" s="2198"/>
      <c r="SER76" s="2198"/>
      <c r="SES76" s="2198"/>
      <c r="SET76" s="2198"/>
      <c r="SEU76" s="2198"/>
      <c r="SEV76" s="2198"/>
      <c r="SEW76" s="2198"/>
      <c r="SEX76" s="2198"/>
      <c r="SEY76" s="2198"/>
      <c r="SEZ76" s="2198"/>
      <c r="SFA76" s="2198"/>
      <c r="SFB76" s="2198"/>
      <c r="SFC76" s="2198"/>
      <c r="SFD76" s="2198"/>
      <c r="SFE76" s="2198"/>
      <c r="SFF76" s="2198"/>
      <c r="SFG76" s="2198"/>
      <c r="SFH76" s="2198"/>
      <c r="SFI76" s="2198"/>
      <c r="SFJ76" s="2198"/>
      <c r="SFK76" s="2198"/>
      <c r="SFL76" s="2198"/>
      <c r="SFM76" s="2198"/>
      <c r="SFN76" s="2198"/>
      <c r="SFO76" s="2198"/>
      <c r="SFP76" s="2198"/>
      <c r="SFQ76" s="2198"/>
      <c r="SFR76" s="2198"/>
      <c r="SFS76" s="2198"/>
      <c r="SFT76" s="2198"/>
      <c r="SFU76" s="2198"/>
      <c r="SFV76" s="2198"/>
      <c r="SFW76" s="2198"/>
      <c r="SFX76" s="2198"/>
      <c r="SFY76" s="2198"/>
      <c r="SFZ76" s="2198"/>
      <c r="SGA76" s="2198"/>
      <c r="SGB76" s="2198"/>
      <c r="SGC76" s="2198"/>
      <c r="SGD76" s="2198"/>
      <c r="SGE76" s="2198"/>
      <c r="SGF76" s="2198"/>
      <c r="SGG76" s="2198"/>
      <c r="SGH76" s="2198"/>
      <c r="SGI76" s="2198"/>
      <c r="SGJ76" s="2198"/>
      <c r="SGK76" s="2198"/>
      <c r="SGL76" s="2198"/>
      <c r="SGM76" s="2198"/>
      <c r="SGN76" s="2198"/>
      <c r="SGO76" s="2198"/>
      <c r="SGP76" s="2198"/>
      <c r="SGQ76" s="2198"/>
      <c r="SGR76" s="2198"/>
      <c r="SGS76" s="2198"/>
      <c r="SGT76" s="2198"/>
      <c r="SGU76" s="2198"/>
      <c r="SGV76" s="2198"/>
      <c r="SGW76" s="2198"/>
      <c r="SGX76" s="2198"/>
      <c r="SGY76" s="2198"/>
      <c r="SGZ76" s="2198"/>
      <c r="SHA76" s="2198"/>
      <c r="SHB76" s="2198"/>
      <c r="SHC76" s="2198"/>
      <c r="SHD76" s="2198"/>
      <c r="SHE76" s="2198"/>
      <c r="SHF76" s="2198"/>
      <c r="SHG76" s="2198"/>
      <c r="SHH76" s="2198"/>
      <c r="SHI76" s="2198"/>
      <c r="SHJ76" s="2198"/>
      <c r="SHK76" s="2198"/>
      <c r="SHL76" s="2198"/>
      <c r="SHM76" s="2198"/>
      <c r="SHN76" s="2198"/>
      <c r="SHO76" s="2198"/>
      <c r="SHP76" s="2198"/>
      <c r="SHQ76" s="2198"/>
      <c r="SHR76" s="2198"/>
      <c r="SHS76" s="2198"/>
      <c r="SHT76" s="2198"/>
      <c r="SHU76" s="2198"/>
      <c r="SHV76" s="2198"/>
      <c r="SHW76" s="2198"/>
      <c r="SHX76" s="2198"/>
      <c r="SHY76" s="2198"/>
      <c r="SHZ76" s="2198"/>
      <c r="SIA76" s="2198"/>
      <c r="SIB76" s="2198"/>
      <c r="SIC76" s="2198"/>
      <c r="SID76" s="2198"/>
      <c r="SIE76" s="2198"/>
      <c r="SIF76" s="2198"/>
      <c r="SIG76" s="2198"/>
      <c r="SIH76" s="2198"/>
      <c r="SII76" s="2198"/>
      <c r="SIJ76" s="2198"/>
      <c r="SIK76" s="2198"/>
      <c r="SIL76" s="2198"/>
      <c r="SIM76" s="2198"/>
      <c r="SIN76" s="2198"/>
      <c r="SIO76" s="2198"/>
      <c r="SIP76" s="2198"/>
      <c r="SIQ76" s="2198"/>
      <c r="SIR76" s="2198"/>
      <c r="SIS76" s="2198"/>
      <c r="SIT76" s="2198"/>
      <c r="SIU76" s="2198"/>
      <c r="SIV76" s="2198"/>
      <c r="SIW76" s="2198"/>
      <c r="SIX76" s="2198"/>
      <c r="SIY76" s="2198"/>
      <c r="SIZ76" s="2198"/>
      <c r="SJA76" s="2198"/>
      <c r="SJB76" s="2198"/>
      <c r="SJC76" s="2198"/>
      <c r="SJD76" s="2198"/>
      <c r="SJE76" s="2198"/>
      <c r="SJF76" s="2198"/>
      <c r="SJG76" s="2198"/>
      <c r="SJH76" s="2198"/>
      <c r="SJI76" s="2198"/>
      <c r="SJJ76" s="2198"/>
      <c r="SJK76" s="2198"/>
      <c r="SJL76" s="2198"/>
      <c r="SJM76" s="2198"/>
      <c r="SJN76" s="2198"/>
      <c r="SJO76" s="2198"/>
      <c r="SJP76" s="2198"/>
      <c r="SJQ76" s="2198"/>
      <c r="SJR76" s="2198"/>
      <c r="SJS76" s="2198"/>
      <c r="SJT76" s="2198"/>
      <c r="SJU76" s="2198"/>
      <c r="SJV76" s="2198"/>
      <c r="SJW76" s="2198"/>
      <c r="SJX76" s="2198"/>
      <c r="SJY76" s="2198"/>
      <c r="SJZ76" s="2198"/>
      <c r="SKA76" s="2198"/>
      <c r="SKB76" s="2198"/>
      <c r="SKC76" s="2198"/>
      <c r="SKD76" s="2198"/>
      <c r="SKE76" s="2198"/>
      <c r="SKF76" s="2198"/>
      <c r="SKG76" s="2198"/>
      <c r="SKH76" s="2198"/>
      <c r="SKI76" s="2198"/>
      <c r="SKJ76" s="2198"/>
      <c r="SKK76" s="2198"/>
      <c r="SKL76" s="2198"/>
      <c r="SKM76" s="2198"/>
      <c r="SKN76" s="2198"/>
      <c r="SKO76" s="2198"/>
      <c r="SKP76" s="2198"/>
      <c r="SKQ76" s="2198"/>
      <c r="SKR76" s="2198"/>
      <c r="SKS76" s="2198"/>
      <c r="SKT76" s="2198"/>
      <c r="SKU76" s="2198"/>
      <c r="SKV76" s="2198"/>
      <c r="SKW76" s="2198"/>
      <c r="SKX76" s="2198"/>
      <c r="SKY76" s="2198"/>
      <c r="SKZ76" s="2198"/>
      <c r="SLA76" s="2198"/>
      <c r="SLB76" s="2198"/>
      <c r="SLC76" s="2198"/>
      <c r="SLD76" s="2198"/>
      <c r="SLE76" s="2198"/>
      <c r="SLF76" s="2198"/>
      <c r="SLG76" s="2198"/>
      <c r="SLH76" s="2198"/>
      <c r="SLI76" s="2198"/>
      <c r="SLJ76" s="2198"/>
      <c r="SLK76" s="2198"/>
      <c r="SLL76" s="2198"/>
      <c r="SLM76" s="2198"/>
      <c r="SLN76" s="2198"/>
      <c r="SLO76" s="2198"/>
      <c r="SLP76" s="2198"/>
      <c r="SLQ76" s="2198"/>
      <c r="SLR76" s="2198"/>
      <c r="SLS76" s="2198"/>
      <c r="SLT76" s="2198"/>
      <c r="SLU76" s="2198"/>
      <c r="SLV76" s="2198"/>
      <c r="SLW76" s="2198"/>
      <c r="SLX76" s="2198"/>
      <c r="SLY76" s="2198"/>
      <c r="SLZ76" s="2198"/>
      <c r="SMA76" s="2198"/>
      <c r="SMB76" s="2198"/>
      <c r="SMC76" s="2198"/>
      <c r="SMD76" s="2198"/>
      <c r="SME76" s="2198"/>
      <c r="SMF76" s="2198"/>
      <c r="SMG76" s="2198"/>
      <c r="SMH76" s="2198"/>
      <c r="SMI76" s="2198"/>
      <c r="SMJ76" s="2198"/>
      <c r="SMK76" s="2198"/>
      <c r="SML76" s="2198"/>
      <c r="SMM76" s="2198"/>
      <c r="SMN76" s="2198"/>
      <c r="SMO76" s="2198"/>
      <c r="SMP76" s="2198"/>
      <c r="SMQ76" s="2198"/>
      <c r="SMR76" s="2198"/>
      <c r="SMS76" s="2198"/>
      <c r="SMT76" s="2198"/>
      <c r="SMU76" s="2198"/>
      <c r="SMV76" s="2198"/>
      <c r="SMW76" s="2198"/>
      <c r="SMX76" s="2198"/>
      <c r="SMY76" s="2198"/>
      <c r="SMZ76" s="2198"/>
      <c r="SNA76" s="2198"/>
      <c r="SNB76" s="2198"/>
      <c r="SNC76" s="2198"/>
      <c r="SND76" s="2198"/>
      <c r="SNE76" s="2198"/>
      <c r="SNF76" s="2198"/>
      <c r="SNG76" s="2198"/>
      <c r="SNH76" s="2198"/>
      <c r="SNI76" s="2198"/>
      <c r="SNJ76" s="2198"/>
      <c r="SNK76" s="2198"/>
      <c r="SNL76" s="2198"/>
      <c r="SNM76" s="2198"/>
      <c r="SNN76" s="2198"/>
      <c r="SNO76" s="2198"/>
      <c r="SNP76" s="2198"/>
      <c r="SNQ76" s="2198"/>
      <c r="SNR76" s="2198"/>
      <c r="SNS76" s="2198"/>
      <c r="SNT76" s="2198"/>
      <c r="SNU76" s="2198"/>
      <c r="SNV76" s="2198"/>
      <c r="SNW76" s="2198"/>
      <c r="SNX76" s="2198"/>
      <c r="SNY76" s="2198"/>
      <c r="SNZ76" s="2198"/>
      <c r="SOA76" s="2198"/>
      <c r="SOB76" s="2198"/>
      <c r="SOC76" s="2198"/>
      <c r="SOD76" s="2198"/>
      <c r="SOE76" s="2198"/>
      <c r="SOF76" s="2198"/>
      <c r="SOG76" s="2198"/>
      <c r="SOH76" s="2198"/>
      <c r="SOI76" s="2198"/>
      <c r="SOJ76" s="2198"/>
      <c r="SOK76" s="2198"/>
      <c r="SOL76" s="2198"/>
      <c r="SOM76" s="2198"/>
      <c r="SON76" s="2198"/>
      <c r="SOO76" s="2198"/>
      <c r="SOP76" s="2198"/>
      <c r="SOQ76" s="2198"/>
      <c r="SOR76" s="2198"/>
      <c r="SOS76" s="2198"/>
      <c r="SOT76" s="2198"/>
      <c r="SOU76" s="2198"/>
      <c r="SOV76" s="2198"/>
      <c r="SOW76" s="2198"/>
      <c r="SOX76" s="2198"/>
      <c r="SOY76" s="2198"/>
      <c r="SOZ76" s="2198"/>
      <c r="SPA76" s="2198"/>
      <c r="SPB76" s="2198"/>
      <c r="SPC76" s="2198"/>
      <c r="SPD76" s="2198"/>
      <c r="SPE76" s="2198"/>
      <c r="SPF76" s="2198"/>
      <c r="SPG76" s="2198"/>
      <c r="SPH76" s="2198"/>
      <c r="SPI76" s="2198"/>
      <c r="SPJ76" s="2198"/>
      <c r="SPK76" s="2198"/>
      <c r="SPL76" s="2198"/>
      <c r="SPM76" s="2198"/>
      <c r="SPN76" s="2198"/>
      <c r="SPO76" s="2198"/>
      <c r="SPP76" s="2198"/>
      <c r="SPQ76" s="2198"/>
      <c r="SPR76" s="2198"/>
      <c r="SPS76" s="2198"/>
      <c r="SPT76" s="2198"/>
      <c r="SPU76" s="2198"/>
      <c r="SPV76" s="2198"/>
      <c r="SPW76" s="2198"/>
      <c r="SPX76" s="2198"/>
      <c r="SPY76" s="2198"/>
      <c r="SPZ76" s="2198"/>
      <c r="SQA76" s="2198"/>
      <c r="SQB76" s="2198"/>
      <c r="SQC76" s="2198"/>
      <c r="SQD76" s="2198"/>
      <c r="SQE76" s="2198"/>
      <c r="SQF76" s="2198"/>
      <c r="SQG76" s="2198"/>
      <c r="SQH76" s="2198"/>
      <c r="SQI76" s="2198"/>
      <c r="SQJ76" s="2198"/>
      <c r="SQK76" s="2198"/>
      <c r="SQL76" s="2198"/>
      <c r="SQM76" s="2198"/>
      <c r="SQN76" s="2198"/>
      <c r="SQO76" s="2198"/>
      <c r="SQP76" s="2198"/>
      <c r="SQQ76" s="2198"/>
      <c r="SQR76" s="2198"/>
      <c r="SQS76" s="2198"/>
      <c r="SQT76" s="2198"/>
      <c r="SQU76" s="2198"/>
      <c r="SQV76" s="2198"/>
      <c r="SQW76" s="2198"/>
      <c r="SQX76" s="2198"/>
      <c r="SQY76" s="2198"/>
      <c r="SQZ76" s="2198"/>
      <c r="SRA76" s="2198"/>
      <c r="SRB76" s="2198"/>
      <c r="SRC76" s="2198"/>
      <c r="SRD76" s="2198"/>
      <c r="SRE76" s="2198"/>
      <c r="SRF76" s="2198"/>
      <c r="SRG76" s="2198"/>
      <c r="SRH76" s="2198"/>
      <c r="SRI76" s="2198"/>
      <c r="SRJ76" s="2198"/>
      <c r="SRK76" s="2198"/>
      <c r="SRL76" s="2198"/>
      <c r="SRM76" s="2198"/>
      <c r="SRN76" s="2198"/>
      <c r="SRO76" s="2198"/>
      <c r="SRP76" s="2198"/>
      <c r="SRQ76" s="2198"/>
      <c r="SRR76" s="2198"/>
      <c r="SRS76" s="2198"/>
      <c r="SRT76" s="2198"/>
      <c r="SRU76" s="2198"/>
      <c r="SRV76" s="2198"/>
      <c r="SRW76" s="2198"/>
      <c r="SRX76" s="2198"/>
      <c r="SRY76" s="2198"/>
      <c r="SRZ76" s="2198"/>
      <c r="SSA76" s="2198"/>
      <c r="SSB76" s="2198"/>
      <c r="SSC76" s="2198"/>
      <c r="SSD76" s="2198"/>
      <c r="SSE76" s="2198"/>
      <c r="SSF76" s="2198"/>
      <c r="SSG76" s="2198"/>
      <c r="SSH76" s="2198"/>
      <c r="SSI76" s="2198"/>
      <c r="SSJ76" s="2198"/>
      <c r="SSK76" s="2198"/>
      <c r="SSL76" s="2198"/>
      <c r="SSM76" s="2198"/>
      <c r="SSN76" s="2198"/>
      <c r="SSO76" s="2198"/>
      <c r="SSP76" s="2198"/>
      <c r="SSQ76" s="2198"/>
      <c r="SSR76" s="2198"/>
      <c r="SSS76" s="2198"/>
      <c r="SST76" s="2198"/>
      <c r="SSU76" s="2198"/>
      <c r="SSV76" s="2198"/>
      <c r="SSW76" s="2198"/>
      <c r="SSX76" s="2198"/>
      <c r="SSY76" s="2198"/>
      <c r="SSZ76" s="2198"/>
      <c r="STA76" s="2198"/>
      <c r="STB76" s="2198"/>
      <c r="STC76" s="2198"/>
      <c r="STD76" s="2198"/>
      <c r="STE76" s="2198"/>
      <c r="STF76" s="2198"/>
      <c r="STG76" s="2198"/>
      <c r="STH76" s="2198"/>
      <c r="STI76" s="2198"/>
      <c r="STJ76" s="2198"/>
      <c r="STK76" s="2198"/>
      <c r="STL76" s="2198"/>
      <c r="STM76" s="2198"/>
      <c r="STN76" s="2198"/>
      <c r="STO76" s="2198"/>
      <c r="STP76" s="2198"/>
      <c r="STQ76" s="2198"/>
      <c r="STR76" s="2198"/>
      <c r="STS76" s="2198"/>
      <c r="STT76" s="2198"/>
      <c r="STU76" s="2198"/>
      <c r="STV76" s="2198"/>
      <c r="STW76" s="2198"/>
      <c r="STX76" s="2198"/>
      <c r="STY76" s="2198"/>
      <c r="STZ76" s="2198"/>
      <c r="SUA76" s="2198"/>
      <c r="SUB76" s="2198"/>
      <c r="SUC76" s="2198"/>
      <c r="SUD76" s="2198"/>
      <c r="SUE76" s="2198"/>
      <c r="SUF76" s="2198"/>
      <c r="SUG76" s="2198"/>
      <c r="SUH76" s="2198"/>
      <c r="SUI76" s="2198"/>
      <c r="SUJ76" s="2198"/>
      <c r="SUK76" s="2198"/>
      <c r="SUL76" s="2198"/>
      <c r="SUM76" s="2198"/>
      <c r="SUN76" s="2198"/>
      <c r="SUO76" s="2198"/>
      <c r="SUP76" s="2198"/>
      <c r="SUQ76" s="2198"/>
      <c r="SUR76" s="2198"/>
      <c r="SUS76" s="2198"/>
      <c r="SUT76" s="2198"/>
      <c r="SUU76" s="2198"/>
      <c r="SUV76" s="2198"/>
      <c r="SUW76" s="2198"/>
      <c r="SUX76" s="2198"/>
      <c r="SUY76" s="2198"/>
      <c r="SUZ76" s="2198"/>
      <c r="SVA76" s="2198"/>
      <c r="SVB76" s="2198"/>
      <c r="SVC76" s="2198"/>
      <c r="SVD76" s="2198"/>
      <c r="SVE76" s="2198"/>
      <c r="SVF76" s="2198"/>
      <c r="SVG76" s="2198"/>
      <c r="SVH76" s="2198"/>
      <c r="SVI76" s="2198"/>
      <c r="SVJ76" s="2198"/>
      <c r="SVK76" s="2198"/>
      <c r="SVL76" s="2198"/>
      <c r="SVM76" s="2198"/>
      <c r="SVN76" s="2198"/>
      <c r="SVO76" s="2198"/>
      <c r="SVP76" s="2198"/>
      <c r="SVQ76" s="2198"/>
      <c r="SVR76" s="2198"/>
      <c r="SVS76" s="2198"/>
      <c r="SVT76" s="2198"/>
      <c r="SVU76" s="2198"/>
      <c r="SVV76" s="2198"/>
      <c r="SVW76" s="2198"/>
      <c r="SVX76" s="2198"/>
      <c r="SVY76" s="2198"/>
      <c r="SVZ76" s="2198"/>
      <c r="SWA76" s="2198"/>
      <c r="SWB76" s="2198"/>
      <c r="SWC76" s="2198"/>
      <c r="SWD76" s="2198"/>
      <c r="SWE76" s="2198"/>
      <c r="SWF76" s="2198"/>
      <c r="SWG76" s="2198"/>
      <c r="SWH76" s="2198"/>
      <c r="SWI76" s="2198"/>
      <c r="SWJ76" s="2198"/>
      <c r="SWK76" s="2198"/>
      <c r="SWL76" s="2198"/>
      <c r="SWM76" s="2198"/>
      <c r="SWN76" s="2198"/>
      <c r="SWO76" s="2198"/>
      <c r="SWP76" s="2198"/>
      <c r="SWQ76" s="2198"/>
      <c r="SWR76" s="2198"/>
      <c r="SWS76" s="2198"/>
      <c r="SWT76" s="2198"/>
      <c r="SWU76" s="2198"/>
      <c r="SWV76" s="2198"/>
      <c r="SWW76" s="2198"/>
      <c r="SWX76" s="2198"/>
      <c r="SWY76" s="2198"/>
      <c r="SWZ76" s="2198"/>
      <c r="SXA76" s="2198"/>
      <c r="SXB76" s="2198"/>
      <c r="SXC76" s="2198"/>
      <c r="SXD76" s="2198"/>
      <c r="SXE76" s="2198"/>
      <c r="SXF76" s="2198"/>
      <c r="SXG76" s="2198"/>
      <c r="SXH76" s="2198"/>
      <c r="SXI76" s="2198"/>
      <c r="SXJ76" s="2198"/>
      <c r="SXK76" s="2198"/>
      <c r="SXL76" s="2198"/>
      <c r="SXM76" s="2198"/>
      <c r="SXN76" s="2198"/>
      <c r="SXO76" s="2198"/>
      <c r="SXP76" s="2198"/>
      <c r="SXQ76" s="2198"/>
      <c r="SXR76" s="2198"/>
      <c r="SXS76" s="2198"/>
      <c r="SXT76" s="2198"/>
      <c r="SXU76" s="2198"/>
      <c r="SXV76" s="2198"/>
      <c r="SXW76" s="2198"/>
      <c r="SXX76" s="2198"/>
      <c r="SXY76" s="2198"/>
      <c r="SXZ76" s="2198"/>
      <c r="SYA76" s="2198"/>
      <c r="SYB76" s="2198"/>
      <c r="SYC76" s="2198"/>
      <c r="SYD76" s="2198"/>
      <c r="SYE76" s="2198"/>
      <c r="SYF76" s="2198"/>
      <c r="SYG76" s="2198"/>
      <c r="SYH76" s="2198"/>
      <c r="SYI76" s="2198"/>
      <c r="SYJ76" s="2198"/>
      <c r="SYK76" s="2198"/>
      <c r="SYL76" s="2198"/>
      <c r="SYM76" s="2198"/>
      <c r="SYN76" s="2198"/>
      <c r="SYO76" s="2198"/>
      <c r="SYP76" s="2198"/>
      <c r="SYQ76" s="2198"/>
      <c r="SYR76" s="2198"/>
      <c r="SYS76" s="2198"/>
      <c r="SYT76" s="2198"/>
      <c r="SYU76" s="2198"/>
      <c r="SYV76" s="2198"/>
      <c r="SYW76" s="2198"/>
      <c r="SYX76" s="2198"/>
      <c r="SYY76" s="2198"/>
      <c r="SYZ76" s="2198"/>
      <c r="SZA76" s="2198"/>
      <c r="SZB76" s="2198"/>
      <c r="SZC76" s="2198"/>
      <c r="SZD76" s="2198"/>
      <c r="SZE76" s="2198"/>
      <c r="SZF76" s="2198"/>
      <c r="SZG76" s="2198"/>
      <c r="SZH76" s="2198"/>
      <c r="SZI76" s="2198"/>
      <c r="SZJ76" s="2198"/>
      <c r="SZK76" s="2198"/>
      <c r="SZL76" s="2198"/>
      <c r="SZM76" s="2198"/>
      <c r="SZN76" s="2198"/>
      <c r="SZO76" s="2198"/>
      <c r="SZP76" s="2198"/>
      <c r="SZQ76" s="2198"/>
      <c r="SZR76" s="2198"/>
      <c r="SZS76" s="2198"/>
      <c r="SZT76" s="2198"/>
      <c r="SZU76" s="2198"/>
      <c r="SZV76" s="2198"/>
      <c r="SZW76" s="2198"/>
      <c r="SZX76" s="2198"/>
      <c r="SZY76" s="2198"/>
      <c r="SZZ76" s="2198"/>
      <c r="TAA76" s="2198"/>
      <c r="TAB76" s="2198"/>
      <c r="TAC76" s="2198"/>
      <c r="TAD76" s="2198"/>
      <c r="TAE76" s="2198"/>
      <c r="TAF76" s="2198"/>
      <c r="TAG76" s="2198"/>
      <c r="TAH76" s="2198"/>
      <c r="TAI76" s="2198"/>
      <c r="TAJ76" s="2198"/>
      <c r="TAK76" s="2198"/>
      <c r="TAL76" s="2198"/>
      <c r="TAM76" s="2198"/>
      <c r="TAN76" s="2198"/>
      <c r="TAO76" s="2198"/>
      <c r="TAP76" s="2198"/>
      <c r="TAQ76" s="2198"/>
      <c r="TAR76" s="2198"/>
      <c r="TAS76" s="2198"/>
      <c r="TAT76" s="2198"/>
      <c r="TAU76" s="2198"/>
      <c r="TAV76" s="2198"/>
      <c r="TAW76" s="2198"/>
      <c r="TAX76" s="2198"/>
      <c r="TAY76" s="2198"/>
      <c r="TAZ76" s="2198"/>
      <c r="TBA76" s="2198"/>
      <c r="TBB76" s="2198"/>
      <c r="TBC76" s="2198"/>
      <c r="TBD76" s="2198"/>
      <c r="TBE76" s="2198"/>
      <c r="TBF76" s="2198"/>
      <c r="TBG76" s="2198"/>
      <c r="TBH76" s="2198"/>
      <c r="TBI76" s="2198"/>
      <c r="TBJ76" s="2198"/>
      <c r="TBK76" s="2198"/>
      <c r="TBL76" s="2198"/>
      <c r="TBM76" s="2198"/>
      <c r="TBN76" s="2198"/>
      <c r="TBO76" s="2198"/>
      <c r="TBP76" s="2198"/>
      <c r="TBQ76" s="2198"/>
      <c r="TBR76" s="2198"/>
      <c r="TBS76" s="2198"/>
      <c r="TBT76" s="2198"/>
      <c r="TBU76" s="2198"/>
      <c r="TBV76" s="2198"/>
      <c r="TBW76" s="2198"/>
      <c r="TBX76" s="2198"/>
      <c r="TBY76" s="2198"/>
      <c r="TBZ76" s="2198"/>
      <c r="TCA76" s="2198"/>
      <c r="TCB76" s="2198"/>
      <c r="TCC76" s="2198"/>
      <c r="TCD76" s="2198"/>
      <c r="TCE76" s="2198"/>
      <c r="TCF76" s="2198"/>
      <c r="TCG76" s="2198"/>
      <c r="TCH76" s="2198"/>
      <c r="TCI76" s="2198"/>
      <c r="TCJ76" s="2198"/>
      <c r="TCK76" s="2198"/>
      <c r="TCL76" s="2198"/>
      <c r="TCM76" s="2198"/>
      <c r="TCN76" s="2198"/>
      <c r="TCO76" s="2198"/>
      <c r="TCP76" s="2198"/>
      <c r="TCQ76" s="2198"/>
      <c r="TCR76" s="2198"/>
      <c r="TCS76" s="2198"/>
      <c r="TCT76" s="2198"/>
      <c r="TCU76" s="2198"/>
      <c r="TCV76" s="2198"/>
      <c r="TCW76" s="2198"/>
      <c r="TCX76" s="2198"/>
      <c r="TCY76" s="2198"/>
      <c r="TCZ76" s="2198"/>
      <c r="TDA76" s="2198"/>
      <c r="TDB76" s="2198"/>
      <c r="TDC76" s="2198"/>
      <c r="TDD76" s="2198"/>
      <c r="TDE76" s="2198"/>
      <c r="TDF76" s="2198"/>
      <c r="TDG76" s="2198"/>
      <c r="TDH76" s="2198"/>
      <c r="TDI76" s="2198"/>
      <c r="TDJ76" s="2198"/>
      <c r="TDK76" s="2198"/>
      <c r="TDL76" s="2198"/>
      <c r="TDM76" s="2198"/>
      <c r="TDN76" s="2198"/>
      <c r="TDO76" s="2198"/>
      <c r="TDP76" s="2198"/>
      <c r="TDQ76" s="2198"/>
      <c r="TDR76" s="2198"/>
      <c r="TDS76" s="2198"/>
      <c r="TDT76" s="2198"/>
      <c r="TDU76" s="2198"/>
      <c r="TDV76" s="2198"/>
      <c r="TDW76" s="2198"/>
      <c r="TDX76" s="2198"/>
      <c r="TDY76" s="2198"/>
      <c r="TDZ76" s="2198"/>
      <c r="TEA76" s="2198"/>
      <c r="TEB76" s="2198"/>
      <c r="TEC76" s="2198"/>
      <c r="TED76" s="2198"/>
      <c r="TEE76" s="2198"/>
      <c r="TEF76" s="2198"/>
      <c r="TEG76" s="2198"/>
      <c r="TEH76" s="2198"/>
      <c r="TEI76" s="2198"/>
      <c r="TEJ76" s="2198"/>
      <c r="TEK76" s="2198"/>
      <c r="TEL76" s="2198"/>
      <c r="TEM76" s="2198"/>
      <c r="TEN76" s="2198"/>
      <c r="TEO76" s="2198"/>
      <c r="TEP76" s="2198"/>
      <c r="TEQ76" s="2198"/>
      <c r="TER76" s="2198"/>
      <c r="TES76" s="2198"/>
      <c r="TET76" s="2198"/>
      <c r="TEU76" s="2198"/>
      <c r="TEV76" s="2198"/>
      <c r="TEW76" s="2198"/>
      <c r="TEX76" s="2198"/>
      <c r="TEY76" s="2198"/>
      <c r="TEZ76" s="2198"/>
      <c r="TFA76" s="2198"/>
      <c r="TFB76" s="2198"/>
      <c r="TFC76" s="2198"/>
      <c r="TFD76" s="2198"/>
      <c r="TFE76" s="2198"/>
      <c r="TFF76" s="2198"/>
      <c r="TFG76" s="2198"/>
      <c r="TFH76" s="2198"/>
      <c r="TFI76" s="2198"/>
      <c r="TFJ76" s="2198"/>
      <c r="TFK76" s="2198"/>
      <c r="TFL76" s="2198"/>
      <c r="TFM76" s="2198"/>
      <c r="TFN76" s="2198"/>
      <c r="TFO76" s="2198"/>
      <c r="TFP76" s="2198"/>
      <c r="TFQ76" s="2198"/>
      <c r="TFR76" s="2198"/>
      <c r="TFS76" s="2198"/>
      <c r="TFT76" s="2198"/>
      <c r="TFU76" s="2198"/>
      <c r="TFV76" s="2198"/>
      <c r="TFW76" s="2198"/>
      <c r="TFX76" s="2198"/>
      <c r="TFY76" s="2198"/>
      <c r="TFZ76" s="2198"/>
      <c r="TGA76" s="2198"/>
      <c r="TGB76" s="2198"/>
      <c r="TGC76" s="2198"/>
      <c r="TGD76" s="2198"/>
      <c r="TGE76" s="2198"/>
      <c r="TGF76" s="2198"/>
      <c r="TGG76" s="2198"/>
      <c r="TGH76" s="2198"/>
      <c r="TGI76" s="2198"/>
      <c r="TGJ76" s="2198"/>
      <c r="TGK76" s="2198"/>
      <c r="TGL76" s="2198"/>
      <c r="TGM76" s="2198"/>
      <c r="TGN76" s="2198"/>
      <c r="TGO76" s="2198"/>
      <c r="TGP76" s="2198"/>
      <c r="TGQ76" s="2198"/>
      <c r="TGR76" s="2198"/>
      <c r="TGS76" s="2198"/>
      <c r="TGT76" s="2198"/>
      <c r="TGU76" s="2198"/>
      <c r="TGV76" s="2198"/>
      <c r="TGW76" s="2198"/>
      <c r="TGX76" s="2198"/>
      <c r="TGY76" s="2198"/>
      <c r="TGZ76" s="2198"/>
      <c r="THA76" s="2198"/>
      <c r="THB76" s="2198"/>
      <c r="THC76" s="2198"/>
      <c r="THD76" s="2198"/>
      <c r="THE76" s="2198"/>
      <c r="THF76" s="2198"/>
      <c r="THG76" s="2198"/>
      <c r="THH76" s="2198"/>
      <c r="THI76" s="2198"/>
      <c r="THJ76" s="2198"/>
      <c r="THK76" s="2198"/>
      <c r="THL76" s="2198"/>
      <c r="THM76" s="2198"/>
      <c r="THN76" s="2198"/>
      <c r="THO76" s="2198"/>
      <c r="THP76" s="2198"/>
      <c r="THQ76" s="2198"/>
      <c r="THR76" s="2198"/>
      <c r="THS76" s="2198"/>
      <c r="THT76" s="2198"/>
      <c r="THU76" s="2198"/>
      <c r="THV76" s="2198"/>
      <c r="THW76" s="2198"/>
      <c r="THX76" s="2198"/>
      <c r="THY76" s="2198"/>
      <c r="THZ76" s="2198"/>
      <c r="TIA76" s="2198"/>
      <c r="TIB76" s="2198"/>
      <c r="TIC76" s="2198"/>
      <c r="TID76" s="2198"/>
      <c r="TIE76" s="2198"/>
      <c r="TIF76" s="2198"/>
      <c r="TIG76" s="2198"/>
      <c r="TIH76" s="2198"/>
      <c r="TII76" s="2198"/>
      <c r="TIJ76" s="2198"/>
      <c r="TIK76" s="2198"/>
      <c r="TIL76" s="2198"/>
      <c r="TIM76" s="2198"/>
      <c r="TIN76" s="2198"/>
      <c r="TIO76" s="2198"/>
      <c r="TIP76" s="2198"/>
      <c r="TIQ76" s="2198"/>
      <c r="TIR76" s="2198"/>
      <c r="TIS76" s="2198"/>
      <c r="TIT76" s="2198"/>
      <c r="TIU76" s="2198"/>
      <c r="TIV76" s="2198"/>
      <c r="TIW76" s="2198"/>
      <c r="TIX76" s="2198"/>
      <c r="TIY76" s="2198"/>
      <c r="TIZ76" s="2198"/>
      <c r="TJA76" s="2198"/>
      <c r="TJB76" s="2198"/>
      <c r="TJC76" s="2198"/>
      <c r="TJD76" s="2198"/>
      <c r="TJE76" s="2198"/>
      <c r="TJF76" s="2198"/>
      <c r="TJG76" s="2198"/>
      <c r="TJH76" s="2198"/>
      <c r="TJI76" s="2198"/>
      <c r="TJJ76" s="2198"/>
      <c r="TJK76" s="2198"/>
      <c r="TJL76" s="2198"/>
      <c r="TJM76" s="2198"/>
      <c r="TJN76" s="2198"/>
      <c r="TJO76" s="2198"/>
      <c r="TJP76" s="2198"/>
      <c r="TJQ76" s="2198"/>
      <c r="TJR76" s="2198"/>
      <c r="TJS76" s="2198"/>
      <c r="TJT76" s="2198"/>
      <c r="TJU76" s="2198"/>
      <c r="TJV76" s="2198"/>
      <c r="TJW76" s="2198"/>
      <c r="TJX76" s="2198"/>
      <c r="TJY76" s="2198"/>
      <c r="TJZ76" s="2198"/>
      <c r="TKA76" s="2198"/>
      <c r="TKB76" s="2198"/>
      <c r="TKC76" s="2198"/>
      <c r="TKD76" s="2198"/>
      <c r="TKE76" s="2198"/>
      <c r="TKF76" s="2198"/>
      <c r="TKG76" s="2198"/>
      <c r="TKH76" s="2198"/>
      <c r="TKI76" s="2198"/>
      <c r="TKJ76" s="2198"/>
      <c r="TKK76" s="2198"/>
      <c r="TKL76" s="2198"/>
      <c r="TKM76" s="2198"/>
      <c r="TKN76" s="2198"/>
      <c r="TKO76" s="2198"/>
      <c r="TKP76" s="2198"/>
      <c r="TKQ76" s="2198"/>
      <c r="TKR76" s="2198"/>
      <c r="TKS76" s="2198"/>
      <c r="TKT76" s="2198"/>
      <c r="TKU76" s="2198"/>
      <c r="TKV76" s="2198"/>
      <c r="TKW76" s="2198"/>
      <c r="TKX76" s="2198"/>
      <c r="TKY76" s="2198"/>
      <c r="TKZ76" s="2198"/>
      <c r="TLA76" s="2198"/>
      <c r="TLB76" s="2198"/>
      <c r="TLC76" s="2198"/>
      <c r="TLD76" s="2198"/>
      <c r="TLE76" s="2198"/>
      <c r="TLF76" s="2198"/>
      <c r="TLG76" s="2198"/>
      <c r="TLH76" s="2198"/>
      <c r="TLI76" s="2198"/>
      <c r="TLJ76" s="2198"/>
      <c r="TLK76" s="2198"/>
      <c r="TLL76" s="2198"/>
      <c r="TLM76" s="2198"/>
      <c r="TLN76" s="2198"/>
      <c r="TLO76" s="2198"/>
      <c r="TLP76" s="2198"/>
      <c r="TLQ76" s="2198"/>
      <c r="TLR76" s="2198"/>
      <c r="TLS76" s="2198"/>
      <c r="TLT76" s="2198"/>
      <c r="TLU76" s="2198"/>
      <c r="TLV76" s="2198"/>
      <c r="TLW76" s="2198"/>
      <c r="TLX76" s="2198"/>
      <c r="TLY76" s="2198"/>
      <c r="TLZ76" s="2198"/>
      <c r="TMA76" s="2198"/>
      <c r="TMB76" s="2198"/>
      <c r="TMC76" s="2198"/>
      <c r="TMD76" s="2198"/>
      <c r="TME76" s="2198"/>
      <c r="TMF76" s="2198"/>
      <c r="TMG76" s="2198"/>
      <c r="TMH76" s="2198"/>
      <c r="TMI76" s="2198"/>
      <c r="TMJ76" s="2198"/>
      <c r="TMK76" s="2198"/>
      <c r="TML76" s="2198"/>
      <c r="TMM76" s="2198"/>
      <c r="TMN76" s="2198"/>
      <c r="TMO76" s="2198"/>
      <c r="TMP76" s="2198"/>
      <c r="TMQ76" s="2198"/>
      <c r="TMR76" s="2198"/>
      <c r="TMS76" s="2198"/>
      <c r="TMT76" s="2198"/>
      <c r="TMU76" s="2198"/>
      <c r="TMV76" s="2198"/>
      <c r="TMW76" s="2198"/>
      <c r="TMX76" s="2198"/>
      <c r="TMY76" s="2198"/>
      <c r="TMZ76" s="2198"/>
      <c r="TNA76" s="2198"/>
      <c r="TNB76" s="2198"/>
      <c r="TNC76" s="2198"/>
      <c r="TND76" s="2198"/>
      <c r="TNE76" s="2198"/>
      <c r="TNF76" s="2198"/>
      <c r="TNG76" s="2198"/>
      <c r="TNH76" s="2198"/>
      <c r="TNI76" s="2198"/>
      <c r="TNJ76" s="2198"/>
      <c r="TNK76" s="2198"/>
      <c r="TNL76" s="2198"/>
      <c r="TNM76" s="2198"/>
      <c r="TNN76" s="2198"/>
      <c r="TNO76" s="2198"/>
      <c r="TNP76" s="2198"/>
      <c r="TNQ76" s="2198"/>
      <c r="TNR76" s="2198"/>
      <c r="TNS76" s="2198"/>
      <c r="TNT76" s="2198"/>
      <c r="TNU76" s="2198"/>
      <c r="TNV76" s="2198"/>
      <c r="TNW76" s="2198"/>
      <c r="TNX76" s="2198"/>
      <c r="TNY76" s="2198"/>
      <c r="TNZ76" s="2198"/>
      <c r="TOA76" s="2198"/>
      <c r="TOB76" s="2198"/>
      <c r="TOC76" s="2198"/>
      <c r="TOD76" s="2198"/>
      <c r="TOE76" s="2198"/>
      <c r="TOF76" s="2198"/>
      <c r="TOG76" s="2198"/>
      <c r="TOH76" s="2198"/>
      <c r="TOI76" s="2198"/>
      <c r="TOJ76" s="2198"/>
      <c r="TOK76" s="2198"/>
      <c r="TOL76" s="2198"/>
      <c r="TOM76" s="2198"/>
      <c r="TON76" s="2198"/>
      <c r="TOO76" s="2198"/>
      <c r="TOP76" s="2198"/>
      <c r="TOQ76" s="2198"/>
      <c r="TOR76" s="2198"/>
      <c r="TOS76" s="2198"/>
      <c r="TOT76" s="2198"/>
      <c r="TOU76" s="2198"/>
      <c r="TOV76" s="2198"/>
      <c r="TOW76" s="2198"/>
      <c r="TOX76" s="2198"/>
      <c r="TOY76" s="2198"/>
      <c r="TOZ76" s="2198"/>
      <c r="TPA76" s="2198"/>
      <c r="TPB76" s="2198"/>
      <c r="TPC76" s="2198"/>
      <c r="TPD76" s="2198"/>
      <c r="TPE76" s="2198"/>
      <c r="TPF76" s="2198"/>
      <c r="TPG76" s="2198"/>
      <c r="TPH76" s="2198"/>
      <c r="TPI76" s="2198"/>
      <c r="TPJ76" s="2198"/>
      <c r="TPK76" s="2198"/>
      <c r="TPL76" s="2198"/>
      <c r="TPM76" s="2198"/>
      <c r="TPN76" s="2198"/>
      <c r="TPO76" s="2198"/>
      <c r="TPP76" s="2198"/>
      <c r="TPQ76" s="2198"/>
      <c r="TPR76" s="2198"/>
      <c r="TPS76" s="2198"/>
      <c r="TPT76" s="2198"/>
      <c r="TPU76" s="2198"/>
      <c r="TPV76" s="2198"/>
      <c r="TPW76" s="2198"/>
      <c r="TPX76" s="2198"/>
      <c r="TPY76" s="2198"/>
      <c r="TPZ76" s="2198"/>
      <c r="TQA76" s="2198"/>
      <c r="TQB76" s="2198"/>
      <c r="TQC76" s="2198"/>
      <c r="TQD76" s="2198"/>
      <c r="TQE76" s="2198"/>
      <c r="TQF76" s="2198"/>
      <c r="TQG76" s="2198"/>
      <c r="TQH76" s="2198"/>
      <c r="TQI76" s="2198"/>
      <c r="TQJ76" s="2198"/>
      <c r="TQK76" s="2198"/>
      <c r="TQL76" s="2198"/>
      <c r="TQM76" s="2198"/>
      <c r="TQN76" s="2198"/>
      <c r="TQO76" s="2198"/>
      <c r="TQP76" s="2198"/>
      <c r="TQQ76" s="2198"/>
      <c r="TQR76" s="2198"/>
      <c r="TQS76" s="2198"/>
      <c r="TQT76" s="2198"/>
      <c r="TQU76" s="2198"/>
      <c r="TQV76" s="2198"/>
      <c r="TQW76" s="2198"/>
      <c r="TQX76" s="2198"/>
      <c r="TQY76" s="2198"/>
      <c r="TQZ76" s="2198"/>
      <c r="TRA76" s="2198"/>
      <c r="TRB76" s="2198"/>
      <c r="TRC76" s="2198"/>
      <c r="TRD76" s="2198"/>
      <c r="TRE76" s="2198"/>
      <c r="TRF76" s="2198"/>
      <c r="TRG76" s="2198"/>
      <c r="TRH76" s="2198"/>
      <c r="TRI76" s="2198"/>
      <c r="TRJ76" s="2198"/>
      <c r="TRK76" s="2198"/>
      <c r="TRL76" s="2198"/>
      <c r="TRM76" s="2198"/>
      <c r="TRN76" s="2198"/>
      <c r="TRO76" s="2198"/>
      <c r="TRP76" s="2198"/>
      <c r="TRQ76" s="2198"/>
      <c r="TRR76" s="2198"/>
      <c r="TRS76" s="2198"/>
      <c r="TRT76" s="2198"/>
      <c r="TRU76" s="2198"/>
      <c r="TRV76" s="2198"/>
      <c r="TRW76" s="2198"/>
      <c r="TRX76" s="2198"/>
      <c r="TRY76" s="2198"/>
      <c r="TRZ76" s="2198"/>
      <c r="TSA76" s="2198"/>
      <c r="TSB76" s="2198"/>
      <c r="TSC76" s="2198"/>
      <c r="TSD76" s="2198"/>
      <c r="TSE76" s="2198"/>
      <c r="TSF76" s="2198"/>
      <c r="TSG76" s="2198"/>
      <c r="TSH76" s="2198"/>
      <c r="TSI76" s="2198"/>
      <c r="TSJ76" s="2198"/>
      <c r="TSK76" s="2198"/>
      <c r="TSL76" s="2198"/>
      <c r="TSM76" s="2198"/>
      <c r="TSN76" s="2198"/>
      <c r="TSO76" s="2198"/>
      <c r="TSP76" s="2198"/>
      <c r="TSQ76" s="2198"/>
      <c r="TSR76" s="2198"/>
      <c r="TSS76" s="2198"/>
      <c r="TST76" s="2198"/>
      <c r="TSU76" s="2198"/>
      <c r="TSV76" s="2198"/>
      <c r="TSW76" s="2198"/>
      <c r="TSX76" s="2198"/>
      <c r="TSY76" s="2198"/>
      <c r="TSZ76" s="2198"/>
      <c r="TTA76" s="2198"/>
      <c r="TTB76" s="2198"/>
      <c r="TTC76" s="2198"/>
      <c r="TTD76" s="2198"/>
      <c r="TTE76" s="2198"/>
      <c r="TTF76" s="2198"/>
      <c r="TTG76" s="2198"/>
      <c r="TTH76" s="2198"/>
      <c r="TTI76" s="2198"/>
      <c r="TTJ76" s="2198"/>
      <c r="TTK76" s="2198"/>
      <c r="TTL76" s="2198"/>
      <c r="TTM76" s="2198"/>
      <c r="TTN76" s="2198"/>
      <c r="TTO76" s="2198"/>
      <c r="TTP76" s="2198"/>
      <c r="TTQ76" s="2198"/>
      <c r="TTR76" s="2198"/>
      <c r="TTS76" s="2198"/>
      <c r="TTT76" s="2198"/>
      <c r="TTU76" s="2198"/>
      <c r="TTV76" s="2198"/>
      <c r="TTW76" s="2198"/>
      <c r="TTX76" s="2198"/>
      <c r="TTY76" s="2198"/>
      <c r="TTZ76" s="2198"/>
      <c r="TUA76" s="2198"/>
      <c r="TUB76" s="2198"/>
      <c r="TUC76" s="2198"/>
      <c r="TUD76" s="2198"/>
      <c r="TUE76" s="2198"/>
      <c r="TUF76" s="2198"/>
      <c r="TUG76" s="2198"/>
      <c r="TUH76" s="2198"/>
      <c r="TUI76" s="2198"/>
      <c r="TUJ76" s="2198"/>
      <c r="TUK76" s="2198"/>
      <c r="TUL76" s="2198"/>
      <c r="TUM76" s="2198"/>
      <c r="TUN76" s="2198"/>
      <c r="TUO76" s="2198"/>
      <c r="TUP76" s="2198"/>
      <c r="TUQ76" s="2198"/>
      <c r="TUR76" s="2198"/>
      <c r="TUS76" s="2198"/>
      <c r="TUT76" s="2198"/>
      <c r="TUU76" s="2198"/>
      <c r="TUV76" s="2198"/>
      <c r="TUW76" s="2198"/>
      <c r="TUX76" s="2198"/>
      <c r="TUY76" s="2198"/>
      <c r="TUZ76" s="2198"/>
      <c r="TVA76" s="2198"/>
      <c r="TVB76" s="2198"/>
      <c r="TVC76" s="2198"/>
      <c r="TVD76" s="2198"/>
      <c r="TVE76" s="2198"/>
      <c r="TVF76" s="2198"/>
      <c r="TVG76" s="2198"/>
      <c r="TVH76" s="2198"/>
      <c r="TVI76" s="2198"/>
      <c r="TVJ76" s="2198"/>
      <c r="TVK76" s="2198"/>
      <c r="TVL76" s="2198"/>
      <c r="TVM76" s="2198"/>
      <c r="TVN76" s="2198"/>
      <c r="TVO76" s="2198"/>
      <c r="TVP76" s="2198"/>
      <c r="TVQ76" s="2198"/>
      <c r="TVR76" s="2198"/>
      <c r="TVS76" s="2198"/>
      <c r="TVT76" s="2198"/>
      <c r="TVU76" s="2198"/>
      <c r="TVV76" s="2198"/>
      <c r="TVW76" s="2198"/>
      <c r="TVX76" s="2198"/>
      <c r="TVY76" s="2198"/>
      <c r="TVZ76" s="2198"/>
      <c r="TWA76" s="2198"/>
      <c r="TWB76" s="2198"/>
      <c r="TWC76" s="2198"/>
      <c r="TWD76" s="2198"/>
      <c r="TWE76" s="2198"/>
      <c r="TWF76" s="2198"/>
      <c r="TWG76" s="2198"/>
      <c r="TWH76" s="2198"/>
      <c r="TWI76" s="2198"/>
      <c r="TWJ76" s="2198"/>
      <c r="TWK76" s="2198"/>
      <c r="TWL76" s="2198"/>
      <c r="TWM76" s="2198"/>
      <c r="TWN76" s="2198"/>
      <c r="TWO76" s="2198"/>
      <c r="TWP76" s="2198"/>
      <c r="TWQ76" s="2198"/>
      <c r="TWR76" s="2198"/>
      <c r="TWS76" s="2198"/>
      <c r="TWT76" s="2198"/>
      <c r="TWU76" s="2198"/>
      <c r="TWV76" s="2198"/>
      <c r="TWW76" s="2198"/>
      <c r="TWX76" s="2198"/>
      <c r="TWY76" s="2198"/>
      <c r="TWZ76" s="2198"/>
      <c r="TXA76" s="2198"/>
      <c r="TXB76" s="2198"/>
      <c r="TXC76" s="2198"/>
      <c r="TXD76" s="2198"/>
      <c r="TXE76" s="2198"/>
      <c r="TXF76" s="2198"/>
      <c r="TXG76" s="2198"/>
      <c r="TXH76" s="2198"/>
      <c r="TXI76" s="2198"/>
      <c r="TXJ76" s="2198"/>
      <c r="TXK76" s="2198"/>
      <c r="TXL76" s="2198"/>
      <c r="TXM76" s="2198"/>
      <c r="TXN76" s="2198"/>
      <c r="TXO76" s="2198"/>
      <c r="TXP76" s="2198"/>
      <c r="TXQ76" s="2198"/>
      <c r="TXR76" s="2198"/>
      <c r="TXS76" s="2198"/>
      <c r="TXT76" s="2198"/>
      <c r="TXU76" s="2198"/>
      <c r="TXV76" s="2198"/>
      <c r="TXW76" s="2198"/>
      <c r="TXX76" s="2198"/>
      <c r="TXY76" s="2198"/>
      <c r="TXZ76" s="2198"/>
      <c r="TYA76" s="2198"/>
      <c r="TYB76" s="2198"/>
      <c r="TYC76" s="2198"/>
      <c r="TYD76" s="2198"/>
      <c r="TYE76" s="2198"/>
      <c r="TYF76" s="2198"/>
      <c r="TYG76" s="2198"/>
      <c r="TYH76" s="2198"/>
      <c r="TYI76" s="2198"/>
      <c r="TYJ76" s="2198"/>
      <c r="TYK76" s="2198"/>
      <c r="TYL76" s="2198"/>
      <c r="TYM76" s="2198"/>
      <c r="TYN76" s="2198"/>
      <c r="TYO76" s="2198"/>
      <c r="TYP76" s="2198"/>
      <c r="TYQ76" s="2198"/>
      <c r="TYR76" s="2198"/>
      <c r="TYS76" s="2198"/>
      <c r="TYT76" s="2198"/>
      <c r="TYU76" s="2198"/>
      <c r="TYV76" s="2198"/>
      <c r="TYW76" s="2198"/>
      <c r="TYX76" s="2198"/>
      <c r="TYY76" s="2198"/>
      <c r="TYZ76" s="2198"/>
      <c r="TZA76" s="2198"/>
      <c r="TZB76" s="2198"/>
      <c r="TZC76" s="2198"/>
      <c r="TZD76" s="2198"/>
      <c r="TZE76" s="2198"/>
      <c r="TZF76" s="2198"/>
      <c r="TZG76" s="2198"/>
      <c r="TZH76" s="2198"/>
      <c r="TZI76" s="2198"/>
      <c r="TZJ76" s="2198"/>
      <c r="TZK76" s="2198"/>
      <c r="TZL76" s="2198"/>
      <c r="TZM76" s="2198"/>
      <c r="TZN76" s="2198"/>
      <c r="TZO76" s="2198"/>
      <c r="TZP76" s="2198"/>
      <c r="TZQ76" s="2198"/>
      <c r="TZR76" s="2198"/>
      <c r="TZS76" s="2198"/>
      <c r="TZT76" s="2198"/>
      <c r="TZU76" s="2198"/>
      <c r="TZV76" s="2198"/>
      <c r="TZW76" s="2198"/>
      <c r="TZX76" s="2198"/>
      <c r="TZY76" s="2198"/>
      <c r="TZZ76" s="2198"/>
      <c r="UAA76" s="2198"/>
      <c r="UAB76" s="2198"/>
      <c r="UAC76" s="2198"/>
      <c r="UAD76" s="2198"/>
      <c r="UAE76" s="2198"/>
      <c r="UAF76" s="2198"/>
      <c r="UAG76" s="2198"/>
      <c r="UAH76" s="2198"/>
      <c r="UAI76" s="2198"/>
      <c r="UAJ76" s="2198"/>
      <c r="UAK76" s="2198"/>
      <c r="UAL76" s="2198"/>
      <c r="UAM76" s="2198"/>
      <c r="UAN76" s="2198"/>
      <c r="UAO76" s="2198"/>
      <c r="UAP76" s="2198"/>
      <c r="UAQ76" s="2198"/>
      <c r="UAR76" s="2198"/>
      <c r="UAS76" s="2198"/>
      <c r="UAT76" s="2198"/>
      <c r="UAU76" s="2198"/>
      <c r="UAV76" s="2198"/>
      <c r="UAW76" s="2198"/>
      <c r="UAX76" s="2198"/>
      <c r="UAY76" s="2198"/>
      <c r="UAZ76" s="2198"/>
      <c r="UBA76" s="2198"/>
      <c r="UBB76" s="2198"/>
      <c r="UBC76" s="2198"/>
      <c r="UBD76" s="2198"/>
      <c r="UBE76" s="2198"/>
      <c r="UBF76" s="2198"/>
      <c r="UBG76" s="2198"/>
      <c r="UBH76" s="2198"/>
      <c r="UBI76" s="2198"/>
      <c r="UBJ76" s="2198"/>
      <c r="UBK76" s="2198"/>
      <c r="UBL76" s="2198"/>
      <c r="UBM76" s="2198"/>
      <c r="UBN76" s="2198"/>
      <c r="UBO76" s="2198"/>
      <c r="UBP76" s="2198"/>
      <c r="UBQ76" s="2198"/>
      <c r="UBR76" s="2198"/>
      <c r="UBS76" s="2198"/>
      <c r="UBT76" s="2198"/>
      <c r="UBU76" s="2198"/>
      <c r="UBV76" s="2198"/>
      <c r="UBW76" s="2198"/>
      <c r="UBX76" s="2198"/>
      <c r="UBY76" s="2198"/>
      <c r="UBZ76" s="2198"/>
      <c r="UCA76" s="2198"/>
      <c r="UCB76" s="2198"/>
      <c r="UCC76" s="2198"/>
      <c r="UCD76" s="2198"/>
      <c r="UCE76" s="2198"/>
      <c r="UCF76" s="2198"/>
      <c r="UCG76" s="2198"/>
      <c r="UCH76" s="2198"/>
      <c r="UCI76" s="2198"/>
      <c r="UCJ76" s="2198"/>
      <c r="UCK76" s="2198"/>
      <c r="UCL76" s="2198"/>
      <c r="UCM76" s="2198"/>
      <c r="UCN76" s="2198"/>
      <c r="UCO76" s="2198"/>
      <c r="UCP76" s="2198"/>
      <c r="UCQ76" s="2198"/>
      <c r="UCR76" s="2198"/>
      <c r="UCS76" s="2198"/>
      <c r="UCT76" s="2198"/>
      <c r="UCU76" s="2198"/>
      <c r="UCV76" s="2198"/>
      <c r="UCW76" s="2198"/>
      <c r="UCX76" s="2198"/>
      <c r="UCY76" s="2198"/>
      <c r="UCZ76" s="2198"/>
      <c r="UDA76" s="2198"/>
      <c r="UDB76" s="2198"/>
      <c r="UDC76" s="2198"/>
      <c r="UDD76" s="2198"/>
      <c r="UDE76" s="2198"/>
      <c r="UDF76" s="2198"/>
      <c r="UDG76" s="2198"/>
      <c r="UDH76" s="2198"/>
      <c r="UDI76" s="2198"/>
      <c r="UDJ76" s="2198"/>
      <c r="UDK76" s="2198"/>
      <c r="UDL76" s="2198"/>
      <c r="UDM76" s="2198"/>
      <c r="UDN76" s="2198"/>
      <c r="UDO76" s="2198"/>
      <c r="UDP76" s="2198"/>
      <c r="UDQ76" s="2198"/>
      <c r="UDR76" s="2198"/>
      <c r="UDS76" s="2198"/>
      <c r="UDT76" s="2198"/>
      <c r="UDU76" s="2198"/>
      <c r="UDV76" s="2198"/>
      <c r="UDW76" s="2198"/>
      <c r="UDX76" s="2198"/>
      <c r="UDY76" s="2198"/>
      <c r="UDZ76" s="2198"/>
      <c r="UEA76" s="2198"/>
      <c r="UEB76" s="2198"/>
      <c r="UEC76" s="2198"/>
      <c r="UED76" s="2198"/>
      <c r="UEE76" s="2198"/>
      <c r="UEF76" s="2198"/>
      <c r="UEG76" s="2198"/>
      <c r="UEH76" s="2198"/>
      <c r="UEI76" s="2198"/>
      <c r="UEJ76" s="2198"/>
      <c r="UEK76" s="2198"/>
      <c r="UEL76" s="2198"/>
      <c r="UEM76" s="2198"/>
      <c r="UEN76" s="2198"/>
      <c r="UEO76" s="2198"/>
      <c r="UEP76" s="2198"/>
      <c r="UEQ76" s="2198"/>
      <c r="UER76" s="2198"/>
      <c r="UES76" s="2198"/>
      <c r="UET76" s="2198"/>
      <c r="UEU76" s="2198"/>
      <c r="UEV76" s="2198"/>
      <c r="UEW76" s="2198"/>
      <c r="UEX76" s="2198"/>
      <c r="UEY76" s="2198"/>
      <c r="UEZ76" s="2198"/>
      <c r="UFA76" s="2198"/>
      <c r="UFB76" s="2198"/>
      <c r="UFC76" s="2198"/>
      <c r="UFD76" s="2198"/>
      <c r="UFE76" s="2198"/>
      <c r="UFF76" s="2198"/>
      <c r="UFG76" s="2198"/>
      <c r="UFH76" s="2198"/>
      <c r="UFI76" s="2198"/>
      <c r="UFJ76" s="2198"/>
      <c r="UFK76" s="2198"/>
      <c r="UFL76" s="2198"/>
      <c r="UFM76" s="2198"/>
      <c r="UFN76" s="2198"/>
      <c r="UFO76" s="2198"/>
      <c r="UFP76" s="2198"/>
      <c r="UFQ76" s="2198"/>
      <c r="UFR76" s="2198"/>
      <c r="UFS76" s="2198"/>
      <c r="UFT76" s="2198"/>
      <c r="UFU76" s="2198"/>
      <c r="UFV76" s="2198"/>
      <c r="UFW76" s="2198"/>
      <c r="UFX76" s="2198"/>
      <c r="UFY76" s="2198"/>
      <c r="UFZ76" s="2198"/>
      <c r="UGA76" s="2198"/>
      <c r="UGB76" s="2198"/>
      <c r="UGC76" s="2198"/>
      <c r="UGD76" s="2198"/>
      <c r="UGE76" s="2198"/>
      <c r="UGF76" s="2198"/>
      <c r="UGG76" s="2198"/>
      <c r="UGH76" s="2198"/>
      <c r="UGI76" s="2198"/>
      <c r="UGJ76" s="2198"/>
      <c r="UGK76" s="2198"/>
      <c r="UGL76" s="2198"/>
      <c r="UGM76" s="2198"/>
      <c r="UGN76" s="2198"/>
      <c r="UGO76" s="2198"/>
      <c r="UGP76" s="2198"/>
      <c r="UGQ76" s="2198"/>
      <c r="UGR76" s="2198"/>
      <c r="UGS76" s="2198"/>
      <c r="UGT76" s="2198"/>
      <c r="UGU76" s="2198"/>
      <c r="UGV76" s="2198"/>
      <c r="UGW76" s="2198"/>
      <c r="UGX76" s="2198"/>
      <c r="UGY76" s="2198"/>
      <c r="UGZ76" s="2198"/>
      <c r="UHA76" s="2198"/>
      <c r="UHB76" s="2198"/>
      <c r="UHC76" s="2198"/>
      <c r="UHD76" s="2198"/>
      <c r="UHE76" s="2198"/>
      <c r="UHF76" s="2198"/>
      <c r="UHG76" s="2198"/>
      <c r="UHH76" s="2198"/>
      <c r="UHI76" s="2198"/>
      <c r="UHJ76" s="2198"/>
      <c r="UHK76" s="2198"/>
      <c r="UHL76" s="2198"/>
      <c r="UHM76" s="2198"/>
      <c r="UHN76" s="2198"/>
      <c r="UHO76" s="2198"/>
      <c r="UHP76" s="2198"/>
      <c r="UHQ76" s="2198"/>
      <c r="UHR76" s="2198"/>
      <c r="UHS76" s="2198"/>
      <c r="UHT76" s="2198"/>
      <c r="UHU76" s="2198"/>
      <c r="UHV76" s="2198"/>
      <c r="UHW76" s="2198"/>
      <c r="UHX76" s="2198"/>
      <c r="UHY76" s="2198"/>
      <c r="UHZ76" s="2198"/>
      <c r="UIA76" s="2198"/>
      <c r="UIB76" s="2198"/>
      <c r="UIC76" s="2198"/>
      <c r="UID76" s="2198"/>
      <c r="UIE76" s="2198"/>
      <c r="UIF76" s="2198"/>
      <c r="UIG76" s="2198"/>
      <c r="UIH76" s="2198"/>
      <c r="UII76" s="2198"/>
      <c r="UIJ76" s="2198"/>
      <c r="UIK76" s="2198"/>
      <c r="UIL76" s="2198"/>
      <c r="UIM76" s="2198"/>
      <c r="UIN76" s="2198"/>
      <c r="UIO76" s="2198"/>
      <c r="UIP76" s="2198"/>
      <c r="UIQ76" s="2198"/>
      <c r="UIR76" s="2198"/>
      <c r="UIS76" s="2198"/>
      <c r="UIT76" s="2198"/>
      <c r="UIU76" s="2198"/>
      <c r="UIV76" s="2198"/>
      <c r="UIW76" s="2198"/>
      <c r="UIX76" s="2198"/>
      <c r="UIY76" s="2198"/>
      <c r="UIZ76" s="2198"/>
      <c r="UJA76" s="2198"/>
      <c r="UJB76" s="2198"/>
      <c r="UJC76" s="2198"/>
      <c r="UJD76" s="2198"/>
      <c r="UJE76" s="2198"/>
      <c r="UJF76" s="2198"/>
      <c r="UJG76" s="2198"/>
      <c r="UJH76" s="2198"/>
      <c r="UJI76" s="2198"/>
      <c r="UJJ76" s="2198"/>
      <c r="UJK76" s="2198"/>
      <c r="UJL76" s="2198"/>
      <c r="UJM76" s="2198"/>
      <c r="UJN76" s="2198"/>
      <c r="UJO76" s="2198"/>
      <c r="UJP76" s="2198"/>
      <c r="UJQ76" s="2198"/>
      <c r="UJR76" s="2198"/>
      <c r="UJS76" s="2198"/>
      <c r="UJT76" s="2198"/>
      <c r="UJU76" s="2198"/>
      <c r="UJV76" s="2198"/>
      <c r="UJW76" s="2198"/>
      <c r="UJX76" s="2198"/>
      <c r="UJY76" s="2198"/>
      <c r="UJZ76" s="2198"/>
      <c r="UKA76" s="2198"/>
      <c r="UKB76" s="2198"/>
      <c r="UKC76" s="2198"/>
      <c r="UKD76" s="2198"/>
      <c r="UKE76" s="2198"/>
      <c r="UKF76" s="2198"/>
      <c r="UKG76" s="2198"/>
      <c r="UKH76" s="2198"/>
      <c r="UKI76" s="2198"/>
      <c r="UKJ76" s="2198"/>
      <c r="UKK76" s="2198"/>
      <c r="UKL76" s="2198"/>
      <c r="UKM76" s="2198"/>
      <c r="UKN76" s="2198"/>
      <c r="UKO76" s="2198"/>
      <c r="UKP76" s="2198"/>
      <c r="UKQ76" s="2198"/>
      <c r="UKR76" s="2198"/>
      <c r="UKS76" s="2198"/>
      <c r="UKT76" s="2198"/>
      <c r="UKU76" s="2198"/>
      <c r="UKV76" s="2198"/>
      <c r="UKW76" s="2198"/>
      <c r="UKX76" s="2198"/>
      <c r="UKY76" s="2198"/>
      <c r="UKZ76" s="2198"/>
      <c r="ULA76" s="2198"/>
      <c r="ULB76" s="2198"/>
      <c r="ULC76" s="2198"/>
      <c r="ULD76" s="2198"/>
      <c r="ULE76" s="2198"/>
      <c r="ULF76" s="2198"/>
      <c r="ULG76" s="2198"/>
      <c r="ULH76" s="2198"/>
      <c r="ULI76" s="2198"/>
      <c r="ULJ76" s="2198"/>
      <c r="ULK76" s="2198"/>
      <c r="ULL76" s="2198"/>
      <c r="ULM76" s="2198"/>
      <c r="ULN76" s="2198"/>
      <c r="ULO76" s="2198"/>
      <c r="ULP76" s="2198"/>
      <c r="ULQ76" s="2198"/>
      <c r="ULR76" s="2198"/>
      <c r="ULS76" s="2198"/>
      <c r="ULT76" s="2198"/>
      <c r="ULU76" s="2198"/>
      <c r="ULV76" s="2198"/>
      <c r="ULW76" s="2198"/>
      <c r="ULX76" s="2198"/>
      <c r="ULY76" s="2198"/>
      <c r="ULZ76" s="2198"/>
      <c r="UMA76" s="2198"/>
      <c r="UMB76" s="2198"/>
      <c r="UMC76" s="2198"/>
      <c r="UMD76" s="2198"/>
      <c r="UME76" s="2198"/>
      <c r="UMF76" s="2198"/>
      <c r="UMG76" s="2198"/>
      <c r="UMH76" s="2198"/>
      <c r="UMI76" s="2198"/>
      <c r="UMJ76" s="2198"/>
      <c r="UMK76" s="2198"/>
      <c r="UML76" s="2198"/>
      <c r="UMM76" s="2198"/>
      <c r="UMN76" s="2198"/>
      <c r="UMO76" s="2198"/>
      <c r="UMP76" s="2198"/>
      <c r="UMQ76" s="2198"/>
      <c r="UMR76" s="2198"/>
      <c r="UMS76" s="2198"/>
      <c r="UMT76" s="2198"/>
      <c r="UMU76" s="2198"/>
      <c r="UMV76" s="2198"/>
      <c r="UMW76" s="2198"/>
      <c r="UMX76" s="2198"/>
      <c r="UMY76" s="2198"/>
      <c r="UMZ76" s="2198"/>
      <c r="UNA76" s="2198"/>
      <c r="UNB76" s="2198"/>
      <c r="UNC76" s="2198"/>
      <c r="UND76" s="2198"/>
      <c r="UNE76" s="2198"/>
      <c r="UNF76" s="2198"/>
      <c r="UNG76" s="2198"/>
      <c r="UNH76" s="2198"/>
      <c r="UNI76" s="2198"/>
      <c r="UNJ76" s="2198"/>
      <c r="UNK76" s="2198"/>
      <c r="UNL76" s="2198"/>
      <c r="UNM76" s="2198"/>
      <c r="UNN76" s="2198"/>
      <c r="UNO76" s="2198"/>
      <c r="UNP76" s="2198"/>
      <c r="UNQ76" s="2198"/>
      <c r="UNR76" s="2198"/>
      <c r="UNS76" s="2198"/>
      <c r="UNT76" s="2198"/>
      <c r="UNU76" s="2198"/>
      <c r="UNV76" s="2198"/>
      <c r="UNW76" s="2198"/>
      <c r="UNX76" s="2198"/>
      <c r="UNY76" s="2198"/>
      <c r="UNZ76" s="2198"/>
      <c r="UOA76" s="2198"/>
      <c r="UOB76" s="2198"/>
      <c r="UOC76" s="2198"/>
      <c r="UOD76" s="2198"/>
      <c r="UOE76" s="2198"/>
      <c r="UOF76" s="2198"/>
      <c r="UOG76" s="2198"/>
      <c r="UOH76" s="2198"/>
      <c r="UOI76" s="2198"/>
      <c r="UOJ76" s="2198"/>
      <c r="UOK76" s="2198"/>
      <c r="UOL76" s="2198"/>
      <c r="UOM76" s="2198"/>
      <c r="UON76" s="2198"/>
      <c r="UOO76" s="2198"/>
      <c r="UOP76" s="2198"/>
      <c r="UOQ76" s="2198"/>
      <c r="UOR76" s="2198"/>
      <c r="UOS76" s="2198"/>
      <c r="UOT76" s="2198"/>
      <c r="UOU76" s="2198"/>
      <c r="UOV76" s="2198"/>
      <c r="UOW76" s="2198"/>
      <c r="UOX76" s="2198"/>
      <c r="UOY76" s="2198"/>
      <c r="UOZ76" s="2198"/>
      <c r="UPA76" s="2198"/>
      <c r="UPB76" s="2198"/>
      <c r="UPC76" s="2198"/>
      <c r="UPD76" s="2198"/>
      <c r="UPE76" s="2198"/>
      <c r="UPF76" s="2198"/>
      <c r="UPG76" s="2198"/>
      <c r="UPH76" s="2198"/>
      <c r="UPI76" s="2198"/>
      <c r="UPJ76" s="2198"/>
      <c r="UPK76" s="2198"/>
      <c r="UPL76" s="2198"/>
      <c r="UPM76" s="2198"/>
      <c r="UPN76" s="2198"/>
      <c r="UPO76" s="2198"/>
      <c r="UPP76" s="2198"/>
      <c r="UPQ76" s="2198"/>
      <c r="UPR76" s="2198"/>
      <c r="UPS76" s="2198"/>
      <c r="UPT76" s="2198"/>
      <c r="UPU76" s="2198"/>
      <c r="UPV76" s="2198"/>
      <c r="UPW76" s="2198"/>
      <c r="UPX76" s="2198"/>
      <c r="UPY76" s="2198"/>
      <c r="UPZ76" s="2198"/>
      <c r="UQA76" s="2198"/>
      <c r="UQB76" s="2198"/>
      <c r="UQC76" s="2198"/>
      <c r="UQD76" s="2198"/>
      <c r="UQE76" s="2198"/>
      <c r="UQF76" s="2198"/>
      <c r="UQG76" s="2198"/>
      <c r="UQH76" s="2198"/>
      <c r="UQI76" s="2198"/>
      <c r="UQJ76" s="2198"/>
      <c r="UQK76" s="2198"/>
      <c r="UQL76" s="2198"/>
      <c r="UQM76" s="2198"/>
      <c r="UQN76" s="2198"/>
      <c r="UQO76" s="2198"/>
      <c r="UQP76" s="2198"/>
      <c r="UQQ76" s="2198"/>
      <c r="UQR76" s="2198"/>
      <c r="UQS76" s="2198"/>
      <c r="UQT76" s="2198"/>
      <c r="UQU76" s="2198"/>
      <c r="UQV76" s="2198"/>
      <c r="UQW76" s="2198"/>
      <c r="UQX76" s="2198"/>
      <c r="UQY76" s="2198"/>
      <c r="UQZ76" s="2198"/>
      <c r="URA76" s="2198"/>
      <c r="URB76" s="2198"/>
      <c r="URC76" s="2198"/>
      <c r="URD76" s="2198"/>
      <c r="URE76" s="2198"/>
      <c r="URF76" s="2198"/>
      <c r="URG76" s="2198"/>
      <c r="URH76" s="2198"/>
      <c r="URI76" s="2198"/>
      <c r="URJ76" s="2198"/>
      <c r="URK76" s="2198"/>
      <c r="URL76" s="2198"/>
      <c r="URM76" s="2198"/>
      <c r="URN76" s="2198"/>
      <c r="URO76" s="2198"/>
      <c r="URP76" s="2198"/>
      <c r="URQ76" s="2198"/>
      <c r="URR76" s="2198"/>
      <c r="URS76" s="2198"/>
      <c r="URT76" s="2198"/>
      <c r="URU76" s="2198"/>
      <c r="URV76" s="2198"/>
      <c r="URW76" s="2198"/>
      <c r="URX76" s="2198"/>
      <c r="URY76" s="2198"/>
      <c r="URZ76" s="2198"/>
      <c r="USA76" s="2198"/>
      <c r="USB76" s="2198"/>
      <c r="USC76" s="2198"/>
      <c r="USD76" s="2198"/>
      <c r="USE76" s="2198"/>
      <c r="USF76" s="2198"/>
      <c r="USG76" s="2198"/>
      <c r="USH76" s="2198"/>
      <c r="USI76" s="2198"/>
      <c r="USJ76" s="2198"/>
      <c r="USK76" s="2198"/>
      <c r="USL76" s="2198"/>
      <c r="USM76" s="2198"/>
      <c r="USN76" s="2198"/>
      <c r="USO76" s="2198"/>
      <c r="USP76" s="2198"/>
      <c r="USQ76" s="2198"/>
      <c r="USR76" s="2198"/>
      <c r="USS76" s="2198"/>
      <c r="UST76" s="2198"/>
      <c r="USU76" s="2198"/>
      <c r="USV76" s="2198"/>
      <c r="USW76" s="2198"/>
      <c r="USX76" s="2198"/>
      <c r="USY76" s="2198"/>
      <c r="USZ76" s="2198"/>
      <c r="UTA76" s="2198"/>
      <c r="UTB76" s="2198"/>
      <c r="UTC76" s="2198"/>
      <c r="UTD76" s="2198"/>
      <c r="UTE76" s="2198"/>
      <c r="UTF76" s="2198"/>
      <c r="UTG76" s="2198"/>
      <c r="UTH76" s="2198"/>
      <c r="UTI76" s="2198"/>
      <c r="UTJ76" s="2198"/>
      <c r="UTK76" s="2198"/>
      <c r="UTL76" s="2198"/>
      <c r="UTM76" s="2198"/>
      <c r="UTN76" s="2198"/>
      <c r="UTO76" s="2198"/>
      <c r="UTP76" s="2198"/>
      <c r="UTQ76" s="2198"/>
      <c r="UTR76" s="2198"/>
      <c r="UTS76" s="2198"/>
      <c r="UTT76" s="2198"/>
      <c r="UTU76" s="2198"/>
      <c r="UTV76" s="2198"/>
      <c r="UTW76" s="2198"/>
      <c r="UTX76" s="2198"/>
      <c r="UTY76" s="2198"/>
      <c r="UTZ76" s="2198"/>
      <c r="UUA76" s="2198"/>
      <c r="UUB76" s="2198"/>
      <c r="UUC76" s="2198"/>
      <c r="UUD76" s="2198"/>
      <c r="UUE76" s="2198"/>
      <c r="UUF76" s="2198"/>
      <c r="UUG76" s="2198"/>
      <c r="UUH76" s="2198"/>
      <c r="UUI76" s="2198"/>
      <c r="UUJ76" s="2198"/>
      <c r="UUK76" s="2198"/>
      <c r="UUL76" s="2198"/>
      <c r="UUM76" s="2198"/>
      <c r="UUN76" s="2198"/>
      <c r="UUO76" s="2198"/>
      <c r="UUP76" s="2198"/>
      <c r="UUQ76" s="2198"/>
      <c r="UUR76" s="2198"/>
      <c r="UUS76" s="2198"/>
      <c r="UUT76" s="2198"/>
      <c r="UUU76" s="2198"/>
      <c r="UUV76" s="2198"/>
      <c r="UUW76" s="2198"/>
      <c r="UUX76" s="2198"/>
      <c r="UUY76" s="2198"/>
      <c r="UUZ76" s="2198"/>
      <c r="UVA76" s="2198"/>
      <c r="UVB76" s="2198"/>
      <c r="UVC76" s="2198"/>
      <c r="UVD76" s="2198"/>
      <c r="UVE76" s="2198"/>
      <c r="UVF76" s="2198"/>
      <c r="UVG76" s="2198"/>
      <c r="UVH76" s="2198"/>
      <c r="UVI76" s="2198"/>
      <c r="UVJ76" s="2198"/>
      <c r="UVK76" s="2198"/>
      <c r="UVL76" s="2198"/>
      <c r="UVM76" s="2198"/>
      <c r="UVN76" s="2198"/>
      <c r="UVO76" s="2198"/>
      <c r="UVP76" s="2198"/>
      <c r="UVQ76" s="2198"/>
      <c r="UVR76" s="2198"/>
      <c r="UVS76" s="2198"/>
      <c r="UVT76" s="2198"/>
      <c r="UVU76" s="2198"/>
      <c r="UVV76" s="2198"/>
      <c r="UVW76" s="2198"/>
      <c r="UVX76" s="2198"/>
      <c r="UVY76" s="2198"/>
      <c r="UVZ76" s="2198"/>
      <c r="UWA76" s="2198"/>
      <c r="UWB76" s="2198"/>
      <c r="UWC76" s="2198"/>
      <c r="UWD76" s="2198"/>
      <c r="UWE76" s="2198"/>
      <c r="UWF76" s="2198"/>
      <c r="UWG76" s="2198"/>
      <c r="UWH76" s="2198"/>
      <c r="UWI76" s="2198"/>
      <c r="UWJ76" s="2198"/>
      <c r="UWK76" s="2198"/>
      <c r="UWL76" s="2198"/>
      <c r="UWM76" s="2198"/>
      <c r="UWN76" s="2198"/>
      <c r="UWO76" s="2198"/>
      <c r="UWP76" s="2198"/>
      <c r="UWQ76" s="2198"/>
      <c r="UWR76" s="2198"/>
      <c r="UWS76" s="2198"/>
      <c r="UWT76" s="2198"/>
      <c r="UWU76" s="2198"/>
      <c r="UWV76" s="2198"/>
      <c r="UWW76" s="2198"/>
      <c r="UWX76" s="2198"/>
      <c r="UWY76" s="2198"/>
      <c r="UWZ76" s="2198"/>
      <c r="UXA76" s="2198"/>
      <c r="UXB76" s="2198"/>
      <c r="UXC76" s="2198"/>
      <c r="UXD76" s="2198"/>
      <c r="UXE76" s="2198"/>
      <c r="UXF76" s="2198"/>
      <c r="UXG76" s="2198"/>
      <c r="UXH76" s="2198"/>
      <c r="UXI76" s="2198"/>
      <c r="UXJ76" s="2198"/>
      <c r="UXK76" s="2198"/>
      <c r="UXL76" s="2198"/>
      <c r="UXM76" s="2198"/>
      <c r="UXN76" s="2198"/>
      <c r="UXO76" s="2198"/>
      <c r="UXP76" s="2198"/>
      <c r="UXQ76" s="2198"/>
      <c r="UXR76" s="2198"/>
      <c r="UXS76" s="2198"/>
      <c r="UXT76" s="2198"/>
      <c r="UXU76" s="2198"/>
      <c r="UXV76" s="2198"/>
      <c r="UXW76" s="2198"/>
      <c r="UXX76" s="2198"/>
      <c r="UXY76" s="2198"/>
      <c r="UXZ76" s="2198"/>
      <c r="UYA76" s="2198"/>
      <c r="UYB76" s="2198"/>
      <c r="UYC76" s="2198"/>
      <c r="UYD76" s="2198"/>
      <c r="UYE76" s="2198"/>
      <c r="UYF76" s="2198"/>
      <c r="UYG76" s="2198"/>
      <c r="UYH76" s="2198"/>
      <c r="UYI76" s="2198"/>
      <c r="UYJ76" s="2198"/>
      <c r="UYK76" s="2198"/>
      <c r="UYL76" s="2198"/>
      <c r="UYM76" s="2198"/>
      <c r="UYN76" s="2198"/>
      <c r="UYO76" s="2198"/>
      <c r="UYP76" s="2198"/>
      <c r="UYQ76" s="2198"/>
      <c r="UYR76" s="2198"/>
      <c r="UYS76" s="2198"/>
      <c r="UYT76" s="2198"/>
      <c r="UYU76" s="2198"/>
      <c r="UYV76" s="2198"/>
      <c r="UYW76" s="2198"/>
      <c r="UYX76" s="2198"/>
      <c r="UYY76" s="2198"/>
      <c r="UYZ76" s="2198"/>
      <c r="UZA76" s="2198"/>
      <c r="UZB76" s="2198"/>
      <c r="UZC76" s="2198"/>
      <c r="UZD76" s="2198"/>
      <c r="UZE76" s="2198"/>
      <c r="UZF76" s="2198"/>
      <c r="UZG76" s="2198"/>
      <c r="UZH76" s="2198"/>
      <c r="UZI76" s="2198"/>
      <c r="UZJ76" s="2198"/>
      <c r="UZK76" s="2198"/>
      <c r="UZL76" s="2198"/>
      <c r="UZM76" s="2198"/>
      <c r="UZN76" s="2198"/>
      <c r="UZO76" s="2198"/>
      <c r="UZP76" s="2198"/>
      <c r="UZQ76" s="2198"/>
      <c r="UZR76" s="2198"/>
      <c r="UZS76" s="2198"/>
      <c r="UZT76" s="2198"/>
      <c r="UZU76" s="2198"/>
      <c r="UZV76" s="2198"/>
      <c r="UZW76" s="2198"/>
      <c r="UZX76" s="2198"/>
      <c r="UZY76" s="2198"/>
      <c r="UZZ76" s="2198"/>
      <c r="VAA76" s="2198"/>
      <c r="VAB76" s="2198"/>
      <c r="VAC76" s="2198"/>
      <c r="VAD76" s="2198"/>
      <c r="VAE76" s="2198"/>
      <c r="VAF76" s="2198"/>
      <c r="VAG76" s="2198"/>
      <c r="VAH76" s="2198"/>
      <c r="VAI76" s="2198"/>
      <c r="VAJ76" s="2198"/>
      <c r="VAK76" s="2198"/>
      <c r="VAL76" s="2198"/>
      <c r="VAM76" s="2198"/>
      <c r="VAN76" s="2198"/>
      <c r="VAO76" s="2198"/>
      <c r="VAP76" s="2198"/>
      <c r="VAQ76" s="2198"/>
      <c r="VAR76" s="2198"/>
      <c r="VAS76" s="2198"/>
      <c r="VAT76" s="2198"/>
      <c r="VAU76" s="2198"/>
      <c r="VAV76" s="2198"/>
      <c r="VAW76" s="2198"/>
      <c r="VAX76" s="2198"/>
      <c r="VAY76" s="2198"/>
      <c r="VAZ76" s="2198"/>
      <c r="VBA76" s="2198"/>
      <c r="VBB76" s="2198"/>
      <c r="VBC76" s="2198"/>
      <c r="VBD76" s="2198"/>
      <c r="VBE76" s="2198"/>
      <c r="VBF76" s="2198"/>
      <c r="VBG76" s="2198"/>
      <c r="VBH76" s="2198"/>
      <c r="VBI76" s="2198"/>
      <c r="VBJ76" s="2198"/>
      <c r="VBK76" s="2198"/>
      <c r="VBL76" s="2198"/>
      <c r="VBM76" s="2198"/>
      <c r="VBN76" s="2198"/>
      <c r="VBO76" s="2198"/>
      <c r="VBP76" s="2198"/>
      <c r="VBQ76" s="2198"/>
      <c r="VBR76" s="2198"/>
      <c r="VBS76" s="2198"/>
      <c r="VBT76" s="2198"/>
      <c r="VBU76" s="2198"/>
      <c r="VBV76" s="2198"/>
      <c r="VBW76" s="2198"/>
      <c r="VBX76" s="2198"/>
      <c r="VBY76" s="2198"/>
      <c r="VBZ76" s="2198"/>
      <c r="VCA76" s="2198"/>
      <c r="VCB76" s="2198"/>
      <c r="VCC76" s="2198"/>
      <c r="VCD76" s="2198"/>
      <c r="VCE76" s="2198"/>
      <c r="VCF76" s="2198"/>
      <c r="VCG76" s="2198"/>
      <c r="VCH76" s="2198"/>
      <c r="VCI76" s="2198"/>
      <c r="VCJ76" s="2198"/>
      <c r="VCK76" s="2198"/>
      <c r="VCL76" s="2198"/>
      <c r="VCM76" s="2198"/>
      <c r="VCN76" s="2198"/>
      <c r="VCO76" s="2198"/>
      <c r="VCP76" s="2198"/>
      <c r="VCQ76" s="2198"/>
      <c r="VCR76" s="2198"/>
      <c r="VCS76" s="2198"/>
      <c r="VCT76" s="2198"/>
      <c r="VCU76" s="2198"/>
      <c r="VCV76" s="2198"/>
      <c r="VCW76" s="2198"/>
      <c r="VCX76" s="2198"/>
      <c r="VCY76" s="2198"/>
      <c r="VCZ76" s="2198"/>
      <c r="VDA76" s="2198"/>
      <c r="VDB76" s="2198"/>
      <c r="VDC76" s="2198"/>
      <c r="VDD76" s="2198"/>
      <c r="VDE76" s="2198"/>
      <c r="VDF76" s="2198"/>
      <c r="VDG76" s="2198"/>
      <c r="VDH76" s="2198"/>
      <c r="VDI76" s="2198"/>
      <c r="VDJ76" s="2198"/>
      <c r="VDK76" s="2198"/>
      <c r="VDL76" s="2198"/>
      <c r="VDM76" s="2198"/>
      <c r="VDN76" s="2198"/>
      <c r="VDO76" s="2198"/>
      <c r="VDP76" s="2198"/>
      <c r="VDQ76" s="2198"/>
      <c r="VDR76" s="2198"/>
      <c r="VDS76" s="2198"/>
      <c r="VDT76" s="2198"/>
      <c r="VDU76" s="2198"/>
      <c r="VDV76" s="2198"/>
      <c r="VDW76" s="2198"/>
      <c r="VDX76" s="2198"/>
      <c r="VDY76" s="2198"/>
      <c r="VDZ76" s="2198"/>
      <c r="VEA76" s="2198"/>
      <c r="VEB76" s="2198"/>
      <c r="VEC76" s="2198"/>
      <c r="VED76" s="2198"/>
      <c r="VEE76" s="2198"/>
      <c r="VEF76" s="2198"/>
      <c r="VEG76" s="2198"/>
      <c r="VEH76" s="2198"/>
      <c r="VEI76" s="2198"/>
      <c r="VEJ76" s="2198"/>
      <c r="VEK76" s="2198"/>
      <c r="VEL76" s="2198"/>
      <c r="VEM76" s="2198"/>
      <c r="VEN76" s="2198"/>
      <c r="VEO76" s="2198"/>
      <c r="VEP76" s="2198"/>
      <c r="VEQ76" s="2198"/>
      <c r="VER76" s="2198"/>
      <c r="VES76" s="2198"/>
      <c r="VET76" s="2198"/>
      <c r="VEU76" s="2198"/>
      <c r="VEV76" s="2198"/>
      <c r="VEW76" s="2198"/>
      <c r="VEX76" s="2198"/>
      <c r="VEY76" s="2198"/>
      <c r="VEZ76" s="2198"/>
      <c r="VFA76" s="2198"/>
      <c r="VFB76" s="2198"/>
      <c r="VFC76" s="2198"/>
      <c r="VFD76" s="2198"/>
      <c r="VFE76" s="2198"/>
      <c r="VFF76" s="2198"/>
      <c r="VFG76" s="2198"/>
      <c r="VFH76" s="2198"/>
      <c r="VFI76" s="2198"/>
      <c r="VFJ76" s="2198"/>
      <c r="VFK76" s="2198"/>
      <c r="VFL76" s="2198"/>
      <c r="VFM76" s="2198"/>
      <c r="VFN76" s="2198"/>
      <c r="VFO76" s="2198"/>
      <c r="VFP76" s="2198"/>
      <c r="VFQ76" s="2198"/>
      <c r="VFR76" s="2198"/>
      <c r="VFS76" s="2198"/>
      <c r="VFT76" s="2198"/>
      <c r="VFU76" s="2198"/>
      <c r="VFV76" s="2198"/>
      <c r="VFW76" s="2198"/>
      <c r="VFX76" s="2198"/>
      <c r="VFY76" s="2198"/>
      <c r="VFZ76" s="2198"/>
      <c r="VGA76" s="2198"/>
      <c r="VGB76" s="2198"/>
      <c r="VGC76" s="2198"/>
      <c r="VGD76" s="2198"/>
      <c r="VGE76" s="2198"/>
      <c r="VGF76" s="2198"/>
      <c r="VGG76" s="2198"/>
      <c r="VGH76" s="2198"/>
      <c r="VGI76" s="2198"/>
      <c r="VGJ76" s="2198"/>
      <c r="VGK76" s="2198"/>
      <c r="VGL76" s="2198"/>
      <c r="VGM76" s="2198"/>
      <c r="VGN76" s="2198"/>
      <c r="VGO76" s="2198"/>
      <c r="VGP76" s="2198"/>
      <c r="VGQ76" s="2198"/>
      <c r="VGR76" s="2198"/>
      <c r="VGS76" s="2198"/>
      <c r="VGT76" s="2198"/>
      <c r="VGU76" s="2198"/>
      <c r="VGV76" s="2198"/>
      <c r="VGW76" s="2198"/>
      <c r="VGX76" s="2198"/>
      <c r="VGY76" s="2198"/>
      <c r="VGZ76" s="2198"/>
      <c r="VHA76" s="2198"/>
      <c r="VHB76" s="2198"/>
      <c r="VHC76" s="2198"/>
      <c r="VHD76" s="2198"/>
      <c r="VHE76" s="2198"/>
      <c r="VHF76" s="2198"/>
      <c r="VHG76" s="2198"/>
      <c r="VHH76" s="2198"/>
      <c r="VHI76" s="2198"/>
      <c r="VHJ76" s="2198"/>
      <c r="VHK76" s="2198"/>
      <c r="VHL76" s="2198"/>
      <c r="VHM76" s="2198"/>
      <c r="VHN76" s="2198"/>
      <c r="VHO76" s="2198"/>
      <c r="VHP76" s="2198"/>
      <c r="VHQ76" s="2198"/>
      <c r="VHR76" s="2198"/>
      <c r="VHS76" s="2198"/>
      <c r="VHT76" s="2198"/>
      <c r="VHU76" s="2198"/>
      <c r="VHV76" s="2198"/>
      <c r="VHW76" s="2198"/>
      <c r="VHX76" s="2198"/>
      <c r="VHY76" s="2198"/>
      <c r="VHZ76" s="2198"/>
      <c r="VIA76" s="2198"/>
      <c r="VIB76" s="2198"/>
      <c r="VIC76" s="2198"/>
      <c r="VID76" s="2198"/>
      <c r="VIE76" s="2198"/>
      <c r="VIF76" s="2198"/>
      <c r="VIG76" s="2198"/>
      <c r="VIH76" s="2198"/>
      <c r="VII76" s="2198"/>
      <c r="VIJ76" s="2198"/>
      <c r="VIK76" s="2198"/>
      <c r="VIL76" s="2198"/>
      <c r="VIM76" s="2198"/>
      <c r="VIN76" s="2198"/>
      <c r="VIO76" s="2198"/>
      <c r="VIP76" s="2198"/>
      <c r="VIQ76" s="2198"/>
      <c r="VIR76" s="2198"/>
      <c r="VIS76" s="2198"/>
      <c r="VIT76" s="2198"/>
      <c r="VIU76" s="2198"/>
      <c r="VIV76" s="2198"/>
      <c r="VIW76" s="2198"/>
      <c r="VIX76" s="2198"/>
      <c r="VIY76" s="2198"/>
      <c r="VIZ76" s="2198"/>
      <c r="VJA76" s="2198"/>
      <c r="VJB76" s="2198"/>
      <c r="VJC76" s="2198"/>
      <c r="VJD76" s="2198"/>
      <c r="VJE76" s="2198"/>
      <c r="VJF76" s="2198"/>
      <c r="VJG76" s="2198"/>
      <c r="VJH76" s="2198"/>
      <c r="VJI76" s="2198"/>
      <c r="VJJ76" s="2198"/>
      <c r="VJK76" s="2198"/>
      <c r="VJL76" s="2198"/>
      <c r="VJM76" s="2198"/>
      <c r="VJN76" s="2198"/>
      <c r="VJO76" s="2198"/>
      <c r="VJP76" s="2198"/>
      <c r="VJQ76" s="2198"/>
      <c r="VJR76" s="2198"/>
      <c r="VJS76" s="2198"/>
      <c r="VJT76" s="2198"/>
      <c r="VJU76" s="2198"/>
      <c r="VJV76" s="2198"/>
      <c r="VJW76" s="2198"/>
      <c r="VJX76" s="2198"/>
      <c r="VJY76" s="2198"/>
      <c r="VJZ76" s="2198"/>
      <c r="VKA76" s="2198"/>
      <c r="VKB76" s="2198"/>
      <c r="VKC76" s="2198"/>
      <c r="VKD76" s="2198"/>
      <c r="VKE76" s="2198"/>
      <c r="VKF76" s="2198"/>
      <c r="VKG76" s="2198"/>
      <c r="VKH76" s="2198"/>
      <c r="VKI76" s="2198"/>
      <c r="VKJ76" s="2198"/>
      <c r="VKK76" s="2198"/>
      <c r="VKL76" s="2198"/>
      <c r="VKM76" s="2198"/>
      <c r="VKN76" s="2198"/>
      <c r="VKO76" s="2198"/>
      <c r="VKP76" s="2198"/>
      <c r="VKQ76" s="2198"/>
      <c r="VKR76" s="2198"/>
      <c r="VKS76" s="2198"/>
      <c r="VKT76" s="2198"/>
      <c r="VKU76" s="2198"/>
      <c r="VKV76" s="2198"/>
      <c r="VKW76" s="2198"/>
      <c r="VKX76" s="2198"/>
      <c r="VKY76" s="2198"/>
      <c r="VKZ76" s="2198"/>
      <c r="VLA76" s="2198"/>
      <c r="VLB76" s="2198"/>
      <c r="VLC76" s="2198"/>
      <c r="VLD76" s="2198"/>
      <c r="VLE76" s="2198"/>
      <c r="VLF76" s="2198"/>
      <c r="VLG76" s="2198"/>
      <c r="VLH76" s="2198"/>
      <c r="VLI76" s="2198"/>
      <c r="VLJ76" s="2198"/>
      <c r="VLK76" s="2198"/>
      <c r="VLL76" s="2198"/>
      <c r="VLM76" s="2198"/>
      <c r="VLN76" s="2198"/>
      <c r="VLO76" s="2198"/>
      <c r="VLP76" s="2198"/>
      <c r="VLQ76" s="2198"/>
      <c r="VLR76" s="2198"/>
      <c r="VLS76" s="2198"/>
      <c r="VLT76" s="2198"/>
      <c r="VLU76" s="2198"/>
      <c r="VLV76" s="2198"/>
      <c r="VLW76" s="2198"/>
      <c r="VLX76" s="2198"/>
      <c r="VLY76" s="2198"/>
      <c r="VLZ76" s="2198"/>
      <c r="VMA76" s="2198"/>
      <c r="VMB76" s="2198"/>
      <c r="VMC76" s="2198"/>
      <c r="VMD76" s="2198"/>
      <c r="VME76" s="2198"/>
      <c r="VMF76" s="2198"/>
      <c r="VMG76" s="2198"/>
      <c r="VMH76" s="2198"/>
      <c r="VMI76" s="2198"/>
      <c r="VMJ76" s="2198"/>
      <c r="VMK76" s="2198"/>
      <c r="VML76" s="2198"/>
      <c r="VMM76" s="2198"/>
      <c r="VMN76" s="2198"/>
      <c r="VMO76" s="2198"/>
      <c r="VMP76" s="2198"/>
      <c r="VMQ76" s="2198"/>
      <c r="VMR76" s="2198"/>
      <c r="VMS76" s="2198"/>
      <c r="VMT76" s="2198"/>
      <c r="VMU76" s="2198"/>
      <c r="VMV76" s="2198"/>
      <c r="VMW76" s="2198"/>
      <c r="VMX76" s="2198"/>
      <c r="VMY76" s="2198"/>
      <c r="VMZ76" s="2198"/>
      <c r="VNA76" s="2198"/>
      <c r="VNB76" s="2198"/>
      <c r="VNC76" s="2198"/>
      <c r="VND76" s="2198"/>
      <c r="VNE76" s="2198"/>
      <c r="VNF76" s="2198"/>
      <c r="VNG76" s="2198"/>
      <c r="VNH76" s="2198"/>
      <c r="VNI76" s="2198"/>
      <c r="VNJ76" s="2198"/>
      <c r="VNK76" s="2198"/>
      <c r="VNL76" s="2198"/>
      <c r="VNM76" s="2198"/>
      <c r="VNN76" s="2198"/>
      <c r="VNO76" s="2198"/>
      <c r="VNP76" s="2198"/>
      <c r="VNQ76" s="2198"/>
      <c r="VNR76" s="2198"/>
      <c r="VNS76" s="2198"/>
      <c r="VNT76" s="2198"/>
      <c r="VNU76" s="2198"/>
      <c r="VNV76" s="2198"/>
      <c r="VNW76" s="2198"/>
      <c r="VNX76" s="2198"/>
      <c r="VNY76" s="2198"/>
      <c r="VNZ76" s="2198"/>
      <c r="VOA76" s="2198"/>
      <c r="VOB76" s="2198"/>
      <c r="VOC76" s="2198"/>
      <c r="VOD76" s="2198"/>
      <c r="VOE76" s="2198"/>
      <c r="VOF76" s="2198"/>
      <c r="VOG76" s="2198"/>
      <c r="VOH76" s="2198"/>
      <c r="VOI76" s="2198"/>
      <c r="VOJ76" s="2198"/>
      <c r="VOK76" s="2198"/>
      <c r="VOL76" s="2198"/>
      <c r="VOM76" s="2198"/>
      <c r="VON76" s="2198"/>
      <c r="VOO76" s="2198"/>
      <c r="VOP76" s="2198"/>
      <c r="VOQ76" s="2198"/>
      <c r="VOR76" s="2198"/>
      <c r="VOS76" s="2198"/>
      <c r="VOT76" s="2198"/>
      <c r="VOU76" s="2198"/>
      <c r="VOV76" s="2198"/>
      <c r="VOW76" s="2198"/>
      <c r="VOX76" s="2198"/>
      <c r="VOY76" s="2198"/>
      <c r="VOZ76" s="2198"/>
      <c r="VPA76" s="2198"/>
      <c r="VPB76" s="2198"/>
      <c r="VPC76" s="2198"/>
      <c r="VPD76" s="2198"/>
      <c r="VPE76" s="2198"/>
      <c r="VPF76" s="2198"/>
      <c r="VPG76" s="2198"/>
      <c r="VPH76" s="2198"/>
      <c r="VPI76" s="2198"/>
      <c r="VPJ76" s="2198"/>
      <c r="VPK76" s="2198"/>
      <c r="VPL76" s="2198"/>
      <c r="VPM76" s="2198"/>
      <c r="VPN76" s="2198"/>
      <c r="VPO76" s="2198"/>
      <c r="VPP76" s="2198"/>
      <c r="VPQ76" s="2198"/>
      <c r="VPR76" s="2198"/>
      <c r="VPS76" s="2198"/>
      <c r="VPT76" s="2198"/>
      <c r="VPU76" s="2198"/>
      <c r="VPV76" s="2198"/>
      <c r="VPW76" s="2198"/>
      <c r="VPX76" s="2198"/>
      <c r="VPY76" s="2198"/>
      <c r="VPZ76" s="2198"/>
      <c r="VQA76" s="2198"/>
      <c r="VQB76" s="2198"/>
      <c r="VQC76" s="2198"/>
      <c r="VQD76" s="2198"/>
      <c r="VQE76" s="2198"/>
      <c r="VQF76" s="2198"/>
      <c r="VQG76" s="2198"/>
      <c r="VQH76" s="2198"/>
      <c r="VQI76" s="2198"/>
      <c r="VQJ76" s="2198"/>
      <c r="VQK76" s="2198"/>
      <c r="VQL76" s="2198"/>
      <c r="VQM76" s="2198"/>
      <c r="VQN76" s="2198"/>
      <c r="VQO76" s="2198"/>
      <c r="VQP76" s="2198"/>
      <c r="VQQ76" s="2198"/>
      <c r="VQR76" s="2198"/>
      <c r="VQS76" s="2198"/>
      <c r="VQT76" s="2198"/>
      <c r="VQU76" s="2198"/>
      <c r="VQV76" s="2198"/>
      <c r="VQW76" s="2198"/>
      <c r="VQX76" s="2198"/>
      <c r="VQY76" s="2198"/>
      <c r="VQZ76" s="2198"/>
      <c r="VRA76" s="2198"/>
      <c r="VRB76" s="2198"/>
      <c r="VRC76" s="2198"/>
      <c r="VRD76" s="2198"/>
      <c r="VRE76" s="2198"/>
      <c r="VRF76" s="2198"/>
      <c r="VRG76" s="2198"/>
      <c r="VRH76" s="2198"/>
      <c r="VRI76" s="2198"/>
      <c r="VRJ76" s="2198"/>
      <c r="VRK76" s="2198"/>
      <c r="VRL76" s="2198"/>
      <c r="VRM76" s="2198"/>
      <c r="VRN76" s="2198"/>
      <c r="VRO76" s="2198"/>
      <c r="VRP76" s="2198"/>
      <c r="VRQ76" s="2198"/>
      <c r="VRR76" s="2198"/>
      <c r="VRS76" s="2198"/>
      <c r="VRT76" s="2198"/>
      <c r="VRU76" s="2198"/>
      <c r="VRV76" s="2198"/>
      <c r="VRW76" s="2198"/>
      <c r="VRX76" s="2198"/>
      <c r="VRY76" s="2198"/>
      <c r="VRZ76" s="2198"/>
      <c r="VSA76" s="2198"/>
      <c r="VSB76" s="2198"/>
      <c r="VSC76" s="2198"/>
      <c r="VSD76" s="2198"/>
      <c r="VSE76" s="2198"/>
      <c r="VSF76" s="2198"/>
      <c r="VSG76" s="2198"/>
      <c r="VSH76" s="2198"/>
      <c r="VSI76" s="2198"/>
      <c r="VSJ76" s="2198"/>
      <c r="VSK76" s="2198"/>
      <c r="VSL76" s="2198"/>
      <c r="VSM76" s="2198"/>
      <c r="VSN76" s="2198"/>
      <c r="VSO76" s="2198"/>
      <c r="VSP76" s="2198"/>
      <c r="VSQ76" s="2198"/>
      <c r="VSR76" s="2198"/>
      <c r="VSS76" s="2198"/>
      <c r="VST76" s="2198"/>
      <c r="VSU76" s="2198"/>
      <c r="VSV76" s="2198"/>
      <c r="VSW76" s="2198"/>
      <c r="VSX76" s="2198"/>
      <c r="VSY76" s="2198"/>
      <c r="VSZ76" s="2198"/>
      <c r="VTA76" s="2198"/>
      <c r="VTB76" s="2198"/>
      <c r="VTC76" s="2198"/>
      <c r="VTD76" s="2198"/>
      <c r="VTE76" s="2198"/>
      <c r="VTF76" s="2198"/>
      <c r="VTG76" s="2198"/>
      <c r="VTH76" s="2198"/>
      <c r="VTI76" s="2198"/>
      <c r="VTJ76" s="2198"/>
      <c r="VTK76" s="2198"/>
      <c r="VTL76" s="2198"/>
      <c r="VTM76" s="2198"/>
      <c r="VTN76" s="2198"/>
      <c r="VTO76" s="2198"/>
      <c r="VTP76" s="2198"/>
      <c r="VTQ76" s="2198"/>
      <c r="VTR76" s="2198"/>
      <c r="VTS76" s="2198"/>
      <c r="VTT76" s="2198"/>
      <c r="VTU76" s="2198"/>
      <c r="VTV76" s="2198"/>
      <c r="VTW76" s="2198"/>
      <c r="VTX76" s="2198"/>
      <c r="VTY76" s="2198"/>
      <c r="VTZ76" s="2198"/>
      <c r="VUA76" s="2198"/>
      <c r="VUB76" s="2198"/>
      <c r="VUC76" s="2198"/>
      <c r="VUD76" s="2198"/>
      <c r="VUE76" s="2198"/>
      <c r="VUF76" s="2198"/>
      <c r="VUG76" s="2198"/>
      <c r="VUH76" s="2198"/>
      <c r="VUI76" s="2198"/>
      <c r="VUJ76" s="2198"/>
      <c r="VUK76" s="2198"/>
      <c r="VUL76" s="2198"/>
      <c r="VUM76" s="2198"/>
      <c r="VUN76" s="2198"/>
      <c r="VUO76" s="2198"/>
      <c r="VUP76" s="2198"/>
      <c r="VUQ76" s="2198"/>
      <c r="VUR76" s="2198"/>
      <c r="VUS76" s="2198"/>
      <c r="VUT76" s="2198"/>
      <c r="VUU76" s="2198"/>
      <c r="VUV76" s="2198"/>
      <c r="VUW76" s="2198"/>
      <c r="VUX76" s="2198"/>
      <c r="VUY76" s="2198"/>
      <c r="VUZ76" s="2198"/>
      <c r="VVA76" s="2198"/>
      <c r="VVB76" s="2198"/>
      <c r="VVC76" s="2198"/>
      <c r="VVD76" s="2198"/>
      <c r="VVE76" s="2198"/>
      <c r="VVF76" s="2198"/>
      <c r="VVG76" s="2198"/>
      <c r="VVH76" s="2198"/>
      <c r="VVI76" s="2198"/>
      <c r="VVJ76" s="2198"/>
      <c r="VVK76" s="2198"/>
      <c r="VVL76" s="2198"/>
      <c r="VVM76" s="2198"/>
      <c r="VVN76" s="2198"/>
      <c r="VVO76" s="2198"/>
      <c r="VVP76" s="2198"/>
      <c r="VVQ76" s="2198"/>
      <c r="VVR76" s="2198"/>
      <c r="VVS76" s="2198"/>
      <c r="VVT76" s="2198"/>
      <c r="VVU76" s="2198"/>
      <c r="VVV76" s="2198"/>
      <c r="VVW76" s="2198"/>
      <c r="VVX76" s="2198"/>
      <c r="VVY76" s="2198"/>
      <c r="VVZ76" s="2198"/>
      <c r="VWA76" s="2198"/>
      <c r="VWB76" s="2198"/>
      <c r="VWC76" s="2198"/>
      <c r="VWD76" s="2198"/>
      <c r="VWE76" s="2198"/>
      <c r="VWF76" s="2198"/>
      <c r="VWG76" s="2198"/>
      <c r="VWH76" s="2198"/>
      <c r="VWI76" s="2198"/>
      <c r="VWJ76" s="2198"/>
      <c r="VWK76" s="2198"/>
      <c r="VWL76" s="2198"/>
      <c r="VWM76" s="2198"/>
      <c r="VWN76" s="2198"/>
      <c r="VWO76" s="2198"/>
      <c r="VWP76" s="2198"/>
      <c r="VWQ76" s="2198"/>
      <c r="VWR76" s="2198"/>
      <c r="VWS76" s="2198"/>
      <c r="VWT76" s="2198"/>
      <c r="VWU76" s="2198"/>
      <c r="VWV76" s="2198"/>
      <c r="VWW76" s="2198"/>
      <c r="VWX76" s="2198"/>
      <c r="VWY76" s="2198"/>
      <c r="VWZ76" s="2198"/>
      <c r="VXA76" s="2198"/>
      <c r="VXB76" s="2198"/>
      <c r="VXC76" s="2198"/>
      <c r="VXD76" s="2198"/>
      <c r="VXE76" s="2198"/>
      <c r="VXF76" s="2198"/>
      <c r="VXG76" s="2198"/>
      <c r="VXH76" s="2198"/>
      <c r="VXI76" s="2198"/>
      <c r="VXJ76" s="2198"/>
      <c r="VXK76" s="2198"/>
      <c r="VXL76" s="2198"/>
      <c r="VXM76" s="2198"/>
      <c r="VXN76" s="2198"/>
      <c r="VXO76" s="2198"/>
      <c r="VXP76" s="2198"/>
      <c r="VXQ76" s="2198"/>
      <c r="VXR76" s="2198"/>
      <c r="VXS76" s="2198"/>
      <c r="VXT76" s="2198"/>
      <c r="VXU76" s="2198"/>
      <c r="VXV76" s="2198"/>
      <c r="VXW76" s="2198"/>
      <c r="VXX76" s="2198"/>
      <c r="VXY76" s="2198"/>
      <c r="VXZ76" s="2198"/>
      <c r="VYA76" s="2198"/>
      <c r="VYB76" s="2198"/>
      <c r="VYC76" s="2198"/>
      <c r="VYD76" s="2198"/>
      <c r="VYE76" s="2198"/>
      <c r="VYF76" s="2198"/>
      <c r="VYG76" s="2198"/>
      <c r="VYH76" s="2198"/>
      <c r="VYI76" s="2198"/>
      <c r="VYJ76" s="2198"/>
      <c r="VYK76" s="2198"/>
      <c r="VYL76" s="2198"/>
      <c r="VYM76" s="2198"/>
      <c r="VYN76" s="2198"/>
      <c r="VYO76" s="2198"/>
      <c r="VYP76" s="2198"/>
      <c r="VYQ76" s="2198"/>
      <c r="VYR76" s="2198"/>
      <c r="VYS76" s="2198"/>
      <c r="VYT76" s="2198"/>
      <c r="VYU76" s="2198"/>
      <c r="VYV76" s="2198"/>
      <c r="VYW76" s="2198"/>
      <c r="VYX76" s="2198"/>
      <c r="VYY76" s="2198"/>
      <c r="VYZ76" s="2198"/>
      <c r="VZA76" s="2198"/>
      <c r="VZB76" s="2198"/>
      <c r="VZC76" s="2198"/>
      <c r="VZD76" s="2198"/>
      <c r="VZE76" s="2198"/>
      <c r="VZF76" s="2198"/>
      <c r="VZG76" s="2198"/>
      <c r="VZH76" s="2198"/>
      <c r="VZI76" s="2198"/>
      <c r="VZJ76" s="2198"/>
      <c r="VZK76" s="2198"/>
      <c r="VZL76" s="2198"/>
      <c r="VZM76" s="2198"/>
      <c r="VZN76" s="2198"/>
      <c r="VZO76" s="2198"/>
      <c r="VZP76" s="2198"/>
      <c r="VZQ76" s="2198"/>
      <c r="VZR76" s="2198"/>
      <c r="VZS76" s="2198"/>
      <c r="VZT76" s="2198"/>
      <c r="VZU76" s="2198"/>
      <c r="VZV76" s="2198"/>
      <c r="VZW76" s="2198"/>
      <c r="VZX76" s="2198"/>
      <c r="VZY76" s="2198"/>
      <c r="VZZ76" s="2198"/>
      <c r="WAA76" s="2198"/>
      <c r="WAB76" s="2198"/>
      <c r="WAC76" s="2198"/>
      <c r="WAD76" s="2198"/>
      <c r="WAE76" s="2198"/>
      <c r="WAF76" s="2198"/>
      <c r="WAG76" s="2198"/>
      <c r="WAH76" s="2198"/>
      <c r="WAI76" s="2198"/>
      <c r="WAJ76" s="2198"/>
      <c r="WAK76" s="2198"/>
      <c r="WAL76" s="2198"/>
      <c r="WAM76" s="2198"/>
      <c r="WAN76" s="2198"/>
      <c r="WAO76" s="2198"/>
      <c r="WAP76" s="2198"/>
      <c r="WAQ76" s="2198"/>
      <c r="WAR76" s="2198"/>
      <c r="WAS76" s="2198"/>
      <c r="WAT76" s="2198"/>
      <c r="WAU76" s="2198"/>
      <c r="WAV76" s="2198"/>
      <c r="WAW76" s="2198"/>
      <c r="WAX76" s="2198"/>
      <c r="WAY76" s="2198"/>
      <c r="WAZ76" s="2198"/>
      <c r="WBA76" s="2198"/>
      <c r="WBB76" s="2198"/>
      <c r="WBC76" s="2198"/>
      <c r="WBD76" s="2198"/>
      <c r="WBE76" s="2198"/>
      <c r="WBF76" s="2198"/>
      <c r="WBG76" s="2198"/>
      <c r="WBH76" s="2198"/>
      <c r="WBI76" s="2198"/>
      <c r="WBJ76" s="2198"/>
      <c r="WBK76" s="2198"/>
      <c r="WBL76" s="2198"/>
      <c r="WBM76" s="2198"/>
      <c r="WBN76" s="2198"/>
      <c r="WBO76" s="2198"/>
      <c r="WBP76" s="2198"/>
      <c r="WBQ76" s="2198"/>
      <c r="WBR76" s="2198"/>
      <c r="WBS76" s="2198"/>
      <c r="WBT76" s="2198"/>
      <c r="WBU76" s="2198"/>
      <c r="WBV76" s="2198"/>
      <c r="WBW76" s="2198"/>
      <c r="WBX76" s="2198"/>
      <c r="WBY76" s="2198"/>
      <c r="WBZ76" s="2198"/>
      <c r="WCA76" s="2198"/>
      <c r="WCB76" s="2198"/>
      <c r="WCC76" s="2198"/>
      <c r="WCD76" s="2198"/>
      <c r="WCE76" s="2198"/>
      <c r="WCF76" s="2198"/>
      <c r="WCG76" s="2198"/>
      <c r="WCH76" s="2198"/>
      <c r="WCI76" s="2198"/>
      <c r="WCJ76" s="2198"/>
      <c r="WCK76" s="2198"/>
      <c r="WCL76" s="2198"/>
      <c r="WCM76" s="2198"/>
      <c r="WCN76" s="2198"/>
      <c r="WCO76" s="2198"/>
      <c r="WCP76" s="2198"/>
      <c r="WCQ76" s="2198"/>
      <c r="WCR76" s="2198"/>
      <c r="WCS76" s="2198"/>
      <c r="WCT76" s="2198"/>
      <c r="WCU76" s="2198"/>
      <c r="WCV76" s="2198"/>
      <c r="WCW76" s="2198"/>
      <c r="WCX76" s="2198"/>
      <c r="WCY76" s="2198"/>
      <c r="WCZ76" s="2198"/>
      <c r="WDA76" s="2198"/>
      <c r="WDB76" s="2198"/>
      <c r="WDC76" s="2198"/>
      <c r="WDD76" s="2198"/>
      <c r="WDE76" s="2198"/>
      <c r="WDF76" s="2198"/>
      <c r="WDG76" s="2198"/>
      <c r="WDH76" s="2198"/>
      <c r="WDI76" s="2198"/>
      <c r="WDJ76" s="2198"/>
      <c r="WDK76" s="2198"/>
      <c r="WDL76" s="2198"/>
      <c r="WDM76" s="2198"/>
      <c r="WDN76" s="2198"/>
      <c r="WDO76" s="2198"/>
      <c r="WDP76" s="2198"/>
      <c r="WDQ76" s="2198"/>
      <c r="WDR76" s="2198"/>
      <c r="WDS76" s="2198"/>
      <c r="WDT76" s="2198"/>
      <c r="WDU76" s="2198"/>
      <c r="WDV76" s="2198"/>
      <c r="WDW76" s="2198"/>
      <c r="WDX76" s="2198"/>
      <c r="WDY76" s="2198"/>
      <c r="WDZ76" s="2198"/>
      <c r="WEA76" s="2198"/>
      <c r="WEB76" s="2198"/>
      <c r="WEC76" s="2198"/>
      <c r="WED76" s="2198"/>
      <c r="WEE76" s="2198"/>
      <c r="WEF76" s="2198"/>
      <c r="WEG76" s="2198"/>
      <c r="WEH76" s="2198"/>
      <c r="WEI76" s="2198"/>
      <c r="WEJ76" s="2198"/>
      <c r="WEK76" s="2198"/>
      <c r="WEL76" s="2198"/>
      <c r="WEM76" s="2198"/>
      <c r="WEN76" s="2198"/>
      <c r="WEO76" s="2198"/>
      <c r="WEP76" s="2198"/>
      <c r="WEQ76" s="2198"/>
      <c r="WER76" s="2198"/>
      <c r="WES76" s="2198"/>
      <c r="WET76" s="2198"/>
      <c r="WEU76" s="2198"/>
      <c r="WEV76" s="2198"/>
      <c r="WEW76" s="2198"/>
      <c r="WEX76" s="2198"/>
      <c r="WEY76" s="2198"/>
      <c r="WEZ76" s="2198"/>
      <c r="WFA76" s="2198"/>
      <c r="WFB76" s="2198"/>
      <c r="WFC76" s="2198"/>
      <c r="WFD76" s="2198"/>
      <c r="WFE76" s="2198"/>
      <c r="WFF76" s="2198"/>
      <c r="WFG76" s="2198"/>
      <c r="WFH76" s="2198"/>
      <c r="WFI76" s="2198"/>
      <c r="WFJ76" s="2198"/>
      <c r="WFK76" s="2198"/>
      <c r="WFL76" s="2198"/>
      <c r="WFM76" s="2198"/>
      <c r="WFN76" s="2198"/>
      <c r="WFO76" s="2198"/>
      <c r="WFP76" s="2198"/>
      <c r="WFQ76" s="2198"/>
      <c r="WFR76" s="2198"/>
      <c r="WFS76" s="2198"/>
      <c r="WFT76" s="2198"/>
      <c r="WFU76" s="2198"/>
      <c r="WFV76" s="2198"/>
      <c r="WFW76" s="2198"/>
      <c r="WFX76" s="2198"/>
      <c r="WFY76" s="2198"/>
      <c r="WFZ76" s="2198"/>
      <c r="WGA76" s="2198"/>
      <c r="WGB76" s="2198"/>
      <c r="WGC76" s="2198"/>
      <c r="WGD76" s="2198"/>
      <c r="WGE76" s="2198"/>
      <c r="WGF76" s="2198"/>
      <c r="WGG76" s="2198"/>
      <c r="WGH76" s="2198"/>
      <c r="WGI76" s="2198"/>
      <c r="WGJ76" s="2198"/>
      <c r="WGK76" s="2198"/>
      <c r="WGL76" s="2198"/>
      <c r="WGM76" s="2198"/>
      <c r="WGN76" s="2198"/>
      <c r="WGO76" s="2198"/>
      <c r="WGP76" s="2198"/>
      <c r="WGQ76" s="2198"/>
      <c r="WGR76" s="2198"/>
      <c r="WGS76" s="2198"/>
      <c r="WGT76" s="2198"/>
      <c r="WGU76" s="2198"/>
      <c r="WGV76" s="2198"/>
      <c r="WGW76" s="2198"/>
      <c r="WGX76" s="2198"/>
      <c r="WGY76" s="2198"/>
      <c r="WGZ76" s="2198"/>
      <c r="WHA76" s="2198"/>
      <c r="WHB76" s="2198"/>
      <c r="WHC76" s="2198"/>
      <c r="WHD76" s="2198"/>
      <c r="WHE76" s="2198"/>
      <c r="WHF76" s="2198"/>
      <c r="WHG76" s="2198"/>
      <c r="WHH76" s="2198"/>
      <c r="WHI76" s="2198"/>
      <c r="WHJ76" s="2198"/>
      <c r="WHK76" s="2198"/>
      <c r="WHL76" s="2198"/>
      <c r="WHM76" s="2198"/>
      <c r="WHN76" s="2198"/>
      <c r="WHO76" s="2198"/>
      <c r="WHP76" s="2198"/>
      <c r="WHQ76" s="2198"/>
      <c r="WHR76" s="2198"/>
      <c r="WHS76" s="2198"/>
      <c r="WHT76" s="2198"/>
      <c r="WHU76" s="2198"/>
      <c r="WHV76" s="2198"/>
      <c r="WHW76" s="2198"/>
      <c r="WHX76" s="2198"/>
      <c r="WHY76" s="2198"/>
      <c r="WHZ76" s="2198"/>
      <c r="WIA76" s="2198"/>
      <c r="WIB76" s="2198"/>
      <c r="WIC76" s="2198"/>
      <c r="WID76" s="2198"/>
      <c r="WIE76" s="2198"/>
      <c r="WIF76" s="2198"/>
      <c r="WIG76" s="2198"/>
      <c r="WIH76" s="2198"/>
      <c r="WII76" s="2198"/>
      <c r="WIJ76" s="2198"/>
      <c r="WIK76" s="2198"/>
      <c r="WIL76" s="2198"/>
      <c r="WIM76" s="2198"/>
      <c r="WIN76" s="2198"/>
      <c r="WIO76" s="2198"/>
      <c r="WIP76" s="2198"/>
      <c r="WIQ76" s="2198"/>
      <c r="WIR76" s="2198"/>
      <c r="WIS76" s="2198"/>
      <c r="WIT76" s="2198"/>
      <c r="WIU76" s="2198"/>
      <c r="WIV76" s="2198"/>
      <c r="WIW76" s="2198"/>
      <c r="WIX76" s="2198"/>
      <c r="WIY76" s="2198"/>
      <c r="WIZ76" s="2198"/>
      <c r="WJA76" s="2198"/>
      <c r="WJB76" s="2198"/>
      <c r="WJC76" s="2198"/>
      <c r="WJD76" s="2198"/>
      <c r="WJE76" s="2198"/>
      <c r="WJF76" s="2198"/>
      <c r="WJG76" s="2198"/>
      <c r="WJH76" s="2198"/>
      <c r="WJI76" s="2198"/>
      <c r="WJJ76" s="2198"/>
      <c r="WJK76" s="2198"/>
      <c r="WJL76" s="2198"/>
      <c r="WJM76" s="2198"/>
      <c r="WJN76" s="2198"/>
      <c r="WJO76" s="2198"/>
      <c r="WJP76" s="2198"/>
      <c r="WJQ76" s="2198"/>
      <c r="WJR76" s="2198"/>
      <c r="WJS76" s="2198"/>
      <c r="WJT76" s="2198"/>
      <c r="WJU76" s="2198"/>
      <c r="WJV76" s="2198"/>
      <c r="WJW76" s="2198"/>
      <c r="WJX76" s="2198"/>
      <c r="WJY76" s="2198"/>
      <c r="WJZ76" s="2198"/>
      <c r="WKA76" s="2198"/>
      <c r="WKB76" s="2198"/>
      <c r="WKC76" s="2198"/>
      <c r="WKD76" s="2198"/>
      <c r="WKE76" s="2198"/>
      <c r="WKF76" s="2198"/>
      <c r="WKG76" s="2198"/>
      <c r="WKH76" s="2198"/>
      <c r="WKI76" s="2198"/>
      <c r="WKJ76" s="2198"/>
      <c r="WKK76" s="2198"/>
      <c r="WKL76" s="2198"/>
      <c r="WKM76" s="2198"/>
      <c r="WKN76" s="2198"/>
      <c r="WKO76" s="2198"/>
      <c r="WKP76" s="2198"/>
      <c r="WKQ76" s="2198"/>
      <c r="WKR76" s="2198"/>
      <c r="WKS76" s="2198"/>
      <c r="WKT76" s="2198"/>
      <c r="WKU76" s="2198"/>
      <c r="WKV76" s="2198"/>
      <c r="WKW76" s="2198"/>
      <c r="WKX76" s="2198"/>
      <c r="WKY76" s="2198"/>
      <c r="WKZ76" s="2198"/>
      <c r="WLA76" s="2198"/>
      <c r="WLB76" s="2198"/>
      <c r="WLC76" s="2198"/>
      <c r="WLD76" s="2198"/>
      <c r="WLE76" s="2198"/>
      <c r="WLF76" s="2198"/>
      <c r="WLG76" s="2198"/>
      <c r="WLH76" s="2198"/>
      <c r="WLI76" s="2198"/>
      <c r="WLJ76" s="2198"/>
      <c r="WLK76" s="2198"/>
      <c r="WLL76" s="2198"/>
      <c r="WLM76" s="2198"/>
      <c r="WLN76" s="2198"/>
      <c r="WLO76" s="2198"/>
      <c r="WLP76" s="2198"/>
      <c r="WLQ76" s="2198"/>
      <c r="WLR76" s="2198"/>
      <c r="WLS76" s="2198"/>
      <c r="WLT76" s="2198"/>
      <c r="WLU76" s="2198"/>
      <c r="WLV76" s="2198"/>
      <c r="WLW76" s="2198"/>
      <c r="WLX76" s="2198"/>
      <c r="WLY76" s="2198"/>
      <c r="WLZ76" s="2198"/>
      <c r="WMA76" s="2198"/>
      <c r="WMB76" s="2198"/>
      <c r="WMC76" s="2198"/>
      <c r="WMD76" s="2198"/>
      <c r="WME76" s="2198"/>
      <c r="WMF76" s="2198"/>
      <c r="WMG76" s="2198"/>
      <c r="WMH76" s="2198"/>
      <c r="WMI76" s="2198"/>
      <c r="WMJ76" s="2198"/>
      <c r="WMK76" s="2198"/>
      <c r="WML76" s="2198"/>
      <c r="WMM76" s="2198"/>
      <c r="WMN76" s="2198"/>
      <c r="WMO76" s="2198"/>
      <c r="WMP76" s="2198"/>
      <c r="WMQ76" s="2198"/>
      <c r="WMR76" s="2198"/>
      <c r="WMS76" s="2198"/>
      <c r="WMT76" s="2198"/>
      <c r="WMU76" s="2198"/>
      <c r="WMV76" s="2198"/>
      <c r="WMW76" s="2198"/>
      <c r="WMX76" s="2198"/>
      <c r="WMY76" s="2198"/>
      <c r="WMZ76" s="2198"/>
      <c r="WNA76" s="2198"/>
      <c r="WNB76" s="2198"/>
      <c r="WNC76" s="2198"/>
      <c r="WND76" s="2198"/>
      <c r="WNE76" s="2198"/>
      <c r="WNF76" s="2198"/>
      <c r="WNG76" s="2198"/>
      <c r="WNH76" s="2198"/>
      <c r="WNI76" s="2198"/>
      <c r="WNJ76" s="2198"/>
      <c r="WNK76" s="2198"/>
      <c r="WNL76" s="2198"/>
      <c r="WNM76" s="2198"/>
      <c r="WNN76" s="2198"/>
      <c r="WNO76" s="2198"/>
      <c r="WNP76" s="2198"/>
      <c r="WNQ76" s="2198"/>
      <c r="WNR76" s="2198"/>
      <c r="WNS76" s="2198"/>
      <c r="WNT76" s="2198"/>
      <c r="WNU76" s="2198"/>
      <c r="WNV76" s="2198"/>
      <c r="WNW76" s="2198"/>
      <c r="WNX76" s="2198"/>
      <c r="WNY76" s="2198"/>
      <c r="WNZ76" s="2198"/>
      <c r="WOA76" s="2198"/>
      <c r="WOB76" s="2198"/>
      <c r="WOC76" s="2198"/>
      <c r="WOD76" s="2198"/>
      <c r="WOE76" s="2198"/>
      <c r="WOF76" s="2198"/>
      <c r="WOG76" s="2198"/>
      <c r="WOH76" s="2198"/>
      <c r="WOI76" s="2198"/>
      <c r="WOJ76" s="2198"/>
      <c r="WOK76" s="2198"/>
      <c r="WOL76" s="2198"/>
      <c r="WOM76" s="2198"/>
      <c r="WON76" s="2198"/>
      <c r="WOO76" s="2198"/>
      <c r="WOP76" s="2198"/>
      <c r="WOQ76" s="2198"/>
      <c r="WOR76" s="2198"/>
      <c r="WOS76" s="2198"/>
      <c r="WOT76" s="2198"/>
      <c r="WOU76" s="2198"/>
      <c r="WOV76" s="2198"/>
      <c r="WOW76" s="2198"/>
      <c r="WOX76" s="2198"/>
      <c r="WOY76" s="2198"/>
      <c r="WOZ76" s="2198"/>
      <c r="WPA76" s="2198"/>
      <c r="WPB76" s="2198"/>
      <c r="WPC76" s="2198"/>
      <c r="WPD76" s="2198"/>
      <c r="WPE76" s="2198"/>
      <c r="WPF76" s="2198"/>
      <c r="WPG76" s="2198"/>
      <c r="WPH76" s="2198"/>
      <c r="WPI76" s="2198"/>
      <c r="WPJ76" s="2198"/>
      <c r="WPK76" s="2198"/>
      <c r="WPL76" s="2198"/>
      <c r="WPM76" s="2198"/>
      <c r="WPN76" s="2198"/>
      <c r="WPO76" s="2198"/>
      <c r="WPP76" s="2198"/>
      <c r="WPQ76" s="2198"/>
      <c r="WPR76" s="2198"/>
      <c r="WPS76" s="2198"/>
      <c r="WPT76" s="2198"/>
      <c r="WPU76" s="2198"/>
      <c r="WPV76" s="2198"/>
      <c r="WPW76" s="2198"/>
      <c r="WPX76" s="2198"/>
      <c r="WPY76" s="2198"/>
      <c r="WPZ76" s="2198"/>
      <c r="WQA76" s="2198"/>
      <c r="WQB76" s="2198"/>
      <c r="WQC76" s="2198"/>
      <c r="WQD76" s="2198"/>
      <c r="WQE76" s="2198"/>
      <c r="WQF76" s="2198"/>
      <c r="WQG76" s="2198"/>
      <c r="WQH76" s="2198"/>
      <c r="WQI76" s="2198"/>
      <c r="WQJ76" s="2198"/>
      <c r="WQK76" s="2198"/>
      <c r="WQL76" s="2198"/>
      <c r="WQM76" s="2198"/>
      <c r="WQN76" s="2198"/>
      <c r="WQO76" s="2198"/>
      <c r="WQP76" s="2198"/>
      <c r="WQQ76" s="2198"/>
      <c r="WQR76" s="2198"/>
      <c r="WQS76" s="2198"/>
      <c r="WQT76" s="2198"/>
      <c r="WQU76" s="2198"/>
      <c r="WQV76" s="2198"/>
      <c r="WQW76" s="2198"/>
      <c r="WQX76" s="2198"/>
      <c r="WQY76" s="2198"/>
      <c r="WQZ76" s="2198"/>
      <c r="WRA76" s="2198"/>
      <c r="WRB76" s="2198"/>
      <c r="WRC76" s="2198"/>
      <c r="WRD76" s="2198"/>
      <c r="WRE76" s="2198"/>
      <c r="WRF76" s="2198"/>
      <c r="WRG76" s="2198"/>
      <c r="WRH76" s="2198"/>
      <c r="WRI76" s="2198"/>
      <c r="WRJ76" s="2198"/>
      <c r="WRK76" s="2198"/>
      <c r="WRL76" s="2198"/>
      <c r="WRM76" s="2198"/>
      <c r="WRN76" s="2198"/>
      <c r="WRO76" s="2198"/>
      <c r="WRP76" s="2198"/>
      <c r="WRQ76" s="2198"/>
      <c r="WRR76" s="2198"/>
      <c r="WRS76" s="2198"/>
      <c r="WRT76" s="2198"/>
      <c r="WRU76" s="2198"/>
      <c r="WRV76" s="2198"/>
      <c r="WRW76" s="2198"/>
      <c r="WRX76" s="2198"/>
      <c r="WRY76" s="2198"/>
      <c r="WRZ76" s="2198"/>
      <c r="WSA76" s="2198"/>
      <c r="WSB76" s="2198"/>
      <c r="WSC76" s="2198"/>
      <c r="WSD76" s="2198"/>
      <c r="WSE76" s="2198"/>
      <c r="WSF76" s="2198"/>
      <c r="WSG76" s="2198"/>
      <c r="WSH76" s="2198"/>
      <c r="WSI76" s="2198"/>
      <c r="WSJ76" s="2198"/>
      <c r="WSK76" s="2198"/>
      <c r="WSL76" s="2198"/>
      <c r="WSM76" s="2198"/>
      <c r="WSN76" s="2198"/>
      <c r="WSO76" s="2198"/>
      <c r="WSP76" s="2198"/>
      <c r="WSQ76" s="2198"/>
      <c r="WSR76" s="2198"/>
      <c r="WSS76" s="2198"/>
      <c r="WST76" s="2198"/>
      <c r="WSU76" s="2198"/>
      <c r="WSV76" s="2198"/>
      <c r="WSW76" s="2198"/>
      <c r="WSX76" s="2198"/>
      <c r="WSY76" s="2198"/>
      <c r="WSZ76" s="2198"/>
      <c r="WTA76" s="2198"/>
      <c r="WTB76" s="2198"/>
      <c r="WTC76" s="2198"/>
      <c r="WTD76" s="2198"/>
      <c r="WTE76" s="2198"/>
      <c r="WTF76" s="2198"/>
      <c r="WTG76" s="2198"/>
      <c r="WTH76" s="2198"/>
      <c r="WTI76" s="2198"/>
      <c r="WTJ76" s="2198"/>
      <c r="WTK76" s="2198"/>
      <c r="WTL76" s="2198"/>
      <c r="WTM76" s="2198"/>
      <c r="WTN76" s="2198"/>
      <c r="WTO76" s="2198"/>
      <c r="WTP76" s="2198"/>
      <c r="WTQ76" s="2198"/>
      <c r="WTR76" s="2198"/>
      <c r="WTS76" s="2198"/>
      <c r="WTT76" s="2198"/>
      <c r="WTU76" s="2198"/>
      <c r="WTV76" s="2198"/>
      <c r="WTW76" s="2198"/>
      <c r="WTX76" s="2198"/>
      <c r="WTY76" s="2198"/>
      <c r="WTZ76" s="2198"/>
      <c r="WUA76" s="2198"/>
      <c r="WUB76" s="2198"/>
      <c r="WUC76" s="2198"/>
      <c r="WUD76" s="2198"/>
      <c r="WUE76" s="2198"/>
      <c r="WUF76" s="2198"/>
      <c r="WUG76" s="2198"/>
      <c r="WUH76" s="2198"/>
      <c r="WUI76" s="2198"/>
      <c r="WUJ76" s="2198"/>
      <c r="WUK76" s="2198"/>
      <c r="WUL76" s="2198"/>
      <c r="WUM76" s="2198"/>
      <c r="WUN76" s="2198"/>
      <c r="WUO76" s="2198"/>
      <c r="WUP76" s="2198"/>
      <c r="WUQ76" s="2198"/>
      <c r="WUR76" s="2198"/>
      <c r="WUS76" s="2198"/>
      <c r="WUT76" s="2198"/>
      <c r="WUU76" s="2198"/>
      <c r="WUV76" s="2198"/>
      <c r="WUW76" s="2198"/>
      <c r="WUX76" s="2198"/>
      <c r="WUY76" s="2198"/>
      <c r="WUZ76" s="2198"/>
      <c r="WVA76" s="2198"/>
      <c r="WVB76" s="2198"/>
      <c r="WVC76" s="2198"/>
      <c r="WVD76" s="2198"/>
      <c r="WVE76" s="2198"/>
      <c r="WVF76" s="2198"/>
      <c r="WVG76" s="2198"/>
      <c r="WVH76" s="2198"/>
      <c r="WVI76" s="2198"/>
      <c r="WVJ76" s="2198"/>
      <c r="WVK76" s="2198"/>
      <c r="WVL76" s="2198"/>
      <c r="WVM76" s="2198"/>
      <c r="WVN76" s="2198"/>
      <c r="WVO76" s="2198"/>
      <c r="WVP76" s="2198"/>
      <c r="WVQ76" s="2198"/>
      <c r="WVR76" s="2198"/>
      <c r="WVS76" s="2198"/>
      <c r="WVT76" s="2198"/>
      <c r="WVU76" s="2198"/>
      <c r="WVV76" s="2198"/>
      <c r="WVW76" s="2198"/>
      <c r="WVX76" s="2198"/>
      <c r="WVY76" s="2198"/>
      <c r="WVZ76" s="2198"/>
      <c r="WWA76" s="2198"/>
      <c r="WWB76" s="2198"/>
      <c r="WWC76" s="2198"/>
      <c r="WWD76" s="2198"/>
      <c r="WWE76" s="2198"/>
      <c r="WWF76" s="2198"/>
      <c r="WWG76" s="2198"/>
      <c r="WWH76" s="2198"/>
      <c r="WWI76" s="2198"/>
      <c r="WWJ76" s="2198"/>
      <c r="WWK76" s="2198"/>
      <c r="WWL76" s="2198"/>
      <c r="WWM76" s="2198"/>
      <c r="WWN76" s="2198"/>
      <c r="WWO76" s="2198"/>
      <c r="WWP76" s="2198"/>
      <c r="WWQ76" s="2198"/>
      <c r="WWR76" s="2198"/>
      <c r="WWS76" s="2198"/>
      <c r="WWT76" s="2198"/>
      <c r="WWU76" s="2198"/>
      <c r="WWV76" s="2198"/>
      <c r="WWW76" s="2198"/>
      <c r="WWX76" s="2198"/>
      <c r="WWY76" s="2198"/>
      <c r="WWZ76" s="2198"/>
      <c r="WXA76" s="2198"/>
      <c r="WXB76" s="2198"/>
      <c r="WXC76" s="2198"/>
      <c r="WXD76" s="2198"/>
      <c r="WXE76" s="2198"/>
      <c r="WXF76" s="2198"/>
      <c r="WXG76" s="2198"/>
      <c r="WXH76" s="2198"/>
      <c r="WXI76" s="2198"/>
      <c r="WXJ76" s="2198"/>
      <c r="WXK76" s="2198"/>
      <c r="WXL76" s="2198"/>
      <c r="WXM76" s="2198"/>
      <c r="WXN76" s="2198"/>
      <c r="WXO76" s="2198"/>
      <c r="WXP76" s="2198"/>
      <c r="WXQ76" s="2198"/>
      <c r="WXR76" s="2198"/>
      <c r="WXS76" s="2198"/>
      <c r="WXT76" s="2198"/>
      <c r="WXU76" s="2198"/>
      <c r="WXV76" s="2198"/>
      <c r="WXW76" s="2198"/>
      <c r="WXX76" s="2198"/>
      <c r="WXY76" s="2198"/>
      <c r="WXZ76" s="2198"/>
      <c r="WYA76" s="2198"/>
      <c r="WYB76" s="2198"/>
      <c r="WYC76" s="2198"/>
      <c r="WYD76" s="2198"/>
      <c r="WYE76" s="2198"/>
      <c r="WYF76" s="2198"/>
      <c r="WYG76" s="2198"/>
      <c r="WYH76" s="2198"/>
      <c r="WYI76" s="2198"/>
      <c r="WYJ76" s="2198"/>
      <c r="WYK76" s="2198"/>
      <c r="WYL76" s="2198"/>
      <c r="WYM76" s="2198"/>
      <c r="WYN76" s="2198"/>
      <c r="WYO76" s="2198"/>
      <c r="WYP76" s="2198"/>
      <c r="WYQ76" s="2198"/>
      <c r="WYR76" s="2198"/>
      <c r="WYS76" s="2198"/>
      <c r="WYT76" s="2198"/>
      <c r="WYU76" s="2198"/>
      <c r="WYV76" s="2198"/>
      <c r="WYW76" s="2198"/>
      <c r="WYX76" s="2198"/>
      <c r="WYY76" s="2198"/>
      <c r="WYZ76" s="2198"/>
      <c r="WZA76" s="2198"/>
      <c r="WZB76" s="2198"/>
      <c r="WZC76" s="2198"/>
      <c r="WZD76" s="2198"/>
      <c r="WZE76" s="2198"/>
      <c r="WZF76" s="2198"/>
      <c r="WZG76" s="2198"/>
      <c r="WZH76" s="2198"/>
      <c r="WZI76" s="2198"/>
      <c r="WZJ76" s="2198"/>
      <c r="WZK76" s="2198"/>
      <c r="WZL76" s="2198"/>
      <c r="WZM76" s="2198"/>
      <c r="WZN76" s="2198"/>
      <c r="WZO76" s="2198"/>
      <c r="WZP76" s="2198"/>
      <c r="WZQ76" s="2198"/>
      <c r="WZR76" s="2198"/>
      <c r="WZS76" s="2198"/>
      <c r="WZT76" s="2198"/>
      <c r="WZU76" s="2198"/>
      <c r="WZV76" s="2198"/>
      <c r="WZW76" s="2198"/>
      <c r="WZX76" s="2198"/>
      <c r="WZY76" s="2198"/>
      <c r="WZZ76" s="2198"/>
      <c r="XAA76" s="2198"/>
      <c r="XAB76" s="2198"/>
      <c r="XAC76" s="2198"/>
      <c r="XAD76" s="2198"/>
      <c r="XAE76" s="2198"/>
      <c r="XAF76" s="2198"/>
      <c r="XAG76" s="2198"/>
      <c r="XAH76" s="2198"/>
      <c r="XAI76" s="2198"/>
      <c r="XAJ76" s="2198"/>
      <c r="XAK76" s="2198"/>
      <c r="XAL76" s="2198"/>
      <c r="XAM76" s="2198"/>
      <c r="XAN76" s="2198"/>
      <c r="XAO76" s="2198"/>
      <c r="XAP76" s="2198"/>
      <c r="XAQ76" s="2198"/>
      <c r="XAR76" s="2198"/>
      <c r="XAS76" s="2198"/>
      <c r="XAT76" s="2198"/>
      <c r="XAU76" s="2198"/>
      <c r="XAV76" s="2198"/>
      <c r="XAW76" s="2198"/>
      <c r="XAX76" s="2198"/>
      <c r="XAY76" s="2198"/>
      <c r="XAZ76" s="2198"/>
      <c r="XBA76" s="2198"/>
      <c r="XBB76" s="2198"/>
      <c r="XBC76" s="2198"/>
      <c r="XBD76" s="2198"/>
      <c r="XBE76" s="2198"/>
      <c r="XBF76" s="2198"/>
      <c r="XBG76" s="2198"/>
      <c r="XBH76" s="2198"/>
      <c r="XBI76" s="2198"/>
      <c r="XBJ76" s="2198"/>
      <c r="XBK76" s="2198"/>
      <c r="XBL76" s="2198"/>
      <c r="XBM76" s="2198"/>
      <c r="XBN76" s="2198"/>
      <c r="XBO76" s="2198"/>
      <c r="XBP76" s="2198"/>
      <c r="XBQ76" s="2198"/>
      <c r="XBR76" s="2198"/>
      <c r="XBS76" s="2198"/>
      <c r="XBT76" s="2198"/>
      <c r="XBU76" s="2198"/>
      <c r="XBV76" s="2198"/>
      <c r="XBW76" s="2198"/>
      <c r="XBX76" s="2198"/>
      <c r="XBY76" s="2198"/>
      <c r="XBZ76" s="2198"/>
      <c r="XCA76" s="2198"/>
      <c r="XCB76" s="2198"/>
      <c r="XCC76" s="2198"/>
      <c r="XCD76" s="2198"/>
      <c r="XCE76" s="2198"/>
      <c r="XCF76" s="2198"/>
      <c r="XCG76" s="2198"/>
      <c r="XCH76" s="2198"/>
      <c r="XCI76" s="2198"/>
      <c r="XCJ76" s="2198"/>
      <c r="XCK76" s="2198"/>
      <c r="XCL76" s="2198"/>
      <c r="XCM76" s="2198"/>
      <c r="XCN76" s="2198"/>
      <c r="XCO76" s="2198"/>
      <c r="XCP76" s="2198"/>
      <c r="XCQ76" s="2198"/>
      <c r="XCR76" s="2198"/>
      <c r="XCS76" s="2198"/>
      <c r="XCT76" s="2198"/>
      <c r="XCU76" s="2198"/>
      <c r="XCV76" s="2198"/>
      <c r="XCW76" s="2198"/>
      <c r="XCX76" s="2198"/>
      <c r="XCY76" s="2198"/>
      <c r="XCZ76" s="2198"/>
      <c r="XDA76" s="2198"/>
      <c r="XDB76" s="2198"/>
      <c r="XDC76" s="2198"/>
      <c r="XDD76" s="2198"/>
      <c r="XDE76" s="2198"/>
      <c r="XDF76" s="2198"/>
      <c r="XDG76" s="2198"/>
      <c r="XDH76" s="2198"/>
      <c r="XDI76" s="2198"/>
      <c r="XDJ76" s="2198"/>
      <c r="XDK76" s="2198"/>
      <c r="XDL76" s="2198"/>
      <c r="XDM76" s="2198"/>
      <c r="XDN76" s="2198"/>
      <c r="XDO76" s="2198"/>
      <c r="XDP76" s="2198"/>
      <c r="XDQ76" s="2198"/>
      <c r="XDR76" s="2198"/>
      <c r="XDS76" s="2198"/>
      <c r="XDT76" s="2198"/>
      <c r="XDU76" s="2198"/>
      <c r="XDV76" s="2198"/>
      <c r="XDW76" s="2198"/>
      <c r="XDX76" s="2198"/>
      <c r="XDY76" s="2198"/>
      <c r="XDZ76" s="2198"/>
      <c r="XEA76" s="2198"/>
      <c r="XEB76" s="2198"/>
      <c r="XEC76" s="2198"/>
      <c r="XED76" s="2198"/>
      <c r="XEE76" s="2198"/>
      <c r="XEF76" s="2198"/>
      <c r="XEG76" s="2198"/>
      <c r="XEH76" s="2198"/>
      <c r="XEI76" s="2198"/>
      <c r="XEJ76" s="2198"/>
      <c r="XEK76" s="2198"/>
      <c r="XEL76" s="2198"/>
      <c r="XEM76" s="2198"/>
      <c r="XEN76" s="2198"/>
      <c r="XEO76" s="2198"/>
      <c r="XEP76" s="2198"/>
      <c r="XEQ76" s="2198"/>
      <c r="XER76" s="2198"/>
      <c r="XES76" s="2198"/>
      <c r="XET76" s="2198"/>
      <c r="XEU76" s="2198"/>
      <c r="XEV76" s="2198"/>
      <c r="XEW76" s="2198"/>
      <c r="XEX76" s="2198"/>
      <c r="XEY76" s="2198"/>
      <c r="XEZ76" s="2198"/>
      <c r="XFA76" s="2198"/>
      <c r="XFB76" s="2198"/>
      <c r="XFC76" s="2198"/>
    </row>
    <row r="77" spans="2:16383" ht="15" x14ac:dyDescent="0.25">
      <c r="B77" s="2410"/>
      <c r="C77" s="2432" t="s">
        <v>1369</v>
      </c>
      <c r="D77" s="2415" t="s">
        <v>1365</v>
      </c>
      <c r="E77" s="2411" t="s">
        <v>319</v>
      </c>
      <c r="F77" s="2411"/>
      <c r="G77" s="2431">
        <v>336917.07185117406</v>
      </c>
      <c r="H77" s="2431">
        <v>335811.64174532465</v>
      </c>
      <c r="I77" s="2431">
        <v>336711.22783482139</v>
      </c>
      <c r="J77" s="2431">
        <v>336612.71223273507</v>
      </c>
      <c r="K77" s="2431">
        <v>335854.0563963509</v>
      </c>
      <c r="L77" s="2431">
        <v>334386.71708775917</v>
      </c>
      <c r="M77" s="2431">
        <v>331991.277752758</v>
      </c>
      <c r="N77" s="2431">
        <v>329693.06247415388</v>
      </c>
      <c r="O77" s="2431">
        <v>327490.85831922892</v>
      </c>
      <c r="P77" s="2431">
        <v>325306.0815874</v>
      </c>
      <c r="Q77" s="2431">
        <v>323033.36620890751</v>
      </c>
      <c r="R77" s="2431">
        <v>321226.06730952358</v>
      </c>
      <c r="S77" s="2431">
        <v>319787.06170224561</v>
      </c>
      <c r="T77" s="2431">
        <v>318640.14160718647</v>
      </c>
      <c r="U77" s="2431">
        <v>317725.2819542925</v>
      </c>
      <c r="V77" s="2431">
        <v>316995.05749235884</v>
      </c>
      <c r="W77" s="2431">
        <v>316411.90408532089</v>
      </c>
      <c r="X77" s="2431">
        <v>315946.00812985678</v>
      </c>
      <c r="Y77" s="2431">
        <v>315573.66885151499</v>
      </c>
      <c r="Z77" s="2431">
        <v>315276.02026027144</v>
      </c>
      <c r="AA77" s="2431">
        <v>315038.02906445431</v>
      </c>
      <c r="AB77" s="2431">
        <v>314847.70590509963</v>
      </c>
      <c r="AC77" s="2431">
        <v>314695.48252765986</v>
      </c>
      <c r="AD77" s="2431">
        <v>314573.71870952047</v>
      </c>
      <c r="AE77" s="2431">
        <v>314476.31109116087</v>
      </c>
      <c r="AF77" s="2431">
        <v>314398.38232293999</v>
      </c>
      <c r="AG77" s="2431">
        <v>314336.03369773895</v>
      </c>
      <c r="AH77" s="2431">
        <v>314286.14808576799</v>
      </c>
      <c r="AI77" s="2431">
        <v>314246.23280266934</v>
      </c>
      <c r="AJ77" s="2431">
        <v>314214.29422903294</v>
      </c>
      <c r="AK77" s="2431">
        <v>314188.73770777171</v>
      </c>
      <c r="AL77" s="2431">
        <v>314168.28758615389</v>
      </c>
      <c r="AM77" s="2431">
        <v>314151.92332491314</v>
      </c>
      <c r="AN77" s="2431">
        <v>314138.82843066222</v>
      </c>
      <c r="AO77" s="2431">
        <v>314128.34962817351</v>
      </c>
      <c r="AP77" s="2431">
        <v>314119.96421302843</v>
      </c>
      <c r="AQ77" s="2431">
        <v>314113.25394160481</v>
      </c>
      <c r="AR77" s="2431">
        <v>314107.88414679928</v>
      </c>
      <c r="AS77" s="2431">
        <v>314103.58703194419</v>
      </c>
      <c r="AT77" s="2198"/>
      <c r="AU77" s="2198"/>
      <c r="AV77" s="2198"/>
      <c r="AW77" s="2198"/>
      <c r="AX77" s="2198"/>
      <c r="AY77" s="2198"/>
      <c r="AZ77" s="2198"/>
      <c r="BA77" s="2198"/>
      <c r="BB77" s="2198"/>
      <c r="BC77" s="2198"/>
      <c r="BD77" s="2198"/>
      <c r="BE77" s="2198"/>
      <c r="BF77" s="2198"/>
      <c r="BG77" s="2198"/>
      <c r="BH77" s="2198"/>
      <c r="BI77" s="2198"/>
      <c r="BJ77" s="2198"/>
      <c r="BK77" s="2198"/>
      <c r="BL77" s="2198"/>
      <c r="BM77" s="2198"/>
      <c r="BN77" s="2198"/>
      <c r="BO77" s="2198"/>
      <c r="BP77" s="2198"/>
      <c r="BQ77" s="2198"/>
      <c r="BR77" s="2198"/>
      <c r="BS77" s="2198"/>
      <c r="BT77" s="2198"/>
      <c r="BU77" s="2198"/>
      <c r="BV77" s="2198"/>
      <c r="BW77" s="2198"/>
      <c r="BX77" s="2198"/>
      <c r="BY77" s="2198"/>
      <c r="BZ77" s="2198"/>
      <c r="CA77" s="2198"/>
      <c r="CB77" s="2198"/>
      <c r="CC77" s="2198"/>
      <c r="CD77" s="2198"/>
      <c r="CE77" s="2198"/>
      <c r="CF77" s="2198"/>
      <c r="CG77" s="2198"/>
      <c r="CH77" s="2198"/>
      <c r="CI77" s="2198"/>
      <c r="CJ77" s="2198"/>
      <c r="CK77" s="2198"/>
      <c r="CL77" s="2198"/>
      <c r="CM77" s="2198"/>
      <c r="CN77" s="2198"/>
      <c r="CO77" s="2198"/>
      <c r="CP77" s="2198"/>
      <c r="CQ77" s="2198"/>
      <c r="CR77" s="2198"/>
      <c r="CS77" s="2198"/>
      <c r="CT77" s="2198"/>
      <c r="CU77" s="2198"/>
      <c r="CV77" s="2198"/>
      <c r="CW77" s="2198"/>
      <c r="CX77" s="2198"/>
      <c r="CY77" s="2198"/>
      <c r="CZ77" s="2198"/>
      <c r="DA77" s="2198"/>
      <c r="DB77" s="2198"/>
      <c r="DC77" s="2198"/>
      <c r="DD77" s="2198"/>
      <c r="DE77" s="2198"/>
      <c r="DF77" s="2198"/>
      <c r="DG77" s="2198"/>
      <c r="DH77" s="2198"/>
      <c r="DI77" s="2198"/>
      <c r="DJ77" s="2198"/>
      <c r="DK77" s="2198"/>
      <c r="DL77" s="2198"/>
      <c r="DM77" s="2198"/>
      <c r="DN77" s="2198"/>
      <c r="DO77" s="2198"/>
      <c r="DP77" s="2198"/>
      <c r="DQ77" s="2198"/>
      <c r="DR77" s="2198"/>
      <c r="DS77" s="2198"/>
      <c r="DT77" s="2198"/>
      <c r="DU77" s="2198"/>
      <c r="DV77" s="2198"/>
      <c r="DW77" s="2198"/>
      <c r="DX77" s="2198"/>
      <c r="DY77" s="2198"/>
      <c r="DZ77" s="2198"/>
      <c r="EA77" s="2198"/>
      <c r="EB77" s="2198"/>
      <c r="EC77" s="2198"/>
      <c r="ED77" s="2198"/>
      <c r="EE77" s="2198"/>
      <c r="EF77" s="2198"/>
      <c r="EG77" s="2198"/>
      <c r="EH77" s="2198"/>
      <c r="EI77" s="2198"/>
      <c r="EJ77" s="2198"/>
      <c r="EK77" s="2198"/>
      <c r="EL77" s="2198"/>
      <c r="EM77" s="2198"/>
      <c r="EN77" s="2198"/>
      <c r="EO77" s="2198"/>
      <c r="EP77" s="2198"/>
      <c r="EQ77" s="2198"/>
      <c r="ER77" s="2198"/>
      <c r="ES77" s="2198"/>
      <c r="ET77" s="2198"/>
      <c r="EU77" s="2198"/>
      <c r="EV77" s="2198"/>
      <c r="EW77" s="2198"/>
      <c r="EX77" s="2198"/>
      <c r="EY77" s="2198"/>
      <c r="EZ77" s="2198"/>
      <c r="FA77" s="2198"/>
      <c r="FB77" s="2198"/>
      <c r="FC77" s="2198"/>
      <c r="FD77" s="2198"/>
      <c r="FE77" s="2198"/>
      <c r="FF77" s="2198"/>
      <c r="FG77" s="2198"/>
      <c r="FH77" s="2198"/>
      <c r="FI77" s="2198"/>
      <c r="FJ77" s="2198"/>
      <c r="FK77" s="2198"/>
      <c r="FL77" s="2198"/>
      <c r="FM77" s="2198"/>
      <c r="FN77" s="2198"/>
      <c r="FO77" s="2198"/>
      <c r="FP77" s="2198"/>
      <c r="FQ77" s="2198"/>
      <c r="FR77" s="2198"/>
      <c r="FS77" s="2198"/>
      <c r="FT77" s="2198"/>
      <c r="FU77" s="2198"/>
      <c r="FV77" s="2198"/>
      <c r="FW77" s="2198"/>
      <c r="FX77" s="2198"/>
      <c r="FY77" s="2198"/>
      <c r="FZ77" s="2198"/>
      <c r="GA77" s="2198"/>
      <c r="GB77" s="2198"/>
      <c r="GC77" s="2198"/>
      <c r="GD77" s="2198"/>
      <c r="GE77" s="2198"/>
      <c r="GF77" s="2198"/>
      <c r="GG77" s="2198"/>
      <c r="GH77" s="2198"/>
      <c r="GI77" s="2198"/>
      <c r="GJ77" s="2198"/>
      <c r="GK77" s="2198"/>
      <c r="GL77" s="2198"/>
      <c r="GM77" s="2198"/>
      <c r="GN77" s="2198"/>
      <c r="GO77" s="2198"/>
      <c r="GP77" s="2198"/>
      <c r="GQ77" s="2198"/>
      <c r="GR77" s="2198"/>
      <c r="GS77" s="2198"/>
      <c r="GT77" s="2198"/>
      <c r="GU77" s="2198"/>
      <c r="GV77" s="2198"/>
      <c r="GW77" s="2198"/>
      <c r="GX77" s="2198"/>
      <c r="GY77" s="2198"/>
      <c r="GZ77" s="2198"/>
      <c r="HA77" s="2198"/>
      <c r="HB77" s="2198"/>
      <c r="HC77" s="2198"/>
      <c r="HD77" s="2198"/>
      <c r="HE77" s="2198"/>
      <c r="HF77" s="2198"/>
      <c r="HG77" s="2198"/>
      <c r="HH77" s="2198"/>
      <c r="HI77" s="2198"/>
      <c r="HJ77" s="2198"/>
      <c r="HK77" s="2198"/>
      <c r="HL77" s="2198"/>
      <c r="HM77" s="2198"/>
      <c r="HN77" s="2198"/>
      <c r="HO77" s="2198"/>
      <c r="HP77" s="2198"/>
      <c r="HQ77" s="2198"/>
      <c r="HR77" s="2198"/>
      <c r="HS77" s="2198"/>
      <c r="HT77" s="2198"/>
      <c r="HU77" s="2198"/>
      <c r="HV77" s="2198"/>
      <c r="HW77" s="2198"/>
      <c r="HX77" s="2198"/>
      <c r="HY77" s="2198"/>
      <c r="HZ77" s="2198"/>
      <c r="IA77" s="2198"/>
      <c r="IB77" s="2198"/>
      <c r="IC77" s="2198"/>
      <c r="ID77" s="2198"/>
      <c r="IE77" s="2198"/>
      <c r="IF77" s="2198"/>
      <c r="IG77" s="2198"/>
      <c r="IH77" s="2198"/>
      <c r="II77" s="2198"/>
      <c r="IJ77" s="2198"/>
      <c r="IK77" s="2198"/>
      <c r="IL77" s="2198"/>
      <c r="IM77" s="2198"/>
      <c r="IN77" s="2198"/>
      <c r="IO77" s="2198"/>
      <c r="IP77" s="2198"/>
      <c r="IQ77" s="2198"/>
      <c r="IR77" s="2198"/>
      <c r="IS77" s="2198"/>
      <c r="IT77" s="2198"/>
      <c r="IU77" s="2198"/>
      <c r="IV77" s="2198"/>
      <c r="IW77" s="2198"/>
      <c r="IX77" s="2198"/>
      <c r="IY77" s="2198"/>
      <c r="IZ77" s="2198"/>
      <c r="JA77" s="2198"/>
      <c r="JB77" s="2198"/>
      <c r="JC77" s="2198"/>
      <c r="JD77" s="2198"/>
      <c r="JE77" s="2198"/>
      <c r="JF77" s="2198"/>
      <c r="JG77" s="2198"/>
      <c r="JH77" s="2198"/>
      <c r="JI77" s="2198"/>
      <c r="JJ77" s="2198"/>
      <c r="JK77" s="2198"/>
      <c r="JL77" s="2198"/>
      <c r="JM77" s="2198"/>
      <c r="JN77" s="2198"/>
      <c r="JO77" s="2198"/>
      <c r="JP77" s="2198"/>
      <c r="JQ77" s="2198"/>
      <c r="JR77" s="2198"/>
      <c r="JS77" s="2198"/>
      <c r="JT77" s="2198"/>
      <c r="JU77" s="2198"/>
      <c r="JV77" s="2198"/>
      <c r="JW77" s="2198"/>
      <c r="JX77" s="2198"/>
      <c r="JY77" s="2198"/>
      <c r="JZ77" s="2198"/>
      <c r="KA77" s="2198"/>
      <c r="KB77" s="2198"/>
      <c r="KC77" s="2198"/>
      <c r="KD77" s="2198"/>
      <c r="KE77" s="2198"/>
      <c r="KF77" s="2198"/>
      <c r="KG77" s="2198"/>
      <c r="KH77" s="2198"/>
      <c r="KI77" s="2198"/>
      <c r="KJ77" s="2198"/>
      <c r="KK77" s="2198"/>
      <c r="KL77" s="2198"/>
      <c r="KM77" s="2198"/>
      <c r="KN77" s="2198"/>
      <c r="KO77" s="2198"/>
      <c r="KP77" s="2198"/>
      <c r="KQ77" s="2198"/>
      <c r="KR77" s="2198"/>
      <c r="KS77" s="2198"/>
      <c r="KT77" s="2198"/>
      <c r="KU77" s="2198"/>
      <c r="KV77" s="2198"/>
      <c r="KW77" s="2198"/>
      <c r="KX77" s="2198"/>
      <c r="KY77" s="2198"/>
      <c r="KZ77" s="2198"/>
      <c r="LA77" s="2198"/>
      <c r="LB77" s="2198"/>
      <c r="LC77" s="2198"/>
      <c r="LD77" s="2198"/>
      <c r="LE77" s="2198"/>
      <c r="LF77" s="2198"/>
      <c r="LG77" s="2198"/>
      <c r="LH77" s="2198"/>
      <c r="LI77" s="2198"/>
      <c r="LJ77" s="2198"/>
      <c r="LK77" s="2198"/>
      <c r="LL77" s="2198"/>
      <c r="LM77" s="2198"/>
      <c r="LN77" s="2198"/>
      <c r="LO77" s="2198"/>
      <c r="LP77" s="2198"/>
      <c r="LQ77" s="2198"/>
      <c r="LR77" s="2198"/>
      <c r="LS77" s="2198"/>
      <c r="LT77" s="2198"/>
      <c r="LU77" s="2198"/>
      <c r="LV77" s="2198"/>
      <c r="LW77" s="2198"/>
      <c r="LX77" s="2198"/>
      <c r="LY77" s="2198"/>
      <c r="LZ77" s="2198"/>
      <c r="MA77" s="2198"/>
      <c r="MB77" s="2198"/>
      <c r="MC77" s="2198"/>
      <c r="MD77" s="2198"/>
      <c r="ME77" s="2198"/>
      <c r="MF77" s="2198"/>
      <c r="MG77" s="2198"/>
      <c r="MH77" s="2198"/>
      <c r="MI77" s="2198"/>
      <c r="MJ77" s="2198"/>
      <c r="MK77" s="2198"/>
      <c r="ML77" s="2198"/>
      <c r="MM77" s="2198"/>
      <c r="MN77" s="2198"/>
      <c r="MO77" s="2198"/>
      <c r="MP77" s="2198"/>
      <c r="MQ77" s="2198"/>
      <c r="MR77" s="2198"/>
      <c r="MS77" s="2198"/>
      <c r="MT77" s="2198"/>
      <c r="MU77" s="2198"/>
      <c r="MV77" s="2198"/>
      <c r="MW77" s="2198"/>
      <c r="MX77" s="2198"/>
      <c r="MY77" s="2198"/>
      <c r="MZ77" s="2198"/>
      <c r="NA77" s="2198"/>
      <c r="NB77" s="2198"/>
      <c r="NC77" s="2198"/>
      <c r="ND77" s="2198"/>
      <c r="NE77" s="2198"/>
      <c r="NF77" s="2198"/>
      <c r="NG77" s="2198"/>
      <c r="NH77" s="2198"/>
      <c r="NI77" s="2198"/>
      <c r="NJ77" s="2198"/>
      <c r="NK77" s="2198"/>
      <c r="NL77" s="2198"/>
      <c r="NM77" s="2198"/>
      <c r="NN77" s="2198"/>
      <c r="NO77" s="2198"/>
      <c r="NP77" s="2198"/>
      <c r="NQ77" s="2198"/>
      <c r="NR77" s="2198"/>
      <c r="NS77" s="2198"/>
      <c r="NT77" s="2198"/>
      <c r="NU77" s="2198"/>
      <c r="NV77" s="2198"/>
      <c r="NW77" s="2198"/>
      <c r="NX77" s="2198"/>
      <c r="NY77" s="2198"/>
      <c r="NZ77" s="2198"/>
      <c r="OA77" s="2198"/>
      <c r="OB77" s="2198"/>
      <c r="OC77" s="2198"/>
      <c r="OD77" s="2198"/>
      <c r="OE77" s="2198"/>
      <c r="OF77" s="2198"/>
      <c r="OG77" s="2198"/>
      <c r="OH77" s="2198"/>
      <c r="OI77" s="2198"/>
      <c r="OJ77" s="2198"/>
      <c r="OK77" s="2198"/>
      <c r="OL77" s="2198"/>
      <c r="OM77" s="2198"/>
      <c r="ON77" s="2198"/>
      <c r="OO77" s="2198"/>
      <c r="OP77" s="2198"/>
      <c r="OQ77" s="2198"/>
      <c r="OR77" s="2198"/>
      <c r="OS77" s="2198"/>
      <c r="OT77" s="2198"/>
      <c r="OU77" s="2198"/>
      <c r="OV77" s="2198"/>
      <c r="OW77" s="2198"/>
      <c r="OX77" s="2198"/>
      <c r="OY77" s="2198"/>
      <c r="OZ77" s="2198"/>
      <c r="PA77" s="2198"/>
      <c r="PB77" s="2198"/>
      <c r="PC77" s="2198"/>
      <c r="PD77" s="2198"/>
      <c r="PE77" s="2198"/>
      <c r="PF77" s="2198"/>
      <c r="PG77" s="2198"/>
      <c r="PH77" s="2198"/>
      <c r="PI77" s="2198"/>
      <c r="PJ77" s="2198"/>
      <c r="PK77" s="2198"/>
      <c r="PL77" s="2198"/>
      <c r="PM77" s="2198"/>
      <c r="PN77" s="2198"/>
      <c r="PO77" s="2198"/>
      <c r="PP77" s="2198"/>
      <c r="PQ77" s="2198"/>
      <c r="PR77" s="2198"/>
      <c r="PS77" s="2198"/>
      <c r="PT77" s="2198"/>
      <c r="PU77" s="2198"/>
      <c r="PV77" s="2198"/>
      <c r="PW77" s="2198"/>
      <c r="PX77" s="2198"/>
      <c r="PY77" s="2198"/>
      <c r="PZ77" s="2198"/>
      <c r="QA77" s="2198"/>
      <c r="QB77" s="2198"/>
      <c r="QC77" s="2198"/>
      <c r="QD77" s="2198"/>
      <c r="QE77" s="2198"/>
      <c r="QF77" s="2198"/>
      <c r="QG77" s="2198"/>
      <c r="QH77" s="2198"/>
      <c r="QI77" s="2198"/>
      <c r="QJ77" s="2198"/>
      <c r="QK77" s="2198"/>
      <c r="QL77" s="2198"/>
      <c r="QM77" s="2198"/>
      <c r="QN77" s="2198"/>
      <c r="QO77" s="2198"/>
      <c r="QP77" s="2198"/>
      <c r="QQ77" s="2198"/>
      <c r="QR77" s="2198"/>
      <c r="QS77" s="2198"/>
      <c r="QT77" s="2198"/>
      <c r="QU77" s="2198"/>
      <c r="QV77" s="2198"/>
      <c r="QW77" s="2198"/>
      <c r="QX77" s="2198"/>
      <c r="QY77" s="2198"/>
      <c r="QZ77" s="2198"/>
      <c r="RA77" s="2198"/>
      <c r="RB77" s="2198"/>
      <c r="RC77" s="2198"/>
      <c r="RD77" s="2198"/>
      <c r="RE77" s="2198"/>
      <c r="RF77" s="2198"/>
      <c r="RG77" s="2198"/>
      <c r="RH77" s="2198"/>
      <c r="RI77" s="2198"/>
      <c r="RJ77" s="2198"/>
      <c r="RK77" s="2198"/>
      <c r="RL77" s="2198"/>
      <c r="RM77" s="2198"/>
      <c r="RN77" s="2198"/>
      <c r="RO77" s="2198"/>
      <c r="RP77" s="2198"/>
      <c r="RQ77" s="2198"/>
      <c r="RR77" s="2198"/>
      <c r="RS77" s="2198"/>
      <c r="RT77" s="2198"/>
      <c r="RU77" s="2198"/>
      <c r="RV77" s="2198"/>
      <c r="RW77" s="2198"/>
      <c r="RX77" s="2198"/>
      <c r="RY77" s="2198"/>
      <c r="RZ77" s="2198"/>
      <c r="SA77" s="2198"/>
      <c r="SB77" s="2198"/>
      <c r="SC77" s="2198"/>
      <c r="SD77" s="2198"/>
      <c r="SE77" s="2198"/>
      <c r="SF77" s="2198"/>
      <c r="SG77" s="2198"/>
      <c r="SH77" s="2198"/>
      <c r="SI77" s="2198"/>
      <c r="SJ77" s="2198"/>
      <c r="SK77" s="2198"/>
      <c r="SL77" s="2198"/>
      <c r="SM77" s="2198"/>
      <c r="SN77" s="2198"/>
      <c r="SO77" s="2198"/>
      <c r="SP77" s="2198"/>
      <c r="SQ77" s="2198"/>
      <c r="SR77" s="2198"/>
      <c r="SS77" s="2198"/>
      <c r="ST77" s="2198"/>
      <c r="SU77" s="2198"/>
      <c r="SV77" s="2198"/>
      <c r="SW77" s="2198"/>
      <c r="SX77" s="2198"/>
      <c r="SY77" s="2198"/>
      <c r="SZ77" s="2198"/>
      <c r="TA77" s="2198"/>
      <c r="TB77" s="2198"/>
      <c r="TC77" s="2198"/>
      <c r="TD77" s="2198"/>
      <c r="TE77" s="2198"/>
      <c r="TF77" s="2198"/>
      <c r="TG77" s="2198"/>
      <c r="TH77" s="2198"/>
      <c r="TI77" s="2198"/>
      <c r="TJ77" s="2198"/>
      <c r="TK77" s="2198"/>
      <c r="TL77" s="2198"/>
      <c r="TM77" s="2198"/>
      <c r="TN77" s="2198"/>
      <c r="TO77" s="2198"/>
      <c r="TP77" s="2198"/>
      <c r="TQ77" s="2198"/>
      <c r="TR77" s="2198"/>
      <c r="TS77" s="2198"/>
      <c r="TT77" s="2198"/>
      <c r="TU77" s="2198"/>
      <c r="TV77" s="2198"/>
      <c r="TW77" s="2198"/>
      <c r="TX77" s="2198"/>
      <c r="TY77" s="2198"/>
      <c r="TZ77" s="2198"/>
      <c r="UA77" s="2198"/>
      <c r="UB77" s="2198"/>
      <c r="UC77" s="2198"/>
      <c r="UD77" s="2198"/>
      <c r="UE77" s="2198"/>
      <c r="UF77" s="2198"/>
      <c r="UG77" s="2198"/>
      <c r="UH77" s="2198"/>
      <c r="UI77" s="2198"/>
      <c r="UJ77" s="2198"/>
      <c r="UK77" s="2198"/>
      <c r="UL77" s="2198"/>
      <c r="UM77" s="2198"/>
      <c r="UN77" s="2198"/>
      <c r="UO77" s="2198"/>
      <c r="UP77" s="2198"/>
      <c r="UQ77" s="2198"/>
      <c r="UR77" s="2198"/>
      <c r="US77" s="2198"/>
      <c r="UT77" s="2198"/>
      <c r="UU77" s="2198"/>
      <c r="UV77" s="2198"/>
      <c r="UW77" s="2198"/>
      <c r="UX77" s="2198"/>
      <c r="UY77" s="2198"/>
      <c r="UZ77" s="2198"/>
      <c r="VA77" s="2198"/>
      <c r="VB77" s="2198"/>
      <c r="VC77" s="2198"/>
      <c r="VD77" s="2198"/>
      <c r="VE77" s="2198"/>
      <c r="VF77" s="2198"/>
      <c r="VG77" s="2198"/>
      <c r="VH77" s="2198"/>
      <c r="VI77" s="2198"/>
      <c r="VJ77" s="2198"/>
      <c r="VK77" s="2198"/>
      <c r="VL77" s="2198"/>
      <c r="VM77" s="2198"/>
      <c r="VN77" s="2198"/>
      <c r="VO77" s="2198"/>
      <c r="VP77" s="2198"/>
      <c r="VQ77" s="2198"/>
      <c r="VR77" s="2198"/>
      <c r="VS77" s="2198"/>
      <c r="VT77" s="2198"/>
      <c r="VU77" s="2198"/>
      <c r="VV77" s="2198"/>
      <c r="VW77" s="2198"/>
      <c r="VX77" s="2198"/>
      <c r="VY77" s="2198"/>
      <c r="VZ77" s="2198"/>
      <c r="WA77" s="2198"/>
      <c r="WB77" s="2198"/>
      <c r="WC77" s="2198"/>
      <c r="WD77" s="2198"/>
      <c r="WE77" s="2198"/>
      <c r="WF77" s="2198"/>
      <c r="WG77" s="2198"/>
      <c r="WH77" s="2198"/>
      <c r="WI77" s="2198"/>
      <c r="WJ77" s="2198"/>
      <c r="WK77" s="2198"/>
      <c r="WL77" s="2198"/>
      <c r="WM77" s="2198"/>
      <c r="WN77" s="2198"/>
      <c r="WO77" s="2198"/>
      <c r="WP77" s="2198"/>
      <c r="WQ77" s="2198"/>
      <c r="WR77" s="2198"/>
      <c r="WS77" s="2198"/>
      <c r="WT77" s="2198"/>
      <c r="WU77" s="2198"/>
      <c r="WV77" s="2198"/>
      <c r="WW77" s="2198"/>
      <c r="WX77" s="2198"/>
      <c r="WY77" s="2198"/>
      <c r="WZ77" s="2198"/>
      <c r="XA77" s="2198"/>
      <c r="XB77" s="2198"/>
      <c r="XC77" s="2198"/>
      <c r="XD77" s="2198"/>
      <c r="XE77" s="2198"/>
      <c r="XF77" s="2198"/>
      <c r="XG77" s="2198"/>
      <c r="XH77" s="2198"/>
      <c r="XI77" s="2198"/>
      <c r="XJ77" s="2198"/>
      <c r="XK77" s="2198"/>
      <c r="XL77" s="2198"/>
      <c r="XM77" s="2198"/>
      <c r="XN77" s="2198"/>
      <c r="XO77" s="2198"/>
      <c r="XP77" s="2198"/>
      <c r="XQ77" s="2198"/>
      <c r="XR77" s="2198"/>
      <c r="XS77" s="2198"/>
      <c r="XT77" s="2198"/>
      <c r="XU77" s="2198"/>
      <c r="XV77" s="2198"/>
      <c r="XW77" s="2198"/>
      <c r="XX77" s="2198"/>
      <c r="XY77" s="2198"/>
      <c r="XZ77" s="2198"/>
      <c r="YA77" s="2198"/>
      <c r="YB77" s="2198"/>
      <c r="YC77" s="2198"/>
      <c r="YD77" s="2198"/>
      <c r="YE77" s="2198"/>
      <c r="YF77" s="2198"/>
      <c r="YG77" s="2198"/>
      <c r="YH77" s="2198"/>
      <c r="YI77" s="2198"/>
      <c r="YJ77" s="2198"/>
      <c r="YK77" s="2198"/>
      <c r="YL77" s="2198"/>
      <c r="YM77" s="2198"/>
      <c r="YN77" s="2198"/>
      <c r="YO77" s="2198"/>
      <c r="YP77" s="2198"/>
      <c r="YQ77" s="2198"/>
      <c r="YR77" s="2198"/>
      <c r="YS77" s="2198"/>
      <c r="YT77" s="2198"/>
      <c r="YU77" s="2198"/>
      <c r="YV77" s="2198"/>
      <c r="YW77" s="2198"/>
      <c r="YX77" s="2198"/>
      <c r="YY77" s="2198"/>
      <c r="YZ77" s="2198"/>
      <c r="ZA77" s="2198"/>
      <c r="ZB77" s="2198"/>
      <c r="ZC77" s="2198"/>
      <c r="ZD77" s="2198"/>
      <c r="ZE77" s="2198"/>
      <c r="ZF77" s="2198"/>
      <c r="ZG77" s="2198"/>
      <c r="ZH77" s="2198"/>
      <c r="ZI77" s="2198"/>
      <c r="ZJ77" s="2198"/>
      <c r="ZK77" s="2198"/>
      <c r="ZL77" s="2198"/>
      <c r="ZM77" s="2198"/>
      <c r="ZN77" s="2198"/>
      <c r="ZO77" s="2198"/>
      <c r="ZP77" s="2198"/>
      <c r="ZQ77" s="2198"/>
      <c r="ZR77" s="2198"/>
      <c r="ZS77" s="2198"/>
      <c r="ZT77" s="2198"/>
      <c r="ZU77" s="2198"/>
      <c r="ZV77" s="2198"/>
      <c r="ZW77" s="2198"/>
      <c r="ZX77" s="2198"/>
      <c r="ZY77" s="2198"/>
      <c r="ZZ77" s="2198"/>
      <c r="AAA77" s="2198"/>
      <c r="AAB77" s="2198"/>
      <c r="AAC77" s="2198"/>
      <c r="AAD77" s="2198"/>
      <c r="AAE77" s="2198"/>
      <c r="AAF77" s="2198"/>
      <c r="AAG77" s="2198"/>
      <c r="AAH77" s="2198"/>
      <c r="AAI77" s="2198"/>
      <c r="AAJ77" s="2198"/>
      <c r="AAK77" s="2198"/>
      <c r="AAL77" s="2198"/>
      <c r="AAM77" s="2198"/>
      <c r="AAN77" s="2198"/>
      <c r="AAO77" s="2198"/>
      <c r="AAP77" s="2198"/>
      <c r="AAQ77" s="2198"/>
      <c r="AAR77" s="2198"/>
      <c r="AAS77" s="2198"/>
      <c r="AAT77" s="2198"/>
      <c r="AAU77" s="2198"/>
      <c r="AAV77" s="2198"/>
      <c r="AAW77" s="2198"/>
      <c r="AAX77" s="2198"/>
      <c r="AAY77" s="2198"/>
      <c r="AAZ77" s="2198"/>
      <c r="ABA77" s="2198"/>
      <c r="ABB77" s="2198"/>
      <c r="ABC77" s="2198"/>
      <c r="ABD77" s="2198"/>
      <c r="ABE77" s="2198"/>
      <c r="ABF77" s="2198"/>
      <c r="ABG77" s="2198"/>
      <c r="ABH77" s="2198"/>
      <c r="ABI77" s="2198"/>
      <c r="ABJ77" s="2198"/>
      <c r="ABK77" s="2198"/>
      <c r="ABL77" s="2198"/>
      <c r="ABM77" s="2198"/>
      <c r="ABN77" s="2198"/>
      <c r="ABO77" s="2198"/>
      <c r="ABP77" s="2198"/>
      <c r="ABQ77" s="2198"/>
      <c r="ABR77" s="2198"/>
      <c r="ABS77" s="2198"/>
      <c r="ABT77" s="2198"/>
      <c r="ABU77" s="2198"/>
      <c r="ABV77" s="2198"/>
      <c r="ABW77" s="2198"/>
      <c r="ABX77" s="2198"/>
      <c r="ABY77" s="2198"/>
      <c r="ABZ77" s="2198"/>
      <c r="ACA77" s="2198"/>
      <c r="ACB77" s="2198"/>
      <c r="ACC77" s="2198"/>
      <c r="ACD77" s="2198"/>
      <c r="ACE77" s="2198"/>
      <c r="ACF77" s="2198"/>
      <c r="ACG77" s="2198"/>
      <c r="ACH77" s="2198"/>
      <c r="ACI77" s="2198"/>
      <c r="ACJ77" s="2198"/>
      <c r="ACK77" s="2198"/>
      <c r="ACL77" s="2198"/>
      <c r="ACM77" s="2198"/>
      <c r="ACN77" s="2198"/>
      <c r="ACO77" s="2198"/>
      <c r="ACP77" s="2198"/>
      <c r="ACQ77" s="2198"/>
      <c r="ACR77" s="2198"/>
      <c r="ACS77" s="2198"/>
      <c r="ACT77" s="2198"/>
      <c r="ACU77" s="2198"/>
      <c r="ACV77" s="2198"/>
      <c r="ACW77" s="2198"/>
      <c r="ACX77" s="2198"/>
      <c r="ACY77" s="2198"/>
      <c r="ACZ77" s="2198"/>
      <c r="ADA77" s="2198"/>
      <c r="ADB77" s="2198"/>
      <c r="ADC77" s="2198"/>
      <c r="ADD77" s="2198"/>
      <c r="ADE77" s="2198"/>
      <c r="ADF77" s="2198"/>
      <c r="ADG77" s="2198"/>
      <c r="ADH77" s="2198"/>
      <c r="ADI77" s="2198"/>
      <c r="ADJ77" s="2198"/>
      <c r="ADK77" s="2198"/>
      <c r="ADL77" s="2198"/>
      <c r="ADM77" s="2198"/>
      <c r="ADN77" s="2198"/>
      <c r="ADO77" s="2198"/>
      <c r="ADP77" s="2198"/>
      <c r="ADQ77" s="2198"/>
      <c r="ADR77" s="2198"/>
      <c r="ADS77" s="2198"/>
      <c r="ADT77" s="2198"/>
      <c r="ADU77" s="2198"/>
      <c r="ADV77" s="2198"/>
      <c r="ADW77" s="2198"/>
      <c r="ADX77" s="2198"/>
      <c r="ADY77" s="2198"/>
      <c r="ADZ77" s="2198"/>
      <c r="AEA77" s="2198"/>
      <c r="AEB77" s="2198"/>
      <c r="AEC77" s="2198"/>
      <c r="AED77" s="2198"/>
      <c r="AEE77" s="2198"/>
      <c r="AEF77" s="2198"/>
      <c r="AEG77" s="2198"/>
      <c r="AEH77" s="2198"/>
      <c r="AEI77" s="2198"/>
      <c r="AEJ77" s="2198"/>
      <c r="AEK77" s="2198"/>
      <c r="AEL77" s="2198"/>
      <c r="AEM77" s="2198"/>
      <c r="AEN77" s="2198"/>
      <c r="AEO77" s="2198"/>
      <c r="AEP77" s="2198"/>
      <c r="AEQ77" s="2198"/>
      <c r="AER77" s="2198"/>
      <c r="AES77" s="2198"/>
      <c r="AET77" s="2198"/>
      <c r="AEU77" s="2198"/>
      <c r="AEV77" s="2198"/>
      <c r="AEW77" s="2198"/>
      <c r="AEX77" s="2198"/>
      <c r="AEY77" s="2198"/>
      <c r="AEZ77" s="2198"/>
      <c r="AFA77" s="2198"/>
      <c r="AFB77" s="2198"/>
      <c r="AFC77" s="2198"/>
      <c r="AFD77" s="2198"/>
      <c r="AFE77" s="2198"/>
      <c r="AFF77" s="2198"/>
      <c r="AFG77" s="2198"/>
      <c r="AFH77" s="2198"/>
      <c r="AFI77" s="2198"/>
      <c r="AFJ77" s="2198"/>
      <c r="AFK77" s="2198"/>
      <c r="AFL77" s="2198"/>
      <c r="AFM77" s="2198"/>
      <c r="AFN77" s="2198"/>
      <c r="AFO77" s="2198"/>
      <c r="AFP77" s="2198"/>
      <c r="AFQ77" s="2198"/>
      <c r="AFR77" s="2198"/>
      <c r="AFS77" s="2198"/>
      <c r="AFT77" s="2198"/>
      <c r="AFU77" s="2198"/>
      <c r="AFV77" s="2198"/>
      <c r="AFW77" s="2198"/>
      <c r="AFX77" s="2198"/>
      <c r="AFY77" s="2198"/>
      <c r="AFZ77" s="2198"/>
      <c r="AGA77" s="2198"/>
      <c r="AGB77" s="2198"/>
      <c r="AGC77" s="2198"/>
      <c r="AGD77" s="2198"/>
      <c r="AGE77" s="2198"/>
      <c r="AGF77" s="2198"/>
      <c r="AGG77" s="2198"/>
      <c r="AGH77" s="2198"/>
      <c r="AGI77" s="2198"/>
      <c r="AGJ77" s="2198"/>
      <c r="AGK77" s="2198"/>
      <c r="AGL77" s="2198"/>
      <c r="AGM77" s="2198"/>
      <c r="AGN77" s="2198"/>
      <c r="AGO77" s="2198"/>
      <c r="AGP77" s="2198"/>
      <c r="AGQ77" s="2198"/>
      <c r="AGR77" s="2198"/>
      <c r="AGS77" s="2198"/>
      <c r="AGT77" s="2198"/>
      <c r="AGU77" s="2198"/>
      <c r="AGV77" s="2198"/>
      <c r="AGW77" s="2198"/>
      <c r="AGX77" s="2198"/>
      <c r="AGY77" s="2198"/>
      <c r="AGZ77" s="2198"/>
      <c r="AHA77" s="2198"/>
      <c r="AHB77" s="2198"/>
      <c r="AHC77" s="2198"/>
      <c r="AHD77" s="2198"/>
      <c r="AHE77" s="2198"/>
      <c r="AHF77" s="2198"/>
      <c r="AHG77" s="2198"/>
      <c r="AHH77" s="2198"/>
      <c r="AHI77" s="2198"/>
      <c r="AHJ77" s="2198"/>
      <c r="AHK77" s="2198"/>
      <c r="AHL77" s="2198"/>
      <c r="AHM77" s="2198"/>
      <c r="AHN77" s="2198"/>
      <c r="AHO77" s="2198"/>
      <c r="AHP77" s="2198"/>
      <c r="AHQ77" s="2198"/>
      <c r="AHR77" s="2198"/>
      <c r="AHS77" s="2198"/>
      <c r="AHT77" s="2198"/>
      <c r="AHU77" s="2198"/>
      <c r="AHV77" s="2198"/>
      <c r="AHW77" s="2198"/>
      <c r="AHX77" s="2198"/>
      <c r="AHY77" s="2198"/>
      <c r="AHZ77" s="2198"/>
      <c r="AIA77" s="2198"/>
      <c r="AIB77" s="2198"/>
      <c r="AIC77" s="2198"/>
      <c r="AID77" s="2198"/>
      <c r="AIE77" s="2198"/>
      <c r="AIF77" s="2198"/>
      <c r="AIG77" s="2198"/>
      <c r="AIH77" s="2198"/>
      <c r="AII77" s="2198"/>
      <c r="AIJ77" s="2198"/>
      <c r="AIK77" s="2198"/>
      <c r="AIL77" s="2198"/>
      <c r="AIM77" s="2198"/>
      <c r="AIN77" s="2198"/>
      <c r="AIO77" s="2198"/>
      <c r="AIP77" s="2198"/>
      <c r="AIQ77" s="2198"/>
      <c r="AIR77" s="2198"/>
      <c r="AIS77" s="2198"/>
      <c r="AIT77" s="2198"/>
      <c r="AIU77" s="2198"/>
      <c r="AIV77" s="2198"/>
      <c r="AIW77" s="2198"/>
      <c r="AIX77" s="2198"/>
      <c r="AIY77" s="2198"/>
      <c r="AIZ77" s="2198"/>
      <c r="AJA77" s="2198"/>
      <c r="AJB77" s="2198"/>
      <c r="AJC77" s="2198"/>
      <c r="AJD77" s="2198"/>
      <c r="AJE77" s="2198"/>
      <c r="AJF77" s="2198"/>
      <c r="AJG77" s="2198"/>
      <c r="AJH77" s="2198"/>
      <c r="AJI77" s="2198"/>
      <c r="AJJ77" s="2198"/>
      <c r="AJK77" s="2198"/>
      <c r="AJL77" s="2198"/>
      <c r="AJM77" s="2198"/>
      <c r="AJN77" s="2198"/>
      <c r="AJO77" s="2198"/>
      <c r="AJP77" s="2198"/>
      <c r="AJQ77" s="2198"/>
      <c r="AJR77" s="2198"/>
      <c r="AJS77" s="2198"/>
      <c r="AJT77" s="2198"/>
      <c r="AJU77" s="2198"/>
      <c r="AJV77" s="2198"/>
      <c r="AJW77" s="2198"/>
      <c r="AJX77" s="2198"/>
      <c r="AJY77" s="2198"/>
      <c r="AJZ77" s="2198"/>
      <c r="AKA77" s="2198"/>
      <c r="AKB77" s="2198"/>
      <c r="AKC77" s="2198"/>
      <c r="AKD77" s="2198"/>
      <c r="AKE77" s="2198"/>
      <c r="AKF77" s="2198"/>
      <c r="AKG77" s="2198"/>
      <c r="AKH77" s="2198"/>
      <c r="AKI77" s="2198"/>
      <c r="AKJ77" s="2198"/>
      <c r="AKK77" s="2198"/>
      <c r="AKL77" s="2198"/>
      <c r="AKM77" s="2198"/>
      <c r="AKN77" s="2198"/>
      <c r="AKO77" s="2198"/>
      <c r="AKP77" s="2198"/>
      <c r="AKQ77" s="2198"/>
      <c r="AKR77" s="2198"/>
      <c r="AKS77" s="2198"/>
      <c r="AKT77" s="2198"/>
      <c r="AKU77" s="2198"/>
      <c r="AKV77" s="2198"/>
      <c r="AKW77" s="2198"/>
      <c r="AKX77" s="2198"/>
      <c r="AKY77" s="2198"/>
      <c r="AKZ77" s="2198"/>
      <c r="ALA77" s="2198"/>
      <c r="ALB77" s="2198"/>
      <c r="ALC77" s="2198"/>
      <c r="ALD77" s="2198"/>
      <c r="ALE77" s="2198"/>
      <c r="ALF77" s="2198"/>
      <c r="ALG77" s="2198"/>
      <c r="ALH77" s="2198"/>
      <c r="ALI77" s="2198"/>
      <c r="ALJ77" s="2198"/>
      <c r="ALK77" s="2198"/>
      <c r="ALL77" s="2198"/>
      <c r="ALM77" s="2198"/>
      <c r="ALN77" s="2198"/>
      <c r="ALO77" s="2198"/>
      <c r="ALP77" s="2198"/>
      <c r="ALQ77" s="2198"/>
      <c r="ALR77" s="2198"/>
      <c r="ALS77" s="2198"/>
      <c r="ALT77" s="2198"/>
      <c r="ALU77" s="2198"/>
      <c r="ALV77" s="2198"/>
      <c r="ALW77" s="2198"/>
      <c r="ALX77" s="2198"/>
      <c r="ALY77" s="2198"/>
      <c r="ALZ77" s="2198"/>
      <c r="AMA77" s="2198"/>
      <c r="AMB77" s="2198"/>
      <c r="AMC77" s="2198"/>
      <c r="AMD77" s="2198"/>
      <c r="AME77" s="2198"/>
      <c r="AMF77" s="2198"/>
      <c r="AMG77" s="2198"/>
      <c r="AMH77" s="2198"/>
      <c r="AMI77" s="2198"/>
      <c r="AMJ77" s="2198"/>
      <c r="AMK77" s="2198"/>
      <c r="AML77" s="2198"/>
      <c r="AMM77" s="2198"/>
      <c r="AMN77" s="2198"/>
      <c r="AMO77" s="2198"/>
      <c r="AMP77" s="2198"/>
      <c r="AMQ77" s="2198"/>
      <c r="AMR77" s="2198"/>
      <c r="AMS77" s="2198"/>
      <c r="AMT77" s="2198"/>
      <c r="AMU77" s="2198"/>
      <c r="AMV77" s="2198"/>
      <c r="AMW77" s="2198"/>
      <c r="AMX77" s="2198"/>
      <c r="AMY77" s="2198"/>
      <c r="AMZ77" s="2198"/>
      <c r="ANA77" s="2198"/>
      <c r="ANB77" s="2198"/>
      <c r="ANC77" s="2198"/>
      <c r="AND77" s="2198"/>
      <c r="ANE77" s="2198"/>
      <c r="ANF77" s="2198"/>
      <c r="ANG77" s="2198"/>
      <c r="ANH77" s="2198"/>
      <c r="ANI77" s="2198"/>
      <c r="ANJ77" s="2198"/>
      <c r="ANK77" s="2198"/>
      <c r="ANL77" s="2198"/>
      <c r="ANM77" s="2198"/>
      <c r="ANN77" s="2198"/>
      <c r="ANO77" s="2198"/>
      <c r="ANP77" s="2198"/>
      <c r="ANQ77" s="2198"/>
      <c r="ANR77" s="2198"/>
      <c r="ANS77" s="2198"/>
      <c r="ANT77" s="2198"/>
      <c r="ANU77" s="2198"/>
      <c r="ANV77" s="2198"/>
      <c r="ANW77" s="2198"/>
      <c r="ANX77" s="2198"/>
      <c r="ANY77" s="2198"/>
      <c r="ANZ77" s="2198"/>
      <c r="AOA77" s="2198"/>
      <c r="AOB77" s="2198"/>
      <c r="AOC77" s="2198"/>
      <c r="AOD77" s="2198"/>
      <c r="AOE77" s="2198"/>
      <c r="AOF77" s="2198"/>
      <c r="AOG77" s="2198"/>
      <c r="AOH77" s="2198"/>
      <c r="AOI77" s="2198"/>
      <c r="AOJ77" s="2198"/>
      <c r="AOK77" s="2198"/>
      <c r="AOL77" s="2198"/>
      <c r="AOM77" s="2198"/>
      <c r="AON77" s="2198"/>
      <c r="AOO77" s="2198"/>
      <c r="AOP77" s="2198"/>
      <c r="AOQ77" s="2198"/>
      <c r="AOR77" s="2198"/>
      <c r="AOS77" s="2198"/>
      <c r="AOT77" s="2198"/>
      <c r="AOU77" s="2198"/>
      <c r="AOV77" s="2198"/>
      <c r="AOW77" s="2198"/>
      <c r="AOX77" s="2198"/>
      <c r="AOY77" s="2198"/>
      <c r="AOZ77" s="2198"/>
      <c r="APA77" s="2198"/>
      <c r="APB77" s="2198"/>
      <c r="APC77" s="2198"/>
      <c r="APD77" s="2198"/>
      <c r="APE77" s="2198"/>
      <c r="APF77" s="2198"/>
      <c r="APG77" s="2198"/>
      <c r="APH77" s="2198"/>
      <c r="API77" s="2198"/>
      <c r="APJ77" s="2198"/>
      <c r="APK77" s="2198"/>
      <c r="APL77" s="2198"/>
      <c r="APM77" s="2198"/>
      <c r="APN77" s="2198"/>
      <c r="APO77" s="2198"/>
      <c r="APP77" s="2198"/>
      <c r="APQ77" s="2198"/>
      <c r="APR77" s="2198"/>
      <c r="APS77" s="2198"/>
      <c r="APT77" s="2198"/>
      <c r="APU77" s="2198"/>
      <c r="APV77" s="2198"/>
      <c r="APW77" s="2198"/>
      <c r="APX77" s="2198"/>
      <c r="APY77" s="2198"/>
      <c r="APZ77" s="2198"/>
      <c r="AQA77" s="2198"/>
      <c r="AQB77" s="2198"/>
      <c r="AQC77" s="2198"/>
      <c r="AQD77" s="2198"/>
      <c r="AQE77" s="2198"/>
      <c r="AQF77" s="2198"/>
      <c r="AQG77" s="2198"/>
      <c r="AQH77" s="2198"/>
      <c r="AQI77" s="2198"/>
      <c r="AQJ77" s="2198"/>
      <c r="AQK77" s="2198"/>
      <c r="AQL77" s="2198"/>
      <c r="AQM77" s="2198"/>
      <c r="AQN77" s="2198"/>
      <c r="AQO77" s="2198"/>
      <c r="AQP77" s="2198"/>
      <c r="AQQ77" s="2198"/>
      <c r="AQR77" s="2198"/>
      <c r="AQS77" s="2198"/>
      <c r="AQT77" s="2198"/>
      <c r="AQU77" s="2198"/>
      <c r="AQV77" s="2198"/>
      <c r="AQW77" s="2198"/>
      <c r="AQX77" s="2198"/>
      <c r="AQY77" s="2198"/>
      <c r="AQZ77" s="2198"/>
      <c r="ARA77" s="2198"/>
      <c r="ARB77" s="2198"/>
      <c r="ARC77" s="2198"/>
      <c r="ARD77" s="2198"/>
      <c r="ARE77" s="2198"/>
      <c r="ARF77" s="2198"/>
      <c r="ARG77" s="2198"/>
      <c r="ARH77" s="2198"/>
      <c r="ARI77" s="2198"/>
      <c r="ARJ77" s="2198"/>
      <c r="ARK77" s="2198"/>
      <c r="ARL77" s="2198"/>
      <c r="ARM77" s="2198"/>
      <c r="ARN77" s="2198"/>
      <c r="ARO77" s="2198"/>
      <c r="ARP77" s="2198"/>
      <c r="ARQ77" s="2198"/>
      <c r="ARR77" s="2198"/>
      <c r="ARS77" s="2198"/>
      <c r="ART77" s="2198"/>
      <c r="ARU77" s="2198"/>
      <c r="ARV77" s="2198"/>
      <c r="ARW77" s="2198"/>
      <c r="ARX77" s="2198"/>
      <c r="ARY77" s="2198"/>
      <c r="ARZ77" s="2198"/>
      <c r="ASA77" s="2198"/>
      <c r="ASB77" s="2198"/>
      <c r="ASC77" s="2198"/>
      <c r="ASD77" s="2198"/>
      <c r="ASE77" s="2198"/>
      <c r="ASF77" s="2198"/>
      <c r="ASG77" s="2198"/>
      <c r="ASH77" s="2198"/>
      <c r="ASI77" s="2198"/>
      <c r="ASJ77" s="2198"/>
      <c r="ASK77" s="2198"/>
      <c r="ASL77" s="2198"/>
      <c r="ASM77" s="2198"/>
      <c r="ASN77" s="2198"/>
      <c r="ASO77" s="2198"/>
      <c r="ASP77" s="2198"/>
      <c r="ASQ77" s="2198"/>
      <c r="ASR77" s="2198"/>
      <c r="ASS77" s="2198"/>
      <c r="AST77" s="2198"/>
      <c r="ASU77" s="2198"/>
      <c r="ASV77" s="2198"/>
      <c r="ASW77" s="2198"/>
      <c r="ASX77" s="2198"/>
      <c r="ASY77" s="2198"/>
      <c r="ASZ77" s="2198"/>
      <c r="ATA77" s="2198"/>
      <c r="ATB77" s="2198"/>
      <c r="ATC77" s="2198"/>
      <c r="ATD77" s="2198"/>
      <c r="ATE77" s="2198"/>
      <c r="ATF77" s="2198"/>
      <c r="ATG77" s="2198"/>
      <c r="ATH77" s="2198"/>
      <c r="ATI77" s="2198"/>
      <c r="ATJ77" s="2198"/>
      <c r="ATK77" s="2198"/>
      <c r="ATL77" s="2198"/>
      <c r="ATM77" s="2198"/>
      <c r="ATN77" s="2198"/>
      <c r="ATO77" s="2198"/>
      <c r="ATP77" s="2198"/>
      <c r="ATQ77" s="2198"/>
      <c r="ATR77" s="2198"/>
      <c r="ATS77" s="2198"/>
      <c r="ATT77" s="2198"/>
      <c r="ATU77" s="2198"/>
      <c r="ATV77" s="2198"/>
      <c r="ATW77" s="2198"/>
      <c r="ATX77" s="2198"/>
      <c r="ATY77" s="2198"/>
      <c r="ATZ77" s="2198"/>
      <c r="AUA77" s="2198"/>
      <c r="AUB77" s="2198"/>
      <c r="AUC77" s="2198"/>
      <c r="AUD77" s="2198"/>
      <c r="AUE77" s="2198"/>
      <c r="AUF77" s="2198"/>
      <c r="AUG77" s="2198"/>
      <c r="AUH77" s="2198"/>
      <c r="AUI77" s="2198"/>
      <c r="AUJ77" s="2198"/>
      <c r="AUK77" s="2198"/>
      <c r="AUL77" s="2198"/>
      <c r="AUM77" s="2198"/>
      <c r="AUN77" s="2198"/>
      <c r="AUO77" s="2198"/>
      <c r="AUP77" s="2198"/>
      <c r="AUQ77" s="2198"/>
      <c r="AUR77" s="2198"/>
      <c r="AUS77" s="2198"/>
      <c r="AUT77" s="2198"/>
      <c r="AUU77" s="2198"/>
      <c r="AUV77" s="2198"/>
      <c r="AUW77" s="2198"/>
      <c r="AUX77" s="2198"/>
      <c r="AUY77" s="2198"/>
      <c r="AUZ77" s="2198"/>
      <c r="AVA77" s="2198"/>
      <c r="AVB77" s="2198"/>
      <c r="AVC77" s="2198"/>
      <c r="AVD77" s="2198"/>
      <c r="AVE77" s="2198"/>
      <c r="AVF77" s="2198"/>
      <c r="AVG77" s="2198"/>
      <c r="AVH77" s="2198"/>
      <c r="AVI77" s="2198"/>
      <c r="AVJ77" s="2198"/>
      <c r="AVK77" s="2198"/>
      <c r="AVL77" s="2198"/>
      <c r="AVM77" s="2198"/>
      <c r="AVN77" s="2198"/>
      <c r="AVO77" s="2198"/>
      <c r="AVP77" s="2198"/>
      <c r="AVQ77" s="2198"/>
      <c r="AVR77" s="2198"/>
      <c r="AVS77" s="2198"/>
      <c r="AVT77" s="2198"/>
      <c r="AVU77" s="2198"/>
      <c r="AVV77" s="2198"/>
      <c r="AVW77" s="2198"/>
      <c r="AVX77" s="2198"/>
      <c r="AVY77" s="2198"/>
      <c r="AVZ77" s="2198"/>
      <c r="AWA77" s="2198"/>
      <c r="AWB77" s="2198"/>
      <c r="AWC77" s="2198"/>
      <c r="AWD77" s="2198"/>
      <c r="AWE77" s="2198"/>
      <c r="AWF77" s="2198"/>
      <c r="AWG77" s="2198"/>
      <c r="AWH77" s="2198"/>
      <c r="AWI77" s="2198"/>
      <c r="AWJ77" s="2198"/>
      <c r="AWK77" s="2198"/>
      <c r="AWL77" s="2198"/>
      <c r="AWM77" s="2198"/>
      <c r="AWN77" s="2198"/>
      <c r="AWO77" s="2198"/>
      <c r="AWP77" s="2198"/>
      <c r="AWQ77" s="2198"/>
      <c r="AWR77" s="2198"/>
      <c r="AWS77" s="2198"/>
      <c r="AWT77" s="2198"/>
      <c r="AWU77" s="2198"/>
      <c r="AWV77" s="2198"/>
      <c r="AWW77" s="2198"/>
      <c r="AWX77" s="2198"/>
      <c r="AWY77" s="2198"/>
      <c r="AWZ77" s="2198"/>
      <c r="AXA77" s="2198"/>
      <c r="AXB77" s="2198"/>
      <c r="AXC77" s="2198"/>
      <c r="AXD77" s="2198"/>
      <c r="AXE77" s="2198"/>
      <c r="AXF77" s="2198"/>
      <c r="AXG77" s="2198"/>
      <c r="AXH77" s="2198"/>
      <c r="AXI77" s="2198"/>
      <c r="AXJ77" s="2198"/>
      <c r="AXK77" s="2198"/>
      <c r="AXL77" s="2198"/>
      <c r="AXM77" s="2198"/>
      <c r="AXN77" s="2198"/>
      <c r="AXO77" s="2198"/>
      <c r="AXP77" s="2198"/>
      <c r="AXQ77" s="2198"/>
      <c r="AXR77" s="2198"/>
      <c r="AXS77" s="2198"/>
      <c r="AXT77" s="2198"/>
      <c r="AXU77" s="2198"/>
      <c r="AXV77" s="2198"/>
      <c r="AXW77" s="2198"/>
      <c r="AXX77" s="2198"/>
      <c r="AXY77" s="2198"/>
      <c r="AXZ77" s="2198"/>
      <c r="AYA77" s="2198"/>
      <c r="AYB77" s="2198"/>
      <c r="AYC77" s="2198"/>
      <c r="AYD77" s="2198"/>
      <c r="AYE77" s="2198"/>
      <c r="AYF77" s="2198"/>
      <c r="AYG77" s="2198"/>
      <c r="AYH77" s="2198"/>
      <c r="AYI77" s="2198"/>
      <c r="AYJ77" s="2198"/>
      <c r="AYK77" s="2198"/>
      <c r="AYL77" s="2198"/>
      <c r="AYM77" s="2198"/>
      <c r="AYN77" s="2198"/>
      <c r="AYO77" s="2198"/>
      <c r="AYP77" s="2198"/>
      <c r="AYQ77" s="2198"/>
      <c r="AYR77" s="2198"/>
      <c r="AYS77" s="2198"/>
      <c r="AYT77" s="2198"/>
      <c r="AYU77" s="2198"/>
      <c r="AYV77" s="2198"/>
      <c r="AYW77" s="2198"/>
      <c r="AYX77" s="2198"/>
      <c r="AYY77" s="2198"/>
      <c r="AYZ77" s="2198"/>
      <c r="AZA77" s="2198"/>
      <c r="AZB77" s="2198"/>
      <c r="AZC77" s="2198"/>
      <c r="AZD77" s="2198"/>
      <c r="AZE77" s="2198"/>
      <c r="AZF77" s="2198"/>
      <c r="AZG77" s="2198"/>
      <c r="AZH77" s="2198"/>
      <c r="AZI77" s="2198"/>
      <c r="AZJ77" s="2198"/>
      <c r="AZK77" s="2198"/>
      <c r="AZL77" s="2198"/>
      <c r="AZM77" s="2198"/>
      <c r="AZN77" s="2198"/>
      <c r="AZO77" s="2198"/>
      <c r="AZP77" s="2198"/>
      <c r="AZQ77" s="2198"/>
      <c r="AZR77" s="2198"/>
      <c r="AZS77" s="2198"/>
      <c r="AZT77" s="2198"/>
      <c r="AZU77" s="2198"/>
      <c r="AZV77" s="2198"/>
      <c r="AZW77" s="2198"/>
      <c r="AZX77" s="2198"/>
      <c r="AZY77" s="2198"/>
      <c r="AZZ77" s="2198"/>
      <c r="BAA77" s="2198"/>
      <c r="BAB77" s="2198"/>
      <c r="BAC77" s="2198"/>
      <c r="BAD77" s="2198"/>
      <c r="BAE77" s="2198"/>
      <c r="BAF77" s="2198"/>
      <c r="BAG77" s="2198"/>
      <c r="BAH77" s="2198"/>
      <c r="BAI77" s="2198"/>
      <c r="BAJ77" s="2198"/>
      <c r="BAK77" s="2198"/>
      <c r="BAL77" s="2198"/>
      <c r="BAM77" s="2198"/>
      <c r="BAN77" s="2198"/>
      <c r="BAO77" s="2198"/>
      <c r="BAP77" s="2198"/>
      <c r="BAQ77" s="2198"/>
      <c r="BAR77" s="2198"/>
      <c r="BAS77" s="2198"/>
      <c r="BAT77" s="2198"/>
      <c r="BAU77" s="2198"/>
      <c r="BAV77" s="2198"/>
      <c r="BAW77" s="2198"/>
      <c r="BAX77" s="2198"/>
      <c r="BAY77" s="2198"/>
      <c r="BAZ77" s="2198"/>
      <c r="BBA77" s="2198"/>
      <c r="BBB77" s="2198"/>
      <c r="BBC77" s="2198"/>
      <c r="BBD77" s="2198"/>
      <c r="BBE77" s="2198"/>
      <c r="BBF77" s="2198"/>
      <c r="BBG77" s="2198"/>
      <c r="BBH77" s="2198"/>
      <c r="BBI77" s="2198"/>
      <c r="BBJ77" s="2198"/>
      <c r="BBK77" s="2198"/>
      <c r="BBL77" s="2198"/>
      <c r="BBM77" s="2198"/>
      <c r="BBN77" s="2198"/>
      <c r="BBO77" s="2198"/>
      <c r="BBP77" s="2198"/>
      <c r="BBQ77" s="2198"/>
      <c r="BBR77" s="2198"/>
      <c r="BBS77" s="2198"/>
      <c r="BBT77" s="2198"/>
      <c r="BBU77" s="2198"/>
      <c r="BBV77" s="2198"/>
      <c r="BBW77" s="2198"/>
      <c r="BBX77" s="2198"/>
      <c r="BBY77" s="2198"/>
      <c r="BBZ77" s="2198"/>
      <c r="BCA77" s="2198"/>
      <c r="BCB77" s="2198"/>
      <c r="BCC77" s="2198"/>
      <c r="BCD77" s="2198"/>
      <c r="BCE77" s="2198"/>
      <c r="BCF77" s="2198"/>
      <c r="BCG77" s="2198"/>
      <c r="BCH77" s="2198"/>
      <c r="BCI77" s="2198"/>
      <c r="BCJ77" s="2198"/>
      <c r="BCK77" s="2198"/>
      <c r="BCL77" s="2198"/>
      <c r="BCM77" s="2198"/>
      <c r="BCN77" s="2198"/>
      <c r="BCO77" s="2198"/>
      <c r="BCP77" s="2198"/>
      <c r="BCQ77" s="2198"/>
      <c r="BCR77" s="2198"/>
      <c r="BCS77" s="2198"/>
      <c r="BCT77" s="2198"/>
      <c r="BCU77" s="2198"/>
      <c r="BCV77" s="2198"/>
      <c r="BCW77" s="2198"/>
      <c r="BCX77" s="2198"/>
      <c r="BCY77" s="2198"/>
      <c r="BCZ77" s="2198"/>
      <c r="BDA77" s="2198"/>
      <c r="BDB77" s="2198"/>
      <c r="BDC77" s="2198"/>
      <c r="BDD77" s="2198"/>
      <c r="BDE77" s="2198"/>
      <c r="BDF77" s="2198"/>
      <c r="BDG77" s="2198"/>
      <c r="BDH77" s="2198"/>
      <c r="BDI77" s="2198"/>
      <c r="BDJ77" s="2198"/>
      <c r="BDK77" s="2198"/>
      <c r="BDL77" s="2198"/>
      <c r="BDM77" s="2198"/>
      <c r="BDN77" s="2198"/>
      <c r="BDO77" s="2198"/>
      <c r="BDP77" s="2198"/>
      <c r="BDQ77" s="2198"/>
      <c r="BDR77" s="2198"/>
      <c r="BDS77" s="2198"/>
      <c r="BDT77" s="2198"/>
      <c r="BDU77" s="2198"/>
      <c r="BDV77" s="2198"/>
      <c r="BDW77" s="2198"/>
      <c r="BDX77" s="2198"/>
      <c r="BDY77" s="2198"/>
      <c r="BDZ77" s="2198"/>
      <c r="BEA77" s="2198"/>
      <c r="BEB77" s="2198"/>
      <c r="BEC77" s="2198"/>
      <c r="BED77" s="2198"/>
      <c r="BEE77" s="2198"/>
      <c r="BEF77" s="2198"/>
      <c r="BEG77" s="2198"/>
      <c r="BEH77" s="2198"/>
      <c r="BEI77" s="2198"/>
      <c r="BEJ77" s="2198"/>
      <c r="BEK77" s="2198"/>
      <c r="BEL77" s="2198"/>
      <c r="BEM77" s="2198"/>
      <c r="BEN77" s="2198"/>
      <c r="BEO77" s="2198"/>
      <c r="BEP77" s="2198"/>
      <c r="BEQ77" s="2198"/>
      <c r="BER77" s="2198"/>
      <c r="BES77" s="2198"/>
      <c r="BET77" s="2198"/>
      <c r="BEU77" s="2198"/>
      <c r="BEV77" s="2198"/>
      <c r="BEW77" s="2198"/>
      <c r="BEX77" s="2198"/>
      <c r="BEY77" s="2198"/>
      <c r="BEZ77" s="2198"/>
      <c r="BFA77" s="2198"/>
      <c r="BFB77" s="2198"/>
      <c r="BFC77" s="2198"/>
      <c r="BFD77" s="2198"/>
      <c r="BFE77" s="2198"/>
      <c r="BFF77" s="2198"/>
      <c r="BFG77" s="2198"/>
      <c r="BFH77" s="2198"/>
      <c r="BFI77" s="2198"/>
      <c r="BFJ77" s="2198"/>
      <c r="BFK77" s="2198"/>
      <c r="BFL77" s="2198"/>
      <c r="BFM77" s="2198"/>
      <c r="BFN77" s="2198"/>
      <c r="BFO77" s="2198"/>
      <c r="BFP77" s="2198"/>
      <c r="BFQ77" s="2198"/>
      <c r="BFR77" s="2198"/>
      <c r="BFS77" s="2198"/>
      <c r="BFT77" s="2198"/>
      <c r="BFU77" s="2198"/>
      <c r="BFV77" s="2198"/>
      <c r="BFW77" s="2198"/>
      <c r="BFX77" s="2198"/>
      <c r="BFY77" s="2198"/>
      <c r="BFZ77" s="2198"/>
      <c r="BGA77" s="2198"/>
      <c r="BGB77" s="2198"/>
      <c r="BGC77" s="2198"/>
      <c r="BGD77" s="2198"/>
      <c r="BGE77" s="2198"/>
      <c r="BGF77" s="2198"/>
      <c r="BGG77" s="2198"/>
      <c r="BGH77" s="2198"/>
      <c r="BGI77" s="2198"/>
      <c r="BGJ77" s="2198"/>
      <c r="BGK77" s="2198"/>
      <c r="BGL77" s="2198"/>
      <c r="BGM77" s="2198"/>
      <c r="BGN77" s="2198"/>
      <c r="BGO77" s="2198"/>
      <c r="BGP77" s="2198"/>
      <c r="BGQ77" s="2198"/>
      <c r="BGR77" s="2198"/>
      <c r="BGS77" s="2198"/>
      <c r="BGT77" s="2198"/>
      <c r="BGU77" s="2198"/>
      <c r="BGV77" s="2198"/>
      <c r="BGW77" s="2198"/>
      <c r="BGX77" s="2198"/>
      <c r="BGY77" s="2198"/>
      <c r="BGZ77" s="2198"/>
      <c r="BHA77" s="2198"/>
      <c r="BHB77" s="2198"/>
      <c r="BHC77" s="2198"/>
      <c r="BHD77" s="2198"/>
      <c r="BHE77" s="2198"/>
      <c r="BHF77" s="2198"/>
      <c r="BHG77" s="2198"/>
      <c r="BHH77" s="2198"/>
      <c r="BHI77" s="2198"/>
      <c r="BHJ77" s="2198"/>
      <c r="BHK77" s="2198"/>
      <c r="BHL77" s="2198"/>
      <c r="BHM77" s="2198"/>
      <c r="BHN77" s="2198"/>
      <c r="BHO77" s="2198"/>
      <c r="BHP77" s="2198"/>
      <c r="BHQ77" s="2198"/>
      <c r="BHR77" s="2198"/>
      <c r="BHS77" s="2198"/>
      <c r="BHT77" s="2198"/>
      <c r="BHU77" s="2198"/>
      <c r="BHV77" s="2198"/>
      <c r="BHW77" s="2198"/>
      <c r="BHX77" s="2198"/>
      <c r="BHY77" s="2198"/>
      <c r="BHZ77" s="2198"/>
      <c r="BIA77" s="2198"/>
      <c r="BIB77" s="2198"/>
      <c r="BIC77" s="2198"/>
      <c r="BID77" s="2198"/>
      <c r="BIE77" s="2198"/>
      <c r="BIF77" s="2198"/>
      <c r="BIG77" s="2198"/>
      <c r="BIH77" s="2198"/>
      <c r="BII77" s="2198"/>
      <c r="BIJ77" s="2198"/>
      <c r="BIK77" s="2198"/>
      <c r="BIL77" s="2198"/>
      <c r="BIM77" s="2198"/>
      <c r="BIN77" s="2198"/>
      <c r="BIO77" s="2198"/>
      <c r="BIP77" s="2198"/>
      <c r="BIQ77" s="2198"/>
      <c r="BIR77" s="2198"/>
      <c r="BIS77" s="2198"/>
      <c r="BIT77" s="2198"/>
      <c r="BIU77" s="2198"/>
      <c r="BIV77" s="2198"/>
      <c r="BIW77" s="2198"/>
      <c r="BIX77" s="2198"/>
      <c r="BIY77" s="2198"/>
      <c r="BIZ77" s="2198"/>
      <c r="BJA77" s="2198"/>
      <c r="BJB77" s="2198"/>
      <c r="BJC77" s="2198"/>
      <c r="BJD77" s="2198"/>
      <c r="BJE77" s="2198"/>
      <c r="BJF77" s="2198"/>
      <c r="BJG77" s="2198"/>
      <c r="BJH77" s="2198"/>
      <c r="BJI77" s="2198"/>
      <c r="BJJ77" s="2198"/>
      <c r="BJK77" s="2198"/>
      <c r="BJL77" s="2198"/>
      <c r="BJM77" s="2198"/>
      <c r="BJN77" s="2198"/>
      <c r="BJO77" s="2198"/>
      <c r="BJP77" s="2198"/>
      <c r="BJQ77" s="2198"/>
      <c r="BJR77" s="2198"/>
      <c r="BJS77" s="2198"/>
      <c r="BJT77" s="2198"/>
      <c r="BJU77" s="2198"/>
      <c r="BJV77" s="2198"/>
      <c r="BJW77" s="2198"/>
      <c r="BJX77" s="2198"/>
      <c r="BJY77" s="2198"/>
      <c r="BJZ77" s="2198"/>
      <c r="BKA77" s="2198"/>
      <c r="BKB77" s="2198"/>
      <c r="BKC77" s="2198"/>
      <c r="BKD77" s="2198"/>
      <c r="BKE77" s="2198"/>
      <c r="BKF77" s="2198"/>
      <c r="BKG77" s="2198"/>
      <c r="BKH77" s="2198"/>
      <c r="BKI77" s="2198"/>
      <c r="BKJ77" s="2198"/>
      <c r="BKK77" s="2198"/>
      <c r="BKL77" s="2198"/>
      <c r="BKM77" s="2198"/>
      <c r="BKN77" s="2198"/>
      <c r="BKO77" s="2198"/>
      <c r="BKP77" s="2198"/>
      <c r="BKQ77" s="2198"/>
      <c r="BKR77" s="2198"/>
      <c r="BKS77" s="2198"/>
      <c r="BKT77" s="2198"/>
      <c r="BKU77" s="2198"/>
      <c r="BKV77" s="2198"/>
      <c r="BKW77" s="2198"/>
      <c r="BKX77" s="2198"/>
      <c r="BKY77" s="2198"/>
      <c r="BKZ77" s="2198"/>
      <c r="BLA77" s="2198"/>
      <c r="BLB77" s="2198"/>
      <c r="BLC77" s="2198"/>
      <c r="BLD77" s="2198"/>
      <c r="BLE77" s="2198"/>
      <c r="BLF77" s="2198"/>
      <c r="BLG77" s="2198"/>
      <c r="BLH77" s="2198"/>
      <c r="BLI77" s="2198"/>
      <c r="BLJ77" s="2198"/>
      <c r="BLK77" s="2198"/>
      <c r="BLL77" s="2198"/>
      <c r="BLM77" s="2198"/>
      <c r="BLN77" s="2198"/>
      <c r="BLO77" s="2198"/>
      <c r="BLP77" s="2198"/>
      <c r="BLQ77" s="2198"/>
      <c r="BLR77" s="2198"/>
      <c r="BLS77" s="2198"/>
      <c r="BLT77" s="2198"/>
      <c r="BLU77" s="2198"/>
      <c r="BLV77" s="2198"/>
      <c r="BLW77" s="2198"/>
      <c r="BLX77" s="2198"/>
      <c r="BLY77" s="2198"/>
      <c r="BLZ77" s="2198"/>
      <c r="BMA77" s="2198"/>
      <c r="BMB77" s="2198"/>
      <c r="BMC77" s="2198"/>
      <c r="BMD77" s="2198"/>
      <c r="BME77" s="2198"/>
      <c r="BMF77" s="2198"/>
      <c r="BMG77" s="2198"/>
      <c r="BMH77" s="2198"/>
      <c r="BMI77" s="2198"/>
      <c r="BMJ77" s="2198"/>
      <c r="BMK77" s="2198"/>
      <c r="BML77" s="2198"/>
      <c r="BMM77" s="2198"/>
      <c r="BMN77" s="2198"/>
      <c r="BMO77" s="2198"/>
      <c r="BMP77" s="2198"/>
      <c r="BMQ77" s="2198"/>
      <c r="BMR77" s="2198"/>
      <c r="BMS77" s="2198"/>
      <c r="BMT77" s="2198"/>
      <c r="BMU77" s="2198"/>
      <c r="BMV77" s="2198"/>
      <c r="BMW77" s="2198"/>
      <c r="BMX77" s="2198"/>
      <c r="BMY77" s="2198"/>
      <c r="BMZ77" s="2198"/>
      <c r="BNA77" s="2198"/>
      <c r="BNB77" s="2198"/>
      <c r="BNC77" s="2198"/>
      <c r="BND77" s="2198"/>
      <c r="BNE77" s="2198"/>
      <c r="BNF77" s="2198"/>
      <c r="BNG77" s="2198"/>
      <c r="BNH77" s="2198"/>
      <c r="BNI77" s="2198"/>
      <c r="BNJ77" s="2198"/>
      <c r="BNK77" s="2198"/>
      <c r="BNL77" s="2198"/>
      <c r="BNM77" s="2198"/>
      <c r="BNN77" s="2198"/>
      <c r="BNO77" s="2198"/>
      <c r="BNP77" s="2198"/>
      <c r="BNQ77" s="2198"/>
      <c r="BNR77" s="2198"/>
      <c r="BNS77" s="2198"/>
      <c r="BNT77" s="2198"/>
      <c r="BNU77" s="2198"/>
      <c r="BNV77" s="2198"/>
      <c r="BNW77" s="2198"/>
      <c r="BNX77" s="2198"/>
      <c r="BNY77" s="2198"/>
      <c r="BNZ77" s="2198"/>
      <c r="BOA77" s="2198"/>
      <c r="BOB77" s="2198"/>
      <c r="BOC77" s="2198"/>
      <c r="BOD77" s="2198"/>
      <c r="BOE77" s="2198"/>
      <c r="BOF77" s="2198"/>
      <c r="BOG77" s="2198"/>
      <c r="BOH77" s="2198"/>
      <c r="BOI77" s="2198"/>
      <c r="BOJ77" s="2198"/>
      <c r="BOK77" s="2198"/>
      <c r="BOL77" s="2198"/>
      <c r="BOM77" s="2198"/>
      <c r="BON77" s="2198"/>
      <c r="BOO77" s="2198"/>
      <c r="BOP77" s="2198"/>
      <c r="BOQ77" s="2198"/>
      <c r="BOR77" s="2198"/>
      <c r="BOS77" s="2198"/>
      <c r="BOT77" s="2198"/>
      <c r="BOU77" s="2198"/>
      <c r="BOV77" s="2198"/>
      <c r="BOW77" s="2198"/>
      <c r="BOX77" s="2198"/>
      <c r="BOY77" s="2198"/>
      <c r="BOZ77" s="2198"/>
      <c r="BPA77" s="2198"/>
      <c r="BPB77" s="2198"/>
      <c r="BPC77" s="2198"/>
      <c r="BPD77" s="2198"/>
      <c r="BPE77" s="2198"/>
      <c r="BPF77" s="2198"/>
      <c r="BPG77" s="2198"/>
      <c r="BPH77" s="2198"/>
      <c r="BPI77" s="2198"/>
      <c r="BPJ77" s="2198"/>
      <c r="BPK77" s="2198"/>
      <c r="BPL77" s="2198"/>
      <c r="BPM77" s="2198"/>
      <c r="BPN77" s="2198"/>
      <c r="BPO77" s="2198"/>
      <c r="BPP77" s="2198"/>
      <c r="BPQ77" s="2198"/>
      <c r="BPR77" s="2198"/>
      <c r="BPS77" s="2198"/>
      <c r="BPT77" s="2198"/>
      <c r="BPU77" s="2198"/>
      <c r="BPV77" s="2198"/>
      <c r="BPW77" s="2198"/>
      <c r="BPX77" s="2198"/>
      <c r="BPY77" s="2198"/>
      <c r="BPZ77" s="2198"/>
      <c r="BQA77" s="2198"/>
      <c r="BQB77" s="2198"/>
      <c r="BQC77" s="2198"/>
      <c r="BQD77" s="2198"/>
      <c r="BQE77" s="2198"/>
      <c r="BQF77" s="2198"/>
      <c r="BQG77" s="2198"/>
      <c r="BQH77" s="2198"/>
      <c r="BQI77" s="2198"/>
      <c r="BQJ77" s="2198"/>
      <c r="BQK77" s="2198"/>
      <c r="BQL77" s="2198"/>
      <c r="BQM77" s="2198"/>
      <c r="BQN77" s="2198"/>
      <c r="BQO77" s="2198"/>
      <c r="BQP77" s="2198"/>
      <c r="BQQ77" s="2198"/>
      <c r="BQR77" s="2198"/>
      <c r="BQS77" s="2198"/>
      <c r="BQT77" s="2198"/>
      <c r="BQU77" s="2198"/>
      <c r="BQV77" s="2198"/>
      <c r="BQW77" s="2198"/>
      <c r="BQX77" s="2198"/>
      <c r="BQY77" s="2198"/>
      <c r="BQZ77" s="2198"/>
      <c r="BRA77" s="2198"/>
      <c r="BRB77" s="2198"/>
      <c r="BRC77" s="2198"/>
      <c r="BRD77" s="2198"/>
      <c r="BRE77" s="2198"/>
      <c r="BRF77" s="2198"/>
      <c r="BRG77" s="2198"/>
      <c r="BRH77" s="2198"/>
      <c r="BRI77" s="2198"/>
      <c r="BRJ77" s="2198"/>
      <c r="BRK77" s="2198"/>
      <c r="BRL77" s="2198"/>
      <c r="BRM77" s="2198"/>
      <c r="BRN77" s="2198"/>
      <c r="BRO77" s="2198"/>
      <c r="BRP77" s="2198"/>
      <c r="BRQ77" s="2198"/>
      <c r="BRR77" s="2198"/>
      <c r="BRS77" s="2198"/>
      <c r="BRT77" s="2198"/>
      <c r="BRU77" s="2198"/>
      <c r="BRV77" s="2198"/>
      <c r="BRW77" s="2198"/>
      <c r="BRX77" s="2198"/>
      <c r="BRY77" s="2198"/>
      <c r="BRZ77" s="2198"/>
      <c r="BSA77" s="2198"/>
      <c r="BSB77" s="2198"/>
      <c r="BSC77" s="2198"/>
      <c r="BSD77" s="2198"/>
      <c r="BSE77" s="2198"/>
      <c r="BSF77" s="2198"/>
      <c r="BSG77" s="2198"/>
      <c r="BSH77" s="2198"/>
      <c r="BSI77" s="2198"/>
      <c r="BSJ77" s="2198"/>
      <c r="BSK77" s="2198"/>
      <c r="BSL77" s="2198"/>
      <c r="BSM77" s="2198"/>
      <c r="BSN77" s="2198"/>
      <c r="BSO77" s="2198"/>
      <c r="BSP77" s="2198"/>
      <c r="BSQ77" s="2198"/>
      <c r="BSR77" s="2198"/>
      <c r="BSS77" s="2198"/>
      <c r="BST77" s="2198"/>
      <c r="BSU77" s="2198"/>
      <c r="BSV77" s="2198"/>
      <c r="BSW77" s="2198"/>
      <c r="BSX77" s="2198"/>
      <c r="BSY77" s="2198"/>
      <c r="BSZ77" s="2198"/>
      <c r="BTA77" s="2198"/>
      <c r="BTB77" s="2198"/>
      <c r="BTC77" s="2198"/>
      <c r="BTD77" s="2198"/>
      <c r="BTE77" s="2198"/>
      <c r="BTF77" s="2198"/>
      <c r="BTG77" s="2198"/>
      <c r="BTH77" s="2198"/>
      <c r="BTI77" s="2198"/>
      <c r="BTJ77" s="2198"/>
      <c r="BTK77" s="2198"/>
      <c r="BTL77" s="2198"/>
      <c r="BTM77" s="2198"/>
      <c r="BTN77" s="2198"/>
      <c r="BTO77" s="2198"/>
      <c r="BTP77" s="2198"/>
      <c r="BTQ77" s="2198"/>
      <c r="BTR77" s="2198"/>
      <c r="BTS77" s="2198"/>
      <c r="BTT77" s="2198"/>
      <c r="BTU77" s="2198"/>
      <c r="BTV77" s="2198"/>
      <c r="BTW77" s="2198"/>
      <c r="BTX77" s="2198"/>
      <c r="BTY77" s="2198"/>
      <c r="BTZ77" s="2198"/>
      <c r="BUA77" s="2198"/>
      <c r="BUB77" s="2198"/>
      <c r="BUC77" s="2198"/>
      <c r="BUD77" s="2198"/>
      <c r="BUE77" s="2198"/>
      <c r="BUF77" s="2198"/>
      <c r="BUG77" s="2198"/>
      <c r="BUH77" s="2198"/>
      <c r="BUI77" s="2198"/>
      <c r="BUJ77" s="2198"/>
      <c r="BUK77" s="2198"/>
      <c r="BUL77" s="2198"/>
      <c r="BUM77" s="2198"/>
      <c r="BUN77" s="2198"/>
      <c r="BUO77" s="2198"/>
      <c r="BUP77" s="2198"/>
      <c r="BUQ77" s="2198"/>
      <c r="BUR77" s="2198"/>
      <c r="BUS77" s="2198"/>
      <c r="BUT77" s="2198"/>
      <c r="BUU77" s="2198"/>
      <c r="BUV77" s="2198"/>
      <c r="BUW77" s="2198"/>
      <c r="BUX77" s="2198"/>
      <c r="BUY77" s="2198"/>
      <c r="BUZ77" s="2198"/>
      <c r="BVA77" s="2198"/>
      <c r="BVB77" s="2198"/>
      <c r="BVC77" s="2198"/>
      <c r="BVD77" s="2198"/>
      <c r="BVE77" s="2198"/>
      <c r="BVF77" s="2198"/>
      <c r="BVG77" s="2198"/>
      <c r="BVH77" s="2198"/>
      <c r="BVI77" s="2198"/>
      <c r="BVJ77" s="2198"/>
      <c r="BVK77" s="2198"/>
      <c r="BVL77" s="2198"/>
      <c r="BVM77" s="2198"/>
      <c r="BVN77" s="2198"/>
      <c r="BVO77" s="2198"/>
      <c r="BVP77" s="2198"/>
      <c r="BVQ77" s="2198"/>
      <c r="BVR77" s="2198"/>
      <c r="BVS77" s="2198"/>
      <c r="BVT77" s="2198"/>
      <c r="BVU77" s="2198"/>
      <c r="BVV77" s="2198"/>
      <c r="BVW77" s="2198"/>
      <c r="BVX77" s="2198"/>
      <c r="BVY77" s="2198"/>
      <c r="BVZ77" s="2198"/>
      <c r="BWA77" s="2198"/>
      <c r="BWB77" s="2198"/>
      <c r="BWC77" s="2198"/>
      <c r="BWD77" s="2198"/>
      <c r="BWE77" s="2198"/>
      <c r="BWF77" s="2198"/>
      <c r="BWG77" s="2198"/>
      <c r="BWH77" s="2198"/>
      <c r="BWI77" s="2198"/>
      <c r="BWJ77" s="2198"/>
      <c r="BWK77" s="2198"/>
      <c r="BWL77" s="2198"/>
      <c r="BWM77" s="2198"/>
      <c r="BWN77" s="2198"/>
      <c r="BWO77" s="2198"/>
      <c r="BWP77" s="2198"/>
      <c r="BWQ77" s="2198"/>
      <c r="BWR77" s="2198"/>
      <c r="BWS77" s="2198"/>
      <c r="BWT77" s="2198"/>
      <c r="BWU77" s="2198"/>
      <c r="BWV77" s="2198"/>
      <c r="BWW77" s="2198"/>
      <c r="BWX77" s="2198"/>
      <c r="BWY77" s="2198"/>
      <c r="BWZ77" s="2198"/>
      <c r="BXA77" s="2198"/>
      <c r="BXB77" s="2198"/>
      <c r="BXC77" s="2198"/>
      <c r="BXD77" s="2198"/>
      <c r="BXE77" s="2198"/>
      <c r="BXF77" s="2198"/>
      <c r="BXG77" s="2198"/>
      <c r="BXH77" s="2198"/>
      <c r="BXI77" s="2198"/>
      <c r="BXJ77" s="2198"/>
      <c r="BXK77" s="2198"/>
      <c r="BXL77" s="2198"/>
      <c r="BXM77" s="2198"/>
      <c r="BXN77" s="2198"/>
      <c r="BXO77" s="2198"/>
      <c r="BXP77" s="2198"/>
      <c r="BXQ77" s="2198"/>
      <c r="BXR77" s="2198"/>
      <c r="BXS77" s="2198"/>
      <c r="BXT77" s="2198"/>
      <c r="BXU77" s="2198"/>
      <c r="BXV77" s="2198"/>
      <c r="BXW77" s="2198"/>
      <c r="BXX77" s="2198"/>
      <c r="BXY77" s="2198"/>
      <c r="BXZ77" s="2198"/>
      <c r="BYA77" s="2198"/>
      <c r="BYB77" s="2198"/>
      <c r="BYC77" s="2198"/>
      <c r="BYD77" s="2198"/>
      <c r="BYE77" s="2198"/>
      <c r="BYF77" s="2198"/>
      <c r="BYG77" s="2198"/>
      <c r="BYH77" s="2198"/>
      <c r="BYI77" s="2198"/>
      <c r="BYJ77" s="2198"/>
      <c r="BYK77" s="2198"/>
      <c r="BYL77" s="2198"/>
      <c r="BYM77" s="2198"/>
      <c r="BYN77" s="2198"/>
      <c r="BYO77" s="2198"/>
      <c r="BYP77" s="2198"/>
      <c r="BYQ77" s="2198"/>
      <c r="BYR77" s="2198"/>
      <c r="BYS77" s="2198"/>
      <c r="BYT77" s="2198"/>
      <c r="BYU77" s="2198"/>
      <c r="BYV77" s="2198"/>
      <c r="BYW77" s="2198"/>
      <c r="BYX77" s="2198"/>
      <c r="BYY77" s="2198"/>
      <c r="BYZ77" s="2198"/>
      <c r="BZA77" s="2198"/>
      <c r="BZB77" s="2198"/>
      <c r="BZC77" s="2198"/>
      <c r="BZD77" s="2198"/>
      <c r="BZE77" s="2198"/>
      <c r="BZF77" s="2198"/>
      <c r="BZG77" s="2198"/>
      <c r="BZH77" s="2198"/>
      <c r="BZI77" s="2198"/>
      <c r="BZJ77" s="2198"/>
      <c r="BZK77" s="2198"/>
      <c r="BZL77" s="2198"/>
      <c r="BZM77" s="2198"/>
      <c r="BZN77" s="2198"/>
      <c r="BZO77" s="2198"/>
      <c r="BZP77" s="2198"/>
      <c r="BZQ77" s="2198"/>
      <c r="BZR77" s="2198"/>
      <c r="BZS77" s="2198"/>
      <c r="BZT77" s="2198"/>
      <c r="BZU77" s="2198"/>
      <c r="BZV77" s="2198"/>
      <c r="BZW77" s="2198"/>
      <c r="BZX77" s="2198"/>
      <c r="BZY77" s="2198"/>
      <c r="BZZ77" s="2198"/>
      <c r="CAA77" s="2198"/>
      <c r="CAB77" s="2198"/>
      <c r="CAC77" s="2198"/>
      <c r="CAD77" s="2198"/>
      <c r="CAE77" s="2198"/>
      <c r="CAF77" s="2198"/>
      <c r="CAG77" s="2198"/>
      <c r="CAH77" s="2198"/>
      <c r="CAI77" s="2198"/>
      <c r="CAJ77" s="2198"/>
      <c r="CAK77" s="2198"/>
      <c r="CAL77" s="2198"/>
      <c r="CAM77" s="2198"/>
      <c r="CAN77" s="2198"/>
      <c r="CAO77" s="2198"/>
      <c r="CAP77" s="2198"/>
      <c r="CAQ77" s="2198"/>
      <c r="CAR77" s="2198"/>
      <c r="CAS77" s="2198"/>
      <c r="CAT77" s="2198"/>
      <c r="CAU77" s="2198"/>
      <c r="CAV77" s="2198"/>
      <c r="CAW77" s="2198"/>
      <c r="CAX77" s="2198"/>
      <c r="CAY77" s="2198"/>
      <c r="CAZ77" s="2198"/>
      <c r="CBA77" s="2198"/>
      <c r="CBB77" s="2198"/>
      <c r="CBC77" s="2198"/>
      <c r="CBD77" s="2198"/>
      <c r="CBE77" s="2198"/>
      <c r="CBF77" s="2198"/>
      <c r="CBG77" s="2198"/>
      <c r="CBH77" s="2198"/>
      <c r="CBI77" s="2198"/>
      <c r="CBJ77" s="2198"/>
      <c r="CBK77" s="2198"/>
      <c r="CBL77" s="2198"/>
      <c r="CBM77" s="2198"/>
      <c r="CBN77" s="2198"/>
      <c r="CBO77" s="2198"/>
      <c r="CBP77" s="2198"/>
      <c r="CBQ77" s="2198"/>
      <c r="CBR77" s="2198"/>
      <c r="CBS77" s="2198"/>
      <c r="CBT77" s="2198"/>
      <c r="CBU77" s="2198"/>
      <c r="CBV77" s="2198"/>
      <c r="CBW77" s="2198"/>
      <c r="CBX77" s="2198"/>
      <c r="CBY77" s="2198"/>
      <c r="CBZ77" s="2198"/>
      <c r="CCA77" s="2198"/>
      <c r="CCB77" s="2198"/>
      <c r="CCC77" s="2198"/>
      <c r="CCD77" s="2198"/>
      <c r="CCE77" s="2198"/>
      <c r="CCF77" s="2198"/>
      <c r="CCG77" s="2198"/>
      <c r="CCH77" s="2198"/>
      <c r="CCI77" s="2198"/>
      <c r="CCJ77" s="2198"/>
      <c r="CCK77" s="2198"/>
      <c r="CCL77" s="2198"/>
      <c r="CCM77" s="2198"/>
      <c r="CCN77" s="2198"/>
      <c r="CCO77" s="2198"/>
      <c r="CCP77" s="2198"/>
      <c r="CCQ77" s="2198"/>
      <c r="CCR77" s="2198"/>
      <c r="CCS77" s="2198"/>
      <c r="CCT77" s="2198"/>
      <c r="CCU77" s="2198"/>
      <c r="CCV77" s="2198"/>
      <c r="CCW77" s="2198"/>
      <c r="CCX77" s="2198"/>
      <c r="CCY77" s="2198"/>
      <c r="CCZ77" s="2198"/>
      <c r="CDA77" s="2198"/>
      <c r="CDB77" s="2198"/>
      <c r="CDC77" s="2198"/>
      <c r="CDD77" s="2198"/>
      <c r="CDE77" s="2198"/>
      <c r="CDF77" s="2198"/>
      <c r="CDG77" s="2198"/>
      <c r="CDH77" s="2198"/>
      <c r="CDI77" s="2198"/>
      <c r="CDJ77" s="2198"/>
      <c r="CDK77" s="2198"/>
      <c r="CDL77" s="2198"/>
      <c r="CDM77" s="2198"/>
      <c r="CDN77" s="2198"/>
      <c r="CDO77" s="2198"/>
      <c r="CDP77" s="2198"/>
      <c r="CDQ77" s="2198"/>
      <c r="CDR77" s="2198"/>
      <c r="CDS77" s="2198"/>
      <c r="CDT77" s="2198"/>
      <c r="CDU77" s="2198"/>
      <c r="CDV77" s="2198"/>
      <c r="CDW77" s="2198"/>
      <c r="CDX77" s="2198"/>
      <c r="CDY77" s="2198"/>
      <c r="CDZ77" s="2198"/>
      <c r="CEA77" s="2198"/>
      <c r="CEB77" s="2198"/>
      <c r="CEC77" s="2198"/>
      <c r="CED77" s="2198"/>
      <c r="CEE77" s="2198"/>
      <c r="CEF77" s="2198"/>
      <c r="CEG77" s="2198"/>
      <c r="CEH77" s="2198"/>
      <c r="CEI77" s="2198"/>
      <c r="CEJ77" s="2198"/>
      <c r="CEK77" s="2198"/>
      <c r="CEL77" s="2198"/>
      <c r="CEM77" s="2198"/>
      <c r="CEN77" s="2198"/>
      <c r="CEO77" s="2198"/>
      <c r="CEP77" s="2198"/>
      <c r="CEQ77" s="2198"/>
      <c r="CER77" s="2198"/>
      <c r="CES77" s="2198"/>
      <c r="CET77" s="2198"/>
      <c r="CEU77" s="2198"/>
      <c r="CEV77" s="2198"/>
      <c r="CEW77" s="2198"/>
      <c r="CEX77" s="2198"/>
      <c r="CEY77" s="2198"/>
      <c r="CEZ77" s="2198"/>
      <c r="CFA77" s="2198"/>
      <c r="CFB77" s="2198"/>
      <c r="CFC77" s="2198"/>
      <c r="CFD77" s="2198"/>
      <c r="CFE77" s="2198"/>
      <c r="CFF77" s="2198"/>
      <c r="CFG77" s="2198"/>
      <c r="CFH77" s="2198"/>
      <c r="CFI77" s="2198"/>
      <c r="CFJ77" s="2198"/>
      <c r="CFK77" s="2198"/>
      <c r="CFL77" s="2198"/>
      <c r="CFM77" s="2198"/>
      <c r="CFN77" s="2198"/>
      <c r="CFO77" s="2198"/>
      <c r="CFP77" s="2198"/>
      <c r="CFQ77" s="2198"/>
      <c r="CFR77" s="2198"/>
      <c r="CFS77" s="2198"/>
      <c r="CFT77" s="2198"/>
      <c r="CFU77" s="2198"/>
      <c r="CFV77" s="2198"/>
      <c r="CFW77" s="2198"/>
      <c r="CFX77" s="2198"/>
      <c r="CFY77" s="2198"/>
      <c r="CFZ77" s="2198"/>
      <c r="CGA77" s="2198"/>
      <c r="CGB77" s="2198"/>
      <c r="CGC77" s="2198"/>
      <c r="CGD77" s="2198"/>
      <c r="CGE77" s="2198"/>
      <c r="CGF77" s="2198"/>
      <c r="CGG77" s="2198"/>
      <c r="CGH77" s="2198"/>
      <c r="CGI77" s="2198"/>
      <c r="CGJ77" s="2198"/>
      <c r="CGK77" s="2198"/>
      <c r="CGL77" s="2198"/>
      <c r="CGM77" s="2198"/>
      <c r="CGN77" s="2198"/>
      <c r="CGO77" s="2198"/>
      <c r="CGP77" s="2198"/>
      <c r="CGQ77" s="2198"/>
      <c r="CGR77" s="2198"/>
      <c r="CGS77" s="2198"/>
      <c r="CGT77" s="2198"/>
      <c r="CGU77" s="2198"/>
      <c r="CGV77" s="2198"/>
      <c r="CGW77" s="2198"/>
      <c r="CGX77" s="2198"/>
      <c r="CGY77" s="2198"/>
      <c r="CGZ77" s="2198"/>
      <c r="CHA77" s="2198"/>
      <c r="CHB77" s="2198"/>
      <c r="CHC77" s="2198"/>
      <c r="CHD77" s="2198"/>
      <c r="CHE77" s="2198"/>
      <c r="CHF77" s="2198"/>
      <c r="CHG77" s="2198"/>
      <c r="CHH77" s="2198"/>
      <c r="CHI77" s="2198"/>
      <c r="CHJ77" s="2198"/>
      <c r="CHK77" s="2198"/>
      <c r="CHL77" s="2198"/>
      <c r="CHM77" s="2198"/>
      <c r="CHN77" s="2198"/>
      <c r="CHO77" s="2198"/>
      <c r="CHP77" s="2198"/>
      <c r="CHQ77" s="2198"/>
      <c r="CHR77" s="2198"/>
      <c r="CHS77" s="2198"/>
      <c r="CHT77" s="2198"/>
      <c r="CHU77" s="2198"/>
      <c r="CHV77" s="2198"/>
      <c r="CHW77" s="2198"/>
      <c r="CHX77" s="2198"/>
      <c r="CHY77" s="2198"/>
      <c r="CHZ77" s="2198"/>
      <c r="CIA77" s="2198"/>
      <c r="CIB77" s="2198"/>
      <c r="CIC77" s="2198"/>
      <c r="CID77" s="2198"/>
      <c r="CIE77" s="2198"/>
      <c r="CIF77" s="2198"/>
      <c r="CIG77" s="2198"/>
      <c r="CIH77" s="2198"/>
      <c r="CII77" s="2198"/>
      <c r="CIJ77" s="2198"/>
      <c r="CIK77" s="2198"/>
      <c r="CIL77" s="2198"/>
      <c r="CIM77" s="2198"/>
      <c r="CIN77" s="2198"/>
      <c r="CIO77" s="2198"/>
      <c r="CIP77" s="2198"/>
      <c r="CIQ77" s="2198"/>
      <c r="CIR77" s="2198"/>
      <c r="CIS77" s="2198"/>
      <c r="CIT77" s="2198"/>
      <c r="CIU77" s="2198"/>
      <c r="CIV77" s="2198"/>
      <c r="CIW77" s="2198"/>
      <c r="CIX77" s="2198"/>
      <c r="CIY77" s="2198"/>
      <c r="CIZ77" s="2198"/>
      <c r="CJA77" s="2198"/>
      <c r="CJB77" s="2198"/>
      <c r="CJC77" s="2198"/>
      <c r="CJD77" s="2198"/>
      <c r="CJE77" s="2198"/>
      <c r="CJF77" s="2198"/>
      <c r="CJG77" s="2198"/>
      <c r="CJH77" s="2198"/>
      <c r="CJI77" s="2198"/>
      <c r="CJJ77" s="2198"/>
      <c r="CJK77" s="2198"/>
      <c r="CJL77" s="2198"/>
      <c r="CJM77" s="2198"/>
      <c r="CJN77" s="2198"/>
      <c r="CJO77" s="2198"/>
      <c r="CJP77" s="2198"/>
      <c r="CJQ77" s="2198"/>
      <c r="CJR77" s="2198"/>
      <c r="CJS77" s="2198"/>
      <c r="CJT77" s="2198"/>
      <c r="CJU77" s="2198"/>
      <c r="CJV77" s="2198"/>
      <c r="CJW77" s="2198"/>
      <c r="CJX77" s="2198"/>
      <c r="CJY77" s="2198"/>
      <c r="CJZ77" s="2198"/>
      <c r="CKA77" s="2198"/>
      <c r="CKB77" s="2198"/>
      <c r="CKC77" s="2198"/>
      <c r="CKD77" s="2198"/>
      <c r="CKE77" s="2198"/>
      <c r="CKF77" s="2198"/>
      <c r="CKG77" s="2198"/>
      <c r="CKH77" s="2198"/>
      <c r="CKI77" s="2198"/>
      <c r="CKJ77" s="2198"/>
      <c r="CKK77" s="2198"/>
      <c r="CKL77" s="2198"/>
      <c r="CKM77" s="2198"/>
      <c r="CKN77" s="2198"/>
      <c r="CKO77" s="2198"/>
      <c r="CKP77" s="2198"/>
      <c r="CKQ77" s="2198"/>
      <c r="CKR77" s="2198"/>
      <c r="CKS77" s="2198"/>
      <c r="CKT77" s="2198"/>
      <c r="CKU77" s="2198"/>
      <c r="CKV77" s="2198"/>
      <c r="CKW77" s="2198"/>
      <c r="CKX77" s="2198"/>
      <c r="CKY77" s="2198"/>
      <c r="CKZ77" s="2198"/>
      <c r="CLA77" s="2198"/>
      <c r="CLB77" s="2198"/>
      <c r="CLC77" s="2198"/>
      <c r="CLD77" s="2198"/>
      <c r="CLE77" s="2198"/>
      <c r="CLF77" s="2198"/>
      <c r="CLG77" s="2198"/>
      <c r="CLH77" s="2198"/>
      <c r="CLI77" s="2198"/>
      <c r="CLJ77" s="2198"/>
      <c r="CLK77" s="2198"/>
      <c r="CLL77" s="2198"/>
      <c r="CLM77" s="2198"/>
      <c r="CLN77" s="2198"/>
      <c r="CLO77" s="2198"/>
      <c r="CLP77" s="2198"/>
      <c r="CLQ77" s="2198"/>
      <c r="CLR77" s="2198"/>
      <c r="CLS77" s="2198"/>
      <c r="CLT77" s="2198"/>
      <c r="CLU77" s="2198"/>
      <c r="CLV77" s="2198"/>
      <c r="CLW77" s="2198"/>
      <c r="CLX77" s="2198"/>
      <c r="CLY77" s="2198"/>
      <c r="CLZ77" s="2198"/>
      <c r="CMA77" s="2198"/>
      <c r="CMB77" s="2198"/>
      <c r="CMC77" s="2198"/>
      <c r="CMD77" s="2198"/>
      <c r="CME77" s="2198"/>
      <c r="CMF77" s="2198"/>
      <c r="CMG77" s="2198"/>
      <c r="CMH77" s="2198"/>
      <c r="CMI77" s="2198"/>
      <c r="CMJ77" s="2198"/>
      <c r="CMK77" s="2198"/>
      <c r="CML77" s="2198"/>
      <c r="CMM77" s="2198"/>
      <c r="CMN77" s="2198"/>
      <c r="CMO77" s="2198"/>
      <c r="CMP77" s="2198"/>
      <c r="CMQ77" s="2198"/>
      <c r="CMR77" s="2198"/>
      <c r="CMS77" s="2198"/>
      <c r="CMT77" s="2198"/>
      <c r="CMU77" s="2198"/>
      <c r="CMV77" s="2198"/>
      <c r="CMW77" s="2198"/>
      <c r="CMX77" s="2198"/>
      <c r="CMY77" s="2198"/>
      <c r="CMZ77" s="2198"/>
      <c r="CNA77" s="2198"/>
      <c r="CNB77" s="2198"/>
      <c r="CNC77" s="2198"/>
      <c r="CND77" s="2198"/>
      <c r="CNE77" s="2198"/>
      <c r="CNF77" s="2198"/>
      <c r="CNG77" s="2198"/>
      <c r="CNH77" s="2198"/>
      <c r="CNI77" s="2198"/>
      <c r="CNJ77" s="2198"/>
      <c r="CNK77" s="2198"/>
      <c r="CNL77" s="2198"/>
      <c r="CNM77" s="2198"/>
      <c r="CNN77" s="2198"/>
      <c r="CNO77" s="2198"/>
      <c r="CNP77" s="2198"/>
      <c r="CNQ77" s="2198"/>
      <c r="CNR77" s="2198"/>
      <c r="CNS77" s="2198"/>
      <c r="CNT77" s="2198"/>
      <c r="CNU77" s="2198"/>
      <c r="CNV77" s="2198"/>
      <c r="CNW77" s="2198"/>
      <c r="CNX77" s="2198"/>
      <c r="CNY77" s="2198"/>
      <c r="CNZ77" s="2198"/>
      <c r="COA77" s="2198"/>
      <c r="COB77" s="2198"/>
      <c r="COC77" s="2198"/>
      <c r="COD77" s="2198"/>
      <c r="COE77" s="2198"/>
      <c r="COF77" s="2198"/>
      <c r="COG77" s="2198"/>
      <c r="COH77" s="2198"/>
      <c r="COI77" s="2198"/>
      <c r="COJ77" s="2198"/>
      <c r="COK77" s="2198"/>
      <c r="COL77" s="2198"/>
      <c r="COM77" s="2198"/>
      <c r="CON77" s="2198"/>
      <c r="COO77" s="2198"/>
      <c r="COP77" s="2198"/>
      <c r="COQ77" s="2198"/>
      <c r="COR77" s="2198"/>
      <c r="COS77" s="2198"/>
      <c r="COT77" s="2198"/>
      <c r="COU77" s="2198"/>
      <c r="COV77" s="2198"/>
      <c r="COW77" s="2198"/>
      <c r="COX77" s="2198"/>
      <c r="COY77" s="2198"/>
      <c r="COZ77" s="2198"/>
      <c r="CPA77" s="2198"/>
      <c r="CPB77" s="2198"/>
      <c r="CPC77" s="2198"/>
      <c r="CPD77" s="2198"/>
      <c r="CPE77" s="2198"/>
      <c r="CPF77" s="2198"/>
      <c r="CPG77" s="2198"/>
      <c r="CPH77" s="2198"/>
      <c r="CPI77" s="2198"/>
      <c r="CPJ77" s="2198"/>
      <c r="CPK77" s="2198"/>
      <c r="CPL77" s="2198"/>
      <c r="CPM77" s="2198"/>
      <c r="CPN77" s="2198"/>
      <c r="CPO77" s="2198"/>
      <c r="CPP77" s="2198"/>
      <c r="CPQ77" s="2198"/>
      <c r="CPR77" s="2198"/>
      <c r="CPS77" s="2198"/>
      <c r="CPT77" s="2198"/>
      <c r="CPU77" s="2198"/>
      <c r="CPV77" s="2198"/>
      <c r="CPW77" s="2198"/>
      <c r="CPX77" s="2198"/>
      <c r="CPY77" s="2198"/>
      <c r="CPZ77" s="2198"/>
      <c r="CQA77" s="2198"/>
      <c r="CQB77" s="2198"/>
      <c r="CQC77" s="2198"/>
      <c r="CQD77" s="2198"/>
      <c r="CQE77" s="2198"/>
      <c r="CQF77" s="2198"/>
      <c r="CQG77" s="2198"/>
      <c r="CQH77" s="2198"/>
      <c r="CQI77" s="2198"/>
      <c r="CQJ77" s="2198"/>
      <c r="CQK77" s="2198"/>
      <c r="CQL77" s="2198"/>
      <c r="CQM77" s="2198"/>
      <c r="CQN77" s="2198"/>
      <c r="CQO77" s="2198"/>
      <c r="CQP77" s="2198"/>
      <c r="CQQ77" s="2198"/>
      <c r="CQR77" s="2198"/>
      <c r="CQS77" s="2198"/>
      <c r="CQT77" s="2198"/>
      <c r="CQU77" s="2198"/>
      <c r="CQV77" s="2198"/>
      <c r="CQW77" s="2198"/>
      <c r="CQX77" s="2198"/>
      <c r="CQY77" s="2198"/>
      <c r="CQZ77" s="2198"/>
      <c r="CRA77" s="2198"/>
      <c r="CRB77" s="2198"/>
      <c r="CRC77" s="2198"/>
      <c r="CRD77" s="2198"/>
      <c r="CRE77" s="2198"/>
      <c r="CRF77" s="2198"/>
      <c r="CRG77" s="2198"/>
      <c r="CRH77" s="2198"/>
      <c r="CRI77" s="2198"/>
      <c r="CRJ77" s="2198"/>
      <c r="CRK77" s="2198"/>
      <c r="CRL77" s="2198"/>
      <c r="CRM77" s="2198"/>
      <c r="CRN77" s="2198"/>
      <c r="CRO77" s="2198"/>
      <c r="CRP77" s="2198"/>
      <c r="CRQ77" s="2198"/>
      <c r="CRR77" s="2198"/>
      <c r="CRS77" s="2198"/>
      <c r="CRT77" s="2198"/>
      <c r="CRU77" s="2198"/>
      <c r="CRV77" s="2198"/>
      <c r="CRW77" s="2198"/>
      <c r="CRX77" s="2198"/>
      <c r="CRY77" s="2198"/>
      <c r="CRZ77" s="2198"/>
      <c r="CSA77" s="2198"/>
      <c r="CSB77" s="2198"/>
      <c r="CSC77" s="2198"/>
      <c r="CSD77" s="2198"/>
      <c r="CSE77" s="2198"/>
      <c r="CSF77" s="2198"/>
      <c r="CSG77" s="2198"/>
      <c r="CSH77" s="2198"/>
      <c r="CSI77" s="2198"/>
      <c r="CSJ77" s="2198"/>
      <c r="CSK77" s="2198"/>
      <c r="CSL77" s="2198"/>
      <c r="CSM77" s="2198"/>
      <c r="CSN77" s="2198"/>
      <c r="CSO77" s="2198"/>
      <c r="CSP77" s="2198"/>
      <c r="CSQ77" s="2198"/>
      <c r="CSR77" s="2198"/>
      <c r="CSS77" s="2198"/>
      <c r="CST77" s="2198"/>
      <c r="CSU77" s="2198"/>
      <c r="CSV77" s="2198"/>
      <c r="CSW77" s="2198"/>
      <c r="CSX77" s="2198"/>
      <c r="CSY77" s="2198"/>
      <c r="CSZ77" s="2198"/>
      <c r="CTA77" s="2198"/>
      <c r="CTB77" s="2198"/>
      <c r="CTC77" s="2198"/>
      <c r="CTD77" s="2198"/>
      <c r="CTE77" s="2198"/>
      <c r="CTF77" s="2198"/>
      <c r="CTG77" s="2198"/>
      <c r="CTH77" s="2198"/>
      <c r="CTI77" s="2198"/>
      <c r="CTJ77" s="2198"/>
      <c r="CTK77" s="2198"/>
      <c r="CTL77" s="2198"/>
      <c r="CTM77" s="2198"/>
      <c r="CTN77" s="2198"/>
      <c r="CTO77" s="2198"/>
      <c r="CTP77" s="2198"/>
      <c r="CTQ77" s="2198"/>
      <c r="CTR77" s="2198"/>
      <c r="CTS77" s="2198"/>
      <c r="CTT77" s="2198"/>
      <c r="CTU77" s="2198"/>
      <c r="CTV77" s="2198"/>
      <c r="CTW77" s="2198"/>
      <c r="CTX77" s="2198"/>
      <c r="CTY77" s="2198"/>
      <c r="CTZ77" s="2198"/>
      <c r="CUA77" s="2198"/>
      <c r="CUB77" s="2198"/>
      <c r="CUC77" s="2198"/>
      <c r="CUD77" s="2198"/>
      <c r="CUE77" s="2198"/>
      <c r="CUF77" s="2198"/>
      <c r="CUG77" s="2198"/>
      <c r="CUH77" s="2198"/>
      <c r="CUI77" s="2198"/>
      <c r="CUJ77" s="2198"/>
      <c r="CUK77" s="2198"/>
      <c r="CUL77" s="2198"/>
      <c r="CUM77" s="2198"/>
      <c r="CUN77" s="2198"/>
      <c r="CUO77" s="2198"/>
      <c r="CUP77" s="2198"/>
      <c r="CUQ77" s="2198"/>
      <c r="CUR77" s="2198"/>
      <c r="CUS77" s="2198"/>
      <c r="CUT77" s="2198"/>
      <c r="CUU77" s="2198"/>
      <c r="CUV77" s="2198"/>
      <c r="CUW77" s="2198"/>
      <c r="CUX77" s="2198"/>
      <c r="CUY77" s="2198"/>
      <c r="CUZ77" s="2198"/>
      <c r="CVA77" s="2198"/>
      <c r="CVB77" s="2198"/>
      <c r="CVC77" s="2198"/>
      <c r="CVD77" s="2198"/>
      <c r="CVE77" s="2198"/>
      <c r="CVF77" s="2198"/>
      <c r="CVG77" s="2198"/>
      <c r="CVH77" s="2198"/>
      <c r="CVI77" s="2198"/>
      <c r="CVJ77" s="2198"/>
      <c r="CVK77" s="2198"/>
      <c r="CVL77" s="2198"/>
      <c r="CVM77" s="2198"/>
      <c r="CVN77" s="2198"/>
      <c r="CVO77" s="2198"/>
      <c r="CVP77" s="2198"/>
      <c r="CVQ77" s="2198"/>
      <c r="CVR77" s="2198"/>
      <c r="CVS77" s="2198"/>
      <c r="CVT77" s="2198"/>
      <c r="CVU77" s="2198"/>
      <c r="CVV77" s="2198"/>
      <c r="CVW77" s="2198"/>
      <c r="CVX77" s="2198"/>
      <c r="CVY77" s="2198"/>
      <c r="CVZ77" s="2198"/>
      <c r="CWA77" s="2198"/>
      <c r="CWB77" s="2198"/>
      <c r="CWC77" s="2198"/>
      <c r="CWD77" s="2198"/>
      <c r="CWE77" s="2198"/>
      <c r="CWF77" s="2198"/>
      <c r="CWG77" s="2198"/>
      <c r="CWH77" s="2198"/>
      <c r="CWI77" s="2198"/>
      <c r="CWJ77" s="2198"/>
      <c r="CWK77" s="2198"/>
      <c r="CWL77" s="2198"/>
      <c r="CWM77" s="2198"/>
      <c r="CWN77" s="2198"/>
      <c r="CWO77" s="2198"/>
      <c r="CWP77" s="2198"/>
      <c r="CWQ77" s="2198"/>
      <c r="CWR77" s="2198"/>
      <c r="CWS77" s="2198"/>
      <c r="CWT77" s="2198"/>
      <c r="CWU77" s="2198"/>
      <c r="CWV77" s="2198"/>
      <c r="CWW77" s="2198"/>
      <c r="CWX77" s="2198"/>
      <c r="CWY77" s="2198"/>
      <c r="CWZ77" s="2198"/>
      <c r="CXA77" s="2198"/>
      <c r="CXB77" s="2198"/>
      <c r="CXC77" s="2198"/>
      <c r="CXD77" s="2198"/>
      <c r="CXE77" s="2198"/>
      <c r="CXF77" s="2198"/>
      <c r="CXG77" s="2198"/>
      <c r="CXH77" s="2198"/>
      <c r="CXI77" s="2198"/>
      <c r="CXJ77" s="2198"/>
      <c r="CXK77" s="2198"/>
      <c r="CXL77" s="2198"/>
      <c r="CXM77" s="2198"/>
      <c r="CXN77" s="2198"/>
      <c r="CXO77" s="2198"/>
      <c r="CXP77" s="2198"/>
      <c r="CXQ77" s="2198"/>
      <c r="CXR77" s="2198"/>
      <c r="CXS77" s="2198"/>
      <c r="CXT77" s="2198"/>
      <c r="CXU77" s="2198"/>
      <c r="CXV77" s="2198"/>
      <c r="CXW77" s="2198"/>
      <c r="CXX77" s="2198"/>
      <c r="CXY77" s="2198"/>
      <c r="CXZ77" s="2198"/>
      <c r="CYA77" s="2198"/>
      <c r="CYB77" s="2198"/>
      <c r="CYC77" s="2198"/>
      <c r="CYD77" s="2198"/>
      <c r="CYE77" s="2198"/>
      <c r="CYF77" s="2198"/>
      <c r="CYG77" s="2198"/>
      <c r="CYH77" s="2198"/>
      <c r="CYI77" s="2198"/>
      <c r="CYJ77" s="2198"/>
      <c r="CYK77" s="2198"/>
      <c r="CYL77" s="2198"/>
      <c r="CYM77" s="2198"/>
      <c r="CYN77" s="2198"/>
      <c r="CYO77" s="2198"/>
      <c r="CYP77" s="2198"/>
      <c r="CYQ77" s="2198"/>
      <c r="CYR77" s="2198"/>
      <c r="CYS77" s="2198"/>
      <c r="CYT77" s="2198"/>
      <c r="CYU77" s="2198"/>
      <c r="CYV77" s="2198"/>
      <c r="CYW77" s="2198"/>
      <c r="CYX77" s="2198"/>
      <c r="CYY77" s="2198"/>
      <c r="CYZ77" s="2198"/>
      <c r="CZA77" s="2198"/>
      <c r="CZB77" s="2198"/>
      <c r="CZC77" s="2198"/>
      <c r="CZD77" s="2198"/>
      <c r="CZE77" s="2198"/>
      <c r="CZF77" s="2198"/>
      <c r="CZG77" s="2198"/>
      <c r="CZH77" s="2198"/>
      <c r="CZI77" s="2198"/>
      <c r="CZJ77" s="2198"/>
      <c r="CZK77" s="2198"/>
      <c r="CZL77" s="2198"/>
      <c r="CZM77" s="2198"/>
      <c r="CZN77" s="2198"/>
      <c r="CZO77" s="2198"/>
      <c r="CZP77" s="2198"/>
      <c r="CZQ77" s="2198"/>
      <c r="CZR77" s="2198"/>
      <c r="CZS77" s="2198"/>
      <c r="CZT77" s="2198"/>
      <c r="CZU77" s="2198"/>
      <c r="CZV77" s="2198"/>
      <c r="CZW77" s="2198"/>
      <c r="CZX77" s="2198"/>
      <c r="CZY77" s="2198"/>
      <c r="CZZ77" s="2198"/>
      <c r="DAA77" s="2198"/>
      <c r="DAB77" s="2198"/>
      <c r="DAC77" s="2198"/>
      <c r="DAD77" s="2198"/>
      <c r="DAE77" s="2198"/>
      <c r="DAF77" s="2198"/>
      <c r="DAG77" s="2198"/>
      <c r="DAH77" s="2198"/>
      <c r="DAI77" s="2198"/>
      <c r="DAJ77" s="2198"/>
      <c r="DAK77" s="2198"/>
      <c r="DAL77" s="2198"/>
      <c r="DAM77" s="2198"/>
      <c r="DAN77" s="2198"/>
      <c r="DAO77" s="2198"/>
      <c r="DAP77" s="2198"/>
      <c r="DAQ77" s="2198"/>
      <c r="DAR77" s="2198"/>
      <c r="DAS77" s="2198"/>
      <c r="DAT77" s="2198"/>
      <c r="DAU77" s="2198"/>
      <c r="DAV77" s="2198"/>
      <c r="DAW77" s="2198"/>
      <c r="DAX77" s="2198"/>
      <c r="DAY77" s="2198"/>
      <c r="DAZ77" s="2198"/>
      <c r="DBA77" s="2198"/>
      <c r="DBB77" s="2198"/>
      <c r="DBC77" s="2198"/>
      <c r="DBD77" s="2198"/>
      <c r="DBE77" s="2198"/>
      <c r="DBF77" s="2198"/>
      <c r="DBG77" s="2198"/>
      <c r="DBH77" s="2198"/>
      <c r="DBI77" s="2198"/>
      <c r="DBJ77" s="2198"/>
      <c r="DBK77" s="2198"/>
      <c r="DBL77" s="2198"/>
      <c r="DBM77" s="2198"/>
      <c r="DBN77" s="2198"/>
      <c r="DBO77" s="2198"/>
      <c r="DBP77" s="2198"/>
      <c r="DBQ77" s="2198"/>
      <c r="DBR77" s="2198"/>
      <c r="DBS77" s="2198"/>
      <c r="DBT77" s="2198"/>
      <c r="DBU77" s="2198"/>
      <c r="DBV77" s="2198"/>
      <c r="DBW77" s="2198"/>
      <c r="DBX77" s="2198"/>
      <c r="DBY77" s="2198"/>
      <c r="DBZ77" s="2198"/>
      <c r="DCA77" s="2198"/>
      <c r="DCB77" s="2198"/>
      <c r="DCC77" s="2198"/>
      <c r="DCD77" s="2198"/>
      <c r="DCE77" s="2198"/>
      <c r="DCF77" s="2198"/>
      <c r="DCG77" s="2198"/>
      <c r="DCH77" s="2198"/>
      <c r="DCI77" s="2198"/>
      <c r="DCJ77" s="2198"/>
      <c r="DCK77" s="2198"/>
      <c r="DCL77" s="2198"/>
      <c r="DCM77" s="2198"/>
      <c r="DCN77" s="2198"/>
      <c r="DCO77" s="2198"/>
      <c r="DCP77" s="2198"/>
      <c r="DCQ77" s="2198"/>
      <c r="DCR77" s="2198"/>
      <c r="DCS77" s="2198"/>
      <c r="DCT77" s="2198"/>
      <c r="DCU77" s="2198"/>
      <c r="DCV77" s="2198"/>
      <c r="DCW77" s="2198"/>
      <c r="DCX77" s="2198"/>
      <c r="DCY77" s="2198"/>
      <c r="DCZ77" s="2198"/>
      <c r="DDA77" s="2198"/>
      <c r="DDB77" s="2198"/>
      <c r="DDC77" s="2198"/>
      <c r="DDD77" s="2198"/>
      <c r="DDE77" s="2198"/>
      <c r="DDF77" s="2198"/>
      <c r="DDG77" s="2198"/>
      <c r="DDH77" s="2198"/>
      <c r="DDI77" s="2198"/>
      <c r="DDJ77" s="2198"/>
      <c r="DDK77" s="2198"/>
      <c r="DDL77" s="2198"/>
      <c r="DDM77" s="2198"/>
      <c r="DDN77" s="2198"/>
      <c r="DDO77" s="2198"/>
      <c r="DDP77" s="2198"/>
      <c r="DDQ77" s="2198"/>
      <c r="DDR77" s="2198"/>
      <c r="DDS77" s="2198"/>
      <c r="DDT77" s="2198"/>
      <c r="DDU77" s="2198"/>
      <c r="DDV77" s="2198"/>
      <c r="DDW77" s="2198"/>
      <c r="DDX77" s="2198"/>
      <c r="DDY77" s="2198"/>
      <c r="DDZ77" s="2198"/>
      <c r="DEA77" s="2198"/>
      <c r="DEB77" s="2198"/>
      <c r="DEC77" s="2198"/>
      <c r="DED77" s="2198"/>
      <c r="DEE77" s="2198"/>
      <c r="DEF77" s="2198"/>
      <c r="DEG77" s="2198"/>
      <c r="DEH77" s="2198"/>
      <c r="DEI77" s="2198"/>
      <c r="DEJ77" s="2198"/>
      <c r="DEK77" s="2198"/>
      <c r="DEL77" s="2198"/>
      <c r="DEM77" s="2198"/>
      <c r="DEN77" s="2198"/>
      <c r="DEO77" s="2198"/>
      <c r="DEP77" s="2198"/>
      <c r="DEQ77" s="2198"/>
      <c r="DER77" s="2198"/>
      <c r="DES77" s="2198"/>
      <c r="DET77" s="2198"/>
      <c r="DEU77" s="2198"/>
      <c r="DEV77" s="2198"/>
      <c r="DEW77" s="2198"/>
      <c r="DEX77" s="2198"/>
      <c r="DEY77" s="2198"/>
      <c r="DEZ77" s="2198"/>
      <c r="DFA77" s="2198"/>
      <c r="DFB77" s="2198"/>
      <c r="DFC77" s="2198"/>
      <c r="DFD77" s="2198"/>
      <c r="DFE77" s="2198"/>
      <c r="DFF77" s="2198"/>
      <c r="DFG77" s="2198"/>
      <c r="DFH77" s="2198"/>
      <c r="DFI77" s="2198"/>
      <c r="DFJ77" s="2198"/>
      <c r="DFK77" s="2198"/>
      <c r="DFL77" s="2198"/>
      <c r="DFM77" s="2198"/>
      <c r="DFN77" s="2198"/>
      <c r="DFO77" s="2198"/>
      <c r="DFP77" s="2198"/>
      <c r="DFQ77" s="2198"/>
      <c r="DFR77" s="2198"/>
      <c r="DFS77" s="2198"/>
      <c r="DFT77" s="2198"/>
      <c r="DFU77" s="2198"/>
      <c r="DFV77" s="2198"/>
      <c r="DFW77" s="2198"/>
      <c r="DFX77" s="2198"/>
      <c r="DFY77" s="2198"/>
      <c r="DFZ77" s="2198"/>
      <c r="DGA77" s="2198"/>
      <c r="DGB77" s="2198"/>
      <c r="DGC77" s="2198"/>
      <c r="DGD77" s="2198"/>
      <c r="DGE77" s="2198"/>
      <c r="DGF77" s="2198"/>
      <c r="DGG77" s="2198"/>
      <c r="DGH77" s="2198"/>
      <c r="DGI77" s="2198"/>
      <c r="DGJ77" s="2198"/>
      <c r="DGK77" s="2198"/>
      <c r="DGL77" s="2198"/>
      <c r="DGM77" s="2198"/>
      <c r="DGN77" s="2198"/>
      <c r="DGO77" s="2198"/>
      <c r="DGP77" s="2198"/>
      <c r="DGQ77" s="2198"/>
      <c r="DGR77" s="2198"/>
      <c r="DGS77" s="2198"/>
      <c r="DGT77" s="2198"/>
      <c r="DGU77" s="2198"/>
      <c r="DGV77" s="2198"/>
      <c r="DGW77" s="2198"/>
      <c r="DGX77" s="2198"/>
      <c r="DGY77" s="2198"/>
      <c r="DGZ77" s="2198"/>
      <c r="DHA77" s="2198"/>
      <c r="DHB77" s="2198"/>
      <c r="DHC77" s="2198"/>
      <c r="DHD77" s="2198"/>
      <c r="DHE77" s="2198"/>
      <c r="DHF77" s="2198"/>
      <c r="DHG77" s="2198"/>
      <c r="DHH77" s="2198"/>
      <c r="DHI77" s="2198"/>
      <c r="DHJ77" s="2198"/>
      <c r="DHK77" s="2198"/>
      <c r="DHL77" s="2198"/>
      <c r="DHM77" s="2198"/>
      <c r="DHN77" s="2198"/>
      <c r="DHO77" s="2198"/>
      <c r="DHP77" s="2198"/>
      <c r="DHQ77" s="2198"/>
      <c r="DHR77" s="2198"/>
      <c r="DHS77" s="2198"/>
      <c r="DHT77" s="2198"/>
      <c r="DHU77" s="2198"/>
      <c r="DHV77" s="2198"/>
      <c r="DHW77" s="2198"/>
      <c r="DHX77" s="2198"/>
      <c r="DHY77" s="2198"/>
      <c r="DHZ77" s="2198"/>
      <c r="DIA77" s="2198"/>
      <c r="DIB77" s="2198"/>
      <c r="DIC77" s="2198"/>
      <c r="DID77" s="2198"/>
      <c r="DIE77" s="2198"/>
      <c r="DIF77" s="2198"/>
      <c r="DIG77" s="2198"/>
      <c r="DIH77" s="2198"/>
      <c r="DII77" s="2198"/>
      <c r="DIJ77" s="2198"/>
      <c r="DIK77" s="2198"/>
      <c r="DIL77" s="2198"/>
      <c r="DIM77" s="2198"/>
      <c r="DIN77" s="2198"/>
      <c r="DIO77" s="2198"/>
      <c r="DIP77" s="2198"/>
      <c r="DIQ77" s="2198"/>
      <c r="DIR77" s="2198"/>
      <c r="DIS77" s="2198"/>
      <c r="DIT77" s="2198"/>
      <c r="DIU77" s="2198"/>
      <c r="DIV77" s="2198"/>
      <c r="DIW77" s="2198"/>
      <c r="DIX77" s="2198"/>
      <c r="DIY77" s="2198"/>
      <c r="DIZ77" s="2198"/>
      <c r="DJA77" s="2198"/>
      <c r="DJB77" s="2198"/>
      <c r="DJC77" s="2198"/>
      <c r="DJD77" s="2198"/>
      <c r="DJE77" s="2198"/>
      <c r="DJF77" s="2198"/>
      <c r="DJG77" s="2198"/>
      <c r="DJH77" s="2198"/>
      <c r="DJI77" s="2198"/>
      <c r="DJJ77" s="2198"/>
      <c r="DJK77" s="2198"/>
      <c r="DJL77" s="2198"/>
      <c r="DJM77" s="2198"/>
      <c r="DJN77" s="2198"/>
      <c r="DJO77" s="2198"/>
      <c r="DJP77" s="2198"/>
      <c r="DJQ77" s="2198"/>
      <c r="DJR77" s="2198"/>
      <c r="DJS77" s="2198"/>
      <c r="DJT77" s="2198"/>
      <c r="DJU77" s="2198"/>
      <c r="DJV77" s="2198"/>
      <c r="DJW77" s="2198"/>
      <c r="DJX77" s="2198"/>
      <c r="DJY77" s="2198"/>
      <c r="DJZ77" s="2198"/>
      <c r="DKA77" s="2198"/>
      <c r="DKB77" s="2198"/>
      <c r="DKC77" s="2198"/>
      <c r="DKD77" s="2198"/>
      <c r="DKE77" s="2198"/>
      <c r="DKF77" s="2198"/>
      <c r="DKG77" s="2198"/>
      <c r="DKH77" s="2198"/>
      <c r="DKI77" s="2198"/>
      <c r="DKJ77" s="2198"/>
      <c r="DKK77" s="2198"/>
      <c r="DKL77" s="2198"/>
      <c r="DKM77" s="2198"/>
      <c r="DKN77" s="2198"/>
      <c r="DKO77" s="2198"/>
      <c r="DKP77" s="2198"/>
      <c r="DKQ77" s="2198"/>
      <c r="DKR77" s="2198"/>
      <c r="DKS77" s="2198"/>
      <c r="DKT77" s="2198"/>
      <c r="DKU77" s="2198"/>
      <c r="DKV77" s="2198"/>
      <c r="DKW77" s="2198"/>
      <c r="DKX77" s="2198"/>
      <c r="DKY77" s="2198"/>
      <c r="DKZ77" s="2198"/>
      <c r="DLA77" s="2198"/>
      <c r="DLB77" s="2198"/>
      <c r="DLC77" s="2198"/>
      <c r="DLD77" s="2198"/>
      <c r="DLE77" s="2198"/>
      <c r="DLF77" s="2198"/>
      <c r="DLG77" s="2198"/>
      <c r="DLH77" s="2198"/>
      <c r="DLI77" s="2198"/>
      <c r="DLJ77" s="2198"/>
      <c r="DLK77" s="2198"/>
      <c r="DLL77" s="2198"/>
      <c r="DLM77" s="2198"/>
      <c r="DLN77" s="2198"/>
      <c r="DLO77" s="2198"/>
      <c r="DLP77" s="2198"/>
      <c r="DLQ77" s="2198"/>
      <c r="DLR77" s="2198"/>
      <c r="DLS77" s="2198"/>
      <c r="DLT77" s="2198"/>
      <c r="DLU77" s="2198"/>
      <c r="DLV77" s="2198"/>
      <c r="DLW77" s="2198"/>
      <c r="DLX77" s="2198"/>
      <c r="DLY77" s="2198"/>
      <c r="DLZ77" s="2198"/>
      <c r="DMA77" s="2198"/>
      <c r="DMB77" s="2198"/>
      <c r="DMC77" s="2198"/>
      <c r="DMD77" s="2198"/>
      <c r="DME77" s="2198"/>
      <c r="DMF77" s="2198"/>
      <c r="DMG77" s="2198"/>
      <c r="DMH77" s="2198"/>
      <c r="DMI77" s="2198"/>
      <c r="DMJ77" s="2198"/>
      <c r="DMK77" s="2198"/>
      <c r="DML77" s="2198"/>
      <c r="DMM77" s="2198"/>
      <c r="DMN77" s="2198"/>
      <c r="DMO77" s="2198"/>
      <c r="DMP77" s="2198"/>
      <c r="DMQ77" s="2198"/>
      <c r="DMR77" s="2198"/>
      <c r="DMS77" s="2198"/>
      <c r="DMT77" s="2198"/>
      <c r="DMU77" s="2198"/>
      <c r="DMV77" s="2198"/>
      <c r="DMW77" s="2198"/>
      <c r="DMX77" s="2198"/>
      <c r="DMY77" s="2198"/>
      <c r="DMZ77" s="2198"/>
      <c r="DNA77" s="2198"/>
      <c r="DNB77" s="2198"/>
      <c r="DNC77" s="2198"/>
      <c r="DND77" s="2198"/>
      <c r="DNE77" s="2198"/>
      <c r="DNF77" s="2198"/>
      <c r="DNG77" s="2198"/>
      <c r="DNH77" s="2198"/>
      <c r="DNI77" s="2198"/>
      <c r="DNJ77" s="2198"/>
      <c r="DNK77" s="2198"/>
      <c r="DNL77" s="2198"/>
      <c r="DNM77" s="2198"/>
      <c r="DNN77" s="2198"/>
      <c r="DNO77" s="2198"/>
      <c r="DNP77" s="2198"/>
      <c r="DNQ77" s="2198"/>
      <c r="DNR77" s="2198"/>
      <c r="DNS77" s="2198"/>
      <c r="DNT77" s="2198"/>
      <c r="DNU77" s="2198"/>
      <c r="DNV77" s="2198"/>
      <c r="DNW77" s="2198"/>
      <c r="DNX77" s="2198"/>
      <c r="DNY77" s="2198"/>
      <c r="DNZ77" s="2198"/>
      <c r="DOA77" s="2198"/>
      <c r="DOB77" s="2198"/>
      <c r="DOC77" s="2198"/>
      <c r="DOD77" s="2198"/>
      <c r="DOE77" s="2198"/>
      <c r="DOF77" s="2198"/>
      <c r="DOG77" s="2198"/>
      <c r="DOH77" s="2198"/>
      <c r="DOI77" s="2198"/>
      <c r="DOJ77" s="2198"/>
      <c r="DOK77" s="2198"/>
      <c r="DOL77" s="2198"/>
      <c r="DOM77" s="2198"/>
      <c r="DON77" s="2198"/>
      <c r="DOO77" s="2198"/>
      <c r="DOP77" s="2198"/>
      <c r="DOQ77" s="2198"/>
      <c r="DOR77" s="2198"/>
      <c r="DOS77" s="2198"/>
      <c r="DOT77" s="2198"/>
      <c r="DOU77" s="2198"/>
      <c r="DOV77" s="2198"/>
      <c r="DOW77" s="2198"/>
      <c r="DOX77" s="2198"/>
      <c r="DOY77" s="2198"/>
      <c r="DOZ77" s="2198"/>
      <c r="DPA77" s="2198"/>
      <c r="DPB77" s="2198"/>
      <c r="DPC77" s="2198"/>
      <c r="DPD77" s="2198"/>
      <c r="DPE77" s="2198"/>
      <c r="DPF77" s="2198"/>
      <c r="DPG77" s="2198"/>
      <c r="DPH77" s="2198"/>
      <c r="DPI77" s="2198"/>
      <c r="DPJ77" s="2198"/>
      <c r="DPK77" s="2198"/>
      <c r="DPL77" s="2198"/>
      <c r="DPM77" s="2198"/>
      <c r="DPN77" s="2198"/>
      <c r="DPO77" s="2198"/>
      <c r="DPP77" s="2198"/>
      <c r="DPQ77" s="2198"/>
      <c r="DPR77" s="2198"/>
      <c r="DPS77" s="2198"/>
      <c r="DPT77" s="2198"/>
      <c r="DPU77" s="2198"/>
      <c r="DPV77" s="2198"/>
      <c r="DPW77" s="2198"/>
      <c r="DPX77" s="2198"/>
      <c r="DPY77" s="2198"/>
      <c r="DPZ77" s="2198"/>
      <c r="DQA77" s="2198"/>
      <c r="DQB77" s="2198"/>
      <c r="DQC77" s="2198"/>
      <c r="DQD77" s="2198"/>
      <c r="DQE77" s="2198"/>
      <c r="DQF77" s="2198"/>
      <c r="DQG77" s="2198"/>
      <c r="DQH77" s="2198"/>
      <c r="DQI77" s="2198"/>
      <c r="DQJ77" s="2198"/>
      <c r="DQK77" s="2198"/>
      <c r="DQL77" s="2198"/>
      <c r="DQM77" s="2198"/>
      <c r="DQN77" s="2198"/>
      <c r="DQO77" s="2198"/>
      <c r="DQP77" s="2198"/>
      <c r="DQQ77" s="2198"/>
      <c r="DQR77" s="2198"/>
      <c r="DQS77" s="2198"/>
      <c r="DQT77" s="2198"/>
      <c r="DQU77" s="2198"/>
      <c r="DQV77" s="2198"/>
      <c r="DQW77" s="2198"/>
      <c r="DQX77" s="2198"/>
      <c r="DQY77" s="2198"/>
      <c r="DQZ77" s="2198"/>
      <c r="DRA77" s="2198"/>
      <c r="DRB77" s="2198"/>
      <c r="DRC77" s="2198"/>
      <c r="DRD77" s="2198"/>
      <c r="DRE77" s="2198"/>
      <c r="DRF77" s="2198"/>
      <c r="DRG77" s="2198"/>
      <c r="DRH77" s="2198"/>
      <c r="DRI77" s="2198"/>
      <c r="DRJ77" s="2198"/>
      <c r="DRK77" s="2198"/>
      <c r="DRL77" s="2198"/>
      <c r="DRM77" s="2198"/>
      <c r="DRN77" s="2198"/>
      <c r="DRO77" s="2198"/>
      <c r="DRP77" s="2198"/>
      <c r="DRQ77" s="2198"/>
      <c r="DRR77" s="2198"/>
      <c r="DRS77" s="2198"/>
      <c r="DRT77" s="2198"/>
      <c r="DRU77" s="2198"/>
      <c r="DRV77" s="2198"/>
      <c r="DRW77" s="2198"/>
      <c r="DRX77" s="2198"/>
      <c r="DRY77" s="2198"/>
      <c r="DRZ77" s="2198"/>
      <c r="DSA77" s="2198"/>
      <c r="DSB77" s="2198"/>
      <c r="DSC77" s="2198"/>
      <c r="DSD77" s="2198"/>
      <c r="DSE77" s="2198"/>
      <c r="DSF77" s="2198"/>
      <c r="DSG77" s="2198"/>
      <c r="DSH77" s="2198"/>
      <c r="DSI77" s="2198"/>
      <c r="DSJ77" s="2198"/>
      <c r="DSK77" s="2198"/>
      <c r="DSL77" s="2198"/>
      <c r="DSM77" s="2198"/>
      <c r="DSN77" s="2198"/>
      <c r="DSO77" s="2198"/>
      <c r="DSP77" s="2198"/>
      <c r="DSQ77" s="2198"/>
      <c r="DSR77" s="2198"/>
      <c r="DSS77" s="2198"/>
      <c r="DST77" s="2198"/>
      <c r="DSU77" s="2198"/>
      <c r="DSV77" s="2198"/>
      <c r="DSW77" s="2198"/>
      <c r="DSX77" s="2198"/>
      <c r="DSY77" s="2198"/>
      <c r="DSZ77" s="2198"/>
      <c r="DTA77" s="2198"/>
      <c r="DTB77" s="2198"/>
      <c r="DTC77" s="2198"/>
      <c r="DTD77" s="2198"/>
      <c r="DTE77" s="2198"/>
      <c r="DTF77" s="2198"/>
      <c r="DTG77" s="2198"/>
      <c r="DTH77" s="2198"/>
      <c r="DTI77" s="2198"/>
      <c r="DTJ77" s="2198"/>
      <c r="DTK77" s="2198"/>
      <c r="DTL77" s="2198"/>
      <c r="DTM77" s="2198"/>
      <c r="DTN77" s="2198"/>
      <c r="DTO77" s="2198"/>
      <c r="DTP77" s="2198"/>
      <c r="DTQ77" s="2198"/>
      <c r="DTR77" s="2198"/>
      <c r="DTS77" s="2198"/>
      <c r="DTT77" s="2198"/>
      <c r="DTU77" s="2198"/>
      <c r="DTV77" s="2198"/>
      <c r="DTW77" s="2198"/>
      <c r="DTX77" s="2198"/>
      <c r="DTY77" s="2198"/>
      <c r="DTZ77" s="2198"/>
      <c r="DUA77" s="2198"/>
      <c r="DUB77" s="2198"/>
      <c r="DUC77" s="2198"/>
      <c r="DUD77" s="2198"/>
      <c r="DUE77" s="2198"/>
      <c r="DUF77" s="2198"/>
      <c r="DUG77" s="2198"/>
      <c r="DUH77" s="2198"/>
      <c r="DUI77" s="2198"/>
      <c r="DUJ77" s="2198"/>
      <c r="DUK77" s="2198"/>
      <c r="DUL77" s="2198"/>
      <c r="DUM77" s="2198"/>
      <c r="DUN77" s="2198"/>
      <c r="DUO77" s="2198"/>
      <c r="DUP77" s="2198"/>
      <c r="DUQ77" s="2198"/>
      <c r="DUR77" s="2198"/>
      <c r="DUS77" s="2198"/>
      <c r="DUT77" s="2198"/>
      <c r="DUU77" s="2198"/>
      <c r="DUV77" s="2198"/>
      <c r="DUW77" s="2198"/>
      <c r="DUX77" s="2198"/>
      <c r="DUY77" s="2198"/>
      <c r="DUZ77" s="2198"/>
      <c r="DVA77" s="2198"/>
      <c r="DVB77" s="2198"/>
      <c r="DVC77" s="2198"/>
      <c r="DVD77" s="2198"/>
      <c r="DVE77" s="2198"/>
      <c r="DVF77" s="2198"/>
      <c r="DVG77" s="2198"/>
      <c r="DVH77" s="2198"/>
      <c r="DVI77" s="2198"/>
      <c r="DVJ77" s="2198"/>
      <c r="DVK77" s="2198"/>
      <c r="DVL77" s="2198"/>
      <c r="DVM77" s="2198"/>
      <c r="DVN77" s="2198"/>
      <c r="DVO77" s="2198"/>
      <c r="DVP77" s="2198"/>
      <c r="DVQ77" s="2198"/>
      <c r="DVR77" s="2198"/>
      <c r="DVS77" s="2198"/>
      <c r="DVT77" s="2198"/>
      <c r="DVU77" s="2198"/>
      <c r="DVV77" s="2198"/>
      <c r="DVW77" s="2198"/>
      <c r="DVX77" s="2198"/>
      <c r="DVY77" s="2198"/>
      <c r="DVZ77" s="2198"/>
      <c r="DWA77" s="2198"/>
      <c r="DWB77" s="2198"/>
      <c r="DWC77" s="2198"/>
      <c r="DWD77" s="2198"/>
      <c r="DWE77" s="2198"/>
      <c r="DWF77" s="2198"/>
      <c r="DWG77" s="2198"/>
      <c r="DWH77" s="2198"/>
      <c r="DWI77" s="2198"/>
      <c r="DWJ77" s="2198"/>
      <c r="DWK77" s="2198"/>
      <c r="DWL77" s="2198"/>
      <c r="DWM77" s="2198"/>
      <c r="DWN77" s="2198"/>
      <c r="DWO77" s="2198"/>
      <c r="DWP77" s="2198"/>
      <c r="DWQ77" s="2198"/>
      <c r="DWR77" s="2198"/>
      <c r="DWS77" s="2198"/>
      <c r="DWT77" s="2198"/>
      <c r="DWU77" s="2198"/>
      <c r="DWV77" s="2198"/>
      <c r="DWW77" s="2198"/>
      <c r="DWX77" s="2198"/>
      <c r="DWY77" s="2198"/>
      <c r="DWZ77" s="2198"/>
      <c r="DXA77" s="2198"/>
      <c r="DXB77" s="2198"/>
      <c r="DXC77" s="2198"/>
      <c r="DXD77" s="2198"/>
      <c r="DXE77" s="2198"/>
      <c r="DXF77" s="2198"/>
      <c r="DXG77" s="2198"/>
      <c r="DXH77" s="2198"/>
      <c r="DXI77" s="2198"/>
      <c r="DXJ77" s="2198"/>
      <c r="DXK77" s="2198"/>
      <c r="DXL77" s="2198"/>
      <c r="DXM77" s="2198"/>
      <c r="DXN77" s="2198"/>
      <c r="DXO77" s="2198"/>
      <c r="DXP77" s="2198"/>
      <c r="DXQ77" s="2198"/>
      <c r="DXR77" s="2198"/>
      <c r="DXS77" s="2198"/>
      <c r="DXT77" s="2198"/>
      <c r="DXU77" s="2198"/>
      <c r="DXV77" s="2198"/>
      <c r="DXW77" s="2198"/>
      <c r="DXX77" s="2198"/>
      <c r="DXY77" s="2198"/>
      <c r="DXZ77" s="2198"/>
      <c r="DYA77" s="2198"/>
      <c r="DYB77" s="2198"/>
      <c r="DYC77" s="2198"/>
      <c r="DYD77" s="2198"/>
      <c r="DYE77" s="2198"/>
      <c r="DYF77" s="2198"/>
      <c r="DYG77" s="2198"/>
      <c r="DYH77" s="2198"/>
      <c r="DYI77" s="2198"/>
      <c r="DYJ77" s="2198"/>
      <c r="DYK77" s="2198"/>
      <c r="DYL77" s="2198"/>
      <c r="DYM77" s="2198"/>
      <c r="DYN77" s="2198"/>
      <c r="DYO77" s="2198"/>
      <c r="DYP77" s="2198"/>
      <c r="DYQ77" s="2198"/>
      <c r="DYR77" s="2198"/>
      <c r="DYS77" s="2198"/>
      <c r="DYT77" s="2198"/>
      <c r="DYU77" s="2198"/>
      <c r="DYV77" s="2198"/>
      <c r="DYW77" s="2198"/>
      <c r="DYX77" s="2198"/>
      <c r="DYY77" s="2198"/>
      <c r="DYZ77" s="2198"/>
      <c r="DZA77" s="2198"/>
      <c r="DZB77" s="2198"/>
      <c r="DZC77" s="2198"/>
      <c r="DZD77" s="2198"/>
      <c r="DZE77" s="2198"/>
      <c r="DZF77" s="2198"/>
      <c r="DZG77" s="2198"/>
      <c r="DZH77" s="2198"/>
      <c r="DZI77" s="2198"/>
      <c r="DZJ77" s="2198"/>
      <c r="DZK77" s="2198"/>
      <c r="DZL77" s="2198"/>
      <c r="DZM77" s="2198"/>
      <c r="DZN77" s="2198"/>
      <c r="DZO77" s="2198"/>
      <c r="DZP77" s="2198"/>
      <c r="DZQ77" s="2198"/>
      <c r="DZR77" s="2198"/>
      <c r="DZS77" s="2198"/>
      <c r="DZT77" s="2198"/>
      <c r="DZU77" s="2198"/>
      <c r="DZV77" s="2198"/>
      <c r="DZW77" s="2198"/>
      <c r="DZX77" s="2198"/>
      <c r="DZY77" s="2198"/>
      <c r="DZZ77" s="2198"/>
      <c r="EAA77" s="2198"/>
      <c r="EAB77" s="2198"/>
      <c r="EAC77" s="2198"/>
      <c r="EAD77" s="2198"/>
      <c r="EAE77" s="2198"/>
      <c r="EAF77" s="2198"/>
      <c r="EAG77" s="2198"/>
      <c r="EAH77" s="2198"/>
      <c r="EAI77" s="2198"/>
      <c r="EAJ77" s="2198"/>
      <c r="EAK77" s="2198"/>
      <c r="EAL77" s="2198"/>
      <c r="EAM77" s="2198"/>
      <c r="EAN77" s="2198"/>
      <c r="EAO77" s="2198"/>
      <c r="EAP77" s="2198"/>
      <c r="EAQ77" s="2198"/>
      <c r="EAR77" s="2198"/>
      <c r="EAS77" s="2198"/>
      <c r="EAT77" s="2198"/>
      <c r="EAU77" s="2198"/>
      <c r="EAV77" s="2198"/>
      <c r="EAW77" s="2198"/>
      <c r="EAX77" s="2198"/>
      <c r="EAY77" s="2198"/>
      <c r="EAZ77" s="2198"/>
      <c r="EBA77" s="2198"/>
      <c r="EBB77" s="2198"/>
      <c r="EBC77" s="2198"/>
      <c r="EBD77" s="2198"/>
      <c r="EBE77" s="2198"/>
      <c r="EBF77" s="2198"/>
      <c r="EBG77" s="2198"/>
      <c r="EBH77" s="2198"/>
      <c r="EBI77" s="2198"/>
      <c r="EBJ77" s="2198"/>
      <c r="EBK77" s="2198"/>
      <c r="EBL77" s="2198"/>
      <c r="EBM77" s="2198"/>
      <c r="EBN77" s="2198"/>
      <c r="EBO77" s="2198"/>
      <c r="EBP77" s="2198"/>
      <c r="EBQ77" s="2198"/>
      <c r="EBR77" s="2198"/>
      <c r="EBS77" s="2198"/>
      <c r="EBT77" s="2198"/>
      <c r="EBU77" s="2198"/>
      <c r="EBV77" s="2198"/>
      <c r="EBW77" s="2198"/>
      <c r="EBX77" s="2198"/>
      <c r="EBY77" s="2198"/>
      <c r="EBZ77" s="2198"/>
      <c r="ECA77" s="2198"/>
      <c r="ECB77" s="2198"/>
      <c r="ECC77" s="2198"/>
      <c r="ECD77" s="2198"/>
      <c r="ECE77" s="2198"/>
      <c r="ECF77" s="2198"/>
      <c r="ECG77" s="2198"/>
      <c r="ECH77" s="2198"/>
      <c r="ECI77" s="2198"/>
      <c r="ECJ77" s="2198"/>
      <c r="ECK77" s="2198"/>
      <c r="ECL77" s="2198"/>
      <c r="ECM77" s="2198"/>
      <c r="ECN77" s="2198"/>
      <c r="ECO77" s="2198"/>
      <c r="ECP77" s="2198"/>
      <c r="ECQ77" s="2198"/>
      <c r="ECR77" s="2198"/>
      <c r="ECS77" s="2198"/>
      <c r="ECT77" s="2198"/>
      <c r="ECU77" s="2198"/>
      <c r="ECV77" s="2198"/>
      <c r="ECW77" s="2198"/>
      <c r="ECX77" s="2198"/>
      <c r="ECY77" s="2198"/>
      <c r="ECZ77" s="2198"/>
      <c r="EDA77" s="2198"/>
      <c r="EDB77" s="2198"/>
      <c r="EDC77" s="2198"/>
      <c r="EDD77" s="2198"/>
      <c r="EDE77" s="2198"/>
      <c r="EDF77" s="2198"/>
      <c r="EDG77" s="2198"/>
      <c r="EDH77" s="2198"/>
      <c r="EDI77" s="2198"/>
      <c r="EDJ77" s="2198"/>
      <c r="EDK77" s="2198"/>
      <c r="EDL77" s="2198"/>
      <c r="EDM77" s="2198"/>
      <c r="EDN77" s="2198"/>
      <c r="EDO77" s="2198"/>
      <c r="EDP77" s="2198"/>
      <c r="EDQ77" s="2198"/>
      <c r="EDR77" s="2198"/>
      <c r="EDS77" s="2198"/>
      <c r="EDT77" s="2198"/>
      <c r="EDU77" s="2198"/>
      <c r="EDV77" s="2198"/>
      <c r="EDW77" s="2198"/>
      <c r="EDX77" s="2198"/>
      <c r="EDY77" s="2198"/>
      <c r="EDZ77" s="2198"/>
      <c r="EEA77" s="2198"/>
      <c r="EEB77" s="2198"/>
      <c r="EEC77" s="2198"/>
      <c r="EED77" s="2198"/>
      <c r="EEE77" s="2198"/>
      <c r="EEF77" s="2198"/>
      <c r="EEG77" s="2198"/>
      <c r="EEH77" s="2198"/>
      <c r="EEI77" s="2198"/>
      <c r="EEJ77" s="2198"/>
      <c r="EEK77" s="2198"/>
      <c r="EEL77" s="2198"/>
      <c r="EEM77" s="2198"/>
      <c r="EEN77" s="2198"/>
      <c r="EEO77" s="2198"/>
      <c r="EEP77" s="2198"/>
      <c r="EEQ77" s="2198"/>
      <c r="EER77" s="2198"/>
      <c r="EES77" s="2198"/>
      <c r="EET77" s="2198"/>
      <c r="EEU77" s="2198"/>
      <c r="EEV77" s="2198"/>
      <c r="EEW77" s="2198"/>
      <c r="EEX77" s="2198"/>
      <c r="EEY77" s="2198"/>
      <c r="EEZ77" s="2198"/>
      <c r="EFA77" s="2198"/>
      <c r="EFB77" s="2198"/>
      <c r="EFC77" s="2198"/>
      <c r="EFD77" s="2198"/>
      <c r="EFE77" s="2198"/>
      <c r="EFF77" s="2198"/>
      <c r="EFG77" s="2198"/>
      <c r="EFH77" s="2198"/>
      <c r="EFI77" s="2198"/>
      <c r="EFJ77" s="2198"/>
      <c r="EFK77" s="2198"/>
      <c r="EFL77" s="2198"/>
      <c r="EFM77" s="2198"/>
      <c r="EFN77" s="2198"/>
      <c r="EFO77" s="2198"/>
      <c r="EFP77" s="2198"/>
      <c r="EFQ77" s="2198"/>
      <c r="EFR77" s="2198"/>
      <c r="EFS77" s="2198"/>
      <c r="EFT77" s="2198"/>
      <c r="EFU77" s="2198"/>
      <c r="EFV77" s="2198"/>
      <c r="EFW77" s="2198"/>
      <c r="EFX77" s="2198"/>
      <c r="EFY77" s="2198"/>
      <c r="EFZ77" s="2198"/>
      <c r="EGA77" s="2198"/>
      <c r="EGB77" s="2198"/>
      <c r="EGC77" s="2198"/>
      <c r="EGD77" s="2198"/>
      <c r="EGE77" s="2198"/>
      <c r="EGF77" s="2198"/>
      <c r="EGG77" s="2198"/>
      <c r="EGH77" s="2198"/>
      <c r="EGI77" s="2198"/>
      <c r="EGJ77" s="2198"/>
      <c r="EGK77" s="2198"/>
      <c r="EGL77" s="2198"/>
      <c r="EGM77" s="2198"/>
      <c r="EGN77" s="2198"/>
      <c r="EGO77" s="2198"/>
      <c r="EGP77" s="2198"/>
      <c r="EGQ77" s="2198"/>
      <c r="EGR77" s="2198"/>
      <c r="EGS77" s="2198"/>
      <c r="EGT77" s="2198"/>
      <c r="EGU77" s="2198"/>
      <c r="EGV77" s="2198"/>
      <c r="EGW77" s="2198"/>
      <c r="EGX77" s="2198"/>
      <c r="EGY77" s="2198"/>
      <c r="EGZ77" s="2198"/>
      <c r="EHA77" s="2198"/>
      <c r="EHB77" s="2198"/>
      <c r="EHC77" s="2198"/>
      <c r="EHD77" s="2198"/>
      <c r="EHE77" s="2198"/>
      <c r="EHF77" s="2198"/>
      <c r="EHG77" s="2198"/>
      <c r="EHH77" s="2198"/>
      <c r="EHI77" s="2198"/>
      <c r="EHJ77" s="2198"/>
      <c r="EHK77" s="2198"/>
      <c r="EHL77" s="2198"/>
      <c r="EHM77" s="2198"/>
      <c r="EHN77" s="2198"/>
      <c r="EHO77" s="2198"/>
      <c r="EHP77" s="2198"/>
      <c r="EHQ77" s="2198"/>
      <c r="EHR77" s="2198"/>
      <c r="EHS77" s="2198"/>
      <c r="EHT77" s="2198"/>
      <c r="EHU77" s="2198"/>
      <c r="EHV77" s="2198"/>
      <c r="EHW77" s="2198"/>
      <c r="EHX77" s="2198"/>
      <c r="EHY77" s="2198"/>
      <c r="EHZ77" s="2198"/>
      <c r="EIA77" s="2198"/>
      <c r="EIB77" s="2198"/>
      <c r="EIC77" s="2198"/>
      <c r="EID77" s="2198"/>
      <c r="EIE77" s="2198"/>
      <c r="EIF77" s="2198"/>
      <c r="EIG77" s="2198"/>
      <c r="EIH77" s="2198"/>
      <c r="EII77" s="2198"/>
      <c r="EIJ77" s="2198"/>
      <c r="EIK77" s="2198"/>
      <c r="EIL77" s="2198"/>
      <c r="EIM77" s="2198"/>
      <c r="EIN77" s="2198"/>
      <c r="EIO77" s="2198"/>
      <c r="EIP77" s="2198"/>
      <c r="EIQ77" s="2198"/>
      <c r="EIR77" s="2198"/>
      <c r="EIS77" s="2198"/>
      <c r="EIT77" s="2198"/>
      <c r="EIU77" s="2198"/>
      <c r="EIV77" s="2198"/>
      <c r="EIW77" s="2198"/>
      <c r="EIX77" s="2198"/>
      <c r="EIY77" s="2198"/>
      <c r="EIZ77" s="2198"/>
      <c r="EJA77" s="2198"/>
      <c r="EJB77" s="2198"/>
      <c r="EJC77" s="2198"/>
      <c r="EJD77" s="2198"/>
      <c r="EJE77" s="2198"/>
      <c r="EJF77" s="2198"/>
      <c r="EJG77" s="2198"/>
      <c r="EJH77" s="2198"/>
      <c r="EJI77" s="2198"/>
      <c r="EJJ77" s="2198"/>
      <c r="EJK77" s="2198"/>
      <c r="EJL77" s="2198"/>
      <c r="EJM77" s="2198"/>
      <c r="EJN77" s="2198"/>
      <c r="EJO77" s="2198"/>
      <c r="EJP77" s="2198"/>
      <c r="EJQ77" s="2198"/>
      <c r="EJR77" s="2198"/>
      <c r="EJS77" s="2198"/>
      <c r="EJT77" s="2198"/>
      <c r="EJU77" s="2198"/>
      <c r="EJV77" s="2198"/>
      <c r="EJW77" s="2198"/>
      <c r="EJX77" s="2198"/>
      <c r="EJY77" s="2198"/>
      <c r="EJZ77" s="2198"/>
      <c r="EKA77" s="2198"/>
      <c r="EKB77" s="2198"/>
      <c r="EKC77" s="2198"/>
      <c r="EKD77" s="2198"/>
      <c r="EKE77" s="2198"/>
      <c r="EKF77" s="2198"/>
      <c r="EKG77" s="2198"/>
      <c r="EKH77" s="2198"/>
      <c r="EKI77" s="2198"/>
      <c r="EKJ77" s="2198"/>
      <c r="EKK77" s="2198"/>
      <c r="EKL77" s="2198"/>
      <c r="EKM77" s="2198"/>
      <c r="EKN77" s="2198"/>
      <c r="EKO77" s="2198"/>
      <c r="EKP77" s="2198"/>
      <c r="EKQ77" s="2198"/>
      <c r="EKR77" s="2198"/>
      <c r="EKS77" s="2198"/>
      <c r="EKT77" s="2198"/>
      <c r="EKU77" s="2198"/>
      <c r="EKV77" s="2198"/>
      <c r="EKW77" s="2198"/>
      <c r="EKX77" s="2198"/>
      <c r="EKY77" s="2198"/>
      <c r="EKZ77" s="2198"/>
      <c r="ELA77" s="2198"/>
      <c r="ELB77" s="2198"/>
      <c r="ELC77" s="2198"/>
      <c r="ELD77" s="2198"/>
      <c r="ELE77" s="2198"/>
      <c r="ELF77" s="2198"/>
      <c r="ELG77" s="2198"/>
      <c r="ELH77" s="2198"/>
      <c r="ELI77" s="2198"/>
      <c r="ELJ77" s="2198"/>
      <c r="ELK77" s="2198"/>
      <c r="ELL77" s="2198"/>
      <c r="ELM77" s="2198"/>
      <c r="ELN77" s="2198"/>
      <c r="ELO77" s="2198"/>
      <c r="ELP77" s="2198"/>
      <c r="ELQ77" s="2198"/>
      <c r="ELR77" s="2198"/>
      <c r="ELS77" s="2198"/>
      <c r="ELT77" s="2198"/>
      <c r="ELU77" s="2198"/>
      <c r="ELV77" s="2198"/>
      <c r="ELW77" s="2198"/>
      <c r="ELX77" s="2198"/>
      <c r="ELY77" s="2198"/>
      <c r="ELZ77" s="2198"/>
      <c r="EMA77" s="2198"/>
      <c r="EMB77" s="2198"/>
      <c r="EMC77" s="2198"/>
      <c r="EMD77" s="2198"/>
      <c r="EME77" s="2198"/>
      <c r="EMF77" s="2198"/>
      <c r="EMG77" s="2198"/>
      <c r="EMH77" s="2198"/>
      <c r="EMI77" s="2198"/>
      <c r="EMJ77" s="2198"/>
      <c r="EMK77" s="2198"/>
      <c r="EML77" s="2198"/>
      <c r="EMM77" s="2198"/>
      <c r="EMN77" s="2198"/>
      <c r="EMO77" s="2198"/>
      <c r="EMP77" s="2198"/>
      <c r="EMQ77" s="2198"/>
      <c r="EMR77" s="2198"/>
      <c r="EMS77" s="2198"/>
      <c r="EMT77" s="2198"/>
      <c r="EMU77" s="2198"/>
      <c r="EMV77" s="2198"/>
      <c r="EMW77" s="2198"/>
      <c r="EMX77" s="2198"/>
      <c r="EMY77" s="2198"/>
      <c r="EMZ77" s="2198"/>
      <c r="ENA77" s="2198"/>
      <c r="ENB77" s="2198"/>
      <c r="ENC77" s="2198"/>
      <c r="END77" s="2198"/>
      <c r="ENE77" s="2198"/>
      <c r="ENF77" s="2198"/>
      <c r="ENG77" s="2198"/>
      <c r="ENH77" s="2198"/>
      <c r="ENI77" s="2198"/>
      <c r="ENJ77" s="2198"/>
      <c r="ENK77" s="2198"/>
      <c r="ENL77" s="2198"/>
      <c r="ENM77" s="2198"/>
      <c r="ENN77" s="2198"/>
      <c r="ENO77" s="2198"/>
      <c r="ENP77" s="2198"/>
      <c r="ENQ77" s="2198"/>
      <c r="ENR77" s="2198"/>
      <c r="ENS77" s="2198"/>
      <c r="ENT77" s="2198"/>
      <c r="ENU77" s="2198"/>
      <c r="ENV77" s="2198"/>
      <c r="ENW77" s="2198"/>
      <c r="ENX77" s="2198"/>
      <c r="ENY77" s="2198"/>
      <c r="ENZ77" s="2198"/>
      <c r="EOA77" s="2198"/>
      <c r="EOB77" s="2198"/>
      <c r="EOC77" s="2198"/>
      <c r="EOD77" s="2198"/>
      <c r="EOE77" s="2198"/>
      <c r="EOF77" s="2198"/>
      <c r="EOG77" s="2198"/>
      <c r="EOH77" s="2198"/>
      <c r="EOI77" s="2198"/>
      <c r="EOJ77" s="2198"/>
      <c r="EOK77" s="2198"/>
      <c r="EOL77" s="2198"/>
      <c r="EOM77" s="2198"/>
      <c r="EON77" s="2198"/>
      <c r="EOO77" s="2198"/>
      <c r="EOP77" s="2198"/>
      <c r="EOQ77" s="2198"/>
      <c r="EOR77" s="2198"/>
      <c r="EOS77" s="2198"/>
      <c r="EOT77" s="2198"/>
      <c r="EOU77" s="2198"/>
      <c r="EOV77" s="2198"/>
      <c r="EOW77" s="2198"/>
      <c r="EOX77" s="2198"/>
      <c r="EOY77" s="2198"/>
      <c r="EOZ77" s="2198"/>
      <c r="EPA77" s="2198"/>
      <c r="EPB77" s="2198"/>
      <c r="EPC77" s="2198"/>
      <c r="EPD77" s="2198"/>
      <c r="EPE77" s="2198"/>
      <c r="EPF77" s="2198"/>
      <c r="EPG77" s="2198"/>
      <c r="EPH77" s="2198"/>
      <c r="EPI77" s="2198"/>
      <c r="EPJ77" s="2198"/>
      <c r="EPK77" s="2198"/>
      <c r="EPL77" s="2198"/>
      <c r="EPM77" s="2198"/>
      <c r="EPN77" s="2198"/>
      <c r="EPO77" s="2198"/>
      <c r="EPP77" s="2198"/>
      <c r="EPQ77" s="2198"/>
      <c r="EPR77" s="2198"/>
      <c r="EPS77" s="2198"/>
      <c r="EPT77" s="2198"/>
      <c r="EPU77" s="2198"/>
      <c r="EPV77" s="2198"/>
      <c r="EPW77" s="2198"/>
      <c r="EPX77" s="2198"/>
      <c r="EPY77" s="2198"/>
      <c r="EPZ77" s="2198"/>
      <c r="EQA77" s="2198"/>
      <c r="EQB77" s="2198"/>
      <c r="EQC77" s="2198"/>
      <c r="EQD77" s="2198"/>
      <c r="EQE77" s="2198"/>
      <c r="EQF77" s="2198"/>
      <c r="EQG77" s="2198"/>
      <c r="EQH77" s="2198"/>
      <c r="EQI77" s="2198"/>
      <c r="EQJ77" s="2198"/>
      <c r="EQK77" s="2198"/>
      <c r="EQL77" s="2198"/>
      <c r="EQM77" s="2198"/>
      <c r="EQN77" s="2198"/>
      <c r="EQO77" s="2198"/>
      <c r="EQP77" s="2198"/>
      <c r="EQQ77" s="2198"/>
      <c r="EQR77" s="2198"/>
      <c r="EQS77" s="2198"/>
      <c r="EQT77" s="2198"/>
      <c r="EQU77" s="2198"/>
      <c r="EQV77" s="2198"/>
      <c r="EQW77" s="2198"/>
      <c r="EQX77" s="2198"/>
      <c r="EQY77" s="2198"/>
      <c r="EQZ77" s="2198"/>
      <c r="ERA77" s="2198"/>
      <c r="ERB77" s="2198"/>
      <c r="ERC77" s="2198"/>
      <c r="ERD77" s="2198"/>
      <c r="ERE77" s="2198"/>
      <c r="ERF77" s="2198"/>
      <c r="ERG77" s="2198"/>
      <c r="ERH77" s="2198"/>
      <c r="ERI77" s="2198"/>
      <c r="ERJ77" s="2198"/>
      <c r="ERK77" s="2198"/>
      <c r="ERL77" s="2198"/>
      <c r="ERM77" s="2198"/>
      <c r="ERN77" s="2198"/>
      <c r="ERO77" s="2198"/>
      <c r="ERP77" s="2198"/>
      <c r="ERQ77" s="2198"/>
      <c r="ERR77" s="2198"/>
      <c r="ERS77" s="2198"/>
      <c r="ERT77" s="2198"/>
      <c r="ERU77" s="2198"/>
      <c r="ERV77" s="2198"/>
      <c r="ERW77" s="2198"/>
      <c r="ERX77" s="2198"/>
      <c r="ERY77" s="2198"/>
      <c r="ERZ77" s="2198"/>
      <c r="ESA77" s="2198"/>
      <c r="ESB77" s="2198"/>
      <c r="ESC77" s="2198"/>
      <c r="ESD77" s="2198"/>
      <c r="ESE77" s="2198"/>
      <c r="ESF77" s="2198"/>
      <c r="ESG77" s="2198"/>
      <c r="ESH77" s="2198"/>
      <c r="ESI77" s="2198"/>
      <c r="ESJ77" s="2198"/>
      <c r="ESK77" s="2198"/>
      <c r="ESL77" s="2198"/>
      <c r="ESM77" s="2198"/>
      <c r="ESN77" s="2198"/>
      <c r="ESO77" s="2198"/>
      <c r="ESP77" s="2198"/>
      <c r="ESQ77" s="2198"/>
      <c r="ESR77" s="2198"/>
      <c r="ESS77" s="2198"/>
      <c r="EST77" s="2198"/>
      <c r="ESU77" s="2198"/>
      <c r="ESV77" s="2198"/>
      <c r="ESW77" s="2198"/>
      <c r="ESX77" s="2198"/>
      <c r="ESY77" s="2198"/>
      <c r="ESZ77" s="2198"/>
      <c r="ETA77" s="2198"/>
      <c r="ETB77" s="2198"/>
      <c r="ETC77" s="2198"/>
      <c r="ETD77" s="2198"/>
      <c r="ETE77" s="2198"/>
      <c r="ETF77" s="2198"/>
      <c r="ETG77" s="2198"/>
      <c r="ETH77" s="2198"/>
      <c r="ETI77" s="2198"/>
      <c r="ETJ77" s="2198"/>
      <c r="ETK77" s="2198"/>
      <c r="ETL77" s="2198"/>
      <c r="ETM77" s="2198"/>
      <c r="ETN77" s="2198"/>
      <c r="ETO77" s="2198"/>
      <c r="ETP77" s="2198"/>
      <c r="ETQ77" s="2198"/>
      <c r="ETR77" s="2198"/>
      <c r="ETS77" s="2198"/>
      <c r="ETT77" s="2198"/>
      <c r="ETU77" s="2198"/>
      <c r="ETV77" s="2198"/>
      <c r="ETW77" s="2198"/>
      <c r="ETX77" s="2198"/>
      <c r="ETY77" s="2198"/>
      <c r="ETZ77" s="2198"/>
      <c r="EUA77" s="2198"/>
      <c r="EUB77" s="2198"/>
      <c r="EUC77" s="2198"/>
      <c r="EUD77" s="2198"/>
      <c r="EUE77" s="2198"/>
      <c r="EUF77" s="2198"/>
      <c r="EUG77" s="2198"/>
      <c r="EUH77" s="2198"/>
      <c r="EUI77" s="2198"/>
      <c r="EUJ77" s="2198"/>
      <c r="EUK77" s="2198"/>
      <c r="EUL77" s="2198"/>
      <c r="EUM77" s="2198"/>
      <c r="EUN77" s="2198"/>
      <c r="EUO77" s="2198"/>
      <c r="EUP77" s="2198"/>
      <c r="EUQ77" s="2198"/>
      <c r="EUR77" s="2198"/>
      <c r="EUS77" s="2198"/>
      <c r="EUT77" s="2198"/>
      <c r="EUU77" s="2198"/>
      <c r="EUV77" s="2198"/>
      <c r="EUW77" s="2198"/>
      <c r="EUX77" s="2198"/>
      <c r="EUY77" s="2198"/>
      <c r="EUZ77" s="2198"/>
      <c r="EVA77" s="2198"/>
      <c r="EVB77" s="2198"/>
      <c r="EVC77" s="2198"/>
      <c r="EVD77" s="2198"/>
      <c r="EVE77" s="2198"/>
      <c r="EVF77" s="2198"/>
      <c r="EVG77" s="2198"/>
      <c r="EVH77" s="2198"/>
      <c r="EVI77" s="2198"/>
      <c r="EVJ77" s="2198"/>
      <c r="EVK77" s="2198"/>
      <c r="EVL77" s="2198"/>
      <c r="EVM77" s="2198"/>
      <c r="EVN77" s="2198"/>
      <c r="EVO77" s="2198"/>
      <c r="EVP77" s="2198"/>
      <c r="EVQ77" s="2198"/>
      <c r="EVR77" s="2198"/>
      <c r="EVS77" s="2198"/>
      <c r="EVT77" s="2198"/>
      <c r="EVU77" s="2198"/>
      <c r="EVV77" s="2198"/>
      <c r="EVW77" s="2198"/>
      <c r="EVX77" s="2198"/>
      <c r="EVY77" s="2198"/>
      <c r="EVZ77" s="2198"/>
      <c r="EWA77" s="2198"/>
      <c r="EWB77" s="2198"/>
      <c r="EWC77" s="2198"/>
      <c r="EWD77" s="2198"/>
      <c r="EWE77" s="2198"/>
      <c r="EWF77" s="2198"/>
      <c r="EWG77" s="2198"/>
      <c r="EWH77" s="2198"/>
      <c r="EWI77" s="2198"/>
      <c r="EWJ77" s="2198"/>
      <c r="EWK77" s="2198"/>
      <c r="EWL77" s="2198"/>
      <c r="EWM77" s="2198"/>
      <c r="EWN77" s="2198"/>
      <c r="EWO77" s="2198"/>
      <c r="EWP77" s="2198"/>
      <c r="EWQ77" s="2198"/>
      <c r="EWR77" s="2198"/>
      <c r="EWS77" s="2198"/>
      <c r="EWT77" s="2198"/>
      <c r="EWU77" s="2198"/>
      <c r="EWV77" s="2198"/>
      <c r="EWW77" s="2198"/>
      <c r="EWX77" s="2198"/>
      <c r="EWY77" s="2198"/>
      <c r="EWZ77" s="2198"/>
      <c r="EXA77" s="2198"/>
      <c r="EXB77" s="2198"/>
      <c r="EXC77" s="2198"/>
      <c r="EXD77" s="2198"/>
      <c r="EXE77" s="2198"/>
      <c r="EXF77" s="2198"/>
      <c r="EXG77" s="2198"/>
      <c r="EXH77" s="2198"/>
      <c r="EXI77" s="2198"/>
      <c r="EXJ77" s="2198"/>
      <c r="EXK77" s="2198"/>
      <c r="EXL77" s="2198"/>
      <c r="EXM77" s="2198"/>
      <c r="EXN77" s="2198"/>
      <c r="EXO77" s="2198"/>
      <c r="EXP77" s="2198"/>
      <c r="EXQ77" s="2198"/>
      <c r="EXR77" s="2198"/>
      <c r="EXS77" s="2198"/>
      <c r="EXT77" s="2198"/>
      <c r="EXU77" s="2198"/>
      <c r="EXV77" s="2198"/>
      <c r="EXW77" s="2198"/>
      <c r="EXX77" s="2198"/>
      <c r="EXY77" s="2198"/>
      <c r="EXZ77" s="2198"/>
      <c r="EYA77" s="2198"/>
      <c r="EYB77" s="2198"/>
      <c r="EYC77" s="2198"/>
      <c r="EYD77" s="2198"/>
      <c r="EYE77" s="2198"/>
      <c r="EYF77" s="2198"/>
      <c r="EYG77" s="2198"/>
      <c r="EYH77" s="2198"/>
      <c r="EYI77" s="2198"/>
      <c r="EYJ77" s="2198"/>
      <c r="EYK77" s="2198"/>
      <c r="EYL77" s="2198"/>
      <c r="EYM77" s="2198"/>
      <c r="EYN77" s="2198"/>
      <c r="EYO77" s="2198"/>
      <c r="EYP77" s="2198"/>
      <c r="EYQ77" s="2198"/>
      <c r="EYR77" s="2198"/>
      <c r="EYS77" s="2198"/>
      <c r="EYT77" s="2198"/>
      <c r="EYU77" s="2198"/>
      <c r="EYV77" s="2198"/>
      <c r="EYW77" s="2198"/>
      <c r="EYX77" s="2198"/>
      <c r="EYY77" s="2198"/>
      <c r="EYZ77" s="2198"/>
      <c r="EZA77" s="2198"/>
      <c r="EZB77" s="2198"/>
      <c r="EZC77" s="2198"/>
      <c r="EZD77" s="2198"/>
      <c r="EZE77" s="2198"/>
      <c r="EZF77" s="2198"/>
      <c r="EZG77" s="2198"/>
      <c r="EZH77" s="2198"/>
      <c r="EZI77" s="2198"/>
      <c r="EZJ77" s="2198"/>
      <c r="EZK77" s="2198"/>
      <c r="EZL77" s="2198"/>
      <c r="EZM77" s="2198"/>
      <c r="EZN77" s="2198"/>
      <c r="EZO77" s="2198"/>
      <c r="EZP77" s="2198"/>
      <c r="EZQ77" s="2198"/>
      <c r="EZR77" s="2198"/>
      <c r="EZS77" s="2198"/>
      <c r="EZT77" s="2198"/>
      <c r="EZU77" s="2198"/>
      <c r="EZV77" s="2198"/>
      <c r="EZW77" s="2198"/>
      <c r="EZX77" s="2198"/>
      <c r="EZY77" s="2198"/>
      <c r="EZZ77" s="2198"/>
      <c r="FAA77" s="2198"/>
      <c r="FAB77" s="2198"/>
      <c r="FAC77" s="2198"/>
      <c r="FAD77" s="2198"/>
      <c r="FAE77" s="2198"/>
      <c r="FAF77" s="2198"/>
      <c r="FAG77" s="2198"/>
      <c r="FAH77" s="2198"/>
      <c r="FAI77" s="2198"/>
      <c r="FAJ77" s="2198"/>
      <c r="FAK77" s="2198"/>
      <c r="FAL77" s="2198"/>
      <c r="FAM77" s="2198"/>
      <c r="FAN77" s="2198"/>
      <c r="FAO77" s="2198"/>
      <c r="FAP77" s="2198"/>
      <c r="FAQ77" s="2198"/>
      <c r="FAR77" s="2198"/>
      <c r="FAS77" s="2198"/>
      <c r="FAT77" s="2198"/>
      <c r="FAU77" s="2198"/>
      <c r="FAV77" s="2198"/>
      <c r="FAW77" s="2198"/>
      <c r="FAX77" s="2198"/>
      <c r="FAY77" s="2198"/>
      <c r="FAZ77" s="2198"/>
      <c r="FBA77" s="2198"/>
      <c r="FBB77" s="2198"/>
      <c r="FBC77" s="2198"/>
      <c r="FBD77" s="2198"/>
      <c r="FBE77" s="2198"/>
      <c r="FBF77" s="2198"/>
      <c r="FBG77" s="2198"/>
      <c r="FBH77" s="2198"/>
      <c r="FBI77" s="2198"/>
      <c r="FBJ77" s="2198"/>
      <c r="FBK77" s="2198"/>
      <c r="FBL77" s="2198"/>
      <c r="FBM77" s="2198"/>
      <c r="FBN77" s="2198"/>
      <c r="FBO77" s="2198"/>
      <c r="FBP77" s="2198"/>
      <c r="FBQ77" s="2198"/>
      <c r="FBR77" s="2198"/>
      <c r="FBS77" s="2198"/>
      <c r="FBT77" s="2198"/>
      <c r="FBU77" s="2198"/>
      <c r="FBV77" s="2198"/>
      <c r="FBW77" s="2198"/>
      <c r="FBX77" s="2198"/>
      <c r="FBY77" s="2198"/>
      <c r="FBZ77" s="2198"/>
      <c r="FCA77" s="2198"/>
      <c r="FCB77" s="2198"/>
      <c r="FCC77" s="2198"/>
      <c r="FCD77" s="2198"/>
      <c r="FCE77" s="2198"/>
      <c r="FCF77" s="2198"/>
      <c r="FCG77" s="2198"/>
      <c r="FCH77" s="2198"/>
      <c r="FCI77" s="2198"/>
      <c r="FCJ77" s="2198"/>
      <c r="FCK77" s="2198"/>
      <c r="FCL77" s="2198"/>
      <c r="FCM77" s="2198"/>
      <c r="FCN77" s="2198"/>
      <c r="FCO77" s="2198"/>
      <c r="FCP77" s="2198"/>
      <c r="FCQ77" s="2198"/>
      <c r="FCR77" s="2198"/>
      <c r="FCS77" s="2198"/>
      <c r="FCT77" s="2198"/>
      <c r="FCU77" s="2198"/>
      <c r="FCV77" s="2198"/>
      <c r="FCW77" s="2198"/>
      <c r="FCX77" s="2198"/>
      <c r="FCY77" s="2198"/>
      <c r="FCZ77" s="2198"/>
      <c r="FDA77" s="2198"/>
      <c r="FDB77" s="2198"/>
      <c r="FDC77" s="2198"/>
      <c r="FDD77" s="2198"/>
      <c r="FDE77" s="2198"/>
      <c r="FDF77" s="2198"/>
      <c r="FDG77" s="2198"/>
      <c r="FDH77" s="2198"/>
      <c r="FDI77" s="2198"/>
      <c r="FDJ77" s="2198"/>
      <c r="FDK77" s="2198"/>
      <c r="FDL77" s="2198"/>
      <c r="FDM77" s="2198"/>
      <c r="FDN77" s="2198"/>
      <c r="FDO77" s="2198"/>
      <c r="FDP77" s="2198"/>
      <c r="FDQ77" s="2198"/>
      <c r="FDR77" s="2198"/>
      <c r="FDS77" s="2198"/>
      <c r="FDT77" s="2198"/>
      <c r="FDU77" s="2198"/>
      <c r="FDV77" s="2198"/>
      <c r="FDW77" s="2198"/>
      <c r="FDX77" s="2198"/>
      <c r="FDY77" s="2198"/>
      <c r="FDZ77" s="2198"/>
      <c r="FEA77" s="2198"/>
      <c r="FEB77" s="2198"/>
      <c r="FEC77" s="2198"/>
      <c r="FED77" s="2198"/>
      <c r="FEE77" s="2198"/>
      <c r="FEF77" s="2198"/>
      <c r="FEG77" s="2198"/>
      <c r="FEH77" s="2198"/>
      <c r="FEI77" s="2198"/>
      <c r="FEJ77" s="2198"/>
      <c r="FEK77" s="2198"/>
      <c r="FEL77" s="2198"/>
      <c r="FEM77" s="2198"/>
      <c r="FEN77" s="2198"/>
      <c r="FEO77" s="2198"/>
      <c r="FEP77" s="2198"/>
      <c r="FEQ77" s="2198"/>
      <c r="FER77" s="2198"/>
      <c r="FES77" s="2198"/>
      <c r="FET77" s="2198"/>
      <c r="FEU77" s="2198"/>
      <c r="FEV77" s="2198"/>
      <c r="FEW77" s="2198"/>
      <c r="FEX77" s="2198"/>
      <c r="FEY77" s="2198"/>
      <c r="FEZ77" s="2198"/>
      <c r="FFA77" s="2198"/>
      <c r="FFB77" s="2198"/>
      <c r="FFC77" s="2198"/>
      <c r="FFD77" s="2198"/>
      <c r="FFE77" s="2198"/>
      <c r="FFF77" s="2198"/>
      <c r="FFG77" s="2198"/>
      <c r="FFH77" s="2198"/>
      <c r="FFI77" s="2198"/>
      <c r="FFJ77" s="2198"/>
      <c r="FFK77" s="2198"/>
      <c r="FFL77" s="2198"/>
      <c r="FFM77" s="2198"/>
      <c r="FFN77" s="2198"/>
      <c r="FFO77" s="2198"/>
      <c r="FFP77" s="2198"/>
      <c r="FFQ77" s="2198"/>
      <c r="FFR77" s="2198"/>
      <c r="FFS77" s="2198"/>
      <c r="FFT77" s="2198"/>
      <c r="FFU77" s="2198"/>
      <c r="FFV77" s="2198"/>
      <c r="FFW77" s="2198"/>
      <c r="FFX77" s="2198"/>
      <c r="FFY77" s="2198"/>
      <c r="FFZ77" s="2198"/>
      <c r="FGA77" s="2198"/>
      <c r="FGB77" s="2198"/>
      <c r="FGC77" s="2198"/>
      <c r="FGD77" s="2198"/>
      <c r="FGE77" s="2198"/>
      <c r="FGF77" s="2198"/>
      <c r="FGG77" s="2198"/>
      <c r="FGH77" s="2198"/>
      <c r="FGI77" s="2198"/>
      <c r="FGJ77" s="2198"/>
      <c r="FGK77" s="2198"/>
      <c r="FGL77" s="2198"/>
      <c r="FGM77" s="2198"/>
      <c r="FGN77" s="2198"/>
      <c r="FGO77" s="2198"/>
      <c r="FGP77" s="2198"/>
      <c r="FGQ77" s="2198"/>
      <c r="FGR77" s="2198"/>
      <c r="FGS77" s="2198"/>
      <c r="FGT77" s="2198"/>
      <c r="FGU77" s="2198"/>
      <c r="FGV77" s="2198"/>
      <c r="FGW77" s="2198"/>
      <c r="FGX77" s="2198"/>
      <c r="FGY77" s="2198"/>
      <c r="FGZ77" s="2198"/>
      <c r="FHA77" s="2198"/>
      <c r="FHB77" s="2198"/>
      <c r="FHC77" s="2198"/>
      <c r="FHD77" s="2198"/>
      <c r="FHE77" s="2198"/>
      <c r="FHF77" s="2198"/>
      <c r="FHG77" s="2198"/>
      <c r="FHH77" s="2198"/>
      <c r="FHI77" s="2198"/>
      <c r="FHJ77" s="2198"/>
      <c r="FHK77" s="2198"/>
      <c r="FHL77" s="2198"/>
      <c r="FHM77" s="2198"/>
      <c r="FHN77" s="2198"/>
      <c r="FHO77" s="2198"/>
      <c r="FHP77" s="2198"/>
      <c r="FHQ77" s="2198"/>
      <c r="FHR77" s="2198"/>
      <c r="FHS77" s="2198"/>
      <c r="FHT77" s="2198"/>
      <c r="FHU77" s="2198"/>
      <c r="FHV77" s="2198"/>
      <c r="FHW77" s="2198"/>
      <c r="FHX77" s="2198"/>
      <c r="FHY77" s="2198"/>
      <c r="FHZ77" s="2198"/>
      <c r="FIA77" s="2198"/>
      <c r="FIB77" s="2198"/>
      <c r="FIC77" s="2198"/>
      <c r="FID77" s="2198"/>
      <c r="FIE77" s="2198"/>
      <c r="FIF77" s="2198"/>
      <c r="FIG77" s="2198"/>
      <c r="FIH77" s="2198"/>
      <c r="FII77" s="2198"/>
      <c r="FIJ77" s="2198"/>
      <c r="FIK77" s="2198"/>
      <c r="FIL77" s="2198"/>
      <c r="FIM77" s="2198"/>
      <c r="FIN77" s="2198"/>
      <c r="FIO77" s="2198"/>
      <c r="FIP77" s="2198"/>
      <c r="FIQ77" s="2198"/>
      <c r="FIR77" s="2198"/>
      <c r="FIS77" s="2198"/>
      <c r="FIT77" s="2198"/>
      <c r="FIU77" s="2198"/>
      <c r="FIV77" s="2198"/>
      <c r="FIW77" s="2198"/>
      <c r="FIX77" s="2198"/>
      <c r="FIY77" s="2198"/>
      <c r="FIZ77" s="2198"/>
      <c r="FJA77" s="2198"/>
      <c r="FJB77" s="2198"/>
      <c r="FJC77" s="2198"/>
      <c r="FJD77" s="2198"/>
      <c r="FJE77" s="2198"/>
      <c r="FJF77" s="2198"/>
      <c r="FJG77" s="2198"/>
      <c r="FJH77" s="2198"/>
      <c r="FJI77" s="2198"/>
      <c r="FJJ77" s="2198"/>
      <c r="FJK77" s="2198"/>
      <c r="FJL77" s="2198"/>
      <c r="FJM77" s="2198"/>
      <c r="FJN77" s="2198"/>
      <c r="FJO77" s="2198"/>
      <c r="FJP77" s="2198"/>
      <c r="FJQ77" s="2198"/>
      <c r="FJR77" s="2198"/>
      <c r="FJS77" s="2198"/>
      <c r="FJT77" s="2198"/>
      <c r="FJU77" s="2198"/>
      <c r="FJV77" s="2198"/>
      <c r="FJW77" s="2198"/>
      <c r="FJX77" s="2198"/>
      <c r="FJY77" s="2198"/>
      <c r="FJZ77" s="2198"/>
      <c r="FKA77" s="2198"/>
      <c r="FKB77" s="2198"/>
      <c r="FKC77" s="2198"/>
      <c r="FKD77" s="2198"/>
      <c r="FKE77" s="2198"/>
      <c r="FKF77" s="2198"/>
      <c r="FKG77" s="2198"/>
      <c r="FKH77" s="2198"/>
      <c r="FKI77" s="2198"/>
      <c r="FKJ77" s="2198"/>
      <c r="FKK77" s="2198"/>
      <c r="FKL77" s="2198"/>
      <c r="FKM77" s="2198"/>
      <c r="FKN77" s="2198"/>
      <c r="FKO77" s="2198"/>
      <c r="FKP77" s="2198"/>
      <c r="FKQ77" s="2198"/>
      <c r="FKR77" s="2198"/>
      <c r="FKS77" s="2198"/>
      <c r="FKT77" s="2198"/>
      <c r="FKU77" s="2198"/>
      <c r="FKV77" s="2198"/>
      <c r="FKW77" s="2198"/>
      <c r="FKX77" s="2198"/>
      <c r="FKY77" s="2198"/>
      <c r="FKZ77" s="2198"/>
      <c r="FLA77" s="2198"/>
      <c r="FLB77" s="2198"/>
      <c r="FLC77" s="2198"/>
      <c r="FLD77" s="2198"/>
      <c r="FLE77" s="2198"/>
      <c r="FLF77" s="2198"/>
      <c r="FLG77" s="2198"/>
      <c r="FLH77" s="2198"/>
      <c r="FLI77" s="2198"/>
      <c r="FLJ77" s="2198"/>
      <c r="FLK77" s="2198"/>
      <c r="FLL77" s="2198"/>
      <c r="FLM77" s="2198"/>
      <c r="FLN77" s="2198"/>
      <c r="FLO77" s="2198"/>
      <c r="FLP77" s="2198"/>
      <c r="FLQ77" s="2198"/>
      <c r="FLR77" s="2198"/>
      <c r="FLS77" s="2198"/>
      <c r="FLT77" s="2198"/>
      <c r="FLU77" s="2198"/>
      <c r="FLV77" s="2198"/>
      <c r="FLW77" s="2198"/>
      <c r="FLX77" s="2198"/>
      <c r="FLY77" s="2198"/>
      <c r="FLZ77" s="2198"/>
      <c r="FMA77" s="2198"/>
      <c r="FMB77" s="2198"/>
      <c r="FMC77" s="2198"/>
      <c r="FMD77" s="2198"/>
      <c r="FME77" s="2198"/>
      <c r="FMF77" s="2198"/>
      <c r="FMG77" s="2198"/>
      <c r="FMH77" s="2198"/>
      <c r="FMI77" s="2198"/>
      <c r="FMJ77" s="2198"/>
      <c r="FMK77" s="2198"/>
      <c r="FML77" s="2198"/>
      <c r="FMM77" s="2198"/>
      <c r="FMN77" s="2198"/>
      <c r="FMO77" s="2198"/>
      <c r="FMP77" s="2198"/>
      <c r="FMQ77" s="2198"/>
      <c r="FMR77" s="2198"/>
      <c r="FMS77" s="2198"/>
      <c r="FMT77" s="2198"/>
      <c r="FMU77" s="2198"/>
      <c r="FMV77" s="2198"/>
      <c r="FMW77" s="2198"/>
      <c r="FMX77" s="2198"/>
      <c r="FMY77" s="2198"/>
      <c r="FMZ77" s="2198"/>
      <c r="FNA77" s="2198"/>
      <c r="FNB77" s="2198"/>
      <c r="FNC77" s="2198"/>
      <c r="FND77" s="2198"/>
      <c r="FNE77" s="2198"/>
      <c r="FNF77" s="2198"/>
      <c r="FNG77" s="2198"/>
      <c r="FNH77" s="2198"/>
      <c r="FNI77" s="2198"/>
      <c r="FNJ77" s="2198"/>
      <c r="FNK77" s="2198"/>
      <c r="FNL77" s="2198"/>
      <c r="FNM77" s="2198"/>
      <c r="FNN77" s="2198"/>
      <c r="FNO77" s="2198"/>
      <c r="FNP77" s="2198"/>
      <c r="FNQ77" s="2198"/>
      <c r="FNR77" s="2198"/>
      <c r="FNS77" s="2198"/>
      <c r="FNT77" s="2198"/>
      <c r="FNU77" s="2198"/>
      <c r="FNV77" s="2198"/>
      <c r="FNW77" s="2198"/>
      <c r="FNX77" s="2198"/>
      <c r="FNY77" s="2198"/>
      <c r="FNZ77" s="2198"/>
      <c r="FOA77" s="2198"/>
      <c r="FOB77" s="2198"/>
      <c r="FOC77" s="2198"/>
      <c r="FOD77" s="2198"/>
      <c r="FOE77" s="2198"/>
      <c r="FOF77" s="2198"/>
      <c r="FOG77" s="2198"/>
      <c r="FOH77" s="2198"/>
      <c r="FOI77" s="2198"/>
      <c r="FOJ77" s="2198"/>
      <c r="FOK77" s="2198"/>
      <c r="FOL77" s="2198"/>
      <c r="FOM77" s="2198"/>
      <c r="FON77" s="2198"/>
      <c r="FOO77" s="2198"/>
      <c r="FOP77" s="2198"/>
      <c r="FOQ77" s="2198"/>
      <c r="FOR77" s="2198"/>
      <c r="FOS77" s="2198"/>
      <c r="FOT77" s="2198"/>
      <c r="FOU77" s="2198"/>
      <c r="FOV77" s="2198"/>
      <c r="FOW77" s="2198"/>
      <c r="FOX77" s="2198"/>
      <c r="FOY77" s="2198"/>
      <c r="FOZ77" s="2198"/>
      <c r="FPA77" s="2198"/>
      <c r="FPB77" s="2198"/>
      <c r="FPC77" s="2198"/>
      <c r="FPD77" s="2198"/>
      <c r="FPE77" s="2198"/>
      <c r="FPF77" s="2198"/>
      <c r="FPG77" s="2198"/>
      <c r="FPH77" s="2198"/>
      <c r="FPI77" s="2198"/>
      <c r="FPJ77" s="2198"/>
      <c r="FPK77" s="2198"/>
      <c r="FPL77" s="2198"/>
      <c r="FPM77" s="2198"/>
      <c r="FPN77" s="2198"/>
      <c r="FPO77" s="2198"/>
      <c r="FPP77" s="2198"/>
      <c r="FPQ77" s="2198"/>
      <c r="FPR77" s="2198"/>
      <c r="FPS77" s="2198"/>
      <c r="FPT77" s="2198"/>
      <c r="FPU77" s="2198"/>
      <c r="FPV77" s="2198"/>
      <c r="FPW77" s="2198"/>
      <c r="FPX77" s="2198"/>
      <c r="FPY77" s="2198"/>
      <c r="FPZ77" s="2198"/>
      <c r="FQA77" s="2198"/>
      <c r="FQB77" s="2198"/>
      <c r="FQC77" s="2198"/>
      <c r="FQD77" s="2198"/>
      <c r="FQE77" s="2198"/>
      <c r="FQF77" s="2198"/>
      <c r="FQG77" s="2198"/>
      <c r="FQH77" s="2198"/>
      <c r="FQI77" s="2198"/>
      <c r="FQJ77" s="2198"/>
      <c r="FQK77" s="2198"/>
      <c r="FQL77" s="2198"/>
      <c r="FQM77" s="2198"/>
      <c r="FQN77" s="2198"/>
      <c r="FQO77" s="2198"/>
      <c r="FQP77" s="2198"/>
      <c r="FQQ77" s="2198"/>
      <c r="FQR77" s="2198"/>
      <c r="FQS77" s="2198"/>
      <c r="FQT77" s="2198"/>
      <c r="FQU77" s="2198"/>
      <c r="FQV77" s="2198"/>
      <c r="FQW77" s="2198"/>
      <c r="FQX77" s="2198"/>
      <c r="FQY77" s="2198"/>
      <c r="FQZ77" s="2198"/>
      <c r="FRA77" s="2198"/>
      <c r="FRB77" s="2198"/>
      <c r="FRC77" s="2198"/>
      <c r="FRD77" s="2198"/>
      <c r="FRE77" s="2198"/>
      <c r="FRF77" s="2198"/>
      <c r="FRG77" s="2198"/>
      <c r="FRH77" s="2198"/>
      <c r="FRI77" s="2198"/>
      <c r="FRJ77" s="2198"/>
      <c r="FRK77" s="2198"/>
      <c r="FRL77" s="2198"/>
      <c r="FRM77" s="2198"/>
      <c r="FRN77" s="2198"/>
      <c r="FRO77" s="2198"/>
      <c r="FRP77" s="2198"/>
      <c r="FRQ77" s="2198"/>
      <c r="FRR77" s="2198"/>
      <c r="FRS77" s="2198"/>
      <c r="FRT77" s="2198"/>
      <c r="FRU77" s="2198"/>
      <c r="FRV77" s="2198"/>
      <c r="FRW77" s="2198"/>
      <c r="FRX77" s="2198"/>
      <c r="FRY77" s="2198"/>
      <c r="FRZ77" s="2198"/>
      <c r="FSA77" s="2198"/>
      <c r="FSB77" s="2198"/>
      <c r="FSC77" s="2198"/>
      <c r="FSD77" s="2198"/>
      <c r="FSE77" s="2198"/>
      <c r="FSF77" s="2198"/>
      <c r="FSG77" s="2198"/>
      <c r="FSH77" s="2198"/>
      <c r="FSI77" s="2198"/>
      <c r="FSJ77" s="2198"/>
      <c r="FSK77" s="2198"/>
      <c r="FSL77" s="2198"/>
      <c r="FSM77" s="2198"/>
      <c r="FSN77" s="2198"/>
      <c r="FSO77" s="2198"/>
      <c r="FSP77" s="2198"/>
      <c r="FSQ77" s="2198"/>
      <c r="FSR77" s="2198"/>
      <c r="FSS77" s="2198"/>
      <c r="FST77" s="2198"/>
      <c r="FSU77" s="2198"/>
      <c r="FSV77" s="2198"/>
      <c r="FSW77" s="2198"/>
      <c r="FSX77" s="2198"/>
      <c r="FSY77" s="2198"/>
      <c r="FSZ77" s="2198"/>
      <c r="FTA77" s="2198"/>
      <c r="FTB77" s="2198"/>
      <c r="FTC77" s="2198"/>
      <c r="FTD77" s="2198"/>
      <c r="FTE77" s="2198"/>
      <c r="FTF77" s="2198"/>
      <c r="FTG77" s="2198"/>
      <c r="FTH77" s="2198"/>
      <c r="FTI77" s="2198"/>
      <c r="FTJ77" s="2198"/>
      <c r="FTK77" s="2198"/>
      <c r="FTL77" s="2198"/>
      <c r="FTM77" s="2198"/>
      <c r="FTN77" s="2198"/>
      <c r="FTO77" s="2198"/>
      <c r="FTP77" s="2198"/>
      <c r="FTQ77" s="2198"/>
      <c r="FTR77" s="2198"/>
      <c r="FTS77" s="2198"/>
      <c r="FTT77" s="2198"/>
      <c r="FTU77" s="2198"/>
      <c r="FTV77" s="2198"/>
      <c r="FTW77" s="2198"/>
      <c r="FTX77" s="2198"/>
      <c r="FTY77" s="2198"/>
      <c r="FTZ77" s="2198"/>
      <c r="FUA77" s="2198"/>
      <c r="FUB77" s="2198"/>
      <c r="FUC77" s="2198"/>
      <c r="FUD77" s="2198"/>
      <c r="FUE77" s="2198"/>
      <c r="FUF77" s="2198"/>
      <c r="FUG77" s="2198"/>
      <c r="FUH77" s="2198"/>
      <c r="FUI77" s="2198"/>
      <c r="FUJ77" s="2198"/>
      <c r="FUK77" s="2198"/>
      <c r="FUL77" s="2198"/>
      <c r="FUM77" s="2198"/>
      <c r="FUN77" s="2198"/>
      <c r="FUO77" s="2198"/>
      <c r="FUP77" s="2198"/>
      <c r="FUQ77" s="2198"/>
      <c r="FUR77" s="2198"/>
      <c r="FUS77" s="2198"/>
      <c r="FUT77" s="2198"/>
      <c r="FUU77" s="2198"/>
      <c r="FUV77" s="2198"/>
      <c r="FUW77" s="2198"/>
      <c r="FUX77" s="2198"/>
      <c r="FUY77" s="2198"/>
      <c r="FUZ77" s="2198"/>
      <c r="FVA77" s="2198"/>
      <c r="FVB77" s="2198"/>
      <c r="FVC77" s="2198"/>
      <c r="FVD77" s="2198"/>
      <c r="FVE77" s="2198"/>
      <c r="FVF77" s="2198"/>
      <c r="FVG77" s="2198"/>
      <c r="FVH77" s="2198"/>
      <c r="FVI77" s="2198"/>
      <c r="FVJ77" s="2198"/>
      <c r="FVK77" s="2198"/>
      <c r="FVL77" s="2198"/>
      <c r="FVM77" s="2198"/>
      <c r="FVN77" s="2198"/>
      <c r="FVO77" s="2198"/>
      <c r="FVP77" s="2198"/>
      <c r="FVQ77" s="2198"/>
      <c r="FVR77" s="2198"/>
      <c r="FVS77" s="2198"/>
      <c r="FVT77" s="2198"/>
      <c r="FVU77" s="2198"/>
      <c r="FVV77" s="2198"/>
      <c r="FVW77" s="2198"/>
      <c r="FVX77" s="2198"/>
      <c r="FVY77" s="2198"/>
      <c r="FVZ77" s="2198"/>
      <c r="FWA77" s="2198"/>
      <c r="FWB77" s="2198"/>
      <c r="FWC77" s="2198"/>
      <c r="FWD77" s="2198"/>
      <c r="FWE77" s="2198"/>
      <c r="FWF77" s="2198"/>
      <c r="FWG77" s="2198"/>
      <c r="FWH77" s="2198"/>
      <c r="FWI77" s="2198"/>
      <c r="FWJ77" s="2198"/>
      <c r="FWK77" s="2198"/>
      <c r="FWL77" s="2198"/>
      <c r="FWM77" s="2198"/>
      <c r="FWN77" s="2198"/>
      <c r="FWO77" s="2198"/>
      <c r="FWP77" s="2198"/>
      <c r="FWQ77" s="2198"/>
      <c r="FWR77" s="2198"/>
      <c r="FWS77" s="2198"/>
      <c r="FWT77" s="2198"/>
      <c r="FWU77" s="2198"/>
      <c r="FWV77" s="2198"/>
      <c r="FWW77" s="2198"/>
      <c r="FWX77" s="2198"/>
      <c r="FWY77" s="2198"/>
      <c r="FWZ77" s="2198"/>
      <c r="FXA77" s="2198"/>
      <c r="FXB77" s="2198"/>
      <c r="FXC77" s="2198"/>
      <c r="FXD77" s="2198"/>
      <c r="FXE77" s="2198"/>
      <c r="FXF77" s="2198"/>
      <c r="FXG77" s="2198"/>
      <c r="FXH77" s="2198"/>
      <c r="FXI77" s="2198"/>
      <c r="FXJ77" s="2198"/>
      <c r="FXK77" s="2198"/>
      <c r="FXL77" s="2198"/>
      <c r="FXM77" s="2198"/>
      <c r="FXN77" s="2198"/>
      <c r="FXO77" s="2198"/>
      <c r="FXP77" s="2198"/>
      <c r="FXQ77" s="2198"/>
      <c r="FXR77" s="2198"/>
      <c r="FXS77" s="2198"/>
      <c r="FXT77" s="2198"/>
      <c r="FXU77" s="2198"/>
      <c r="FXV77" s="2198"/>
      <c r="FXW77" s="2198"/>
      <c r="FXX77" s="2198"/>
      <c r="FXY77" s="2198"/>
      <c r="FXZ77" s="2198"/>
      <c r="FYA77" s="2198"/>
      <c r="FYB77" s="2198"/>
      <c r="FYC77" s="2198"/>
      <c r="FYD77" s="2198"/>
      <c r="FYE77" s="2198"/>
      <c r="FYF77" s="2198"/>
      <c r="FYG77" s="2198"/>
      <c r="FYH77" s="2198"/>
      <c r="FYI77" s="2198"/>
      <c r="FYJ77" s="2198"/>
      <c r="FYK77" s="2198"/>
      <c r="FYL77" s="2198"/>
      <c r="FYM77" s="2198"/>
      <c r="FYN77" s="2198"/>
      <c r="FYO77" s="2198"/>
      <c r="FYP77" s="2198"/>
      <c r="FYQ77" s="2198"/>
      <c r="FYR77" s="2198"/>
      <c r="FYS77" s="2198"/>
      <c r="FYT77" s="2198"/>
      <c r="FYU77" s="2198"/>
      <c r="FYV77" s="2198"/>
      <c r="FYW77" s="2198"/>
      <c r="FYX77" s="2198"/>
      <c r="FYY77" s="2198"/>
      <c r="FYZ77" s="2198"/>
      <c r="FZA77" s="2198"/>
      <c r="FZB77" s="2198"/>
      <c r="FZC77" s="2198"/>
      <c r="FZD77" s="2198"/>
      <c r="FZE77" s="2198"/>
      <c r="FZF77" s="2198"/>
      <c r="FZG77" s="2198"/>
      <c r="FZH77" s="2198"/>
      <c r="FZI77" s="2198"/>
      <c r="FZJ77" s="2198"/>
      <c r="FZK77" s="2198"/>
      <c r="FZL77" s="2198"/>
      <c r="FZM77" s="2198"/>
      <c r="FZN77" s="2198"/>
      <c r="FZO77" s="2198"/>
      <c r="FZP77" s="2198"/>
      <c r="FZQ77" s="2198"/>
      <c r="FZR77" s="2198"/>
      <c r="FZS77" s="2198"/>
      <c r="FZT77" s="2198"/>
      <c r="FZU77" s="2198"/>
      <c r="FZV77" s="2198"/>
      <c r="FZW77" s="2198"/>
      <c r="FZX77" s="2198"/>
      <c r="FZY77" s="2198"/>
      <c r="FZZ77" s="2198"/>
      <c r="GAA77" s="2198"/>
      <c r="GAB77" s="2198"/>
      <c r="GAC77" s="2198"/>
      <c r="GAD77" s="2198"/>
      <c r="GAE77" s="2198"/>
      <c r="GAF77" s="2198"/>
      <c r="GAG77" s="2198"/>
      <c r="GAH77" s="2198"/>
      <c r="GAI77" s="2198"/>
      <c r="GAJ77" s="2198"/>
      <c r="GAK77" s="2198"/>
      <c r="GAL77" s="2198"/>
      <c r="GAM77" s="2198"/>
      <c r="GAN77" s="2198"/>
      <c r="GAO77" s="2198"/>
      <c r="GAP77" s="2198"/>
      <c r="GAQ77" s="2198"/>
      <c r="GAR77" s="2198"/>
      <c r="GAS77" s="2198"/>
      <c r="GAT77" s="2198"/>
      <c r="GAU77" s="2198"/>
      <c r="GAV77" s="2198"/>
      <c r="GAW77" s="2198"/>
      <c r="GAX77" s="2198"/>
      <c r="GAY77" s="2198"/>
      <c r="GAZ77" s="2198"/>
      <c r="GBA77" s="2198"/>
      <c r="GBB77" s="2198"/>
      <c r="GBC77" s="2198"/>
      <c r="GBD77" s="2198"/>
      <c r="GBE77" s="2198"/>
      <c r="GBF77" s="2198"/>
      <c r="GBG77" s="2198"/>
      <c r="GBH77" s="2198"/>
      <c r="GBI77" s="2198"/>
      <c r="GBJ77" s="2198"/>
      <c r="GBK77" s="2198"/>
      <c r="GBL77" s="2198"/>
      <c r="GBM77" s="2198"/>
      <c r="GBN77" s="2198"/>
      <c r="GBO77" s="2198"/>
      <c r="GBP77" s="2198"/>
      <c r="GBQ77" s="2198"/>
      <c r="GBR77" s="2198"/>
      <c r="GBS77" s="2198"/>
      <c r="GBT77" s="2198"/>
      <c r="GBU77" s="2198"/>
      <c r="GBV77" s="2198"/>
      <c r="GBW77" s="2198"/>
      <c r="GBX77" s="2198"/>
      <c r="GBY77" s="2198"/>
      <c r="GBZ77" s="2198"/>
      <c r="GCA77" s="2198"/>
      <c r="GCB77" s="2198"/>
      <c r="GCC77" s="2198"/>
      <c r="GCD77" s="2198"/>
      <c r="GCE77" s="2198"/>
      <c r="GCF77" s="2198"/>
      <c r="GCG77" s="2198"/>
      <c r="GCH77" s="2198"/>
      <c r="GCI77" s="2198"/>
      <c r="GCJ77" s="2198"/>
      <c r="GCK77" s="2198"/>
      <c r="GCL77" s="2198"/>
      <c r="GCM77" s="2198"/>
      <c r="GCN77" s="2198"/>
      <c r="GCO77" s="2198"/>
      <c r="GCP77" s="2198"/>
      <c r="GCQ77" s="2198"/>
      <c r="GCR77" s="2198"/>
      <c r="GCS77" s="2198"/>
      <c r="GCT77" s="2198"/>
      <c r="GCU77" s="2198"/>
      <c r="GCV77" s="2198"/>
      <c r="GCW77" s="2198"/>
      <c r="GCX77" s="2198"/>
      <c r="GCY77" s="2198"/>
      <c r="GCZ77" s="2198"/>
      <c r="GDA77" s="2198"/>
      <c r="GDB77" s="2198"/>
      <c r="GDC77" s="2198"/>
      <c r="GDD77" s="2198"/>
      <c r="GDE77" s="2198"/>
      <c r="GDF77" s="2198"/>
      <c r="GDG77" s="2198"/>
      <c r="GDH77" s="2198"/>
      <c r="GDI77" s="2198"/>
      <c r="GDJ77" s="2198"/>
      <c r="GDK77" s="2198"/>
      <c r="GDL77" s="2198"/>
      <c r="GDM77" s="2198"/>
      <c r="GDN77" s="2198"/>
      <c r="GDO77" s="2198"/>
      <c r="GDP77" s="2198"/>
      <c r="GDQ77" s="2198"/>
      <c r="GDR77" s="2198"/>
      <c r="GDS77" s="2198"/>
      <c r="GDT77" s="2198"/>
      <c r="GDU77" s="2198"/>
      <c r="GDV77" s="2198"/>
      <c r="GDW77" s="2198"/>
      <c r="GDX77" s="2198"/>
      <c r="GDY77" s="2198"/>
      <c r="GDZ77" s="2198"/>
      <c r="GEA77" s="2198"/>
      <c r="GEB77" s="2198"/>
      <c r="GEC77" s="2198"/>
      <c r="GED77" s="2198"/>
      <c r="GEE77" s="2198"/>
      <c r="GEF77" s="2198"/>
      <c r="GEG77" s="2198"/>
      <c r="GEH77" s="2198"/>
      <c r="GEI77" s="2198"/>
      <c r="GEJ77" s="2198"/>
      <c r="GEK77" s="2198"/>
      <c r="GEL77" s="2198"/>
      <c r="GEM77" s="2198"/>
      <c r="GEN77" s="2198"/>
      <c r="GEO77" s="2198"/>
      <c r="GEP77" s="2198"/>
      <c r="GEQ77" s="2198"/>
      <c r="GER77" s="2198"/>
      <c r="GES77" s="2198"/>
      <c r="GET77" s="2198"/>
      <c r="GEU77" s="2198"/>
      <c r="GEV77" s="2198"/>
      <c r="GEW77" s="2198"/>
      <c r="GEX77" s="2198"/>
      <c r="GEY77" s="2198"/>
      <c r="GEZ77" s="2198"/>
      <c r="GFA77" s="2198"/>
      <c r="GFB77" s="2198"/>
      <c r="GFC77" s="2198"/>
      <c r="GFD77" s="2198"/>
      <c r="GFE77" s="2198"/>
      <c r="GFF77" s="2198"/>
      <c r="GFG77" s="2198"/>
      <c r="GFH77" s="2198"/>
      <c r="GFI77" s="2198"/>
      <c r="GFJ77" s="2198"/>
      <c r="GFK77" s="2198"/>
      <c r="GFL77" s="2198"/>
      <c r="GFM77" s="2198"/>
      <c r="GFN77" s="2198"/>
      <c r="GFO77" s="2198"/>
      <c r="GFP77" s="2198"/>
      <c r="GFQ77" s="2198"/>
      <c r="GFR77" s="2198"/>
      <c r="GFS77" s="2198"/>
      <c r="GFT77" s="2198"/>
      <c r="GFU77" s="2198"/>
      <c r="GFV77" s="2198"/>
      <c r="GFW77" s="2198"/>
      <c r="GFX77" s="2198"/>
      <c r="GFY77" s="2198"/>
      <c r="GFZ77" s="2198"/>
      <c r="GGA77" s="2198"/>
      <c r="GGB77" s="2198"/>
      <c r="GGC77" s="2198"/>
      <c r="GGD77" s="2198"/>
      <c r="GGE77" s="2198"/>
      <c r="GGF77" s="2198"/>
      <c r="GGG77" s="2198"/>
      <c r="GGH77" s="2198"/>
      <c r="GGI77" s="2198"/>
      <c r="GGJ77" s="2198"/>
      <c r="GGK77" s="2198"/>
      <c r="GGL77" s="2198"/>
      <c r="GGM77" s="2198"/>
      <c r="GGN77" s="2198"/>
      <c r="GGO77" s="2198"/>
      <c r="GGP77" s="2198"/>
      <c r="GGQ77" s="2198"/>
      <c r="GGR77" s="2198"/>
      <c r="GGS77" s="2198"/>
      <c r="GGT77" s="2198"/>
      <c r="GGU77" s="2198"/>
      <c r="GGV77" s="2198"/>
      <c r="GGW77" s="2198"/>
      <c r="GGX77" s="2198"/>
      <c r="GGY77" s="2198"/>
      <c r="GGZ77" s="2198"/>
      <c r="GHA77" s="2198"/>
      <c r="GHB77" s="2198"/>
      <c r="GHC77" s="2198"/>
      <c r="GHD77" s="2198"/>
      <c r="GHE77" s="2198"/>
      <c r="GHF77" s="2198"/>
      <c r="GHG77" s="2198"/>
      <c r="GHH77" s="2198"/>
      <c r="GHI77" s="2198"/>
      <c r="GHJ77" s="2198"/>
      <c r="GHK77" s="2198"/>
      <c r="GHL77" s="2198"/>
      <c r="GHM77" s="2198"/>
      <c r="GHN77" s="2198"/>
      <c r="GHO77" s="2198"/>
      <c r="GHP77" s="2198"/>
      <c r="GHQ77" s="2198"/>
      <c r="GHR77" s="2198"/>
      <c r="GHS77" s="2198"/>
      <c r="GHT77" s="2198"/>
      <c r="GHU77" s="2198"/>
      <c r="GHV77" s="2198"/>
      <c r="GHW77" s="2198"/>
      <c r="GHX77" s="2198"/>
      <c r="GHY77" s="2198"/>
      <c r="GHZ77" s="2198"/>
      <c r="GIA77" s="2198"/>
      <c r="GIB77" s="2198"/>
      <c r="GIC77" s="2198"/>
      <c r="GID77" s="2198"/>
      <c r="GIE77" s="2198"/>
      <c r="GIF77" s="2198"/>
      <c r="GIG77" s="2198"/>
      <c r="GIH77" s="2198"/>
      <c r="GII77" s="2198"/>
      <c r="GIJ77" s="2198"/>
      <c r="GIK77" s="2198"/>
      <c r="GIL77" s="2198"/>
      <c r="GIM77" s="2198"/>
      <c r="GIN77" s="2198"/>
      <c r="GIO77" s="2198"/>
      <c r="GIP77" s="2198"/>
      <c r="GIQ77" s="2198"/>
      <c r="GIR77" s="2198"/>
      <c r="GIS77" s="2198"/>
      <c r="GIT77" s="2198"/>
      <c r="GIU77" s="2198"/>
      <c r="GIV77" s="2198"/>
      <c r="GIW77" s="2198"/>
      <c r="GIX77" s="2198"/>
      <c r="GIY77" s="2198"/>
      <c r="GIZ77" s="2198"/>
      <c r="GJA77" s="2198"/>
      <c r="GJB77" s="2198"/>
      <c r="GJC77" s="2198"/>
      <c r="GJD77" s="2198"/>
      <c r="GJE77" s="2198"/>
      <c r="GJF77" s="2198"/>
      <c r="GJG77" s="2198"/>
      <c r="GJH77" s="2198"/>
      <c r="GJI77" s="2198"/>
      <c r="GJJ77" s="2198"/>
      <c r="GJK77" s="2198"/>
      <c r="GJL77" s="2198"/>
      <c r="GJM77" s="2198"/>
      <c r="GJN77" s="2198"/>
      <c r="GJO77" s="2198"/>
      <c r="GJP77" s="2198"/>
      <c r="GJQ77" s="2198"/>
      <c r="GJR77" s="2198"/>
      <c r="GJS77" s="2198"/>
      <c r="GJT77" s="2198"/>
      <c r="GJU77" s="2198"/>
      <c r="GJV77" s="2198"/>
      <c r="GJW77" s="2198"/>
      <c r="GJX77" s="2198"/>
      <c r="GJY77" s="2198"/>
      <c r="GJZ77" s="2198"/>
      <c r="GKA77" s="2198"/>
      <c r="GKB77" s="2198"/>
      <c r="GKC77" s="2198"/>
      <c r="GKD77" s="2198"/>
      <c r="GKE77" s="2198"/>
      <c r="GKF77" s="2198"/>
      <c r="GKG77" s="2198"/>
      <c r="GKH77" s="2198"/>
      <c r="GKI77" s="2198"/>
      <c r="GKJ77" s="2198"/>
      <c r="GKK77" s="2198"/>
      <c r="GKL77" s="2198"/>
      <c r="GKM77" s="2198"/>
      <c r="GKN77" s="2198"/>
      <c r="GKO77" s="2198"/>
      <c r="GKP77" s="2198"/>
      <c r="GKQ77" s="2198"/>
      <c r="GKR77" s="2198"/>
      <c r="GKS77" s="2198"/>
      <c r="GKT77" s="2198"/>
      <c r="GKU77" s="2198"/>
      <c r="GKV77" s="2198"/>
      <c r="GKW77" s="2198"/>
      <c r="GKX77" s="2198"/>
      <c r="GKY77" s="2198"/>
      <c r="GKZ77" s="2198"/>
      <c r="GLA77" s="2198"/>
      <c r="GLB77" s="2198"/>
      <c r="GLC77" s="2198"/>
      <c r="GLD77" s="2198"/>
      <c r="GLE77" s="2198"/>
      <c r="GLF77" s="2198"/>
      <c r="GLG77" s="2198"/>
      <c r="GLH77" s="2198"/>
      <c r="GLI77" s="2198"/>
      <c r="GLJ77" s="2198"/>
      <c r="GLK77" s="2198"/>
      <c r="GLL77" s="2198"/>
      <c r="GLM77" s="2198"/>
      <c r="GLN77" s="2198"/>
      <c r="GLO77" s="2198"/>
      <c r="GLP77" s="2198"/>
      <c r="GLQ77" s="2198"/>
      <c r="GLR77" s="2198"/>
      <c r="GLS77" s="2198"/>
      <c r="GLT77" s="2198"/>
      <c r="GLU77" s="2198"/>
      <c r="GLV77" s="2198"/>
      <c r="GLW77" s="2198"/>
      <c r="GLX77" s="2198"/>
      <c r="GLY77" s="2198"/>
      <c r="GLZ77" s="2198"/>
      <c r="GMA77" s="2198"/>
      <c r="GMB77" s="2198"/>
      <c r="GMC77" s="2198"/>
      <c r="GMD77" s="2198"/>
      <c r="GME77" s="2198"/>
      <c r="GMF77" s="2198"/>
      <c r="GMG77" s="2198"/>
      <c r="GMH77" s="2198"/>
      <c r="GMI77" s="2198"/>
      <c r="GMJ77" s="2198"/>
      <c r="GMK77" s="2198"/>
      <c r="GML77" s="2198"/>
      <c r="GMM77" s="2198"/>
      <c r="GMN77" s="2198"/>
      <c r="GMO77" s="2198"/>
      <c r="GMP77" s="2198"/>
      <c r="GMQ77" s="2198"/>
      <c r="GMR77" s="2198"/>
      <c r="GMS77" s="2198"/>
      <c r="GMT77" s="2198"/>
      <c r="GMU77" s="2198"/>
      <c r="GMV77" s="2198"/>
      <c r="GMW77" s="2198"/>
      <c r="GMX77" s="2198"/>
      <c r="GMY77" s="2198"/>
      <c r="GMZ77" s="2198"/>
      <c r="GNA77" s="2198"/>
      <c r="GNB77" s="2198"/>
      <c r="GNC77" s="2198"/>
      <c r="GND77" s="2198"/>
      <c r="GNE77" s="2198"/>
      <c r="GNF77" s="2198"/>
      <c r="GNG77" s="2198"/>
      <c r="GNH77" s="2198"/>
      <c r="GNI77" s="2198"/>
      <c r="GNJ77" s="2198"/>
      <c r="GNK77" s="2198"/>
      <c r="GNL77" s="2198"/>
      <c r="GNM77" s="2198"/>
      <c r="GNN77" s="2198"/>
      <c r="GNO77" s="2198"/>
      <c r="GNP77" s="2198"/>
      <c r="GNQ77" s="2198"/>
      <c r="GNR77" s="2198"/>
      <c r="GNS77" s="2198"/>
      <c r="GNT77" s="2198"/>
      <c r="GNU77" s="2198"/>
      <c r="GNV77" s="2198"/>
      <c r="GNW77" s="2198"/>
      <c r="GNX77" s="2198"/>
      <c r="GNY77" s="2198"/>
      <c r="GNZ77" s="2198"/>
      <c r="GOA77" s="2198"/>
      <c r="GOB77" s="2198"/>
      <c r="GOC77" s="2198"/>
      <c r="GOD77" s="2198"/>
      <c r="GOE77" s="2198"/>
      <c r="GOF77" s="2198"/>
      <c r="GOG77" s="2198"/>
      <c r="GOH77" s="2198"/>
      <c r="GOI77" s="2198"/>
      <c r="GOJ77" s="2198"/>
      <c r="GOK77" s="2198"/>
      <c r="GOL77" s="2198"/>
      <c r="GOM77" s="2198"/>
      <c r="GON77" s="2198"/>
      <c r="GOO77" s="2198"/>
      <c r="GOP77" s="2198"/>
      <c r="GOQ77" s="2198"/>
      <c r="GOR77" s="2198"/>
      <c r="GOS77" s="2198"/>
      <c r="GOT77" s="2198"/>
      <c r="GOU77" s="2198"/>
      <c r="GOV77" s="2198"/>
      <c r="GOW77" s="2198"/>
      <c r="GOX77" s="2198"/>
      <c r="GOY77" s="2198"/>
      <c r="GOZ77" s="2198"/>
      <c r="GPA77" s="2198"/>
      <c r="GPB77" s="2198"/>
      <c r="GPC77" s="2198"/>
      <c r="GPD77" s="2198"/>
      <c r="GPE77" s="2198"/>
      <c r="GPF77" s="2198"/>
      <c r="GPG77" s="2198"/>
      <c r="GPH77" s="2198"/>
      <c r="GPI77" s="2198"/>
      <c r="GPJ77" s="2198"/>
      <c r="GPK77" s="2198"/>
      <c r="GPL77" s="2198"/>
      <c r="GPM77" s="2198"/>
      <c r="GPN77" s="2198"/>
      <c r="GPO77" s="2198"/>
      <c r="GPP77" s="2198"/>
      <c r="GPQ77" s="2198"/>
      <c r="GPR77" s="2198"/>
      <c r="GPS77" s="2198"/>
      <c r="GPT77" s="2198"/>
      <c r="GPU77" s="2198"/>
      <c r="GPV77" s="2198"/>
      <c r="GPW77" s="2198"/>
      <c r="GPX77" s="2198"/>
      <c r="GPY77" s="2198"/>
      <c r="GPZ77" s="2198"/>
      <c r="GQA77" s="2198"/>
      <c r="GQB77" s="2198"/>
      <c r="GQC77" s="2198"/>
      <c r="GQD77" s="2198"/>
      <c r="GQE77" s="2198"/>
      <c r="GQF77" s="2198"/>
      <c r="GQG77" s="2198"/>
      <c r="GQH77" s="2198"/>
      <c r="GQI77" s="2198"/>
      <c r="GQJ77" s="2198"/>
      <c r="GQK77" s="2198"/>
      <c r="GQL77" s="2198"/>
      <c r="GQM77" s="2198"/>
      <c r="GQN77" s="2198"/>
      <c r="GQO77" s="2198"/>
      <c r="GQP77" s="2198"/>
      <c r="GQQ77" s="2198"/>
      <c r="GQR77" s="2198"/>
      <c r="GQS77" s="2198"/>
      <c r="GQT77" s="2198"/>
      <c r="GQU77" s="2198"/>
      <c r="GQV77" s="2198"/>
      <c r="GQW77" s="2198"/>
      <c r="GQX77" s="2198"/>
      <c r="GQY77" s="2198"/>
      <c r="GQZ77" s="2198"/>
      <c r="GRA77" s="2198"/>
      <c r="GRB77" s="2198"/>
      <c r="GRC77" s="2198"/>
      <c r="GRD77" s="2198"/>
      <c r="GRE77" s="2198"/>
      <c r="GRF77" s="2198"/>
      <c r="GRG77" s="2198"/>
      <c r="GRH77" s="2198"/>
      <c r="GRI77" s="2198"/>
      <c r="GRJ77" s="2198"/>
      <c r="GRK77" s="2198"/>
      <c r="GRL77" s="2198"/>
      <c r="GRM77" s="2198"/>
      <c r="GRN77" s="2198"/>
      <c r="GRO77" s="2198"/>
      <c r="GRP77" s="2198"/>
      <c r="GRQ77" s="2198"/>
      <c r="GRR77" s="2198"/>
      <c r="GRS77" s="2198"/>
      <c r="GRT77" s="2198"/>
      <c r="GRU77" s="2198"/>
      <c r="GRV77" s="2198"/>
      <c r="GRW77" s="2198"/>
      <c r="GRX77" s="2198"/>
      <c r="GRY77" s="2198"/>
      <c r="GRZ77" s="2198"/>
      <c r="GSA77" s="2198"/>
      <c r="GSB77" s="2198"/>
      <c r="GSC77" s="2198"/>
      <c r="GSD77" s="2198"/>
      <c r="GSE77" s="2198"/>
      <c r="GSF77" s="2198"/>
      <c r="GSG77" s="2198"/>
      <c r="GSH77" s="2198"/>
      <c r="GSI77" s="2198"/>
      <c r="GSJ77" s="2198"/>
      <c r="GSK77" s="2198"/>
      <c r="GSL77" s="2198"/>
      <c r="GSM77" s="2198"/>
      <c r="GSN77" s="2198"/>
      <c r="GSO77" s="2198"/>
      <c r="GSP77" s="2198"/>
      <c r="GSQ77" s="2198"/>
      <c r="GSR77" s="2198"/>
      <c r="GSS77" s="2198"/>
      <c r="GST77" s="2198"/>
      <c r="GSU77" s="2198"/>
      <c r="GSV77" s="2198"/>
      <c r="GSW77" s="2198"/>
      <c r="GSX77" s="2198"/>
      <c r="GSY77" s="2198"/>
      <c r="GSZ77" s="2198"/>
      <c r="GTA77" s="2198"/>
      <c r="GTB77" s="2198"/>
      <c r="GTC77" s="2198"/>
      <c r="GTD77" s="2198"/>
      <c r="GTE77" s="2198"/>
      <c r="GTF77" s="2198"/>
      <c r="GTG77" s="2198"/>
      <c r="GTH77" s="2198"/>
      <c r="GTI77" s="2198"/>
      <c r="GTJ77" s="2198"/>
      <c r="GTK77" s="2198"/>
      <c r="GTL77" s="2198"/>
      <c r="GTM77" s="2198"/>
      <c r="GTN77" s="2198"/>
      <c r="GTO77" s="2198"/>
      <c r="GTP77" s="2198"/>
      <c r="GTQ77" s="2198"/>
      <c r="GTR77" s="2198"/>
      <c r="GTS77" s="2198"/>
      <c r="GTT77" s="2198"/>
      <c r="GTU77" s="2198"/>
      <c r="GTV77" s="2198"/>
      <c r="GTW77" s="2198"/>
      <c r="GTX77" s="2198"/>
      <c r="GTY77" s="2198"/>
      <c r="GTZ77" s="2198"/>
      <c r="GUA77" s="2198"/>
      <c r="GUB77" s="2198"/>
      <c r="GUC77" s="2198"/>
      <c r="GUD77" s="2198"/>
      <c r="GUE77" s="2198"/>
      <c r="GUF77" s="2198"/>
      <c r="GUG77" s="2198"/>
      <c r="GUH77" s="2198"/>
      <c r="GUI77" s="2198"/>
      <c r="GUJ77" s="2198"/>
      <c r="GUK77" s="2198"/>
      <c r="GUL77" s="2198"/>
      <c r="GUM77" s="2198"/>
      <c r="GUN77" s="2198"/>
      <c r="GUO77" s="2198"/>
      <c r="GUP77" s="2198"/>
      <c r="GUQ77" s="2198"/>
      <c r="GUR77" s="2198"/>
      <c r="GUS77" s="2198"/>
      <c r="GUT77" s="2198"/>
      <c r="GUU77" s="2198"/>
      <c r="GUV77" s="2198"/>
      <c r="GUW77" s="2198"/>
      <c r="GUX77" s="2198"/>
      <c r="GUY77" s="2198"/>
      <c r="GUZ77" s="2198"/>
      <c r="GVA77" s="2198"/>
      <c r="GVB77" s="2198"/>
      <c r="GVC77" s="2198"/>
      <c r="GVD77" s="2198"/>
      <c r="GVE77" s="2198"/>
      <c r="GVF77" s="2198"/>
      <c r="GVG77" s="2198"/>
      <c r="GVH77" s="2198"/>
      <c r="GVI77" s="2198"/>
      <c r="GVJ77" s="2198"/>
      <c r="GVK77" s="2198"/>
      <c r="GVL77" s="2198"/>
      <c r="GVM77" s="2198"/>
      <c r="GVN77" s="2198"/>
      <c r="GVO77" s="2198"/>
      <c r="GVP77" s="2198"/>
      <c r="GVQ77" s="2198"/>
      <c r="GVR77" s="2198"/>
      <c r="GVS77" s="2198"/>
      <c r="GVT77" s="2198"/>
      <c r="GVU77" s="2198"/>
      <c r="GVV77" s="2198"/>
      <c r="GVW77" s="2198"/>
      <c r="GVX77" s="2198"/>
      <c r="GVY77" s="2198"/>
      <c r="GVZ77" s="2198"/>
      <c r="GWA77" s="2198"/>
      <c r="GWB77" s="2198"/>
      <c r="GWC77" s="2198"/>
      <c r="GWD77" s="2198"/>
      <c r="GWE77" s="2198"/>
      <c r="GWF77" s="2198"/>
      <c r="GWG77" s="2198"/>
      <c r="GWH77" s="2198"/>
      <c r="GWI77" s="2198"/>
      <c r="GWJ77" s="2198"/>
      <c r="GWK77" s="2198"/>
      <c r="GWL77" s="2198"/>
      <c r="GWM77" s="2198"/>
      <c r="GWN77" s="2198"/>
      <c r="GWO77" s="2198"/>
      <c r="GWP77" s="2198"/>
      <c r="GWQ77" s="2198"/>
      <c r="GWR77" s="2198"/>
      <c r="GWS77" s="2198"/>
      <c r="GWT77" s="2198"/>
      <c r="GWU77" s="2198"/>
      <c r="GWV77" s="2198"/>
      <c r="GWW77" s="2198"/>
      <c r="GWX77" s="2198"/>
      <c r="GWY77" s="2198"/>
      <c r="GWZ77" s="2198"/>
      <c r="GXA77" s="2198"/>
      <c r="GXB77" s="2198"/>
      <c r="GXC77" s="2198"/>
      <c r="GXD77" s="2198"/>
      <c r="GXE77" s="2198"/>
      <c r="GXF77" s="2198"/>
      <c r="GXG77" s="2198"/>
      <c r="GXH77" s="2198"/>
      <c r="GXI77" s="2198"/>
      <c r="GXJ77" s="2198"/>
      <c r="GXK77" s="2198"/>
      <c r="GXL77" s="2198"/>
      <c r="GXM77" s="2198"/>
      <c r="GXN77" s="2198"/>
      <c r="GXO77" s="2198"/>
      <c r="GXP77" s="2198"/>
      <c r="GXQ77" s="2198"/>
      <c r="GXR77" s="2198"/>
      <c r="GXS77" s="2198"/>
      <c r="GXT77" s="2198"/>
      <c r="GXU77" s="2198"/>
      <c r="GXV77" s="2198"/>
      <c r="GXW77" s="2198"/>
      <c r="GXX77" s="2198"/>
      <c r="GXY77" s="2198"/>
      <c r="GXZ77" s="2198"/>
      <c r="GYA77" s="2198"/>
      <c r="GYB77" s="2198"/>
      <c r="GYC77" s="2198"/>
      <c r="GYD77" s="2198"/>
      <c r="GYE77" s="2198"/>
      <c r="GYF77" s="2198"/>
      <c r="GYG77" s="2198"/>
      <c r="GYH77" s="2198"/>
      <c r="GYI77" s="2198"/>
      <c r="GYJ77" s="2198"/>
      <c r="GYK77" s="2198"/>
      <c r="GYL77" s="2198"/>
      <c r="GYM77" s="2198"/>
      <c r="GYN77" s="2198"/>
      <c r="GYO77" s="2198"/>
      <c r="GYP77" s="2198"/>
      <c r="GYQ77" s="2198"/>
      <c r="GYR77" s="2198"/>
      <c r="GYS77" s="2198"/>
      <c r="GYT77" s="2198"/>
      <c r="GYU77" s="2198"/>
      <c r="GYV77" s="2198"/>
      <c r="GYW77" s="2198"/>
      <c r="GYX77" s="2198"/>
      <c r="GYY77" s="2198"/>
      <c r="GYZ77" s="2198"/>
      <c r="GZA77" s="2198"/>
      <c r="GZB77" s="2198"/>
      <c r="GZC77" s="2198"/>
      <c r="GZD77" s="2198"/>
      <c r="GZE77" s="2198"/>
      <c r="GZF77" s="2198"/>
      <c r="GZG77" s="2198"/>
      <c r="GZH77" s="2198"/>
      <c r="GZI77" s="2198"/>
      <c r="GZJ77" s="2198"/>
      <c r="GZK77" s="2198"/>
      <c r="GZL77" s="2198"/>
      <c r="GZM77" s="2198"/>
      <c r="GZN77" s="2198"/>
      <c r="GZO77" s="2198"/>
      <c r="GZP77" s="2198"/>
      <c r="GZQ77" s="2198"/>
      <c r="GZR77" s="2198"/>
      <c r="GZS77" s="2198"/>
      <c r="GZT77" s="2198"/>
      <c r="GZU77" s="2198"/>
      <c r="GZV77" s="2198"/>
      <c r="GZW77" s="2198"/>
      <c r="GZX77" s="2198"/>
      <c r="GZY77" s="2198"/>
      <c r="GZZ77" s="2198"/>
      <c r="HAA77" s="2198"/>
      <c r="HAB77" s="2198"/>
      <c r="HAC77" s="2198"/>
      <c r="HAD77" s="2198"/>
      <c r="HAE77" s="2198"/>
      <c r="HAF77" s="2198"/>
      <c r="HAG77" s="2198"/>
      <c r="HAH77" s="2198"/>
      <c r="HAI77" s="2198"/>
      <c r="HAJ77" s="2198"/>
      <c r="HAK77" s="2198"/>
      <c r="HAL77" s="2198"/>
      <c r="HAM77" s="2198"/>
      <c r="HAN77" s="2198"/>
      <c r="HAO77" s="2198"/>
      <c r="HAP77" s="2198"/>
      <c r="HAQ77" s="2198"/>
      <c r="HAR77" s="2198"/>
      <c r="HAS77" s="2198"/>
      <c r="HAT77" s="2198"/>
      <c r="HAU77" s="2198"/>
      <c r="HAV77" s="2198"/>
      <c r="HAW77" s="2198"/>
      <c r="HAX77" s="2198"/>
      <c r="HAY77" s="2198"/>
      <c r="HAZ77" s="2198"/>
      <c r="HBA77" s="2198"/>
      <c r="HBB77" s="2198"/>
      <c r="HBC77" s="2198"/>
      <c r="HBD77" s="2198"/>
      <c r="HBE77" s="2198"/>
      <c r="HBF77" s="2198"/>
      <c r="HBG77" s="2198"/>
      <c r="HBH77" s="2198"/>
      <c r="HBI77" s="2198"/>
      <c r="HBJ77" s="2198"/>
      <c r="HBK77" s="2198"/>
      <c r="HBL77" s="2198"/>
      <c r="HBM77" s="2198"/>
      <c r="HBN77" s="2198"/>
      <c r="HBO77" s="2198"/>
      <c r="HBP77" s="2198"/>
      <c r="HBQ77" s="2198"/>
      <c r="HBR77" s="2198"/>
      <c r="HBS77" s="2198"/>
      <c r="HBT77" s="2198"/>
      <c r="HBU77" s="2198"/>
      <c r="HBV77" s="2198"/>
      <c r="HBW77" s="2198"/>
      <c r="HBX77" s="2198"/>
      <c r="HBY77" s="2198"/>
      <c r="HBZ77" s="2198"/>
      <c r="HCA77" s="2198"/>
      <c r="HCB77" s="2198"/>
      <c r="HCC77" s="2198"/>
      <c r="HCD77" s="2198"/>
      <c r="HCE77" s="2198"/>
      <c r="HCF77" s="2198"/>
      <c r="HCG77" s="2198"/>
      <c r="HCH77" s="2198"/>
      <c r="HCI77" s="2198"/>
      <c r="HCJ77" s="2198"/>
      <c r="HCK77" s="2198"/>
      <c r="HCL77" s="2198"/>
      <c r="HCM77" s="2198"/>
      <c r="HCN77" s="2198"/>
      <c r="HCO77" s="2198"/>
      <c r="HCP77" s="2198"/>
      <c r="HCQ77" s="2198"/>
      <c r="HCR77" s="2198"/>
      <c r="HCS77" s="2198"/>
      <c r="HCT77" s="2198"/>
      <c r="HCU77" s="2198"/>
      <c r="HCV77" s="2198"/>
      <c r="HCW77" s="2198"/>
      <c r="HCX77" s="2198"/>
      <c r="HCY77" s="2198"/>
      <c r="HCZ77" s="2198"/>
      <c r="HDA77" s="2198"/>
      <c r="HDB77" s="2198"/>
      <c r="HDC77" s="2198"/>
      <c r="HDD77" s="2198"/>
      <c r="HDE77" s="2198"/>
      <c r="HDF77" s="2198"/>
      <c r="HDG77" s="2198"/>
      <c r="HDH77" s="2198"/>
      <c r="HDI77" s="2198"/>
      <c r="HDJ77" s="2198"/>
      <c r="HDK77" s="2198"/>
      <c r="HDL77" s="2198"/>
      <c r="HDM77" s="2198"/>
      <c r="HDN77" s="2198"/>
      <c r="HDO77" s="2198"/>
      <c r="HDP77" s="2198"/>
      <c r="HDQ77" s="2198"/>
      <c r="HDR77" s="2198"/>
      <c r="HDS77" s="2198"/>
      <c r="HDT77" s="2198"/>
      <c r="HDU77" s="2198"/>
      <c r="HDV77" s="2198"/>
      <c r="HDW77" s="2198"/>
      <c r="HDX77" s="2198"/>
      <c r="HDY77" s="2198"/>
      <c r="HDZ77" s="2198"/>
      <c r="HEA77" s="2198"/>
      <c r="HEB77" s="2198"/>
      <c r="HEC77" s="2198"/>
      <c r="HED77" s="2198"/>
      <c r="HEE77" s="2198"/>
      <c r="HEF77" s="2198"/>
      <c r="HEG77" s="2198"/>
      <c r="HEH77" s="2198"/>
      <c r="HEI77" s="2198"/>
      <c r="HEJ77" s="2198"/>
      <c r="HEK77" s="2198"/>
      <c r="HEL77" s="2198"/>
      <c r="HEM77" s="2198"/>
      <c r="HEN77" s="2198"/>
      <c r="HEO77" s="2198"/>
      <c r="HEP77" s="2198"/>
      <c r="HEQ77" s="2198"/>
      <c r="HER77" s="2198"/>
      <c r="HES77" s="2198"/>
      <c r="HET77" s="2198"/>
      <c r="HEU77" s="2198"/>
      <c r="HEV77" s="2198"/>
      <c r="HEW77" s="2198"/>
      <c r="HEX77" s="2198"/>
      <c r="HEY77" s="2198"/>
      <c r="HEZ77" s="2198"/>
      <c r="HFA77" s="2198"/>
      <c r="HFB77" s="2198"/>
      <c r="HFC77" s="2198"/>
      <c r="HFD77" s="2198"/>
      <c r="HFE77" s="2198"/>
      <c r="HFF77" s="2198"/>
      <c r="HFG77" s="2198"/>
      <c r="HFH77" s="2198"/>
      <c r="HFI77" s="2198"/>
      <c r="HFJ77" s="2198"/>
      <c r="HFK77" s="2198"/>
      <c r="HFL77" s="2198"/>
      <c r="HFM77" s="2198"/>
      <c r="HFN77" s="2198"/>
      <c r="HFO77" s="2198"/>
      <c r="HFP77" s="2198"/>
      <c r="HFQ77" s="2198"/>
      <c r="HFR77" s="2198"/>
      <c r="HFS77" s="2198"/>
      <c r="HFT77" s="2198"/>
      <c r="HFU77" s="2198"/>
      <c r="HFV77" s="2198"/>
      <c r="HFW77" s="2198"/>
      <c r="HFX77" s="2198"/>
      <c r="HFY77" s="2198"/>
      <c r="HFZ77" s="2198"/>
      <c r="HGA77" s="2198"/>
      <c r="HGB77" s="2198"/>
      <c r="HGC77" s="2198"/>
      <c r="HGD77" s="2198"/>
      <c r="HGE77" s="2198"/>
      <c r="HGF77" s="2198"/>
      <c r="HGG77" s="2198"/>
      <c r="HGH77" s="2198"/>
      <c r="HGI77" s="2198"/>
      <c r="HGJ77" s="2198"/>
      <c r="HGK77" s="2198"/>
      <c r="HGL77" s="2198"/>
      <c r="HGM77" s="2198"/>
      <c r="HGN77" s="2198"/>
      <c r="HGO77" s="2198"/>
      <c r="HGP77" s="2198"/>
      <c r="HGQ77" s="2198"/>
      <c r="HGR77" s="2198"/>
      <c r="HGS77" s="2198"/>
      <c r="HGT77" s="2198"/>
      <c r="HGU77" s="2198"/>
      <c r="HGV77" s="2198"/>
      <c r="HGW77" s="2198"/>
      <c r="HGX77" s="2198"/>
      <c r="HGY77" s="2198"/>
      <c r="HGZ77" s="2198"/>
      <c r="HHA77" s="2198"/>
      <c r="HHB77" s="2198"/>
      <c r="HHC77" s="2198"/>
      <c r="HHD77" s="2198"/>
      <c r="HHE77" s="2198"/>
      <c r="HHF77" s="2198"/>
      <c r="HHG77" s="2198"/>
      <c r="HHH77" s="2198"/>
      <c r="HHI77" s="2198"/>
      <c r="HHJ77" s="2198"/>
      <c r="HHK77" s="2198"/>
      <c r="HHL77" s="2198"/>
      <c r="HHM77" s="2198"/>
      <c r="HHN77" s="2198"/>
      <c r="HHO77" s="2198"/>
      <c r="HHP77" s="2198"/>
      <c r="HHQ77" s="2198"/>
      <c r="HHR77" s="2198"/>
      <c r="HHS77" s="2198"/>
      <c r="HHT77" s="2198"/>
      <c r="HHU77" s="2198"/>
      <c r="HHV77" s="2198"/>
      <c r="HHW77" s="2198"/>
      <c r="HHX77" s="2198"/>
      <c r="HHY77" s="2198"/>
      <c r="HHZ77" s="2198"/>
      <c r="HIA77" s="2198"/>
      <c r="HIB77" s="2198"/>
      <c r="HIC77" s="2198"/>
      <c r="HID77" s="2198"/>
      <c r="HIE77" s="2198"/>
      <c r="HIF77" s="2198"/>
      <c r="HIG77" s="2198"/>
      <c r="HIH77" s="2198"/>
      <c r="HII77" s="2198"/>
      <c r="HIJ77" s="2198"/>
      <c r="HIK77" s="2198"/>
      <c r="HIL77" s="2198"/>
      <c r="HIM77" s="2198"/>
      <c r="HIN77" s="2198"/>
      <c r="HIO77" s="2198"/>
      <c r="HIP77" s="2198"/>
      <c r="HIQ77" s="2198"/>
      <c r="HIR77" s="2198"/>
      <c r="HIS77" s="2198"/>
      <c r="HIT77" s="2198"/>
      <c r="HIU77" s="2198"/>
      <c r="HIV77" s="2198"/>
      <c r="HIW77" s="2198"/>
      <c r="HIX77" s="2198"/>
      <c r="HIY77" s="2198"/>
      <c r="HIZ77" s="2198"/>
      <c r="HJA77" s="2198"/>
      <c r="HJB77" s="2198"/>
      <c r="HJC77" s="2198"/>
      <c r="HJD77" s="2198"/>
      <c r="HJE77" s="2198"/>
      <c r="HJF77" s="2198"/>
      <c r="HJG77" s="2198"/>
      <c r="HJH77" s="2198"/>
      <c r="HJI77" s="2198"/>
      <c r="HJJ77" s="2198"/>
      <c r="HJK77" s="2198"/>
      <c r="HJL77" s="2198"/>
      <c r="HJM77" s="2198"/>
      <c r="HJN77" s="2198"/>
      <c r="HJO77" s="2198"/>
      <c r="HJP77" s="2198"/>
      <c r="HJQ77" s="2198"/>
      <c r="HJR77" s="2198"/>
      <c r="HJS77" s="2198"/>
      <c r="HJT77" s="2198"/>
      <c r="HJU77" s="2198"/>
      <c r="HJV77" s="2198"/>
      <c r="HJW77" s="2198"/>
      <c r="HJX77" s="2198"/>
      <c r="HJY77" s="2198"/>
      <c r="HJZ77" s="2198"/>
      <c r="HKA77" s="2198"/>
      <c r="HKB77" s="2198"/>
      <c r="HKC77" s="2198"/>
      <c r="HKD77" s="2198"/>
      <c r="HKE77" s="2198"/>
      <c r="HKF77" s="2198"/>
      <c r="HKG77" s="2198"/>
      <c r="HKH77" s="2198"/>
      <c r="HKI77" s="2198"/>
      <c r="HKJ77" s="2198"/>
      <c r="HKK77" s="2198"/>
      <c r="HKL77" s="2198"/>
      <c r="HKM77" s="2198"/>
      <c r="HKN77" s="2198"/>
      <c r="HKO77" s="2198"/>
      <c r="HKP77" s="2198"/>
      <c r="HKQ77" s="2198"/>
      <c r="HKR77" s="2198"/>
      <c r="HKS77" s="2198"/>
      <c r="HKT77" s="2198"/>
      <c r="HKU77" s="2198"/>
      <c r="HKV77" s="2198"/>
      <c r="HKW77" s="2198"/>
      <c r="HKX77" s="2198"/>
      <c r="HKY77" s="2198"/>
      <c r="HKZ77" s="2198"/>
      <c r="HLA77" s="2198"/>
      <c r="HLB77" s="2198"/>
      <c r="HLC77" s="2198"/>
      <c r="HLD77" s="2198"/>
      <c r="HLE77" s="2198"/>
      <c r="HLF77" s="2198"/>
      <c r="HLG77" s="2198"/>
      <c r="HLH77" s="2198"/>
      <c r="HLI77" s="2198"/>
      <c r="HLJ77" s="2198"/>
      <c r="HLK77" s="2198"/>
      <c r="HLL77" s="2198"/>
      <c r="HLM77" s="2198"/>
      <c r="HLN77" s="2198"/>
      <c r="HLO77" s="2198"/>
      <c r="HLP77" s="2198"/>
      <c r="HLQ77" s="2198"/>
      <c r="HLR77" s="2198"/>
      <c r="HLS77" s="2198"/>
      <c r="HLT77" s="2198"/>
      <c r="HLU77" s="2198"/>
      <c r="HLV77" s="2198"/>
      <c r="HLW77" s="2198"/>
      <c r="HLX77" s="2198"/>
      <c r="HLY77" s="2198"/>
      <c r="HLZ77" s="2198"/>
      <c r="HMA77" s="2198"/>
      <c r="HMB77" s="2198"/>
      <c r="HMC77" s="2198"/>
      <c r="HMD77" s="2198"/>
      <c r="HME77" s="2198"/>
      <c r="HMF77" s="2198"/>
      <c r="HMG77" s="2198"/>
      <c r="HMH77" s="2198"/>
      <c r="HMI77" s="2198"/>
      <c r="HMJ77" s="2198"/>
      <c r="HMK77" s="2198"/>
      <c r="HML77" s="2198"/>
      <c r="HMM77" s="2198"/>
      <c r="HMN77" s="2198"/>
      <c r="HMO77" s="2198"/>
      <c r="HMP77" s="2198"/>
      <c r="HMQ77" s="2198"/>
      <c r="HMR77" s="2198"/>
      <c r="HMS77" s="2198"/>
      <c r="HMT77" s="2198"/>
      <c r="HMU77" s="2198"/>
      <c r="HMV77" s="2198"/>
      <c r="HMW77" s="2198"/>
      <c r="HMX77" s="2198"/>
      <c r="HMY77" s="2198"/>
      <c r="HMZ77" s="2198"/>
      <c r="HNA77" s="2198"/>
      <c r="HNB77" s="2198"/>
      <c r="HNC77" s="2198"/>
      <c r="HND77" s="2198"/>
      <c r="HNE77" s="2198"/>
      <c r="HNF77" s="2198"/>
      <c r="HNG77" s="2198"/>
      <c r="HNH77" s="2198"/>
      <c r="HNI77" s="2198"/>
      <c r="HNJ77" s="2198"/>
      <c r="HNK77" s="2198"/>
      <c r="HNL77" s="2198"/>
      <c r="HNM77" s="2198"/>
      <c r="HNN77" s="2198"/>
      <c r="HNO77" s="2198"/>
      <c r="HNP77" s="2198"/>
      <c r="HNQ77" s="2198"/>
      <c r="HNR77" s="2198"/>
      <c r="HNS77" s="2198"/>
      <c r="HNT77" s="2198"/>
      <c r="HNU77" s="2198"/>
      <c r="HNV77" s="2198"/>
      <c r="HNW77" s="2198"/>
      <c r="HNX77" s="2198"/>
      <c r="HNY77" s="2198"/>
      <c r="HNZ77" s="2198"/>
      <c r="HOA77" s="2198"/>
      <c r="HOB77" s="2198"/>
      <c r="HOC77" s="2198"/>
      <c r="HOD77" s="2198"/>
      <c r="HOE77" s="2198"/>
      <c r="HOF77" s="2198"/>
      <c r="HOG77" s="2198"/>
      <c r="HOH77" s="2198"/>
      <c r="HOI77" s="2198"/>
      <c r="HOJ77" s="2198"/>
      <c r="HOK77" s="2198"/>
      <c r="HOL77" s="2198"/>
      <c r="HOM77" s="2198"/>
      <c r="HON77" s="2198"/>
      <c r="HOO77" s="2198"/>
      <c r="HOP77" s="2198"/>
      <c r="HOQ77" s="2198"/>
      <c r="HOR77" s="2198"/>
      <c r="HOS77" s="2198"/>
      <c r="HOT77" s="2198"/>
      <c r="HOU77" s="2198"/>
      <c r="HOV77" s="2198"/>
      <c r="HOW77" s="2198"/>
      <c r="HOX77" s="2198"/>
      <c r="HOY77" s="2198"/>
      <c r="HOZ77" s="2198"/>
      <c r="HPA77" s="2198"/>
      <c r="HPB77" s="2198"/>
      <c r="HPC77" s="2198"/>
      <c r="HPD77" s="2198"/>
      <c r="HPE77" s="2198"/>
      <c r="HPF77" s="2198"/>
      <c r="HPG77" s="2198"/>
      <c r="HPH77" s="2198"/>
      <c r="HPI77" s="2198"/>
      <c r="HPJ77" s="2198"/>
      <c r="HPK77" s="2198"/>
      <c r="HPL77" s="2198"/>
      <c r="HPM77" s="2198"/>
      <c r="HPN77" s="2198"/>
      <c r="HPO77" s="2198"/>
      <c r="HPP77" s="2198"/>
      <c r="HPQ77" s="2198"/>
      <c r="HPR77" s="2198"/>
      <c r="HPS77" s="2198"/>
      <c r="HPT77" s="2198"/>
      <c r="HPU77" s="2198"/>
      <c r="HPV77" s="2198"/>
      <c r="HPW77" s="2198"/>
      <c r="HPX77" s="2198"/>
      <c r="HPY77" s="2198"/>
      <c r="HPZ77" s="2198"/>
      <c r="HQA77" s="2198"/>
      <c r="HQB77" s="2198"/>
      <c r="HQC77" s="2198"/>
      <c r="HQD77" s="2198"/>
      <c r="HQE77" s="2198"/>
      <c r="HQF77" s="2198"/>
      <c r="HQG77" s="2198"/>
      <c r="HQH77" s="2198"/>
      <c r="HQI77" s="2198"/>
      <c r="HQJ77" s="2198"/>
      <c r="HQK77" s="2198"/>
      <c r="HQL77" s="2198"/>
      <c r="HQM77" s="2198"/>
      <c r="HQN77" s="2198"/>
      <c r="HQO77" s="2198"/>
      <c r="HQP77" s="2198"/>
      <c r="HQQ77" s="2198"/>
      <c r="HQR77" s="2198"/>
      <c r="HQS77" s="2198"/>
      <c r="HQT77" s="2198"/>
      <c r="HQU77" s="2198"/>
      <c r="HQV77" s="2198"/>
      <c r="HQW77" s="2198"/>
      <c r="HQX77" s="2198"/>
      <c r="HQY77" s="2198"/>
      <c r="HQZ77" s="2198"/>
      <c r="HRA77" s="2198"/>
      <c r="HRB77" s="2198"/>
      <c r="HRC77" s="2198"/>
      <c r="HRD77" s="2198"/>
      <c r="HRE77" s="2198"/>
      <c r="HRF77" s="2198"/>
      <c r="HRG77" s="2198"/>
      <c r="HRH77" s="2198"/>
      <c r="HRI77" s="2198"/>
      <c r="HRJ77" s="2198"/>
      <c r="HRK77" s="2198"/>
      <c r="HRL77" s="2198"/>
      <c r="HRM77" s="2198"/>
      <c r="HRN77" s="2198"/>
      <c r="HRO77" s="2198"/>
      <c r="HRP77" s="2198"/>
      <c r="HRQ77" s="2198"/>
      <c r="HRR77" s="2198"/>
      <c r="HRS77" s="2198"/>
      <c r="HRT77" s="2198"/>
      <c r="HRU77" s="2198"/>
      <c r="HRV77" s="2198"/>
      <c r="HRW77" s="2198"/>
      <c r="HRX77" s="2198"/>
      <c r="HRY77" s="2198"/>
      <c r="HRZ77" s="2198"/>
      <c r="HSA77" s="2198"/>
      <c r="HSB77" s="2198"/>
      <c r="HSC77" s="2198"/>
      <c r="HSD77" s="2198"/>
      <c r="HSE77" s="2198"/>
      <c r="HSF77" s="2198"/>
      <c r="HSG77" s="2198"/>
      <c r="HSH77" s="2198"/>
      <c r="HSI77" s="2198"/>
      <c r="HSJ77" s="2198"/>
      <c r="HSK77" s="2198"/>
      <c r="HSL77" s="2198"/>
      <c r="HSM77" s="2198"/>
      <c r="HSN77" s="2198"/>
      <c r="HSO77" s="2198"/>
      <c r="HSP77" s="2198"/>
      <c r="HSQ77" s="2198"/>
      <c r="HSR77" s="2198"/>
      <c r="HSS77" s="2198"/>
      <c r="HST77" s="2198"/>
      <c r="HSU77" s="2198"/>
      <c r="HSV77" s="2198"/>
      <c r="HSW77" s="2198"/>
      <c r="HSX77" s="2198"/>
      <c r="HSY77" s="2198"/>
      <c r="HSZ77" s="2198"/>
      <c r="HTA77" s="2198"/>
      <c r="HTB77" s="2198"/>
      <c r="HTC77" s="2198"/>
      <c r="HTD77" s="2198"/>
      <c r="HTE77" s="2198"/>
      <c r="HTF77" s="2198"/>
      <c r="HTG77" s="2198"/>
      <c r="HTH77" s="2198"/>
      <c r="HTI77" s="2198"/>
      <c r="HTJ77" s="2198"/>
      <c r="HTK77" s="2198"/>
      <c r="HTL77" s="2198"/>
      <c r="HTM77" s="2198"/>
      <c r="HTN77" s="2198"/>
      <c r="HTO77" s="2198"/>
      <c r="HTP77" s="2198"/>
      <c r="HTQ77" s="2198"/>
      <c r="HTR77" s="2198"/>
      <c r="HTS77" s="2198"/>
      <c r="HTT77" s="2198"/>
      <c r="HTU77" s="2198"/>
      <c r="HTV77" s="2198"/>
      <c r="HTW77" s="2198"/>
      <c r="HTX77" s="2198"/>
      <c r="HTY77" s="2198"/>
      <c r="HTZ77" s="2198"/>
      <c r="HUA77" s="2198"/>
      <c r="HUB77" s="2198"/>
      <c r="HUC77" s="2198"/>
      <c r="HUD77" s="2198"/>
      <c r="HUE77" s="2198"/>
      <c r="HUF77" s="2198"/>
      <c r="HUG77" s="2198"/>
      <c r="HUH77" s="2198"/>
      <c r="HUI77" s="2198"/>
      <c r="HUJ77" s="2198"/>
      <c r="HUK77" s="2198"/>
      <c r="HUL77" s="2198"/>
      <c r="HUM77" s="2198"/>
      <c r="HUN77" s="2198"/>
      <c r="HUO77" s="2198"/>
      <c r="HUP77" s="2198"/>
      <c r="HUQ77" s="2198"/>
      <c r="HUR77" s="2198"/>
      <c r="HUS77" s="2198"/>
      <c r="HUT77" s="2198"/>
      <c r="HUU77" s="2198"/>
      <c r="HUV77" s="2198"/>
      <c r="HUW77" s="2198"/>
      <c r="HUX77" s="2198"/>
      <c r="HUY77" s="2198"/>
      <c r="HUZ77" s="2198"/>
      <c r="HVA77" s="2198"/>
      <c r="HVB77" s="2198"/>
      <c r="HVC77" s="2198"/>
      <c r="HVD77" s="2198"/>
      <c r="HVE77" s="2198"/>
      <c r="HVF77" s="2198"/>
      <c r="HVG77" s="2198"/>
      <c r="HVH77" s="2198"/>
      <c r="HVI77" s="2198"/>
      <c r="HVJ77" s="2198"/>
      <c r="HVK77" s="2198"/>
      <c r="HVL77" s="2198"/>
      <c r="HVM77" s="2198"/>
      <c r="HVN77" s="2198"/>
      <c r="HVO77" s="2198"/>
      <c r="HVP77" s="2198"/>
      <c r="HVQ77" s="2198"/>
      <c r="HVR77" s="2198"/>
      <c r="HVS77" s="2198"/>
      <c r="HVT77" s="2198"/>
      <c r="HVU77" s="2198"/>
      <c r="HVV77" s="2198"/>
      <c r="HVW77" s="2198"/>
      <c r="HVX77" s="2198"/>
      <c r="HVY77" s="2198"/>
      <c r="HVZ77" s="2198"/>
      <c r="HWA77" s="2198"/>
      <c r="HWB77" s="2198"/>
      <c r="HWC77" s="2198"/>
      <c r="HWD77" s="2198"/>
      <c r="HWE77" s="2198"/>
      <c r="HWF77" s="2198"/>
      <c r="HWG77" s="2198"/>
      <c r="HWH77" s="2198"/>
      <c r="HWI77" s="2198"/>
      <c r="HWJ77" s="2198"/>
      <c r="HWK77" s="2198"/>
      <c r="HWL77" s="2198"/>
      <c r="HWM77" s="2198"/>
      <c r="HWN77" s="2198"/>
      <c r="HWO77" s="2198"/>
      <c r="HWP77" s="2198"/>
      <c r="HWQ77" s="2198"/>
      <c r="HWR77" s="2198"/>
      <c r="HWS77" s="2198"/>
      <c r="HWT77" s="2198"/>
      <c r="HWU77" s="2198"/>
      <c r="HWV77" s="2198"/>
      <c r="HWW77" s="2198"/>
      <c r="HWX77" s="2198"/>
      <c r="HWY77" s="2198"/>
      <c r="HWZ77" s="2198"/>
      <c r="HXA77" s="2198"/>
      <c r="HXB77" s="2198"/>
      <c r="HXC77" s="2198"/>
      <c r="HXD77" s="2198"/>
      <c r="HXE77" s="2198"/>
      <c r="HXF77" s="2198"/>
      <c r="HXG77" s="2198"/>
      <c r="HXH77" s="2198"/>
      <c r="HXI77" s="2198"/>
      <c r="HXJ77" s="2198"/>
      <c r="HXK77" s="2198"/>
      <c r="HXL77" s="2198"/>
      <c r="HXM77" s="2198"/>
      <c r="HXN77" s="2198"/>
      <c r="HXO77" s="2198"/>
      <c r="HXP77" s="2198"/>
      <c r="HXQ77" s="2198"/>
      <c r="HXR77" s="2198"/>
      <c r="HXS77" s="2198"/>
      <c r="HXT77" s="2198"/>
      <c r="HXU77" s="2198"/>
      <c r="HXV77" s="2198"/>
      <c r="HXW77" s="2198"/>
      <c r="HXX77" s="2198"/>
      <c r="HXY77" s="2198"/>
      <c r="HXZ77" s="2198"/>
      <c r="HYA77" s="2198"/>
      <c r="HYB77" s="2198"/>
      <c r="HYC77" s="2198"/>
      <c r="HYD77" s="2198"/>
      <c r="HYE77" s="2198"/>
      <c r="HYF77" s="2198"/>
      <c r="HYG77" s="2198"/>
      <c r="HYH77" s="2198"/>
      <c r="HYI77" s="2198"/>
      <c r="HYJ77" s="2198"/>
      <c r="HYK77" s="2198"/>
      <c r="HYL77" s="2198"/>
      <c r="HYM77" s="2198"/>
      <c r="HYN77" s="2198"/>
      <c r="HYO77" s="2198"/>
      <c r="HYP77" s="2198"/>
      <c r="HYQ77" s="2198"/>
      <c r="HYR77" s="2198"/>
      <c r="HYS77" s="2198"/>
      <c r="HYT77" s="2198"/>
      <c r="HYU77" s="2198"/>
      <c r="HYV77" s="2198"/>
      <c r="HYW77" s="2198"/>
      <c r="HYX77" s="2198"/>
      <c r="HYY77" s="2198"/>
      <c r="HYZ77" s="2198"/>
      <c r="HZA77" s="2198"/>
      <c r="HZB77" s="2198"/>
      <c r="HZC77" s="2198"/>
      <c r="HZD77" s="2198"/>
      <c r="HZE77" s="2198"/>
      <c r="HZF77" s="2198"/>
      <c r="HZG77" s="2198"/>
      <c r="HZH77" s="2198"/>
      <c r="HZI77" s="2198"/>
      <c r="HZJ77" s="2198"/>
      <c r="HZK77" s="2198"/>
      <c r="HZL77" s="2198"/>
      <c r="HZM77" s="2198"/>
      <c r="HZN77" s="2198"/>
      <c r="HZO77" s="2198"/>
      <c r="HZP77" s="2198"/>
      <c r="HZQ77" s="2198"/>
      <c r="HZR77" s="2198"/>
      <c r="HZS77" s="2198"/>
      <c r="HZT77" s="2198"/>
      <c r="HZU77" s="2198"/>
      <c r="HZV77" s="2198"/>
      <c r="HZW77" s="2198"/>
      <c r="HZX77" s="2198"/>
      <c r="HZY77" s="2198"/>
      <c r="HZZ77" s="2198"/>
      <c r="IAA77" s="2198"/>
      <c r="IAB77" s="2198"/>
      <c r="IAC77" s="2198"/>
      <c r="IAD77" s="2198"/>
      <c r="IAE77" s="2198"/>
      <c r="IAF77" s="2198"/>
      <c r="IAG77" s="2198"/>
      <c r="IAH77" s="2198"/>
      <c r="IAI77" s="2198"/>
      <c r="IAJ77" s="2198"/>
      <c r="IAK77" s="2198"/>
      <c r="IAL77" s="2198"/>
      <c r="IAM77" s="2198"/>
      <c r="IAN77" s="2198"/>
      <c r="IAO77" s="2198"/>
      <c r="IAP77" s="2198"/>
      <c r="IAQ77" s="2198"/>
      <c r="IAR77" s="2198"/>
      <c r="IAS77" s="2198"/>
      <c r="IAT77" s="2198"/>
      <c r="IAU77" s="2198"/>
      <c r="IAV77" s="2198"/>
      <c r="IAW77" s="2198"/>
      <c r="IAX77" s="2198"/>
      <c r="IAY77" s="2198"/>
      <c r="IAZ77" s="2198"/>
      <c r="IBA77" s="2198"/>
      <c r="IBB77" s="2198"/>
      <c r="IBC77" s="2198"/>
      <c r="IBD77" s="2198"/>
      <c r="IBE77" s="2198"/>
      <c r="IBF77" s="2198"/>
      <c r="IBG77" s="2198"/>
      <c r="IBH77" s="2198"/>
      <c r="IBI77" s="2198"/>
      <c r="IBJ77" s="2198"/>
      <c r="IBK77" s="2198"/>
      <c r="IBL77" s="2198"/>
      <c r="IBM77" s="2198"/>
      <c r="IBN77" s="2198"/>
      <c r="IBO77" s="2198"/>
      <c r="IBP77" s="2198"/>
      <c r="IBQ77" s="2198"/>
      <c r="IBR77" s="2198"/>
      <c r="IBS77" s="2198"/>
      <c r="IBT77" s="2198"/>
      <c r="IBU77" s="2198"/>
      <c r="IBV77" s="2198"/>
      <c r="IBW77" s="2198"/>
      <c r="IBX77" s="2198"/>
      <c r="IBY77" s="2198"/>
      <c r="IBZ77" s="2198"/>
      <c r="ICA77" s="2198"/>
      <c r="ICB77" s="2198"/>
      <c r="ICC77" s="2198"/>
      <c r="ICD77" s="2198"/>
      <c r="ICE77" s="2198"/>
      <c r="ICF77" s="2198"/>
      <c r="ICG77" s="2198"/>
      <c r="ICH77" s="2198"/>
      <c r="ICI77" s="2198"/>
      <c r="ICJ77" s="2198"/>
      <c r="ICK77" s="2198"/>
      <c r="ICL77" s="2198"/>
      <c r="ICM77" s="2198"/>
      <c r="ICN77" s="2198"/>
      <c r="ICO77" s="2198"/>
      <c r="ICP77" s="2198"/>
      <c r="ICQ77" s="2198"/>
      <c r="ICR77" s="2198"/>
      <c r="ICS77" s="2198"/>
      <c r="ICT77" s="2198"/>
      <c r="ICU77" s="2198"/>
      <c r="ICV77" s="2198"/>
      <c r="ICW77" s="2198"/>
      <c r="ICX77" s="2198"/>
      <c r="ICY77" s="2198"/>
      <c r="ICZ77" s="2198"/>
      <c r="IDA77" s="2198"/>
      <c r="IDB77" s="2198"/>
      <c r="IDC77" s="2198"/>
      <c r="IDD77" s="2198"/>
      <c r="IDE77" s="2198"/>
      <c r="IDF77" s="2198"/>
      <c r="IDG77" s="2198"/>
      <c r="IDH77" s="2198"/>
      <c r="IDI77" s="2198"/>
      <c r="IDJ77" s="2198"/>
      <c r="IDK77" s="2198"/>
      <c r="IDL77" s="2198"/>
      <c r="IDM77" s="2198"/>
      <c r="IDN77" s="2198"/>
      <c r="IDO77" s="2198"/>
      <c r="IDP77" s="2198"/>
      <c r="IDQ77" s="2198"/>
      <c r="IDR77" s="2198"/>
      <c r="IDS77" s="2198"/>
      <c r="IDT77" s="2198"/>
      <c r="IDU77" s="2198"/>
      <c r="IDV77" s="2198"/>
      <c r="IDW77" s="2198"/>
      <c r="IDX77" s="2198"/>
      <c r="IDY77" s="2198"/>
      <c r="IDZ77" s="2198"/>
      <c r="IEA77" s="2198"/>
      <c r="IEB77" s="2198"/>
      <c r="IEC77" s="2198"/>
      <c r="IED77" s="2198"/>
      <c r="IEE77" s="2198"/>
      <c r="IEF77" s="2198"/>
      <c r="IEG77" s="2198"/>
      <c r="IEH77" s="2198"/>
      <c r="IEI77" s="2198"/>
      <c r="IEJ77" s="2198"/>
      <c r="IEK77" s="2198"/>
      <c r="IEL77" s="2198"/>
      <c r="IEM77" s="2198"/>
      <c r="IEN77" s="2198"/>
      <c r="IEO77" s="2198"/>
      <c r="IEP77" s="2198"/>
      <c r="IEQ77" s="2198"/>
      <c r="IER77" s="2198"/>
      <c r="IES77" s="2198"/>
      <c r="IET77" s="2198"/>
      <c r="IEU77" s="2198"/>
      <c r="IEV77" s="2198"/>
      <c r="IEW77" s="2198"/>
      <c r="IEX77" s="2198"/>
      <c r="IEY77" s="2198"/>
      <c r="IEZ77" s="2198"/>
      <c r="IFA77" s="2198"/>
      <c r="IFB77" s="2198"/>
      <c r="IFC77" s="2198"/>
      <c r="IFD77" s="2198"/>
      <c r="IFE77" s="2198"/>
      <c r="IFF77" s="2198"/>
      <c r="IFG77" s="2198"/>
      <c r="IFH77" s="2198"/>
      <c r="IFI77" s="2198"/>
      <c r="IFJ77" s="2198"/>
      <c r="IFK77" s="2198"/>
      <c r="IFL77" s="2198"/>
      <c r="IFM77" s="2198"/>
      <c r="IFN77" s="2198"/>
      <c r="IFO77" s="2198"/>
      <c r="IFP77" s="2198"/>
      <c r="IFQ77" s="2198"/>
      <c r="IFR77" s="2198"/>
      <c r="IFS77" s="2198"/>
      <c r="IFT77" s="2198"/>
      <c r="IFU77" s="2198"/>
      <c r="IFV77" s="2198"/>
      <c r="IFW77" s="2198"/>
      <c r="IFX77" s="2198"/>
      <c r="IFY77" s="2198"/>
      <c r="IFZ77" s="2198"/>
      <c r="IGA77" s="2198"/>
      <c r="IGB77" s="2198"/>
      <c r="IGC77" s="2198"/>
      <c r="IGD77" s="2198"/>
      <c r="IGE77" s="2198"/>
      <c r="IGF77" s="2198"/>
      <c r="IGG77" s="2198"/>
      <c r="IGH77" s="2198"/>
      <c r="IGI77" s="2198"/>
      <c r="IGJ77" s="2198"/>
      <c r="IGK77" s="2198"/>
      <c r="IGL77" s="2198"/>
      <c r="IGM77" s="2198"/>
      <c r="IGN77" s="2198"/>
      <c r="IGO77" s="2198"/>
      <c r="IGP77" s="2198"/>
      <c r="IGQ77" s="2198"/>
      <c r="IGR77" s="2198"/>
      <c r="IGS77" s="2198"/>
      <c r="IGT77" s="2198"/>
      <c r="IGU77" s="2198"/>
      <c r="IGV77" s="2198"/>
      <c r="IGW77" s="2198"/>
      <c r="IGX77" s="2198"/>
      <c r="IGY77" s="2198"/>
      <c r="IGZ77" s="2198"/>
      <c r="IHA77" s="2198"/>
      <c r="IHB77" s="2198"/>
      <c r="IHC77" s="2198"/>
      <c r="IHD77" s="2198"/>
      <c r="IHE77" s="2198"/>
      <c r="IHF77" s="2198"/>
      <c r="IHG77" s="2198"/>
      <c r="IHH77" s="2198"/>
      <c r="IHI77" s="2198"/>
      <c r="IHJ77" s="2198"/>
      <c r="IHK77" s="2198"/>
      <c r="IHL77" s="2198"/>
      <c r="IHM77" s="2198"/>
      <c r="IHN77" s="2198"/>
      <c r="IHO77" s="2198"/>
      <c r="IHP77" s="2198"/>
      <c r="IHQ77" s="2198"/>
      <c r="IHR77" s="2198"/>
      <c r="IHS77" s="2198"/>
      <c r="IHT77" s="2198"/>
      <c r="IHU77" s="2198"/>
      <c r="IHV77" s="2198"/>
      <c r="IHW77" s="2198"/>
      <c r="IHX77" s="2198"/>
      <c r="IHY77" s="2198"/>
      <c r="IHZ77" s="2198"/>
      <c r="IIA77" s="2198"/>
      <c r="IIB77" s="2198"/>
      <c r="IIC77" s="2198"/>
      <c r="IID77" s="2198"/>
      <c r="IIE77" s="2198"/>
      <c r="IIF77" s="2198"/>
      <c r="IIG77" s="2198"/>
      <c r="IIH77" s="2198"/>
      <c r="III77" s="2198"/>
      <c r="IIJ77" s="2198"/>
      <c r="IIK77" s="2198"/>
      <c r="IIL77" s="2198"/>
      <c r="IIM77" s="2198"/>
      <c r="IIN77" s="2198"/>
      <c r="IIO77" s="2198"/>
      <c r="IIP77" s="2198"/>
      <c r="IIQ77" s="2198"/>
      <c r="IIR77" s="2198"/>
      <c r="IIS77" s="2198"/>
      <c r="IIT77" s="2198"/>
      <c r="IIU77" s="2198"/>
      <c r="IIV77" s="2198"/>
      <c r="IIW77" s="2198"/>
      <c r="IIX77" s="2198"/>
      <c r="IIY77" s="2198"/>
      <c r="IIZ77" s="2198"/>
      <c r="IJA77" s="2198"/>
      <c r="IJB77" s="2198"/>
      <c r="IJC77" s="2198"/>
      <c r="IJD77" s="2198"/>
      <c r="IJE77" s="2198"/>
      <c r="IJF77" s="2198"/>
      <c r="IJG77" s="2198"/>
      <c r="IJH77" s="2198"/>
      <c r="IJI77" s="2198"/>
      <c r="IJJ77" s="2198"/>
      <c r="IJK77" s="2198"/>
      <c r="IJL77" s="2198"/>
      <c r="IJM77" s="2198"/>
      <c r="IJN77" s="2198"/>
      <c r="IJO77" s="2198"/>
      <c r="IJP77" s="2198"/>
      <c r="IJQ77" s="2198"/>
      <c r="IJR77" s="2198"/>
      <c r="IJS77" s="2198"/>
      <c r="IJT77" s="2198"/>
      <c r="IJU77" s="2198"/>
      <c r="IJV77" s="2198"/>
      <c r="IJW77" s="2198"/>
      <c r="IJX77" s="2198"/>
      <c r="IJY77" s="2198"/>
      <c r="IJZ77" s="2198"/>
      <c r="IKA77" s="2198"/>
      <c r="IKB77" s="2198"/>
      <c r="IKC77" s="2198"/>
      <c r="IKD77" s="2198"/>
      <c r="IKE77" s="2198"/>
      <c r="IKF77" s="2198"/>
      <c r="IKG77" s="2198"/>
      <c r="IKH77" s="2198"/>
      <c r="IKI77" s="2198"/>
      <c r="IKJ77" s="2198"/>
      <c r="IKK77" s="2198"/>
      <c r="IKL77" s="2198"/>
      <c r="IKM77" s="2198"/>
      <c r="IKN77" s="2198"/>
      <c r="IKO77" s="2198"/>
      <c r="IKP77" s="2198"/>
      <c r="IKQ77" s="2198"/>
      <c r="IKR77" s="2198"/>
      <c r="IKS77" s="2198"/>
      <c r="IKT77" s="2198"/>
      <c r="IKU77" s="2198"/>
      <c r="IKV77" s="2198"/>
      <c r="IKW77" s="2198"/>
      <c r="IKX77" s="2198"/>
      <c r="IKY77" s="2198"/>
      <c r="IKZ77" s="2198"/>
      <c r="ILA77" s="2198"/>
      <c r="ILB77" s="2198"/>
      <c r="ILC77" s="2198"/>
      <c r="ILD77" s="2198"/>
      <c r="ILE77" s="2198"/>
      <c r="ILF77" s="2198"/>
      <c r="ILG77" s="2198"/>
      <c r="ILH77" s="2198"/>
      <c r="ILI77" s="2198"/>
      <c r="ILJ77" s="2198"/>
      <c r="ILK77" s="2198"/>
      <c r="ILL77" s="2198"/>
      <c r="ILM77" s="2198"/>
      <c r="ILN77" s="2198"/>
      <c r="ILO77" s="2198"/>
      <c r="ILP77" s="2198"/>
      <c r="ILQ77" s="2198"/>
      <c r="ILR77" s="2198"/>
      <c r="ILS77" s="2198"/>
      <c r="ILT77" s="2198"/>
      <c r="ILU77" s="2198"/>
      <c r="ILV77" s="2198"/>
      <c r="ILW77" s="2198"/>
      <c r="ILX77" s="2198"/>
      <c r="ILY77" s="2198"/>
      <c r="ILZ77" s="2198"/>
      <c r="IMA77" s="2198"/>
      <c r="IMB77" s="2198"/>
      <c r="IMC77" s="2198"/>
      <c r="IMD77" s="2198"/>
      <c r="IME77" s="2198"/>
      <c r="IMF77" s="2198"/>
      <c r="IMG77" s="2198"/>
      <c r="IMH77" s="2198"/>
      <c r="IMI77" s="2198"/>
      <c r="IMJ77" s="2198"/>
      <c r="IMK77" s="2198"/>
      <c r="IML77" s="2198"/>
      <c r="IMM77" s="2198"/>
      <c r="IMN77" s="2198"/>
      <c r="IMO77" s="2198"/>
      <c r="IMP77" s="2198"/>
      <c r="IMQ77" s="2198"/>
      <c r="IMR77" s="2198"/>
      <c r="IMS77" s="2198"/>
      <c r="IMT77" s="2198"/>
      <c r="IMU77" s="2198"/>
      <c r="IMV77" s="2198"/>
      <c r="IMW77" s="2198"/>
      <c r="IMX77" s="2198"/>
      <c r="IMY77" s="2198"/>
      <c r="IMZ77" s="2198"/>
      <c r="INA77" s="2198"/>
      <c r="INB77" s="2198"/>
      <c r="INC77" s="2198"/>
      <c r="IND77" s="2198"/>
      <c r="INE77" s="2198"/>
      <c r="INF77" s="2198"/>
      <c r="ING77" s="2198"/>
      <c r="INH77" s="2198"/>
      <c r="INI77" s="2198"/>
      <c r="INJ77" s="2198"/>
      <c r="INK77" s="2198"/>
      <c r="INL77" s="2198"/>
      <c r="INM77" s="2198"/>
      <c r="INN77" s="2198"/>
      <c r="INO77" s="2198"/>
      <c r="INP77" s="2198"/>
      <c r="INQ77" s="2198"/>
      <c r="INR77" s="2198"/>
      <c r="INS77" s="2198"/>
      <c r="INT77" s="2198"/>
      <c r="INU77" s="2198"/>
      <c r="INV77" s="2198"/>
      <c r="INW77" s="2198"/>
      <c r="INX77" s="2198"/>
      <c r="INY77" s="2198"/>
      <c r="INZ77" s="2198"/>
      <c r="IOA77" s="2198"/>
      <c r="IOB77" s="2198"/>
      <c r="IOC77" s="2198"/>
      <c r="IOD77" s="2198"/>
      <c r="IOE77" s="2198"/>
      <c r="IOF77" s="2198"/>
      <c r="IOG77" s="2198"/>
      <c r="IOH77" s="2198"/>
      <c r="IOI77" s="2198"/>
      <c r="IOJ77" s="2198"/>
      <c r="IOK77" s="2198"/>
      <c r="IOL77" s="2198"/>
      <c r="IOM77" s="2198"/>
      <c r="ION77" s="2198"/>
      <c r="IOO77" s="2198"/>
      <c r="IOP77" s="2198"/>
      <c r="IOQ77" s="2198"/>
      <c r="IOR77" s="2198"/>
      <c r="IOS77" s="2198"/>
      <c r="IOT77" s="2198"/>
      <c r="IOU77" s="2198"/>
      <c r="IOV77" s="2198"/>
      <c r="IOW77" s="2198"/>
      <c r="IOX77" s="2198"/>
      <c r="IOY77" s="2198"/>
      <c r="IOZ77" s="2198"/>
      <c r="IPA77" s="2198"/>
      <c r="IPB77" s="2198"/>
      <c r="IPC77" s="2198"/>
      <c r="IPD77" s="2198"/>
      <c r="IPE77" s="2198"/>
      <c r="IPF77" s="2198"/>
      <c r="IPG77" s="2198"/>
      <c r="IPH77" s="2198"/>
      <c r="IPI77" s="2198"/>
      <c r="IPJ77" s="2198"/>
      <c r="IPK77" s="2198"/>
      <c r="IPL77" s="2198"/>
      <c r="IPM77" s="2198"/>
      <c r="IPN77" s="2198"/>
      <c r="IPO77" s="2198"/>
      <c r="IPP77" s="2198"/>
      <c r="IPQ77" s="2198"/>
      <c r="IPR77" s="2198"/>
      <c r="IPS77" s="2198"/>
      <c r="IPT77" s="2198"/>
      <c r="IPU77" s="2198"/>
      <c r="IPV77" s="2198"/>
      <c r="IPW77" s="2198"/>
      <c r="IPX77" s="2198"/>
      <c r="IPY77" s="2198"/>
      <c r="IPZ77" s="2198"/>
      <c r="IQA77" s="2198"/>
      <c r="IQB77" s="2198"/>
      <c r="IQC77" s="2198"/>
      <c r="IQD77" s="2198"/>
      <c r="IQE77" s="2198"/>
      <c r="IQF77" s="2198"/>
      <c r="IQG77" s="2198"/>
      <c r="IQH77" s="2198"/>
      <c r="IQI77" s="2198"/>
      <c r="IQJ77" s="2198"/>
      <c r="IQK77" s="2198"/>
      <c r="IQL77" s="2198"/>
      <c r="IQM77" s="2198"/>
      <c r="IQN77" s="2198"/>
      <c r="IQO77" s="2198"/>
      <c r="IQP77" s="2198"/>
      <c r="IQQ77" s="2198"/>
      <c r="IQR77" s="2198"/>
      <c r="IQS77" s="2198"/>
      <c r="IQT77" s="2198"/>
      <c r="IQU77" s="2198"/>
      <c r="IQV77" s="2198"/>
      <c r="IQW77" s="2198"/>
      <c r="IQX77" s="2198"/>
      <c r="IQY77" s="2198"/>
      <c r="IQZ77" s="2198"/>
      <c r="IRA77" s="2198"/>
      <c r="IRB77" s="2198"/>
      <c r="IRC77" s="2198"/>
      <c r="IRD77" s="2198"/>
      <c r="IRE77" s="2198"/>
      <c r="IRF77" s="2198"/>
      <c r="IRG77" s="2198"/>
      <c r="IRH77" s="2198"/>
      <c r="IRI77" s="2198"/>
      <c r="IRJ77" s="2198"/>
      <c r="IRK77" s="2198"/>
      <c r="IRL77" s="2198"/>
      <c r="IRM77" s="2198"/>
      <c r="IRN77" s="2198"/>
      <c r="IRO77" s="2198"/>
      <c r="IRP77" s="2198"/>
      <c r="IRQ77" s="2198"/>
      <c r="IRR77" s="2198"/>
      <c r="IRS77" s="2198"/>
      <c r="IRT77" s="2198"/>
      <c r="IRU77" s="2198"/>
      <c r="IRV77" s="2198"/>
      <c r="IRW77" s="2198"/>
      <c r="IRX77" s="2198"/>
      <c r="IRY77" s="2198"/>
      <c r="IRZ77" s="2198"/>
      <c r="ISA77" s="2198"/>
      <c r="ISB77" s="2198"/>
      <c r="ISC77" s="2198"/>
      <c r="ISD77" s="2198"/>
      <c r="ISE77" s="2198"/>
      <c r="ISF77" s="2198"/>
      <c r="ISG77" s="2198"/>
      <c r="ISH77" s="2198"/>
      <c r="ISI77" s="2198"/>
      <c r="ISJ77" s="2198"/>
      <c r="ISK77" s="2198"/>
      <c r="ISL77" s="2198"/>
      <c r="ISM77" s="2198"/>
      <c r="ISN77" s="2198"/>
      <c r="ISO77" s="2198"/>
      <c r="ISP77" s="2198"/>
      <c r="ISQ77" s="2198"/>
      <c r="ISR77" s="2198"/>
      <c r="ISS77" s="2198"/>
      <c r="IST77" s="2198"/>
      <c r="ISU77" s="2198"/>
      <c r="ISV77" s="2198"/>
      <c r="ISW77" s="2198"/>
      <c r="ISX77" s="2198"/>
      <c r="ISY77" s="2198"/>
      <c r="ISZ77" s="2198"/>
      <c r="ITA77" s="2198"/>
      <c r="ITB77" s="2198"/>
      <c r="ITC77" s="2198"/>
      <c r="ITD77" s="2198"/>
      <c r="ITE77" s="2198"/>
      <c r="ITF77" s="2198"/>
      <c r="ITG77" s="2198"/>
      <c r="ITH77" s="2198"/>
      <c r="ITI77" s="2198"/>
      <c r="ITJ77" s="2198"/>
      <c r="ITK77" s="2198"/>
      <c r="ITL77" s="2198"/>
      <c r="ITM77" s="2198"/>
      <c r="ITN77" s="2198"/>
      <c r="ITO77" s="2198"/>
      <c r="ITP77" s="2198"/>
      <c r="ITQ77" s="2198"/>
      <c r="ITR77" s="2198"/>
      <c r="ITS77" s="2198"/>
      <c r="ITT77" s="2198"/>
      <c r="ITU77" s="2198"/>
      <c r="ITV77" s="2198"/>
      <c r="ITW77" s="2198"/>
      <c r="ITX77" s="2198"/>
      <c r="ITY77" s="2198"/>
      <c r="ITZ77" s="2198"/>
      <c r="IUA77" s="2198"/>
      <c r="IUB77" s="2198"/>
      <c r="IUC77" s="2198"/>
      <c r="IUD77" s="2198"/>
      <c r="IUE77" s="2198"/>
      <c r="IUF77" s="2198"/>
      <c r="IUG77" s="2198"/>
      <c r="IUH77" s="2198"/>
      <c r="IUI77" s="2198"/>
      <c r="IUJ77" s="2198"/>
      <c r="IUK77" s="2198"/>
      <c r="IUL77" s="2198"/>
      <c r="IUM77" s="2198"/>
      <c r="IUN77" s="2198"/>
      <c r="IUO77" s="2198"/>
      <c r="IUP77" s="2198"/>
      <c r="IUQ77" s="2198"/>
      <c r="IUR77" s="2198"/>
      <c r="IUS77" s="2198"/>
      <c r="IUT77" s="2198"/>
      <c r="IUU77" s="2198"/>
      <c r="IUV77" s="2198"/>
      <c r="IUW77" s="2198"/>
      <c r="IUX77" s="2198"/>
      <c r="IUY77" s="2198"/>
      <c r="IUZ77" s="2198"/>
      <c r="IVA77" s="2198"/>
      <c r="IVB77" s="2198"/>
      <c r="IVC77" s="2198"/>
      <c r="IVD77" s="2198"/>
      <c r="IVE77" s="2198"/>
      <c r="IVF77" s="2198"/>
      <c r="IVG77" s="2198"/>
      <c r="IVH77" s="2198"/>
      <c r="IVI77" s="2198"/>
      <c r="IVJ77" s="2198"/>
      <c r="IVK77" s="2198"/>
      <c r="IVL77" s="2198"/>
      <c r="IVM77" s="2198"/>
      <c r="IVN77" s="2198"/>
      <c r="IVO77" s="2198"/>
      <c r="IVP77" s="2198"/>
      <c r="IVQ77" s="2198"/>
      <c r="IVR77" s="2198"/>
      <c r="IVS77" s="2198"/>
      <c r="IVT77" s="2198"/>
      <c r="IVU77" s="2198"/>
      <c r="IVV77" s="2198"/>
      <c r="IVW77" s="2198"/>
      <c r="IVX77" s="2198"/>
      <c r="IVY77" s="2198"/>
      <c r="IVZ77" s="2198"/>
      <c r="IWA77" s="2198"/>
      <c r="IWB77" s="2198"/>
      <c r="IWC77" s="2198"/>
      <c r="IWD77" s="2198"/>
      <c r="IWE77" s="2198"/>
      <c r="IWF77" s="2198"/>
      <c r="IWG77" s="2198"/>
      <c r="IWH77" s="2198"/>
      <c r="IWI77" s="2198"/>
      <c r="IWJ77" s="2198"/>
      <c r="IWK77" s="2198"/>
      <c r="IWL77" s="2198"/>
      <c r="IWM77" s="2198"/>
      <c r="IWN77" s="2198"/>
      <c r="IWO77" s="2198"/>
      <c r="IWP77" s="2198"/>
      <c r="IWQ77" s="2198"/>
      <c r="IWR77" s="2198"/>
      <c r="IWS77" s="2198"/>
      <c r="IWT77" s="2198"/>
      <c r="IWU77" s="2198"/>
      <c r="IWV77" s="2198"/>
      <c r="IWW77" s="2198"/>
      <c r="IWX77" s="2198"/>
      <c r="IWY77" s="2198"/>
      <c r="IWZ77" s="2198"/>
      <c r="IXA77" s="2198"/>
      <c r="IXB77" s="2198"/>
      <c r="IXC77" s="2198"/>
      <c r="IXD77" s="2198"/>
      <c r="IXE77" s="2198"/>
      <c r="IXF77" s="2198"/>
      <c r="IXG77" s="2198"/>
      <c r="IXH77" s="2198"/>
      <c r="IXI77" s="2198"/>
      <c r="IXJ77" s="2198"/>
      <c r="IXK77" s="2198"/>
      <c r="IXL77" s="2198"/>
      <c r="IXM77" s="2198"/>
      <c r="IXN77" s="2198"/>
      <c r="IXO77" s="2198"/>
      <c r="IXP77" s="2198"/>
      <c r="IXQ77" s="2198"/>
      <c r="IXR77" s="2198"/>
      <c r="IXS77" s="2198"/>
      <c r="IXT77" s="2198"/>
      <c r="IXU77" s="2198"/>
      <c r="IXV77" s="2198"/>
      <c r="IXW77" s="2198"/>
      <c r="IXX77" s="2198"/>
      <c r="IXY77" s="2198"/>
      <c r="IXZ77" s="2198"/>
      <c r="IYA77" s="2198"/>
      <c r="IYB77" s="2198"/>
      <c r="IYC77" s="2198"/>
      <c r="IYD77" s="2198"/>
      <c r="IYE77" s="2198"/>
      <c r="IYF77" s="2198"/>
      <c r="IYG77" s="2198"/>
      <c r="IYH77" s="2198"/>
      <c r="IYI77" s="2198"/>
      <c r="IYJ77" s="2198"/>
      <c r="IYK77" s="2198"/>
      <c r="IYL77" s="2198"/>
      <c r="IYM77" s="2198"/>
      <c r="IYN77" s="2198"/>
      <c r="IYO77" s="2198"/>
      <c r="IYP77" s="2198"/>
      <c r="IYQ77" s="2198"/>
      <c r="IYR77" s="2198"/>
      <c r="IYS77" s="2198"/>
      <c r="IYT77" s="2198"/>
      <c r="IYU77" s="2198"/>
      <c r="IYV77" s="2198"/>
      <c r="IYW77" s="2198"/>
      <c r="IYX77" s="2198"/>
      <c r="IYY77" s="2198"/>
      <c r="IYZ77" s="2198"/>
      <c r="IZA77" s="2198"/>
      <c r="IZB77" s="2198"/>
      <c r="IZC77" s="2198"/>
      <c r="IZD77" s="2198"/>
      <c r="IZE77" s="2198"/>
      <c r="IZF77" s="2198"/>
      <c r="IZG77" s="2198"/>
      <c r="IZH77" s="2198"/>
      <c r="IZI77" s="2198"/>
      <c r="IZJ77" s="2198"/>
      <c r="IZK77" s="2198"/>
      <c r="IZL77" s="2198"/>
      <c r="IZM77" s="2198"/>
      <c r="IZN77" s="2198"/>
      <c r="IZO77" s="2198"/>
      <c r="IZP77" s="2198"/>
      <c r="IZQ77" s="2198"/>
      <c r="IZR77" s="2198"/>
      <c r="IZS77" s="2198"/>
      <c r="IZT77" s="2198"/>
      <c r="IZU77" s="2198"/>
      <c r="IZV77" s="2198"/>
      <c r="IZW77" s="2198"/>
      <c r="IZX77" s="2198"/>
      <c r="IZY77" s="2198"/>
      <c r="IZZ77" s="2198"/>
      <c r="JAA77" s="2198"/>
      <c r="JAB77" s="2198"/>
      <c r="JAC77" s="2198"/>
      <c r="JAD77" s="2198"/>
      <c r="JAE77" s="2198"/>
      <c r="JAF77" s="2198"/>
      <c r="JAG77" s="2198"/>
      <c r="JAH77" s="2198"/>
      <c r="JAI77" s="2198"/>
      <c r="JAJ77" s="2198"/>
      <c r="JAK77" s="2198"/>
      <c r="JAL77" s="2198"/>
      <c r="JAM77" s="2198"/>
      <c r="JAN77" s="2198"/>
      <c r="JAO77" s="2198"/>
      <c r="JAP77" s="2198"/>
      <c r="JAQ77" s="2198"/>
      <c r="JAR77" s="2198"/>
      <c r="JAS77" s="2198"/>
      <c r="JAT77" s="2198"/>
      <c r="JAU77" s="2198"/>
      <c r="JAV77" s="2198"/>
      <c r="JAW77" s="2198"/>
      <c r="JAX77" s="2198"/>
      <c r="JAY77" s="2198"/>
      <c r="JAZ77" s="2198"/>
      <c r="JBA77" s="2198"/>
      <c r="JBB77" s="2198"/>
      <c r="JBC77" s="2198"/>
      <c r="JBD77" s="2198"/>
      <c r="JBE77" s="2198"/>
      <c r="JBF77" s="2198"/>
      <c r="JBG77" s="2198"/>
      <c r="JBH77" s="2198"/>
      <c r="JBI77" s="2198"/>
      <c r="JBJ77" s="2198"/>
      <c r="JBK77" s="2198"/>
      <c r="JBL77" s="2198"/>
      <c r="JBM77" s="2198"/>
      <c r="JBN77" s="2198"/>
      <c r="JBO77" s="2198"/>
      <c r="JBP77" s="2198"/>
      <c r="JBQ77" s="2198"/>
      <c r="JBR77" s="2198"/>
      <c r="JBS77" s="2198"/>
      <c r="JBT77" s="2198"/>
      <c r="JBU77" s="2198"/>
      <c r="JBV77" s="2198"/>
      <c r="JBW77" s="2198"/>
      <c r="JBX77" s="2198"/>
      <c r="JBY77" s="2198"/>
      <c r="JBZ77" s="2198"/>
      <c r="JCA77" s="2198"/>
      <c r="JCB77" s="2198"/>
      <c r="JCC77" s="2198"/>
      <c r="JCD77" s="2198"/>
      <c r="JCE77" s="2198"/>
      <c r="JCF77" s="2198"/>
      <c r="JCG77" s="2198"/>
      <c r="JCH77" s="2198"/>
      <c r="JCI77" s="2198"/>
      <c r="JCJ77" s="2198"/>
      <c r="JCK77" s="2198"/>
      <c r="JCL77" s="2198"/>
      <c r="JCM77" s="2198"/>
      <c r="JCN77" s="2198"/>
      <c r="JCO77" s="2198"/>
      <c r="JCP77" s="2198"/>
      <c r="JCQ77" s="2198"/>
      <c r="JCR77" s="2198"/>
      <c r="JCS77" s="2198"/>
      <c r="JCT77" s="2198"/>
      <c r="JCU77" s="2198"/>
      <c r="JCV77" s="2198"/>
      <c r="JCW77" s="2198"/>
      <c r="JCX77" s="2198"/>
      <c r="JCY77" s="2198"/>
      <c r="JCZ77" s="2198"/>
      <c r="JDA77" s="2198"/>
      <c r="JDB77" s="2198"/>
      <c r="JDC77" s="2198"/>
      <c r="JDD77" s="2198"/>
      <c r="JDE77" s="2198"/>
      <c r="JDF77" s="2198"/>
      <c r="JDG77" s="2198"/>
      <c r="JDH77" s="2198"/>
      <c r="JDI77" s="2198"/>
      <c r="JDJ77" s="2198"/>
      <c r="JDK77" s="2198"/>
      <c r="JDL77" s="2198"/>
      <c r="JDM77" s="2198"/>
      <c r="JDN77" s="2198"/>
      <c r="JDO77" s="2198"/>
      <c r="JDP77" s="2198"/>
      <c r="JDQ77" s="2198"/>
      <c r="JDR77" s="2198"/>
      <c r="JDS77" s="2198"/>
      <c r="JDT77" s="2198"/>
      <c r="JDU77" s="2198"/>
      <c r="JDV77" s="2198"/>
      <c r="JDW77" s="2198"/>
      <c r="JDX77" s="2198"/>
      <c r="JDY77" s="2198"/>
      <c r="JDZ77" s="2198"/>
      <c r="JEA77" s="2198"/>
      <c r="JEB77" s="2198"/>
      <c r="JEC77" s="2198"/>
      <c r="JED77" s="2198"/>
      <c r="JEE77" s="2198"/>
      <c r="JEF77" s="2198"/>
      <c r="JEG77" s="2198"/>
      <c r="JEH77" s="2198"/>
      <c r="JEI77" s="2198"/>
      <c r="JEJ77" s="2198"/>
      <c r="JEK77" s="2198"/>
      <c r="JEL77" s="2198"/>
      <c r="JEM77" s="2198"/>
      <c r="JEN77" s="2198"/>
      <c r="JEO77" s="2198"/>
      <c r="JEP77" s="2198"/>
      <c r="JEQ77" s="2198"/>
      <c r="JER77" s="2198"/>
      <c r="JES77" s="2198"/>
      <c r="JET77" s="2198"/>
      <c r="JEU77" s="2198"/>
      <c r="JEV77" s="2198"/>
      <c r="JEW77" s="2198"/>
      <c r="JEX77" s="2198"/>
      <c r="JEY77" s="2198"/>
      <c r="JEZ77" s="2198"/>
      <c r="JFA77" s="2198"/>
      <c r="JFB77" s="2198"/>
      <c r="JFC77" s="2198"/>
      <c r="JFD77" s="2198"/>
      <c r="JFE77" s="2198"/>
      <c r="JFF77" s="2198"/>
      <c r="JFG77" s="2198"/>
      <c r="JFH77" s="2198"/>
      <c r="JFI77" s="2198"/>
      <c r="JFJ77" s="2198"/>
      <c r="JFK77" s="2198"/>
      <c r="JFL77" s="2198"/>
      <c r="JFM77" s="2198"/>
      <c r="JFN77" s="2198"/>
      <c r="JFO77" s="2198"/>
      <c r="JFP77" s="2198"/>
      <c r="JFQ77" s="2198"/>
      <c r="JFR77" s="2198"/>
      <c r="JFS77" s="2198"/>
      <c r="JFT77" s="2198"/>
      <c r="JFU77" s="2198"/>
      <c r="JFV77" s="2198"/>
      <c r="JFW77" s="2198"/>
      <c r="JFX77" s="2198"/>
      <c r="JFY77" s="2198"/>
      <c r="JFZ77" s="2198"/>
      <c r="JGA77" s="2198"/>
      <c r="JGB77" s="2198"/>
      <c r="JGC77" s="2198"/>
      <c r="JGD77" s="2198"/>
      <c r="JGE77" s="2198"/>
      <c r="JGF77" s="2198"/>
      <c r="JGG77" s="2198"/>
      <c r="JGH77" s="2198"/>
      <c r="JGI77" s="2198"/>
      <c r="JGJ77" s="2198"/>
      <c r="JGK77" s="2198"/>
      <c r="JGL77" s="2198"/>
      <c r="JGM77" s="2198"/>
      <c r="JGN77" s="2198"/>
      <c r="JGO77" s="2198"/>
      <c r="JGP77" s="2198"/>
      <c r="JGQ77" s="2198"/>
      <c r="JGR77" s="2198"/>
      <c r="JGS77" s="2198"/>
      <c r="JGT77" s="2198"/>
      <c r="JGU77" s="2198"/>
      <c r="JGV77" s="2198"/>
      <c r="JGW77" s="2198"/>
      <c r="JGX77" s="2198"/>
      <c r="JGY77" s="2198"/>
      <c r="JGZ77" s="2198"/>
      <c r="JHA77" s="2198"/>
      <c r="JHB77" s="2198"/>
      <c r="JHC77" s="2198"/>
      <c r="JHD77" s="2198"/>
      <c r="JHE77" s="2198"/>
      <c r="JHF77" s="2198"/>
      <c r="JHG77" s="2198"/>
      <c r="JHH77" s="2198"/>
      <c r="JHI77" s="2198"/>
      <c r="JHJ77" s="2198"/>
      <c r="JHK77" s="2198"/>
      <c r="JHL77" s="2198"/>
      <c r="JHM77" s="2198"/>
      <c r="JHN77" s="2198"/>
      <c r="JHO77" s="2198"/>
      <c r="JHP77" s="2198"/>
      <c r="JHQ77" s="2198"/>
      <c r="JHR77" s="2198"/>
      <c r="JHS77" s="2198"/>
      <c r="JHT77" s="2198"/>
      <c r="JHU77" s="2198"/>
      <c r="JHV77" s="2198"/>
      <c r="JHW77" s="2198"/>
      <c r="JHX77" s="2198"/>
      <c r="JHY77" s="2198"/>
      <c r="JHZ77" s="2198"/>
      <c r="JIA77" s="2198"/>
      <c r="JIB77" s="2198"/>
      <c r="JIC77" s="2198"/>
      <c r="JID77" s="2198"/>
      <c r="JIE77" s="2198"/>
      <c r="JIF77" s="2198"/>
      <c r="JIG77" s="2198"/>
      <c r="JIH77" s="2198"/>
      <c r="JII77" s="2198"/>
      <c r="JIJ77" s="2198"/>
      <c r="JIK77" s="2198"/>
      <c r="JIL77" s="2198"/>
      <c r="JIM77" s="2198"/>
      <c r="JIN77" s="2198"/>
      <c r="JIO77" s="2198"/>
      <c r="JIP77" s="2198"/>
      <c r="JIQ77" s="2198"/>
      <c r="JIR77" s="2198"/>
      <c r="JIS77" s="2198"/>
      <c r="JIT77" s="2198"/>
      <c r="JIU77" s="2198"/>
      <c r="JIV77" s="2198"/>
      <c r="JIW77" s="2198"/>
      <c r="JIX77" s="2198"/>
      <c r="JIY77" s="2198"/>
      <c r="JIZ77" s="2198"/>
      <c r="JJA77" s="2198"/>
      <c r="JJB77" s="2198"/>
      <c r="JJC77" s="2198"/>
      <c r="JJD77" s="2198"/>
      <c r="JJE77" s="2198"/>
      <c r="JJF77" s="2198"/>
      <c r="JJG77" s="2198"/>
      <c r="JJH77" s="2198"/>
      <c r="JJI77" s="2198"/>
      <c r="JJJ77" s="2198"/>
      <c r="JJK77" s="2198"/>
      <c r="JJL77" s="2198"/>
      <c r="JJM77" s="2198"/>
      <c r="JJN77" s="2198"/>
      <c r="JJO77" s="2198"/>
      <c r="JJP77" s="2198"/>
      <c r="JJQ77" s="2198"/>
      <c r="JJR77" s="2198"/>
      <c r="JJS77" s="2198"/>
      <c r="JJT77" s="2198"/>
      <c r="JJU77" s="2198"/>
      <c r="JJV77" s="2198"/>
      <c r="JJW77" s="2198"/>
      <c r="JJX77" s="2198"/>
      <c r="JJY77" s="2198"/>
      <c r="JJZ77" s="2198"/>
      <c r="JKA77" s="2198"/>
      <c r="JKB77" s="2198"/>
      <c r="JKC77" s="2198"/>
      <c r="JKD77" s="2198"/>
      <c r="JKE77" s="2198"/>
      <c r="JKF77" s="2198"/>
      <c r="JKG77" s="2198"/>
      <c r="JKH77" s="2198"/>
      <c r="JKI77" s="2198"/>
      <c r="JKJ77" s="2198"/>
      <c r="JKK77" s="2198"/>
      <c r="JKL77" s="2198"/>
      <c r="JKM77" s="2198"/>
      <c r="JKN77" s="2198"/>
      <c r="JKO77" s="2198"/>
      <c r="JKP77" s="2198"/>
      <c r="JKQ77" s="2198"/>
      <c r="JKR77" s="2198"/>
      <c r="JKS77" s="2198"/>
      <c r="JKT77" s="2198"/>
      <c r="JKU77" s="2198"/>
      <c r="JKV77" s="2198"/>
      <c r="JKW77" s="2198"/>
      <c r="JKX77" s="2198"/>
      <c r="JKY77" s="2198"/>
      <c r="JKZ77" s="2198"/>
      <c r="JLA77" s="2198"/>
      <c r="JLB77" s="2198"/>
      <c r="JLC77" s="2198"/>
      <c r="JLD77" s="2198"/>
      <c r="JLE77" s="2198"/>
      <c r="JLF77" s="2198"/>
      <c r="JLG77" s="2198"/>
      <c r="JLH77" s="2198"/>
      <c r="JLI77" s="2198"/>
      <c r="JLJ77" s="2198"/>
      <c r="JLK77" s="2198"/>
      <c r="JLL77" s="2198"/>
      <c r="JLM77" s="2198"/>
      <c r="JLN77" s="2198"/>
      <c r="JLO77" s="2198"/>
      <c r="JLP77" s="2198"/>
      <c r="JLQ77" s="2198"/>
      <c r="JLR77" s="2198"/>
      <c r="JLS77" s="2198"/>
      <c r="JLT77" s="2198"/>
      <c r="JLU77" s="2198"/>
      <c r="JLV77" s="2198"/>
      <c r="JLW77" s="2198"/>
      <c r="JLX77" s="2198"/>
      <c r="JLY77" s="2198"/>
      <c r="JLZ77" s="2198"/>
      <c r="JMA77" s="2198"/>
      <c r="JMB77" s="2198"/>
      <c r="JMC77" s="2198"/>
      <c r="JMD77" s="2198"/>
      <c r="JME77" s="2198"/>
      <c r="JMF77" s="2198"/>
      <c r="JMG77" s="2198"/>
      <c r="JMH77" s="2198"/>
      <c r="JMI77" s="2198"/>
      <c r="JMJ77" s="2198"/>
      <c r="JMK77" s="2198"/>
      <c r="JML77" s="2198"/>
      <c r="JMM77" s="2198"/>
      <c r="JMN77" s="2198"/>
      <c r="JMO77" s="2198"/>
      <c r="JMP77" s="2198"/>
      <c r="JMQ77" s="2198"/>
      <c r="JMR77" s="2198"/>
      <c r="JMS77" s="2198"/>
      <c r="JMT77" s="2198"/>
      <c r="JMU77" s="2198"/>
      <c r="JMV77" s="2198"/>
      <c r="JMW77" s="2198"/>
      <c r="JMX77" s="2198"/>
      <c r="JMY77" s="2198"/>
      <c r="JMZ77" s="2198"/>
      <c r="JNA77" s="2198"/>
      <c r="JNB77" s="2198"/>
      <c r="JNC77" s="2198"/>
      <c r="JND77" s="2198"/>
      <c r="JNE77" s="2198"/>
      <c r="JNF77" s="2198"/>
      <c r="JNG77" s="2198"/>
      <c r="JNH77" s="2198"/>
      <c r="JNI77" s="2198"/>
      <c r="JNJ77" s="2198"/>
      <c r="JNK77" s="2198"/>
      <c r="JNL77" s="2198"/>
      <c r="JNM77" s="2198"/>
      <c r="JNN77" s="2198"/>
      <c r="JNO77" s="2198"/>
      <c r="JNP77" s="2198"/>
      <c r="JNQ77" s="2198"/>
      <c r="JNR77" s="2198"/>
      <c r="JNS77" s="2198"/>
      <c r="JNT77" s="2198"/>
      <c r="JNU77" s="2198"/>
      <c r="JNV77" s="2198"/>
      <c r="JNW77" s="2198"/>
      <c r="JNX77" s="2198"/>
      <c r="JNY77" s="2198"/>
      <c r="JNZ77" s="2198"/>
      <c r="JOA77" s="2198"/>
      <c r="JOB77" s="2198"/>
      <c r="JOC77" s="2198"/>
      <c r="JOD77" s="2198"/>
      <c r="JOE77" s="2198"/>
      <c r="JOF77" s="2198"/>
      <c r="JOG77" s="2198"/>
      <c r="JOH77" s="2198"/>
      <c r="JOI77" s="2198"/>
      <c r="JOJ77" s="2198"/>
      <c r="JOK77" s="2198"/>
      <c r="JOL77" s="2198"/>
      <c r="JOM77" s="2198"/>
      <c r="JON77" s="2198"/>
      <c r="JOO77" s="2198"/>
      <c r="JOP77" s="2198"/>
      <c r="JOQ77" s="2198"/>
      <c r="JOR77" s="2198"/>
      <c r="JOS77" s="2198"/>
      <c r="JOT77" s="2198"/>
      <c r="JOU77" s="2198"/>
      <c r="JOV77" s="2198"/>
      <c r="JOW77" s="2198"/>
      <c r="JOX77" s="2198"/>
      <c r="JOY77" s="2198"/>
      <c r="JOZ77" s="2198"/>
      <c r="JPA77" s="2198"/>
      <c r="JPB77" s="2198"/>
      <c r="JPC77" s="2198"/>
      <c r="JPD77" s="2198"/>
      <c r="JPE77" s="2198"/>
      <c r="JPF77" s="2198"/>
      <c r="JPG77" s="2198"/>
      <c r="JPH77" s="2198"/>
      <c r="JPI77" s="2198"/>
      <c r="JPJ77" s="2198"/>
      <c r="JPK77" s="2198"/>
      <c r="JPL77" s="2198"/>
      <c r="JPM77" s="2198"/>
      <c r="JPN77" s="2198"/>
      <c r="JPO77" s="2198"/>
      <c r="JPP77" s="2198"/>
      <c r="JPQ77" s="2198"/>
      <c r="JPR77" s="2198"/>
      <c r="JPS77" s="2198"/>
      <c r="JPT77" s="2198"/>
      <c r="JPU77" s="2198"/>
      <c r="JPV77" s="2198"/>
      <c r="JPW77" s="2198"/>
      <c r="JPX77" s="2198"/>
      <c r="JPY77" s="2198"/>
      <c r="JPZ77" s="2198"/>
      <c r="JQA77" s="2198"/>
      <c r="JQB77" s="2198"/>
      <c r="JQC77" s="2198"/>
      <c r="JQD77" s="2198"/>
      <c r="JQE77" s="2198"/>
      <c r="JQF77" s="2198"/>
      <c r="JQG77" s="2198"/>
      <c r="JQH77" s="2198"/>
      <c r="JQI77" s="2198"/>
      <c r="JQJ77" s="2198"/>
      <c r="JQK77" s="2198"/>
      <c r="JQL77" s="2198"/>
      <c r="JQM77" s="2198"/>
      <c r="JQN77" s="2198"/>
      <c r="JQO77" s="2198"/>
      <c r="JQP77" s="2198"/>
      <c r="JQQ77" s="2198"/>
      <c r="JQR77" s="2198"/>
      <c r="JQS77" s="2198"/>
      <c r="JQT77" s="2198"/>
      <c r="JQU77" s="2198"/>
      <c r="JQV77" s="2198"/>
      <c r="JQW77" s="2198"/>
      <c r="JQX77" s="2198"/>
      <c r="JQY77" s="2198"/>
      <c r="JQZ77" s="2198"/>
      <c r="JRA77" s="2198"/>
      <c r="JRB77" s="2198"/>
      <c r="JRC77" s="2198"/>
      <c r="JRD77" s="2198"/>
      <c r="JRE77" s="2198"/>
      <c r="JRF77" s="2198"/>
      <c r="JRG77" s="2198"/>
      <c r="JRH77" s="2198"/>
      <c r="JRI77" s="2198"/>
      <c r="JRJ77" s="2198"/>
      <c r="JRK77" s="2198"/>
      <c r="JRL77" s="2198"/>
      <c r="JRM77" s="2198"/>
      <c r="JRN77" s="2198"/>
      <c r="JRO77" s="2198"/>
      <c r="JRP77" s="2198"/>
      <c r="JRQ77" s="2198"/>
      <c r="JRR77" s="2198"/>
      <c r="JRS77" s="2198"/>
      <c r="JRT77" s="2198"/>
      <c r="JRU77" s="2198"/>
      <c r="JRV77" s="2198"/>
      <c r="JRW77" s="2198"/>
      <c r="JRX77" s="2198"/>
      <c r="JRY77" s="2198"/>
      <c r="JRZ77" s="2198"/>
      <c r="JSA77" s="2198"/>
      <c r="JSB77" s="2198"/>
      <c r="JSC77" s="2198"/>
      <c r="JSD77" s="2198"/>
      <c r="JSE77" s="2198"/>
      <c r="JSF77" s="2198"/>
      <c r="JSG77" s="2198"/>
      <c r="JSH77" s="2198"/>
      <c r="JSI77" s="2198"/>
      <c r="JSJ77" s="2198"/>
      <c r="JSK77" s="2198"/>
      <c r="JSL77" s="2198"/>
      <c r="JSM77" s="2198"/>
      <c r="JSN77" s="2198"/>
      <c r="JSO77" s="2198"/>
      <c r="JSP77" s="2198"/>
      <c r="JSQ77" s="2198"/>
      <c r="JSR77" s="2198"/>
      <c r="JSS77" s="2198"/>
      <c r="JST77" s="2198"/>
      <c r="JSU77" s="2198"/>
      <c r="JSV77" s="2198"/>
      <c r="JSW77" s="2198"/>
      <c r="JSX77" s="2198"/>
      <c r="JSY77" s="2198"/>
      <c r="JSZ77" s="2198"/>
      <c r="JTA77" s="2198"/>
      <c r="JTB77" s="2198"/>
      <c r="JTC77" s="2198"/>
      <c r="JTD77" s="2198"/>
      <c r="JTE77" s="2198"/>
      <c r="JTF77" s="2198"/>
      <c r="JTG77" s="2198"/>
      <c r="JTH77" s="2198"/>
      <c r="JTI77" s="2198"/>
      <c r="JTJ77" s="2198"/>
      <c r="JTK77" s="2198"/>
      <c r="JTL77" s="2198"/>
      <c r="JTM77" s="2198"/>
      <c r="JTN77" s="2198"/>
      <c r="JTO77" s="2198"/>
      <c r="JTP77" s="2198"/>
      <c r="JTQ77" s="2198"/>
      <c r="JTR77" s="2198"/>
      <c r="JTS77" s="2198"/>
      <c r="JTT77" s="2198"/>
      <c r="JTU77" s="2198"/>
      <c r="JTV77" s="2198"/>
      <c r="JTW77" s="2198"/>
      <c r="JTX77" s="2198"/>
      <c r="JTY77" s="2198"/>
      <c r="JTZ77" s="2198"/>
      <c r="JUA77" s="2198"/>
      <c r="JUB77" s="2198"/>
      <c r="JUC77" s="2198"/>
      <c r="JUD77" s="2198"/>
      <c r="JUE77" s="2198"/>
      <c r="JUF77" s="2198"/>
      <c r="JUG77" s="2198"/>
      <c r="JUH77" s="2198"/>
      <c r="JUI77" s="2198"/>
      <c r="JUJ77" s="2198"/>
      <c r="JUK77" s="2198"/>
      <c r="JUL77" s="2198"/>
      <c r="JUM77" s="2198"/>
      <c r="JUN77" s="2198"/>
      <c r="JUO77" s="2198"/>
      <c r="JUP77" s="2198"/>
      <c r="JUQ77" s="2198"/>
      <c r="JUR77" s="2198"/>
      <c r="JUS77" s="2198"/>
      <c r="JUT77" s="2198"/>
      <c r="JUU77" s="2198"/>
      <c r="JUV77" s="2198"/>
      <c r="JUW77" s="2198"/>
      <c r="JUX77" s="2198"/>
      <c r="JUY77" s="2198"/>
      <c r="JUZ77" s="2198"/>
      <c r="JVA77" s="2198"/>
      <c r="JVB77" s="2198"/>
      <c r="JVC77" s="2198"/>
      <c r="JVD77" s="2198"/>
      <c r="JVE77" s="2198"/>
      <c r="JVF77" s="2198"/>
      <c r="JVG77" s="2198"/>
      <c r="JVH77" s="2198"/>
      <c r="JVI77" s="2198"/>
      <c r="JVJ77" s="2198"/>
      <c r="JVK77" s="2198"/>
      <c r="JVL77" s="2198"/>
      <c r="JVM77" s="2198"/>
      <c r="JVN77" s="2198"/>
      <c r="JVO77" s="2198"/>
      <c r="JVP77" s="2198"/>
      <c r="JVQ77" s="2198"/>
      <c r="JVR77" s="2198"/>
      <c r="JVS77" s="2198"/>
      <c r="JVT77" s="2198"/>
      <c r="JVU77" s="2198"/>
      <c r="JVV77" s="2198"/>
      <c r="JVW77" s="2198"/>
      <c r="JVX77" s="2198"/>
      <c r="JVY77" s="2198"/>
      <c r="JVZ77" s="2198"/>
      <c r="JWA77" s="2198"/>
      <c r="JWB77" s="2198"/>
      <c r="JWC77" s="2198"/>
      <c r="JWD77" s="2198"/>
      <c r="JWE77" s="2198"/>
      <c r="JWF77" s="2198"/>
      <c r="JWG77" s="2198"/>
      <c r="JWH77" s="2198"/>
      <c r="JWI77" s="2198"/>
      <c r="JWJ77" s="2198"/>
      <c r="JWK77" s="2198"/>
      <c r="JWL77" s="2198"/>
      <c r="JWM77" s="2198"/>
      <c r="JWN77" s="2198"/>
      <c r="JWO77" s="2198"/>
      <c r="JWP77" s="2198"/>
      <c r="JWQ77" s="2198"/>
      <c r="JWR77" s="2198"/>
      <c r="JWS77" s="2198"/>
      <c r="JWT77" s="2198"/>
      <c r="JWU77" s="2198"/>
      <c r="JWV77" s="2198"/>
      <c r="JWW77" s="2198"/>
      <c r="JWX77" s="2198"/>
      <c r="JWY77" s="2198"/>
      <c r="JWZ77" s="2198"/>
      <c r="JXA77" s="2198"/>
      <c r="JXB77" s="2198"/>
      <c r="JXC77" s="2198"/>
      <c r="JXD77" s="2198"/>
      <c r="JXE77" s="2198"/>
      <c r="JXF77" s="2198"/>
      <c r="JXG77" s="2198"/>
      <c r="JXH77" s="2198"/>
      <c r="JXI77" s="2198"/>
      <c r="JXJ77" s="2198"/>
      <c r="JXK77" s="2198"/>
      <c r="JXL77" s="2198"/>
      <c r="JXM77" s="2198"/>
      <c r="JXN77" s="2198"/>
      <c r="JXO77" s="2198"/>
      <c r="JXP77" s="2198"/>
      <c r="JXQ77" s="2198"/>
      <c r="JXR77" s="2198"/>
      <c r="JXS77" s="2198"/>
      <c r="JXT77" s="2198"/>
      <c r="JXU77" s="2198"/>
      <c r="JXV77" s="2198"/>
      <c r="JXW77" s="2198"/>
      <c r="JXX77" s="2198"/>
      <c r="JXY77" s="2198"/>
      <c r="JXZ77" s="2198"/>
      <c r="JYA77" s="2198"/>
      <c r="JYB77" s="2198"/>
      <c r="JYC77" s="2198"/>
      <c r="JYD77" s="2198"/>
      <c r="JYE77" s="2198"/>
      <c r="JYF77" s="2198"/>
      <c r="JYG77" s="2198"/>
      <c r="JYH77" s="2198"/>
      <c r="JYI77" s="2198"/>
      <c r="JYJ77" s="2198"/>
      <c r="JYK77" s="2198"/>
      <c r="JYL77" s="2198"/>
      <c r="JYM77" s="2198"/>
      <c r="JYN77" s="2198"/>
      <c r="JYO77" s="2198"/>
      <c r="JYP77" s="2198"/>
      <c r="JYQ77" s="2198"/>
      <c r="JYR77" s="2198"/>
      <c r="JYS77" s="2198"/>
      <c r="JYT77" s="2198"/>
      <c r="JYU77" s="2198"/>
      <c r="JYV77" s="2198"/>
      <c r="JYW77" s="2198"/>
      <c r="JYX77" s="2198"/>
      <c r="JYY77" s="2198"/>
      <c r="JYZ77" s="2198"/>
      <c r="JZA77" s="2198"/>
      <c r="JZB77" s="2198"/>
      <c r="JZC77" s="2198"/>
      <c r="JZD77" s="2198"/>
      <c r="JZE77" s="2198"/>
      <c r="JZF77" s="2198"/>
      <c r="JZG77" s="2198"/>
      <c r="JZH77" s="2198"/>
      <c r="JZI77" s="2198"/>
      <c r="JZJ77" s="2198"/>
      <c r="JZK77" s="2198"/>
      <c r="JZL77" s="2198"/>
      <c r="JZM77" s="2198"/>
      <c r="JZN77" s="2198"/>
      <c r="JZO77" s="2198"/>
      <c r="JZP77" s="2198"/>
      <c r="JZQ77" s="2198"/>
      <c r="JZR77" s="2198"/>
      <c r="JZS77" s="2198"/>
      <c r="JZT77" s="2198"/>
      <c r="JZU77" s="2198"/>
      <c r="JZV77" s="2198"/>
      <c r="JZW77" s="2198"/>
      <c r="JZX77" s="2198"/>
      <c r="JZY77" s="2198"/>
      <c r="JZZ77" s="2198"/>
      <c r="KAA77" s="2198"/>
      <c r="KAB77" s="2198"/>
      <c r="KAC77" s="2198"/>
      <c r="KAD77" s="2198"/>
      <c r="KAE77" s="2198"/>
      <c r="KAF77" s="2198"/>
      <c r="KAG77" s="2198"/>
      <c r="KAH77" s="2198"/>
      <c r="KAI77" s="2198"/>
      <c r="KAJ77" s="2198"/>
      <c r="KAK77" s="2198"/>
      <c r="KAL77" s="2198"/>
      <c r="KAM77" s="2198"/>
      <c r="KAN77" s="2198"/>
      <c r="KAO77" s="2198"/>
      <c r="KAP77" s="2198"/>
      <c r="KAQ77" s="2198"/>
      <c r="KAR77" s="2198"/>
      <c r="KAS77" s="2198"/>
      <c r="KAT77" s="2198"/>
      <c r="KAU77" s="2198"/>
      <c r="KAV77" s="2198"/>
      <c r="KAW77" s="2198"/>
      <c r="KAX77" s="2198"/>
      <c r="KAY77" s="2198"/>
      <c r="KAZ77" s="2198"/>
      <c r="KBA77" s="2198"/>
      <c r="KBB77" s="2198"/>
      <c r="KBC77" s="2198"/>
      <c r="KBD77" s="2198"/>
      <c r="KBE77" s="2198"/>
      <c r="KBF77" s="2198"/>
      <c r="KBG77" s="2198"/>
      <c r="KBH77" s="2198"/>
      <c r="KBI77" s="2198"/>
      <c r="KBJ77" s="2198"/>
      <c r="KBK77" s="2198"/>
      <c r="KBL77" s="2198"/>
      <c r="KBM77" s="2198"/>
      <c r="KBN77" s="2198"/>
      <c r="KBO77" s="2198"/>
      <c r="KBP77" s="2198"/>
      <c r="KBQ77" s="2198"/>
      <c r="KBR77" s="2198"/>
      <c r="KBS77" s="2198"/>
      <c r="KBT77" s="2198"/>
      <c r="KBU77" s="2198"/>
      <c r="KBV77" s="2198"/>
      <c r="KBW77" s="2198"/>
      <c r="KBX77" s="2198"/>
      <c r="KBY77" s="2198"/>
      <c r="KBZ77" s="2198"/>
      <c r="KCA77" s="2198"/>
      <c r="KCB77" s="2198"/>
      <c r="KCC77" s="2198"/>
      <c r="KCD77" s="2198"/>
      <c r="KCE77" s="2198"/>
      <c r="KCF77" s="2198"/>
      <c r="KCG77" s="2198"/>
      <c r="KCH77" s="2198"/>
      <c r="KCI77" s="2198"/>
      <c r="KCJ77" s="2198"/>
      <c r="KCK77" s="2198"/>
      <c r="KCL77" s="2198"/>
      <c r="KCM77" s="2198"/>
      <c r="KCN77" s="2198"/>
      <c r="KCO77" s="2198"/>
      <c r="KCP77" s="2198"/>
      <c r="KCQ77" s="2198"/>
      <c r="KCR77" s="2198"/>
      <c r="KCS77" s="2198"/>
      <c r="KCT77" s="2198"/>
      <c r="KCU77" s="2198"/>
      <c r="KCV77" s="2198"/>
      <c r="KCW77" s="2198"/>
      <c r="KCX77" s="2198"/>
      <c r="KCY77" s="2198"/>
      <c r="KCZ77" s="2198"/>
      <c r="KDA77" s="2198"/>
      <c r="KDB77" s="2198"/>
      <c r="KDC77" s="2198"/>
      <c r="KDD77" s="2198"/>
      <c r="KDE77" s="2198"/>
      <c r="KDF77" s="2198"/>
      <c r="KDG77" s="2198"/>
      <c r="KDH77" s="2198"/>
      <c r="KDI77" s="2198"/>
      <c r="KDJ77" s="2198"/>
      <c r="KDK77" s="2198"/>
      <c r="KDL77" s="2198"/>
      <c r="KDM77" s="2198"/>
      <c r="KDN77" s="2198"/>
      <c r="KDO77" s="2198"/>
      <c r="KDP77" s="2198"/>
      <c r="KDQ77" s="2198"/>
      <c r="KDR77" s="2198"/>
      <c r="KDS77" s="2198"/>
      <c r="KDT77" s="2198"/>
      <c r="KDU77" s="2198"/>
      <c r="KDV77" s="2198"/>
      <c r="KDW77" s="2198"/>
      <c r="KDX77" s="2198"/>
      <c r="KDY77" s="2198"/>
      <c r="KDZ77" s="2198"/>
      <c r="KEA77" s="2198"/>
      <c r="KEB77" s="2198"/>
      <c r="KEC77" s="2198"/>
      <c r="KED77" s="2198"/>
      <c r="KEE77" s="2198"/>
      <c r="KEF77" s="2198"/>
      <c r="KEG77" s="2198"/>
      <c r="KEH77" s="2198"/>
      <c r="KEI77" s="2198"/>
      <c r="KEJ77" s="2198"/>
      <c r="KEK77" s="2198"/>
      <c r="KEL77" s="2198"/>
      <c r="KEM77" s="2198"/>
      <c r="KEN77" s="2198"/>
      <c r="KEO77" s="2198"/>
      <c r="KEP77" s="2198"/>
      <c r="KEQ77" s="2198"/>
      <c r="KER77" s="2198"/>
      <c r="KES77" s="2198"/>
      <c r="KET77" s="2198"/>
      <c r="KEU77" s="2198"/>
      <c r="KEV77" s="2198"/>
      <c r="KEW77" s="2198"/>
      <c r="KEX77" s="2198"/>
      <c r="KEY77" s="2198"/>
      <c r="KEZ77" s="2198"/>
      <c r="KFA77" s="2198"/>
      <c r="KFB77" s="2198"/>
      <c r="KFC77" s="2198"/>
      <c r="KFD77" s="2198"/>
      <c r="KFE77" s="2198"/>
      <c r="KFF77" s="2198"/>
      <c r="KFG77" s="2198"/>
      <c r="KFH77" s="2198"/>
      <c r="KFI77" s="2198"/>
      <c r="KFJ77" s="2198"/>
      <c r="KFK77" s="2198"/>
      <c r="KFL77" s="2198"/>
      <c r="KFM77" s="2198"/>
      <c r="KFN77" s="2198"/>
      <c r="KFO77" s="2198"/>
      <c r="KFP77" s="2198"/>
      <c r="KFQ77" s="2198"/>
      <c r="KFR77" s="2198"/>
      <c r="KFS77" s="2198"/>
      <c r="KFT77" s="2198"/>
      <c r="KFU77" s="2198"/>
      <c r="KFV77" s="2198"/>
      <c r="KFW77" s="2198"/>
      <c r="KFX77" s="2198"/>
      <c r="KFY77" s="2198"/>
      <c r="KFZ77" s="2198"/>
      <c r="KGA77" s="2198"/>
      <c r="KGB77" s="2198"/>
      <c r="KGC77" s="2198"/>
      <c r="KGD77" s="2198"/>
      <c r="KGE77" s="2198"/>
      <c r="KGF77" s="2198"/>
      <c r="KGG77" s="2198"/>
      <c r="KGH77" s="2198"/>
      <c r="KGI77" s="2198"/>
      <c r="KGJ77" s="2198"/>
      <c r="KGK77" s="2198"/>
      <c r="KGL77" s="2198"/>
      <c r="KGM77" s="2198"/>
      <c r="KGN77" s="2198"/>
      <c r="KGO77" s="2198"/>
      <c r="KGP77" s="2198"/>
      <c r="KGQ77" s="2198"/>
      <c r="KGR77" s="2198"/>
      <c r="KGS77" s="2198"/>
      <c r="KGT77" s="2198"/>
      <c r="KGU77" s="2198"/>
      <c r="KGV77" s="2198"/>
      <c r="KGW77" s="2198"/>
      <c r="KGX77" s="2198"/>
      <c r="KGY77" s="2198"/>
      <c r="KGZ77" s="2198"/>
      <c r="KHA77" s="2198"/>
      <c r="KHB77" s="2198"/>
      <c r="KHC77" s="2198"/>
      <c r="KHD77" s="2198"/>
      <c r="KHE77" s="2198"/>
      <c r="KHF77" s="2198"/>
      <c r="KHG77" s="2198"/>
      <c r="KHH77" s="2198"/>
      <c r="KHI77" s="2198"/>
      <c r="KHJ77" s="2198"/>
      <c r="KHK77" s="2198"/>
      <c r="KHL77" s="2198"/>
      <c r="KHM77" s="2198"/>
      <c r="KHN77" s="2198"/>
      <c r="KHO77" s="2198"/>
      <c r="KHP77" s="2198"/>
      <c r="KHQ77" s="2198"/>
      <c r="KHR77" s="2198"/>
      <c r="KHS77" s="2198"/>
      <c r="KHT77" s="2198"/>
      <c r="KHU77" s="2198"/>
      <c r="KHV77" s="2198"/>
      <c r="KHW77" s="2198"/>
      <c r="KHX77" s="2198"/>
      <c r="KHY77" s="2198"/>
      <c r="KHZ77" s="2198"/>
      <c r="KIA77" s="2198"/>
      <c r="KIB77" s="2198"/>
      <c r="KIC77" s="2198"/>
      <c r="KID77" s="2198"/>
      <c r="KIE77" s="2198"/>
      <c r="KIF77" s="2198"/>
      <c r="KIG77" s="2198"/>
      <c r="KIH77" s="2198"/>
      <c r="KII77" s="2198"/>
      <c r="KIJ77" s="2198"/>
      <c r="KIK77" s="2198"/>
      <c r="KIL77" s="2198"/>
      <c r="KIM77" s="2198"/>
      <c r="KIN77" s="2198"/>
      <c r="KIO77" s="2198"/>
      <c r="KIP77" s="2198"/>
      <c r="KIQ77" s="2198"/>
      <c r="KIR77" s="2198"/>
      <c r="KIS77" s="2198"/>
      <c r="KIT77" s="2198"/>
      <c r="KIU77" s="2198"/>
      <c r="KIV77" s="2198"/>
      <c r="KIW77" s="2198"/>
      <c r="KIX77" s="2198"/>
      <c r="KIY77" s="2198"/>
      <c r="KIZ77" s="2198"/>
      <c r="KJA77" s="2198"/>
      <c r="KJB77" s="2198"/>
      <c r="KJC77" s="2198"/>
      <c r="KJD77" s="2198"/>
      <c r="KJE77" s="2198"/>
      <c r="KJF77" s="2198"/>
      <c r="KJG77" s="2198"/>
      <c r="KJH77" s="2198"/>
      <c r="KJI77" s="2198"/>
      <c r="KJJ77" s="2198"/>
      <c r="KJK77" s="2198"/>
      <c r="KJL77" s="2198"/>
      <c r="KJM77" s="2198"/>
      <c r="KJN77" s="2198"/>
      <c r="KJO77" s="2198"/>
      <c r="KJP77" s="2198"/>
      <c r="KJQ77" s="2198"/>
      <c r="KJR77" s="2198"/>
      <c r="KJS77" s="2198"/>
      <c r="KJT77" s="2198"/>
      <c r="KJU77" s="2198"/>
      <c r="KJV77" s="2198"/>
      <c r="KJW77" s="2198"/>
      <c r="KJX77" s="2198"/>
      <c r="KJY77" s="2198"/>
      <c r="KJZ77" s="2198"/>
      <c r="KKA77" s="2198"/>
      <c r="KKB77" s="2198"/>
      <c r="KKC77" s="2198"/>
      <c r="KKD77" s="2198"/>
      <c r="KKE77" s="2198"/>
      <c r="KKF77" s="2198"/>
      <c r="KKG77" s="2198"/>
      <c r="KKH77" s="2198"/>
      <c r="KKI77" s="2198"/>
      <c r="KKJ77" s="2198"/>
      <c r="KKK77" s="2198"/>
      <c r="KKL77" s="2198"/>
      <c r="KKM77" s="2198"/>
      <c r="KKN77" s="2198"/>
      <c r="KKO77" s="2198"/>
      <c r="KKP77" s="2198"/>
      <c r="KKQ77" s="2198"/>
      <c r="KKR77" s="2198"/>
      <c r="KKS77" s="2198"/>
      <c r="KKT77" s="2198"/>
      <c r="KKU77" s="2198"/>
      <c r="KKV77" s="2198"/>
      <c r="KKW77" s="2198"/>
      <c r="KKX77" s="2198"/>
      <c r="KKY77" s="2198"/>
      <c r="KKZ77" s="2198"/>
      <c r="KLA77" s="2198"/>
      <c r="KLB77" s="2198"/>
      <c r="KLC77" s="2198"/>
      <c r="KLD77" s="2198"/>
      <c r="KLE77" s="2198"/>
      <c r="KLF77" s="2198"/>
      <c r="KLG77" s="2198"/>
      <c r="KLH77" s="2198"/>
      <c r="KLI77" s="2198"/>
      <c r="KLJ77" s="2198"/>
      <c r="KLK77" s="2198"/>
      <c r="KLL77" s="2198"/>
      <c r="KLM77" s="2198"/>
      <c r="KLN77" s="2198"/>
      <c r="KLO77" s="2198"/>
      <c r="KLP77" s="2198"/>
      <c r="KLQ77" s="2198"/>
      <c r="KLR77" s="2198"/>
      <c r="KLS77" s="2198"/>
      <c r="KLT77" s="2198"/>
      <c r="KLU77" s="2198"/>
      <c r="KLV77" s="2198"/>
      <c r="KLW77" s="2198"/>
      <c r="KLX77" s="2198"/>
      <c r="KLY77" s="2198"/>
      <c r="KLZ77" s="2198"/>
      <c r="KMA77" s="2198"/>
      <c r="KMB77" s="2198"/>
      <c r="KMC77" s="2198"/>
      <c r="KMD77" s="2198"/>
      <c r="KME77" s="2198"/>
      <c r="KMF77" s="2198"/>
      <c r="KMG77" s="2198"/>
      <c r="KMH77" s="2198"/>
      <c r="KMI77" s="2198"/>
      <c r="KMJ77" s="2198"/>
      <c r="KMK77" s="2198"/>
      <c r="KML77" s="2198"/>
      <c r="KMM77" s="2198"/>
      <c r="KMN77" s="2198"/>
      <c r="KMO77" s="2198"/>
      <c r="KMP77" s="2198"/>
      <c r="KMQ77" s="2198"/>
      <c r="KMR77" s="2198"/>
      <c r="KMS77" s="2198"/>
      <c r="KMT77" s="2198"/>
      <c r="KMU77" s="2198"/>
      <c r="KMV77" s="2198"/>
      <c r="KMW77" s="2198"/>
      <c r="KMX77" s="2198"/>
      <c r="KMY77" s="2198"/>
      <c r="KMZ77" s="2198"/>
      <c r="KNA77" s="2198"/>
      <c r="KNB77" s="2198"/>
      <c r="KNC77" s="2198"/>
      <c r="KND77" s="2198"/>
      <c r="KNE77" s="2198"/>
      <c r="KNF77" s="2198"/>
      <c r="KNG77" s="2198"/>
      <c r="KNH77" s="2198"/>
      <c r="KNI77" s="2198"/>
      <c r="KNJ77" s="2198"/>
      <c r="KNK77" s="2198"/>
      <c r="KNL77" s="2198"/>
      <c r="KNM77" s="2198"/>
      <c r="KNN77" s="2198"/>
      <c r="KNO77" s="2198"/>
      <c r="KNP77" s="2198"/>
      <c r="KNQ77" s="2198"/>
      <c r="KNR77" s="2198"/>
      <c r="KNS77" s="2198"/>
      <c r="KNT77" s="2198"/>
      <c r="KNU77" s="2198"/>
      <c r="KNV77" s="2198"/>
      <c r="KNW77" s="2198"/>
      <c r="KNX77" s="2198"/>
      <c r="KNY77" s="2198"/>
      <c r="KNZ77" s="2198"/>
      <c r="KOA77" s="2198"/>
      <c r="KOB77" s="2198"/>
      <c r="KOC77" s="2198"/>
      <c r="KOD77" s="2198"/>
      <c r="KOE77" s="2198"/>
      <c r="KOF77" s="2198"/>
      <c r="KOG77" s="2198"/>
      <c r="KOH77" s="2198"/>
      <c r="KOI77" s="2198"/>
      <c r="KOJ77" s="2198"/>
      <c r="KOK77" s="2198"/>
      <c r="KOL77" s="2198"/>
      <c r="KOM77" s="2198"/>
      <c r="KON77" s="2198"/>
      <c r="KOO77" s="2198"/>
      <c r="KOP77" s="2198"/>
      <c r="KOQ77" s="2198"/>
      <c r="KOR77" s="2198"/>
      <c r="KOS77" s="2198"/>
      <c r="KOT77" s="2198"/>
      <c r="KOU77" s="2198"/>
      <c r="KOV77" s="2198"/>
      <c r="KOW77" s="2198"/>
      <c r="KOX77" s="2198"/>
      <c r="KOY77" s="2198"/>
      <c r="KOZ77" s="2198"/>
      <c r="KPA77" s="2198"/>
      <c r="KPB77" s="2198"/>
      <c r="KPC77" s="2198"/>
      <c r="KPD77" s="2198"/>
      <c r="KPE77" s="2198"/>
      <c r="KPF77" s="2198"/>
      <c r="KPG77" s="2198"/>
      <c r="KPH77" s="2198"/>
      <c r="KPI77" s="2198"/>
      <c r="KPJ77" s="2198"/>
      <c r="KPK77" s="2198"/>
      <c r="KPL77" s="2198"/>
      <c r="KPM77" s="2198"/>
      <c r="KPN77" s="2198"/>
      <c r="KPO77" s="2198"/>
      <c r="KPP77" s="2198"/>
      <c r="KPQ77" s="2198"/>
      <c r="KPR77" s="2198"/>
      <c r="KPS77" s="2198"/>
      <c r="KPT77" s="2198"/>
      <c r="KPU77" s="2198"/>
      <c r="KPV77" s="2198"/>
      <c r="KPW77" s="2198"/>
      <c r="KPX77" s="2198"/>
      <c r="KPY77" s="2198"/>
      <c r="KPZ77" s="2198"/>
      <c r="KQA77" s="2198"/>
      <c r="KQB77" s="2198"/>
      <c r="KQC77" s="2198"/>
      <c r="KQD77" s="2198"/>
      <c r="KQE77" s="2198"/>
      <c r="KQF77" s="2198"/>
      <c r="KQG77" s="2198"/>
      <c r="KQH77" s="2198"/>
      <c r="KQI77" s="2198"/>
      <c r="KQJ77" s="2198"/>
      <c r="KQK77" s="2198"/>
      <c r="KQL77" s="2198"/>
      <c r="KQM77" s="2198"/>
      <c r="KQN77" s="2198"/>
      <c r="KQO77" s="2198"/>
      <c r="KQP77" s="2198"/>
      <c r="KQQ77" s="2198"/>
      <c r="KQR77" s="2198"/>
      <c r="KQS77" s="2198"/>
      <c r="KQT77" s="2198"/>
      <c r="KQU77" s="2198"/>
      <c r="KQV77" s="2198"/>
      <c r="KQW77" s="2198"/>
      <c r="KQX77" s="2198"/>
      <c r="KQY77" s="2198"/>
      <c r="KQZ77" s="2198"/>
      <c r="KRA77" s="2198"/>
      <c r="KRB77" s="2198"/>
      <c r="KRC77" s="2198"/>
      <c r="KRD77" s="2198"/>
      <c r="KRE77" s="2198"/>
      <c r="KRF77" s="2198"/>
      <c r="KRG77" s="2198"/>
      <c r="KRH77" s="2198"/>
      <c r="KRI77" s="2198"/>
      <c r="KRJ77" s="2198"/>
      <c r="KRK77" s="2198"/>
      <c r="KRL77" s="2198"/>
      <c r="KRM77" s="2198"/>
      <c r="KRN77" s="2198"/>
      <c r="KRO77" s="2198"/>
      <c r="KRP77" s="2198"/>
      <c r="KRQ77" s="2198"/>
      <c r="KRR77" s="2198"/>
      <c r="KRS77" s="2198"/>
      <c r="KRT77" s="2198"/>
      <c r="KRU77" s="2198"/>
      <c r="KRV77" s="2198"/>
      <c r="KRW77" s="2198"/>
      <c r="KRX77" s="2198"/>
      <c r="KRY77" s="2198"/>
      <c r="KRZ77" s="2198"/>
      <c r="KSA77" s="2198"/>
      <c r="KSB77" s="2198"/>
      <c r="KSC77" s="2198"/>
      <c r="KSD77" s="2198"/>
      <c r="KSE77" s="2198"/>
      <c r="KSF77" s="2198"/>
      <c r="KSG77" s="2198"/>
      <c r="KSH77" s="2198"/>
      <c r="KSI77" s="2198"/>
      <c r="KSJ77" s="2198"/>
      <c r="KSK77" s="2198"/>
      <c r="KSL77" s="2198"/>
      <c r="KSM77" s="2198"/>
      <c r="KSN77" s="2198"/>
      <c r="KSO77" s="2198"/>
      <c r="KSP77" s="2198"/>
      <c r="KSQ77" s="2198"/>
      <c r="KSR77" s="2198"/>
      <c r="KSS77" s="2198"/>
      <c r="KST77" s="2198"/>
      <c r="KSU77" s="2198"/>
      <c r="KSV77" s="2198"/>
      <c r="KSW77" s="2198"/>
      <c r="KSX77" s="2198"/>
      <c r="KSY77" s="2198"/>
      <c r="KSZ77" s="2198"/>
      <c r="KTA77" s="2198"/>
      <c r="KTB77" s="2198"/>
      <c r="KTC77" s="2198"/>
      <c r="KTD77" s="2198"/>
      <c r="KTE77" s="2198"/>
      <c r="KTF77" s="2198"/>
      <c r="KTG77" s="2198"/>
      <c r="KTH77" s="2198"/>
      <c r="KTI77" s="2198"/>
      <c r="KTJ77" s="2198"/>
      <c r="KTK77" s="2198"/>
      <c r="KTL77" s="2198"/>
      <c r="KTM77" s="2198"/>
      <c r="KTN77" s="2198"/>
      <c r="KTO77" s="2198"/>
      <c r="KTP77" s="2198"/>
      <c r="KTQ77" s="2198"/>
      <c r="KTR77" s="2198"/>
      <c r="KTS77" s="2198"/>
      <c r="KTT77" s="2198"/>
      <c r="KTU77" s="2198"/>
      <c r="KTV77" s="2198"/>
      <c r="KTW77" s="2198"/>
      <c r="KTX77" s="2198"/>
      <c r="KTY77" s="2198"/>
      <c r="KTZ77" s="2198"/>
      <c r="KUA77" s="2198"/>
      <c r="KUB77" s="2198"/>
      <c r="KUC77" s="2198"/>
      <c r="KUD77" s="2198"/>
      <c r="KUE77" s="2198"/>
      <c r="KUF77" s="2198"/>
      <c r="KUG77" s="2198"/>
      <c r="KUH77" s="2198"/>
      <c r="KUI77" s="2198"/>
      <c r="KUJ77" s="2198"/>
      <c r="KUK77" s="2198"/>
      <c r="KUL77" s="2198"/>
      <c r="KUM77" s="2198"/>
      <c r="KUN77" s="2198"/>
      <c r="KUO77" s="2198"/>
      <c r="KUP77" s="2198"/>
      <c r="KUQ77" s="2198"/>
      <c r="KUR77" s="2198"/>
      <c r="KUS77" s="2198"/>
      <c r="KUT77" s="2198"/>
      <c r="KUU77" s="2198"/>
      <c r="KUV77" s="2198"/>
      <c r="KUW77" s="2198"/>
      <c r="KUX77" s="2198"/>
      <c r="KUY77" s="2198"/>
      <c r="KUZ77" s="2198"/>
      <c r="KVA77" s="2198"/>
      <c r="KVB77" s="2198"/>
      <c r="KVC77" s="2198"/>
      <c r="KVD77" s="2198"/>
      <c r="KVE77" s="2198"/>
      <c r="KVF77" s="2198"/>
      <c r="KVG77" s="2198"/>
      <c r="KVH77" s="2198"/>
      <c r="KVI77" s="2198"/>
      <c r="KVJ77" s="2198"/>
      <c r="KVK77" s="2198"/>
      <c r="KVL77" s="2198"/>
      <c r="KVM77" s="2198"/>
      <c r="KVN77" s="2198"/>
      <c r="KVO77" s="2198"/>
      <c r="KVP77" s="2198"/>
      <c r="KVQ77" s="2198"/>
      <c r="KVR77" s="2198"/>
      <c r="KVS77" s="2198"/>
      <c r="KVT77" s="2198"/>
      <c r="KVU77" s="2198"/>
      <c r="KVV77" s="2198"/>
      <c r="KVW77" s="2198"/>
      <c r="KVX77" s="2198"/>
      <c r="KVY77" s="2198"/>
      <c r="KVZ77" s="2198"/>
      <c r="KWA77" s="2198"/>
      <c r="KWB77" s="2198"/>
      <c r="KWC77" s="2198"/>
      <c r="KWD77" s="2198"/>
      <c r="KWE77" s="2198"/>
      <c r="KWF77" s="2198"/>
      <c r="KWG77" s="2198"/>
      <c r="KWH77" s="2198"/>
      <c r="KWI77" s="2198"/>
      <c r="KWJ77" s="2198"/>
      <c r="KWK77" s="2198"/>
      <c r="KWL77" s="2198"/>
      <c r="KWM77" s="2198"/>
      <c r="KWN77" s="2198"/>
      <c r="KWO77" s="2198"/>
      <c r="KWP77" s="2198"/>
      <c r="KWQ77" s="2198"/>
      <c r="KWR77" s="2198"/>
      <c r="KWS77" s="2198"/>
      <c r="KWT77" s="2198"/>
      <c r="KWU77" s="2198"/>
      <c r="KWV77" s="2198"/>
      <c r="KWW77" s="2198"/>
      <c r="KWX77" s="2198"/>
      <c r="KWY77" s="2198"/>
      <c r="KWZ77" s="2198"/>
      <c r="KXA77" s="2198"/>
      <c r="KXB77" s="2198"/>
      <c r="KXC77" s="2198"/>
      <c r="KXD77" s="2198"/>
      <c r="KXE77" s="2198"/>
      <c r="KXF77" s="2198"/>
      <c r="KXG77" s="2198"/>
      <c r="KXH77" s="2198"/>
      <c r="KXI77" s="2198"/>
      <c r="KXJ77" s="2198"/>
      <c r="KXK77" s="2198"/>
      <c r="KXL77" s="2198"/>
      <c r="KXM77" s="2198"/>
      <c r="KXN77" s="2198"/>
      <c r="KXO77" s="2198"/>
      <c r="KXP77" s="2198"/>
      <c r="KXQ77" s="2198"/>
      <c r="KXR77" s="2198"/>
      <c r="KXS77" s="2198"/>
      <c r="KXT77" s="2198"/>
      <c r="KXU77" s="2198"/>
      <c r="KXV77" s="2198"/>
      <c r="KXW77" s="2198"/>
      <c r="KXX77" s="2198"/>
      <c r="KXY77" s="2198"/>
      <c r="KXZ77" s="2198"/>
      <c r="KYA77" s="2198"/>
      <c r="KYB77" s="2198"/>
      <c r="KYC77" s="2198"/>
      <c r="KYD77" s="2198"/>
      <c r="KYE77" s="2198"/>
      <c r="KYF77" s="2198"/>
      <c r="KYG77" s="2198"/>
      <c r="KYH77" s="2198"/>
      <c r="KYI77" s="2198"/>
      <c r="KYJ77" s="2198"/>
      <c r="KYK77" s="2198"/>
      <c r="KYL77" s="2198"/>
      <c r="KYM77" s="2198"/>
      <c r="KYN77" s="2198"/>
      <c r="KYO77" s="2198"/>
      <c r="KYP77" s="2198"/>
      <c r="KYQ77" s="2198"/>
      <c r="KYR77" s="2198"/>
      <c r="KYS77" s="2198"/>
      <c r="KYT77" s="2198"/>
      <c r="KYU77" s="2198"/>
      <c r="KYV77" s="2198"/>
      <c r="KYW77" s="2198"/>
      <c r="KYX77" s="2198"/>
      <c r="KYY77" s="2198"/>
      <c r="KYZ77" s="2198"/>
      <c r="KZA77" s="2198"/>
      <c r="KZB77" s="2198"/>
      <c r="KZC77" s="2198"/>
      <c r="KZD77" s="2198"/>
      <c r="KZE77" s="2198"/>
      <c r="KZF77" s="2198"/>
      <c r="KZG77" s="2198"/>
      <c r="KZH77" s="2198"/>
      <c r="KZI77" s="2198"/>
      <c r="KZJ77" s="2198"/>
      <c r="KZK77" s="2198"/>
      <c r="KZL77" s="2198"/>
      <c r="KZM77" s="2198"/>
      <c r="KZN77" s="2198"/>
      <c r="KZO77" s="2198"/>
      <c r="KZP77" s="2198"/>
      <c r="KZQ77" s="2198"/>
      <c r="KZR77" s="2198"/>
      <c r="KZS77" s="2198"/>
      <c r="KZT77" s="2198"/>
      <c r="KZU77" s="2198"/>
      <c r="KZV77" s="2198"/>
      <c r="KZW77" s="2198"/>
      <c r="KZX77" s="2198"/>
      <c r="KZY77" s="2198"/>
      <c r="KZZ77" s="2198"/>
      <c r="LAA77" s="2198"/>
      <c r="LAB77" s="2198"/>
      <c r="LAC77" s="2198"/>
      <c r="LAD77" s="2198"/>
      <c r="LAE77" s="2198"/>
      <c r="LAF77" s="2198"/>
      <c r="LAG77" s="2198"/>
      <c r="LAH77" s="2198"/>
      <c r="LAI77" s="2198"/>
      <c r="LAJ77" s="2198"/>
      <c r="LAK77" s="2198"/>
      <c r="LAL77" s="2198"/>
      <c r="LAM77" s="2198"/>
      <c r="LAN77" s="2198"/>
      <c r="LAO77" s="2198"/>
      <c r="LAP77" s="2198"/>
      <c r="LAQ77" s="2198"/>
      <c r="LAR77" s="2198"/>
      <c r="LAS77" s="2198"/>
      <c r="LAT77" s="2198"/>
      <c r="LAU77" s="2198"/>
      <c r="LAV77" s="2198"/>
      <c r="LAW77" s="2198"/>
      <c r="LAX77" s="2198"/>
      <c r="LAY77" s="2198"/>
      <c r="LAZ77" s="2198"/>
      <c r="LBA77" s="2198"/>
      <c r="LBB77" s="2198"/>
      <c r="LBC77" s="2198"/>
      <c r="LBD77" s="2198"/>
      <c r="LBE77" s="2198"/>
      <c r="LBF77" s="2198"/>
      <c r="LBG77" s="2198"/>
      <c r="LBH77" s="2198"/>
      <c r="LBI77" s="2198"/>
      <c r="LBJ77" s="2198"/>
      <c r="LBK77" s="2198"/>
      <c r="LBL77" s="2198"/>
      <c r="LBM77" s="2198"/>
      <c r="LBN77" s="2198"/>
      <c r="LBO77" s="2198"/>
      <c r="LBP77" s="2198"/>
      <c r="LBQ77" s="2198"/>
      <c r="LBR77" s="2198"/>
      <c r="LBS77" s="2198"/>
      <c r="LBT77" s="2198"/>
      <c r="LBU77" s="2198"/>
      <c r="LBV77" s="2198"/>
      <c r="LBW77" s="2198"/>
      <c r="LBX77" s="2198"/>
      <c r="LBY77" s="2198"/>
      <c r="LBZ77" s="2198"/>
      <c r="LCA77" s="2198"/>
      <c r="LCB77" s="2198"/>
      <c r="LCC77" s="2198"/>
      <c r="LCD77" s="2198"/>
      <c r="LCE77" s="2198"/>
      <c r="LCF77" s="2198"/>
      <c r="LCG77" s="2198"/>
      <c r="LCH77" s="2198"/>
      <c r="LCI77" s="2198"/>
      <c r="LCJ77" s="2198"/>
      <c r="LCK77" s="2198"/>
      <c r="LCL77" s="2198"/>
      <c r="LCM77" s="2198"/>
      <c r="LCN77" s="2198"/>
      <c r="LCO77" s="2198"/>
      <c r="LCP77" s="2198"/>
      <c r="LCQ77" s="2198"/>
      <c r="LCR77" s="2198"/>
      <c r="LCS77" s="2198"/>
      <c r="LCT77" s="2198"/>
      <c r="LCU77" s="2198"/>
      <c r="LCV77" s="2198"/>
      <c r="LCW77" s="2198"/>
      <c r="LCX77" s="2198"/>
      <c r="LCY77" s="2198"/>
      <c r="LCZ77" s="2198"/>
      <c r="LDA77" s="2198"/>
      <c r="LDB77" s="2198"/>
      <c r="LDC77" s="2198"/>
      <c r="LDD77" s="2198"/>
      <c r="LDE77" s="2198"/>
      <c r="LDF77" s="2198"/>
      <c r="LDG77" s="2198"/>
      <c r="LDH77" s="2198"/>
      <c r="LDI77" s="2198"/>
      <c r="LDJ77" s="2198"/>
      <c r="LDK77" s="2198"/>
      <c r="LDL77" s="2198"/>
      <c r="LDM77" s="2198"/>
      <c r="LDN77" s="2198"/>
      <c r="LDO77" s="2198"/>
      <c r="LDP77" s="2198"/>
      <c r="LDQ77" s="2198"/>
      <c r="LDR77" s="2198"/>
      <c r="LDS77" s="2198"/>
      <c r="LDT77" s="2198"/>
      <c r="LDU77" s="2198"/>
      <c r="LDV77" s="2198"/>
      <c r="LDW77" s="2198"/>
      <c r="LDX77" s="2198"/>
      <c r="LDY77" s="2198"/>
      <c r="LDZ77" s="2198"/>
      <c r="LEA77" s="2198"/>
      <c r="LEB77" s="2198"/>
      <c r="LEC77" s="2198"/>
      <c r="LED77" s="2198"/>
      <c r="LEE77" s="2198"/>
      <c r="LEF77" s="2198"/>
      <c r="LEG77" s="2198"/>
      <c r="LEH77" s="2198"/>
      <c r="LEI77" s="2198"/>
      <c r="LEJ77" s="2198"/>
      <c r="LEK77" s="2198"/>
      <c r="LEL77" s="2198"/>
      <c r="LEM77" s="2198"/>
      <c r="LEN77" s="2198"/>
      <c r="LEO77" s="2198"/>
      <c r="LEP77" s="2198"/>
      <c r="LEQ77" s="2198"/>
      <c r="LER77" s="2198"/>
      <c r="LES77" s="2198"/>
      <c r="LET77" s="2198"/>
      <c r="LEU77" s="2198"/>
      <c r="LEV77" s="2198"/>
      <c r="LEW77" s="2198"/>
      <c r="LEX77" s="2198"/>
      <c r="LEY77" s="2198"/>
      <c r="LEZ77" s="2198"/>
      <c r="LFA77" s="2198"/>
      <c r="LFB77" s="2198"/>
      <c r="LFC77" s="2198"/>
      <c r="LFD77" s="2198"/>
      <c r="LFE77" s="2198"/>
      <c r="LFF77" s="2198"/>
      <c r="LFG77" s="2198"/>
      <c r="LFH77" s="2198"/>
      <c r="LFI77" s="2198"/>
      <c r="LFJ77" s="2198"/>
      <c r="LFK77" s="2198"/>
      <c r="LFL77" s="2198"/>
      <c r="LFM77" s="2198"/>
      <c r="LFN77" s="2198"/>
      <c r="LFO77" s="2198"/>
      <c r="LFP77" s="2198"/>
      <c r="LFQ77" s="2198"/>
      <c r="LFR77" s="2198"/>
      <c r="LFS77" s="2198"/>
      <c r="LFT77" s="2198"/>
      <c r="LFU77" s="2198"/>
      <c r="LFV77" s="2198"/>
      <c r="LFW77" s="2198"/>
      <c r="LFX77" s="2198"/>
      <c r="LFY77" s="2198"/>
      <c r="LFZ77" s="2198"/>
      <c r="LGA77" s="2198"/>
      <c r="LGB77" s="2198"/>
      <c r="LGC77" s="2198"/>
      <c r="LGD77" s="2198"/>
      <c r="LGE77" s="2198"/>
      <c r="LGF77" s="2198"/>
      <c r="LGG77" s="2198"/>
      <c r="LGH77" s="2198"/>
      <c r="LGI77" s="2198"/>
      <c r="LGJ77" s="2198"/>
      <c r="LGK77" s="2198"/>
      <c r="LGL77" s="2198"/>
      <c r="LGM77" s="2198"/>
      <c r="LGN77" s="2198"/>
      <c r="LGO77" s="2198"/>
      <c r="LGP77" s="2198"/>
      <c r="LGQ77" s="2198"/>
      <c r="LGR77" s="2198"/>
      <c r="LGS77" s="2198"/>
      <c r="LGT77" s="2198"/>
      <c r="LGU77" s="2198"/>
      <c r="LGV77" s="2198"/>
      <c r="LGW77" s="2198"/>
      <c r="LGX77" s="2198"/>
      <c r="LGY77" s="2198"/>
      <c r="LGZ77" s="2198"/>
      <c r="LHA77" s="2198"/>
      <c r="LHB77" s="2198"/>
      <c r="LHC77" s="2198"/>
      <c r="LHD77" s="2198"/>
      <c r="LHE77" s="2198"/>
      <c r="LHF77" s="2198"/>
      <c r="LHG77" s="2198"/>
      <c r="LHH77" s="2198"/>
      <c r="LHI77" s="2198"/>
      <c r="LHJ77" s="2198"/>
      <c r="LHK77" s="2198"/>
      <c r="LHL77" s="2198"/>
      <c r="LHM77" s="2198"/>
      <c r="LHN77" s="2198"/>
      <c r="LHO77" s="2198"/>
      <c r="LHP77" s="2198"/>
      <c r="LHQ77" s="2198"/>
      <c r="LHR77" s="2198"/>
      <c r="LHS77" s="2198"/>
      <c r="LHT77" s="2198"/>
      <c r="LHU77" s="2198"/>
      <c r="LHV77" s="2198"/>
      <c r="LHW77" s="2198"/>
      <c r="LHX77" s="2198"/>
      <c r="LHY77" s="2198"/>
      <c r="LHZ77" s="2198"/>
      <c r="LIA77" s="2198"/>
      <c r="LIB77" s="2198"/>
      <c r="LIC77" s="2198"/>
      <c r="LID77" s="2198"/>
      <c r="LIE77" s="2198"/>
      <c r="LIF77" s="2198"/>
      <c r="LIG77" s="2198"/>
      <c r="LIH77" s="2198"/>
      <c r="LII77" s="2198"/>
      <c r="LIJ77" s="2198"/>
      <c r="LIK77" s="2198"/>
      <c r="LIL77" s="2198"/>
      <c r="LIM77" s="2198"/>
      <c r="LIN77" s="2198"/>
      <c r="LIO77" s="2198"/>
      <c r="LIP77" s="2198"/>
      <c r="LIQ77" s="2198"/>
      <c r="LIR77" s="2198"/>
      <c r="LIS77" s="2198"/>
      <c r="LIT77" s="2198"/>
      <c r="LIU77" s="2198"/>
      <c r="LIV77" s="2198"/>
      <c r="LIW77" s="2198"/>
      <c r="LIX77" s="2198"/>
      <c r="LIY77" s="2198"/>
      <c r="LIZ77" s="2198"/>
      <c r="LJA77" s="2198"/>
      <c r="LJB77" s="2198"/>
      <c r="LJC77" s="2198"/>
      <c r="LJD77" s="2198"/>
      <c r="LJE77" s="2198"/>
      <c r="LJF77" s="2198"/>
      <c r="LJG77" s="2198"/>
      <c r="LJH77" s="2198"/>
      <c r="LJI77" s="2198"/>
      <c r="LJJ77" s="2198"/>
      <c r="LJK77" s="2198"/>
      <c r="LJL77" s="2198"/>
      <c r="LJM77" s="2198"/>
      <c r="LJN77" s="2198"/>
      <c r="LJO77" s="2198"/>
      <c r="LJP77" s="2198"/>
      <c r="LJQ77" s="2198"/>
      <c r="LJR77" s="2198"/>
      <c r="LJS77" s="2198"/>
      <c r="LJT77" s="2198"/>
      <c r="LJU77" s="2198"/>
      <c r="LJV77" s="2198"/>
      <c r="LJW77" s="2198"/>
      <c r="LJX77" s="2198"/>
      <c r="LJY77" s="2198"/>
      <c r="LJZ77" s="2198"/>
      <c r="LKA77" s="2198"/>
      <c r="LKB77" s="2198"/>
      <c r="LKC77" s="2198"/>
      <c r="LKD77" s="2198"/>
      <c r="LKE77" s="2198"/>
      <c r="LKF77" s="2198"/>
      <c r="LKG77" s="2198"/>
      <c r="LKH77" s="2198"/>
      <c r="LKI77" s="2198"/>
      <c r="LKJ77" s="2198"/>
      <c r="LKK77" s="2198"/>
      <c r="LKL77" s="2198"/>
      <c r="LKM77" s="2198"/>
      <c r="LKN77" s="2198"/>
      <c r="LKO77" s="2198"/>
      <c r="LKP77" s="2198"/>
      <c r="LKQ77" s="2198"/>
      <c r="LKR77" s="2198"/>
      <c r="LKS77" s="2198"/>
      <c r="LKT77" s="2198"/>
      <c r="LKU77" s="2198"/>
      <c r="LKV77" s="2198"/>
      <c r="LKW77" s="2198"/>
      <c r="LKX77" s="2198"/>
      <c r="LKY77" s="2198"/>
      <c r="LKZ77" s="2198"/>
      <c r="LLA77" s="2198"/>
      <c r="LLB77" s="2198"/>
      <c r="LLC77" s="2198"/>
      <c r="LLD77" s="2198"/>
      <c r="LLE77" s="2198"/>
      <c r="LLF77" s="2198"/>
      <c r="LLG77" s="2198"/>
      <c r="LLH77" s="2198"/>
      <c r="LLI77" s="2198"/>
      <c r="LLJ77" s="2198"/>
      <c r="LLK77" s="2198"/>
      <c r="LLL77" s="2198"/>
      <c r="LLM77" s="2198"/>
      <c r="LLN77" s="2198"/>
      <c r="LLO77" s="2198"/>
      <c r="LLP77" s="2198"/>
      <c r="LLQ77" s="2198"/>
      <c r="LLR77" s="2198"/>
      <c r="LLS77" s="2198"/>
      <c r="LLT77" s="2198"/>
      <c r="LLU77" s="2198"/>
      <c r="LLV77" s="2198"/>
      <c r="LLW77" s="2198"/>
      <c r="LLX77" s="2198"/>
      <c r="LLY77" s="2198"/>
      <c r="LLZ77" s="2198"/>
      <c r="LMA77" s="2198"/>
      <c r="LMB77" s="2198"/>
      <c r="LMC77" s="2198"/>
      <c r="LMD77" s="2198"/>
      <c r="LME77" s="2198"/>
      <c r="LMF77" s="2198"/>
      <c r="LMG77" s="2198"/>
      <c r="LMH77" s="2198"/>
      <c r="LMI77" s="2198"/>
      <c r="LMJ77" s="2198"/>
      <c r="LMK77" s="2198"/>
      <c r="LML77" s="2198"/>
      <c r="LMM77" s="2198"/>
      <c r="LMN77" s="2198"/>
      <c r="LMO77" s="2198"/>
      <c r="LMP77" s="2198"/>
      <c r="LMQ77" s="2198"/>
      <c r="LMR77" s="2198"/>
      <c r="LMS77" s="2198"/>
      <c r="LMT77" s="2198"/>
      <c r="LMU77" s="2198"/>
      <c r="LMV77" s="2198"/>
      <c r="LMW77" s="2198"/>
      <c r="LMX77" s="2198"/>
      <c r="LMY77" s="2198"/>
      <c r="LMZ77" s="2198"/>
      <c r="LNA77" s="2198"/>
      <c r="LNB77" s="2198"/>
      <c r="LNC77" s="2198"/>
      <c r="LND77" s="2198"/>
      <c r="LNE77" s="2198"/>
      <c r="LNF77" s="2198"/>
      <c r="LNG77" s="2198"/>
      <c r="LNH77" s="2198"/>
      <c r="LNI77" s="2198"/>
      <c r="LNJ77" s="2198"/>
      <c r="LNK77" s="2198"/>
      <c r="LNL77" s="2198"/>
      <c r="LNM77" s="2198"/>
      <c r="LNN77" s="2198"/>
      <c r="LNO77" s="2198"/>
      <c r="LNP77" s="2198"/>
      <c r="LNQ77" s="2198"/>
      <c r="LNR77" s="2198"/>
      <c r="LNS77" s="2198"/>
      <c r="LNT77" s="2198"/>
      <c r="LNU77" s="2198"/>
      <c r="LNV77" s="2198"/>
      <c r="LNW77" s="2198"/>
      <c r="LNX77" s="2198"/>
      <c r="LNY77" s="2198"/>
      <c r="LNZ77" s="2198"/>
      <c r="LOA77" s="2198"/>
      <c r="LOB77" s="2198"/>
      <c r="LOC77" s="2198"/>
      <c r="LOD77" s="2198"/>
      <c r="LOE77" s="2198"/>
      <c r="LOF77" s="2198"/>
      <c r="LOG77" s="2198"/>
      <c r="LOH77" s="2198"/>
      <c r="LOI77" s="2198"/>
      <c r="LOJ77" s="2198"/>
      <c r="LOK77" s="2198"/>
      <c r="LOL77" s="2198"/>
      <c r="LOM77" s="2198"/>
      <c r="LON77" s="2198"/>
      <c r="LOO77" s="2198"/>
      <c r="LOP77" s="2198"/>
      <c r="LOQ77" s="2198"/>
      <c r="LOR77" s="2198"/>
      <c r="LOS77" s="2198"/>
      <c r="LOT77" s="2198"/>
      <c r="LOU77" s="2198"/>
      <c r="LOV77" s="2198"/>
      <c r="LOW77" s="2198"/>
      <c r="LOX77" s="2198"/>
      <c r="LOY77" s="2198"/>
      <c r="LOZ77" s="2198"/>
      <c r="LPA77" s="2198"/>
      <c r="LPB77" s="2198"/>
      <c r="LPC77" s="2198"/>
      <c r="LPD77" s="2198"/>
      <c r="LPE77" s="2198"/>
      <c r="LPF77" s="2198"/>
      <c r="LPG77" s="2198"/>
      <c r="LPH77" s="2198"/>
      <c r="LPI77" s="2198"/>
      <c r="LPJ77" s="2198"/>
      <c r="LPK77" s="2198"/>
      <c r="LPL77" s="2198"/>
      <c r="LPM77" s="2198"/>
      <c r="LPN77" s="2198"/>
      <c r="LPO77" s="2198"/>
      <c r="LPP77" s="2198"/>
      <c r="LPQ77" s="2198"/>
      <c r="LPR77" s="2198"/>
      <c r="LPS77" s="2198"/>
      <c r="LPT77" s="2198"/>
      <c r="LPU77" s="2198"/>
      <c r="LPV77" s="2198"/>
      <c r="LPW77" s="2198"/>
      <c r="LPX77" s="2198"/>
      <c r="LPY77" s="2198"/>
      <c r="LPZ77" s="2198"/>
      <c r="LQA77" s="2198"/>
      <c r="LQB77" s="2198"/>
      <c r="LQC77" s="2198"/>
      <c r="LQD77" s="2198"/>
      <c r="LQE77" s="2198"/>
      <c r="LQF77" s="2198"/>
      <c r="LQG77" s="2198"/>
      <c r="LQH77" s="2198"/>
      <c r="LQI77" s="2198"/>
      <c r="LQJ77" s="2198"/>
      <c r="LQK77" s="2198"/>
      <c r="LQL77" s="2198"/>
      <c r="LQM77" s="2198"/>
      <c r="LQN77" s="2198"/>
      <c r="LQO77" s="2198"/>
      <c r="LQP77" s="2198"/>
      <c r="LQQ77" s="2198"/>
      <c r="LQR77" s="2198"/>
      <c r="LQS77" s="2198"/>
      <c r="LQT77" s="2198"/>
      <c r="LQU77" s="2198"/>
      <c r="LQV77" s="2198"/>
      <c r="LQW77" s="2198"/>
      <c r="LQX77" s="2198"/>
      <c r="LQY77" s="2198"/>
      <c r="LQZ77" s="2198"/>
      <c r="LRA77" s="2198"/>
      <c r="LRB77" s="2198"/>
      <c r="LRC77" s="2198"/>
      <c r="LRD77" s="2198"/>
      <c r="LRE77" s="2198"/>
      <c r="LRF77" s="2198"/>
      <c r="LRG77" s="2198"/>
      <c r="LRH77" s="2198"/>
      <c r="LRI77" s="2198"/>
      <c r="LRJ77" s="2198"/>
      <c r="LRK77" s="2198"/>
      <c r="LRL77" s="2198"/>
      <c r="LRM77" s="2198"/>
      <c r="LRN77" s="2198"/>
      <c r="LRO77" s="2198"/>
      <c r="LRP77" s="2198"/>
      <c r="LRQ77" s="2198"/>
      <c r="LRR77" s="2198"/>
      <c r="LRS77" s="2198"/>
      <c r="LRT77" s="2198"/>
      <c r="LRU77" s="2198"/>
      <c r="LRV77" s="2198"/>
      <c r="LRW77" s="2198"/>
      <c r="LRX77" s="2198"/>
      <c r="LRY77" s="2198"/>
      <c r="LRZ77" s="2198"/>
      <c r="LSA77" s="2198"/>
      <c r="LSB77" s="2198"/>
      <c r="LSC77" s="2198"/>
      <c r="LSD77" s="2198"/>
      <c r="LSE77" s="2198"/>
      <c r="LSF77" s="2198"/>
      <c r="LSG77" s="2198"/>
      <c r="LSH77" s="2198"/>
      <c r="LSI77" s="2198"/>
      <c r="LSJ77" s="2198"/>
      <c r="LSK77" s="2198"/>
      <c r="LSL77" s="2198"/>
      <c r="LSM77" s="2198"/>
      <c r="LSN77" s="2198"/>
      <c r="LSO77" s="2198"/>
      <c r="LSP77" s="2198"/>
      <c r="LSQ77" s="2198"/>
      <c r="LSR77" s="2198"/>
      <c r="LSS77" s="2198"/>
      <c r="LST77" s="2198"/>
      <c r="LSU77" s="2198"/>
      <c r="LSV77" s="2198"/>
      <c r="LSW77" s="2198"/>
      <c r="LSX77" s="2198"/>
      <c r="LSY77" s="2198"/>
      <c r="LSZ77" s="2198"/>
      <c r="LTA77" s="2198"/>
      <c r="LTB77" s="2198"/>
      <c r="LTC77" s="2198"/>
      <c r="LTD77" s="2198"/>
      <c r="LTE77" s="2198"/>
      <c r="LTF77" s="2198"/>
      <c r="LTG77" s="2198"/>
      <c r="LTH77" s="2198"/>
      <c r="LTI77" s="2198"/>
      <c r="LTJ77" s="2198"/>
      <c r="LTK77" s="2198"/>
      <c r="LTL77" s="2198"/>
      <c r="LTM77" s="2198"/>
      <c r="LTN77" s="2198"/>
      <c r="LTO77" s="2198"/>
      <c r="LTP77" s="2198"/>
      <c r="LTQ77" s="2198"/>
      <c r="LTR77" s="2198"/>
      <c r="LTS77" s="2198"/>
      <c r="LTT77" s="2198"/>
      <c r="LTU77" s="2198"/>
      <c r="LTV77" s="2198"/>
      <c r="LTW77" s="2198"/>
      <c r="LTX77" s="2198"/>
      <c r="LTY77" s="2198"/>
      <c r="LTZ77" s="2198"/>
      <c r="LUA77" s="2198"/>
      <c r="LUB77" s="2198"/>
      <c r="LUC77" s="2198"/>
      <c r="LUD77" s="2198"/>
      <c r="LUE77" s="2198"/>
      <c r="LUF77" s="2198"/>
      <c r="LUG77" s="2198"/>
      <c r="LUH77" s="2198"/>
      <c r="LUI77" s="2198"/>
      <c r="LUJ77" s="2198"/>
      <c r="LUK77" s="2198"/>
      <c r="LUL77" s="2198"/>
      <c r="LUM77" s="2198"/>
      <c r="LUN77" s="2198"/>
      <c r="LUO77" s="2198"/>
      <c r="LUP77" s="2198"/>
      <c r="LUQ77" s="2198"/>
      <c r="LUR77" s="2198"/>
      <c r="LUS77" s="2198"/>
      <c r="LUT77" s="2198"/>
      <c r="LUU77" s="2198"/>
      <c r="LUV77" s="2198"/>
      <c r="LUW77" s="2198"/>
      <c r="LUX77" s="2198"/>
      <c r="LUY77" s="2198"/>
      <c r="LUZ77" s="2198"/>
      <c r="LVA77" s="2198"/>
      <c r="LVB77" s="2198"/>
      <c r="LVC77" s="2198"/>
      <c r="LVD77" s="2198"/>
      <c r="LVE77" s="2198"/>
      <c r="LVF77" s="2198"/>
      <c r="LVG77" s="2198"/>
      <c r="LVH77" s="2198"/>
      <c r="LVI77" s="2198"/>
      <c r="LVJ77" s="2198"/>
      <c r="LVK77" s="2198"/>
      <c r="LVL77" s="2198"/>
      <c r="LVM77" s="2198"/>
      <c r="LVN77" s="2198"/>
      <c r="LVO77" s="2198"/>
      <c r="LVP77" s="2198"/>
      <c r="LVQ77" s="2198"/>
      <c r="LVR77" s="2198"/>
      <c r="LVS77" s="2198"/>
      <c r="LVT77" s="2198"/>
      <c r="LVU77" s="2198"/>
      <c r="LVV77" s="2198"/>
      <c r="LVW77" s="2198"/>
      <c r="LVX77" s="2198"/>
      <c r="LVY77" s="2198"/>
      <c r="LVZ77" s="2198"/>
      <c r="LWA77" s="2198"/>
      <c r="LWB77" s="2198"/>
      <c r="LWC77" s="2198"/>
      <c r="LWD77" s="2198"/>
      <c r="LWE77" s="2198"/>
      <c r="LWF77" s="2198"/>
      <c r="LWG77" s="2198"/>
      <c r="LWH77" s="2198"/>
      <c r="LWI77" s="2198"/>
      <c r="LWJ77" s="2198"/>
      <c r="LWK77" s="2198"/>
      <c r="LWL77" s="2198"/>
      <c r="LWM77" s="2198"/>
      <c r="LWN77" s="2198"/>
      <c r="LWO77" s="2198"/>
      <c r="LWP77" s="2198"/>
      <c r="LWQ77" s="2198"/>
      <c r="LWR77" s="2198"/>
      <c r="LWS77" s="2198"/>
      <c r="LWT77" s="2198"/>
      <c r="LWU77" s="2198"/>
      <c r="LWV77" s="2198"/>
      <c r="LWW77" s="2198"/>
      <c r="LWX77" s="2198"/>
      <c r="LWY77" s="2198"/>
      <c r="LWZ77" s="2198"/>
      <c r="LXA77" s="2198"/>
      <c r="LXB77" s="2198"/>
      <c r="LXC77" s="2198"/>
      <c r="LXD77" s="2198"/>
      <c r="LXE77" s="2198"/>
      <c r="LXF77" s="2198"/>
      <c r="LXG77" s="2198"/>
      <c r="LXH77" s="2198"/>
      <c r="LXI77" s="2198"/>
      <c r="LXJ77" s="2198"/>
      <c r="LXK77" s="2198"/>
      <c r="LXL77" s="2198"/>
      <c r="LXM77" s="2198"/>
      <c r="LXN77" s="2198"/>
      <c r="LXO77" s="2198"/>
      <c r="LXP77" s="2198"/>
      <c r="LXQ77" s="2198"/>
      <c r="LXR77" s="2198"/>
      <c r="LXS77" s="2198"/>
      <c r="LXT77" s="2198"/>
      <c r="LXU77" s="2198"/>
      <c r="LXV77" s="2198"/>
      <c r="LXW77" s="2198"/>
      <c r="LXX77" s="2198"/>
      <c r="LXY77" s="2198"/>
      <c r="LXZ77" s="2198"/>
      <c r="LYA77" s="2198"/>
      <c r="LYB77" s="2198"/>
      <c r="LYC77" s="2198"/>
      <c r="LYD77" s="2198"/>
      <c r="LYE77" s="2198"/>
      <c r="LYF77" s="2198"/>
      <c r="LYG77" s="2198"/>
      <c r="LYH77" s="2198"/>
      <c r="LYI77" s="2198"/>
      <c r="LYJ77" s="2198"/>
      <c r="LYK77" s="2198"/>
      <c r="LYL77" s="2198"/>
      <c r="LYM77" s="2198"/>
      <c r="LYN77" s="2198"/>
      <c r="LYO77" s="2198"/>
      <c r="LYP77" s="2198"/>
      <c r="LYQ77" s="2198"/>
      <c r="LYR77" s="2198"/>
      <c r="LYS77" s="2198"/>
      <c r="LYT77" s="2198"/>
      <c r="LYU77" s="2198"/>
      <c r="LYV77" s="2198"/>
      <c r="LYW77" s="2198"/>
      <c r="LYX77" s="2198"/>
      <c r="LYY77" s="2198"/>
      <c r="LYZ77" s="2198"/>
      <c r="LZA77" s="2198"/>
      <c r="LZB77" s="2198"/>
      <c r="LZC77" s="2198"/>
      <c r="LZD77" s="2198"/>
      <c r="LZE77" s="2198"/>
      <c r="LZF77" s="2198"/>
      <c r="LZG77" s="2198"/>
      <c r="LZH77" s="2198"/>
      <c r="LZI77" s="2198"/>
      <c r="LZJ77" s="2198"/>
      <c r="LZK77" s="2198"/>
      <c r="LZL77" s="2198"/>
      <c r="LZM77" s="2198"/>
      <c r="LZN77" s="2198"/>
      <c r="LZO77" s="2198"/>
      <c r="LZP77" s="2198"/>
      <c r="LZQ77" s="2198"/>
      <c r="LZR77" s="2198"/>
      <c r="LZS77" s="2198"/>
      <c r="LZT77" s="2198"/>
      <c r="LZU77" s="2198"/>
      <c r="LZV77" s="2198"/>
      <c r="LZW77" s="2198"/>
      <c r="LZX77" s="2198"/>
      <c r="LZY77" s="2198"/>
      <c r="LZZ77" s="2198"/>
      <c r="MAA77" s="2198"/>
      <c r="MAB77" s="2198"/>
      <c r="MAC77" s="2198"/>
      <c r="MAD77" s="2198"/>
      <c r="MAE77" s="2198"/>
      <c r="MAF77" s="2198"/>
      <c r="MAG77" s="2198"/>
      <c r="MAH77" s="2198"/>
      <c r="MAI77" s="2198"/>
      <c r="MAJ77" s="2198"/>
      <c r="MAK77" s="2198"/>
      <c r="MAL77" s="2198"/>
      <c r="MAM77" s="2198"/>
      <c r="MAN77" s="2198"/>
      <c r="MAO77" s="2198"/>
      <c r="MAP77" s="2198"/>
      <c r="MAQ77" s="2198"/>
      <c r="MAR77" s="2198"/>
      <c r="MAS77" s="2198"/>
      <c r="MAT77" s="2198"/>
      <c r="MAU77" s="2198"/>
      <c r="MAV77" s="2198"/>
      <c r="MAW77" s="2198"/>
      <c r="MAX77" s="2198"/>
      <c r="MAY77" s="2198"/>
      <c r="MAZ77" s="2198"/>
      <c r="MBA77" s="2198"/>
      <c r="MBB77" s="2198"/>
      <c r="MBC77" s="2198"/>
      <c r="MBD77" s="2198"/>
      <c r="MBE77" s="2198"/>
      <c r="MBF77" s="2198"/>
      <c r="MBG77" s="2198"/>
      <c r="MBH77" s="2198"/>
      <c r="MBI77" s="2198"/>
      <c r="MBJ77" s="2198"/>
      <c r="MBK77" s="2198"/>
      <c r="MBL77" s="2198"/>
      <c r="MBM77" s="2198"/>
      <c r="MBN77" s="2198"/>
      <c r="MBO77" s="2198"/>
      <c r="MBP77" s="2198"/>
      <c r="MBQ77" s="2198"/>
      <c r="MBR77" s="2198"/>
      <c r="MBS77" s="2198"/>
      <c r="MBT77" s="2198"/>
      <c r="MBU77" s="2198"/>
      <c r="MBV77" s="2198"/>
      <c r="MBW77" s="2198"/>
      <c r="MBX77" s="2198"/>
      <c r="MBY77" s="2198"/>
      <c r="MBZ77" s="2198"/>
      <c r="MCA77" s="2198"/>
      <c r="MCB77" s="2198"/>
      <c r="MCC77" s="2198"/>
      <c r="MCD77" s="2198"/>
      <c r="MCE77" s="2198"/>
      <c r="MCF77" s="2198"/>
      <c r="MCG77" s="2198"/>
      <c r="MCH77" s="2198"/>
      <c r="MCI77" s="2198"/>
      <c r="MCJ77" s="2198"/>
      <c r="MCK77" s="2198"/>
      <c r="MCL77" s="2198"/>
      <c r="MCM77" s="2198"/>
      <c r="MCN77" s="2198"/>
      <c r="MCO77" s="2198"/>
      <c r="MCP77" s="2198"/>
      <c r="MCQ77" s="2198"/>
      <c r="MCR77" s="2198"/>
      <c r="MCS77" s="2198"/>
      <c r="MCT77" s="2198"/>
      <c r="MCU77" s="2198"/>
      <c r="MCV77" s="2198"/>
      <c r="MCW77" s="2198"/>
      <c r="MCX77" s="2198"/>
      <c r="MCY77" s="2198"/>
      <c r="MCZ77" s="2198"/>
      <c r="MDA77" s="2198"/>
      <c r="MDB77" s="2198"/>
      <c r="MDC77" s="2198"/>
      <c r="MDD77" s="2198"/>
      <c r="MDE77" s="2198"/>
      <c r="MDF77" s="2198"/>
      <c r="MDG77" s="2198"/>
      <c r="MDH77" s="2198"/>
      <c r="MDI77" s="2198"/>
      <c r="MDJ77" s="2198"/>
      <c r="MDK77" s="2198"/>
      <c r="MDL77" s="2198"/>
      <c r="MDM77" s="2198"/>
      <c r="MDN77" s="2198"/>
      <c r="MDO77" s="2198"/>
      <c r="MDP77" s="2198"/>
      <c r="MDQ77" s="2198"/>
      <c r="MDR77" s="2198"/>
      <c r="MDS77" s="2198"/>
      <c r="MDT77" s="2198"/>
      <c r="MDU77" s="2198"/>
      <c r="MDV77" s="2198"/>
      <c r="MDW77" s="2198"/>
      <c r="MDX77" s="2198"/>
      <c r="MDY77" s="2198"/>
      <c r="MDZ77" s="2198"/>
      <c r="MEA77" s="2198"/>
      <c r="MEB77" s="2198"/>
      <c r="MEC77" s="2198"/>
      <c r="MED77" s="2198"/>
      <c r="MEE77" s="2198"/>
      <c r="MEF77" s="2198"/>
      <c r="MEG77" s="2198"/>
      <c r="MEH77" s="2198"/>
      <c r="MEI77" s="2198"/>
      <c r="MEJ77" s="2198"/>
      <c r="MEK77" s="2198"/>
      <c r="MEL77" s="2198"/>
      <c r="MEM77" s="2198"/>
      <c r="MEN77" s="2198"/>
      <c r="MEO77" s="2198"/>
      <c r="MEP77" s="2198"/>
      <c r="MEQ77" s="2198"/>
      <c r="MER77" s="2198"/>
      <c r="MES77" s="2198"/>
      <c r="MET77" s="2198"/>
      <c r="MEU77" s="2198"/>
      <c r="MEV77" s="2198"/>
      <c r="MEW77" s="2198"/>
      <c r="MEX77" s="2198"/>
      <c r="MEY77" s="2198"/>
      <c r="MEZ77" s="2198"/>
      <c r="MFA77" s="2198"/>
      <c r="MFB77" s="2198"/>
      <c r="MFC77" s="2198"/>
      <c r="MFD77" s="2198"/>
      <c r="MFE77" s="2198"/>
      <c r="MFF77" s="2198"/>
      <c r="MFG77" s="2198"/>
      <c r="MFH77" s="2198"/>
      <c r="MFI77" s="2198"/>
      <c r="MFJ77" s="2198"/>
      <c r="MFK77" s="2198"/>
      <c r="MFL77" s="2198"/>
      <c r="MFM77" s="2198"/>
      <c r="MFN77" s="2198"/>
      <c r="MFO77" s="2198"/>
      <c r="MFP77" s="2198"/>
      <c r="MFQ77" s="2198"/>
      <c r="MFR77" s="2198"/>
      <c r="MFS77" s="2198"/>
      <c r="MFT77" s="2198"/>
      <c r="MFU77" s="2198"/>
      <c r="MFV77" s="2198"/>
      <c r="MFW77" s="2198"/>
      <c r="MFX77" s="2198"/>
      <c r="MFY77" s="2198"/>
      <c r="MFZ77" s="2198"/>
      <c r="MGA77" s="2198"/>
      <c r="MGB77" s="2198"/>
      <c r="MGC77" s="2198"/>
      <c r="MGD77" s="2198"/>
      <c r="MGE77" s="2198"/>
      <c r="MGF77" s="2198"/>
      <c r="MGG77" s="2198"/>
      <c r="MGH77" s="2198"/>
      <c r="MGI77" s="2198"/>
      <c r="MGJ77" s="2198"/>
      <c r="MGK77" s="2198"/>
      <c r="MGL77" s="2198"/>
      <c r="MGM77" s="2198"/>
      <c r="MGN77" s="2198"/>
      <c r="MGO77" s="2198"/>
      <c r="MGP77" s="2198"/>
      <c r="MGQ77" s="2198"/>
      <c r="MGR77" s="2198"/>
      <c r="MGS77" s="2198"/>
      <c r="MGT77" s="2198"/>
      <c r="MGU77" s="2198"/>
      <c r="MGV77" s="2198"/>
      <c r="MGW77" s="2198"/>
      <c r="MGX77" s="2198"/>
      <c r="MGY77" s="2198"/>
      <c r="MGZ77" s="2198"/>
      <c r="MHA77" s="2198"/>
      <c r="MHB77" s="2198"/>
      <c r="MHC77" s="2198"/>
      <c r="MHD77" s="2198"/>
      <c r="MHE77" s="2198"/>
      <c r="MHF77" s="2198"/>
      <c r="MHG77" s="2198"/>
      <c r="MHH77" s="2198"/>
      <c r="MHI77" s="2198"/>
      <c r="MHJ77" s="2198"/>
      <c r="MHK77" s="2198"/>
      <c r="MHL77" s="2198"/>
      <c r="MHM77" s="2198"/>
      <c r="MHN77" s="2198"/>
      <c r="MHO77" s="2198"/>
      <c r="MHP77" s="2198"/>
      <c r="MHQ77" s="2198"/>
      <c r="MHR77" s="2198"/>
      <c r="MHS77" s="2198"/>
      <c r="MHT77" s="2198"/>
      <c r="MHU77" s="2198"/>
      <c r="MHV77" s="2198"/>
      <c r="MHW77" s="2198"/>
      <c r="MHX77" s="2198"/>
      <c r="MHY77" s="2198"/>
      <c r="MHZ77" s="2198"/>
      <c r="MIA77" s="2198"/>
      <c r="MIB77" s="2198"/>
      <c r="MIC77" s="2198"/>
      <c r="MID77" s="2198"/>
      <c r="MIE77" s="2198"/>
      <c r="MIF77" s="2198"/>
      <c r="MIG77" s="2198"/>
      <c r="MIH77" s="2198"/>
      <c r="MII77" s="2198"/>
      <c r="MIJ77" s="2198"/>
      <c r="MIK77" s="2198"/>
      <c r="MIL77" s="2198"/>
      <c r="MIM77" s="2198"/>
      <c r="MIN77" s="2198"/>
      <c r="MIO77" s="2198"/>
      <c r="MIP77" s="2198"/>
      <c r="MIQ77" s="2198"/>
      <c r="MIR77" s="2198"/>
      <c r="MIS77" s="2198"/>
      <c r="MIT77" s="2198"/>
      <c r="MIU77" s="2198"/>
      <c r="MIV77" s="2198"/>
      <c r="MIW77" s="2198"/>
      <c r="MIX77" s="2198"/>
      <c r="MIY77" s="2198"/>
      <c r="MIZ77" s="2198"/>
      <c r="MJA77" s="2198"/>
      <c r="MJB77" s="2198"/>
      <c r="MJC77" s="2198"/>
      <c r="MJD77" s="2198"/>
      <c r="MJE77" s="2198"/>
      <c r="MJF77" s="2198"/>
      <c r="MJG77" s="2198"/>
      <c r="MJH77" s="2198"/>
      <c r="MJI77" s="2198"/>
      <c r="MJJ77" s="2198"/>
      <c r="MJK77" s="2198"/>
      <c r="MJL77" s="2198"/>
      <c r="MJM77" s="2198"/>
      <c r="MJN77" s="2198"/>
      <c r="MJO77" s="2198"/>
      <c r="MJP77" s="2198"/>
      <c r="MJQ77" s="2198"/>
      <c r="MJR77" s="2198"/>
      <c r="MJS77" s="2198"/>
      <c r="MJT77" s="2198"/>
      <c r="MJU77" s="2198"/>
      <c r="MJV77" s="2198"/>
      <c r="MJW77" s="2198"/>
      <c r="MJX77" s="2198"/>
      <c r="MJY77" s="2198"/>
      <c r="MJZ77" s="2198"/>
      <c r="MKA77" s="2198"/>
      <c r="MKB77" s="2198"/>
      <c r="MKC77" s="2198"/>
      <c r="MKD77" s="2198"/>
      <c r="MKE77" s="2198"/>
      <c r="MKF77" s="2198"/>
      <c r="MKG77" s="2198"/>
      <c r="MKH77" s="2198"/>
      <c r="MKI77" s="2198"/>
      <c r="MKJ77" s="2198"/>
      <c r="MKK77" s="2198"/>
      <c r="MKL77" s="2198"/>
      <c r="MKM77" s="2198"/>
      <c r="MKN77" s="2198"/>
      <c r="MKO77" s="2198"/>
      <c r="MKP77" s="2198"/>
      <c r="MKQ77" s="2198"/>
      <c r="MKR77" s="2198"/>
      <c r="MKS77" s="2198"/>
      <c r="MKT77" s="2198"/>
      <c r="MKU77" s="2198"/>
      <c r="MKV77" s="2198"/>
      <c r="MKW77" s="2198"/>
      <c r="MKX77" s="2198"/>
      <c r="MKY77" s="2198"/>
      <c r="MKZ77" s="2198"/>
      <c r="MLA77" s="2198"/>
      <c r="MLB77" s="2198"/>
      <c r="MLC77" s="2198"/>
      <c r="MLD77" s="2198"/>
      <c r="MLE77" s="2198"/>
      <c r="MLF77" s="2198"/>
      <c r="MLG77" s="2198"/>
      <c r="MLH77" s="2198"/>
      <c r="MLI77" s="2198"/>
      <c r="MLJ77" s="2198"/>
      <c r="MLK77" s="2198"/>
      <c r="MLL77" s="2198"/>
      <c r="MLM77" s="2198"/>
      <c r="MLN77" s="2198"/>
      <c r="MLO77" s="2198"/>
      <c r="MLP77" s="2198"/>
      <c r="MLQ77" s="2198"/>
      <c r="MLR77" s="2198"/>
      <c r="MLS77" s="2198"/>
      <c r="MLT77" s="2198"/>
      <c r="MLU77" s="2198"/>
      <c r="MLV77" s="2198"/>
      <c r="MLW77" s="2198"/>
      <c r="MLX77" s="2198"/>
      <c r="MLY77" s="2198"/>
      <c r="MLZ77" s="2198"/>
      <c r="MMA77" s="2198"/>
      <c r="MMB77" s="2198"/>
      <c r="MMC77" s="2198"/>
      <c r="MMD77" s="2198"/>
      <c r="MME77" s="2198"/>
      <c r="MMF77" s="2198"/>
      <c r="MMG77" s="2198"/>
      <c r="MMH77" s="2198"/>
      <c r="MMI77" s="2198"/>
      <c r="MMJ77" s="2198"/>
      <c r="MMK77" s="2198"/>
      <c r="MML77" s="2198"/>
      <c r="MMM77" s="2198"/>
      <c r="MMN77" s="2198"/>
      <c r="MMO77" s="2198"/>
      <c r="MMP77" s="2198"/>
      <c r="MMQ77" s="2198"/>
      <c r="MMR77" s="2198"/>
      <c r="MMS77" s="2198"/>
      <c r="MMT77" s="2198"/>
      <c r="MMU77" s="2198"/>
      <c r="MMV77" s="2198"/>
      <c r="MMW77" s="2198"/>
      <c r="MMX77" s="2198"/>
      <c r="MMY77" s="2198"/>
      <c r="MMZ77" s="2198"/>
      <c r="MNA77" s="2198"/>
      <c r="MNB77" s="2198"/>
      <c r="MNC77" s="2198"/>
      <c r="MND77" s="2198"/>
      <c r="MNE77" s="2198"/>
      <c r="MNF77" s="2198"/>
      <c r="MNG77" s="2198"/>
      <c r="MNH77" s="2198"/>
      <c r="MNI77" s="2198"/>
      <c r="MNJ77" s="2198"/>
      <c r="MNK77" s="2198"/>
      <c r="MNL77" s="2198"/>
      <c r="MNM77" s="2198"/>
      <c r="MNN77" s="2198"/>
      <c r="MNO77" s="2198"/>
      <c r="MNP77" s="2198"/>
      <c r="MNQ77" s="2198"/>
      <c r="MNR77" s="2198"/>
      <c r="MNS77" s="2198"/>
      <c r="MNT77" s="2198"/>
      <c r="MNU77" s="2198"/>
      <c r="MNV77" s="2198"/>
      <c r="MNW77" s="2198"/>
      <c r="MNX77" s="2198"/>
      <c r="MNY77" s="2198"/>
      <c r="MNZ77" s="2198"/>
      <c r="MOA77" s="2198"/>
      <c r="MOB77" s="2198"/>
      <c r="MOC77" s="2198"/>
      <c r="MOD77" s="2198"/>
      <c r="MOE77" s="2198"/>
      <c r="MOF77" s="2198"/>
      <c r="MOG77" s="2198"/>
      <c r="MOH77" s="2198"/>
      <c r="MOI77" s="2198"/>
      <c r="MOJ77" s="2198"/>
      <c r="MOK77" s="2198"/>
      <c r="MOL77" s="2198"/>
      <c r="MOM77" s="2198"/>
      <c r="MON77" s="2198"/>
      <c r="MOO77" s="2198"/>
      <c r="MOP77" s="2198"/>
      <c r="MOQ77" s="2198"/>
      <c r="MOR77" s="2198"/>
      <c r="MOS77" s="2198"/>
      <c r="MOT77" s="2198"/>
      <c r="MOU77" s="2198"/>
      <c r="MOV77" s="2198"/>
      <c r="MOW77" s="2198"/>
      <c r="MOX77" s="2198"/>
      <c r="MOY77" s="2198"/>
      <c r="MOZ77" s="2198"/>
      <c r="MPA77" s="2198"/>
      <c r="MPB77" s="2198"/>
      <c r="MPC77" s="2198"/>
      <c r="MPD77" s="2198"/>
      <c r="MPE77" s="2198"/>
      <c r="MPF77" s="2198"/>
      <c r="MPG77" s="2198"/>
      <c r="MPH77" s="2198"/>
      <c r="MPI77" s="2198"/>
      <c r="MPJ77" s="2198"/>
      <c r="MPK77" s="2198"/>
      <c r="MPL77" s="2198"/>
      <c r="MPM77" s="2198"/>
      <c r="MPN77" s="2198"/>
      <c r="MPO77" s="2198"/>
      <c r="MPP77" s="2198"/>
      <c r="MPQ77" s="2198"/>
      <c r="MPR77" s="2198"/>
      <c r="MPS77" s="2198"/>
      <c r="MPT77" s="2198"/>
      <c r="MPU77" s="2198"/>
      <c r="MPV77" s="2198"/>
      <c r="MPW77" s="2198"/>
      <c r="MPX77" s="2198"/>
      <c r="MPY77" s="2198"/>
      <c r="MPZ77" s="2198"/>
      <c r="MQA77" s="2198"/>
      <c r="MQB77" s="2198"/>
      <c r="MQC77" s="2198"/>
      <c r="MQD77" s="2198"/>
      <c r="MQE77" s="2198"/>
      <c r="MQF77" s="2198"/>
      <c r="MQG77" s="2198"/>
      <c r="MQH77" s="2198"/>
      <c r="MQI77" s="2198"/>
      <c r="MQJ77" s="2198"/>
      <c r="MQK77" s="2198"/>
      <c r="MQL77" s="2198"/>
      <c r="MQM77" s="2198"/>
      <c r="MQN77" s="2198"/>
      <c r="MQO77" s="2198"/>
      <c r="MQP77" s="2198"/>
      <c r="MQQ77" s="2198"/>
      <c r="MQR77" s="2198"/>
      <c r="MQS77" s="2198"/>
      <c r="MQT77" s="2198"/>
      <c r="MQU77" s="2198"/>
      <c r="MQV77" s="2198"/>
      <c r="MQW77" s="2198"/>
      <c r="MQX77" s="2198"/>
      <c r="MQY77" s="2198"/>
      <c r="MQZ77" s="2198"/>
      <c r="MRA77" s="2198"/>
      <c r="MRB77" s="2198"/>
      <c r="MRC77" s="2198"/>
      <c r="MRD77" s="2198"/>
      <c r="MRE77" s="2198"/>
      <c r="MRF77" s="2198"/>
      <c r="MRG77" s="2198"/>
      <c r="MRH77" s="2198"/>
      <c r="MRI77" s="2198"/>
      <c r="MRJ77" s="2198"/>
      <c r="MRK77" s="2198"/>
      <c r="MRL77" s="2198"/>
      <c r="MRM77" s="2198"/>
      <c r="MRN77" s="2198"/>
      <c r="MRO77" s="2198"/>
      <c r="MRP77" s="2198"/>
      <c r="MRQ77" s="2198"/>
      <c r="MRR77" s="2198"/>
      <c r="MRS77" s="2198"/>
      <c r="MRT77" s="2198"/>
      <c r="MRU77" s="2198"/>
      <c r="MRV77" s="2198"/>
      <c r="MRW77" s="2198"/>
      <c r="MRX77" s="2198"/>
      <c r="MRY77" s="2198"/>
      <c r="MRZ77" s="2198"/>
      <c r="MSA77" s="2198"/>
      <c r="MSB77" s="2198"/>
      <c r="MSC77" s="2198"/>
      <c r="MSD77" s="2198"/>
      <c r="MSE77" s="2198"/>
      <c r="MSF77" s="2198"/>
      <c r="MSG77" s="2198"/>
      <c r="MSH77" s="2198"/>
      <c r="MSI77" s="2198"/>
      <c r="MSJ77" s="2198"/>
      <c r="MSK77" s="2198"/>
      <c r="MSL77" s="2198"/>
      <c r="MSM77" s="2198"/>
      <c r="MSN77" s="2198"/>
      <c r="MSO77" s="2198"/>
      <c r="MSP77" s="2198"/>
      <c r="MSQ77" s="2198"/>
      <c r="MSR77" s="2198"/>
      <c r="MSS77" s="2198"/>
      <c r="MST77" s="2198"/>
      <c r="MSU77" s="2198"/>
      <c r="MSV77" s="2198"/>
      <c r="MSW77" s="2198"/>
      <c r="MSX77" s="2198"/>
      <c r="MSY77" s="2198"/>
      <c r="MSZ77" s="2198"/>
      <c r="MTA77" s="2198"/>
      <c r="MTB77" s="2198"/>
      <c r="MTC77" s="2198"/>
      <c r="MTD77" s="2198"/>
      <c r="MTE77" s="2198"/>
      <c r="MTF77" s="2198"/>
      <c r="MTG77" s="2198"/>
      <c r="MTH77" s="2198"/>
      <c r="MTI77" s="2198"/>
      <c r="MTJ77" s="2198"/>
      <c r="MTK77" s="2198"/>
      <c r="MTL77" s="2198"/>
      <c r="MTM77" s="2198"/>
      <c r="MTN77" s="2198"/>
      <c r="MTO77" s="2198"/>
      <c r="MTP77" s="2198"/>
      <c r="MTQ77" s="2198"/>
      <c r="MTR77" s="2198"/>
      <c r="MTS77" s="2198"/>
      <c r="MTT77" s="2198"/>
      <c r="MTU77" s="2198"/>
      <c r="MTV77" s="2198"/>
      <c r="MTW77" s="2198"/>
      <c r="MTX77" s="2198"/>
      <c r="MTY77" s="2198"/>
      <c r="MTZ77" s="2198"/>
      <c r="MUA77" s="2198"/>
      <c r="MUB77" s="2198"/>
      <c r="MUC77" s="2198"/>
      <c r="MUD77" s="2198"/>
      <c r="MUE77" s="2198"/>
      <c r="MUF77" s="2198"/>
      <c r="MUG77" s="2198"/>
      <c r="MUH77" s="2198"/>
      <c r="MUI77" s="2198"/>
      <c r="MUJ77" s="2198"/>
      <c r="MUK77" s="2198"/>
      <c r="MUL77" s="2198"/>
      <c r="MUM77" s="2198"/>
      <c r="MUN77" s="2198"/>
      <c r="MUO77" s="2198"/>
      <c r="MUP77" s="2198"/>
      <c r="MUQ77" s="2198"/>
      <c r="MUR77" s="2198"/>
      <c r="MUS77" s="2198"/>
      <c r="MUT77" s="2198"/>
      <c r="MUU77" s="2198"/>
      <c r="MUV77" s="2198"/>
      <c r="MUW77" s="2198"/>
      <c r="MUX77" s="2198"/>
      <c r="MUY77" s="2198"/>
      <c r="MUZ77" s="2198"/>
      <c r="MVA77" s="2198"/>
      <c r="MVB77" s="2198"/>
      <c r="MVC77" s="2198"/>
      <c r="MVD77" s="2198"/>
      <c r="MVE77" s="2198"/>
      <c r="MVF77" s="2198"/>
      <c r="MVG77" s="2198"/>
      <c r="MVH77" s="2198"/>
      <c r="MVI77" s="2198"/>
      <c r="MVJ77" s="2198"/>
      <c r="MVK77" s="2198"/>
      <c r="MVL77" s="2198"/>
      <c r="MVM77" s="2198"/>
      <c r="MVN77" s="2198"/>
      <c r="MVO77" s="2198"/>
      <c r="MVP77" s="2198"/>
      <c r="MVQ77" s="2198"/>
      <c r="MVR77" s="2198"/>
      <c r="MVS77" s="2198"/>
      <c r="MVT77" s="2198"/>
      <c r="MVU77" s="2198"/>
      <c r="MVV77" s="2198"/>
      <c r="MVW77" s="2198"/>
      <c r="MVX77" s="2198"/>
      <c r="MVY77" s="2198"/>
      <c r="MVZ77" s="2198"/>
      <c r="MWA77" s="2198"/>
      <c r="MWB77" s="2198"/>
      <c r="MWC77" s="2198"/>
      <c r="MWD77" s="2198"/>
      <c r="MWE77" s="2198"/>
      <c r="MWF77" s="2198"/>
      <c r="MWG77" s="2198"/>
      <c r="MWH77" s="2198"/>
      <c r="MWI77" s="2198"/>
      <c r="MWJ77" s="2198"/>
      <c r="MWK77" s="2198"/>
      <c r="MWL77" s="2198"/>
      <c r="MWM77" s="2198"/>
      <c r="MWN77" s="2198"/>
      <c r="MWO77" s="2198"/>
      <c r="MWP77" s="2198"/>
      <c r="MWQ77" s="2198"/>
      <c r="MWR77" s="2198"/>
      <c r="MWS77" s="2198"/>
      <c r="MWT77" s="2198"/>
      <c r="MWU77" s="2198"/>
      <c r="MWV77" s="2198"/>
      <c r="MWW77" s="2198"/>
      <c r="MWX77" s="2198"/>
      <c r="MWY77" s="2198"/>
      <c r="MWZ77" s="2198"/>
      <c r="MXA77" s="2198"/>
      <c r="MXB77" s="2198"/>
      <c r="MXC77" s="2198"/>
      <c r="MXD77" s="2198"/>
      <c r="MXE77" s="2198"/>
      <c r="MXF77" s="2198"/>
      <c r="MXG77" s="2198"/>
      <c r="MXH77" s="2198"/>
      <c r="MXI77" s="2198"/>
      <c r="MXJ77" s="2198"/>
      <c r="MXK77" s="2198"/>
      <c r="MXL77" s="2198"/>
      <c r="MXM77" s="2198"/>
      <c r="MXN77" s="2198"/>
      <c r="MXO77" s="2198"/>
      <c r="MXP77" s="2198"/>
      <c r="MXQ77" s="2198"/>
      <c r="MXR77" s="2198"/>
      <c r="MXS77" s="2198"/>
      <c r="MXT77" s="2198"/>
      <c r="MXU77" s="2198"/>
      <c r="MXV77" s="2198"/>
      <c r="MXW77" s="2198"/>
      <c r="MXX77" s="2198"/>
      <c r="MXY77" s="2198"/>
      <c r="MXZ77" s="2198"/>
      <c r="MYA77" s="2198"/>
      <c r="MYB77" s="2198"/>
      <c r="MYC77" s="2198"/>
      <c r="MYD77" s="2198"/>
      <c r="MYE77" s="2198"/>
      <c r="MYF77" s="2198"/>
      <c r="MYG77" s="2198"/>
      <c r="MYH77" s="2198"/>
      <c r="MYI77" s="2198"/>
      <c r="MYJ77" s="2198"/>
      <c r="MYK77" s="2198"/>
      <c r="MYL77" s="2198"/>
      <c r="MYM77" s="2198"/>
      <c r="MYN77" s="2198"/>
      <c r="MYO77" s="2198"/>
      <c r="MYP77" s="2198"/>
      <c r="MYQ77" s="2198"/>
      <c r="MYR77" s="2198"/>
      <c r="MYS77" s="2198"/>
      <c r="MYT77" s="2198"/>
      <c r="MYU77" s="2198"/>
      <c r="MYV77" s="2198"/>
      <c r="MYW77" s="2198"/>
      <c r="MYX77" s="2198"/>
      <c r="MYY77" s="2198"/>
      <c r="MYZ77" s="2198"/>
      <c r="MZA77" s="2198"/>
      <c r="MZB77" s="2198"/>
      <c r="MZC77" s="2198"/>
      <c r="MZD77" s="2198"/>
      <c r="MZE77" s="2198"/>
      <c r="MZF77" s="2198"/>
      <c r="MZG77" s="2198"/>
      <c r="MZH77" s="2198"/>
      <c r="MZI77" s="2198"/>
      <c r="MZJ77" s="2198"/>
      <c r="MZK77" s="2198"/>
      <c r="MZL77" s="2198"/>
      <c r="MZM77" s="2198"/>
      <c r="MZN77" s="2198"/>
      <c r="MZO77" s="2198"/>
      <c r="MZP77" s="2198"/>
      <c r="MZQ77" s="2198"/>
      <c r="MZR77" s="2198"/>
      <c r="MZS77" s="2198"/>
      <c r="MZT77" s="2198"/>
      <c r="MZU77" s="2198"/>
      <c r="MZV77" s="2198"/>
      <c r="MZW77" s="2198"/>
      <c r="MZX77" s="2198"/>
      <c r="MZY77" s="2198"/>
      <c r="MZZ77" s="2198"/>
      <c r="NAA77" s="2198"/>
      <c r="NAB77" s="2198"/>
      <c r="NAC77" s="2198"/>
      <c r="NAD77" s="2198"/>
      <c r="NAE77" s="2198"/>
      <c r="NAF77" s="2198"/>
      <c r="NAG77" s="2198"/>
      <c r="NAH77" s="2198"/>
      <c r="NAI77" s="2198"/>
      <c r="NAJ77" s="2198"/>
      <c r="NAK77" s="2198"/>
      <c r="NAL77" s="2198"/>
      <c r="NAM77" s="2198"/>
      <c r="NAN77" s="2198"/>
      <c r="NAO77" s="2198"/>
      <c r="NAP77" s="2198"/>
      <c r="NAQ77" s="2198"/>
      <c r="NAR77" s="2198"/>
      <c r="NAS77" s="2198"/>
      <c r="NAT77" s="2198"/>
      <c r="NAU77" s="2198"/>
      <c r="NAV77" s="2198"/>
      <c r="NAW77" s="2198"/>
      <c r="NAX77" s="2198"/>
      <c r="NAY77" s="2198"/>
      <c r="NAZ77" s="2198"/>
      <c r="NBA77" s="2198"/>
      <c r="NBB77" s="2198"/>
      <c r="NBC77" s="2198"/>
      <c r="NBD77" s="2198"/>
      <c r="NBE77" s="2198"/>
      <c r="NBF77" s="2198"/>
      <c r="NBG77" s="2198"/>
      <c r="NBH77" s="2198"/>
      <c r="NBI77" s="2198"/>
      <c r="NBJ77" s="2198"/>
      <c r="NBK77" s="2198"/>
      <c r="NBL77" s="2198"/>
      <c r="NBM77" s="2198"/>
      <c r="NBN77" s="2198"/>
      <c r="NBO77" s="2198"/>
      <c r="NBP77" s="2198"/>
      <c r="NBQ77" s="2198"/>
      <c r="NBR77" s="2198"/>
      <c r="NBS77" s="2198"/>
      <c r="NBT77" s="2198"/>
      <c r="NBU77" s="2198"/>
      <c r="NBV77" s="2198"/>
      <c r="NBW77" s="2198"/>
      <c r="NBX77" s="2198"/>
      <c r="NBY77" s="2198"/>
      <c r="NBZ77" s="2198"/>
      <c r="NCA77" s="2198"/>
      <c r="NCB77" s="2198"/>
      <c r="NCC77" s="2198"/>
      <c r="NCD77" s="2198"/>
      <c r="NCE77" s="2198"/>
      <c r="NCF77" s="2198"/>
      <c r="NCG77" s="2198"/>
      <c r="NCH77" s="2198"/>
      <c r="NCI77" s="2198"/>
      <c r="NCJ77" s="2198"/>
      <c r="NCK77" s="2198"/>
      <c r="NCL77" s="2198"/>
      <c r="NCM77" s="2198"/>
      <c r="NCN77" s="2198"/>
      <c r="NCO77" s="2198"/>
      <c r="NCP77" s="2198"/>
      <c r="NCQ77" s="2198"/>
      <c r="NCR77" s="2198"/>
      <c r="NCS77" s="2198"/>
      <c r="NCT77" s="2198"/>
      <c r="NCU77" s="2198"/>
      <c r="NCV77" s="2198"/>
      <c r="NCW77" s="2198"/>
      <c r="NCX77" s="2198"/>
      <c r="NCY77" s="2198"/>
      <c r="NCZ77" s="2198"/>
      <c r="NDA77" s="2198"/>
      <c r="NDB77" s="2198"/>
      <c r="NDC77" s="2198"/>
      <c r="NDD77" s="2198"/>
      <c r="NDE77" s="2198"/>
      <c r="NDF77" s="2198"/>
      <c r="NDG77" s="2198"/>
      <c r="NDH77" s="2198"/>
      <c r="NDI77" s="2198"/>
      <c r="NDJ77" s="2198"/>
      <c r="NDK77" s="2198"/>
      <c r="NDL77" s="2198"/>
      <c r="NDM77" s="2198"/>
      <c r="NDN77" s="2198"/>
      <c r="NDO77" s="2198"/>
      <c r="NDP77" s="2198"/>
      <c r="NDQ77" s="2198"/>
      <c r="NDR77" s="2198"/>
      <c r="NDS77" s="2198"/>
      <c r="NDT77" s="2198"/>
      <c r="NDU77" s="2198"/>
      <c r="NDV77" s="2198"/>
      <c r="NDW77" s="2198"/>
      <c r="NDX77" s="2198"/>
      <c r="NDY77" s="2198"/>
      <c r="NDZ77" s="2198"/>
      <c r="NEA77" s="2198"/>
      <c r="NEB77" s="2198"/>
      <c r="NEC77" s="2198"/>
      <c r="NED77" s="2198"/>
      <c r="NEE77" s="2198"/>
      <c r="NEF77" s="2198"/>
      <c r="NEG77" s="2198"/>
      <c r="NEH77" s="2198"/>
      <c r="NEI77" s="2198"/>
      <c r="NEJ77" s="2198"/>
      <c r="NEK77" s="2198"/>
      <c r="NEL77" s="2198"/>
      <c r="NEM77" s="2198"/>
      <c r="NEN77" s="2198"/>
      <c r="NEO77" s="2198"/>
      <c r="NEP77" s="2198"/>
      <c r="NEQ77" s="2198"/>
      <c r="NER77" s="2198"/>
      <c r="NES77" s="2198"/>
      <c r="NET77" s="2198"/>
      <c r="NEU77" s="2198"/>
      <c r="NEV77" s="2198"/>
      <c r="NEW77" s="2198"/>
      <c r="NEX77" s="2198"/>
      <c r="NEY77" s="2198"/>
      <c r="NEZ77" s="2198"/>
      <c r="NFA77" s="2198"/>
      <c r="NFB77" s="2198"/>
      <c r="NFC77" s="2198"/>
      <c r="NFD77" s="2198"/>
      <c r="NFE77" s="2198"/>
      <c r="NFF77" s="2198"/>
      <c r="NFG77" s="2198"/>
      <c r="NFH77" s="2198"/>
      <c r="NFI77" s="2198"/>
      <c r="NFJ77" s="2198"/>
      <c r="NFK77" s="2198"/>
      <c r="NFL77" s="2198"/>
      <c r="NFM77" s="2198"/>
      <c r="NFN77" s="2198"/>
      <c r="NFO77" s="2198"/>
      <c r="NFP77" s="2198"/>
      <c r="NFQ77" s="2198"/>
      <c r="NFR77" s="2198"/>
      <c r="NFS77" s="2198"/>
      <c r="NFT77" s="2198"/>
      <c r="NFU77" s="2198"/>
      <c r="NFV77" s="2198"/>
      <c r="NFW77" s="2198"/>
      <c r="NFX77" s="2198"/>
      <c r="NFY77" s="2198"/>
      <c r="NFZ77" s="2198"/>
      <c r="NGA77" s="2198"/>
      <c r="NGB77" s="2198"/>
      <c r="NGC77" s="2198"/>
      <c r="NGD77" s="2198"/>
      <c r="NGE77" s="2198"/>
      <c r="NGF77" s="2198"/>
      <c r="NGG77" s="2198"/>
      <c r="NGH77" s="2198"/>
      <c r="NGI77" s="2198"/>
      <c r="NGJ77" s="2198"/>
      <c r="NGK77" s="2198"/>
      <c r="NGL77" s="2198"/>
      <c r="NGM77" s="2198"/>
      <c r="NGN77" s="2198"/>
      <c r="NGO77" s="2198"/>
      <c r="NGP77" s="2198"/>
      <c r="NGQ77" s="2198"/>
      <c r="NGR77" s="2198"/>
      <c r="NGS77" s="2198"/>
      <c r="NGT77" s="2198"/>
      <c r="NGU77" s="2198"/>
      <c r="NGV77" s="2198"/>
      <c r="NGW77" s="2198"/>
      <c r="NGX77" s="2198"/>
      <c r="NGY77" s="2198"/>
      <c r="NGZ77" s="2198"/>
      <c r="NHA77" s="2198"/>
      <c r="NHB77" s="2198"/>
      <c r="NHC77" s="2198"/>
      <c r="NHD77" s="2198"/>
      <c r="NHE77" s="2198"/>
      <c r="NHF77" s="2198"/>
      <c r="NHG77" s="2198"/>
      <c r="NHH77" s="2198"/>
      <c r="NHI77" s="2198"/>
      <c r="NHJ77" s="2198"/>
      <c r="NHK77" s="2198"/>
      <c r="NHL77" s="2198"/>
      <c r="NHM77" s="2198"/>
      <c r="NHN77" s="2198"/>
      <c r="NHO77" s="2198"/>
      <c r="NHP77" s="2198"/>
      <c r="NHQ77" s="2198"/>
      <c r="NHR77" s="2198"/>
      <c r="NHS77" s="2198"/>
      <c r="NHT77" s="2198"/>
      <c r="NHU77" s="2198"/>
      <c r="NHV77" s="2198"/>
      <c r="NHW77" s="2198"/>
      <c r="NHX77" s="2198"/>
      <c r="NHY77" s="2198"/>
      <c r="NHZ77" s="2198"/>
      <c r="NIA77" s="2198"/>
      <c r="NIB77" s="2198"/>
      <c r="NIC77" s="2198"/>
      <c r="NID77" s="2198"/>
      <c r="NIE77" s="2198"/>
      <c r="NIF77" s="2198"/>
      <c r="NIG77" s="2198"/>
      <c r="NIH77" s="2198"/>
      <c r="NII77" s="2198"/>
      <c r="NIJ77" s="2198"/>
      <c r="NIK77" s="2198"/>
      <c r="NIL77" s="2198"/>
      <c r="NIM77" s="2198"/>
      <c r="NIN77" s="2198"/>
      <c r="NIO77" s="2198"/>
      <c r="NIP77" s="2198"/>
      <c r="NIQ77" s="2198"/>
      <c r="NIR77" s="2198"/>
      <c r="NIS77" s="2198"/>
      <c r="NIT77" s="2198"/>
      <c r="NIU77" s="2198"/>
      <c r="NIV77" s="2198"/>
      <c r="NIW77" s="2198"/>
      <c r="NIX77" s="2198"/>
      <c r="NIY77" s="2198"/>
      <c r="NIZ77" s="2198"/>
      <c r="NJA77" s="2198"/>
      <c r="NJB77" s="2198"/>
      <c r="NJC77" s="2198"/>
      <c r="NJD77" s="2198"/>
      <c r="NJE77" s="2198"/>
      <c r="NJF77" s="2198"/>
      <c r="NJG77" s="2198"/>
      <c r="NJH77" s="2198"/>
      <c r="NJI77" s="2198"/>
      <c r="NJJ77" s="2198"/>
      <c r="NJK77" s="2198"/>
      <c r="NJL77" s="2198"/>
      <c r="NJM77" s="2198"/>
      <c r="NJN77" s="2198"/>
      <c r="NJO77" s="2198"/>
      <c r="NJP77" s="2198"/>
      <c r="NJQ77" s="2198"/>
      <c r="NJR77" s="2198"/>
      <c r="NJS77" s="2198"/>
      <c r="NJT77" s="2198"/>
      <c r="NJU77" s="2198"/>
      <c r="NJV77" s="2198"/>
      <c r="NJW77" s="2198"/>
      <c r="NJX77" s="2198"/>
      <c r="NJY77" s="2198"/>
      <c r="NJZ77" s="2198"/>
      <c r="NKA77" s="2198"/>
      <c r="NKB77" s="2198"/>
      <c r="NKC77" s="2198"/>
      <c r="NKD77" s="2198"/>
      <c r="NKE77" s="2198"/>
      <c r="NKF77" s="2198"/>
      <c r="NKG77" s="2198"/>
      <c r="NKH77" s="2198"/>
      <c r="NKI77" s="2198"/>
      <c r="NKJ77" s="2198"/>
      <c r="NKK77" s="2198"/>
      <c r="NKL77" s="2198"/>
      <c r="NKM77" s="2198"/>
      <c r="NKN77" s="2198"/>
      <c r="NKO77" s="2198"/>
      <c r="NKP77" s="2198"/>
      <c r="NKQ77" s="2198"/>
      <c r="NKR77" s="2198"/>
      <c r="NKS77" s="2198"/>
      <c r="NKT77" s="2198"/>
      <c r="NKU77" s="2198"/>
      <c r="NKV77" s="2198"/>
      <c r="NKW77" s="2198"/>
      <c r="NKX77" s="2198"/>
      <c r="NKY77" s="2198"/>
      <c r="NKZ77" s="2198"/>
      <c r="NLA77" s="2198"/>
      <c r="NLB77" s="2198"/>
      <c r="NLC77" s="2198"/>
      <c r="NLD77" s="2198"/>
      <c r="NLE77" s="2198"/>
      <c r="NLF77" s="2198"/>
      <c r="NLG77" s="2198"/>
      <c r="NLH77" s="2198"/>
      <c r="NLI77" s="2198"/>
      <c r="NLJ77" s="2198"/>
      <c r="NLK77" s="2198"/>
      <c r="NLL77" s="2198"/>
      <c r="NLM77" s="2198"/>
      <c r="NLN77" s="2198"/>
      <c r="NLO77" s="2198"/>
      <c r="NLP77" s="2198"/>
      <c r="NLQ77" s="2198"/>
      <c r="NLR77" s="2198"/>
      <c r="NLS77" s="2198"/>
      <c r="NLT77" s="2198"/>
      <c r="NLU77" s="2198"/>
      <c r="NLV77" s="2198"/>
      <c r="NLW77" s="2198"/>
      <c r="NLX77" s="2198"/>
      <c r="NLY77" s="2198"/>
      <c r="NLZ77" s="2198"/>
      <c r="NMA77" s="2198"/>
      <c r="NMB77" s="2198"/>
      <c r="NMC77" s="2198"/>
      <c r="NMD77" s="2198"/>
      <c r="NME77" s="2198"/>
      <c r="NMF77" s="2198"/>
      <c r="NMG77" s="2198"/>
      <c r="NMH77" s="2198"/>
      <c r="NMI77" s="2198"/>
      <c r="NMJ77" s="2198"/>
      <c r="NMK77" s="2198"/>
      <c r="NML77" s="2198"/>
      <c r="NMM77" s="2198"/>
      <c r="NMN77" s="2198"/>
      <c r="NMO77" s="2198"/>
      <c r="NMP77" s="2198"/>
      <c r="NMQ77" s="2198"/>
      <c r="NMR77" s="2198"/>
      <c r="NMS77" s="2198"/>
      <c r="NMT77" s="2198"/>
      <c r="NMU77" s="2198"/>
      <c r="NMV77" s="2198"/>
      <c r="NMW77" s="2198"/>
      <c r="NMX77" s="2198"/>
      <c r="NMY77" s="2198"/>
      <c r="NMZ77" s="2198"/>
      <c r="NNA77" s="2198"/>
      <c r="NNB77" s="2198"/>
      <c r="NNC77" s="2198"/>
      <c r="NND77" s="2198"/>
      <c r="NNE77" s="2198"/>
      <c r="NNF77" s="2198"/>
      <c r="NNG77" s="2198"/>
      <c r="NNH77" s="2198"/>
      <c r="NNI77" s="2198"/>
      <c r="NNJ77" s="2198"/>
      <c r="NNK77" s="2198"/>
      <c r="NNL77" s="2198"/>
      <c r="NNM77" s="2198"/>
      <c r="NNN77" s="2198"/>
      <c r="NNO77" s="2198"/>
      <c r="NNP77" s="2198"/>
      <c r="NNQ77" s="2198"/>
      <c r="NNR77" s="2198"/>
      <c r="NNS77" s="2198"/>
      <c r="NNT77" s="2198"/>
      <c r="NNU77" s="2198"/>
      <c r="NNV77" s="2198"/>
      <c r="NNW77" s="2198"/>
      <c r="NNX77" s="2198"/>
      <c r="NNY77" s="2198"/>
      <c r="NNZ77" s="2198"/>
      <c r="NOA77" s="2198"/>
      <c r="NOB77" s="2198"/>
      <c r="NOC77" s="2198"/>
      <c r="NOD77" s="2198"/>
      <c r="NOE77" s="2198"/>
      <c r="NOF77" s="2198"/>
      <c r="NOG77" s="2198"/>
      <c r="NOH77" s="2198"/>
      <c r="NOI77" s="2198"/>
      <c r="NOJ77" s="2198"/>
      <c r="NOK77" s="2198"/>
      <c r="NOL77" s="2198"/>
      <c r="NOM77" s="2198"/>
      <c r="NON77" s="2198"/>
      <c r="NOO77" s="2198"/>
      <c r="NOP77" s="2198"/>
      <c r="NOQ77" s="2198"/>
      <c r="NOR77" s="2198"/>
      <c r="NOS77" s="2198"/>
      <c r="NOT77" s="2198"/>
      <c r="NOU77" s="2198"/>
      <c r="NOV77" s="2198"/>
      <c r="NOW77" s="2198"/>
      <c r="NOX77" s="2198"/>
      <c r="NOY77" s="2198"/>
      <c r="NOZ77" s="2198"/>
      <c r="NPA77" s="2198"/>
      <c r="NPB77" s="2198"/>
      <c r="NPC77" s="2198"/>
      <c r="NPD77" s="2198"/>
      <c r="NPE77" s="2198"/>
      <c r="NPF77" s="2198"/>
      <c r="NPG77" s="2198"/>
      <c r="NPH77" s="2198"/>
      <c r="NPI77" s="2198"/>
      <c r="NPJ77" s="2198"/>
      <c r="NPK77" s="2198"/>
      <c r="NPL77" s="2198"/>
      <c r="NPM77" s="2198"/>
      <c r="NPN77" s="2198"/>
      <c r="NPO77" s="2198"/>
      <c r="NPP77" s="2198"/>
      <c r="NPQ77" s="2198"/>
      <c r="NPR77" s="2198"/>
      <c r="NPS77" s="2198"/>
      <c r="NPT77" s="2198"/>
      <c r="NPU77" s="2198"/>
      <c r="NPV77" s="2198"/>
      <c r="NPW77" s="2198"/>
      <c r="NPX77" s="2198"/>
      <c r="NPY77" s="2198"/>
      <c r="NPZ77" s="2198"/>
      <c r="NQA77" s="2198"/>
      <c r="NQB77" s="2198"/>
      <c r="NQC77" s="2198"/>
      <c r="NQD77" s="2198"/>
      <c r="NQE77" s="2198"/>
      <c r="NQF77" s="2198"/>
      <c r="NQG77" s="2198"/>
      <c r="NQH77" s="2198"/>
      <c r="NQI77" s="2198"/>
      <c r="NQJ77" s="2198"/>
      <c r="NQK77" s="2198"/>
      <c r="NQL77" s="2198"/>
      <c r="NQM77" s="2198"/>
      <c r="NQN77" s="2198"/>
      <c r="NQO77" s="2198"/>
      <c r="NQP77" s="2198"/>
      <c r="NQQ77" s="2198"/>
      <c r="NQR77" s="2198"/>
      <c r="NQS77" s="2198"/>
      <c r="NQT77" s="2198"/>
      <c r="NQU77" s="2198"/>
      <c r="NQV77" s="2198"/>
      <c r="NQW77" s="2198"/>
      <c r="NQX77" s="2198"/>
      <c r="NQY77" s="2198"/>
      <c r="NQZ77" s="2198"/>
      <c r="NRA77" s="2198"/>
      <c r="NRB77" s="2198"/>
      <c r="NRC77" s="2198"/>
      <c r="NRD77" s="2198"/>
      <c r="NRE77" s="2198"/>
      <c r="NRF77" s="2198"/>
      <c r="NRG77" s="2198"/>
      <c r="NRH77" s="2198"/>
      <c r="NRI77" s="2198"/>
      <c r="NRJ77" s="2198"/>
      <c r="NRK77" s="2198"/>
      <c r="NRL77" s="2198"/>
      <c r="NRM77" s="2198"/>
      <c r="NRN77" s="2198"/>
      <c r="NRO77" s="2198"/>
      <c r="NRP77" s="2198"/>
      <c r="NRQ77" s="2198"/>
      <c r="NRR77" s="2198"/>
      <c r="NRS77" s="2198"/>
      <c r="NRT77" s="2198"/>
      <c r="NRU77" s="2198"/>
      <c r="NRV77" s="2198"/>
      <c r="NRW77" s="2198"/>
      <c r="NRX77" s="2198"/>
      <c r="NRY77" s="2198"/>
      <c r="NRZ77" s="2198"/>
      <c r="NSA77" s="2198"/>
      <c r="NSB77" s="2198"/>
      <c r="NSC77" s="2198"/>
      <c r="NSD77" s="2198"/>
      <c r="NSE77" s="2198"/>
      <c r="NSF77" s="2198"/>
      <c r="NSG77" s="2198"/>
      <c r="NSH77" s="2198"/>
      <c r="NSI77" s="2198"/>
      <c r="NSJ77" s="2198"/>
      <c r="NSK77" s="2198"/>
      <c r="NSL77" s="2198"/>
      <c r="NSM77" s="2198"/>
      <c r="NSN77" s="2198"/>
      <c r="NSO77" s="2198"/>
      <c r="NSP77" s="2198"/>
      <c r="NSQ77" s="2198"/>
      <c r="NSR77" s="2198"/>
      <c r="NSS77" s="2198"/>
      <c r="NST77" s="2198"/>
      <c r="NSU77" s="2198"/>
      <c r="NSV77" s="2198"/>
      <c r="NSW77" s="2198"/>
      <c r="NSX77" s="2198"/>
      <c r="NSY77" s="2198"/>
      <c r="NSZ77" s="2198"/>
      <c r="NTA77" s="2198"/>
      <c r="NTB77" s="2198"/>
      <c r="NTC77" s="2198"/>
      <c r="NTD77" s="2198"/>
      <c r="NTE77" s="2198"/>
      <c r="NTF77" s="2198"/>
      <c r="NTG77" s="2198"/>
      <c r="NTH77" s="2198"/>
      <c r="NTI77" s="2198"/>
      <c r="NTJ77" s="2198"/>
      <c r="NTK77" s="2198"/>
      <c r="NTL77" s="2198"/>
      <c r="NTM77" s="2198"/>
      <c r="NTN77" s="2198"/>
      <c r="NTO77" s="2198"/>
      <c r="NTP77" s="2198"/>
      <c r="NTQ77" s="2198"/>
      <c r="NTR77" s="2198"/>
      <c r="NTS77" s="2198"/>
      <c r="NTT77" s="2198"/>
      <c r="NTU77" s="2198"/>
      <c r="NTV77" s="2198"/>
      <c r="NTW77" s="2198"/>
      <c r="NTX77" s="2198"/>
      <c r="NTY77" s="2198"/>
      <c r="NTZ77" s="2198"/>
      <c r="NUA77" s="2198"/>
      <c r="NUB77" s="2198"/>
      <c r="NUC77" s="2198"/>
      <c r="NUD77" s="2198"/>
      <c r="NUE77" s="2198"/>
      <c r="NUF77" s="2198"/>
      <c r="NUG77" s="2198"/>
      <c r="NUH77" s="2198"/>
      <c r="NUI77" s="2198"/>
      <c r="NUJ77" s="2198"/>
      <c r="NUK77" s="2198"/>
      <c r="NUL77" s="2198"/>
      <c r="NUM77" s="2198"/>
      <c r="NUN77" s="2198"/>
      <c r="NUO77" s="2198"/>
      <c r="NUP77" s="2198"/>
      <c r="NUQ77" s="2198"/>
      <c r="NUR77" s="2198"/>
      <c r="NUS77" s="2198"/>
      <c r="NUT77" s="2198"/>
      <c r="NUU77" s="2198"/>
      <c r="NUV77" s="2198"/>
      <c r="NUW77" s="2198"/>
      <c r="NUX77" s="2198"/>
      <c r="NUY77" s="2198"/>
      <c r="NUZ77" s="2198"/>
      <c r="NVA77" s="2198"/>
      <c r="NVB77" s="2198"/>
      <c r="NVC77" s="2198"/>
      <c r="NVD77" s="2198"/>
      <c r="NVE77" s="2198"/>
      <c r="NVF77" s="2198"/>
      <c r="NVG77" s="2198"/>
      <c r="NVH77" s="2198"/>
      <c r="NVI77" s="2198"/>
      <c r="NVJ77" s="2198"/>
      <c r="NVK77" s="2198"/>
      <c r="NVL77" s="2198"/>
      <c r="NVM77" s="2198"/>
      <c r="NVN77" s="2198"/>
      <c r="NVO77" s="2198"/>
      <c r="NVP77" s="2198"/>
      <c r="NVQ77" s="2198"/>
      <c r="NVR77" s="2198"/>
      <c r="NVS77" s="2198"/>
      <c r="NVT77" s="2198"/>
      <c r="NVU77" s="2198"/>
      <c r="NVV77" s="2198"/>
      <c r="NVW77" s="2198"/>
      <c r="NVX77" s="2198"/>
      <c r="NVY77" s="2198"/>
      <c r="NVZ77" s="2198"/>
      <c r="NWA77" s="2198"/>
      <c r="NWB77" s="2198"/>
      <c r="NWC77" s="2198"/>
      <c r="NWD77" s="2198"/>
      <c r="NWE77" s="2198"/>
      <c r="NWF77" s="2198"/>
      <c r="NWG77" s="2198"/>
      <c r="NWH77" s="2198"/>
      <c r="NWI77" s="2198"/>
      <c r="NWJ77" s="2198"/>
      <c r="NWK77" s="2198"/>
      <c r="NWL77" s="2198"/>
      <c r="NWM77" s="2198"/>
      <c r="NWN77" s="2198"/>
      <c r="NWO77" s="2198"/>
      <c r="NWP77" s="2198"/>
      <c r="NWQ77" s="2198"/>
      <c r="NWR77" s="2198"/>
      <c r="NWS77" s="2198"/>
      <c r="NWT77" s="2198"/>
      <c r="NWU77" s="2198"/>
      <c r="NWV77" s="2198"/>
      <c r="NWW77" s="2198"/>
      <c r="NWX77" s="2198"/>
      <c r="NWY77" s="2198"/>
      <c r="NWZ77" s="2198"/>
      <c r="NXA77" s="2198"/>
      <c r="NXB77" s="2198"/>
      <c r="NXC77" s="2198"/>
      <c r="NXD77" s="2198"/>
      <c r="NXE77" s="2198"/>
      <c r="NXF77" s="2198"/>
      <c r="NXG77" s="2198"/>
      <c r="NXH77" s="2198"/>
      <c r="NXI77" s="2198"/>
      <c r="NXJ77" s="2198"/>
      <c r="NXK77" s="2198"/>
      <c r="NXL77" s="2198"/>
      <c r="NXM77" s="2198"/>
      <c r="NXN77" s="2198"/>
      <c r="NXO77" s="2198"/>
      <c r="NXP77" s="2198"/>
      <c r="NXQ77" s="2198"/>
      <c r="NXR77" s="2198"/>
      <c r="NXS77" s="2198"/>
      <c r="NXT77" s="2198"/>
      <c r="NXU77" s="2198"/>
      <c r="NXV77" s="2198"/>
      <c r="NXW77" s="2198"/>
      <c r="NXX77" s="2198"/>
      <c r="NXY77" s="2198"/>
      <c r="NXZ77" s="2198"/>
      <c r="NYA77" s="2198"/>
      <c r="NYB77" s="2198"/>
      <c r="NYC77" s="2198"/>
      <c r="NYD77" s="2198"/>
      <c r="NYE77" s="2198"/>
      <c r="NYF77" s="2198"/>
      <c r="NYG77" s="2198"/>
      <c r="NYH77" s="2198"/>
      <c r="NYI77" s="2198"/>
      <c r="NYJ77" s="2198"/>
      <c r="NYK77" s="2198"/>
      <c r="NYL77" s="2198"/>
      <c r="NYM77" s="2198"/>
      <c r="NYN77" s="2198"/>
      <c r="NYO77" s="2198"/>
      <c r="NYP77" s="2198"/>
      <c r="NYQ77" s="2198"/>
      <c r="NYR77" s="2198"/>
      <c r="NYS77" s="2198"/>
      <c r="NYT77" s="2198"/>
      <c r="NYU77" s="2198"/>
      <c r="NYV77" s="2198"/>
      <c r="NYW77" s="2198"/>
      <c r="NYX77" s="2198"/>
      <c r="NYY77" s="2198"/>
      <c r="NYZ77" s="2198"/>
      <c r="NZA77" s="2198"/>
      <c r="NZB77" s="2198"/>
      <c r="NZC77" s="2198"/>
      <c r="NZD77" s="2198"/>
      <c r="NZE77" s="2198"/>
      <c r="NZF77" s="2198"/>
      <c r="NZG77" s="2198"/>
      <c r="NZH77" s="2198"/>
      <c r="NZI77" s="2198"/>
      <c r="NZJ77" s="2198"/>
      <c r="NZK77" s="2198"/>
      <c r="NZL77" s="2198"/>
      <c r="NZM77" s="2198"/>
      <c r="NZN77" s="2198"/>
      <c r="NZO77" s="2198"/>
      <c r="NZP77" s="2198"/>
      <c r="NZQ77" s="2198"/>
      <c r="NZR77" s="2198"/>
      <c r="NZS77" s="2198"/>
      <c r="NZT77" s="2198"/>
      <c r="NZU77" s="2198"/>
      <c r="NZV77" s="2198"/>
      <c r="NZW77" s="2198"/>
      <c r="NZX77" s="2198"/>
      <c r="NZY77" s="2198"/>
      <c r="NZZ77" s="2198"/>
      <c r="OAA77" s="2198"/>
      <c r="OAB77" s="2198"/>
      <c r="OAC77" s="2198"/>
      <c r="OAD77" s="2198"/>
      <c r="OAE77" s="2198"/>
      <c r="OAF77" s="2198"/>
      <c r="OAG77" s="2198"/>
      <c r="OAH77" s="2198"/>
      <c r="OAI77" s="2198"/>
      <c r="OAJ77" s="2198"/>
      <c r="OAK77" s="2198"/>
      <c r="OAL77" s="2198"/>
      <c r="OAM77" s="2198"/>
      <c r="OAN77" s="2198"/>
      <c r="OAO77" s="2198"/>
      <c r="OAP77" s="2198"/>
      <c r="OAQ77" s="2198"/>
      <c r="OAR77" s="2198"/>
      <c r="OAS77" s="2198"/>
      <c r="OAT77" s="2198"/>
      <c r="OAU77" s="2198"/>
      <c r="OAV77" s="2198"/>
      <c r="OAW77" s="2198"/>
      <c r="OAX77" s="2198"/>
      <c r="OAY77" s="2198"/>
      <c r="OAZ77" s="2198"/>
      <c r="OBA77" s="2198"/>
      <c r="OBB77" s="2198"/>
      <c r="OBC77" s="2198"/>
      <c r="OBD77" s="2198"/>
      <c r="OBE77" s="2198"/>
      <c r="OBF77" s="2198"/>
      <c r="OBG77" s="2198"/>
      <c r="OBH77" s="2198"/>
      <c r="OBI77" s="2198"/>
      <c r="OBJ77" s="2198"/>
      <c r="OBK77" s="2198"/>
      <c r="OBL77" s="2198"/>
      <c r="OBM77" s="2198"/>
      <c r="OBN77" s="2198"/>
      <c r="OBO77" s="2198"/>
      <c r="OBP77" s="2198"/>
      <c r="OBQ77" s="2198"/>
      <c r="OBR77" s="2198"/>
      <c r="OBS77" s="2198"/>
      <c r="OBT77" s="2198"/>
      <c r="OBU77" s="2198"/>
      <c r="OBV77" s="2198"/>
      <c r="OBW77" s="2198"/>
      <c r="OBX77" s="2198"/>
      <c r="OBY77" s="2198"/>
      <c r="OBZ77" s="2198"/>
      <c r="OCA77" s="2198"/>
      <c r="OCB77" s="2198"/>
      <c r="OCC77" s="2198"/>
      <c r="OCD77" s="2198"/>
      <c r="OCE77" s="2198"/>
      <c r="OCF77" s="2198"/>
      <c r="OCG77" s="2198"/>
      <c r="OCH77" s="2198"/>
      <c r="OCI77" s="2198"/>
      <c r="OCJ77" s="2198"/>
      <c r="OCK77" s="2198"/>
      <c r="OCL77" s="2198"/>
      <c r="OCM77" s="2198"/>
      <c r="OCN77" s="2198"/>
      <c r="OCO77" s="2198"/>
      <c r="OCP77" s="2198"/>
      <c r="OCQ77" s="2198"/>
      <c r="OCR77" s="2198"/>
      <c r="OCS77" s="2198"/>
      <c r="OCT77" s="2198"/>
      <c r="OCU77" s="2198"/>
      <c r="OCV77" s="2198"/>
      <c r="OCW77" s="2198"/>
      <c r="OCX77" s="2198"/>
      <c r="OCY77" s="2198"/>
      <c r="OCZ77" s="2198"/>
      <c r="ODA77" s="2198"/>
      <c r="ODB77" s="2198"/>
      <c r="ODC77" s="2198"/>
      <c r="ODD77" s="2198"/>
      <c r="ODE77" s="2198"/>
      <c r="ODF77" s="2198"/>
      <c r="ODG77" s="2198"/>
      <c r="ODH77" s="2198"/>
      <c r="ODI77" s="2198"/>
      <c r="ODJ77" s="2198"/>
      <c r="ODK77" s="2198"/>
      <c r="ODL77" s="2198"/>
      <c r="ODM77" s="2198"/>
      <c r="ODN77" s="2198"/>
      <c r="ODO77" s="2198"/>
      <c r="ODP77" s="2198"/>
      <c r="ODQ77" s="2198"/>
      <c r="ODR77" s="2198"/>
      <c r="ODS77" s="2198"/>
      <c r="ODT77" s="2198"/>
      <c r="ODU77" s="2198"/>
      <c r="ODV77" s="2198"/>
      <c r="ODW77" s="2198"/>
      <c r="ODX77" s="2198"/>
      <c r="ODY77" s="2198"/>
      <c r="ODZ77" s="2198"/>
      <c r="OEA77" s="2198"/>
      <c r="OEB77" s="2198"/>
      <c r="OEC77" s="2198"/>
      <c r="OED77" s="2198"/>
      <c r="OEE77" s="2198"/>
      <c r="OEF77" s="2198"/>
      <c r="OEG77" s="2198"/>
      <c r="OEH77" s="2198"/>
      <c r="OEI77" s="2198"/>
      <c r="OEJ77" s="2198"/>
      <c r="OEK77" s="2198"/>
      <c r="OEL77" s="2198"/>
      <c r="OEM77" s="2198"/>
      <c r="OEN77" s="2198"/>
      <c r="OEO77" s="2198"/>
      <c r="OEP77" s="2198"/>
      <c r="OEQ77" s="2198"/>
      <c r="OER77" s="2198"/>
      <c r="OES77" s="2198"/>
      <c r="OET77" s="2198"/>
      <c r="OEU77" s="2198"/>
      <c r="OEV77" s="2198"/>
      <c r="OEW77" s="2198"/>
      <c r="OEX77" s="2198"/>
      <c r="OEY77" s="2198"/>
      <c r="OEZ77" s="2198"/>
      <c r="OFA77" s="2198"/>
      <c r="OFB77" s="2198"/>
      <c r="OFC77" s="2198"/>
      <c r="OFD77" s="2198"/>
      <c r="OFE77" s="2198"/>
      <c r="OFF77" s="2198"/>
      <c r="OFG77" s="2198"/>
      <c r="OFH77" s="2198"/>
      <c r="OFI77" s="2198"/>
      <c r="OFJ77" s="2198"/>
      <c r="OFK77" s="2198"/>
      <c r="OFL77" s="2198"/>
      <c r="OFM77" s="2198"/>
      <c r="OFN77" s="2198"/>
      <c r="OFO77" s="2198"/>
      <c r="OFP77" s="2198"/>
      <c r="OFQ77" s="2198"/>
      <c r="OFR77" s="2198"/>
      <c r="OFS77" s="2198"/>
      <c r="OFT77" s="2198"/>
      <c r="OFU77" s="2198"/>
      <c r="OFV77" s="2198"/>
      <c r="OFW77" s="2198"/>
      <c r="OFX77" s="2198"/>
      <c r="OFY77" s="2198"/>
      <c r="OFZ77" s="2198"/>
      <c r="OGA77" s="2198"/>
      <c r="OGB77" s="2198"/>
      <c r="OGC77" s="2198"/>
      <c r="OGD77" s="2198"/>
      <c r="OGE77" s="2198"/>
      <c r="OGF77" s="2198"/>
      <c r="OGG77" s="2198"/>
      <c r="OGH77" s="2198"/>
      <c r="OGI77" s="2198"/>
      <c r="OGJ77" s="2198"/>
      <c r="OGK77" s="2198"/>
      <c r="OGL77" s="2198"/>
      <c r="OGM77" s="2198"/>
      <c r="OGN77" s="2198"/>
      <c r="OGO77" s="2198"/>
      <c r="OGP77" s="2198"/>
      <c r="OGQ77" s="2198"/>
      <c r="OGR77" s="2198"/>
      <c r="OGS77" s="2198"/>
      <c r="OGT77" s="2198"/>
      <c r="OGU77" s="2198"/>
      <c r="OGV77" s="2198"/>
      <c r="OGW77" s="2198"/>
      <c r="OGX77" s="2198"/>
      <c r="OGY77" s="2198"/>
      <c r="OGZ77" s="2198"/>
      <c r="OHA77" s="2198"/>
      <c r="OHB77" s="2198"/>
      <c r="OHC77" s="2198"/>
      <c r="OHD77" s="2198"/>
      <c r="OHE77" s="2198"/>
      <c r="OHF77" s="2198"/>
      <c r="OHG77" s="2198"/>
      <c r="OHH77" s="2198"/>
      <c r="OHI77" s="2198"/>
      <c r="OHJ77" s="2198"/>
      <c r="OHK77" s="2198"/>
      <c r="OHL77" s="2198"/>
      <c r="OHM77" s="2198"/>
      <c r="OHN77" s="2198"/>
      <c r="OHO77" s="2198"/>
      <c r="OHP77" s="2198"/>
      <c r="OHQ77" s="2198"/>
      <c r="OHR77" s="2198"/>
      <c r="OHS77" s="2198"/>
      <c r="OHT77" s="2198"/>
      <c r="OHU77" s="2198"/>
      <c r="OHV77" s="2198"/>
      <c r="OHW77" s="2198"/>
      <c r="OHX77" s="2198"/>
      <c r="OHY77" s="2198"/>
      <c r="OHZ77" s="2198"/>
      <c r="OIA77" s="2198"/>
      <c r="OIB77" s="2198"/>
      <c r="OIC77" s="2198"/>
      <c r="OID77" s="2198"/>
      <c r="OIE77" s="2198"/>
      <c r="OIF77" s="2198"/>
      <c r="OIG77" s="2198"/>
      <c r="OIH77" s="2198"/>
      <c r="OII77" s="2198"/>
      <c r="OIJ77" s="2198"/>
      <c r="OIK77" s="2198"/>
      <c r="OIL77" s="2198"/>
      <c r="OIM77" s="2198"/>
      <c r="OIN77" s="2198"/>
      <c r="OIO77" s="2198"/>
      <c r="OIP77" s="2198"/>
      <c r="OIQ77" s="2198"/>
      <c r="OIR77" s="2198"/>
      <c r="OIS77" s="2198"/>
      <c r="OIT77" s="2198"/>
      <c r="OIU77" s="2198"/>
      <c r="OIV77" s="2198"/>
      <c r="OIW77" s="2198"/>
      <c r="OIX77" s="2198"/>
      <c r="OIY77" s="2198"/>
      <c r="OIZ77" s="2198"/>
      <c r="OJA77" s="2198"/>
      <c r="OJB77" s="2198"/>
      <c r="OJC77" s="2198"/>
      <c r="OJD77" s="2198"/>
      <c r="OJE77" s="2198"/>
      <c r="OJF77" s="2198"/>
      <c r="OJG77" s="2198"/>
      <c r="OJH77" s="2198"/>
      <c r="OJI77" s="2198"/>
      <c r="OJJ77" s="2198"/>
      <c r="OJK77" s="2198"/>
      <c r="OJL77" s="2198"/>
      <c r="OJM77" s="2198"/>
      <c r="OJN77" s="2198"/>
      <c r="OJO77" s="2198"/>
      <c r="OJP77" s="2198"/>
      <c r="OJQ77" s="2198"/>
      <c r="OJR77" s="2198"/>
      <c r="OJS77" s="2198"/>
      <c r="OJT77" s="2198"/>
      <c r="OJU77" s="2198"/>
      <c r="OJV77" s="2198"/>
      <c r="OJW77" s="2198"/>
      <c r="OJX77" s="2198"/>
      <c r="OJY77" s="2198"/>
      <c r="OJZ77" s="2198"/>
      <c r="OKA77" s="2198"/>
      <c r="OKB77" s="2198"/>
      <c r="OKC77" s="2198"/>
      <c r="OKD77" s="2198"/>
      <c r="OKE77" s="2198"/>
      <c r="OKF77" s="2198"/>
      <c r="OKG77" s="2198"/>
      <c r="OKH77" s="2198"/>
      <c r="OKI77" s="2198"/>
      <c r="OKJ77" s="2198"/>
      <c r="OKK77" s="2198"/>
      <c r="OKL77" s="2198"/>
      <c r="OKM77" s="2198"/>
      <c r="OKN77" s="2198"/>
      <c r="OKO77" s="2198"/>
      <c r="OKP77" s="2198"/>
      <c r="OKQ77" s="2198"/>
      <c r="OKR77" s="2198"/>
      <c r="OKS77" s="2198"/>
      <c r="OKT77" s="2198"/>
      <c r="OKU77" s="2198"/>
      <c r="OKV77" s="2198"/>
      <c r="OKW77" s="2198"/>
      <c r="OKX77" s="2198"/>
      <c r="OKY77" s="2198"/>
      <c r="OKZ77" s="2198"/>
      <c r="OLA77" s="2198"/>
      <c r="OLB77" s="2198"/>
      <c r="OLC77" s="2198"/>
      <c r="OLD77" s="2198"/>
      <c r="OLE77" s="2198"/>
      <c r="OLF77" s="2198"/>
      <c r="OLG77" s="2198"/>
      <c r="OLH77" s="2198"/>
      <c r="OLI77" s="2198"/>
      <c r="OLJ77" s="2198"/>
      <c r="OLK77" s="2198"/>
      <c r="OLL77" s="2198"/>
      <c r="OLM77" s="2198"/>
      <c r="OLN77" s="2198"/>
      <c r="OLO77" s="2198"/>
      <c r="OLP77" s="2198"/>
      <c r="OLQ77" s="2198"/>
      <c r="OLR77" s="2198"/>
      <c r="OLS77" s="2198"/>
      <c r="OLT77" s="2198"/>
      <c r="OLU77" s="2198"/>
      <c r="OLV77" s="2198"/>
      <c r="OLW77" s="2198"/>
      <c r="OLX77" s="2198"/>
      <c r="OLY77" s="2198"/>
      <c r="OLZ77" s="2198"/>
      <c r="OMA77" s="2198"/>
      <c r="OMB77" s="2198"/>
      <c r="OMC77" s="2198"/>
      <c r="OMD77" s="2198"/>
      <c r="OME77" s="2198"/>
      <c r="OMF77" s="2198"/>
      <c r="OMG77" s="2198"/>
      <c r="OMH77" s="2198"/>
      <c r="OMI77" s="2198"/>
      <c r="OMJ77" s="2198"/>
      <c r="OMK77" s="2198"/>
      <c r="OML77" s="2198"/>
      <c r="OMM77" s="2198"/>
      <c r="OMN77" s="2198"/>
      <c r="OMO77" s="2198"/>
      <c r="OMP77" s="2198"/>
      <c r="OMQ77" s="2198"/>
      <c r="OMR77" s="2198"/>
      <c r="OMS77" s="2198"/>
      <c r="OMT77" s="2198"/>
      <c r="OMU77" s="2198"/>
      <c r="OMV77" s="2198"/>
      <c r="OMW77" s="2198"/>
      <c r="OMX77" s="2198"/>
      <c r="OMY77" s="2198"/>
      <c r="OMZ77" s="2198"/>
      <c r="ONA77" s="2198"/>
      <c r="ONB77" s="2198"/>
      <c r="ONC77" s="2198"/>
      <c r="OND77" s="2198"/>
      <c r="ONE77" s="2198"/>
      <c r="ONF77" s="2198"/>
      <c r="ONG77" s="2198"/>
      <c r="ONH77" s="2198"/>
      <c r="ONI77" s="2198"/>
      <c r="ONJ77" s="2198"/>
      <c r="ONK77" s="2198"/>
      <c r="ONL77" s="2198"/>
      <c r="ONM77" s="2198"/>
      <c r="ONN77" s="2198"/>
      <c r="ONO77" s="2198"/>
      <c r="ONP77" s="2198"/>
      <c r="ONQ77" s="2198"/>
      <c r="ONR77" s="2198"/>
      <c r="ONS77" s="2198"/>
      <c r="ONT77" s="2198"/>
      <c r="ONU77" s="2198"/>
      <c r="ONV77" s="2198"/>
      <c r="ONW77" s="2198"/>
      <c r="ONX77" s="2198"/>
      <c r="ONY77" s="2198"/>
      <c r="ONZ77" s="2198"/>
      <c r="OOA77" s="2198"/>
      <c r="OOB77" s="2198"/>
      <c r="OOC77" s="2198"/>
      <c r="OOD77" s="2198"/>
      <c r="OOE77" s="2198"/>
      <c r="OOF77" s="2198"/>
      <c r="OOG77" s="2198"/>
      <c r="OOH77" s="2198"/>
      <c r="OOI77" s="2198"/>
      <c r="OOJ77" s="2198"/>
      <c r="OOK77" s="2198"/>
      <c r="OOL77" s="2198"/>
      <c r="OOM77" s="2198"/>
      <c r="OON77" s="2198"/>
      <c r="OOO77" s="2198"/>
      <c r="OOP77" s="2198"/>
      <c r="OOQ77" s="2198"/>
      <c r="OOR77" s="2198"/>
      <c r="OOS77" s="2198"/>
      <c r="OOT77" s="2198"/>
      <c r="OOU77" s="2198"/>
      <c r="OOV77" s="2198"/>
      <c r="OOW77" s="2198"/>
      <c r="OOX77" s="2198"/>
      <c r="OOY77" s="2198"/>
      <c r="OOZ77" s="2198"/>
      <c r="OPA77" s="2198"/>
      <c r="OPB77" s="2198"/>
      <c r="OPC77" s="2198"/>
      <c r="OPD77" s="2198"/>
      <c r="OPE77" s="2198"/>
      <c r="OPF77" s="2198"/>
      <c r="OPG77" s="2198"/>
      <c r="OPH77" s="2198"/>
      <c r="OPI77" s="2198"/>
      <c r="OPJ77" s="2198"/>
      <c r="OPK77" s="2198"/>
      <c r="OPL77" s="2198"/>
      <c r="OPM77" s="2198"/>
      <c r="OPN77" s="2198"/>
      <c r="OPO77" s="2198"/>
      <c r="OPP77" s="2198"/>
      <c r="OPQ77" s="2198"/>
      <c r="OPR77" s="2198"/>
      <c r="OPS77" s="2198"/>
      <c r="OPT77" s="2198"/>
      <c r="OPU77" s="2198"/>
      <c r="OPV77" s="2198"/>
      <c r="OPW77" s="2198"/>
      <c r="OPX77" s="2198"/>
      <c r="OPY77" s="2198"/>
      <c r="OPZ77" s="2198"/>
      <c r="OQA77" s="2198"/>
      <c r="OQB77" s="2198"/>
      <c r="OQC77" s="2198"/>
      <c r="OQD77" s="2198"/>
      <c r="OQE77" s="2198"/>
      <c r="OQF77" s="2198"/>
      <c r="OQG77" s="2198"/>
      <c r="OQH77" s="2198"/>
      <c r="OQI77" s="2198"/>
      <c r="OQJ77" s="2198"/>
      <c r="OQK77" s="2198"/>
      <c r="OQL77" s="2198"/>
      <c r="OQM77" s="2198"/>
      <c r="OQN77" s="2198"/>
      <c r="OQO77" s="2198"/>
      <c r="OQP77" s="2198"/>
      <c r="OQQ77" s="2198"/>
      <c r="OQR77" s="2198"/>
      <c r="OQS77" s="2198"/>
      <c r="OQT77" s="2198"/>
      <c r="OQU77" s="2198"/>
      <c r="OQV77" s="2198"/>
      <c r="OQW77" s="2198"/>
      <c r="OQX77" s="2198"/>
      <c r="OQY77" s="2198"/>
      <c r="OQZ77" s="2198"/>
      <c r="ORA77" s="2198"/>
      <c r="ORB77" s="2198"/>
      <c r="ORC77" s="2198"/>
      <c r="ORD77" s="2198"/>
      <c r="ORE77" s="2198"/>
      <c r="ORF77" s="2198"/>
      <c r="ORG77" s="2198"/>
      <c r="ORH77" s="2198"/>
      <c r="ORI77" s="2198"/>
      <c r="ORJ77" s="2198"/>
      <c r="ORK77" s="2198"/>
      <c r="ORL77" s="2198"/>
      <c r="ORM77" s="2198"/>
      <c r="ORN77" s="2198"/>
      <c r="ORO77" s="2198"/>
      <c r="ORP77" s="2198"/>
      <c r="ORQ77" s="2198"/>
      <c r="ORR77" s="2198"/>
      <c r="ORS77" s="2198"/>
      <c r="ORT77" s="2198"/>
      <c r="ORU77" s="2198"/>
      <c r="ORV77" s="2198"/>
      <c r="ORW77" s="2198"/>
      <c r="ORX77" s="2198"/>
      <c r="ORY77" s="2198"/>
      <c r="ORZ77" s="2198"/>
      <c r="OSA77" s="2198"/>
      <c r="OSB77" s="2198"/>
      <c r="OSC77" s="2198"/>
      <c r="OSD77" s="2198"/>
      <c r="OSE77" s="2198"/>
      <c r="OSF77" s="2198"/>
      <c r="OSG77" s="2198"/>
      <c r="OSH77" s="2198"/>
      <c r="OSI77" s="2198"/>
      <c r="OSJ77" s="2198"/>
      <c r="OSK77" s="2198"/>
      <c r="OSL77" s="2198"/>
      <c r="OSM77" s="2198"/>
      <c r="OSN77" s="2198"/>
      <c r="OSO77" s="2198"/>
      <c r="OSP77" s="2198"/>
      <c r="OSQ77" s="2198"/>
      <c r="OSR77" s="2198"/>
      <c r="OSS77" s="2198"/>
      <c r="OST77" s="2198"/>
      <c r="OSU77" s="2198"/>
      <c r="OSV77" s="2198"/>
      <c r="OSW77" s="2198"/>
      <c r="OSX77" s="2198"/>
      <c r="OSY77" s="2198"/>
      <c r="OSZ77" s="2198"/>
      <c r="OTA77" s="2198"/>
      <c r="OTB77" s="2198"/>
      <c r="OTC77" s="2198"/>
      <c r="OTD77" s="2198"/>
      <c r="OTE77" s="2198"/>
      <c r="OTF77" s="2198"/>
      <c r="OTG77" s="2198"/>
      <c r="OTH77" s="2198"/>
      <c r="OTI77" s="2198"/>
      <c r="OTJ77" s="2198"/>
      <c r="OTK77" s="2198"/>
      <c r="OTL77" s="2198"/>
      <c r="OTM77" s="2198"/>
      <c r="OTN77" s="2198"/>
      <c r="OTO77" s="2198"/>
      <c r="OTP77" s="2198"/>
      <c r="OTQ77" s="2198"/>
      <c r="OTR77" s="2198"/>
      <c r="OTS77" s="2198"/>
      <c r="OTT77" s="2198"/>
      <c r="OTU77" s="2198"/>
      <c r="OTV77" s="2198"/>
      <c r="OTW77" s="2198"/>
      <c r="OTX77" s="2198"/>
      <c r="OTY77" s="2198"/>
      <c r="OTZ77" s="2198"/>
      <c r="OUA77" s="2198"/>
      <c r="OUB77" s="2198"/>
      <c r="OUC77" s="2198"/>
      <c r="OUD77" s="2198"/>
      <c r="OUE77" s="2198"/>
      <c r="OUF77" s="2198"/>
      <c r="OUG77" s="2198"/>
      <c r="OUH77" s="2198"/>
      <c r="OUI77" s="2198"/>
      <c r="OUJ77" s="2198"/>
      <c r="OUK77" s="2198"/>
      <c r="OUL77" s="2198"/>
      <c r="OUM77" s="2198"/>
      <c r="OUN77" s="2198"/>
      <c r="OUO77" s="2198"/>
      <c r="OUP77" s="2198"/>
      <c r="OUQ77" s="2198"/>
      <c r="OUR77" s="2198"/>
      <c r="OUS77" s="2198"/>
      <c r="OUT77" s="2198"/>
      <c r="OUU77" s="2198"/>
      <c r="OUV77" s="2198"/>
      <c r="OUW77" s="2198"/>
      <c r="OUX77" s="2198"/>
      <c r="OUY77" s="2198"/>
      <c r="OUZ77" s="2198"/>
      <c r="OVA77" s="2198"/>
      <c r="OVB77" s="2198"/>
      <c r="OVC77" s="2198"/>
      <c r="OVD77" s="2198"/>
      <c r="OVE77" s="2198"/>
      <c r="OVF77" s="2198"/>
      <c r="OVG77" s="2198"/>
      <c r="OVH77" s="2198"/>
      <c r="OVI77" s="2198"/>
      <c r="OVJ77" s="2198"/>
      <c r="OVK77" s="2198"/>
      <c r="OVL77" s="2198"/>
      <c r="OVM77" s="2198"/>
      <c r="OVN77" s="2198"/>
      <c r="OVO77" s="2198"/>
      <c r="OVP77" s="2198"/>
      <c r="OVQ77" s="2198"/>
      <c r="OVR77" s="2198"/>
      <c r="OVS77" s="2198"/>
      <c r="OVT77" s="2198"/>
      <c r="OVU77" s="2198"/>
      <c r="OVV77" s="2198"/>
      <c r="OVW77" s="2198"/>
      <c r="OVX77" s="2198"/>
      <c r="OVY77" s="2198"/>
      <c r="OVZ77" s="2198"/>
      <c r="OWA77" s="2198"/>
      <c r="OWB77" s="2198"/>
      <c r="OWC77" s="2198"/>
      <c r="OWD77" s="2198"/>
      <c r="OWE77" s="2198"/>
      <c r="OWF77" s="2198"/>
      <c r="OWG77" s="2198"/>
      <c r="OWH77" s="2198"/>
      <c r="OWI77" s="2198"/>
      <c r="OWJ77" s="2198"/>
      <c r="OWK77" s="2198"/>
      <c r="OWL77" s="2198"/>
      <c r="OWM77" s="2198"/>
      <c r="OWN77" s="2198"/>
      <c r="OWO77" s="2198"/>
      <c r="OWP77" s="2198"/>
      <c r="OWQ77" s="2198"/>
      <c r="OWR77" s="2198"/>
      <c r="OWS77" s="2198"/>
      <c r="OWT77" s="2198"/>
      <c r="OWU77" s="2198"/>
      <c r="OWV77" s="2198"/>
      <c r="OWW77" s="2198"/>
      <c r="OWX77" s="2198"/>
      <c r="OWY77" s="2198"/>
      <c r="OWZ77" s="2198"/>
      <c r="OXA77" s="2198"/>
      <c r="OXB77" s="2198"/>
      <c r="OXC77" s="2198"/>
      <c r="OXD77" s="2198"/>
      <c r="OXE77" s="2198"/>
      <c r="OXF77" s="2198"/>
      <c r="OXG77" s="2198"/>
      <c r="OXH77" s="2198"/>
      <c r="OXI77" s="2198"/>
      <c r="OXJ77" s="2198"/>
      <c r="OXK77" s="2198"/>
      <c r="OXL77" s="2198"/>
      <c r="OXM77" s="2198"/>
      <c r="OXN77" s="2198"/>
      <c r="OXO77" s="2198"/>
      <c r="OXP77" s="2198"/>
      <c r="OXQ77" s="2198"/>
      <c r="OXR77" s="2198"/>
      <c r="OXS77" s="2198"/>
      <c r="OXT77" s="2198"/>
      <c r="OXU77" s="2198"/>
      <c r="OXV77" s="2198"/>
      <c r="OXW77" s="2198"/>
      <c r="OXX77" s="2198"/>
      <c r="OXY77" s="2198"/>
      <c r="OXZ77" s="2198"/>
      <c r="OYA77" s="2198"/>
      <c r="OYB77" s="2198"/>
      <c r="OYC77" s="2198"/>
      <c r="OYD77" s="2198"/>
      <c r="OYE77" s="2198"/>
      <c r="OYF77" s="2198"/>
      <c r="OYG77" s="2198"/>
      <c r="OYH77" s="2198"/>
      <c r="OYI77" s="2198"/>
      <c r="OYJ77" s="2198"/>
      <c r="OYK77" s="2198"/>
      <c r="OYL77" s="2198"/>
      <c r="OYM77" s="2198"/>
      <c r="OYN77" s="2198"/>
      <c r="OYO77" s="2198"/>
      <c r="OYP77" s="2198"/>
      <c r="OYQ77" s="2198"/>
      <c r="OYR77" s="2198"/>
      <c r="OYS77" s="2198"/>
      <c r="OYT77" s="2198"/>
      <c r="OYU77" s="2198"/>
      <c r="OYV77" s="2198"/>
      <c r="OYW77" s="2198"/>
      <c r="OYX77" s="2198"/>
      <c r="OYY77" s="2198"/>
      <c r="OYZ77" s="2198"/>
      <c r="OZA77" s="2198"/>
      <c r="OZB77" s="2198"/>
      <c r="OZC77" s="2198"/>
      <c r="OZD77" s="2198"/>
      <c r="OZE77" s="2198"/>
      <c r="OZF77" s="2198"/>
      <c r="OZG77" s="2198"/>
      <c r="OZH77" s="2198"/>
      <c r="OZI77" s="2198"/>
      <c r="OZJ77" s="2198"/>
      <c r="OZK77" s="2198"/>
      <c r="OZL77" s="2198"/>
      <c r="OZM77" s="2198"/>
      <c r="OZN77" s="2198"/>
      <c r="OZO77" s="2198"/>
      <c r="OZP77" s="2198"/>
      <c r="OZQ77" s="2198"/>
      <c r="OZR77" s="2198"/>
      <c r="OZS77" s="2198"/>
      <c r="OZT77" s="2198"/>
      <c r="OZU77" s="2198"/>
      <c r="OZV77" s="2198"/>
      <c r="OZW77" s="2198"/>
      <c r="OZX77" s="2198"/>
      <c r="OZY77" s="2198"/>
      <c r="OZZ77" s="2198"/>
      <c r="PAA77" s="2198"/>
      <c r="PAB77" s="2198"/>
      <c r="PAC77" s="2198"/>
      <c r="PAD77" s="2198"/>
      <c r="PAE77" s="2198"/>
      <c r="PAF77" s="2198"/>
      <c r="PAG77" s="2198"/>
      <c r="PAH77" s="2198"/>
      <c r="PAI77" s="2198"/>
      <c r="PAJ77" s="2198"/>
      <c r="PAK77" s="2198"/>
      <c r="PAL77" s="2198"/>
      <c r="PAM77" s="2198"/>
      <c r="PAN77" s="2198"/>
      <c r="PAO77" s="2198"/>
      <c r="PAP77" s="2198"/>
      <c r="PAQ77" s="2198"/>
      <c r="PAR77" s="2198"/>
      <c r="PAS77" s="2198"/>
      <c r="PAT77" s="2198"/>
      <c r="PAU77" s="2198"/>
      <c r="PAV77" s="2198"/>
      <c r="PAW77" s="2198"/>
      <c r="PAX77" s="2198"/>
      <c r="PAY77" s="2198"/>
      <c r="PAZ77" s="2198"/>
      <c r="PBA77" s="2198"/>
      <c r="PBB77" s="2198"/>
      <c r="PBC77" s="2198"/>
      <c r="PBD77" s="2198"/>
      <c r="PBE77" s="2198"/>
      <c r="PBF77" s="2198"/>
      <c r="PBG77" s="2198"/>
      <c r="PBH77" s="2198"/>
      <c r="PBI77" s="2198"/>
      <c r="PBJ77" s="2198"/>
      <c r="PBK77" s="2198"/>
      <c r="PBL77" s="2198"/>
      <c r="PBM77" s="2198"/>
      <c r="PBN77" s="2198"/>
      <c r="PBO77" s="2198"/>
      <c r="PBP77" s="2198"/>
      <c r="PBQ77" s="2198"/>
      <c r="PBR77" s="2198"/>
      <c r="PBS77" s="2198"/>
      <c r="PBT77" s="2198"/>
      <c r="PBU77" s="2198"/>
      <c r="PBV77" s="2198"/>
      <c r="PBW77" s="2198"/>
      <c r="PBX77" s="2198"/>
      <c r="PBY77" s="2198"/>
      <c r="PBZ77" s="2198"/>
      <c r="PCA77" s="2198"/>
      <c r="PCB77" s="2198"/>
      <c r="PCC77" s="2198"/>
      <c r="PCD77" s="2198"/>
      <c r="PCE77" s="2198"/>
      <c r="PCF77" s="2198"/>
      <c r="PCG77" s="2198"/>
      <c r="PCH77" s="2198"/>
      <c r="PCI77" s="2198"/>
      <c r="PCJ77" s="2198"/>
      <c r="PCK77" s="2198"/>
      <c r="PCL77" s="2198"/>
      <c r="PCM77" s="2198"/>
      <c r="PCN77" s="2198"/>
      <c r="PCO77" s="2198"/>
      <c r="PCP77" s="2198"/>
      <c r="PCQ77" s="2198"/>
      <c r="PCR77" s="2198"/>
      <c r="PCS77" s="2198"/>
      <c r="PCT77" s="2198"/>
      <c r="PCU77" s="2198"/>
      <c r="PCV77" s="2198"/>
      <c r="PCW77" s="2198"/>
      <c r="PCX77" s="2198"/>
      <c r="PCY77" s="2198"/>
      <c r="PCZ77" s="2198"/>
      <c r="PDA77" s="2198"/>
      <c r="PDB77" s="2198"/>
      <c r="PDC77" s="2198"/>
      <c r="PDD77" s="2198"/>
      <c r="PDE77" s="2198"/>
      <c r="PDF77" s="2198"/>
      <c r="PDG77" s="2198"/>
      <c r="PDH77" s="2198"/>
      <c r="PDI77" s="2198"/>
      <c r="PDJ77" s="2198"/>
      <c r="PDK77" s="2198"/>
      <c r="PDL77" s="2198"/>
      <c r="PDM77" s="2198"/>
      <c r="PDN77" s="2198"/>
      <c r="PDO77" s="2198"/>
      <c r="PDP77" s="2198"/>
      <c r="PDQ77" s="2198"/>
      <c r="PDR77" s="2198"/>
      <c r="PDS77" s="2198"/>
      <c r="PDT77" s="2198"/>
      <c r="PDU77" s="2198"/>
      <c r="PDV77" s="2198"/>
      <c r="PDW77" s="2198"/>
      <c r="PDX77" s="2198"/>
      <c r="PDY77" s="2198"/>
      <c r="PDZ77" s="2198"/>
      <c r="PEA77" s="2198"/>
      <c r="PEB77" s="2198"/>
      <c r="PEC77" s="2198"/>
      <c r="PED77" s="2198"/>
      <c r="PEE77" s="2198"/>
      <c r="PEF77" s="2198"/>
      <c r="PEG77" s="2198"/>
      <c r="PEH77" s="2198"/>
      <c r="PEI77" s="2198"/>
      <c r="PEJ77" s="2198"/>
      <c r="PEK77" s="2198"/>
      <c r="PEL77" s="2198"/>
      <c r="PEM77" s="2198"/>
      <c r="PEN77" s="2198"/>
      <c r="PEO77" s="2198"/>
      <c r="PEP77" s="2198"/>
      <c r="PEQ77" s="2198"/>
      <c r="PER77" s="2198"/>
      <c r="PES77" s="2198"/>
      <c r="PET77" s="2198"/>
      <c r="PEU77" s="2198"/>
      <c r="PEV77" s="2198"/>
      <c r="PEW77" s="2198"/>
      <c r="PEX77" s="2198"/>
      <c r="PEY77" s="2198"/>
      <c r="PEZ77" s="2198"/>
      <c r="PFA77" s="2198"/>
      <c r="PFB77" s="2198"/>
      <c r="PFC77" s="2198"/>
      <c r="PFD77" s="2198"/>
      <c r="PFE77" s="2198"/>
      <c r="PFF77" s="2198"/>
      <c r="PFG77" s="2198"/>
      <c r="PFH77" s="2198"/>
      <c r="PFI77" s="2198"/>
      <c r="PFJ77" s="2198"/>
      <c r="PFK77" s="2198"/>
      <c r="PFL77" s="2198"/>
      <c r="PFM77" s="2198"/>
      <c r="PFN77" s="2198"/>
      <c r="PFO77" s="2198"/>
      <c r="PFP77" s="2198"/>
      <c r="PFQ77" s="2198"/>
      <c r="PFR77" s="2198"/>
      <c r="PFS77" s="2198"/>
      <c r="PFT77" s="2198"/>
      <c r="PFU77" s="2198"/>
      <c r="PFV77" s="2198"/>
      <c r="PFW77" s="2198"/>
      <c r="PFX77" s="2198"/>
      <c r="PFY77" s="2198"/>
      <c r="PFZ77" s="2198"/>
      <c r="PGA77" s="2198"/>
      <c r="PGB77" s="2198"/>
      <c r="PGC77" s="2198"/>
      <c r="PGD77" s="2198"/>
      <c r="PGE77" s="2198"/>
      <c r="PGF77" s="2198"/>
      <c r="PGG77" s="2198"/>
      <c r="PGH77" s="2198"/>
      <c r="PGI77" s="2198"/>
      <c r="PGJ77" s="2198"/>
      <c r="PGK77" s="2198"/>
      <c r="PGL77" s="2198"/>
      <c r="PGM77" s="2198"/>
      <c r="PGN77" s="2198"/>
      <c r="PGO77" s="2198"/>
      <c r="PGP77" s="2198"/>
      <c r="PGQ77" s="2198"/>
      <c r="PGR77" s="2198"/>
      <c r="PGS77" s="2198"/>
      <c r="PGT77" s="2198"/>
      <c r="PGU77" s="2198"/>
      <c r="PGV77" s="2198"/>
      <c r="PGW77" s="2198"/>
      <c r="PGX77" s="2198"/>
      <c r="PGY77" s="2198"/>
      <c r="PGZ77" s="2198"/>
      <c r="PHA77" s="2198"/>
      <c r="PHB77" s="2198"/>
      <c r="PHC77" s="2198"/>
      <c r="PHD77" s="2198"/>
      <c r="PHE77" s="2198"/>
      <c r="PHF77" s="2198"/>
      <c r="PHG77" s="2198"/>
      <c r="PHH77" s="2198"/>
      <c r="PHI77" s="2198"/>
      <c r="PHJ77" s="2198"/>
      <c r="PHK77" s="2198"/>
      <c r="PHL77" s="2198"/>
      <c r="PHM77" s="2198"/>
      <c r="PHN77" s="2198"/>
      <c r="PHO77" s="2198"/>
      <c r="PHP77" s="2198"/>
      <c r="PHQ77" s="2198"/>
      <c r="PHR77" s="2198"/>
      <c r="PHS77" s="2198"/>
      <c r="PHT77" s="2198"/>
      <c r="PHU77" s="2198"/>
      <c r="PHV77" s="2198"/>
      <c r="PHW77" s="2198"/>
      <c r="PHX77" s="2198"/>
      <c r="PHY77" s="2198"/>
      <c r="PHZ77" s="2198"/>
      <c r="PIA77" s="2198"/>
      <c r="PIB77" s="2198"/>
      <c r="PIC77" s="2198"/>
      <c r="PID77" s="2198"/>
      <c r="PIE77" s="2198"/>
      <c r="PIF77" s="2198"/>
      <c r="PIG77" s="2198"/>
      <c r="PIH77" s="2198"/>
      <c r="PII77" s="2198"/>
      <c r="PIJ77" s="2198"/>
      <c r="PIK77" s="2198"/>
      <c r="PIL77" s="2198"/>
      <c r="PIM77" s="2198"/>
      <c r="PIN77" s="2198"/>
      <c r="PIO77" s="2198"/>
      <c r="PIP77" s="2198"/>
      <c r="PIQ77" s="2198"/>
      <c r="PIR77" s="2198"/>
      <c r="PIS77" s="2198"/>
      <c r="PIT77" s="2198"/>
      <c r="PIU77" s="2198"/>
      <c r="PIV77" s="2198"/>
      <c r="PIW77" s="2198"/>
      <c r="PIX77" s="2198"/>
      <c r="PIY77" s="2198"/>
      <c r="PIZ77" s="2198"/>
      <c r="PJA77" s="2198"/>
      <c r="PJB77" s="2198"/>
      <c r="PJC77" s="2198"/>
      <c r="PJD77" s="2198"/>
      <c r="PJE77" s="2198"/>
      <c r="PJF77" s="2198"/>
      <c r="PJG77" s="2198"/>
      <c r="PJH77" s="2198"/>
      <c r="PJI77" s="2198"/>
      <c r="PJJ77" s="2198"/>
      <c r="PJK77" s="2198"/>
      <c r="PJL77" s="2198"/>
      <c r="PJM77" s="2198"/>
      <c r="PJN77" s="2198"/>
      <c r="PJO77" s="2198"/>
      <c r="PJP77" s="2198"/>
      <c r="PJQ77" s="2198"/>
      <c r="PJR77" s="2198"/>
      <c r="PJS77" s="2198"/>
      <c r="PJT77" s="2198"/>
      <c r="PJU77" s="2198"/>
      <c r="PJV77" s="2198"/>
      <c r="PJW77" s="2198"/>
      <c r="PJX77" s="2198"/>
      <c r="PJY77" s="2198"/>
      <c r="PJZ77" s="2198"/>
      <c r="PKA77" s="2198"/>
      <c r="PKB77" s="2198"/>
      <c r="PKC77" s="2198"/>
      <c r="PKD77" s="2198"/>
      <c r="PKE77" s="2198"/>
      <c r="PKF77" s="2198"/>
      <c r="PKG77" s="2198"/>
      <c r="PKH77" s="2198"/>
      <c r="PKI77" s="2198"/>
      <c r="PKJ77" s="2198"/>
      <c r="PKK77" s="2198"/>
      <c r="PKL77" s="2198"/>
      <c r="PKM77" s="2198"/>
      <c r="PKN77" s="2198"/>
      <c r="PKO77" s="2198"/>
      <c r="PKP77" s="2198"/>
      <c r="PKQ77" s="2198"/>
      <c r="PKR77" s="2198"/>
      <c r="PKS77" s="2198"/>
      <c r="PKT77" s="2198"/>
      <c r="PKU77" s="2198"/>
      <c r="PKV77" s="2198"/>
      <c r="PKW77" s="2198"/>
      <c r="PKX77" s="2198"/>
      <c r="PKY77" s="2198"/>
      <c r="PKZ77" s="2198"/>
      <c r="PLA77" s="2198"/>
      <c r="PLB77" s="2198"/>
      <c r="PLC77" s="2198"/>
      <c r="PLD77" s="2198"/>
      <c r="PLE77" s="2198"/>
      <c r="PLF77" s="2198"/>
      <c r="PLG77" s="2198"/>
      <c r="PLH77" s="2198"/>
      <c r="PLI77" s="2198"/>
      <c r="PLJ77" s="2198"/>
      <c r="PLK77" s="2198"/>
      <c r="PLL77" s="2198"/>
      <c r="PLM77" s="2198"/>
      <c r="PLN77" s="2198"/>
      <c r="PLO77" s="2198"/>
      <c r="PLP77" s="2198"/>
      <c r="PLQ77" s="2198"/>
      <c r="PLR77" s="2198"/>
      <c r="PLS77" s="2198"/>
      <c r="PLT77" s="2198"/>
      <c r="PLU77" s="2198"/>
      <c r="PLV77" s="2198"/>
      <c r="PLW77" s="2198"/>
      <c r="PLX77" s="2198"/>
      <c r="PLY77" s="2198"/>
      <c r="PLZ77" s="2198"/>
      <c r="PMA77" s="2198"/>
      <c r="PMB77" s="2198"/>
      <c r="PMC77" s="2198"/>
      <c r="PMD77" s="2198"/>
      <c r="PME77" s="2198"/>
      <c r="PMF77" s="2198"/>
      <c r="PMG77" s="2198"/>
      <c r="PMH77" s="2198"/>
      <c r="PMI77" s="2198"/>
      <c r="PMJ77" s="2198"/>
      <c r="PMK77" s="2198"/>
      <c r="PML77" s="2198"/>
      <c r="PMM77" s="2198"/>
      <c r="PMN77" s="2198"/>
      <c r="PMO77" s="2198"/>
      <c r="PMP77" s="2198"/>
      <c r="PMQ77" s="2198"/>
      <c r="PMR77" s="2198"/>
      <c r="PMS77" s="2198"/>
      <c r="PMT77" s="2198"/>
      <c r="PMU77" s="2198"/>
      <c r="PMV77" s="2198"/>
      <c r="PMW77" s="2198"/>
      <c r="PMX77" s="2198"/>
      <c r="PMY77" s="2198"/>
      <c r="PMZ77" s="2198"/>
      <c r="PNA77" s="2198"/>
      <c r="PNB77" s="2198"/>
      <c r="PNC77" s="2198"/>
      <c r="PND77" s="2198"/>
      <c r="PNE77" s="2198"/>
      <c r="PNF77" s="2198"/>
      <c r="PNG77" s="2198"/>
      <c r="PNH77" s="2198"/>
      <c r="PNI77" s="2198"/>
      <c r="PNJ77" s="2198"/>
      <c r="PNK77" s="2198"/>
      <c r="PNL77" s="2198"/>
      <c r="PNM77" s="2198"/>
      <c r="PNN77" s="2198"/>
      <c r="PNO77" s="2198"/>
      <c r="PNP77" s="2198"/>
      <c r="PNQ77" s="2198"/>
      <c r="PNR77" s="2198"/>
      <c r="PNS77" s="2198"/>
      <c r="PNT77" s="2198"/>
      <c r="PNU77" s="2198"/>
      <c r="PNV77" s="2198"/>
      <c r="PNW77" s="2198"/>
      <c r="PNX77" s="2198"/>
      <c r="PNY77" s="2198"/>
      <c r="PNZ77" s="2198"/>
      <c r="POA77" s="2198"/>
      <c r="POB77" s="2198"/>
      <c r="POC77" s="2198"/>
      <c r="POD77" s="2198"/>
      <c r="POE77" s="2198"/>
      <c r="POF77" s="2198"/>
      <c r="POG77" s="2198"/>
      <c r="POH77" s="2198"/>
      <c r="POI77" s="2198"/>
      <c r="POJ77" s="2198"/>
      <c r="POK77" s="2198"/>
      <c r="POL77" s="2198"/>
      <c r="POM77" s="2198"/>
      <c r="PON77" s="2198"/>
      <c r="POO77" s="2198"/>
      <c r="POP77" s="2198"/>
      <c r="POQ77" s="2198"/>
      <c r="POR77" s="2198"/>
      <c r="POS77" s="2198"/>
      <c r="POT77" s="2198"/>
      <c r="POU77" s="2198"/>
      <c r="POV77" s="2198"/>
      <c r="POW77" s="2198"/>
      <c r="POX77" s="2198"/>
      <c r="POY77" s="2198"/>
      <c r="POZ77" s="2198"/>
      <c r="PPA77" s="2198"/>
      <c r="PPB77" s="2198"/>
      <c r="PPC77" s="2198"/>
      <c r="PPD77" s="2198"/>
      <c r="PPE77" s="2198"/>
      <c r="PPF77" s="2198"/>
      <c r="PPG77" s="2198"/>
      <c r="PPH77" s="2198"/>
      <c r="PPI77" s="2198"/>
      <c r="PPJ77" s="2198"/>
      <c r="PPK77" s="2198"/>
      <c r="PPL77" s="2198"/>
      <c r="PPM77" s="2198"/>
      <c r="PPN77" s="2198"/>
      <c r="PPO77" s="2198"/>
      <c r="PPP77" s="2198"/>
      <c r="PPQ77" s="2198"/>
      <c r="PPR77" s="2198"/>
      <c r="PPS77" s="2198"/>
      <c r="PPT77" s="2198"/>
      <c r="PPU77" s="2198"/>
      <c r="PPV77" s="2198"/>
      <c r="PPW77" s="2198"/>
      <c r="PPX77" s="2198"/>
      <c r="PPY77" s="2198"/>
      <c r="PPZ77" s="2198"/>
      <c r="PQA77" s="2198"/>
      <c r="PQB77" s="2198"/>
      <c r="PQC77" s="2198"/>
      <c r="PQD77" s="2198"/>
      <c r="PQE77" s="2198"/>
      <c r="PQF77" s="2198"/>
      <c r="PQG77" s="2198"/>
      <c r="PQH77" s="2198"/>
      <c r="PQI77" s="2198"/>
      <c r="PQJ77" s="2198"/>
      <c r="PQK77" s="2198"/>
      <c r="PQL77" s="2198"/>
      <c r="PQM77" s="2198"/>
      <c r="PQN77" s="2198"/>
      <c r="PQO77" s="2198"/>
      <c r="PQP77" s="2198"/>
      <c r="PQQ77" s="2198"/>
      <c r="PQR77" s="2198"/>
      <c r="PQS77" s="2198"/>
      <c r="PQT77" s="2198"/>
      <c r="PQU77" s="2198"/>
      <c r="PQV77" s="2198"/>
      <c r="PQW77" s="2198"/>
      <c r="PQX77" s="2198"/>
      <c r="PQY77" s="2198"/>
      <c r="PQZ77" s="2198"/>
      <c r="PRA77" s="2198"/>
      <c r="PRB77" s="2198"/>
      <c r="PRC77" s="2198"/>
      <c r="PRD77" s="2198"/>
      <c r="PRE77" s="2198"/>
      <c r="PRF77" s="2198"/>
      <c r="PRG77" s="2198"/>
      <c r="PRH77" s="2198"/>
      <c r="PRI77" s="2198"/>
      <c r="PRJ77" s="2198"/>
      <c r="PRK77" s="2198"/>
      <c r="PRL77" s="2198"/>
      <c r="PRM77" s="2198"/>
      <c r="PRN77" s="2198"/>
      <c r="PRO77" s="2198"/>
      <c r="PRP77" s="2198"/>
      <c r="PRQ77" s="2198"/>
      <c r="PRR77" s="2198"/>
      <c r="PRS77" s="2198"/>
      <c r="PRT77" s="2198"/>
      <c r="PRU77" s="2198"/>
      <c r="PRV77" s="2198"/>
      <c r="PRW77" s="2198"/>
      <c r="PRX77" s="2198"/>
      <c r="PRY77" s="2198"/>
      <c r="PRZ77" s="2198"/>
      <c r="PSA77" s="2198"/>
      <c r="PSB77" s="2198"/>
      <c r="PSC77" s="2198"/>
      <c r="PSD77" s="2198"/>
      <c r="PSE77" s="2198"/>
      <c r="PSF77" s="2198"/>
      <c r="PSG77" s="2198"/>
      <c r="PSH77" s="2198"/>
      <c r="PSI77" s="2198"/>
      <c r="PSJ77" s="2198"/>
      <c r="PSK77" s="2198"/>
      <c r="PSL77" s="2198"/>
      <c r="PSM77" s="2198"/>
      <c r="PSN77" s="2198"/>
      <c r="PSO77" s="2198"/>
      <c r="PSP77" s="2198"/>
      <c r="PSQ77" s="2198"/>
      <c r="PSR77" s="2198"/>
      <c r="PSS77" s="2198"/>
      <c r="PST77" s="2198"/>
      <c r="PSU77" s="2198"/>
      <c r="PSV77" s="2198"/>
      <c r="PSW77" s="2198"/>
      <c r="PSX77" s="2198"/>
      <c r="PSY77" s="2198"/>
      <c r="PSZ77" s="2198"/>
      <c r="PTA77" s="2198"/>
      <c r="PTB77" s="2198"/>
      <c r="PTC77" s="2198"/>
      <c r="PTD77" s="2198"/>
      <c r="PTE77" s="2198"/>
      <c r="PTF77" s="2198"/>
      <c r="PTG77" s="2198"/>
      <c r="PTH77" s="2198"/>
      <c r="PTI77" s="2198"/>
      <c r="PTJ77" s="2198"/>
      <c r="PTK77" s="2198"/>
      <c r="PTL77" s="2198"/>
      <c r="PTM77" s="2198"/>
      <c r="PTN77" s="2198"/>
      <c r="PTO77" s="2198"/>
      <c r="PTP77" s="2198"/>
      <c r="PTQ77" s="2198"/>
      <c r="PTR77" s="2198"/>
      <c r="PTS77" s="2198"/>
      <c r="PTT77" s="2198"/>
      <c r="PTU77" s="2198"/>
      <c r="PTV77" s="2198"/>
      <c r="PTW77" s="2198"/>
      <c r="PTX77" s="2198"/>
      <c r="PTY77" s="2198"/>
      <c r="PTZ77" s="2198"/>
      <c r="PUA77" s="2198"/>
      <c r="PUB77" s="2198"/>
      <c r="PUC77" s="2198"/>
      <c r="PUD77" s="2198"/>
      <c r="PUE77" s="2198"/>
      <c r="PUF77" s="2198"/>
      <c r="PUG77" s="2198"/>
      <c r="PUH77" s="2198"/>
      <c r="PUI77" s="2198"/>
      <c r="PUJ77" s="2198"/>
      <c r="PUK77" s="2198"/>
      <c r="PUL77" s="2198"/>
      <c r="PUM77" s="2198"/>
      <c r="PUN77" s="2198"/>
      <c r="PUO77" s="2198"/>
      <c r="PUP77" s="2198"/>
      <c r="PUQ77" s="2198"/>
      <c r="PUR77" s="2198"/>
      <c r="PUS77" s="2198"/>
      <c r="PUT77" s="2198"/>
      <c r="PUU77" s="2198"/>
      <c r="PUV77" s="2198"/>
      <c r="PUW77" s="2198"/>
      <c r="PUX77" s="2198"/>
      <c r="PUY77" s="2198"/>
      <c r="PUZ77" s="2198"/>
      <c r="PVA77" s="2198"/>
      <c r="PVB77" s="2198"/>
      <c r="PVC77" s="2198"/>
      <c r="PVD77" s="2198"/>
      <c r="PVE77" s="2198"/>
      <c r="PVF77" s="2198"/>
      <c r="PVG77" s="2198"/>
      <c r="PVH77" s="2198"/>
      <c r="PVI77" s="2198"/>
      <c r="PVJ77" s="2198"/>
      <c r="PVK77" s="2198"/>
      <c r="PVL77" s="2198"/>
      <c r="PVM77" s="2198"/>
      <c r="PVN77" s="2198"/>
      <c r="PVO77" s="2198"/>
      <c r="PVP77" s="2198"/>
      <c r="PVQ77" s="2198"/>
      <c r="PVR77" s="2198"/>
      <c r="PVS77" s="2198"/>
      <c r="PVT77" s="2198"/>
      <c r="PVU77" s="2198"/>
      <c r="PVV77" s="2198"/>
      <c r="PVW77" s="2198"/>
      <c r="PVX77" s="2198"/>
      <c r="PVY77" s="2198"/>
      <c r="PVZ77" s="2198"/>
      <c r="PWA77" s="2198"/>
      <c r="PWB77" s="2198"/>
      <c r="PWC77" s="2198"/>
      <c r="PWD77" s="2198"/>
      <c r="PWE77" s="2198"/>
      <c r="PWF77" s="2198"/>
      <c r="PWG77" s="2198"/>
      <c r="PWH77" s="2198"/>
      <c r="PWI77" s="2198"/>
      <c r="PWJ77" s="2198"/>
      <c r="PWK77" s="2198"/>
      <c r="PWL77" s="2198"/>
      <c r="PWM77" s="2198"/>
      <c r="PWN77" s="2198"/>
      <c r="PWO77" s="2198"/>
      <c r="PWP77" s="2198"/>
      <c r="PWQ77" s="2198"/>
      <c r="PWR77" s="2198"/>
      <c r="PWS77" s="2198"/>
      <c r="PWT77" s="2198"/>
      <c r="PWU77" s="2198"/>
      <c r="PWV77" s="2198"/>
      <c r="PWW77" s="2198"/>
      <c r="PWX77" s="2198"/>
      <c r="PWY77" s="2198"/>
      <c r="PWZ77" s="2198"/>
      <c r="PXA77" s="2198"/>
      <c r="PXB77" s="2198"/>
      <c r="PXC77" s="2198"/>
      <c r="PXD77" s="2198"/>
      <c r="PXE77" s="2198"/>
      <c r="PXF77" s="2198"/>
      <c r="PXG77" s="2198"/>
      <c r="PXH77" s="2198"/>
      <c r="PXI77" s="2198"/>
      <c r="PXJ77" s="2198"/>
      <c r="PXK77" s="2198"/>
      <c r="PXL77" s="2198"/>
      <c r="PXM77" s="2198"/>
      <c r="PXN77" s="2198"/>
      <c r="PXO77" s="2198"/>
      <c r="PXP77" s="2198"/>
      <c r="PXQ77" s="2198"/>
      <c r="PXR77" s="2198"/>
      <c r="PXS77" s="2198"/>
      <c r="PXT77" s="2198"/>
      <c r="PXU77" s="2198"/>
      <c r="PXV77" s="2198"/>
      <c r="PXW77" s="2198"/>
      <c r="PXX77" s="2198"/>
      <c r="PXY77" s="2198"/>
      <c r="PXZ77" s="2198"/>
      <c r="PYA77" s="2198"/>
      <c r="PYB77" s="2198"/>
      <c r="PYC77" s="2198"/>
      <c r="PYD77" s="2198"/>
      <c r="PYE77" s="2198"/>
      <c r="PYF77" s="2198"/>
      <c r="PYG77" s="2198"/>
      <c r="PYH77" s="2198"/>
      <c r="PYI77" s="2198"/>
      <c r="PYJ77" s="2198"/>
      <c r="PYK77" s="2198"/>
      <c r="PYL77" s="2198"/>
      <c r="PYM77" s="2198"/>
      <c r="PYN77" s="2198"/>
      <c r="PYO77" s="2198"/>
      <c r="PYP77" s="2198"/>
      <c r="PYQ77" s="2198"/>
      <c r="PYR77" s="2198"/>
      <c r="PYS77" s="2198"/>
      <c r="PYT77" s="2198"/>
      <c r="PYU77" s="2198"/>
      <c r="PYV77" s="2198"/>
      <c r="PYW77" s="2198"/>
      <c r="PYX77" s="2198"/>
      <c r="PYY77" s="2198"/>
      <c r="PYZ77" s="2198"/>
      <c r="PZA77" s="2198"/>
      <c r="PZB77" s="2198"/>
      <c r="PZC77" s="2198"/>
      <c r="PZD77" s="2198"/>
      <c r="PZE77" s="2198"/>
      <c r="PZF77" s="2198"/>
      <c r="PZG77" s="2198"/>
      <c r="PZH77" s="2198"/>
      <c r="PZI77" s="2198"/>
      <c r="PZJ77" s="2198"/>
      <c r="PZK77" s="2198"/>
      <c r="PZL77" s="2198"/>
      <c r="PZM77" s="2198"/>
      <c r="PZN77" s="2198"/>
      <c r="PZO77" s="2198"/>
      <c r="PZP77" s="2198"/>
      <c r="PZQ77" s="2198"/>
      <c r="PZR77" s="2198"/>
      <c r="PZS77" s="2198"/>
      <c r="PZT77" s="2198"/>
      <c r="PZU77" s="2198"/>
      <c r="PZV77" s="2198"/>
      <c r="PZW77" s="2198"/>
      <c r="PZX77" s="2198"/>
      <c r="PZY77" s="2198"/>
      <c r="PZZ77" s="2198"/>
      <c r="QAA77" s="2198"/>
      <c r="QAB77" s="2198"/>
      <c r="QAC77" s="2198"/>
      <c r="QAD77" s="2198"/>
      <c r="QAE77" s="2198"/>
      <c r="QAF77" s="2198"/>
      <c r="QAG77" s="2198"/>
      <c r="QAH77" s="2198"/>
      <c r="QAI77" s="2198"/>
      <c r="QAJ77" s="2198"/>
      <c r="QAK77" s="2198"/>
      <c r="QAL77" s="2198"/>
      <c r="QAM77" s="2198"/>
      <c r="QAN77" s="2198"/>
      <c r="QAO77" s="2198"/>
      <c r="QAP77" s="2198"/>
      <c r="QAQ77" s="2198"/>
      <c r="QAR77" s="2198"/>
      <c r="QAS77" s="2198"/>
      <c r="QAT77" s="2198"/>
      <c r="QAU77" s="2198"/>
      <c r="QAV77" s="2198"/>
      <c r="QAW77" s="2198"/>
      <c r="QAX77" s="2198"/>
      <c r="QAY77" s="2198"/>
      <c r="QAZ77" s="2198"/>
      <c r="QBA77" s="2198"/>
      <c r="QBB77" s="2198"/>
      <c r="QBC77" s="2198"/>
      <c r="QBD77" s="2198"/>
      <c r="QBE77" s="2198"/>
      <c r="QBF77" s="2198"/>
      <c r="QBG77" s="2198"/>
      <c r="QBH77" s="2198"/>
      <c r="QBI77" s="2198"/>
      <c r="QBJ77" s="2198"/>
      <c r="QBK77" s="2198"/>
      <c r="QBL77" s="2198"/>
      <c r="QBM77" s="2198"/>
      <c r="QBN77" s="2198"/>
      <c r="QBO77" s="2198"/>
      <c r="QBP77" s="2198"/>
      <c r="QBQ77" s="2198"/>
      <c r="QBR77" s="2198"/>
      <c r="QBS77" s="2198"/>
      <c r="QBT77" s="2198"/>
      <c r="QBU77" s="2198"/>
      <c r="QBV77" s="2198"/>
      <c r="QBW77" s="2198"/>
      <c r="QBX77" s="2198"/>
      <c r="QBY77" s="2198"/>
      <c r="QBZ77" s="2198"/>
      <c r="QCA77" s="2198"/>
      <c r="QCB77" s="2198"/>
      <c r="QCC77" s="2198"/>
      <c r="QCD77" s="2198"/>
      <c r="QCE77" s="2198"/>
      <c r="QCF77" s="2198"/>
      <c r="QCG77" s="2198"/>
      <c r="QCH77" s="2198"/>
      <c r="QCI77" s="2198"/>
      <c r="QCJ77" s="2198"/>
      <c r="QCK77" s="2198"/>
      <c r="QCL77" s="2198"/>
      <c r="QCM77" s="2198"/>
      <c r="QCN77" s="2198"/>
      <c r="QCO77" s="2198"/>
      <c r="QCP77" s="2198"/>
      <c r="QCQ77" s="2198"/>
      <c r="QCR77" s="2198"/>
      <c r="QCS77" s="2198"/>
      <c r="QCT77" s="2198"/>
      <c r="QCU77" s="2198"/>
      <c r="QCV77" s="2198"/>
      <c r="QCW77" s="2198"/>
      <c r="QCX77" s="2198"/>
      <c r="QCY77" s="2198"/>
      <c r="QCZ77" s="2198"/>
      <c r="QDA77" s="2198"/>
      <c r="QDB77" s="2198"/>
      <c r="QDC77" s="2198"/>
      <c r="QDD77" s="2198"/>
      <c r="QDE77" s="2198"/>
      <c r="QDF77" s="2198"/>
      <c r="QDG77" s="2198"/>
      <c r="QDH77" s="2198"/>
      <c r="QDI77" s="2198"/>
      <c r="QDJ77" s="2198"/>
      <c r="QDK77" s="2198"/>
      <c r="QDL77" s="2198"/>
      <c r="QDM77" s="2198"/>
      <c r="QDN77" s="2198"/>
      <c r="QDO77" s="2198"/>
      <c r="QDP77" s="2198"/>
      <c r="QDQ77" s="2198"/>
      <c r="QDR77" s="2198"/>
      <c r="QDS77" s="2198"/>
      <c r="QDT77" s="2198"/>
      <c r="QDU77" s="2198"/>
      <c r="QDV77" s="2198"/>
      <c r="QDW77" s="2198"/>
      <c r="QDX77" s="2198"/>
      <c r="QDY77" s="2198"/>
      <c r="QDZ77" s="2198"/>
      <c r="QEA77" s="2198"/>
      <c r="QEB77" s="2198"/>
      <c r="QEC77" s="2198"/>
      <c r="QED77" s="2198"/>
      <c r="QEE77" s="2198"/>
      <c r="QEF77" s="2198"/>
      <c r="QEG77" s="2198"/>
      <c r="QEH77" s="2198"/>
      <c r="QEI77" s="2198"/>
      <c r="QEJ77" s="2198"/>
      <c r="QEK77" s="2198"/>
      <c r="QEL77" s="2198"/>
      <c r="QEM77" s="2198"/>
      <c r="QEN77" s="2198"/>
      <c r="QEO77" s="2198"/>
      <c r="QEP77" s="2198"/>
      <c r="QEQ77" s="2198"/>
      <c r="QER77" s="2198"/>
      <c r="QES77" s="2198"/>
      <c r="QET77" s="2198"/>
      <c r="QEU77" s="2198"/>
      <c r="QEV77" s="2198"/>
      <c r="QEW77" s="2198"/>
      <c r="QEX77" s="2198"/>
      <c r="QEY77" s="2198"/>
      <c r="QEZ77" s="2198"/>
      <c r="QFA77" s="2198"/>
      <c r="QFB77" s="2198"/>
      <c r="QFC77" s="2198"/>
      <c r="QFD77" s="2198"/>
      <c r="QFE77" s="2198"/>
      <c r="QFF77" s="2198"/>
      <c r="QFG77" s="2198"/>
      <c r="QFH77" s="2198"/>
      <c r="QFI77" s="2198"/>
      <c r="QFJ77" s="2198"/>
      <c r="QFK77" s="2198"/>
      <c r="QFL77" s="2198"/>
      <c r="QFM77" s="2198"/>
      <c r="QFN77" s="2198"/>
      <c r="QFO77" s="2198"/>
      <c r="QFP77" s="2198"/>
      <c r="QFQ77" s="2198"/>
      <c r="QFR77" s="2198"/>
      <c r="QFS77" s="2198"/>
      <c r="QFT77" s="2198"/>
      <c r="QFU77" s="2198"/>
      <c r="QFV77" s="2198"/>
      <c r="QFW77" s="2198"/>
      <c r="QFX77" s="2198"/>
      <c r="QFY77" s="2198"/>
      <c r="QFZ77" s="2198"/>
      <c r="QGA77" s="2198"/>
      <c r="QGB77" s="2198"/>
      <c r="QGC77" s="2198"/>
      <c r="QGD77" s="2198"/>
      <c r="QGE77" s="2198"/>
      <c r="QGF77" s="2198"/>
      <c r="QGG77" s="2198"/>
      <c r="QGH77" s="2198"/>
      <c r="QGI77" s="2198"/>
      <c r="QGJ77" s="2198"/>
      <c r="QGK77" s="2198"/>
      <c r="QGL77" s="2198"/>
      <c r="QGM77" s="2198"/>
      <c r="QGN77" s="2198"/>
      <c r="QGO77" s="2198"/>
      <c r="QGP77" s="2198"/>
      <c r="QGQ77" s="2198"/>
      <c r="QGR77" s="2198"/>
      <c r="QGS77" s="2198"/>
      <c r="QGT77" s="2198"/>
      <c r="QGU77" s="2198"/>
      <c r="QGV77" s="2198"/>
      <c r="QGW77" s="2198"/>
      <c r="QGX77" s="2198"/>
      <c r="QGY77" s="2198"/>
      <c r="QGZ77" s="2198"/>
      <c r="QHA77" s="2198"/>
      <c r="QHB77" s="2198"/>
      <c r="QHC77" s="2198"/>
      <c r="QHD77" s="2198"/>
      <c r="QHE77" s="2198"/>
      <c r="QHF77" s="2198"/>
      <c r="QHG77" s="2198"/>
      <c r="QHH77" s="2198"/>
      <c r="QHI77" s="2198"/>
      <c r="QHJ77" s="2198"/>
      <c r="QHK77" s="2198"/>
      <c r="QHL77" s="2198"/>
      <c r="QHM77" s="2198"/>
      <c r="QHN77" s="2198"/>
      <c r="QHO77" s="2198"/>
      <c r="QHP77" s="2198"/>
      <c r="QHQ77" s="2198"/>
      <c r="QHR77" s="2198"/>
      <c r="QHS77" s="2198"/>
      <c r="QHT77" s="2198"/>
      <c r="QHU77" s="2198"/>
      <c r="QHV77" s="2198"/>
      <c r="QHW77" s="2198"/>
      <c r="QHX77" s="2198"/>
      <c r="QHY77" s="2198"/>
      <c r="QHZ77" s="2198"/>
      <c r="QIA77" s="2198"/>
      <c r="QIB77" s="2198"/>
      <c r="QIC77" s="2198"/>
      <c r="QID77" s="2198"/>
      <c r="QIE77" s="2198"/>
      <c r="QIF77" s="2198"/>
      <c r="QIG77" s="2198"/>
      <c r="QIH77" s="2198"/>
      <c r="QII77" s="2198"/>
      <c r="QIJ77" s="2198"/>
      <c r="QIK77" s="2198"/>
      <c r="QIL77" s="2198"/>
      <c r="QIM77" s="2198"/>
      <c r="QIN77" s="2198"/>
      <c r="QIO77" s="2198"/>
      <c r="QIP77" s="2198"/>
      <c r="QIQ77" s="2198"/>
      <c r="QIR77" s="2198"/>
      <c r="QIS77" s="2198"/>
      <c r="QIT77" s="2198"/>
      <c r="QIU77" s="2198"/>
      <c r="QIV77" s="2198"/>
      <c r="QIW77" s="2198"/>
      <c r="QIX77" s="2198"/>
      <c r="QIY77" s="2198"/>
      <c r="QIZ77" s="2198"/>
      <c r="QJA77" s="2198"/>
      <c r="QJB77" s="2198"/>
      <c r="QJC77" s="2198"/>
      <c r="QJD77" s="2198"/>
      <c r="QJE77" s="2198"/>
      <c r="QJF77" s="2198"/>
      <c r="QJG77" s="2198"/>
      <c r="QJH77" s="2198"/>
      <c r="QJI77" s="2198"/>
      <c r="QJJ77" s="2198"/>
      <c r="QJK77" s="2198"/>
      <c r="QJL77" s="2198"/>
      <c r="QJM77" s="2198"/>
      <c r="QJN77" s="2198"/>
      <c r="QJO77" s="2198"/>
      <c r="QJP77" s="2198"/>
      <c r="QJQ77" s="2198"/>
      <c r="QJR77" s="2198"/>
      <c r="QJS77" s="2198"/>
      <c r="QJT77" s="2198"/>
      <c r="QJU77" s="2198"/>
      <c r="QJV77" s="2198"/>
      <c r="QJW77" s="2198"/>
      <c r="QJX77" s="2198"/>
      <c r="QJY77" s="2198"/>
      <c r="QJZ77" s="2198"/>
      <c r="QKA77" s="2198"/>
      <c r="QKB77" s="2198"/>
      <c r="QKC77" s="2198"/>
      <c r="QKD77" s="2198"/>
      <c r="QKE77" s="2198"/>
      <c r="QKF77" s="2198"/>
      <c r="QKG77" s="2198"/>
      <c r="QKH77" s="2198"/>
      <c r="QKI77" s="2198"/>
      <c r="QKJ77" s="2198"/>
      <c r="QKK77" s="2198"/>
      <c r="QKL77" s="2198"/>
      <c r="QKM77" s="2198"/>
      <c r="QKN77" s="2198"/>
      <c r="QKO77" s="2198"/>
      <c r="QKP77" s="2198"/>
      <c r="QKQ77" s="2198"/>
      <c r="QKR77" s="2198"/>
      <c r="QKS77" s="2198"/>
      <c r="QKT77" s="2198"/>
      <c r="QKU77" s="2198"/>
      <c r="QKV77" s="2198"/>
      <c r="QKW77" s="2198"/>
      <c r="QKX77" s="2198"/>
      <c r="QKY77" s="2198"/>
      <c r="QKZ77" s="2198"/>
      <c r="QLA77" s="2198"/>
      <c r="QLB77" s="2198"/>
      <c r="QLC77" s="2198"/>
      <c r="QLD77" s="2198"/>
      <c r="QLE77" s="2198"/>
      <c r="QLF77" s="2198"/>
      <c r="QLG77" s="2198"/>
      <c r="QLH77" s="2198"/>
      <c r="QLI77" s="2198"/>
      <c r="QLJ77" s="2198"/>
      <c r="QLK77" s="2198"/>
      <c r="QLL77" s="2198"/>
      <c r="QLM77" s="2198"/>
      <c r="QLN77" s="2198"/>
      <c r="QLO77" s="2198"/>
      <c r="QLP77" s="2198"/>
      <c r="QLQ77" s="2198"/>
      <c r="QLR77" s="2198"/>
      <c r="QLS77" s="2198"/>
      <c r="QLT77" s="2198"/>
      <c r="QLU77" s="2198"/>
      <c r="QLV77" s="2198"/>
      <c r="QLW77" s="2198"/>
      <c r="QLX77" s="2198"/>
      <c r="QLY77" s="2198"/>
      <c r="QLZ77" s="2198"/>
      <c r="QMA77" s="2198"/>
      <c r="QMB77" s="2198"/>
      <c r="QMC77" s="2198"/>
      <c r="QMD77" s="2198"/>
      <c r="QME77" s="2198"/>
      <c r="QMF77" s="2198"/>
      <c r="QMG77" s="2198"/>
      <c r="QMH77" s="2198"/>
      <c r="QMI77" s="2198"/>
      <c r="QMJ77" s="2198"/>
      <c r="QMK77" s="2198"/>
      <c r="QML77" s="2198"/>
      <c r="QMM77" s="2198"/>
      <c r="QMN77" s="2198"/>
      <c r="QMO77" s="2198"/>
      <c r="QMP77" s="2198"/>
      <c r="QMQ77" s="2198"/>
      <c r="QMR77" s="2198"/>
      <c r="QMS77" s="2198"/>
      <c r="QMT77" s="2198"/>
      <c r="QMU77" s="2198"/>
      <c r="QMV77" s="2198"/>
      <c r="QMW77" s="2198"/>
      <c r="QMX77" s="2198"/>
      <c r="QMY77" s="2198"/>
      <c r="QMZ77" s="2198"/>
      <c r="QNA77" s="2198"/>
      <c r="QNB77" s="2198"/>
      <c r="QNC77" s="2198"/>
      <c r="QND77" s="2198"/>
      <c r="QNE77" s="2198"/>
      <c r="QNF77" s="2198"/>
      <c r="QNG77" s="2198"/>
      <c r="QNH77" s="2198"/>
      <c r="QNI77" s="2198"/>
      <c r="QNJ77" s="2198"/>
      <c r="QNK77" s="2198"/>
      <c r="QNL77" s="2198"/>
      <c r="QNM77" s="2198"/>
      <c r="QNN77" s="2198"/>
      <c r="QNO77" s="2198"/>
      <c r="QNP77" s="2198"/>
      <c r="QNQ77" s="2198"/>
      <c r="QNR77" s="2198"/>
      <c r="QNS77" s="2198"/>
      <c r="QNT77" s="2198"/>
      <c r="QNU77" s="2198"/>
      <c r="QNV77" s="2198"/>
      <c r="QNW77" s="2198"/>
      <c r="QNX77" s="2198"/>
      <c r="QNY77" s="2198"/>
      <c r="QNZ77" s="2198"/>
      <c r="QOA77" s="2198"/>
      <c r="QOB77" s="2198"/>
      <c r="QOC77" s="2198"/>
      <c r="QOD77" s="2198"/>
      <c r="QOE77" s="2198"/>
      <c r="QOF77" s="2198"/>
      <c r="QOG77" s="2198"/>
      <c r="QOH77" s="2198"/>
      <c r="QOI77" s="2198"/>
      <c r="QOJ77" s="2198"/>
      <c r="QOK77" s="2198"/>
      <c r="QOL77" s="2198"/>
      <c r="QOM77" s="2198"/>
      <c r="QON77" s="2198"/>
      <c r="QOO77" s="2198"/>
      <c r="QOP77" s="2198"/>
      <c r="QOQ77" s="2198"/>
      <c r="QOR77" s="2198"/>
      <c r="QOS77" s="2198"/>
      <c r="QOT77" s="2198"/>
      <c r="QOU77" s="2198"/>
      <c r="QOV77" s="2198"/>
      <c r="QOW77" s="2198"/>
      <c r="QOX77" s="2198"/>
      <c r="QOY77" s="2198"/>
      <c r="QOZ77" s="2198"/>
      <c r="QPA77" s="2198"/>
      <c r="QPB77" s="2198"/>
      <c r="QPC77" s="2198"/>
      <c r="QPD77" s="2198"/>
      <c r="QPE77" s="2198"/>
      <c r="QPF77" s="2198"/>
      <c r="QPG77" s="2198"/>
      <c r="QPH77" s="2198"/>
      <c r="QPI77" s="2198"/>
      <c r="QPJ77" s="2198"/>
      <c r="QPK77" s="2198"/>
      <c r="QPL77" s="2198"/>
      <c r="QPM77" s="2198"/>
      <c r="QPN77" s="2198"/>
      <c r="QPO77" s="2198"/>
      <c r="QPP77" s="2198"/>
      <c r="QPQ77" s="2198"/>
      <c r="QPR77" s="2198"/>
      <c r="QPS77" s="2198"/>
      <c r="QPT77" s="2198"/>
      <c r="QPU77" s="2198"/>
      <c r="QPV77" s="2198"/>
      <c r="QPW77" s="2198"/>
      <c r="QPX77" s="2198"/>
      <c r="QPY77" s="2198"/>
      <c r="QPZ77" s="2198"/>
      <c r="QQA77" s="2198"/>
      <c r="QQB77" s="2198"/>
      <c r="QQC77" s="2198"/>
      <c r="QQD77" s="2198"/>
      <c r="QQE77" s="2198"/>
      <c r="QQF77" s="2198"/>
      <c r="QQG77" s="2198"/>
      <c r="QQH77" s="2198"/>
      <c r="QQI77" s="2198"/>
      <c r="QQJ77" s="2198"/>
      <c r="QQK77" s="2198"/>
      <c r="QQL77" s="2198"/>
      <c r="QQM77" s="2198"/>
      <c r="QQN77" s="2198"/>
      <c r="QQO77" s="2198"/>
      <c r="QQP77" s="2198"/>
      <c r="QQQ77" s="2198"/>
      <c r="QQR77" s="2198"/>
      <c r="QQS77" s="2198"/>
      <c r="QQT77" s="2198"/>
      <c r="QQU77" s="2198"/>
      <c r="QQV77" s="2198"/>
      <c r="QQW77" s="2198"/>
      <c r="QQX77" s="2198"/>
      <c r="QQY77" s="2198"/>
      <c r="QQZ77" s="2198"/>
      <c r="QRA77" s="2198"/>
      <c r="QRB77" s="2198"/>
      <c r="QRC77" s="2198"/>
      <c r="QRD77" s="2198"/>
      <c r="QRE77" s="2198"/>
      <c r="QRF77" s="2198"/>
      <c r="QRG77" s="2198"/>
      <c r="QRH77" s="2198"/>
      <c r="QRI77" s="2198"/>
      <c r="QRJ77" s="2198"/>
      <c r="QRK77" s="2198"/>
      <c r="QRL77" s="2198"/>
      <c r="QRM77" s="2198"/>
      <c r="QRN77" s="2198"/>
      <c r="QRO77" s="2198"/>
      <c r="QRP77" s="2198"/>
      <c r="QRQ77" s="2198"/>
      <c r="QRR77" s="2198"/>
      <c r="QRS77" s="2198"/>
      <c r="QRT77" s="2198"/>
      <c r="QRU77" s="2198"/>
      <c r="QRV77" s="2198"/>
      <c r="QRW77" s="2198"/>
      <c r="QRX77" s="2198"/>
      <c r="QRY77" s="2198"/>
      <c r="QRZ77" s="2198"/>
      <c r="QSA77" s="2198"/>
      <c r="QSB77" s="2198"/>
      <c r="QSC77" s="2198"/>
      <c r="QSD77" s="2198"/>
      <c r="QSE77" s="2198"/>
      <c r="QSF77" s="2198"/>
      <c r="QSG77" s="2198"/>
      <c r="QSH77" s="2198"/>
      <c r="QSI77" s="2198"/>
      <c r="QSJ77" s="2198"/>
      <c r="QSK77" s="2198"/>
      <c r="QSL77" s="2198"/>
      <c r="QSM77" s="2198"/>
      <c r="QSN77" s="2198"/>
      <c r="QSO77" s="2198"/>
      <c r="QSP77" s="2198"/>
      <c r="QSQ77" s="2198"/>
      <c r="QSR77" s="2198"/>
      <c r="QSS77" s="2198"/>
      <c r="QST77" s="2198"/>
      <c r="QSU77" s="2198"/>
      <c r="QSV77" s="2198"/>
      <c r="QSW77" s="2198"/>
      <c r="QSX77" s="2198"/>
      <c r="QSY77" s="2198"/>
      <c r="QSZ77" s="2198"/>
      <c r="QTA77" s="2198"/>
      <c r="QTB77" s="2198"/>
      <c r="QTC77" s="2198"/>
      <c r="QTD77" s="2198"/>
      <c r="QTE77" s="2198"/>
      <c r="QTF77" s="2198"/>
      <c r="QTG77" s="2198"/>
      <c r="QTH77" s="2198"/>
      <c r="QTI77" s="2198"/>
      <c r="QTJ77" s="2198"/>
      <c r="QTK77" s="2198"/>
      <c r="QTL77" s="2198"/>
      <c r="QTM77" s="2198"/>
      <c r="QTN77" s="2198"/>
      <c r="QTO77" s="2198"/>
      <c r="QTP77" s="2198"/>
      <c r="QTQ77" s="2198"/>
      <c r="QTR77" s="2198"/>
      <c r="QTS77" s="2198"/>
      <c r="QTT77" s="2198"/>
      <c r="QTU77" s="2198"/>
      <c r="QTV77" s="2198"/>
      <c r="QTW77" s="2198"/>
      <c r="QTX77" s="2198"/>
      <c r="QTY77" s="2198"/>
      <c r="QTZ77" s="2198"/>
      <c r="QUA77" s="2198"/>
      <c r="QUB77" s="2198"/>
      <c r="QUC77" s="2198"/>
      <c r="QUD77" s="2198"/>
      <c r="QUE77" s="2198"/>
      <c r="QUF77" s="2198"/>
      <c r="QUG77" s="2198"/>
      <c r="QUH77" s="2198"/>
      <c r="QUI77" s="2198"/>
      <c r="QUJ77" s="2198"/>
      <c r="QUK77" s="2198"/>
      <c r="QUL77" s="2198"/>
      <c r="QUM77" s="2198"/>
      <c r="QUN77" s="2198"/>
      <c r="QUO77" s="2198"/>
      <c r="QUP77" s="2198"/>
      <c r="QUQ77" s="2198"/>
      <c r="QUR77" s="2198"/>
      <c r="QUS77" s="2198"/>
      <c r="QUT77" s="2198"/>
      <c r="QUU77" s="2198"/>
      <c r="QUV77" s="2198"/>
      <c r="QUW77" s="2198"/>
      <c r="QUX77" s="2198"/>
      <c r="QUY77" s="2198"/>
      <c r="QUZ77" s="2198"/>
      <c r="QVA77" s="2198"/>
      <c r="QVB77" s="2198"/>
      <c r="QVC77" s="2198"/>
      <c r="QVD77" s="2198"/>
      <c r="QVE77" s="2198"/>
      <c r="QVF77" s="2198"/>
      <c r="QVG77" s="2198"/>
      <c r="QVH77" s="2198"/>
      <c r="QVI77" s="2198"/>
      <c r="QVJ77" s="2198"/>
      <c r="QVK77" s="2198"/>
      <c r="QVL77" s="2198"/>
      <c r="QVM77" s="2198"/>
      <c r="QVN77" s="2198"/>
      <c r="QVO77" s="2198"/>
      <c r="QVP77" s="2198"/>
      <c r="QVQ77" s="2198"/>
      <c r="QVR77" s="2198"/>
      <c r="QVS77" s="2198"/>
      <c r="QVT77" s="2198"/>
      <c r="QVU77" s="2198"/>
      <c r="QVV77" s="2198"/>
      <c r="QVW77" s="2198"/>
      <c r="QVX77" s="2198"/>
      <c r="QVY77" s="2198"/>
      <c r="QVZ77" s="2198"/>
      <c r="QWA77" s="2198"/>
      <c r="QWB77" s="2198"/>
      <c r="QWC77" s="2198"/>
      <c r="QWD77" s="2198"/>
      <c r="QWE77" s="2198"/>
      <c r="QWF77" s="2198"/>
      <c r="QWG77" s="2198"/>
      <c r="QWH77" s="2198"/>
      <c r="QWI77" s="2198"/>
      <c r="QWJ77" s="2198"/>
      <c r="QWK77" s="2198"/>
      <c r="QWL77" s="2198"/>
      <c r="QWM77" s="2198"/>
      <c r="QWN77" s="2198"/>
      <c r="QWO77" s="2198"/>
      <c r="QWP77" s="2198"/>
      <c r="QWQ77" s="2198"/>
      <c r="QWR77" s="2198"/>
      <c r="QWS77" s="2198"/>
      <c r="QWT77" s="2198"/>
      <c r="QWU77" s="2198"/>
      <c r="QWV77" s="2198"/>
      <c r="QWW77" s="2198"/>
      <c r="QWX77" s="2198"/>
      <c r="QWY77" s="2198"/>
      <c r="QWZ77" s="2198"/>
      <c r="QXA77" s="2198"/>
      <c r="QXB77" s="2198"/>
      <c r="QXC77" s="2198"/>
      <c r="QXD77" s="2198"/>
      <c r="QXE77" s="2198"/>
      <c r="QXF77" s="2198"/>
      <c r="QXG77" s="2198"/>
      <c r="QXH77" s="2198"/>
      <c r="QXI77" s="2198"/>
      <c r="QXJ77" s="2198"/>
      <c r="QXK77" s="2198"/>
      <c r="QXL77" s="2198"/>
      <c r="QXM77" s="2198"/>
      <c r="QXN77" s="2198"/>
      <c r="QXO77" s="2198"/>
      <c r="QXP77" s="2198"/>
      <c r="QXQ77" s="2198"/>
      <c r="QXR77" s="2198"/>
      <c r="QXS77" s="2198"/>
      <c r="QXT77" s="2198"/>
      <c r="QXU77" s="2198"/>
      <c r="QXV77" s="2198"/>
      <c r="QXW77" s="2198"/>
      <c r="QXX77" s="2198"/>
      <c r="QXY77" s="2198"/>
      <c r="QXZ77" s="2198"/>
      <c r="QYA77" s="2198"/>
      <c r="QYB77" s="2198"/>
      <c r="QYC77" s="2198"/>
      <c r="QYD77" s="2198"/>
      <c r="QYE77" s="2198"/>
      <c r="QYF77" s="2198"/>
      <c r="QYG77" s="2198"/>
      <c r="QYH77" s="2198"/>
      <c r="QYI77" s="2198"/>
      <c r="QYJ77" s="2198"/>
      <c r="QYK77" s="2198"/>
      <c r="QYL77" s="2198"/>
      <c r="QYM77" s="2198"/>
      <c r="QYN77" s="2198"/>
      <c r="QYO77" s="2198"/>
      <c r="QYP77" s="2198"/>
      <c r="QYQ77" s="2198"/>
      <c r="QYR77" s="2198"/>
      <c r="QYS77" s="2198"/>
      <c r="QYT77" s="2198"/>
      <c r="QYU77" s="2198"/>
      <c r="QYV77" s="2198"/>
      <c r="QYW77" s="2198"/>
      <c r="QYX77" s="2198"/>
      <c r="QYY77" s="2198"/>
      <c r="QYZ77" s="2198"/>
      <c r="QZA77" s="2198"/>
      <c r="QZB77" s="2198"/>
      <c r="QZC77" s="2198"/>
      <c r="QZD77" s="2198"/>
      <c r="QZE77" s="2198"/>
      <c r="QZF77" s="2198"/>
      <c r="QZG77" s="2198"/>
      <c r="QZH77" s="2198"/>
      <c r="QZI77" s="2198"/>
      <c r="QZJ77" s="2198"/>
      <c r="QZK77" s="2198"/>
      <c r="QZL77" s="2198"/>
      <c r="QZM77" s="2198"/>
      <c r="QZN77" s="2198"/>
      <c r="QZO77" s="2198"/>
      <c r="QZP77" s="2198"/>
      <c r="QZQ77" s="2198"/>
      <c r="QZR77" s="2198"/>
      <c r="QZS77" s="2198"/>
      <c r="QZT77" s="2198"/>
      <c r="QZU77" s="2198"/>
      <c r="QZV77" s="2198"/>
      <c r="QZW77" s="2198"/>
      <c r="QZX77" s="2198"/>
      <c r="QZY77" s="2198"/>
      <c r="QZZ77" s="2198"/>
      <c r="RAA77" s="2198"/>
      <c r="RAB77" s="2198"/>
      <c r="RAC77" s="2198"/>
      <c r="RAD77" s="2198"/>
      <c r="RAE77" s="2198"/>
      <c r="RAF77" s="2198"/>
      <c r="RAG77" s="2198"/>
      <c r="RAH77" s="2198"/>
      <c r="RAI77" s="2198"/>
      <c r="RAJ77" s="2198"/>
      <c r="RAK77" s="2198"/>
      <c r="RAL77" s="2198"/>
      <c r="RAM77" s="2198"/>
      <c r="RAN77" s="2198"/>
      <c r="RAO77" s="2198"/>
      <c r="RAP77" s="2198"/>
      <c r="RAQ77" s="2198"/>
      <c r="RAR77" s="2198"/>
      <c r="RAS77" s="2198"/>
      <c r="RAT77" s="2198"/>
      <c r="RAU77" s="2198"/>
      <c r="RAV77" s="2198"/>
      <c r="RAW77" s="2198"/>
      <c r="RAX77" s="2198"/>
      <c r="RAY77" s="2198"/>
      <c r="RAZ77" s="2198"/>
      <c r="RBA77" s="2198"/>
      <c r="RBB77" s="2198"/>
      <c r="RBC77" s="2198"/>
      <c r="RBD77" s="2198"/>
      <c r="RBE77" s="2198"/>
      <c r="RBF77" s="2198"/>
      <c r="RBG77" s="2198"/>
      <c r="RBH77" s="2198"/>
      <c r="RBI77" s="2198"/>
      <c r="RBJ77" s="2198"/>
      <c r="RBK77" s="2198"/>
      <c r="RBL77" s="2198"/>
      <c r="RBM77" s="2198"/>
      <c r="RBN77" s="2198"/>
      <c r="RBO77" s="2198"/>
      <c r="RBP77" s="2198"/>
      <c r="RBQ77" s="2198"/>
      <c r="RBR77" s="2198"/>
      <c r="RBS77" s="2198"/>
      <c r="RBT77" s="2198"/>
      <c r="RBU77" s="2198"/>
      <c r="RBV77" s="2198"/>
      <c r="RBW77" s="2198"/>
      <c r="RBX77" s="2198"/>
      <c r="RBY77" s="2198"/>
      <c r="RBZ77" s="2198"/>
      <c r="RCA77" s="2198"/>
      <c r="RCB77" s="2198"/>
      <c r="RCC77" s="2198"/>
      <c r="RCD77" s="2198"/>
      <c r="RCE77" s="2198"/>
      <c r="RCF77" s="2198"/>
      <c r="RCG77" s="2198"/>
      <c r="RCH77" s="2198"/>
      <c r="RCI77" s="2198"/>
      <c r="RCJ77" s="2198"/>
      <c r="RCK77" s="2198"/>
      <c r="RCL77" s="2198"/>
      <c r="RCM77" s="2198"/>
      <c r="RCN77" s="2198"/>
      <c r="RCO77" s="2198"/>
      <c r="RCP77" s="2198"/>
      <c r="RCQ77" s="2198"/>
      <c r="RCR77" s="2198"/>
      <c r="RCS77" s="2198"/>
      <c r="RCT77" s="2198"/>
      <c r="RCU77" s="2198"/>
      <c r="RCV77" s="2198"/>
      <c r="RCW77" s="2198"/>
      <c r="RCX77" s="2198"/>
      <c r="RCY77" s="2198"/>
      <c r="RCZ77" s="2198"/>
      <c r="RDA77" s="2198"/>
      <c r="RDB77" s="2198"/>
      <c r="RDC77" s="2198"/>
      <c r="RDD77" s="2198"/>
      <c r="RDE77" s="2198"/>
      <c r="RDF77" s="2198"/>
      <c r="RDG77" s="2198"/>
      <c r="RDH77" s="2198"/>
      <c r="RDI77" s="2198"/>
      <c r="RDJ77" s="2198"/>
      <c r="RDK77" s="2198"/>
      <c r="RDL77" s="2198"/>
      <c r="RDM77" s="2198"/>
      <c r="RDN77" s="2198"/>
      <c r="RDO77" s="2198"/>
      <c r="RDP77" s="2198"/>
      <c r="RDQ77" s="2198"/>
      <c r="RDR77" s="2198"/>
      <c r="RDS77" s="2198"/>
      <c r="RDT77" s="2198"/>
      <c r="RDU77" s="2198"/>
      <c r="RDV77" s="2198"/>
      <c r="RDW77" s="2198"/>
      <c r="RDX77" s="2198"/>
      <c r="RDY77" s="2198"/>
      <c r="RDZ77" s="2198"/>
      <c r="REA77" s="2198"/>
      <c r="REB77" s="2198"/>
      <c r="REC77" s="2198"/>
      <c r="RED77" s="2198"/>
      <c r="REE77" s="2198"/>
      <c r="REF77" s="2198"/>
      <c r="REG77" s="2198"/>
      <c r="REH77" s="2198"/>
      <c r="REI77" s="2198"/>
      <c r="REJ77" s="2198"/>
      <c r="REK77" s="2198"/>
      <c r="REL77" s="2198"/>
      <c r="REM77" s="2198"/>
      <c r="REN77" s="2198"/>
      <c r="REO77" s="2198"/>
      <c r="REP77" s="2198"/>
      <c r="REQ77" s="2198"/>
      <c r="RER77" s="2198"/>
      <c r="RES77" s="2198"/>
      <c r="RET77" s="2198"/>
      <c r="REU77" s="2198"/>
      <c r="REV77" s="2198"/>
      <c r="REW77" s="2198"/>
      <c r="REX77" s="2198"/>
      <c r="REY77" s="2198"/>
      <c r="REZ77" s="2198"/>
      <c r="RFA77" s="2198"/>
      <c r="RFB77" s="2198"/>
      <c r="RFC77" s="2198"/>
      <c r="RFD77" s="2198"/>
      <c r="RFE77" s="2198"/>
      <c r="RFF77" s="2198"/>
      <c r="RFG77" s="2198"/>
      <c r="RFH77" s="2198"/>
      <c r="RFI77" s="2198"/>
      <c r="RFJ77" s="2198"/>
      <c r="RFK77" s="2198"/>
      <c r="RFL77" s="2198"/>
      <c r="RFM77" s="2198"/>
      <c r="RFN77" s="2198"/>
      <c r="RFO77" s="2198"/>
      <c r="RFP77" s="2198"/>
      <c r="RFQ77" s="2198"/>
      <c r="RFR77" s="2198"/>
      <c r="RFS77" s="2198"/>
      <c r="RFT77" s="2198"/>
      <c r="RFU77" s="2198"/>
      <c r="RFV77" s="2198"/>
      <c r="RFW77" s="2198"/>
      <c r="RFX77" s="2198"/>
      <c r="RFY77" s="2198"/>
      <c r="RFZ77" s="2198"/>
      <c r="RGA77" s="2198"/>
      <c r="RGB77" s="2198"/>
      <c r="RGC77" s="2198"/>
      <c r="RGD77" s="2198"/>
      <c r="RGE77" s="2198"/>
      <c r="RGF77" s="2198"/>
      <c r="RGG77" s="2198"/>
      <c r="RGH77" s="2198"/>
      <c r="RGI77" s="2198"/>
      <c r="RGJ77" s="2198"/>
      <c r="RGK77" s="2198"/>
      <c r="RGL77" s="2198"/>
      <c r="RGM77" s="2198"/>
      <c r="RGN77" s="2198"/>
      <c r="RGO77" s="2198"/>
      <c r="RGP77" s="2198"/>
      <c r="RGQ77" s="2198"/>
      <c r="RGR77" s="2198"/>
      <c r="RGS77" s="2198"/>
      <c r="RGT77" s="2198"/>
      <c r="RGU77" s="2198"/>
      <c r="RGV77" s="2198"/>
      <c r="RGW77" s="2198"/>
      <c r="RGX77" s="2198"/>
      <c r="RGY77" s="2198"/>
      <c r="RGZ77" s="2198"/>
      <c r="RHA77" s="2198"/>
      <c r="RHB77" s="2198"/>
      <c r="RHC77" s="2198"/>
      <c r="RHD77" s="2198"/>
      <c r="RHE77" s="2198"/>
      <c r="RHF77" s="2198"/>
      <c r="RHG77" s="2198"/>
      <c r="RHH77" s="2198"/>
      <c r="RHI77" s="2198"/>
      <c r="RHJ77" s="2198"/>
      <c r="RHK77" s="2198"/>
      <c r="RHL77" s="2198"/>
      <c r="RHM77" s="2198"/>
      <c r="RHN77" s="2198"/>
      <c r="RHO77" s="2198"/>
      <c r="RHP77" s="2198"/>
      <c r="RHQ77" s="2198"/>
      <c r="RHR77" s="2198"/>
      <c r="RHS77" s="2198"/>
      <c r="RHT77" s="2198"/>
      <c r="RHU77" s="2198"/>
      <c r="RHV77" s="2198"/>
      <c r="RHW77" s="2198"/>
      <c r="RHX77" s="2198"/>
      <c r="RHY77" s="2198"/>
      <c r="RHZ77" s="2198"/>
      <c r="RIA77" s="2198"/>
      <c r="RIB77" s="2198"/>
      <c r="RIC77" s="2198"/>
      <c r="RID77" s="2198"/>
      <c r="RIE77" s="2198"/>
      <c r="RIF77" s="2198"/>
      <c r="RIG77" s="2198"/>
      <c r="RIH77" s="2198"/>
      <c r="RII77" s="2198"/>
      <c r="RIJ77" s="2198"/>
      <c r="RIK77" s="2198"/>
      <c r="RIL77" s="2198"/>
      <c r="RIM77" s="2198"/>
      <c r="RIN77" s="2198"/>
      <c r="RIO77" s="2198"/>
      <c r="RIP77" s="2198"/>
      <c r="RIQ77" s="2198"/>
      <c r="RIR77" s="2198"/>
      <c r="RIS77" s="2198"/>
      <c r="RIT77" s="2198"/>
      <c r="RIU77" s="2198"/>
      <c r="RIV77" s="2198"/>
      <c r="RIW77" s="2198"/>
      <c r="RIX77" s="2198"/>
      <c r="RIY77" s="2198"/>
      <c r="RIZ77" s="2198"/>
      <c r="RJA77" s="2198"/>
      <c r="RJB77" s="2198"/>
      <c r="RJC77" s="2198"/>
      <c r="RJD77" s="2198"/>
      <c r="RJE77" s="2198"/>
      <c r="RJF77" s="2198"/>
      <c r="RJG77" s="2198"/>
      <c r="RJH77" s="2198"/>
      <c r="RJI77" s="2198"/>
      <c r="RJJ77" s="2198"/>
      <c r="RJK77" s="2198"/>
      <c r="RJL77" s="2198"/>
      <c r="RJM77" s="2198"/>
      <c r="RJN77" s="2198"/>
      <c r="RJO77" s="2198"/>
      <c r="RJP77" s="2198"/>
      <c r="RJQ77" s="2198"/>
      <c r="RJR77" s="2198"/>
      <c r="RJS77" s="2198"/>
      <c r="RJT77" s="2198"/>
      <c r="RJU77" s="2198"/>
      <c r="RJV77" s="2198"/>
      <c r="RJW77" s="2198"/>
      <c r="RJX77" s="2198"/>
      <c r="RJY77" s="2198"/>
      <c r="RJZ77" s="2198"/>
      <c r="RKA77" s="2198"/>
      <c r="RKB77" s="2198"/>
      <c r="RKC77" s="2198"/>
      <c r="RKD77" s="2198"/>
      <c r="RKE77" s="2198"/>
      <c r="RKF77" s="2198"/>
      <c r="RKG77" s="2198"/>
      <c r="RKH77" s="2198"/>
      <c r="RKI77" s="2198"/>
      <c r="RKJ77" s="2198"/>
      <c r="RKK77" s="2198"/>
      <c r="RKL77" s="2198"/>
      <c r="RKM77" s="2198"/>
      <c r="RKN77" s="2198"/>
      <c r="RKO77" s="2198"/>
      <c r="RKP77" s="2198"/>
      <c r="RKQ77" s="2198"/>
      <c r="RKR77" s="2198"/>
      <c r="RKS77" s="2198"/>
      <c r="RKT77" s="2198"/>
      <c r="RKU77" s="2198"/>
      <c r="RKV77" s="2198"/>
      <c r="RKW77" s="2198"/>
      <c r="RKX77" s="2198"/>
      <c r="RKY77" s="2198"/>
      <c r="RKZ77" s="2198"/>
      <c r="RLA77" s="2198"/>
      <c r="RLB77" s="2198"/>
      <c r="RLC77" s="2198"/>
      <c r="RLD77" s="2198"/>
      <c r="RLE77" s="2198"/>
      <c r="RLF77" s="2198"/>
      <c r="RLG77" s="2198"/>
      <c r="RLH77" s="2198"/>
      <c r="RLI77" s="2198"/>
      <c r="RLJ77" s="2198"/>
      <c r="RLK77" s="2198"/>
      <c r="RLL77" s="2198"/>
      <c r="RLM77" s="2198"/>
      <c r="RLN77" s="2198"/>
      <c r="RLO77" s="2198"/>
      <c r="RLP77" s="2198"/>
      <c r="RLQ77" s="2198"/>
      <c r="RLR77" s="2198"/>
      <c r="RLS77" s="2198"/>
      <c r="RLT77" s="2198"/>
      <c r="RLU77" s="2198"/>
      <c r="RLV77" s="2198"/>
      <c r="RLW77" s="2198"/>
      <c r="RLX77" s="2198"/>
      <c r="RLY77" s="2198"/>
      <c r="RLZ77" s="2198"/>
      <c r="RMA77" s="2198"/>
      <c r="RMB77" s="2198"/>
      <c r="RMC77" s="2198"/>
      <c r="RMD77" s="2198"/>
      <c r="RME77" s="2198"/>
      <c r="RMF77" s="2198"/>
      <c r="RMG77" s="2198"/>
      <c r="RMH77" s="2198"/>
      <c r="RMI77" s="2198"/>
      <c r="RMJ77" s="2198"/>
      <c r="RMK77" s="2198"/>
      <c r="RML77" s="2198"/>
      <c r="RMM77" s="2198"/>
      <c r="RMN77" s="2198"/>
      <c r="RMO77" s="2198"/>
      <c r="RMP77" s="2198"/>
      <c r="RMQ77" s="2198"/>
      <c r="RMR77" s="2198"/>
      <c r="RMS77" s="2198"/>
      <c r="RMT77" s="2198"/>
      <c r="RMU77" s="2198"/>
      <c r="RMV77" s="2198"/>
      <c r="RMW77" s="2198"/>
      <c r="RMX77" s="2198"/>
      <c r="RMY77" s="2198"/>
      <c r="RMZ77" s="2198"/>
      <c r="RNA77" s="2198"/>
      <c r="RNB77" s="2198"/>
      <c r="RNC77" s="2198"/>
      <c r="RND77" s="2198"/>
      <c r="RNE77" s="2198"/>
      <c r="RNF77" s="2198"/>
      <c r="RNG77" s="2198"/>
      <c r="RNH77" s="2198"/>
      <c r="RNI77" s="2198"/>
      <c r="RNJ77" s="2198"/>
      <c r="RNK77" s="2198"/>
      <c r="RNL77" s="2198"/>
      <c r="RNM77" s="2198"/>
      <c r="RNN77" s="2198"/>
      <c r="RNO77" s="2198"/>
      <c r="RNP77" s="2198"/>
      <c r="RNQ77" s="2198"/>
      <c r="RNR77" s="2198"/>
      <c r="RNS77" s="2198"/>
      <c r="RNT77" s="2198"/>
      <c r="RNU77" s="2198"/>
      <c r="RNV77" s="2198"/>
      <c r="RNW77" s="2198"/>
      <c r="RNX77" s="2198"/>
      <c r="RNY77" s="2198"/>
      <c r="RNZ77" s="2198"/>
      <c r="ROA77" s="2198"/>
      <c r="ROB77" s="2198"/>
      <c r="ROC77" s="2198"/>
      <c r="ROD77" s="2198"/>
      <c r="ROE77" s="2198"/>
      <c r="ROF77" s="2198"/>
      <c r="ROG77" s="2198"/>
      <c r="ROH77" s="2198"/>
      <c r="ROI77" s="2198"/>
      <c r="ROJ77" s="2198"/>
      <c r="ROK77" s="2198"/>
      <c r="ROL77" s="2198"/>
      <c r="ROM77" s="2198"/>
      <c r="RON77" s="2198"/>
      <c r="ROO77" s="2198"/>
      <c r="ROP77" s="2198"/>
      <c r="ROQ77" s="2198"/>
      <c r="ROR77" s="2198"/>
      <c r="ROS77" s="2198"/>
      <c r="ROT77" s="2198"/>
      <c r="ROU77" s="2198"/>
      <c r="ROV77" s="2198"/>
      <c r="ROW77" s="2198"/>
      <c r="ROX77" s="2198"/>
      <c r="ROY77" s="2198"/>
      <c r="ROZ77" s="2198"/>
      <c r="RPA77" s="2198"/>
      <c r="RPB77" s="2198"/>
      <c r="RPC77" s="2198"/>
      <c r="RPD77" s="2198"/>
      <c r="RPE77" s="2198"/>
      <c r="RPF77" s="2198"/>
      <c r="RPG77" s="2198"/>
      <c r="RPH77" s="2198"/>
      <c r="RPI77" s="2198"/>
      <c r="RPJ77" s="2198"/>
      <c r="RPK77" s="2198"/>
      <c r="RPL77" s="2198"/>
      <c r="RPM77" s="2198"/>
      <c r="RPN77" s="2198"/>
      <c r="RPO77" s="2198"/>
      <c r="RPP77" s="2198"/>
      <c r="RPQ77" s="2198"/>
      <c r="RPR77" s="2198"/>
      <c r="RPS77" s="2198"/>
      <c r="RPT77" s="2198"/>
      <c r="RPU77" s="2198"/>
      <c r="RPV77" s="2198"/>
      <c r="RPW77" s="2198"/>
      <c r="RPX77" s="2198"/>
      <c r="RPY77" s="2198"/>
      <c r="RPZ77" s="2198"/>
      <c r="RQA77" s="2198"/>
      <c r="RQB77" s="2198"/>
      <c r="RQC77" s="2198"/>
      <c r="RQD77" s="2198"/>
      <c r="RQE77" s="2198"/>
      <c r="RQF77" s="2198"/>
      <c r="RQG77" s="2198"/>
      <c r="RQH77" s="2198"/>
      <c r="RQI77" s="2198"/>
      <c r="RQJ77" s="2198"/>
      <c r="RQK77" s="2198"/>
      <c r="RQL77" s="2198"/>
      <c r="RQM77" s="2198"/>
      <c r="RQN77" s="2198"/>
      <c r="RQO77" s="2198"/>
      <c r="RQP77" s="2198"/>
      <c r="RQQ77" s="2198"/>
      <c r="RQR77" s="2198"/>
      <c r="RQS77" s="2198"/>
      <c r="RQT77" s="2198"/>
      <c r="RQU77" s="2198"/>
      <c r="RQV77" s="2198"/>
      <c r="RQW77" s="2198"/>
      <c r="RQX77" s="2198"/>
      <c r="RQY77" s="2198"/>
      <c r="RQZ77" s="2198"/>
      <c r="RRA77" s="2198"/>
      <c r="RRB77" s="2198"/>
      <c r="RRC77" s="2198"/>
      <c r="RRD77" s="2198"/>
      <c r="RRE77" s="2198"/>
      <c r="RRF77" s="2198"/>
      <c r="RRG77" s="2198"/>
      <c r="RRH77" s="2198"/>
      <c r="RRI77" s="2198"/>
      <c r="RRJ77" s="2198"/>
      <c r="RRK77" s="2198"/>
      <c r="RRL77" s="2198"/>
      <c r="RRM77" s="2198"/>
      <c r="RRN77" s="2198"/>
      <c r="RRO77" s="2198"/>
      <c r="RRP77" s="2198"/>
      <c r="RRQ77" s="2198"/>
      <c r="RRR77" s="2198"/>
      <c r="RRS77" s="2198"/>
      <c r="RRT77" s="2198"/>
      <c r="RRU77" s="2198"/>
      <c r="RRV77" s="2198"/>
      <c r="RRW77" s="2198"/>
      <c r="RRX77" s="2198"/>
      <c r="RRY77" s="2198"/>
      <c r="RRZ77" s="2198"/>
      <c r="RSA77" s="2198"/>
      <c r="RSB77" s="2198"/>
      <c r="RSC77" s="2198"/>
      <c r="RSD77" s="2198"/>
      <c r="RSE77" s="2198"/>
      <c r="RSF77" s="2198"/>
      <c r="RSG77" s="2198"/>
      <c r="RSH77" s="2198"/>
      <c r="RSI77" s="2198"/>
      <c r="RSJ77" s="2198"/>
      <c r="RSK77" s="2198"/>
      <c r="RSL77" s="2198"/>
      <c r="RSM77" s="2198"/>
      <c r="RSN77" s="2198"/>
      <c r="RSO77" s="2198"/>
      <c r="RSP77" s="2198"/>
      <c r="RSQ77" s="2198"/>
      <c r="RSR77" s="2198"/>
      <c r="RSS77" s="2198"/>
      <c r="RST77" s="2198"/>
      <c r="RSU77" s="2198"/>
      <c r="RSV77" s="2198"/>
      <c r="RSW77" s="2198"/>
      <c r="RSX77" s="2198"/>
      <c r="RSY77" s="2198"/>
      <c r="RSZ77" s="2198"/>
      <c r="RTA77" s="2198"/>
      <c r="RTB77" s="2198"/>
      <c r="RTC77" s="2198"/>
      <c r="RTD77" s="2198"/>
      <c r="RTE77" s="2198"/>
      <c r="RTF77" s="2198"/>
      <c r="RTG77" s="2198"/>
      <c r="RTH77" s="2198"/>
      <c r="RTI77" s="2198"/>
      <c r="RTJ77" s="2198"/>
      <c r="RTK77" s="2198"/>
      <c r="RTL77" s="2198"/>
      <c r="RTM77" s="2198"/>
      <c r="RTN77" s="2198"/>
      <c r="RTO77" s="2198"/>
      <c r="RTP77" s="2198"/>
      <c r="RTQ77" s="2198"/>
      <c r="RTR77" s="2198"/>
      <c r="RTS77" s="2198"/>
      <c r="RTT77" s="2198"/>
      <c r="RTU77" s="2198"/>
      <c r="RTV77" s="2198"/>
      <c r="RTW77" s="2198"/>
      <c r="RTX77" s="2198"/>
      <c r="RTY77" s="2198"/>
      <c r="RTZ77" s="2198"/>
      <c r="RUA77" s="2198"/>
      <c r="RUB77" s="2198"/>
      <c r="RUC77" s="2198"/>
      <c r="RUD77" s="2198"/>
      <c r="RUE77" s="2198"/>
      <c r="RUF77" s="2198"/>
      <c r="RUG77" s="2198"/>
      <c r="RUH77" s="2198"/>
      <c r="RUI77" s="2198"/>
      <c r="RUJ77" s="2198"/>
      <c r="RUK77" s="2198"/>
      <c r="RUL77" s="2198"/>
      <c r="RUM77" s="2198"/>
      <c r="RUN77" s="2198"/>
      <c r="RUO77" s="2198"/>
      <c r="RUP77" s="2198"/>
      <c r="RUQ77" s="2198"/>
      <c r="RUR77" s="2198"/>
      <c r="RUS77" s="2198"/>
      <c r="RUT77" s="2198"/>
      <c r="RUU77" s="2198"/>
      <c r="RUV77" s="2198"/>
      <c r="RUW77" s="2198"/>
      <c r="RUX77" s="2198"/>
      <c r="RUY77" s="2198"/>
      <c r="RUZ77" s="2198"/>
      <c r="RVA77" s="2198"/>
      <c r="RVB77" s="2198"/>
      <c r="RVC77" s="2198"/>
      <c r="RVD77" s="2198"/>
      <c r="RVE77" s="2198"/>
      <c r="RVF77" s="2198"/>
      <c r="RVG77" s="2198"/>
      <c r="RVH77" s="2198"/>
      <c r="RVI77" s="2198"/>
      <c r="RVJ77" s="2198"/>
      <c r="RVK77" s="2198"/>
      <c r="RVL77" s="2198"/>
      <c r="RVM77" s="2198"/>
      <c r="RVN77" s="2198"/>
      <c r="RVO77" s="2198"/>
      <c r="RVP77" s="2198"/>
      <c r="RVQ77" s="2198"/>
      <c r="RVR77" s="2198"/>
      <c r="RVS77" s="2198"/>
      <c r="RVT77" s="2198"/>
      <c r="RVU77" s="2198"/>
      <c r="RVV77" s="2198"/>
      <c r="RVW77" s="2198"/>
      <c r="RVX77" s="2198"/>
      <c r="RVY77" s="2198"/>
      <c r="RVZ77" s="2198"/>
      <c r="RWA77" s="2198"/>
      <c r="RWB77" s="2198"/>
      <c r="RWC77" s="2198"/>
      <c r="RWD77" s="2198"/>
      <c r="RWE77" s="2198"/>
      <c r="RWF77" s="2198"/>
      <c r="RWG77" s="2198"/>
      <c r="RWH77" s="2198"/>
      <c r="RWI77" s="2198"/>
      <c r="RWJ77" s="2198"/>
      <c r="RWK77" s="2198"/>
      <c r="RWL77" s="2198"/>
      <c r="RWM77" s="2198"/>
      <c r="RWN77" s="2198"/>
      <c r="RWO77" s="2198"/>
      <c r="RWP77" s="2198"/>
      <c r="RWQ77" s="2198"/>
      <c r="RWR77" s="2198"/>
      <c r="RWS77" s="2198"/>
      <c r="RWT77" s="2198"/>
      <c r="RWU77" s="2198"/>
      <c r="RWV77" s="2198"/>
      <c r="RWW77" s="2198"/>
      <c r="RWX77" s="2198"/>
      <c r="RWY77" s="2198"/>
      <c r="RWZ77" s="2198"/>
      <c r="RXA77" s="2198"/>
      <c r="RXB77" s="2198"/>
      <c r="RXC77" s="2198"/>
      <c r="RXD77" s="2198"/>
      <c r="RXE77" s="2198"/>
      <c r="RXF77" s="2198"/>
      <c r="RXG77" s="2198"/>
      <c r="RXH77" s="2198"/>
      <c r="RXI77" s="2198"/>
      <c r="RXJ77" s="2198"/>
      <c r="RXK77" s="2198"/>
      <c r="RXL77" s="2198"/>
      <c r="RXM77" s="2198"/>
      <c r="RXN77" s="2198"/>
      <c r="RXO77" s="2198"/>
      <c r="RXP77" s="2198"/>
      <c r="RXQ77" s="2198"/>
      <c r="RXR77" s="2198"/>
      <c r="RXS77" s="2198"/>
      <c r="RXT77" s="2198"/>
      <c r="RXU77" s="2198"/>
      <c r="RXV77" s="2198"/>
      <c r="RXW77" s="2198"/>
      <c r="RXX77" s="2198"/>
      <c r="RXY77" s="2198"/>
      <c r="RXZ77" s="2198"/>
      <c r="RYA77" s="2198"/>
      <c r="RYB77" s="2198"/>
      <c r="RYC77" s="2198"/>
      <c r="RYD77" s="2198"/>
      <c r="RYE77" s="2198"/>
      <c r="RYF77" s="2198"/>
      <c r="RYG77" s="2198"/>
      <c r="RYH77" s="2198"/>
      <c r="RYI77" s="2198"/>
      <c r="RYJ77" s="2198"/>
      <c r="RYK77" s="2198"/>
      <c r="RYL77" s="2198"/>
      <c r="RYM77" s="2198"/>
      <c r="RYN77" s="2198"/>
      <c r="RYO77" s="2198"/>
      <c r="RYP77" s="2198"/>
      <c r="RYQ77" s="2198"/>
      <c r="RYR77" s="2198"/>
      <c r="RYS77" s="2198"/>
      <c r="RYT77" s="2198"/>
      <c r="RYU77" s="2198"/>
      <c r="RYV77" s="2198"/>
      <c r="RYW77" s="2198"/>
      <c r="RYX77" s="2198"/>
      <c r="RYY77" s="2198"/>
      <c r="RYZ77" s="2198"/>
      <c r="RZA77" s="2198"/>
      <c r="RZB77" s="2198"/>
      <c r="RZC77" s="2198"/>
      <c r="RZD77" s="2198"/>
      <c r="RZE77" s="2198"/>
      <c r="RZF77" s="2198"/>
      <c r="RZG77" s="2198"/>
      <c r="RZH77" s="2198"/>
      <c r="RZI77" s="2198"/>
      <c r="RZJ77" s="2198"/>
      <c r="RZK77" s="2198"/>
      <c r="RZL77" s="2198"/>
      <c r="RZM77" s="2198"/>
      <c r="RZN77" s="2198"/>
      <c r="RZO77" s="2198"/>
      <c r="RZP77" s="2198"/>
      <c r="RZQ77" s="2198"/>
      <c r="RZR77" s="2198"/>
      <c r="RZS77" s="2198"/>
      <c r="RZT77" s="2198"/>
      <c r="RZU77" s="2198"/>
      <c r="RZV77" s="2198"/>
      <c r="RZW77" s="2198"/>
      <c r="RZX77" s="2198"/>
      <c r="RZY77" s="2198"/>
      <c r="RZZ77" s="2198"/>
      <c r="SAA77" s="2198"/>
      <c r="SAB77" s="2198"/>
      <c r="SAC77" s="2198"/>
      <c r="SAD77" s="2198"/>
      <c r="SAE77" s="2198"/>
      <c r="SAF77" s="2198"/>
      <c r="SAG77" s="2198"/>
      <c r="SAH77" s="2198"/>
      <c r="SAI77" s="2198"/>
      <c r="SAJ77" s="2198"/>
      <c r="SAK77" s="2198"/>
      <c r="SAL77" s="2198"/>
      <c r="SAM77" s="2198"/>
      <c r="SAN77" s="2198"/>
      <c r="SAO77" s="2198"/>
      <c r="SAP77" s="2198"/>
      <c r="SAQ77" s="2198"/>
      <c r="SAR77" s="2198"/>
      <c r="SAS77" s="2198"/>
      <c r="SAT77" s="2198"/>
      <c r="SAU77" s="2198"/>
      <c r="SAV77" s="2198"/>
      <c r="SAW77" s="2198"/>
      <c r="SAX77" s="2198"/>
      <c r="SAY77" s="2198"/>
      <c r="SAZ77" s="2198"/>
      <c r="SBA77" s="2198"/>
      <c r="SBB77" s="2198"/>
      <c r="SBC77" s="2198"/>
      <c r="SBD77" s="2198"/>
      <c r="SBE77" s="2198"/>
      <c r="SBF77" s="2198"/>
      <c r="SBG77" s="2198"/>
      <c r="SBH77" s="2198"/>
      <c r="SBI77" s="2198"/>
      <c r="SBJ77" s="2198"/>
      <c r="SBK77" s="2198"/>
      <c r="SBL77" s="2198"/>
      <c r="SBM77" s="2198"/>
      <c r="SBN77" s="2198"/>
      <c r="SBO77" s="2198"/>
      <c r="SBP77" s="2198"/>
      <c r="SBQ77" s="2198"/>
      <c r="SBR77" s="2198"/>
      <c r="SBS77" s="2198"/>
      <c r="SBT77" s="2198"/>
      <c r="SBU77" s="2198"/>
      <c r="SBV77" s="2198"/>
      <c r="SBW77" s="2198"/>
      <c r="SBX77" s="2198"/>
      <c r="SBY77" s="2198"/>
      <c r="SBZ77" s="2198"/>
      <c r="SCA77" s="2198"/>
      <c r="SCB77" s="2198"/>
      <c r="SCC77" s="2198"/>
      <c r="SCD77" s="2198"/>
      <c r="SCE77" s="2198"/>
      <c r="SCF77" s="2198"/>
      <c r="SCG77" s="2198"/>
      <c r="SCH77" s="2198"/>
      <c r="SCI77" s="2198"/>
      <c r="SCJ77" s="2198"/>
      <c r="SCK77" s="2198"/>
      <c r="SCL77" s="2198"/>
      <c r="SCM77" s="2198"/>
      <c r="SCN77" s="2198"/>
      <c r="SCO77" s="2198"/>
      <c r="SCP77" s="2198"/>
      <c r="SCQ77" s="2198"/>
      <c r="SCR77" s="2198"/>
      <c r="SCS77" s="2198"/>
      <c r="SCT77" s="2198"/>
      <c r="SCU77" s="2198"/>
      <c r="SCV77" s="2198"/>
      <c r="SCW77" s="2198"/>
      <c r="SCX77" s="2198"/>
      <c r="SCY77" s="2198"/>
      <c r="SCZ77" s="2198"/>
      <c r="SDA77" s="2198"/>
      <c r="SDB77" s="2198"/>
      <c r="SDC77" s="2198"/>
      <c r="SDD77" s="2198"/>
      <c r="SDE77" s="2198"/>
      <c r="SDF77" s="2198"/>
      <c r="SDG77" s="2198"/>
      <c r="SDH77" s="2198"/>
      <c r="SDI77" s="2198"/>
      <c r="SDJ77" s="2198"/>
      <c r="SDK77" s="2198"/>
      <c r="SDL77" s="2198"/>
      <c r="SDM77" s="2198"/>
      <c r="SDN77" s="2198"/>
      <c r="SDO77" s="2198"/>
      <c r="SDP77" s="2198"/>
      <c r="SDQ77" s="2198"/>
      <c r="SDR77" s="2198"/>
      <c r="SDS77" s="2198"/>
      <c r="SDT77" s="2198"/>
      <c r="SDU77" s="2198"/>
      <c r="SDV77" s="2198"/>
      <c r="SDW77" s="2198"/>
      <c r="SDX77" s="2198"/>
      <c r="SDY77" s="2198"/>
      <c r="SDZ77" s="2198"/>
      <c r="SEA77" s="2198"/>
      <c r="SEB77" s="2198"/>
      <c r="SEC77" s="2198"/>
      <c r="SED77" s="2198"/>
      <c r="SEE77" s="2198"/>
      <c r="SEF77" s="2198"/>
      <c r="SEG77" s="2198"/>
      <c r="SEH77" s="2198"/>
      <c r="SEI77" s="2198"/>
      <c r="SEJ77" s="2198"/>
      <c r="SEK77" s="2198"/>
      <c r="SEL77" s="2198"/>
      <c r="SEM77" s="2198"/>
      <c r="SEN77" s="2198"/>
      <c r="SEO77" s="2198"/>
      <c r="SEP77" s="2198"/>
      <c r="SEQ77" s="2198"/>
      <c r="SER77" s="2198"/>
      <c r="SES77" s="2198"/>
      <c r="SET77" s="2198"/>
      <c r="SEU77" s="2198"/>
      <c r="SEV77" s="2198"/>
      <c r="SEW77" s="2198"/>
      <c r="SEX77" s="2198"/>
      <c r="SEY77" s="2198"/>
      <c r="SEZ77" s="2198"/>
      <c r="SFA77" s="2198"/>
      <c r="SFB77" s="2198"/>
      <c r="SFC77" s="2198"/>
      <c r="SFD77" s="2198"/>
      <c r="SFE77" s="2198"/>
      <c r="SFF77" s="2198"/>
      <c r="SFG77" s="2198"/>
      <c r="SFH77" s="2198"/>
      <c r="SFI77" s="2198"/>
      <c r="SFJ77" s="2198"/>
      <c r="SFK77" s="2198"/>
      <c r="SFL77" s="2198"/>
      <c r="SFM77" s="2198"/>
      <c r="SFN77" s="2198"/>
      <c r="SFO77" s="2198"/>
      <c r="SFP77" s="2198"/>
      <c r="SFQ77" s="2198"/>
      <c r="SFR77" s="2198"/>
      <c r="SFS77" s="2198"/>
      <c r="SFT77" s="2198"/>
      <c r="SFU77" s="2198"/>
      <c r="SFV77" s="2198"/>
      <c r="SFW77" s="2198"/>
      <c r="SFX77" s="2198"/>
      <c r="SFY77" s="2198"/>
      <c r="SFZ77" s="2198"/>
      <c r="SGA77" s="2198"/>
      <c r="SGB77" s="2198"/>
      <c r="SGC77" s="2198"/>
      <c r="SGD77" s="2198"/>
      <c r="SGE77" s="2198"/>
      <c r="SGF77" s="2198"/>
      <c r="SGG77" s="2198"/>
      <c r="SGH77" s="2198"/>
      <c r="SGI77" s="2198"/>
      <c r="SGJ77" s="2198"/>
      <c r="SGK77" s="2198"/>
      <c r="SGL77" s="2198"/>
      <c r="SGM77" s="2198"/>
      <c r="SGN77" s="2198"/>
      <c r="SGO77" s="2198"/>
      <c r="SGP77" s="2198"/>
      <c r="SGQ77" s="2198"/>
      <c r="SGR77" s="2198"/>
      <c r="SGS77" s="2198"/>
      <c r="SGT77" s="2198"/>
      <c r="SGU77" s="2198"/>
      <c r="SGV77" s="2198"/>
      <c r="SGW77" s="2198"/>
      <c r="SGX77" s="2198"/>
      <c r="SGY77" s="2198"/>
      <c r="SGZ77" s="2198"/>
      <c r="SHA77" s="2198"/>
      <c r="SHB77" s="2198"/>
      <c r="SHC77" s="2198"/>
      <c r="SHD77" s="2198"/>
      <c r="SHE77" s="2198"/>
      <c r="SHF77" s="2198"/>
      <c r="SHG77" s="2198"/>
      <c r="SHH77" s="2198"/>
      <c r="SHI77" s="2198"/>
      <c r="SHJ77" s="2198"/>
      <c r="SHK77" s="2198"/>
      <c r="SHL77" s="2198"/>
      <c r="SHM77" s="2198"/>
      <c r="SHN77" s="2198"/>
      <c r="SHO77" s="2198"/>
      <c r="SHP77" s="2198"/>
      <c r="SHQ77" s="2198"/>
      <c r="SHR77" s="2198"/>
      <c r="SHS77" s="2198"/>
      <c r="SHT77" s="2198"/>
      <c r="SHU77" s="2198"/>
      <c r="SHV77" s="2198"/>
      <c r="SHW77" s="2198"/>
      <c r="SHX77" s="2198"/>
      <c r="SHY77" s="2198"/>
      <c r="SHZ77" s="2198"/>
      <c r="SIA77" s="2198"/>
      <c r="SIB77" s="2198"/>
      <c r="SIC77" s="2198"/>
      <c r="SID77" s="2198"/>
      <c r="SIE77" s="2198"/>
      <c r="SIF77" s="2198"/>
      <c r="SIG77" s="2198"/>
      <c r="SIH77" s="2198"/>
      <c r="SII77" s="2198"/>
      <c r="SIJ77" s="2198"/>
      <c r="SIK77" s="2198"/>
      <c r="SIL77" s="2198"/>
      <c r="SIM77" s="2198"/>
      <c r="SIN77" s="2198"/>
      <c r="SIO77" s="2198"/>
      <c r="SIP77" s="2198"/>
      <c r="SIQ77" s="2198"/>
      <c r="SIR77" s="2198"/>
      <c r="SIS77" s="2198"/>
      <c r="SIT77" s="2198"/>
      <c r="SIU77" s="2198"/>
      <c r="SIV77" s="2198"/>
      <c r="SIW77" s="2198"/>
      <c r="SIX77" s="2198"/>
      <c r="SIY77" s="2198"/>
      <c r="SIZ77" s="2198"/>
      <c r="SJA77" s="2198"/>
      <c r="SJB77" s="2198"/>
      <c r="SJC77" s="2198"/>
      <c r="SJD77" s="2198"/>
      <c r="SJE77" s="2198"/>
      <c r="SJF77" s="2198"/>
      <c r="SJG77" s="2198"/>
      <c r="SJH77" s="2198"/>
      <c r="SJI77" s="2198"/>
      <c r="SJJ77" s="2198"/>
      <c r="SJK77" s="2198"/>
      <c r="SJL77" s="2198"/>
      <c r="SJM77" s="2198"/>
      <c r="SJN77" s="2198"/>
      <c r="SJO77" s="2198"/>
      <c r="SJP77" s="2198"/>
      <c r="SJQ77" s="2198"/>
      <c r="SJR77" s="2198"/>
      <c r="SJS77" s="2198"/>
      <c r="SJT77" s="2198"/>
      <c r="SJU77" s="2198"/>
      <c r="SJV77" s="2198"/>
      <c r="SJW77" s="2198"/>
      <c r="SJX77" s="2198"/>
      <c r="SJY77" s="2198"/>
      <c r="SJZ77" s="2198"/>
      <c r="SKA77" s="2198"/>
      <c r="SKB77" s="2198"/>
      <c r="SKC77" s="2198"/>
      <c r="SKD77" s="2198"/>
      <c r="SKE77" s="2198"/>
      <c r="SKF77" s="2198"/>
      <c r="SKG77" s="2198"/>
      <c r="SKH77" s="2198"/>
      <c r="SKI77" s="2198"/>
      <c r="SKJ77" s="2198"/>
      <c r="SKK77" s="2198"/>
      <c r="SKL77" s="2198"/>
      <c r="SKM77" s="2198"/>
      <c r="SKN77" s="2198"/>
      <c r="SKO77" s="2198"/>
      <c r="SKP77" s="2198"/>
      <c r="SKQ77" s="2198"/>
      <c r="SKR77" s="2198"/>
      <c r="SKS77" s="2198"/>
      <c r="SKT77" s="2198"/>
      <c r="SKU77" s="2198"/>
      <c r="SKV77" s="2198"/>
      <c r="SKW77" s="2198"/>
      <c r="SKX77" s="2198"/>
      <c r="SKY77" s="2198"/>
      <c r="SKZ77" s="2198"/>
      <c r="SLA77" s="2198"/>
      <c r="SLB77" s="2198"/>
      <c r="SLC77" s="2198"/>
      <c r="SLD77" s="2198"/>
      <c r="SLE77" s="2198"/>
      <c r="SLF77" s="2198"/>
      <c r="SLG77" s="2198"/>
      <c r="SLH77" s="2198"/>
      <c r="SLI77" s="2198"/>
      <c r="SLJ77" s="2198"/>
      <c r="SLK77" s="2198"/>
      <c r="SLL77" s="2198"/>
      <c r="SLM77" s="2198"/>
      <c r="SLN77" s="2198"/>
      <c r="SLO77" s="2198"/>
      <c r="SLP77" s="2198"/>
      <c r="SLQ77" s="2198"/>
      <c r="SLR77" s="2198"/>
      <c r="SLS77" s="2198"/>
      <c r="SLT77" s="2198"/>
      <c r="SLU77" s="2198"/>
      <c r="SLV77" s="2198"/>
      <c r="SLW77" s="2198"/>
      <c r="SLX77" s="2198"/>
      <c r="SLY77" s="2198"/>
      <c r="SLZ77" s="2198"/>
      <c r="SMA77" s="2198"/>
      <c r="SMB77" s="2198"/>
      <c r="SMC77" s="2198"/>
      <c r="SMD77" s="2198"/>
      <c r="SME77" s="2198"/>
      <c r="SMF77" s="2198"/>
      <c r="SMG77" s="2198"/>
      <c r="SMH77" s="2198"/>
      <c r="SMI77" s="2198"/>
      <c r="SMJ77" s="2198"/>
      <c r="SMK77" s="2198"/>
      <c r="SML77" s="2198"/>
      <c r="SMM77" s="2198"/>
      <c r="SMN77" s="2198"/>
      <c r="SMO77" s="2198"/>
      <c r="SMP77" s="2198"/>
      <c r="SMQ77" s="2198"/>
      <c r="SMR77" s="2198"/>
      <c r="SMS77" s="2198"/>
      <c r="SMT77" s="2198"/>
      <c r="SMU77" s="2198"/>
      <c r="SMV77" s="2198"/>
      <c r="SMW77" s="2198"/>
      <c r="SMX77" s="2198"/>
      <c r="SMY77" s="2198"/>
      <c r="SMZ77" s="2198"/>
      <c r="SNA77" s="2198"/>
      <c r="SNB77" s="2198"/>
      <c r="SNC77" s="2198"/>
      <c r="SND77" s="2198"/>
      <c r="SNE77" s="2198"/>
      <c r="SNF77" s="2198"/>
      <c r="SNG77" s="2198"/>
      <c r="SNH77" s="2198"/>
      <c r="SNI77" s="2198"/>
      <c r="SNJ77" s="2198"/>
      <c r="SNK77" s="2198"/>
      <c r="SNL77" s="2198"/>
      <c r="SNM77" s="2198"/>
      <c r="SNN77" s="2198"/>
      <c r="SNO77" s="2198"/>
      <c r="SNP77" s="2198"/>
      <c r="SNQ77" s="2198"/>
      <c r="SNR77" s="2198"/>
      <c r="SNS77" s="2198"/>
      <c r="SNT77" s="2198"/>
      <c r="SNU77" s="2198"/>
      <c r="SNV77" s="2198"/>
      <c r="SNW77" s="2198"/>
      <c r="SNX77" s="2198"/>
      <c r="SNY77" s="2198"/>
      <c r="SNZ77" s="2198"/>
      <c r="SOA77" s="2198"/>
      <c r="SOB77" s="2198"/>
      <c r="SOC77" s="2198"/>
      <c r="SOD77" s="2198"/>
      <c r="SOE77" s="2198"/>
      <c r="SOF77" s="2198"/>
      <c r="SOG77" s="2198"/>
      <c r="SOH77" s="2198"/>
      <c r="SOI77" s="2198"/>
      <c r="SOJ77" s="2198"/>
      <c r="SOK77" s="2198"/>
      <c r="SOL77" s="2198"/>
      <c r="SOM77" s="2198"/>
      <c r="SON77" s="2198"/>
      <c r="SOO77" s="2198"/>
      <c r="SOP77" s="2198"/>
      <c r="SOQ77" s="2198"/>
      <c r="SOR77" s="2198"/>
      <c r="SOS77" s="2198"/>
      <c r="SOT77" s="2198"/>
      <c r="SOU77" s="2198"/>
      <c r="SOV77" s="2198"/>
      <c r="SOW77" s="2198"/>
      <c r="SOX77" s="2198"/>
      <c r="SOY77" s="2198"/>
      <c r="SOZ77" s="2198"/>
      <c r="SPA77" s="2198"/>
      <c r="SPB77" s="2198"/>
      <c r="SPC77" s="2198"/>
      <c r="SPD77" s="2198"/>
      <c r="SPE77" s="2198"/>
      <c r="SPF77" s="2198"/>
      <c r="SPG77" s="2198"/>
      <c r="SPH77" s="2198"/>
      <c r="SPI77" s="2198"/>
      <c r="SPJ77" s="2198"/>
      <c r="SPK77" s="2198"/>
      <c r="SPL77" s="2198"/>
      <c r="SPM77" s="2198"/>
      <c r="SPN77" s="2198"/>
      <c r="SPO77" s="2198"/>
      <c r="SPP77" s="2198"/>
      <c r="SPQ77" s="2198"/>
      <c r="SPR77" s="2198"/>
      <c r="SPS77" s="2198"/>
      <c r="SPT77" s="2198"/>
      <c r="SPU77" s="2198"/>
      <c r="SPV77" s="2198"/>
      <c r="SPW77" s="2198"/>
      <c r="SPX77" s="2198"/>
      <c r="SPY77" s="2198"/>
      <c r="SPZ77" s="2198"/>
      <c r="SQA77" s="2198"/>
      <c r="SQB77" s="2198"/>
      <c r="SQC77" s="2198"/>
      <c r="SQD77" s="2198"/>
      <c r="SQE77" s="2198"/>
      <c r="SQF77" s="2198"/>
      <c r="SQG77" s="2198"/>
      <c r="SQH77" s="2198"/>
      <c r="SQI77" s="2198"/>
      <c r="SQJ77" s="2198"/>
      <c r="SQK77" s="2198"/>
      <c r="SQL77" s="2198"/>
      <c r="SQM77" s="2198"/>
      <c r="SQN77" s="2198"/>
      <c r="SQO77" s="2198"/>
      <c r="SQP77" s="2198"/>
      <c r="SQQ77" s="2198"/>
      <c r="SQR77" s="2198"/>
      <c r="SQS77" s="2198"/>
      <c r="SQT77" s="2198"/>
      <c r="SQU77" s="2198"/>
      <c r="SQV77" s="2198"/>
      <c r="SQW77" s="2198"/>
      <c r="SQX77" s="2198"/>
      <c r="SQY77" s="2198"/>
      <c r="SQZ77" s="2198"/>
      <c r="SRA77" s="2198"/>
      <c r="SRB77" s="2198"/>
      <c r="SRC77" s="2198"/>
      <c r="SRD77" s="2198"/>
      <c r="SRE77" s="2198"/>
      <c r="SRF77" s="2198"/>
      <c r="SRG77" s="2198"/>
      <c r="SRH77" s="2198"/>
      <c r="SRI77" s="2198"/>
      <c r="SRJ77" s="2198"/>
      <c r="SRK77" s="2198"/>
      <c r="SRL77" s="2198"/>
      <c r="SRM77" s="2198"/>
      <c r="SRN77" s="2198"/>
      <c r="SRO77" s="2198"/>
      <c r="SRP77" s="2198"/>
      <c r="SRQ77" s="2198"/>
      <c r="SRR77" s="2198"/>
      <c r="SRS77" s="2198"/>
      <c r="SRT77" s="2198"/>
      <c r="SRU77" s="2198"/>
      <c r="SRV77" s="2198"/>
      <c r="SRW77" s="2198"/>
      <c r="SRX77" s="2198"/>
      <c r="SRY77" s="2198"/>
      <c r="SRZ77" s="2198"/>
      <c r="SSA77" s="2198"/>
      <c r="SSB77" s="2198"/>
      <c r="SSC77" s="2198"/>
      <c r="SSD77" s="2198"/>
      <c r="SSE77" s="2198"/>
      <c r="SSF77" s="2198"/>
      <c r="SSG77" s="2198"/>
      <c r="SSH77" s="2198"/>
      <c r="SSI77" s="2198"/>
      <c r="SSJ77" s="2198"/>
      <c r="SSK77" s="2198"/>
      <c r="SSL77" s="2198"/>
      <c r="SSM77" s="2198"/>
      <c r="SSN77" s="2198"/>
      <c r="SSO77" s="2198"/>
      <c r="SSP77" s="2198"/>
      <c r="SSQ77" s="2198"/>
      <c r="SSR77" s="2198"/>
      <c r="SSS77" s="2198"/>
      <c r="SST77" s="2198"/>
      <c r="SSU77" s="2198"/>
      <c r="SSV77" s="2198"/>
      <c r="SSW77" s="2198"/>
      <c r="SSX77" s="2198"/>
      <c r="SSY77" s="2198"/>
      <c r="SSZ77" s="2198"/>
      <c r="STA77" s="2198"/>
      <c r="STB77" s="2198"/>
      <c r="STC77" s="2198"/>
      <c r="STD77" s="2198"/>
      <c r="STE77" s="2198"/>
      <c r="STF77" s="2198"/>
      <c r="STG77" s="2198"/>
      <c r="STH77" s="2198"/>
      <c r="STI77" s="2198"/>
      <c r="STJ77" s="2198"/>
      <c r="STK77" s="2198"/>
      <c r="STL77" s="2198"/>
      <c r="STM77" s="2198"/>
      <c r="STN77" s="2198"/>
      <c r="STO77" s="2198"/>
      <c r="STP77" s="2198"/>
      <c r="STQ77" s="2198"/>
      <c r="STR77" s="2198"/>
      <c r="STS77" s="2198"/>
      <c r="STT77" s="2198"/>
      <c r="STU77" s="2198"/>
      <c r="STV77" s="2198"/>
      <c r="STW77" s="2198"/>
      <c r="STX77" s="2198"/>
      <c r="STY77" s="2198"/>
      <c r="STZ77" s="2198"/>
      <c r="SUA77" s="2198"/>
      <c r="SUB77" s="2198"/>
      <c r="SUC77" s="2198"/>
      <c r="SUD77" s="2198"/>
      <c r="SUE77" s="2198"/>
      <c r="SUF77" s="2198"/>
      <c r="SUG77" s="2198"/>
      <c r="SUH77" s="2198"/>
      <c r="SUI77" s="2198"/>
      <c r="SUJ77" s="2198"/>
      <c r="SUK77" s="2198"/>
      <c r="SUL77" s="2198"/>
      <c r="SUM77" s="2198"/>
      <c r="SUN77" s="2198"/>
      <c r="SUO77" s="2198"/>
      <c r="SUP77" s="2198"/>
      <c r="SUQ77" s="2198"/>
      <c r="SUR77" s="2198"/>
      <c r="SUS77" s="2198"/>
      <c r="SUT77" s="2198"/>
      <c r="SUU77" s="2198"/>
      <c r="SUV77" s="2198"/>
      <c r="SUW77" s="2198"/>
      <c r="SUX77" s="2198"/>
      <c r="SUY77" s="2198"/>
      <c r="SUZ77" s="2198"/>
      <c r="SVA77" s="2198"/>
      <c r="SVB77" s="2198"/>
      <c r="SVC77" s="2198"/>
      <c r="SVD77" s="2198"/>
      <c r="SVE77" s="2198"/>
      <c r="SVF77" s="2198"/>
      <c r="SVG77" s="2198"/>
      <c r="SVH77" s="2198"/>
      <c r="SVI77" s="2198"/>
      <c r="SVJ77" s="2198"/>
      <c r="SVK77" s="2198"/>
      <c r="SVL77" s="2198"/>
      <c r="SVM77" s="2198"/>
      <c r="SVN77" s="2198"/>
      <c r="SVO77" s="2198"/>
      <c r="SVP77" s="2198"/>
      <c r="SVQ77" s="2198"/>
      <c r="SVR77" s="2198"/>
      <c r="SVS77" s="2198"/>
      <c r="SVT77" s="2198"/>
      <c r="SVU77" s="2198"/>
      <c r="SVV77" s="2198"/>
      <c r="SVW77" s="2198"/>
      <c r="SVX77" s="2198"/>
      <c r="SVY77" s="2198"/>
      <c r="SVZ77" s="2198"/>
      <c r="SWA77" s="2198"/>
      <c r="SWB77" s="2198"/>
      <c r="SWC77" s="2198"/>
      <c r="SWD77" s="2198"/>
      <c r="SWE77" s="2198"/>
      <c r="SWF77" s="2198"/>
      <c r="SWG77" s="2198"/>
      <c r="SWH77" s="2198"/>
      <c r="SWI77" s="2198"/>
      <c r="SWJ77" s="2198"/>
      <c r="SWK77" s="2198"/>
      <c r="SWL77" s="2198"/>
      <c r="SWM77" s="2198"/>
      <c r="SWN77" s="2198"/>
      <c r="SWO77" s="2198"/>
      <c r="SWP77" s="2198"/>
      <c r="SWQ77" s="2198"/>
      <c r="SWR77" s="2198"/>
      <c r="SWS77" s="2198"/>
      <c r="SWT77" s="2198"/>
      <c r="SWU77" s="2198"/>
      <c r="SWV77" s="2198"/>
      <c r="SWW77" s="2198"/>
      <c r="SWX77" s="2198"/>
      <c r="SWY77" s="2198"/>
      <c r="SWZ77" s="2198"/>
      <c r="SXA77" s="2198"/>
      <c r="SXB77" s="2198"/>
      <c r="SXC77" s="2198"/>
      <c r="SXD77" s="2198"/>
      <c r="SXE77" s="2198"/>
      <c r="SXF77" s="2198"/>
      <c r="SXG77" s="2198"/>
      <c r="SXH77" s="2198"/>
      <c r="SXI77" s="2198"/>
      <c r="SXJ77" s="2198"/>
      <c r="SXK77" s="2198"/>
      <c r="SXL77" s="2198"/>
      <c r="SXM77" s="2198"/>
      <c r="SXN77" s="2198"/>
      <c r="SXO77" s="2198"/>
      <c r="SXP77" s="2198"/>
      <c r="SXQ77" s="2198"/>
      <c r="SXR77" s="2198"/>
      <c r="SXS77" s="2198"/>
      <c r="SXT77" s="2198"/>
      <c r="SXU77" s="2198"/>
      <c r="SXV77" s="2198"/>
      <c r="SXW77" s="2198"/>
      <c r="SXX77" s="2198"/>
      <c r="SXY77" s="2198"/>
      <c r="SXZ77" s="2198"/>
      <c r="SYA77" s="2198"/>
      <c r="SYB77" s="2198"/>
      <c r="SYC77" s="2198"/>
      <c r="SYD77" s="2198"/>
      <c r="SYE77" s="2198"/>
      <c r="SYF77" s="2198"/>
      <c r="SYG77" s="2198"/>
      <c r="SYH77" s="2198"/>
      <c r="SYI77" s="2198"/>
      <c r="SYJ77" s="2198"/>
      <c r="SYK77" s="2198"/>
      <c r="SYL77" s="2198"/>
      <c r="SYM77" s="2198"/>
      <c r="SYN77" s="2198"/>
      <c r="SYO77" s="2198"/>
      <c r="SYP77" s="2198"/>
      <c r="SYQ77" s="2198"/>
      <c r="SYR77" s="2198"/>
      <c r="SYS77" s="2198"/>
      <c r="SYT77" s="2198"/>
      <c r="SYU77" s="2198"/>
      <c r="SYV77" s="2198"/>
      <c r="SYW77" s="2198"/>
      <c r="SYX77" s="2198"/>
      <c r="SYY77" s="2198"/>
      <c r="SYZ77" s="2198"/>
      <c r="SZA77" s="2198"/>
      <c r="SZB77" s="2198"/>
      <c r="SZC77" s="2198"/>
      <c r="SZD77" s="2198"/>
      <c r="SZE77" s="2198"/>
      <c r="SZF77" s="2198"/>
      <c r="SZG77" s="2198"/>
      <c r="SZH77" s="2198"/>
      <c r="SZI77" s="2198"/>
      <c r="SZJ77" s="2198"/>
      <c r="SZK77" s="2198"/>
      <c r="SZL77" s="2198"/>
      <c r="SZM77" s="2198"/>
      <c r="SZN77" s="2198"/>
      <c r="SZO77" s="2198"/>
      <c r="SZP77" s="2198"/>
      <c r="SZQ77" s="2198"/>
      <c r="SZR77" s="2198"/>
      <c r="SZS77" s="2198"/>
      <c r="SZT77" s="2198"/>
      <c r="SZU77" s="2198"/>
      <c r="SZV77" s="2198"/>
      <c r="SZW77" s="2198"/>
      <c r="SZX77" s="2198"/>
      <c r="SZY77" s="2198"/>
      <c r="SZZ77" s="2198"/>
      <c r="TAA77" s="2198"/>
      <c r="TAB77" s="2198"/>
      <c r="TAC77" s="2198"/>
      <c r="TAD77" s="2198"/>
      <c r="TAE77" s="2198"/>
      <c r="TAF77" s="2198"/>
      <c r="TAG77" s="2198"/>
      <c r="TAH77" s="2198"/>
      <c r="TAI77" s="2198"/>
      <c r="TAJ77" s="2198"/>
      <c r="TAK77" s="2198"/>
      <c r="TAL77" s="2198"/>
      <c r="TAM77" s="2198"/>
      <c r="TAN77" s="2198"/>
      <c r="TAO77" s="2198"/>
      <c r="TAP77" s="2198"/>
      <c r="TAQ77" s="2198"/>
      <c r="TAR77" s="2198"/>
      <c r="TAS77" s="2198"/>
      <c r="TAT77" s="2198"/>
      <c r="TAU77" s="2198"/>
      <c r="TAV77" s="2198"/>
      <c r="TAW77" s="2198"/>
      <c r="TAX77" s="2198"/>
      <c r="TAY77" s="2198"/>
      <c r="TAZ77" s="2198"/>
      <c r="TBA77" s="2198"/>
      <c r="TBB77" s="2198"/>
      <c r="TBC77" s="2198"/>
      <c r="TBD77" s="2198"/>
      <c r="TBE77" s="2198"/>
      <c r="TBF77" s="2198"/>
      <c r="TBG77" s="2198"/>
      <c r="TBH77" s="2198"/>
      <c r="TBI77" s="2198"/>
      <c r="TBJ77" s="2198"/>
      <c r="TBK77" s="2198"/>
      <c r="TBL77" s="2198"/>
      <c r="TBM77" s="2198"/>
      <c r="TBN77" s="2198"/>
      <c r="TBO77" s="2198"/>
      <c r="TBP77" s="2198"/>
      <c r="TBQ77" s="2198"/>
      <c r="TBR77" s="2198"/>
      <c r="TBS77" s="2198"/>
      <c r="TBT77" s="2198"/>
      <c r="TBU77" s="2198"/>
      <c r="TBV77" s="2198"/>
      <c r="TBW77" s="2198"/>
      <c r="TBX77" s="2198"/>
      <c r="TBY77" s="2198"/>
      <c r="TBZ77" s="2198"/>
      <c r="TCA77" s="2198"/>
      <c r="TCB77" s="2198"/>
      <c r="TCC77" s="2198"/>
      <c r="TCD77" s="2198"/>
      <c r="TCE77" s="2198"/>
      <c r="TCF77" s="2198"/>
      <c r="TCG77" s="2198"/>
      <c r="TCH77" s="2198"/>
      <c r="TCI77" s="2198"/>
      <c r="TCJ77" s="2198"/>
      <c r="TCK77" s="2198"/>
      <c r="TCL77" s="2198"/>
      <c r="TCM77" s="2198"/>
      <c r="TCN77" s="2198"/>
      <c r="TCO77" s="2198"/>
      <c r="TCP77" s="2198"/>
      <c r="TCQ77" s="2198"/>
      <c r="TCR77" s="2198"/>
      <c r="TCS77" s="2198"/>
      <c r="TCT77" s="2198"/>
      <c r="TCU77" s="2198"/>
      <c r="TCV77" s="2198"/>
      <c r="TCW77" s="2198"/>
      <c r="TCX77" s="2198"/>
      <c r="TCY77" s="2198"/>
      <c r="TCZ77" s="2198"/>
      <c r="TDA77" s="2198"/>
      <c r="TDB77" s="2198"/>
      <c r="TDC77" s="2198"/>
      <c r="TDD77" s="2198"/>
      <c r="TDE77" s="2198"/>
      <c r="TDF77" s="2198"/>
      <c r="TDG77" s="2198"/>
      <c r="TDH77" s="2198"/>
      <c r="TDI77" s="2198"/>
      <c r="TDJ77" s="2198"/>
      <c r="TDK77" s="2198"/>
      <c r="TDL77" s="2198"/>
      <c r="TDM77" s="2198"/>
      <c r="TDN77" s="2198"/>
      <c r="TDO77" s="2198"/>
      <c r="TDP77" s="2198"/>
      <c r="TDQ77" s="2198"/>
      <c r="TDR77" s="2198"/>
      <c r="TDS77" s="2198"/>
      <c r="TDT77" s="2198"/>
      <c r="TDU77" s="2198"/>
      <c r="TDV77" s="2198"/>
      <c r="TDW77" s="2198"/>
      <c r="TDX77" s="2198"/>
      <c r="TDY77" s="2198"/>
      <c r="TDZ77" s="2198"/>
      <c r="TEA77" s="2198"/>
      <c r="TEB77" s="2198"/>
      <c r="TEC77" s="2198"/>
      <c r="TED77" s="2198"/>
      <c r="TEE77" s="2198"/>
      <c r="TEF77" s="2198"/>
      <c r="TEG77" s="2198"/>
      <c r="TEH77" s="2198"/>
      <c r="TEI77" s="2198"/>
      <c r="TEJ77" s="2198"/>
      <c r="TEK77" s="2198"/>
      <c r="TEL77" s="2198"/>
      <c r="TEM77" s="2198"/>
      <c r="TEN77" s="2198"/>
      <c r="TEO77" s="2198"/>
      <c r="TEP77" s="2198"/>
      <c r="TEQ77" s="2198"/>
      <c r="TER77" s="2198"/>
      <c r="TES77" s="2198"/>
      <c r="TET77" s="2198"/>
      <c r="TEU77" s="2198"/>
      <c r="TEV77" s="2198"/>
      <c r="TEW77" s="2198"/>
      <c r="TEX77" s="2198"/>
      <c r="TEY77" s="2198"/>
      <c r="TEZ77" s="2198"/>
      <c r="TFA77" s="2198"/>
      <c r="TFB77" s="2198"/>
      <c r="TFC77" s="2198"/>
      <c r="TFD77" s="2198"/>
      <c r="TFE77" s="2198"/>
      <c r="TFF77" s="2198"/>
      <c r="TFG77" s="2198"/>
      <c r="TFH77" s="2198"/>
      <c r="TFI77" s="2198"/>
      <c r="TFJ77" s="2198"/>
      <c r="TFK77" s="2198"/>
      <c r="TFL77" s="2198"/>
      <c r="TFM77" s="2198"/>
      <c r="TFN77" s="2198"/>
      <c r="TFO77" s="2198"/>
      <c r="TFP77" s="2198"/>
      <c r="TFQ77" s="2198"/>
      <c r="TFR77" s="2198"/>
      <c r="TFS77" s="2198"/>
      <c r="TFT77" s="2198"/>
      <c r="TFU77" s="2198"/>
      <c r="TFV77" s="2198"/>
      <c r="TFW77" s="2198"/>
      <c r="TFX77" s="2198"/>
      <c r="TFY77" s="2198"/>
      <c r="TFZ77" s="2198"/>
      <c r="TGA77" s="2198"/>
      <c r="TGB77" s="2198"/>
      <c r="TGC77" s="2198"/>
      <c r="TGD77" s="2198"/>
      <c r="TGE77" s="2198"/>
      <c r="TGF77" s="2198"/>
      <c r="TGG77" s="2198"/>
      <c r="TGH77" s="2198"/>
      <c r="TGI77" s="2198"/>
      <c r="TGJ77" s="2198"/>
      <c r="TGK77" s="2198"/>
      <c r="TGL77" s="2198"/>
      <c r="TGM77" s="2198"/>
      <c r="TGN77" s="2198"/>
      <c r="TGO77" s="2198"/>
      <c r="TGP77" s="2198"/>
      <c r="TGQ77" s="2198"/>
      <c r="TGR77" s="2198"/>
      <c r="TGS77" s="2198"/>
      <c r="TGT77" s="2198"/>
      <c r="TGU77" s="2198"/>
      <c r="TGV77" s="2198"/>
      <c r="TGW77" s="2198"/>
      <c r="TGX77" s="2198"/>
      <c r="TGY77" s="2198"/>
      <c r="TGZ77" s="2198"/>
      <c r="THA77" s="2198"/>
      <c r="THB77" s="2198"/>
      <c r="THC77" s="2198"/>
      <c r="THD77" s="2198"/>
      <c r="THE77" s="2198"/>
      <c r="THF77" s="2198"/>
      <c r="THG77" s="2198"/>
      <c r="THH77" s="2198"/>
      <c r="THI77" s="2198"/>
      <c r="THJ77" s="2198"/>
      <c r="THK77" s="2198"/>
      <c r="THL77" s="2198"/>
      <c r="THM77" s="2198"/>
      <c r="THN77" s="2198"/>
      <c r="THO77" s="2198"/>
      <c r="THP77" s="2198"/>
      <c r="THQ77" s="2198"/>
      <c r="THR77" s="2198"/>
      <c r="THS77" s="2198"/>
      <c r="THT77" s="2198"/>
      <c r="THU77" s="2198"/>
      <c r="THV77" s="2198"/>
      <c r="THW77" s="2198"/>
      <c r="THX77" s="2198"/>
      <c r="THY77" s="2198"/>
      <c r="THZ77" s="2198"/>
      <c r="TIA77" s="2198"/>
      <c r="TIB77" s="2198"/>
      <c r="TIC77" s="2198"/>
      <c r="TID77" s="2198"/>
      <c r="TIE77" s="2198"/>
      <c r="TIF77" s="2198"/>
      <c r="TIG77" s="2198"/>
      <c r="TIH77" s="2198"/>
      <c r="TII77" s="2198"/>
      <c r="TIJ77" s="2198"/>
      <c r="TIK77" s="2198"/>
      <c r="TIL77" s="2198"/>
      <c r="TIM77" s="2198"/>
      <c r="TIN77" s="2198"/>
      <c r="TIO77" s="2198"/>
      <c r="TIP77" s="2198"/>
      <c r="TIQ77" s="2198"/>
      <c r="TIR77" s="2198"/>
      <c r="TIS77" s="2198"/>
      <c r="TIT77" s="2198"/>
      <c r="TIU77" s="2198"/>
      <c r="TIV77" s="2198"/>
      <c r="TIW77" s="2198"/>
      <c r="TIX77" s="2198"/>
      <c r="TIY77" s="2198"/>
      <c r="TIZ77" s="2198"/>
      <c r="TJA77" s="2198"/>
      <c r="TJB77" s="2198"/>
      <c r="TJC77" s="2198"/>
      <c r="TJD77" s="2198"/>
      <c r="TJE77" s="2198"/>
      <c r="TJF77" s="2198"/>
      <c r="TJG77" s="2198"/>
      <c r="TJH77" s="2198"/>
      <c r="TJI77" s="2198"/>
      <c r="TJJ77" s="2198"/>
      <c r="TJK77" s="2198"/>
      <c r="TJL77" s="2198"/>
      <c r="TJM77" s="2198"/>
      <c r="TJN77" s="2198"/>
      <c r="TJO77" s="2198"/>
      <c r="TJP77" s="2198"/>
      <c r="TJQ77" s="2198"/>
      <c r="TJR77" s="2198"/>
      <c r="TJS77" s="2198"/>
      <c r="TJT77" s="2198"/>
      <c r="TJU77" s="2198"/>
      <c r="TJV77" s="2198"/>
      <c r="TJW77" s="2198"/>
      <c r="TJX77" s="2198"/>
      <c r="TJY77" s="2198"/>
      <c r="TJZ77" s="2198"/>
      <c r="TKA77" s="2198"/>
      <c r="TKB77" s="2198"/>
      <c r="TKC77" s="2198"/>
      <c r="TKD77" s="2198"/>
      <c r="TKE77" s="2198"/>
      <c r="TKF77" s="2198"/>
      <c r="TKG77" s="2198"/>
      <c r="TKH77" s="2198"/>
      <c r="TKI77" s="2198"/>
      <c r="TKJ77" s="2198"/>
      <c r="TKK77" s="2198"/>
      <c r="TKL77" s="2198"/>
      <c r="TKM77" s="2198"/>
      <c r="TKN77" s="2198"/>
      <c r="TKO77" s="2198"/>
      <c r="TKP77" s="2198"/>
      <c r="TKQ77" s="2198"/>
      <c r="TKR77" s="2198"/>
      <c r="TKS77" s="2198"/>
      <c r="TKT77" s="2198"/>
      <c r="TKU77" s="2198"/>
      <c r="TKV77" s="2198"/>
      <c r="TKW77" s="2198"/>
      <c r="TKX77" s="2198"/>
      <c r="TKY77" s="2198"/>
      <c r="TKZ77" s="2198"/>
      <c r="TLA77" s="2198"/>
      <c r="TLB77" s="2198"/>
      <c r="TLC77" s="2198"/>
      <c r="TLD77" s="2198"/>
      <c r="TLE77" s="2198"/>
      <c r="TLF77" s="2198"/>
      <c r="TLG77" s="2198"/>
      <c r="TLH77" s="2198"/>
      <c r="TLI77" s="2198"/>
      <c r="TLJ77" s="2198"/>
      <c r="TLK77" s="2198"/>
      <c r="TLL77" s="2198"/>
      <c r="TLM77" s="2198"/>
      <c r="TLN77" s="2198"/>
      <c r="TLO77" s="2198"/>
      <c r="TLP77" s="2198"/>
      <c r="TLQ77" s="2198"/>
      <c r="TLR77" s="2198"/>
      <c r="TLS77" s="2198"/>
      <c r="TLT77" s="2198"/>
      <c r="TLU77" s="2198"/>
      <c r="TLV77" s="2198"/>
      <c r="TLW77" s="2198"/>
      <c r="TLX77" s="2198"/>
      <c r="TLY77" s="2198"/>
      <c r="TLZ77" s="2198"/>
      <c r="TMA77" s="2198"/>
      <c r="TMB77" s="2198"/>
      <c r="TMC77" s="2198"/>
      <c r="TMD77" s="2198"/>
      <c r="TME77" s="2198"/>
      <c r="TMF77" s="2198"/>
      <c r="TMG77" s="2198"/>
      <c r="TMH77" s="2198"/>
      <c r="TMI77" s="2198"/>
      <c r="TMJ77" s="2198"/>
      <c r="TMK77" s="2198"/>
      <c r="TML77" s="2198"/>
      <c r="TMM77" s="2198"/>
      <c r="TMN77" s="2198"/>
      <c r="TMO77" s="2198"/>
      <c r="TMP77" s="2198"/>
      <c r="TMQ77" s="2198"/>
      <c r="TMR77" s="2198"/>
      <c r="TMS77" s="2198"/>
      <c r="TMT77" s="2198"/>
      <c r="TMU77" s="2198"/>
      <c r="TMV77" s="2198"/>
      <c r="TMW77" s="2198"/>
      <c r="TMX77" s="2198"/>
      <c r="TMY77" s="2198"/>
      <c r="TMZ77" s="2198"/>
      <c r="TNA77" s="2198"/>
      <c r="TNB77" s="2198"/>
      <c r="TNC77" s="2198"/>
      <c r="TND77" s="2198"/>
      <c r="TNE77" s="2198"/>
      <c r="TNF77" s="2198"/>
      <c r="TNG77" s="2198"/>
      <c r="TNH77" s="2198"/>
      <c r="TNI77" s="2198"/>
      <c r="TNJ77" s="2198"/>
      <c r="TNK77" s="2198"/>
      <c r="TNL77" s="2198"/>
      <c r="TNM77" s="2198"/>
      <c r="TNN77" s="2198"/>
      <c r="TNO77" s="2198"/>
      <c r="TNP77" s="2198"/>
      <c r="TNQ77" s="2198"/>
      <c r="TNR77" s="2198"/>
      <c r="TNS77" s="2198"/>
      <c r="TNT77" s="2198"/>
      <c r="TNU77" s="2198"/>
      <c r="TNV77" s="2198"/>
      <c r="TNW77" s="2198"/>
      <c r="TNX77" s="2198"/>
      <c r="TNY77" s="2198"/>
      <c r="TNZ77" s="2198"/>
      <c r="TOA77" s="2198"/>
      <c r="TOB77" s="2198"/>
      <c r="TOC77" s="2198"/>
      <c r="TOD77" s="2198"/>
      <c r="TOE77" s="2198"/>
      <c r="TOF77" s="2198"/>
      <c r="TOG77" s="2198"/>
      <c r="TOH77" s="2198"/>
      <c r="TOI77" s="2198"/>
      <c r="TOJ77" s="2198"/>
      <c r="TOK77" s="2198"/>
      <c r="TOL77" s="2198"/>
      <c r="TOM77" s="2198"/>
      <c r="TON77" s="2198"/>
      <c r="TOO77" s="2198"/>
      <c r="TOP77" s="2198"/>
      <c r="TOQ77" s="2198"/>
      <c r="TOR77" s="2198"/>
      <c r="TOS77" s="2198"/>
      <c r="TOT77" s="2198"/>
      <c r="TOU77" s="2198"/>
      <c r="TOV77" s="2198"/>
      <c r="TOW77" s="2198"/>
      <c r="TOX77" s="2198"/>
      <c r="TOY77" s="2198"/>
      <c r="TOZ77" s="2198"/>
      <c r="TPA77" s="2198"/>
      <c r="TPB77" s="2198"/>
      <c r="TPC77" s="2198"/>
      <c r="TPD77" s="2198"/>
      <c r="TPE77" s="2198"/>
      <c r="TPF77" s="2198"/>
      <c r="TPG77" s="2198"/>
      <c r="TPH77" s="2198"/>
      <c r="TPI77" s="2198"/>
      <c r="TPJ77" s="2198"/>
      <c r="TPK77" s="2198"/>
      <c r="TPL77" s="2198"/>
      <c r="TPM77" s="2198"/>
      <c r="TPN77" s="2198"/>
      <c r="TPO77" s="2198"/>
      <c r="TPP77" s="2198"/>
      <c r="TPQ77" s="2198"/>
      <c r="TPR77" s="2198"/>
      <c r="TPS77" s="2198"/>
      <c r="TPT77" s="2198"/>
      <c r="TPU77" s="2198"/>
      <c r="TPV77" s="2198"/>
      <c r="TPW77" s="2198"/>
      <c r="TPX77" s="2198"/>
      <c r="TPY77" s="2198"/>
      <c r="TPZ77" s="2198"/>
      <c r="TQA77" s="2198"/>
      <c r="TQB77" s="2198"/>
      <c r="TQC77" s="2198"/>
      <c r="TQD77" s="2198"/>
      <c r="TQE77" s="2198"/>
      <c r="TQF77" s="2198"/>
      <c r="TQG77" s="2198"/>
      <c r="TQH77" s="2198"/>
      <c r="TQI77" s="2198"/>
      <c r="TQJ77" s="2198"/>
      <c r="TQK77" s="2198"/>
      <c r="TQL77" s="2198"/>
      <c r="TQM77" s="2198"/>
      <c r="TQN77" s="2198"/>
      <c r="TQO77" s="2198"/>
      <c r="TQP77" s="2198"/>
      <c r="TQQ77" s="2198"/>
      <c r="TQR77" s="2198"/>
      <c r="TQS77" s="2198"/>
      <c r="TQT77" s="2198"/>
      <c r="TQU77" s="2198"/>
      <c r="TQV77" s="2198"/>
      <c r="TQW77" s="2198"/>
      <c r="TQX77" s="2198"/>
      <c r="TQY77" s="2198"/>
      <c r="TQZ77" s="2198"/>
      <c r="TRA77" s="2198"/>
      <c r="TRB77" s="2198"/>
      <c r="TRC77" s="2198"/>
      <c r="TRD77" s="2198"/>
      <c r="TRE77" s="2198"/>
      <c r="TRF77" s="2198"/>
      <c r="TRG77" s="2198"/>
      <c r="TRH77" s="2198"/>
      <c r="TRI77" s="2198"/>
      <c r="TRJ77" s="2198"/>
      <c r="TRK77" s="2198"/>
      <c r="TRL77" s="2198"/>
      <c r="TRM77" s="2198"/>
      <c r="TRN77" s="2198"/>
      <c r="TRO77" s="2198"/>
      <c r="TRP77" s="2198"/>
      <c r="TRQ77" s="2198"/>
      <c r="TRR77" s="2198"/>
      <c r="TRS77" s="2198"/>
      <c r="TRT77" s="2198"/>
      <c r="TRU77" s="2198"/>
      <c r="TRV77" s="2198"/>
      <c r="TRW77" s="2198"/>
      <c r="TRX77" s="2198"/>
      <c r="TRY77" s="2198"/>
      <c r="TRZ77" s="2198"/>
      <c r="TSA77" s="2198"/>
      <c r="TSB77" s="2198"/>
      <c r="TSC77" s="2198"/>
      <c r="TSD77" s="2198"/>
      <c r="TSE77" s="2198"/>
      <c r="TSF77" s="2198"/>
      <c r="TSG77" s="2198"/>
      <c r="TSH77" s="2198"/>
      <c r="TSI77" s="2198"/>
      <c r="TSJ77" s="2198"/>
      <c r="TSK77" s="2198"/>
      <c r="TSL77" s="2198"/>
      <c r="TSM77" s="2198"/>
      <c r="TSN77" s="2198"/>
      <c r="TSO77" s="2198"/>
      <c r="TSP77" s="2198"/>
      <c r="TSQ77" s="2198"/>
      <c r="TSR77" s="2198"/>
      <c r="TSS77" s="2198"/>
      <c r="TST77" s="2198"/>
      <c r="TSU77" s="2198"/>
      <c r="TSV77" s="2198"/>
      <c r="TSW77" s="2198"/>
      <c r="TSX77" s="2198"/>
      <c r="TSY77" s="2198"/>
      <c r="TSZ77" s="2198"/>
      <c r="TTA77" s="2198"/>
      <c r="TTB77" s="2198"/>
      <c r="TTC77" s="2198"/>
      <c r="TTD77" s="2198"/>
      <c r="TTE77" s="2198"/>
      <c r="TTF77" s="2198"/>
      <c r="TTG77" s="2198"/>
      <c r="TTH77" s="2198"/>
      <c r="TTI77" s="2198"/>
      <c r="TTJ77" s="2198"/>
      <c r="TTK77" s="2198"/>
      <c r="TTL77" s="2198"/>
      <c r="TTM77" s="2198"/>
      <c r="TTN77" s="2198"/>
      <c r="TTO77" s="2198"/>
      <c r="TTP77" s="2198"/>
      <c r="TTQ77" s="2198"/>
      <c r="TTR77" s="2198"/>
      <c r="TTS77" s="2198"/>
      <c r="TTT77" s="2198"/>
      <c r="TTU77" s="2198"/>
      <c r="TTV77" s="2198"/>
      <c r="TTW77" s="2198"/>
      <c r="TTX77" s="2198"/>
      <c r="TTY77" s="2198"/>
      <c r="TTZ77" s="2198"/>
      <c r="TUA77" s="2198"/>
      <c r="TUB77" s="2198"/>
      <c r="TUC77" s="2198"/>
      <c r="TUD77" s="2198"/>
      <c r="TUE77" s="2198"/>
      <c r="TUF77" s="2198"/>
      <c r="TUG77" s="2198"/>
      <c r="TUH77" s="2198"/>
      <c r="TUI77" s="2198"/>
      <c r="TUJ77" s="2198"/>
      <c r="TUK77" s="2198"/>
      <c r="TUL77" s="2198"/>
      <c r="TUM77" s="2198"/>
      <c r="TUN77" s="2198"/>
      <c r="TUO77" s="2198"/>
      <c r="TUP77" s="2198"/>
      <c r="TUQ77" s="2198"/>
      <c r="TUR77" s="2198"/>
      <c r="TUS77" s="2198"/>
      <c r="TUT77" s="2198"/>
      <c r="TUU77" s="2198"/>
      <c r="TUV77" s="2198"/>
      <c r="TUW77" s="2198"/>
      <c r="TUX77" s="2198"/>
      <c r="TUY77" s="2198"/>
      <c r="TUZ77" s="2198"/>
      <c r="TVA77" s="2198"/>
      <c r="TVB77" s="2198"/>
      <c r="TVC77" s="2198"/>
      <c r="TVD77" s="2198"/>
      <c r="TVE77" s="2198"/>
      <c r="TVF77" s="2198"/>
      <c r="TVG77" s="2198"/>
      <c r="TVH77" s="2198"/>
      <c r="TVI77" s="2198"/>
      <c r="TVJ77" s="2198"/>
      <c r="TVK77" s="2198"/>
      <c r="TVL77" s="2198"/>
      <c r="TVM77" s="2198"/>
      <c r="TVN77" s="2198"/>
      <c r="TVO77" s="2198"/>
      <c r="TVP77" s="2198"/>
      <c r="TVQ77" s="2198"/>
      <c r="TVR77" s="2198"/>
      <c r="TVS77" s="2198"/>
      <c r="TVT77" s="2198"/>
      <c r="TVU77" s="2198"/>
      <c r="TVV77" s="2198"/>
      <c r="TVW77" s="2198"/>
      <c r="TVX77" s="2198"/>
      <c r="TVY77" s="2198"/>
      <c r="TVZ77" s="2198"/>
      <c r="TWA77" s="2198"/>
      <c r="TWB77" s="2198"/>
      <c r="TWC77" s="2198"/>
      <c r="TWD77" s="2198"/>
      <c r="TWE77" s="2198"/>
      <c r="TWF77" s="2198"/>
      <c r="TWG77" s="2198"/>
      <c r="TWH77" s="2198"/>
      <c r="TWI77" s="2198"/>
      <c r="TWJ77" s="2198"/>
      <c r="TWK77" s="2198"/>
      <c r="TWL77" s="2198"/>
      <c r="TWM77" s="2198"/>
      <c r="TWN77" s="2198"/>
      <c r="TWO77" s="2198"/>
      <c r="TWP77" s="2198"/>
      <c r="TWQ77" s="2198"/>
      <c r="TWR77" s="2198"/>
      <c r="TWS77" s="2198"/>
      <c r="TWT77" s="2198"/>
      <c r="TWU77" s="2198"/>
      <c r="TWV77" s="2198"/>
      <c r="TWW77" s="2198"/>
      <c r="TWX77" s="2198"/>
      <c r="TWY77" s="2198"/>
      <c r="TWZ77" s="2198"/>
      <c r="TXA77" s="2198"/>
      <c r="TXB77" s="2198"/>
      <c r="TXC77" s="2198"/>
      <c r="TXD77" s="2198"/>
      <c r="TXE77" s="2198"/>
      <c r="TXF77" s="2198"/>
      <c r="TXG77" s="2198"/>
      <c r="TXH77" s="2198"/>
      <c r="TXI77" s="2198"/>
      <c r="TXJ77" s="2198"/>
      <c r="TXK77" s="2198"/>
      <c r="TXL77" s="2198"/>
      <c r="TXM77" s="2198"/>
      <c r="TXN77" s="2198"/>
      <c r="TXO77" s="2198"/>
      <c r="TXP77" s="2198"/>
      <c r="TXQ77" s="2198"/>
      <c r="TXR77" s="2198"/>
      <c r="TXS77" s="2198"/>
      <c r="TXT77" s="2198"/>
      <c r="TXU77" s="2198"/>
      <c r="TXV77" s="2198"/>
      <c r="TXW77" s="2198"/>
      <c r="TXX77" s="2198"/>
      <c r="TXY77" s="2198"/>
      <c r="TXZ77" s="2198"/>
      <c r="TYA77" s="2198"/>
      <c r="TYB77" s="2198"/>
      <c r="TYC77" s="2198"/>
      <c r="TYD77" s="2198"/>
      <c r="TYE77" s="2198"/>
      <c r="TYF77" s="2198"/>
      <c r="TYG77" s="2198"/>
      <c r="TYH77" s="2198"/>
      <c r="TYI77" s="2198"/>
      <c r="TYJ77" s="2198"/>
      <c r="TYK77" s="2198"/>
      <c r="TYL77" s="2198"/>
      <c r="TYM77" s="2198"/>
      <c r="TYN77" s="2198"/>
      <c r="TYO77" s="2198"/>
      <c r="TYP77" s="2198"/>
      <c r="TYQ77" s="2198"/>
      <c r="TYR77" s="2198"/>
      <c r="TYS77" s="2198"/>
      <c r="TYT77" s="2198"/>
      <c r="TYU77" s="2198"/>
      <c r="TYV77" s="2198"/>
      <c r="TYW77" s="2198"/>
      <c r="TYX77" s="2198"/>
      <c r="TYY77" s="2198"/>
      <c r="TYZ77" s="2198"/>
      <c r="TZA77" s="2198"/>
      <c r="TZB77" s="2198"/>
      <c r="TZC77" s="2198"/>
      <c r="TZD77" s="2198"/>
      <c r="TZE77" s="2198"/>
      <c r="TZF77" s="2198"/>
      <c r="TZG77" s="2198"/>
      <c r="TZH77" s="2198"/>
      <c r="TZI77" s="2198"/>
      <c r="TZJ77" s="2198"/>
      <c r="TZK77" s="2198"/>
      <c r="TZL77" s="2198"/>
      <c r="TZM77" s="2198"/>
      <c r="TZN77" s="2198"/>
      <c r="TZO77" s="2198"/>
      <c r="TZP77" s="2198"/>
      <c r="TZQ77" s="2198"/>
      <c r="TZR77" s="2198"/>
      <c r="TZS77" s="2198"/>
      <c r="TZT77" s="2198"/>
      <c r="TZU77" s="2198"/>
      <c r="TZV77" s="2198"/>
      <c r="TZW77" s="2198"/>
      <c r="TZX77" s="2198"/>
      <c r="TZY77" s="2198"/>
      <c r="TZZ77" s="2198"/>
      <c r="UAA77" s="2198"/>
      <c r="UAB77" s="2198"/>
      <c r="UAC77" s="2198"/>
      <c r="UAD77" s="2198"/>
      <c r="UAE77" s="2198"/>
      <c r="UAF77" s="2198"/>
      <c r="UAG77" s="2198"/>
      <c r="UAH77" s="2198"/>
      <c r="UAI77" s="2198"/>
      <c r="UAJ77" s="2198"/>
      <c r="UAK77" s="2198"/>
      <c r="UAL77" s="2198"/>
      <c r="UAM77" s="2198"/>
      <c r="UAN77" s="2198"/>
      <c r="UAO77" s="2198"/>
      <c r="UAP77" s="2198"/>
      <c r="UAQ77" s="2198"/>
      <c r="UAR77" s="2198"/>
      <c r="UAS77" s="2198"/>
      <c r="UAT77" s="2198"/>
      <c r="UAU77" s="2198"/>
      <c r="UAV77" s="2198"/>
      <c r="UAW77" s="2198"/>
      <c r="UAX77" s="2198"/>
      <c r="UAY77" s="2198"/>
      <c r="UAZ77" s="2198"/>
      <c r="UBA77" s="2198"/>
      <c r="UBB77" s="2198"/>
      <c r="UBC77" s="2198"/>
      <c r="UBD77" s="2198"/>
      <c r="UBE77" s="2198"/>
      <c r="UBF77" s="2198"/>
      <c r="UBG77" s="2198"/>
      <c r="UBH77" s="2198"/>
      <c r="UBI77" s="2198"/>
      <c r="UBJ77" s="2198"/>
      <c r="UBK77" s="2198"/>
      <c r="UBL77" s="2198"/>
      <c r="UBM77" s="2198"/>
      <c r="UBN77" s="2198"/>
      <c r="UBO77" s="2198"/>
      <c r="UBP77" s="2198"/>
      <c r="UBQ77" s="2198"/>
      <c r="UBR77" s="2198"/>
      <c r="UBS77" s="2198"/>
      <c r="UBT77" s="2198"/>
      <c r="UBU77" s="2198"/>
      <c r="UBV77" s="2198"/>
      <c r="UBW77" s="2198"/>
      <c r="UBX77" s="2198"/>
      <c r="UBY77" s="2198"/>
      <c r="UBZ77" s="2198"/>
      <c r="UCA77" s="2198"/>
      <c r="UCB77" s="2198"/>
      <c r="UCC77" s="2198"/>
      <c r="UCD77" s="2198"/>
      <c r="UCE77" s="2198"/>
      <c r="UCF77" s="2198"/>
      <c r="UCG77" s="2198"/>
      <c r="UCH77" s="2198"/>
      <c r="UCI77" s="2198"/>
      <c r="UCJ77" s="2198"/>
      <c r="UCK77" s="2198"/>
      <c r="UCL77" s="2198"/>
      <c r="UCM77" s="2198"/>
      <c r="UCN77" s="2198"/>
      <c r="UCO77" s="2198"/>
      <c r="UCP77" s="2198"/>
      <c r="UCQ77" s="2198"/>
      <c r="UCR77" s="2198"/>
      <c r="UCS77" s="2198"/>
      <c r="UCT77" s="2198"/>
      <c r="UCU77" s="2198"/>
      <c r="UCV77" s="2198"/>
      <c r="UCW77" s="2198"/>
      <c r="UCX77" s="2198"/>
      <c r="UCY77" s="2198"/>
      <c r="UCZ77" s="2198"/>
      <c r="UDA77" s="2198"/>
      <c r="UDB77" s="2198"/>
      <c r="UDC77" s="2198"/>
      <c r="UDD77" s="2198"/>
      <c r="UDE77" s="2198"/>
      <c r="UDF77" s="2198"/>
      <c r="UDG77" s="2198"/>
      <c r="UDH77" s="2198"/>
      <c r="UDI77" s="2198"/>
      <c r="UDJ77" s="2198"/>
      <c r="UDK77" s="2198"/>
      <c r="UDL77" s="2198"/>
      <c r="UDM77" s="2198"/>
      <c r="UDN77" s="2198"/>
      <c r="UDO77" s="2198"/>
      <c r="UDP77" s="2198"/>
      <c r="UDQ77" s="2198"/>
      <c r="UDR77" s="2198"/>
      <c r="UDS77" s="2198"/>
      <c r="UDT77" s="2198"/>
      <c r="UDU77" s="2198"/>
      <c r="UDV77" s="2198"/>
      <c r="UDW77" s="2198"/>
      <c r="UDX77" s="2198"/>
      <c r="UDY77" s="2198"/>
      <c r="UDZ77" s="2198"/>
      <c r="UEA77" s="2198"/>
      <c r="UEB77" s="2198"/>
      <c r="UEC77" s="2198"/>
      <c r="UED77" s="2198"/>
      <c r="UEE77" s="2198"/>
      <c r="UEF77" s="2198"/>
      <c r="UEG77" s="2198"/>
      <c r="UEH77" s="2198"/>
      <c r="UEI77" s="2198"/>
      <c r="UEJ77" s="2198"/>
      <c r="UEK77" s="2198"/>
      <c r="UEL77" s="2198"/>
      <c r="UEM77" s="2198"/>
      <c r="UEN77" s="2198"/>
      <c r="UEO77" s="2198"/>
      <c r="UEP77" s="2198"/>
      <c r="UEQ77" s="2198"/>
      <c r="UER77" s="2198"/>
      <c r="UES77" s="2198"/>
      <c r="UET77" s="2198"/>
      <c r="UEU77" s="2198"/>
      <c r="UEV77" s="2198"/>
      <c r="UEW77" s="2198"/>
      <c r="UEX77" s="2198"/>
      <c r="UEY77" s="2198"/>
      <c r="UEZ77" s="2198"/>
      <c r="UFA77" s="2198"/>
      <c r="UFB77" s="2198"/>
      <c r="UFC77" s="2198"/>
      <c r="UFD77" s="2198"/>
      <c r="UFE77" s="2198"/>
      <c r="UFF77" s="2198"/>
      <c r="UFG77" s="2198"/>
      <c r="UFH77" s="2198"/>
      <c r="UFI77" s="2198"/>
      <c r="UFJ77" s="2198"/>
      <c r="UFK77" s="2198"/>
      <c r="UFL77" s="2198"/>
      <c r="UFM77" s="2198"/>
      <c r="UFN77" s="2198"/>
      <c r="UFO77" s="2198"/>
      <c r="UFP77" s="2198"/>
      <c r="UFQ77" s="2198"/>
      <c r="UFR77" s="2198"/>
      <c r="UFS77" s="2198"/>
      <c r="UFT77" s="2198"/>
      <c r="UFU77" s="2198"/>
      <c r="UFV77" s="2198"/>
      <c r="UFW77" s="2198"/>
      <c r="UFX77" s="2198"/>
      <c r="UFY77" s="2198"/>
      <c r="UFZ77" s="2198"/>
      <c r="UGA77" s="2198"/>
      <c r="UGB77" s="2198"/>
      <c r="UGC77" s="2198"/>
      <c r="UGD77" s="2198"/>
      <c r="UGE77" s="2198"/>
      <c r="UGF77" s="2198"/>
      <c r="UGG77" s="2198"/>
      <c r="UGH77" s="2198"/>
      <c r="UGI77" s="2198"/>
      <c r="UGJ77" s="2198"/>
      <c r="UGK77" s="2198"/>
      <c r="UGL77" s="2198"/>
      <c r="UGM77" s="2198"/>
      <c r="UGN77" s="2198"/>
      <c r="UGO77" s="2198"/>
      <c r="UGP77" s="2198"/>
      <c r="UGQ77" s="2198"/>
      <c r="UGR77" s="2198"/>
      <c r="UGS77" s="2198"/>
      <c r="UGT77" s="2198"/>
      <c r="UGU77" s="2198"/>
      <c r="UGV77" s="2198"/>
      <c r="UGW77" s="2198"/>
      <c r="UGX77" s="2198"/>
      <c r="UGY77" s="2198"/>
      <c r="UGZ77" s="2198"/>
      <c r="UHA77" s="2198"/>
      <c r="UHB77" s="2198"/>
      <c r="UHC77" s="2198"/>
      <c r="UHD77" s="2198"/>
      <c r="UHE77" s="2198"/>
      <c r="UHF77" s="2198"/>
      <c r="UHG77" s="2198"/>
      <c r="UHH77" s="2198"/>
      <c r="UHI77" s="2198"/>
      <c r="UHJ77" s="2198"/>
      <c r="UHK77" s="2198"/>
      <c r="UHL77" s="2198"/>
      <c r="UHM77" s="2198"/>
      <c r="UHN77" s="2198"/>
      <c r="UHO77" s="2198"/>
      <c r="UHP77" s="2198"/>
      <c r="UHQ77" s="2198"/>
      <c r="UHR77" s="2198"/>
      <c r="UHS77" s="2198"/>
      <c r="UHT77" s="2198"/>
      <c r="UHU77" s="2198"/>
      <c r="UHV77" s="2198"/>
      <c r="UHW77" s="2198"/>
      <c r="UHX77" s="2198"/>
      <c r="UHY77" s="2198"/>
      <c r="UHZ77" s="2198"/>
      <c r="UIA77" s="2198"/>
      <c r="UIB77" s="2198"/>
      <c r="UIC77" s="2198"/>
      <c r="UID77" s="2198"/>
      <c r="UIE77" s="2198"/>
      <c r="UIF77" s="2198"/>
      <c r="UIG77" s="2198"/>
      <c r="UIH77" s="2198"/>
      <c r="UII77" s="2198"/>
      <c r="UIJ77" s="2198"/>
      <c r="UIK77" s="2198"/>
      <c r="UIL77" s="2198"/>
      <c r="UIM77" s="2198"/>
      <c r="UIN77" s="2198"/>
      <c r="UIO77" s="2198"/>
      <c r="UIP77" s="2198"/>
      <c r="UIQ77" s="2198"/>
      <c r="UIR77" s="2198"/>
      <c r="UIS77" s="2198"/>
      <c r="UIT77" s="2198"/>
      <c r="UIU77" s="2198"/>
      <c r="UIV77" s="2198"/>
      <c r="UIW77" s="2198"/>
      <c r="UIX77" s="2198"/>
      <c r="UIY77" s="2198"/>
      <c r="UIZ77" s="2198"/>
      <c r="UJA77" s="2198"/>
      <c r="UJB77" s="2198"/>
      <c r="UJC77" s="2198"/>
      <c r="UJD77" s="2198"/>
      <c r="UJE77" s="2198"/>
      <c r="UJF77" s="2198"/>
      <c r="UJG77" s="2198"/>
      <c r="UJH77" s="2198"/>
      <c r="UJI77" s="2198"/>
      <c r="UJJ77" s="2198"/>
      <c r="UJK77" s="2198"/>
      <c r="UJL77" s="2198"/>
      <c r="UJM77" s="2198"/>
      <c r="UJN77" s="2198"/>
      <c r="UJO77" s="2198"/>
      <c r="UJP77" s="2198"/>
      <c r="UJQ77" s="2198"/>
      <c r="UJR77" s="2198"/>
      <c r="UJS77" s="2198"/>
      <c r="UJT77" s="2198"/>
      <c r="UJU77" s="2198"/>
      <c r="UJV77" s="2198"/>
      <c r="UJW77" s="2198"/>
      <c r="UJX77" s="2198"/>
      <c r="UJY77" s="2198"/>
      <c r="UJZ77" s="2198"/>
      <c r="UKA77" s="2198"/>
      <c r="UKB77" s="2198"/>
      <c r="UKC77" s="2198"/>
      <c r="UKD77" s="2198"/>
      <c r="UKE77" s="2198"/>
      <c r="UKF77" s="2198"/>
      <c r="UKG77" s="2198"/>
      <c r="UKH77" s="2198"/>
      <c r="UKI77" s="2198"/>
      <c r="UKJ77" s="2198"/>
      <c r="UKK77" s="2198"/>
      <c r="UKL77" s="2198"/>
      <c r="UKM77" s="2198"/>
      <c r="UKN77" s="2198"/>
      <c r="UKO77" s="2198"/>
      <c r="UKP77" s="2198"/>
      <c r="UKQ77" s="2198"/>
      <c r="UKR77" s="2198"/>
      <c r="UKS77" s="2198"/>
      <c r="UKT77" s="2198"/>
      <c r="UKU77" s="2198"/>
      <c r="UKV77" s="2198"/>
      <c r="UKW77" s="2198"/>
      <c r="UKX77" s="2198"/>
      <c r="UKY77" s="2198"/>
      <c r="UKZ77" s="2198"/>
      <c r="ULA77" s="2198"/>
      <c r="ULB77" s="2198"/>
      <c r="ULC77" s="2198"/>
      <c r="ULD77" s="2198"/>
      <c r="ULE77" s="2198"/>
      <c r="ULF77" s="2198"/>
      <c r="ULG77" s="2198"/>
      <c r="ULH77" s="2198"/>
      <c r="ULI77" s="2198"/>
      <c r="ULJ77" s="2198"/>
      <c r="ULK77" s="2198"/>
      <c r="ULL77" s="2198"/>
      <c r="ULM77" s="2198"/>
      <c r="ULN77" s="2198"/>
      <c r="ULO77" s="2198"/>
      <c r="ULP77" s="2198"/>
      <c r="ULQ77" s="2198"/>
      <c r="ULR77" s="2198"/>
      <c r="ULS77" s="2198"/>
      <c r="ULT77" s="2198"/>
      <c r="ULU77" s="2198"/>
      <c r="ULV77" s="2198"/>
      <c r="ULW77" s="2198"/>
      <c r="ULX77" s="2198"/>
      <c r="ULY77" s="2198"/>
      <c r="ULZ77" s="2198"/>
      <c r="UMA77" s="2198"/>
      <c r="UMB77" s="2198"/>
      <c r="UMC77" s="2198"/>
      <c r="UMD77" s="2198"/>
      <c r="UME77" s="2198"/>
      <c r="UMF77" s="2198"/>
      <c r="UMG77" s="2198"/>
      <c r="UMH77" s="2198"/>
      <c r="UMI77" s="2198"/>
      <c r="UMJ77" s="2198"/>
      <c r="UMK77" s="2198"/>
      <c r="UML77" s="2198"/>
      <c r="UMM77" s="2198"/>
      <c r="UMN77" s="2198"/>
      <c r="UMO77" s="2198"/>
      <c r="UMP77" s="2198"/>
      <c r="UMQ77" s="2198"/>
      <c r="UMR77" s="2198"/>
      <c r="UMS77" s="2198"/>
      <c r="UMT77" s="2198"/>
      <c r="UMU77" s="2198"/>
      <c r="UMV77" s="2198"/>
      <c r="UMW77" s="2198"/>
      <c r="UMX77" s="2198"/>
      <c r="UMY77" s="2198"/>
      <c r="UMZ77" s="2198"/>
      <c r="UNA77" s="2198"/>
      <c r="UNB77" s="2198"/>
      <c r="UNC77" s="2198"/>
      <c r="UND77" s="2198"/>
      <c r="UNE77" s="2198"/>
      <c r="UNF77" s="2198"/>
      <c r="UNG77" s="2198"/>
      <c r="UNH77" s="2198"/>
      <c r="UNI77" s="2198"/>
      <c r="UNJ77" s="2198"/>
      <c r="UNK77" s="2198"/>
      <c r="UNL77" s="2198"/>
      <c r="UNM77" s="2198"/>
      <c r="UNN77" s="2198"/>
      <c r="UNO77" s="2198"/>
      <c r="UNP77" s="2198"/>
      <c r="UNQ77" s="2198"/>
      <c r="UNR77" s="2198"/>
      <c r="UNS77" s="2198"/>
      <c r="UNT77" s="2198"/>
      <c r="UNU77" s="2198"/>
      <c r="UNV77" s="2198"/>
      <c r="UNW77" s="2198"/>
      <c r="UNX77" s="2198"/>
      <c r="UNY77" s="2198"/>
      <c r="UNZ77" s="2198"/>
      <c r="UOA77" s="2198"/>
      <c r="UOB77" s="2198"/>
      <c r="UOC77" s="2198"/>
      <c r="UOD77" s="2198"/>
      <c r="UOE77" s="2198"/>
      <c r="UOF77" s="2198"/>
      <c r="UOG77" s="2198"/>
      <c r="UOH77" s="2198"/>
      <c r="UOI77" s="2198"/>
      <c r="UOJ77" s="2198"/>
      <c r="UOK77" s="2198"/>
      <c r="UOL77" s="2198"/>
      <c r="UOM77" s="2198"/>
      <c r="UON77" s="2198"/>
      <c r="UOO77" s="2198"/>
      <c r="UOP77" s="2198"/>
      <c r="UOQ77" s="2198"/>
      <c r="UOR77" s="2198"/>
      <c r="UOS77" s="2198"/>
      <c r="UOT77" s="2198"/>
      <c r="UOU77" s="2198"/>
      <c r="UOV77" s="2198"/>
      <c r="UOW77" s="2198"/>
      <c r="UOX77" s="2198"/>
      <c r="UOY77" s="2198"/>
      <c r="UOZ77" s="2198"/>
      <c r="UPA77" s="2198"/>
      <c r="UPB77" s="2198"/>
      <c r="UPC77" s="2198"/>
      <c r="UPD77" s="2198"/>
      <c r="UPE77" s="2198"/>
      <c r="UPF77" s="2198"/>
      <c r="UPG77" s="2198"/>
      <c r="UPH77" s="2198"/>
      <c r="UPI77" s="2198"/>
      <c r="UPJ77" s="2198"/>
      <c r="UPK77" s="2198"/>
      <c r="UPL77" s="2198"/>
      <c r="UPM77" s="2198"/>
      <c r="UPN77" s="2198"/>
      <c r="UPO77" s="2198"/>
      <c r="UPP77" s="2198"/>
      <c r="UPQ77" s="2198"/>
      <c r="UPR77" s="2198"/>
      <c r="UPS77" s="2198"/>
      <c r="UPT77" s="2198"/>
      <c r="UPU77" s="2198"/>
      <c r="UPV77" s="2198"/>
      <c r="UPW77" s="2198"/>
      <c r="UPX77" s="2198"/>
      <c r="UPY77" s="2198"/>
      <c r="UPZ77" s="2198"/>
      <c r="UQA77" s="2198"/>
      <c r="UQB77" s="2198"/>
      <c r="UQC77" s="2198"/>
      <c r="UQD77" s="2198"/>
      <c r="UQE77" s="2198"/>
      <c r="UQF77" s="2198"/>
      <c r="UQG77" s="2198"/>
      <c r="UQH77" s="2198"/>
      <c r="UQI77" s="2198"/>
      <c r="UQJ77" s="2198"/>
      <c r="UQK77" s="2198"/>
      <c r="UQL77" s="2198"/>
      <c r="UQM77" s="2198"/>
      <c r="UQN77" s="2198"/>
      <c r="UQO77" s="2198"/>
      <c r="UQP77" s="2198"/>
      <c r="UQQ77" s="2198"/>
      <c r="UQR77" s="2198"/>
      <c r="UQS77" s="2198"/>
      <c r="UQT77" s="2198"/>
      <c r="UQU77" s="2198"/>
      <c r="UQV77" s="2198"/>
      <c r="UQW77" s="2198"/>
      <c r="UQX77" s="2198"/>
      <c r="UQY77" s="2198"/>
      <c r="UQZ77" s="2198"/>
      <c r="URA77" s="2198"/>
      <c r="URB77" s="2198"/>
      <c r="URC77" s="2198"/>
      <c r="URD77" s="2198"/>
      <c r="URE77" s="2198"/>
      <c r="URF77" s="2198"/>
      <c r="URG77" s="2198"/>
      <c r="URH77" s="2198"/>
      <c r="URI77" s="2198"/>
      <c r="URJ77" s="2198"/>
      <c r="URK77" s="2198"/>
      <c r="URL77" s="2198"/>
      <c r="URM77" s="2198"/>
      <c r="URN77" s="2198"/>
      <c r="URO77" s="2198"/>
      <c r="URP77" s="2198"/>
      <c r="URQ77" s="2198"/>
      <c r="URR77" s="2198"/>
      <c r="URS77" s="2198"/>
      <c r="URT77" s="2198"/>
      <c r="URU77" s="2198"/>
      <c r="URV77" s="2198"/>
      <c r="URW77" s="2198"/>
      <c r="URX77" s="2198"/>
      <c r="URY77" s="2198"/>
      <c r="URZ77" s="2198"/>
      <c r="USA77" s="2198"/>
      <c r="USB77" s="2198"/>
      <c r="USC77" s="2198"/>
      <c r="USD77" s="2198"/>
      <c r="USE77" s="2198"/>
      <c r="USF77" s="2198"/>
      <c r="USG77" s="2198"/>
      <c r="USH77" s="2198"/>
      <c r="USI77" s="2198"/>
      <c r="USJ77" s="2198"/>
      <c r="USK77" s="2198"/>
      <c r="USL77" s="2198"/>
      <c r="USM77" s="2198"/>
      <c r="USN77" s="2198"/>
      <c r="USO77" s="2198"/>
      <c r="USP77" s="2198"/>
      <c r="USQ77" s="2198"/>
      <c r="USR77" s="2198"/>
      <c r="USS77" s="2198"/>
      <c r="UST77" s="2198"/>
      <c r="USU77" s="2198"/>
      <c r="USV77" s="2198"/>
      <c r="USW77" s="2198"/>
      <c r="USX77" s="2198"/>
      <c r="USY77" s="2198"/>
      <c r="USZ77" s="2198"/>
      <c r="UTA77" s="2198"/>
      <c r="UTB77" s="2198"/>
      <c r="UTC77" s="2198"/>
      <c r="UTD77" s="2198"/>
      <c r="UTE77" s="2198"/>
      <c r="UTF77" s="2198"/>
      <c r="UTG77" s="2198"/>
      <c r="UTH77" s="2198"/>
      <c r="UTI77" s="2198"/>
      <c r="UTJ77" s="2198"/>
      <c r="UTK77" s="2198"/>
      <c r="UTL77" s="2198"/>
      <c r="UTM77" s="2198"/>
      <c r="UTN77" s="2198"/>
      <c r="UTO77" s="2198"/>
      <c r="UTP77" s="2198"/>
      <c r="UTQ77" s="2198"/>
      <c r="UTR77" s="2198"/>
      <c r="UTS77" s="2198"/>
      <c r="UTT77" s="2198"/>
      <c r="UTU77" s="2198"/>
      <c r="UTV77" s="2198"/>
      <c r="UTW77" s="2198"/>
      <c r="UTX77" s="2198"/>
      <c r="UTY77" s="2198"/>
      <c r="UTZ77" s="2198"/>
      <c r="UUA77" s="2198"/>
      <c r="UUB77" s="2198"/>
      <c r="UUC77" s="2198"/>
      <c r="UUD77" s="2198"/>
      <c r="UUE77" s="2198"/>
      <c r="UUF77" s="2198"/>
      <c r="UUG77" s="2198"/>
      <c r="UUH77" s="2198"/>
      <c r="UUI77" s="2198"/>
      <c r="UUJ77" s="2198"/>
      <c r="UUK77" s="2198"/>
      <c r="UUL77" s="2198"/>
      <c r="UUM77" s="2198"/>
      <c r="UUN77" s="2198"/>
      <c r="UUO77" s="2198"/>
      <c r="UUP77" s="2198"/>
      <c r="UUQ77" s="2198"/>
      <c r="UUR77" s="2198"/>
      <c r="UUS77" s="2198"/>
      <c r="UUT77" s="2198"/>
      <c r="UUU77" s="2198"/>
      <c r="UUV77" s="2198"/>
      <c r="UUW77" s="2198"/>
      <c r="UUX77" s="2198"/>
      <c r="UUY77" s="2198"/>
      <c r="UUZ77" s="2198"/>
      <c r="UVA77" s="2198"/>
      <c r="UVB77" s="2198"/>
      <c r="UVC77" s="2198"/>
      <c r="UVD77" s="2198"/>
      <c r="UVE77" s="2198"/>
      <c r="UVF77" s="2198"/>
      <c r="UVG77" s="2198"/>
      <c r="UVH77" s="2198"/>
      <c r="UVI77" s="2198"/>
      <c r="UVJ77" s="2198"/>
      <c r="UVK77" s="2198"/>
      <c r="UVL77" s="2198"/>
      <c r="UVM77" s="2198"/>
      <c r="UVN77" s="2198"/>
      <c r="UVO77" s="2198"/>
      <c r="UVP77" s="2198"/>
      <c r="UVQ77" s="2198"/>
      <c r="UVR77" s="2198"/>
      <c r="UVS77" s="2198"/>
      <c r="UVT77" s="2198"/>
      <c r="UVU77" s="2198"/>
      <c r="UVV77" s="2198"/>
      <c r="UVW77" s="2198"/>
      <c r="UVX77" s="2198"/>
      <c r="UVY77" s="2198"/>
      <c r="UVZ77" s="2198"/>
      <c r="UWA77" s="2198"/>
      <c r="UWB77" s="2198"/>
      <c r="UWC77" s="2198"/>
      <c r="UWD77" s="2198"/>
      <c r="UWE77" s="2198"/>
      <c r="UWF77" s="2198"/>
      <c r="UWG77" s="2198"/>
      <c r="UWH77" s="2198"/>
      <c r="UWI77" s="2198"/>
      <c r="UWJ77" s="2198"/>
      <c r="UWK77" s="2198"/>
      <c r="UWL77" s="2198"/>
      <c r="UWM77" s="2198"/>
      <c r="UWN77" s="2198"/>
      <c r="UWO77" s="2198"/>
      <c r="UWP77" s="2198"/>
      <c r="UWQ77" s="2198"/>
      <c r="UWR77" s="2198"/>
      <c r="UWS77" s="2198"/>
      <c r="UWT77" s="2198"/>
      <c r="UWU77" s="2198"/>
      <c r="UWV77" s="2198"/>
      <c r="UWW77" s="2198"/>
      <c r="UWX77" s="2198"/>
      <c r="UWY77" s="2198"/>
      <c r="UWZ77" s="2198"/>
      <c r="UXA77" s="2198"/>
      <c r="UXB77" s="2198"/>
      <c r="UXC77" s="2198"/>
      <c r="UXD77" s="2198"/>
      <c r="UXE77" s="2198"/>
      <c r="UXF77" s="2198"/>
      <c r="UXG77" s="2198"/>
      <c r="UXH77" s="2198"/>
      <c r="UXI77" s="2198"/>
      <c r="UXJ77" s="2198"/>
      <c r="UXK77" s="2198"/>
      <c r="UXL77" s="2198"/>
      <c r="UXM77" s="2198"/>
      <c r="UXN77" s="2198"/>
      <c r="UXO77" s="2198"/>
      <c r="UXP77" s="2198"/>
      <c r="UXQ77" s="2198"/>
      <c r="UXR77" s="2198"/>
      <c r="UXS77" s="2198"/>
      <c r="UXT77" s="2198"/>
      <c r="UXU77" s="2198"/>
      <c r="UXV77" s="2198"/>
      <c r="UXW77" s="2198"/>
      <c r="UXX77" s="2198"/>
      <c r="UXY77" s="2198"/>
      <c r="UXZ77" s="2198"/>
      <c r="UYA77" s="2198"/>
      <c r="UYB77" s="2198"/>
      <c r="UYC77" s="2198"/>
      <c r="UYD77" s="2198"/>
      <c r="UYE77" s="2198"/>
      <c r="UYF77" s="2198"/>
      <c r="UYG77" s="2198"/>
      <c r="UYH77" s="2198"/>
      <c r="UYI77" s="2198"/>
      <c r="UYJ77" s="2198"/>
      <c r="UYK77" s="2198"/>
      <c r="UYL77" s="2198"/>
      <c r="UYM77" s="2198"/>
      <c r="UYN77" s="2198"/>
      <c r="UYO77" s="2198"/>
      <c r="UYP77" s="2198"/>
      <c r="UYQ77" s="2198"/>
      <c r="UYR77" s="2198"/>
      <c r="UYS77" s="2198"/>
      <c r="UYT77" s="2198"/>
      <c r="UYU77" s="2198"/>
      <c r="UYV77" s="2198"/>
      <c r="UYW77" s="2198"/>
      <c r="UYX77" s="2198"/>
      <c r="UYY77" s="2198"/>
      <c r="UYZ77" s="2198"/>
      <c r="UZA77" s="2198"/>
      <c r="UZB77" s="2198"/>
      <c r="UZC77" s="2198"/>
      <c r="UZD77" s="2198"/>
      <c r="UZE77" s="2198"/>
      <c r="UZF77" s="2198"/>
      <c r="UZG77" s="2198"/>
      <c r="UZH77" s="2198"/>
      <c r="UZI77" s="2198"/>
      <c r="UZJ77" s="2198"/>
      <c r="UZK77" s="2198"/>
      <c r="UZL77" s="2198"/>
      <c r="UZM77" s="2198"/>
      <c r="UZN77" s="2198"/>
      <c r="UZO77" s="2198"/>
      <c r="UZP77" s="2198"/>
      <c r="UZQ77" s="2198"/>
      <c r="UZR77" s="2198"/>
      <c r="UZS77" s="2198"/>
      <c r="UZT77" s="2198"/>
      <c r="UZU77" s="2198"/>
      <c r="UZV77" s="2198"/>
      <c r="UZW77" s="2198"/>
      <c r="UZX77" s="2198"/>
      <c r="UZY77" s="2198"/>
      <c r="UZZ77" s="2198"/>
      <c r="VAA77" s="2198"/>
      <c r="VAB77" s="2198"/>
      <c r="VAC77" s="2198"/>
      <c r="VAD77" s="2198"/>
      <c r="VAE77" s="2198"/>
      <c r="VAF77" s="2198"/>
      <c r="VAG77" s="2198"/>
      <c r="VAH77" s="2198"/>
      <c r="VAI77" s="2198"/>
      <c r="VAJ77" s="2198"/>
      <c r="VAK77" s="2198"/>
      <c r="VAL77" s="2198"/>
      <c r="VAM77" s="2198"/>
      <c r="VAN77" s="2198"/>
      <c r="VAO77" s="2198"/>
      <c r="VAP77" s="2198"/>
      <c r="VAQ77" s="2198"/>
      <c r="VAR77" s="2198"/>
      <c r="VAS77" s="2198"/>
      <c r="VAT77" s="2198"/>
      <c r="VAU77" s="2198"/>
      <c r="VAV77" s="2198"/>
      <c r="VAW77" s="2198"/>
      <c r="VAX77" s="2198"/>
      <c r="VAY77" s="2198"/>
      <c r="VAZ77" s="2198"/>
      <c r="VBA77" s="2198"/>
      <c r="VBB77" s="2198"/>
      <c r="VBC77" s="2198"/>
      <c r="VBD77" s="2198"/>
      <c r="VBE77" s="2198"/>
      <c r="VBF77" s="2198"/>
      <c r="VBG77" s="2198"/>
      <c r="VBH77" s="2198"/>
      <c r="VBI77" s="2198"/>
      <c r="VBJ77" s="2198"/>
      <c r="VBK77" s="2198"/>
      <c r="VBL77" s="2198"/>
      <c r="VBM77" s="2198"/>
      <c r="VBN77" s="2198"/>
      <c r="VBO77" s="2198"/>
      <c r="VBP77" s="2198"/>
      <c r="VBQ77" s="2198"/>
      <c r="VBR77" s="2198"/>
      <c r="VBS77" s="2198"/>
      <c r="VBT77" s="2198"/>
      <c r="VBU77" s="2198"/>
      <c r="VBV77" s="2198"/>
      <c r="VBW77" s="2198"/>
      <c r="VBX77" s="2198"/>
      <c r="VBY77" s="2198"/>
      <c r="VBZ77" s="2198"/>
      <c r="VCA77" s="2198"/>
      <c r="VCB77" s="2198"/>
      <c r="VCC77" s="2198"/>
      <c r="VCD77" s="2198"/>
      <c r="VCE77" s="2198"/>
      <c r="VCF77" s="2198"/>
      <c r="VCG77" s="2198"/>
      <c r="VCH77" s="2198"/>
      <c r="VCI77" s="2198"/>
      <c r="VCJ77" s="2198"/>
      <c r="VCK77" s="2198"/>
      <c r="VCL77" s="2198"/>
      <c r="VCM77" s="2198"/>
      <c r="VCN77" s="2198"/>
      <c r="VCO77" s="2198"/>
      <c r="VCP77" s="2198"/>
      <c r="VCQ77" s="2198"/>
      <c r="VCR77" s="2198"/>
      <c r="VCS77" s="2198"/>
      <c r="VCT77" s="2198"/>
      <c r="VCU77" s="2198"/>
      <c r="VCV77" s="2198"/>
      <c r="VCW77" s="2198"/>
      <c r="VCX77" s="2198"/>
      <c r="VCY77" s="2198"/>
      <c r="VCZ77" s="2198"/>
      <c r="VDA77" s="2198"/>
      <c r="VDB77" s="2198"/>
      <c r="VDC77" s="2198"/>
      <c r="VDD77" s="2198"/>
      <c r="VDE77" s="2198"/>
      <c r="VDF77" s="2198"/>
      <c r="VDG77" s="2198"/>
      <c r="VDH77" s="2198"/>
      <c r="VDI77" s="2198"/>
      <c r="VDJ77" s="2198"/>
      <c r="VDK77" s="2198"/>
      <c r="VDL77" s="2198"/>
      <c r="VDM77" s="2198"/>
      <c r="VDN77" s="2198"/>
      <c r="VDO77" s="2198"/>
      <c r="VDP77" s="2198"/>
      <c r="VDQ77" s="2198"/>
      <c r="VDR77" s="2198"/>
      <c r="VDS77" s="2198"/>
      <c r="VDT77" s="2198"/>
      <c r="VDU77" s="2198"/>
      <c r="VDV77" s="2198"/>
      <c r="VDW77" s="2198"/>
      <c r="VDX77" s="2198"/>
      <c r="VDY77" s="2198"/>
      <c r="VDZ77" s="2198"/>
      <c r="VEA77" s="2198"/>
      <c r="VEB77" s="2198"/>
      <c r="VEC77" s="2198"/>
      <c r="VED77" s="2198"/>
      <c r="VEE77" s="2198"/>
      <c r="VEF77" s="2198"/>
      <c r="VEG77" s="2198"/>
      <c r="VEH77" s="2198"/>
      <c r="VEI77" s="2198"/>
      <c r="VEJ77" s="2198"/>
      <c r="VEK77" s="2198"/>
      <c r="VEL77" s="2198"/>
      <c r="VEM77" s="2198"/>
      <c r="VEN77" s="2198"/>
      <c r="VEO77" s="2198"/>
      <c r="VEP77" s="2198"/>
      <c r="VEQ77" s="2198"/>
      <c r="VER77" s="2198"/>
      <c r="VES77" s="2198"/>
      <c r="VET77" s="2198"/>
      <c r="VEU77" s="2198"/>
      <c r="VEV77" s="2198"/>
      <c r="VEW77" s="2198"/>
      <c r="VEX77" s="2198"/>
      <c r="VEY77" s="2198"/>
      <c r="VEZ77" s="2198"/>
      <c r="VFA77" s="2198"/>
      <c r="VFB77" s="2198"/>
      <c r="VFC77" s="2198"/>
      <c r="VFD77" s="2198"/>
      <c r="VFE77" s="2198"/>
      <c r="VFF77" s="2198"/>
      <c r="VFG77" s="2198"/>
      <c r="VFH77" s="2198"/>
      <c r="VFI77" s="2198"/>
      <c r="VFJ77" s="2198"/>
      <c r="VFK77" s="2198"/>
      <c r="VFL77" s="2198"/>
      <c r="VFM77" s="2198"/>
      <c r="VFN77" s="2198"/>
      <c r="VFO77" s="2198"/>
      <c r="VFP77" s="2198"/>
      <c r="VFQ77" s="2198"/>
      <c r="VFR77" s="2198"/>
      <c r="VFS77" s="2198"/>
      <c r="VFT77" s="2198"/>
      <c r="VFU77" s="2198"/>
      <c r="VFV77" s="2198"/>
      <c r="VFW77" s="2198"/>
      <c r="VFX77" s="2198"/>
      <c r="VFY77" s="2198"/>
      <c r="VFZ77" s="2198"/>
      <c r="VGA77" s="2198"/>
      <c r="VGB77" s="2198"/>
      <c r="VGC77" s="2198"/>
      <c r="VGD77" s="2198"/>
      <c r="VGE77" s="2198"/>
      <c r="VGF77" s="2198"/>
      <c r="VGG77" s="2198"/>
      <c r="VGH77" s="2198"/>
      <c r="VGI77" s="2198"/>
      <c r="VGJ77" s="2198"/>
      <c r="VGK77" s="2198"/>
      <c r="VGL77" s="2198"/>
      <c r="VGM77" s="2198"/>
      <c r="VGN77" s="2198"/>
      <c r="VGO77" s="2198"/>
      <c r="VGP77" s="2198"/>
      <c r="VGQ77" s="2198"/>
      <c r="VGR77" s="2198"/>
      <c r="VGS77" s="2198"/>
      <c r="VGT77" s="2198"/>
      <c r="VGU77" s="2198"/>
      <c r="VGV77" s="2198"/>
      <c r="VGW77" s="2198"/>
      <c r="VGX77" s="2198"/>
      <c r="VGY77" s="2198"/>
      <c r="VGZ77" s="2198"/>
      <c r="VHA77" s="2198"/>
      <c r="VHB77" s="2198"/>
      <c r="VHC77" s="2198"/>
      <c r="VHD77" s="2198"/>
      <c r="VHE77" s="2198"/>
      <c r="VHF77" s="2198"/>
      <c r="VHG77" s="2198"/>
      <c r="VHH77" s="2198"/>
      <c r="VHI77" s="2198"/>
      <c r="VHJ77" s="2198"/>
      <c r="VHK77" s="2198"/>
      <c r="VHL77" s="2198"/>
      <c r="VHM77" s="2198"/>
      <c r="VHN77" s="2198"/>
      <c r="VHO77" s="2198"/>
      <c r="VHP77" s="2198"/>
      <c r="VHQ77" s="2198"/>
      <c r="VHR77" s="2198"/>
      <c r="VHS77" s="2198"/>
      <c r="VHT77" s="2198"/>
      <c r="VHU77" s="2198"/>
      <c r="VHV77" s="2198"/>
      <c r="VHW77" s="2198"/>
      <c r="VHX77" s="2198"/>
      <c r="VHY77" s="2198"/>
      <c r="VHZ77" s="2198"/>
      <c r="VIA77" s="2198"/>
      <c r="VIB77" s="2198"/>
      <c r="VIC77" s="2198"/>
      <c r="VID77" s="2198"/>
      <c r="VIE77" s="2198"/>
      <c r="VIF77" s="2198"/>
      <c r="VIG77" s="2198"/>
      <c r="VIH77" s="2198"/>
      <c r="VII77" s="2198"/>
      <c r="VIJ77" s="2198"/>
      <c r="VIK77" s="2198"/>
      <c r="VIL77" s="2198"/>
      <c r="VIM77" s="2198"/>
      <c r="VIN77" s="2198"/>
      <c r="VIO77" s="2198"/>
      <c r="VIP77" s="2198"/>
      <c r="VIQ77" s="2198"/>
      <c r="VIR77" s="2198"/>
      <c r="VIS77" s="2198"/>
      <c r="VIT77" s="2198"/>
      <c r="VIU77" s="2198"/>
      <c r="VIV77" s="2198"/>
      <c r="VIW77" s="2198"/>
      <c r="VIX77" s="2198"/>
      <c r="VIY77" s="2198"/>
      <c r="VIZ77" s="2198"/>
      <c r="VJA77" s="2198"/>
      <c r="VJB77" s="2198"/>
      <c r="VJC77" s="2198"/>
      <c r="VJD77" s="2198"/>
      <c r="VJE77" s="2198"/>
      <c r="VJF77" s="2198"/>
      <c r="VJG77" s="2198"/>
      <c r="VJH77" s="2198"/>
      <c r="VJI77" s="2198"/>
      <c r="VJJ77" s="2198"/>
      <c r="VJK77" s="2198"/>
      <c r="VJL77" s="2198"/>
      <c r="VJM77" s="2198"/>
      <c r="VJN77" s="2198"/>
      <c r="VJO77" s="2198"/>
      <c r="VJP77" s="2198"/>
      <c r="VJQ77" s="2198"/>
      <c r="VJR77" s="2198"/>
      <c r="VJS77" s="2198"/>
      <c r="VJT77" s="2198"/>
      <c r="VJU77" s="2198"/>
      <c r="VJV77" s="2198"/>
      <c r="VJW77" s="2198"/>
      <c r="VJX77" s="2198"/>
      <c r="VJY77" s="2198"/>
      <c r="VJZ77" s="2198"/>
      <c r="VKA77" s="2198"/>
      <c r="VKB77" s="2198"/>
      <c r="VKC77" s="2198"/>
      <c r="VKD77" s="2198"/>
      <c r="VKE77" s="2198"/>
      <c r="VKF77" s="2198"/>
      <c r="VKG77" s="2198"/>
      <c r="VKH77" s="2198"/>
      <c r="VKI77" s="2198"/>
      <c r="VKJ77" s="2198"/>
      <c r="VKK77" s="2198"/>
      <c r="VKL77" s="2198"/>
      <c r="VKM77" s="2198"/>
      <c r="VKN77" s="2198"/>
      <c r="VKO77" s="2198"/>
      <c r="VKP77" s="2198"/>
      <c r="VKQ77" s="2198"/>
      <c r="VKR77" s="2198"/>
      <c r="VKS77" s="2198"/>
      <c r="VKT77" s="2198"/>
      <c r="VKU77" s="2198"/>
      <c r="VKV77" s="2198"/>
      <c r="VKW77" s="2198"/>
      <c r="VKX77" s="2198"/>
      <c r="VKY77" s="2198"/>
      <c r="VKZ77" s="2198"/>
      <c r="VLA77" s="2198"/>
      <c r="VLB77" s="2198"/>
      <c r="VLC77" s="2198"/>
      <c r="VLD77" s="2198"/>
      <c r="VLE77" s="2198"/>
      <c r="VLF77" s="2198"/>
      <c r="VLG77" s="2198"/>
      <c r="VLH77" s="2198"/>
      <c r="VLI77" s="2198"/>
      <c r="VLJ77" s="2198"/>
      <c r="VLK77" s="2198"/>
      <c r="VLL77" s="2198"/>
      <c r="VLM77" s="2198"/>
      <c r="VLN77" s="2198"/>
      <c r="VLO77" s="2198"/>
      <c r="VLP77" s="2198"/>
      <c r="VLQ77" s="2198"/>
      <c r="VLR77" s="2198"/>
      <c r="VLS77" s="2198"/>
      <c r="VLT77" s="2198"/>
      <c r="VLU77" s="2198"/>
      <c r="VLV77" s="2198"/>
      <c r="VLW77" s="2198"/>
      <c r="VLX77" s="2198"/>
      <c r="VLY77" s="2198"/>
      <c r="VLZ77" s="2198"/>
      <c r="VMA77" s="2198"/>
      <c r="VMB77" s="2198"/>
      <c r="VMC77" s="2198"/>
      <c r="VMD77" s="2198"/>
      <c r="VME77" s="2198"/>
      <c r="VMF77" s="2198"/>
      <c r="VMG77" s="2198"/>
      <c r="VMH77" s="2198"/>
      <c r="VMI77" s="2198"/>
      <c r="VMJ77" s="2198"/>
      <c r="VMK77" s="2198"/>
      <c r="VML77" s="2198"/>
      <c r="VMM77" s="2198"/>
      <c r="VMN77" s="2198"/>
      <c r="VMO77" s="2198"/>
      <c r="VMP77" s="2198"/>
      <c r="VMQ77" s="2198"/>
      <c r="VMR77" s="2198"/>
      <c r="VMS77" s="2198"/>
      <c r="VMT77" s="2198"/>
      <c r="VMU77" s="2198"/>
      <c r="VMV77" s="2198"/>
      <c r="VMW77" s="2198"/>
      <c r="VMX77" s="2198"/>
      <c r="VMY77" s="2198"/>
      <c r="VMZ77" s="2198"/>
      <c r="VNA77" s="2198"/>
      <c r="VNB77" s="2198"/>
      <c r="VNC77" s="2198"/>
      <c r="VND77" s="2198"/>
      <c r="VNE77" s="2198"/>
      <c r="VNF77" s="2198"/>
      <c r="VNG77" s="2198"/>
      <c r="VNH77" s="2198"/>
      <c r="VNI77" s="2198"/>
      <c r="VNJ77" s="2198"/>
      <c r="VNK77" s="2198"/>
      <c r="VNL77" s="2198"/>
      <c r="VNM77" s="2198"/>
      <c r="VNN77" s="2198"/>
      <c r="VNO77" s="2198"/>
      <c r="VNP77" s="2198"/>
      <c r="VNQ77" s="2198"/>
      <c r="VNR77" s="2198"/>
      <c r="VNS77" s="2198"/>
      <c r="VNT77" s="2198"/>
      <c r="VNU77" s="2198"/>
      <c r="VNV77" s="2198"/>
      <c r="VNW77" s="2198"/>
      <c r="VNX77" s="2198"/>
      <c r="VNY77" s="2198"/>
      <c r="VNZ77" s="2198"/>
      <c r="VOA77" s="2198"/>
      <c r="VOB77" s="2198"/>
      <c r="VOC77" s="2198"/>
      <c r="VOD77" s="2198"/>
      <c r="VOE77" s="2198"/>
      <c r="VOF77" s="2198"/>
      <c r="VOG77" s="2198"/>
      <c r="VOH77" s="2198"/>
      <c r="VOI77" s="2198"/>
      <c r="VOJ77" s="2198"/>
      <c r="VOK77" s="2198"/>
      <c r="VOL77" s="2198"/>
      <c r="VOM77" s="2198"/>
      <c r="VON77" s="2198"/>
      <c r="VOO77" s="2198"/>
      <c r="VOP77" s="2198"/>
      <c r="VOQ77" s="2198"/>
      <c r="VOR77" s="2198"/>
      <c r="VOS77" s="2198"/>
      <c r="VOT77" s="2198"/>
      <c r="VOU77" s="2198"/>
      <c r="VOV77" s="2198"/>
      <c r="VOW77" s="2198"/>
      <c r="VOX77" s="2198"/>
      <c r="VOY77" s="2198"/>
      <c r="VOZ77" s="2198"/>
      <c r="VPA77" s="2198"/>
      <c r="VPB77" s="2198"/>
      <c r="VPC77" s="2198"/>
      <c r="VPD77" s="2198"/>
      <c r="VPE77" s="2198"/>
      <c r="VPF77" s="2198"/>
      <c r="VPG77" s="2198"/>
      <c r="VPH77" s="2198"/>
      <c r="VPI77" s="2198"/>
      <c r="VPJ77" s="2198"/>
      <c r="VPK77" s="2198"/>
      <c r="VPL77" s="2198"/>
      <c r="VPM77" s="2198"/>
      <c r="VPN77" s="2198"/>
      <c r="VPO77" s="2198"/>
      <c r="VPP77" s="2198"/>
      <c r="VPQ77" s="2198"/>
      <c r="VPR77" s="2198"/>
      <c r="VPS77" s="2198"/>
      <c r="VPT77" s="2198"/>
      <c r="VPU77" s="2198"/>
      <c r="VPV77" s="2198"/>
      <c r="VPW77" s="2198"/>
      <c r="VPX77" s="2198"/>
      <c r="VPY77" s="2198"/>
      <c r="VPZ77" s="2198"/>
      <c r="VQA77" s="2198"/>
      <c r="VQB77" s="2198"/>
      <c r="VQC77" s="2198"/>
      <c r="VQD77" s="2198"/>
      <c r="VQE77" s="2198"/>
      <c r="VQF77" s="2198"/>
      <c r="VQG77" s="2198"/>
      <c r="VQH77" s="2198"/>
      <c r="VQI77" s="2198"/>
      <c r="VQJ77" s="2198"/>
      <c r="VQK77" s="2198"/>
      <c r="VQL77" s="2198"/>
      <c r="VQM77" s="2198"/>
      <c r="VQN77" s="2198"/>
      <c r="VQO77" s="2198"/>
      <c r="VQP77" s="2198"/>
      <c r="VQQ77" s="2198"/>
      <c r="VQR77" s="2198"/>
      <c r="VQS77" s="2198"/>
      <c r="VQT77" s="2198"/>
      <c r="VQU77" s="2198"/>
      <c r="VQV77" s="2198"/>
      <c r="VQW77" s="2198"/>
      <c r="VQX77" s="2198"/>
      <c r="VQY77" s="2198"/>
      <c r="VQZ77" s="2198"/>
      <c r="VRA77" s="2198"/>
      <c r="VRB77" s="2198"/>
      <c r="VRC77" s="2198"/>
      <c r="VRD77" s="2198"/>
      <c r="VRE77" s="2198"/>
      <c r="VRF77" s="2198"/>
      <c r="VRG77" s="2198"/>
      <c r="VRH77" s="2198"/>
      <c r="VRI77" s="2198"/>
      <c r="VRJ77" s="2198"/>
      <c r="VRK77" s="2198"/>
      <c r="VRL77" s="2198"/>
      <c r="VRM77" s="2198"/>
      <c r="VRN77" s="2198"/>
      <c r="VRO77" s="2198"/>
      <c r="VRP77" s="2198"/>
      <c r="VRQ77" s="2198"/>
      <c r="VRR77" s="2198"/>
      <c r="VRS77" s="2198"/>
      <c r="VRT77" s="2198"/>
      <c r="VRU77" s="2198"/>
      <c r="VRV77" s="2198"/>
      <c r="VRW77" s="2198"/>
      <c r="VRX77" s="2198"/>
      <c r="VRY77" s="2198"/>
      <c r="VRZ77" s="2198"/>
      <c r="VSA77" s="2198"/>
      <c r="VSB77" s="2198"/>
      <c r="VSC77" s="2198"/>
      <c r="VSD77" s="2198"/>
      <c r="VSE77" s="2198"/>
      <c r="VSF77" s="2198"/>
      <c r="VSG77" s="2198"/>
      <c r="VSH77" s="2198"/>
      <c r="VSI77" s="2198"/>
      <c r="VSJ77" s="2198"/>
      <c r="VSK77" s="2198"/>
      <c r="VSL77" s="2198"/>
      <c r="VSM77" s="2198"/>
      <c r="VSN77" s="2198"/>
      <c r="VSO77" s="2198"/>
      <c r="VSP77" s="2198"/>
      <c r="VSQ77" s="2198"/>
      <c r="VSR77" s="2198"/>
      <c r="VSS77" s="2198"/>
      <c r="VST77" s="2198"/>
      <c r="VSU77" s="2198"/>
      <c r="VSV77" s="2198"/>
      <c r="VSW77" s="2198"/>
      <c r="VSX77" s="2198"/>
      <c r="VSY77" s="2198"/>
      <c r="VSZ77" s="2198"/>
      <c r="VTA77" s="2198"/>
      <c r="VTB77" s="2198"/>
      <c r="VTC77" s="2198"/>
      <c r="VTD77" s="2198"/>
      <c r="VTE77" s="2198"/>
      <c r="VTF77" s="2198"/>
      <c r="VTG77" s="2198"/>
      <c r="VTH77" s="2198"/>
      <c r="VTI77" s="2198"/>
      <c r="VTJ77" s="2198"/>
      <c r="VTK77" s="2198"/>
      <c r="VTL77" s="2198"/>
      <c r="VTM77" s="2198"/>
      <c r="VTN77" s="2198"/>
      <c r="VTO77" s="2198"/>
      <c r="VTP77" s="2198"/>
      <c r="VTQ77" s="2198"/>
      <c r="VTR77" s="2198"/>
      <c r="VTS77" s="2198"/>
      <c r="VTT77" s="2198"/>
      <c r="VTU77" s="2198"/>
      <c r="VTV77" s="2198"/>
      <c r="VTW77" s="2198"/>
      <c r="VTX77" s="2198"/>
      <c r="VTY77" s="2198"/>
      <c r="VTZ77" s="2198"/>
      <c r="VUA77" s="2198"/>
      <c r="VUB77" s="2198"/>
      <c r="VUC77" s="2198"/>
      <c r="VUD77" s="2198"/>
      <c r="VUE77" s="2198"/>
      <c r="VUF77" s="2198"/>
      <c r="VUG77" s="2198"/>
      <c r="VUH77" s="2198"/>
      <c r="VUI77" s="2198"/>
      <c r="VUJ77" s="2198"/>
      <c r="VUK77" s="2198"/>
      <c r="VUL77" s="2198"/>
      <c r="VUM77" s="2198"/>
      <c r="VUN77" s="2198"/>
      <c r="VUO77" s="2198"/>
      <c r="VUP77" s="2198"/>
      <c r="VUQ77" s="2198"/>
      <c r="VUR77" s="2198"/>
      <c r="VUS77" s="2198"/>
      <c r="VUT77" s="2198"/>
      <c r="VUU77" s="2198"/>
      <c r="VUV77" s="2198"/>
      <c r="VUW77" s="2198"/>
      <c r="VUX77" s="2198"/>
      <c r="VUY77" s="2198"/>
      <c r="VUZ77" s="2198"/>
      <c r="VVA77" s="2198"/>
      <c r="VVB77" s="2198"/>
      <c r="VVC77" s="2198"/>
      <c r="VVD77" s="2198"/>
      <c r="VVE77" s="2198"/>
      <c r="VVF77" s="2198"/>
      <c r="VVG77" s="2198"/>
      <c r="VVH77" s="2198"/>
      <c r="VVI77" s="2198"/>
      <c r="VVJ77" s="2198"/>
      <c r="VVK77" s="2198"/>
      <c r="VVL77" s="2198"/>
      <c r="VVM77" s="2198"/>
      <c r="VVN77" s="2198"/>
      <c r="VVO77" s="2198"/>
      <c r="VVP77" s="2198"/>
      <c r="VVQ77" s="2198"/>
      <c r="VVR77" s="2198"/>
      <c r="VVS77" s="2198"/>
      <c r="VVT77" s="2198"/>
      <c r="VVU77" s="2198"/>
      <c r="VVV77" s="2198"/>
      <c r="VVW77" s="2198"/>
      <c r="VVX77" s="2198"/>
      <c r="VVY77" s="2198"/>
      <c r="VVZ77" s="2198"/>
      <c r="VWA77" s="2198"/>
      <c r="VWB77" s="2198"/>
      <c r="VWC77" s="2198"/>
      <c r="VWD77" s="2198"/>
      <c r="VWE77" s="2198"/>
      <c r="VWF77" s="2198"/>
      <c r="VWG77" s="2198"/>
      <c r="VWH77" s="2198"/>
      <c r="VWI77" s="2198"/>
      <c r="VWJ77" s="2198"/>
      <c r="VWK77" s="2198"/>
      <c r="VWL77" s="2198"/>
      <c r="VWM77" s="2198"/>
      <c r="VWN77" s="2198"/>
      <c r="VWO77" s="2198"/>
      <c r="VWP77" s="2198"/>
      <c r="VWQ77" s="2198"/>
      <c r="VWR77" s="2198"/>
      <c r="VWS77" s="2198"/>
      <c r="VWT77" s="2198"/>
      <c r="VWU77" s="2198"/>
      <c r="VWV77" s="2198"/>
      <c r="VWW77" s="2198"/>
      <c r="VWX77" s="2198"/>
      <c r="VWY77" s="2198"/>
      <c r="VWZ77" s="2198"/>
      <c r="VXA77" s="2198"/>
      <c r="VXB77" s="2198"/>
      <c r="VXC77" s="2198"/>
      <c r="VXD77" s="2198"/>
      <c r="VXE77" s="2198"/>
      <c r="VXF77" s="2198"/>
      <c r="VXG77" s="2198"/>
      <c r="VXH77" s="2198"/>
      <c r="VXI77" s="2198"/>
      <c r="VXJ77" s="2198"/>
      <c r="VXK77" s="2198"/>
      <c r="VXL77" s="2198"/>
      <c r="VXM77" s="2198"/>
      <c r="VXN77" s="2198"/>
      <c r="VXO77" s="2198"/>
      <c r="VXP77" s="2198"/>
      <c r="VXQ77" s="2198"/>
      <c r="VXR77" s="2198"/>
      <c r="VXS77" s="2198"/>
      <c r="VXT77" s="2198"/>
      <c r="VXU77" s="2198"/>
      <c r="VXV77" s="2198"/>
      <c r="VXW77" s="2198"/>
      <c r="VXX77" s="2198"/>
      <c r="VXY77" s="2198"/>
      <c r="VXZ77" s="2198"/>
      <c r="VYA77" s="2198"/>
      <c r="VYB77" s="2198"/>
      <c r="VYC77" s="2198"/>
      <c r="VYD77" s="2198"/>
      <c r="VYE77" s="2198"/>
      <c r="VYF77" s="2198"/>
      <c r="VYG77" s="2198"/>
      <c r="VYH77" s="2198"/>
      <c r="VYI77" s="2198"/>
      <c r="VYJ77" s="2198"/>
      <c r="VYK77" s="2198"/>
      <c r="VYL77" s="2198"/>
      <c r="VYM77" s="2198"/>
      <c r="VYN77" s="2198"/>
      <c r="VYO77" s="2198"/>
      <c r="VYP77" s="2198"/>
      <c r="VYQ77" s="2198"/>
      <c r="VYR77" s="2198"/>
      <c r="VYS77" s="2198"/>
      <c r="VYT77" s="2198"/>
      <c r="VYU77" s="2198"/>
      <c r="VYV77" s="2198"/>
      <c r="VYW77" s="2198"/>
      <c r="VYX77" s="2198"/>
      <c r="VYY77" s="2198"/>
      <c r="VYZ77" s="2198"/>
      <c r="VZA77" s="2198"/>
      <c r="VZB77" s="2198"/>
      <c r="VZC77" s="2198"/>
      <c r="VZD77" s="2198"/>
      <c r="VZE77" s="2198"/>
      <c r="VZF77" s="2198"/>
      <c r="VZG77" s="2198"/>
      <c r="VZH77" s="2198"/>
      <c r="VZI77" s="2198"/>
      <c r="VZJ77" s="2198"/>
      <c r="VZK77" s="2198"/>
      <c r="VZL77" s="2198"/>
      <c r="VZM77" s="2198"/>
      <c r="VZN77" s="2198"/>
      <c r="VZO77" s="2198"/>
      <c r="VZP77" s="2198"/>
      <c r="VZQ77" s="2198"/>
      <c r="VZR77" s="2198"/>
      <c r="VZS77" s="2198"/>
      <c r="VZT77" s="2198"/>
      <c r="VZU77" s="2198"/>
      <c r="VZV77" s="2198"/>
      <c r="VZW77" s="2198"/>
      <c r="VZX77" s="2198"/>
      <c r="VZY77" s="2198"/>
      <c r="VZZ77" s="2198"/>
      <c r="WAA77" s="2198"/>
      <c r="WAB77" s="2198"/>
      <c r="WAC77" s="2198"/>
      <c r="WAD77" s="2198"/>
      <c r="WAE77" s="2198"/>
      <c r="WAF77" s="2198"/>
      <c r="WAG77" s="2198"/>
      <c r="WAH77" s="2198"/>
      <c r="WAI77" s="2198"/>
      <c r="WAJ77" s="2198"/>
      <c r="WAK77" s="2198"/>
      <c r="WAL77" s="2198"/>
      <c r="WAM77" s="2198"/>
      <c r="WAN77" s="2198"/>
      <c r="WAO77" s="2198"/>
      <c r="WAP77" s="2198"/>
      <c r="WAQ77" s="2198"/>
      <c r="WAR77" s="2198"/>
      <c r="WAS77" s="2198"/>
      <c r="WAT77" s="2198"/>
      <c r="WAU77" s="2198"/>
      <c r="WAV77" s="2198"/>
      <c r="WAW77" s="2198"/>
      <c r="WAX77" s="2198"/>
      <c r="WAY77" s="2198"/>
      <c r="WAZ77" s="2198"/>
      <c r="WBA77" s="2198"/>
      <c r="WBB77" s="2198"/>
      <c r="WBC77" s="2198"/>
      <c r="WBD77" s="2198"/>
      <c r="WBE77" s="2198"/>
      <c r="WBF77" s="2198"/>
      <c r="WBG77" s="2198"/>
      <c r="WBH77" s="2198"/>
      <c r="WBI77" s="2198"/>
      <c r="WBJ77" s="2198"/>
      <c r="WBK77" s="2198"/>
      <c r="WBL77" s="2198"/>
      <c r="WBM77" s="2198"/>
      <c r="WBN77" s="2198"/>
      <c r="WBO77" s="2198"/>
      <c r="WBP77" s="2198"/>
      <c r="WBQ77" s="2198"/>
      <c r="WBR77" s="2198"/>
      <c r="WBS77" s="2198"/>
      <c r="WBT77" s="2198"/>
      <c r="WBU77" s="2198"/>
      <c r="WBV77" s="2198"/>
      <c r="WBW77" s="2198"/>
      <c r="WBX77" s="2198"/>
      <c r="WBY77" s="2198"/>
      <c r="WBZ77" s="2198"/>
      <c r="WCA77" s="2198"/>
      <c r="WCB77" s="2198"/>
      <c r="WCC77" s="2198"/>
      <c r="WCD77" s="2198"/>
      <c r="WCE77" s="2198"/>
      <c r="WCF77" s="2198"/>
      <c r="WCG77" s="2198"/>
      <c r="WCH77" s="2198"/>
      <c r="WCI77" s="2198"/>
      <c r="WCJ77" s="2198"/>
      <c r="WCK77" s="2198"/>
      <c r="WCL77" s="2198"/>
      <c r="WCM77" s="2198"/>
      <c r="WCN77" s="2198"/>
      <c r="WCO77" s="2198"/>
      <c r="WCP77" s="2198"/>
      <c r="WCQ77" s="2198"/>
      <c r="WCR77" s="2198"/>
      <c r="WCS77" s="2198"/>
      <c r="WCT77" s="2198"/>
      <c r="WCU77" s="2198"/>
      <c r="WCV77" s="2198"/>
      <c r="WCW77" s="2198"/>
      <c r="WCX77" s="2198"/>
      <c r="WCY77" s="2198"/>
      <c r="WCZ77" s="2198"/>
      <c r="WDA77" s="2198"/>
      <c r="WDB77" s="2198"/>
      <c r="WDC77" s="2198"/>
      <c r="WDD77" s="2198"/>
      <c r="WDE77" s="2198"/>
      <c r="WDF77" s="2198"/>
      <c r="WDG77" s="2198"/>
      <c r="WDH77" s="2198"/>
      <c r="WDI77" s="2198"/>
      <c r="WDJ77" s="2198"/>
      <c r="WDK77" s="2198"/>
      <c r="WDL77" s="2198"/>
      <c r="WDM77" s="2198"/>
      <c r="WDN77" s="2198"/>
      <c r="WDO77" s="2198"/>
      <c r="WDP77" s="2198"/>
      <c r="WDQ77" s="2198"/>
      <c r="WDR77" s="2198"/>
      <c r="WDS77" s="2198"/>
      <c r="WDT77" s="2198"/>
      <c r="WDU77" s="2198"/>
      <c r="WDV77" s="2198"/>
      <c r="WDW77" s="2198"/>
      <c r="WDX77" s="2198"/>
      <c r="WDY77" s="2198"/>
      <c r="WDZ77" s="2198"/>
      <c r="WEA77" s="2198"/>
      <c r="WEB77" s="2198"/>
      <c r="WEC77" s="2198"/>
      <c r="WED77" s="2198"/>
      <c r="WEE77" s="2198"/>
      <c r="WEF77" s="2198"/>
      <c r="WEG77" s="2198"/>
      <c r="WEH77" s="2198"/>
      <c r="WEI77" s="2198"/>
      <c r="WEJ77" s="2198"/>
      <c r="WEK77" s="2198"/>
      <c r="WEL77" s="2198"/>
      <c r="WEM77" s="2198"/>
      <c r="WEN77" s="2198"/>
      <c r="WEO77" s="2198"/>
      <c r="WEP77" s="2198"/>
      <c r="WEQ77" s="2198"/>
      <c r="WER77" s="2198"/>
      <c r="WES77" s="2198"/>
      <c r="WET77" s="2198"/>
      <c r="WEU77" s="2198"/>
      <c r="WEV77" s="2198"/>
      <c r="WEW77" s="2198"/>
      <c r="WEX77" s="2198"/>
      <c r="WEY77" s="2198"/>
      <c r="WEZ77" s="2198"/>
      <c r="WFA77" s="2198"/>
      <c r="WFB77" s="2198"/>
      <c r="WFC77" s="2198"/>
      <c r="WFD77" s="2198"/>
      <c r="WFE77" s="2198"/>
      <c r="WFF77" s="2198"/>
      <c r="WFG77" s="2198"/>
      <c r="WFH77" s="2198"/>
      <c r="WFI77" s="2198"/>
      <c r="WFJ77" s="2198"/>
      <c r="WFK77" s="2198"/>
      <c r="WFL77" s="2198"/>
      <c r="WFM77" s="2198"/>
      <c r="WFN77" s="2198"/>
      <c r="WFO77" s="2198"/>
      <c r="WFP77" s="2198"/>
      <c r="WFQ77" s="2198"/>
      <c r="WFR77" s="2198"/>
      <c r="WFS77" s="2198"/>
      <c r="WFT77" s="2198"/>
      <c r="WFU77" s="2198"/>
      <c r="WFV77" s="2198"/>
      <c r="WFW77" s="2198"/>
      <c r="WFX77" s="2198"/>
      <c r="WFY77" s="2198"/>
      <c r="WFZ77" s="2198"/>
      <c r="WGA77" s="2198"/>
      <c r="WGB77" s="2198"/>
      <c r="WGC77" s="2198"/>
      <c r="WGD77" s="2198"/>
      <c r="WGE77" s="2198"/>
      <c r="WGF77" s="2198"/>
      <c r="WGG77" s="2198"/>
      <c r="WGH77" s="2198"/>
      <c r="WGI77" s="2198"/>
      <c r="WGJ77" s="2198"/>
      <c r="WGK77" s="2198"/>
      <c r="WGL77" s="2198"/>
      <c r="WGM77" s="2198"/>
      <c r="WGN77" s="2198"/>
      <c r="WGO77" s="2198"/>
      <c r="WGP77" s="2198"/>
      <c r="WGQ77" s="2198"/>
      <c r="WGR77" s="2198"/>
      <c r="WGS77" s="2198"/>
      <c r="WGT77" s="2198"/>
      <c r="WGU77" s="2198"/>
      <c r="WGV77" s="2198"/>
      <c r="WGW77" s="2198"/>
      <c r="WGX77" s="2198"/>
      <c r="WGY77" s="2198"/>
      <c r="WGZ77" s="2198"/>
      <c r="WHA77" s="2198"/>
      <c r="WHB77" s="2198"/>
      <c r="WHC77" s="2198"/>
      <c r="WHD77" s="2198"/>
      <c r="WHE77" s="2198"/>
      <c r="WHF77" s="2198"/>
      <c r="WHG77" s="2198"/>
      <c r="WHH77" s="2198"/>
      <c r="WHI77" s="2198"/>
      <c r="WHJ77" s="2198"/>
      <c r="WHK77" s="2198"/>
      <c r="WHL77" s="2198"/>
      <c r="WHM77" s="2198"/>
      <c r="WHN77" s="2198"/>
      <c r="WHO77" s="2198"/>
      <c r="WHP77" s="2198"/>
      <c r="WHQ77" s="2198"/>
      <c r="WHR77" s="2198"/>
      <c r="WHS77" s="2198"/>
      <c r="WHT77" s="2198"/>
      <c r="WHU77" s="2198"/>
      <c r="WHV77" s="2198"/>
      <c r="WHW77" s="2198"/>
      <c r="WHX77" s="2198"/>
      <c r="WHY77" s="2198"/>
      <c r="WHZ77" s="2198"/>
      <c r="WIA77" s="2198"/>
      <c r="WIB77" s="2198"/>
      <c r="WIC77" s="2198"/>
      <c r="WID77" s="2198"/>
      <c r="WIE77" s="2198"/>
      <c r="WIF77" s="2198"/>
      <c r="WIG77" s="2198"/>
      <c r="WIH77" s="2198"/>
      <c r="WII77" s="2198"/>
      <c r="WIJ77" s="2198"/>
      <c r="WIK77" s="2198"/>
      <c r="WIL77" s="2198"/>
      <c r="WIM77" s="2198"/>
      <c r="WIN77" s="2198"/>
      <c r="WIO77" s="2198"/>
      <c r="WIP77" s="2198"/>
      <c r="WIQ77" s="2198"/>
      <c r="WIR77" s="2198"/>
      <c r="WIS77" s="2198"/>
      <c r="WIT77" s="2198"/>
      <c r="WIU77" s="2198"/>
      <c r="WIV77" s="2198"/>
      <c r="WIW77" s="2198"/>
      <c r="WIX77" s="2198"/>
      <c r="WIY77" s="2198"/>
      <c r="WIZ77" s="2198"/>
      <c r="WJA77" s="2198"/>
      <c r="WJB77" s="2198"/>
      <c r="WJC77" s="2198"/>
      <c r="WJD77" s="2198"/>
      <c r="WJE77" s="2198"/>
      <c r="WJF77" s="2198"/>
      <c r="WJG77" s="2198"/>
      <c r="WJH77" s="2198"/>
      <c r="WJI77" s="2198"/>
      <c r="WJJ77" s="2198"/>
      <c r="WJK77" s="2198"/>
      <c r="WJL77" s="2198"/>
      <c r="WJM77" s="2198"/>
      <c r="WJN77" s="2198"/>
      <c r="WJO77" s="2198"/>
      <c r="WJP77" s="2198"/>
      <c r="WJQ77" s="2198"/>
      <c r="WJR77" s="2198"/>
      <c r="WJS77" s="2198"/>
      <c r="WJT77" s="2198"/>
      <c r="WJU77" s="2198"/>
      <c r="WJV77" s="2198"/>
      <c r="WJW77" s="2198"/>
      <c r="WJX77" s="2198"/>
      <c r="WJY77" s="2198"/>
      <c r="WJZ77" s="2198"/>
      <c r="WKA77" s="2198"/>
      <c r="WKB77" s="2198"/>
      <c r="WKC77" s="2198"/>
      <c r="WKD77" s="2198"/>
      <c r="WKE77" s="2198"/>
      <c r="WKF77" s="2198"/>
      <c r="WKG77" s="2198"/>
      <c r="WKH77" s="2198"/>
      <c r="WKI77" s="2198"/>
      <c r="WKJ77" s="2198"/>
      <c r="WKK77" s="2198"/>
      <c r="WKL77" s="2198"/>
      <c r="WKM77" s="2198"/>
      <c r="WKN77" s="2198"/>
      <c r="WKO77" s="2198"/>
      <c r="WKP77" s="2198"/>
      <c r="WKQ77" s="2198"/>
      <c r="WKR77" s="2198"/>
      <c r="WKS77" s="2198"/>
      <c r="WKT77" s="2198"/>
      <c r="WKU77" s="2198"/>
      <c r="WKV77" s="2198"/>
      <c r="WKW77" s="2198"/>
      <c r="WKX77" s="2198"/>
      <c r="WKY77" s="2198"/>
      <c r="WKZ77" s="2198"/>
      <c r="WLA77" s="2198"/>
      <c r="WLB77" s="2198"/>
      <c r="WLC77" s="2198"/>
      <c r="WLD77" s="2198"/>
      <c r="WLE77" s="2198"/>
      <c r="WLF77" s="2198"/>
      <c r="WLG77" s="2198"/>
      <c r="WLH77" s="2198"/>
      <c r="WLI77" s="2198"/>
      <c r="WLJ77" s="2198"/>
      <c r="WLK77" s="2198"/>
      <c r="WLL77" s="2198"/>
      <c r="WLM77" s="2198"/>
      <c r="WLN77" s="2198"/>
      <c r="WLO77" s="2198"/>
      <c r="WLP77" s="2198"/>
      <c r="WLQ77" s="2198"/>
      <c r="WLR77" s="2198"/>
      <c r="WLS77" s="2198"/>
      <c r="WLT77" s="2198"/>
      <c r="WLU77" s="2198"/>
      <c r="WLV77" s="2198"/>
      <c r="WLW77" s="2198"/>
      <c r="WLX77" s="2198"/>
      <c r="WLY77" s="2198"/>
      <c r="WLZ77" s="2198"/>
      <c r="WMA77" s="2198"/>
      <c r="WMB77" s="2198"/>
      <c r="WMC77" s="2198"/>
      <c r="WMD77" s="2198"/>
      <c r="WME77" s="2198"/>
      <c r="WMF77" s="2198"/>
      <c r="WMG77" s="2198"/>
      <c r="WMH77" s="2198"/>
      <c r="WMI77" s="2198"/>
      <c r="WMJ77" s="2198"/>
      <c r="WMK77" s="2198"/>
      <c r="WML77" s="2198"/>
      <c r="WMM77" s="2198"/>
      <c r="WMN77" s="2198"/>
      <c r="WMO77" s="2198"/>
      <c r="WMP77" s="2198"/>
      <c r="WMQ77" s="2198"/>
      <c r="WMR77" s="2198"/>
      <c r="WMS77" s="2198"/>
      <c r="WMT77" s="2198"/>
      <c r="WMU77" s="2198"/>
      <c r="WMV77" s="2198"/>
      <c r="WMW77" s="2198"/>
      <c r="WMX77" s="2198"/>
      <c r="WMY77" s="2198"/>
      <c r="WMZ77" s="2198"/>
      <c r="WNA77" s="2198"/>
      <c r="WNB77" s="2198"/>
      <c r="WNC77" s="2198"/>
      <c r="WND77" s="2198"/>
      <c r="WNE77" s="2198"/>
      <c r="WNF77" s="2198"/>
      <c r="WNG77" s="2198"/>
      <c r="WNH77" s="2198"/>
      <c r="WNI77" s="2198"/>
      <c r="WNJ77" s="2198"/>
      <c r="WNK77" s="2198"/>
      <c r="WNL77" s="2198"/>
      <c r="WNM77" s="2198"/>
      <c r="WNN77" s="2198"/>
      <c r="WNO77" s="2198"/>
      <c r="WNP77" s="2198"/>
      <c r="WNQ77" s="2198"/>
      <c r="WNR77" s="2198"/>
      <c r="WNS77" s="2198"/>
      <c r="WNT77" s="2198"/>
      <c r="WNU77" s="2198"/>
      <c r="WNV77" s="2198"/>
      <c r="WNW77" s="2198"/>
      <c r="WNX77" s="2198"/>
      <c r="WNY77" s="2198"/>
      <c r="WNZ77" s="2198"/>
      <c r="WOA77" s="2198"/>
      <c r="WOB77" s="2198"/>
      <c r="WOC77" s="2198"/>
      <c r="WOD77" s="2198"/>
      <c r="WOE77" s="2198"/>
      <c r="WOF77" s="2198"/>
      <c r="WOG77" s="2198"/>
      <c r="WOH77" s="2198"/>
      <c r="WOI77" s="2198"/>
      <c r="WOJ77" s="2198"/>
      <c r="WOK77" s="2198"/>
      <c r="WOL77" s="2198"/>
      <c r="WOM77" s="2198"/>
      <c r="WON77" s="2198"/>
      <c r="WOO77" s="2198"/>
      <c r="WOP77" s="2198"/>
      <c r="WOQ77" s="2198"/>
      <c r="WOR77" s="2198"/>
      <c r="WOS77" s="2198"/>
      <c r="WOT77" s="2198"/>
      <c r="WOU77" s="2198"/>
      <c r="WOV77" s="2198"/>
      <c r="WOW77" s="2198"/>
      <c r="WOX77" s="2198"/>
      <c r="WOY77" s="2198"/>
      <c r="WOZ77" s="2198"/>
      <c r="WPA77" s="2198"/>
      <c r="WPB77" s="2198"/>
      <c r="WPC77" s="2198"/>
      <c r="WPD77" s="2198"/>
      <c r="WPE77" s="2198"/>
      <c r="WPF77" s="2198"/>
      <c r="WPG77" s="2198"/>
      <c r="WPH77" s="2198"/>
      <c r="WPI77" s="2198"/>
      <c r="WPJ77" s="2198"/>
      <c r="WPK77" s="2198"/>
      <c r="WPL77" s="2198"/>
      <c r="WPM77" s="2198"/>
      <c r="WPN77" s="2198"/>
      <c r="WPO77" s="2198"/>
      <c r="WPP77" s="2198"/>
      <c r="WPQ77" s="2198"/>
      <c r="WPR77" s="2198"/>
      <c r="WPS77" s="2198"/>
      <c r="WPT77" s="2198"/>
      <c r="WPU77" s="2198"/>
      <c r="WPV77" s="2198"/>
      <c r="WPW77" s="2198"/>
      <c r="WPX77" s="2198"/>
      <c r="WPY77" s="2198"/>
      <c r="WPZ77" s="2198"/>
      <c r="WQA77" s="2198"/>
      <c r="WQB77" s="2198"/>
      <c r="WQC77" s="2198"/>
      <c r="WQD77" s="2198"/>
      <c r="WQE77" s="2198"/>
      <c r="WQF77" s="2198"/>
      <c r="WQG77" s="2198"/>
      <c r="WQH77" s="2198"/>
      <c r="WQI77" s="2198"/>
      <c r="WQJ77" s="2198"/>
      <c r="WQK77" s="2198"/>
      <c r="WQL77" s="2198"/>
      <c r="WQM77" s="2198"/>
      <c r="WQN77" s="2198"/>
      <c r="WQO77" s="2198"/>
      <c r="WQP77" s="2198"/>
      <c r="WQQ77" s="2198"/>
      <c r="WQR77" s="2198"/>
      <c r="WQS77" s="2198"/>
      <c r="WQT77" s="2198"/>
      <c r="WQU77" s="2198"/>
      <c r="WQV77" s="2198"/>
      <c r="WQW77" s="2198"/>
      <c r="WQX77" s="2198"/>
      <c r="WQY77" s="2198"/>
      <c r="WQZ77" s="2198"/>
      <c r="WRA77" s="2198"/>
      <c r="WRB77" s="2198"/>
      <c r="WRC77" s="2198"/>
      <c r="WRD77" s="2198"/>
      <c r="WRE77" s="2198"/>
      <c r="WRF77" s="2198"/>
      <c r="WRG77" s="2198"/>
      <c r="WRH77" s="2198"/>
      <c r="WRI77" s="2198"/>
      <c r="WRJ77" s="2198"/>
      <c r="WRK77" s="2198"/>
      <c r="WRL77" s="2198"/>
      <c r="WRM77" s="2198"/>
      <c r="WRN77" s="2198"/>
      <c r="WRO77" s="2198"/>
      <c r="WRP77" s="2198"/>
      <c r="WRQ77" s="2198"/>
      <c r="WRR77" s="2198"/>
      <c r="WRS77" s="2198"/>
      <c r="WRT77" s="2198"/>
      <c r="WRU77" s="2198"/>
      <c r="WRV77" s="2198"/>
      <c r="WRW77" s="2198"/>
      <c r="WRX77" s="2198"/>
      <c r="WRY77" s="2198"/>
      <c r="WRZ77" s="2198"/>
      <c r="WSA77" s="2198"/>
      <c r="WSB77" s="2198"/>
      <c r="WSC77" s="2198"/>
      <c r="WSD77" s="2198"/>
      <c r="WSE77" s="2198"/>
      <c r="WSF77" s="2198"/>
      <c r="WSG77" s="2198"/>
      <c r="WSH77" s="2198"/>
      <c r="WSI77" s="2198"/>
      <c r="WSJ77" s="2198"/>
      <c r="WSK77" s="2198"/>
      <c r="WSL77" s="2198"/>
      <c r="WSM77" s="2198"/>
      <c r="WSN77" s="2198"/>
      <c r="WSO77" s="2198"/>
      <c r="WSP77" s="2198"/>
      <c r="WSQ77" s="2198"/>
      <c r="WSR77" s="2198"/>
      <c r="WSS77" s="2198"/>
      <c r="WST77" s="2198"/>
      <c r="WSU77" s="2198"/>
      <c r="WSV77" s="2198"/>
      <c r="WSW77" s="2198"/>
      <c r="WSX77" s="2198"/>
      <c r="WSY77" s="2198"/>
      <c r="WSZ77" s="2198"/>
      <c r="WTA77" s="2198"/>
      <c r="WTB77" s="2198"/>
      <c r="WTC77" s="2198"/>
      <c r="WTD77" s="2198"/>
      <c r="WTE77" s="2198"/>
      <c r="WTF77" s="2198"/>
      <c r="WTG77" s="2198"/>
      <c r="WTH77" s="2198"/>
      <c r="WTI77" s="2198"/>
      <c r="WTJ77" s="2198"/>
      <c r="WTK77" s="2198"/>
      <c r="WTL77" s="2198"/>
      <c r="WTM77" s="2198"/>
      <c r="WTN77" s="2198"/>
      <c r="WTO77" s="2198"/>
      <c r="WTP77" s="2198"/>
      <c r="WTQ77" s="2198"/>
      <c r="WTR77" s="2198"/>
      <c r="WTS77" s="2198"/>
      <c r="WTT77" s="2198"/>
      <c r="WTU77" s="2198"/>
      <c r="WTV77" s="2198"/>
      <c r="WTW77" s="2198"/>
      <c r="WTX77" s="2198"/>
      <c r="WTY77" s="2198"/>
      <c r="WTZ77" s="2198"/>
      <c r="WUA77" s="2198"/>
      <c r="WUB77" s="2198"/>
      <c r="WUC77" s="2198"/>
      <c r="WUD77" s="2198"/>
      <c r="WUE77" s="2198"/>
      <c r="WUF77" s="2198"/>
      <c r="WUG77" s="2198"/>
      <c r="WUH77" s="2198"/>
      <c r="WUI77" s="2198"/>
      <c r="WUJ77" s="2198"/>
      <c r="WUK77" s="2198"/>
      <c r="WUL77" s="2198"/>
      <c r="WUM77" s="2198"/>
      <c r="WUN77" s="2198"/>
      <c r="WUO77" s="2198"/>
      <c r="WUP77" s="2198"/>
      <c r="WUQ77" s="2198"/>
      <c r="WUR77" s="2198"/>
      <c r="WUS77" s="2198"/>
      <c r="WUT77" s="2198"/>
      <c r="WUU77" s="2198"/>
      <c r="WUV77" s="2198"/>
      <c r="WUW77" s="2198"/>
      <c r="WUX77" s="2198"/>
      <c r="WUY77" s="2198"/>
      <c r="WUZ77" s="2198"/>
      <c r="WVA77" s="2198"/>
      <c r="WVB77" s="2198"/>
      <c r="WVC77" s="2198"/>
      <c r="WVD77" s="2198"/>
      <c r="WVE77" s="2198"/>
      <c r="WVF77" s="2198"/>
      <c r="WVG77" s="2198"/>
      <c r="WVH77" s="2198"/>
      <c r="WVI77" s="2198"/>
      <c r="WVJ77" s="2198"/>
      <c r="WVK77" s="2198"/>
      <c r="WVL77" s="2198"/>
      <c r="WVM77" s="2198"/>
      <c r="WVN77" s="2198"/>
      <c r="WVO77" s="2198"/>
      <c r="WVP77" s="2198"/>
      <c r="WVQ77" s="2198"/>
      <c r="WVR77" s="2198"/>
      <c r="WVS77" s="2198"/>
      <c r="WVT77" s="2198"/>
      <c r="WVU77" s="2198"/>
      <c r="WVV77" s="2198"/>
      <c r="WVW77" s="2198"/>
      <c r="WVX77" s="2198"/>
      <c r="WVY77" s="2198"/>
      <c r="WVZ77" s="2198"/>
      <c r="WWA77" s="2198"/>
      <c r="WWB77" s="2198"/>
      <c r="WWC77" s="2198"/>
      <c r="WWD77" s="2198"/>
      <c r="WWE77" s="2198"/>
      <c r="WWF77" s="2198"/>
      <c r="WWG77" s="2198"/>
      <c r="WWH77" s="2198"/>
      <c r="WWI77" s="2198"/>
      <c r="WWJ77" s="2198"/>
      <c r="WWK77" s="2198"/>
      <c r="WWL77" s="2198"/>
      <c r="WWM77" s="2198"/>
      <c r="WWN77" s="2198"/>
      <c r="WWO77" s="2198"/>
      <c r="WWP77" s="2198"/>
      <c r="WWQ77" s="2198"/>
      <c r="WWR77" s="2198"/>
      <c r="WWS77" s="2198"/>
      <c r="WWT77" s="2198"/>
      <c r="WWU77" s="2198"/>
      <c r="WWV77" s="2198"/>
      <c r="WWW77" s="2198"/>
      <c r="WWX77" s="2198"/>
      <c r="WWY77" s="2198"/>
      <c r="WWZ77" s="2198"/>
      <c r="WXA77" s="2198"/>
      <c r="WXB77" s="2198"/>
      <c r="WXC77" s="2198"/>
      <c r="WXD77" s="2198"/>
      <c r="WXE77" s="2198"/>
      <c r="WXF77" s="2198"/>
      <c r="WXG77" s="2198"/>
      <c r="WXH77" s="2198"/>
      <c r="WXI77" s="2198"/>
      <c r="WXJ77" s="2198"/>
      <c r="WXK77" s="2198"/>
      <c r="WXL77" s="2198"/>
      <c r="WXM77" s="2198"/>
      <c r="WXN77" s="2198"/>
      <c r="WXO77" s="2198"/>
      <c r="WXP77" s="2198"/>
      <c r="WXQ77" s="2198"/>
      <c r="WXR77" s="2198"/>
      <c r="WXS77" s="2198"/>
      <c r="WXT77" s="2198"/>
      <c r="WXU77" s="2198"/>
      <c r="WXV77" s="2198"/>
      <c r="WXW77" s="2198"/>
      <c r="WXX77" s="2198"/>
      <c r="WXY77" s="2198"/>
      <c r="WXZ77" s="2198"/>
      <c r="WYA77" s="2198"/>
      <c r="WYB77" s="2198"/>
      <c r="WYC77" s="2198"/>
      <c r="WYD77" s="2198"/>
      <c r="WYE77" s="2198"/>
      <c r="WYF77" s="2198"/>
      <c r="WYG77" s="2198"/>
      <c r="WYH77" s="2198"/>
      <c r="WYI77" s="2198"/>
      <c r="WYJ77" s="2198"/>
      <c r="WYK77" s="2198"/>
      <c r="WYL77" s="2198"/>
      <c r="WYM77" s="2198"/>
      <c r="WYN77" s="2198"/>
      <c r="WYO77" s="2198"/>
      <c r="WYP77" s="2198"/>
      <c r="WYQ77" s="2198"/>
      <c r="WYR77" s="2198"/>
      <c r="WYS77" s="2198"/>
      <c r="WYT77" s="2198"/>
      <c r="WYU77" s="2198"/>
      <c r="WYV77" s="2198"/>
      <c r="WYW77" s="2198"/>
      <c r="WYX77" s="2198"/>
      <c r="WYY77" s="2198"/>
      <c r="WYZ77" s="2198"/>
      <c r="WZA77" s="2198"/>
      <c r="WZB77" s="2198"/>
      <c r="WZC77" s="2198"/>
      <c r="WZD77" s="2198"/>
      <c r="WZE77" s="2198"/>
      <c r="WZF77" s="2198"/>
      <c r="WZG77" s="2198"/>
      <c r="WZH77" s="2198"/>
      <c r="WZI77" s="2198"/>
      <c r="WZJ77" s="2198"/>
      <c r="WZK77" s="2198"/>
      <c r="WZL77" s="2198"/>
      <c r="WZM77" s="2198"/>
      <c r="WZN77" s="2198"/>
      <c r="WZO77" s="2198"/>
      <c r="WZP77" s="2198"/>
      <c r="WZQ77" s="2198"/>
      <c r="WZR77" s="2198"/>
      <c r="WZS77" s="2198"/>
      <c r="WZT77" s="2198"/>
      <c r="WZU77" s="2198"/>
      <c r="WZV77" s="2198"/>
      <c r="WZW77" s="2198"/>
      <c r="WZX77" s="2198"/>
      <c r="WZY77" s="2198"/>
      <c r="WZZ77" s="2198"/>
      <c r="XAA77" s="2198"/>
      <c r="XAB77" s="2198"/>
      <c r="XAC77" s="2198"/>
      <c r="XAD77" s="2198"/>
      <c r="XAE77" s="2198"/>
      <c r="XAF77" s="2198"/>
      <c r="XAG77" s="2198"/>
      <c r="XAH77" s="2198"/>
      <c r="XAI77" s="2198"/>
      <c r="XAJ77" s="2198"/>
      <c r="XAK77" s="2198"/>
      <c r="XAL77" s="2198"/>
      <c r="XAM77" s="2198"/>
      <c r="XAN77" s="2198"/>
      <c r="XAO77" s="2198"/>
      <c r="XAP77" s="2198"/>
      <c r="XAQ77" s="2198"/>
      <c r="XAR77" s="2198"/>
      <c r="XAS77" s="2198"/>
      <c r="XAT77" s="2198"/>
      <c r="XAU77" s="2198"/>
      <c r="XAV77" s="2198"/>
      <c r="XAW77" s="2198"/>
      <c r="XAX77" s="2198"/>
      <c r="XAY77" s="2198"/>
      <c r="XAZ77" s="2198"/>
      <c r="XBA77" s="2198"/>
      <c r="XBB77" s="2198"/>
      <c r="XBC77" s="2198"/>
      <c r="XBD77" s="2198"/>
      <c r="XBE77" s="2198"/>
      <c r="XBF77" s="2198"/>
      <c r="XBG77" s="2198"/>
      <c r="XBH77" s="2198"/>
      <c r="XBI77" s="2198"/>
      <c r="XBJ77" s="2198"/>
      <c r="XBK77" s="2198"/>
      <c r="XBL77" s="2198"/>
      <c r="XBM77" s="2198"/>
      <c r="XBN77" s="2198"/>
      <c r="XBO77" s="2198"/>
      <c r="XBP77" s="2198"/>
      <c r="XBQ77" s="2198"/>
      <c r="XBR77" s="2198"/>
      <c r="XBS77" s="2198"/>
      <c r="XBT77" s="2198"/>
      <c r="XBU77" s="2198"/>
      <c r="XBV77" s="2198"/>
      <c r="XBW77" s="2198"/>
      <c r="XBX77" s="2198"/>
      <c r="XBY77" s="2198"/>
      <c r="XBZ77" s="2198"/>
      <c r="XCA77" s="2198"/>
      <c r="XCB77" s="2198"/>
      <c r="XCC77" s="2198"/>
      <c r="XCD77" s="2198"/>
      <c r="XCE77" s="2198"/>
      <c r="XCF77" s="2198"/>
      <c r="XCG77" s="2198"/>
      <c r="XCH77" s="2198"/>
      <c r="XCI77" s="2198"/>
      <c r="XCJ77" s="2198"/>
      <c r="XCK77" s="2198"/>
      <c r="XCL77" s="2198"/>
      <c r="XCM77" s="2198"/>
      <c r="XCN77" s="2198"/>
      <c r="XCO77" s="2198"/>
      <c r="XCP77" s="2198"/>
      <c r="XCQ77" s="2198"/>
      <c r="XCR77" s="2198"/>
      <c r="XCS77" s="2198"/>
      <c r="XCT77" s="2198"/>
      <c r="XCU77" s="2198"/>
      <c r="XCV77" s="2198"/>
      <c r="XCW77" s="2198"/>
      <c r="XCX77" s="2198"/>
      <c r="XCY77" s="2198"/>
      <c r="XCZ77" s="2198"/>
      <c r="XDA77" s="2198"/>
      <c r="XDB77" s="2198"/>
      <c r="XDC77" s="2198"/>
      <c r="XDD77" s="2198"/>
      <c r="XDE77" s="2198"/>
      <c r="XDF77" s="2198"/>
      <c r="XDG77" s="2198"/>
      <c r="XDH77" s="2198"/>
      <c r="XDI77" s="2198"/>
      <c r="XDJ77" s="2198"/>
      <c r="XDK77" s="2198"/>
      <c r="XDL77" s="2198"/>
      <c r="XDM77" s="2198"/>
      <c r="XDN77" s="2198"/>
      <c r="XDO77" s="2198"/>
      <c r="XDP77" s="2198"/>
      <c r="XDQ77" s="2198"/>
      <c r="XDR77" s="2198"/>
      <c r="XDS77" s="2198"/>
      <c r="XDT77" s="2198"/>
      <c r="XDU77" s="2198"/>
      <c r="XDV77" s="2198"/>
      <c r="XDW77" s="2198"/>
      <c r="XDX77" s="2198"/>
      <c r="XDY77" s="2198"/>
      <c r="XDZ77" s="2198"/>
      <c r="XEA77" s="2198"/>
      <c r="XEB77" s="2198"/>
      <c r="XEC77" s="2198"/>
      <c r="XED77" s="2198"/>
      <c r="XEE77" s="2198"/>
      <c r="XEF77" s="2198"/>
      <c r="XEG77" s="2198"/>
      <c r="XEH77" s="2198"/>
      <c r="XEI77" s="2198"/>
      <c r="XEJ77" s="2198"/>
      <c r="XEK77" s="2198"/>
      <c r="XEL77" s="2198"/>
      <c r="XEM77" s="2198"/>
      <c r="XEN77" s="2198"/>
      <c r="XEO77" s="2198"/>
      <c r="XEP77" s="2198"/>
      <c r="XEQ77" s="2198"/>
      <c r="XER77" s="2198"/>
      <c r="XES77" s="2198"/>
      <c r="XET77" s="2198"/>
      <c r="XEU77" s="2198"/>
      <c r="XEV77" s="2198"/>
      <c r="XEW77" s="2198"/>
      <c r="XEX77" s="2198"/>
      <c r="XEY77" s="2198"/>
      <c r="XEZ77" s="2198"/>
      <c r="XFA77" s="2198"/>
      <c r="XFB77" s="2198"/>
      <c r="XFC77" s="2198"/>
    </row>
    <row r="78" spans="2:16383" ht="15" x14ac:dyDescent="0.25">
      <c r="B78" s="2410"/>
      <c r="C78" s="2432" t="s">
        <v>1370</v>
      </c>
      <c r="D78" s="2415" t="s">
        <v>1365</v>
      </c>
      <c r="E78" s="2411" t="s">
        <v>319</v>
      </c>
      <c r="F78" s="2411"/>
      <c r="G78" s="2431">
        <v>287064.75773771002</v>
      </c>
      <c r="H78" s="2431">
        <v>286122.89384287066</v>
      </c>
      <c r="I78" s="2431">
        <v>286889.37166314473</v>
      </c>
      <c r="J78" s="2431">
        <v>286805.43303311057</v>
      </c>
      <c r="K78" s="2431">
        <v>286159.03256227268</v>
      </c>
      <c r="L78" s="2431">
        <v>284908.8097676083</v>
      </c>
      <c r="M78" s="2431">
        <v>282867.81431255693</v>
      </c>
      <c r="N78" s="2431">
        <v>280909.65704686329</v>
      </c>
      <c r="O78" s="2431">
        <v>279033.30451076571</v>
      </c>
      <c r="P78" s="2431">
        <v>277171.80072947172</v>
      </c>
      <c r="Q78" s="2431">
        <v>275235.37024244107</v>
      </c>
      <c r="R78" s="2431">
        <v>273695.49036084086</v>
      </c>
      <c r="S78" s="2431">
        <v>272469.40883945412</v>
      </c>
      <c r="T78" s="2431">
        <v>271492.19406840176</v>
      </c>
      <c r="U78" s="2431">
        <v>270712.70265474607</v>
      </c>
      <c r="V78" s="2431">
        <v>270090.52667800686</v>
      </c>
      <c r="W78" s="2431">
        <v>269593.66022183263</v>
      </c>
      <c r="X78" s="2431">
        <v>269196.70108630578</v>
      </c>
      <c r="Y78" s="2431">
        <v>268879.45540876815</v>
      </c>
      <c r="Z78" s="2431">
        <v>268625.84872666438</v>
      </c>
      <c r="AA78" s="2431">
        <v>268423.07216626161</v>
      </c>
      <c r="AB78" s="2431">
        <v>268260.9103876024</v>
      </c>
      <c r="AC78" s="2431">
        <v>268131.21091370319</v>
      </c>
      <c r="AD78" s="2431">
        <v>268027.4640160962</v>
      </c>
      <c r="AE78" s="2431">
        <v>267944.46942572837</v>
      </c>
      <c r="AF78" s="2431">
        <v>267878.07147549331</v>
      </c>
      <c r="AG78" s="2431">
        <v>267824.94833486323</v>
      </c>
      <c r="AH78" s="2431">
        <v>267782.44410366961</v>
      </c>
      <c r="AI78" s="2431">
        <v>267748.43493040401</v>
      </c>
      <c r="AJ78" s="2431">
        <v>267721.22218379827</v>
      </c>
      <c r="AK78" s="2431">
        <v>267699.4471619979</v>
      </c>
      <c r="AL78" s="2431">
        <v>267682.02296566474</v>
      </c>
      <c r="AM78" s="2431">
        <v>267668.08006077475</v>
      </c>
      <c r="AN78" s="2431">
        <v>267656.92276730464</v>
      </c>
      <c r="AO78" s="2431">
        <v>267647.99447263178</v>
      </c>
      <c r="AP78" s="2431">
        <v>267640.84981488576</v>
      </c>
      <c r="AQ78" s="2431">
        <v>267635.13243633328</v>
      </c>
      <c r="AR78" s="2431">
        <v>267630.55718926591</v>
      </c>
      <c r="AS78" s="2431">
        <v>267626.89590185153</v>
      </c>
      <c r="AT78" s="2198"/>
      <c r="AU78" s="2198"/>
      <c r="AV78" s="2198"/>
      <c r="AW78" s="2198"/>
      <c r="AX78" s="2198"/>
      <c r="AY78" s="2198"/>
      <c r="AZ78" s="2198"/>
      <c r="BA78" s="2198"/>
      <c r="BB78" s="2198"/>
      <c r="BC78" s="2198"/>
      <c r="BD78" s="2198"/>
      <c r="BE78" s="2198"/>
      <c r="BF78" s="2198"/>
      <c r="BG78" s="2198"/>
      <c r="BH78" s="2198"/>
      <c r="BI78" s="2198"/>
      <c r="BJ78" s="2198"/>
      <c r="BK78" s="2198"/>
      <c r="BL78" s="2198"/>
      <c r="BM78" s="2198"/>
      <c r="BN78" s="2198"/>
      <c r="BO78" s="2198"/>
      <c r="BP78" s="2198"/>
      <c r="BQ78" s="2198"/>
      <c r="BR78" s="2198"/>
      <c r="BS78" s="2198"/>
      <c r="BT78" s="2198"/>
      <c r="BU78" s="2198"/>
      <c r="BV78" s="2198"/>
      <c r="BW78" s="2198"/>
      <c r="BX78" s="2198"/>
      <c r="BY78" s="2198"/>
      <c r="BZ78" s="2198"/>
      <c r="CA78" s="2198"/>
      <c r="CB78" s="2198"/>
      <c r="CC78" s="2198"/>
      <c r="CD78" s="2198"/>
      <c r="CE78" s="2198"/>
      <c r="CF78" s="2198"/>
      <c r="CG78" s="2198"/>
      <c r="CH78" s="2198"/>
      <c r="CI78" s="2198"/>
      <c r="CJ78" s="2198"/>
      <c r="CK78" s="2198"/>
      <c r="CL78" s="2198"/>
      <c r="CM78" s="2198"/>
      <c r="CN78" s="2198"/>
      <c r="CO78" s="2198"/>
      <c r="CP78" s="2198"/>
      <c r="CQ78" s="2198"/>
      <c r="CR78" s="2198"/>
      <c r="CS78" s="2198"/>
      <c r="CT78" s="2198"/>
      <c r="CU78" s="2198"/>
      <c r="CV78" s="2198"/>
      <c r="CW78" s="2198"/>
      <c r="CX78" s="2198"/>
      <c r="CY78" s="2198"/>
      <c r="CZ78" s="2198"/>
      <c r="DA78" s="2198"/>
      <c r="DB78" s="2198"/>
      <c r="DC78" s="2198"/>
      <c r="DD78" s="2198"/>
      <c r="DE78" s="2198"/>
      <c r="DF78" s="2198"/>
      <c r="DG78" s="2198"/>
      <c r="DH78" s="2198"/>
      <c r="DI78" s="2198"/>
      <c r="DJ78" s="2198"/>
      <c r="DK78" s="2198"/>
      <c r="DL78" s="2198"/>
      <c r="DM78" s="2198"/>
      <c r="DN78" s="2198"/>
      <c r="DO78" s="2198"/>
      <c r="DP78" s="2198"/>
      <c r="DQ78" s="2198"/>
      <c r="DR78" s="2198"/>
      <c r="DS78" s="2198"/>
      <c r="DT78" s="2198"/>
      <c r="DU78" s="2198"/>
      <c r="DV78" s="2198"/>
      <c r="DW78" s="2198"/>
      <c r="DX78" s="2198"/>
      <c r="DY78" s="2198"/>
      <c r="DZ78" s="2198"/>
      <c r="EA78" s="2198"/>
      <c r="EB78" s="2198"/>
      <c r="EC78" s="2198"/>
      <c r="ED78" s="2198"/>
      <c r="EE78" s="2198"/>
      <c r="EF78" s="2198"/>
      <c r="EG78" s="2198"/>
      <c r="EH78" s="2198"/>
      <c r="EI78" s="2198"/>
      <c r="EJ78" s="2198"/>
      <c r="EK78" s="2198"/>
      <c r="EL78" s="2198"/>
      <c r="EM78" s="2198"/>
      <c r="EN78" s="2198"/>
      <c r="EO78" s="2198"/>
      <c r="EP78" s="2198"/>
      <c r="EQ78" s="2198"/>
      <c r="ER78" s="2198"/>
      <c r="ES78" s="2198"/>
      <c r="ET78" s="2198"/>
      <c r="EU78" s="2198"/>
      <c r="EV78" s="2198"/>
      <c r="EW78" s="2198"/>
      <c r="EX78" s="2198"/>
      <c r="EY78" s="2198"/>
      <c r="EZ78" s="2198"/>
      <c r="FA78" s="2198"/>
      <c r="FB78" s="2198"/>
      <c r="FC78" s="2198"/>
      <c r="FD78" s="2198"/>
      <c r="FE78" s="2198"/>
      <c r="FF78" s="2198"/>
      <c r="FG78" s="2198"/>
      <c r="FH78" s="2198"/>
      <c r="FI78" s="2198"/>
      <c r="FJ78" s="2198"/>
      <c r="FK78" s="2198"/>
      <c r="FL78" s="2198"/>
      <c r="FM78" s="2198"/>
      <c r="FN78" s="2198"/>
      <c r="FO78" s="2198"/>
      <c r="FP78" s="2198"/>
      <c r="FQ78" s="2198"/>
      <c r="FR78" s="2198"/>
      <c r="FS78" s="2198"/>
      <c r="FT78" s="2198"/>
      <c r="FU78" s="2198"/>
      <c r="FV78" s="2198"/>
      <c r="FW78" s="2198"/>
      <c r="FX78" s="2198"/>
      <c r="FY78" s="2198"/>
      <c r="FZ78" s="2198"/>
      <c r="GA78" s="2198"/>
      <c r="GB78" s="2198"/>
      <c r="GC78" s="2198"/>
      <c r="GD78" s="2198"/>
      <c r="GE78" s="2198"/>
      <c r="GF78" s="2198"/>
      <c r="GG78" s="2198"/>
      <c r="GH78" s="2198"/>
      <c r="GI78" s="2198"/>
      <c r="GJ78" s="2198"/>
      <c r="GK78" s="2198"/>
      <c r="GL78" s="2198"/>
      <c r="GM78" s="2198"/>
      <c r="GN78" s="2198"/>
      <c r="GO78" s="2198"/>
      <c r="GP78" s="2198"/>
      <c r="GQ78" s="2198"/>
      <c r="GR78" s="2198"/>
      <c r="GS78" s="2198"/>
      <c r="GT78" s="2198"/>
      <c r="GU78" s="2198"/>
      <c r="GV78" s="2198"/>
      <c r="GW78" s="2198"/>
      <c r="GX78" s="2198"/>
      <c r="GY78" s="2198"/>
      <c r="GZ78" s="2198"/>
      <c r="HA78" s="2198"/>
      <c r="HB78" s="2198"/>
      <c r="HC78" s="2198"/>
      <c r="HD78" s="2198"/>
      <c r="HE78" s="2198"/>
      <c r="HF78" s="2198"/>
      <c r="HG78" s="2198"/>
      <c r="HH78" s="2198"/>
      <c r="HI78" s="2198"/>
      <c r="HJ78" s="2198"/>
      <c r="HK78" s="2198"/>
      <c r="HL78" s="2198"/>
      <c r="HM78" s="2198"/>
      <c r="HN78" s="2198"/>
      <c r="HO78" s="2198"/>
      <c r="HP78" s="2198"/>
      <c r="HQ78" s="2198"/>
      <c r="HR78" s="2198"/>
      <c r="HS78" s="2198"/>
      <c r="HT78" s="2198"/>
      <c r="HU78" s="2198"/>
      <c r="HV78" s="2198"/>
      <c r="HW78" s="2198"/>
      <c r="HX78" s="2198"/>
      <c r="HY78" s="2198"/>
      <c r="HZ78" s="2198"/>
      <c r="IA78" s="2198"/>
      <c r="IB78" s="2198"/>
      <c r="IC78" s="2198"/>
      <c r="ID78" s="2198"/>
      <c r="IE78" s="2198"/>
      <c r="IF78" s="2198"/>
      <c r="IG78" s="2198"/>
      <c r="IH78" s="2198"/>
      <c r="II78" s="2198"/>
      <c r="IJ78" s="2198"/>
      <c r="IK78" s="2198"/>
      <c r="IL78" s="2198"/>
      <c r="IM78" s="2198"/>
      <c r="IN78" s="2198"/>
      <c r="IO78" s="2198"/>
      <c r="IP78" s="2198"/>
      <c r="IQ78" s="2198"/>
      <c r="IR78" s="2198"/>
      <c r="IS78" s="2198"/>
      <c r="IT78" s="2198"/>
      <c r="IU78" s="2198"/>
      <c r="IV78" s="2198"/>
      <c r="IW78" s="2198"/>
      <c r="IX78" s="2198"/>
      <c r="IY78" s="2198"/>
      <c r="IZ78" s="2198"/>
      <c r="JA78" s="2198"/>
      <c r="JB78" s="2198"/>
      <c r="JC78" s="2198"/>
      <c r="JD78" s="2198"/>
      <c r="JE78" s="2198"/>
      <c r="JF78" s="2198"/>
      <c r="JG78" s="2198"/>
      <c r="JH78" s="2198"/>
      <c r="JI78" s="2198"/>
      <c r="JJ78" s="2198"/>
      <c r="JK78" s="2198"/>
      <c r="JL78" s="2198"/>
      <c r="JM78" s="2198"/>
      <c r="JN78" s="2198"/>
      <c r="JO78" s="2198"/>
      <c r="JP78" s="2198"/>
      <c r="JQ78" s="2198"/>
      <c r="JR78" s="2198"/>
      <c r="JS78" s="2198"/>
      <c r="JT78" s="2198"/>
      <c r="JU78" s="2198"/>
      <c r="JV78" s="2198"/>
      <c r="JW78" s="2198"/>
      <c r="JX78" s="2198"/>
      <c r="JY78" s="2198"/>
      <c r="JZ78" s="2198"/>
      <c r="KA78" s="2198"/>
      <c r="KB78" s="2198"/>
      <c r="KC78" s="2198"/>
      <c r="KD78" s="2198"/>
      <c r="KE78" s="2198"/>
      <c r="KF78" s="2198"/>
      <c r="KG78" s="2198"/>
      <c r="KH78" s="2198"/>
      <c r="KI78" s="2198"/>
      <c r="KJ78" s="2198"/>
      <c r="KK78" s="2198"/>
      <c r="KL78" s="2198"/>
      <c r="KM78" s="2198"/>
      <c r="KN78" s="2198"/>
      <c r="KO78" s="2198"/>
      <c r="KP78" s="2198"/>
      <c r="KQ78" s="2198"/>
      <c r="KR78" s="2198"/>
      <c r="KS78" s="2198"/>
      <c r="KT78" s="2198"/>
      <c r="KU78" s="2198"/>
      <c r="KV78" s="2198"/>
      <c r="KW78" s="2198"/>
      <c r="KX78" s="2198"/>
      <c r="KY78" s="2198"/>
      <c r="KZ78" s="2198"/>
      <c r="LA78" s="2198"/>
      <c r="LB78" s="2198"/>
      <c r="LC78" s="2198"/>
      <c r="LD78" s="2198"/>
      <c r="LE78" s="2198"/>
      <c r="LF78" s="2198"/>
      <c r="LG78" s="2198"/>
      <c r="LH78" s="2198"/>
      <c r="LI78" s="2198"/>
      <c r="LJ78" s="2198"/>
      <c r="LK78" s="2198"/>
      <c r="LL78" s="2198"/>
      <c r="LM78" s="2198"/>
      <c r="LN78" s="2198"/>
      <c r="LO78" s="2198"/>
      <c r="LP78" s="2198"/>
      <c r="LQ78" s="2198"/>
      <c r="LR78" s="2198"/>
      <c r="LS78" s="2198"/>
      <c r="LT78" s="2198"/>
      <c r="LU78" s="2198"/>
      <c r="LV78" s="2198"/>
      <c r="LW78" s="2198"/>
      <c r="LX78" s="2198"/>
      <c r="LY78" s="2198"/>
      <c r="LZ78" s="2198"/>
      <c r="MA78" s="2198"/>
      <c r="MB78" s="2198"/>
      <c r="MC78" s="2198"/>
      <c r="MD78" s="2198"/>
      <c r="ME78" s="2198"/>
      <c r="MF78" s="2198"/>
      <c r="MG78" s="2198"/>
      <c r="MH78" s="2198"/>
      <c r="MI78" s="2198"/>
      <c r="MJ78" s="2198"/>
      <c r="MK78" s="2198"/>
      <c r="ML78" s="2198"/>
      <c r="MM78" s="2198"/>
      <c r="MN78" s="2198"/>
      <c r="MO78" s="2198"/>
      <c r="MP78" s="2198"/>
      <c r="MQ78" s="2198"/>
      <c r="MR78" s="2198"/>
      <c r="MS78" s="2198"/>
      <c r="MT78" s="2198"/>
      <c r="MU78" s="2198"/>
      <c r="MV78" s="2198"/>
      <c r="MW78" s="2198"/>
      <c r="MX78" s="2198"/>
      <c r="MY78" s="2198"/>
      <c r="MZ78" s="2198"/>
      <c r="NA78" s="2198"/>
      <c r="NB78" s="2198"/>
      <c r="NC78" s="2198"/>
      <c r="ND78" s="2198"/>
      <c r="NE78" s="2198"/>
      <c r="NF78" s="2198"/>
      <c r="NG78" s="2198"/>
      <c r="NH78" s="2198"/>
      <c r="NI78" s="2198"/>
      <c r="NJ78" s="2198"/>
      <c r="NK78" s="2198"/>
      <c r="NL78" s="2198"/>
      <c r="NM78" s="2198"/>
      <c r="NN78" s="2198"/>
      <c r="NO78" s="2198"/>
      <c r="NP78" s="2198"/>
      <c r="NQ78" s="2198"/>
      <c r="NR78" s="2198"/>
      <c r="NS78" s="2198"/>
      <c r="NT78" s="2198"/>
      <c r="NU78" s="2198"/>
      <c r="NV78" s="2198"/>
      <c r="NW78" s="2198"/>
      <c r="NX78" s="2198"/>
      <c r="NY78" s="2198"/>
      <c r="NZ78" s="2198"/>
      <c r="OA78" s="2198"/>
      <c r="OB78" s="2198"/>
      <c r="OC78" s="2198"/>
      <c r="OD78" s="2198"/>
      <c r="OE78" s="2198"/>
      <c r="OF78" s="2198"/>
      <c r="OG78" s="2198"/>
      <c r="OH78" s="2198"/>
      <c r="OI78" s="2198"/>
      <c r="OJ78" s="2198"/>
      <c r="OK78" s="2198"/>
      <c r="OL78" s="2198"/>
      <c r="OM78" s="2198"/>
      <c r="ON78" s="2198"/>
      <c r="OO78" s="2198"/>
      <c r="OP78" s="2198"/>
      <c r="OQ78" s="2198"/>
      <c r="OR78" s="2198"/>
      <c r="OS78" s="2198"/>
      <c r="OT78" s="2198"/>
      <c r="OU78" s="2198"/>
      <c r="OV78" s="2198"/>
      <c r="OW78" s="2198"/>
      <c r="OX78" s="2198"/>
      <c r="OY78" s="2198"/>
      <c r="OZ78" s="2198"/>
      <c r="PA78" s="2198"/>
      <c r="PB78" s="2198"/>
      <c r="PC78" s="2198"/>
      <c r="PD78" s="2198"/>
      <c r="PE78" s="2198"/>
      <c r="PF78" s="2198"/>
      <c r="PG78" s="2198"/>
      <c r="PH78" s="2198"/>
      <c r="PI78" s="2198"/>
      <c r="PJ78" s="2198"/>
      <c r="PK78" s="2198"/>
      <c r="PL78" s="2198"/>
      <c r="PM78" s="2198"/>
      <c r="PN78" s="2198"/>
      <c r="PO78" s="2198"/>
      <c r="PP78" s="2198"/>
      <c r="PQ78" s="2198"/>
      <c r="PR78" s="2198"/>
      <c r="PS78" s="2198"/>
      <c r="PT78" s="2198"/>
      <c r="PU78" s="2198"/>
      <c r="PV78" s="2198"/>
      <c r="PW78" s="2198"/>
      <c r="PX78" s="2198"/>
      <c r="PY78" s="2198"/>
      <c r="PZ78" s="2198"/>
      <c r="QA78" s="2198"/>
      <c r="QB78" s="2198"/>
      <c r="QC78" s="2198"/>
      <c r="QD78" s="2198"/>
      <c r="QE78" s="2198"/>
      <c r="QF78" s="2198"/>
      <c r="QG78" s="2198"/>
      <c r="QH78" s="2198"/>
      <c r="QI78" s="2198"/>
      <c r="QJ78" s="2198"/>
      <c r="QK78" s="2198"/>
      <c r="QL78" s="2198"/>
      <c r="QM78" s="2198"/>
      <c r="QN78" s="2198"/>
      <c r="QO78" s="2198"/>
      <c r="QP78" s="2198"/>
      <c r="QQ78" s="2198"/>
      <c r="QR78" s="2198"/>
      <c r="QS78" s="2198"/>
      <c r="QT78" s="2198"/>
      <c r="QU78" s="2198"/>
      <c r="QV78" s="2198"/>
      <c r="QW78" s="2198"/>
      <c r="QX78" s="2198"/>
      <c r="QY78" s="2198"/>
      <c r="QZ78" s="2198"/>
      <c r="RA78" s="2198"/>
      <c r="RB78" s="2198"/>
      <c r="RC78" s="2198"/>
      <c r="RD78" s="2198"/>
      <c r="RE78" s="2198"/>
      <c r="RF78" s="2198"/>
      <c r="RG78" s="2198"/>
      <c r="RH78" s="2198"/>
      <c r="RI78" s="2198"/>
      <c r="RJ78" s="2198"/>
      <c r="RK78" s="2198"/>
      <c r="RL78" s="2198"/>
      <c r="RM78" s="2198"/>
      <c r="RN78" s="2198"/>
      <c r="RO78" s="2198"/>
      <c r="RP78" s="2198"/>
      <c r="RQ78" s="2198"/>
      <c r="RR78" s="2198"/>
      <c r="RS78" s="2198"/>
      <c r="RT78" s="2198"/>
      <c r="RU78" s="2198"/>
      <c r="RV78" s="2198"/>
      <c r="RW78" s="2198"/>
      <c r="RX78" s="2198"/>
      <c r="RY78" s="2198"/>
      <c r="RZ78" s="2198"/>
      <c r="SA78" s="2198"/>
      <c r="SB78" s="2198"/>
      <c r="SC78" s="2198"/>
      <c r="SD78" s="2198"/>
      <c r="SE78" s="2198"/>
      <c r="SF78" s="2198"/>
      <c r="SG78" s="2198"/>
      <c r="SH78" s="2198"/>
      <c r="SI78" s="2198"/>
      <c r="SJ78" s="2198"/>
      <c r="SK78" s="2198"/>
      <c r="SL78" s="2198"/>
      <c r="SM78" s="2198"/>
      <c r="SN78" s="2198"/>
      <c r="SO78" s="2198"/>
      <c r="SP78" s="2198"/>
      <c r="SQ78" s="2198"/>
      <c r="SR78" s="2198"/>
      <c r="SS78" s="2198"/>
      <c r="ST78" s="2198"/>
      <c r="SU78" s="2198"/>
      <c r="SV78" s="2198"/>
      <c r="SW78" s="2198"/>
      <c r="SX78" s="2198"/>
      <c r="SY78" s="2198"/>
      <c r="SZ78" s="2198"/>
      <c r="TA78" s="2198"/>
      <c r="TB78" s="2198"/>
      <c r="TC78" s="2198"/>
      <c r="TD78" s="2198"/>
      <c r="TE78" s="2198"/>
      <c r="TF78" s="2198"/>
      <c r="TG78" s="2198"/>
      <c r="TH78" s="2198"/>
      <c r="TI78" s="2198"/>
      <c r="TJ78" s="2198"/>
      <c r="TK78" s="2198"/>
      <c r="TL78" s="2198"/>
      <c r="TM78" s="2198"/>
      <c r="TN78" s="2198"/>
      <c r="TO78" s="2198"/>
      <c r="TP78" s="2198"/>
      <c r="TQ78" s="2198"/>
      <c r="TR78" s="2198"/>
      <c r="TS78" s="2198"/>
      <c r="TT78" s="2198"/>
      <c r="TU78" s="2198"/>
      <c r="TV78" s="2198"/>
      <c r="TW78" s="2198"/>
      <c r="TX78" s="2198"/>
      <c r="TY78" s="2198"/>
      <c r="TZ78" s="2198"/>
      <c r="UA78" s="2198"/>
      <c r="UB78" s="2198"/>
      <c r="UC78" s="2198"/>
      <c r="UD78" s="2198"/>
      <c r="UE78" s="2198"/>
      <c r="UF78" s="2198"/>
      <c r="UG78" s="2198"/>
      <c r="UH78" s="2198"/>
      <c r="UI78" s="2198"/>
      <c r="UJ78" s="2198"/>
      <c r="UK78" s="2198"/>
      <c r="UL78" s="2198"/>
      <c r="UM78" s="2198"/>
      <c r="UN78" s="2198"/>
      <c r="UO78" s="2198"/>
      <c r="UP78" s="2198"/>
      <c r="UQ78" s="2198"/>
      <c r="UR78" s="2198"/>
      <c r="US78" s="2198"/>
      <c r="UT78" s="2198"/>
      <c r="UU78" s="2198"/>
      <c r="UV78" s="2198"/>
      <c r="UW78" s="2198"/>
      <c r="UX78" s="2198"/>
      <c r="UY78" s="2198"/>
      <c r="UZ78" s="2198"/>
      <c r="VA78" s="2198"/>
      <c r="VB78" s="2198"/>
      <c r="VC78" s="2198"/>
      <c r="VD78" s="2198"/>
      <c r="VE78" s="2198"/>
      <c r="VF78" s="2198"/>
      <c r="VG78" s="2198"/>
      <c r="VH78" s="2198"/>
      <c r="VI78" s="2198"/>
      <c r="VJ78" s="2198"/>
      <c r="VK78" s="2198"/>
      <c r="VL78" s="2198"/>
      <c r="VM78" s="2198"/>
      <c r="VN78" s="2198"/>
      <c r="VO78" s="2198"/>
      <c r="VP78" s="2198"/>
      <c r="VQ78" s="2198"/>
      <c r="VR78" s="2198"/>
      <c r="VS78" s="2198"/>
      <c r="VT78" s="2198"/>
      <c r="VU78" s="2198"/>
      <c r="VV78" s="2198"/>
      <c r="VW78" s="2198"/>
      <c r="VX78" s="2198"/>
      <c r="VY78" s="2198"/>
      <c r="VZ78" s="2198"/>
      <c r="WA78" s="2198"/>
      <c r="WB78" s="2198"/>
      <c r="WC78" s="2198"/>
      <c r="WD78" s="2198"/>
      <c r="WE78" s="2198"/>
      <c r="WF78" s="2198"/>
      <c r="WG78" s="2198"/>
      <c r="WH78" s="2198"/>
      <c r="WI78" s="2198"/>
      <c r="WJ78" s="2198"/>
      <c r="WK78" s="2198"/>
      <c r="WL78" s="2198"/>
      <c r="WM78" s="2198"/>
      <c r="WN78" s="2198"/>
      <c r="WO78" s="2198"/>
      <c r="WP78" s="2198"/>
      <c r="WQ78" s="2198"/>
      <c r="WR78" s="2198"/>
      <c r="WS78" s="2198"/>
      <c r="WT78" s="2198"/>
      <c r="WU78" s="2198"/>
      <c r="WV78" s="2198"/>
      <c r="WW78" s="2198"/>
      <c r="WX78" s="2198"/>
      <c r="WY78" s="2198"/>
      <c r="WZ78" s="2198"/>
      <c r="XA78" s="2198"/>
      <c r="XB78" s="2198"/>
      <c r="XC78" s="2198"/>
      <c r="XD78" s="2198"/>
      <c r="XE78" s="2198"/>
      <c r="XF78" s="2198"/>
      <c r="XG78" s="2198"/>
      <c r="XH78" s="2198"/>
      <c r="XI78" s="2198"/>
      <c r="XJ78" s="2198"/>
      <c r="XK78" s="2198"/>
      <c r="XL78" s="2198"/>
      <c r="XM78" s="2198"/>
      <c r="XN78" s="2198"/>
      <c r="XO78" s="2198"/>
      <c r="XP78" s="2198"/>
      <c r="XQ78" s="2198"/>
      <c r="XR78" s="2198"/>
      <c r="XS78" s="2198"/>
      <c r="XT78" s="2198"/>
      <c r="XU78" s="2198"/>
      <c r="XV78" s="2198"/>
      <c r="XW78" s="2198"/>
      <c r="XX78" s="2198"/>
      <c r="XY78" s="2198"/>
      <c r="XZ78" s="2198"/>
      <c r="YA78" s="2198"/>
      <c r="YB78" s="2198"/>
      <c r="YC78" s="2198"/>
      <c r="YD78" s="2198"/>
      <c r="YE78" s="2198"/>
      <c r="YF78" s="2198"/>
      <c r="YG78" s="2198"/>
      <c r="YH78" s="2198"/>
      <c r="YI78" s="2198"/>
      <c r="YJ78" s="2198"/>
      <c r="YK78" s="2198"/>
      <c r="YL78" s="2198"/>
      <c r="YM78" s="2198"/>
      <c r="YN78" s="2198"/>
      <c r="YO78" s="2198"/>
      <c r="YP78" s="2198"/>
      <c r="YQ78" s="2198"/>
      <c r="YR78" s="2198"/>
      <c r="YS78" s="2198"/>
      <c r="YT78" s="2198"/>
      <c r="YU78" s="2198"/>
      <c r="YV78" s="2198"/>
      <c r="YW78" s="2198"/>
      <c r="YX78" s="2198"/>
      <c r="YY78" s="2198"/>
      <c r="YZ78" s="2198"/>
      <c r="ZA78" s="2198"/>
      <c r="ZB78" s="2198"/>
      <c r="ZC78" s="2198"/>
      <c r="ZD78" s="2198"/>
      <c r="ZE78" s="2198"/>
      <c r="ZF78" s="2198"/>
      <c r="ZG78" s="2198"/>
      <c r="ZH78" s="2198"/>
      <c r="ZI78" s="2198"/>
      <c r="ZJ78" s="2198"/>
      <c r="ZK78" s="2198"/>
      <c r="ZL78" s="2198"/>
      <c r="ZM78" s="2198"/>
      <c r="ZN78" s="2198"/>
      <c r="ZO78" s="2198"/>
      <c r="ZP78" s="2198"/>
      <c r="ZQ78" s="2198"/>
      <c r="ZR78" s="2198"/>
      <c r="ZS78" s="2198"/>
      <c r="ZT78" s="2198"/>
      <c r="ZU78" s="2198"/>
      <c r="ZV78" s="2198"/>
      <c r="ZW78" s="2198"/>
      <c r="ZX78" s="2198"/>
      <c r="ZY78" s="2198"/>
      <c r="ZZ78" s="2198"/>
      <c r="AAA78" s="2198"/>
      <c r="AAB78" s="2198"/>
      <c r="AAC78" s="2198"/>
      <c r="AAD78" s="2198"/>
      <c r="AAE78" s="2198"/>
      <c r="AAF78" s="2198"/>
      <c r="AAG78" s="2198"/>
      <c r="AAH78" s="2198"/>
      <c r="AAI78" s="2198"/>
      <c r="AAJ78" s="2198"/>
      <c r="AAK78" s="2198"/>
      <c r="AAL78" s="2198"/>
      <c r="AAM78" s="2198"/>
      <c r="AAN78" s="2198"/>
      <c r="AAO78" s="2198"/>
      <c r="AAP78" s="2198"/>
      <c r="AAQ78" s="2198"/>
      <c r="AAR78" s="2198"/>
      <c r="AAS78" s="2198"/>
      <c r="AAT78" s="2198"/>
      <c r="AAU78" s="2198"/>
      <c r="AAV78" s="2198"/>
      <c r="AAW78" s="2198"/>
      <c r="AAX78" s="2198"/>
      <c r="AAY78" s="2198"/>
      <c r="AAZ78" s="2198"/>
      <c r="ABA78" s="2198"/>
      <c r="ABB78" s="2198"/>
      <c r="ABC78" s="2198"/>
      <c r="ABD78" s="2198"/>
      <c r="ABE78" s="2198"/>
      <c r="ABF78" s="2198"/>
      <c r="ABG78" s="2198"/>
      <c r="ABH78" s="2198"/>
      <c r="ABI78" s="2198"/>
      <c r="ABJ78" s="2198"/>
      <c r="ABK78" s="2198"/>
      <c r="ABL78" s="2198"/>
      <c r="ABM78" s="2198"/>
      <c r="ABN78" s="2198"/>
      <c r="ABO78" s="2198"/>
      <c r="ABP78" s="2198"/>
      <c r="ABQ78" s="2198"/>
      <c r="ABR78" s="2198"/>
      <c r="ABS78" s="2198"/>
      <c r="ABT78" s="2198"/>
      <c r="ABU78" s="2198"/>
      <c r="ABV78" s="2198"/>
      <c r="ABW78" s="2198"/>
      <c r="ABX78" s="2198"/>
      <c r="ABY78" s="2198"/>
      <c r="ABZ78" s="2198"/>
      <c r="ACA78" s="2198"/>
      <c r="ACB78" s="2198"/>
      <c r="ACC78" s="2198"/>
      <c r="ACD78" s="2198"/>
      <c r="ACE78" s="2198"/>
      <c r="ACF78" s="2198"/>
      <c r="ACG78" s="2198"/>
      <c r="ACH78" s="2198"/>
      <c r="ACI78" s="2198"/>
      <c r="ACJ78" s="2198"/>
      <c r="ACK78" s="2198"/>
      <c r="ACL78" s="2198"/>
      <c r="ACM78" s="2198"/>
      <c r="ACN78" s="2198"/>
      <c r="ACO78" s="2198"/>
      <c r="ACP78" s="2198"/>
      <c r="ACQ78" s="2198"/>
      <c r="ACR78" s="2198"/>
      <c r="ACS78" s="2198"/>
      <c r="ACT78" s="2198"/>
      <c r="ACU78" s="2198"/>
      <c r="ACV78" s="2198"/>
      <c r="ACW78" s="2198"/>
      <c r="ACX78" s="2198"/>
      <c r="ACY78" s="2198"/>
      <c r="ACZ78" s="2198"/>
      <c r="ADA78" s="2198"/>
      <c r="ADB78" s="2198"/>
      <c r="ADC78" s="2198"/>
      <c r="ADD78" s="2198"/>
      <c r="ADE78" s="2198"/>
      <c r="ADF78" s="2198"/>
      <c r="ADG78" s="2198"/>
      <c r="ADH78" s="2198"/>
      <c r="ADI78" s="2198"/>
      <c r="ADJ78" s="2198"/>
      <c r="ADK78" s="2198"/>
      <c r="ADL78" s="2198"/>
      <c r="ADM78" s="2198"/>
      <c r="ADN78" s="2198"/>
      <c r="ADO78" s="2198"/>
      <c r="ADP78" s="2198"/>
      <c r="ADQ78" s="2198"/>
      <c r="ADR78" s="2198"/>
      <c r="ADS78" s="2198"/>
      <c r="ADT78" s="2198"/>
      <c r="ADU78" s="2198"/>
      <c r="ADV78" s="2198"/>
      <c r="ADW78" s="2198"/>
      <c r="ADX78" s="2198"/>
      <c r="ADY78" s="2198"/>
      <c r="ADZ78" s="2198"/>
      <c r="AEA78" s="2198"/>
      <c r="AEB78" s="2198"/>
      <c r="AEC78" s="2198"/>
      <c r="AED78" s="2198"/>
      <c r="AEE78" s="2198"/>
      <c r="AEF78" s="2198"/>
      <c r="AEG78" s="2198"/>
      <c r="AEH78" s="2198"/>
      <c r="AEI78" s="2198"/>
      <c r="AEJ78" s="2198"/>
      <c r="AEK78" s="2198"/>
      <c r="AEL78" s="2198"/>
      <c r="AEM78" s="2198"/>
      <c r="AEN78" s="2198"/>
      <c r="AEO78" s="2198"/>
      <c r="AEP78" s="2198"/>
      <c r="AEQ78" s="2198"/>
      <c r="AER78" s="2198"/>
      <c r="AES78" s="2198"/>
      <c r="AET78" s="2198"/>
      <c r="AEU78" s="2198"/>
      <c r="AEV78" s="2198"/>
      <c r="AEW78" s="2198"/>
      <c r="AEX78" s="2198"/>
      <c r="AEY78" s="2198"/>
      <c r="AEZ78" s="2198"/>
      <c r="AFA78" s="2198"/>
      <c r="AFB78" s="2198"/>
      <c r="AFC78" s="2198"/>
      <c r="AFD78" s="2198"/>
      <c r="AFE78" s="2198"/>
      <c r="AFF78" s="2198"/>
      <c r="AFG78" s="2198"/>
      <c r="AFH78" s="2198"/>
      <c r="AFI78" s="2198"/>
      <c r="AFJ78" s="2198"/>
      <c r="AFK78" s="2198"/>
      <c r="AFL78" s="2198"/>
      <c r="AFM78" s="2198"/>
      <c r="AFN78" s="2198"/>
      <c r="AFO78" s="2198"/>
      <c r="AFP78" s="2198"/>
      <c r="AFQ78" s="2198"/>
      <c r="AFR78" s="2198"/>
      <c r="AFS78" s="2198"/>
      <c r="AFT78" s="2198"/>
      <c r="AFU78" s="2198"/>
      <c r="AFV78" s="2198"/>
      <c r="AFW78" s="2198"/>
      <c r="AFX78" s="2198"/>
      <c r="AFY78" s="2198"/>
      <c r="AFZ78" s="2198"/>
      <c r="AGA78" s="2198"/>
      <c r="AGB78" s="2198"/>
      <c r="AGC78" s="2198"/>
      <c r="AGD78" s="2198"/>
      <c r="AGE78" s="2198"/>
      <c r="AGF78" s="2198"/>
      <c r="AGG78" s="2198"/>
      <c r="AGH78" s="2198"/>
      <c r="AGI78" s="2198"/>
      <c r="AGJ78" s="2198"/>
      <c r="AGK78" s="2198"/>
      <c r="AGL78" s="2198"/>
      <c r="AGM78" s="2198"/>
      <c r="AGN78" s="2198"/>
      <c r="AGO78" s="2198"/>
      <c r="AGP78" s="2198"/>
      <c r="AGQ78" s="2198"/>
      <c r="AGR78" s="2198"/>
      <c r="AGS78" s="2198"/>
      <c r="AGT78" s="2198"/>
      <c r="AGU78" s="2198"/>
      <c r="AGV78" s="2198"/>
      <c r="AGW78" s="2198"/>
      <c r="AGX78" s="2198"/>
      <c r="AGY78" s="2198"/>
      <c r="AGZ78" s="2198"/>
      <c r="AHA78" s="2198"/>
      <c r="AHB78" s="2198"/>
      <c r="AHC78" s="2198"/>
      <c r="AHD78" s="2198"/>
      <c r="AHE78" s="2198"/>
      <c r="AHF78" s="2198"/>
      <c r="AHG78" s="2198"/>
      <c r="AHH78" s="2198"/>
      <c r="AHI78" s="2198"/>
      <c r="AHJ78" s="2198"/>
      <c r="AHK78" s="2198"/>
      <c r="AHL78" s="2198"/>
      <c r="AHM78" s="2198"/>
      <c r="AHN78" s="2198"/>
      <c r="AHO78" s="2198"/>
      <c r="AHP78" s="2198"/>
      <c r="AHQ78" s="2198"/>
      <c r="AHR78" s="2198"/>
      <c r="AHS78" s="2198"/>
      <c r="AHT78" s="2198"/>
      <c r="AHU78" s="2198"/>
      <c r="AHV78" s="2198"/>
      <c r="AHW78" s="2198"/>
      <c r="AHX78" s="2198"/>
      <c r="AHY78" s="2198"/>
      <c r="AHZ78" s="2198"/>
      <c r="AIA78" s="2198"/>
      <c r="AIB78" s="2198"/>
      <c r="AIC78" s="2198"/>
      <c r="AID78" s="2198"/>
      <c r="AIE78" s="2198"/>
      <c r="AIF78" s="2198"/>
      <c r="AIG78" s="2198"/>
      <c r="AIH78" s="2198"/>
      <c r="AII78" s="2198"/>
      <c r="AIJ78" s="2198"/>
      <c r="AIK78" s="2198"/>
      <c r="AIL78" s="2198"/>
      <c r="AIM78" s="2198"/>
      <c r="AIN78" s="2198"/>
      <c r="AIO78" s="2198"/>
      <c r="AIP78" s="2198"/>
      <c r="AIQ78" s="2198"/>
      <c r="AIR78" s="2198"/>
      <c r="AIS78" s="2198"/>
      <c r="AIT78" s="2198"/>
      <c r="AIU78" s="2198"/>
      <c r="AIV78" s="2198"/>
      <c r="AIW78" s="2198"/>
      <c r="AIX78" s="2198"/>
      <c r="AIY78" s="2198"/>
      <c r="AIZ78" s="2198"/>
      <c r="AJA78" s="2198"/>
      <c r="AJB78" s="2198"/>
      <c r="AJC78" s="2198"/>
      <c r="AJD78" s="2198"/>
      <c r="AJE78" s="2198"/>
      <c r="AJF78" s="2198"/>
      <c r="AJG78" s="2198"/>
      <c r="AJH78" s="2198"/>
      <c r="AJI78" s="2198"/>
      <c r="AJJ78" s="2198"/>
      <c r="AJK78" s="2198"/>
      <c r="AJL78" s="2198"/>
      <c r="AJM78" s="2198"/>
      <c r="AJN78" s="2198"/>
      <c r="AJO78" s="2198"/>
      <c r="AJP78" s="2198"/>
      <c r="AJQ78" s="2198"/>
      <c r="AJR78" s="2198"/>
      <c r="AJS78" s="2198"/>
      <c r="AJT78" s="2198"/>
      <c r="AJU78" s="2198"/>
      <c r="AJV78" s="2198"/>
      <c r="AJW78" s="2198"/>
      <c r="AJX78" s="2198"/>
      <c r="AJY78" s="2198"/>
      <c r="AJZ78" s="2198"/>
      <c r="AKA78" s="2198"/>
      <c r="AKB78" s="2198"/>
      <c r="AKC78" s="2198"/>
      <c r="AKD78" s="2198"/>
      <c r="AKE78" s="2198"/>
      <c r="AKF78" s="2198"/>
      <c r="AKG78" s="2198"/>
      <c r="AKH78" s="2198"/>
      <c r="AKI78" s="2198"/>
      <c r="AKJ78" s="2198"/>
      <c r="AKK78" s="2198"/>
      <c r="AKL78" s="2198"/>
      <c r="AKM78" s="2198"/>
      <c r="AKN78" s="2198"/>
      <c r="AKO78" s="2198"/>
      <c r="AKP78" s="2198"/>
      <c r="AKQ78" s="2198"/>
      <c r="AKR78" s="2198"/>
      <c r="AKS78" s="2198"/>
      <c r="AKT78" s="2198"/>
      <c r="AKU78" s="2198"/>
      <c r="AKV78" s="2198"/>
      <c r="AKW78" s="2198"/>
      <c r="AKX78" s="2198"/>
      <c r="AKY78" s="2198"/>
      <c r="AKZ78" s="2198"/>
      <c r="ALA78" s="2198"/>
      <c r="ALB78" s="2198"/>
      <c r="ALC78" s="2198"/>
      <c r="ALD78" s="2198"/>
      <c r="ALE78" s="2198"/>
      <c r="ALF78" s="2198"/>
      <c r="ALG78" s="2198"/>
      <c r="ALH78" s="2198"/>
      <c r="ALI78" s="2198"/>
      <c r="ALJ78" s="2198"/>
      <c r="ALK78" s="2198"/>
      <c r="ALL78" s="2198"/>
      <c r="ALM78" s="2198"/>
      <c r="ALN78" s="2198"/>
      <c r="ALO78" s="2198"/>
      <c r="ALP78" s="2198"/>
      <c r="ALQ78" s="2198"/>
      <c r="ALR78" s="2198"/>
      <c r="ALS78" s="2198"/>
      <c r="ALT78" s="2198"/>
      <c r="ALU78" s="2198"/>
      <c r="ALV78" s="2198"/>
      <c r="ALW78" s="2198"/>
      <c r="ALX78" s="2198"/>
      <c r="ALY78" s="2198"/>
      <c r="ALZ78" s="2198"/>
      <c r="AMA78" s="2198"/>
      <c r="AMB78" s="2198"/>
      <c r="AMC78" s="2198"/>
      <c r="AMD78" s="2198"/>
      <c r="AME78" s="2198"/>
      <c r="AMF78" s="2198"/>
      <c r="AMG78" s="2198"/>
      <c r="AMH78" s="2198"/>
      <c r="AMI78" s="2198"/>
      <c r="AMJ78" s="2198"/>
      <c r="AMK78" s="2198"/>
      <c r="AML78" s="2198"/>
      <c r="AMM78" s="2198"/>
      <c r="AMN78" s="2198"/>
      <c r="AMO78" s="2198"/>
      <c r="AMP78" s="2198"/>
      <c r="AMQ78" s="2198"/>
      <c r="AMR78" s="2198"/>
      <c r="AMS78" s="2198"/>
      <c r="AMT78" s="2198"/>
      <c r="AMU78" s="2198"/>
      <c r="AMV78" s="2198"/>
      <c r="AMW78" s="2198"/>
      <c r="AMX78" s="2198"/>
      <c r="AMY78" s="2198"/>
      <c r="AMZ78" s="2198"/>
      <c r="ANA78" s="2198"/>
      <c r="ANB78" s="2198"/>
      <c r="ANC78" s="2198"/>
      <c r="AND78" s="2198"/>
      <c r="ANE78" s="2198"/>
      <c r="ANF78" s="2198"/>
      <c r="ANG78" s="2198"/>
      <c r="ANH78" s="2198"/>
      <c r="ANI78" s="2198"/>
      <c r="ANJ78" s="2198"/>
      <c r="ANK78" s="2198"/>
      <c r="ANL78" s="2198"/>
      <c r="ANM78" s="2198"/>
      <c r="ANN78" s="2198"/>
      <c r="ANO78" s="2198"/>
      <c r="ANP78" s="2198"/>
      <c r="ANQ78" s="2198"/>
      <c r="ANR78" s="2198"/>
      <c r="ANS78" s="2198"/>
      <c r="ANT78" s="2198"/>
      <c r="ANU78" s="2198"/>
      <c r="ANV78" s="2198"/>
      <c r="ANW78" s="2198"/>
      <c r="ANX78" s="2198"/>
      <c r="ANY78" s="2198"/>
      <c r="ANZ78" s="2198"/>
      <c r="AOA78" s="2198"/>
      <c r="AOB78" s="2198"/>
      <c r="AOC78" s="2198"/>
      <c r="AOD78" s="2198"/>
      <c r="AOE78" s="2198"/>
      <c r="AOF78" s="2198"/>
      <c r="AOG78" s="2198"/>
      <c r="AOH78" s="2198"/>
      <c r="AOI78" s="2198"/>
      <c r="AOJ78" s="2198"/>
      <c r="AOK78" s="2198"/>
      <c r="AOL78" s="2198"/>
      <c r="AOM78" s="2198"/>
      <c r="AON78" s="2198"/>
      <c r="AOO78" s="2198"/>
      <c r="AOP78" s="2198"/>
      <c r="AOQ78" s="2198"/>
      <c r="AOR78" s="2198"/>
      <c r="AOS78" s="2198"/>
      <c r="AOT78" s="2198"/>
      <c r="AOU78" s="2198"/>
      <c r="AOV78" s="2198"/>
      <c r="AOW78" s="2198"/>
      <c r="AOX78" s="2198"/>
      <c r="AOY78" s="2198"/>
      <c r="AOZ78" s="2198"/>
      <c r="APA78" s="2198"/>
      <c r="APB78" s="2198"/>
      <c r="APC78" s="2198"/>
      <c r="APD78" s="2198"/>
      <c r="APE78" s="2198"/>
      <c r="APF78" s="2198"/>
      <c r="APG78" s="2198"/>
      <c r="APH78" s="2198"/>
      <c r="API78" s="2198"/>
      <c r="APJ78" s="2198"/>
      <c r="APK78" s="2198"/>
      <c r="APL78" s="2198"/>
      <c r="APM78" s="2198"/>
      <c r="APN78" s="2198"/>
      <c r="APO78" s="2198"/>
      <c r="APP78" s="2198"/>
      <c r="APQ78" s="2198"/>
      <c r="APR78" s="2198"/>
      <c r="APS78" s="2198"/>
      <c r="APT78" s="2198"/>
      <c r="APU78" s="2198"/>
      <c r="APV78" s="2198"/>
      <c r="APW78" s="2198"/>
      <c r="APX78" s="2198"/>
      <c r="APY78" s="2198"/>
      <c r="APZ78" s="2198"/>
      <c r="AQA78" s="2198"/>
      <c r="AQB78" s="2198"/>
      <c r="AQC78" s="2198"/>
      <c r="AQD78" s="2198"/>
      <c r="AQE78" s="2198"/>
      <c r="AQF78" s="2198"/>
      <c r="AQG78" s="2198"/>
      <c r="AQH78" s="2198"/>
      <c r="AQI78" s="2198"/>
      <c r="AQJ78" s="2198"/>
      <c r="AQK78" s="2198"/>
      <c r="AQL78" s="2198"/>
      <c r="AQM78" s="2198"/>
      <c r="AQN78" s="2198"/>
      <c r="AQO78" s="2198"/>
      <c r="AQP78" s="2198"/>
      <c r="AQQ78" s="2198"/>
      <c r="AQR78" s="2198"/>
      <c r="AQS78" s="2198"/>
      <c r="AQT78" s="2198"/>
      <c r="AQU78" s="2198"/>
      <c r="AQV78" s="2198"/>
      <c r="AQW78" s="2198"/>
      <c r="AQX78" s="2198"/>
      <c r="AQY78" s="2198"/>
      <c r="AQZ78" s="2198"/>
      <c r="ARA78" s="2198"/>
      <c r="ARB78" s="2198"/>
      <c r="ARC78" s="2198"/>
      <c r="ARD78" s="2198"/>
      <c r="ARE78" s="2198"/>
      <c r="ARF78" s="2198"/>
      <c r="ARG78" s="2198"/>
      <c r="ARH78" s="2198"/>
      <c r="ARI78" s="2198"/>
      <c r="ARJ78" s="2198"/>
      <c r="ARK78" s="2198"/>
      <c r="ARL78" s="2198"/>
      <c r="ARM78" s="2198"/>
      <c r="ARN78" s="2198"/>
      <c r="ARO78" s="2198"/>
      <c r="ARP78" s="2198"/>
      <c r="ARQ78" s="2198"/>
      <c r="ARR78" s="2198"/>
      <c r="ARS78" s="2198"/>
      <c r="ART78" s="2198"/>
      <c r="ARU78" s="2198"/>
      <c r="ARV78" s="2198"/>
      <c r="ARW78" s="2198"/>
      <c r="ARX78" s="2198"/>
      <c r="ARY78" s="2198"/>
      <c r="ARZ78" s="2198"/>
      <c r="ASA78" s="2198"/>
      <c r="ASB78" s="2198"/>
      <c r="ASC78" s="2198"/>
      <c r="ASD78" s="2198"/>
      <c r="ASE78" s="2198"/>
      <c r="ASF78" s="2198"/>
      <c r="ASG78" s="2198"/>
      <c r="ASH78" s="2198"/>
      <c r="ASI78" s="2198"/>
      <c r="ASJ78" s="2198"/>
      <c r="ASK78" s="2198"/>
      <c r="ASL78" s="2198"/>
      <c r="ASM78" s="2198"/>
      <c r="ASN78" s="2198"/>
      <c r="ASO78" s="2198"/>
      <c r="ASP78" s="2198"/>
      <c r="ASQ78" s="2198"/>
      <c r="ASR78" s="2198"/>
      <c r="ASS78" s="2198"/>
      <c r="AST78" s="2198"/>
      <c r="ASU78" s="2198"/>
      <c r="ASV78" s="2198"/>
      <c r="ASW78" s="2198"/>
      <c r="ASX78" s="2198"/>
      <c r="ASY78" s="2198"/>
      <c r="ASZ78" s="2198"/>
      <c r="ATA78" s="2198"/>
      <c r="ATB78" s="2198"/>
      <c r="ATC78" s="2198"/>
      <c r="ATD78" s="2198"/>
      <c r="ATE78" s="2198"/>
      <c r="ATF78" s="2198"/>
      <c r="ATG78" s="2198"/>
      <c r="ATH78" s="2198"/>
      <c r="ATI78" s="2198"/>
      <c r="ATJ78" s="2198"/>
      <c r="ATK78" s="2198"/>
      <c r="ATL78" s="2198"/>
      <c r="ATM78" s="2198"/>
      <c r="ATN78" s="2198"/>
      <c r="ATO78" s="2198"/>
      <c r="ATP78" s="2198"/>
      <c r="ATQ78" s="2198"/>
      <c r="ATR78" s="2198"/>
      <c r="ATS78" s="2198"/>
      <c r="ATT78" s="2198"/>
      <c r="ATU78" s="2198"/>
      <c r="ATV78" s="2198"/>
      <c r="ATW78" s="2198"/>
      <c r="ATX78" s="2198"/>
      <c r="ATY78" s="2198"/>
      <c r="ATZ78" s="2198"/>
      <c r="AUA78" s="2198"/>
      <c r="AUB78" s="2198"/>
      <c r="AUC78" s="2198"/>
      <c r="AUD78" s="2198"/>
      <c r="AUE78" s="2198"/>
      <c r="AUF78" s="2198"/>
      <c r="AUG78" s="2198"/>
      <c r="AUH78" s="2198"/>
      <c r="AUI78" s="2198"/>
      <c r="AUJ78" s="2198"/>
      <c r="AUK78" s="2198"/>
      <c r="AUL78" s="2198"/>
      <c r="AUM78" s="2198"/>
      <c r="AUN78" s="2198"/>
      <c r="AUO78" s="2198"/>
      <c r="AUP78" s="2198"/>
      <c r="AUQ78" s="2198"/>
      <c r="AUR78" s="2198"/>
      <c r="AUS78" s="2198"/>
      <c r="AUT78" s="2198"/>
      <c r="AUU78" s="2198"/>
      <c r="AUV78" s="2198"/>
      <c r="AUW78" s="2198"/>
      <c r="AUX78" s="2198"/>
      <c r="AUY78" s="2198"/>
      <c r="AUZ78" s="2198"/>
      <c r="AVA78" s="2198"/>
      <c r="AVB78" s="2198"/>
      <c r="AVC78" s="2198"/>
      <c r="AVD78" s="2198"/>
      <c r="AVE78" s="2198"/>
      <c r="AVF78" s="2198"/>
      <c r="AVG78" s="2198"/>
      <c r="AVH78" s="2198"/>
      <c r="AVI78" s="2198"/>
      <c r="AVJ78" s="2198"/>
      <c r="AVK78" s="2198"/>
      <c r="AVL78" s="2198"/>
      <c r="AVM78" s="2198"/>
      <c r="AVN78" s="2198"/>
      <c r="AVO78" s="2198"/>
      <c r="AVP78" s="2198"/>
      <c r="AVQ78" s="2198"/>
      <c r="AVR78" s="2198"/>
      <c r="AVS78" s="2198"/>
      <c r="AVT78" s="2198"/>
      <c r="AVU78" s="2198"/>
      <c r="AVV78" s="2198"/>
      <c r="AVW78" s="2198"/>
      <c r="AVX78" s="2198"/>
      <c r="AVY78" s="2198"/>
      <c r="AVZ78" s="2198"/>
      <c r="AWA78" s="2198"/>
      <c r="AWB78" s="2198"/>
      <c r="AWC78" s="2198"/>
      <c r="AWD78" s="2198"/>
      <c r="AWE78" s="2198"/>
      <c r="AWF78" s="2198"/>
      <c r="AWG78" s="2198"/>
      <c r="AWH78" s="2198"/>
      <c r="AWI78" s="2198"/>
      <c r="AWJ78" s="2198"/>
      <c r="AWK78" s="2198"/>
      <c r="AWL78" s="2198"/>
      <c r="AWM78" s="2198"/>
      <c r="AWN78" s="2198"/>
      <c r="AWO78" s="2198"/>
      <c r="AWP78" s="2198"/>
      <c r="AWQ78" s="2198"/>
      <c r="AWR78" s="2198"/>
      <c r="AWS78" s="2198"/>
      <c r="AWT78" s="2198"/>
      <c r="AWU78" s="2198"/>
      <c r="AWV78" s="2198"/>
      <c r="AWW78" s="2198"/>
      <c r="AWX78" s="2198"/>
      <c r="AWY78" s="2198"/>
      <c r="AWZ78" s="2198"/>
      <c r="AXA78" s="2198"/>
      <c r="AXB78" s="2198"/>
      <c r="AXC78" s="2198"/>
      <c r="AXD78" s="2198"/>
      <c r="AXE78" s="2198"/>
      <c r="AXF78" s="2198"/>
      <c r="AXG78" s="2198"/>
      <c r="AXH78" s="2198"/>
      <c r="AXI78" s="2198"/>
      <c r="AXJ78" s="2198"/>
      <c r="AXK78" s="2198"/>
      <c r="AXL78" s="2198"/>
      <c r="AXM78" s="2198"/>
      <c r="AXN78" s="2198"/>
      <c r="AXO78" s="2198"/>
      <c r="AXP78" s="2198"/>
      <c r="AXQ78" s="2198"/>
      <c r="AXR78" s="2198"/>
      <c r="AXS78" s="2198"/>
      <c r="AXT78" s="2198"/>
      <c r="AXU78" s="2198"/>
      <c r="AXV78" s="2198"/>
      <c r="AXW78" s="2198"/>
      <c r="AXX78" s="2198"/>
      <c r="AXY78" s="2198"/>
      <c r="AXZ78" s="2198"/>
      <c r="AYA78" s="2198"/>
      <c r="AYB78" s="2198"/>
      <c r="AYC78" s="2198"/>
      <c r="AYD78" s="2198"/>
      <c r="AYE78" s="2198"/>
      <c r="AYF78" s="2198"/>
      <c r="AYG78" s="2198"/>
      <c r="AYH78" s="2198"/>
      <c r="AYI78" s="2198"/>
      <c r="AYJ78" s="2198"/>
      <c r="AYK78" s="2198"/>
      <c r="AYL78" s="2198"/>
      <c r="AYM78" s="2198"/>
      <c r="AYN78" s="2198"/>
      <c r="AYO78" s="2198"/>
      <c r="AYP78" s="2198"/>
      <c r="AYQ78" s="2198"/>
      <c r="AYR78" s="2198"/>
      <c r="AYS78" s="2198"/>
      <c r="AYT78" s="2198"/>
      <c r="AYU78" s="2198"/>
      <c r="AYV78" s="2198"/>
      <c r="AYW78" s="2198"/>
      <c r="AYX78" s="2198"/>
      <c r="AYY78" s="2198"/>
      <c r="AYZ78" s="2198"/>
      <c r="AZA78" s="2198"/>
      <c r="AZB78" s="2198"/>
      <c r="AZC78" s="2198"/>
      <c r="AZD78" s="2198"/>
      <c r="AZE78" s="2198"/>
      <c r="AZF78" s="2198"/>
      <c r="AZG78" s="2198"/>
      <c r="AZH78" s="2198"/>
      <c r="AZI78" s="2198"/>
      <c r="AZJ78" s="2198"/>
      <c r="AZK78" s="2198"/>
      <c r="AZL78" s="2198"/>
      <c r="AZM78" s="2198"/>
      <c r="AZN78" s="2198"/>
      <c r="AZO78" s="2198"/>
      <c r="AZP78" s="2198"/>
      <c r="AZQ78" s="2198"/>
      <c r="AZR78" s="2198"/>
      <c r="AZS78" s="2198"/>
      <c r="AZT78" s="2198"/>
      <c r="AZU78" s="2198"/>
      <c r="AZV78" s="2198"/>
      <c r="AZW78" s="2198"/>
      <c r="AZX78" s="2198"/>
      <c r="AZY78" s="2198"/>
      <c r="AZZ78" s="2198"/>
      <c r="BAA78" s="2198"/>
      <c r="BAB78" s="2198"/>
      <c r="BAC78" s="2198"/>
      <c r="BAD78" s="2198"/>
      <c r="BAE78" s="2198"/>
      <c r="BAF78" s="2198"/>
      <c r="BAG78" s="2198"/>
      <c r="BAH78" s="2198"/>
      <c r="BAI78" s="2198"/>
      <c r="BAJ78" s="2198"/>
      <c r="BAK78" s="2198"/>
      <c r="BAL78" s="2198"/>
      <c r="BAM78" s="2198"/>
      <c r="BAN78" s="2198"/>
      <c r="BAO78" s="2198"/>
      <c r="BAP78" s="2198"/>
      <c r="BAQ78" s="2198"/>
      <c r="BAR78" s="2198"/>
      <c r="BAS78" s="2198"/>
      <c r="BAT78" s="2198"/>
      <c r="BAU78" s="2198"/>
      <c r="BAV78" s="2198"/>
      <c r="BAW78" s="2198"/>
      <c r="BAX78" s="2198"/>
      <c r="BAY78" s="2198"/>
      <c r="BAZ78" s="2198"/>
      <c r="BBA78" s="2198"/>
      <c r="BBB78" s="2198"/>
      <c r="BBC78" s="2198"/>
      <c r="BBD78" s="2198"/>
      <c r="BBE78" s="2198"/>
      <c r="BBF78" s="2198"/>
      <c r="BBG78" s="2198"/>
      <c r="BBH78" s="2198"/>
      <c r="BBI78" s="2198"/>
      <c r="BBJ78" s="2198"/>
      <c r="BBK78" s="2198"/>
      <c r="BBL78" s="2198"/>
      <c r="BBM78" s="2198"/>
      <c r="BBN78" s="2198"/>
      <c r="BBO78" s="2198"/>
      <c r="BBP78" s="2198"/>
      <c r="BBQ78" s="2198"/>
      <c r="BBR78" s="2198"/>
      <c r="BBS78" s="2198"/>
      <c r="BBT78" s="2198"/>
      <c r="BBU78" s="2198"/>
      <c r="BBV78" s="2198"/>
      <c r="BBW78" s="2198"/>
      <c r="BBX78" s="2198"/>
      <c r="BBY78" s="2198"/>
      <c r="BBZ78" s="2198"/>
      <c r="BCA78" s="2198"/>
      <c r="BCB78" s="2198"/>
      <c r="BCC78" s="2198"/>
      <c r="BCD78" s="2198"/>
      <c r="BCE78" s="2198"/>
      <c r="BCF78" s="2198"/>
      <c r="BCG78" s="2198"/>
      <c r="BCH78" s="2198"/>
      <c r="BCI78" s="2198"/>
      <c r="BCJ78" s="2198"/>
      <c r="BCK78" s="2198"/>
      <c r="BCL78" s="2198"/>
      <c r="BCM78" s="2198"/>
      <c r="BCN78" s="2198"/>
      <c r="BCO78" s="2198"/>
      <c r="BCP78" s="2198"/>
      <c r="BCQ78" s="2198"/>
      <c r="BCR78" s="2198"/>
      <c r="BCS78" s="2198"/>
      <c r="BCT78" s="2198"/>
      <c r="BCU78" s="2198"/>
      <c r="BCV78" s="2198"/>
      <c r="BCW78" s="2198"/>
      <c r="BCX78" s="2198"/>
      <c r="BCY78" s="2198"/>
      <c r="BCZ78" s="2198"/>
      <c r="BDA78" s="2198"/>
      <c r="BDB78" s="2198"/>
      <c r="BDC78" s="2198"/>
      <c r="BDD78" s="2198"/>
      <c r="BDE78" s="2198"/>
      <c r="BDF78" s="2198"/>
      <c r="BDG78" s="2198"/>
      <c r="BDH78" s="2198"/>
      <c r="BDI78" s="2198"/>
      <c r="BDJ78" s="2198"/>
      <c r="BDK78" s="2198"/>
      <c r="BDL78" s="2198"/>
      <c r="BDM78" s="2198"/>
      <c r="BDN78" s="2198"/>
      <c r="BDO78" s="2198"/>
      <c r="BDP78" s="2198"/>
      <c r="BDQ78" s="2198"/>
      <c r="BDR78" s="2198"/>
      <c r="BDS78" s="2198"/>
      <c r="BDT78" s="2198"/>
      <c r="BDU78" s="2198"/>
      <c r="BDV78" s="2198"/>
      <c r="BDW78" s="2198"/>
      <c r="BDX78" s="2198"/>
      <c r="BDY78" s="2198"/>
      <c r="BDZ78" s="2198"/>
      <c r="BEA78" s="2198"/>
      <c r="BEB78" s="2198"/>
      <c r="BEC78" s="2198"/>
      <c r="BED78" s="2198"/>
      <c r="BEE78" s="2198"/>
      <c r="BEF78" s="2198"/>
      <c r="BEG78" s="2198"/>
      <c r="BEH78" s="2198"/>
      <c r="BEI78" s="2198"/>
      <c r="BEJ78" s="2198"/>
      <c r="BEK78" s="2198"/>
      <c r="BEL78" s="2198"/>
      <c r="BEM78" s="2198"/>
      <c r="BEN78" s="2198"/>
      <c r="BEO78" s="2198"/>
      <c r="BEP78" s="2198"/>
      <c r="BEQ78" s="2198"/>
      <c r="BER78" s="2198"/>
      <c r="BES78" s="2198"/>
      <c r="BET78" s="2198"/>
      <c r="BEU78" s="2198"/>
      <c r="BEV78" s="2198"/>
      <c r="BEW78" s="2198"/>
      <c r="BEX78" s="2198"/>
      <c r="BEY78" s="2198"/>
      <c r="BEZ78" s="2198"/>
      <c r="BFA78" s="2198"/>
      <c r="BFB78" s="2198"/>
      <c r="BFC78" s="2198"/>
      <c r="BFD78" s="2198"/>
      <c r="BFE78" s="2198"/>
      <c r="BFF78" s="2198"/>
      <c r="BFG78" s="2198"/>
      <c r="BFH78" s="2198"/>
      <c r="BFI78" s="2198"/>
      <c r="BFJ78" s="2198"/>
      <c r="BFK78" s="2198"/>
      <c r="BFL78" s="2198"/>
      <c r="BFM78" s="2198"/>
      <c r="BFN78" s="2198"/>
      <c r="BFO78" s="2198"/>
      <c r="BFP78" s="2198"/>
      <c r="BFQ78" s="2198"/>
      <c r="BFR78" s="2198"/>
      <c r="BFS78" s="2198"/>
      <c r="BFT78" s="2198"/>
      <c r="BFU78" s="2198"/>
      <c r="BFV78" s="2198"/>
      <c r="BFW78" s="2198"/>
      <c r="BFX78" s="2198"/>
      <c r="BFY78" s="2198"/>
      <c r="BFZ78" s="2198"/>
      <c r="BGA78" s="2198"/>
      <c r="BGB78" s="2198"/>
      <c r="BGC78" s="2198"/>
      <c r="BGD78" s="2198"/>
      <c r="BGE78" s="2198"/>
      <c r="BGF78" s="2198"/>
      <c r="BGG78" s="2198"/>
      <c r="BGH78" s="2198"/>
      <c r="BGI78" s="2198"/>
      <c r="BGJ78" s="2198"/>
      <c r="BGK78" s="2198"/>
      <c r="BGL78" s="2198"/>
      <c r="BGM78" s="2198"/>
      <c r="BGN78" s="2198"/>
      <c r="BGO78" s="2198"/>
      <c r="BGP78" s="2198"/>
      <c r="BGQ78" s="2198"/>
      <c r="BGR78" s="2198"/>
      <c r="BGS78" s="2198"/>
      <c r="BGT78" s="2198"/>
      <c r="BGU78" s="2198"/>
      <c r="BGV78" s="2198"/>
      <c r="BGW78" s="2198"/>
      <c r="BGX78" s="2198"/>
      <c r="BGY78" s="2198"/>
      <c r="BGZ78" s="2198"/>
      <c r="BHA78" s="2198"/>
      <c r="BHB78" s="2198"/>
      <c r="BHC78" s="2198"/>
      <c r="BHD78" s="2198"/>
      <c r="BHE78" s="2198"/>
      <c r="BHF78" s="2198"/>
      <c r="BHG78" s="2198"/>
      <c r="BHH78" s="2198"/>
      <c r="BHI78" s="2198"/>
      <c r="BHJ78" s="2198"/>
      <c r="BHK78" s="2198"/>
      <c r="BHL78" s="2198"/>
      <c r="BHM78" s="2198"/>
      <c r="BHN78" s="2198"/>
      <c r="BHO78" s="2198"/>
      <c r="BHP78" s="2198"/>
      <c r="BHQ78" s="2198"/>
      <c r="BHR78" s="2198"/>
      <c r="BHS78" s="2198"/>
      <c r="BHT78" s="2198"/>
      <c r="BHU78" s="2198"/>
      <c r="BHV78" s="2198"/>
      <c r="BHW78" s="2198"/>
      <c r="BHX78" s="2198"/>
      <c r="BHY78" s="2198"/>
      <c r="BHZ78" s="2198"/>
      <c r="BIA78" s="2198"/>
      <c r="BIB78" s="2198"/>
      <c r="BIC78" s="2198"/>
      <c r="BID78" s="2198"/>
      <c r="BIE78" s="2198"/>
      <c r="BIF78" s="2198"/>
      <c r="BIG78" s="2198"/>
      <c r="BIH78" s="2198"/>
      <c r="BII78" s="2198"/>
      <c r="BIJ78" s="2198"/>
      <c r="BIK78" s="2198"/>
      <c r="BIL78" s="2198"/>
      <c r="BIM78" s="2198"/>
      <c r="BIN78" s="2198"/>
      <c r="BIO78" s="2198"/>
      <c r="BIP78" s="2198"/>
      <c r="BIQ78" s="2198"/>
      <c r="BIR78" s="2198"/>
      <c r="BIS78" s="2198"/>
      <c r="BIT78" s="2198"/>
      <c r="BIU78" s="2198"/>
      <c r="BIV78" s="2198"/>
      <c r="BIW78" s="2198"/>
      <c r="BIX78" s="2198"/>
      <c r="BIY78" s="2198"/>
      <c r="BIZ78" s="2198"/>
      <c r="BJA78" s="2198"/>
      <c r="BJB78" s="2198"/>
      <c r="BJC78" s="2198"/>
      <c r="BJD78" s="2198"/>
      <c r="BJE78" s="2198"/>
      <c r="BJF78" s="2198"/>
      <c r="BJG78" s="2198"/>
      <c r="BJH78" s="2198"/>
      <c r="BJI78" s="2198"/>
      <c r="BJJ78" s="2198"/>
      <c r="BJK78" s="2198"/>
      <c r="BJL78" s="2198"/>
      <c r="BJM78" s="2198"/>
      <c r="BJN78" s="2198"/>
      <c r="BJO78" s="2198"/>
      <c r="BJP78" s="2198"/>
      <c r="BJQ78" s="2198"/>
      <c r="BJR78" s="2198"/>
      <c r="BJS78" s="2198"/>
      <c r="BJT78" s="2198"/>
      <c r="BJU78" s="2198"/>
      <c r="BJV78" s="2198"/>
      <c r="BJW78" s="2198"/>
      <c r="BJX78" s="2198"/>
      <c r="BJY78" s="2198"/>
      <c r="BJZ78" s="2198"/>
      <c r="BKA78" s="2198"/>
      <c r="BKB78" s="2198"/>
      <c r="BKC78" s="2198"/>
      <c r="BKD78" s="2198"/>
      <c r="BKE78" s="2198"/>
      <c r="BKF78" s="2198"/>
      <c r="BKG78" s="2198"/>
      <c r="BKH78" s="2198"/>
      <c r="BKI78" s="2198"/>
      <c r="BKJ78" s="2198"/>
      <c r="BKK78" s="2198"/>
      <c r="BKL78" s="2198"/>
      <c r="BKM78" s="2198"/>
      <c r="BKN78" s="2198"/>
      <c r="BKO78" s="2198"/>
      <c r="BKP78" s="2198"/>
      <c r="BKQ78" s="2198"/>
      <c r="BKR78" s="2198"/>
      <c r="BKS78" s="2198"/>
      <c r="BKT78" s="2198"/>
      <c r="BKU78" s="2198"/>
      <c r="BKV78" s="2198"/>
      <c r="BKW78" s="2198"/>
      <c r="BKX78" s="2198"/>
      <c r="BKY78" s="2198"/>
      <c r="BKZ78" s="2198"/>
      <c r="BLA78" s="2198"/>
      <c r="BLB78" s="2198"/>
      <c r="BLC78" s="2198"/>
      <c r="BLD78" s="2198"/>
      <c r="BLE78" s="2198"/>
      <c r="BLF78" s="2198"/>
      <c r="BLG78" s="2198"/>
      <c r="BLH78" s="2198"/>
      <c r="BLI78" s="2198"/>
      <c r="BLJ78" s="2198"/>
      <c r="BLK78" s="2198"/>
      <c r="BLL78" s="2198"/>
      <c r="BLM78" s="2198"/>
      <c r="BLN78" s="2198"/>
      <c r="BLO78" s="2198"/>
      <c r="BLP78" s="2198"/>
      <c r="BLQ78" s="2198"/>
      <c r="BLR78" s="2198"/>
      <c r="BLS78" s="2198"/>
      <c r="BLT78" s="2198"/>
      <c r="BLU78" s="2198"/>
      <c r="BLV78" s="2198"/>
      <c r="BLW78" s="2198"/>
      <c r="BLX78" s="2198"/>
      <c r="BLY78" s="2198"/>
      <c r="BLZ78" s="2198"/>
      <c r="BMA78" s="2198"/>
      <c r="BMB78" s="2198"/>
      <c r="BMC78" s="2198"/>
      <c r="BMD78" s="2198"/>
      <c r="BME78" s="2198"/>
      <c r="BMF78" s="2198"/>
      <c r="BMG78" s="2198"/>
      <c r="BMH78" s="2198"/>
      <c r="BMI78" s="2198"/>
      <c r="BMJ78" s="2198"/>
      <c r="BMK78" s="2198"/>
      <c r="BML78" s="2198"/>
      <c r="BMM78" s="2198"/>
      <c r="BMN78" s="2198"/>
      <c r="BMO78" s="2198"/>
      <c r="BMP78" s="2198"/>
      <c r="BMQ78" s="2198"/>
      <c r="BMR78" s="2198"/>
      <c r="BMS78" s="2198"/>
      <c r="BMT78" s="2198"/>
      <c r="BMU78" s="2198"/>
      <c r="BMV78" s="2198"/>
      <c r="BMW78" s="2198"/>
      <c r="BMX78" s="2198"/>
      <c r="BMY78" s="2198"/>
      <c r="BMZ78" s="2198"/>
      <c r="BNA78" s="2198"/>
      <c r="BNB78" s="2198"/>
      <c r="BNC78" s="2198"/>
      <c r="BND78" s="2198"/>
      <c r="BNE78" s="2198"/>
      <c r="BNF78" s="2198"/>
      <c r="BNG78" s="2198"/>
      <c r="BNH78" s="2198"/>
      <c r="BNI78" s="2198"/>
      <c r="BNJ78" s="2198"/>
      <c r="BNK78" s="2198"/>
      <c r="BNL78" s="2198"/>
      <c r="BNM78" s="2198"/>
      <c r="BNN78" s="2198"/>
      <c r="BNO78" s="2198"/>
      <c r="BNP78" s="2198"/>
      <c r="BNQ78" s="2198"/>
      <c r="BNR78" s="2198"/>
      <c r="BNS78" s="2198"/>
      <c r="BNT78" s="2198"/>
      <c r="BNU78" s="2198"/>
      <c r="BNV78" s="2198"/>
      <c r="BNW78" s="2198"/>
      <c r="BNX78" s="2198"/>
      <c r="BNY78" s="2198"/>
      <c r="BNZ78" s="2198"/>
      <c r="BOA78" s="2198"/>
      <c r="BOB78" s="2198"/>
      <c r="BOC78" s="2198"/>
      <c r="BOD78" s="2198"/>
      <c r="BOE78" s="2198"/>
      <c r="BOF78" s="2198"/>
      <c r="BOG78" s="2198"/>
      <c r="BOH78" s="2198"/>
      <c r="BOI78" s="2198"/>
      <c r="BOJ78" s="2198"/>
      <c r="BOK78" s="2198"/>
      <c r="BOL78" s="2198"/>
      <c r="BOM78" s="2198"/>
      <c r="BON78" s="2198"/>
      <c r="BOO78" s="2198"/>
      <c r="BOP78" s="2198"/>
      <c r="BOQ78" s="2198"/>
      <c r="BOR78" s="2198"/>
      <c r="BOS78" s="2198"/>
      <c r="BOT78" s="2198"/>
      <c r="BOU78" s="2198"/>
      <c r="BOV78" s="2198"/>
      <c r="BOW78" s="2198"/>
      <c r="BOX78" s="2198"/>
      <c r="BOY78" s="2198"/>
      <c r="BOZ78" s="2198"/>
      <c r="BPA78" s="2198"/>
      <c r="BPB78" s="2198"/>
      <c r="BPC78" s="2198"/>
      <c r="BPD78" s="2198"/>
      <c r="BPE78" s="2198"/>
      <c r="BPF78" s="2198"/>
      <c r="BPG78" s="2198"/>
      <c r="BPH78" s="2198"/>
      <c r="BPI78" s="2198"/>
      <c r="BPJ78" s="2198"/>
      <c r="BPK78" s="2198"/>
      <c r="BPL78" s="2198"/>
      <c r="BPM78" s="2198"/>
      <c r="BPN78" s="2198"/>
      <c r="BPO78" s="2198"/>
      <c r="BPP78" s="2198"/>
      <c r="BPQ78" s="2198"/>
      <c r="BPR78" s="2198"/>
      <c r="BPS78" s="2198"/>
      <c r="BPT78" s="2198"/>
      <c r="BPU78" s="2198"/>
      <c r="BPV78" s="2198"/>
      <c r="BPW78" s="2198"/>
      <c r="BPX78" s="2198"/>
      <c r="BPY78" s="2198"/>
      <c r="BPZ78" s="2198"/>
      <c r="BQA78" s="2198"/>
      <c r="BQB78" s="2198"/>
      <c r="BQC78" s="2198"/>
      <c r="BQD78" s="2198"/>
      <c r="BQE78" s="2198"/>
      <c r="BQF78" s="2198"/>
      <c r="BQG78" s="2198"/>
      <c r="BQH78" s="2198"/>
      <c r="BQI78" s="2198"/>
      <c r="BQJ78" s="2198"/>
      <c r="BQK78" s="2198"/>
      <c r="BQL78" s="2198"/>
      <c r="BQM78" s="2198"/>
      <c r="BQN78" s="2198"/>
      <c r="BQO78" s="2198"/>
      <c r="BQP78" s="2198"/>
      <c r="BQQ78" s="2198"/>
      <c r="BQR78" s="2198"/>
      <c r="BQS78" s="2198"/>
      <c r="BQT78" s="2198"/>
      <c r="BQU78" s="2198"/>
      <c r="BQV78" s="2198"/>
      <c r="BQW78" s="2198"/>
      <c r="BQX78" s="2198"/>
      <c r="BQY78" s="2198"/>
      <c r="BQZ78" s="2198"/>
      <c r="BRA78" s="2198"/>
      <c r="BRB78" s="2198"/>
      <c r="BRC78" s="2198"/>
      <c r="BRD78" s="2198"/>
      <c r="BRE78" s="2198"/>
      <c r="BRF78" s="2198"/>
      <c r="BRG78" s="2198"/>
      <c r="BRH78" s="2198"/>
      <c r="BRI78" s="2198"/>
      <c r="BRJ78" s="2198"/>
      <c r="BRK78" s="2198"/>
      <c r="BRL78" s="2198"/>
      <c r="BRM78" s="2198"/>
      <c r="BRN78" s="2198"/>
      <c r="BRO78" s="2198"/>
      <c r="BRP78" s="2198"/>
      <c r="BRQ78" s="2198"/>
      <c r="BRR78" s="2198"/>
      <c r="BRS78" s="2198"/>
      <c r="BRT78" s="2198"/>
      <c r="BRU78" s="2198"/>
      <c r="BRV78" s="2198"/>
      <c r="BRW78" s="2198"/>
      <c r="BRX78" s="2198"/>
      <c r="BRY78" s="2198"/>
      <c r="BRZ78" s="2198"/>
      <c r="BSA78" s="2198"/>
      <c r="BSB78" s="2198"/>
      <c r="BSC78" s="2198"/>
      <c r="BSD78" s="2198"/>
      <c r="BSE78" s="2198"/>
      <c r="BSF78" s="2198"/>
      <c r="BSG78" s="2198"/>
      <c r="BSH78" s="2198"/>
      <c r="BSI78" s="2198"/>
      <c r="BSJ78" s="2198"/>
      <c r="BSK78" s="2198"/>
      <c r="BSL78" s="2198"/>
      <c r="BSM78" s="2198"/>
      <c r="BSN78" s="2198"/>
      <c r="BSO78" s="2198"/>
      <c r="BSP78" s="2198"/>
      <c r="BSQ78" s="2198"/>
      <c r="BSR78" s="2198"/>
      <c r="BSS78" s="2198"/>
      <c r="BST78" s="2198"/>
      <c r="BSU78" s="2198"/>
      <c r="BSV78" s="2198"/>
      <c r="BSW78" s="2198"/>
      <c r="BSX78" s="2198"/>
      <c r="BSY78" s="2198"/>
      <c r="BSZ78" s="2198"/>
      <c r="BTA78" s="2198"/>
      <c r="BTB78" s="2198"/>
      <c r="BTC78" s="2198"/>
      <c r="BTD78" s="2198"/>
      <c r="BTE78" s="2198"/>
      <c r="BTF78" s="2198"/>
      <c r="BTG78" s="2198"/>
      <c r="BTH78" s="2198"/>
      <c r="BTI78" s="2198"/>
      <c r="BTJ78" s="2198"/>
      <c r="BTK78" s="2198"/>
      <c r="BTL78" s="2198"/>
      <c r="BTM78" s="2198"/>
      <c r="BTN78" s="2198"/>
      <c r="BTO78" s="2198"/>
      <c r="BTP78" s="2198"/>
      <c r="BTQ78" s="2198"/>
      <c r="BTR78" s="2198"/>
      <c r="BTS78" s="2198"/>
      <c r="BTT78" s="2198"/>
      <c r="BTU78" s="2198"/>
      <c r="BTV78" s="2198"/>
      <c r="BTW78" s="2198"/>
      <c r="BTX78" s="2198"/>
      <c r="BTY78" s="2198"/>
      <c r="BTZ78" s="2198"/>
      <c r="BUA78" s="2198"/>
      <c r="BUB78" s="2198"/>
      <c r="BUC78" s="2198"/>
      <c r="BUD78" s="2198"/>
      <c r="BUE78" s="2198"/>
      <c r="BUF78" s="2198"/>
      <c r="BUG78" s="2198"/>
      <c r="BUH78" s="2198"/>
      <c r="BUI78" s="2198"/>
      <c r="BUJ78" s="2198"/>
      <c r="BUK78" s="2198"/>
      <c r="BUL78" s="2198"/>
      <c r="BUM78" s="2198"/>
      <c r="BUN78" s="2198"/>
      <c r="BUO78" s="2198"/>
      <c r="BUP78" s="2198"/>
      <c r="BUQ78" s="2198"/>
      <c r="BUR78" s="2198"/>
      <c r="BUS78" s="2198"/>
      <c r="BUT78" s="2198"/>
      <c r="BUU78" s="2198"/>
      <c r="BUV78" s="2198"/>
      <c r="BUW78" s="2198"/>
      <c r="BUX78" s="2198"/>
      <c r="BUY78" s="2198"/>
      <c r="BUZ78" s="2198"/>
      <c r="BVA78" s="2198"/>
      <c r="BVB78" s="2198"/>
      <c r="BVC78" s="2198"/>
      <c r="BVD78" s="2198"/>
      <c r="BVE78" s="2198"/>
      <c r="BVF78" s="2198"/>
      <c r="BVG78" s="2198"/>
      <c r="BVH78" s="2198"/>
      <c r="BVI78" s="2198"/>
      <c r="BVJ78" s="2198"/>
      <c r="BVK78" s="2198"/>
      <c r="BVL78" s="2198"/>
      <c r="BVM78" s="2198"/>
      <c r="BVN78" s="2198"/>
      <c r="BVO78" s="2198"/>
      <c r="BVP78" s="2198"/>
      <c r="BVQ78" s="2198"/>
      <c r="BVR78" s="2198"/>
      <c r="BVS78" s="2198"/>
      <c r="BVT78" s="2198"/>
      <c r="BVU78" s="2198"/>
      <c r="BVV78" s="2198"/>
      <c r="BVW78" s="2198"/>
      <c r="BVX78" s="2198"/>
      <c r="BVY78" s="2198"/>
      <c r="BVZ78" s="2198"/>
      <c r="BWA78" s="2198"/>
      <c r="BWB78" s="2198"/>
      <c r="BWC78" s="2198"/>
      <c r="BWD78" s="2198"/>
      <c r="BWE78" s="2198"/>
      <c r="BWF78" s="2198"/>
      <c r="BWG78" s="2198"/>
      <c r="BWH78" s="2198"/>
      <c r="BWI78" s="2198"/>
      <c r="BWJ78" s="2198"/>
      <c r="BWK78" s="2198"/>
      <c r="BWL78" s="2198"/>
      <c r="BWM78" s="2198"/>
      <c r="BWN78" s="2198"/>
      <c r="BWO78" s="2198"/>
      <c r="BWP78" s="2198"/>
      <c r="BWQ78" s="2198"/>
      <c r="BWR78" s="2198"/>
      <c r="BWS78" s="2198"/>
      <c r="BWT78" s="2198"/>
      <c r="BWU78" s="2198"/>
      <c r="BWV78" s="2198"/>
      <c r="BWW78" s="2198"/>
      <c r="BWX78" s="2198"/>
      <c r="BWY78" s="2198"/>
      <c r="BWZ78" s="2198"/>
      <c r="BXA78" s="2198"/>
      <c r="BXB78" s="2198"/>
      <c r="BXC78" s="2198"/>
      <c r="BXD78" s="2198"/>
      <c r="BXE78" s="2198"/>
      <c r="BXF78" s="2198"/>
      <c r="BXG78" s="2198"/>
      <c r="BXH78" s="2198"/>
      <c r="BXI78" s="2198"/>
      <c r="BXJ78" s="2198"/>
      <c r="BXK78" s="2198"/>
      <c r="BXL78" s="2198"/>
      <c r="BXM78" s="2198"/>
      <c r="BXN78" s="2198"/>
      <c r="BXO78" s="2198"/>
      <c r="BXP78" s="2198"/>
      <c r="BXQ78" s="2198"/>
      <c r="BXR78" s="2198"/>
      <c r="BXS78" s="2198"/>
      <c r="BXT78" s="2198"/>
      <c r="BXU78" s="2198"/>
      <c r="BXV78" s="2198"/>
      <c r="BXW78" s="2198"/>
      <c r="BXX78" s="2198"/>
      <c r="BXY78" s="2198"/>
      <c r="BXZ78" s="2198"/>
      <c r="BYA78" s="2198"/>
      <c r="BYB78" s="2198"/>
      <c r="BYC78" s="2198"/>
      <c r="BYD78" s="2198"/>
      <c r="BYE78" s="2198"/>
      <c r="BYF78" s="2198"/>
      <c r="BYG78" s="2198"/>
      <c r="BYH78" s="2198"/>
      <c r="BYI78" s="2198"/>
      <c r="BYJ78" s="2198"/>
      <c r="BYK78" s="2198"/>
      <c r="BYL78" s="2198"/>
      <c r="BYM78" s="2198"/>
      <c r="BYN78" s="2198"/>
      <c r="BYO78" s="2198"/>
      <c r="BYP78" s="2198"/>
      <c r="BYQ78" s="2198"/>
      <c r="BYR78" s="2198"/>
      <c r="BYS78" s="2198"/>
      <c r="BYT78" s="2198"/>
      <c r="BYU78" s="2198"/>
      <c r="BYV78" s="2198"/>
      <c r="BYW78" s="2198"/>
      <c r="BYX78" s="2198"/>
      <c r="BYY78" s="2198"/>
      <c r="BYZ78" s="2198"/>
      <c r="BZA78" s="2198"/>
      <c r="BZB78" s="2198"/>
      <c r="BZC78" s="2198"/>
      <c r="BZD78" s="2198"/>
      <c r="BZE78" s="2198"/>
      <c r="BZF78" s="2198"/>
      <c r="BZG78" s="2198"/>
      <c r="BZH78" s="2198"/>
      <c r="BZI78" s="2198"/>
      <c r="BZJ78" s="2198"/>
      <c r="BZK78" s="2198"/>
      <c r="BZL78" s="2198"/>
      <c r="BZM78" s="2198"/>
      <c r="BZN78" s="2198"/>
      <c r="BZO78" s="2198"/>
      <c r="BZP78" s="2198"/>
      <c r="BZQ78" s="2198"/>
      <c r="BZR78" s="2198"/>
      <c r="BZS78" s="2198"/>
      <c r="BZT78" s="2198"/>
      <c r="BZU78" s="2198"/>
      <c r="BZV78" s="2198"/>
      <c r="BZW78" s="2198"/>
      <c r="BZX78" s="2198"/>
      <c r="BZY78" s="2198"/>
      <c r="BZZ78" s="2198"/>
      <c r="CAA78" s="2198"/>
      <c r="CAB78" s="2198"/>
      <c r="CAC78" s="2198"/>
      <c r="CAD78" s="2198"/>
      <c r="CAE78" s="2198"/>
      <c r="CAF78" s="2198"/>
      <c r="CAG78" s="2198"/>
      <c r="CAH78" s="2198"/>
      <c r="CAI78" s="2198"/>
      <c r="CAJ78" s="2198"/>
      <c r="CAK78" s="2198"/>
      <c r="CAL78" s="2198"/>
      <c r="CAM78" s="2198"/>
      <c r="CAN78" s="2198"/>
      <c r="CAO78" s="2198"/>
      <c r="CAP78" s="2198"/>
      <c r="CAQ78" s="2198"/>
      <c r="CAR78" s="2198"/>
      <c r="CAS78" s="2198"/>
      <c r="CAT78" s="2198"/>
      <c r="CAU78" s="2198"/>
      <c r="CAV78" s="2198"/>
      <c r="CAW78" s="2198"/>
      <c r="CAX78" s="2198"/>
      <c r="CAY78" s="2198"/>
      <c r="CAZ78" s="2198"/>
      <c r="CBA78" s="2198"/>
      <c r="CBB78" s="2198"/>
      <c r="CBC78" s="2198"/>
      <c r="CBD78" s="2198"/>
      <c r="CBE78" s="2198"/>
      <c r="CBF78" s="2198"/>
      <c r="CBG78" s="2198"/>
      <c r="CBH78" s="2198"/>
      <c r="CBI78" s="2198"/>
      <c r="CBJ78" s="2198"/>
      <c r="CBK78" s="2198"/>
      <c r="CBL78" s="2198"/>
      <c r="CBM78" s="2198"/>
      <c r="CBN78" s="2198"/>
      <c r="CBO78" s="2198"/>
      <c r="CBP78" s="2198"/>
      <c r="CBQ78" s="2198"/>
      <c r="CBR78" s="2198"/>
      <c r="CBS78" s="2198"/>
      <c r="CBT78" s="2198"/>
      <c r="CBU78" s="2198"/>
      <c r="CBV78" s="2198"/>
      <c r="CBW78" s="2198"/>
      <c r="CBX78" s="2198"/>
      <c r="CBY78" s="2198"/>
      <c r="CBZ78" s="2198"/>
      <c r="CCA78" s="2198"/>
      <c r="CCB78" s="2198"/>
      <c r="CCC78" s="2198"/>
      <c r="CCD78" s="2198"/>
      <c r="CCE78" s="2198"/>
      <c r="CCF78" s="2198"/>
      <c r="CCG78" s="2198"/>
      <c r="CCH78" s="2198"/>
      <c r="CCI78" s="2198"/>
      <c r="CCJ78" s="2198"/>
      <c r="CCK78" s="2198"/>
      <c r="CCL78" s="2198"/>
      <c r="CCM78" s="2198"/>
      <c r="CCN78" s="2198"/>
      <c r="CCO78" s="2198"/>
      <c r="CCP78" s="2198"/>
      <c r="CCQ78" s="2198"/>
      <c r="CCR78" s="2198"/>
      <c r="CCS78" s="2198"/>
      <c r="CCT78" s="2198"/>
      <c r="CCU78" s="2198"/>
      <c r="CCV78" s="2198"/>
      <c r="CCW78" s="2198"/>
      <c r="CCX78" s="2198"/>
      <c r="CCY78" s="2198"/>
      <c r="CCZ78" s="2198"/>
      <c r="CDA78" s="2198"/>
      <c r="CDB78" s="2198"/>
      <c r="CDC78" s="2198"/>
      <c r="CDD78" s="2198"/>
      <c r="CDE78" s="2198"/>
      <c r="CDF78" s="2198"/>
      <c r="CDG78" s="2198"/>
      <c r="CDH78" s="2198"/>
      <c r="CDI78" s="2198"/>
      <c r="CDJ78" s="2198"/>
      <c r="CDK78" s="2198"/>
      <c r="CDL78" s="2198"/>
      <c r="CDM78" s="2198"/>
      <c r="CDN78" s="2198"/>
      <c r="CDO78" s="2198"/>
      <c r="CDP78" s="2198"/>
      <c r="CDQ78" s="2198"/>
      <c r="CDR78" s="2198"/>
      <c r="CDS78" s="2198"/>
      <c r="CDT78" s="2198"/>
      <c r="CDU78" s="2198"/>
      <c r="CDV78" s="2198"/>
      <c r="CDW78" s="2198"/>
      <c r="CDX78" s="2198"/>
      <c r="CDY78" s="2198"/>
      <c r="CDZ78" s="2198"/>
      <c r="CEA78" s="2198"/>
      <c r="CEB78" s="2198"/>
      <c r="CEC78" s="2198"/>
      <c r="CED78" s="2198"/>
      <c r="CEE78" s="2198"/>
      <c r="CEF78" s="2198"/>
      <c r="CEG78" s="2198"/>
      <c r="CEH78" s="2198"/>
      <c r="CEI78" s="2198"/>
      <c r="CEJ78" s="2198"/>
      <c r="CEK78" s="2198"/>
      <c r="CEL78" s="2198"/>
      <c r="CEM78" s="2198"/>
      <c r="CEN78" s="2198"/>
      <c r="CEO78" s="2198"/>
      <c r="CEP78" s="2198"/>
      <c r="CEQ78" s="2198"/>
      <c r="CER78" s="2198"/>
      <c r="CES78" s="2198"/>
      <c r="CET78" s="2198"/>
      <c r="CEU78" s="2198"/>
      <c r="CEV78" s="2198"/>
      <c r="CEW78" s="2198"/>
      <c r="CEX78" s="2198"/>
      <c r="CEY78" s="2198"/>
      <c r="CEZ78" s="2198"/>
      <c r="CFA78" s="2198"/>
      <c r="CFB78" s="2198"/>
      <c r="CFC78" s="2198"/>
      <c r="CFD78" s="2198"/>
      <c r="CFE78" s="2198"/>
      <c r="CFF78" s="2198"/>
      <c r="CFG78" s="2198"/>
      <c r="CFH78" s="2198"/>
      <c r="CFI78" s="2198"/>
      <c r="CFJ78" s="2198"/>
      <c r="CFK78" s="2198"/>
      <c r="CFL78" s="2198"/>
      <c r="CFM78" s="2198"/>
      <c r="CFN78" s="2198"/>
      <c r="CFO78" s="2198"/>
      <c r="CFP78" s="2198"/>
      <c r="CFQ78" s="2198"/>
      <c r="CFR78" s="2198"/>
      <c r="CFS78" s="2198"/>
      <c r="CFT78" s="2198"/>
      <c r="CFU78" s="2198"/>
      <c r="CFV78" s="2198"/>
      <c r="CFW78" s="2198"/>
      <c r="CFX78" s="2198"/>
      <c r="CFY78" s="2198"/>
      <c r="CFZ78" s="2198"/>
      <c r="CGA78" s="2198"/>
      <c r="CGB78" s="2198"/>
      <c r="CGC78" s="2198"/>
      <c r="CGD78" s="2198"/>
      <c r="CGE78" s="2198"/>
      <c r="CGF78" s="2198"/>
      <c r="CGG78" s="2198"/>
      <c r="CGH78" s="2198"/>
      <c r="CGI78" s="2198"/>
      <c r="CGJ78" s="2198"/>
      <c r="CGK78" s="2198"/>
      <c r="CGL78" s="2198"/>
      <c r="CGM78" s="2198"/>
      <c r="CGN78" s="2198"/>
      <c r="CGO78" s="2198"/>
      <c r="CGP78" s="2198"/>
      <c r="CGQ78" s="2198"/>
      <c r="CGR78" s="2198"/>
      <c r="CGS78" s="2198"/>
      <c r="CGT78" s="2198"/>
      <c r="CGU78" s="2198"/>
      <c r="CGV78" s="2198"/>
      <c r="CGW78" s="2198"/>
      <c r="CGX78" s="2198"/>
      <c r="CGY78" s="2198"/>
      <c r="CGZ78" s="2198"/>
      <c r="CHA78" s="2198"/>
      <c r="CHB78" s="2198"/>
      <c r="CHC78" s="2198"/>
      <c r="CHD78" s="2198"/>
      <c r="CHE78" s="2198"/>
      <c r="CHF78" s="2198"/>
      <c r="CHG78" s="2198"/>
      <c r="CHH78" s="2198"/>
      <c r="CHI78" s="2198"/>
      <c r="CHJ78" s="2198"/>
      <c r="CHK78" s="2198"/>
      <c r="CHL78" s="2198"/>
      <c r="CHM78" s="2198"/>
      <c r="CHN78" s="2198"/>
      <c r="CHO78" s="2198"/>
      <c r="CHP78" s="2198"/>
      <c r="CHQ78" s="2198"/>
      <c r="CHR78" s="2198"/>
      <c r="CHS78" s="2198"/>
      <c r="CHT78" s="2198"/>
      <c r="CHU78" s="2198"/>
      <c r="CHV78" s="2198"/>
      <c r="CHW78" s="2198"/>
      <c r="CHX78" s="2198"/>
      <c r="CHY78" s="2198"/>
      <c r="CHZ78" s="2198"/>
      <c r="CIA78" s="2198"/>
      <c r="CIB78" s="2198"/>
      <c r="CIC78" s="2198"/>
      <c r="CID78" s="2198"/>
      <c r="CIE78" s="2198"/>
      <c r="CIF78" s="2198"/>
      <c r="CIG78" s="2198"/>
      <c r="CIH78" s="2198"/>
      <c r="CII78" s="2198"/>
      <c r="CIJ78" s="2198"/>
      <c r="CIK78" s="2198"/>
      <c r="CIL78" s="2198"/>
      <c r="CIM78" s="2198"/>
      <c r="CIN78" s="2198"/>
      <c r="CIO78" s="2198"/>
      <c r="CIP78" s="2198"/>
      <c r="CIQ78" s="2198"/>
      <c r="CIR78" s="2198"/>
      <c r="CIS78" s="2198"/>
      <c r="CIT78" s="2198"/>
      <c r="CIU78" s="2198"/>
      <c r="CIV78" s="2198"/>
      <c r="CIW78" s="2198"/>
      <c r="CIX78" s="2198"/>
      <c r="CIY78" s="2198"/>
      <c r="CIZ78" s="2198"/>
      <c r="CJA78" s="2198"/>
      <c r="CJB78" s="2198"/>
      <c r="CJC78" s="2198"/>
      <c r="CJD78" s="2198"/>
      <c r="CJE78" s="2198"/>
      <c r="CJF78" s="2198"/>
      <c r="CJG78" s="2198"/>
      <c r="CJH78" s="2198"/>
      <c r="CJI78" s="2198"/>
      <c r="CJJ78" s="2198"/>
      <c r="CJK78" s="2198"/>
      <c r="CJL78" s="2198"/>
      <c r="CJM78" s="2198"/>
      <c r="CJN78" s="2198"/>
      <c r="CJO78" s="2198"/>
      <c r="CJP78" s="2198"/>
      <c r="CJQ78" s="2198"/>
      <c r="CJR78" s="2198"/>
      <c r="CJS78" s="2198"/>
      <c r="CJT78" s="2198"/>
      <c r="CJU78" s="2198"/>
      <c r="CJV78" s="2198"/>
      <c r="CJW78" s="2198"/>
      <c r="CJX78" s="2198"/>
      <c r="CJY78" s="2198"/>
      <c r="CJZ78" s="2198"/>
      <c r="CKA78" s="2198"/>
      <c r="CKB78" s="2198"/>
      <c r="CKC78" s="2198"/>
      <c r="CKD78" s="2198"/>
      <c r="CKE78" s="2198"/>
      <c r="CKF78" s="2198"/>
      <c r="CKG78" s="2198"/>
      <c r="CKH78" s="2198"/>
      <c r="CKI78" s="2198"/>
      <c r="CKJ78" s="2198"/>
      <c r="CKK78" s="2198"/>
      <c r="CKL78" s="2198"/>
      <c r="CKM78" s="2198"/>
      <c r="CKN78" s="2198"/>
      <c r="CKO78" s="2198"/>
      <c r="CKP78" s="2198"/>
      <c r="CKQ78" s="2198"/>
      <c r="CKR78" s="2198"/>
      <c r="CKS78" s="2198"/>
      <c r="CKT78" s="2198"/>
      <c r="CKU78" s="2198"/>
      <c r="CKV78" s="2198"/>
      <c r="CKW78" s="2198"/>
      <c r="CKX78" s="2198"/>
      <c r="CKY78" s="2198"/>
      <c r="CKZ78" s="2198"/>
      <c r="CLA78" s="2198"/>
      <c r="CLB78" s="2198"/>
      <c r="CLC78" s="2198"/>
      <c r="CLD78" s="2198"/>
      <c r="CLE78" s="2198"/>
      <c r="CLF78" s="2198"/>
      <c r="CLG78" s="2198"/>
      <c r="CLH78" s="2198"/>
      <c r="CLI78" s="2198"/>
      <c r="CLJ78" s="2198"/>
      <c r="CLK78" s="2198"/>
      <c r="CLL78" s="2198"/>
      <c r="CLM78" s="2198"/>
      <c r="CLN78" s="2198"/>
      <c r="CLO78" s="2198"/>
      <c r="CLP78" s="2198"/>
      <c r="CLQ78" s="2198"/>
      <c r="CLR78" s="2198"/>
      <c r="CLS78" s="2198"/>
      <c r="CLT78" s="2198"/>
      <c r="CLU78" s="2198"/>
      <c r="CLV78" s="2198"/>
      <c r="CLW78" s="2198"/>
      <c r="CLX78" s="2198"/>
      <c r="CLY78" s="2198"/>
      <c r="CLZ78" s="2198"/>
      <c r="CMA78" s="2198"/>
      <c r="CMB78" s="2198"/>
      <c r="CMC78" s="2198"/>
      <c r="CMD78" s="2198"/>
      <c r="CME78" s="2198"/>
      <c r="CMF78" s="2198"/>
      <c r="CMG78" s="2198"/>
      <c r="CMH78" s="2198"/>
      <c r="CMI78" s="2198"/>
      <c r="CMJ78" s="2198"/>
      <c r="CMK78" s="2198"/>
      <c r="CML78" s="2198"/>
      <c r="CMM78" s="2198"/>
      <c r="CMN78" s="2198"/>
      <c r="CMO78" s="2198"/>
      <c r="CMP78" s="2198"/>
      <c r="CMQ78" s="2198"/>
      <c r="CMR78" s="2198"/>
      <c r="CMS78" s="2198"/>
      <c r="CMT78" s="2198"/>
      <c r="CMU78" s="2198"/>
      <c r="CMV78" s="2198"/>
      <c r="CMW78" s="2198"/>
      <c r="CMX78" s="2198"/>
      <c r="CMY78" s="2198"/>
      <c r="CMZ78" s="2198"/>
      <c r="CNA78" s="2198"/>
      <c r="CNB78" s="2198"/>
      <c r="CNC78" s="2198"/>
      <c r="CND78" s="2198"/>
      <c r="CNE78" s="2198"/>
      <c r="CNF78" s="2198"/>
      <c r="CNG78" s="2198"/>
      <c r="CNH78" s="2198"/>
      <c r="CNI78" s="2198"/>
      <c r="CNJ78" s="2198"/>
      <c r="CNK78" s="2198"/>
      <c r="CNL78" s="2198"/>
      <c r="CNM78" s="2198"/>
      <c r="CNN78" s="2198"/>
      <c r="CNO78" s="2198"/>
      <c r="CNP78" s="2198"/>
      <c r="CNQ78" s="2198"/>
      <c r="CNR78" s="2198"/>
      <c r="CNS78" s="2198"/>
      <c r="CNT78" s="2198"/>
      <c r="CNU78" s="2198"/>
      <c r="CNV78" s="2198"/>
      <c r="CNW78" s="2198"/>
      <c r="CNX78" s="2198"/>
      <c r="CNY78" s="2198"/>
      <c r="CNZ78" s="2198"/>
      <c r="COA78" s="2198"/>
      <c r="COB78" s="2198"/>
      <c r="COC78" s="2198"/>
      <c r="COD78" s="2198"/>
      <c r="COE78" s="2198"/>
      <c r="COF78" s="2198"/>
      <c r="COG78" s="2198"/>
      <c r="COH78" s="2198"/>
      <c r="COI78" s="2198"/>
      <c r="COJ78" s="2198"/>
      <c r="COK78" s="2198"/>
      <c r="COL78" s="2198"/>
      <c r="COM78" s="2198"/>
      <c r="CON78" s="2198"/>
      <c r="COO78" s="2198"/>
      <c r="COP78" s="2198"/>
      <c r="COQ78" s="2198"/>
      <c r="COR78" s="2198"/>
      <c r="COS78" s="2198"/>
      <c r="COT78" s="2198"/>
      <c r="COU78" s="2198"/>
      <c r="COV78" s="2198"/>
      <c r="COW78" s="2198"/>
      <c r="COX78" s="2198"/>
      <c r="COY78" s="2198"/>
      <c r="COZ78" s="2198"/>
      <c r="CPA78" s="2198"/>
      <c r="CPB78" s="2198"/>
      <c r="CPC78" s="2198"/>
      <c r="CPD78" s="2198"/>
      <c r="CPE78" s="2198"/>
      <c r="CPF78" s="2198"/>
      <c r="CPG78" s="2198"/>
      <c r="CPH78" s="2198"/>
      <c r="CPI78" s="2198"/>
      <c r="CPJ78" s="2198"/>
      <c r="CPK78" s="2198"/>
      <c r="CPL78" s="2198"/>
      <c r="CPM78" s="2198"/>
      <c r="CPN78" s="2198"/>
      <c r="CPO78" s="2198"/>
      <c r="CPP78" s="2198"/>
      <c r="CPQ78" s="2198"/>
      <c r="CPR78" s="2198"/>
      <c r="CPS78" s="2198"/>
      <c r="CPT78" s="2198"/>
      <c r="CPU78" s="2198"/>
      <c r="CPV78" s="2198"/>
      <c r="CPW78" s="2198"/>
      <c r="CPX78" s="2198"/>
      <c r="CPY78" s="2198"/>
      <c r="CPZ78" s="2198"/>
      <c r="CQA78" s="2198"/>
      <c r="CQB78" s="2198"/>
      <c r="CQC78" s="2198"/>
      <c r="CQD78" s="2198"/>
      <c r="CQE78" s="2198"/>
      <c r="CQF78" s="2198"/>
      <c r="CQG78" s="2198"/>
      <c r="CQH78" s="2198"/>
      <c r="CQI78" s="2198"/>
      <c r="CQJ78" s="2198"/>
      <c r="CQK78" s="2198"/>
      <c r="CQL78" s="2198"/>
      <c r="CQM78" s="2198"/>
      <c r="CQN78" s="2198"/>
      <c r="CQO78" s="2198"/>
      <c r="CQP78" s="2198"/>
      <c r="CQQ78" s="2198"/>
      <c r="CQR78" s="2198"/>
      <c r="CQS78" s="2198"/>
      <c r="CQT78" s="2198"/>
      <c r="CQU78" s="2198"/>
      <c r="CQV78" s="2198"/>
      <c r="CQW78" s="2198"/>
      <c r="CQX78" s="2198"/>
      <c r="CQY78" s="2198"/>
      <c r="CQZ78" s="2198"/>
      <c r="CRA78" s="2198"/>
      <c r="CRB78" s="2198"/>
      <c r="CRC78" s="2198"/>
      <c r="CRD78" s="2198"/>
      <c r="CRE78" s="2198"/>
      <c r="CRF78" s="2198"/>
      <c r="CRG78" s="2198"/>
      <c r="CRH78" s="2198"/>
      <c r="CRI78" s="2198"/>
      <c r="CRJ78" s="2198"/>
      <c r="CRK78" s="2198"/>
      <c r="CRL78" s="2198"/>
      <c r="CRM78" s="2198"/>
      <c r="CRN78" s="2198"/>
      <c r="CRO78" s="2198"/>
      <c r="CRP78" s="2198"/>
      <c r="CRQ78" s="2198"/>
      <c r="CRR78" s="2198"/>
      <c r="CRS78" s="2198"/>
      <c r="CRT78" s="2198"/>
      <c r="CRU78" s="2198"/>
      <c r="CRV78" s="2198"/>
      <c r="CRW78" s="2198"/>
      <c r="CRX78" s="2198"/>
      <c r="CRY78" s="2198"/>
      <c r="CRZ78" s="2198"/>
      <c r="CSA78" s="2198"/>
      <c r="CSB78" s="2198"/>
      <c r="CSC78" s="2198"/>
      <c r="CSD78" s="2198"/>
      <c r="CSE78" s="2198"/>
      <c r="CSF78" s="2198"/>
      <c r="CSG78" s="2198"/>
      <c r="CSH78" s="2198"/>
      <c r="CSI78" s="2198"/>
      <c r="CSJ78" s="2198"/>
      <c r="CSK78" s="2198"/>
      <c r="CSL78" s="2198"/>
      <c r="CSM78" s="2198"/>
      <c r="CSN78" s="2198"/>
      <c r="CSO78" s="2198"/>
      <c r="CSP78" s="2198"/>
      <c r="CSQ78" s="2198"/>
      <c r="CSR78" s="2198"/>
      <c r="CSS78" s="2198"/>
      <c r="CST78" s="2198"/>
      <c r="CSU78" s="2198"/>
      <c r="CSV78" s="2198"/>
      <c r="CSW78" s="2198"/>
      <c r="CSX78" s="2198"/>
      <c r="CSY78" s="2198"/>
      <c r="CSZ78" s="2198"/>
      <c r="CTA78" s="2198"/>
      <c r="CTB78" s="2198"/>
      <c r="CTC78" s="2198"/>
      <c r="CTD78" s="2198"/>
      <c r="CTE78" s="2198"/>
      <c r="CTF78" s="2198"/>
      <c r="CTG78" s="2198"/>
      <c r="CTH78" s="2198"/>
      <c r="CTI78" s="2198"/>
      <c r="CTJ78" s="2198"/>
      <c r="CTK78" s="2198"/>
      <c r="CTL78" s="2198"/>
      <c r="CTM78" s="2198"/>
      <c r="CTN78" s="2198"/>
      <c r="CTO78" s="2198"/>
      <c r="CTP78" s="2198"/>
      <c r="CTQ78" s="2198"/>
      <c r="CTR78" s="2198"/>
      <c r="CTS78" s="2198"/>
      <c r="CTT78" s="2198"/>
      <c r="CTU78" s="2198"/>
      <c r="CTV78" s="2198"/>
      <c r="CTW78" s="2198"/>
      <c r="CTX78" s="2198"/>
      <c r="CTY78" s="2198"/>
      <c r="CTZ78" s="2198"/>
      <c r="CUA78" s="2198"/>
      <c r="CUB78" s="2198"/>
      <c r="CUC78" s="2198"/>
      <c r="CUD78" s="2198"/>
      <c r="CUE78" s="2198"/>
      <c r="CUF78" s="2198"/>
      <c r="CUG78" s="2198"/>
      <c r="CUH78" s="2198"/>
      <c r="CUI78" s="2198"/>
      <c r="CUJ78" s="2198"/>
      <c r="CUK78" s="2198"/>
      <c r="CUL78" s="2198"/>
      <c r="CUM78" s="2198"/>
      <c r="CUN78" s="2198"/>
      <c r="CUO78" s="2198"/>
      <c r="CUP78" s="2198"/>
      <c r="CUQ78" s="2198"/>
      <c r="CUR78" s="2198"/>
      <c r="CUS78" s="2198"/>
      <c r="CUT78" s="2198"/>
      <c r="CUU78" s="2198"/>
      <c r="CUV78" s="2198"/>
      <c r="CUW78" s="2198"/>
      <c r="CUX78" s="2198"/>
      <c r="CUY78" s="2198"/>
      <c r="CUZ78" s="2198"/>
      <c r="CVA78" s="2198"/>
      <c r="CVB78" s="2198"/>
      <c r="CVC78" s="2198"/>
      <c r="CVD78" s="2198"/>
      <c r="CVE78" s="2198"/>
      <c r="CVF78" s="2198"/>
      <c r="CVG78" s="2198"/>
      <c r="CVH78" s="2198"/>
      <c r="CVI78" s="2198"/>
      <c r="CVJ78" s="2198"/>
      <c r="CVK78" s="2198"/>
      <c r="CVL78" s="2198"/>
      <c r="CVM78" s="2198"/>
      <c r="CVN78" s="2198"/>
      <c r="CVO78" s="2198"/>
      <c r="CVP78" s="2198"/>
      <c r="CVQ78" s="2198"/>
      <c r="CVR78" s="2198"/>
      <c r="CVS78" s="2198"/>
      <c r="CVT78" s="2198"/>
      <c r="CVU78" s="2198"/>
      <c r="CVV78" s="2198"/>
      <c r="CVW78" s="2198"/>
      <c r="CVX78" s="2198"/>
      <c r="CVY78" s="2198"/>
      <c r="CVZ78" s="2198"/>
      <c r="CWA78" s="2198"/>
      <c r="CWB78" s="2198"/>
      <c r="CWC78" s="2198"/>
      <c r="CWD78" s="2198"/>
      <c r="CWE78" s="2198"/>
      <c r="CWF78" s="2198"/>
      <c r="CWG78" s="2198"/>
      <c r="CWH78" s="2198"/>
      <c r="CWI78" s="2198"/>
      <c r="CWJ78" s="2198"/>
      <c r="CWK78" s="2198"/>
      <c r="CWL78" s="2198"/>
      <c r="CWM78" s="2198"/>
      <c r="CWN78" s="2198"/>
      <c r="CWO78" s="2198"/>
      <c r="CWP78" s="2198"/>
      <c r="CWQ78" s="2198"/>
      <c r="CWR78" s="2198"/>
      <c r="CWS78" s="2198"/>
      <c r="CWT78" s="2198"/>
      <c r="CWU78" s="2198"/>
      <c r="CWV78" s="2198"/>
      <c r="CWW78" s="2198"/>
      <c r="CWX78" s="2198"/>
      <c r="CWY78" s="2198"/>
      <c r="CWZ78" s="2198"/>
      <c r="CXA78" s="2198"/>
      <c r="CXB78" s="2198"/>
      <c r="CXC78" s="2198"/>
      <c r="CXD78" s="2198"/>
      <c r="CXE78" s="2198"/>
      <c r="CXF78" s="2198"/>
      <c r="CXG78" s="2198"/>
      <c r="CXH78" s="2198"/>
      <c r="CXI78" s="2198"/>
      <c r="CXJ78" s="2198"/>
      <c r="CXK78" s="2198"/>
      <c r="CXL78" s="2198"/>
      <c r="CXM78" s="2198"/>
      <c r="CXN78" s="2198"/>
      <c r="CXO78" s="2198"/>
      <c r="CXP78" s="2198"/>
      <c r="CXQ78" s="2198"/>
      <c r="CXR78" s="2198"/>
      <c r="CXS78" s="2198"/>
      <c r="CXT78" s="2198"/>
      <c r="CXU78" s="2198"/>
      <c r="CXV78" s="2198"/>
      <c r="CXW78" s="2198"/>
      <c r="CXX78" s="2198"/>
      <c r="CXY78" s="2198"/>
      <c r="CXZ78" s="2198"/>
      <c r="CYA78" s="2198"/>
      <c r="CYB78" s="2198"/>
      <c r="CYC78" s="2198"/>
      <c r="CYD78" s="2198"/>
      <c r="CYE78" s="2198"/>
      <c r="CYF78" s="2198"/>
      <c r="CYG78" s="2198"/>
      <c r="CYH78" s="2198"/>
      <c r="CYI78" s="2198"/>
      <c r="CYJ78" s="2198"/>
      <c r="CYK78" s="2198"/>
      <c r="CYL78" s="2198"/>
      <c r="CYM78" s="2198"/>
      <c r="CYN78" s="2198"/>
      <c r="CYO78" s="2198"/>
      <c r="CYP78" s="2198"/>
      <c r="CYQ78" s="2198"/>
      <c r="CYR78" s="2198"/>
      <c r="CYS78" s="2198"/>
      <c r="CYT78" s="2198"/>
      <c r="CYU78" s="2198"/>
      <c r="CYV78" s="2198"/>
      <c r="CYW78" s="2198"/>
      <c r="CYX78" s="2198"/>
      <c r="CYY78" s="2198"/>
      <c r="CYZ78" s="2198"/>
      <c r="CZA78" s="2198"/>
      <c r="CZB78" s="2198"/>
      <c r="CZC78" s="2198"/>
      <c r="CZD78" s="2198"/>
      <c r="CZE78" s="2198"/>
      <c r="CZF78" s="2198"/>
      <c r="CZG78" s="2198"/>
      <c r="CZH78" s="2198"/>
      <c r="CZI78" s="2198"/>
      <c r="CZJ78" s="2198"/>
      <c r="CZK78" s="2198"/>
      <c r="CZL78" s="2198"/>
      <c r="CZM78" s="2198"/>
      <c r="CZN78" s="2198"/>
      <c r="CZO78" s="2198"/>
      <c r="CZP78" s="2198"/>
      <c r="CZQ78" s="2198"/>
      <c r="CZR78" s="2198"/>
      <c r="CZS78" s="2198"/>
      <c r="CZT78" s="2198"/>
      <c r="CZU78" s="2198"/>
      <c r="CZV78" s="2198"/>
      <c r="CZW78" s="2198"/>
      <c r="CZX78" s="2198"/>
      <c r="CZY78" s="2198"/>
      <c r="CZZ78" s="2198"/>
      <c r="DAA78" s="2198"/>
      <c r="DAB78" s="2198"/>
      <c r="DAC78" s="2198"/>
      <c r="DAD78" s="2198"/>
      <c r="DAE78" s="2198"/>
      <c r="DAF78" s="2198"/>
      <c r="DAG78" s="2198"/>
      <c r="DAH78" s="2198"/>
      <c r="DAI78" s="2198"/>
      <c r="DAJ78" s="2198"/>
      <c r="DAK78" s="2198"/>
      <c r="DAL78" s="2198"/>
      <c r="DAM78" s="2198"/>
      <c r="DAN78" s="2198"/>
      <c r="DAO78" s="2198"/>
      <c r="DAP78" s="2198"/>
      <c r="DAQ78" s="2198"/>
      <c r="DAR78" s="2198"/>
      <c r="DAS78" s="2198"/>
      <c r="DAT78" s="2198"/>
      <c r="DAU78" s="2198"/>
      <c r="DAV78" s="2198"/>
      <c r="DAW78" s="2198"/>
      <c r="DAX78" s="2198"/>
      <c r="DAY78" s="2198"/>
      <c r="DAZ78" s="2198"/>
      <c r="DBA78" s="2198"/>
      <c r="DBB78" s="2198"/>
      <c r="DBC78" s="2198"/>
      <c r="DBD78" s="2198"/>
      <c r="DBE78" s="2198"/>
      <c r="DBF78" s="2198"/>
      <c r="DBG78" s="2198"/>
      <c r="DBH78" s="2198"/>
      <c r="DBI78" s="2198"/>
      <c r="DBJ78" s="2198"/>
      <c r="DBK78" s="2198"/>
      <c r="DBL78" s="2198"/>
      <c r="DBM78" s="2198"/>
      <c r="DBN78" s="2198"/>
      <c r="DBO78" s="2198"/>
      <c r="DBP78" s="2198"/>
      <c r="DBQ78" s="2198"/>
      <c r="DBR78" s="2198"/>
      <c r="DBS78" s="2198"/>
      <c r="DBT78" s="2198"/>
      <c r="DBU78" s="2198"/>
      <c r="DBV78" s="2198"/>
      <c r="DBW78" s="2198"/>
      <c r="DBX78" s="2198"/>
      <c r="DBY78" s="2198"/>
      <c r="DBZ78" s="2198"/>
      <c r="DCA78" s="2198"/>
      <c r="DCB78" s="2198"/>
      <c r="DCC78" s="2198"/>
      <c r="DCD78" s="2198"/>
      <c r="DCE78" s="2198"/>
      <c r="DCF78" s="2198"/>
      <c r="DCG78" s="2198"/>
      <c r="DCH78" s="2198"/>
      <c r="DCI78" s="2198"/>
      <c r="DCJ78" s="2198"/>
      <c r="DCK78" s="2198"/>
      <c r="DCL78" s="2198"/>
      <c r="DCM78" s="2198"/>
      <c r="DCN78" s="2198"/>
      <c r="DCO78" s="2198"/>
      <c r="DCP78" s="2198"/>
      <c r="DCQ78" s="2198"/>
      <c r="DCR78" s="2198"/>
      <c r="DCS78" s="2198"/>
      <c r="DCT78" s="2198"/>
      <c r="DCU78" s="2198"/>
      <c r="DCV78" s="2198"/>
      <c r="DCW78" s="2198"/>
      <c r="DCX78" s="2198"/>
      <c r="DCY78" s="2198"/>
      <c r="DCZ78" s="2198"/>
      <c r="DDA78" s="2198"/>
      <c r="DDB78" s="2198"/>
      <c r="DDC78" s="2198"/>
      <c r="DDD78" s="2198"/>
      <c r="DDE78" s="2198"/>
      <c r="DDF78" s="2198"/>
      <c r="DDG78" s="2198"/>
      <c r="DDH78" s="2198"/>
      <c r="DDI78" s="2198"/>
      <c r="DDJ78" s="2198"/>
      <c r="DDK78" s="2198"/>
      <c r="DDL78" s="2198"/>
      <c r="DDM78" s="2198"/>
      <c r="DDN78" s="2198"/>
      <c r="DDO78" s="2198"/>
      <c r="DDP78" s="2198"/>
      <c r="DDQ78" s="2198"/>
      <c r="DDR78" s="2198"/>
      <c r="DDS78" s="2198"/>
      <c r="DDT78" s="2198"/>
      <c r="DDU78" s="2198"/>
      <c r="DDV78" s="2198"/>
      <c r="DDW78" s="2198"/>
      <c r="DDX78" s="2198"/>
      <c r="DDY78" s="2198"/>
      <c r="DDZ78" s="2198"/>
      <c r="DEA78" s="2198"/>
      <c r="DEB78" s="2198"/>
      <c r="DEC78" s="2198"/>
      <c r="DED78" s="2198"/>
      <c r="DEE78" s="2198"/>
      <c r="DEF78" s="2198"/>
      <c r="DEG78" s="2198"/>
      <c r="DEH78" s="2198"/>
      <c r="DEI78" s="2198"/>
      <c r="DEJ78" s="2198"/>
      <c r="DEK78" s="2198"/>
      <c r="DEL78" s="2198"/>
      <c r="DEM78" s="2198"/>
      <c r="DEN78" s="2198"/>
      <c r="DEO78" s="2198"/>
      <c r="DEP78" s="2198"/>
      <c r="DEQ78" s="2198"/>
      <c r="DER78" s="2198"/>
      <c r="DES78" s="2198"/>
      <c r="DET78" s="2198"/>
      <c r="DEU78" s="2198"/>
      <c r="DEV78" s="2198"/>
      <c r="DEW78" s="2198"/>
      <c r="DEX78" s="2198"/>
      <c r="DEY78" s="2198"/>
      <c r="DEZ78" s="2198"/>
      <c r="DFA78" s="2198"/>
      <c r="DFB78" s="2198"/>
      <c r="DFC78" s="2198"/>
      <c r="DFD78" s="2198"/>
      <c r="DFE78" s="2198"/>
      <c r="DFF78" s="2198"/>
      <c r="DFG78" s="2198"/>
      <c r="DFH78" s="2198"/>
      <c r="DFI78" s="2198"/>
      <c r="DFJ78" s="2198"/>
      <c r="DFK78" s="2198"/>
      <c r="DFL78" s="2198"/>
      <c r="DFM78" s="2198"/>
      <c r="DFN78" s="2198"/>
      <c r="DFO78" s="2198"/>
      <c r="DFP78" s="2198"/>
      <c r="DFQ78" s="2198"/>
      <c r="DFR78" s="2198"/>
      <c r="DFS78" s="2198"/>
      <c r="DFT78" s="2198"/>
      <c r="DFU78" s="2198"/>
      <c r="DFV78" s="2198"/>
      <c r="DFW78" s="2198"/>
      <c r="DFX78" s="2198"/>
      <c r="DFY78" s="2198"/>
      <c r="DFZ78" s="2198"/>
      <c r="DGA78" s="2198"/>
      <c r="DGB78" s="2198"/>
      <c r="DGC78" s="2198"/>
      <c r="DGD78" s="2198"/>
      <c r="DGE78" s="2198"/>
      <c r="DGF78" s="2198"/>
      <c r="DGG78" s="2198"/>
      <c r="DGH78" s="2198"/>
      <c r="DGI78" s="2198"/>
      <c r="DGJ78" s="2198"/>
      <c r="DGK78" s="2198"/>
      <c r="DGL78" s="2198"/>
      <c r="DGM78" s="2198"/>
      <c r="DGN78" s="2198"/>
      <c r="DGO78" s="2198"/>
      <c r="DGP78" s="2198"/>
      <c r="DGQ78" s="2198"/>
      <c r="DGR78" s="2198"/>
      <c r="DGS78" s="2198"/>
      <c r="DGT78" s="2198"/>
      <c r="DGU78" s="2198"/>
      <c r="DGV78" s="2198"/>
      <c r="DGW78" s="2198"/>
      <c r="DGX78" s="2198"/>
      <c r="DGY78" s="2198"/>
      <c r="DGZ78" s="2198"/>
      <c r="DHA78" s="2198"/>
      <c r="DHB78" s="2198"/>
      <c r="DHC78" s="2198"/>
      <c r="DHD78" s="2198"/>
      <c r="DHE78" s="2198"/>
      <c r="DHF78" s="2198"/>
      <c r="DHG78" s="2198"/>
      <c r="DHH78" s="2198"/>
      <c r="DHI78" s="2198"/>
      <c r="DHJ78" s="2198"/>
      <c r="DHK78" s="2198"/>
      <c r="DHL78" s="2198"/>
      <c r="DHM78" s="2198"/>
      <c r="DHN78" s="2198"/>
      <c r="DHO78" s="2198"/>
      <c r="DHP78" s="2198"/>
      <c r="DHQ78" s="2198"/>
      <c r="DHR78" s="2198"/>
      <c r="DHS78" s="2198"/>
      <c r="DHT78" s="2198"/>
      <c r="DHU78" s="2198"/>
      <c r="DHV78" s="2198"/>
      <c r="DHW78" s="2198"/>
      <c r="DHX78" s="2198"/>
      <c r="DHY78" s="2198"/>
      <c r="DHZ78" s="2198"/>
      <c r="DIA78" s="2198"/>
      <c r="DIB78" s="2198"/>
      <c r="DIC78" s="2198"/>
      <c r="DID78" s="2198"/>
      <c r="DIE78" s="2198"/>
      <c r="DIF78" s="2198"/>
      <c r="DIG78" s="2198"/>
      <c r="DIH78" s="2198"/>
      <c r="DII78" s="2198"/>
      <c r="DIJ78" s="2198"/>
      <c r="DIK78" s="2198"/>
      <c r="DIL78" s="2198"/>
      <c r="DIM78" s="2198"/>
      <c r="DIN78" s="2198"/>
      <c r="DIO78" s="2198"/>
      <c r="DIP78" s="2198"/>
      <c r="DIQ78" s="2198"/>
      <c r="DIR78" s="2198"/>
      <c r="DIS78" s="2198"/>
      <c r="DIT78" s="2198"/>
      <c r="DIU78" s="2198"/>
      <c r="DIV78" s="2198"/>
      <c r="DIW78" s="2198"/>
      <c r="DIX78" s="2198"/>
      <c r="DIY78" s="2198"/>
      <c r="DIZ78" s="2198"/>
      <c r="DJA78" s="2198"/>
      <c r="DJB78" s="2198"/>
      <c r="DJC78" s="2198"/>
      <c r="DJD78" s="2198"/>
      <c r="DJE78" s="2198"/>
      <c r="DJF78" s="2198"/>
      <c r="DJG78" s="2198"/>
      <c r="DJH78" s="2198"/>
      <c r="DJI78" s="2198"/>
      <c r="DJJ78" s="2198"/>
      <c r="DJK78" s="2198"/>
      <c r="DJL78" s="2198"/>
      <c r="DJM78" s="2198"/>
      <c r="DJN78" s="2198"/>
      <c r="DJO78" s="2198"/>
      <c r="DJP78" s="2198"/>
      <c r="DJQ78" s="2198"/>
      <c r="DJR78" s="2198"/>
      <c r="DJS78" s="2198"/>
      <c r="DJT78" s="2198"/>
      <c r="DJU78" s="2198"/>
      <c r="DJV78" s="2198"/>
      <c r="DJW78" s="2198"/>
      <c r="DJX78" s="2198"/>
      <c r="DJY78" s="2198"/>
      <c r="DJZ78" s="2198"/>
      <c r="DKA78" s="2198"/>
      <c r="DKB78" s="2198"/>
      <c r="DKC78" s="2198"/>
      <c r="DKD78" s="2198"/>
      <c r="DKE78" s="2198"/>
      <c r="DKF78" s="2198"/>
      <c r="DKG78" s="2198"/>
      <c r="DKH78" s="2198"/>
      <c r="DKI78" s="2198"/>
      <c r="DKJ78" s="2198"/>
      <c r="DKK78" s="2198"/>
      <c r="DKL78" s="2198"/>
      <c r="DKM78" s="2198"/>
      <c r="DKN78" s="2198"/>
      <c r="DKO78" s="2198"/>
      <c r="DKP78" s="2198"/>
      <c r="DKQ78" s="2198"/>
      <c r="DKR78" s="2198"/>
      <c r="DKS78" s="2198"/>
      <c r="DKT78" s="2198"/>
      <c r="DKU78" s="2198"/>
      <c r="DKV78" s="2198"/>
      <c r="DKW78" s="2198"/>
      <c r="DKX78" s="2198"/>
      <c r="DKY78" s="2198"/>
      <c r="DKZ78" s="2198"/>
      <c r="DLA78" s="2198"/>
      <c r="DLB78" s="2198"/>
      <c r="DLC78" s="2198"/>
      <c r="DLD78" s="2198"/>
      <c r="DLE78" s="2198"/>
      <c r="DLF78" s="2198"/>
      <c r="DLG78" s="2198"/>
      <c r="DLH78" s="2198"/>
      <c r="DLI78" s="2198"/>
      <c r="DLJ78" s="2198"/>
      <c r="DLK78" s="2198"/>
      <c r="DLL78" s="2198"/>
      <c r="DLM78" s="2198"/>
      <c r="DLN78" s="2198"/>
      <c r="DLO78" s="2198"/>
      <c r="DLP78" s="2198"/>
      <c r="DLQ78" s="2198"/>
      <c r="DLR78" s="2198"/>
      <c r="DLS78" s="2198"/>
      <c r="DLT78" s="2198"/>
      <c r="DLU78" s="2198"/>
      <c r="DLV78" s="2198"/>
      <c r="DLW78" s="2198"/>
      <c r="DLX78" s="2198"/>
      <c r="DLY78" s="2198"/>
      <c r="DLZ78" s="2198"/>
      <c r="DMA78" s="2198"/>
      <c r="DMB78" s="2198"/>
      <c r="DMC78" s="2198"/>
      <c r="DMD78" s="2198"/>
      <c r="DME78" s="2198"/>
      <c r="DMF78" s="2198"/>
      <c r="DMG78" s="2198"/>
      <c r="DMH78" s="2198"/>
      <c r="DMI78" s="2198"/>
      <c r="DMJ78" s="2198"/>
      <c r="DMK78" s="2198"/>
      <c r="DML78" s="2198"/>
      <c r="DMM78" s="2198"/>
      <c r="DMN78" s="2198"/>
      <c r="DMO78" s="2198"/>
      <c r="DMP78" s="2198"/>
      <c r="DMQ78" s="2198"/>
      <c r="DMR78" s="2198"/>
      <c r="DMS78" s="2198"/>
      <c r="DMT78" s="2198"/>
      <c r="DMU78" s="2198"/>
      <c r="DMV78" s="2198"/>
      <c r="DMW78" s="2198"/>
      <c r="DMX78" s="2198"/>
      <c r="DMY78" s="2198"/>
      <c r="DMZ78" s="2198"/>
      <c r="DNA78" s="2198"/>
      <c r="DNB78" s="2198"/>
      <c r="DNC78" s="2198"/>
      <c r="DND78" s="2198"/>
      <c r="DNE78" s="2198"/>
      <c r="DNF78" s="2198"/>
      <c r="DNG78" s="2198"/>
      <c r="DNH78" s="2198"/>
      <c r="DNI78" s="2198"/>
      <c r="DNJ78" s="2198"/>
      <c r="DNK78" s="2198"/>
      <c r="DNL78" s="2198"/>
      <c r="DNM78" s="2198"/>
      <c r="DNN78" s="2198"/>
      <c r="DNO78" s="2198"/>
      <c r="DNP78" s="2198"/>
      <c r="DNQ78" s="2198"/>
      <c r="DNR78" s="2198"/>
      <c r="DNS78" s="2198"/>
      <c r="DNT78" s="2198"/>
      <c r="DNU78" s="2198"/>
      <c r="DNV78" s="2198"/>
      <c r="DNW78" s="2198"/>
      <c r="DNX78" s="2198"/>
      <c r="DNY78" s="2198"/>
      <c r="DNZ78" s="2198"/>
      <c r="DOA78" s="2198"/>
      <c r="DOB78" s="2198"/>
      <c r="DOC78" s="2198"/>
      <c r="DOD78" s="2198"/>
      <c r="DOE78" s="2198"/>
      <c r="DOF78" s="2198"/>
      <c r="DOG78" s="2198"/>
      <c r="DOH78" s="2198"/>
      <c r="DOI78" s="2198"/>
      <c r="DOJ78" s="2198"/>
      <c r="DOK78" s="2198"/>
      <c r="DOL78" s="2198"/>
      <c r="DOM78" s="2198"/>
      <c r="DON78" s="2198"/>
      <c r="DOO78" s="2198"/>
      <c r="DOP78" s="2198"/>
      <c r="DOQ78" s="2198"/>
      <c r="DOR78" s="2198"/>
      <c r="DOS78" s="2198"/>
      <c r="DOT78" s="2198"/>
      <c r="DOU78" s="2198"/>
      <c r="DOV78" s="2198"/>
      <c r="DOW78" s="2198"/>
      <c r="DOX78" s="2198"/>
      <c r="DOY78" s="2198"/>
      <c r="DOZ78" s="2198"/>
      <c r="DPA78" s="2198"/>
      <c r="DPB78" s="2198"/>
      <c r="DPC78" s="2198"/>
      <c r="DPD78" s="2198"/>
      <c r="DPE78" s="2198"/>
      <c r="DPF78" s="2198"/>
      <c r="DPG78" s="2198"/>
      <c r="DPH78" s="2198"/>
      <c r="DPI78" s="2198"/>
      <c r="DPJ78" s="2198"/>
      <c r="DPK78" s="2198"/>
      <c r="DPL78" s="2198"/>
      <c r="DPM78" s="2198"/>
      <c r="DPN78" s="2198"/>
      <c r="DPO78" s="2198"/>
      <c r="DPP78" s="2198"/>
      <c r="DPQ78" s="2198"/>
      <c r="DPR78" s="2198"/>
      <c r="DPS78" s="2198"/>
      <c r="DPT78" s="2198"/>
      <c r="DPU78" s="2198"/>
      <c r="DPV78" s="2198"/>
      <c r="DPW78" s="2198"/>
      <c r="DPX78" s="2198"/>
      <c r="DPY78" s="2198"/>
      <c r="DPZ78" s="2198"/>
      <c r="DQA78" s="2198"/>
      <c r="DQB78" s="2198"/>
      <c r="DQC78" s="2198"/>
      <c r="DQD78" s="2198"/>
      <c r="DQE78" s="2198"/>
      <c r="DQF78" s="2198"/>
      <c r="DQG78" s="2198"/>
      <c r="DQH78" s="2198"/>
      <c r="DQI78" s="2198"/>
      <c r="DQJ78" s="2198"/>
      <c r="DQK78" s="2198"/>
      <c r="DQL78" s="2198"/>
      <c r="DQM78" s="2198"/>
      <c r="DQN78" s="2198"/>
      <c r="DQO78" s="2198"/>
      <c r="DQP78" s="2198"/>
      <c r="DQQ78" s="2198"/>
      <c r="DQR78" s="2198"/>
      <c r="DQS78" s="2198"/>
      <c r="DQT78" s="2198"/>
      <c r="DQU78" s="2198"/>
      <c r="DQV78" s="2198"/>
      <c r="DQW78" s="2198"/>
      <c r="DQX78" s="2198"/>
      <c r="DQY78" s="2198"/>
      <c r="DQZ78" s="2198"/>
      <c r="DRA78" s="2198"/>
      <c r="DRB78" s="2198"/>
      <c r="DRC78" s="2198"/>
      <c r="DRD78" s="2198"/>
      <c r="DRE78" s="2198"/>
      <c r="DRF78" s="2198"/>
      <c r="DRG78" s="2198"/>
      <c r="DRH78" s="2198"/>
      <c r="DRI78" s="2198"/>
      <c r="DRJ78" s="2198"/>
      <c r="DRK78" s="2198"/>
      <c r="DRL78" s="2198"/>
      <c r="DRM78" s="2198"/>
      <c r="DRN78" s="2198"/>
      <c r="DRO78" s="2198"/>
      <c r="DRP78" s="2198"/>
      <c r="DRQ78" s="2198"/>
      <c r="DRR78" s="2198"/>
      <c r="DRS78" s="2198"/>
      <c r="DRT78" s="2198"/>
      <c r="DRU78" s="2198"/>
      <c r="DRV78" s="2198"/>
      <c r="DRW78" s="2198"/>
      <c r="DRX78" s="2198"/>
      <c r="DRY78" s="2198"/>
      <c r="DRZ78" s="2198"/>
      <c r="DSA78" s="2198"/>
      <c r="DSB78" s="2198"/>
      <c r="DSC78" s="2198"/>
      <c r="DSD78" s="2198"/>
      <c r="DSE78" s="2198"/>
      <c r="DSF78" s="2198"/>
      <c r="DSG78" s="2198"/>
      <c r="DSH78" s="2198"/>
      <c r="DSI78" s="2198"/>
      <c r="DSJ78" s="2198"/>
      <c r="DSK78" s="2198"/>
      <c r="DSL78" s="2198"/>
      <c r="DSM78" s="2198"/>
      <c r="DSN78" s="2198"/>
      <c r="DSO78" s="2198"/>
      <c r="DSP78" s="2198"/>
      <c r="DSQ78" s="2198"/>
      <c r="DSR78" s="2198"/>
      <c r="DSS78" s="2198"/>
      <c r="DST78" s="2198"/>
      <c r="DSU78" s="2198"/>
      <c r="DSV78" s="2198"/>
      <c r="DSW78" s="2198"/>
      <c r="DSX78" s="2198"/>
      <c r="DSY78" s="2198"/>
      <c r="DSZ78" s="2198"/>
      <c r="DTA78" s="2198"/>
      <c r="DTB78" s="2198"/>
      <c r="DTC78" s="2198"/>
      <c r="DTD78" s="2198"/>
      <c r="DTE78" s="2198"/>
      <c r="DTF78" s="2198"/>
      <c r="DTG78" s="2198"/>
      <c r="DTH78" s="2198"/>
      <c r="DTI78" s="2198"/>
      <c r="DTJ78" s="2198"/>
      <c r="DTK78" s="2198"/>
      <c r="DTL78" s="2198"/>
      <c r="DTM78" s="2198"/>
      <c r="DTN78" s="2198"/>
      <c r="DTO78" s="2198"/>
      <c r="DTP78" s="2198"/>
      <c r="DTQ78" s="2198"/>
      <c r="DTR78" s="2198"/>
      <c r="DTS78" s="2198"/>
      <c r="DTT78" s="2198"/>
      <c r="DTU78" s="2198"/>
      <c r="DTV78" s="2198"/>
      <c r="DTW78" s="2198"/>
      <c r="DTX78" s="2198"/>
      <c r="DTY78" s="2198"/>
      <c r="DTZ78" s="2198"/>
      <c r="DUA78" s="2198"/>
      <c r="DUB78" s="2198"/>
      <c r="DUC78" s="2198"/>
      <c r="DUD78" s="2198"/>
      <c r="DUE78" s="2198"/>
      <c r="DUF78" s="2198"/>
      <c r="DUG78" s="2198"/>
      <c r="DUH78" s="2198"/>
      <c r="DUI78" s="2198"/>
      <c r="DUJ78" s="2198"/>
      <c r="DUK78" s="2198"/>
      <c r="DUL78" s="2198"/>
      <c r="DUM78" s="2198"/>
      <c r="DUN78" s="2198"/>
      <c r="DUO78" s="2198"/>
      <c r="DUP78" s="2198"/>
      <c r="DUQ78" s="2198"/>
      <c r="DUR78" s="2198"/>
      <c r="DUS78" s="2198"/>
      <c r="DUT78" s="2198"/>
      <c r="DUU78" s="2198"/>
      <c r="DUV78" s="2198"/>
      <c r="DUW78" s="2198"/>
      <c r="DUX78" s="2198"/>
      <c r="DUY78" s="2198"/>
      <c r="DUZ78" s="2198"/>
      <c r="DVA78" s="2198"/>
      <c r="DVB78" s="2198"/>
      <c r="DVC78" s="2198"/>
      <c r="DVD78" s="2198"/>
      <c r="DVE78" s="2198"/>
      <c r="DVF78" s="2198"/>
      <c r="DVG78" s="2198"/>
      <c r="DVH78" s="2198"/>
      <c r="DVI78" s="2198"/>
      <c r="DVJ78" s="2198"/>
      <c r="DVK78" s="2198"/>
      <c r="DVL78" s="2198"/>
      <c r="DVM78" s="2198"/>
      <c r="DVN78" s="2198"/>
      <c r="DVO78" s="2198"/>
      <c r="DVP78" s="2198"/>
      <c r="DVQ78" s="2198"/>
      <c r="DVR78" s="2198"/>
      <c r="DVS78" s="2198"/>
      <c r="DVT78" s="2198"/>
      <c r="DVU78" s="2198"/>
      <c r="DVV78" s="2198"/>
      <c r="DVW78" s="2198"/>
      <c r="DVX78" s="2198"/>
      <c r="DVY78" s="2198"/>
      <c r="DVZ78" s="2198"/>
      <c r="DWA78" s="2198"/>
      <c r="DWB78" s="2198"/>
      <c r="DWC78" s="2198"/>
      <c r="DWD78" s="2198"/>
      <c r="DWE78" s="2198"/>
      <c r="DWF78" s="2198"/>
      <c r="DWG78" s="2198"/>
      <c r="DWH78" s="2198"/>
      <c r="DWI78" s="2198"/>
      <c r="DWJ78" s="2198"/>
      <c r="DWK78" s="2198"/>
      <c r="DWL78" s="2198"/>
      <c r="DWM78" s="2198"/>
      <c r="DWN78" s="2198"/>
      <c r="DWO78" s="2198"/>
      <c r="DWP78" s="2198"/>
      <c r="DWQ78" s="2198"/>
      <c r="DWR78" s="2198"/>
      <c r="DWS78" s="2198"/>
      <c r="DWT78" s="2198"/>
      <c r="DWU78" s="2198"/>
      <c r="DWV78" s="2198"/>
      <c r="DWW78" s="2198"/>
      <c r="DWX78" s="2198"/>
      <c r="DWY78" s="2198"/>
      <c r="DWZ78" s="2198"/>
      <c r="DXA78" s="2198"/>
      <c r="DXB78" s="2198"/>
      <c r="DXC78" s="2198"/>
      <c r="DXD78" s="2198"/>
      <c r="DXE78" s="2198"/>
      <c r="DXF78" s="2198"/>
      <c r="DXG78" s="2198"/>
      <c r="DXH78" s="2198"/>
      <c r="DXI78" s="2198"/>
      <c r="DXJ78" s="2198"/>
      <c r="DXK78" s="2198"/>
      <c r="DXL78" s="2198"/>
      <c r="DXM78" s="2198"/>
      <c r="DXN78" s="2198"/>
      <c r="DXO78" s="2198"/>
      <c r="DXP78" s="2198"/>
      <c r="DXQ78" s="2198"/>
      <c r="DXR78" s="2198"/>
      <c r="DXS78" s="2198"/>
      <c r="DXT78" s="2198"/>
      <c r="DXU78" s="2198"/>
      <c r="DXV78" s="2198"/>
      <c r="DXW78" s="2198"/>
      <c r="DXX78" s="2198"/>
      <c r="DXY78" s="2198"/>
      <c r="DXZ78" s="2198"/>
      <c r="DYA78" s="2198"/>
      <c r="DYB78" s="2198"/>
      <c r="DYC78" s="2198"/>
      <c r="DYD78" s="2198"/>
      <c r="DYE78" s="2198"/>
      <c r="DYF78" s="2198"/>
      <c r="DYG78" s="2198"/>
      <c r="DYH78" s="2198"/>
      <c r="DYI78" s="2198"/>
      <c r="DYJ78" s="2198"/>
      <c r="DYK78" s="2198"/>
      <c r="DYL78" s="2198"/>
      <c r="DYM78" s="2198"/>
      <c r="DYN78" s="2198"/>
      <c r="DYO78" s="2198"/>
      <c r="DYP78" s="2198"/>
      <c r="DYQ78" s="2198"/>
      <c r="DYR78" s="2198"/>
      <c r="DYS78" s="2198"/>
      <c r="DYT78" s="2198"/>
      <c r="DYU78" s="2198"/>
      <c r="DYV78" s="2198"/>
      <c r="DYW78" s="2198"/>
      <c r="DYX78" s="2198"/>
      <c r="DYY78" s="2198"/>
      <c r="DYZ78" s="2198"/>
      <c r="DZA78" s="2198"/>
      <c r="DZB78" s="2198"/>
      <c r="DZC78" s="2198"/>
      <c r="DZD78" s="2198"/>
      <c r="DZE78" s="2198"/>
      <c r="DZF78" s="2198"/>
      <c r="DZG78" s="2198"/>
      <c r="DZH78" s="2198"/>
      <c r="DZI78" s="2198"/>
      <c r="DZJ78" s="2198"/>
      <c r="DZK78" s="2198"/>
      <c r="DZL78" s="2198"/>
      <c r="DZM78" s="2198"/>
      <c r="DZN78" s="2198"/>
      <c r="DZO78" s="2198"/>
      <c r="DZP78" s="2198"/>
      <c r="DZQ78" s="2198"/>
      <c r="DZR78" s="2198"/>
      <c r="DZS78" s="2198"/>
      <c r="DZT78" s="2198"/>
      <c r="DZU78" s="2198"/>
      <c r="DZV78" s="2198"/>
      <c r="DZW78" s="2198"/>
      <c r="DZX78" s="2198"/>
      <c r="DZY78" s="2198"/>
      <c r="DZZ78" s="2198"/>
      <c r="EAA78" s="2198"/>
      <c r="EAB78" s="2198"/>
      <c r="EAC78" s="2198"/>
      <c r="EAD78" s="2198"/>
      <c r="EAE78" s="2198"/>
      <c r="EAF78" s="2198"/>
      <c r="EAG78" s="2198"/>
      <c r="EAH78" s="2198"/>
      <c r="EAI78" s="2198"/>
      <c r="EAJ78" s="2198"/>
      <c r="EAK78" s="2198"/>
      <c r="EAL78" s="2198"/>
      <c r="EAM78" s="2198"/>
      <c r="EAN78" s="2198"/>
      <c r="EAO78" s="2198"/>
      <c r="EAP78" s="2198"/>
      <c r="EAQ78" s="2198"/>
      <c r="EAR78" s="2198"/>
      <c r="EAS78" s="2198"/>
      <c r="EAT78" s="2198"/>
      <c r="EAU78" s="2198"/>
      <c r="EAV78" s="2198"/>
      <c r="EAW78" s="2198"/>
      <c r="EAX78" s="2198"/>
      <c r="EAY78" s="2198"/>
      <c r="EAZ78" s="2198"/>
      <c r="EBA78" s="2198"/>
      <c r="EBB78" s="2198"/>
      <c r="EBC78" s="2198"/>
      <c r="EBD78" s="2198"/>
      <c r="EBE78" s="2198"/>
      <c r="EBF78" s="2198"/>
      <c r="EBG78" s="2198"/>
      <c r="EBH78" s="2198"/>
      <c r="EBI78" s="2198"/>
      <c r="EBJ78" s="2198"/>
      <c r="EBK78" s="2198"/>
      <c r="EBL78" s="2198"/>
      <c r="EBM78" s="2198"/>
      <c r="EBN78" s="2198"/>
      <c r="EBO78" s="2198"/>
      <c r="EBP78" s="2198"/>
      <c r="EBQ78" s="2198"/>
      <c r="EBR78" s="2198"/>
      <c r="EBS78" s="2198"/>
      <c r="EBT78" s="2198"/>
      <c r="EBU78" s="2198"/>
      <c r="EBV78" s="2198"/>
      <c r="EBW78" s="2198"/>
      <c r="EBX78" s="2198"/>
      <c r="EBY78" s="2198"/>
      <c r="EBZ78" s="2198"/>
      <c r="ECA78" s="2198"/>
      <c r="ECB78" s="2198"/>
      <c r="ECC78" s="2198"/>
      <c r="ECD78" s="2198"/>
      <c r="ECE78" s="2198"/>
      <c r="ECF78" s="2198"/>
      <c r="ECG78" s="2198"/>
      <c r="ECH78" s="2198"/>
      <c r="ECI78" s="2198"/>
      <c r="ECJ78" s="2198"/>
      <c r="ECK78" s="2198"/>
      <c r="ECL78" s="2198"/>
      <c r="ECM78" s="2198"/>
      <c r="ECN78" s="2198"/>
      <c r="ECO78" s="2198"/>
      <c r="ECP78" s="2198"/>
      <c r="ECQ78" s="2198"/>
      <c r="ECR78" s="2198"/>
      <c r="ECS78" s="2198"/>
      <c r="ECT78" s="2198"/>
      <c r="ECU78" s="2198"/>
      <c r="ECV78" s="2198"/>
      <c r="ECW78" s="2198"/>
      <c r="ECX78" s="2198"/>
      <c r="ECY78" s="2198"/>
      <c r="ECZ78" s="2198"/>
      <c r="EDA78" s="2198"/>
      <c r="EDB78" s="2198"/>
      <c r="EDC78" s="2198"/>
      <c r="EDD78" s="2198"/>
      <c r="EDE78" s="2198"/>
      <c r="EDF78" s="2198"/>
      <c r="EDG78" s="2198"/>
      <c r="EDH78" s="2198"/>
      <c r="EDI78" s="2198"/>
      <c r="EDJ78" s="2198"/>
      <c r="EDK78" s="2198"/>
      <c r="EDL78" s="2198"/>
      <c r="EDM78" s="2198"/>
      <c r="EDN78" s="2198"/>
      <c r="EDO78" s="2198"/>
      <c r="EDP78" s="2198"/>
      <c r="EDQ78" s="2198"/>
      <c r="EDR78" s="2198"/>
      <c r="EDS78" s="2198"/>
      <c r="EDT78" s="2198"/>
      <c r="EDU78" s="2198"/>
      <c r="EDV78" s="2198"/>
      <c r="EDW78" s="2198"/>
      <c r="EDX78" s="2198"/>
      <c r="EDY78" s="2198"/>
      <c r="EDZ78" s="2198"/>
      <c r="EEA78" s="2198"/>
      <c r="EEB78" s="2198"/>
      <c r="EEC78" s="2198"/>
      <c r="EED78" s="2198"/>
      <c r="EEE78" s="2198"/>
      <c r="EEF78" s="2198"/>
      <c r="EEG78" s="2198"/>
      <c r="EEH78" s="2198"/>
      <c r="EEI78" s="2198"/>
      <c r="EEJ78" s="2198"/>
      <c r="EEK78" s="2198"/>
      <c r="EEL78" s="2198"/>
      <c r="EEM78" s="2198"/>
      <c r="EEN78" s="2198"/>
      <c r="EEO78" s="2198"/>
      <c r="EEP78" s="2198"/>
      <c r="EEQ78" s="2198"/>
      <c r="EER78" s="2198"/>
      <c r="EES78" s="2198"/>
      <c r="EET78" s="2198"/>
      <c r="EEU78" s="2198"/>
      <c r="EEV78" s="2198"/>
      <c r="EEW78" s="2198"/>
      <c r="EEX78" s="2198"/>
      <c r="EEY78" s="2198"/>
      <c r="EEZ78" s="2198"/>
      <c r="EFA78" s="2198"/>
      <c r="EFB78" s="2198"/>
      <c r="EFC78" s="2198"/>
      <c r="EFD78" s="2198"/>
      <c r="EFE78" s="2198"/>
      <c r="EFF78" s="2198"/>
      <c r="EFG78" s="2198"/>
      <c r="EFH78" s="2198"/>
      <c r="EFI78" s="2198"/>
      <c r="EFJ78" s="2198"/>
      <c r="EFK78" s="2198"/>
      <c r="EFL78" s="2198"/>
      <c r="EFM78" s="2198"/>
      <c r="EFN78" s="2198"/>
      <c r="EFO78" s="2198"/>
      <c r="EFP78" s="2198"/>
      <c r="EFQ78" s="2198"/>
      <c r="EFR78" s="2198"/>
      <c r="EFS78" s="2198"/>
      <c r="EFT78" s="2198"/>
      <c r="EFU78" s="2198"/>
      <c r="EFV78" s="2198"/>
      <c r="EFW78" s="2198"/>
      <c r="EFX78" s="2198"/>
      <c r="EFY78" s="2198"/>
      <c r="EFZ78" s="2198"/>
      <c r="EGA78" s="2198"/>
      <c r="EGB78" s="2198"/>
      <c r="EGC78" s="2198"/>
      <c r="EGD78" s="2198"/>
      <c r="EGE78" s="2198"/>
      <c r="EGF78" s="2198"/>
      <c r="EGG78" s="2198"/>
      <c r="EGH78" s="2198"/>
      <c r="EGI78" s="2198"/>
      <c r="EGJ78" s="2198"/>
      <c r="EGK78" s="2198"/>
      <c r="EGL78" s="2198"/>
      <c r="EGM78" s="2198"/>
      <c r="EGN78" s="2198"/>
      <c r="EGO78" s="2198"/>
      <c r="EGP78" s="2198"/>
      <c r="EGQ78" s="2198"/>
      <c r="EGR78" s="2198"/>
      <c r="EGS78" s="2198"/>
      <c r="EGT78" s="2198"/>
      <c r="EGU78" s="2198"/>
      <c r="EGV78" s="2198"/>
      <c r="EGW78" s="2198"/>
      <c r="EGX78" s="2198"/>
      <c r="EGY78" s="2198"/>
      <c r="EGZ78" s="2198"/>
      <c r="EHA78" s="2198"/>
      <c r="EHB78" s="2198"/>
      <c r="EHC78" s="2198"/>
      <c r="EHD78" s="2198"/>
      <c r="EHE78" s="2198"/>
      <c r="EHF78" s="2198"/>
      <c r="EHG78" s="2198"/>
      <c r="EHH78" s="2198"/>
      <c r="EHI78" s="2198"/>
      <c r="EHJ78" s="2198"/>
      <c r="EHK78" s="2198"/>
      <c r="EHL78" s="2198"/>
      <c r="EHM78" s="2198"/>
      <c r="EHN78" s="2198"/>
      <c r="EHO78" s="2198"/>
      <c r="EHP78" s="2198"/>
      <c r="EHQ78" s="2198"/>
      <c r="EHR78" s="2198"/>
      <c r="EHS78" s="2198"/>
      <c r="EHT78" s="2198"/>
      <c r="EHU78" s="2198"/>
      <c r="EHV78" s="2198"/>
      <c r="EHW78" s="2198"/>
      <c r="EHX78" s="2198"/>
      <c r="EHY78" s="2198"/>
      <c r="EHZ78" s="2198"/>
      <c r="EIA78" s="2198"/>
      <c r="EIB78" s="2198"/>
      <c r="EIC78" s="2198"/>
      <c r="EID78" s="2198"/>
      <c r="EIE78" s="2198"/>
      <c r="EIF78" s="2198"/>
      <c r="EIG78" s="2198"/>
      <c r="EIH78" s="2198"/>
      <c r="EII78" s="2198"/>
      <c r="EIJ78" s="2198"/>
      <c r="EIK78" s="2198"/>
      <c r="EIL78" s="2198"/>
      <c r="EIM78" s="2198"/>
      <c r="EIN78" s="2198"/>
      <c r="EIO78" s="2198"/>
      <c r="EIP78" s="2198"/>
      <c r="EIQ78" s="2198"/>
      <c r="EIR78" s="2198"/>
      <c r="EIS78" s="2198"/>
      <c r="EIT78" s="2198"/>
      <c r="EIU78" s="2198"/>
      <c r="EIV78" s="2198"/>
      <c r="EIW78" s="2198"/>
      <c r="EIX78" s="2198"/>
      <c r="EIY78" s="2198"/>
      <c r="EIZ78" s="2198"/>
      <c r="EJA78" s="2198"/>
      <c r="EJB78" s="2198"/>
      <c r="EJC78" s="2198"/>
      <c r="EJD78" s="2198"/>
      <c r="EJE78" s="2198"/>
      <c r="EJF78" s="2198"/>
      <c r="EJG78" s="2198"/>
      <c r="EJH78" s="2198"/>
      <c r="EJI78" s="2198"/>
      <c r="EJJ78" s="2198"/>
      <c r="EJK78" s="2198"/>
      <c r="EJL78" s="2198"/>
      <c r="EJM78" s="2198"/>
      <c r="EJN78" s="2198"/>
      <c r="EJO78" s="2198"/>
      <c r="EJP78" s="2198"/>
      <c r="EJQ78" s="2198"/>
      <c r="EJR78" s="2198"/>
      <c r="EJS78" s="2198"/>
      <c r="EJT78" s="2198"/>
      <c r="EJU78" s="2198"/>
      <c r="EJV78" s="2198"/>
      <c r="EJW78" s="2198"/>
      <c r="EJX78" s="2198"/>
      <c r="EJY78" s="2198"/>
      <c r="EJZ78" s="2198"/>
      <c r="EKA78" s="2198"/>
      <c r="EKB78" s="2198"/>
      <c r="EKC78" s="2198"/>
      <c r="EKD78" s="2198"/>
      <c r="EKE78" s="2198"/>
      <c r="EKF78" s="2198"/>
      <c r="EKG78" s="2198"/>
      <c r="EKH78" s="2198"/>
      <c r="EKI78" s="2198"/>
      <c r="EKJ78" s="2198"/>
      <c r="EKK78" s="2198"/>
      <c r="EKL78" s="2198"/>
      <c r="EKM78" s="2198"/>
      <c r="EKN78" s="2198"/>
      <c r="EKO78" s="2198"/>
      <c r="EKP78" s="2198"/>
      <c r="EKQ78" s="2198"/>
      <c r="EKR78" s="2198"/>
      <c r="EKS78" s="2198"/>
      <c r="EKT78" s="2198"/>
      <c r="EKU78" s="2198"/>
      <c r="EKV78" s="2198"/>
      <c r="EKW78" s="2198"/>
      <c r="EKX78" s="2198"/>
      <c r="EKY78" s="2198"/>
      <c r="EKZ78" s="2198"/>
      <c r="ELA78" s="2198"/>
      <c r="ELB78" s="2198"/>
      <c r="ELC78" s="2198"/>
      <c r="ELD78" s="2198"/>
      <c r="ELE78" s="2198"/>
      <c r="ELF78" s="2198"/>
      <c r="ELG78" s="2198"/>
      <c r="ELH78" s="2198"/>
      <c r="ELI78" s="2198"/>
      <c r="ELJ78" s="2198"/>
      <c r="ELK78" s="2198"/>
      <c r="ELL78" s="2198"/>
      <c r="ELM78" s="2198"/>
      <c r="ELN78" s="2198"/>
      <c r="ELO78" s="2198"/>
      <c r="ELP78" s="2198"/>
      <c r="ELQ78" s="2198"/>
      <c r="ELR78" s="2198"/>
      <c r="ELS78" s="2198"/>
      <c r="ELT78" s="2198"/>
      <c r="ELU78" s="2198"/>
      <c r="ELV78" s="2198"/>
      <c r="ELW78" s="2198"/>
      <c r="ELX78" s="2198"/>
      <c r="ELY78" s="2198"/>
      <c r="ELZ78" s="2198"/>
      <c r="EMA78" s="2198"/>
      <c r="EMB78" s="2198"/>
      <c r="EMC78" s="2198"/>
      <c r="EMD78" s="2198"/>
      <c r="EME78" s="2198"/>
      <c r="EMF78" s="2198"/>
      <c r="EMG78" s="2198"/>
      <c r="EMH78" s="2198"/>
      <c r="EMI78" s="2198"/>
      <c r="EMJ78" s="2198"/>
      <c r="EMK78" s="2198"/>
      <c r="EML78" s="2198"/>
      <c r="EMM78" s="2198"/>
      <c r="EMN78" s="2198"/>
      <c r="EMO78" s="2198"/>
      <c r="EMP78" s="2198"/>
      <c r="EMQ78" s="2198"/>
      <c r="EMR78" s="2198"/>
      <c r="EMS78" s="2198"/>
      <c r="EMT78" s="2198"/>
      <c r="EMU78" s="2198"/>
      <c r="EMV78" s="2198"/>
      <c r="EMW78" s="2198"/>
      <c r="EMX78" s="2198"/>
      <c r="EMY78" s="2198"/>
      <c r="EMZ78" s="2198"/>
      <c r="ENA78" s="2198"/>
      <c r="ENB78" s="2198"/>
      <c r="ENC78" s="2198"/>
      <c r="END78" s="2198"/>
      <c r="ENE78" s="2198"/>
      <c r="ENF78" s="2198"/>
      <c r="ENG78" s="2198"/>
      <c r="ENH78" s="2198"/>
      <c r="ENI78" s="2198"/>
      <c r="ENJ78" s="2198"/>
      <c r="ENK78" s="2198"/>
      <c r="ENL78" s="2198"/>
      <c r="ENM78" s="2198"/>
      <c r="ENN78" s="2198"/>
      <c r="ENO78" s="2198"/>
      <c r="ENP78" s="2198"/>
      <c r="ENQ78" s="2198"/>
      <c r="ENR78" s="2198"/>
      <c r="ENS78" s="2198"/>
      <c r="ENT78" s="2198"/>
      <c r="ENU78" s="2198"/>
      <c r="ENV78" s="2198"/>
      <c r="ENW78" s="2198"/>
      <c r="ENX78" s="2198"/>
      <c r="ENY78" s="2198"/>
      <c r="ENZ78" s="2198"/>
      <c r="EOA78" s="2198"/>
      <c r="EOB78" s="2198"/>
      <c r="EOC78" s="2198"/>
      <c r="EOD78" s="2198"/>
      <c r="EOE78" s="2198"/>
      <c r="EOF78" s="2198"/>
      <c r="EOG78" s="2198"/>
      <c r="EOH78" s="2198"/>
      <c r="EOI78" s="2198"/>
      <c r="EOJ78" s="2198"/>
      <c r="EOK78" s="2198"/>
      <c r="EOL78" s="2198"/>
      <c r="EOM78" s="2198"/>
      <c r="EON78" s="2198"/>
      <c r="EOO78" s="2198"/>
      <c r="EOP78" s="2198"/>
      <c r="EOQ78" s="2198"/>
      <c r="EOR78" s="2198"/>
      <c r="EOS78" s="2198"/>
      <c r="EOT78" s="2198"/>
      <c r="EOU78" s="2198"/>
      <c r="EOV78" s="2198"/>
      <c r="EOW78" s="2198"/>
      <c r="EOX78" s="2198"/>
      <c r="EOY78" s="2198"/>
      <c r="EOZ78" s="2198"/>
      <c r="EPA78" s="2198"/>
      <c r="EPB78" s="2198"/>
      <c r="EPC78" s="2198"/>
      <c r="EPD78" s="2198"/>
      <c r="EPE78" s="2198"/>
      <c r="EPF78" s="2198"/>
      <c r="EPG78" s="2198"/>
      <c r="EPH78" s="2198"/>
      <c r="EPI78" s="2198"/>
      <c r="EPJ78" s="2198"/>
      <c r="EPK78" s="2198"/>
      <c r="EPL78" s="2198"/>
      <c r="EPM78" s="2198"/>
      <c r="EPN78" s="2198"/>
      <c r="EPO78" s="2198"/>
      <c r="EPP78" s="2198"/>
      <c r="EPQ78" s="2198"/>
      <c r="EPR78" s="2198"/>
      <c r="EPS78" s="2198"/>
      <c r="EPT78" s="2198"/>
      <c r="EPU78" s="2198"/>
      <c r="EPV78" s="2198"/>
      <c r="EPW78" s="2198"/>
      <c r="EPX78" s="2198"/>
      <c r="EPY78" s="2198"/>
      <c r="EPZ78" s="2198"/>
      <c r="EQA78" s="2198"/>
      <c r="EQB78" s="2198"/>
      <c r="EQC78" s="2198"/>
      <c r="EQD78" s="2198"/>
      <c r="EQE78" s="2198"/>
      <c r="EQF78" s="2198"/>
      <c r="EQG78" s="2198"/>
      <c r="EQH78" s="2198"/>
      <c r="EQI78" s="2198"/>
      <c r="EQJ78" s="2198"/>
      <c r="EQK78" s="2198"/>
      <c r="EQL78" s="2198"/>
      <c r="EQM78" s="2198"/>
      <c r="EQN78" s="2198"/>
      <c r="EQO78" s="2198"/>
      <c r="EQP78" s="2198"/>
      <c r="EQQ78" s="2198"/>
      <c r="EQR78" s="2198"/>
      <c r="EQS78" s="2198"/>
      <c r="EQT78" s="2198"/>
      <c r="EQU78" s="2198"/>
      <c r="EQV78" s="2198"/>
      <c r="EQW78" s="2198"/>
      <c r="EQX78" s="2198"/>
      <c r="EQY78" s="2198"/>
      <c r="EQZ78" s="2198"/>
      <c r="ERA78" s="2198"/>
      <c r="ERB78" s="2198"/>
      <c r="ERC78" s="2198"/>
      <c r="ERD78" s="2198"/>
      <c r="ERE78" s="2198"/>
      <c r="ERF78" s="2198"/>
      <c r="ERG78" s="2198"/>
      <c r="ERH78" s="2198"/>
      <c r="ERI78" s="2198"/>
      <c r="ERJ78" s="2198"/>
      <c r="ERK78" s="2198"/>
      <c r="ERL78" s="2198"/>
      <c r="ERM78" s="2198"/>
      <c r="ERN78" s="2198"/>
      <c r="ERO78" s="2198"/>
      <c r="ERP78" s="2198"/>
      <c r="ERQ78" s="2198"/>
      <c r="ERR78" s="2198"/>
      <c r="ERS78" s="2198"/>
      <c r="ERT78" s="2198"/>
      <c r="ERU78" s="2198"/>
      <c r="ERV78" s="2198"/>
      <c r="ERW78" s="2198"/>
      <c r="ERX78" s="2198"/>
      <c r="ERY78" s="2198"/>
      <c r="ERZ78" s="2198"/>
      <c r="ESA78" s="2198"/>
      <c r="ESB78" s="2198"/>
      <c r="ESC78" s="2198"/>
      <c r="ESD78" s="2198"/>
      <c r="ESE78" s="2198"/>
      <c r="ESF78" s="2198"/>
      <c r="ESG78" s="2198"/>
      <c r="ESH78" s="2198"/>
      <c r="ESI78" s="2198"/>
      <c r="ESJ78" s="2198"/>
      <c r="ESK78" s="2198"/>
      <c r="ESL78" s="2198"/>
      <c r="ESM78" s="2198"/>
      <c r="ESN78" s="2198"/>
      <c r="ESO78" s="2198"/>
      <c r="ESP78" s="2198"/>
      <c r="ESQ78" s="2198"/>
      <c r="ESR78" s="2198"/>
      <c r="ESS78" s="2198"/>
      <c r="EST78" s="2198"/>
      <c r="ESU78" s="2198"/>
      <c r="ESV78" s="2198"/>
      <c r="ESW78" s="2198"/>
      <c r="ESX78" s="2198"/>
      <c r="ESY78" s="2198"/>
      <c r="ESZ78" s="2198"/>
      <c r="ETA78" s="2198"/>
      <c r="ETB78" s="2198"/>
      <c r="ETC78" s="2198"/>
      <c r="ETD78" s="2198"/>
      <c r="ETE78" s="2198"/>
      <c r="ETF78" s="2198"/>
      <c r="ETG78" s="2198"/>
      <c r="ETH78" s="2198"/>
      <c r="ETI78" s="2198"/>
      <c r="ETJ78" s="2198"/>
      <c r="ETK78" s="2198"/>
      <c r="ETL78" s="2198"/>
      <c r="ETM78" s="2198"/>
      <c r="ETN78" s="2198"/>
      <c r="ETO78" s="2198"/>
      <c r="ETP78" s="2198"/>
      <c r="ETQ78" s="2198"/>
      <c r="ETR78" s="2198"/>
      <c r="ETS78" s="2198"/>
      <c r="ETT78" s="2198"/>
      <c r="ETU78" s="2198"/>
      <c r="ETV78" s="2198"/>
      <c r="ETW78" s="2198"/>
      <c r="ETX78" s="2198"/>
      <c r="ETY78" s="2198"/>
      <c r="ETZ78" s="2198"/>
      <c r="EUA78" s="2198"/>
      <c r="EUB78" s="2198"/>
      <c r="EUC78" s="2198"/>
      <c r="EUD78" s="2198"/>
      <c r="EUE78" s="2198"/>
      <c r="EUF78" s="2198"/>
      <c r="EUG78" s="2198"/>
      <c r="EUH78" s="2198"/>
      <c r="EUI78" s="2198"/>
      <c r="EUJ78" s="2198"/>
      <c r="EUK78" s="2198"/>
      <c r="EUL78" s="2198"/>
      <c r="EUM78" s="2198"/>
      <c r="EUN78" s="2198"/>
      <c r="EUO78" s="2198"/>
      <c r="EUP78" s="2198"/>
      <c r="EUQ78" s="2198"/>
      <c r="EUR78" s="2198"/>
      <c r="EUS78" s="2198"/>
      <c r="EUT78" s="2198"/>
      <c r="EUU78" s="2198"/>
      <c r="EUV78" s="2198"/>
      <c r="EUW78" s="2198"/>
      <c r="EUX78" s="2198"/>
      <c r="EUY78" s="2198"/>
      <c r="EUZ78" s="2198"/>
      <c r="EVA78" s="2198"/>
      <c r="EVB78" s="2198"/>
      <c r="EVC78" s="2198"/>
      <c r="EVD78" s="2198"/>
      <c r="EVE78" s="2198"/>
      <c r="EVF78" s="2198"/>
      <c r="EVG78" s="2198"/>
      <c r="EVH78" s="2198"/>
      <c r="EVI78" s="2198"/>
      <c r="EVJ78" s="2198"/>
      <c r="EVK78" s="2198"/>
      <c r="EVL78" s="2198"/>
      <c r="EVM78" s="2198"/>
      <c r="EVN78" s="2198"/>
      <c r="EVO78" s="2198"/>
      <c r="EVP78" s="2198"/>
      <c r="EVQ78" s="2198"/>
      <c r="EVR78" s="2198"/>
      <c r="EVS78" s="2198"/>
      <c r="EVT78" s="2198"/>
      <c r="EVU78" s="2198"/>
      <c r="EVV78" s="2198"/>
      <c r="EVW78" s="2198"/>
      <c r="EVX78" s="2198"/>
      <c r="EVY78" s="2198"/>
      <c r="EVZ78" s="2198"/>
      <c r="EWA78" s="2198"/>
      <c r="EWB78" s="2198"/>
      <c r="EWC78" s="2198"/>
      <c r="EWD78" s="2198"/>
      <c r="EWE78" s="2198"/>
      <c r="EWF78" s="2198"/>
      <c r="EWG78" s="2198"/>
      <c r="EWH78" s="2198"/>
      <c r="EWI78" s="2198"/>
      <c r="EWJ78" s="2198"/>
      <c r="EWK78" s="2198"/>
      <c r="EWL78" s="2198"/>
      <c r="EWM78" s="2198"/>
      <c r="EWN78" s="2198"/>
      <c r="EWO78" s="2198"/>
      <c r="EWP78" s="2198"/>
      <c r="EWQ78" s="2198"/>
      <c r="EWR78" s="2198"/>
      <c r="EWS78" s="2198"/>
      <c r="EWT78" s="2198"/>
      <c r="EWU78" s="2198"/>
      <c r="EWV78" s="2198"/>
      <c r="EWW78" s="2198"/>
      <c r="EWX78" s="2198"/>
      <c r="EWY78" s="2198"/>
      <c r="EWZ78" s="2198"/>
      <c r="EXA78" s="2198"/>
      <c r="EXB78" s="2198"/>
      <c r="EXC78" s="2198"/>
      <c r="EXD78" s="2198"/>
      <c r="EXE78" s="2198"/>
      <c r="EXF78" s="2198"/>
      <c r="EXG78" s="2198"/>
      <c r="EXH78" s="2198"/>
      <c r="EXI78" s="2198"/>
      <c r="EXJ78" s="2198"/>
      <c r="EXK78" s="2198"/>
      <c r="EXL78" s="2198"/>
      <c r="EXM78" s="2198"/>
      <c r="EXN78" s="2198"/>
      <c r="EXO78" s="2198"/>
      <c r="EXP78" s="2198"/>
      <c r="EXQ78" s="2198"/>
      <c r="EXR78" s="2198"/>
      <c r="EXS78" s="2198"/>
      <c r="EXT78" s="2198"/>
      <c r="EXU78" s="2198"/>
      <c r="EXV78" s="2198"/>
      <c r="EXW78" s="2198"/>
      <c r="EXX78" s="2198"/>
      <c r="EXY78" s="2198"/>
      <c r="EXZ78" s="2198"/>
      <c r="EYA78" s="2198"/>
      <c r="EYB78" s="2198"/>
      <c r="EYC78" s="2198"/>
      <c r="EYD78" s="2198"/>
      <c r="EYE78" s="2198"/>
      <c r="EYF78" s="2198"/>
      <c r="EYG78" s="2198"/>
      <c r="EYH78" s="2198"/>
      <c r="EYI78" s="2198"/>
      <c r="EYJ78" s="2198"/>
      <c r="EYK78" s="2198"/>
      <c r="EYL78" s="2198"/>
      <c r="EYM78" s="2198"/>
      <c r="EYN78" s="2198"/>
      <c r="EYO78" s="2198"/>
      <c r="EYP78" s="2198"/>
      <c r="EYQ78" s="2198"/>
      <c r="EYR78" s="2198"/>
      <c r="EYS78" s="2198"/>
      <c r="EYT78" s="2198"/>
      <c r="EYU78" s="2198"/>
      <c r="EYV78" s="2198"/>
      <c r="EYW78" s="2198"/>
      <c r="EYX78" s="2198"/>
      <c r="EYY78" s="2198"/>
      <c r="EYZ78" s="2198"/>
      <c r="EZA78" s="2198"/>
      <c r="EZB78" s="2198"/>
      <c r="EZC78" s="2198"/>
      <c r="EZD78" s="2198"/>
      <c r="EZE78" s="2198"/>
      <c r="EZF78" s="2198"/>
      <c r="EZG78" s="2198"/>
      <c r="EZH78" s="2198"/>
      <c r="EZI78" s="2198"/>
      <c r="EZJ78" s="2198"/>
      <c r="EZK78" s="2198"/>
      <c r="EZL78" s="2198"/>
      <c r="EZM78" s="2198"/>
      <c r="EZN78" s="2198"/>
      <c r="EZO78" s="2198"/>
      <c r="EZP78" s="2198"/>
      <c r="EZQ78" s="2198"/>
      <c r="EZR78" s="2198"/>
      <c r="EZS78" s="2198"/>
      <c r="EZT78" s="2198"/>
      <c r="EZU78" s="2198"/>
      <c r="EZV78" s="2198"/>
      <c r="EZW78" s="2198"/>
      <c r="EZX78" s="2198"/>
      <c r="EZY78" s="2198"/>
      <c r="EZZ78" s="2198"/>
      <c r="FAA78" s="2198"/>
      <c r="FAB78" s="2198"/>
      <c r="FAC78" s="2198"/>
      <c r="FAD78" s="2198"/>
      <c r="FAE78" s="2198"/>
      <c r="FAF78" s="2198"/>
      <c r="FAG78" s="2198"/>
      <c r="FAH78" s="2198"/>
      <c r="FAI78" s="2198"/>
      <c r="FAJ78" s="2198"/>
      <c r="FAK78" s="2198"/>
      <c r="FAL78" s="2198"/>
      <c r="FAM78" s="2198"/>
      <c r="FAN78" s="2198"/>
      <c r="FAO78" s="2198"/>
      <c r="FAP78" s="2198"/>
      <c r="FAQ78" s="2198"/>
      <c r="FAR78" s="2198"/>
      <c r="FAS78" s="2198"/>
      <c r="FAT78" s="2198"/>
      <c r="FAU78" s="2198"/>
      <c r="FAV78" s="2198"/>
      <c r="FAW78" s="2198"/>
      <c r="FAX78" s="2198"/>
      <c r="FAY78" s="2198"/>
      <c r="FAZ78" s="2198"/>
      <c r="FBA78" s="2198"/>
      <c r="FBB78" s="2198"/>
      <c r="FBC78" s="2198"/>
      <c r="FBD78" s="2198"/>
      <c r="FBE78" s="2198"/>
      <c r="FBF78" s="2198"/>
      <c r="FBG78" s="2198"/>
      <c r="FBH78" s="2198"/>
      <c r="FBI78" s="2198"/>
      <c r="FBJ78" s="2198"/>
      <c r="FBK78" s="2198"/>
      <c r="FBL78" s="2198"/>
      <c r="FBM78" s="2198"/>
      <c r="FBN78" s="2198"/>
      <c r="FBO78" s="2198"/>
      <c r="FBP78" s="2198"/>
      <c r="FBQ78" s="2198"/>
      <c r="FBR78" s="2198"/>
      <c r="FBS78" s="2198"/>
      <c r="FBT78" s="2198"/>
      <c r="FBU78" s="2198"/>
      <c r="FBV78" s="2198"/>
      <c r="FBW78" s="2198"/>
      <c r="FBX78" s="2198"/>
      <c r="FBY78" s="2198"/>
      <c r="FBZ78" s="2198"/>
      <c r="FCA78" s="2198"/>
      <c r="FCB78" s="2198"/>
      <c r="FCC78" s="2198"/>
      <c r="FCD78" s="2198"/>
      <c r="FCE78" s="2198"/>
      <c r="FCF78" s="2198"/>
      <c r="FCG78" s="2198"/>
      <c r="FCH78" s="2198"/>
      <c r="FCI78" s="2198"/>
      <c r="FCJ78" s="2198"/>
      <c r="FCK78" s="2198"/>
      <c r="FCL78" s="2198"/>
      <c r="FCM78" s="2198"/>
      <c r="FCN78" s="2198"/>
      <c r="FCO78" s="2198"/>
      <c r="FCP78" s="2198"/>
      <c r="FCQ78" s="2198"/>
      <c r="FCR78" s="2198"/>
      <c r="FCS78" s="2198"/>
      <c r="FCT78" s="2198"/>
      <c r="FCU78" s="2198"/>
      <c r="FCV78" s="2198"/>
      <c r="FCW78" s="2198"/>
      <c r="FCX78" s="2198"/>
      <c r="FCY78" s="2198"/>
      <c r="FCZ78" s="2198"/>
      <c r="FDA78" s="2198"/>
      <c r="FDB78" s="2198"/>
      <c r="FDC78" s="2198"/>
      <c r="FDD78" s="2198"/>
      <c r="FDE78" s="2198"/>
      <c r="FDF78" s="2198"/>
      <c r="FDG78" s="2198"/>
      <c r="FDH78" s="2198"/>
      <c r="FDI78" s="2198"/>
      <c r="FDJ78" s="2198"/>
      <c r="FDK78" s="2198"/>
      <c r="FDL78" s="2198"/>
      <c r="FDM78" s="2198"/>
      <c r="FDN78" s="2198"/>
      <c r="FDO78" s="2198"/>
      <c r="FDP78" s="2198"/>
      <c r="FDQ78" s="2198"/>
      <c r="FDR78" s="2198"/>
      <c r="FDS78" s="2198"/>
      <c r="FDT78" s="2198"/>
      <c r="FDU78" s="2198"/>
      <c r="FDV78" s="2198"/>
      <c r="FDW78" s="2198"/>
      <c r="FDX78" s="2198"/>
      <c r="FDY78" s="2198"/>
      <c r="FDZ78" s="2198"/>
      <c r="FEA78" s="2198"/>
      <c r="FEB78" s="2198"/>
      <c r="FEC78" s="2198"/>
      <c r="FED78" s="2198"/>
      <c r="FEE78" s="2198"/>
      <c r="FEF78" s="2198"/>
      <c r="FEG78" s="2198"/>
      <c r="FEH78" s="2198"/>
      <c r="FEI78" s="2198"/>
      <c r="FEJ78" s="2198"/>
      <c r="FEK78" s="2198"/>
      <c r="FEL78" s="2198"/>
      <c r="FEM78" s="2198"/>
      <c r="FEN78" s="2198"/>
      <c r="FEO78" s="2198"/>
      <c r="FEP78" s="2198"/>
      <c r="FEQ78" s="2198"/>
      <c r="FER78" s="2198"/>
      <c r="FES78" s="2198"/>
      <c r="FET78" s="2198"/>
      <c r="FEU78" s="2198"/>
      <c r="FEV78" s="2198"/>
      <c r="FEW78" s="2198"/>
      <c r="FEX78" s="2198"/>
      <c r="FEY78" s="2198"/>
      <c r="FEZ78" s="2198"/>
      <c r="FFA78" s="2198"/>
      <c r="FFB78" s="2198"/>
      <c r="FFC78" s="2198"/>
      <c r="FFD78" s="2198"/>
      <c r="FFE78" s="2198"/>
      <c r="FFF78" s="2198"/>
      <c r="FFG78" s="2198"/>
      <c r="FFH78" s="2198"/>
      <c r="FFI78" s="2198"/>
      <c r="FFJ78" s="2198"/>
      <c r="FFK78" s="2198"/>
      <c r="FFL78" s="2198"/>
      <c r="FFM78" s="2198"/>
      <c r="FFN78" s="2198"/>
      <c r="FFO78" s="2198"/>
      <c r="FFP78" s="2198"/>
      <c r="FFQ78" s="2198"/>
      <c r="FFR78" s="2198"/>
      <c r="FFS78" s="2198"/>
      <c r="FFT78" s="2198"/>
      <c r="FFU78" s="2198"/>
      <c r="FFV78" s="2198"/>
      <c r="FFW78" s="2198"/>
      <c r="FFX78" s="2198"/>
      <c r="FFY78" s="2198"/>
      <c r="FFZ78" s="2198"/>
      <c r="FGA78" s="2198"/>
      <c r="FGB78" s="2198"/>
      <c r="FGC78" s="2198"/>
      <c r="FGD78" s="2198"/>
      <c r="FGE78" s="2198"/>
      <c r="FGF78" s="2198"/>
      <c r="FGG78" s="2198"/>
      <c r="FGH78" s="2198"/>
      <c r="FGI78" s="2198"/>
      <c r="FGJ78" s="2198"/>
      <c r="FGK78" s="2198"/>
      <c r="FGL78" s="2198"/>
      <c r="FGM78" s="2198"/>
      <c r="FGN78" s="2198"/>
      <c r="FGO78" s="2198"/>
      <c r="FGP78" s="2198"/>
      <c r="FGQ78" s="2198"/>
      <c r="FGR78" s="2198"/>
      <c r="FGS78" s="2198"/>
      <c r="FGT78" s="2198"/>
      <c r="FGU78" s="2198"/>
      <c r="FGV78" s="2198"/>
      <c r="FGW78" s="2198"/>
      <c r="FGX78" s="2198"/>
      <c r="FGY78" s="2198"/>
      <c r="FGZ78" s="2198"/>
      <c r="FHA78" s="2198"/>
      <c r="FHB78" s="2198"/>
      <c r="FHC78" s="2198"/>
      <c r="FHD78" s="2198"/>
      <c r="FHE78" s="2198"/>
      <c r="FHF78" s="2198"/>
      <c r="FHG78" s="2198"/>
      <c r="FHH78" s="2198"/>
      <c r="FHI78" s="2198"/>
      <c r="FHJ78" s="2198"/>
      <c r="FHK78" s="2198"/>
      <c r="FHL78" s="2198"/>
      <c r="FHM78" s="2198"/>
      <c r="FHN78" s="2198"/>
      <c r="FHO78" s="2198"/>
      <c r="FHP78" s="2198"/>
      <c r="FHQ78" s="2198"/>
      <c r="FHR78" s="2198"/>
      <c r="FHS78" s="2198"/>
      <c r="FHT78" s="2198"/>
      <c r="FHU78" s="2198"/>
      <c r="FHV78" s="2198"/>
      <c r="FHW78" s="2198"/>
      <c r="FHX78" s="2198"/>
      <c r="FHY78" s="2198"/>
      <c r="FHZ78" s="2198"/>
      <c r="FIA78" s="2198"/>
      <c r="FIB78" s="2198"/>
      <c r="FIC78" s="2198"/>
      <c r="FID78" s="2198"/>
      <c r="FIE78" s="2198"/>
      <c r="FIF78" s="2198"/>
      <c r="FIG78" s="2198"/>
      <c r="FIH78" s="2198"/>
      <c r="FII78" s="2198"/>
      <c r="FIJ78" s="2198"/>
      <c r="FIK78" s="2198"/>
      <c r="FIL78" s="2198"/>
      <c r="FIM78" s="2198"/>
      <c r="FIN78" s="2198"/>
      <c r="FIO78" s="2198"/>
      <c r="FIP78" s="2198"/>
      <c r="FIQ78" s="2198"/>
      <c r="FIR78" s="2198"/>
      <c r="FIS78" s="2198"/>
      <c r="FIT78" s="2198"/>
      <c r="FIU78" s="2198"/>
      <c r="FIV78" s="2198"/>
      <c r="FIW78" s="2198"/>
      <c r="FIX78" s="2198"/>
      <c r="FIY78" s="2198"/>
      <c r="FIZ78" s="2198"/>
      <c r="FJA78" s="2198"/>
      <c r="FJB78" s="2198"/>
      <c r="FJC78" s="2198"/>
      <c r="FJD78" s="2198"/>
      <c r="FJE78" s="2198"/>
      <c r="FJF78" s="2198"/>
      <c r="FJG78" s="2198"/>
      <c r="FJH78" s="2198"/>
      <c r="FJI78" s="2198"/>
      <c r="FJJ78" s="2198"/>
      <c r="FJK78" s="2198"/>
      <c r="FJL78" s="2198"/>
      <c r="FJM78" s="2198"/>
      <c r="FJN78" s="2198"/>
      <c r="FJO78" s="2198"/>
      <c r="FJP78" s="2198"/>
      <c r="FJQ78" s="2198"/>
      <c r="FJR78" s="2198"/>
      <c r="FJS78" s="2198"/>
      <c r="FJT78" s="2198"/>
      <c r="FJU78" s="2198"/>
      <c r="FJV78" s="2198"/>
      <c r="FJW78" s="2198"/>
      <c r="FJX78" s="2198"/>
      <c r="FJY78" s="2198"/>
      <c r="FJZ78" s="2198"/>
      <c r="FKA78" s="2198"/>
      <c r="FKB78" s="2198"/>
      <c r="FKC78" s="2198"/>
      <c r="FKD78" s="2198"/>
      <c r="FKE78" s="2198"/>
      <c r="FKF78" s="2198"/>
      <c r="FKG78" s="2198"/>
      <c r="FKH78" s="2198"/>
      <c r="FKI78" s="2198"/>
      <c r="FKJ78" s="2198"/>
      <c r="FKK78" s="2198"/>
      <c r="FKL78" s="2198"/>
      <c r="FKM78" s="2198"/>
      <c r="FKN78" s="2198"/>
      <c r="FKO78" s="2198"/>
      <c r="FKP78" s="2198"/>
      <c r="FKQ78" s="2198"/>
      <c r="FKR78" s="2198"/>
      <c r="FKS78" s="2198"/>
      <c r="FKT78" s="2198"/>
      <c r="FKU78" s="2198"/>
      <c r="FKV78" s="2198"/>
      <c r="FKW78" s="2198"/>
      <c r="FKX78" s="2198"/>
      <c r="FKY78" s="2198"/>
      <c r="FKZ78" s="2198"/>
      <c r="FLA78" s="2198"/>
      <c r="FLB78" s="2198"/>
      <c r="FLC78" s="2198"/>
      <c r="FLD78" s="2198"/>
      <c r="FLE78" s="2198"/>
      <c r="FLF78" s="2198"/>
      <c r="FLG78" s="2198"/>
      <c r="FLH78" s="2198"/>
      <c r="FLI78" s="2198"/>
      <c r="FLJ78" s="2198"/>
      <c r="FLK78" s="2198"/>
      <c r="FLL78" s="2198"/>
      <c r="FLM78" s="2198"/>
      <c r="FLN78" s="2198"/>
      <c r="FLO78" s="2198"/>
      <c r="FLP78" s="2198"/>
      <c r="FLQ78" s="2198"/>
      <c r="FLR78" s="2198"/>
      <c r="FLS78" s="2198"/>
      <c r="FLT78" s="2198"/>
      <c r="FLU78" s="2198"/>
      <c r="FLV78" s="2198"/>
      <c r="FLW78" s="2198"/>
      <c r="FLX78" s="2198"/>
      <c r="FLY78" s="2198"/>
      <c r="FLZ78" s="2198"/>
      <c r="FMA78" s="2198"/>
      <c r="FMB78" s="2198"/>
      <c r="FMC78" s="2198"/>
      <c r="FMD78" s="2198"/>
      <c r="FME78" s="2198"/>
      <c r="FMF78" s="2198"/>
      <c r="FMG78" s="2198"/>
      <c r="FMH78" s="2198"/>
      <c r="FMI78" s="2198"/>
      <c r="FMJ78" s="2198"/>
      <c r="FMK78" s="2198"/>
      <c r="FML78" s="2198"/>
      <c r="FMM78" s="2198"/>
      <c r="FMN78" s="2198"/>
      <c r="FMO78" s="2198"/>
      <c r="FMP78" s="2198"/>
      <c r="FMQ78" s="2198"/>
      <c r="FMR78" s="2198"/>
      <c r="FMS78" s="2198"/>
      <c r="FMT78" s="2198"/>
      <c r="FMU78" s="2198"/>
      <c r="FMV78" s="2198"/>
      <c r="FMW78" s="2198"/>
      <c r="FMX78" s="2198"/>
      <c r="FMY78" s="2198"/>
      <c r="FMZ78" s="2198"/>
      <c r="FNA78" s="2198"/>
      <c r="FNB78" s="2198"/>
      <c r="FNC78" s="2198"/>
      <c r="FND78" s="2198"/>
      <c r="FNE78" s="2198"/>
      <c r="FNF78" s="2198"/>
      <c r="FNG78" s="2198"/>
      <c r="FNH78" s="2198"/>
      <c r="FNI78" s="2198"/>
      <c r="FNJ78" s="2198"/>
      <c r="FNK78" s="2198"/>
      <c r="FNL78" s="2198"/>
      <c r="FNM78" s="2198"/>
      <c r="FNN78" s="2198"/>
      <c r="FNO78" s="2198"/>
      <c r="FNP78" s="2198"/>
      <c r="FNQ78" s="2198"/>
      <c r="FNR78" s="2198"/>
      <c r="FNS78" s="2198"/>
      <c r="FNT78" s="2198"/>
      <c r="FNU78" s="2198"/>
      <c r="FNV78" s="2198"/>
      <c r="FNW78" s="2198"/>
      <c r="FNX78" s="2198"/>
      <c r="FNY78" s="2198"/>
      <c r="FNZ78" s="2198"/>
      <c r="FOA78" s="2198"/>
      <c r="FOB78" s="2198"/>
      <c r="FOC78" s="2198"/>
      <c r="FOD78" s="2198"/>
      <c r="FOE78" s="2198"/>
      <c r="FOF78" s="2198"/>
      <c r="FOG78" s="2198"/>
      <c r="FOH78" s="2198"/>
      <c r="FOI78" s="2198"/>
      <c r="FOJ78" s="2198"/>
      <c r="FOK78" s="2198"/>
      <c r="FOL78" s="2198"/>
      <c r="FOM78" s="2198"/>
      <c r="FON78" s="2198"/>
      <c r="FOO78" s="2198"/>
      <c r="FOP78" s="2198"/>
      <c r="FOQ78" s="2198"/>
      <c r="FOR78" s="2198"/>
      <c r="FOS78" s="2198"/>
      <c r="FOT78" s="2198"/>
      <c r="FOU78" s="2198"/>
      <c r="FOV78" s="2198"/>
      <c r="FOW78" s="2198"/>
      <c r="FOX78" s="2198"/>
      <c r="FOY78" s="2198"/>
      <c r="FOZ78" s="2198"/>
      <c r="FPA78" s="2198"/>
      <c r="FPB78" s="2198"/>
      <c r="FPC78" s="2198"/>
      <c r="FPD78" s="2198"/>
      <c r="FPE78" s="2198"/>
      <c r="FPF78" s="2198"/>
      <c r="FPG78" s="2198"/>
      <c r="FPH78" s="2198"/>
      <c r="FPI78" s="2198"/>
      <c r="FPJ78" s="2198"/>
      <c r="FPK78" s="2198"/>
      <c r="FPL78" s="2198"/>
      <c r="FPM78" s="2198"/>
      <c r="FPN78" s="2198"/>
      <c r="FPO78" s="2198"/>
      <c r="FPP78" s="2198"/>
      <c r="FPQ78" s="2198"/>
      <c r="FPR78" s="2198"/>
      <c r="FPS78" s="2198"/>
      <c r="FPT78" s="2198"/>
      <c r="FPU78" s="2198"/>
      <c r="FPV78" s="2198"/>
      <c r="FPW78" s="2198"/>
      <c r="FPX78" s="2198"/>
      <c r="FPY78" s="2198"/>
      <c r="FPZ78" s="2198"/>
      <c r="FQA78" s="2198"/>
      <c r="FQB78" s="2198"/>
      <c r="FQC78" s="2198"/>
      <c r="FQD78" s="2198"/>
      <c r="FQE78" s="2198"/>
      <c r="FQF78" s="2198"/>
      <c r="FQG78" s="2198"/>
      <c r="FQH78" s="2198"/>
      <c r="FQI78" s="2198"/>
      <c r="FQJ78" s="2198"/>
      <c r="FQK78" s="2198"/>
      <c r="FQL78" s="2198"/>
      <c r="FQM78" s="2198"/>
      <c r="FQN78" s="2198"/>
      <c r="FQO78" s="2198"/>
      <c r="FQP78" s="2198"/>
      <c r="FQQ78" s="2198"/>
      <c r="FQR78" s="2198"/>
      <c r="FQS78" s="2198"/>
      <c r="FQT78" s="2198"/>
      <c r="FQU78" s="2198"/>
      <c r="FQV78" s="2198"/>
      <c r="FQW78" s="2198"/>
      <c r="FQX78" s="2198"/>
      <c r="FQY78" s="2198"/>
      <c r="FQZ78" s="2198"/>
      <c r="FRA78" s="2198"/>
      <c r="FRB78" s="2198"/>
      <c r="FRC78" s="2198"/>
      <c r="FRD78" s="2198"/>
      <c r="FRE78" s="2198"/>
      <c r="FRF78" s="2198"/>
      <c r="FRG78" s="2198"/>
      <c r="FRH78" s="2198"/>
      <c r="FRI78" s="2198"/>
      <c r="FRJ78" s="2198"/>
      <c r="FRK78" s="2198"/>
      <c r="FRL78" s="2198"/>
      <c r="FRM78" s="2198"/>
      <c r="FRN78" s="2198"/>
      <c r="FRO78" s="2198"/>
      <c r="FRP78" s="2198"/>
      <c r="FRQ78" s="2198"/>
      <c r="FRR78" s="2198"/>
      <c r="FRS78" s="2198"/>
      <c r="FRT78" s="2198"/>
      <c r="FRU78" s="2198"/>
      <c r="FRV78" s="2198"/>
      <c r="FRW78" s="2198"/>
      <c r="FRX78" s="2198"/>
      <c r="FRY78" s="2198"/>
      <c r="FRZ78" s="2198"/>
      <c r="FSA78" s="2198"/>
      <c r="FSB78" s="2198"/>
      <c r="FSC78" s="2198"/>
      <c r="FSD78" s="2198"/>
      <c r="FSE78" s="2198"/>
      <c r="FSF78" s="2198"/>
      <c r="FSG78" s="2198"/>
      <c r="FSH78" s="2198"/>
      <c r="FSI78" s="2198"/>
      <c r="FSJ78" s="2198"/>
      <c r="FSK78" s="2198"/>
      <c r="FSL78" s="2198"/>
      <c r="FSM78" s="2198"/>
      <c r="FSN78" s="2198"/>
      <c r="FSO78" s="2198"/>
      <c r="FSP78" s="2198"/>
      <c r="FSQ78" s="2198"/>
      <c r="FSR78" s="2198"/>
      <c r="FSS78" s="2198"/>
      <c r="FST78" s="2198"/>
      <c r="FSU78" s="2198"/>
      <c r="FSV78" s="2198"/>
      <c r="FSW78" s="2198"/>
      <c r="FSX78" s="2198"/>
      <c r="FSY78" s="2198"/>
      <c r="FSZ78" s="2198"/>
      <c r="FTA78" s="2198"/>
      <c r="FTB78" s="2198"/>
      <c r="FTC78" s="2198"/>
      <c r="FTD78" s="2198"/>
      <c r="FTE78" s="2198"/>
      <c r="FTF78" s="2198"/>
      <c r="FTG78" s="2198"/>
      <c r="FTH78" s="2198"/>
      <c r="FTI78" s="2198"/>
      <c r="FTJ78" s="2198"/>
      <c r="FTK78" s="2198"/>
      <c r="FTL78" s="2198"/>
      <c r="FTM78" s="2198"/>
      <c r="FTN78" s="2198"/>
      <c r="FTO78" s="2198"/>
      <c r="FTP78" s="2198"/>
      <c r="FTQ78" s="2198"/>
      <c r="FTR78" s="2198"/>
      <c r="FTS78" s="2198"/>
      <c r="FTT78" s="2198"/>
      <c r="FTU78" s="2198"/>
      <c r="FTV78" s="2198"/>
      <c r="FTW78" s="2198"/>
      <c r="FTX78" s="2198"/>
      <c r="FTY78" s="2198"/>
      <c r="FTZ78" s="2198"/>
      <c r="FUA78" s="2198"/>
      <c r="FUB78" s="2198"/>
      <c r="FUC78" s="2198"/>
      <c r="FUD78" s="2198"/>
      <c r="FUE78" s="2198"/>
      <c r="FUF78" s="2198"/>
      <c r="FUG78" s="2198"/>
      <c r="FUH78" s="2198"/>
      <c r="FUI78" s="2198"/>
      <c r="FUJ78" s="2198"/>
      <c r="FUK78" s="2198"/>
      <c r="FUL78" s="2198"/>
      <c r="FUM78" s="2198"/>
      <c r="FUN78" s="2198"/>
      <c r="FUO78" s="2198"/>
      <c r="FUP78" s="2198"/>
      <c r="FUQ78" s="2198"/>
      <c r="FUR78" s="2198"/>
      <c r="FUS78" s="2198"/>
      <c r="FUT78" s="2198"/>
      <c r="FUU78" s="2198"/>
      <c r="FUV78" s="2198"/>
      <c r="FUW78" s="2198"/>
      <c r="FUX78" s="2198"/>
      <c r="FUY78" s="2198"/>
      <c r="FUZ78" s="2198"/>
      <c r="FVA78" s="2198"/>
      <c r="FVB78" s="2198"/>
      <c r="FVC78" s="2198"/>
      <c r="FVD78" s="2198"/>
      <c r="FVE78" s="2198"/>
      <c r="FVF78" s="2198"/>
      <c r="FVG78" s="2198"/>
      <c r="FVH78" s="2198"/>
      <c r="FVI78" s="2198"/>
      <c r="FVJ78" s="2198"/>
      <c r="FVK78" s="2198"/>
      <c r="FVL78" s="2198"/>
      <c r="FVM78" s="2198"/>
      <c r="FVN78" s="2198"/>
      <c r="FVO78" s="2198"/>
      <c r="FVP78" s="2198"/>
      <c r="FVQ78" s="2198"/>
      <c r="FVR78" s="2198"/>
      <c r="FVS78" s="2198"/>
      <c r="FVT78" s="2198"/>
      <c r="FVU78" s="2198"/>
      <c r="FVV78" s="2198"/>
      <c r="FVW78" s="2198"/>
      <c r="FVX78" s="2198"/>
      <c r="FVY78" s="2198"/>
      <c r="FVZ78" s="2198"/>
      <c r="FWA78" s="2198"/>
      <c r="FWB78" s="2198"/>
      <c r="FWC78" s="2198"/>
      <c r="FWD78" s="2198"/>
      <c r="FWE78" s="2198"/>
      <c r="FWF78" s="2198"/>
      <c r="FWG78" s="2198"/>
      <c r="FWH78" s="2198"/>
      <c r="FWI78" s="2198"/>
      <c r="FWJ78" s="2198"/>
      <c r="FWK78" s="2198"/>
      <c r="FWL78" s="2198"/>
      <c r="FWM78" s="2198"/>
      <c r="FWN78" s="2198"/>
      <c r="FWO78" s="2198"/>
      <c r="FWP78" s="2198"/>
      <c r="FWQ78" s="2198"/>
      <c r="FWR78" s="2198"/>
      <c r="FWS78" s="2198"/>
      <c r="FWT78" s="2198"/>
      <c r="FWU78" s="2198"/>
      <c r="FWV78" s="2198"/>
      <c r="FWW78" s="2198"/>
      <c r="FWX78" s="2198"/>
      <c r="FWY78" s="2198"/>
      <c r="FWZ78" s="2198"/>
      <c r="FXA78" s="2198"/>
      <c r="FXB78" s="2198"/>
      <c r="FXC78" s="2198"/>
      <c r="FXD78" s="2198"/>
      <c r="FXE78" s="2198"/>
      <c r="FXF78" s="2198"/>
      <c r="FXG78" s="2198"/>
      <c r="FXH78" s="2198"/>
      <c r="FXI78" s="2198"/>
      <c r="FXJ78" s="2198"/>
      <c r="FXK78" s="2198"/>
      <c r="FXL78" s="2198"/>
      <c r="FXM78" s="2198"/>
      <c r="FXN78" s="2198"/>
      <c r="FXO78" s="2198"/>
      <c r="FXP78" s="2198"/>
      <c r="FXQ78" s="2198"/>
      <c r="FXR78" s="2198"/>
      <c r="FXS78" s="2198"/>
      <c r="FXT78" s="2198"/>
      <c r="FXU78" s="2198"/>
      <c r="FXV78" s="2198"/>
      <c r="FXW78" s="2198"/>
      <c r="FXX78" s="2198"/>
      <c r="FXY78" s="2198"/>
      <c r="FXZ78" s="2198"/>
      <c r="FYA78" s="2198"/>
      <c r="FYB78" s="2198"/>
      <c r="FYC78" s="2198"/>
      <c r="FYD78" s="2198"/>
      <c r="FYE78" s="2198"/>
      <c r="FYF78" s="2198"/>
      <c r="FYG78" s="2198"/>
      <c r="FYH78" s="2198"/>
      <c r="FYI78" s="2198"/>
      <c r="FYJ78" s="2198"/>
      <c r="FYK78" s="2198"/>
      <c r="FYL78" s="2198"/>
      <c r="FYM78" s="2198"/>
      <c r="FYN78" s="2198"/>
      <c r="FYO78" s="2198"/>
      <c r="FYP78" s="2198"/>
      <c r="FYQ78" s="2198"/>
      <c r="FYR78" s="2198"/>
      <c r="FYS78" s="2198"/>
      <c r="FYT78" s="2198"/>
      <c r="FYU78" s="2198"/>
      <c r="FYV78" s="2198"/>
      <c r="FYW78" s="2198"/>
      <c r="FYX78" s="2198"/>
      <c r="FYY78" s="2198"/>
      <c r="FYZ78" s="2198"/>
      <c r="FZA78" s="2198"/>
      <c r="FZB78" s="2198"/>
      <c r="FZC78" s="2198"/>
      <c r="FZD78" s="2198"/>
      <c r="FZE78" s="2198"/>
      <c r="FZF78" s="2198"/>
      <c r="FZG78" s="2198"/>
      <c r="FZH78" s="2198"/>
      <c r="FZI78" s="2198"/>
      <c r="FZJ78" s="2198"/>
      <c r="FZK78" s="2198"/>
      <c r="FZL78" s="2198"/>
      <c r="FZM78" s="2198"/>
      <c r="FZN78" s="2198"/>
      <c r="FZO78" s="2198"/>
      <c r="FZP78" s="2198"/>
      <c r="FZQ78" s="2198"/>
      <c r="FZR78" s="2198"/>
      <c r="FZS78" s="2198"/>
      <c r="FZT78" s="2198"/>
      <c r="FZU78" s="2198"/>
      <c r="FZV78" s="2198"/>
      <c r="FZW78" s="2198"/>
      <c r="FZX78" s="2198"/>
      <c r="FZY78" s="2198"/>
      <c r="FZZ78" s="2198"/>
      <c r="GAA78" s="2198"/>
      <c r="GAB78" s="2198"/>
      <c r="GAC78" s="2198"/>
      <c r="GAD78" s="2198"/>
      <c r="GAE78" s="2198"/>
      <c r="GAF78" s="2198"/>
      <c r="GAG78" s="2198"/>
      <c r="GAH78" s="2198"/>
      <c r="GAI78" s="2198"/>
      <c r="GAJ78" s="2198"/>
      <c r="GAK78" s="2198"/>
      <c r="GAL78" s="2198"/>
      <c r="GAM78" s="2198"/>
      <c r="GAN78" s="2198"/>
      <c r="GAO78" s="2198"/>
      <c r="GAP78" s="2198"/>
      <c r="GAQ78" s="2198"/>
      <c r="GAR78" s="2198"/>
      <c r="GAS78" s="2198"/>
      <c r="GAT78" s="2198"/>
      <c r="GAU78" s="2198"/>
      <c r="GAV78" s="2198"/>
      <c r="GAW78" s="2198"/>
      <c r="GAX78" s="2198"/>
      <c r="GAY78" s="2198"/>
      <c r="GAZ78" s="2198"/>
      <c r="GBA78" s="2198"/>
      <c r="GBB78" s="2198"/>
      <c r="GBC78" s="2198"/>
      <c r="GBD78" s="2198"/>
      <c r="GBE78" s="2198"/>
      <c r="GBF78" s="2198"/>
      <c r="GBG78" s="2198"/>
      <c r="GBH78" s="2198"/>
      <c r="GBI78" s="2198"/>
      <c r="GBJ78" s="2198"/>
      <c r="GBK78" s="2198"/>
      <c r="GBL78" s="2198"/>
      <c r="GBM78" s="2198"/>
      <c r="GBN78" s="2198"/>
      <c r="GBO78" s="2198"/>
      <c r="GBP78" s="2198"/>
      <c r="GBQ78" s="2198"/>
      <c r="GBR78" s="2198"/>
      <c r="GBS78" s="2198"/>
      <c r="GBT78" s="2198"/>
      <c r="GBU78" s="2198"/>
      <c r="GBV78" s="2198"/>
      <c r="GBW78" s="2198"/>
      <c r="GBX78" s="2198"/>
      <c r="GBY78" s="2198"/>
      <c r="GBZ78" s="2198"/>
      <c r="GCA78" s="2198"/>
      <c r="GCB78" s="2198"/>
      <c r="GCC78" s="2198"/>
      <c r="GCD78" s="2198"/>
      <c r="GCE78" s="2198"/>
      <c r="GCF78" s="2198"/>
      <c r="GCG78" s="2198"/>
      <c r="GCH78" s="2198"/>
      <c r="GCI78" s="2198"/>
      <c r="GCJ78" s="2198"/>
      <c r="GCK78" s="2198"/>
      <c r="GCL78" s="2198"/>
      <c r="GCM78" s="2198"/>
      <c r="GCN78" s="2198"/>
      <c r="GCO78" s="2198"/>
      <c r="GCP78" s="2198"/>
      <c r="GCQ78" s="2198"/>
      <c r="GCR78" s="2198"/>
      <c r="GCS78" s="2198"/>
      <c r="GCT78" s="2198"/>
      <c r="GCU78" s="2198"/>
      <c r="GCV78" s="2198"/>
      <c r="GCW78" s="2198"/>
      <c r="GCX78" s="2198"/>
      <c r="GCY78" s="2198"/>
      <c r="GCZ78" s="2198"/>
      <c r="GDA78" s="2198"/>
      <c r="GDB78" s="2198"/>
      <c r="GDC78" s="2198"/>
      <c r="GDD78" s="2198"/>
      <c r="GDE78" s="2198"/>
      <c r="GDF78" s="2198"/>
      <c r="GDG78" s="2198"/>
      <c r="GDH78" s="2198"/>
      <c r="GDI78" s="2198"/>
      <c r="GDJ78" s="2198"/>
      <c r="GDK78" s="2198"/>
      <c r="GDL78" s="2198"/>
      <c r="GDM78" s="2198"/>
      <c r="GDN78" s="2198"/>
      <c r="GDO78" s="2198"/>
      <c r="GDP78" s="2198"/>
      <c r="GDQ78" s="2198"/>
      <c r="GDR78" s="2198"/>
      <c r="GDS78" s="2198"/>
      <c r="GDT78" s="2198"/>
      <c r="GDU78" s="2198"/>
      <c r="GDV78" s="2198"/>
      <c r="GDW78" s="2198"/>
      <c r="GDX78" s="2198"/>
      <c r="GDY78" s="2198"/>
      <c r="GDZ78" s="2198"/>
      <c r="GEA78" s="2198"/>
      <c r="GEB78" s="2198"/>
      <c r="GEC78" s="2198"/>
      <c r="GED78" s="2198"/>
      <c r="GEE78" s="2198"/>
      <c r="GEF78" s="2198"/>
      <c r="GEG78" s="2198"/>
      <c r="GEH78" s="2198"/>
      <c r="GEI78" s="2198"/>
      <c r="GEJ78" s="2198"/>
      <c r="GEK78" s="2198"/>
      <c r="GEL78" s="2198"/>
      <c r="GEM78" s="2198"/>
      <c r="GEN78" s="2198"/>
      <c r="GEO78" s="2198"/>
      <c r="GEP78" s="2198"/>
      <c r="GEQ78" s="2198"/>
      <c r="GER78" s="2198"/>
      <c r="GES78" s="2198"/>
      <c r="GET78" s="2198"/>
      <c r="GEU78" s="2198"/>
      <c r="GEV78" s="2198"/>
      <c r="GEW78" s="2198"/>
      <c r="GEX78" s="2198"/>
      <c r="GEY78" s="2198"/>
      <c r="GEZ78" s="2198"/>
      <c r="GFA78" s="2198"/>
      <c r="GFB78" s="2198"/>
      <c r="GFC78" s="2198"/>
      <c r="GFD78" s="2198"/>
      <c r="GFE78" s="2198"/>
      <c r="GFF78" s="2198"/>
      <c r="GFG78" s="2198"/>
      <c r="GFH78" s="2198"/>
      <c r="GFI78" s="2198"/>
      <c r="GFJ78" s="2198"/>
      <c r="GFK78" s="2198"/>
      <c r="GFL78" s="2198"/>
      <c r="GFM78" s="2198"/>
      <c r="GFN78" s="2198"/>
      <c r="GFO78" s="2198"/>
      <c r="GFP78" s="2198"/>
      <c r="GFQ78" s="2198"/>
      <c r="GFR78" s="2198"/>
      <c r="GFS78" s="2198"/>
      <c r="GFT78" s="2198"/>
      <c r="GFU78" s="2198"/>
      <c r="GFV78" s="2198"/>
      <c r="GFW78" s="2198"/>
      <c r="GFX78" s="2198"/>
      <c r="GFY78" s="2198"/>
      <c r="GFZ78" s="2198"/>
      <c r="GGA78" s="2198"/>
      <c r="GGB78" s="2198"/>
      <c r="GGC78" s="2198"/>
      <c r="GGD78" s="2198"/>
      <c r="GGE78" s="2198"/>
      <c r="GGF78" s="2198"/>
      <c r="GGG78" s="2198"/>
      <c r="GGH78" s="2198"/>
      <c r="GGI78" s="2198"/>
      <c r="GGJ78" s="2198"/>
      <c r="GGK78" s="2198"/>
      <c r="GGL78" s="2198"/>
      <c r="GGM78" s="2198"/>
      <c r="GGN78" s="2198"/>
      <c r="GGO78" s="2198"/>
      <c r="GGP78" s="2198"/>
      <c r="GGQ78" s="2198"/>
      <c r="GGR78" s="2198"/>
      <c r="GGS78" s="2198"/>
      <c r="GGT78" s="2198"/>
      <c r="GGU78" s="2198"/>
      <c r="GGV78" s="2198"/>
      <c r="GGW78" s="2198"/>
      <c r="GGX78" s="2198"/>
      <c r="GGY78" s="2198"/>
      <c r="GGZ78" s="2198"/>
      <c r="GHA78" s="2198"/>
      <c r="GHB78" s="2198"/>
      <c r="GHC78" s="2198"/>
      <c r="GHD78" s="2198"/>
      <c r="GHE78" s="2198"/>
      <c r="GHF78" s="2198"/>
      <c r="GHG78" s="2198"/>
      <c r="GHH78" s="2198"/>
      <c r="GHI78" s="2198"/>
      <c r="GHJ78" s="2198"/>
      <c r="GHK78" s="2198"/>
      <c r="GHL78" s="2198"/>
      <c r="GHM78" s="2198"/>
      <c r="GHN78" s="2198"/>
      <c r="GHO78" s="2198"/>
      <c r="GHP78" s="2198"/>
      <c r="GHQ78" s="2198"/>
      <c r="GHR78" s="2198"/>
      <c r="GHS78" s="2198"/>
      <c r="GHT78" s="2198"/>
      <c r="GHU78" s="2198"/>
      <c r="GHV78" s="2198"/>
      <c r="GHW78" s="2198"/>
      <c r="GHX78" s="2198"/>
      <c r="GHY78" s="2198"/>
      <c r="GHZ78" s="2198"/>
      <c r="GIA78" s="2198"/>
      <c r="GIB78" s="2198"/>
      <c r="GIC78" s="2198"/>
      <c r="GID78" s="2198"/>
      <c r="GIE78" s="2198"/>
      <c r="GIF78" s="2198"/>
      <c r="GIG78" s="2198"/>
      <c r="GIH78" s="2198"/>
      <c r="GII78" s="2198"/>
      <c r="GIJ78" s="2198"/>
      <c r="GIK78" s="2198"/>
      <c r="GIL78" s="2198"/>
      <c r="GIM78" s="2198"/>
      <c r="GIN78" s="2198"/>
      <c r="GIO78" s="2198"/>
      <c r="GIP78" s="2198"/>
      <c r="GIQ78" s="2198"/>
      <c r="GIR78" s="2198"/>
      <c r="GIS78" s="2198"/>
      <c r="GIT78" s="2198"/>
      <c r="GIU78" s="2198"/>
      <c r="GIV78" s="2198"/>
      <c r="GIW78" s="2198"/>
      <c r="GIX78" s="2198"/>
      <c r="GIY78" s="2198"/>
      <c r="GIZ78" s="2198"/>
      <c r="GJA78" s="2198"/>
      <c r="GJB78" s="2198"/>
      <c r="GJC78" s="2198"/>
      <c r="GJD78" s="2198"/>
      <c r="GJE78" s="2198"/>
      <c r="GJF78" s="2198"/>
      <c r="GJG78" s="2198"/>
      <c r="GJH78" s="2198"/>
      <c r="GJI78" s="2198"/>
      <c r="GJJ78" s="2198"/>
      <c r="GJK78" s="2198"/>
      <c r="GJL78" s="2198"/>
      <c r="GJM78" s="2198"/>
      <c r="GJN78" s="2198"/>
      <c r="GJO78" s="2198"/>
      <c r="GJP78" s="2198"/>
      <c r="GJQ78" s="2198"/>
      <c r="GJR78" s="2198"/>
      <c r="GJS78" s="2198"/>
      <c r="GJT78" s="2198"/>
      <c r="GJU78" s="2198"/>
      <c r="GJV78" s="2198"/>
      <c r="GJW78" s="2198"/>
      <c r="GJX78" s="2198"/>
      <c r="GJY78" s="2198"/>
      <c r="GJZ78" s="2198"/>
      <c r="GKA78" s="2198"/>
      <c r="GKB78" s="2198"/>
      <c r="GKC78" s="2198"/>
      <c r="GKD78" s="2198"/>
      <c r="GKE78" s="2198"/>
      <c r="GKF78" s="2198"/>
      <c r="GKG78" s="2198"/>
      <c r="GKH78" s="2198"/>
      <c r="GKI78" s="2198"/>
      <c r="GKJ78" s="2198"/>
      <c r="GKK78" s="2198"/>
      <c r="GKL78" s="2198"/>
      <c r="GKM78" s="2198"/>
      <c r="GKN78" s="2198"/>
      <c r="GKO78" s="2198"/>
      <c r="GKP78" s="2198"/>
      <c r="GKQ78" s="2198"/>
      <c r="GKR78" s="2198"/>
      <c r="GKS78" s="2198"/>
      <c r="GKT78" s="2198"/>
      <c r="GKU78" s="2198"/>
      <c r="GKV78" s="2198"/>
      <c r="GKW78" s="2198"/>
      <c r="GKX78" s="2198"/>
      <c r="GKY78" s="2198"/>
      <c r="GKZ78" s="2198"/>
      <c r="GLA78" s="2198"/>
      <c r="GLB78" s="2198"/>
      <c r="GLC78" s="2198"/>
      <c r="GLD78" s="2198"/>
      <c r="GLE78" s="2198"/>
      <c r="GLF78" s="2198"/>
      <c r="GLG78" s="2198"/>
      <c r="GLH78" s="2198"/>
      <c r="GLI78" s="2198"/>
      <c r="GLJ78" s="2198"/>
      <c r="GLK78" s="2198"/>
      <c r="GLL78" s="2198"/>
      <c r="GLM78" s="2198"/>
      <c r="GLN78" s="2198"/>
      <c r="GLO78" s="2198"/>
      <c r="GLP78" s="2198"/>
      <c r="GLQ78" s="2198"/>
      <c r="GLR78" s="2198"/>
      <c r="GLS78" s="2198"/>
      <c r="GLT78" s="2198"/>
      <c r="GLU78" s="2198"/>
      <c r="GLV78" s="2198"/>
      <c r="GLW78" s="2198"/>
      <c r="GLX78" s="2198"/>
      <c r="GLY78" s="2198"/>
      <c r="GLZ78" s="2198"/>
      <c r="GMA78" s="2198"/>
      <c r="GMB78" s="2198"/>
      <c r="GMC78" s="2198"/>
      <c r="GMD78" s="2198"/>
      <c r="GME78" s="2198"/>
      <c r="GMF78" s="2198"/>
      <c r="GMG78" s="2198"/>
      <c r="GMH78" s="2198"/>
      <c r="GMI78" s="2198"/>
      <c r="GMJ78" s="2198"/>
      <c r="GMK78" s="2198"/>
      <c r="GML78" s="2198"/>
      <c r="GMM78" s="2198"/>
      <c r="GMN78" s="2198"/>
      <c r="GMO78" s="2198"/>
      <c r="GMP78" s="2198"/>
      <c r="GMQ78" s="2198"/>
      <c r="GMR78" s="2198"/>
      <c r="GMS78" s="2198"/>
      <c r="GMT78" s="2198"/>
      <c r="GMU78" s="2198"/>
      <c r="GMV78" s="2198"/>
      <c r="GMW78" s="2198"/>
      <c r="GMX78" s="2198"/>
      <c r="GMY78" s="2198"/>
      <c r="GMZ78" s="2198"/>
      <c r="GNA78" s="2198"/>
      <c r="GNB78" s="2198"/>
      <c r="GNC78" s="2198"/>
      <c r="GND78" s="2198"/>
      <c r="GNE78" s="2198"/>
      <c r="GNF78" s="2198"/>
      <c r="GNG78" s="2198"/>
      <c r="GNH78" s="2198"/>
      <c r="GNI78" s="2198"/>
      <c r="GNJ78" s="2198"/>
      <c r="GNK78" s="2198"/>
      <c r="GNL78" s="2198"/>
      <c r="GNM78" s="2198"/>
      <c r="GNN78" s="2198"/>
      <c r="GNO78" s="2198"/>
      <c r="GNP78" s="2198"/>
      <c r="GNQ78" s="2198"/>
      <c r="GNR78" s="2198"/>
      <c r="GNS78" s="2198"/>
      <c r="GNT78" s="2198"/>
      <c r="GNU78" s="2198"/>
      <c r="GNV78" s="2198"/>
      <c r="GNW78" s="2198"/>
      <c r="GNX78" s="2198"/>
      <c r="GNY78" s="2198"/>
      <c r="GNZ78" s="2198"/>
      <c r="GOA78" s="2198"/>
      <c r="GOB78" s="2198"/>
      <c r="GOC78" s="2198"/>
      <c r="GOD78" s="2198"/>
      <c r="GOE78" s="2198"/>
      <c r="GOF78" s="2198"/>
      <c r="GOG78" s="2198"/>
      <c r="GOH78" s="2198"/>
      <c r="GOI78" s="2198"/>
      <c r="GOJ78" s="2198"/>
      <c r="GOK78" s="2198"/>
      <c r="GOL78" s="2198"/>
      <c r="GOM78" s="2198"/>
      <c r="GON78" s="2198"/>
      <c r="GOO78" s="2198"/>
      <c r="GOP78" s="2198"/>
      <c r="GOQ78" s="2198"/>
      <c r="GOR78" s="2198"/>
      <c r="GOS78" s="2198"/>
      <c r="GOT78" s="2198"/>
      <c r="GOU78" s="2198"/>
      <c r="GOV78" s="2198"/>
      <c r="GOW78" s="2198"/>
      <c r="GOX78" s="2198"/>
      <c r="GOY78" s="2198"/>
      <c r="GOZ78" s="2198"/>
      <c r="GPA78" s="2198"/>
      <c r="GPB78" s="2198"/>
      <c r="GPC78" s="2198"/>
      <c r="GPD78" s="2198"/>
      <c r="GPE78" s="2198"/>
      <c r="GPF78" s="2198"/>
      <c r="GPG78" s="2198"/>
      <c r="GPH78" s="2198"/>
      <c r="GPI78" s="2198"/>
      <c r="GPJ78" s="2198"/>
      <c r="GPK78" s="2198"/>
      <c r="GPL78" s="2198"/>
      <c r="GPM78" s="2198"/>
      <c r="GPN78" s="2198"/>
      <c r="GPO78" s="2198"/>
      <c r="GPP78" s="2198"/>
      <c r="GPQ78" s="2198"/>
      <c r="GPR78" s="2198"/>
      <c r="GPS78" s="2198"/>
      <c r="GPT78" s="2198"/>
      <c r="GPU78" s="2198"/>
      <c r="GPV78" s="2198"/>
      <c r="GPW78" s="2198"/>
      <c r="GPX78" s="2198"/>
      <c r="GPY78" s="2198"/>
      <c r="GPZ78" s="2198"/>
      <c r="GQA78" s="2198"/>
      <c r="GQB78" s="2198"/>
      <c r="GQC78" s="2198"/>
      <c r="GQD78" s="2198"/>
      <c r="GQE78" s="2198"/>
      <c r="GQF78" s="2198"/>
      <c r="GQG78" s="2198"/>
      <c r="GQH78" s="2198"/>
      <c r="GQI78" s="2198"/>
      <c r="GQJ78" s="2198"/>
      <c r="GQK78" s="2198"/>
      <c r="GQL78" s="2198"/>
      <c r="GQM78" s="2198"/>
      <c r="GQN78" s="2198"/>
      <c r="GQO78" s="2198"/>
      <c r="GQP78" s="2198"/>
      <c r="GQQ78" s="2198"/>
      <c r="GQR78" s="2198"/>
      <c r="GQS78" s="2198"/>
      <c r="GQT78" s="2198"/>
      <c r="GQU78" s="2198"/>
      <c r="GQV78" s="2198"/>
      <c r="GQW78" s="2198"/>
      <c r="GQX78" s="2198"/>
      <c r="GQY78" s="2198"/>
      <c r="GQZ78" s="2198"/>
      <c r="GRA78" s="2198"/>
      <c r="GRB78" s="2198"/>
      <c r="GRC78" s="2198"/>
      <c r="GRD78" s="2198"/>
      <c r="GRE78" s="2198"/>
      <c r="GRF78" s="2198"/>
      <c r="GRG78" s="2198"/>
      <c r="GRH78" s="2198"/>
      <c r="GRI78" s="2198"/>
      <c r="GRJ78" s="2198"/>
      <c r="GRK78" s="2198"/>
      <c r="GRL78" s="2198"/>
      <c r="GRM78" s="2198"/>
      <c r="GRN78" s="2198"/>
      <c r="GRO78" s="2198"/>
      <c r="GRP78" s="2198"/>
      <c r="GRQ78" s="2198"/>
      <c r="GRR78" s="2198"/>
      <c r="GRS78" s="2198"/>
      <c r="GRT78" s="2198"/>
      <c r="GRU78" s="2198"/>
      <c r="GRV78" s="2198"/>
      <c r="GRW78" s="2198"/>
      <c r="GRX78" s="2198"/>
      <c r="GRY78" s="2198"/>
      <c r="GRZ78" s="2198"/>
      <c r="GSA78" s="2198"/>
      <c r="GSB78" s="2198"/>
      <c r="GSC78" s="2198"/>
      <c r="GSD78" s="2198"/>
      <c r="GSE78" s="2198"/>
      <c r="GSF78" s="2198"/>
      <c r="GSG78" s="2198"/>
      <c r="GSH78" s="2198"/>
      <c r="GSI78" s="2198"/>
      <c r="GSJ78" s="2198"/>
      <c r="GSK78" s="2198"/>
      <c r="GSL78" s="2198"/>
      <c r="GSM78" s="2198"/>
      <c r="GSN78" s="2198"/>
      <c r="GSO78" s="2198"/>
      <c r="GSP78" s="2198"/>
      <c r="GSQ78" s="2198"/>
      <c r="GSR78" s="2198"/>
      <c r="GSS78" s="2198"/>
      <c r="GST78" s="2198"/>
      <c r="GSU78" s="2198"/>
      <c r="GSV78" s="2198"/>
      <c r="GSW78" s="2198"/>
      <c r="GSX78" s="2198"/>
      <c r="GSY78" s="2198"/>
      <c r="GSZ78" s="2198"/>
      <c r="GTA78" s="2198"/>
      <c r="GTB78" s="2198"/>
      <c r="GTC78" s="2198"/>
      <c r="GTD78" s="2198"/>
      <c r="GTE78" s="2198"/>
      <c r="GTF78" s="2198"/>
      <c r="GTG78" s="2198"/>
      <c r="GTH78" s="2198"/>
      <c r="GTI78" s="2198"/>
      <c r="GTJ78" s="2198"/>
      <c r="GTK78" s="2198"/>
      <c r="GTL78" s="2198"/>
      <c r="GTM78" s="2198"/>
      <c r="GTN78" s="2198"/>
      <c r="GTO78" s="2198"/>
      <c r="GTP78" s="2198"/>
      <c r="GTQ78" s="2198"/>
      <c r="GTR78" s="2198"/>
      <c r="GTS78" s="2198"/>
      <c r="GTT78" s="2198"/>
      <c r="GTU78" s="2198"/>
      <c r="GTV78" s="2198"/>
      <c r="GTW78" s="2198"/>
      <c r="GTX78" s="2198"/>
      <c r="GTY78" s="2198"/>
      <c r="GTZ78" s="2198"/>
      <c r="GUA78" s="2198"/>
      <c r="GUB78" s="2198"/>
      <c r="GUC78" s="2198"/>
      <c r="GUD78" s="2198"/>
      <c r="GUE78" s="2198"/>
      <c r="GUF78" s="2198"/>
      <c r="GUG78" s="2198"/>
      <c r="GUH78" s="2198"/>
      <c r="GUI78" s="2198"/>
      <c r="GUJ78" s="2198"/>
      <c r="GUK78" s="2198"/>
      <c r="GUL78" s="2198"/>
      <c r="GUM78" s="2198"/>
      <c r="GUN78" s="2198"/>
      <c r="GUO78" s="2198"/>
      <c r="GUP78" s="2198"/>
      <c r="GUQ78" s="2198"/>
      <c r="GUR78" s="2198"/>
      <c r="GUS78" s="2198"/>
      <c r="GUT78" s="2198"/>
      <c r="GUU78" s="2198"/>
      <c r="GUV78" s="2198"/>
      <c r="GUW78" s="2198"/>
      <c r="GUX78" s="2198"/>
      <c r="GUY78" s="2198"/>
      <c r="GUZ78" s="2198"/>
      <c r="GVA78" s="2198"/>
      <c r="GVB78" s="2198"/>
      <c r="GVC78" s="2198"/>
      <c r="GVD78" s="2198"/>
      <c r="GVE78" s="2198"/>
      <c r="GVF78" s="2198"/>
      <c r="GVG78" s="2198"/>
      <c r="GVH78" s="2198"/>
      <c r="GVI78" s="2198"/>
      <c r="GVJ78" s="2198"/>
      <c r="GVK78" s="2198"/>
      <c r="GVL78" s="2198"/>
      <c r="GVM78" s="2198"/>
      <c r="GVN78" s="2198"/>
      <c r="GVO78" s="2198"/>
      <c r="GVP78" s="2198"/>
      <c r="GVQ78" s="2198"/>
      <c r="GVR78" s="2198"/>
      <c r="GVS78" s="2198"/>
      <c r="GVT78" s="2198"/>
      <c r="GVU78" s="2198"/>
      <c r="GVV78" s="2198"/>
      <c r="GVW78" s="2198"/>
      <c r="GVX78" s="2198"/>
      <c r="GVY78" s="2198"/>
      <c r="GVZ78" s="2198"/>
      <c r="GWA78" s="2198"/>
      <c r="GWB78" s="2198"/>
      <c r="GWC78" s="2198"/>
      <c r="GWD78" s="2198"/>
      <c r="GWE78" s="2198"/>
      <c r="GWF78" s="2198"/>
      <c r="GWG78" s="2198"/>
      <c r="GWH78" s="2198"/>
      <c r="GWI78" s="2198"/>
      <c r="GWJ78" s="2198"/>
      <c r="GWK78" s="2198"/>
      <c r="GWL78" s="2198"/>
      <c r="GWM78" s="2198"/>
      <c r="GWN78" s="2198"/>
      <c r="GWO78" s="2198"/>
      <c r="GWP78" s="2198"/>
      <c r="GWQ78" s="2198"/>
      <c r="GWR78" s="2198"/>
      <c r="GWS78" s="2198"/>
      <c r="GWT78" s="2198"/>
      <c r="GWU78" s="2198"/>
      <c r="GWV78" s="2198"/>
      <c r="GWW78" s="2198"/>
      <c r="GWX78" s="2198"/>
      <c r="GWY78" s="2198"/>
      <c r="GWZ78" s="2198"/>
      <c r="GXA78" s="2198"/>
      <c r="GXB78" s="2198"/>
      <c r="GXC78" s="2198"/>
      <c r="GXD78" s="2198"/>
      <c r="GXE78" s="2198"/>
      <c r="GXF78" s="2198"/>
      <c r="GXG78" s="2198"/>
      <c r="GXH78" s="2198"/>
      <c r="GXI78" s="2198"/>
      <c r="GXJ78" s="2198"/>
      <c r="GXK78" s="2198"/>
      <c r="GXL78" s="2198"/>
      <c r="GXM78" s="2198"/>
      <c r="GXN78" s="2198"/>
      <c r="GXO78" s="2198"/>
      <c r="GXP78" s="2198"/>
      <c r="GXQ78" s="2198"/>
      <c r="GXR78" s="2198"/>
      <c r="GXS78" s="2198"/>
      <c r="GXT78" s="2198"/>
      <c r="GXU78" s="2198"/>
      <c r="GXV78" s="2198"/>
      <c r="GXW78" s="2198"/>
      <c r="GXX78" s="2198"/>
      <c r="GXY78" s="2198"/>
      <c r="GXZ78" s="2198"/>
      <c r="GYA78" s="2198"/>
      <c r="GYB78" s="2198"/>
      <c r="GYC78" s="2198"/>
      <c r="GYD78" s="2198"/>
      <c r="GYE78" s="2198"/>
      <c r="GYF78" s="2198"/>
      <c r="GYG78" s="2198"/>
      <c r="GYH78" s="2198"/>
      <c r="GYI78" s="2198"/>
      <c r="GYJ78" s="2198"/>
      <c r="GYK78" s="2198"/>
      <c r="GYL78" s="2198"/>
      <c r="GYM78" s="2198"/>
      <c r="GYN78" s="2198"/>
      <c r="GYO78" s="2198"/>
      <c r="GYP78" s="2198"/>
      <c r="GYQ78" s="2198"/>
      <c r="GYR78" s="2198"/>
      <c r="GYS78" s="2198"/>
      <c r="GYT78" s="2198"/>
      <c r="GYU78" s="2198"/>
      <c r="GYV78" s="2198"/>
      <c r="GYW78" s="2198"/>
      <c r="GYX78" s="2198"/>
      <c r="GYY78" s="2198"/>
      <c r="GYZ78" s="2198"/>
      <c r="GZA78" s="2198"/>
      <c r="GZB78" s="2198"/>
      <c r="GZC78" s="2198"/>
      <c r="GZD78" s="2198"/>
      <c r="GZE78" s="2198"/>
      <c r="GZF78" s="2198"/>
      <c r="GZG78" s="2198"/>
      <c r="GZH78" s="2198"/>
      <c r="GZI78" s="2198"/>
      <c r="GZJ78" s="2198"/>
      <c r="GZK78" s="2198"/>
      <c r="GZL78" s="2198"/>
      <c r="GZM78" s="2198"/>
      <c r="GZN78" s="2198"/>
      <c r="GZO78" s="2198"/>
      <c r="GZP78" s="2198"/>
      <c r="GZQ78" s="2198"/>
      <c r="GZR78" s="2198"/>
      <c r="GZS78" s="2198"/>
      <c r="GZT78" s="2198"/>
      <c r="GZU78" s="2198"/>
      <c r="GZV78" s="2198"/>
      <c r="GZW78" s="2198"/>
      <c r="GZX78" s="2198"/>
      <c r="GZY78" s="2198"/>
      <c r="GZZ78" s="2198"/>
      <c r="HAA78" s="2198"/>
      <c r="HAB78" s="2198"/>
      <c r="HAC78" s="2198"/>
      <c r="HAD78" s="2198"/>
      <c r="HAE78" s="2198"/>
      <c r="HAF78" s="2198"/>
      <c r="HAG78" s="2198"/>
      <c r="HAH78" s="2198"/>
      <c r="HAI78" s="2198"/>
      <c r="HAJ78" s="2198"/>
      <c r="HAK78" s="2198"/>
      <c r="HAL78" s="2198"/>
      <c r="HAM78" s="2198"/>
      <c r="HAN78" s="2198"/>
      <c r="HAO78" s="2198"/>
      <c r="HAP78" s="2198"/>
      <c r="HAQ78" s="2198"/>
      <c r="HAR78" s="2198"/>
      <c r="HAS78" s="2198"/>
      <c r="HAT78" s="2198"/>
      <c r="HAU78" s="2198"/>
      <c r="HAV78" s="2198"/>
      <c r="HAW78" s="2198"/>
      <c r="HAX78" s="2198"/>
      <c r="HAY78" s="2198"/>
      <c r="HAZ78" s="2198"/>
      <c r="HBA78" s="2198"/>
      <c r="HBB78" s="2198"/>
      <c r="HBC78" s="2198"/>
      <c r="HBD78" s="2198"/>
      <c r="HBE78" s="2198"/>
      <c r="HBF78" s="2198"/>
      <c r="HBG78" s="2198"/>
      <c r="HBH78" s="2198"/>
      <c r="HBI78" s="2198"/>
      <c r="HBJ78" s="2198"/>
      <c r="HBK78" s="2198"/>
      <c r="HBL78" s="2198"/>
      <c r="HBM78" s="2198"/>
      <c r="HBN78" s="2198"/>
      <c r="HBO78" s="2198"/>
      <c r="HBP78" s="2198"/>
      <c r="HBQ78" s="2198"/>
      <c r="HBR78" s="2198"/>
      <c r="HBS78" s="2198"/>
      <c r="HBT78" s="2198"/>
      <c r="HBU78" s="2198"/>
      <c r="HBV78" s="2198"/>
      <c r="HBW78" s="2198"/>
      <c r="HBX78" s="2198"/>
      <c r="HBY78" s="2198"/>
      <c r="HBZ78" s="2198"/>
      <c r="HCA78" s="2198"/>
      <c r="HCB78" s="2198"/>
      <c r="HCC78" s="2198"/>
      <c r="HCD78" s="2198"/>
      <c r="HCE78" s="2198"/>
      <c r="HCF78" s="2198"/>
      <c r="HCG78" s="2198"/>
      <c r="HCH78" s="2198"/>
      <c r="HCI78" s="2198"/>
      <c r="HCJ78" s="2198"/>
      <c r="HCK78" s="2198"/>
      <c r="HCL78" s="2198"/>
      <c r="HCM78" s="2198"/>
      <c r="HCN78" s="2198"/>
      <c r="HCO78" s="2198"/>
      <c r="HCP78" s="2198"/>
      <c r="HCQ78" s="2198"/>
      <c r="HCR78" s="2198"/>
      <c r="HCS78" s="2198"/>
      <c r="HCT78" s="2198"/>
      <c r="HCU78" s="2198"/>
      <c r="HCV78" s="2198"/>
      <c r="HCW78" s="2198"/>
      <c r="HCX78" s="2198"/>
      <c r="HCY78" s="2198"/>
      <c r="HCZ78" s="2198"/>
      <c r="HDA78" s="2198"/>
      <c r="HDB78" s="2198"/>
      <c r="HDC78" s="2198"/>
      <c r="HDD78" s="2198"/>
      <c r="HDE78" s="2198"/>
      <c r="HDF78" s="2198"/>
      <c r="HDG78" s="2198"/>
      <c r="HDH78" s="2198"/>
      <c r="HDI78" s="2198"/>
      <c r="HDJ78" s="2198"/>
      <c r="HDK78" s="2198"/>
      <c r="HDL78" s="2198"/>
      <c r="HDM78" s="2198"/>
      <c r="HDN78" s="2198"/>
      <c r="HDO78" s="2198"/>
      <c r="HDP78" s="2198"/>
      <c r="HDQ78" s="2198"/>
      <c r="HDR78" s="2198"/>
      <c r="HDS78" s="2198"/>
      <c r="HDT78" s="2198"/>
      <c r="HDU78" s="2198"/>
      <c r="HDV78" s="2198"/>
      <c r="HDW78" s="2198"/>
      <c r="HDX78" s="2198"/>
      <c r="HDY78" s="2198"/>
      <c r="HDZ78" s="2198"/>
      <c r="HEA78" s="2198"/>
      <c r="HEB78" s="2198"/>
      <c r="HEC78" s="2198"/>
      <c r="HED78" s="2198"/>
      <c r="HEE78" s="2198"/>
      <c r="HEF78" s="2198"/>
      <c r="HEG78" s="2198"/>
      <c r="HEH78" s="2198"/>
      <c r="HEI78" s="2198"/>
      <c r="HEJ78" s="2198"/>
      <c r="HEK78" s="2198"/>
      <c r="HEL78" s="2198"/>
      <c r="HEM78" s="2198"/>
      <c r="HEN78" s="2198"/>
      <c r="HEO78" s="2198"/>
      <c r="HEP78" s="2198"/>
      <c r="HEQ78" s="2198"/>
      <c r="HER78" s="2198"/>
      <c r="HES78" s="2198"/>
      <c r="HET78" s="2198"/>
      <c r="HEU78" s="2198"/>
      <c r="HEV78" s="2198"/>
      <c r="HEW78" s="2198"/>
      <c r="HEX78" s="2198"/>
      <c r="HEY78" s="2198"/>
      <c r="HEZ78" s="2198"/>
      <c r="HFA78" s="2198"/>
      <c r="HFB78" s="2198"/>
      <c r="HFC78" s="2198"/>
      <c r="HFD78" s="2198"/>
      <c r="HFE78" s="2198"/>
      <c r="HFF78" s="2198"/>
      <c r="HFG78" s="2198"/>
      <c r="HFH78" s="2198"/>
      <c r="HFI78" s="2198"/>
      <c r="HFJ78" s="2198"/>
      <c r="HFK78" s="2198"/>
      <c r="HFL78" s="2198"/>
      <c r="HFM78" s="2198"/>
      <c r="HFN78" s="2198"/>
      <c r="HFO78" s="2198"/>
      <c r="HFP78" s="2198"/>
      <c r="HFQ78" s="2198"/>
      <c r="HFR78" s="2198"/>
      <c r="HFS78" s="2198"/>
      <c r="HFT78" s="2198"/>
      <c r="HFU78" s="2198"/>
      <c r="HFV78" s="2198"/>
      <c r="HFW78" s="2198"/>
      <c r="HFX78" s="2198"/>
      <c r="HFY78" s="2198"/>
      <c r="HFZ78" s="2198"/>
      <c r="HGA78" s="2198"/>
      <c r="HGB78" s="2198"/>
      <c r="HGC78" s="2198"/>
      <c r="HGD78" s="2198"/>
      <c r="HGE78" s="2198"/>
      <c r="HGF78" s="2198"/>
      <c r="HGG78" s="2198"/>
      <c r="HGH78" s="2198"/>
      <c r="HGI78" s="2198"/>
      <c r="HGJ78" s="2198"/>
      <c r="HGK78" s="2198"/>
      <c r="HGL78" s="2198"/>
      <c r="HGM78" s="2198"/>
      <c r="HGN78" s="2198"/>
      <c r="HGO78" s="2198"/>
      <c r="HGP78" s="2198"/>
      <c r="HGQ78" s="2198"/>
      <c r="HGR78" s="2198"/>
      <c r="HGS78" s="2198"/>
      <c r="HGT78" s="2198"/>
      <c r="HGU78" s="2198"/>
      <c r="HGV78" s="2198"/>
      <c r="HGW78" s="2198"/>
      <c r="HGX78" s="2198"/>
      <c r="HGY78" s="2198"/>
      <c r="HGZ78" s="2198"/>
      <c r="HHA78" s="2198"/>
      <c r="HHB78" s="2198"/>
      <c r="HHC78" s="2198"/>
      <c r="HHD78" s="2198"/>
      <c r="HHE78" s="2198"/>
      <c r="HHF78" s="2198"/>
      <c r="HHG78" s="2198"/>
      <c r="HHH78" s="2198"/>
      <c r="HHI78" s="2198"/>
      <c r="HHJ78" s="2198"/>
      <c r="HHK78" s="2198"/>
      <c r="HHL78" s="2198"/>
      <c r="HHM78" s="2198"/>
      <c r="HHN78" s="2198"/>
      <c r="HHO78" s="2198"/>
      <c r="HHP78" s="2198"/>
      <c r="HHQ78" s="2198"/>
      <c r="HHR78" s="2198"/>
      <c r="HHS78" s="2198"/>
      <c r="HHT78" s="2198"/>
      <c r="HHU78" s="2198"/>
      <c r="HHV78" s="2198"/>
      <c r="HHW78" s="2198"/>
      <c r="HHX78" s="2198"/>
      <c r="HHY78" s="2198"/>
      <c r="HHZ78" s="2198"/>
      <c r="HIA78" s="2198"/>
      <c r="HIB78" s="2198"/>
      <c r="HIC78" s="2198"/>
      <c r="HID78" s="2198"/>
      <c r="HIE78" s="2198"/>
      <c r="HIF78" s="2198"/>
      <c r="HIG78" s="2198"/>
      <c r="HIH78" s="2198"/>
      <c r="HII78" s="2198"/>
      <c r="HIJ78" s="2198"/>
      <c r="HIK78" s="2198"/>
      <c r="HIL78" s="2198"/>
      <c r="HIM78" s="2198"/>
      <c r="HIN78" s="2198"/>
      <c r="HIO78" s="2198"/>
      <c r="HIP78" s="2198"/>
      <c r="HIQ78" s="2198"/>
      <c r="HIR78" s="2198"/>
      <c r="HIS78" s="2198"/>
      <c r="HIT78" s="2198"/>
      <c r="HIU78" s="2198"/>
      <c r="HIV78" s="2198"/>
      <c r="HIW78" s="2198"/>
      <c r="HIX78" s="2198"/>
      <c r="HIY78" s="2198"/>
      <c r="HIZ78" s="2198"/>
      <c r="HJA78" s="2198"/>
      <c r="HJB78" s="2198"/>
      <c r="HJC78" s="2198"/>
      <c r="HJD78" s="2198"/>
      <c r="HJE78" s="2198"/>
      <c r="HJF78" s="2198"/>
      <c r="HJG78" s="2198"/>
      <c r="HJH78" s="2198"/>
      <c r="HJI78" s="2198"/>
      <c r="HJJ78" s="2198"/>
      <c r="HJK78" s="2198"/>
      <c r="HJL78" s="2198"/>
      <c r="HJM78" s="2198"/>
      <c r="HJN78" s="2198"/>
      <c r="HJO78" s="2198"/>
      <c r="HJP78" s="2198"/>
      <c r="HJQ78" s="2198"/>
      <c r="HJR78" s="2198"/>
      <c r="HJS78" s="2198"/>
      <c r="HJT78" s="2198"/>
      <c r="HJU78" s="2198"/>
      <c r="HJV78" s="2198"/>
      <c r="HJW78" s="2198"/>
      <c r="HJX78" s="2198"/>
      <c r="HJY78" s="2198"/>
      <c r="HJZ78" s="2198"/>
      <c r="HKA78" s="2198"/>
      <c r="HKB78" s="2198"/>
      <c r="HKC78" s="2198"/>
      <c r="HKD78" s="2198"/>
      <c r="HKE78" s="2198"/>
      <c r="HKF78" s="2198"/>
      <c r="HKG78" s="2198"/>
      <c r="HKH78" s="2198"/>
      <c r="HKI78" s="2198"/>
      <c r="HKJ78" s="2198"/>
      <c r="HKK78" s="2198"/>
      <c r="HKL78" s="2198"/>
      <c r="HKM78" s="2198"/>
      <c r="HKN78" s="2198"/>
      <c r="HKO78" s="2198"/>
      <c r="HKP78" s="2198"/>
      <c r="HKQ78" s="2198"/>
      <c r="HKR78" s="2198"/>
      <c r="HKS78" s="2198"/>
      <c r="HKT78" s="2198"/>
      <c r="HKU78" s="2198"/>
      <c r="HKV78" s="2198"/>
      <c r="HKW78" s="2198"/>
      <c r="HKX78" s="2198"/>
      <c r="HKY78" s="2198"/>
      <c r="HKZ78" s="2198"/>
      <c r="HLA78" s="2198"/>
      <c r="HLB78" s="2198"/>
      <c r="HLC78" s="2198"/>
      <c r="HLD78" s="2198"/>
      <c r="HLE78" s="2198"/>
      <c r="HLF78" s="2198"/>
      <c r="HLG78" s="2198"/>
      <c r="HLH78" s="2198"/>
      <c r="HLI78" s="2198"/>
      <c r="HLJ78" s="2198"/>
      <c r="HLK78" s="2198"/>
      <c r="HLL78" s="2198"/>
      <c r="HLM78" s="2198"/>
      <c r="HLN78" s="2198"/>
      <c r="HLO78" s="2198"/>
      <c r="HLP78" s="2198"/>
      <c r="HLQ78" s="2198"/>
      <c r="HLR78" s="2198"/>
      <c r="HLS78" s="2198"/>
      <c r="HLT78" s="2198"/>
      <c r="HLU78" s="2198"/>
      <c r="HLV78" s="2198"/>
      <c r="HLW78" s="2198"/>
      <c r="HLX78" s="2198"/>
      <c r="HLY78" s="2198"/>
      <c r="HLZ78" s="2198"/>
      <c r="HMA78" s="2198"/>
      <c r="HMB78" s="2198"/>
      <c r="HMC78" s="2198"/>
      <c r="HMD78" s="2198"/>
      <c r="HME78" s="2198"/>
      <c r="HMF78" s="2198"/>
      <c r="HMG78" s="2198"/>
      <c r="HMH78" s="2198"/>
      <c r="HMI78" s="2198"/>
      <c r="HMJ78" s="2198"/>
      <c r="HMK78" s="2198"/>
      <c r="HML78" s="2198"/>
      <c r="HMM78" s="2198"/>
      <c r="HMN78" s="2198"/>
      <c r="HMO78" s="2198"/>
      <c r="HMP78" s="2198"/>
      <c r="HMQ78" s="2198"/>
      <c r="HMR78" s="2198"/>
      <c r="HMS78" s="2198"/>
      <c r="HMT78" s="2198"/>
      <c r="HMU78" s="2198"/>
      <c r="HMV78" s="2198"/>
      <c r="HMW78" s="2198"/>
      <c r="HMX78" s="2198"/>
      <c r="HMY78" s="2198"/>
      <c r="HMZ78" s="2198"/>
      <c r="HNA78" s="2198"/>
      <c r="HNB78" s="2198"/>
      <c r="HNC78" s="2198"/>
      <c r="HND78" s="2198"/>
      <c r="HNE78" s="2198"/>
      <c r="HNF78" s="2198"/>
      <c r="HNG78" s="2198"/>
      <c r="HNH78" s="2198"/>
      <c r="HNI78" s="2198"/>
      <c r="HNJ78" s="2198"/>
      <c r="HNK78" s="2198"/>
      <c r="HNL78" s="2198"/>
      <c r="HNM78" s="2198"/>
      <c r="HNN78" s="2198"/>
      <c r="HNO78" s="2198"/>
      <c r="HNP78" s="2198"/>
      <c r="HNQ78" s="2198"/>
      <c r="HNR78" s="2198"/>
      <c r="HNS78" s="2198"/>
      <c r="HNT78" s="2198"/>
      <c r="HNU78" s="2198"/>
      <c r="HNV78" s="2198"/>
      <c r="HNW78" s="2198"/>
      <c r="HNX78" s="2198"/>
      <c r="HNY78" s="2198"/>
      <c r="HNZ78" s="2198"/>
      <c r="HOA78" s="2198"/>
      <c r="HOB78" s="2198"/>
      <c r="HOC78" s="2198"/>
      <c r="HOD78" s="2198"/>
      <c r="HOE78" s="2198"/>
      <c r="HOF78" s="2198"/>
      <c r="HOG78" s="2198"/>
      <c r="HOH78" s="2198"/>
      <c r="HOI78" s="2198"/>
      <c r="HOJ78" s="2198"/>
      <c r="HOK78" s="2198"/>
      <c r="HOL78" s="2198"/>
      <c r="HOM78" s="2198"/>
      <c r="HON78" s="2198"/>
      <c r="HOO78" s="2198"/>
      <c r="HOP78" s="2198"/>
      <c r="HOQ78" s="2198"/>
      <c r="HOR78" s="2198"/>
      <c r="HOS78" s="2198"/>
      <c r="HOT78" s="2198"/>
      <c r="HOU78" s="2198"/>
      <c r="HOV78" s="2198"/>
      <c r="HOW78" s="2198"/>
      <c r="HOX78" s="2198"/>
      <c r="HOY78" s="2198"/>
      <c r="HOZ78" s="2198"/>
      <c r="HPA78" s="2198"/>
      <c r="HPB78" s="2198"/>
      <c r="HPC78" s="2198"/>
      <c r="HPD78" s="2198"/>
      <c r="HPE78" s="2198"/>
      <c r="HPF78" s="2198"/>
      <c r="HPG78" s="2198"/>
      <c r="HPH78" s="2198"/>
      <c r="HPI78" s="2198"/>
      <c r="HPJ78" s="2198"/>
      <c r="HPK78" s="2198"/>
      <c r="HPL78" s="2198"/>
      <c r="HPM78" s="2198"/>
      <c r="HPN78" s="2198"/>
      <c r="HPO78" s="2198"/>
      <c r="HPP78" s="2198"/>
      <c r="HPQ78" s="2198"/>
      <c r="HPR78" s="2198"/>
      <c r="HPS78" s="2198"/>
      <c r="HPT78" s="2198"/>
      <c r="HPU78" s="2198"/>
      <c r="HPV78" s="2198"/>
      <c r="HPW78" s="2198"/>
      <c r="HPX78" s="2198"/>
      <c r="HPY78" s="2198"/>
      <c r="HPZ78" s="2198"/>
      <c r="HQA78" s="2198"/>
      <c r="HQB78" s="2198"/>
      <c r="HQC78" s="2198"/>
      <c r="HQD78" s="2198"/>
      <c r="HQE78" s="2198"/>
      <c r="HQF78" s="2198"/>
      <c r="HQG78" s="2198"/>
      <c r="HQH78" s="2198"/>
      <c r="HQI78" s="2198"/>
      <c r="HQJ78" s="2198"/>
      <c r="HQK78" s="2198"/>
      <c r="HQL78" s="2198"/>
      <c r="HQM78" s="2198"/>
      <c r="HQN78" s="2198"/>
      <c r="HQO78" s="2198"/>
      <c r="HQP78" s="2198"/>
      <c r="HQQ78" s="2198"/>
      <c r="HQR78" s="2198"/>
      <c r="HQS78" s="2198"/>
      <c r="HQT78" s="2198"/>
      <c r="HQU78" s="2198"/>
      <c r="HQV78" s="2198"/>
      <c r="HQW78" s="2198"/>
      <c r="HQX78" s="2198"/>
      <c r="HQY78" s="2198"/>
      <c r="HQZ78" s="2198"/>
      <c r="HRA78" s="2198"/>
      <c r="HRB78" s="2198"/>
      <c r="HRC78" s="2198"/>
      <c r="HRD78" s="2198"/>
      <c r="HRE78" s="2198"/>
      <c r="HRF78" s="2198"/>
      <c r="HRG78" s="2198"/>
      <c r="HRH78" s="2198"/>
      <c r="HRI78" s="2198"/>
      <c r="HRJ78" s="2198"/>
      <c r="HRK78" s="2198"/>
      <c r="HRL78" s="2198"/>
      <c r="HRM78" s="2198"/>
      <c r="HRN78" s="2198"/>
      <c r="HRO78" s="2198"/>
      <c r="HRP78" s="2198"/>
      <c r="HRQ78" s="2198"/>
      <c r="HRR78" s="2198"/>
      <c r="HRS78" s="2198"/>
      <c r="HRT78" s="2198"/>
      <c r="HRU78" s="2198"/>
      <c r="HRV78" s="2198"/>
      <c r="HRW78" s="2198"/>
      <c r="HRX78" s="2198"/>
      <c r="HRY78" s="2198"/>
      <c r="HRZ78" s="2198"/>
      <c r="HSA78" s="2198"/>
      <c r="HSB78" s="2198"/>
      <c r="HSC78" s="2198"/>
      <c r="HSD78" s="2198"/>
      <c r="HSE78" s="2198"/>
      <c r="HSF78" s="2198"/>
      <c r="HSG78" s="2198"/>
      <c r="HSH78" s="2198"/>
      <c r="HSI78" s="2198"/>
      <c r="HSJ78" s="2198"/>
      <c r="HSK78" s="2198"/>
      <c r="HSL78" s="2198"/>
      <c r="HSM78" s="2198"/>
      <c r="HSN78" s="2198"/>
      <c r="HSO78" s="2198"/>
      <c r="HSP78" s="2198"/>
      <c r="HSQ78" s="2198"/>
      <c r="HSR78" s="2198"/>
      <c r="HSS78" s="2198"/>
      <c r="HST78" s="2198"/>
      <c r="HSU78" s="2198"/>
      <c r="HSV78" s="2198"/>
      <c r="HSW78" s="2198"/>
      <c r="HSX78" s="2198"/>
      <c r="HSY78" s="2198"/>
      <c r="HSZ78" s="2198"/>
      <c r="HTA78" s="2198"/>
      <c r="HTB78" s="2198"/>
      <c r="HTC78" s="2198"/>
      <c r="HTD78" s="2198"/>
      <c r="HTE78" s="2198"/>
      <c r="HTF78" s="2198"/>
      <c r="HTG78" s="2198"/>
      <c r="HTH78" s="2198"/>
      <c r="HTI78" s="2198"/>
      <c r="HTJ78" s="2198"/>
      <c r="HTK78" s="2198"/>
      <c r="HTL78" s="2198"/>
      <c r="HTM78" s="2198"/>
      <c r="HTN78" s="2198"/>
      <c r="HTO78" s="2198"/>
      <c r="HTP78" s="2198"/>
      <c r="HTQ78" s="2198"/>
      <c r="HTR78" s="2198"/>
      <c r="HTS78" s="2198"/>
      <c r="HTT78" s="2198"/>
      <c r="HTU78" s="2198"/>
      <c r="HTV78" s="2198"/>
      <c r="HTW78" s="2198"/>
      <c r="HTX78" s="2198"/>
      <c r="HTY78" s="2198"/>
      <c r="HTZ78" s="2198"/>
      <c r="HUA78" s="2198"/>
      <c r="HUB78" s="2198"/>
      <c r="HUC78" s="2198"/>
      <c r="HUD78" s="2198"/>
      <c r="HUE78" s="2198"/>
      <c r="HUF78" s="2198"/>
      <c r="HUG78" s="2198"/>
      <c r="HUH78" s="2198"/>
      <c r="HUI78" s="2198"/>
      <c r="HUJ78" s="2198"/>
      <c r="HUK78" s="2198"/>
      <c r="HUL78" s="2198"/>
      <c r="HUM78" s="2198"/>
      <c r="HUN78" s="2198"/>
      <c r="HUO78" s="2198"/>
      <c r="HUP78" s="2198"/>
      <c r="HUQ78" s="2198"/>
      <c r="HUR78" s="2198"/>
      <c r="HUS78" s="2198"/>
      <c r="HUT78" s="2198"/>
      <c r="HUU78" s="2198"/>
      <c r="HUV78" s="2198"/>
      <c r="HUW78" s="2198"/>
      <c r="HUX78" s="2198"/>
      <c r="HUY78" s="2198"/>
      <c r="HUZ78" s="2198"/>
      <c r="HVA78" s="2198"/>
      <c r="HVB78" s="2198"/>
      <c r="HVC78" s="2198"/>
      <c r="HVD78" s="2198"/>
      <c r="HVE78" s="2198"/>
      <c r="HVF78" s="2198"/>
      <c r="HVG78" s="2198"/>
      <c r="HVH78" s="2198"/>
      <c r="HVI78" s="2198"/>
      <c r="HVJ78" s="2198"/>
      <c r="HVK78" s="2198"/>
      <c r="HVL78" s="2198"/>
      <c r="HVM78" s="2198"/>
      <c r="HVN78" s="2198"/>
      <c r="HVO78" s="2198"/>
      <c r="HVP78" s="2198"/>
      <c r="HVQ78" s="2198"/>
      <c r="HVR78" s="2198"/>
      <c r="HVS78" s="2198"/>
      <c r="HVT78" s="2198"/>
      <c r="HVU78" s="2198"/>
      <c r="HVV78" s="2198"/>
      <c r="HVW78" s="2198"/>
      <c r="HVX78" s="2198"/>
      <c r="HVY78" s="2198"/>
      <c r="HVZ78" s="2198"/>
      <c r="HWA78" s="2198"/>
      <c r="HWB78" s="2198"/>
      <c r="HWC78" s="2198"/>
      <c r="HWD78" s="2198"/>
      <c r="HWE78" s="2198"/>
      <c r="HWF78" s="2198"/>
      <c r="HWG78" s="2198"/>
      <c r="HWH78" s="2198"/>
      <c r="HWI78" s="2198"/>
      <c r="HWJ78" s="2198"/>
      <c r="HWK78" s="2198"/>
      <c r="HWL78" s="2198"/>
      <c r="HWM78" s="2198"/>
      <c r="HWN78" s="2198"/>
      <c r="HWO78" s="2198"/>
      <c r="HWP78" s="2198"/>
      <c r="HWQ78" s="2198"/>
      <c r="HWR78" s="2198"/>
      <c r="HWS78" s="2198"/>
      <c r="HWT78" s="2198"/>
      <c r="HWU78" s="2198"/>
      <c r="HWV78" s="2198"/>
      <c r="HWW78" s="2198"/>
      <c r="HWX78" s="2198"/>
      <c r="HWY78" s="2198"/>
      <c r="HWZ78" s="2198"/>
      <c r="HXA78" s="2198"/>
      <c r="HXB78" s="2198"/>
      <c r="HXC78" s="2198"/>
      <c r="HXD78" s="2198"/>
      <c r="HXE78" s="2198"/>
      <c r="HXF78" s="2198"/>
      <c r="HXG78" s="2198"/>
      <c r="HXH78" s="2198"/>
      <c r="HXI78" s="2198"/>
      <c r="HXJ78" s="2198"/>
      <c r="HXK78" s="2198"/>
      <c r="HXL78" s="2198"/>
      <c r="HXM78" s="2198"/>
      <c r="HXN78" s="2198"/>
      <c r="HXO78" s="2198"/>
      <c r="HXP78" s="2198"/>
      <c r="HXQ78" s="2198"/>
      <c r="HXR78" s="2198"/>
      <c r="HXS78" s="2198"/>
      <c r="HXT78" s="2198"/>
      <c r="HXU78" s="2198"/>
      <c r="HXV78" s="2198"/>
      <c r="HXW78" s="2198"/>
      <c r="HXX78" s="2198"/>
      <c r="HXY78" s="2198"/>
      <c r="HXZ78" s="2198"/>
      <c r="HYA78" s="2198"/>
      <c r="HYB78" s="2198"/>
      <c r="HYC78" s="2198"/>
      <c r="HYD78" s="2198"/>
      <c r="HYE78" s="2198"/>
      <c r="HYF78" s="2198"/>
      <c r="HYG78" s="2198"/>
      <c r="HYH78" s="2198"/>
      <c r="HYI78" s="2198"/>
      <c r="HYJ78" s="2198"/>
      <c r="HYK78" s="2198"/>
      <c r="HYL78" s="2198"/>
      <c r="HYM78" s="2198"/>
      <c r="HYN78" s="2198"/>
      <c r="HYO78" s="2198"/>
      <c r="HYP78" s="2198"/>
      <c r="HYQ78" s="2198"/>
      <c r="HYR78" s="2198"/>
      <c r="HYS78" s="2198"/>
      <c r="HYT78" s="2198"/>
      <c r="HYU78" s="2198"/>
      <c r="HYV78" s="2198"/>
      <c r="HYW78" s="2198"/>
      <c r="HYX78" s="2198"/>
      <c r="HYY78" s="2198"/>
      <c r="HYZ78" s="2198"/>
      <c r="HZA78" s="2198"/>
      <c r="HZB78" s="2198"/>
      <c r="HZC78" s="2198"/>
      <c r="HZD78" s="2198"/>
      <c r="HZE78" s="2198"/>
      <c r="HZF78" s="2198"/>
      <c r="HZG78" s="2198"/>
      <c r="HZH78" s="2198"/>
      <c r="HZI78" s="2198"/>
      <c r="HZJ78" s="2198"/>
      <c r="HZK78" s="2198"/>
      <c r="HZL78" s="2198"/>
      <c r="HZM78" s="2198"/>
      <c r="HZN78" s="2198"/>
      <c r="HZO78" s="2198"/>
      <c r="HZP78" s="2198"/>
      <c r="HZQ78" s="2198"/>
      <c r="HZR78" s="2198"/>
      <c r="HZS78" s="2198"/>
      <c r="HZT78" s="2198"/>
      <c r="HZU78" s="2198"/>
      <c r="HZV78" s="2198"/>
      <c r="HZW78" s="2198"/>
      <c r="HZX78" s="2198"/>
      <c r="HZY78" s="2198"/>
      <c r="HZZ78" s="2198"/>
      <c r="IAA78" s="2198"/>
      <c r="IAB78" s="2198"/>
      <c r="IAC78" s="2198"/>
      <c r="IAD78" s="2198"/>
      <c r="IAE78" s="2198"/>
      <c r="IAF78" s="2198"/>
      <c r="IAG78" s="2198"/>
      <c r="IAH78" s="2198"/>
      <c r="IAI78" s="2198"/>
      <c r="IAJ78" s="2198"/>
      <c r="IAK78" s="2198"/>
      <c r="IAL78" s="2198"/>
      <c r="IAM78" s="2198"/>
      <c r="IAN78" s="2198"/>
      <c r="IAO78" s="2198"/>
      <c r="IAP78" s="2198"/>
      <c r="IAQ78" s="2198"/>
      <c r="IAR78" s="2198"/>
      <c r="IAS78" s="2198"/>
      <c r="IAT78" s="2198"/>
      <c r="IAU78" s="2198"/>
      <c r="IAV78" s="2198"/>
      <c r="IAW78" s="2198"/>
      <c r="IAX78" s="2198"/>
      <c r="IAY78" s="2198"/>
      <c r="IAZ78" s="2198"/>
      <c r="IBA78" s="2198"/>
      <c r="IBB78" s="2198"/>
      <c r="IBC78" s="2198"/>
      <c r="IBD78" s="2198"/>
      <c r="IBE78" s="2198"/>
      <c r="IBF78" s="2198"/>
      <c r="IBG78" s="2198"/>
      <c r="IBH78" s="2198"/>
      <c r="IBI78" s="2198"/>
      <c r="IBJ78" s="2198"/>
      <c r="IBK78" s="2198"/>
      <c r="IBL78" s="2198"/>
      <c r="IBM78" s="2198"/>
      <c r="IBN78" s="2198"/>
      <c r="IBO78" s="2198"/>
      <c r="IBP78" s="2198"/>
      <c r="IBQ78" s="2198"/>
      <c r="IBR78" s="2198"/>
      <c r="IBS78" s="2198"/>
      <c r="IBT78" s="2198"/>
      <c r="IBU78" s="2198"/>
      <c r="IBV78" s="2198"/>
      <c r="IBW78" s="2198"/>
      <c r="IBX78" s="2198"/>
      <c r="IBY78" s="2198"/>
      <c r="IBZ78" s="2198"/>
      <c r="ICA78" s="2198"/>
      <c r="ICB78" s="2198"/>
      <c r="ICC78" s="2198"/>
      <c r="ICD78" s="2198"/>
      <c r="ICE78" s="2198"/>
      <c r="ICF78" s="2198"/>
      <c r="ICG78" s="2198"/>
      <c r="ICH78" s="2198"/>
      <c r="ICI78" s="2198"/>
      <c r="ICJ78" s="2198"/>
      <c r="ICK78" s="2198"/>
      <c r="ICL78" s="2198"/>
      <c r="ICM78" s="2198"/>
      <c r="ICN78" s="2198"/>
      <c r="ICO78" s="2198"/>
      <c r="ICP78" s="2198"/>
      <c r="ICQ78" s="2198"/>
      <c r="ICR78" s="2198"/>
      <c r="ICS78" s="2198"/>
      <c r="ICT78" s="2198"/>
      <c r="ICU78" s="2198"/>
      <c r="ICV78" s="2198"/>
      <c r="ICW78" s="2198"/>
      <c r="ICX78" s="2198"/>
      <c r="ICY78" s="2198"/>
      <c r="ICZ78" s="2198"/>
      <c r="IDA78" s="2198"/>
      <c r="IDB78" s="2198"/>
      <c r="IDC78" s="2198"/>
      <c r="IDD78" s="2198"/>
      <c r="IDE78" s="2198"/>
      <c r="IDF78" s="2198"/>
      <c r="IDG78" s="2198"/>
      <c r="IDH78" s="2198"/>
      <c r="IDI78" s="2198"/>
      <c r="IDJ78" s="2198"/>
      <c r="IDK78" s="2198"/>
      <c r="IDL78" s="2198"/>
      <c r="IDM78" s="2198"/>
      <c r="IDN78" s="2198"/>
      <c r="IDO78" s="2198"/>
      <c r="IDP78" s="2198"/>
      <c r="IDQ78" s="2198"/>
      <c r="IDR78" s="2198"/>
      <c r="IDS78" s="2198"/>
      <c r="IDT78" s="2198"/>
      <c r="IDU78" s="2198"/>
      <c r="IDV78" s="2198"/>
      <c r="IDW78" s="2198"/>
      <c r="IDX78" s="2198"/>
      <c r="IDY78" s="2198"/>
      <c r="IDZ78" s="2198"/>
      <c r="IEA78" s="2198"/>
      <c r="IEB78" s="2198"/>
      <c r="IEC78" s="2198"/>
      <c r="IED78" s="2198"/>
      <c r="IEE78" s="2198"/>
      <c r="IEF78" s="2198"/>
      <c r="IEG78" s="2198"/>
      <c r="IEH78" s="2198"/>
      <c r="IEI78" s="2198"/>
      <c r="IEJ78" s="2198"/>
      <c r="IEK78" s="2198"/>
      <c r="IEL78" s="2198"/>
      <c r="IEM78" s="2198"/>
      <c r="IEN78" s="2198"/>
      <c r="IEO78" s="2198"/>
      <c r="IEP78" s="2198"/>
      <c r="IEQ78" s="2198"/>
      <c r="IER78" s="2198"/>
      <c r="IES78" s="2198"/>
      <c r="IET78" s="2198"/>
      <c r="IEU78" s="2198"/>
      <c r="IEV78" s="2198"/>
      <c r="IEW78" s="2198"/>
      <c r="IEX78" s="2198"/>
      <c r="IEY78" s="2198"/>
      <c r="IEZ78" s="2198"/>
      <c r="IFA78" s="2198"/>
      <c r="IFB78" s="2198"/>
      <c r="IFC78" s="2198"/>
      <c r="IFD78" s="2198"/>
      <c r="IFE78" s="2198"/>
      <c r="IFF78" s="2198"/>
      <c r="IFG78" s="2198"/>
      <c r="IFH78" s="2198"/>
      <c r="IFI78" s="2198"/>
      <c r="IFJ78" s="2198"/>
      <c r="IFK78" s="2198"/>
      <c r="IFL78" s="2198"/>
      <c r="IFM78" s="2198"/>
      <c r="IFN78" s="2198"/>
      <c r="IFO78" s="2198"/>
      <c r="IFP78" s="2198"/>
      <c r="IFQ78" s="2198"/>
      <c r="IFR78" s="2198"/>
      <c r="IFS78" s="2198"/>
      <c r="IFT78" s="2198"/>
      <c r="IFU78" s="2198"/>
      <c r="IFV78" s="2198"/>
      <c r="IFW78" s="2198"/>
      <c r="IFX78" s="2198"/>
      <c r="IFY78" s="2198"/>
      <c r="IFZ78" s="2198"/>
      <c r="IGA78" s="2198"/>
      <c r="IGB78" s="2198"/>
      <c r="IGC78" s="2198"/>
      <c r="IGD78" s="2198"/>
      <c r="IGE78" s="2198"/>
      <c r="IGF78" s="2198"/>
      <c r="IGG78" s="2198"/>
      <c r="IGH78" s="2198"/>
      <c r="IGI78" s="2198"/>
      <c r="IGJ78" s="2198"/>
      <c r="IGK78" s="2198"/>
      <c r="IGL78" s="2198"/>
      <c r="IGM78" s="2198"/>
      <c r="IGN78" s="2198"/>
      <c r="IGO78" s="2198"/>
      <c r="IGP78" s="2198"/>
      <c r="IGQ78" s="2198"/>
      <c r="IGR78" s="2198"/>
      <c r="IGS78" s="2198"/>
      <c r="IGT78" s="2198"/>
      <c r="IGU78" s="2198"/>
      <c r="IGV78" s="2198"/>
      <c r="IGW78" s="2198"/>
      <c r="IGX78" s="2198"/>
      <c r="IGY78" s="2198"/>
      <c r="IGZ78" s="2198"/>
      <c r="IHA78" s="2198"/>
      <c r="IHB78" s="2198"/>
      <c r="IHC78" s="2198"/>
      <c r="IHD78" s="2198"/>
      <c r="IHE78" s="2198"/>
      <c r="IHF78" s="2198"/>
      <c r="IHG78" s="2198"/>
      <c r="IHH78" s="2198"/>
      <c r="IHI78" s="2198"/>
      <c r="IHJ78" s="2198"/>
      <c r="IHK78" s="2198"/>
      <c r="IHL78" s="2198"/>
      <c r="IHM78" s="2198"/>
      <c r="IHN78" s="2198"/>
      <c r="IHO78" s="2198"/>
      <c r="IHP78" s="2198"/>
      <c r="IHQ78" s="2198"/>
      <c r="IHR78" s="2198"/>
      <c r="IHS78" s="2198"/>
      <c r="IHT78" s="2198"/>
      <c r="IHU78" s="2198"/>
      <c r="IHV78" s="2198"/>
      <c r="IHW78" s="2198"/>
      <c r="IHX78" s="2198"/>
      <c r="IHY78" s="2198"/>
      <c r="IHZ78" s="2198"/>
      <c r="IIA78" s="2198"/>
      <c r="IIB78" s="2198"/>
      <c r="IIC78" s="2198"/>
      <c r="IID78" s="2198"/>
      <c r="IIE78" s="2198"/>
      <c r="IIF78" s="2198"/>
      <c r="IIG78" s="2198"/>
      <c r="IIH78" s="2198"/>
      <c r="III78" s="2198"/>
      <c r="IIJ78" s="2198"/>
      <c r="IIK78" s="2198"/>
      <c r="IIL78" s="2198"/>
      <c r="IIM78" s="2198"/>
      <c r="IIN78" s="2198"/>
      <c r="IIO78" s="2198"/>
      <c r="IIP78" s="2198"/>
      <c r="IIQ78" s="2198"/>
      <c r="IIR78" s="2198"/>
      <c r="IIS78" s="2198"/>
      <c r="IIT78" s="2198"/>
      <c r="IIU78" s="2198"/>
      <c r="IIV78" s="2198"/>
      <c r="IIW78" s="2198"/>
      <c r="IIX78" s="2198"/>
      <c r="IIY78" s="2198"/>
      <c r="IIZ78" s="2198"/>
      <c r="IJA78" s="2198"/>
      <c r="IJB78" s="2198"/>
      <c r="IJC78" s="2198"/>
      <c r="IJD78" s="2198"/>
      <c r="IJE78" s="2198"/>
      <c r="IJF78" s="2198"/>
      <c r="IJG78" s="2198"/>
      <c r="IJH78" s="2198"/>
      <c r="IJI78" s="2198"/>
      <c r="IJJ78" s="2198"/>
      <c r="IJK78" s="2198"/>
      <c r="IJL78" s="2198"/>
      <c r="IJM78" s="2198"/>
      <c r="IJN78" s="2198"/>
      <c r="IJO78" s="2198"/>
      <c r="IJP78" s="2198"/>
      <c r="IJQ78" s="2198"/>
      <c r="IJR78" s="2198"/>
      <c r="IJS78" s="2198"/>
      <c r="IJT78" s="2198"/>
      <c r="IJU78" s="2198"/>
      <c r="IJV78" s="2198"/>
      <c r="IJW78" s="2198"/>
      <c r="IJX78" s="2198"/>
      <c r="IJY78" s="2198"/>
      <c r="IJZ78" s="2198"/>
      <c r="IKA78" s="2198"/>
      <c r="IKB78" s="2198"/>
      <c r="IKC78" s="2198"/>
      <c r="IKD78" s="2198"/>
      <c r="IKE78" s="2198"/>
      <c r="IKF78" s="2198"/>
      <c r="IKG78" s="2198"/>
      <c r="IKH78" s="2198"/>
      <c r="IKI78" s="2198"/>
      <c r="IKJ78" s="2198"/>
      <c r="IKK78" s="2198"/>
      <c r="IKL78" s="2198"/>
      <c r="IKM78" s="2198"/>
      <c r="IKN78" s="2198"/>
      <c r="IKO78" s="2198"/>
      <c r="IKP78" s="2198"/>
      <c r="IKQ78" s="2198"/>
      <c r="IKR78" s="2198"/>
      <c r="IKS78" s="2198"/>
      <c r="IKT78" s="2198"/>
      <c r="IKU78" s="2198"/>
      <c r="IKV78" s="2198"/>
      <c r="IKW78" s="2198"/>
      <c r="IKX78" s="2198"/>
      <c r="IKY78" s="2198"/>
      <c r="IKZ78" s="2198"/>
      <c r="ILA78" s="2198"/>
      <c r="ILB78" s="2198"/>
      <c r="ILC78" s="2198"/>
      <c r="ILD78" s="2198"/>
      <c r="ILE78" s="2198"/>
      <c r="ILF78" s="2198"/>
      <c r="ILG78" s="2198"/>
      <c r="ILH78" s="2198"/>
      <c r="ILI78" s="2198"/>
      <c r="ILJ78" s="2198"/>
      <c r="ILK78" s="2198"/>
      <c r="ILL78" s="2198"/>
      <c r="ILM78" s="2198"/>
      <c r="ILN78" s="2198"/>
      <c r="ILO78" s="2198"/>
      <c r="ILP78" s="2198"/>
      <c r="ILQ78" s="2198"/>
      <c r="ILR78" s="2198"/>
      <c r="ILS78" s="2198"/>
      <c r="ILT78" s="2198"/>
      <c r="ILU78" s="2198"/>
      <c r="ILV78" s="2198"/>
      <c r="ILW78" s="2198"/>
      <c r="ILX78" s="2198"/>
      <c r="ILY78" s="2198"/>
      <c r="ILZ78" s="2198"/>
      <c r="IMA78" s="2198"/>
      <c r="IMB78" s="2198"/>
      <c r="IMC78" s="2198"/>
      <c r="IMD78" s="2198"/>
      <c r="IME78" s="2198"/>
      <c r="IMF78" s="2198"/>
      <c r="IMG78" s="2198"/>
      <c r="IMH78" s="2198"/>
      <c r="IMI78" s="2198"/>
      <c r="IMJ78" s="2198"/>
      <c r="IMK78" s="2198"/>
      <c r="IML78" s="2198"/>
      <c r="IMM78" s="2198"/>
      <c r="IMN78" s="2198"/>
      <c r="IMO78" s="2198"/>
      <c r="IMP78" s="2198"/>
      <c r="IMQ78" s="2198"/>
      <c r="IMR78" s="2198"/>
      <c r="IMS78" s="2198"/>
      <c r="IMT78" s="2198"/>
      <c r="IMU78" s="2198"/>
      <c r="IMV78" s="2198"/>
      <c r="IMW78" s="2198"/>
      <c r="IMX78" s="2198"/>
      <c r="IMY78" s="2198"/>
      <c r="IMZ78" s="2198"/>
      <c r="INA78" s="2198"/>
      <c r="INB78" s="2198"/>
      <c r="INC78" s="2198"/>
      <c r="IND78" s="2198"/>
      <c r="INE78" s="2198"/>
      <c r="INF78" s="2198"/>
      <c r="ING78" s="2198"/>
      <c r="INH78" s="2198"/>
      <c r="INI78" s="2198"/>
      <c r="INJ78" s="2198"/>
      <c r="INK78" s="2198"/>
      <c r="INL78" s="2198"/>
      <c r="INM78" s="2198"/>
      <c r="INN78" s="2198"/>
      <c r="INO78" s="2198"/>
      <c r="INP78" s="2198"/>
      <c r="INQ78" s="2198"/>
      <c r="INR78" s="2198"/>
      <c r="INS78" s="2198"/>
      <c r="INT78" s="2198"/>
      <c r="INU78" s="2198"/>
      <c r="INV78" s="2198"/>
      <c r="INW78" s="2198"/>
      <c r="INX78" s="2198"/>
      <c r="INY78" s="2198"/>
      <c r="INZ78" s="2198"/>
      <c r="IOA78" s="2198"/>
      <c r="IOB78" s="2198"/>
      <c r="IOC78" s="2198"/>
      <c r="IOD78" s="2198"/>
      <c r="IOE78" s="2198"/>
      <c r="IOF78" s="2198"/>
      <c r="IOG78" s="2198"/>
      <c r="IOH78" s="2198"/>
      <c r="IOI78" s="2198"/>
      <c r="IOJ78" s="2198"/>
      <c r="IOK78" s="2198"/>
      <c r="IOL78" s="2198"/>
      <c r="IOM78" s="2198"/>
      <c r="ION78" s="2198"/>
      <c r="IOO78" s="2198"/>
      <c r="IOP78" s="2198"/>
      <c r="IOQ78" s="2198"/>
      <c r="IOR78" s="2198"/>
      <c r="IOS78" s="2198"/>
      <c r="IOT78" s="2198"/>
      <c r="IOU78" s="2198"/>
      <c r="IOV78" s="2198"/>
      <c r="IOW78" s="2198"/>
      <c r="IOX78" s="2198"/>
      <c r="IOY78" s="2198"/>
      <c r="IOZ78" s="2198"/>
      <c r="IPA78" s="2198"/>
      <c r="IPB78" s="2198"/>
      <c r="IPC78" s="2198"/>
      <c r="IPD78" s="2198"/>
      <c r="IPE78" s="2198"/>
      <c r="IPF78" s="2198"/>
      <c r="IPG78" s="2198"/>
      <c r="IPH78" s="2198"/>
      <c r="IPI78" s="2198"/>
      <c r="IPJ78" s="2198"/>
      <c r="IPK78" s="2198"/>
      <c r="IPL78" s="2198"/>
      <c r="IPM78" s="2198"/>
      <c r="IPN78" s="2198"/>
      <c r="IPO78" s="2198"/>
      <c r="IPP78" s="2198"/>
      <c r="IPQ78" s="2198"/>
      <c r="IPR78" s="2198"/>
      <c r="IPS78" s="2198"/>
      <c r="IPT78" s="2198"/>
      <c r="IPU78" s="2198"/>
      <c r="IPV78" s="2198"/>
      <c r="IPW78" s="2198"/>
      <c r="IPX78" s="2198"/>
      <c r="IPY78" s="2198"/>
      <c r="IPZ78" s="2198"/>
      <c r="IQA78" s="2198"/>
      <c r="IQB78" s="2198"/>
      <c r="IQC78" s="2198"/>
      <c r="IQD78" s="2198"/>
      <c r="IQE78" s="2198"/>
      <c r="IQF78" s="2198"/>
      <c r="IQG78" s="2198"/>
      <c r="IQH78" s="2198"/>
      <c r="IQI78" s="2198"/>
      <c r="IQJ78" s="2198"/>
      <c r="IQK78" s="2198"/>
      <c r="IQL78" s="2198"/>
      <c r="IQM78" s="2198"/>
      <c r="IQN78" s="2198"/>
      <c r="IQO78" s="2198"/>
      <c r="IQP78" s="2198"/>
      <c r="IQQ78" s="2198"/>
      <c r="IQR78" s="2198"/>
      <c r="IQS78" s="2198"/>
      <c r="IQT78" s="2198"/>
      <c r="IQU78" s="2198"/>
      <c r="IQV78" s="2198"/>
      <c r="IQW78" s="2198"/>
      <c r="IQX78" s="2198"/>
      <c r="IQY78" s="2198"/>
      <c r="IQZ78" s="2198"/>
      <c r="IRA78" s="2198"/>
      <c r="IRB78" s="2198"/>
      <c r="IRC78" s="2198"/>
      <c r="IRD78" s="2198"/>
      <c r="IRE78" s="2198"/>
      <c r="IRF78" s="2198"/>
      <c r="IRG78" s="2198"/>
      <c r="IRH78" s="2198"/>
      <c r="IRI78" s="2198"/>
      <c r="IRJ78" s="2198"/>
      <c r="IRK78" s="2198"/>
      <c r="IRL78" s="2198"/>
      <c r="IRM78" s="2198"/>
      <c r="IRN78" s="2198"/>
      <c r="IRO78" s="2198"/>
      <c r="IRP78" s="2198"/>
      <c r="IRQ78" s="2198"/>
      <c r="IRR78" s="2198"/>
      <c r="IRS78" s="2198"/>
      <c r="IRT78" s="2198"/>
      <c r="IRU78" s="2198"/>
      <c r="IRV78" s="2198"/>
      <c r="IRW78" s="2198"/>
      <c r="IRX78" s="2198"/>
      <c r="IRY78" s="2198"/>
      <c r="IRZ78" s="2198"/>
      <c r="ISA78" s="2198"/>
      <c r="ISB78" s="2198"/>
      <c r="ISC78" s="2198"/>
      <c r="ISD78" s="2198"/>
      <c r="ISE78" s="2198"/>
      <c r="ISF78" s="2198"/>
      <c r="ISG78" s="2198"/>
      <c r="ISH78" s="2198"/>
      <c r="ISI78" s="2198"/>
      <c r="ISJ78" s="2198"/>
      <c r="ISK78" s="2198"/>
      <c r="ISL78" s="2198"/>
      <c r="ISM78" s="2198"/>
      <c r="ISN78" s="2198"/>
      <c r="ISO78" s="2198"/>
      <c r="ISP78" s="2198"/>
      <c r="ISQ78" s="2198"/>
      <c r="ISR78" s="2198"/>
      <c r="ISS78" s="2198"/>
      <c r="IST78" s="2198"/>
      <c r="ISU78" s="2198"/>
      <c r="ISV78" s="2198"/>
      <c r="ISW78" s="2198"/>
      <c r="ISX78" s="2198"/>
      <c r="ISY78" s="2198"/>
      <c r="ISZ78" s="2198"/>
      <c r="ITA78" s="2198"/>
      <c r="ITB78" s="2198"/>
      <c r="ITC78" s="2198"/>
      <c r="ITD78" s="2198"/>
      <c r="ITE78" s="2198"/>
      <c r="ITF78" s="2198"/>
      <c r="ITG78" s="2198"/>
      <c r="ITH78" s="2198"/>
      <c r="ITI78" s="2198"/>
      <c r="ITJ78" s="2198"/>
      <c r="ITK78" s="2198"/>
      <c r="ITL78" s="2198"/>
      <c r="ITM78" s="2198"/>
      <c r="ITN78" s="2198"/>
      <c r="ITO78" s="2198"/>
      <c r="ITP78" s="2198"/>
      <c r="ITQ78" s="2198"/>
      <c r="ITR78" s="2198"/>
      <c r="ITS78" s="2198"/>
      <c r="ITT78" s="2198"/>
      <c r="ITU78" s="2198"/>
      <c r="ITV78" s="2198"/>
      <c r="ITW78" s="2198"/>
      <c r="ITX78" s="2198"/>
      <c r="ITY78" s="2198"/>
      <c r="ITZ78" s="2198"/>
      <c r="IUA78" s="2198"/>
      <c r="IUB78" s="2198"/>
      <c r="IUC78" s="2198"/>
      <c r="IUD78" s="2198"/>
      <c r="IUE78" s="2198"/>
      <c r="IUF78" s="2198"/>
      <c r="IUG78" s="2198"/>
      <c r="IUH78" s="2198"/>
      <c r="IUI78" s="2198"/>
      <c r="IUJ78" s="2198"/>
      <c r="IUK78" s="2198"/>
      <c r="IUL78" s="2198"/>
      <c r="IUM78" s="2198"/>
      <c r="IUN78" s="2198"/>
      <c r="IUO78" s="2198"/>
      <c r="IUP78" s="2198"/>
      <c r="IUQ78" s="2198"/>
      <c r="IUR78" s="2198"/>
      <c r="IUS78" s="2198"/>
      <c r="IUT78" s="2198"/>
      <c r="IUU78" s="2198"/>
      <c r="IUV78" s="2198"/>
      <c r="IUW78" s="2198"/>
      <c r="IUX78" s="2198"/>
      <c r="IUY78" s="2198"/>
      <c r="IUZ78" s="2198"/>
      <c r="IVA78" s="2198"/>
      <c r="IVB78" s="2198"/>
      <c r="IVC78" s="2198"/>
      <c r="IVD78" s="2198"/>
      <c r="IVE78" s="2198"/>
      <c r="IVF78" s="2198"/>
      <c r="IVG78" s="2198"/>
      <c r="IVH78" s="2198"/>
      <c r="IVI78" s="2198"/>
      <c r="IVJ78" s="2198"/>
      <c r="IVK78" s="2198"/>
      <c r="IVL78" s="2198"/>
      <c r="IVM78" s="2198"/>
      <c r="IVN78" s="2198"/>
      <c r="IVO78" s="2198"/>
      <c r="IVP78" s="2198"/>
      <c r="IVQ78" s="2198"/>
      <c r="IVR78" s="2198"/>
      <c r="IVS78" s="2198"/>
      <c r="IVT78" s="2198"/>
      <c r="IVU78" s="2198"/>
      <c r="IVV78" s="2198"/>
      <c r="IVW78" s="2198"/>
      <c r="IVX78" s="2198"/>
      <c r="IVY78" s="2198"/>
      <c r="IVZ78" s="2198"/>
      <c r="IWA78" s="2198"/>
      <c r="IWB78" s="2198"/>
      <c r="IWC78" s="2198"/>
      <c r="IWD78" s="2198"/>
      <c r="IWE78" s="2198"/>
      <c r="IWF78" s="2198"/>
      <c r="IWG78" s="2198"/>
      <c r="IWH78" s="2198"/>
      <c r="IWI78" s="2198"/>
      <c r="IWJ78" s="2198"/>
      <c r="IWK78" s="2198"/>
      <c r="IWL78" s="2198"/>
      <c r="IWM78" s="2198"/>
      <c r="IWN78" s="2198"/>
      <c r="IWO78" s="2198"/>
      <c r="IWP78" s="2198"/>
      <c r="IWQ78" s="2198"/>
      <c r="IWR78" s="2198"/>
      <c r="IWS78" s="2198"/>
      <c r="IWT78" s="2198"/>
      <c r="IWU78" s="2198"/>
      <c r="IWV78" s="2198"/>
      <c r="IWW78" s="2198"/>
      <c r="IWX78" s="2198"/>
      <c r="IWY78" s="2198"/>
      <c r="IWZ78" s="2198"/>
      <c r="IXA78" s="2198"/>
      <c r="IXB78" s="2198"/>
      <c r="IXC78" s="2198"/>
      <c r="IXD78" s="2198"/>
      <c r="IXE78" s="2198"/>
      <c r="IXF78" s="2198"/>
      <c r="IXG78" s="2198"/>
      <c r="IXH78" s="2198"/>
      <c r="IXI78" s="2198"/>
      <c r="IXJ78" s="2198"/>
      <c r="IXK78" s="2198"/>
      <c r="IXL78" s="2198"/>
      <c r="IXM78" s="2198"/>
      <c r="IXN78" s="2198"/>
      <c r="IXO78" s="2198"/>
      <c r="IXP78" s="2198"/>
      <c r="IXQ78" s="2198"/>
      <c r="IXR78" s="2198"/>
      <c r="IXS78" s="2198"/>
      <c r="IXT78" s="2198"/>
      <c r="IXU78" s="2198"/>
      <c r="IXV78" s="2198"/>
      <c r="IXW78" s="2198"/>
      <c r="IXX78" s="2198"/>
      <c r="IXY78" s="2198"/>
      <c r="IXZ78" s="2198"/>
      <c r="IYA78" s="2198"/>
      <c r="IYB78" s="2198"/>
      <c r="IYC78" s="2198"/>
      <c r="IYD78" s="2198"/>
      <c r="IYE78" s="2198"/>
      <c r="IYF78" s="2198"/>
      <c r="IYG78" s="2198"/>
      <c r="IYH78" s="2198"/>
      <c r="IYI78" s="2198"/>
      <c r="IYJ78" s="2198"/>
      <c r="IYK78" s="2198"/>
      <c r="IYL78" s="2198"/>
      <c r="IYM78" s="2198"/>
      <c r="IYN78" s="2198"/>
      <c r="IYO78" s="2198"/>
      <c r="IYP78" s="2198"/>
      <c r="IYQ78" s="2198"/>
      <c r="IYR78" s="2198"/>
      <c r="IYS78" s="2198"/>
      <c r="IYT78" s="2198"/>
      <c r="IYU78" s="2198"/>
      <c r="IYV78" s="2198"/>
      <c r="IYW78" s="2198"/>
      <c r="IYX78" s="2198"/>
      <c r="IYY78" s="2198"/>
      <c r="IYZ78" s="2198"/>
      <c r="IZA78" s="2198"/>
      <c r="IZB78" s="2198"/>
      <c r="IZC78" s="2198"/>
      <c r="IZD78" s="2198"/>
      <c r="IZE78" s="2198"/>
      <c r="IZF78" s="2198"/>
      <c r="IZG78" s="2198"/>
      <c r="IZH78" s="2198"/>
      <c r="IZI78" s="2198"/>
      <c r="IZJ78" s="2198"/>
      <c r="IZK78" s="2198"/>
      <c r="IZL78" s="2198"/>
      <c r="IZM78" s="2198"/>
      <c r="IZN78" s="2198"/>
      <c r="IZO78" s="2198"/>
      <c r="IZP78" s="2198"/>
      <c r="IZQ78" s="2198"/>
      <c r="IZR78" s="2198"/>
      <c r="IZS78" s="2198"/>
      <c r="IZT78" s="2198"/>
      <c r="IZU78" s="2198"/>
      <c r="IZV78" s="2198"/>
      <c r="IZW78" s="2198"/>
      <c r="IZX78" s="2198"/>
      <c r="IZY78" s="2198"/>
      <c r="IZZ78" s="2198"/>
      <c r="JAA78" s="2198"/>
      <c r="JAB78" s="2198"/>
      <c r="JAC78" s="2198"/>
      <c r="JAD78" s="2198"/>
      <c r="JAE78" s="2198"/>
      <c r="JAF78" s="2198"/>
      <c r="JAG78" s="2198"/>
      <c r="JAH78" s="2198"/>
      <c r="JAI78" s="2198"/>
      <c r="JAJ78" s="2198"/>
      <c r="JAK78" s="2198"/>
      <c r="JAL78" s="2198"/>
      <c r="JAM78" s="2198"/>
      <c r="JAN78" s="2198"/>
      <c r="JAO78" s="2198"/>
      <c r="JAP78" s="2198"/>
      <c r="JAQ78" s="2198"/>
      <c r="JAR78" s="2198"/>
      <c r="JAS78" s="2198"/>
      <c r="JAT78" s="2198"/>
      <c r="JAU78" s="2198"/>
      <c r="JAV78" s="2198"/>
      <c r="JAW78" s="2198"/>
      <c r="JAX78" s="2198"/>
      <c r="JAY78" s="2198"/>
      <c r="JAZ78" s="2198"/>
      <c r="JBA78" s="2198"/>
      <c r="JBB78" s="2198"/>
      <c r="JBC78" s="2198"/>
      <c r="JBD78" s="2198"/>
      <c r="JBE78" s="2198"/>
      <c r="JBF78" s="2198"/>
      <c r="JBG78" s="2198"/>
      <c r="JBH78" s="2198"/>
      <c r="JBI78" s="2198"/>
      <c r="JBJ78" s="2198"/>
      <c r="JBK78" s="2198"/>
      <c r="JBL78" s="2198"/>
      <c r="JBM78" s="2198"/>
      <c r="JBN78" s="2198"/>
      <c r="JBO78" s="2198"/>
      <c r="JBP78" s="2198"/>
      <c r="JBQ78" s="2198"/>
      <c r="JBR78" s="2198"/>
      <c r="JBS78" s="2198"/>
      <c r="JBT78" s="2198"/>
      <c r="JBU78" s="2198"/>
      <c r="JBV78" s="2198"/>
      <c r="JBW78" s="2198"/>
      <c r="JBX78" s="2198"/>
      <c r="JBY78" s="2198"/>
      <c r="JBZ78" s="2198"/>
      <c r="JCA78" s="2198"/>
      <c r="JCB78" s="2198"/>
      <c r="JCC78" s="2198"/>
      <c r="JCD78" s="2198"/>
      <c r="JCE78" s="2198"/>
      <c r="JCF78" s="2198"/>
      <c r="JCG78" s="2198"/>
      <c r="JCH78" s="2198"/>
      <c r="JCI78" s="2198"/>
      <c r="JCJ78" s="2198"/>
      <c r="JCK78" s="2198"/>
      <c r="JCL78" s="2198"/>
      <c r="JCM78" s="2198"/>
      <c r="JCN78" s="2198"/>
      <c r="JCO78" s="2198"/>
      <c r="JCP78" s="2198"/>
      <c r="JCQ78" s="2198"/>
      <c r="JCR78" s="2198"/>
      <c r="JCS78" s="2198"/>
      <c r="JCT78" s="2198"/>
      <c r="JCU78" s="2198"/>
      <c r="JCV78" s="2198"/>
      <c r="JCW78" s="2198"/>
      <c r="JCX78" s="2198"/>
      <c r="JCY78" s="2198"/>
      <c r="JCZ78" s="2198"/>
      <c r="JDA78" s="2198"/>
      <c r="JDB78" s="2198"/>
      <c r="JDC78" s="2198"/>
      <c r="JDD78" s="2198"/>
      <c r="JDE78" s="2198"/>
      <c r="JDF78" s="2198"/>
      <c r="JDG78" s="2198"/>
      <c r="JDH78" s="2198"/>
      <c r="JDI78" s="2198"/>
      <c r="JDJ78" s="2198"/>
      <c r="JDK78" s="2198"/>
      <c r="JDL78" s="2198"/>
      <c r="JDM78" s="2198"/>
      <c r="JDN78" s="2198"/>
      <c r="JDO78" s="2198"/>
      <c r="JDP78" s="2198"/>
      <c r="JDQ78" s="2198"/>
      <c r="JDR78" s="2198"/>
      <c r="JDS78" s="2198"/>
      <c r="JDT78" s="2198"/>
      <c r="JDU78" s="2198"/>
      <c r="JDV78" s="2198"/>
      <c r="JDW78" s="2198"/>
      <c r="JDX78" s="2198"/>
      <c r="JDY78" s="2198"/>
      <c r="JDZ78" s="2198"/>
      <c r="JEA78" s="2198"/>
      <c r="JEB78" s="2198"/>
      <c r="JEC78" s="2198"/>
      <c r="JED78" s="2198"/>
      <c r="JEE78" s="2198"/>
      <c r="JEF78" s="2198"/>
      <c r="JEG78" s="2198"/>
      <c r="JEH78" s="2198"/>
      <c r="JEI78" s="2198"/>
      <c r="JEJ78" s="2198"/>
      <c r="JEK78" s="2198"/>
      <c r="JEL78" s="2198"/>
      <c r="JEM78" s="2198"/>
      <c r="JEN78" s="2198"/>
      <c r="JEO78" s="2198"/>
      <c r="JEP78" s="2198"/>
      <c r="JEQ78" s="2198"/>
      <c r="JER78" s="2198"/>
      <c r="JES78" s="2198"/>
      <c r="JET78" s="2198"/>
      <c r="JEU78" s="2198"/>
      <c r="JEV78" s="2198"/>
      <c r="JEW78" s="2198"/>
      <c r="JEX78" s="2198"/>
      <c r="JEY78" s="2198"/>
      <c r="JEZ78" s="2198"/>
      <c r="JFA78" s="2198"/>
      <c r="JFB78" s="2198"/>
      <c r="JFC78" s="2198"/>
      <c r="JFD78" s="2198"/>
      <c r="JFE78" s="2198"/>
      <c r="JFF78" s="2198"/>
      <c r="JFG78" s="2198"/>
      <c r="JFH78" s="2198"/>
      <c r="JFI78" s="2198"/>
      <c r="JFJ78" s="2198"/>
      <c r="JFK78" s="2198"/>
      <c r="JFL78" s="2198"/>
      <c r="JFM78" s="2198"/>
      <c r="JFN78" s="2198"/>
      <c r="JFO78" s="2198"/>
      <c r="JFP78" s="2198"/>
      <c r="JFQ78" s="2198"/>
      <c r="JFR78" s="2198"/>
      <c r="JFS78" s="2198"/>
      <c r="JFT78" s="2198"/>
      <c r="JFU78" s="2198"/>
      <c r="JFV78" s="2198"/>
      <c r="JFW78" s="2198"/>
      <c r="JFX78" s="2198"/>
      <c r="JFY78" s="2198"/>
      <c r="JFZ78" s="2198"/>
      <c r="JGA78" s="2198"/>
      <c r="JGB78" s="2198"/>
      <c r="JGC78" s="2198"/>
      <c r="JGD78" s="2198"/>
      <c r="JGE78" s="2198"/>
      <c r="JGF78" s="2198"/>
      <c r="JGG78" s="2198"/>
      <c r="JGH78" s="2198"/>
      <c r="JGI78" s="2198"/>
      <c r="JGJ78" s="2198"/>
      <c r="JGK78" s="2198"/>
      <c r="JGL78" s="2198"/>
      <c r="JGM78" s="2198"/>
      <c r="JGN78" s="2198"/>
      <c r="JGO78" s="2198"/>
      <c r="JGP78" s="2198"/>
      <c r="JGQ78" s="2198"/>
      <c r="JGR78" s="2198"/>
      <c r="JGS78" s="2198"/>
      <c r="JGT78" s="2198"/>
      <c r="JGU78" s="2198"/>
      <c r="JGV78" s="2198"/>
      <c r="JGW78" s="2198"/>
      <c r="JGX78" s="2198"/>
      <c r="JGY78" s="2198"/>
      <c r="JGZ78" s="2198"/>
      <c r="JHA78" s="2198"/>
      <c r="JHB78" s="2198"/>
      <c r="JHC78" s="2198"/>
      <c r="JHD78" s="2198"/>
      <c r="JHE78" s="2198"/>
      <c r="JHF78" s="2198"/>
      <c r="JHG78" s="2198"/>
      <c r="JHH78" s="2198"/>
      <c r="JHI78" s="2198"/>
      <c r="JHJ78" s="2198"/>
      <c r="JHK78" s="2198"/>
      <c r="JHL78" s="2198"/>
      <c r="JHM78" s="2198"/>
      <c r="JHN78" s="2198"/>
      <c r="JHO78" s="2198"/>
      <c r="JHP78" s="2198"/>
      <c r="JHQ78" s="2198"/>
      <c r="JHR78" s="2198"/>
      <c r="JHS78" s="2198"/>
      <c r="JHT78" s="2198"/>
      <c r="JHU78" s="2198"/>
      <c r="JHV78" s="2198"/>
      <c r="JHW78" s="2198"/>
      <c r="JHX78" s="2198"/>
      <c r="JHY78" s="2198"/>
      <c r="JHZ78" s="2198"/>
      <c r="JIA78" s="2198"/>
      <c r="JIB78" s="2198"/>
      <c r="JIC78" s="2198"/>
      <c r="JID78" s="2198"/>
      <c r="JIE78" s="2198"/>
      <c r="JIF78" s="2198"/>
      <c r="JIG78" s="2198"/>
      <c r="JIH78" s="2198"/>
      <c r="JII78" s="2198"/>
      <c r="JIJ78" s="2198"/>
      <c r="JIK78" s="2198"/>
      <c r="JIL78" s="2198"/>
      <c r="JIM78" s="2198"/>
      <c r="JIN78" s="2198"/>
      <c r="JIO78" s="2198"/>
      <c r="JIP78" s="2198"/>
      <c r="JIQ78" s="2198"/>
      <c r="JIR78" s="2198"/>
      <c r="JIS78" s="2198"/>
      <c r="JIT78" s="2198"/>
      <c r="JIU78" s="2198"/>
      <c r="JIV78" s="2198"/>
      <c r="JIW78" s="2198"/>
      <c r="JIX78" s="2198"/>
      <c r="JIY78" s="2198"/>
      <c r="JIZ78" s="2198"/>
      <c r="JJA78" s="2198"/>
      <c r="JJB78" s="2198"/>
      <c r="JJC78" s="2198"/>
      <c r="JJD78" s="2198"/>
      <c r="JJE78" s="2198"/>
      <c r="JJF78" s="2198"/>
      <c r="JJG78" s="2198"/>
      <c r="JJH78" s="2198"/>
      <c r="JJI78" s="2198"/>
      <c r="JJJ78" s="2198"/>
      <c r="JJK78" s="2198"/>
      <c r="JJL78" s="2198"/>
      <c r="JJM78" s="2198"/>
      <c r="JJN78" s="2198"/>
      <c r="JJO78" s="2198"/>
      <c r="JJP78" s="2198"/>
      <c r="JJQ78" s="2198"/>
      <c r="JJR78" s="2198"/>
      <c r="JJS78" s="2198"/>
      <c r="JJT78" s="2198"/>
      <c r="JJU78" s="2198"/>
      <c r="JJV78" s="2198"/>
      <c r="JJW78" s="2198"/>
      <c r="JJX78" s="2198"/>
      <c r="JJY78" s="2198"/>
      <c r="JJZ78" s="2198"/>
      <c r="JKA78" s="2198"/>
      <c r="JKB78" s="2198"/>
      <c r="JKC78" s="2198"/>
      <c r="JKD78" s="2198"/>
      <c r="JKE78" s="2198"/>
      <c r="JKF78" s="2198"/>
      <c r="JKG78" s="2198"/>
      <c r="JKH78" s="2198"/>
      <c r="JKI78" s="2198"/>
      <c r="JKJ78" s="2198"/>
      <c r="JKK78" s="2198"/>
      <c r="JKL78" s="2198"/>
      <c r="JKM78" s="2198"/>
      <c r="JKN78" s="2198"/>
      <c r="JKO78" s="2198"/>
      <c r="JKP78" s="2198"/>
      <c r="JKQ78" s="2198"/>
      <c r="JKR78" s="2198"/>
      <c r="JKS78" s="2198"/>
      <c r="JKT78" s="2198"/>
      <c r="JKU78" s="2198"/>
      <c r="JKV78" s="2198"/>
      <c r="JKW78" s="2198"/>
      <c r="JKX78" s="2198"/>
      <c r="JKY78" s="2198"/>
      <c r="JKZ78" s="2198"/>
      <c r="JLA78" s="2198"/>
      <c r="JLB78" s="2198"/>
      <c r="JLC78" s="2198"/>
      <c r="JLD78" s="2198"/>
      <c r="JLE78" s="2198"/>
      <c r="JLF78" s="2198"/>
      <c r="JLG78" s="2198"/>
      <c r="JLH78" s="2198"/>
      <c r="JLI78" s="2198"/>
      <c r="JLJ78" s="2198"/>
      <c r="JLK78" s="2198"/>
      <c r="JLL78" s="2198"/>
      <c r="JLM78" s="2198"/>
      <c r="JLN78" s="2198"/>
      <c r="JLO78" s="2198"/>
      <c r="JLP78" s="2198"/>
      <c r="JLQ78" s="2198"/>
      <c r="JLR78" s="2198"/>
      <c r="JLS78" s="2198"/>
      <c r="JLT78" s="2198"/>
      <c r="JLU78" s="2198"/>
      <c r="JLV78" s="2198"/>
      <c r="JLW78" s="2198"/>
      <c r="JLX78" s="2198"/>
      <c r="JLY78" s="2198"/>
      <c r="JLZ78" s="2198"/>
      <c r="JMA78" s="2198"/>
      <c r="JMB78" s="2198"/>
      <c r="JMC78" s="2198"/>
      <c r="JMD78" s="2198"/>
      <c r="JME78" s="2198"/>
      <c r="JMF78" s="2198"/>
      <c r="JMG78" s="2198"/>
      <c r="JMH78" s="2198"/>
      <c r="JMI78" s="2198"/>
      <c r="JMJ78" s="2198"/>
      <c r="JMK78" s="2198"/>
      <c r="JML78" s="2198"/>
      <c r="JMM78" s="2198"/>
      <c r="JMN78" s="2198"/>
      <c r="JMO78" s="2198"/>
      <c r="JMP78" s="2198"/>
      <c r="JMQ78" s="2198"/>
      <c r="JMR78" s="2198"/>
      <c r="JMS78" s="2198"/>
      <c r="JMT78" s="2198"/>
      <c r="JMU78" s="2198"/>
      <c r="JMV78" s="2198"/>
      <c r="JMW78" s="2198"/>
      <c r="JMX78" s="2198"/>
      <c r="JMY78" s="2198"/>
      <c r="JMZ78" s="2198"/>
      <c r="JNA78" s="2198"/>
      <c r="JNB78" s="2198"/>
      <c r="JNC78" s="2198"/>
      <c r="JND78" s="2198"/>
      <c r="JNE78" s="2198"/>
      <c r="JNF78" s="2198"/>
      <c r="JNG78" s="2198"/>
      <c r="JNH78" s="2198"/>
      <c r="JNI78" s="2198"/>
      <c r="JNJ78" s="2198"/>
      <c r="JNK78" s="2198"/>
      <c r="JNL78" s="2198"/>
      <c r="JNM78" s="2198"/>
      <c r="JNN78" s="2198"/>
      <c r="JNO78" s="2198"/>
      <c r="JNP78" s="2198"/>
      <c r="JNQ78" s="2198"/>
      <c r="JNR78" s="2198"/>
      <c r="JNS78" s="2198"/>
      <c r="JNT78" s="2198"/>
      <c r="JNU78" s="2198"/>
      <c r="JNV78" s="2198"/>
      <c r="JNW78" s="2198"/>
      <c r="JNX78" s="2198"/>
      <c r="JNY78" s="2198"/>
      <c r="JNZ78" s="2198"/>
      <c r="JOA78" s="2198"/>
      <c r="JOB78" s="2198"/>
      <c r="JOC78" s="2198"/>
      <c r="JOD78" s="2198"/>
      <c r="JOE78" s="2198"/>
      <c r="JOF78" s="2198"/>
      <c r="JOG78" s="2198"/>
      <c r="JOH78" s="2198"/>
      <c r="JOI78" s="2198"/>
      <c r="JOJ78" s="2198"/>
      <c r="JOK78" s="2198"/>
      <c r="JOL78" s="2198"/>
      <c r="JOM78" s="2198"/>
      <c r="JON78" s="2198"/>
      <c r="JOO78" s="2198"/>
      <c r="JOP78" s="2198"/>
      <c r="JOQ78" s="2198"/>
      <c r="JOR78" s="2198"/>
      <c r="JOS78" s="2198"/>
      <c r="JOT78" s="2198"/>
      <c r="JOU78" s="2198"/>
      <c r="JOV78" s="2198"/>
      <c r="JOW78" s="2198"/>
      <c r="JOX78" s="2198"/>
      <c r="JOY78" s="2198"/>
      <c r="JOZ78" s="2198"/>
      <c r="JPA78" s="2198"/>
      <c r="JPB78" s="2198"/>
      <c r="JPC78" s="2198"/>
      <c r="JPD78" s="2198"/>
      <c r="JPE78" s="2198"/>
      <c r="JPF78" s="2198"/>
      <c r="JPG78" s="2198"/>
      <c r="JPH78" s="2198"/>
      <c r="JPI78" s="2198"/>
      <c r="JPJ78" s="2198"/>
      <c r="JPK78" s="2198"/>
      <c r="JPL78" s="2198"/>
      <c r="JPM78" s="2198"/>
      <c r="JPN78" s="2198"/>
      <c r="JPO78" s="2198"/>
      <c r="JPP78" s="2198"/>
      <c r="JPQ78" s="2198"/>
      <c r="JPR78" s="2198"/>
      <c r="JPS78" s="2198"/>
      <c r="JPT78" s="2198"/>
      <c r="JPU78" s="2198"/>
      <c r="JPV78" s="2198"/>
      <c r="JPW78" s="2198"/>
      <c r="JPX78" s="2198"/>
      <c r="JPY78" s="2198"/>
      <c r="JPZ78" s="2198"/>
      <c r="JQA78" s="2198"/>
      <c r="JQB78" s="2198"/>
      <c r="JQC78" s="2198"/>
      <c r="JQD78" s="2198"/>
      <c r="JQE78" s="2198"/>
      <c r="JQF78" s="2198"/>
      <c r="JQG78" s="2198"/>
      <c r="JQH78" s="2198"/>
      <c r="JQI78" s="2198"/>
      <c r="JQJ78" s="2198"/>
      <c r="JQK78" s="2198"/>
      <c r="JQL78" s="2198"/>
      <c r="JQM78" s="2198"/>
      <c r="JQN78" s="2198"/>
      <c r="JQO78" s="2198"/>
      <c r="JQP78" s="2198"/>
      <c r="JQQ78" s="2198"/>
      <c r="JQR78" s="2198"/>
      <c r="JQS78" s="2198"/>
      <c r="JQT78" s="2198"/>
      <c r="JQU78" s="2198"/>
      <c r="JQV78" s="2198"/>
      <c r="JQW78" s="2198"/>
      <c r="JQX78" s="2198"/>
      <c r="JQY78" s="2198"/>
      <c r="JQZ78" s="2198"/>
      <c r="JRA78" s="2198"/>
      <c r="JRB78" s="2198"/>
      <c r="JRC78" s="2198"/>
      <c r="JRD78" s="2198"/>
      <c r="JRE78" s="2198"/>
      <c r="JRF78" s="2198"/>
      <c r="JRG78" s="2198"/>
      <c r="JRH78" s="2198"/>
      <c r="JRI78" s="2198"/>
      <c r="JRJ78" s="2198"/>
      <c r="JRK78" s="2198"/>
      <c r="JRL78" s="2198"/>
      <c r="JRM78" s="2198"/>
      <c r="JRN78" s="2198"/>
      <c r="JRO78" s="2198"/>
      <c r="JRP78" s="2198"/>
      <c r="JRQ78" s="2198"/>
      <c r="JRR78" s="2198"/>
      <c r="JRS78" s="2198"/>
      <c r="JRT78" s="2198"/>
      <c r="JRU78" s="2198"/>
      <c r="JRV78" s="2198"/>
      <c r="JRW78" s="2198"/>
      <c r="JRX78" s="2198"/>
      <c r="JRY78" s="2198"/>
      <c r="JRZ78" s="2198"/>
      <c r="JSA78" s="2198"/>
      <c r="JSB78" s="2198"/>
      <c r="JSC78" s="2198"/>
      <c r="JSD78" s="2198"/>
      <c r="JSE78" s="2198"/>
      <c r="JSF78" s="2198"/>
      <c r="JSG78" s="2198"/>
      <c r="JSH78" s="2198"/>
      <c r="JSI78" s="2198"/>
      <c r="JSJ78" s="2198"/>
      <c r="JSK78" s="2198"/>
      <c r="JSL78" s="2198"/>
      <c r="JSM78" s="2198"/>
      <c r="JSN78" s="2198"/>
      <c r="JSO78" s="2198"/>
      <c r="JSP78" s="2198"/>
      <c r="JSQ78" s="2198"/>
      <c r="JSR78" s="2198"/>
      <c r="JSS78" s="2198"/>
      <c r="JST78" s="2198"/>
      <c r="JSU78" s="2198"/>
      <c r="JSV78" s="2198"/>
      <c r="JSW78" s="2198"/>
      <c r="JSX78" s="2198"/>
      <c r="JSY78" s="2198"/>
      <c r="JSZ78" s="2198"/>
      <c r="JTA78" s="2198"/>
      <c r="JTB78" s="2198"/>
      <c r="JTC78" s="2198"/>
      <c r="JTD78" s="2198"/>
      <c r="JTE78" s="2198"/>
      <c r="JTF78" s="2198"/>
      <c r="JTG78" s="2198"/>
      <c r="JTH78" s="2198"/>
      <c r="JTI78" s="2198"/>
      <c r="JTJ78" s="2198"/>
      <c r="JTK78" s="2198"/>
      <c r="JTL78" s="2198"/>
      <c r="JTM78" s="2198"/>
      <c r="JTN78" s="2198"/>
      <c r="JTO78" s="2198"/>
      <c r="JTP78" s="2198"/>
      <c r="JTQ78" s="2198"/>
      <c r="JTR78" s="2198"/>
      <c r="JTS78" s="2198"/>
      <c r="JTT78" s="2198"/>
      <c r="JTU78" s="2198"/>
      <c r="JTV78" s="2198"/>
      <c r="JTW78" s="2198"/>
      <c r="JTX78" s="2198"/>
      <c r="JTY78" s="2198"/>
      <c r="JTZ78" s="2198"/>
      <c r="JUA78" s="2198"/>
      <c r="JUB78" s="2198"/>
      <c r="JUC78" s="2198"/>
      <c r="JUD78" s="2198"/>
      <c r="JUE78" s="2198"/>
      <c r="JUF78" s="2198"/>
      <c r="JUG78" s="2198"/>
      <c r="JUH78" s="2198"/>
      <c r="JUI78" s="2198"/>
      <c r="JUJ78" s="2198"/>
      <c r="JUK78" s="2198"/>
      <c r="JUL78" s="2198"/>
      <c r="JUM78" s="2198"/>
      <c r="JUN78" s="2198"/>
      <c r="JUO78" s="2198"/>
      <c r="JUP78" s="2198"/>
      <c r="JUQ78" s="2198"/>
      <c r="JUR78" s="2198"/>
      <c r="JUS78" s="2198"/>
      <c r="JUT78" s="2198"/>
      <c r="JUU78" s="2198"/>
      <c r="JUV78" s="2198"/>
      <c r="JUW78" s="2198"/>
      <c r="JUX78" s="2198"/>
      <c r="JUY78" s="2198"/>
      <c r="JUZ78" s="2198"/>
      <c r="JVA78" s="2198"/>
      <c r="JVB78" s="2198"/>
      <c r="JVC78" s="2198"/>
      <c r="JVD78" s="2198"/>
      <c r="JVE78" s="2198"/>
      <c r="JVF78" s="2198"/>
      <c r="JVG78" s="2198"/>
      <c r="JVH78" s="2198"/>
      <c r="JVI78" s="2198"/>
      <c r="JVJ78" s="2198"/>
      <c r="JVK78" s="2198"/>
      <c r="JVL78" s="2198"/>
      <c r="JVM78" s="2198"/>
      <c r="JVN78" s="2198"/>
      <c r="JVO78" s="2198"/>
      <c r="JVP78" s="2198"/>
      <c r="JVQ78" s="2198"/>
      <c r="JVR78" s="2198"/>
      <c r="JVS78" s="2198"/>
      <c r="JVT78" s="2198"/>
      <c r="JVU78" s="2198"/>
      <c r="JVV78" s="2198"/>
      <c r="JVW78" s="2198"/>
      <c r="JVX78" s="2198"/>
      <c r="JVY78" s="2198"/>
      <c r="JVZ78" s="2198"/>
      <c r="JWA78" s="2198"/>
      <c r="JWB78" s="2198"/>
      <c r="JWC78" s="2198"/>
      <c r="JWD78" s="2198"/>
      <c r="JWE78" s="2198"/>
      <c r="JWF78" s="2198"/>
      <c r="JWG78" s="2198"/>
      <c r="JWH78" s="2198"/>
      <c r="JWI78" s="2198"/>
      <c r="JWJ78" s="2198"/>
      <c r="JWK78" s="2198"/>
      <c r="JWL78" s="2198"/>
      <c r="JWM78" s="2198"/>
      <c r="JWN78" s="2198"/>
      <c r="JWO78" s="2198"/>
      <c r="JWP78" s="2198"/>
      <c r="JWQ78" s="2198"/>
      <c r="JWR78" s="2198"/>
      <c r="JWS78" s="2198"/>
      <c r="JWT78" s="2198"/>
      <c r="JWU78" s="2198"/>
      <c r="JWV78" s="2198"/>
      <c r="JWW78" s="2198"/>
      <c r="JWX78" s="2198"/>
      <c r="JWY78" s="2198"/>
      <c r="JWZ78" s="2198"/>
      <c r="JXA78" s="2198"/>
      <c r="JXB78" s="2198"/>
      <c r="JXC78" s="2198"/>
      <c r="JXD78" s="2198"/>
      <c r="JXE78" s="2198"/>
      <c r="JXF78" s="2198"/>
      <c r="JXG78" s="2198"/>
      <c r="JXH78" s="2198"/>
      <c r="JXI78" s="2198"/>
      <c r="JXJ78" s="2198"/>
      <c r="JXK78" s="2198"/>
      <c r="JXL78" s="2198"/>
      <c r="JXM78" s="2198"/>
      <c r="JXN78" s="2198"/>
      <c r="JXO78" s="2198"/>
      <c r="JXP78" s="2198"/>
      <c r="JXQ78" s="2198"/>
      <c r="JXR78" s="2198"/>
      <c r="JXS78" s="2198"/>
      <c r="JXT78" s="2198"/>
      <c r="JXU78" s="2198"/>
      <c r="JXV78" s="2198"/>
      <c r="JXW78" s="2198"/>
      <c r="JXX78" s="2198"/>
      <c r="JXY78" s="2198"/>
      <c r="JXZ78" s="2198"/>
      <c r="JYA78" s="2198"/>
      <c r="JYB78" s="2198"/>
      <c r="JYC78" s="2198"/>
      <c r="JYD78" s="2198"/>
      <c r="JYE78" s="2198"/>
      <c r="JYF78" s="2198"/>
      <c r="JYG78" s="2198"/>
      <c r="JYH78" s="2198"/>
      <c r="JYI78" s="2198"/>
      <c r="JYJ78" s="2198"/>
      <c r="JYK78" s="2198"/>
      <c r="JYL78" s="2198"/>
      <c r="JYM78" s="2198"/>
      <c r="JYN78" s="2198"/>
      <c r="JYO78" s="2198"/>
      <c r="JYP78" s="2198"/>
      <c r="JYQ78" s="2198"/>
      <c r="JYR78" s="2198"/>
      <c r="JYS78" s="2198"/>
      <c r="JYT78" s="2198"/>
      <c r="JYU78" s="2198"/>
      <c r="JYV78" s="2198"/>
      <c r="JYW78" s="2198"/>
      <c r="JYX78" s="2198"/>
      <c r="JYY78" s="2198"/>
      <c r="JYZ78" s="2198"/>
      <c r="JZA78" s="2198"/>
      <c r="JZB78" s="2198"/>
      <c r="JZC78" s="2198"/>
      <c r="JZD78" s="2198"/>
      <c r="JZE78" s="2198"/>
      <c r="JZF78" s="2198"/>
      <c r="JZG78" s="2198"/>
      <c r="JZH78" s="2198"/>
      <c r="JZI78" s="2198"/>
      <c r="JZJ78" s="2198"/>
      <c r="JZK78" s="2198"/>
      <c r="JZL78" s="2198"/>
      <c r="JZM78" s="2198"/>
      <c r="JZN78" s="2198"/>
      <c r="JZO78" s="2198"/>
      <c r="JZP78" s="2198"/>
      <c r="JZQ78" s="2198"/>
      <c r="JZR78" s="2198"/>
      <c r="JZS78" s="2198"/>
      <c r="JZT78" s="2198"/>
      <c r="JZU78" s="2198"/>
      <c r="JZV78" s="2198"/>
      <c r="JZW78" s="2198"/>
      <c r="JZX78" s="2198"/>
      <c r="JZY78" s="2198"/>
      <c r="JZZ78" s="2198"/>
      <c r="KAA78" s="2198"/>
      <c r="KAB78" s="2198"/>
      <c r="KAC78" s="2198"/>
      <c r="KAD78" s="2198"/>
      <c r="KAE78" s="2198"/>
      <c r="KAF78" s="2198"/>
      <c r="KAG78" s="2198"/>
      <c r="KAH78" s="2198"/>
      <c r="KAI78" s="2198"/>
      <c r="KAJ78" s="2198"/>
      <c r="KAK78" s="2198"/>
      <c r="KAL78" s="2198"/>
      <c r="KAM78" s="2198"/>
      <c r="KAN78" s="2198"/>
      <c r="KAO78" s="2198"/>
      <c r="KAP78" s="2198"/>
      <c r="KAQ78" s="2198"/>
      <c r="KAR78" s="2198"/>
      <c r="KAS78" s="2198"/>
      <c r="KAT78" s="2198"/>
      <c r="KAU78" s="2198"/>
      <c r="KAV78" s="2198"/>
      <c r="KAW78" s="2198"/>
      <c r="KAX78" s="2198"/>
      <c r="KAY78" s="2198"/>
      <c r="KAZ78" s="2198"/>
      <c r="KBA78" s="2198"/>
      <c r="KBB78" s="2198"/>
      <c r="KBC78" s="2198"/>
      <c r="KBD78" s="2198"/>
      <c r="KBE78" s="2198"/>
      <c r="KBF78" s="2198"/>
      <c r="KBG78" s="2198"/>
      <c r="KBH78" s="2198"/>
      <c r="KBI78" s="2198"/>
      <c r="KBJ78" s="2198"/>
      <c r="KBK78" s="2198"/>
      <c r="KBL78" s="2198"/>
      <c r="KBM78" s="2198"/>
      <c r="KBN78" s="2198"/>
      <c r="KBO78" s="2198"/>
      <c r="KBP78" s="2198"/>
      <c r="KBQ78" s="2198"/>
      <c r="KBR78" s="2198"/>
      <c r="KBS78" s="2198"/>
      <c r="KBT78" s="2198"/>
      <c r="KBU78" s="2198"/>
      <c r="KBV78" s="2198"/>
      <c r="KBW78" s="2198"/>
      <c r="KBX78" s="2198"/>
      <c r="KBY78" s="2198"/>
      <c r="KBZ78" s="2198"/>
      <c r="KCA78" s="2198"/>
      <c r="KCB78" s="2198"/>
      <c r="KCC78" s="2198"/>
      <c r="KCD78" s="2198"/>
      <c r="KCE78" s="2198"/>
      <c r="KCF78" s="2198"/>
      <c r="KCG78" s="2198"/>
      <c r="KCH78" s="2198"/>
      <c r="KCI78" s="2198"/>
      <c r="KCJ78" s="2198"/>
      <c r="KCK78" s="2198"/>
      <c r="KCL78" s="2198"/>
      <c r="KCM78" s="2198"/>
      <c r="KCN78" s="2198"/>
      <c r="KCO78" s="2198"/>
      <c r="KCP78" s="2198"/>
      <c r="KCQ78" s="2198"/>
      <c r="KCR78" s="2198"/>
      <c r="KCS78" s="2198"/>
      <c r="KCT78" s="2198"/>
      <c r="KCU78" s="2198"/>
      <c r="KCV78" s="2198"/>
      <c r="KCW78" s="2198"/>
      <c r="KCX78" s="2198"/>
      <c r="KCY78" s="2198"/>
      <c r="KCZ78" s="2198"/>
      <c r="KDA78" s="2198"/>
      <c r="KDB78" s="2198"/>
      <c r="KDC78" s="2198"/>
      <c r="KDD78" s="2198"/>
      <c r="KDE78" s="2198"/>
      <c r="KDF78" s="2198"/>
      <c r="KDG78" s="2198"/>
      <c r="KDH78" s="2198"/>
      <c r="KDI78" s="2198"/>
      <c r="KDJ78" s="2198"/>
      <c r="KDK78" s="2198"/>
      <c r="KDL78" s="2198"/>
      <c r="KDM78" s="2198"/>
      <c r="KDN78" s="2198"/>
      <c r="KDO78" s="2198"/>
      <c r="KDP78" s="2198"/>
      <c r="KDQ78" s="2198"/>
      <c r="KDR78" s="2198"/>
      <c r="KDS78" s="2198"/>
      <c r="KDT78" s="2198"/>
      <c r="KDU78" s="2198"/>
      <c r="KDV78" s="2198"/>
      <c r="KDW78" s="2198"/>
      <c r="KDX78" s="2198"/>
      <c r="KDY78" s="2198"/>
      <c r="KDZ78" s="2198"/>
      <c r="KEA78" s="2198"/>
      <c r="KEB78" s="2198"/>
      <c r="KEC78" s="2198"/>
      <c r="KED78" s="2198"/>
      <c r="KEE78" s="2198"/>
      <c r="KEF78" s="2198"/>
      <c r="KEG78" s="2198"/>
      <c r="KEH78" s="2198"/>
      <c r="KEI78" s="2198"/>
      <c r="KEJ78" s="2198"/>
      <c r="KEK78" s="2198"/>
      <c r="KEL78" s="2198"/>
      <c r="KEM78" s="2198"/>
      <c r="KEN78" s="2198"/>
      <c r="KEO78" s="2198"/>
      <c r="KEP78" s="2198"/>
      <c r="KEQ78" s="2198"/>
      <c r="KER78" s="2198"/>
      <c r="KES78" s="2198"/>
      <c r="KET78" s="2198"/>
      <c r="KEU78" s="2198"/>
      <c r="KEV78" s="2198"/>
      <c r="KEW78" s="2198"/>
      <c r="KEX78" s="2198"/>
      <c r="KEY78" s="2198"/>
      <c r="KEZ78" s="2198"/>
      <c r="KFA78" s="2198"/>
      <c r="KFB78" s="2198"/>
      <c r="KFC78" s="2198"/>
      <c r="KFD78" s="2198"/>
      <c r="KFE78" s="2198"/>
      <c r="KFF78" s="2198"/>
      <c r="KFG78" s="2198"/>
      <c r="KFH78" s="2198"/>
      <c r="KFI78" s="2198"/>
      <c r="KFJ78" s="2198"/>
      <c r="KFK78" s="2198"/>
      <c r="KFL78" s="2198"/>
      <c r="KFM78" s="2198"/>
      <c r="KFN78" s="2198"/>
      <c r="KFO78" s="2198"/>
      <c r="KFP78" s="2198"/>
      <c r="KFQ78" s="2198"/>
      <c r="KFR78" s="2198"/>
      <c r="KFS78" s="2198"/>
      <c r="KFT78" s="2198"/>
      <c r="KFU78" s="2198"/>
      <c r="KFV78" s="2198"/>
      <c r="KFW78" s="2198"/>
      <c r="KFX78" s="2198"/>
      <c r="KFY78" s="2198"/>
      <c r="KFZ78" s="2198"/>
      <c r="KGA78" s="2198"/>
      <c r="KGB78" s="2198"/>
      <c r="KGC78" s="2198"/>
      <c r="KGD78" s="2198"/>
      <c r="KGE78" s="2198"/>
      <c r="KGF78" s="2198"/>
      <c r="KGG78" s="2198"/>
      <c r="KGH78" s="2198"/>
      <c r="KGI78" s="2198"/>
      <c r="KGJ78" s="2198"/>
      <c r="KGK78" s="2198"/>
      <c r="KGL78" s="2198"/>
      <c r="KGM78" s="2198"/>
      <c r="KGN78" s="2198"/>
      <c r="KGO78" s="2198"/>
      <c r="KGP78" s="2198"/>
      <c r="KGQ78" s="2198"/>
      <c r="KGR78" s="2198"/>
      <c r="KGS78" s="2198"/>
      <c r="KGT78" s="2198"/>
      <c r="KGU78" s="2198"/>
      <c r="KGV78" s="2198"/>
      <c r="KGW78" s="2198"/>
      <c r="KGX78" s="2198"/>
      <c r="KGY78" s="2198"/>
      <c r="KGZ78" s="2198"/>
      <c r="KHA78" s="2198"/>
      <c r="KHB78" s="2198"/>
      <c r="KHC78" s="2198"/>
      <c r="KHD78" s="2198"/>
      <c r="KHE78" s="2198"/>
      <c r="KHF78" s="2198"/>
      <c r="KHG78" s="2198"/>
      <c r="KHH78" s="2198"/>
      <c r="KHI78" s="2198"/>
      <c r="KHJ78" s="2198"/>
      <c r="KHK78" s="2198"/>
      <c r="KHL78" s="2198"/>
      <c r="KHM78" s="2198"/>
      <c r="KHN78" s="2198"/>
      <c r="KHO78" s="2198"/>
      <c r="KHP78" s="2198"/>
      <c r="KHQ78" s="2198"/>
      <c r="KHR78" s="2198"/>
      <c r="KHS78" s="2198"/>
      <c r="KHT78" s="2198"/>
      <c r="KHU78" s="2198"/>
      <c r="KHV78" s="2198"/>
      <c r="KHW78" s="2198"/>
      <c r="KHX78" s="2198"/>
      <c r="KHY78" s="2198"/>
      <c r="KHZ78" s="2198"/>
      <c r="KIA78" s="2198"/>
      <c r="KIB78" s="2198"/>
      <c r="KIC78" s="2198"/>
      <c r="KID78" s="2198"/>
      <c r="KIE78" s="2198"/>
      <c r="KIF78" s="2198"/>
      <c r="KIG78" s="2198"/>
      <c r="KIH78" s="2198"/>
      <c r="KII78" s="2198"/>
      <c r="KIJ78" s="2198"/>
      <c r="KIK78" s="2198"/>
      <c r="KIL78" s="2198"/>
      <c r="KIM78" s="2198"/>
      <c r="KIN78" s="2198"/>
      <c r="KIO78" s="2198"/>
      <c r="KIP78" s="2198"/>
      <c r="KIQ78" s="2198"/>
      <c r="KIR78" s="2198"/>
      <c r="KIS78" s="2198"/>
      <c r="KIT78" s="2198"/>
      <c r="KIU78" s="2198"/>
      <c r="KIV78" s="2198"/>
      <c r="KIW78" s="2198"/>
      <c r="KIX78" s="2198"/>
      <c r="KIY78" s="2198"/>
      <c r="KIZ78" s="2198"/>
      <c r="KJA78" s="2198"/>
      <c r="KJB78" s="2198"/>
      <c r="KJC78" s="2198"/>
      <c r="KJD78" s="2198"/>
      <c r="KJE78" s="2198"/>
      <c r="KJF78" s="2198"/>
      <c r="KJG78" s="2198"/>
      <c r="KJH78" s="2198"/>
      <c r="KJI78" s="2198"/>
      <c r="KJJ78" s="2198"/>
      <c r="KJK78" s="2198"/>
      <c r="KJL78" s="2198"/>
      <c r="KJM78" s="2198"/>
      <c r="KJN78" s="2198"/>
      <c r="KJO78" s="2198"/>
      <c r="KJP78" s="2198"/>
      <c r="KJQ78" s="2198"/>
      <c r="KJR78" s="2198"/>
      <c r="KJS78" s="2198"/>
      <c r="KJT78" s="2198"/>
      <c r="KJU78" s="2198"/>
      <c r="KJV78" s="2198"/>
      <c r="KJW78" s="2198"/>
      <c r="KJX78" s="2198"/>
      <c r="KJY78" s="2198"/>
      <c r="KJZ78" s="2198"/>
      <c r="KKA78" s="2198"/>
      <c r="KKB78" s="2198"/>
      <c r="KKC78" s="2198"/>
      <c r="KKD78" s="2198"/>
      <c r="KKE78" s="2198"/>
      <c r="KKF78" s="2198"/>
      <c r="KKG78" s="2198"/>
      <c r="KKH78" s="2198"/>
      <c r="KKI78" s="2198"/>
      <c r="KKJ78" s="2198"/>
      <c r="KKK78" s="2198"/>
      <c r="KKL78" s="2198"/>
      <c r="KKM78" s="2198"/>
      <c r="KKN78" s="2198"/>
      <c r="KKO78" s="2198"/>
      <c r="KKP78" s="2198"/>
      <c r="KKQ78" s="2198"/>
      <c r="KKR78" s="2198"/>
      <c r="KKS78" s="2198"/>
      <c r="KKT78" s="2198"/>
      <c r="KKU78" s="2198"/>
      <c r="KKV78" s="2198"/>
      <c r="KKW78" s="2198"/>
      <c r="KKX78" s="2198"/>
      <c r="KKY78" s="2198"/>
      <c r="KKZ78" s="2198"/>
      <c r="KLA78" s="2198"/>
      <c r="KLB78" s="2198"/>
      <c r="KLC78" s="2198"/>
      <c r="KLD78" s="2198"/>
      <c r="KLE78" s="2198"/>
      <c r="KLF78" s="2198"/>
      <c r="KLG78" s="2198"/>
      <c r="KLH78" s="2198"/>
      <c r="KLI78" s="2198"/>
      <c r="KLJ78" s="2198"/>
      <c r="KLK78" s="2198"/>
      <c r="KLL78" s="2198"/>
      <c r="KLM78" s="2198"/>
      <c r="KLN78" s="2198"/>
      <c r="KLO78" s="2198"/>
      <c r="KLP78" s="2198"/>
      <c r="KLQ78" s="2198"/>
      <c r="KLR78" s="2198"/>
      <c r="KLS78" s="2198"/>
      <c r="KLT78" s="2198"/>
      <c r="KLU78" s="2198"/>
      <c r="KLV78" s="2198"/>
      <c r="KLW78" s="2198"/>
      <c r="KLX78" s="2198"/>
      <c r="KLY78" s="2198"/>
      <c r="KLZ78" s="2198"/>
      <c r="KMA78" s="2198"/>
      <c r="KMB78" s="2198"/>
      <c r="KMC78" s="2198"/>
      <c r="KMD78" s="2198"/>
      <c r="KME78" s="2198"/>
      <c r="KMF78" s="2198"/>
      <c r="KMG78" s="2198"/>
      <c r="KMH78" s="2198"/>
      <c r="KMI78" s="2198"/>
      <c r="KMJ78" s="2198"/>
      <c r="KMK78" s="2198"/>
      <c r="KML78" s="2198"/>
      <c r="KMM78" s="2198"/>
      <c r="KMN78" s="2198"/>
      <c r="KMO78" s="2198"/>
      <c r="KMP78" s="2198"/>
      <c r="KMQ78" s="2198"/>
      <c r="KMR78" s="2198"/>
      <c r="KMS78" s="2198"/>
      <c r="KMT78" s="2198"/>
      <c r="KMU78" s="2198"/>
      <c r="KMV78" s="2198"/>
      <c r="KMW78" s="2198"/>
      <c r="KMX78" s="2198"/>
      <c r="KMY78" s="2198"/>
      <c r="KMZ78" s="2198"/>
      <c r="KNA78" s="2198"/>
      <c r="KNB78" s="2198"/>
      <c r="KNC78" s="2198"/>
      <c r="KND78" s="2198"/>
      <c r="KNE78" s="2198"/>
      <c r="KNF78" s="2198"/>
      <c r="KNG78" s="2198"/>
      <c r="KNH78" s="2198"/>
      <c r="KNI78" s="2198"/>
      <c r="KNJ78" s="2198"/>
      <c r="KNK78" s="2198"/>
      <c r="KNL78" s="2198"/>
      <c r="KNM78" s="2198"/>
      <c r="KNN78" s="2198"/>
      <c r="KNO78" s="2198"/>
      <c r="KNP78" s="2198"/>
      <c r="KNQ78" s="2198"/>
      <c r="KNR78" s="2198"/>
      <c r="KNS78" s="2198"/>
      <c r="KNT78" s="2198"/>
      <c r="KNU78" s="2198"/>
      <c r="KNV78" s="2198"/>
      <c r="KNW78" s="2198"/>
      <c r="KNX78" s="2198"/>
      <c r="KNY78" s="2198"/>
      <c r="KNZ78" s="2198"/>
      <c r="KOA78" s="2198"/>
      <c r="KOB78" s="2198"/>
      <c r="KOC78" s="2198"/>
      <c r="KOD78" s="2198"/>
      <c r="KOE78" s="2198"/>
      <c r="KOF78" s="2198"/>
      <c r="KOG78" s="2198"/>
      <c r="KOH78" s="2198"/>
      <c r="KOI78" s="2198"/>
      <c r="KOJ78" s="2198"/>
      <c r="KOK78" s="2198"/>
      <c r="KOL78" s="2198"/>
      <c r="KOM78" s="2198"/>
      <c r="KON78" s="2198"/>
      <c r="KOO78" s="2198"/>
      <c r="KOP78" s="2198"/>
      <c r="KOQ78" s="2198"/>
      <c r="KOR78" s="2198"/>
      <c r="KOS78" s="2198"/>
      <c r="KOT78" s="2198"/>
      <c r="KOU78" s="2198"/>
      <c r="KOV78" s="2198"/>
      <c r="KOW78" s="2198"/>
      <c r="KOX78" s="2198"/>
      <c r="KOY78" s="2198"/>
      <c r="KOZ78" s="2198"/>
      <c r="KPA78" s="2198"/>
      <c r="KPB78" s="2198"/>
      <c r="KPC78" s="2198"/>
      <c r="KPD78" s="2198"/>
      <c r="KPE78" s="2198"/>
      <c r="KPF78" s="2198"/>
      <c r="KPG78" s="2198"/>
      <c r="KPH78" s="2198"/>
      <c r="KPI78" s="2198"/>
      <c r="KPJ78" s="2198"/>
      <c r="KPK78" s="2198"/>
      <c r="KPL78" s="2198"/>
      <c r="KPM78" s="2198"/>
      <c r="KPN78" s="2198"/>
      <c r="KPO78" s="2198"/>
      <c r="KPP78" s="2198"/>
      <c r="KPQ78" s="2198"/>
      <c r="KPR78" s="2198"/>
      <c r="KPS78" s="2198"/>
      <c r="KPT78" s="2198"/>
      <c r="KPU78" s="2198"/>
      <c r="KPV78" s="2198"/>
      <c r="KPW78" s="2198"/>
      <c r="KPX78" s="2198"/>
      <c r="KPY78" s="2198"/>
      <c r="KPZ78" s="2198"/>
      <c r="KQA78" s="2198"/>
      <c r="KQB78" s="2198"/>
      <c r="KQC78" s="2198"/>
      <c r="KQD78" s="2198"/>
      <c r="KQE78" s="2198"/>
      <c r="KQF78" s="2198"/>
      <c r="KQG78" s="2198"/>
      <c r="KQH78" s="2198"/>
      <c r="KQI78" s="2198"/>
      <c r="KQJ78" s="2198"/>
      <c r="KQK78" s="2198"/>
      <c r="KQL78" s="2198"/>
      <c r="KQM78" s="2198"/>
      <c r="KQN78" s="2198"/>
      <c r="KQO78" s="2198"/>
      <c r="KQP78" s="2198"/>
      <c r="KQQ78" s="2198"/>
      <c r="KQR78" s="2198"/>
      <c r="KQS78" s="2198"/>
      <c r="KQT78" s="2198"/>
      <c r="KQU78" s="2198"/>
      <c r="KQV78" s="2198"/>
      <c r="KQW78" s="2198"/>
      <c r="KQX78" s="2198"/>
      <c r="KQY78" s="2198"/>
      <c r="KQZ78" s="2198"/>
      <c r="KRA78" s="2198"/>
      <c r="KRB78" s="2198"/>
      <c r="KRC78" s="2198"/>
      <c r="KRD78" s="2198"/>
      <c r="KRE78" s="2198"/>
      <c r="KRF78" s="2198"/>
      <c r="KRG78" s="2198"/>
      <c r="KRH78" s="2198"/>
      <c r="KRI78" s="2198"/>
      <c r="KRJ78" s="2198"/>
      <c r="KRK78" s="2198"/>
      <c r="KRL78" s="2198"/>
      <c r="KRM78" s="2198"/>
      <c r="KRN78" s="2198"/>
      <c r="KRO78" s="2198"/>
      <c r="KRP78" s="2198"/>
      <c r="KRQ78" s="2198"/>
      <c r="KRR78" s="2198"/>
      <c r="KRS78" s="2198"/>
      <c r="KRT78" s="2198"/>
      <c r="KRU78" s="2198"/>
      <c r="KRV78" s="2198"/>
      <c r="KRW78" s="2198"/>
      <c r="KRX78" s="2198"/>
      <c r="KRY78" s="2198"/>
      <c r="KRZ78" s="2198"/>
      <c r="KSA78" s="2198"/>
      <c r="KSB78" s="2198"/>
      <c r="KSC78" s="2198"/>
      <c r="KSD78" s="2198"/>
      <c r="KSE78" s="2198"/>
      <c r="KSF78" s="2198"/>
      <c r="KSG78" s="2198"/>
      <c r="KSH78" s="2198"/>
      <c r="KSI78" s="2198"/>
      <c r="KSJ78" s="2198"/>
      <c r="KSK78" s="2198"/>
      <c r="KSL78" s="2198"/>
      <c r="KSM78" s="2198"/>
      <c r="KSN78" s="2198"/>
      <c r="KSO78" s="2198"/>
      <c r="KSP78" s="2198"/>
      <c r="KSQ78" s="2198"/>
      <c r="KSR78" s="2198"/>
      <c r="KSS78" s="2198"/>
      <c r="KST78" s="2198"/>
      <c r="KSU78" s="2198"/>
      <c r="KSV78" s="2198"/>
      <c r="KSW78" s="2198"/>
      <c r="KSX78" s="2198"/>
      <c r="KSY78" s="2198"/>
      <c r="KSZ78" s="2198"/>
      <c r="KTA78" s="2198"/>
      <c r="KTB78" s="2198"/>
      <c r="KTC78" s="2198"/>
      <c r="KTD78" s="2198"/>
      <c r="KTE78" s="2198"/>
      <c r="KTF78" s="2198"/>
      <c r="KTG78" s="2198"/>
      <c r="KTH78" s="2198"/>
      <c r="KTI78" s="2198"/>
      <c r="KTJ78" s="2198"/>
      <c r="KTK78" s="2198"/>
      <c r="KTL78" s="2198"/>
      <c r="KTM78" s="2198"/>
      <c r="KTN78" s="2198"/>
      <c r="KTO78" s="2198"/>
      <c r="KTP78" s="2198"/>
      <c r="KTQ78" s="2198"/>
      <c r="KTR78" s="2198"/>
      <c r="KTS78" s="2198"/>
      <c r="KTT78" s="2198"/>
      <c r="KTU78" s="2198"/>
      <c r="KTV78" s="2198"/>
      <c r="KTW78" s="2198"/>
      <c r="KTX78" s="2198"/>
      <c r="KTY78" s="2198"/>
      <c r="KTZ78" s="2198"/>
      <c r="KUA78" s="2198"/>
      <c r="KUB78" s="2198"/>
      <c r="KUC78" s="2198"/>
      <c r="KUD78" s="2198"/>
      <c r="KUE78" s="2198"/>
      <c r="KUF78" s="2198"/>
      <c r="KUG78" s="2198"/>
      <c r="KUH78" s="2198"/>
      <c r="KUI78" s="2198"/>
      <c r="KUJ78" s="2198"/>
      <c r="KUK78" s="2198"/>
      <c r="KUL78" s="2198"/>
      <c r="KUM78" s="2198"/>
      <c r="KUN78" s="2198"/>
      <c r="KUO78" s="2198"/>
      <c r="KUP78" s="2198"/>
      <c r="KUQ78" s="2198"/>
      <c r="KUR78" s="2198"/>
      <c r="KUS78" s="2198"/>
      <c r="KUT78" s="2198"/>
      <c r="KUU78" s="2198"/>
      <c r="KUV78" s="2198"/>
      <c r="KUW78" s="2198"/>
      <c r="KUX78" s="2198"/>
      <c r="KUY78" s="2198"/>
      <c r="KUZ78" s="2198"/>
      <c r="KVA78" s="2198"/>
      <c r="KVB78" s="2198"/>
      <c r="KVC78" s="2198"/>
      <c r="KVD78" s="2198"/>
      <c r="KVE78" s="2198"/>
      <c r="KVF78" s="2198"/>
      <c r="KVG78" s="2198"/>
      <c r="KVH78" s="2198"/>
      <c r="KVI78" s="2198"/>
      <c r="KVJ78" s="2198"/>
      <c r="KVK78" s="2198"/>
      <c r="KVL78" s="2198"/>
      <c r="KVM78" s="2198"/>
      <c r="KVN78" s="2198"/>
      <c r="KVO78" s="2198"/>
      <c r="KVP78" s="2198"/>
      <c r="KVQ78" s="2198"/>
      <c r="KVR78" s="2198"/>
      <c r="KVS78" s="2198"/>
      <c r="KVT78" s="2198"/>
      <c r="KVU78" s="2198"/>
      <c r="KVV78" s="2198"/>
      <c r="KVW78" s="2198"/>
      <c r="KVX78" s="2198"/>
      <c r="KVY78" s="2198"/>
      <c r="KVZ78" s="2198"/>
      <c r="KWA78" s="2198"/>
      <c r="KWB78" s="2198"/>
      <c r="KWC78" s="2198"/>
      <c r="KWD78" s="2198"/>
      <c r="KWE78" s="2198"/>
      <c r="KWF78" s="2198"/>
      <c r="KWG78" s="2198"/>
      <c r="KWH78" s="2198"/>
      <c r="KWI78" s="2198"/>
      <c r="KWJ78" s="2198"/>
      <c r="KWK78" s="2198"/>
      <c r="KWL78" s="2198"/>
      <c r="KWM78" s="2198"/>
      <c r="KWN78" s="2198"/>
      <c r="KWO78" s="2198"/>
      <c r="KWP78" s="2198"/>
      <c r="KWQ78" s="2198"/>
      <c r="KWR78" s="2198"/>
      <c r="KWS78" s="2198"/>
      <c r="KWT78" s="2198"/>
      <c r="KWU78" s="2198"/>
      <c r="KWV78" s="2198"/>
      <c r="KWW78" s="2198"/>
      <c r="KWX78" s="2198"/>
      <c r="KWY78" s="2198"/>
      <c r="KWZ78" s="2198"/>
      <c r="KXA78" s="2198"/>
      <c r="KXB78" s="2198"/>
      <c r="KXC78" s="2198"/>
      <c r="KXD78" s="2198"/>
      <c r="KXE78" s="2198"/>
      <c r="KXF78" s="2198"/>
      <c r="KXG78" s="2198"/>
      <c r="KXH78" s="2198"/>
      <c r="KXI78" s="2198"/>
      <c r="KXJ78" s="2198"/>
      <c r="KXK78" s="2198"/>
      <c r="KXL78" s="2198"/>
      <c r="KXM78" s="2198"/>
      <c r="KXN78" s="2198"/>
      <c r="KXO78" s="2198"/>
      <c r="KXP78" s="2198"/>
      <c r="KXQ78" s="2198"/>
      <c r="KXR78" s="2198"/>
      <c r="KXS78" s="2198"/>
      <c r="KXT78" s="2198"/>
      <c r="KXU78" s="2198"/>
      <c r="KXV78" s="2198"/>
      <c r="KXW78" s="2198"/>
      <c r="KXX78" s="2198"/>
      <c r="KXY78" s="2198"/>
      <c r="KXZ78" s="2198"/>
      <c r="KYA78" s="2198"/>
      <c r="KYB78" s="2198"/>
      <c r="KYC78" s="2198"/>
      <c r="KYD78" s="2198"/>
      <c r="KYE78" s="2198"/>
      <c r="KYF78" s="2198"/>
      <c r="KYG78" s="2198"/>
      <c r="KYH78" s="2198"/>
      <c r="KYI78" s="2198"/>
      <c r="KYJ78" s="2198"/>
      <c r="KYK78" s="2198"/>
      <c r="KYL78" s="2198"/>
      <c r="KYM78" s="2198"/>
      <c r="KYN78" s="2198"/>
      <c r="KYO78" s="2198"/>
      <c r="KYP78" s="2198"/>
      <c r="KYQ78" s="2198"/>
      <c r="KYR78" s="2198"/>
      <c r="KYS78" s="2198"/>
      <c r="KYT78" s="2198"/>
      <c r="KYU78" s="2198"/>
      <c r="KYV78" s="2198"/>
      <c r="KYW78" s="2198"/>
      <c r="KYX78" s="2198"/>
      <c r="KYY78" s="2198"/>
      <c r="KYZ78" s="2198"/>
      <c r="KZA78" s="2198"/>
      <c r="KZB78" s="2198"/>
      <c r="KZC78" s="2198"/>
      <c r="KZD78" s="2198"/>
      <c r="KZE78" s="2198"/>
      <c r="KZF78" s="2198"/>
      <c r="KZG78" s="2198"/>
      <c r="KZH78" s="2198"/>
      <c r="KZI78" s="2198"/>
      <c r="KZJ78" s="2198"/>
      <c r="KZK78" s="2198"/>
      <c r="KZL78" s="2198"/>
      <c r="KZM78" s="2198"/>
      <c r="KZN78" s="2198"/>
      <c r="KZO78" s="2198"/>
      <c r="KZP78" s="2198"/>
      <c r="KZQ78" s="2198"/>
      <c r="KZR78" s="2198"/>
      <c r="KZS78" s="2198"/>
      <c r="KZT78" s="2198"/>
      <c r="KZU78" s="2198"/>
      <c r="KZV78" s="2198"/>
      <c r="KZW78" s="2198"/>
      <c r="KZX78" s="2198"/>
      <c r="KZY78" s="2198"/>
      <c r="KZZ78" s="2198"/>
      <c r="LAA78" s="2198"/>
      <c r="LAB78" s="2198"/>
      <c r="LAC78" s="2198"/>
      <c r="LAD78" s="2198"/>
      <c r="LAE78" s="2198"/>
      <c r="LAF78" s="2198"/>
      <c r="LAG78" s="2198"/>
      <c r="LAH78" s="2198"/>
      <c r="LAI78" s="2198"/>
      <c r="LAJ78" s="2198"/>
      <c r="LAK78" s="2198"/>
      <c r="LAL78" s="2198"/>
      <c r="LAM78" s="2198"/>
      <c r="LAN78" s="2198"/>
      <c r="LAO78" s="2198"/>
      <c r="LAP78" s="2198"/>
      <c r="LAQ78" s="2198"/>
      <c r="LAR78" s="2198"/>
      <c r="LAS78" s="2198"/>
      <c r="LAT78" s="2198"/>
      <c r="LAU78" s="2198"/>
      <c r="LAV78" s="2198"/>
      <c r="LAW78" s="2198"/>
      <c r="LAX78" s="2198"/>
      <c r="LAY78" s="2198"/>
      <c r="LAZ78" s="2198"/>
      <c r="LBA78" s="2198"/>
      <c r="LBB78" s="2198"/>
      <c r="LBC78" s="2198"/>
      <c r="LBD78" s="2198"/>
      <c r="LBE78" s="2198"/>
      <c r="LBF78" s="2198"/>
      <c r="LBG78" s="2198"/>
      <c r="LBH78" s="2198"/>
      <c r="LBI78" s="2198"/>
      <c r="LBJ78" s="2198"/>
      <c r="LBK78" s="2198"/>
      <c r="LBL78" s="2198"/>
      <c r="LBM78" s="2198"/>
      <c r="LBN78" s="2198"/>
      <c r="LBO78" s="2198"/>
      <c r="LBP78" s="2198"/>
      <c r="LBQ78" s="2198"/>
      <c r="LBR78" s="2198"/>
      <c r="LBS78" s="2198"/>
      <c r="LBT78" s="2198"/>
      <c r="LBU78" s="2198"/>
      <c r="LBV78" s="2198"/>
      <c r="LBW78" s="2198"/>
      <c r="LBX78" s="2198"/>
      <c r="LBY78" s="2198"/>
      <c r="LBZ78" s="2198"/>
      <c r="LCA78" s="2198"/>
      <c r="LCB78" s="2198"/>
      <c r="LCC78" s="2198"/>
      <c r="LCD78" s="2198"/>
      <c r="LCE78" s="2198"/>
      <c r="LCF78" s="2198"/>
      <c r="LCG78" s="2198"/>
      <c r="LCH78" s="2198"/>
      <c r="LCI78" s="2198"/>
      <c r="LCJ78" s="2198"/>
      <c r="LCK78" s="2198"/>
      <c r="LCL78" s="2198"/>
      <c r="LCM78" s="2198"/>
      <c r="LCN78" s="2198"/>
      <c r="LCO78" s="2198"/>
      <c r="LCP78" s="2198"/>
      <c r="LCQ78" s="2198"/>
      <c r="LCR78" s="2198"/>
      <c r="LCS78" s="2198"/>
      <c r="LCT78" s="2198"/>
      <c r="LCU78" s="2198"/>
      <c r="LCV78" s="2198"/>
      <c r="LCW78" s="2198"/>
      <c r="LCX78" s="2198"/>
      <c r="LCY78" s="2198"/>
      <c r="LCZ78" s="2198"/>
      <c r="LDA78" s="2198"/>
      <c r="LDB78" s="2198"/>
      <c r="LDC78" s="2198"/>
      <c r="LDD78" s="2198"/>
      <c r="LDE78" s="2198"/>
      <c r="LDF78" s="2198"/>
      <c r="LDG78" s="2198"/>
      <c r="LDH78" s="2198"/>
      <c r="LDI78" s="2198"/>
      <c r="LDJ78" s="2198"/>
      <c r="LDK78" s="2198"/>
      <c r="LDL78" s="2198"/>
      <c r="LDM78" s="2198"/>
      <c r="LDN78" s="2198"/>
      <c r="LDO78" s="2198"/>
      <c r="LDP78" s="2198"/>
      <c r="LDQ78" s="2198"/>
      <c r="LDR78" s="2198"/>
      <c r="LDS78" s="2198"/>
      <c r="LDT78" s="2198"/>
      <c r="LDU78" s="2198"/>
      <c r="LDV78" s="2198"/>
      <c r="LDW78" s="2198"/>
      <c r="LDX78" s="2198"/>
      <c r="LDY78" s="2198"/>
      <c r="LDZ78" s="2198"/>
      <c r="LEA78" s="2198"/>
      <c r="LEB78" s="2198"/>
      <c r="LEC78" s="2198"/>
      <c r="LED78" s="2198"/>
      <c r="LEE78" s="2198"/>
      <c r="LEF78" s="2198"/>
      <c r="LEG78" s="2198"/>
      <c r="LEH78" s="2198"/>
      <c r="LEI78" s="2198"/>
      <c r="LEJ78" s="2198"/>
      <c r="LEK78" s="2198"/>
      <c r="LEL78" s="2198"/>
      <c r="LEM78" s="2198"/>
      <c r="LEN78" s="2198"/>
      <c r="LEO78" s="2198"/>
      <c r="LEP78" s="2198"/>
      <c r="LEQ78" s="2198"/>
      <c r="LER78" s="2198"/>
      <c r="LES78" s="2198"/>
      <c r="LET78" s="2198"/>
      <c r="LEU78" s="2198"/>
      <c r="LEV78" s="2198"/>
      <c r="LEW78" s="2198"/>
      <c r="LEX78" s="2198"/>
      <c r="LEY78" s="2198"/>
      <c r="LEZ78" s="2198"/>
      <c r="LFA78" s="2198"/>
      <c r="LFB78" s="2198"/>
      <c r="LFC78" s="2198"/>
      <c r="LFD78" s="2198"/>
      <c r="LFE78" s="2198"/>
      <c r="LFF78" s="2198"/>
      <c r="LFG78" s="2198"/>
      <c r="LFH78" s="2198"/>
      <c r="LFI78" s="2198"/>
      <c r="LFJ78" s="2198"/>
      <c r="LFK78" s="2198"/>
      <c r="LFL78" s="2198"/>
      <c r="LFM78" s="2198"/>
      <c r="LFN78" s="2198"/>
      <c r="LFO78" s="2198"/>
      <c r="LFP78" s="2198"/>
      <c r="LFQ78" s="2198"/>
      <c r="LFR78" s="2198"/>
      <c r="LFS78" s="2198"/>
      <c r="LFT78" s="2198"/>
      <c r="LFU78" s="2198"/>
      <c r="LFV78" s="2198"/>
      <c r="LFW78" s="2198"/>
      <c r="LFX78" s="2198"/>
      <c r="LFY78" s="2198"/>
      <c r="LFZ78" s="2198"/>
      <c r="LGA78" s="2198"/>
      <c r="LGB78" s="2198"/>
      <c r="LGC78" s="2198"/>
      <c r="LGD78" s="2198"/>
      <c r="LGE78" s="2198"/>
      <c r="LGF78" s="2198"/>
      <c r="LGG78" s="2198"/>
      <c r="LGH78" s="2198"/>
      <c r="LGI78" s="2198"/>
      <c r="LGJ78" s="2198"/>
      <c r="LGK78" s="2198"/>
      <c r="LGL78" s="2198"/>
      <c r="LGM78" s="2198"/>
      <c r="LGN78" s="2198"/>
      <c r="LGO78" s="2198"/>
      <c r="LGP78" s="2198"/>
      <c r="LGQ78" s="2198"/>
      <c r="LGR78" s="2198"/>
      <c r="LGS78" s="2198"/>
      <c r="LGT78" s="2198"/>
      <c r="LGU78" s="2198"/>
      <c r="LGV78" s="2198"/>
      <c r="LGW78" s="2198"/>
      <c r="LGX78" s="2198"/>
      <c r="LGY78" s="2198"/>
      <c r="LGZ78" s="2198"/>
      <c r="LHA78" s="2198"/>
      <c r="LHB78" s="2198"/>
      <c r="LHC78" s="2198"/>
      <c r="LHD78" s="2198"/>
      <c r="LHE78" s="2198"/>
      <c r="LHF78" s="2198"/>
      <c r="LHG78" s="2198"/>
      <c r="LHH78" s="2198"/>
      <c r="LHI78" s="2198"/>
      <c r="LHJ78" s="2198"/>
      <c r="LHK78" s="2198"/>
      <c r="LHL78" s="2198"/>
      <c r="LHM78" s="2198"/>
      <c r="LHN78" s="2198"/>
      <c r="LHO78" s="2198"/>
      <c r="LHP78" s="2198"/>
      <c r="LHQ78" s="2198"/>
      <c r="LHR78" s="2198"/>
      <c r="LHS78" s="2198"/>
      <c r="LHT78" s="2198"/>
      <c r="LHU78" s="2198"/>
      <c r="LHV78" s="2198"/>
      <c r="LHW78" s="2198"/>
      <c r="LHX78" s="2198"/>
      <c r="LHY78" s="2198"/>
      <c r="LHZ78" s="2198"/>
      <c r="LIA78" s="2198"/>
      <c r="LIB78" s="2198"/>
      <c r="LIC78" s="2198"/>
      <c r="LID78" s="2198"/>
      <c r="LIE78" s="2198"/>
      <c r="LIF78" s="2198"/>
      <c r="LIG78" s="2198"/>
      <c r="LIH78" s="2198"/>
      <c r="LII78" s="2198"/>
      <c r="LIJ78" s="2198"/>
      <c r="LIK78" s="2198"/>
      <c r="LIL78" s="2198"/>
      <c r="LIM78" s="2198"/>
      <c r="LIN78" s="2198"/>
      <c r="LIO78" s="2198"/>
      <c r="LIP78" s="2198"/>
      <c r="LIQ78" s="2198"/>
      <c r="LIR78" s="2198"/>
      <c r="LIS78" s="2198"/>
      <c r="LIT78" s="2198"/>
      <c r="LIU78" s="2198"/>
      <c r="LIV78" s="2198"/>
      <c r="LIW78" s="2198"/>
      <c r="LIX78" s="2198"/>
      <c r="LIY78" s="2198"/>
      <c r="LIZ78" s="2198"/>
      <c r="LJA78" s="2198"/>
      <c r="LJB78" s="2198"/>
      <c r="LJC78" s="2198"/>
      <c r="LJD78" s="2198"/>
      <c r="LJE78" s="2198"/>
      <c r="LJF78" s="2198"/>
      <c r="LJG78" s="2198"/>
      <c r="LJH78" s="2198"/>
      <c r="LJI78" s="2198"/>
      <c r="LJJ78" s="2198"/>
      <c r="LJK78" s="2198"/>
      <c r="LJL78" s="2198"/>
      <c r="LJM78" s="2198"/>
      <c r="LJN78" s="2198"/>
      <c r="LJO78" s="2198"/>
      <c r="LJP78" s="2198"/>
      <c r="LJQ78" s="2198"/>
      <c r="LJR78" s="2198"/>
      <c r="LJS78" s="2198"/>
      <c r="LJT78" s="2198"/>
      <c r="LJU78" s="2198"/>
      <c r="LJV78" s="2198"/>
      <c r="LJW78" s="2198"/>
      <c r="LJX78" s="2198"/>
      <c r="LJY78" s="2198"/>
      <c r="LJZ78" s="2198"/>
      <c r="LKA78" s="2198"/>
      <c r="LKB78" s="2198"/>
      <c r="LKC78" s="2198"/>
      <c r="LKD78" s="2198"/>
      <c r="LKE78" s="2198"/>
      <c r="LKF78" s="2198"/>
      <c r="LKG78" s="2198"/>
      <c r="LKH78" s="2198"/>
      <c r="LKI78" s="2198"/>
      <c r="LKJ78" s="2198"/>
      <c r="LKK78" s="2198"/>
      <c r="LKL78" s="2198"/>
      <c r="LKM78" s="2198"/>
      <c r="LKN78" s="2198"/>
      <c r="LKO78" s="2198"/>
      <c r="LKP78" s="2198"/>
      <c r="LKQ78" s="2198"/>
      <c r="LKR78" s="2198"/>
      <c r="LKS78" s="2198"/>
      <c r="LKT78" s="2198"/>
      <c r="LKU78" s="2198"/>
      <c r="LKV78" s="2198"/>
      <c r="LKW78" s="2198"/>
      <c r="LKX78" s="2198"/>
      <c r="LKY78" s="2198"/>
      <c r="LKZ78" s="2198"/>
      <c r="LLA78" s="2198"/>
      <c r="LLB78" s="2198"/>
      <c r="LLC78" s="2198"/>
      <c r="LLD78" s="2198"/>
      <c r="LLE78" s="2198"/>
      <c r="LLF78" s="2198"/>
      <c r="LLG78" s="2198"/>
      <c r="LLH78" s="2198"/>
      <c r="LLI78" s="2198"/>
      <c r="LLJ78" s="2198"/>
      <c r="LLK78" s="2198"/>
      <c r="LLL78" s="2198"/>
      <c r="LLM78" s="2198"/>
      <c r="LLN78" s="2198"/>
      <c r="LLO78" s="2198"/>
      <c r="LLP78" s="2198"/>
      <c r="LLQ78" s="2198"/>
      <c r="LLR78" s="2198"/>
      <c r="LLS78" s="2198"/>
      <c r="LLT78" s="2198"/>
      <c r="LLU78" s="2198"/>
      <c r="LLV78" s="2198"/>
      <c r="LLW78" s="2198"/>
      <c r="LLX78" s="2198"/>
      <c r="LLY78" s="2198"/>
      <c r="LLZ78" s="2198"/>
      <c r="LMA78" s="2198"/>
      <c r="LMB78" s="2198"/>
      <c r="LMC78" s="2198"/>
      <c r="LMD78" s="2198"/>
      <c r="LME78" s="2198"/>
      <c r="LMF78" s="2198"/>
      <c r="LMG78" s="2198"/>
      <c r="LMH78" s="2198"/>
      <c r="LMI78" s="2198"/>
      <c r="LMJ78" s="2198"/>
      <c r="LMK78" s="2198"/>
      <c r="LML78" s="2198"/>
      <c r="LMM78" s="2198"/>
      <c r="LMN78" s="2198"/>
      <c r="LMO78" s="2198"/>
      <c r="LMP78" s="2198"/>
      <c r="LMQ78" s="2198"/>
      <c r="LMR78" s="2198"/>
      <c r="LMS78" s="2198"/>
      <c r="LMT78" s="2198"/>
      <c r="LMU78" s="2198"/>
      <c r="LMV78" s="2198"/>
      <c r="LMW78" s="2198"/>
      <c r="LMX78" s="2198"/>
      <c r="LMY78" s="2198"/>
      <c r="LMZ78" s="2198"/>
      <c r="LNA78" s="2198"/>
      <c r="LNB78" s="2198"/>
      <c r="LNC78" s="2198"/>
      <c r="LND78" s="2198"/>
      <c r="LNE78" s="2198"/>
      <c r="LNF78" s="2198"/>
      <c r="LNG78" s="2198"/>
      <c r="LNH78" s="2198"/>
      <c r="LNI78" s="2198"/>
      <c r="LNJ78" s="2198"/>
      <c r="LNK78" s="2198"/>
      <c r="LNL78" s="2198"/>
      <c r="LNM78" s="2198"/>
      <c r="LNN78" s="2198"/>
      <c r="LNO78" s="2198"/>
      <c r="LNP78" s="2198"/>
      <c r="LNQ78" s="2198"/>
      <c r="LNR78" s="2198"/>
      <c r="LNS78" s="2198"/>
      <c r="LNT78" s="2198"/>
      <c r="LNU78" s="2198"/>
      <c r="LNV78" s="2198"/>
      <c r="LNW78" s="2198"/>
      <c r="LNX78" s="2198"/>
      <c r="LNY78" s="2198"/>
      <c r="LNZ78" s="2198"/>
      <c r="LOA78" s="2198"/>
      <c r="LOB78" s="2198"/>
      <c r="LOC78" s="2198"/>
      <c r="LOD78" s="2198"/>
      <c r="LOE78" s="2198"/>
      <c r="LOF78" s="2198"/>
      <c r="LOG78" s="2198"/>
      <c r="LOH78" s="2198"/>
      <c r="LOI78" s="2198"/>
      <c r="LOJ78" s="2198"/>
      <c r="LOK78" s="2198"/>
      <c r="LOL78" s="2198"/>
      <c r="LOM78" s="2198"/>
      <c r="LON78" s="2198"/>
      <c r="LOO78" s="2198"/>
      <c r="LOP78" s="2198"/>
      <c r="LOQ78" s="2198"/>
      <c r="LOR78" s="2198"/>
      <c r="LOS78" s="2198"/>
      <c r="LOT78" s="2198"/>
      <c r="LOU78" s="2198"/>
      <c r="LOV78" s="2198"/>
      <c r="LOW78" s="2198"/>
      <c r="LOX78" s="2198"/>
      <c r="LOY78" s="2198"/>
      <c r="LOZ78" s="2198"/>
      <c r="LPA78" s="2198"/>
      <c r="LPB78" s="2198"/>
      <c r="LPC78" s="2198"/>
      <c r="LPD78" s="2198"/>
      <c r="LPE78" s="2198"/>
      <c r="LPF78" s="2198"/>
      <c r="LPG78" s="2198"/>
      <c r="LPH78" s="2198"/>
      <c r="LPI78" s="2198"/>
      <c r="LPJ78" s="2198"/>
      <c r="LPK78" s="2198"/>
      <c r="LPL78" s="2198"/>
      <c r="LPM78" s="2198"/>
      <c r="LPN78" s="2198"/>
      <c r="LPO78" s="2198"/>
      <c r="LPP78" s="2198"/>
      <c r="LPQ78" s="2198"/>
      <c r="LPR78" s="2198"/>
      <c r="LPS78" s="2198"/>
      <c r="LPT78" s="2198"/>
      <c r="LPU78" s="2198"/>
      <c r="LPV78" s="2198"/>
      <c r="LPW78" s="2198"/>
      <c r="LPX78" s="2198"/>
      <c r="LPY78" s="2198"/>
      <c r="LPZ78" s="2198"/>
      <c r="LQA78" s="2198"/>
      <c r="LQB78" s="2198"/>
      <c r="LQC78" s="2198"/>
      <c r="LQD78" s="2198"/>
      <c r="LQE78" s="2198"/>
      <c r="LQF78" s="2198"/>
      <c r="LQG78" s="2198"/>
      <c r="LQH78" s="2198"/>
      <c r="LQI78" s="2198"/>
      <c r="LQJ78" s="2198"/>
      <c r="LQK78" s="2198"/>
      <c r="LQL78" s="2198"/>
      <c r="LQM78" s="2198"/>
      <c r="LQN78" s="2198"/>
      <c r="LQO78" s="2198"/>
      <c r="LQP78" s="2198"/>
      <c r="LQQ78" s="2198"/>
      <c r="LQR78" s="2198"/>
      <c r="LQS78" s="2198"/>
      <c r="LQT78" s="2198"/>
      <c r="LQU78" s="2198"/>
      <c r="LQV78" s="2198"/>
      <c r="LQW78" s="2198"/>
      <c r="LQX78" s="2198"/>
      <c r="LQY78" s="2198"/>
      <c r="LQZ78" s="2198"/>
      <c r="LRA78" s="2198"/>
      <c r="LRB78" s="2198"/>
      <c r="LRC78" s="2198"/>
      <c r="LRD78" s="2198"/>
      <c r="LRE78" s="2198"/>
      <c r="LRF78" s="2198"/>
      <c r="LRG78" s="2198"/>
      <c r="LRH78" s="2198"/>
      <c r="LRI78" s="2198"/>
      <c r="LRJ78" s="2198"/>
      <c r="LRK78" s="2198"/>
      <c r="LRL78" s="2198"/>
      <c r="LRM78" s="2198"/>
      <c r="LRN78" s="2198"/>
      <c r="LRO78" s="2198"/>
      <c r="LRP78" s="2198"/>
      <c r="LRQ78" s="2198"/>
      <c r="LRR78" s="2198"/>
      <c r="LRS78" s="2198"/>
      <c r="LRT78" s="2198"/>
      <c r="LRU78" s="2198"/>
      <c r="LRV78" s="2198"/>
      <c r="LRW78" s="2198"/>
      <c r="LRX78" s="2198"/>
      <c r="LRY78" s="2198"/>
      <c r="LRZ78" s="2198"/>
      <c r="LSA78" s="2198"/>
      <c r="LSB78" s="2198"/>
      <c r="LSC78" s="2198"/>
      <c r="LSD78" s="2198"/>
      <c r="LSE78" s="2198"/>
      <c r="LSF78" s="2198"/>
      <c r="LSG78" s="2198"/>
      <c r="LSH78" s="2198"/>
      <c r="LSI78" s="2198"/>
      <c r="LSJ78" s="2198"/>
      <c r="LSK78" s="2198"/>
      <c r="LSL78" s="2198"/>
      <c r="LSM78" s="2198"/>
      <c r="LSN78" s="2198"/>
      <c r="LSO78" s="2198"/>
      <c r="LSP78" s="2198"/>
      <c r="LSQ78" s="2198"/>
      <c r="LSR78" s="2198"/>
      <c r="LSS78" s="2198"/>
      <c r="LST78" s="2198"/>
      <c r="LSU78" s="2198"/>
      <c r="LSV78" s="2198"/>
      <c r="LSW78" s="2198"/>
      <c r="LSX78" s="2198"/>
      <c r="LSY78" s="2198"/>
      <c r="LSZ78" s="2198"/>
      <c r="LTA78" s="2198"/>
      <c r="LTB78" s="2198"/>
      <c r="LTC78" s="2198"/>
      <c r="LTD78" s="2198"/>
      <c r="LTE78" s="2198"/>
      <c r="LTF78" s="2198"/>
      <c r="LTG78" s="2198"/>
      <c r="LTH78" s="2198"/>
      <c r="LTI78" s="2198"/>
      <c r="LTJ78" s="2198"/>
      <c r="LTK78" s="2198"/>
      <c r="LTL78" s="2198"/>
      <c r="LTM78" s="2198"/>
      <c r="LTN78" s="2198"/>
      <c r="LTO78" s="2198"/>
      <c r="LTP78" s="2198"/>
      <c r="LTQ78" s="2198"/>
      <c r="LTR78" s="2198"/>
      <c r="LTS78" s="2198"/>
      <c r="LTT78" s="2198"/>
      <c r="LTU78" s="2198"/>
      <c r="LTV78" s="2198"/>
      <c r="LTW78" s="2198"/>
      <c r="LTX78" s="2198"/>
      <c r="LTY78" s="2198"/>
      <c r="LTZ78" s="2198"/>
      <c r="LUA78" s="2198"/>
      <c r="LUB78" s="2198"/>
      <c r="LUC78" s="2198"/>
      <c r="LUD78" s="2198"/>
      <c r="LUE78" s="2198"/>
      <c r="LUF78" s="2198"/>
      <c r="LUG78" s="2198"/>
      <c r="LUH78" s="2198"/>
      <c r="LUI78" s="2198"/>
      <c r="LUJ78" s="2198"/>
      <c r="LUK78" s="2198"/>
      <c r="LUL78" s="2198"/>
      <c r="LUM78" s="2198"/>
      <c r="LUN78" s="2198"/>
      <c r="LUO78" s="2198"/>
      <c r="LUP78" s="2198"/>
      <c r="LUQ78" s="2198"/>
      <c r="LUR78" s="2198"/>
      <c r="LUS78" s="2198"/>
      <c r="LUT78" s="2198"/>
      <c r="LUU78" s="2198"/>
      <c r="LUV78" s="2198"/>
      <c r="LUW78" s="2198"/>
      <c r="LUX78" s="2198"/>
      <c r="LUY78" s="2198"/>
      <c r="LUZ78" s="2198"/>
      <c r="LVA78" s="2198"/>
      <c r="LVB78" s="2198"/>
      <c r="LVC78" s="2198"/>
      <c r="LVD78" s="2198"/>
      <c r="LVE78" s="2198"/>
      <c r="LVF78" s="2198"/>
      <c r="LVG78" s="2198"/>
      <c r="LVH78" s="2198"/>
      <c r="LVI78" s="2198"/>
      <c r="LVJ78" s="2198"/>
      <c r="LVK78" s="2198"/>
      <c r="LVL78" s="2198"/>
      <c r="LVM78" s="2198"/>
      <c r="LVN78" s="2198"/>
      <c r="LVO78" s="2198"/>
      <c r="LVP78" s="2198"/>
      <c r="LVQ78" s="2198"/>
      <c r="LVR78" s="2198"/>
      <c r="LVS78" s="2198"/>
      <c r="LVT78" s="2198"/>
      <c r="LVU78" s="2198"/>
      <c r="LVV78" s="2198"/>
      <c r="LVW78" s="2198"/>
      <c r="LVX78" s="2198"/>
      <c r="LVY78" s="2198"/>
      <c r="LVZ78" s="2198"/>
      <c r="LWA78" s="2198"/>
      <c r="LWB78" s="2198"/>
      <c r="LWC78" s="2198"/>
      <c r="LWD78" s="2198"/>
      <c r="LWE78" s="2198"/>
      <c r="LWF78" s="2198"/>
      <c r="LWG78" s="2198"/>
      <c r="LWH78" s="2198"/>
      <c r="LWI78" s="2198"/>
      <c r="LWJ78" s="2198"/>
      <c r="LWK78" s="2198"/>
      <c r="LWL78" s="2198"/>
      <c r="LWM78" s="2198"/>
      <c r="LWN78" s="2198"/>
      <c r="LWO78" s="2198"/>
      <c r="LWP78" s="2198"/>
      <c r="LWQ78" s="2198"/>
      <c r="LWR78" s="2198"/>
      <c r="LWS78" s="2198"/>
      <c r="LWT78" s="2198"/>
      <c r="LWU78" s="2198"/>
      <c r="LWV78" s="2198"/>
      <c r="LWW78" s="2198"/>
      <c r="LWX78" s="2198"/>
      <c r="LWY78" s="2198"/>
      <c r="LWZ78" s="2198"/>
      <c r="LXA78" s="2198"/>
      <c r="LXB78" s="2198"/>
      <c r="LXC78" s="2198"/>
      <c r="LXD78" s="2198"/>
      <c r="LXE78" s="2198"/>
      <c r="LXF78" s="2198"/>
      <c r="LXG78" s="2198"/>
      <c r="LXH78" s="2198"/>
      <c r="LXI78" s="2198"/>
      <c r="LXJ78" s="2198"/>
      <c r="LXK78" s="2198"/>
      <c r="LXL78" s="2198"/>
      <c r="LXM78" s="2198"/>
      <c r="LXN78" s="2198"/>
      <c r="LXO78" s="2198"/>
      <c r="LXP78" s="2198"/>
      <c r="LXQ78" s="2198"/>
      <c r="LXR78" s="2198"/>
      <c r="LXS78" s="2198"/>
      <c r="LXT78" s="2198"/>
      <c r="LXU78" s="2198"/>
      <c r="LXV78" s="2198"/>
      <c r="LXW78" s="2198"/>
      <c r="LXX78" s="2198"/>
      <c r="LXY78" s="2198"/>
      <c r="LXZ78" s="2198"/>
      <c r="LYA78" s="2198"/>
      <c r="LYB78" s="2198"/>
      <c r="LYC78" s="2198"/>
      <c r="LYD78" s="2198"/>
      <c r="LYE78" s="2198"/>
      <c r="LYF78" s="2198"/>
      <c r="LYG78" s="2198"/>
      <c r="LYH78" s="2198"/>
      <c r="LYI78" s="2198"/>
      <c r="LYJ78" s="2198"/>
      <c r="LYK78" s="2198"/>
      <c r="LYL78" s="2198"/>
      <c r="LYM78" s="2198"/>
      <c r="LYN78" s="2198"/>
      <c r="LYO78" s="2198"/>
      <c r="LYP78" s="2198"/>
      <c r="LYQ78" s="2198"/>
      <c r="LYR78" s="2198"/>
      <c r="LYS78" s="2198"/>
      <c r="LYT78" s="2198"/>
      <c r="LYU78" s="2198"/>
      <c r="LYV78" s="2198"/>
      <c r="LYW78" s="2198"/>
      <c r="LYX78" s="2198"/>
      <c r="LYY78" s="2198"/>
      <c r="LYZ78" s="2198"/>
      <c r="LZA78" s="2198"/>
      <c r="LZB78" s="2198"/>
      <c r="LZC78" s="2198"/>
      <c r="LZD78" s="2198"/>
      <c r="LZE78" s="2198"/>
      <c r="LZF78" s="2198"/>
      <c r="LZG78" s="2198"/>
      <c r="LZH78" s="2198"/>
      <c r="LZI78" s="2198"/>
      <c r="LZJ78" s="2198"/>
      <c r="LZK78" s="2198"/>
      <c r="LZL78" s="2198"/>
      <c r="LZM78" s="2198"/>
      <c r="LZN78" s="2198"/>
      <c r="LZO78" s="2198"/>
      <c r="LZP78" s="2198"/>
      <c r="LZQ78" s="2198"/>
      <c r="LZR78" s="2198"/>
      <c r="LZS78" s="2198"/>
      <c r="LZT78" s="2198"/>
      <c r="LZU78" s="2198"/>
      <c r="LZV78" s="2198"/>
      <c r="LZW78" s="2198"/>
      <c r="LZX78" s="2198"/>
      <c r="LZY78" s="2198"/>
      <c r="LZZ78" s="2198"/>
      <c r="MAA78" s="2198"/>
      <c r="MAB78" s="2198"/>
      <c r="MAC78" s="2198"/>
      <c r="MAD78" s="2198"/>
      <c r="MAE78" s="2198"/>
      <c r="MAF78" s="2198"/>
      <c r="MAG78" s="2198"/>
      <c r="MAH78" s="2198"/>
      <c r="MAI78" s="2198"/>
      <c r="MAJ78" s="2198"/>
      <c r="MAK78" s="2198"/>
      <c r="MAL78" s="2198"/>
      <c r="MAM78" s="2198"/>
      <c r="MAN78" s="2198"/>
      <c r="MAO78" s="2198"/>
      <c r="MAP78" s="2198"/>
      <c r="MAQ78" s="2198"/>
      <c r="MAR78" s="2198"/>
      <c r="MAS78" s="2198"/>
      <c r="MAT78" s="2198"/>
      <c r="MAU78" s="2198"/>
      <c r="MAV78" s="2198"/>
      <c r="MAW78" s="2198"/>
      <c r="MAX78" s="2198"/>
      <c r="MAY78" s="2198"/>
      <c r="MAZ78" s="2198"/>
      <c r="MBA78" s="2198"/>
      <c r="MBB78" s="2198"/>
      <c r="MBC78" s="2198"/>
      <c r="MBD78" s="2198"/>
      <c r="MBE78" s="2198"/>
      <c r="MBF78" s="2198"/>
      <c r="MBG78" s="2198"/>
      <c r="MBH78" s="2198"/>
      <c r="MBI78" s="2198"/>
      <c r="MBJ78" s="2198"/>
      <c r="MBK78" s="2198"/>
      <c r="MBL78" s="2198"/>
      <c r="MBM78" s="2198"/>
      <c r="MBN78" s="2198"/>
      <c r="MBO78" s="2198"/>
      <c r="MBP78" s="2198"/>
      <c r="MBQ78" s="2198"/>
      <c r="MBR78" s="2198"/>
      <c r="MBS78" s="2198"/>
      <c r="MBT78" s="2198"/>
      <c r="MBU78" s="2198"/>
      <c r="MBV78" s="2198"/>
      <c r="MBW78" s="2198"/>
      <c r="MBX78" s="2198"/>
      <c r="MBY78" s="2198"/>
      <c r="MBZ78" s="2198"/>
      <c r="MCA78" s="2198"/>
      <c r="MCB78" s="2198"/>
      <c r="MCC78" s="2198"/>
      <c r="MCD78" s="2198"/>
      <c r="MCE78" s="2198"/>
      <c r="MCF78" s="2198"/>
      <c r="MCG78" s="2198"/>
      <c r="MCH78" s="2198"/>
      <c r="MCI78" s="2198"/>
      <c r="MCJ78" s="2198"/>
      <c r="MCK78" s="2198"/>
      <c r="MCL78" s="2198"/>
      <c r="MCM78" s="2198"/>
      <c r="MCN78" s="2198"/>
      <c r="MCO78" s="2198"/>
      <c r="MCP78" s="2198"/>
      <c r="MCQ78" s="2198"/>
      <c r="MCR78" s="2198"/>
      <c r="MCS78" s="2198"/>
      <c r="MCT78" s="2198"/>
      <c r="MCU78" s="2198"/>
      <c r="MCV78" s="2198"/>
      <c r="MCW78" s="2198"/>
      <c r="MCX78" s="2198"/>
      <c r="MCY78" s="2198"/>
      <c r="MCZ78" s="2198"/>
      <c r="MDA78" s="2198"/>
      <c r="MDB78" s="2198"/>
      <c r="MDC78" s="2198"/>
      <c r="MDD78" s="2198"/>
      <c r="MDE78" s="2198"/>
      <c r="MDF78" s="2198"/>
      <c r="MDG78" s="2198"/>
      <c r="MDH78" s="2198"/>
      <c r="MDI78" s="2198"/>
      <c r="MDJ78" s="2198"/>
      <c r="MDK78" s="2198"/>
      <c r="MDL78" s="2198"/>
      <c r="MDM78" s="2198"/>
      <c r="MDN78" s="2198"/>
      <c r="MDO78" s="2198"/>
      <c r="MDP78" s="2198"/>
      <c r="MDQ78" s="2198"/>
      <c r="MDR78" s="2198"/>
      <c r="MDS78" s="2198"/>
      <c r="MDT78" s="2198"/>
      <c r="MDU78" s="2198"/>
      <c r="MDV78" s="2198"/>
      <c r="MDW78" s="2198"/>
      <c r="MDX78" s="2198"/>
      <c r="MDY78" s="2198"/>
      <c r="MDZ78" s="2198"/>
      <c r="MEA78" s="2198"/>
      <c r="MEB78" s="2198"/>
      <c r="MEC78" s="2198"/>
      <c r="MED78" s="2198"/>
      <c r="MEE78" s="2198"/>
      <c r="MEF78" s="2198"/>
      <c r="MEG78" s="2198"/>
      <c r="MEH78" s="2198"/>
      <c r="MEI78" s="2198"/>
      <c r="MEJ78" s="2198"/>
      <c r="MEK78" s="2198"/>
      <c r="MEL78" s="2198"/>
      <c r="MEM78" s="2198"/>
      <c r="MEN78" s="2198"/>
      <c r="MEO78" s="2198"/>
      <c r="MEP78" s="2198"/>
      <c r="MEQ78" s="2198"/>
      <c r="MER78" s="2198"/>
      <c r="MES78" s="2198"/>
      <c r="MET78" s="2198"/>
      <c r="MEU78" s="2198"/>
      <c r="MEV78" s="2198"/>
      <c r="MEW78" s="2198"/>
      <c r="MEX78" s="2198"/>
      <c r="MEY78" s="2198"/>
      <c r="MEZ78" s="2198"/>
      <c r="MFA78" s="2198"/>
      <c r="MFB78" s="2198"/>
      <c r="MFC78" s="2198"/>
      <c r="MFD78" s="2198"/>
      <c r="MFE78" s="2198"/>
      <c r="MFF78" s="2198"/>
      <c r="MFG78" s="2198"/>
      <c r="MFH78" s="2198"/>
      <c r="MFI78" s="2198"/>
      <c r="MFJ78" s="2198"/>
      <c r="MFK78" s="2198"/>
      <c r="MFL78" s="2198"/>
      <c r="MFM78" s="2198"/>
      <c r="MFN78" s="2198"/>
      <c r="MFO78" s="2198"/>
      <c r="MFP78" s="2198"/>
      <c r="MFQ78" s="2198"/>
      <c r="MFR78" s="2198"/>
      <c r="MFS78" s="2198"/>
      <c r="MFT78" s="2198"/>
      <c r="MFU78" s="2198"/>
      <c r="MFV78" s="2198"/>
      <c r="MFW78" s="2198"/>
      <c r="MFX78" s="2198"/>
      <c r="MFY78" s="2198"/>
      <c r="MFZ78" s="2198"/>
      <c r="MGA78" s="2198"/>
      <c r="MGB78" s="2198"/>
      <c r="MGC78" s="2198"/>
      <c r="MGD78" s="2198"/>
      <c r="MGE78" s="2198"/>
      <c r="MGF78" s="2198"/>
      <c r="MGG78" s="2198"/>
      <c r="MGH78" s="2198"/>
      <c r="MGI78" s="2198"/>
      <c r="MGJ78" s="2198"/>
      <c r="MGK78" s="2198"/>
      <c r="MGL78" s="2198"/>
      <c r="MGM78" s="2198"/>
      <c r="MGN78" s="2198"/>
      <c r="MGO78" s="2198"/>
      <c r="MGP78" s="2198"/>
      <c r="MGQ78" s="2198"/>
      <c r="MGR78" s="2198"/>
      <c r="MGS78" s="2198"/>
      <c r="MGT78" s="2198"/>
      <c r="MGU78" s="2198"/>
      <c r="MGV78" s="2198"/>
      <c r="MGW78" s="2198"/>
      <c r="MGX78" s="2198"/>
      <c r="MGY78" s="2198"/>
      <c r="MGZ78" s="2198"/>
      <c r="MHA78" s="2198"/>
      <c r="MHB78" s="2198"/>
      <c r="MHC78" s="2198"/>
      <c r="MHD78" s="2198"/>
      <c r="MHE78" s="2198"/>
      <c r="MHF78" s="2198"/>
      <c r="MHG78" s="2198"/>
      <c r="MHH78" s="2198"/>
      <c r="MHI78" s="2198"/>
      <c r="MHJ78" s="2198"/>
      <c r="MHK78" s="2198"/>
      <c r="MHL78" s="2198"/>
      <c r="MHM78" s="2198"/>
      <c r="MHN78" s="2198"/>
      <c r="MHO78" s="2198"/>
      <c r="MHP78" s="2198"/>
      <c r="MHQ78" s="2198"/>
      <c r="MHR78" s="2198"/>
      <c r="MHS78" s="2198"/>
      <c r="MHT78" s="2198"/>
      <c r="MHU78" s="2198"/>
      <c r="MHV78" s="2198"/>
      <c r="MHW78" s="2198"/>
      <c r="MHX78" s="2198"/>
      <c r="MHY78" s="2198"/>
      <c r="MHZ78" s="2198"/>
      <c r="MIA78" s="2198"/>
      <c r="MIB78" s="2198"/>
      <c r="MIC78" s="2198"/>
      <c r="MID78" s="2198"/>
      <c r="MIE78" s="2198"/>
      <c r="MIF78" s="2198"/>
      <c r="MIG78" s="2198"/>
      <c r="MIH78" s="2198"/>
      <c r="MII78" s="2198"/>
      <c r="MIJ78" s="2198"/>
      <c r="MIK78" s="2198"/>
      <c r="MIL78" s="2198"/>
      <c r="MIM78" s="2198"/>
      <c r="MIN78" s="2198"/>
      <c r="MIO78" s="2198"/>
      <c r="MIP78" s="2198"/>
      <c r="MIQ78" s="2198"/>
      <c r="MIR78" s="2198"/>
      <c r="MIS78" s="2198"/>
      <c r="MIT78" s="2198"/>
      <c r="MIU78" s="2198"/>
      <c r="MIV78" s="2198"/>
      <c r="MIW78" s="2198"/>
      <c r="MIX78" s="2198"/>
      <c r="MIY78" s="2198"/>
      <c r="MIZ78" s="2198"/>
      <c r="MJA78" s="2198"/>
      <c r="MJB78" s="2198"/>
      <c r="MJC78" s="2198"/>
      <c r="MJD78" s="2198"/>
      <c r="MJE78" s="2198"/>
      <c r="MJF78" s="2198"/>
      <c r="MJG78" s="2198"/>
      <c r="MJH78" s="2198"/>
      <c r="MJI78" s="2198"/>
      <c r="MJJ78" s="2198"/>
      <c r="MJK78" s="2198"/>
      <c r="MJL78" s="2198"/>
      <c r="MJM78" s="2198"/>
      <c r="MJN78" s="2198"/>
      <c r="MJO78" s="2198"/>
      <c r="MJP78" s="2198"/>
      <c r="MJQ78" s="2198"/>
      <c r="MJR78" s="2198"/>
      <c r="MJS78" s="2198"/>
      <c r="MJT78" s="2198"/>
      <c r="MJU78" s="2198"/>
      <c r="MJV78" s="2198"/>
      <c r="MJW78" s="2198"/>
      <c r="MJX78" s="2198"/>
      <c r="MJY78" s="2198"/>
      <c r="MJZ78" s="2198"/>
      <c r="MKA78" s="2198"/>
      <c r="MKB78" s="2198"/>
      <c r="MKC78" s="2198"/>
      <c r="MKD78" s="2198"/>
      <c r="MKE78" s="2198"/>
      <c r="MKF78" s="2198"/>
      <c r="MKG78" s="2198"/>
      <c r="MKH78" s="2198"/>
      <c r="MKI78" s="2198"/>
      <c r="MKJ78" s="2198"/>
      <c r="MKK78" s="2198"/>
      <c r="MKL78" s="2198"/>
      <c r="MKM78" s="2198"/>
      <c r="MKN78" s="2198"/>
      <c r="MKO78" s="2198"/>
      <c r="MKP78" s="2198"/>
      <c r="MKQ78" s="2198"/>
      <c r="MKR78" s="2198"/>
      <c r="MKS78" s="2198"/>
      <c r="MKT78" s="2198"/>
      <c r="MKU78" s="2198"/>
      <c r="MKV78" s="2198"/>
      <c r="MKW78" s="2198"/>
      <c r="MKX78" s="2198"/>
      <c r="MKY78" s="2198"/>
      <c r="MKZ78" s="2198"/>
      <c r="MLA78" s="2198"/>
      <c r="MLB78" s="2198"/>
      <c r="MLC78" s="2198"/>
      <c r="MLD78" s="2198"/>
      <c r="MLE78" s="2198"/>
      <c r="MLF78" s="2198"/>
      <c r="MLG78" s="2198"/>
      <c r="MLH78" s="2198"/>
      <c r="MLI78" s="2198"/>
      <c r="MLJ78" s="2198"/>
      <c r="MLK78" s="2198"/>
      <c r="MLL78" s="2198"/>
      <c r="MLM78" s="2198"/>
      <c r="MLN78" s="2198"/>
      <c r="MLO78" s="2198"/>
      <c r="MLP78" s="2198"/>
      <c r="MLQ78" s="2198"/>
      <c r="MLR78" s="2198"/>
      <c r="MLS78" s="2198"/>
      <c r="MLT78" s="2198"/>
      <c r="MLU78" s="2198"/>
      <c r="MLV78" s="2198"/>
      <c r="MLW78" s="2198"/>
      <c r="MLX78" s="2198"/>
      <c r="MLY78" s="2198"/>
      <c r="MLZ78" s="2198"/>
      <c r="MMA78" s="2198"/>
      <c r="MMB78" s="2198"/>
      <c r="MMC78" s="2198"/>
      <c r="MMD78" s="2198"/>
      <c r="MME78" s="2198"/>
      <c r="MMF78" s="2198"/>
      <c r="MMG78" s="2198"/>
      <c r="MMH78" s="2198"/>
      <c r="MMI78" s="2198"/>
      <c r="MMJ78" s="2198"/>
      <c r="MMK78" s="2198"/>
      <c r="MML78" s="2198"/>
      <c r="MMM78" s="2198"/>
      <c r="MMN78" s="2198"/>
      <c r="MMO78" s="2198"/>
      <c r="MMP78" s="2198"/>
      <c r="MMQ78" s="2198"/>
      <c r="MMR78" s="2198"/>
      <c r="MMS78" s="2198"/>
      <c r="MMT78" s="2198"/>
      <c r="MMU78" s="2198"/>
      <c r="MMV78" s="2198"/>
      <c r="MMW78" s="2198"/>
      <c r="MMX78" s="2198"/>
      <c r="MMY78" s="2198"/>
      <c r="MMZ78" s="2198"/>
      <c r="MNA78" s="2198"/>
      <c r="MNB78" s="2198"/>
      <c r="MNC78" s="2198"/>
      <c r="MND78" s="2198"/>
      <c r="MNE78" s="2198"/>
      <c r="MNF78" s="2198"/>
      <c r="MNG78" s="2198"/>
      <c r="MNH78" s="2198"/>
      <c r="MNI78" s="2198"/>
      <c r="MNJ78" s="2198"/>
      <c r="MNK78" s="2198"/>
      <c r="MNL78" s="2198"/>
      <c r="MNM78" s="2198"/>
      <c r="MNN78" s="2198"/>
      <c r="MNO78" s="2198"/>
      <c r="MNP78" s="2198"/>
      <c r="MNQ78" s="2198"/>
      <c r="MNR78" s="2198"/>
      <c r="MNS78" s="2198"/>
      <c r="MNT78" s="2198"/>
      <c r="MNU78" s="2198"/>
      <c r="MNV78" s="2198"/>
      <c r="MNW78" s="2198"/>
      <c r="MNX78" s="2198"/>
      <c r="MNY78" s="2198"/>
      <c r="MNZ78" s="2198"/>
      <c r="MOA78" s="2198"/>
      <c r="MOB78" s="2198"/>
      <c r="MOC78" s="2198"/>
      <c r="MOD78" s="2198"/>
      <c r="MOE78" s="2198"/>
      <c r="MOF78" s="2198"/>
      <c r="MOG78" s="2198"/>
      <c r="MOH78" s="2198"/>
      <c r="MOI78" s="2198"/>
      <c r="MOJ78" s="2198"/>
      <c r="MOK78" s="2198"/>
      <c r="MOL78" s="2198"/>
      <c r="MOM78" s="2198"/>
      <c r="MON78" s="2198"/>
      <c r="MOO78" s="2198"/>
      <c r="MOP78" s="2198"/>
      <c r="MOQ78" s="2198"/>
      <c r="MOR78" s="2198"/>
      <c r="MOS78" s="2198"/>
      <c r="MOT78" s="2198"/>
      <c r="MOU78" s="2198"/>
      <c r="MOV78" s="2198"/>
      <c r="MOW78" s="2198"/>
      <c r="MOX78" s="2198"/>
      <c r="MOY78" s="2198"/>
      <c r="MOZ78" s="2198"/>
      <c r="MPA78" s="2198"/>
      <c r="MPB78" s="2198"/>
      <c r="MPC78" s="2198"/>
      <c r="MPD78" s="2198"/>
      <c r="MPE78" s="2198"/>
      <c r="MPF78" s="2198"/>
      <c r="MPG78" s="2198"/>
      <c r="MPH78" s="2198"/>
      <c r="MPI78" s="2198"/>
      <c r="MPJ78" s="2198"/>
      <c r="MPK78" s="2198"/>
      <c r="MPL78" s="2198"/>
      <c r="MPM78" s="2198"/>
      <c r="MPN78" s="2198"/>
      <c r="MPO78" s="2198"/>
      <c r="MPP78" s="2198"/>
      <c r="MPQ78" s="2198"/>
      <c r="MPR78" s="2198"/>
      <c r="MPS78" s="2198"/>
      <c r="MPT78" s="2198"/>
      <c r="MPU78" s="2198"/>
      <c r="MPV78" s="2198"/>
      <c r="MPW78" s="2198"/>
      <c r="MPX78" s="2198"/>
      <c r="MPY78" s="2198"/>
      <c r="MPZ78" s="2198"/>
      <c r="MQA78" s="2198"/>
      <c r="MQB78" s="2198"/>
      <c r="MQC78" s="2198"/>
      <c r="MQD78" s="2198"/>
      <c r="MQE78" s="2198"/>
      <c r="MQF78" s="2198"/>
      <c r="MQG78" s="2198"/>
      <c r="MQH78" s="2198"/>
      <c r="MQI78" s="2198"/>
      <c r="MQJ78" s="2198"/>
      <c r="MQK78" s="2198"/>
      <c r="MQL78" s="2198"/>
      <c r="MQM78" s="2198"/>
      <c r="MQN78" s="2198"/>
      <c r="MQO78" s="2198"/>
      <c r="MQP78" s="2198"/>
      <c r="MQQ78" s="2198"/>
      <c r="MQR78" s="2198"/>
      <c r="MQS78" s="2198"/>
      <c r="MQT78" s="2198"/>
      <c r="MQU78" s="2198"/>
      <c r="MQV78" s="2198"/>
      <c r="MQW78" s="2198"/>
      <c r="MQX78" s="2198"/>
      <c r="MQY78" s="2198"/>
      <c r="MQZ78" s="2198"/>
      <c r="MRA78" s="2198"/>
      <c r="MRB78" s="2198"/>
      <c r="MRC78" s="2198"/>
      <c r="MRD78" s="2198"/>
      <c r="MRE78" s="2198"/>
      <c r="MRF78" s="2198"/>
      <c r="MRG78" s="2198"/>
      <c r="MRH78" s="2198"/>
      <c r="MRI78" s="2198"/>
      <c r="MRJ78" s="2198"/>
      <c r="MRK78" s="2198"/>
      <c r="MRL78" s="2198"/>
      <c r="MRM78" s="2198"/>
      <c r="MRN78" s="2198"/>
      <c r="MRO78" s="2198"/>
      <c r="MRP78" s="2198"/>
      <c r="MRQ78" s="2198"/>
      <c r="MRR78" s="2198"/>
      <c r="MRS78" s="2198"/>
      <c r="MRT78" s="2198"/>
      <c r="MRU78" s="2198"/>
      <c r="MRV78" s="2198"/>
      <c r="MRW78" s="2198"/>
      <c r="MRX78" s="2198"/>
      <c r="MRY78" s="2198"/>
      <c r="MRZ78" s="2198"/>
      <c r="MSA78" s="2198"/>
      <c r="MSB78" s="2198"/>
      <c r="MSC78" s="2198"/>
      <c r="MSD78" s="2198"/>
      <c r="MSE78" s="2198"/>
      <c r="MSF78" s="2198"/>
      <c r="MSG78" s="2198"/>
      <c r="MSH78" s="2198"/>
      <c r="MSI78" s="2198"/>
      <c r="MSJ78" s="2198"/>
      <c r="MSK78" s="2198"/>
      <c r="MSL78" s="2198"/>
      <c r="MSM78" s="2198"/>
      <c r="MSN78" s="2198"/>
      <c r="MSO78" s="2198"/>
      <c r="MSP78" s="2198"/>
      <c r="MSQ78" s="2198"/>
      <c r="MSR78" s="2198"/>
      <c r="MSS78" s="2198"/>
      <c r="MST78" s="2198"/>
      <c r="MSU78" s="2198"/>
      <c r="MSV78" s="2198"/>
      <c r="MSW78" s="2198"/>
      <c r="MSX78" s="2198"/>
      <c r="MSY78" s="2198"/>
      <c r="MSZ78" s="2198"/>
      <c r="MTA78" s="2198"/>
      <c r="MTB78" s="2198"/>
      <c r="MTC78" s="2198"/>
      <c r="MTD78" s="2198"/>
      <c r="MTE78" s="2198"/>
      <c r="MTF78" s="2198"/>
      <c r="MTG78" s="2198"/>
      <c r="MTH78" s="2198"/>
      <c r="MTI78" s="2198"/>
      <c r="MTJ78" s="2198"/>
      <c r="MTK78" s="2198"/>
      <c r="MTL78" s="2198"/>
      <c r="MTM78" s="2198"/>
      <c r="MTN78" s="2198"/>
      <c r="MTO78" s="2198"/>
      <c r="MTP78" s="2198"/>
      <c r="MTQ78" s="2198"/>
      <c r="MTR78" s="2198"/>
      <c r="MTS78" s="2198"/>
      <c r="MTT78" s="2198"/>
      <c r="MTU78" s="2198"/>
      <c r="MTV78" s="2198"/>
      <c r="MTW78" s="2198"/>
      <c r="MTX78" s="2198"/>
      <c r="MTY78" s="2198"/>
      <c r="MTZ78" s="2198"/>
      <c r="MUA78" s="2198"/>
      <c r="MUB78" s="2198"/>
      <c r="MUC78" s="2198"/>
      <c r="MUD78" s="2198"/>
      <c r="MUE78" s="2198"/>
      <c r="MUF78" s="2198"/>
      <c r="MUG78" s="2198"/>
      <c r="MUH78" s="2198"/>
      <c r="MUI78" s="2198"/>
      <c r="MUJ78" s="2198"/>
      <c r="MUK78" s="2198"/>
      <c r="MUL78" s="2198"/>
      <c r="MUM78" s="2198"/>
      <c r="MUN78" s="2198"/>
      <c r="MUO78" s="2198"/>
      <c r="MUP78" s="2198"/>
      <c r="MUQ78" s="2198"/>
      <c r="MUR78" s="2198"/>
      <c r="MUS78" s="2198"/>
      <c r="MUT78" s="2198"/>
      <c r="MUU78" s="2198"/>
      <c r="MUV78" s="2198"/>
      <c r="MUW78" s="2198"/>
      <c r="MUX78" s="2198"/>
      <c r="MUY78" s="2198"/>
      <c r="MUZ78" s="2198"/>
      <c r="MVA78" s="2198"/>
      <c r="MVB78" s="2198"/>
      <c r="MVC78" s="2198"/>
      <c r="MVD78" s="2198"/>
      <c r="MVE78" s="2198"/>
      <c r="MVF78" s="2198"/>
      <c r="MVG78" s="2198"/>
      <c r="MVH78" s="2198"/>
      <c r="MVI78" s="2198"/>
      <c r="MVJ78" s="2198"/>
      <c r="MVK78" s="2198"/>
      <c r="MVL78" s="2198"/>
      <c r="MVM78" s="2198"/>
      <c r="MVN78" s="2198"/>
      <c r="MVO78" s="2198"/>
      <c r="MVP78" s="2198"/>
      <c r="MVQ78" s="2198"/>
      <c r="MVR78" s="2198"/>
      <c r="MVS78" s="2198"/>
      <c r="MVT78" s="2198"/>
      <c r="MVU78" s="2198"/>
      <c r="MVV78" s="2198"/>
      <c r="MVW78" s="2198"/>
      <c r="MVX78" s="2198"/>
      <c r="MVY78" s="2198"/>
      <c r="MVZ78" s="2198"/>
      <c r="MWA78" s="2198"/>
      <c r="MWB78" s="2198"/>
      <c r="MWC78" s="2198"/>
      <c r="MWD78" s="2198"/>
      <c r="MWE78" s="2198"/>
      <c r="MWF78" s="2198"/>
      <c r="MWG78" s="2198"/>
      <c r="MWH78" s="2198"/>
      <c r="MWI78" s="2198"/>
      <c r="MWJ78" s="2198"/>
      <c r="MWK78" s="2198"/>
      <c r="MWL78" s="2198"/>
      <c r="MWM78" s="2198"/>
      <c r="MWN78" s="2198"/>
      <c r="MWO78" s="2198"/>
      <c r="MWP78" s="2198"/>
      <c r="MWQ78" s="2198"/>
      <c r="MWR78" s="2198"/>
      <c r="MWS78" s="2198"/>
      <c r="MWT78" s="2198"/>
      <c r="MWU78" s="2198"/>
      <c r="MWV78" s="2198"/>
      <c r="MWW78" s="2198"/>
      <c r="MWX78" s="2198"/>
      <c r="MWY78" s="2198"/>
      <c r="MWZ78" s="2198"/>
      <c r="MXA78" s="2198"/>
      <c r="MXB78" s="2198"/>
      <c r="MXC78" s="2198"/>
      <c r="MXD78" s="2198"/>
      <c r="MXE78" s="2198"/>
      <c r="MXF78" s="2198"/>
      <c r="MXG78" s="2198"/>
      <c r="MXH78" s="2198"/>
      <c r="MXI78" s="2198"/>
      <c r="MXJ78" s="2198"/>
      <c r="MXK78" s="2198"/>
      <c r="MXL78" s="2198"/>
      <c r="MXM78" s="2198"/>
      <c r="MXN78" s="2198"/>
      <c r="MXO78" s="2198"/>
      <c r="MXP78" s="2198"/>
      <c r="MXQ78" s="2198"/>
      <c r="MXR78" s="2198"/>
      <c r="MXS78" s="2198"/>
      <c r="MXT78" s="2198"/>
      <c r="MXU78" s="2198"/>
      <c r="MXV78" s="2198"/>
      <c r="MXW78" s="2198"/>
      <c r="MXX78" s="2198"/>
      <c r="MXY78" s="2198"/>
      <c r="MXZ78" s="2198"/>
      <c r="MYA78" s="2198"/>
      <c r="MYB78" s="2198"/>
      <c r="MYC78" s="2198"/>
      <c r="MYD78" s="2198"/>
      <c r="MYE78" s="2198"/>
      <c r="MYF78" s="2198"/>
      <c r="MYG78" s="2198"/>
      <c r="MYH78" s="2198"/>
      <c r="MYI78" s="2198"/>
      <c r="MYJ78" s="2198"/>
      <c r="MYK78" s="2198"/>
      <c r="MYL78" s="2198"/>
      <c r="MYM78" s="2198"/>
      <c r="MYN78" s="2198"/>
      <c r="MYO78" s="2198"/>
      <c r="MYP78" s="2198"/>
      <c r="MYQ78" s="2198"/>
      <c r="MYR78" s="2198"/>
      <c r="MYS78" s="2198"/>
      <c r="MYT78" s="2198"/>
      <c r="MYU78" s="2198"/>
      <c r="MYV78" s="2198"/>
      <c r="MYW78" s="2198"/>
      <c r="MYX78" s="2198"/>
      <c r="MYY78" s="2198"/>
      <c r="MYZ78" s="2198"/>
      <c r="MZA78" s="2198"/>
      <c r="MZB78" s="2198"/>
      <c r="MZC78" s="2198"/>
      <c r="MZD78" s="2198"/>
      <c r="MZE78" s="2198"/>
      <c r="MZF78" s="2198"/>
      <c r="MZG78" s="2198"/>
      <c r="MZH78" s="2198"/>
      <c r="MZI78" s="2198"/>
      <c r="MZJ78" s="2198"/>
      <c r="MZK78" s="2198"/>
      <c r="MZL78" s="2198"/>
      <c r="MZM78" s="2198"/>
      <c r="MZN78" s="2198"/>
      <c r="MZO78" s="2198"/>
      <c r="MZP78" s="2198"/>
      <c r="MZQ78" s="2198"/>
      <c r="MZR78" s="2198"/>
      <c r="MZS78" s="2198"/>
      <c r="MZT78" s="2198"/>
      <c r="MZU78" s="2198"/>
      <c r="MZV78" s="2198"/>
      <c r="MZW78" s="2198"/>
      <c r="MZX78" s="2198"/>
      <c r="MZY78" s="2198"/>
      <c r="MZZ78" s="2198"/>
      <c r="NAA78" s="2198"/>
      <c r="NAB78" s="2198"/>
      <c r="NAC78" s="2198"/>
      <c r="NAD78" s="2198"/>
      <c r="NAE78" s="2198"/>
      <c r="NAF78" s="2198"/>
      <c r="NAG78" s="2198"/>
      <c r="NAH78" s="2198"/>
      <c r="NAI78" s="2198"/>
      <c r="NAJ78" s="2198"/>
      <c r="NAK78" s="2198"/>
      <c r="NAL78" s="2198"/>
      <c r="NAM78" s="2198"/>
      <c r="NAN78" s="2198"/>
      <c r="NAO78" s="2198"/>
      <c r="NAP78" s="2198"/>
      <c r="NAQ78" s="2198"/>
      <c r="NAR78" s="2198"/>
      <c r="NAS78" s="2198"/>
      <c r="NAT78" s="2198"/>
      <c r="NAU78" s="2198"/>
      <c r="NAV78" s="2198"/>
      <c r="NAW78" s="2198"/>
      <c r="NAX78" s="2198"/>
      <c r="NAY78" s="2198"/>
      <c r="NAZ78" s="2198"/>
      <c r="NBA78" s="2198"/>
      <c r="NBB78" s="2198"/>
      <c r="NBC78" s="2198"/>
      <c r="NBD78" s="2198"/>
      <c r="NBE78" s="2198"/>
      <c r="NBF78" s="2198"/>
      <c r="NBG78" s="2198"/>
      <c r="NBH78" s="2198"/>
      <c r="NBI78" s="2198"/>
      <c r="NBJ78" s="2198"/>
      <c r="NBK78" s="2198"/>
      <c r="NBL78" s="2198"/>
      <c r="NBM78" s="2198"/>
      <c r="NBN78" s="2198"/>
      <c r="NBO78" s="2198"/>
      <c r="NBP78" s="2198"/>
      <c r="NBQ78" s="2198"/>
      <c r="NBR78" s="2198"/>
      <c r="NBS78" s="2198"/>
      <c r="NBT78" s="2198"/>
      <c r="NBU78" s="2198"/>
      <c r="NBV78" s="2198"/>
      <c r="NBW78" s="2198"/>
      <c r="NBX78" s="2198"/>
      <c r="NBY78" s="2198"/>
      <c r="NBZ78" s="2198"/>
      <c r="NCA78" s="2198"/>
      <c r="NCB78" s="2198"/>
      <c r="NCC78" s="2198"/>
      <c r="NCD78" s="2198"/>
      <c r="NCE78" s="2198"/>
      <c r="NCF78" s="2198"/>
      <c r="NCG78" s="2198"/>
      <c r="NCH78" s="2198"/>
      <c r="NCI78" s="2198"/>
      <c r="NCJ78" s="2198"/>
      <c r="NCK78" s="2198"/>
      <c r="NCL78" s="2198"/>
      <c r="NCM78" s="2198"/>
      <c r="NCN78" s="2198"/>
      <c r="NCO78" s="2198"/>
      <c r="NCP78" s="2198"/>
      <c r="NCQ78" s="2198"/>
      <c r="NCR78" s="2198"/>
      <c r="NCS78" s="2198"/>
      <c r="NCT78" s="2198"/>
      <c r="NCU78" s="2198"/>
      <c r="NCV78" s="2198"/>
      <c r="NCW78" s="2198"/>
      <c r="NCX78" s="2198"/>
      <c r="NCY78" s="2198"/>
      <c r="NCZ78" s="2198"/>
      <c r="NDA78" s="2198"/>
      <c r="NDB78" s="2198"/>
      <c r="NDC78" s="2198"/>
      <c r="NDD78" s="2198"/>
      <c r="NDE78" s="2198"/>
      <c r="NDF78" s="2198"/>
      <c r="NDG78" s="2198"/>
      <c r="NDH78" s="2198"/>
      <c r="NDI78" s="2198"/>
      <c r="NDJ78" s="2198"/>
      <c r="NDK78" s="2198"/>
      <c r="NDL78" s="2198"/>
      <c r="NDM78" s="2198"/>
      <c r="NDN78" s="2198"/>
      <c r="NDO78" s="2198"/>
      <c r="NDP78" s="2198"/>
      <c r="NDQ78" s="2198"/>
      <c r="NDR78" s="2198"/>
      <c r="NDS78" s="2198"/>
      <c r="NDT78" s="2198"/>
      <c r="NDU78" s="2198"/>
      <c r="NDV78" s="2198"/>
      <c r="NDW78" s="2198"/>
      <c r="NDX78" s="2198"/>
      <c r="NDY78" s="2198"/>
      <c r="NDZ78" s="2198"/>
      <c r="NEA78" s="2198"/>
      <c r="NEB78" s="2198"/>
      <c r="NEC78" s="2198"/>
      <c r="NED78" s="2198"/>
      <c r="NEE78" s="2198"/>
      <c r="NEF78" s="2198"/>
      <c r="NEG78" s="2198"/>
      <c r="NEH78" s="2198"/>
      <c r="NEI78" s="2198"/>
      <c r="NEJ78" s="2198"/>
      <c r="NEK78" s="2198"/>
      <c r="NEL78" s="2198"/>
      <c r="NEM78" s="2198"/>
      <c r="NEN78" s="2198"/>
      <c r="NEO78" s="2198"/>
      <c r="NEP78" s="2198"/>
      <c r="NEQ78" s="2198"/>
      <c r="NER78" s="2198"/>
      <c r="NES78" s="2198"/>
      <c r="NET78" s="2198"/>
      <c r="NEU78" s="2198"/>
      <c r="NEV78" s="2198"/>
      <c r="NEW78" s="2198"/>
      <c r="NEX78" s="2198"/>
      <c r="NEY78" s="2198"/>
      <c r="NEZ78" s="2198"/>
      <c r="NFA78" s="2198"/>
      <c r="NFB78" s="2198"/>
      <c r="NFC78" s="2198"/>
      <c r="NFD78" s="2198"/>
      <c r="NFE78" s="2198"/>
      <c r="NFF78" s="2198"/>
      <c r="NFG78" s="2198"/>
      <c r="NFH78" s="2198"/>
      <c r="NFI78" s="2198"/>
      <c r="NFJ78" s="2198"/>
      <c r="NFK78" s="2198"/>
      <c r="NFL78" s="2198"/>
      <c r="NFM78" s="2198"/>
      <c r="NFN78" s="2198"/>
      <c r="NFO78" s="2198"/>
      <c r="NFP78" s="2198"/>
      <c r="NFQ78" s="2198"/>
      <c r="NFR78" s="2198"/>
      <c r="NFS78" s="2198"/>
      <c r="NFT78" s="2198"/>
      <c r="NFU78" s="2198"/>
      <c r="NFV78" s="2198"/>
      <c r="NFW78" s="2198"/>
      <c r="NFX78" s="2198"/>
      <c r="NFY78" s="2198"/>
      <c r="NFZ78" s="2198"/>
      <c r="NGA78" s="2198"/>
      <c r="NGB78" s="2198"/>
      <c r="NGC78" s="2198"/>
      <c r="NGD78" s="2198"/>
      <c r="NGE78" s="2198"/>
      <c r="NGF78" s="2198"/>
      <c r="NGG78" s="2198"/>
      <c r="NGH78" s="2198"/>
      <c r="NGI78" s="2198"/>
      <c r="NGJ78" s="2198"/>
      <c r="NGK78" s="2198"/>
      <c r="NGL78" s="2198"/>
      <c r="NGM78" s="2198"/>
      <c r="NGN78" s="2198"/>
      <c r="NGO78" s="2198"/>
      <c r="NGP78" s="2198"/>
      <c r="NGQ78" s="2198"/>
      <c r="NGR78" s="2198"/>
      <c r="NGS78" s="2198"/>
      <c r="NGT78" s="2198"/>
      <c r="NGU78" s="2198"/>
      <c r="NGV78" s="2198"/>
      <c r="NGW78" s="2198"/>
      <c r="NGX78" s="2198"/>
      <c r="NGY78" s="2198"/>
      <c r="NGZ78" s="2198"/>
      <c r="NHA78" s="2198"/>
      <c r="NHB78" s="2198"/>
      <c r="NHC78" s="2198"/>
      <c r="NHD78" s="2198"/>
      <c r="NHE78" s="2198"/>
      <c r="NHF78" s="2198"/>
      <c r="NHG78" s="2198"/>
      <c r="NHH78" s="2198"/>
      <c r="NHI78" s="2198"/>
      <c r="NHJ78" s="2198"/>
      <c r="NHK78" s="2198"/>
      <c r="NHL78" s="2198"/>
      <c r="NHM78" s="2198"/>
      <c r="NHN78" s="2198"/>
      <c r="NHO78" s="2198"/>
      <c r="NHP78" s="2198"/>
      <c r="NHQ78" s="2198"/>
      <c r="NHR78" s="2198"/>
      <c r="NHS78" s="2198"/>
      <c r="NHT78" s="2198"/>
      <c r="NHU78" s="2198"/>
      <c r="NHV78" s="2198"/>
      <c r="NHW78" s="2198"/>
      <c r="NHX78" s="2198"/>
      <c r="NHY78" s="2198"/>
      <c r="NHZ78" s="2198"/>
      <c r="NIA78" s="2198"/>
      <c r="NIB78" s="2198"/>
      <c r="NIC78" s="2198"/>
      <c r="NID78" s="2198"/>
      <c r="NIE78" s="2198"/>
      <c r="NIF78" s="2198"/>
      <c r="NIG78" s="2198"/>
      <c r="NIH78" s="2198"/>
      <c r="NII78" s="2198"/>
      <c r="NIJ78" s="2198"/>
      <c r="NIK78" s="2198"/>
      <c r="NIL78" s="2198"/>
      <c r="NIM78" s="2198"/>
      <c r="NIN78" s="2198"/>
      <c r="NIO78" s="2198"/>
      <c r="NIP78" s="2198"/>
      <c r="NIQ78" s="2198"/>
      <c r="NIR78" s="2198"/>
      <c r="NIS78" s="2198"/>
      <c r="NIT78" s="2198"/>
      <c r="NIU78" s="2198"/>
      <c r="NIV78" s="2198"/>
      <c r="NIW78" s="2198"/>
      <c r="NIX78" s="2198"/>
      <c r="NIY78" s="2198"/>
      <c r="NIZ78" s="2198"/>
      <c r="NJA78" s="2198"/>
      <c r="NJB78" s="2198"/>
      <c r="NJC78" s="2198"/>
      <c r="NJD78" s="2198"/>
      <c r="NJE78" s="2198"/>
      <c r="NJF78" s="2198"/>
      <c r="NJG78" s="2198"/>
      <c r="NJH78" s="2198"/>
      <c r="NJI78" s="2198"/>
      <c r="NJJ78" s="2198"/>
      <c r="NJK78" s="2198"/>
      <c r="NJL78" s="2198"/>
      <c r="NJM78" s="2198"/>
      <c r="NJN78" s="2198"/>
      <c r="NJO78" s="2198"/>
      <c r="NJP78" s="2198"/>
      <c r="NJQ78" s="2198"/>
      <c r="NJR78" s="2198"/>
      <c r="NJS78" s="2198"/>
      <c r="NJT78" s="2198"/>
      <c r="NJU78" s="2198"/>
      <c r="NJV78" s="2198"/>
      <c r="NJW78" s="2198"/>
      <c r="NJX78" s="2198"/>
      <c r="NJY78" s="2198"/>
      <c r="NJZ78" s="2198"/>
      <c r="NKA78" s="2198"/>
      <c r="NKB78" s="2198"/>
      <c r="NKC78" s="2198"/>
      <c r="NKD78" s="2198"/>
      <c r="NKE78" s="2198"/>
      <c r="NKF78" s="2198"/>
      <c r="NKG78" s="2198"/>
      <c r="NKH78" s="2198"/>
      <c r="NKI78" s="2198"/>
      <c r="NKJ78" s="2198"/>
      <c r="NKK78" s="2198"/>
      <c r="NKL78" s="2198"/>
      <c r="NKM78" s="2198"/>
      <c r="NKN78" s="2198"/>
      <c r="NKO78" s="2198"/>
      <c r="NKP78" s="2198"/>
      <c r="NKQ78" s="2198"/>
      <c r="NKR78" s="2198"/>
      <c r="NKS78" s="2198"/>
      <c r="NKT78" s="2198"/>
      <c r="NKU78" s="2198"/>
      <c r="NKV78" s="2198"/>
      <c r="NKW78" s="2198"/>
      <c r="NKX78" s="2198"/>
      <c r="NKY78" s="2198"/>
      <c r="NKZ78" s="2198"/>
      <c r="NLA78" s="2198"/>
      <c r="NLB78" s="2198"/>
      <c r="NLC78" s="2198"/>
      <c r="NLD78" s="2198"/>
      <c r="NLE78" s="2198"/>
      <c r="NLF78" s="2198"/>
      <c r="NLG78" s="2198"/>
      <c r="NLH78" s="2198"/>
      <c r="NLI78" s="2198"/>
      <c r="NLJ78" s="2198"/>
      <c r="NLK78" s="2198"/>
      <c r="NLL78" s="2198"/>
      <c r="NLM78" s="2198"/>
      <c r="NLN78" s="2198"/>
      <c r="NLO78" s="2198"/>
      <c r="NLP78" s="2198"/>
      <c r="NLQ78" s="2198"/>
      <c r="NLR78" s="2198"/>
      <c r="NLS78" s="2198"/>
      <c r="NLT78" s="2198"/>
      <c r="NLU78" s="2198"/>
      <c r="NLV78" s="2198"/>
      <c r="NLW78" s="2198"/>
      <c r="NLX78" s="2198"/>
      <c r="NLY78" s="2198"/>
      <c r="NLZ78" s="2198"/>
      <c r="NMA78" s="2198"/>
      <c r="NMB78" s="2198"/>
      <c r="NMC78" s="2198"/>
      <c r="NMD78" s="2198"/>
      <c r="NME78" s="2198"/>
      <c r="NMF78" s="2198"/>
      <c r="NMG78" s="2198"/>
      <c r="NMH78" s="2198"/>
      <c r="NMI78" s="2198"/>
      <c r="NMJ78" s="2198"/>
      <c r="NMK78" s="2198"/>
      <c r="NML78" s="2198"/>
      <c r="NMM78" s="2198"/>
      <c r="NMN78" s="2198"/>
      <c r="NMO78" s="2198"/>
      <c r="NMP78" s="2198"/>
      <c r="NMQ78" s="2198"/>
      <c r="NMR78" s="2198"/>
      <c r="NMS78" s="2198"/>
      <c r="NMT78" s="2198"/>
      <c r="NMU78" s="2198"/>
      <c r="NMV78" s="2198"/>
      <c r="NMW78" s="2198"/>
      <c r="NMX78" s="2198"/>
      <c r="NMY78" s="2198"/>
      <c r="NMZ78" s="2198"/>
      <c r="NNA78" s="2198"/>
      <c r="NNB78" s="2198"/>
      <c r="NNC78" s="2198"/>
      <c r="NND78" s="2198"/>
      <c r="NNE78" s="2198"/>
      <c r="NNF78" s="2198"/>
      <c r="NNG78" s="2198"/>
      <c r="NNH78" s="2198"/>
      <c r="NNI78" s="2198"/>
      <c r="NNJ78" s="2198"/>
      <c r="NNK78" s="2198"/>
      <c r="NNL78" s="2198"/>
      <c r="NNM78" s="2198"/>
      <c r="NNN78" s="2198"/>
      <c r="NNO78" s="2198"/>
      <c r="NNP78" s="2198"/>
      <c r="NNQ78" s="2198"/>
      <c r="NNR78" s="2198"/>
      <c r="NNS78" s="2198"/>
      <c r="NNT78" s="2198"/>
      <c r="NNU78" s="2198"/>
      <c r="NNV78" s="2198"/>
      <c r="NNW78" s="2198"/>
      <c r="NNX78" s="2198"/>
      <c r="NNY78" s="2198"/>
      <c r="NNZ78" s="2198"/>
      <c r="NOA78" s="2198"/>
      <c r="NOB78" s="2198"/>
      <c r="NOC78" s="2198"/>
      <c r="NOD78" s="2198"/>
      <c r="NOE78" s="2198"/>
      <c r="NOF78" s="2198"/>
      <c r="NOG78" s="2198"/>
      <c r="NOH78" s="2198"/>
      <c r="NOI78" s="2198"/>
      <c r="NOJ78" s="2198"/>
      <c r="NOK78" s="2198"/>
      <c r="NOL78" s="2198"/>
      <c r="NOM78" s="2198"/>
      <c r="NON78" s="2198"/>
      <c r="NOO78" s="2198"/>
      <c r="NOP78" s="2198"/>
      <c r="NOQ78" s="2198"/>
      <c r="NOR78" s="2198"/>
      <c r="NOS78" s="2198"/>
      <c r="NOT78" s="2198"/>
      <c r="NOU78" s="2198"/>
      <c r="NOV78" s="2198"/>
      <c r="NOW78" s="2198"/>
      <c r="NOX78" s="2198"/>
      <c r="NOY78" s="2198"/>
      <c r="NOZ78" s="2198"/>
      <c r="NPA78" s="2198"/>
      <c r="NPB78" s="2198"/>
      <c r="NPC78" s="2198"/>
      <c r="NPD78" s="2198"/>
      <c r="NPE78" s="2198"/>
      <c r="NPF78" s="2198"/>
      <c r="NPG78" s="2198"/>
      <c r="NPH78" s="2198"/>
      <c r="NPI78" s="2198"/>
      <c r="NPJ78" s="2198"/>
      <c r="NPK78" s="2198"/>
      <c r="NPL78" s="2198"/>
      <c r="NPM78" s="2198"/>
      <c r="NPN78" s="2198"/>
      <c r="NPO78" s="2198"/>
      <c r="NPP78" s="2198"/>
      <c r="NPQ78" s="2198"/>
      <c r="NPR78" s="2198"/>
      <c r="NPS78" s="2198"/>
      <c r="NPT78" s="2198"/>
      <c r="NPU78" s="2198"/>
      <c r="NPV78" s="2198"/>
      <c r="NPW78" s="2198"/>
      <c r="NPX78" s="2198"/>
      <c r="NPY78" s="2198"/>
      <c r="NPZ78" s="2198"/>
      <c r="NQA78" s="2198"/>
      <c r="NQB78" s="2198"/>
      <c r="NQC78" s="2198"/>
      <c r="NQD78" s="2198"/>
      <c r="NQE78" s="2198"/>
      <c r="NQF78" s="2198"/>
      <c r="NQG78" s="2198"/>
      <c r="NQH78" s="2198"/>
      <c r="NQI78" s="2198"/>
      <c r="NQJ78" s="2198"/>
      <c r="NQK78" s="2198"/>
      <c r="NQL78" s="2198"/>
      <c r="NQM78" s="2198"/>
      <c r="NQN78" s="2198"/>
      <c r="NQO78" s="2198"/>
      <c r="NQP78" s="2198"/>
      <c r="NQQ78" s="2198"/>
      <c r="NQR78" s="2198"/>
      <c r="NQS78" s="2198"/>
      <c r="NQT78" s="2198"/>
      <c r="NQU78" s="2198"/>
      <c r="NQV78" s="2198"/>
      <c r="NQW78" s="2198"/>
      <c r="NQX78" s="2198"/>
      <c r="NQY78" s="2198"/>
      <c r="NQZ78" s="2198"/>
      <c r="NRA78" s="2198"/>
      <c r="NRB78" s="2198"/>
      <c r="NRC78" s="2198"/>
      <c r="NRD78" s="2198"/>
      <c r="NRE78" s="2198"/>
      <c r="NRF78" s="2198"/>
      <c r="NRG78" s="2198"/>
      <c r="NRH78" s="2198"/>
      <c r="NRI78" s="2198"/>
      <c r="NRJ78" s="2198"/>
      <c r="NRK78" s="2198"/>
      <c r="NRL78" s="2198"/>
      <c r="NRM78" s="2198"/>
      <c r="NRN78" s="2198"/>
      <c r="NRO78" s="2198"/>
      <c r="NRP78" s="2198"/>
      <c r="NRQ78" s="2198"/>
      <c r="NRR78" s="2198"/>
      <c r="NRS78" s="2198"/>
      <c r="NRT78" s="2198"/>
      <c r="NRU78" s="2198"/>
      <c r="NRV78" s="2198"/>
      <c r="NRW78" s="2198"/>
      <c r="NRX78" s="2198"/>
      <c r="NRY78" s="2198"/>
      <c r="NRZ78" s="2198"/>
      <c r="NSA78" s="2198"/>
      <c r="NSB78" s="2198"/>
      <c r="NSC78" s="2198"/>
      <c r="NSD78" s="2198"/>
      <c r="NSE78" s="2198"/>
      <c r="NSF78" s="2198"/>
      <c r="NSG78" s="2198"/>
      <c r="NSH78" s="2198"/>
      <c r="NSI78" s="2198"/>
      <c r="NSJ78" s="2198"/>
      <c r="NSK78" s="2198"/>
      <c r="NSL78" s="2198"/>
      <c r="NSM78" s="2198"/>
      <c r="NSN78" s="2198"/>
      <c r="NSO78" s="2198"/>
      <c r="NSP78" s="2198"/>
      <c r="NSQ78" s="2198"/>
      <c r="NSR78" s="2198"/>
      <c r="NSS78" s="2198"/>
      <c r="NST78" s="2198"/>
      <c r="NSU78" s="2198"/>
      <c r="NSV78" s="2198"/>
      <c r="NSW78" s="2198"/>
      <c r="NSX78" s="2198"/>
      <c r="NSY78" s="2198"/>
      <c r="NSZ78" s="2198"/>
      <c r="NTA78" s="2198"/>
      <c r="NTB78" s="2198"/>
      <c r="NTC78" s="2198"/>
      <c r="NTD78" s="2198"/>
      <c r="NTE78" s="2198"/>
      <c r="NTF78" s="2198"/>
      <c r="NTG78" s="2198"/>
      <c r="NTH78" s="2198"/>
      <c r="NTI78" s="2198"/>
      <c r="NTJ78" s="2198"/>
      <c r="NTK78" s="2198"/>
      <c r="NTL78" s="2198"/>
      <c r="NTM78" s="2198"/>
      <c r="NTN78" s="2198"/>
      <c r="NTO78" s="2198"/>
      <c r="NTP78" s="2198"/>
      <c r="NTQ78" s="2198"/>
      <c r="NTR78" s="2198"/>
      <c r="NTS78" s="2198"/>
      <c r="NTT78" s="2198"/>
      <c r="NTU78" s="2198"/>
      <c r="NTV78" s="2198"/>
      <c r="NTW78" s="2198"/>
      <c r="NTX78" s="2198"/>
      <c r="NTY78" s="2198"/>
      <c r="NTZ78" s="2198"/>
      <c r="NUA78" s="2198"/>
      <c r="NUB78" s="2198"/>
      <c r="NUC78" s="2198"/>
      <c r="NUD78" s="2198"/>
      <c r="NUE78" s="2198"/>
      <c r="NUF78" s="2198"/>
      <c r="NUG78" s="2198"/>
      <c r="NUH78" s="2198"/>
      <c r="NUI78" s="2198"/>
      <c r="NUJ78" s="2198"/>
      <c r="NUK78" s="2198"/>
      <c r="NUL78" s="2198"/>
      <c r="NUM78" s="2198"/>
      <c r="NUN78" s="2198"/>
      <c r="NUO78" s="2198"/>
      <c r="NUP78" s="2198"/>
      <c r="NUQ78" s="2198"/>
      <c r="NUR78" s="2198"/>
      <c r="NUS78" s="2198"/>
      <c r="NUT78" s="2198"/>
      <c r="NUU78" s="2198"/>
      <c r="NUV78" s="2198"/>
      <c r="NUW78" s="2198"/>
      <c r="NUX78" s="2198"/>
      <c r="NUY78" s="2198"/>
      <c r="NUZ78" s="2198"/>
      <c r="NVA78" s="2198"/>
      <c r="NVB78" s="2198"/>
      <c r="NVC78" s="2198"/>
      <c r="NVD78" s="2198"/>
      <c r="NVE78" s="2198"/>
      <c r="NVF78" s="2198"/>
      <c r="NVG78" s="2198"/>
      <c r="NVH78" s="2198"/>
      <c r="NVI78" s="2198"/>
      <c r="NVJ78" s="2198"/>
      <c r="NVK78" s="2198"/>
      <c r="NVL78" s="2198"/>
      <c r="NVM78" s="2198"/>
      <c r="NVN78" s="2198"/>
      <c r="NVO78" s="2198"/>
      <c r="NVP78" s="2198"/>
      <c r="NVQ78" s="2198"/>
      <c r="NVR78" s="2198"/>
      <c r="NVS78" s="2198"/>
      <c r="NVT78" s="2198"/>
      <c r="NVU78" s="2198"/>
      <c r="NVV78" s="2198"/>
      <c r="NVW78" s="2198"/>
      <c r="NVX78" s="2198"/>
      <c r="NVY78" s="2198"/>
      <c r="NVZ78" s="2198"/>
      <c r="NWA78" s="2198"/>
      <c r="NWB78" s="2198"/>
      <c r="NWC78" s="2198"/>
      <c r="NWD78" s="2198"/>
      <c r="NWE78" s="2198"/>
      <c r="NWF78" s="2198"/>
      <c r="NWG78" s="2198"/>
      <c r="NWH78" s="2198"/>
      <c r="NWI78" s="2198"/>
      <c r="NWJ78" s="2198"/>
      <c r="NWK78" s="2198"/>
      <c r="NWL78" s="2198"/>
      <c r="NWM78" s="2198"/>
      <c r="NWN78" s="2198"/>
      <c r="NWO78" s="2198"/>
      <c r="NWP78" s="2198"/>
      <c r="NWQ78" s="2198"/>
      <c r="NWR78" s="2198"/>
      <c r="NWS78" s="2198"/>
      <c r="NWT78" s="2198"/>
      <c r="NWU78" s="2198"/>
      <c r="NWV78" s="2198"/>
      <c r="NWW78" s="2198"/>
      <c r="NWX78" s="2198"/>
      <c r="NWY78" s="2198"/>
      <c r="NWZ78" s="2198"/>
      <c r="NXA78" s="2198"/>
      <c r="NXB78" s="2198"/>
      <c r="NXC78" s="2198"/>
      <c r="NXD78" s="2198"/>
      <c r="NXE78" s="2198"/>
      <c r="NXF78" s="2198"/>
      <c r="NXG78" s="2198"/>
      <c r="NXH78" s="2198"/>
      <c r="NXI78" s="2198"/>
      <c r="NXJ78" s="2198"/>
      <c r="NXK78" s="2198"/>
      <c r="NXL78" s="2198"/>
      <c r="NXM78" s="2198"/>
      <c r="NXN78" s="2198"/>
      <c r="NXO78" s="2198"/>
      <c r="NXP78" s="2198"/>
      <c r="NXQ78" s="2198"/>
      <c r="NXR78" s="2198"/>
      <c r="NXS78" s="2198"/>
      <c r="NXT78" s="2198"/>
      <c r="NXU78" s="2198"/>
      <c r="NXV78" s="2198"/>
      <c r="NXW78" s="2198"/>
      <c r="NXX78" s="2198"/>
      <c r="NXY78" s="2198"/>
      <c r="NXZ78" s="2198"/>
      <c r="NYA78" s="2198"/>
      <c r="NYB78" s="2198"/>
      <c r="NYC78" s="2198"/>
      <c r="NYD78" s="2198"/>
      <c r="NYE78" s="2198"/>
      <c r="NYF78" s="2198"/>
      <c r="NYG78" s="2198"/>
      <c r="NYH78" s="2198"/>
      <c r="NYI78" s="2198"/>
      <c r="NYJ78" s="2198"/>
      <c r="NYK78" s="2198"/>
      <c r="NYL78" s="2198"/>
      <c r="NYM78" s="2198"/>
      <c r="NYN78" s="2198"/>
      <c r="NYO78" s="2198"/>
      <c r="NYP78" s="2198"/>
      <c r="NYQ78" s="2198"/>
      <c r="NYR78" s="2198"/>
      <c r="NYS78" s="2198"/>
      <c r="NYT78" s="2198"/>
      <c r="NYU78" s="2198"/>
      <c r="NYV78" s="2198"/>
      <c r="NYW78" s="2198"/>
      <c r="NYX78" s="2198"/>
      <c r="NYY78" s="2198"/>
      <c r="NYZ78" s="2198"/>
      <c r="NZA78" s="2198"/>
      <c r="NZB78" s="2198"/>
      <c r="NZC78" s="2198"/>
      <c r="NZD78" s="2198"/>
      <c r="NZE78" s="2198"/>
      <c r="NZF78" s="2198"/>
      <c r="NZG78" s="2198"/>
      <c r="NZH78" s="2198"/>
      <c r="NZI78" s="2198"/>
      <c r="NZJ78" s="2198"/>
      <c r="NZK78" s="2198"/>
      <c r="NZL78" s="2198"/>
      <c r="NZM78" s="2198"/>
      <c r="NZN78" s="2198"/>
      <c r="NZO78" s="2198"/>
      <c r="NZP78" s="2198"/>
      <c r="NZQ78" s="2198"/>
      <c r="NZR78" s="2198"/>
      <c r="NZS78" s="2198"/>
      <c r="NZT78" s="2198"/>
      <c r="NZU78" s="2198"/>
      <c r="NZV78" s="2198"/>
      <c r="NZW78" s="2198"/>
      <c r="NZX78" s="2198"/>
      <c r="NZY78" s="2198"/>
      <c r="NZZ78" s="2198"/>
      <c r="OAA78" s="2198"/>
      <c r="OAB78" s="2198"/>
      <c r="OAC78" s="2198"/>
      <c r="OAD78" s="2198"/>
      <c r="OAE78" s="2198"/>
      <c r="OAF78" s="2198"/>
      <c r="OAG78" s="2198"/>
      <c r="OAH78" s="2198"/>
      <c r="OAI78" s="2198"/>
      <c r="OAJ78" s="2198"/>
      <c r="OAK78" s="2198"/>
      <c r="OAL78" s="2198"/>
      <c r="OAM78" s="2198"/>
      <c r="OAN78" s="2198"/>
      <c r="OAO78" s="2198"/>
      <c r="OAP78" s="2198"/>
      <c r="OAQ78" s="2198"/>
      <c r="OAR78" s="2198"/>
      <c r="OAS78" s="2198"/>
      <c r="OAT78" s="2198"/>
      <c r="OAU78" s="2198"/>
      <c r="OAV78" s="2198"/>
      <c r="OAW78" s="2198"/>
      <c r="OAX78" s="2198"/>
      <c r="OAY78" s="2198"/>
      <c r="OAZ78" s="2198"/>
      <c r="OBA78" s="2198"/>
      <c r="OBB78" s="2198"/>
      <c r="OBC78" s="2198"/>
      <c r="OBD78" s="2198"/>
      <c r="OBE78" s="2198"/>
      <c r="OBF78" s="2198"/>
      <c r="OBG78" s="2198"/>
      <c r="OBH78" s="2198"/>
      <c r="OBI78" s="2198"/>
      <c r="OBJ78" s="2198"/>
      <c r="OBK78" s="2198"/>
      <c r="OBL78" s="2198"/>
      <c r="OBM78" s="2198"/>
      <c r="OBN78" s="2198"/>
      <c r="OBO78" s="2198"/>
      <c r="OBP78" s="2198"/>
      <c r="OBQ78" s="2198"/>
      <c r="OBR78" s="2198"/>
      <c r="OBS78" s="2198"/>
      <c r="OBT78" s="2198"/>
      <c r="OBU78" s="2198"/>
      <c r="OBV78" s="2198"/>
      <c r="OBW78" s="2198"/>
      <c r="OBX78" s="2198"/>
      <c r="OBY78" s="2198"/>
      <c r="OBZ78" s="2198"/>
      <c r="OCA78" s="2198"/>
      <c r="OCB78" s="2198"/>
      <c r="OCC78" s="2198"/>
      <c r="OCD78" s="2198"/>
      <c r="OCE78" s="2198"/>
      <c r="OCF78" s="2198"/>
      <c r="OCG78" s="2198"/>
      <c r="OCH78" s="2198"/>
      <c r="OCI78" s="2198"/>
      <c r="OCJ78" s="2198"/>
      <c r="OCK78" s="2198"/>
      <c r="OCL78" s="2198"/>
      <c r="OCM78" s="2198"/>
      <c r="OCN78" s="2198"/>
      <c r="OCO78" s="2198"/>
      <c r="OCP78" s="2198"/>
      <c r="OCQ78" s="2198"/>
      <c r="OCR78" s="2198"/>
      <c r="OCS78" s="2198"/>
      <c r="OCT78" s="2198"/>
      <c r="OCU78" s="2198"/>
      <c r="OCV78" s="2198"/>
      <c r="OCW78" s="2198"/>
      <c r="OCX78" s="2198"/>
      <c r="OCY78" s="2198"/>
      <c r="OCZ78" s="2198"/>
      <c r="ODA78" s="2198"/>
      <c r="ODB78" s="2198"/>
      <c r="ODC78" s="2198"/>
      <c r="ODD78" s="2198"/>
      <c r="ODE78" s="2198"/>
      <c r="ODF78" s="2198"/>
      <c r="ODG78" s="2198"/>
      <c r="ODH78" s="2198"/>
      <c r="ODI78" s="2198"/>
      <c r="ODJ78" s="2198"/>
      <c r="ODK78" s="2198"/>
      <c r="ODL78" s="2198"/>
      <c r="ODM78" s="2198"/>
      <c r="ODN78" s="2198"/>
      <c r="ODO78" s="2198"/>
      <c r="ODP78" s="2198"/>
      <c r="ODQ78" s="2198"/>
      <c r="ODR78" s="2198"/>
      <c r="ODS78" s="2198"/>
      <c r="ODT78" s="2198"/>
      <c r="ODU78" s="2198"/>
      <c r="ODV78" s="2198"/>
      <c r="ODW78" s="2198"/>
      <c r="ODX78" s="2198"/>
      <c r="ODY78" s="2198"/>
      <c r="ODZ78" s="2198"/>
      <c r="OEA78" s="2198"/>
      <c r="OEB78" s="2198"/>
      <c r="OEC78" s="2198"/>
      <c r="OED78" s="2198"/>
      <c r="OEE78" s="2198"/>
      <c r="OEF78" s="2198"/>
      <c r="OEG78" s="2198"/>
      <c r="OEH78" s="2198"/>
      <c r="OEI78" s="2198"/>
      <c r="OEJ78" s="2198"/>
      <c r="OEK78" s="2198"/>
      <c r="OEL78" s="2198"/>
      <c r="OEM78" s="2198"/>
      <c r="OEN78" s="2198"/>
      <c r="OEO78" s="2198"/>
      <c r="OEP78" s="2198"/>
      <c r="OEQ78" s="2198"/>
      <c r="OER78" s="2198"/>
      <c r="OES78" s="2198"/>
      <c r="OET78" s="2198"/>
      <c r="OEU78" s="2198"/>
      <c r="OEV78" s="2198"/>
      <c r="OEW78" s="2198"/>
      <c r="OEX78" s="2198"/>
      <c r="OEY78" s="2198"/>
      <c r="OEZ78" s="2198"/>
      <c r="OFA78" s="2198"/>
      <c r="OFB78" s="2198"/>
      <c r="OFC78" s="2198"/>
      <c r="OFD78" s="2198"/>
      <c r="OFE78" s="2198"/>
      <c r="OFF78" s="2198"/>
      <c r="OFG78" s="2198"/>
      <c r="OFH78" s="2198"/>
      <c r="OFI78" s="2198"/>
      <c r="OFJ78" s="2198"/>
      <c r="OFK78" s="2198"/>
      <c r="OFL78" s="2198"/>
      <c r="OFM78" s="2198"/>
      <c r="OFN78" s="2198"/>
      <c r="OFO78" s="2198"/>
      <c r="OFP78" s="2198"/>
      <c r="OFQ78" s="2198"/>
      <c r="OFR78" s="2198"/>
      <c r="OFS78" s="2198"/>
      <c r="OFT78" s="2198"/>
      <c r="OFU78" s="2198"/>
      <c r="OFV78" s="2198"/>
      <c r="OFW78" s="2198"/>
      <c r="OFX78" s="2198"/>
      <c r="OFY78" s="2198"/>
      <c r="OFZ78" s="2198"/>
      <c r="OGA78" s="2198"/>
      <c r="OGB78" s="2198"/>
      <c r="OGC78" s="2198"/>
      <c r="OGD78" s="2198"/>
      <c r="OGE78" s="2198"/>
      <c r="OGF78" s="2198"/>
      <c r="OGG78" s="2198"/>
      <c r="OGH78" s="2198"/>
      <c r="OGI78" s="2198"/>
      <c r="OGJ78" s="2198"/>
      <c r="OGK78" s="2198"/>
      <c r="OGL78" s="2198"/>
      <c r="OGM78" s="2198"/>
      <c r="OGN78" s="2198"/>
      <c r="OGO78" s="2198"/>
      <c r="OGP78" s="2198"/>
      <c r="OGQ78" s="2198"/>
      <c r="OGR78" s="2198"/>
      <c r="OGS78" s="2198"/>
      <c r="OGT78" s="2198"/>
      <c r="OGU78" s="2198"/>
      <c r="OGV78" s="2198"/>
      <c r="OGW78" s="2198"/>
      <c r="OGX78" s="2198"/>
      <c r="OGY78" s="2198"/>
      <c r="OGZ78" s="2198"/>
      <c r="OHA78" s="2198"/>
      <c r="OHB78" s="2198"/>
      <c r="OHC78" s="2198"/>
      <c r="OHD78" s="2198"/>
      <c r="OHE78" s="2198"/>
      <c r="OHF78" s="2198"/>
      <c r="OHG78" s="2198"/>
      <c r="OHH78" s="2198"/>
      <c r="OHI78" s="2198"/>
      <c r="OHJ78" s="2198"/>
      <c r="OHK78" s="2198"/>
      <c r="OHL78" s="2198"/>
      <c r="OHM78" s="2198"/>
      <c r="OHN78" s="2198"/>
      <c r="OHO78" s="2198"/>
      <c r="OHP78" s="2198"/>
      <c r="OHQ78" s="2198"/>
      <c r="OHR78" s="2198"/>
      <c r="OHS78" s="2198"/>
      <c r="OHT78" s="2198"/>
      <c r="OHU78" s="2198"/>
      <c r="OHV78" s="2198"/>
      <c r="OHW78" s="2198"/>
      <c r="OHX78" s="2198"/>
      <c r="OHY78" s="2198"/>
      <c r="OHZ78" s="2198"/>
      <c r="OIA78" s="2198"/>
      <c r="OIB78" s="2198"/>
      <c r="OIC78" s="2198"/>
      <c r="OID78" s="2198"/>
      <c r="OIE78" s="2198"/>
      <c r="OIF78" s="2198"/>
      <c r="OIG78" s="2198"/>
      <c r="OIH78" s="2198"/>
      <c r="OII78" s="2198"/>
      <c r="OIJ78" s="2198"/>
      <c r="OIK78" s="2198"/>
      <c r="OIL78" s="2198"/>
      <c r="OIM78" s="2198"/>
      <c r="OIN78" s="2198"/>
      <c r="OIO78" s="2198"/>
      <c r="OIP78" s="2198"/>
      <c r="OIQ78" s="2198"/>
      <c r="OIR78" s="2198"/>
      <c r="OIS78" s="2198"/>
      <c r="OIT78" s="2198"/>
      <c r="OIU78" s="2198"/>
      <c r="OIV78" s="2198"/>
      <c r="OIW78" s="2198"/>
      <c r="OIX78" s="2198"/>
      <c r="OIY78" s="2198"/>
      <c r="OIZ78" s="2198"/>
      <c r="OJA78" s="2198"/>
      <c r="OJB78" s="2198"/>
      <c r="OJC78" s="2198"/>
      <c r="OJD78" s="2198"/>
      <c r="OJE78" s="2198"/>
      <c r="OJF78" s="2198"/>
      <c r="OJG78" s="2198"/>
      <c r="OJH78" s="2198"/>
      <c r="OJI78" s="2198"/>
      <c r="OJJ78" s="2198"/>
      <c r="OJK78" s="2198"/>
      <c r="OJL78" s="2198"/>
      <c r="OJM78" s="2198"/>
      <c r="OJN78" s="2198"/>
      <c r="OJO78" s="2198"/>
      <c r="OJP78" s="2198"/>
      <c r="OJQ78" s="2198"/>
      <c r="OJR78" s="2198"/>
      <c r="OJS78" s="2198"/>
      <c r="OJT78" s="2198"/>
      <c r="OJU78" s="2198"/>
      <c r="OJV78" s="2198"/>
      <c r="OJW78" s="2198"/>
      <c r="OJX78" s="2198"/>
      <c r="OJY78" s="2198"/>
      <c r="OJZ78" s="2198"/>
      <c r="OKA78" s="2198"/>
      <c r="OKB78" s="2198"/>
      <c r="OKC78" s="2198"/>
      <c r="OKD78" s="2198"/>
      <c r="OKE78" s="2198"/>
      <c r="OKF78" s="2198"/>
      <c r="OKG78" s="2198"/>
      <c r="OKH78" s="2198"/>
      <c r="OKI78" s="2198"/>
      <c r="OKJ78" s="2198"/>
      <c r="OKK78" s="2198"/>
      <c r="OKL78" s="2198"/>
      <c r="OKM78" s="2198"/>
      <c r="OKN78" s="2198"/>
      <c r="OKO78" s="2198"/>
      <c r="OKP78" s="2198"/>
      <c r="OKQ78" s="2198"/>
      <c r="OKR78" s="2198"/>
      <c r="OKS78" s="2198"/>
      <c r="OKT78" s="2198"/>
      <c r="OKU78" s="2198"/>
      <c r="OKV78" s="2198"/>
      <c r="OKW78" s="2198"/>
      <c r="OKX78" s="2198"/>
      <c r="OKY78" s="2198"/>
      <c r="OKZ78" s="2198"/>
      <c r="OLA78" s="2198"/>
      <c r="OLB78" s="2198"/>
      <c r="OLC78" s="2198"/>
      <c r="OLD78" s="2198"/>
      <c r="OLE78" s="2198"/>
      <c r="OLF78" s="2198"/>
      <c r="OLG78" s="2198"/>
      <c r="OLH78" s="2198"/>
      <c r="OLI78" s="2198"/>
      <c r="OLJ78" s="2198"/>
      <c r="OLK78" s="2198"/>
      <c r="OLL78" s="2198"/>
      <c r="OLM78" s="2198"/>
      <c r="OLN78" s="2198"/>
      <c r="OLO78" s="2198"/>
      <c r="OLP78" s="2198"/>
      <c r="OLQ78" s="2198"/>
      <c r="OLR78" s="2198"/>
      <c r="OLS78" s="2198"/>
      <c r="OLT78" s="2198"/>
      <c r="OLU78" s="2198"/>
      <c r="OLV78" s="2198"/>
      <c r="OLW78" s="2198"/>
      <c r="OLX78" s="2198"/>
      <c r="OLY78" s="2198"/>
      <c r="OLZ78" s="2198"/>
      <c r="OMA78" s="2198"/>
      <c r="OMB78" s="2198"/>
      <c r="OMC78" s="2198"/>
      <c r="OMD78" s="2198"/>
      <c r="OME78" s="2198"/>
      <c r="OMF78" s="2198"/>
      <c r="OMG78" s="2198"/>
      <c r="OMH78" s="2198"/>
      <c r="OMI78" s="2198"/>
      <c r="OMJ78" s="2198"/>
      <c r="OMK78" s="2198"/>
      <c r="OML78" s="2198"/>
      <c r="OMM78" s="2198"/>
      <c r="OMN78" s="2198"/>
      <c r="OMO78" s="2198"/>
      <c r="OMP78" s="2198"/>
      <c r="OMQ78" s="2198"/>
      <c r="OMR78" s="2198"/>
      <c r="OMS78" s="2198"/>
      <c r="OMT78" s="2198"/>
      <c r="OMU78" s="2198"/>
      <c r="OMV78" s="2198"/>
      <c r="OMW78" s="2198"/>
      <c r="OMX78" s="2198"/>
      <c r="OMY78" s="2198"/>
      <c r="OMZ78" s="2198"/>
      <c r="ONA78" s="2198"/>
      <c r="ONB78" s="2198"/>
      <c r="ONC78" s="2198"/>
      <c r="OND78" s="2198"/>
      <c r="ONE78" s="2198"/>
      <c r="ONF78" s="2198"/>
      <c r="ONG78" s="2198"/>
      <c r="ONH78" s="2198"/>
      <c r="ONI78" s="2198"/>
      <c r="ONJ78" s="2198"/>
      <c r="ONK78" s="2198"/>
      <c r="ONL78" s="2198"/>
      <c r="ONM78" s="2198"/>
      <c r="ONN78" s="2198"/>
      <c r="ONO78" s="2198"/>
      <c r="ONP78" s="2198"/>
      <c r="ONQ78" s="2198"/>
      <c r="ONR78" s="2198"/>
      <c r="ONS78" s="2198"/>
      <c r="ONT78" s="2198"/>
      <c r="ONU78" s="2198"/>
      <c r="ONV78" s="2198"/>
      <c r="ONW78" s="2198"/>
      <c r="ONX78" s="2198"/>
      <c r="ONY78" s="2198"/>
      <c r="ONZ78" s="2198"/>
      <c r="OOA78" s="2198"/>
      <c r="OOB78" s="2198"/>
      <c r="OOC78" s="2198"/>
      <c r="OOD78" s="2198"/>
      <c r="OOE78" s="2198"/>
      <c r="OOF78" s="2198"/>
      <c r="OOG78" s="2198"/>
      <c r="OOH78" s="2198"/>
      <c r="OOI78" s="2198"/>
      <c r="OOJ78" s="2198"/>
      <c r="OOK78" s="2198"/>
      <c r="OOL78" s="2198"/>
      <c r="OOM78" s="2198"/>
      <c r="OON78" s="2198"/>
      <c r="OOO78" s="2198"/>
      <c r="OOP78" s="2198"/>
      <c r="OOQ78" s="2198"/>
      <c r="OOR78" s="2198"/>
      <c r="OOS78" s="2198"/>
      <c r="OOT78" s="2198"/>
      <c r="OOU78" s="2198"/>
      <c r="OOV78" s="2198"/>
      <c r="OOW78" s="2198"/>
      <c r="OOX78" s="2198"/>
      <c r="OOY78" s="2198"/>
      <c r="OOZ78" s="2198"/>
      <c r="OPA78" s="2198"/>
      <c r="OPB78" s="2198"/>
      <c r="OPC78" s="2198"/>
      <c r="OPD78" s="2198"/>
      <c r="OPE78" s="2198"/>
      <c r="OPF78" s="2198"/>
      <c r="OPG78" s="2198"/>
      <c r="OPH78" s="2198"/>
      <c r="OPI78" s="2198"/>
      <c r="OPJ78" s="2198"/>
      <c r="OPK78" s="2198"/>
      <c r="OPL78" s="2198"/>
      <c r="OPM78" s="2198"/>
      <c r="OPN78" s="2198"/>
      <c r="OPO78" s="2198"/>
      <c r="OPP78" s="2198"/>
      <c r="OPQ78" s="2198"/>
      <c r="OPR78" s="2198"/>
      <c r="OPS78" s="2198"/>
      <c r="OPT78" s="2198"/>
      <c r="OPU78" s="2198"/>
      <c r="OPV78" s="2198"/>
      <c r="OPW78" s="2198"/>
      <c r="OPX78" s="2198"/>
      <c r="OPY78" s="2198"/>
      <c r="OPZ78" s="2198"/>
      <c r="OQA78" s="2198"/>
      <c r="OQB78" s="2198"/>
      <c r="OQC78" s="2198"/>
      <c r="OQD78" s="2198"/>
      <c r="OQE78" s="2198"/>
      <c r="OQF78" s="2198"/>
      <c r="OQG78" s="2198"/>
      <c r="OQH78" s="2198"/>
      <c r="OQI78" s="2198"/>
      <c r="OQJ78" s="2198"/>
      <c r="OQK78" s="2198"/>
      <c r="OQL78" s="2198"/>
      <c r="OQM78" s="2198"/>
      <c r="OQN78" s="2198"/>
      <c r="OQO78" s="2198"/>
      <c r="OQP78" s="2198"/>
      <c r="OQQ78" s="2198"/>
      <c r="OQR78" s="2198"/>
      <c r="OQS78" s="2198"/>
      <c r="OQT78" s="2198"/>
      <c r="OQU78" s="2198"/>
      <c r="OQV78" s="2198"/>
      <c r="OQW78" s="2198"/>
      <c r="OQX78" s="2198"/>
      <c r="OQY78" s="2198"/>
      <c r="OQZ78" s="2198"/>
      <c r="ORA78" s="2198"/>
      <c r="ORB78" s="2198"/>
      <c r="ORC78" s="2198"/>
      <c r="ORD78" s="2198"/>
      <c r="ORE78" s="2198"/>
      <c r="ORF78" s="2198"/>
      <c r="ORG78" s="2198"/>
      <c r="ORH78" s="2198"/>
      <c r="ORI78" s="2198"/>
      <c r="ORJ78" s="2198"/>
      <c r="ORK78" s="2198"/>
      <c r="ORL78" s="2198"/>
      <c r="ORM78" s="2198"/>
      <c r="ORN78" s="2198"/>
      <c r="ORO78" s="2198"/>
      <c r="ORP78" s="2198"/>
      <c r="ORQ78" s="2198"/>
      <c r="ORR78" s="2198"/>
      <c r="ORS78" s="2198"/>
      <c r="ORT78" s="2198"/>
      <c r="ORU78" s="2198"/>
      <c r="ORV78" s="2198"/>
      <c r="ORW78" s="2198"/>
      <c r="ORX78" s="2198"/>
      <c r="ORY78" s="2198"/>
      <c r="ORZ78" s="2198"/>
      <c r="OSA78" s="2198"/>
      <c r="OSB78" s="2198"/>
      <c r="OSC78" s="2198"/>
      <c r="OSD78" s="2198"/>
      <c r="OSE78" s="2198"/>
      <c r="OSF78" s="2198"/>
      <c r="OSG78" s="2198"/>
      <c r="OSH78" s="2198"/>
      <c r="OSI78" s="2198"/>
      <c r="OSJ78" s="2198"/>
      <c r="OSK78" s="2198"/>
      <c r="OSL78" s="2198"/>
      <c r="OSM78" s="2198"/>
      <c r="OSN78" s="2198"/>
      <c r="OSO78" s="2198"/>
      <c r="OSP78" s="2198"/>
      <c r="OSQ78" s="2198"/>
      <c r="OSR78" s="2198"/>
      <c r="OSS78" s="2198"/>
      <c r="OST78" s="2198"/>
      <c r="OSU78" s="2198"/>
      <c r="OSV78" s="2198"/>
      <c r="OSW78" s="2198"/>
      <c r="OSX78" s="2198"/>
      <c r="OSY78" s="2198"/>
      <c r="OSZ78" s="2198"/>
      <c r="OTA78" s="2198"/>
      <c r="OTB78" s="2198"/>
      <c r="OTC78" s="2198"/>
      <c r="OTD78" s="2198"/>
      <c r="OTE78" s="2198"/>
      <c r="OTF78" s="2198"/>
      <c r="OTG78" s="2198"/>
      <c r="OTH78" s="2198"/>
      <c r="OTI78" s="2198"/>
      <c r="OTJ78" s="2198"/>
      <c r="OTK78" s="2198"/>
      <c r="OTL78" s="2198"/>
      <c r="OTM78" s="2198"/>
      <c r="OTN78" s="2198"/>
      <c r="OTO78" s="2198"/>
      <c r="OTP78" s="2198"/>
      <c r="OTQ78" s="2198"/>
      <c r="OTR78" s="2198"/>
      <c r="OTS78" s="2198"/>
      <c r="OTT78" s="2198"/>
      <c r="OTU78" s="2198"/>
      <c r="OTV78" s="2198"/>
      <c r="OTW78" s="2198"/>
      <c r="OTX78" s="2198"/>
      <c r="OTY78" s="2198"/>
      <c r="OTZ78" s="2198"/>
      <c r="OUA78" s="2198"/>
      <c r="OUB78" s="2198"/>
      <c r="OUC78" s="2198"/>
      <c r="OUD78" s="2198"/>
      <c r="OUE78" s="2198"/>
      <c r="OUF78" s="2198"/>
      <c r="OUG78" s="2198"/>
      <c r="OUH78" s="2198"/>
      <c r="OUI78" s="2198"/>
      <c r="OUJ78" s="2198"/>
      <c r="OUK78" s="2198"/>
      <c r="OUL78" s="2198"/>
      <c r="OUM78" s="2198"/>
      <c r="OUN78" s="2198"/>
      <c r="OUO78" s="2198"/>
      <c r="OUP78" s="2198"/>
      <c r="OUQ78" s="2198"/>
      <c r="OUR78" s="2198"/>
      <c r="OUS78" s="2198"/>
      <c r="OUT78" s="2198"/>
      <c r="OUU78" s="2198"/>
      <c r="OUV78" s="2198"/>
      <c r="OUW78" s="2198"/>
      <c r="OUX78" s="2198"/>
      <c r="OUY78" s="2198"/>
      <c r="OUZ78" s="2198"/>
      <c r="OVA78" s="2198"/>
      <c r="OVB78" s="2198"/>
      <c r="OVC78" s="2198"/>
      <c r="OVD78" s="2198"/>
      <c r="OVE78" s="2198"/>
      <c r="OVF78" s="2198"/>
      <c r="OVG78" s="2198"/>
      <c r="OVH78" s="2198"/>
      <c r="OVI78" s="2198"/>
      <c r="OVJ78" s="2198"/>
      <c r="OVK78" s="2198"/>
      <c r="OVL78" s="2198"/>
      <c r="OVM78" s="2198"/>
      <c r="OVN78" s="2198"/>
      <c r="OVO78" s="2198"/>
      <c r="OVP78" s="2198"/>
      <c r="OVQ78" s="2198"/>
      <c r="OVR78" s="2198"/>
      <c r="OVS78" s="2198"/>
      <c r="OVT78" s="2198"/>
      <c r="OVU78" s="2198"/>
      <c r="OVV78" s="2198"/>
      <c r="OVW78" s="2198"/>
      <c r="OVX78" s="2198"/>
      <c r="OVY78" s="2198"/>
      <c r="OVZ78" s="2198"/>
      <c r="OWA78" s="2198"/>
      <c r="OWB78" s="2198"/>
      <c r="OWC78" s="2198"/>
      <c r="OWD78" s="2198"/>
      <c r="OWE78" s="2198"/>
      <c r="OWF78" s="2198"/>
      <c r="OWG78" s="2198"/>
      <c r="OWH78" s="2198"/>
      <c r="OWI78" s="2198"/>
      <c r="OWJ78" s="2198"/>
      <c r="OWK78" s="2198"/>
      <c r="OWL78" s="2198"/>
      <c r="OWM78" s="2198"/>
      <c r="OWN78" s="2198"/>
      <c r="OWO78" s="2198"/>
      <c r="OWP78" s="2198"/>
      <c r="OWQ78" s="2198"/>
      <c r="OWR78" s="2198"/>
      <c r="OWS78" s="2198"/>
      <c r="OWT78" s="2198"/>
      <c r="OWU78" s="2198"/>
      <c r="OWV78" s="2198"/>
      <c r="OWW78" s="2198"/>
      <c r="OWX78" s="2198"/>
      <c r="OWY78" s="2198"/>
      <c r="OWZ78" s="2198"/>
      <c r="OXA78" s="2198"/>
      <c r="OXB78" s="2198"/>
      <c r="OXC78" s="2198"/>
      <c r="OXD78" s="2198"/>
      <c r="OXE78" s="2198"/>
      <c r="OXF78" s="2198"/>
      <c r="OXG78" s="2198"/>
      <c r="OXH78" s="2198"/>
      <c r="OXI78" s="2198"/>
      <c r="OXJ78" s="2198"/>
      <c r="OXK78" s="2198"/>
      <c r="OXL78" s="2198"/>
      <c r="OXM78" s="2198"/>
      <c r="OXN78" s="2198"/>
      <c r="OXO78" s="2198"/>
      <c r="OXP78" s="2198"/>
      <c r="OXQ78" s="2198"/>
      <c r="OXR78" s="2198"/>
      <c r="OXS78" s="2198"/>
      <c r="OXT78" s="2198"/>
      <c r="OXU78" s="2198"/>
      <c r="OXV78" s="2198"/>
      <c r="OXW78" s="2198"/>
      <c r="OXX78" s="2198"/>
      <c r="OXY78" s="2198"/>
      <c r="OXZ78" s="2198"/>
      <c r="OYA78" s="2198"/>
      <c r="OYB78" s="2198"/>
      <c r="OYC78" s="2198"/>
      <c r="OYD78" s="2198"/>
      <c r="OYE78" s="2198"/>
      <c r="OYF78" s="2198"/>
      <c r="OYG78" s="2198"/>
      <c r="OYH78" s="2198"/>
      <c r="OYI78" s="2198"/>
      <c r="OYJ78" s="2198"/>
      <c r="OYK78" s="2198"/>
      <c r="OYL78" s="2198"/>
      <c r="OYM78" s="2198"/>
      <c r="OYN78" s="2198"/>
      <c r="OYO78" s="2198"/>
      <c r="OYP78" s="2198"/>
      <c r="OYQ78" s="2198"/>
      <c r="OYR78" s="2198"/>
      <c r="OYS78" s="2198"/>
      <c r="OYT78" s="2198"/>
      <c r="OYU78" s="2198"/>
      <c r="OYV78" s="2198"/>
      <c r="OYW78" s="2198"/>
      <c r="OYX78" s="2198"/>
      <c r="OYY78" s="2198"/>
      <c r="OYZ78" s="2198"/>
      <c r="OZA78" s="2198"/>
      <c r="OZB78" s="2198"/>
      <c r="OZC78" s="2198"/>
      <c r="OZD78" s="2198"/>
      <c r="OZE78" s="2198"/>
      <c r="OZF78" s="2198"/>
      <c r="OZG78" s="2198"/>
      <c r="OZH78" s="2198"/>
      <c r="OZI78" s="2198"/>
      <c r="OZJ78" s="2198"/>
      <c r="OZK78" s="2198"/>
      <c r="OZL78" s="2198"/>
      <c r="OZM78" s="2198"/>
      <c r="OZN78" s="2198"/>
      <c r="OZO78" s="2198"/>
      <c r="OZP78" s="2198"/>
      <c r="OZQ78" s="2198"/>
      <c r="OZR78" s="2198"/>
      <c r="OZS78" s="2198"/>
      <c r="OZT78" s="2198"/>
      <c r="OZU78" s="2198"/>
      <c r="OZV78" s="2198"/>
      <c r="OZW78" s="2198"/>
      <c r="OZX78" s="2198"/>
      <c r="OZY78" s="2198"/>
      <c r="OZZ78" s="2198"/>
      <c r="PAA78" s="2198"/>
      <c r="PAB78" s="2198"/>
      <c r="PAC78" s="2198"/>
      <c r="PAD78" s="2198"/>
      <c r="PAE78" s="2198"/>
      <c r="PAF78" s="2198"/>
      <c r="PAG78" s="2198"/>
      <c r="PAH78" s="2198"/>
      <c r="PAI78" s="2198"/>
      <c r="PAJ78" s="2198"/>
      <c r="PAK78" s="2198"/>
      <c r="PAL78" s="2198"/>
      <c r="PAM78" s="2198"/>
      <c r="PAN78" s="2198"/>
      <c r="PAO78" s="2198"/>
      <c r="PAP78" s="2198"/>
      <c r="PAQ78" s="2198"/>
      <c r="PAR78" s="2198"/>
      <c r="PAS78" s="2198"/>
      <c r="PAT78" s="2198"/>
      <c r="PAU78" s="2198"/>
      <c r="PAV78" s="2198"/>
      <c r="PAW78" s="2198"/>
      <c r="PAX78" s="2198"/>
      <c r="PAY78" s="2198"/>
      <c r="PAZ78" s="2198"/>
      <c r="PBA78" s="2198"/>
      <c r="PBB78" s="2198"/>
      <c r="PBC78" s="2198"/>
      <c r="PBD78" s="2198"/>
      <c r="PBE78" s="2198"/>
      <c r="PBF78" s="2198"/>
      <c r="PBG78" s="2198"/>
      <c r="PBH78" s="2198"/>
      <c r="PBI78" s="2198"/>
      <c r="PBJ78" s="2198"/>
      <c r="PBK78" s="2198"/>
      <c r="PBL78" s="2198"/>
      <c r="PBM78" s="2198"/>
      <c r="PBN78" s="2198"/>
      <c r="PBO78" s="2198"/>
      <c r="PBP78" s="2198"/>
      <c r="PBQ78" s="2198"/>
      <c r="PBR78" s="2198"/>
      <c r="PBS78" s="2198"/>
      <c r="PBT78" s="2198"/>
      <c r="PBU78" s="2198"/>
      <c r="PBV78" s="2198"/>
      <c r="PBW78" s="2198"/>
      <c r="PBX78" s="2198"/>
      <c r="PBY78" s="2198"/>
      <c r="PBZ78" s="2198"/>
      <c r="PCA78" s="2198"/>
      <c r="PCB78" s="2198"/>
      <c r="PCC78" s="2198"/>
      <c r="PCD78" s="2198"/>
      <c r="PCE78" s="2198"/>
      <c r="PCF78" s="2198"/>
      <c r="PCG78" s="2198"/>
      <c r="PCH78" s="2198"/>
      <c r="PCI78" s="2198"/>
      <c r="PCJ78" s="2198"/>
      <c r="PCK78" s="2198"/>
      <c r="PCL78" s="2198"/>
      <c r="PCM78" s="2198"/>
      <c r="PCN78" s="2198"/>
      <c r="PCO78" s="2198"/>
      <c r="PCP78" s="2198"/>
      <c r="PCQ78" s="2198"/>
      <c r="PCR78" s="2198"/>
      <c r="PCS78" s="2198"/>
      <c r="PCT78" s="2198"/>
      <c r="PCU78" s="2198"/>
      <c r="PCV78" s="2198"/>
      <c r="PCW78" s="2198"/>
      <c r="PCX78" s="2198"/>
      <c r="PCY78" s="2198"/>
      <c r="PCZ78" s="2198"/>
      <c r="PDA78" s="2198"/>
      <c r="PDB78" s="2198"/>
      <c r="PDC78" s="2198"/>
      <c r="PDD78" s="2198"/>
      <c r="PDE78" s="2198"/>
      <c r="PDF78" s="2198"/>
      <c r="PDG78" s="2198"/>
      <c r="PDH78" s="2198"/>
      <c r="PDI78" s="2198"/>
      <c r="PDJ78" s="2198"/>
      <c r="PDK78" s="2198"/>
      <c r="PDL78" s="2198"/>
      <c r="PDM78" s="2198"/>
      <c r="PDN78" s="2198"/>
      <c r="PDO78" s="2198"/>
      <c r="PDP78" s="2198"/>
      <c r="PDQ78" s="2198"/>
      <c r="PDR78" s="2198"/>
      <c r="PDS78" s="2198"/>
      <c r="PDT78" s="2198"/>
      <c r="PDU78" s="2198"/>
      <c r="PDV78" s="2198"/>
      <c r="PDW78" s="2198"/>
      <c r="PDX78" s="2198"/>
      <c r="PDY78" s="2198"/>
      <c r="PDZ78" s="2198"/>
      <c r="PEA78" s="2198"/>
      <c r="PEB78" s="2198"/>
      <c r="PEC78" s="2198"/>
      <c r="PED78" s="2198"/>
      <c r="PEE78" s="2198"/>
      <c r="PEF78" s="2198"/>
      <c r="PEG78" s="2198"/>
      <c r="PEH78" s="2198"/>
      <c r="PEI78" s="2198"/>
      <c r="PEJ78" s="2198"/>
      <c r="PEK78" s="2198"/>
      <c r="PEL78" s="2198"/>
      <c r="PEM78" s="2198"/>
      <c r="PEN78" s="2198"/>
      <c r="PEO78" s="2198"/>
      <c r="PEP78" s="2198"/>
      <c r="PEQ78" s="2198"/>
      <c r="PER78" s="2198"/>
      <c r="PES78" s="2198"/>
      <c r="PET78" s="2198"/>
      <c r="PEU78" s="2198"/>
      <c r="PEV78" s="2198"/>
      <c r="PEW78" s="2198"/>
      <c r="PEX78" s="2198"/>
      <c r="PEY78" s="2198"/>
      <c r="PEZ78" s="2198"/>
      <c r="PFA78" s="2198"/>
      <c r="PFB78" s="2198"/>
      <c r="PFC78" s="2198"/>
      <c r="PFD78" s="2198"/>
      <c r="PFE78" s="2198"/>
      <c r="PFF78" s="2198"/>
      <c r="PFG78" s="2198"/>
      <c r="PFH78" s="2198"/>
      <c r="PFI78" s="2198"/>
      <c r="PFJ78" s="2198"/>
      <c r="PFK78" s="2198"/>
      <c r="PFL78" s="2198"/>
      <c r="PFM78" s="2198"/>
      <c r="PFN78" s="2198"/>
      <c r="PFO78" s="2198"/>
      <c r="PFP78" s="2198"/>
      <c r="PFQ78" s="2198"/>
      <c r="PFR78" s="2198"/>
      <c r="PFS78" s="2198"/>
      <c r="PFT78" s="2198"/>
      <c r="PFU78" s="2198"/>
      <c r="PFV78" s="2198"/>
      <c r="PFW78" s="2198"/>
      <c r="PFX78" s="2198"/>
      <c r="PFY78" s="2198"/>
      <c r="PFZ78" s="2198"/>
      <c r="PGA78" s="2198"/>
      <c r="PGB78" s="2198"/>
      <c r="PGC78" s="2198"/>
      <c r="PGD78" s="2198"/>
      <c r="PGE78" s="2198"/>
      <c r="PGF78" s="2198"/>
      <c r="PGG78" s="2198"/>
      <c r="PGH78" s="2198"/>
      <c r="PGI78" s="2198"/>
      <c r="PGJ78" s="2198"/>
      <c r="PGK78" s="2198"/>
      <c r="PGL78" s="2198"/>
      <c r="PGM78" s="2198"/>
      <c r="PGN78" s="2198"/>
      <c r="PGO78" s="2198"/>
      <c r="PGP78" s="2198"/>
      <c r="PGQ78" s="2198"/>
      <c r="PGR78" s="2198"/>
      <c r="PGS78" s="2198"/>
      <c r="PGT78" s="2198"/>
      <c r="PGU78" s="2198"/>
      <c r="PGV78" s="2198"/>
      <c r="PGW78" s="2198"/>
      <c r="PGX78" s="2198"/>
      <c r="PGY78" s="2198"/>
      <c r="PGZ78" s="2198"/>
      <c r="PHA78" s="2198"/>
      <c r="PHB78" s="2198"/>
      <c r="PHC78" s="2198"/>
      <c r="PHD78" s="2198"/>
      <c r="PHE78" s="2198"/>
      <c r="PHF78" s="2198"/>
      <c r="PHG78" s="2198"/>
      <c r="PHH78" s="2198"/>
      <c r="PHI78" s="2198"/>
      <c r="PHJ78" s="2198"/>
      <c r="PHK78" s="2198"/>
      <c r="PHL78" s="2198"/>
      <c r="PHM78" s="2198"/>
      <c r="PHN78" s="2198"/>
      <c r="PHO78" s="2198"/>
      <c r="PHP78" s="2198"/>
      <c r="PHQ78" s="2198"/>
      <c r="PHR78" s="2198"/>
      <c r="PHS78" s="2198"/>
      <c r="PHT78" s="2198"/>
      <c r="PHU78" s="2198"/>
      <c r="PHV78" s="2198"/>
      <c r="PHW78" s="2198"/>
      <c r="PHX78" s="2198"/>
      <c r="PHY78" s="2198"/>
      <c r="PHZ78" s="2198"/>
      <c r="PIA78" s="2198"/>
      <c r="PIB78" s="2198"/>
      <c r="PIC78" s="2198"/>
      <c r="PID78" s="2198"/>
      <c r="PIE78" s="2198"/>
      <c r="PIF78" s="2198"/>
      <c r="PIG78" s="2198"/>
      <c r="PIH78" s="2198"/>
      <c r="PII78" s="2198"/>
      <c r="PIJ78" s="2198"/>
      <c r="PIK78" s="2198"/>
      <c r="PIL78" s="2198"/>
      <c r="PIM78" s="2198"/>
      <c r="PIN78" s="2198"/>
      <c r="PIO78" s="2198"/>
      <c r="PIP78" s="2198"/>
      <c r="PIQ78" s="2198"/>
      <c r="PIR78" s="2198"/>
      <c r="PIS78" s="2198"/>
      <c r="PIT78" s="2198"/>
      <c r="PIU78" s="2198"/>
      <c r="PIV78" s="2198"/>
      <c r="PIW78" s="2198"/>
      <c r="PIX78" s="2198"/>
      <c r="PIY78" s="2198"/>
      <c r="PIZ78" s="2198"/>
      <c r="PJA78" s="2198"/>
      <c r="PJB78" s="2198"/>
      <c r="PJC78" s="2198"/>
      <c r="PJD78" s="2198"/>
      <c r="PJE78" s="2198"/>
      <c r="PJF78" s="2198"/>
      <c r="PJG78" s="2198"/>
      <c r="PJH78" s="2198"/>
      <c r="PJI78" s="2198"/>
      <c r="PJJ78" s="2198"/>
      <c r="PJK78" s="2198"/>
      <c r="PJL78" s="2198"/>
      <c r="PJM78" s="2198"/>
      <c r="PJN78" s="2198"/>
      <c r="PJO78" s="2198"/>
      <c r="PJP78" s="2198"/>
      <c r="PJQ78" s="2198"/>
      <c r="PJR78" s="2198"/>
      <c r="PJS78" s="2198"/>
      <c r="PJT78" s="2198"/>
      <c r="PJU78" s="2198"/>
      <c r="PJV78" s="2198"/>
      <c r="PJW78" s="2198"/>
      <c r="PJX78" s="2198"/>
      <c r="PJY78" s="2198"/>
      <c r="PJZ78" s="2198"/>
      <c r="PKA78" s="2198"/>
      <c r="PKB78" s="2198"/>
      <c r="PKC78" s="2198"/>
      <c r="PKD78" s="2198"/>
      <c r="PKE78" s="2198"/>
      <c r="PKF78" s="2198"/>
      <c r="PKG78" s="2198"/>
      <c r="PKH78" s="2198"/>
      <c r="PKI78" s="2198"/>
      <c r="PKJ78" s="2198"/>
      <c r="PKK78" s="2198"/>
      <c r="PKL78" s="2198"/>
      <c r="PKM78" s="2198"/>
      <c r="PKN78" s="2198"/>
      <c r="PKO78" s="2198"/>
      <c r="PKP78" s="2198"/>
      <c r="PKQ78" s="2198"/>
      <c r="PKR78" s="2198"/>
      <c r="PKS78" s="2198"/>
      <c r="PKT78" s="2198"/>
      <c r="PKU78" s="2198"/>
      <c r="PKV78" s="2198"/>
      <c r="PKW78" s="2198"/>
      <c r="PKX78" s="2198"/>
      <c r="PKY78" s="2198"/>
      <c r="PKZ78" s="2198"/>
      <c r="PLA78" s="2198"/>
      <c r="PLB78" s="2198"/>
      <c r="PLC78" s="2198"/>
      <c r="PLD78" s="2198"/>
      <c r="PLE78" s="2198"/>
      <c r="PLF78" s="2198"/>
      <c r="PLG78" s="2198"/>
      <c r="PLH78" s="2198"/>
      <c r="PLI78" s="2198"/>
      <c r="PLJ78" s="2198"/>
      <c r="PLK78" s="2198"/>
      <c r="PLL78" s="2198"/>
      <c r="PLM78" s="2198"/>
      <c r="PLN78" s="2198"/>
      <c r="PLO78" s="2198"/>
      <c r="PLP78" s="2198"/>
      <c r="PLQ78" s="2198"/>
      <c r="PLR78" s="2198"/>
      <c r="PLS78" s="2198"/>
      <c r="PLT78" s="2198"/>
      <c r="PLU78" s="2198"/>
      <c r="PLV78" s="2198"/>
      <c r="PLW78" s="2198"/>
      <c r="PLX78" s="2198"/>
      <c r="PLY78" s="2198"/>
      <c r="PLZ78" s="2198"/>
      <c r="PMA78" s="2198"/>
      <c r="PMB78" s="2198"/>
      <c r="PMC78" s="2198"/>
      <c r="PMD78" s="2198"/>
      <c r="PME78" s="2198"/>
      <c r="PMF78" s="2198"/>
      <c r="PMG78" s="2198"/>
      <c r="PMH78" s="2198"/>
      <c r="PMI78" s="2198"/>
      <c r="PMJ78" s="2198"/>
      <c r="PMK78" s="2198"/>
      <c r="PML78" s="2198"/>
      <c r="PMM78" s="2198"/>
      <c r="PMN78" s="2198"/>
      <c r="PMO78" s="2198"/>
      <c r="PMP78" s="2198"/>
      <c r="PMQ78" s="2198"/>
      <c r="PMR78" s="2198"/>
      <c r="PMS78" s="2198"/>
      <c r="PMT78" s="2198"/>
      <c r="PMU78" s="2198"/>
      <c r="PMV78" s="2198"/>
      <c r="PMW78" s="2198"/>
      <c r="PMX78" s="2198"/>
      <c r="PMY78" s="2198"/>
      <c r="PMZ78" s="2198"/>
      <c r="PNA78" s="2198"/>
      <c r="PNB78" s="2198"/>
      <c r="PNC78" s="2198"/>
      <c r="PND78" s="2198"/>
      <c r="PNE78" s="2198"/>
      <c r="PNF78" s="2198"/>
      <c r="PNG78" s="2198"/>
      <c r="PNH78" s="2198"/>
      <c r="PNI78" s="2198"/>
      <c r="PNJ78" s="2198"/>
      <c r="PNK78" s="2198"/>
      <c r="PNL78" s="2198"/>
      <c r="PNM78" s="2198"/>
      <c r="PNN78" s="2198"/>
      <c r="PNO78" s="2198"/>
      <c r="PNP78" s="2198"/>
      <c r="PNQ78" s="2198"/>
      <c r="PNR78" s="2198"/>
      <c r="PNS78" s="2198"/>
      <c r="PNT78" s="2198"/>
      <c r="PNU78" s="2198"/>
      <c r="PNV78" s="2198"/>
      <c r="PNW78" s="2198"/>
      <c r="PNX78" s="2198"/>
      <c r="PNY78" s="2198"/>
      <c r="PNZ78" s="2198"/>
      <c r="POA78" s="2198"/>
      <c r="POB78" s="2198"/>
      <c r="POC78" s="2198"/>
      <c r="POD78" s="2198"/>
      <c r="POE78" s="2198"/>
      <c r="POF78" s="2198"/>
      <c r="POG78" s="2198"/>
      <c r="POH78" s="2198"/>
      <c r="POI78" s="2198"/>
      <c r="POJ78" s="2198"/>
      <c r="POK78" s="2198"/>
      <c r="POL78" s="2198"/>
      <c r="POM78" s="2198"/>
      <c r="PON78" s="2198"/>
      <c r="POO78" s="2198"/>
      <c r="POP78" s="2198"/>
      <c r="POQ78" s="2198"/>
      <c r="POR78" s="2198"/>
      <c r="POS78" s="2198"/>
      <c r="POT78" s="2198"/>
      <c r="POU78" s="2198"/>
      <c r="POV78" s="2198"/>
      <c r="POW78" s="2198"/>
      <c r="POX78" s="2198"/>
      <c r="POY78" s="2198"/>
      <c r="POZ78" s="2198"/>
      <c r="PPA78" s="2198"/>
      <c r="PPB78" s="2198"/>
      <c r="PPC78" s="2198"/>
      <c r="PPD78" s="2198"/>
      <c r="PPE78" s="2198"/>
      <c r="PPF78" s="2198"/>
      <c r="PPG78" s="2198"/>
      <c r="PPH78" s="2198"/>
      <c r="PPI78" s="2198"/>
      <c r="PPJ78" s="2198"/>
      <c r="PPK78" s="2198"/>
      <c r="PPL78" s="2198"/>
      <c r="PPM78" s="2198"/>
      <c r="PPN78" s="2198"/>
      <c r="PPO78" s="2198"/>
      <c r="PPP78" s="2198"/>
      <c r="PPQ78" s="2198"/>
      <c r="PPR78" s="2198"/>
      <c r="PPS78" s="2198"/>
      <c r="PPT78" s="2198"/>
      <c r="PPU78" s="2198"/>
      <c r="PPV78" s="2198"/>
      <c r="PPW78" s="2198"/>
      <c r="PPX78" s="2198"/>
      <c r="PPY78" s="2198"/>
      <c r="PPZ78" s="2198"/>
      <c r="PQA78" s="2198"/>
      <c r="PQB78" s="2198"/>
      <c r="PQC78" s="2198"/>
      <c r="PQD78" s="2198"/>
      <c r="PQE78" s="2198"/>
      <c r="PQF78" s="2198"/>
      <c r="PQG78" s="2198"/>
      <c r="PQH78" s="2198"/>
      <c r="PQI78" s="2198"/>
      <c r="PQJ78" s="2198"/>
      <c r="PQK78" s="2198"/>
      <c r="PQL78" s="2198"/>
      <c r="PQM78" s="2198"/>
      <c r="PQN78" s="2198"/>
      <c r="PQO78" s="2198"/>
      <c r="PQP78" s="2198"/>
      <c r="PQQ78" s="2198"/>
      <c r="PQR78" s="2198"/>
      <c r="PQS78" s="2198"/>
      <c r="PQT78" s="2198"/>
      <c r="PQU78" s="2198"/>
      <c r="PQV78" s="2198"/>
      <c r="PQW78" s="2198"/>
      <c r="PQX78" s="2198"/>
      <c r="PQY78" s="2198"/>
      <c r="PQZ78" s="2198"/>
      <c r="PRA78" s="2198"/>
      <c r="PRB78" s="2198"/>
      <c r="PRC78" s="2198"/>
      <c r="PRD78" s="2198"/>
      <c r="PRE78" s="2198"/>
      <c r="PRF78" s="2198"/>
      <c r="PRG78" s="2198"/>
      <c r="PRH78" s="2198"/>
      <c r="PRI78" s="2198"/>
      <c r="PRJ78" s="2198"/>
      <c r="PRK78" s="2198"/>
      <c r="PRL78" s="2198"/>
      <c r="PRM78" s="2198"/>
      <c r="PRN78" s="2198"/>
      <c r="PRO78" s="2198"/>
      <c r="PRP78" s="2198"/>
      <c r="PRQ78" s="2198"/>
      <c r="PRR78" s="2198"/>
      <c r="PRS78" s="2198"/>
      <c r="PRT78" s="2198"/>
      <c r="PRU78" s="2198"/>
      <c r="PRV78" s="2198"/>
      <c r="PRW78" s="2198"/>
      <c r="PRX78" s="2198"/>
      <c r="PRY78" s="2198"/>
      <c r="PRZ78" s="2198"/>
      <c r="PSA78" s="2198"/>
      <c r="PSB78" s="2198"/>
      <c r="PSC78" s="2198"/>
      <c r="PSD78" s="2198"/>
      <c r="PSE78" s="2198"/>
      <c r="PSF78" s="2198"/>
      <c r="PSG78" s="2198"/>
      <c r="PSH78" s="2198"/>
      <c r="PSI78" s="2198"/>
      <c r="PSJ78" s="2198"/>
      <c r="PSK78" s="2198"/>
      <c r="PSL78" s="2198"/>
      <c r="PSM78" s="2198"/>
      <c r="PSN78" s="2198"/>
      <c r="PSO78" s="2198"/>
      <c r="PSP78" s="2198"/>
      <c r="PSQ78" s="2198"/>
      <c r="PSR78" s="2198"/>
      <c r="PSS78" s="2198"/>
      <c r="PST78" s="2198"/>
      <c r="PSU78" s="2198"/>
      <c r="PSV78" s="2198"/>
      <c r="PSW78" s="2198"/>
      <c r="PSX78" s="2198"/>
      <c r="PSY78" s="2198"/>
      <c r="PSZ78" s="2198"/>
      <c r="PTA78" s="2198"/>
      <c r="PTB78" s="2198"/>
      <c r="PTC78" s="2198"/>
      <c r="PTD78" s="2198"/>
      <c r="PTE78" s="2198"/>
      <c r="PTF78" s="2198"/>
      <c r="PTG78" s="2198"/>
      <c r="PTH78" s="2198"/>
      <c r="PTI78" s="2198"/>
      <c r="PTJ78" s="2198"/>
      <c r="PTK78" s="2198"/>
      <c r="PTL78" s="2198"/>
      <c r="PTM78" s="2198"/>
      <c r="PTN78" s="2198"/>
      <c r="PTO78" s="2198"/>
      <c r="PTP78" s="2198"/>
      <c r="PTQ78" s="2198"/>
      <c r="PTR78" s="2198"/>
      <c r="PTS78" s="2198"/>
      <c r="PTT78" s="2198"/>
      <c r="PTU78" s="2198"/>
      <c r="PTV78" s="2198"/>
      <c r="PTW78" s="2198"/>
      <c r="PTX78" s="2198"/>
      <c r="PTY78" s="2198"/>
      <c r="PTZ78" s="2198"/>
      <c r="PUA78" s="2198"/>
      <c r="PUB78" s="2198"/>
      <c r="PUC78" s="2198"/>
      <c r="PUD78" s="2198"/>
      <c r="PUE78" s="2198"/>
      <c r="PUF78" s="2198"/>
      <c r="PUG78" s="2198"/>
      <c r="PUH78" s="2198"/>
      <c r="PUI78" s="2198"/>
      <c r="PUJ78" s="2198"/>
      <c r="PUK78" s="2198"/>
      <c r="PUL78" s="2198"/>
      <c r="PUM78" s="2198"/>
      <c r="PUN78" s="2198"/>
      <c r="PUO78" s="2198"/>
      <c r="PUP78" s="2198"/>
      <c r="PUQ78" s="2198"/>
      <c r="PUR78" s="2198"/>
      <c r="PUS78" s="2198"/>
      <c r="PUT78" s="2198"/>
      <c r="PUU78" s="2198"/>
      <c r="PUV78" s="2198"/>
      <c r="PUW78" s="2198"/>
      <c r="PUX78" s="2198"/>
      <c r="PUY78" s="2198"/>
      <c r="PUZ78" s="2198"/>
      <c r="PVA78" s="2198"/>
      <c r="PVB78" s="2198"/>
      <c r="PVC78" s="2198"/>
      <c r="PVD78" s="2198"/>
      <c r="PVE78" s="2198"/>
      <c r="PVF78" s="2198"/>
      <c r="PVG78" s="2198"/>
      <c r="PVH78" s="2198"/>
      <c r="PVI78" s="2198"/>
      <c r="PVJ78" s="2198"/>
      <c r="PVK78" s="2198"/>
      <c r="PVL78" s="2198"/>
      <c r="PVM78" s="2198"/>
      <c r="PVN78" s="2198"/>
      <c r="PVO78" s="2198"/>
      <c r="PVP78" s="2198"/>
      <c r="PVQ78" s="2198"/>
      <c r="PVR78" s="2198"/>
      <c r="PVS78" s="2198"/>
      <c r="PVT78" s="2198"/>
      <c r="PVU78" s="2198"/>
      <c r="PVV78" s="2198"/>
      <c r="PVW78" s="2198"/>
      <c r="PVX78" s="2198"/>
      <c r="PVY78" s="2198"/>
      <c r="PVZ78" s="2198"/>
      <c r="PWA78" s="2198"/>
      <c r="PWB78" s="2198"/>
      <c r="PWC78" s="2198"/>
      <c r="PWD78" s="2198"/>
      <c r="PWE78" s="2198"/>
      <c r="PWF78" s="2198"/>
      <c r="PWG78" s="2198"/>
      <c r="PWH78" s="2198"/>
      <c r="PWI78" s="2198"/>
      <c r="PWJ78" s="2198"/>
      <c r="PWK78" s="2198"/>
      <c r="PWL78" s="2198"/>
      <c r="PWM78" s="2198"/>
      <c r="PWN78" s="2198"/>
      <c r="PWO78" s="2198"/>
      <c r="PWP78" s="2198"/>
      <c r="PWQ78" s="2198"/>
      <c r="PWR78" s="2198"/>
      <c r="PWS78" s="2198"/>
      <c r="PWT78" s="2198"/>
      <c r="PWU78" s="2198"/>
      <c r="PWV78" s="2198"/>
      <c r="PWW78" s="2198"/>
      <c r="PWX78" s="2198"/>
      <c r="PWY78" s="2198"/>
      <c r="PWZ78" s="2198"/>
      <c r="PXA78" s="2198"/>
      <c r="PXB78" s="2198"/>
      <c r="PXC78" s="2198"/>
      <c r="PXD78" s="2198"/>
      <c r="PXE78" s="2198"/>
      <c r="PXF78" s="2198"/>
      <c r="PXG78" s="2198"/>
      <c r="PXH78" s="2198"/>
      <c r="PXI78" s="2198"/>
      <c r="PXJ78" s="2198"/>
      <c r="PXK78" s="2198"/>
      <c r="PXL78" s="2198"/>
      <c r="PXM78" s="2198"/>
      <c r="PXN78" s="2198"/>
      <c r="PXO78" s="2198"/>
      <c r="PXP78" s="2198"/>
      <c r="PXQ78" s="2198"/>
      <c r="PXR78" s="2198"/>
      <c r="PXS78" s="2198"/>
      <c r="PXT78" s="2198"/>
      <c r="PXU78" s="2198"/>
      <c r="PXV78" s="2198"/>
      <c r="PXW78" s="2198"/>
      <c r="PXX78" s="2198"/>
      <c r="PXY78" s="2198"/>
      <c r="PXZ78" s="2198"/>
      <c r="PYA78" s="2198"/>
      <c r="PYB78" s="2198"/>
      <c r="PYC78" s="2198"/>
      <c r="PYD78" s="2198"/>
      <c r="PYE78" s="2198"/>
      <c r="PYF78" s="2198"/>
      <c r="PYG78" s="2198"/>
      <c r="PYH78" s="2198"/>
      <c r="PYI78" s="2198"/>
      <c r="PYJ78" s="2198"/>
      <c r="PYK78" s="2198"/>
      <c r="PYL78" s="2198"/>
      <c r="PYM78" s="2198"/>
      <c r="PYN78" s="2198"/>
      <c r="PYO78" s="2198"/>
      <c r="PYP78" s="2198"/>
      <c r="PYQ78" s="2198"/>
      <c r="PYR78" s="2198"/>
      <c r="PYS78" s="2198"/>
      <c r="PYT78" s="2198"/>
      <c r="PYU78" s="2198"/>
      <c r="PYV78" s="2198"/>
      <c r="PYW78" s="2198"/>
      <c r="PYX78" s="2198"/>
      <c r="PYY78" s="2198"/>
      <c r="PYZ78" s="2198"/>
      <c r="PZA78" s="2198"/>
      <c r="PZB78" s="2198"/>
      <c r="PZC78" s="2198"/>
      <c r="PZD78" s="2198"/>
      <c r="PZE78" s="2198"/>
      <c r="PZF78" s="2198"/>
      <c r="PZG78" s="2198"/>
      <c r="PZH78" s="2198"/>
      <c r="PZI78" s="2198"/>
      <c r="PZJ78" s="2198"/>
      <c r="PZK78" s="2198"/>
      <c r="PZL78" s="2198"/>
      <c r="PZM78" s="2198"/>
      <c r="PZN78" s="2198"/>
      <c r="PZO78" s="2198"/>
      <c r="PZP78" s="2198"/>
      <c r="PZQ78" s="2198"/>
      <c r="PZR78" s="2198"/>
      <c r="PZS78" s="2198"/>
      <c r="PZT78" s="2198"/>
      <c r="PZU78" s="2198"/>
      <c r="PZV78" s="2198"/>
      <c r="PZW78" s="2198"/>
      <c r="PZX78" s="2198"/>
      <c r="PZY78" s="2198"/>
      <c r="PZZ78" s="2198"/>
      <c r="QAA78" s="2198"/>
      <c r="QAB78" s="2198"/>
      <c r="QAC78" s="2198"/>
      <c r="QAD78" s="2198"/>
      <c r="QAE78" s="2198"/>
      <c r="QAF78" s="2198"/>
      <c r="QAG78" s="2198"/>
      <c r="QAH78" s="2198"/>
      <c r="QAI78" s="2198"/>
      <c r="QAJ78" s="2198"/>
      <c r="QAK78" s="2198"/>
      <c r="QAL78" s="2198"/>
      <c r="QAM78" s="2198"/>
      <c r="QAN78" s="2198"/>
      <c r="QAO78" s="2198"/>
      <c r="QAP78" s="2198"/>
      <c r="QAQ78" s="2198"/>
      <c r="QAR78" s="2198"/>
      <c r="QAS78" s="2198"/>
      <c r="QAT78" s="2198"/>
      <c r="QAU78" s="2198"/>
      <c r="QAV78" s="2198"/>
      <c r="QAW78" s="2198"/>
      <c r="QAX78" s="2198"/>
      <c r="QAY78" s="2198"/>
      <c r="QAZ78" s="2198"/>
      <c r="QBA78" s="2198"/>
      <c r="QBB78" s="2198"/>
      <c r="QBC78" s="2198"/>
      <c r="QBD78" s="2198"/>
      <c r="QBE78" s="2198"/>
      <c r="QBF78" s="2198"/>
      <c r="QBG78" s="2198"/>
      <c r="QBH78" s="2198"/>
      <c r="QBI78" s="2198"/>
      <c r="QBJ78" s="2198"/>
      <c r="QBK78" s="2198"/>
      <c r="QBL78" s="2198"/>
      <c r="QBM78" s="2198"/>
      <c r="QBN78" s="2198"/>
      <c r="QBO78" s="2198"/>
      <c r="QBP78" s="2198"/>
      <c r="QBQ78" s="2198"/>
      <c r="QBR78" s="2198"/>
      <c r="QBS78" s="2198"/>
      <c r="QBT78" s="2198"/>
      <c r="QBU78" s="2198"/>
      <c r="QBV78" s="2198"/>
      <c r="QBW78" s="2198"/>
      <c r="QBX78" s="2198"/>
      <c r="QBY78" s="2198"/>
      <c r="QBZ78" s="2198"/>
      <c r="QCA78" s="2198"/>
      <c r="QCB78" s="2198"/>
      <c r="QCC78" s="2198"/>
      <c r="QCD78" s="2198"/>
      <c r="QCE78" s="2198"/>
      <c r="QCF78" s="2198"/>
      <c r="QCG78" s="2198"/>
      <c r="QCH78" s="2198"/>
      <c r="QCI78" s="2198"/>
      <c r="QCJ78" s="2198"/>
      <c r="QCK78" s="2198"/>
      <c r="QCL78" s="2198"/>
      <c r="QCM78" s="2198"/>
      <c r="QCN78" s="2198"/>
      <c r="QCO78" s="2198"/>
      <c r="QCP78" s="2198"/>
      <c r="QCQ78" s="2198"/>
      <c r="QCR78" s="2198"/>
      <c r="QCS78" s="2198"/>
      <c r="QCT78" s="2198"/>
      <c r="QCU78" s="2198"/>
      <c r="QCV78" s="2198"/>
      <c r="QCW78" s="2198"/>
      <c r="QCX78" s="2198"/>
      <c r="QCY78" s="2198"/>
      <c r="QCZ78" s="2198"/>
      <c r="QDA78" s="2198"/>
      <c r="QDB78" s="2198"/>
      <c r="QDC78" s="2198"/>
      <c r="QDD78" s="2198"/>
      <c r="QDE78" s="2198"/>
      <c r="QDF78" s="2198"/>
      <c r="QDG78" s="2198"/>
      <c r="QDH78" s="2198"/>
      <c r="QDI78" s="2198"/>
      <c r="QDJ78" s="2198"/>
      <c r="QDK78" s="2198"/>
      <c r="QDL78" s="2198"/>
      <c r="QDM78" s="2198"/>
      <c r="QDN78" s="2198"/>
      <c r="QDO78" s="2198"/>
      <c r="QDP78" s="2198"/>
      <c r="QDQ78" s="2198"/>
      <c r="QDR78" s="2198"/>
      <c r="QDS78" s="2198"/>
      <c r="QDT78" s="2198"/>
      <c r="QDU78" s="2198"/>
      <c r="QDV78" s="2198"/>
      <c r="QDW78" s="2198"/>
      <c r="QDX78" s="2198"/>
      <c r="QDY78" s="2198"/>
      <c r="QDZ78" s="2198"/>
      <c r="QEA78" s="2198"/>
      <c r="QEB78" s="2198"/>
      <c r="QEC78" s="2198"/>
      <c r="QED78" s="2198"/>
      <c r="QEE78" s="2198"/>
      <c r="QEF78" s="2198"/>
      <c r="QEG78" s="2198"/>
      <c r="QEH78" s="2198"/>
      <c r="QEI78" s="2198"/>
      <c r="QEJ78" s="2198"/>
      <c r="QEK78" s="2198"/>
      <c r="QEL78" s="2198"/>
      <c r="QEM78" s="2198"/>
      <c r="QEN78" s="2198"/>
      <c r="QEO78" s="2198"/>
      <c r="QEP78" s="2198"/>
      <c r="QEQ78" s="2198"/>
      <c r="QER78" s="2198"/>
      <c r="QES78" s="2198"/>
      <c r="QET78" s="2198"/>
      <c r="QEU78" s="2198"/>
      <c r="QEV78" s="2198"/>
      <c r="QEW78" s="2198"/>
      <c r="QEX78" s="2198"/>
      <c r="QEY78" s="2198"/>
      <c r="QEZ78" s="2198"/>
      <c r="QFA78" s="2198"/>
      <c r="QFB78" s="2198"/>
      <c r="QFC78" s="2198"/>
      <c r="QFD78" s="2198"/>
      <c r="QFE78" s="2198"/>
      <c r="QFF78" s="2198"/>
      <c r="QFG78" s="2198"/>
      <c r="QFH78" s="2198"/>
      <c r="QFI78" s="2198"/>
      <c r="QFJ78" s="2198"/>
      <c r="QFK78" s="2198"/>
      <c r="QFL78" s="2198"/>
      <c r="QFM78" s="2198"/>
      <c r="QFN78" s="2198"/>
      <c r="QFO78" s="2198"/>
      <c r="QFP78" s="2198"/>
      <c r="QFQ78" s="2198"/>
      <c r="QFR78" s="2198"/>
      <c r="QFS78" s="2198"/>
      <c r="QFT78" s="2198"/>
      <c r="QFU78" s="2198"/>
      <c r="QFV78" s="2198"/>
      <c r="QFW78" s="2198"/>
      <c r="QFX78" s="2198"/>
      <c r="QFY78" s="2198"/>
      <c r="QFZ78" s="2198"/>
      <c r="QGA78" s="2198"/>
      <c r="QGB78" s="2198"/>
      <c r="QGC78" s="2198"/>
      <c r="QGD78" s="2198"/>
      <c r="QGE78" s="2198"/>
      <c r="QGF78" s="2198"/>
      <c r="QGG78" s="2198"/>
      <c r="QGH78" s="2198"/>
      <c r="QGI78" s="2198"/>
      <c r="QGJ78" s="2198"/>
      <c r="QGK78" s="2198"/>
      <c r="QGL78" s="2198"/>
      <c r="QGM78" s="2198"/>
      <c r="QGN78" s="2198"/>
      <c r="QGO78" s="2198"/>
      <c r="QGP78" s="2198"/>
      <c r="QGQ78" s="2198"/>
      <c r="QGR78" s="2198"/>
      <c r="QGS78" s="2198"/>
      <c r="QGT78" s="2198"/>
      <c r="QGU78" s="2198"/>
      <c r="QGV78" s="2198"/>
      <c r="QGW78" s="2198"/>
      <c r="QGX78" s="2198"/>
      <c r="QGY78" s="2198"/>
      <c r="QGZ78" s="2198"/>
      <c r="QHA78" s="2198"/>
      <c r="QHB78" s="2198"/>
      <c r="QHC78" s="2198"/>
      <c r="QHD78" s="2198"/>
      <c r="QHE78" s="2198"/>
      <c r="QHF78" s="2198"/>
      <c r="QHG78" s="2198"/>
      <c r="QHH78" s="2198"/>
      <c r="QHI78" s="2198"/>
      <c r="QHJ78" s="2198"/>
      <c r="QHK78" s="2198"/>
      <c r="QHL78" s="2198"/>
      <c r="QHM78" s="2198"/>
      <c r="QHN78" s="2198"/>
      <c r="QHO78" s="2198"/>
      <c r="QHP78" s="2198"/>
      <c r="QHQ78" s="2198"/>
      <c r="QHR78" s="2198"/>
      <c r="QHS78" s="2198"/>
      <c r="QHT78" s="2198"/>
      <c r="QHU78" s="2198"/>
      <c r="QHV78" s="2198"/>
      <c r="QHW78" s="2198"/>
      <c r="QHX78" s="2198"/>
      <c r="QHY78" s="2198"/>
      <c r="QHZ78" s="2198"/>
      <c r="QIA78" s="2198"/>
      <c r="QIB78" s="2198"/>
      <c r="QIC78" s="2198"/>
      <c r="QID78" s="2198"/>
      <c r="QIE78" s="2198"/>
      <c r="QIF78" s="2198"/>
      <c r="QIG78" s="2198"/>
      <c r="QIH78" s="2198"/>
      <c r="QII78" s="2198"/>
      <c r="QIJ78" s="2198"/>
      <c r="QIK78" s="2198"/>
      <c r="QIL78" s="2198"/>
      <c r="QIM78" s="2198"/>
      <c r="QIN78" s="2198"/>
      <c r="QIO78" s="2198"/>
      <c r="QIP78" s="2198"/>
      <c r="QIQ78" s="2198"/>
      <c r="QIR78" s="2198"/>
      <c r="QIS78" s="2198"/>
      <c r="QIT78" s="2198"/>
      <c r="QIU78" s="2198"/>
      <c r="QIV78" s="2198"/>
      <c r="QIW78" s="2198"/>
      <c r="QIX78" s="2198"/>
      <c r="QIY78" s="2198"/>
      <c r="QIZ78" s="2198"/>
      <c r="QJA78" s="2198"/>
      <c r="QJB78" s="2198"/>
      <c r="QJC78" s="2198"/>
      <c r="QJD78" s="2198"/>
      <c r="QJE78" s="2198"/>
      <c r="QJF78" s="2198"/>
      <c r="QJG78" s="2198"/>
      <c r="QJH78" s="2198"/>
      <c r="QJI78" s="2198"/>
      <c r="QJJ78" s="2198"/>
      <c r="QJK78" s="2198"/>
      <c r="QJL78" s="2198"/>
      <c r="QJM78" s="2198"/>
      <c r="QJN78" s="2198"/>
      <c r="QJO78" s="2198"/>
      <c r="QJP78" s="2198"/>
      <c r="QJQ78" s="2198"/>
      <c r="QJR78" s="2198"/>
      <c r="QJS78" s="2198"/>
      <c r="QJT78" s="2198"/>
      <c r="QJU78" s="2198"/>
      <c r="QJV78" s="2198"/>
      <c r="QJW78" s="2198"/>
      <c r="QJX78" s="2198"/>
      <c r="QJY78" s="2198"/>
      <c r="QJZ78" s="2198"/>
      <c r="QKA78" s="2198"/>
      <c r="QKB78" s="2198"/>
      <c r="QKC78" s="2198"/>
      <c r="QKD78" s="2198"/>
      <c r="QKE78" s="2198"/>
      <c r="QKF78" s="2198"/>
      <c r="QKG78" s="2198"/>
      <c r="QKH78" s="2198"/>
      <c r="QKI78" s="2198"/>
      <c r="QKJ78" s="2198"/>
      <c r="QKK78" s="2198"/>
      <c r="QKL78" s="2198"/>
      <c r="QKM78" s="2198"/>
      <c r="QKN78" s="2198"/>
      <c r="QKO78" s="2198"/>
      <c r="QKP78" s="2198"/>
      <c r="QKQ78" s="2198"/>
      <c r="QKR78" s="2198"/>
      <c r="QKS78" s="2198"/>
      <c r="QKT78" s="2198"/>
      <c r="QKU78" s="2198"/>
      <c r="QKV78" s="2198"/>
      <c r="QKW78" s="2198"/>
      <c r="QKX78" s="2198"/>
      <c r="QKY78" s="2198"/>
      <c r="QKZ78" s="2198"/>
      <c r="QLA78" s="2198"/>
      <c r="QLB78" s="2198"/>
      <c r="QLC78" s="2198"/>
      <c r="QLD78" s="2198"/>
      <c r="QLE78" s="2198"/>
      <c r="QLF78" s="2198"/>
      <c r="QLG78" s="2198"/>
      <c r="QLH78" s="2198"/>
      <c r="QLI78" s="2198"/>
      <c r="QLJ78" s="2198"/>
      <c r="QLK78" s="2198"/>
      <c r="QLL78" s="2198"/>
      <c r="QLM78" s="2198"/>
      <c r="QLN78" s="2198"/>
      <c r="QLO78" s="2198"/>
      <c r="QLP78" s="2198"/>
      <c r="QLQ78" s="2198"/>
      <c r="QLR78" s="2198"/>
      <c r="QLS78" s="2198"/>
      <c r="QLT78" s="2198"/>
      <c r="QLU78" s="2198"/>
      <c r="QLV78" s="2198"/>
      <c r="QLW78" s="2198"/>
      <c r="QLX78" s="2198"/>
      <c r="QLY78" s="2198"/>
      <c r="QLZ78" s="2198"/>
      <c r="QMA78" s="2198"/>
      <c r="QMB78" s="2198"/>
      <c r="QMC78" s="2198"/>
      <c r="QMD78" s="2198"/>
      <c r="QME78" s="2198"/>
      <c r="QMF78" s="2198"/>
      <c r="QMG78" s="2198"/>
      <c r="QMH78" s="2198"/>
      <c r="QMI78" s="2198"/>
      <c r="QMJ78" s="2198"/>
      <c r="QMK78" s="2198"/>
      <c r="QML78" s="2198"/>
      <c r="QMM78" s="2198"/>
      <c r="QMN78" s="2198"/>
      <c r="QMO78" s="2198"/>
      <c r="QMP78" s="2198"/>
      <c r="QMQ78" s="2198"/>
      <c r="QMR78" s="2198"/>
      <c r="QMS78" s="2198"/>
      <c r="QMT78" s="2198"/>
      <c r="QMU78" s="2198"/>
      <c r="QMV78" s="2198"/>
      <c r="QMW78" s="2198"/>
      <c r="QMX78" s="2198"/>
      <c r="QMY78" s="2198"/>
      <c r="QMZ78" s="2198"/>
      <c r="QNA78" s="2198"/>
      <c r="QNB78" s="2198"/>
      <c r="QNC78" s="2198"/>
      <c r="QND78" s="2198"/>
      <c r="QNE78" s="2198"/>
      <c r="QNF78" s="2198"/>
      <c r="QNG78" s="2198"/>
      <c r="QNH78" s="2198"/>
      <c r="QNI78" s="2198"/>
      <c r="QNJ78" s="2198"/>
      <c r="QNK78" s="2198"/>
      <c r="QNL78" s="2198"/>
      <c r="QNM78" s="2198"/>
      <c r="QNN78" s="2198"/>
      <c r="QNO78" s="2198"/>
      <c r="QNP78" s="2198"/>
      <c r="QNQ78" s="2198"/>
      <c r="QNR78" s="2198"/>
      <c r="QNS78" s="2198"/>
      <c r="QNT78" s="2198"/>
      <c r="QNU78" s="2198"/>
      <c r="QNV78" s="2198"/>
      <c r="QNW78" s="2198"/>
      <c r="QNX78" s="2198"/>
      <c r="QNY78" s="2198"/>
      <c r="QNZ78" s="2198"/>
      <c r="QOA78" s="2198"/>
      <c r="QOB78" s="2198"/>
      <c r="QOC78" s="2198"/>
      <c r="QOD78" s="2198"/>
      <c r="QOE78" s="2198"/>
      <c r="QOF78" s="2198"/>
      <c r="QOG78" s="2198"/>
      <c r="QOH78" s="2198"/>
      <c r="QOI78" s="2198"/>
      <c r="QOJ78" s="2198"/>
      <c r="QOK78" s="2198"/>
      <c r="QOL78" s="2198"/>
      <c r="QOM78" s="2198"/>
      <c r="QON78" s="2198"/>
      <c r="QOO78" s="2198"/>
      <c r="QOP78" s="2198"/>
      <c r="QOQ78" s="2198"/>
      <c r="QOR78" s="2198"/>
      <c r="QOS78" s="2198"/>
      <c r="QOT78" s="2198"/>
      <c r="QOU78" s="2198"/>
      <c r="QOV78" s="2198"/>
      <c r="QOW78" s="2198"/>
      <c r="QOX78" s="2198"/>
      <c r="QOY78" s="2198"/>
      <c r="QOZ78" s="2198"/>
      <c r="QPA78" s="2198"/>
      <c r="QPB78" s="2198"/>
      <c r="QPC78" s="2198"/>
      <c r="QPD78" s="2198"/>
      <c r="QPE78" s="2198"/>
      <c r="QPF78" s="2198"/>
      <c r="QPG78" s="2198"/>
      <c r="QPH78" s="2198"/>
      <c r="QPI78" s="2198"/>
      <c r="QPJ78" s="2198"/>
      <c r="QPK78" s="2198"/>
      <c r="QPL78" s="2198"/>
      <c r="QPM78" s="2198"/>
      <c r="QPN78" s="2198"/>
      <c r="QPO78" s="2198"/>
      <c r="QPP78" s="2198"/>
      <c r="QPQ78" s="2198"/>
      <c r="QPR78" s="2198"/>
      <c r="QPS78" s="2198"/>
      <c r="QPT78" s="2198"/>
      <c r="QPU78" s="2198"/>
      <c r="QPV78" s="2198"/>
      <c r="QPW78" s="2198"/>
      <c r="QPX78" s="2198"/>
      <c r="QPY78" s="2198"/>
      <c r="QPZ78" s="2198"/>
      <c r="QQA78" s="2198"/>
      <c r="QQB78" s="2198"/>
      <c r="QQC78" s="2198"/>
      <c r="QQD78" s="2198"/>
      <c r="QQE78" s="2198"/>
      <c r="QQF78" s="2198"/>
      <c r="QQG78" s="2198"/>
      <c r="QQH78" s="2198"/>
      <c r="QQI78" s="2198"/>
      <c r="QQJ78" s="2198"/>
      <c r="QQK78" s="2198"/>
      <c r="QQL78" s="2198"/>
      <c r="QQM78" s="2198"/>
      <c r="QQN78" s="2198"/>
      <c r="QQO78" s="2198"/>
      <c r="QQP78" s="2198"/>
      <c r="QQQ78" s="2198"/>
      <c r="QQR78" s="2198"/>
      <c r="QQS78" s="2198"/>
      <c r="QQT78" s="2198"/>
      <c r="QQU78" s="2198"/>
      <c r="QQV78" s="2198"/>
      <c r="QQW78" s="2198"/>
      <c r="QQX78" s="2198"/>
      <c r="QQY78" s="2198"/>
      <c r="QQZ78" s="2198"/>
      <c r="QRA78" s="2198"/>
      <c r="QRB78" s="2198"/>
      <c r="QRC78" s="2198"/>
      <c r="QRD78" s="2198"/>
      <c r="QRE78" s="2198"/>
      <c r="QRF78" s="2198"/>
      <c r="QRG78" s="2198"/>
      <c r="QRH78" s="2198"/>
      <c r="QRI78" s="2198"/>
      <c r="QRJ78" s="2198"/>
      <c r="QRK78" s="2198"/>
      <c r="QRL78" s="2198"/>
      <c r="QRM78" s="2198"/>
      <c r="QRN78" s="2198"/>
      <c r="QRO78" s="2198"/>
      <c r="QRP78" s="2198"/>
      <c r="QRQ78" s="2198"/>
      <c r="QRR78" s="2198"/>
      <c r="QRS78" s="2198"/>
      <c r="QRT78" s="2198"/>
      <c r="QRU78" s="2198"/>
      <c r="QRV78" s="2198"/>
      <c r="QRW78" s="2198"/>
      <c r="QRX78" s="2198"/>
      <c r="QRY78" s="2198"/>
      <c r="QRZ78" s="2198"/>
      <c r="QSA78" s="2198"/>
      <c r="QSB78" s="2198"/>
      <c r="QSC78" s="2198"/>
      <c r="QSD78" s="2198"/>
      <c r="QSE78" s="2198"/>
      <c r="QSF78" s="2198"/>
      <c r="QSG78" s="2198"/>
      <c r="QSH78" s="2198"/>
      <c r="QSI78" s="2198"/>
      <c r="QSJ78" s="2198"/>
      <c r="QSK78" s="2198"/>
      <c r="QSL78" s="2198"/>
      <c r="QSM78" s="2198"/>
      <c r="QSN78" s="2198"/>
      <c r="QSO78" s="2198"/>
      <c r="QSP78" s="2198"/>
      <c r="QSQ78" s="2198"/>
      <c r="QSR78" s="2198"/>
      <c r="QSS78" s="2198"/>
      <c r="QST78" s="2198"/>
      <c r="QSU78" s="2198"/>
      <c r="QSV78" s="2198"/>
      <c r="QSW78" s="2198"/>
      <c r="QSX78" s="2198"/>
      <c r="QSY78" s="2198"/>
      <c r="QSZ78" s="2198"/>
      <c r="QTA78" s="2198"/>
      <c r="QTB78" s="2198"/>
      <c r="QTC78" s="2198"/>
      <c r="QTD78" s="2198"/>
      <c r="QTE78" s="2198"/>
      <c r="QTF78" s="2198"/>
      <c r="QTG78" s="2198"/>
      <c r="QTH78" s="2198"/>
      <c r="QTI78" s="2198"/>
      <c r="QTJ78" s="2198"/>
      <c r="QTK78" s="2198"/>
      <c r="QTL78" s="2198"/>
      <c r="QTM78" s="2198"/>
      <c r="QTN78" s="2198"/>
      <c r="QTO78" s="2198"/>
      <c r="QTP78" s="2198"/>
      <c r="QTQ78" s="2198"/>
      <c r="QTR78" s="2198"/>
      <c r="QTS78" s="2198"/>
      <c r="QTT78" s="2198"/>
      <c r="QTU78" s="2198"/>
      <c r="QTV78" s="2198"/>
      <c r="QTW78" s="2198"/>
      <c r="QTX78" s="2198"/>
      <c r="QTY78" s="2198"/>
      <c r="QTZ78" s="2198"/>
      <c r="QUA78" s="2198"/>
      <c r="QUB78" s="2198"/>
      <c r="QUC78" s="2198"/>
      <c r="QUD78" s="2198"/>
      <c r="QUE78" s="2198"/>
      <c r="QUF78" s="2198"/>
      <c r="QUG78" s="2198"/>
      <c r="QUH78" s="2198"/>
      <c r="QUI78" s="2198"/>
      <c r="QUJ78" s="2198"/>
      <c r="QUK78" s="2198"/>
      <c r="QUL78" s="2198"/>
      <c r="QUM78" s="2198"/>
      <c r="QUN78" s="2198"/>
      <c r="QUO78" s="2198"/>
      <c r="QUP78" s="2198"/>
      <c r="QUQ78" s="2198"/>
      <c r="QUR78" s="2198"/>
      <c r="QUS78" s="2198"/>
      <c r="QUT78" s="2198"/>
      <c r="QUU78" s="2198"/>
      <c r="QUV78" s="2198"/>
      <c r="QUW78" s="2198"/>
      <c r="QUX78" s="2198"/>
      <c r="QUY78" s="2198"/>
      <c r="QUZ78" s="2198"/>
      <c r="QVA78" s="2198"/>
      <c r="QVB78" s="2198"/>
      <c r="QVC78" s="2198"/>
      <c r="QVD78" s="2198"/>
      <c r="QVE78" s="2198"/>
      <c r="QVF78" s="2198"/>
      <c r="QVG78" s="2198"/>
      <c r="QVH78" s="2198"/>
      <c r="QVI78" s="2198"/>
      <c r="QVJ78" s="2198"/>
      <c r="QVK78" s="2198"/>
      <c r="QVL78" s="2198"/>
      <c r="QVM78" s="2198"/>
      <c r="QVN78" s="2198"/>
      <c r="QVO78" s="2198"/>
      <c r="QVP78" s="2198"/>
      <c r="QVQ78" s="2198"/>
      <c r="QVR78" s="2198"/>
      <c r="QVS78" s="2198"/>
      <c r="QVT78" s="2198"/>
      <c r="QVU78" s="2198"/>
      <c r="QVV78" s="2198"/>
      <c r="QVW78" s="2198"/>
      <c r="QVX78" s="2198"/>
      <c r="QVY78" s="2198"/>
      <c r="QVZ78" s="2198"/>
      <c r="QWA78" s="2198"/>
      <c r="QWB78" s="2198"/>
      <c r="QWC78" s="2198"/>
      <c r="QWD78" s="2198"/>
      <c r="QWE78" s="2198"/>
      <c r="QWF78" s="2198"/>
      <c r="QWG78" s="2198"/>
      <c r="QWH78" s="2198"/>
      <c r="QWI78" s="2198"/>
      <c r="QWJ78" s="2198"/>
      <c r="QWK78" s="2198"/>
      <c r="QWL78" s="2198"/>
      <c r="QWM78" s="2198"/>
      <c r="QWN78" s="2198"/>
      <c r="QWO78" s="2198"/>
      <c r="QWP78" s="2198"/>
      <c r="QWQ78" s="2198"/>
      <c r="QWR78" s="2198"/>
      <c r="QWS78" s="2198"/>
      <c r="QWT78" s="2198"/>
      <c r="QWU78" s="2198"/>
      <c r="QWV78" s="2198"/>
      <c r="QWW78" s="2198"/>
      <c r="QWX78" s="2198"/>
      <c r="QWY78" s="2198"/>
      <c r="QWZ78" s="2198"/>
      <c r="QXA78" s="2198"/>
      <c r="QXB78" s="2198"/>
      <c r="QXC78" s="2198"/>
      <c r="QXD78" s="2198"/>
      <c r="QXE78" s="2198"/>
      <c r="QXF78" s="2198"/>
      <c r="QXG78" s="2198"/>
      <c r="QXH78" s="2198"/>
      <c r="QXI78" s="2198"/>
      <c r="QXJ78" s="2198"/>
      <c r="QXK78" s="2198"/>
      <c r="QXL78" s="2198"/>
      <c r="QXM78" s="2198"/>
      <c r="QXN78" s="2198"/>
      <c r="QXO78" s="2198"/>
      <c r="QXP78" s="2198"/>
      <c r="QXQ78" s="2198"/>
      <c r="QXR78" s="2198"/>
      <c r="QXS78" s="2198"/>
      <c r="QXT78" s="2198"/>
      <c r="QXU78" s="2198"/>
      <c r="QXV78" s="2198"/>
      <c r="QXW78" s="2198"/>
      <c r="QXX78" s="2198"/>
      <c r="QXY78" s="2198"/>
      <c r="QXZ78" s="2198"/>
      <c r="QYA78" s="2198"/>
      <c r="QYB78" s="2198"/>
      <c r="QYC78" s="2198"/>
      <c r="QYD78" s="2198"/>
      <c r="QYE78" s="2198"/>
      <c r="QYF78" s="2198"/>
      <c r="QYG78" s="2198"/>
      <c r="QYH78" s="2198"/>
      <c r="QYI78" s="2198"/>
      <c r="QYJ78" s="2198"/>
      <c r="QYK78" s="2198"/>
      <c r="QYL78" s="2198"/>
      <c r="QYM78" s="2198"/>
      <c r="QYN78" s="2198"/>
      <c r="QYO78" s="2198"/>
      <c r="QYP78" s="2198"/>
      <c r="QYQ78" s="2198"/>
      <c r="QYR78" s="2198"/>
      <c r="QYS78" s="2198"/>
      <c r="QYT78" s="2198"/>
      <c r="QYU78" s="2198"/>
      <c r="QYV78" s="2198"/>
      <c r="QYW78" s="2198"/>
      <c r="QYX78" s="2198"/>
      <c r="QYY78" s="2198"/>
      <c r="QYZ78" s="2198"/>
      <c r="QZA78" s="2198"/>
      <c r="QZB78" s="2198"/>
      <c r="QZC78" s="2198"/>
      <c r="QZD78" s="2198"/>
      <c r="QZE78" s="2198"/>
      <c r="QZF78" s="2198"/>
      <c r="QZG78" s="2198"/>
      <c r="QZH78" s="2198"/>
      <c r="QZI78" s="2198"/>
      <c r="QZJ78" s="2198"/>
      <c r="QZK78" s="2198"/>
      <c r="QZL78" s="2198"/>
      <c r="QZM78" s="2198"/>
      <c r="QZN78" s="2198"/>
      <c r="QZO78" s="2198"/>
      <c r="QZP78" s="2198"/>
      <c r="QZQ78" s="2198"/>
      <c r="QZR78" s="2198"/>
      <c r="QZS78" s="2198"/>
      <c r="QZT78" s="2198"/>
      <c r="QZU78" s="2198"/>
      <c r="QZV78" s="2198"/>
      <c r="QZW78" s="2198"/>
      <c r="QZX78" s="2198"/>
      <c r="QZY78" s="2198"/>
      <c r="QZZ78" s="2198"/>
      <c r="RAA78" s="2198"/>
      <c r="RAB78" s="2198"/>
      <c r="RAC78" s="2198"/>
      <c r="RAD78" s="2198"/>
      <c r="RAE78" s="2198"/>
      <c r="RAF78" s="2198"/>
      <c r="RAG78" s="2198"/>
      <c r="RAH78" s="2198"/>
      <c r="RAI78" s="2198"/>
      <c r="RAJ78" s="2198"/>
      <c r="RAK78" s="2198"/>
      <c r="RAL78" s="2198"/>
      <c r="RAM78" s="2198"/>
      <c r="RAN78" s="2198"/>
      <c r="RAO78" s="2198"/>
      <c r="RAP78" s="2198"/>
      <c r="RAQ78" s="2198"/>
      <c r="RAR78" s="2198"/>
      <c r="RAS78" s="2198"/>
      <c r="RAT78" s="2198"/>
      <c r="RAU78" s="2198"/>
      <c r="RAV78" s="2198"/>
      <c r="RAW78" s="2198"/>
      <c r="RAX78" s="2198"/>
      <c r="RAY78" s="2198"/>
      <c r="RAZ78" s="2198"/>
      <c r="RBA78" s="2198"/>
      <c r="RBB78" s="2198"/>
      <c r="RBC78" s="2198"/>
      <c r="RBD78" s="2198"/>
      <c r="RBE78" s="2198"/>
      <c r="RBF78" s="2198"/>
      <c r="RBG78" s="2198"/>
      <c r="RBH78" s="2198"/>
      <c r="RBI78" s="2198"/>
      <c r="RBJ78" s="2198"/>
      <c r="RBK78" s="2198"/>
      <c r="RBL78" s="2198"/>
      <c r="RBM78" s="2198"/>
      <c r="RBN78" s="2198"/>
      <c r="RBO78" s="2198"/>
      <c r="RBP78" s="2198"/>
      <c r="RBQ78" s="2198"/>
      <c r="RBR78" s="2198"/>
      <c r="RBS78" s="2198"/>
      <c r="RBT78" s="2198"/>
      <c r="RBU78" s="2198"/>
      <c r="RBV78" s="2198"/>
      <c r="RBW78" s="2198"/>
      <c r="RBX78" s="2198"/>
      <c r="RBY78" s="2198"/>
      <c r="RBZ78" s="2198"/>
      <c r="RCA78" s="2198"/>
      <c r="RCB78" s="2198"/>
      <c r="RCC78" s="2198"/>
      <c r="RCD78" s="2198"/>
      <c r="RCE78" s="2198"/>
      <c r="RCF78" s="2198"/>
      <c r="RCG78" s="2198"/>
      <c r="RCH78" s="2198"/>
      <c r="RCI78" s="2198"/>
      <c r="RCJ78" s="2198"/>
      <c r="RCK78" s="2198"/>
      <c r="RCL78" s="2198"/>
      <c r="RCM78" s="2198"/>
      <c r="RCN78" s="2198"/>
      <c r="RCO78" s="2198"/>
      <c r="RCP78" s="2198"/>
      <c r="RCQ78" s="2198"/>
      <c r="RCR78" s="2198"/>
      <c r="RCS78" s="2198"/>
      <c r="RCT78" s="2198"/>
      <c r="RCU78" s="2198"/>
      <c r="RCV78" s="2198"/>
      <c r="RCW78" s="2198"/>
      <c r="RCX78" s="2198"/>
      <c r="RCY78" s="2198"/>
      <c r="RCZ78" s="2198"/>
      <c r="RDA78" s="2198"/>
      <c r="RDB78" s="2198"/>
      <c r="RDC78" s="2198"/>
      <c r="RDD78" s="2198"/>
      <c r="RDE78" s="2198"/>
      <c r="RDF78" s="2198"/>
      <c r="RDG78" s="2198"/>
      <c r="RDH78" s="2198"/>
      <c r="RDI78" s="2198"/>
      <c r="RDJ78" s="2198"/>
      <c r="RDK78" s="2198"/>
      <c r="RDL78" s="2198"/>
      <c r="RDM78" s="2198"/>
      <c r="RDN78" s="2198"/>
      <c r="RDO78" s="2198"/>
      <c r="RDP78" s="2198"/>
      <c r="RDQ78" s="2198"/>
      <c r="RDR78" s="2198"/>
      <c r="RDS78" s="2198"/>
      <c r="RDT78" s="2198"/>
      <c r="RDU78" s="2198"/>
      <c r="RDV78" s="2198"/>
      <c r="RDW78" s="2198"/>
      <c r="RDX78" s="2198"/>
      <c r="RDY78" s="2198"/>
      <c r="RDZ78" s="2198"/>
      <c r="REA78" s="2198"/>
      <c r="REB78" s="2198"/>
      <c r="REC78" s="2198"/>
      <c r="RED78" s="2198"/>
      <c r="REE78" s="2198"/>
      <c r="REF78" s="2198"/>
      <c r="REG78" s="2198"/>
      <c r="REH78" s="2198"/>
      <c r="REI78" s="2198"/>
      <c r="REJ78" s="2198"/>
      <c r="REK78" s="2198"/>
      <c r="REL78" s="2198"/>
      <c r="REM78" s="2198"/>
      <c r="REN78" s="2198"/>
      <c r="REO78" s="2198"/>
      <c r="REP78" s="2198"/>
      <c r="REQ78" s="2198"/>
      <c r="RER78" s="2198"/>
      <c r="RES78" s="2198"/>
      <c r="RET78" s="2198"/>
      <c r="REU78" s="2198"/>
      <c r="REV78" s="2198"/>
      <c r="REW78" s="2198"/>
      <c r="REX78" s="2198"/>
      <c r="REY78" s="2198"/>
      <c r="REZ78" s="2198"/>
      <c r="RFA78" s="2198"/>
      <c r="RFB78" s="2198"/>
      <c r="RFC78" s="2198"/>
      <c r="RFD78" s="2198"/>
      <c r="RFE78" s="2198"/>
      <c r="RFF78" s="2198"/>
      <c r="RFG78" s="2198"/>
      <c r="RFH78" s="2198"/>
      <c r="RFI78" s="2198"/>
      <c r="RFJ78" s="2198"/>
      <c r="RFK78" s="2198"/>
      <c r="RFL78" s="2198"/>
      <c r="RFM78" s="2198"/>
      <c r="RFN78" s="2198"/>
      <c r="RFO78" s="2198"/>
      <c r="RFP78" s="2198"/>
      <c r="RFQ78" s="2198"/>
      <c r="RFR78" s="2198"/>
      <c r="RFS78" s="2198"/>
      <c r="RFT78" s="2198"/>
      <c r="RFU78" s="2198"/>
      <c r="RFV78" s="2198"/>
      <c r="RFW78" s="2198"/>
      <c r="RFX78" s="2198"/>
      <c r="RFY78" s="2198"/>
      <c r="RFZ78" s="2198"/>
      <c r="RGA78" s="2198"/>
      <c r="RGB78" s="2198"/>
      <c r="RGC78" s="2198"/>
      <c r="RGD78" s="2198"/>
      <c r="RGE78" s="2198"/>
      <c r="RGF78" s="2198"/>
      <c r="RGG78" s="2198"/>
      <c r="RGH78" s="2198"/>
      <c r="RGI78" s="2198"/>
      <c r="RGJ78" s="2198"/>
      <c r="RGK78" s="2198"/>
      <c r="RGL78" s="2198"/>
      <c r="RGM78" s="2198"/>
      <c r="RGN78" s="2198"/>
      <c r="RGO78" s="2198"/>
      <c r="RGP78" s="2198"/>
      <c r="RGQ78" s="2198"/>
      <c r="RGR78" s="2198"/>
      <c r="RGS78" s="2198"/>
      <c r="RGT78" s="2198"/>
      <c r="RGU78" s="2198"/>
      <c r="RGV78" s="2198"/>
      <c r="RGW78" s="2198"/>
      <c r="RGX78" s="2198"/>
      <c r="RGY78" s="2198"/>
      <c r="RGZ78" s="2198"/>
      <c r="RHA78" s="2198"/>
      <c r="RHB78" s="2198"/>
      <c r="RHC78" s="2198"/>
      <c r="RHD78" s="2198"/>
      <c r="RHE78" s="2198"/>
      <c r="RHF78" s="2198"/>
      <c r="RHG78" s="2198"/>
      <c r="RHH78" s="2198"/>
      <c r="RHI78" s="2198"/>
      <c r="RHJ78" s="2198"/>
      <c r="RHK78" s="2198"/>
      <c r="RHL78" s="2198"/>
      <c r="RHM78" s="2198"/>
      <c r="RHN78" s="2198"/>
      <c r="RHO78" s="2198"/>
      <c r="RHP78" s="2198"/>
      <c r="RHQ78" s="2198"/>
      <c r="RHR78" s="2198"/>
      <c r="RHS78" s="2198"/>
      <c r="RHT78" s="2198"/>
      <c r="RHU78" s="2198"/>
      <c r="RHV78" s="2198"/>
      <c r="RHW78" s="2198"/>
      <c r="RHX78" s="2198"/>
      <c r="RHY78" s="2198"/>
      <c r="RHZ78" s="2198"/>
      <c r="RIA78" s="2198"/>
      <c r="RIB78" s="2198"/>
      <c r="RIC78" s="2198"/>
      <c r="RID78" s="2198"/>
      <c r="RIE78" s="2198"/>
      <c r="RIF78" s="2198"/>
      <c r="RIG78" s="2198"/>
      <c r="RIH78" s="2198"/>
      <c r="RII78" s="2198"/>
      <c r="RIJ78" s="2198"/>
      <c r="RIK78" s="2198"/>
      <c r="RIL78" s="2198"/>
      <c r="RIM78" s="2198"/>
      <c r="RIN78" s="2198"/>
      <c r="RIO78" s="2198"/>
      <c r="RIP78" s="2198"/>
      <c r="RIQ78" s="2198"/>
      <c r="RIR78" s="2198"/>
      <c r="RIS78" s="2198"/>
      <c r="RIT78" s="2198"/>
      <c r="RIU78" s="2198"/>
      <c r="RIV78" s="2198"/>
      <c r="RIW78" s="2198"/>
      <c r="RIX78" s="2198"/>
      <c r="RIY78" s="2198"/>
      <c r="RIZ78" s="2198"/>
      <c r="RJA78" s="2198"/>
      <c r="RJB78" s="2198"/>
      <c r="RJC78" s="2198"/>
      <c r="RJD78" s="2198"/>
      <c r="RJE78" s="2198"/>
      <c r="RJF78" s="2198"/>
      <c r="RJG78" s="2198"/>
      <c r="RJH78" s="2198"/>
      <c r="RJI78" s="2198"/>
      <c r="RJJ78" s="2198"/>
      <c r="RJK78" s="2198"/>
      <c r="RJL78" s="2198"/>
      <c r="RJM78" s="2198"/>
      <c r="RJN78" s="2198"/>
      <c r="RJO78" s="2198"/>
      <c r="RJP78" s="2198"/>
      <c r="RJQ78" s="2198"/>
      <c r="RJR78" s="2198"/>
      <c r="RJS78" s="2198"/>
      <c r="RJT78" s="2198"/>
      <c r="RJU78" s="2198"/>
      <c r="RJV78" s="2198"/>
      <c r="RJW78" s="2198"/>
      <c r="RJX78" s="2198"/>
      <c r="RJY78" s="2198"/>
      <c r="RJZ78" s="2198"/>
      <c r="RKA78" s="2198"/>
      <c r="RKB78" s="2198"/>
      <c r="RKC78" s="2198"/>
      <c r="RKD78" s="2198"/>
      <c r="RKE78" s="2198"/>
      <c r="RKF78" s="2198"/>
      <c r="RKG78" s="2198"/>
      <c r="RKH78" s="2198"/>
      <c r="RKI78" s="2198"/>
      <c r="RKJ78" s="2198"/>
      <c r="RKK78" s="2198"/>
      <c r="RKL78" s="2198"/>
      <c r="RKM78" s="2198"/>
      <c r="RKN78" s="2198"/>
      <c r="RKO78" s="2198"/>
      <c r="RKP78" s="2198"/>
      <c r="RKQ78" s="2198"/>
      <c r="RKR78" s="2198"/>
      <c r="RKS78" s="2198"/>
      <c r="RKT78" s="2198"/>
      <c r="RKU78" s="2198"/>
      <c r="RKV78" s="2198"/>
      <c r="RKW78" s="2198"/>
      <c r="RKX78" s="2198"/>
      <c r="RKY78" s="2198"/>
      <c r="RKZ78" s="2198"/>
      <c r="RLA78" s="2198"/>
      <c r="RLB78" s="2198"/>
      <c r="RLC78" s="2198"/>
      <c r="RLD78" s="2198"/>
      <c r="RLE78" s="2198"/>
      <c r="RLF78" s="2198"/>
      <c r="RLG78" s="2198"/>
      <c r="RLH78" s="2198"/>
      <c r="RLI78" s="2198"/>
      <c r="RLJ78" s="2198"/>
      <c r="RLK78" s="2198"/>
      <c r="RLL78" s="2198"/>
      <c r="RLM78" s="2198"/>
      <c r="RLN78" s="2198"/>
      <c r="RLO78" s="2198"/>
      <c r="RLP78" s="2198"/>
      <c r="RLQ78" s="2198"/>
      <c r="RLR78" s="2198"/>
      <c r="RLS78" s="2198"/>
      <c r="RLT78" s="2198"/>
      <c r="RLU78" s="2198"/>
      <c r="RLV78" s="2198"/>
      <c r="RLW78" s="2198"/>
      <c r="RLX78" s="2198"/>
      <c r="RLY78" s="2198"/>
      <c r="RLZ78" s="2198"/>
      <c r="RMA78" s="2198"/>
      <c r="RMB78" s="2198"/>
      <c r="RMC78" s="2198"/>
      <c r="RMD78" s="2198"/>
      <c r="RME78" s="2198"/>
      <c r="RMF78" s="2198"/>
      <c r="RMG78" s="2198"/>
      <c r="RMH78" s="2198"/>
      <c r="RMI78" s="2198"/>
      <c r="RMJ78" s="2198"/>
      <c r="RMK78" s="2198"/>
      <c r="RML78" s="2198"/>
      <c r="RMM78" s="2198"/>
      <c r="RMN78" s="2198"/>
      <c r="RMO78" s="2198"/>
      <c r="RMP78" s="2198"/>
      <c r="RMQ78" s="2198"/>
      <c r="RMR78" s="2198"/>
      <c r="RMS78" s="2198"/>
      <c r="RMT78" s="2198"/>
      <c r="RMU78" s="2198"/>
      <c r="RMV78" s="2198"/>
      <c r="RMW78" s="2198"/>
      <c r="RMX78" s="2198"/>
      <c r="RMY78" s="2198"/>
      <c r="RMZ78" s="2198"/>
      <c r="RNA78" s="2198"/>
      <c r="RNB78" s="2198"/>
      <c r="RNC78" s="2198"/>
      <c r="RND78" s="2198"/>
      <c r="RNE78" s="2198"/>
      <c r="RNF78" s="2198"/>
      <c r="RNG78" s="2198"/>
      <c r="RNH78" s="2198"/>
      <c r="RNI78" s="2198"/>
      <c r="RNJ78" s="2198"/>
      <c r="RNK78" s="2198"/>
      <c r="RNL78" s="2198"/>
      <c r="RNM78" s="2198"/>
      <c r="RNN78" s="2198"/>
      <c r="RNO78" s="2198"/>
      <c r="RNP78" s="2198"/>
      <c r="RNQ78" s="2198"/>
      <c r="RNR78" s="2198"/>
      <c r="RNS78" s="2198"/>
      <c r="RNT78" s="2198"/>
      <c r="RNU78" s="2198"/>
      <c r="RNV78" s="2198"/>
      <c r="RNW78" s="2198"/>
      <c r="RNX78" s="2198"/>
      <c r="RNY78" s="2198"/>
      <c r="RNZ78" s="2198"/>
      <c r="ROA78" s="2198"/>
      <c r="ROB78" s="2198"/>
      <c r="ROC78" s="2198"/>
      <c r="ROD78" s="2198"/>
      <c r="ROE78" s="2198"/>
      <c r="ROF78" s="2198"/>
      <c r="ROG78" s="2198"/>
      <c r="ROH78" s="2198"/>
      <c r="ROI78" s="2198"/>
      <c r="ROJ78" s="2198"/>
      <c r="ROK78" s="2198"/>
      <c r="ROL78" s="2198"/>
      <c r="ROM78" s="2198"/>
      <c r="RON78" s="2198"/>
      <c r="ROO78" s="2198"/>
      <c r="ROP78" s="2198"/>
      <c r="ROQ78" s="2198"/>
      <c r="ROR78" s="2198"/>
      <c r="ROS78" s="2198"/>
      <c r="ROT78" s="2198"/>
      <c r="ROU78" s="2198"/>
      <c r="ROV78" s="2198"/>
      <c r="ROW78" s="2198"/>
      <c r="ROX78" s="2198"/>
      <c r="ROY78" s="2198"/>
      <c r="ROZ78" s="2198"/>
      <c r="RPA78" s="2198"/>
      <c r="RPB78" s="2198"/>
      <c r="RPC78" s="2198"/>
      <c r="RPD78" s="2198"/>
      <c r="RPE78" s="2198"/>
      <c r="RPF78" s="2198"/>
      <c r="RPG78" s="2198"/>
      <c r="RPH78" s="2198"/>
      <c r="RPI78" s="2198"/>
      <c r="RPJ78" s="2198"/>
      <c r="RPK78" s="2198"/>
      <c r="RPL78" s="2198"/>
      <c r="RPM78" s="2198"/>
      <c r="RPN78" s="2198"/>
      <c r="RPO78" s="2198"/>
      <c r="RPP78" s="2198"/>
      <c r="RPQ78" s="2198"/>
      <c r="RPR78" s="2198"/>
      <c r="RPS78" s="2198"/>
      <c r="RPT78" s="2198"/>
      <c r="RPU78" s="2198"/>
      <c r="RPV78" s="2198"/>
      <c r="RPW78" s="2198"/>
      <c r="RPX78" s="2198"/>
      <c r="RPY78" s="2198"/>
      <c r="RPZ78" s="2198"/>
      <c r="RQA78" s="2198"/>
      <c r="RQB78" s="2198"/>
      <c r="RQC78" s="2198"/>
      <c r="RQD78" s="2198"/>
      <c r="RQE78" s="2198"/>
      <c r="RQF78" s="2198"/>
      <c r="RQG78" s="2198"/>
      <c r="RQH78" s="2198"/>
      <c r="RQI78" s="2198"/>
      <c r="RQJ78" s="2198"/>
      <c r="RQK78" s="2198"/>
      <c r="RQL78" s="2198"/>
      <c r="RQM78" s="2198"/>
      <c r="RQN78" s="2198"/>
      <c r="RQO78" s="2198"/>
      <c r="RQP78" s="2198"/>
      <c r="RQQ78" s="2198"/>
      <c r="RQR78" s="2198"/>
      <c r="RQS78" s="2198"/>
      <c r="RQT78" s="2198"/>
      <c r="RQU78" s="2198"/>
      <c r="RQV78" s="2198"/>
      <c r="RQW78" s="2198"/>
      <c r="RQX78" s="2198"/>
      <c r="RQY78" s="2198"/>
      <c r="RQZ78" s="2198"/>
      <c r="RRA78" s="2198"/>
      <c r="RRB78" s="2198"/>
      <c r="RRC78" s="2198"/>
      <c r="RRD78" s="2198"/>
      <c r="RRE78" s="2198"/>
      <c r="RRF78" s="2198"/>
      <c r="RRG78" s="2198"/>
      <c r="RRH78" s="2198"/>
      <c r="RRI78" s="2198"/>
      <c r="RRJ78" s="2198"/>
      <c r="RRK78" s="2198"/>
      <c r="RRL78" s="2198"/>
      <c r="RRM78" s="2198"/>
      <c r="RRN78" s="2198"/>
      <c r="RRO78" s="2198"/>
      <c r="RRP78" s="2198"/>
      <c r="RRQ78" s="2198"/>
      <c r="RRR78" s="2198"/>
      <c r="RRS78" s="2198"/>
      <c r="RRT78" s="2198"/>
      <c r="RRU78" s="2198"/>
      <c r="RRV78" s="2198"/>
      <c r="RRW78" s="2198"/>
      <c r="RRX78" s="2198"/>
      <c r="RRY78" s="2198"/>
      <c r="RRZ78" s="2198"/>
      <c r="RSA78" s="2198"/>
      <c r="RSB78" s="2198"/>
      <c r="RSC78" s="2198"/>
      <c r="RSD78" s="2198"/>
      <c r="RSE78" s="2198"/>
      <c r="RSF78" s="2198"/>
      <c r="RSG78" s="2198"/>
      <c r="RSH78" s="2198"/>
      <c r="RSI78" s="2198"/>
      <c r="RSJ78" s="2198"/>
      <c r="RSK78" s="2198"/>
      <c r="RSL78" s="2198"/>
      <c r="RSM78" s="2198"/>
      <c r="RSN78" s="2198"/>
      <c r="RSO78" s="2198"/>
      <c r="RSP78" s="2198"/>
      <c r="RSQ78" s="2198"/>
      <c r="RSR78" s="2198"/>
      <c r="RSS78" s="2198"/>
      <c r="RST78" s="2198"/>
      <c r="RSU78" s="2198"/>
      <c r="RSV78" s="2198"/>
      <c r="RSW78" s="2198"/>
      <c r="RSX78" s="2198"/>
      <c r="RSY78" s="2198"/>
      <c r="RSZ78" s="2198"/>
      <c r="RTA78" s="2198"/>
      <c r="RTB78" s="2198"/>
      <c r="RTC78" s="2198"/>
      <c r="RTD78" s="2198"/>
      <c r="RTE78" s="2198"/>
      <c r="RTF78" s="2198"/>
      <c r="RTG78" s="2198"/>
      <c r="RTH78" s="2198"/>
      <c r="RTI78" s="2198"/>
      <c r="RTJ78" s="2198"/>
      <c r="RTK78" s="2198"/>
      <c r="RTL78" s="2198"/>
      <c r="RTM78" s="2198"/>
      <c r="RTN78" s="2198"/>
      <c r="RTO78" s="2198"/>
      <c r="RTP78" s="2198"/>
      <c r="RTQ78" s="2198"/>
      <c r="RTR78" s="2198"/>
      <c r="RTS78" s="2198"/>
      <c r="RTT78" s="2198"/>
      <c r="RTU78" s="2198"/>
      <c r="RTV78" s="2198"/>
      <c r="RTW78" s="2198"/>
      <c r="RTX78" s="2198"/>
      <c r="RTY78" s="2198"/>
      <c r="RTZ78" s="2198"/>
      <c r="RUA78" s="2198"/>
      <c r="RUB78" s="2198"/>
      <c r="RUC78" s="2198"/>
      <c r="RUD78" s="2198"/>
      <c r="RUE78" s="2198"/>
      <c r="RUF78" s="2198"/>
      <c r="RUG78" s="2198"/>
      <c r="RUH78" s="2198"/>
      <c r="RUI78" s="2198"/>
      <c r="RUJ78" s="2198"/>
      <c r="RUK78" s="2198"/>
      <c r="RUL78" s="2198"/>
      <c r="RUM78" s="2198"/>
      <c r="RUN78" s="2198"/>
      <c r="RUO78" s="2198"/>
      <c r="RUP78" s="2198"/>
      <c r="RUQ78" s="2198"/>
      <c r="RUR78" s="2198"/>
      <c r="RUS78" s="2198"/>
      <c r="RUT78" s="2198"/>
      <c r="RUU78" s="2198"/>
      <c r="RUV78" s="2198"/>
      <c r="RUW78" s="2198"/>
      <c r="RUX78" s="2198"/>
      <c r="RUY78" s="2198"/>
      <c r="RUZ78" s="2198"/>
      <c r="RVA78" s="2198"/>
      <c r="RVB78" s="2198"/>
      <c r="RVC78" s="2198"/>
      <c r="RVD78" s="2198"/>
      <c r="RVE78" s="2198"/>
      <c r="RVF78" s="2198"/>
      <c r="RVG78" s="2198"/>
      <c r="RVH78" s="2198"/>
      <c r="RVI78" s="2198"/>
      <c r="RVJ78" s="2198"/>
      <c r="RVK78" s="2198"/>
      <c r="RVL78" s="2198"/>
      <c r="RVM78" s="2198"/>
      <c r="RVN78" s="2198"/>
      <c r="RVO78" s="2198"/>
      <c r="RVP78" s="2198"/>
      <c r="RVQ78" s="2198"/>
      <c r="RVR78" s="2198"/>
      <c r="RVS78" s="2198"/>
      <c r="RVT78" s="2198"/>
      <c r="RVU78" s="2198"/>
      <c r="RVV78" s="2198"/>
      <c r="RVW78" s="2198"/>
      <c r="RVX78" s="2198"/>
      <c r="RVY78" s="2198"/>
      <c r="RVZ78" s="2198"/>
      <c r="RWA78" s="2198"/>
      <c r="RWB78" s="2198"/>
      <c r="RWC78" s="2198"/>
      <c r="RWD78" s="2198"/>
      <c r="RWE78" s="2198"/>
      <c r="RWF78" s="2198"/>
      <c r="RWG78" s="2198"/>
      <c r="RWH78" s="2198"/>
      <c r="RWI78" s="2198"/>
      <c r="RWJ78" s="2198"/>
      <c r="RWK78" s="2198"/>
      <c r="RWL78" s="2198"/>
      <c r="RWM78" s="2198"/>
      <c r="RWN78" s="2198"/>
      <c r="RWO78" s="2198"/>
      <c r="RWP78" s="2198"/>
      <c r="RWQ78" s="2198"/>
      <c r="RWR78" s="2198"/>
      <c r="RWS78" s="2198"/>
      <c r="RWT78" s="2198"/>
      <c r="RWU78" s="2198"/>
      <c r="RWV78" s="2198"/>
      <c r="RWW78" s="2198"/>
      <c r="RWX78" s="2198"/>
      <c r="RWY78" s="2198"/>
      <c r="RWZ78" s="2198"/>
      <c r="RXA78" s="2198"/>
      <c r="RXB78" s="2198"/>
      <c r="RXC78" s="2198"/>
      <c r="RXD78" s="2198"/>
      <c r="RXE78" s="2198"/>
      <c r="RXF78" s="2198"/>
      <c r="RXG78" s="2198"/>
      <c r="RXH78" s="2198"/>
      <c r="RXI78" s="2198"/>
      <c r="RXJ78" s="2198"/>
      <c r="RXK78" s="2198"/>
      <c r="RXL78" s="2198"/>
      <c r="RXM78" s="2198"/>
      <c r="RXN78" s="2198"/>
      <c r="RXO78" s="2198"/>
      <c r="RXP78" s="2198"/>
      <c r="RXQ78" s="2198"/>
      <c r="RXR78" s="2198"/>
      <c r="RXS78" s="2198"/>
      <c r="RXT78" s="2198"/>
      <c r="RXU78" s="2198"/>
      <c r="RXV78" s="2198"/>
      <c r="RXW78" s="2198"/>
      <c r="RXX78" s="2198"/>
      <c r="RXY78" s="2198"/>
      <c r="RXZ78" s="2198"/>
      <c r="RYA78" s="2198"/>
      <c r="RYB78" s="2198"/>
      <c r="RYC78" s="2198"/>
      <c r="RYD78" s="2198"/>
      <c r="RYE78" s="2198"/>
      <c r="RYF78" s="2198"/>
      <c r="RYG78" s="2198"/>
      <c r="RYH78" s="2198"/>
      <c r="RYI78" s="2198"/>
      <c r="RYJ78" s="2198"/>
      <c r="RYK78" s="2198"/>
      <c r="RYL78" s="2198"/>
      <c r="RYM78" s="2198"/>
      <c r="RYN78" s="2198"/>
      <c r="RYO78" s="2198"/>
      <c r="RYP78" s="2198"/>
      <c r="RYQ78" s="2198"/>
      <c r="RYR78" s="2198"/>
      <c r="RYS78" s="2198"/>
      <c r="RYT78" s="2198"/>
      <c r="RYU78" s="2198"/>
      <c r="RYV78" s="2198"/>
      <c r="RYW78" s="2198"/>
      <c r="RYX78" s="2198"/>
      <c r="RYY78" s="2198"/>
      <c r="RYZ78" s="2198"/>
      <c r="RZA78" s="2198"/>
      <c r="RZB78" s="2198"/>
      <c r="RZC78" s="2198"/>
      <c r="RZD78" s="2198"/>
      <c r="RZE78" s="2198"/>
      <c r="RZF78" s="2198"/>
      <c r="RZG78" s="2198"/>
      <c r="RZH78" s="2198"/>
      <c r="RZI78" s="2198"/>
      <c r="RZJ78" s="2198"/>
      <c r="RZK78" s="2198"/>
      <c r="RZL78" s="2198"/>
      <c r="RZM78" s="2198"/>
      <c r="RZN78" s="2198"/>
      <c r="RZO78" s="2198"/>
      <c r="RZP78" s="2198"/>
      <c r="RZQ78" s="2198"/>
      <c r="RZR78" s="2198"/>
      <c r="RZS78" s="2198"/>
      <c r="RZT78" s="2198"/>
      <c r="RZU78" s="2198"/>
      <c r="RZV78" s="2198"/>
      <c r="RZW78" s="2198"/>
      <c r="RZX78" s="2198"/>
      <c r="RZY78" s="2198"/>
      <c r="RZZ78" s="2198"/>
      <c r="SAA78" s="2198"/>
      <c r="SAB78" s="2198"/>
      <c r="SAC78" s="2198"/>
      <c r="SAD78" s="2198"/>
      <c r="SAE78" s="2198"/>
      <c r="SAF78" s="2198"/>
      <c r="SAG78" s="2198"/>
      <c r="SAH78" s="2198"/>
      <c r="SAI78" s="2198"/>
      <c r="SAJ78" s="2198"/>
      <c r="SAK78" s="2198"/>
      <c r="SAL78" s="2198"/>
      <c r="SAM78" s="2198"/>
      <c r="SAN78" s="2198"/>
      <c r="SAO78" s="2198"/>
      <c r="SAP78" s="2198"/>
      <c r="SAQ78" s="2198"/>
      <c r="SAR78" s="2198"/>
      <c r="SAS78" s="2198"/>
      <c r="SAT78" s="2198"/>
      <c r="SAU78" s="2198"/>
      <c r="SAV78" s="2198"/>
      <c r="SAW78" s="2198"/>
      <c r="SAX78" s="2198"/>
      <c r="SAY78" s="2198"/>
      <c r="SAZ78" s="2198"/>
      <c r="SBA78" s="2198"/>
      <c r="SBB78" s="2198"/>
      <c r="SBC78" s="2198"/>
      <c r="SBD78" s="2198"/>
      <c r="SBE78" s="2198"/>
      <c r="SBF78" s="2198"/>
      <c r="SBG78" s="2198"/>
      <c r="SBH78" s="2198"/>
      <c r="SBI78" s="2198"/>
      <c r="SBJ78" s="2198"/>
      <c r="SBK78" s="2198"/>
      <c r="SBL78" s="2198"/>
      <c r="SBM78" s="2198"/>
      <c r="SBN78" s="2198"/>
      <c r="SBO78" s="2198"/>
      <c r="SBP78" s="2198"/>
      <c r="SBQ78" s="2198"/>
      <c r="SBR78" s="2198"/>
      <c r="SBS78" s="2198"/>
      <c r="SBT78" s="2198"/>
      <c r="SBU78" s="2198"/>
      <c r="SBV78" s="2198"/>
      <c r="SBW78" s="2198"/>
      <c r="SBX78" s="2198"/>
      <c r="SBY78" s="2198"/>
      <c r="SBZ78" s="2198"/>
      <c r="SCA78" s="2198"/>
      <c r="SCB78" s="2198"/>
      <c r="SCC78" s="2198"/>
      <c r="SCD78" s="2198"/>
      <c r="SCE78" s="2198"/>
      <c r="SCF78" s="2198"/>
      <c r="SCG78" s="2198"/>
      <c r="SCH78" s="2198"/>
      <c r="SCI78" s="2198"/>
      <c r="SCJ78" s="2198"/>
      <c r="SCK78" s="2198"/>
      <c r="SCL78" s="2198"/>
      <c r="SCM78" s="2198"/>
      <c r="SCN78" s="2198"/>
      <c r="SCO78" s="2198"/>
      <c r="SCP78" s="2198"/>
      <c r="SCQ78" s="2198"/>
      <c r="SCR78" s="2198"/>
      <c r="SCS78" s="2198"/>
      <c r="SCT78" s="2198"/>
      <c r="SCU78" s="2198"/>
      <c r="SCV78" s="2198"/>
      <c r="SCW78" s="2198"/>
      <c r="SCX78" s="2198"/>
      <c r="SCY78" s="2198"/>
      <c r="SCZ78" s="2198"/>
      <c r="SDA78" s="2198"/>
      <c r="SDB78" s="2198"/>
      <c r="SDC78" s="2198"/>
      <c r="SDD78" s="2198"/>
      <c r="SDE78" s="2198"/>
      <c r="SDF78" s="2198"/>
      <c r="SDG78" s="2198"/>
      <c r="SDH78" s="2198"/>
      <c r="SDI78" s="2198"/>
      <c r="SDJ78" s="2198"/>
      <c r="SDK78" s="2198"/>
      <c r="SDL78" s="2198"/>
      <c r="SDM78" s="2198"/>
      <c r="SDN78" s="2198"/>
      <c r="SDO78" s="2198"/>
      <c r="SDP78" s="2198"/>
      <c r="SDQ78" s="2198"/>
      <c r="SDR78" s="2198"/>
      <c r="SDS78" s="2198"/>
      <c r="SDT78" s="2198"/>
      <c r="SDU78" s="2198"/>
      <c r="SDV78" s="2198"/>
      <c r="SDW78" s="2198"/>
      <c r="SDX78" s="2198"/>
      <c r="SDY78" s="2198"/>
      <c r="SDZ78" s="2198"/>
      <c r="SEA78" s="2198"/>
      <c r="SEB78" s="2198"/>
      <c r="SEC78" s="2198"/>
      <c r="SED78" s="2198"/>
      <c r="SEE78" s="2198"/>
      <c r="SEF78" s="2198"/>
      <c r="SEG78" s="2198"/>
      <c r="SEH78" s="2198"/>
      <c r="SEI78" s="2198"/>
      <c r="SEJ78" s="2198"/>
      <c r="SEK78" s="2198"/>
      <c r="SEL78" s="2198"/>
      <c r="SEM78" s="2198"/>
      <c r="SEN78" s="2198"/>
      <c r="SEO78" s="2198"/>
      <c r="SEP78" s="2198"/>
      <c r="SEQ78" s="2198"/>
      <c r="SER78" s="2198"/>
      <c r="SES78" s="2198"/>
      <c r="SET78" s="2198"/>
      <c r="SEU78" s="2198"/>
      <c r="SEV78" s="2198"/>
      <c r="SEW78" s="2198"/>
      <c r="SEX78" s="2198"/>
      <c r="SEY78" s="2198"/>
      <c r="SEZ78" s="2198"/>
      <c r="SFA78" s="2198"/>
      <c r="SFB78" s="2198"/>
      <c r="SFC78" s="2198"/>
      <c r="SFD78" s="2198"/>
      <c r="SFE78" s="2198"/>
      <c r="SFF78" s="2198"/>
      <c r="SFG78" s="2198"/>
      <c r="SFH78" s="2198"/>
      <c r="SFI78" s="2198"/>
      <c r="SFJ78" s="2198"/>
      <c r="SFK78" s="2198"/>
      <c r="SFL78" s="2198"/>
      <c r="SFM78" s="2198"/>
      <c r="SFN78" s="2198"/>
      <c r="SFO78" s="2198"/>
      <c r="SFP78" s="2198"/>
      <c r="SFQ78" s="2198"/>
      <c r="SFR78" s="2198"/>
      <c r="SFS78" s="2198"/>
      <c r="SFT78" s="2198"/>
      <c r="SFU78" s="2198"/>
      <c r="SFV78" s="2198"/>
      <c r="SFW78" s="2198"/>
      <c r="SFX78" s="2198"/>
      <c r="SFY78" s="2198"/>
      <c r="SFZ78" s="2198"/>
      <c r="SGA78" s="2198"/>
      <c r="SGB78" s="2198"/>
      <c r="SGC78" s="2198"/>
      <c r="SGD78" s="2198"/>
      <c r="SGE78" s="2198"/>
      <c r="SGF78" s="2198"/>
      <c r="SGG78" s="2198"/>
      <c r="SGH78" s="2198"/>
      <c r="SGI78" s="2198"/>
      <c r="SGJ78" s="2198"/>
      <c r="SGK78" s="2198"/>
      <c r="SGL78" s="2198"/>
      <c r="SGM78" s="2198"/>
      <c r="SGN78" s="2198"/>
      <c r="SGO78" s="2198"/>
      <c r="SGP78" s="2198"/>
      <c r="SGQ78" s="2198"/>
      <c r="SGR78" s="2198"/>
      <c r="SGS78" s="2198"/>
      <c r="SGT78" s="2198"/>
      <c r="SGU78" s="2198"/>
      <c r="SGV78" s="2198"/>
      <c r="SGW78" s="2198"/>
      <c r="SGX78" s="2198"/>
      <c r="SGY78" s="2198"/>
      <c r="SGZ78" s="2198"/>
      <c r="SHA78" s="2198"/>
      <c r="SHB78" s="2198"/>
      <c r="SHC78" s="2198"/>
      <c r="SHD78" s="2198"/>
      <c r="SHE78" s="2198"/>
      <c r="SHF78" s="2198"/>
      <c r="SHG78" s="2198"/>
      <c r="SHH78" s="2198"/>
      <c r="SHI78" s="2198"/>
      <c r="SHJ78" s="2198"/>
      <c r="SHK78" s="2198"/>
      <c r="SHL78" s="2198"/>
      <c r="SHM78" s="2198"/>
      <c r="SHN78" s="2198"/>
      <c r="SHO78" s="2198"/>
      <c r="SHP78" s="2198"/>
      <c r="SHQ78" s="2198"/>
      <c r="SHR78" s="2198"/>
      <c r="SHS78" s="2198"/>
      <c r="SHT78" s="2198"/>
      <c r="SHU78" s="2198"/>
      <c r="SHV78" s="2198"/>
      <c r="SHW78" s="2198"/>
      <c r="SHX78" s="2198"/>
      <c r="SHY78" s="2198"/>
      <c r="SHZ78" s="2198"/>
      <c r="SIA78" s="2198"/>
      <c r="SIB78" s="2198"/>
      <c r="SIC78" s="2198"/>
      <c r="SID78" s="2198"/>
      <c r="SIE78" s="2198"/>
      <c r="SIF78" s="2198"/>
      <c r="SIG78" s="2198"/>
      <c r="SIH78" s="2198"/>
      <c r="SII78" s="2198"/>
      <c r="SIJ78" s="2198"/>
      <c r="SIK78" s="2198"/>
      <c r="SIL78" s="2198"/>
      <c r="SIM78" s="2198"/>
      <c r="SIN78" s="2198"/>
      <c r="SIO78" s="2198"/>
      <c r="SIP78" s="2198"/>
      <c r="SIQ78" s="2198"/>
      <c r="SIR78" s="2198"/>
      <c r="SIS78" s="2198"/>
      <c r="SIT78" s="2198"/>
      <c r="SIU78" s="2198"/>
      <c r="SIV78" s="2198"/>
      <c r="SIW78" s="2198"/>
      <c r="SIX78" s="2198"/>
      <c r="SIY78" s="2198"/>
      <c r="SIZ78" s="2198"/>
      <c r="SJA78" s="2198"/>
      <c r="SJB78" s="2198"/>
      <c r="SJC78" s="2198"/>
      <c r="SJD78" s="2198"/>
      <c r="SJE78" s="2198"/>
      <c r="SJF78" s="2198"/>
      <c r="SJG78" s="2198"/>
      <c r="SJH78" s="2198"/>
      <c r="SJI78" s="2198"/>
      <c r="SJJ78" s="2198"/>
      <c r="SJK78" s="2198"/>
      <c r="SJL78" s="2198"/>
      <c r="SJM78" s="2198"/>
      <c r="SJN78" s="2198"/>
      <c r="SJO78" s="2198"/>
      <c r="SJP78" s="2198"/>
      <c r="SJQ78" s="2198"/>
      <c r="SJR78" s="2198"/>
      <c r="SJS78" s="2198"/>
      <c r="SJT78" s="2198"/>
      <c r="SJU78" s="2198"/>
      <c r="SJV78" s="2198"/>
      <c r="SJW78" s="2198"/>
      <c r="SJX78" s="2198"/>
      <c r="SJY78" s="2198"/>
      <c r="SJZ78" s="2198"/>
      <c r="SKA78" s="2198"/>
      <c r="SKB78" s="2198"/>
      <c r="SKC78" s="2198"/>
      <c r="SKD78" s="2198"/>
      <c r="SKE78" s="2198"/>
      <c r="SKF78" s="2198"/>
      <c r="SKG78" s="2198"/>
      <c r="SKH78" s="2198"/>
      <c r="SKI78" s="2198"/>
      <c r="SKJ78" s="2198"/>
      <c r="SKK78" s="2198"/>
      <c r="SKL78" s="2198"/>
      <c r="SKM78" s="2198"/>
      <c r="SKN78" s="2198"/>
      <c r="SKO78" s="2198"/>
      <c r="SKP78" s="2198"/>
      <c r="SKQ78" s="2198"/>
      <c r="SKR78" s="2198"/>
      <c r="SKS78" s="2198"/>
      <c r="SKT78" s="2198"/>
      <c r="SKU78" s="2198"/>
      <c r="SKV78" s="2198"/>
      <c r="SKW78" s="2198"/>
      <c r="SKX78" s="2198"/>
      <c r="SKY78" s="2198"/>
      <c r="SKZ78" s="2198"/>
      <c r="SLA78" s="2198"/>
      <c r="SLB78" s="2198"/>
      <c r="SLC78" s="2198"/>
      <c r="SLD78" s="2198"/>
      <c r="SLE78" s="2198"/>
      <c r="SLF78" s="2198"/>
      <c r="SLG78" s="2198"/>
      <c r="SLH78" s="2198"/>
      <c r="SLI78" s="2198"/>
      <c r="SLJ78" s="2198"/>
      <c r="SLK78" s="2198"/>
      <c r="SLL78" s="2198"/>
      <c r="SLM78" s="2198"/>
      <c r="SLN78" s="2198"/>
      <c r="SLO78" s="2198"/>
      <c r="SLP78" s="2198"/>
      <c r="SLQ78" s="2198"/>
      <c r="SLR78" s="2198"/>
      <c r="SLS78" s="2198"/>
      <c r="SLT78" s="2198"/>
      <c r="SLU78" s="2198"/>
      <c r="SLV78" s="2198"/>
      <c r="SLW78" s="2198"/>
      <c r="SLX78" s="2198"/>
      <c r="SLY78" s="2198"/>
      <c r="SLZ78" s="2198"/>
      <c r="SMA78" s="2198"/>
      <c r="SMB78" s="2198"/>
      <c r="SMC78" s="2198"/>
      <c r="SMD78" s="2198"/>
      <c r="SME78" s="2198"/>
      <c r="SMF78" s="2198"/>
      <c r="SMG78" s="2198"/>
      <c r="SMH78" s="2198"/>
      <c r="SMI78" s="2198"/>
      <c r="SMJ78" s="2198"/>
      <c r="SMK78" s="2198"/>
      <c r="SML78" s="2198"/>
      <c r="SMM78" s="2198"/>
      <c r="SMN78" s="2198"/>
      <c r="SMO78" s="2198"/>
      <c r="SMP78" s="2198"/>
      <c r="SMQ78" s="2198"/>
      <c r="SMR78" s="2198"/>
      <c r="SMS78" s="2198"/>
      <c r="SMT78" s="2198"/>
      <c r="SMU78" s="2198"/>
      <c r="SMV78" s="2198"/>
      <c r="SMW78" s="2198"/>
      <c r="SMX78" s="2198"/>
      <c r="SMY78" s="2198"/>
      <c r="SMZ78" s="2198"/>
      <c r="SNA78" s="2198"/>
      <c r="SNB78" s="2198"/>
      <c r="SNC78" s="2198"/>
      <c r="SND78" s="2198"/>
      <c r="SNE78" s="2198"/>
      <c r="SNF78" s="2198"/>
      <c r="SNG78" s="2198"/>
      <c r="SNH78" s="2198"/>
      <c r="SNI78" s="2198"/>
      <c r="SNJ78" s="2198"/>
      <c r="SNK78" s="2198"/>
      <c r="SNL78" s="2198"/>
      <c r="SNM78" s="2198"/>
      <c r="SNN78" s="2198"/>
      <c r="SNO78" s="2198"/>
      <c r="SNP78" s="2198"/>
      <c r="SNQ78" s="2198"/>
      <c r="SNR78" s="2198"/>
      <c r="SNS78" s="2198"/>
      <c r="SNT78" s="2198"/>
      <c r="SNU78" s="2198"/>
      <c r="SNV78" s="2198"/>
      <c r="SNW78" s="2198"/>
      <c r="SNX78" s="2198"/>
      <c r="SNY78" s="2198"/>
      <c r="SNZ78" s="2198"/>
      <c r="SOA78" s="2198"/>
      <c r="SOB78" s="2198"/>
      <c r="SOC78" s="2198"/>
      <c r="SOD78" s="2198"/>
      <c r="SOE78" s="2198"/>
      <c r="SOF78" s="2198"/>
      <c r="SOG78" s="2198"/>
      <c r="SOH78" s="2198"/>
      <c r="SOI78" s="2198"/>
      <c r="SOJ78" s="2198"/>
      <c r="SOK78" s="2198"/>
      <c r="SOL78" s="2198"/>
      <c r="SOM78" s="2198"/>
      <c r="SON78" s="2198"/>
      <c r="SOO78" s="2198"/>
      <c r="SOP78" s="2198"/>
      <c r="SOQ78" s="2198"/>
      <c r="SOR78" s="2198"/>
      <c r="SOS78" s="2198"/>
      <c r="SOT78" s="2198"/>
      <c r="SOU78" s="2198"/>
      <c r="SOV78" s="2198"/>
      <c r="SOW78" s="2198"/>
      <c r="SOX78" s="2198"/>
      <c r="SOY78" s="2198"/>
      <c r="SOZ78" s="2198"/>
      <c r="SPA78" s="2198"/>
      <c r="SPB78" s="2198"/>
      <c r="SPC78" s="2198"/>
      <c r="SPD78" s="2198"/>
      <c r="SPE78" s="2198"/>
      <c r="SPF78" s="2198"/>
      <c r="SPG78" s="2198"/>
      <c r="SPH78" s="2198"/>
      <c r="SPI78" s="2198"/>
      <c r="SPJ78" s="2198"/>
      <c r="SPK78" s="2198"/>
      <c r="SPL78" s="2198"/>
      <c r="SPM78" s="2198"/>
      <c r="SPN78" s="2198"/>
      <c r="SPO78" s="2198"/>
      <c r="SPP78" s="2198"/>
      <c r="SPQ78" s="2198"/>
      <c r="SPR78" s="2198"/>
      <c r="SPS78" s="2198"/>
      <c r="SPT78" s="2198"/>
      <c r="SPU78" s="2198"/>
      <c r="SPV78" s="2198"/>
      <c r="SPW78" s="2198"/>
      <c r="SPX78" s="2198"/>
      <c r="SPY78" s="2198"/>
      <c r="SPZ78" s="2198"/>
      <c r="SQA78" s="2198"/>
      <c r="SQB78" s="2198"/>
      <c r="SQC78" s="2198"/>
      <c r="SQD78" s="2198"/>
      <c r="SQE78" s="2198"/>
      <c r="SQF78" s="2198"/>
      <c r="SQG78" s="2198"/>
      <c r="SQH78" s="2198"/>
      <c r="SQI78" s="2198"/>
      <c r="SQJ78" s="2198"/>
      <c r="SQK78" s="2198"/>
      <c r="SQL78" s="2198"/>
      <c r="SQM78" s="2198"/>
      <c r="SQN78" s="2198"/>
      <c r="SQO78" s="2198"/>
      <c r="SQP78" s="2198"/>
      <c r="SQQ78" s="2198"/>
      <c r="SQR78" s="2198"/>
      <c r="SQS78" s="2198"/>
      <c r="SQT78" s="2198"/>
      <c r="SQU78" s="2198"/>
      <c r="SQV78" s="2198"/>
      <c r="SQW78" s="2198"/>
      <c r="SQX78" s="2198"/>
      <c r="SQY78" s="2198"/>
      <c r="SQZ78" s="2198"/>
      <c r="SRA78" s="2198"/>
      <c r="SRB78" s="2198"/>
      <c r="SRC78" s="2198"/>
      <c r="SRD78" s="2198"/>
      <c r="SRE78" s="2198"/>
      <c r="SRF78" s="2198"/>
      <c r="SRG78" s="2198"/>
      <c r="SRH78" s="2198"/>
      <c r="SRI78" s="2198"/>
      <c r="SRJ78" s="2198"/>
      <c r="SRK78" s="2198"/>
      <c r="SRL78" s="2198"/>
      <c r="SRM78" s="2198"/>
      <c r="SRN78" s="2198"/>
      <c r="SRO78" s="2198"/>
      <c r="SRP78" s="2198"/>
      <c r="SRQ78" s="2198"/>
      <c r="SRR78" s="2198"/>
      <c r="SRS78" s="2198"/>
      <c r="SRT78" s="2198"/>
      <c r="SRU78" s="2198"/>
      <c r="SRV78" s="2198"/>
      <c r="SRW78" s="2198"/>
      <c r="SRX78" s="2198"/>
      <c r="SRY78" s="2198"/>
      <c r="SRZ78" s="2198"/>
      <c r="SSA78" s="2198"/>
      <c r="SSB78" s="2198"/>
      <c r="SSC78" s="2198"/>
      <c r="SSD78" s="2198"/>
      <c r="SSE78" s="2198"/>
      <c r="SSF78" s="2198"/>
      <c r="SSG78" s="2198"/>
      <c r="SSH78" s="2198"/>
      <c r="SSI78" s="2198"/>
      <c r="SSJ78" s="2198"/>
      <c r="SSK78" s="2198"/>
      <c r="SSL78" s="2198"/>
      <c r="SSM78" s="2198"/>
      <c r="SSN78" s="2198"/>
      <c r="SSO78" s="2198"/>
      <c r="SSP78" s="2198"/>
      <c r="SSQ78" s="2198"/>
      <c r="SSR78" s="2198"/>
      <c r="SSS78" s="2198"/>
      <c r="SST78" s="2198"/>
      <c r="SSU78" s="2198"/>
      <c r="SSV78" s="2198"/>
      <c r="SSW78" s="2198"/>
      <c r="SSX78" s="2198"/>
      <c r="SSY78" s="2198"/>
      <c r="SSZ78" s="2198"/>
      <c r="STA78" s="2198"/>
      <c r="STB78" s="2198"/>
      <c r="STC78" s="2198"/>
      <c r="STD78" s="2198"/>
      <c r="STE78" s="2198"/>
      <c r="STF78" s="2198"/>
      <c r="STG78" s="2198"/>
      <c r="STH78" s="2198"/>
      <c r="STI78" s="2198"/>
      <c r="STJ78" s="2198"/>
      <c r="STK78" s="2198"/>
      <c r="STL78" s="2198"/>
      <c r="STM78" s="2198"/>
      <c r="STN78" s="2198"/>
      <c r="STO78" s="2198"/>
      <c r="STP78" s="2198"/>
      <c r="STQ78" s="2198"/>
      <c r="STR78" s="2198"/>
      <c r="STS78" s="2198"/>
      <c r="STT78" s="2198"/>
      <c r="STU78" s="2198"/>
      <c r="STV78" s="2198"/>
      <c r="STW78" s="2198"/>
      <c r="STX78" s="2198"/>
      <c r="STY78" s="2198"/>
      <c r="STZ78" s="2198"/>
      <c r="SUA78" s="2198"/>
      <c r="SUB78" s="2198"/>
      <c r="SUC78" s="2198"/>
      <c r="SUD78" s="2198"/>
      <c r="SUE78" s="2198"/>
      <c r="SUF78" s="2198"/>
      <c r="SUG78" s="2198"/>
      <c r="SUH78" s="2198"/>
      <c r="SUI78" s="2198"/>
      <c r="SUJ78" s="2198"/>
      <c r="SUK78" s="2198"/>
      <c r="SUL78" s="2198"/>
      <c r="SUM78" s="2198"/>
      <c r="SUN78" s="2198"/>
      <c r="SUO78" s="2198"/>
      <c r="SUP78" s="2198"/>
      <c r="SUQ78" s="2198"/>
      <c r="SUR78" s="2198"/>
      <c r="SUS78" s="2198"/>
      <c r="SUT78" s="2198"/>
      <c r="SUU78" s="2198"/>
      <c r="SUV78" s="2198"/>
      <c r="SUW78" s="2198"/>
      <c r="SUX78" s="2198"/>
      <c r="SUY78" s="2198"/>
      <c r="SUZ78" s="2198"/>
      <c r="SVA78" s="2198"/>
      <c r="SVB78" s="2198"/>
      <c r="SVC78" s="2198"/>
      <c r="SVD78" s="2198"/>
      <c r="SVE78" s="2198"/>
      <c r="SVF78" s="2198"/>
      <c r="SVG78" s="2198"/>
      <c r="SVH78" s="2198"/>
      <c r="SVI78" s="2198"/>
      <c r="SVJ78" s="2198"/>
      <c r="SVK78" s="2198"/>
      <c r="SVL78" s="2198"/>
      <c r="SVM78" s="2198"/>
      <c r="SVN78" s="2198"/>
      <c r="SVO78" s="2198"/>
      <c r="SVP78" s="2198"/>
      <c r="SVQ78" s="2198"/>
      <c r="SVR78" s="2198"/>
      <c r="SVS78" s="2198"/>
      <c r="SVT78" s="2198"/>
      <c r="SVU78" s="2198"/>
      <c r="SVV78" s="2198"/>
      <c r="SVW78" s="2198"/>
      <c r="SVX78" s="2198"/>
      <c r="SVY78" s="2198"/>
      <c r="SVZ78" s="2198"/>
      <c r="SWA78" s="2198"/>
      <c r="SWB78" s="2198"/>
      <c r="SWC78" s="2198"/>
      <c r="SWD78" s="2198"/>
      <c r="SWE78" s="2198"/>
      <c r="SWF78" s="2198"/>
      <c r="SWG78" s="2198"/>
      <c r="SWH78" s="2198"/>
      <c r="SWI78" s="2198"/>
      <c r="SWJ78" s="2198"/>
      <c r="SWK78" s="2198"/>
      <c r="SWL78" s="2198"/>
      <c r="SWM78" s="2198"/>
      <c r="SWN78" s="2198"/>
      <c r="SWO78" s="2198"/>
      <c r="SWP78" s="2198"/>
      <c r="SWQ78" s="2198"/>
      <c r="SWR78" s="2198"/>
      <c r="SWS78" s="2198"/>
      <c r="SWT78" s="2198"/>
      <c r="SWU78" s="2198"/>
      <c r="SWV78" s="2198"/>
      <c r="SWW78" s="2198"/>
      <c r="SWX78" s="2198"/>
      <c r="SWY78" s="2198"/>
      <c r="SWZ78" s="2198"/>
      <c r="SXA78" s="2198"/>
      <c r="SXB78" s="2198"/>
      <c r="SXC78" s="2198"/>
      <c r="SXD78" s="2198"/>
      <c r="SXE78" s="2198"/>
      <c r="SXF78" s="2198"/>
      <c r="SXG78" s="2198"/>
      <c r="SXH78" s="2198"/>
      <c r="SXI78" s="2198"/>
      <c r="SXJ78" s="2198"/>
      <c r="SXK78" s="2198"/>
      <c r="SXL78" s="2198"/>
      <c r="SXM78" s="2198"/>
      <c r="SXN78" s="2198"/>
      <c r="SXO78" s="2198"/>
      <c r="SXP78" s="2198"/>
      <c r="SXQ78" s="2198"/>
      <c r="SXR78" s="2198"/>
      <c r="SXS78" s="2198"/>
      <c r="SXT78" s="2198"/>
      <c r="SXU78" s="2198"/>
      <c r="SXV78" s="2198"/>
      <c r="SXW78" s="2198"/>
      <c r="SXX78" s="2198"/>
      <c r="SXY78" s="2198"/>
      <c r="SXZ78" s="2198"/>
      <c r="SYA78" s="2198"/>
      <c r="SYB78" s="2198"/>
      <c r="SYC78" s="2198"/>
      <c r="SYD78" s="2198"/>
      <c r="SYE78" s="2198"/>
      <c r="SYF78" s="2198"/>
      <c r="SYG78" s="2198"/>
      <c r="SYH78" s="2198"/>
      <c r="SYI78" s="2198"/>
      <c r="SYJ78" s="2198"/>
      <c r="SYK78" s="2198"/>
      <c r="SYL78" s="2198"/>
      <c r="SYM78" s="2198"/>
      <c r="SYN78" s="2198"/>
      <c r="SYO78" s="2198"/>
      <c r="SYP78" s="2198"/>
      <c r="SYQ78" s="2198"/>
      <c r="SYR78" s="2198"/>
      <c r="SYS78" s="2198"/>
      <c r="SYT78" s="2198"/>
      <c r="SYU78" s="2198"/>
      <c r="SYV78" s="2198"/>
      <c r="SYW78" s="2198"/>
      <c r="SYX78" s="2198"/>
      <c r="SYY78" s="2198"/>
      <c r="SYZ78" s="2198"/>
      <c r="SZA78" s="2198"/>
      <c r="SZB78" s="2198"/>
      <c r="SZC78" s="2198"/>
      <c r="SZD78" s="2198"/>
      <c r="SZE78" s="2198"/>
      <c r="SZF78" s="2198"/>
      <c r="SZG78" s="2198"/>
      <c r="SZH78" s="2198"/>
      <c r="SZI78" s="2198"/>
      <c r="SZJ78" s="2198"/>
      <c r="SZK78" s="2198"/>
      <c r="SZL78" s="2198"/>
      <c r="SZM78" s="2198"/>
      <c r="SZN78" s="2198"/>
      <c r="SZO78" s="2198"/>
      <c r="SZP78" s="2198"/>
      <c r="SZQ78" s="2198"/>
      <c r="SZR78" s="2198"/>
      <c r="SZS78" s="2198"/>
      <c r="SZT78" s="2198"/>
      <c r="SZU78" s="2198"/>
      <c r="SZV78" s="2198"/>
      <c r="SZW78" s="2198"/>
      <c r="SZX78" s="2198"/>
      <c r="SZY78" s="2198"/>
      <c r="SZZ78" s="2198"/>
      <c r="TAA78" s="2198"/>
      <c r="TAB78" s="2198"/>
      <c r="TAC78" s="2198"/>
      <c r="TAD78" s="2198"/>
      <c r="TAE78" s="2198"/>
      <c r="TAF78" s="2198"/>
      <c r="TAG78" s="2198"/>
      <c r="TAH78" s="2198"/>
      <c r="TAI78" s="2198"/>
      <c r="TAJ78" s="2198"/>
      <c r="TAK78" s="2198"/>
      <c r="TAL78" s="2198"/>
      <c r="TAM78" s="2198"/>
      <c r="TAN78" s="2198"/>
      <c r="TAO78" s="2198"/>
      <c r="TAP78" s="2198"/>
      <c r="TAQ78" s="2198"/>
      <c r="TAR78" s="2198"/>
      <c r="TAS78" s="2198"/>
      <c r="TAT78" s="2198"/>
      <c r="TAU78" s="2198"/>
      <c r="TAV78" s="2198"/>
      <c r="TAW78" s="2198"/>
      <c r="TAX78" s="2198"/>
      <c r="TAY78" s="2198"/>
      <c r="TAZ78" s="2198"/>
      <c r="TBA78" s="2198"/>
      <c r="TBB78" s="2198"/>
      <c r="TBC78" s="2198"/>
      <c r="TBD78" s="2198"/>
      <c r="TBE78" s="2198"/>
      <c r="TBF78" s="2198"/>
      <c r="TBG78" s="2198"/>
      <c r="TBH78" s="2198"/>
      <c r="TBI78" s="2198"/>
      <c r="TBJ78" s="2198"/>
      <c r="TBK78" s="2198"/>
      <c r="TBL78" s="2198"/>
      <c r="TBM78" s="2198"/>
      <c r="TBN78" s="2198"/>
      <c r="TBO78" s="2198"/>
      <c r="TBP78" s="2198"/>
      <c r="TBQ78" s="2198"/>
      <c r="TBR78" s="2198"/>
      <c r="TBS78" s="2198"/>
      <c r="TBT78" s="2198"/>
      <c r="TBU78" s="2198"/>
      <c r="TBV78" s="2198"/>
      <c r="TBW78" s="2198"/>
      <c r="TBX78" s="2198"/>
      <c r="TBY78" s="2198"/>
      <c r="TBZ78" s="2198"/>
      <c r="TCA78" s="2198"/>
      <c r="TCB78" s="2198"/>
      <c r="TCC78" s="2198"/>
      <c r="TCD78" s="2198"/>
      <c r="TCE78" s="2198"/>
      <c r="TCF78" s="2198"/>
      <c r="TCG78" s="2198"/>
      <c r="TCH78" s="2198"/>
      <c r="TCI78" s="2198"/>
      <c r="TCJ78" s="2198"/>
      <c r="TCK78" s="2198"/>
      <c r="TCL78" s="2198"/>
      <c r="TCM78" s="2198"/>
      <c r="TCN78" s="2198"/>
      <c r="TCO78" s="2198"/>
      <c r="TCP78" s="2198"/>
      <c r="TCQ78" s="2198"/>
      <c r="TCR78" s="2198"/>
      <c r="TCS78" s="2198"/>
      <c r="TCT78" s="2198"/>
      <c r="TCU78" s="2198"/>
      <c r="TCV78" s="2198"/>
      <c r="TCW78" s="2198"/>
      <c r="TCX78" s="2198"/>
      <c r="TCY78" s="2198"/>
      <c r="TCZ78" s="2198"/>
      <c r="TDA78" s="2198"/>
      <c r="TDB78" s="2198"/>
      <c r="TDC78" s="2198"/>
      <c r="TDD78" s="2198"/>
      <c r="TDE78" s="2198"/>
      <c r="TDF78" s="2198"/>
      <c r="TDG78" s="2198"/>
      <c r="TDH78" s="2198"/>
      <c r="TDI78" s="2198"/>
      <c r="TDJ78" s="2198"/>
      <c r="TDK78" s="2198"/>
      <c r="TDL78" s="2198"/>
      <c r="TDM78" s="2198"/>
      <c r="TDN78" s="2198"/>
      <c r="TDO78" s="2198"/>
      <c r="TDP78" s="2198"/>
      <c r="TDQ78" s="2198"/>
      <c r="TDR78" s="2198"/>
      <c r="TDS78" s="2198"/>
      <c r="TDT78" s="2198"/>
      <c r="TDU78" s="2198"/>
      <c r="TDV78" s="2198"/>
      <c r="TDW78" s="2198"/>
      <c r="TDX78" s="2198"/>
      <c r="TDY78" s="2198"/>
      <c r="TDZ78" s="2198"/>
      <c r="TEA78" s="2198"/>
      <c r="TEB78" s="2198"/>
      <c r="TEC78" s="2198"/>
      <c r="TED78" s="2198"/>
      <c r="TEE78" s="2198"/>
      <c r="TEF78" s="2198"/>
      <c r="TEG78" s="2198"/>
      <c r="TEH78" s="2198"/>
      <c r="TEI78" s="2198"/>
      <c r="TEJ78" s="2198"/>
      <c r="TEK78" s="2198"/>
      <c r="TEL78" s="2198"/>
      <c r="TEM78" s="2198"/>
      <c r="TEN78" s="2198"/>
      <c r="TEO78" s="2198"/>
      <c r="TEP78" s="2198"/>
      <c r="TEQ78" s="2198"/>
      <c r="TER78" s="2198"/>
      <c r="TES78" s="2198"/>
      <c r="TET78" s="2198"/>
      <c r="TEU78" s="2198"/>
      <c r="TEV78" s="2198"/>
      <c r="TEW78" s="2198"/>
      <c r="TEX78" s="2198"/>
      <c r="TEY78" s="2198"/>
      <c r="TEZ78" s="2198"/>
      <c r="TFA78" s="2198"/>
      <c r="TFB78" s="2198"/>
      <c r="TFC78" s="2198"/>
      <c r="TFD78" s="2198"/>
      <c r="TFE78" s="2198"/>
      <c r="TFF78" s="2198"/>
      <c r="TFG78" s="2198"/>
      <c r="TFH78" s="2198"/>
      <c r="TFI78" s="2198"/>
      <c r="TFJ78" s="2198"/>
      <c r="TFK78" s="2198"/>
      <c r="TFL78" s="2198"/>
      <c r="TFM78" s="2198"/>
      <c r="TFN78" s="2198"/>
      <c r="TFO78" s="2198"/>
      <c r="TFP78" s="2198"/>
      <c r="TFQ78" s="2198"/>
      <c r="TFR78" s="2198"/>
      <c r="TFS78" s="2198"/>
      <c r="TFT78" s="2198"/>
      <c r="TFU78" s="2198"/>
      <c r="TFV78" s="2198"/>
      <c r="TFW78" s="2198"/>
      <c r="TFX78" s="2198"/>
      <c r="TFY78" s="2198"/>
      <c r="TFZ78" s="2198"/>
      <c r="TGA78" s="2198"/>
      <c r="TGB78" s="2198"/>
      <c r="TGC78" s="2198"/>
      <c r="TGD78" s="2198"/>
      <c r="TGE78" s="2198"/>
      <c r="TGF78" s="2198"/>
      <c r="TGG78" s="2198"/>
      <c r="TGH78" s="2198"/>
      <c r="TGI78" s="2198"/>
      <c r="TGJ78" s="2198"/>
      <c r="TGK78" s="2198"/>
      <c r="TGL78" s="2198"/>
      <c r="TGM78" s="2198"/>
      <c r="TGN78" s="2198"/>
      <c r="TGO78" s="2198"/>
      <c r="TGP78" s="2198"/>
      <c r="TGQ78" s="2198"/>
      <c r="TGR78" s="2198"/>
      <c r="TGS78" s="2198"/>
      <c r="TGT78" s="2198"/>
      <c r="TGU78" s="2198"/>
      <c r="TGV78" s="2198"/>
      <c r="TGW78" s="2198"/>
      <c r="TGX78" s="2198"/>
      <c r="TGY78" s="2198"/>
      <c r="TGZ78" s="2198"/>
      <c r="THA78" s="2198"/>
      <c r="THB78" s="2198"/>
      <c r="THC78" s="2198"/>
      <c r="THD78" s="2198"/>
      <c r="THE78" s="2198"/>
      <c r="THF78" s="2198"/>
      <c r="THG78" s="2198"/>
      <c r="THH78" s="2198"/>
      <c r="THI78" s="2198"/>
      <c r="THJ78" s="2198"/>
      <c r="THK78" s="2198"/>
      <c r="THL78" s="2198"/>
      <c r="THM78" s="2198"/>
      <c r="THN78" s="2198"/>
      <c r="THO78" s="2198"/>
      <c r="THP78" s="2198"/>
      <c r="THQ78" s="2198"/>
      <c r="THR78" s="2198"/>
      <c r="THS78" s="2198"/>
      <c r="THT78" s="2198"/>
      <c r="THU78" s="2198"/>
      <c r="THV78" s="2198"/>
      <c r="THW78" s="2198"/>
      <c r="THX78" s="2198"/>
      <c r="THY78" s="2198"/>
      <c r="THZ78" s="2198"/>
      <c r="TIA78" s="2198"/>
      <c r="TIB78" s="2198"/>
      <c r="TIC78" s="2198"/>
      <c r="TID78" s="2198"/>
      <c r="TIE78" s="2198"/>
      <c r="TIF78" s="2198"/>
      <c r="TIG78" s="2198"/>
      <c r="TIH78" s="2198"/>
      <c r="TII78" s="2198"/>
      <c r="TIJ78" s="2198"/>
      <c r="TIK78" s="2198"/>
      <c r="TIL78" s="2198"/>
      <c r="TIM78" s="2198"/>
      <c r="TIN78" s="2198"/>
      <c r="TIO78" s="2198"/>
      <c r="TIP78" s="2198"/>
      <c r="TIQ78" s="2198"/>
      <c r="TIR78" s="2198"/>
      <c r="TIS78" s="2198"/>
      <c r="TIT78" s="2198"/>
      <c r="TIU78" s="2198"/>
      <c r="TIV78" s="2198"/>
      <c r="TIW78" s="2198"/>
      <c r="TIX78" s="2198"/>
      <c r="TIY78" s="2198"/>
      <c r="TIZ78" s="2198"/>
      <c r="TJA78" s="2198"/>
      <c r="TJB78" s="2198"/>
      <c r="TJC78" s="2198"/>
      <c r="TJD78" s="2198"/>
      <c r="TJE78" s="2198"/>
      <c r="TJF78" s="2198"/>
      <c r="TJG78" s="2198"/>
      <c r="TJH78" s="2198"/>
      <c r="TJI78" s="2198"/>
      <c r="TJJ78" s="2198"/>
      <c r="TJK78" s="2198"/>
      <c r="TJL78" s="2198"/>
      <c r="TJM78" s="2198"/>
      <c r="TJN78" s="2198"/>
      <c r="TJO78" s="2198"/>
      <c r="TJP78" s="2198"/>
      <c r="TJQ78" s="2198"/>
      <c r="TJR78" s="2198"/>
      <c r="TJS78" s="2198"/>
      <c r="TJT78" s="2198"/>
      <c r="TJU78" s="2198"/>
      <c r="TJV78" s="2198"/>
      <c r="TJW78" s="2198"/>
      <c r="TJX78" s="2198"/>
      <c r="TJY78" s="2198"/>
      <c r="TJZ78" s="2198"/>
      <c r="TKA78" s="2198"/>
      <c r="TKB78" s="2198"/>
      <c r="TKC78" s="2198"/>
      <c r="TKD78" s="2198"/>
      <c r="TKE78" s="2198"/>
      <c r="TKF78" s="2198"/>
      <c r="TKG78" s="2198"/>
      <c r="TKH78" s="2198"/>
      <c r="TKI78" s="2198"/>
      <c r="TKJ78" s="2198"/>
      <c r="TKK78" s="2198"/>
      <c r="TKL78" s="2198"/>
      <c r="TKM78" s="2198"/>
      <c r="TKN78" s="2198"/>
      <c r="TKO78" s="2198"/>
      <c r="TKP78" s="2198"/>
      <c r="TKQ78" s="2198"/>
      <c r="TKR78" s="2198"/>
      <c r="TKS78" s="2198"/>
      <c r="TKT78" s="2198"/>
      <c r="TKU78" s="2198"/>
      <c r="TKV78" s="2198"/>
      <c r="TKW78" s="2198"/>
      <c r="TKX78" s="2198"/>
      <c r="TKY78" s="2198"/>
      <c r="TKZ78" s="2198"/>
      <c r="TLA78" s="2198"/>
      <c r="TLB78" s="2198"/>
      <c r="TLC78" s="2198"/>
      <c r="TLD78" s="2198"/>
      <c r="TLE78" s="2198"/>
      <c r="TLF78" s="2198"/>
      <c r="TLG78" s="2198"/>
      <c r="TLH78" s="2198"/>
      <c r="TLI78" s="2198"/>
      <c r="TLJ78" s="2198"/>
      <c r="TLK78" s="2198"/>
      <c r="TLL78" s="2198"/>
      <c r="TLM78" s="2198"/>
      <c r="TLN78" s="2198"/>
      <c r="TLO78" s="2198"/>
      <c r="TLP78" s="2198"/>
      <c r="TLQ78" s="2198"/>
      <c r="TLR78" s="2198"/>
      <c r="TLS78" s="2198"/>
      <c r="TLT78" s="2198"/>
      <c r="TLU78" s="2198"/>
      <c r="TLV78" s="2198"/>
      <c r="TLW78" s="2198"/>
      <c r="TLX78" s="2198"/>
      <c r="TLY78" s="2198"/>
      <c r="TLZ78" s="2198"/>
      <c r="TMA78" s="2198"/>
      <c r="TMB78" s="2198"/>
      <c r="TMC78" s="2198"/>
      <c r="TMD78" s="2198"/>
      <c r="TME78" s="2198"/>
      <c r="TMF78" s="2198"/>
      <c r="TMG78" s="2198"/>
      <c r="TMH78" s="2198"/>
      <c r="TMI78" s="2198"/>
      <c r="TMJ78" s="2198"/>
      <c r="TMK78" s="2198"/>
      <c r="TML78" s="2198"/>
      <c r="TMM78" s="2198"/>
      <c r="TMN78" s="2198"/>
      <c r="TMO78" s="2198"/>
      <c r="TMP78" s="2198"/>
      <c r="TMQ78" s="2198"/>
      <c r="TMR78" s="2198"/>
      <c r="TMS78" s="2198"/>
      <c r="TMT78" s="2198"/>
      <c r="TMU78" s="2198"/>
      <c r="TMV78" s="2198"/>
      <c r="TMW78" s="2198"/>
      <c r="TMX78" s="2198"/>
      <c r="TMY78" s="2198"/>
      <c r="TMZ78" s="2198"/>
      <c r="TNA78" s="2198"/>
      <c r="TNB78" s="2198"/>
      <c r="TNC78" s="2198"/>
      <c r="TND78" s="2198"/>
      <c r="TNE78" s="2198"/>
      <c r="TNF78" s="2198"/>
      <c r="TNG78" s="2198"/>
      <c r="TNH78" s="2198"/>
      <c r="TNI78" s="2198"/>
      <c r="TNJ78" s="2198"/>
      <c r="TNK78" s="2198"/>
      <c r="TNL78" s="2198"/>
      <c r="TNM78" s="2198"/>
      <c r="TNN78" s="2198"/>
      <c r="TNO78" s="2198"/>
      <c r="TNP78" s="2198"/>
      <c r="TNQ78" s="2198"/>
      <c r="TNR78" s="2198"/>
      <c r="TNS78" s="2198"/>
      <c r="TNT78" s="2198"/>
      <c r="TNU78" s="2198"/>
      <c r="TNV78" s="2198"/>
      <c r="TNW78" s="2198"/>
      <c r="TNX78" s="2198"/>
      <c r="TNY78" s="2198"/>
      <c r="TNZ78" s="2198"/>
      <c r="TOA78" s="2198"/>
      <c r="TOB78" s="2198"/>
      <c r="TOC78" s="2198"/>
      <c r="TOD78" s="2198"/>
      <c r="TOE78" s="2198"/>
      <c r="TOF78" s="2198"/>
      <c r="TOG78" s="2198"/>
      <c r="TOH78" s="2198"/>
      <c r="TOI78" s="2198"/>
      <c r="TOJ78" s="2198"/>
      <c r="TOK78" s="2198"/>
      <c r="TOL78" s="2198"/>
      <c r="TOM78" s="2198"/>
      <c r="TON78" s="2198"/>
      <c r="TOO78" s="2198"/>
      <c r="TOP78" s="2198"/>
      <c r="TOQ78" s="2198"/>
      <c r="TOR78" s="2198"/>
      <c r="TOS78" s="2198"/>
      <c r="TOT78" s="2198"/>
      <c r="TOU78" s="2198"/>
      <c r="TOV78" s="2198"/>
      <c r="TOW78" s="2198"/>
      <c r="TOX78" s="2198"/>
      <c r="TOY78" s="2198"/>
      <c r="TOZ78" s="2198"/>
      <c r="TPA78" s="2198"/>
      <c r="TPB78" s="2198"/>
      <c r="TPC78" s="2198"/>
      <c r="TPD78" s="2198"/>
      <c r="TPE78" s="2198"/>
      <c r="TPF78" s="2198"/>
      <c r="TPG78" s="2198"/>
      <c r="TPH78" s="2198"/>
      <c r="TPI78" s="2198"/>
      <c r="TPJ78" s="2198"/>
      <c r="TPK78" s="2198"/>
      <c r="TPL78" s="2198"/>
      <c r="TPM78" s="2198"/>
      <c r="TPN78" s="2198"/>
      <c r="TPO78" s="2198"/>
      <c r="TPP78" s="2198"/>
      <c r="TPQ78" s="2198"/>
      <c r="TPR78" s="2198"/>
      <c r="TPS78" s="2198"/>
      <c r="TPT78" s="2198"/>
      <c r="TPU78" s="2198"/>
      <c r="TPV78" s="2198"/>
      <c r="TPW78" s="2198"/>
      <c r="TPX78" s="2198"/>
      <c r="TPY78" s="2198"/>
      <c r="TPZ78" s="2198"/>
      <c r="TQA78" s="2198"/>
      <c r="TQB78" s="2198"/>
      <c r="TQC78" s="2198"/>
      <c r="TQD78" s="2198"/>
      <c r="TQE78" s="2198"/>
      <c r="TQF78" s="2198"/>
      <c r="TQG78" s="2198"/>
      <c r="TQH78" s="2198"/>
      <c r="TQI78" s="2198"/>
      <c r="TQJ78" s="2198"/>
      <c r="TQK78" s="2198"/>
      <c r="TQL78" s="2198"/>
      <c r="TQM78" s="2198"/>
      <c r="TQN78" s="2198"/>
      <c r="TQO78" s="2198"/>
      <c r="TQP78" s="2198"/>
      <c r="TQQ78" s="2198"/>
      <c r="TQR78" s="2198"/>
      <c r="TQS78" s="2198"/>
      <c r="TQT78" s="2198"/>
      <c r="TQU78" s="2198"/>
      <c r="TQV78" s="2198"/>
      <c r="TQW78" s="2198"/>
      <c r="TQX78" s="2198"/>
      <c r="TQY78" s="2198"/>
      <c r="TQZ78" s="2198"/>
      <c r="TRA78" s="2198"/>
      <c r="TRB78" s="2198"/>
      <c r="TRC78" s="2198"/>
      <c r="TRD78" s="2198"/>
      <c r="TRE78" s="2198"/>
      <c r="TRF78" s="2198"/>
      <c r="TRG78" s="2198"/>
      <c r="TRH78" s="2198"/>
      <c r="TRI78" s="2198"/>
      <c r="TRJ78" s="2198"/>
      <c r="TRK78" s="2198"/>
      <c r="TRL78" s="2198"/>
      <c r="TRM78" s="2198"/>
      <c r="TRN78" s="2198"/>
      <c r="TRO78" s="2198"/>
      <c r="TRP78" s="2198"/>
      <c r="TRQ78" s="2198"/>
      <c r="TRR78" s="2198"/>
      <c r="TRS78" s="2198"/>
      <c r="TRT78" s="2198"/>
      <c r="TRU78" s="2198"/>
      <c r="TRV78" s="2198"/>
      <c r="TRW78" s="2198"/>
      <c r="TRX78" s="2198"/>
      <c r="TRY78" s="2198"/>
      <c r="TRZ78" s="2198"/>
      <c r="TSA78" s="2198"/>
      <c r="TSB78" s="2198"/>
      <c r="TSC78" s="2198"/>
      <c r="TSD78" s="2198"/>
      <c r="TSE78" s="2198"/>
      <c r="TSF78" s="2198"/>
      <c r="TSG78" s="2198"/>
      <c r="TSH78" s="2198"/>
      <c r="TSI78" s="2198"/>
      <c r="TSJ78" s="2198"/>
      <c r="TSK78" s="2198"/>
      <c r="TSL78" s="2198"/>
      <c r="TSM78" s="2198"/>
      <c r="TSN78" s="2198"/>
      <c r="TSO78" s="2198"/>
      <c r="TSP78" s="2198"/>
      <c r="TSQ78" s="2198"/>
      <c r="TSR78" s="2198"/>
      <c r="TSS78" s="2198"/>
      <c r="TST78" s="2198"/>
      <c r="TSU78" s="2198"/>
      <c r="TSV78" s="2198"/>
      <c r="TSW78" s="2198"/>
      <c r="TSX78" s="2198"/>
      <c r="TSY78" s="2198"/>
      <c r="TSZ78" s="2198"/>
      <c r="TTA78" s="2198"/>
      <c r="TTB78" s="2198"/>
      <c r="TTC78" s="2198"/>
      <c r="TTD78" s="2198"/>
      <c r="TTE78" s="2198"/>
      <c r="TTF78" s="2198"/>
      <c r="TTG78" s="2198"/>
      <c r="TTH78" s="2198"/>
      <c r="TTI78" s="2198"/>
      <c r="TTJ78" s="2198"/>
      <c r="TTK78" s="2198"/>
      <c r="TTL78" s="2198"/>
      <c r="TTM78" s="2198"/>
      <c r="TTN78" s="2198"/>
      <c r="TTO78" s="2198"/>
      <c r="TTP78" s="2198"/>
      <c r="TTQ78" s="2198"/>
      <c r="TTR78" s="2198"/>
      <c r="TTS78" s="2198"/>
      <c r="TTT78" s="2198"/>
      <c r="TTU78" s="2198"/>
      <c r="TTV78" s="2198"/>
      <c r="TTW78" s="2198"/>
      <c r="TTX78" s="2198"/>
      <c r="TTY78" s="2198"/>
      <c r="TTZ78" s="2198"/>
      <c r="TUA78" s="2198"/>
      <c r="TUB78" s="2198"/>
      <c r="TUC78" s="2198"/>
      <c r="TUD78" s="2198"/>
      <c r="TUE78" s="2198"/>
      <c r="TUF78" s="2198"/>
      <c r="TUG78" s="2198"/>
      <c r="TUH78" s="2198"/>
      <c r="TUI78" s="2198"/>
      <c r="TUJ78" s="2198"/>
      <c r="TUK78" s="2198"/>
      <c r="TUL78" s="2198"/>
      <c r="TUM78" s="2198"/>
      <c r="TUN78" s="2198"/>
      <c r="TUO78" s="2198"/>
      <c r="TUP78" s="2198"/>
      <c r="TUQ78" s="2198"/>
      <c r="TUR78" s="2198"/>
      <c r="TUS78" s="2198"/>
      <c r="TUT78" s="2198"/>
      <c r="TUU78" s="2198"/>
      <c r="TUV78" s="2198"/>
      <c r="TUW78" s="2198"/>
      <c r="TUX78" s="2198"/>
      <c r="TUY78" s="2198"/>
      <c r="TUZ78" s="2198"/>
      <c r="TVA78" s="2198"/>
      <c r="TVB78" s="2198"/>
      <c r="TVC78" s="2198"/>
      <c r="TVD78" s="2198"/>
      <c r="TVE78" s="2198"/>
      <c r="TVF78" s="2198"/>
      <c r="TVG78" s="2198"/>
      <c r="TVH78" s="2198"/>
      <c r="TVI78" s="2198"/>
      <c r="TVJ78" s="2198"/>
      <c r="TVK78" s="2198"/>
      <c r="TVL78" s="2198"/>
      <c r="TVM78" s="2198"/>
      <c r="TVN78" s="2198"/>
      <c r="TVO78" s="2198"/>
      <c r="TVP78" s="2198"/>
      <c r="TVQ78" s="2198"/>
      <c r="TVR78" s="2198"/>
      <c r="TVS78" s="2198"/>
      <c r="TVT78" s="2198"/>
      <c r="TVU78" s="2198"/>
      <c r="TVV78" s="2198"/>
      <c r="TVW78" s="2198"/>
      <c r="TVX78" s="2198"/>
      <c r="TVY78" s="2198"/>
      <c r="TVZ78" s="2198"/>
      <c r="TWA78" s="2198"/>
      <c r="TWB78" s="2198"/>
      <c r="TWC78" s="2198"/>
      <c r="TWD78" s="2198"/>
      <c r="TWE78" s="2198"/>
      <c r="TWF78" s="2198"/>
      <c r="TWG78" s="2198"/>
      <c r="TWH78" s="2198"/>
      <c r="TWI78" s="2198"/>
      <c r="TWJ78" s="2198"/>
      <c r="TWK78" s="2198"/>
      <c r="TWL78" s="2198"/>
      <c r="TWM78" s="2198"/>
      <c r="TWN78" s="2198"/>
      <c r="TWO78" s="2198"/>
      <c r="TWP78" s="2198"/>
      <c r="TWQ78" s="2198"/>
      <c r="TWR78" s="2198"/>
      <c r="TWS78" s="2198"/>
      <c r="TWT78" s="2198"/>
      <c r="TWU78" s="2198"/>
      <c r="TWV78" s="2198"/>
      <c r="TWW78" s="2198"/>
      <c r="TWX78" s="2198"/>
      <c r="TWY78" s="2198"/>
      <c r="TWZ78" s="2198"/>
      <c r="TXA78" s="2198"/>
      <c r="TXB78" s="2198"/>
      <c r="TXC78" s="2198"/>
      <c r="TXD78" s="2198"/>
      <c r="TXE78" s="2198"/>
      <c r="TXF78" s="2198"/>
      <c r="TXG78" s="2198"/>
      <c r="TXH78" s="2198"/>
      <c r="TXI78" s="2198"/>
      <c r="TXJ78" s="2198"/>
      <c r="TXK78" s="2198"/>
      <c r="TXL78" s="2198"/>
      <c r="TXM78" s="2198"/>
      <c r="TXN78" s="2198"/>
      <c r="TXO78" s="2198"/>
      <c r="TXP78" s="2198"/>
      <c r="TXQ78" s="2198"/>
      <c r="TXR78" s="2198"/>
      <c r="TXS78" s="2198"/>
      <c r="TXT78" s="2198"/>
      <c r="TXU78" s="2198"/>
      <c r="TXV78" s="2198"/>
      <c r="TXW78" s="2198"/>
      <c r="TXX78" s="2198"/>
      <c r="TXY78" s="2198"/>
      <c r="TXZ78" s="2198"/>
      <c r="TYA78" s="2198"/>
      <c r="TYB78" s="2198"/>
      <c r="TYC78" s="2198"/>
      <c r="TYD78" s="2198"/>
      <c r="TYE78" s="2198"/>
      <c r="TYF78" s="2198"/>
      <c r="TYG78" s="2198"/>
      <c r="TYH78" s="2198"/>
      <c r="TYI78" s="2198"/>
      <c r="TYJ78" s="2198"/>
      <c r="TYK78" s="2198"/>
      <c r="TYL78" s="2198"/>
      <c r="TYM78" s="2198"/>
      <c r="TYN78" s="2198"/>
      <c r="TYO78" s="2198"/>
      <c r="TYP78" s="2198"/>
      <c r="TYQ78" s="2198"/>
      <c r="TYR78" s="2198"/>
      <c r="TYS78" s="2198"/>
      <c r="TYT78" s="2198"/>
      <c r="TYU78" s="2198"/>
      <c r="TYV78" s="2198"/>
      <c r="TYW78" s="2198"/>
      <c r="TYX78" s="2198"/>
      <c r="TYY78" s="2198"/>
      <c r="TYZ78" s="2198"/>
      <c r="TZA78" s="2198"/>
      <c r="TZB78" s="2198"/>
      <c r="TZC78" s="2198"/>
      <c r="TZD78" s="2198"/>
      <c r="TZE78" s="2198"/>
      <c r="TZF78" s="2198"/>
      <c r="TZG78" s="2198"/>
      <c r="TZH78" s="2198"/>
      <c r="TZI78" s="2198"/>
      <c r="TZJ78" s="2198"/>
      <c r="TZK78" s="2198"/>
      <c r="TZL78" s="2198"/>
      <c r="TZM78" s="2198"/>
      <c r="TZN78" s="2198"/>
      <c r="TZO78" s="2198"/>
      <c r="TZP78" s="2198"/>
      <c r="TZQ78" s="2198"/>
      <c r="TZR78" s="2198"/>
      <c r="TZS78" s="2198"/>
      <c r="TZT78" s="2198"/>
      <c r="TZU78" s="2198"/>
      <c r="TZV78" s="2198"/>
      <c r="TZW78" s="2198"/>
      <c r="TZX78" s="2198"/>
      <c r="TZY78" s="2198"/>
      <c r="TZZ78" s="2198"/>
      <c r="UAA78" s="2198"/>
      <c r="UAB78" s="2198"/>
      <c r="UAC78" s="2198"/>
      <c r="UAD78" s="2198"/>
      <c r="UAE78" s="2198"/>
      <c r="UAF78" s="2198"/>
      <c r="UAG78" s="2198"/>
      <c r="UAH78" s="2198"/>
      <c r="UAI78" s="2198"/>
      <c r="UAJ78" s="2198"/>
      <c r="UAK78" s="2198"/>
      <c r="UAL78" s="2198"/>
      <c r="UAM78" s="2198"/>
      <c r="UAN78" s="2198"/>
      <c r="UAO78" s="2198"/>
      <c r="UAP78" s="2198"/>
      <c r="UAQ78" s="2198"/>
      <c r="UAR78" s="2198"/>
      <c r="UAS78" s="2198"/>
      <c r="UAT78" s="2198"/>
      <c r="UAU78" s="2198"/>
      <c r="UAV78" s="2198"/>
      <c r="UAW78" s="2198"/>
      <c r="UAX78" s="2198"/>
      <c r="UAY78" s="2198"/>
      <c r="UAZ78" s="2198"/>
      <c r="UBA78" s="2198"/>
      <c r="UBB78" s="2198"/>
      <c r="UBC78" s="2198"/>
      <c r="UBD78" s="2198"/>
      <c r="UBE78" s="2198"/>
      <c r="UBF78" s="2198"/>
      <c r="UBG78" s="2198"/>
      <c r="UBH78" s="2198"/>
      <c r="UBI78" s="2198"/>
      <c r="UBJ78" s="2198"/>
      <c r="UBK78" s="2198"/>
      <c r="UBL78" s="2198"/>
      <c r="UBM78" s="2198"/>
      <c r="UBN78" s="2198"/>
      <c r="UBO78" s="2198"/>
      <c r="UBP78" s="2198"/>
      <c r="UBQ78" s="2198"/>
      <c r="UBR78" s="2198"/>
      <c r="UBS78" s="2198"/>
      <c r="UBT78" s="2198"/>
      <c r="UBU78" s="2198"/>
      <c r="UBV78" s="2198"/>
      <c r="UBW78" s="2198"/>
      <c r="UBX78" s="2198"/>
      <c r="UBY78" s="2198"/>
      <c r="UBZ78" s="2198"/>
      <c r="UCA78" s="2198"/>
      <c r="UCB78" s="2198"/>
      <c r="UCC78" s="2198"/>
      <c r="UCD78" s="2198"/>
      <c r="UCE78" s="2198"/>
      <c r="UCF78" s="2198"/>
      <c r="UCG78" s="2198"/>
      <c r="UCH78" s="2198"/>
      <c r="UCI78" s="2198"/>
      <c r="UCJ78" s="2198"/>
      <c r="UCK78" s="2198"/>
      <c r="UCL78" s="2198"/>
      <c r="UCM78" s="2198"/>
      <c r="UCN78" s="2198"/>
      <c r="UCO78" s="2198"/>
      <c r="UCP78" s="2198"/>
      <c r="UCQ78" s="2198"/>
      <c r="UCR78" s="2198"/>
      <c r="UCS78" s="2198"/>
      <c r="UCT78" s="2198"/>
      <c r="UCU78" s="2198"/>
      <c r="UCV78" s="2198"/>
      <c r="UCW78" s="2198"/>
      <c r="UCX78" s="2198"/>
      <c r="UCY78" s="2198"/>
      <c r="UCZ78" s="2198"/>
      <c r="UDA78" s="2198"/>
      <c r="UDB78" s="2198"/>
      <c r="UDC78" s="2198"/>
      <c r="UDD78" s="2198"/>
      <c r="UDE78" s="2198"/>
      <c r="UDF78" s="2198"/>
      <c r="UDG78" s="2198"/>
      <c r="UDH78" s="2198"/>
      <c r="UDI78" s="2198"/>
      <c r="UDJ78" s="2198"/>
      <c r="UDK78" s="2198"/>
      <c r="UDL78" s="2198"/>
      <c r="UDM78" s="2198"/>
      <c r="UDN78" s="2198"/>
      <c r="UDO78" s="2198"/>
      <c r="UDP78" s="2198"/>
      <c r="UDQ78" s="2198"/>
      <c r="UDR78" s="2198"/>
      <c r="UDS78" s="2198"/>
      <c r="UDT78" s="2198"/>
      <c r="UDU78" s="2198"/>
      <c r="UDV78" s="2198"/>
      <c r="UDW78" s="2198"/>
      <c r="UDX78" s="2198"/>
      <c r="UDY78" s="2198"/>
      <c r="UDZ78" s="2198"/>
      <c r="UEA78" s="2198"/>
      <c r="UEB78" s="2198"/>
      <c r="UEC78" s="2198"/>
      <c r="UED78" s="2198"/>
      <c r="UEE78" s="2198"/>
      <c r="UEF78" s="2198"/>
      <c r="UEG78" s="2198"/>
      <c r="UEH78" s="2198"/>
      <c r="UEI78" s="2198"/>
      <c r="UEJ78" s="2198"/>
      <c r="UEK78" s="2198"/>
      <c r="UEL78" s="2198"/>
      <c r="UEM78" s="2198"/>
      <c r="UEN78" s="2198"/>
      <c r="UEO78" s="2198"/>
      <c r="UEP78" s="2198"/>
      <c r="UEQ78" s="2198"/>
      <c r="UER78" s="2198"/>
      <c r="UES78" s="2198"/>
      <c r="UET78" s="2198"/>
      <c r="UEU78" s="2198"/>
      <c r="UEV78" s="2198"/>
      <c r="UEW78" s="2198"/>
      <c r="UEX78" s="2198"/>
      <c r="UEY78" s="2198"/>
      <c r="UEZ78" s="2198"/>
      <c r="UFA78" s="2198"/>
      <c r="UFB78" s="2198"/>
      <c r="UFC78" s="2198"/>
      <c r="UFD78" s="2198"/>
      <c r="UFE78" s="2198"/>
      <c r="UFF78" s="2198"/>
      <c r="UFG78" s="2198"/>
      <c r="UFH78" s="2198"/>
      <c r="UFI78" s="2198"/>
      <c r="UFJ78" s="2198"/>
      <c r="UFK78" s="2198"/>
      <c r="UFL78" s="2198"/>
      <c r="UFM78" s="2198"/>
      <c r="UFN78" s="2198"/>
      <c r="UFO78" s="2198"/>
      <c r="UFP78" s="2198"/>
      <c r="UFQ78" s="2198"/>
      <c r="UFR78" s="2198"/>
      <c r="UFS78" s="2198"/>
      <c r="UFT78" s="2198"/>
      <c r="UFU78" s="2198"/>
      <c r="UFV78" s="2198"/>
      <c r="UFW78" s="2198"/>
      <c r="UFX78" s="2198"/>
      <c r="UFY78" s="2198"/>
      <c r="UFZ78" s="2198"/>
      <c r="UGA78" s="2198"/>
      <c r="UGB78" s="2198"/>
      <c r="UGC78" s="2198"/>
      <c r="UGD78" s="2198"/>
      <c r="UGE78" s="2198"/>
      <c r="UGF78" s="2198"/>
      <c r="UGG78" s="2198"/>
      <c r="UGH78" s="2198"/>
      <c r="UGI78" s="2198"/>
      <c r="UGJ78" s="2198"/>
      <c r="UGK78" s="2198"/>
      <c r="UGL78" s="2198"/>
      <c r="UGM78" s="2198"/>
      <c r="UGN78" s="2198"/>
      <c r="UGO78" s="2198"/>
      <c r="UGP78" s="2198"/>
      <c r="UGQ78" s="2198"/>
      <c r="UGR78" s="2198"/>
      <c r="UGS78" s="2198"/>
      <c r="UGT78" s="2198"/>
      <c r="UGU78" s="2198"/>
      <c r="UGV78" s="2198"/>
      <c r="UGW78" s="2198"/>
      <c r="UGX78" s="2198"/>
      <c r="UGY78" s="2198"/>
      <c r="UGZ78" s="2198"/>
      <c r="UHA78" s="2198"/>
      <c r="UHB78" s="2198"/>
      <c r="UHC78" s="2198"/>
      <c r="UHD78" s="2198"/>
      <c r="UHE78" s="2198"/>
      <c r="UHF78" s="2198"/>
      <c r="UHG78" s="2198"/>
      <c r="UHH78" s="2198"/>
      <c r="UHI78" s="2198"/>
      <c r="UHJ78" s="2198"/>
      <c r="UHK78" s="2198"/>
      <c r="UHL78" s="2198"/>
      <c r="UHM78" s="2198"/>
      <c r="UHN78" s="2198"/>
      <c r="UHO78" s="2198"/>
      <c r="UHP78" s="2198"/>
      <c r="UHQ78" s="2198"/>
      <c r="UHR78" s="2198"/>
      <c r="UHS78" s="2198"/>
      <c r="UHT78" s="2198"/>
      <c r="UHU78" s="2198"/>
      <c r="UHV78" s="2198"/>
      <c r="UHW78" s="2198"/>
      <c r="UHX78" s="2198"/>
      <c r="UHY78" s="2198"/>
      <c r="UHZ78" s="2198"/>
      <c r="UIA78" s="2198"/>
      <c r="UIB78" s="2198"/>
      <c r="UIC78" s="2198"/>
      <c r="UID78" s="2198"/>
      <c r="UIE78" s="2198"/>
      <c r="UIF78" s="2198"/>
      <c r="UIG78" s="2198"/>
      <c r="UIH78" s="2198"/>
      <c r="UII78" s="2198"/>
      <c r="UIJ78" s="2198"/>
      <c r="UIK78" s="2198"/>
      <c r="UIL78" s="2198"/>
      <c r="UIM78" s="2198"/>
      <c r="UIN78" s="2198"/>
      <c r="UIO78" s="2198"/>
      <c r="UIP78" s="2198"/>
      <c r="UIQ78" s="2198"/>
      <c r="UIR78" s="2198"/>
      <c r="UIS78" s="2198"/>
      <c r="UIT78" s="2198"/>
      <c r="UIU78" s="2198"/>
      <c r="UIV78" s="2198"/>
      <c r="UIW78" s="2198"/>
      <c r="UIX78" s="2198"/>
      <c r="UIY78" s="2198"/>
      <c r="UIZ78" s="2198"/>
      <c r="UJA78" s="2198"/>
      <c r="UJB78" s="2198"/>
      <c r="UJC78" s="2198"/>
      <c r="UJD78" s="2198"/>
      <c r="UJE78" s="2198"/>
      <c r="UJF78" s="2198"/>
      <c r="UJG78" s="2198"/>
      <c r="UJH78" s="2198"/>
      <c r="UJI78" s="2198"/>
      <c r="UJJ78" s="2198"/>
      <c r="UJK78" s="2198"/>
      <c r="UJL78" s="2198"/>
      <c r="UJM78" s="2198"/>
      <c r="UJN78" s="2198"/>
      <c r="UJO78" s="2198"/>
      <c r="UJP78" s="2198"/>
      <c r="UJQ78" s="2198"/>
      <c r="UJR78" s="2198"/>
      <c r="UJS78" s="2198"/>
      <c r="UJT78" s="2198"/>
      <c r="UJU78" s="2198"/>
      <c r="UJV78" s="2198"/>
      <c r="UJW78" s="2198"/>
      <c r="UJX78" s="2198"/>
      <c r="UJY78" s="2198"/>
      <c r="UJZ78" s="2198"/>
      <c r="UKA78" s="2198"/>
      <c r="UKB78" s="2198"/>
      <c r="UKC78" s="2198"/>
      <c r="UKD78" s="2198"/>
      <c r="UKE78" s="2198"/>
      <c r="UKF78" s="2198"/>
      <c r="UKG78" s="2198"/>
      <c r="UKH78" s="2198"/>
      <c r="UKI78" s="2198"/>
      <c r="UKJ78" s="2198"/>
      <c r="UKK78" s="2198"/>
      <c r="UKL78" s="2198"/>
      <c r="UKM78" s="2198"/>
      <c r="UKN78" s="2198"/>
      <c r="UKO78" s="2198"/>
      <c r="UKP78" s="2198"/>
      <c r="UKQ78" s="2198"/>
      <c r="UKR78" s="2198"/>
      <c r="UKS78" s="2198"/>
      <c r="UKT78" s="2198"/>
      <c r="UKU78" s="2198"/>
      <c r="UKV78" s="2198"/>
      <c r="UKW78" s="2198"/>
      <c r="UKX78" s="2198"/>
      <c r="UKY78" s="2198"/>
      <c r="UKZ78" s="2198"/>
      <c r="ULA78" s="2198"/>
      <c r="ULB78" s="2198"/>
      <c r="ULC78" s="2198"/>
      <c r="ULD78" s="2198"/>
      <c r="ULE78" s="2198"/>
      <c r="ULF78" s="2198"/>
      <c r="ULG78" s="2198"/>
      <c r="ULH78" s="2198"/>
      <c r="ULI78" s="2198"/>
      <c r="ULJ78" s="2198"/>
      <c r="ULK78" s="2198"/>
      <c r="ULL78" s="2198"/>
      <c r="ULM78" s="2198"/>
      <c r="ULN78" s="2198"/>
      <c r="ULO78" s="2198"/>
      <c r="ULP78" s="2198"/>
      <c r="ULQ78" s="2198"/>
      <c r="ULR78" s="2198"/>
      <c r="ULS78" s="2198"/>
      <c r="ULT78" s="2198"/>
      <c r="ULU78" s="2198"/>
      <c r="ULV78" s="2198"/>
      <c r="ULW78" s="2198"/>
      <c r="ULX78" s="2198"/>
      <c r="ULY78" s="2198"/>
      <c r="ULZ78" s="2198"/>
      <c r="UMA78" s="2198"/>
      <c r="UMB78" s="2198"/>
      <c r="UMC78" s="2198"/>
      <c r="UMD78" s="2198"/>
      <c r="UME78" s="2198"/>
      <c r="UMF78" s="2198"/>
      <c r="UMG78" s="2198"/>
      <c r="UMH78" s="2198"/>
      <c r="UMI78" s="2198"/>
      <c r="UMJ78" s="2198"/>
      <c r="UMK78" s="2198"/>
      <c r="UML78" s="2198"/>
      <c r="UMM78" s="2198"/>
      <c r="UMN78" s="2198"/>
      <c r="UMO78" s="2198"/>
      <c r="UMP78" s="2198"/>
      <c r="UMQ78" s="2198"/>
      <c r="UMR78" s="2198"/>
      <c r="UMS78" s="2198"/>
      <c r="UMT78" s="2198"/>
      <c r="UMU78" s="2198"/>
      <c r="UMV78" s="2198"/>
      <c r="UMW78" s="2198"/>
      <c r="UMX78" s="2198"/>
      <c r="UMY78" s="2198"/>
      <c r="UMZ78" s="2198"/>
      <c r="UNA78" s="2198"/>
      <c r="UNB78" s="2198"/>
      <c r="UNC78" s="2198"/>
      <c r="UND78" s="2198"/>
      <c r="UNE78" s="2198"/>
      <c r="UNF78" s="2198"/>
      <c r="UNG78" s="2198"/>
      <c r="UNH78" s="2198"/>
      <c r="UNI78" s="2198"/>
      <c r="UNJ78" s="2198"/>
      <c r="UNK78" s="2198"/>
      <c r="UNL78" s="2198"/>
      <c r="UNM78" s="2198"/>
      <c r="UNN78" s="2198"/>
      <c r="UNO78" s="2198"/>
      <c r="UNP78" s="2198"/>
      <c r="UNQ78" s="2198"/>
      <c r="UNR78" s="2198"/>
      <c r="UNS78" s="2198"/>
      <c r="UNT78" s="2198"/>
      <c r="UNU78" s="2198"/>
      <c r="UNV78" s="2198"/>
      <c r="UNW78" s="2198"/>
      <c r="UNX78" s="2198"/>
      <c r="UNY78" s="2198"/>
      <c r="UNZ78" s="2198"/>
      <c r="UOA78" s="2198"/>
      <c r="UOB78" s="2198"/>
      <c r="UOC78" s="2198"/>
      <c r="UOD78" s="2198"/>
      <c r="UOE78" s="2198"/>
      <c r="UOF78" s="2198"/>
      <c r="UOG78" s="2198"/>
      <c r="UOH78" s="2198"/>
      <c r="UOI78" s="2198"/>
      <c r="UOJ78" s="2198"/>
      <c r="UOK78" s="2198"/>
      <c r="UOL78" s="2198"/>
      <c r="UOM78" s="2198"/>
      <c r="UON78" s="2198"/>
      <c r="UOO78" s="2198"/>
      <c r="UOP78" s="2198"/>
      <c r="UOQ78" s="2198"/>
      <c r="UOR78" s="2198"/>
      <c r="UOS78" s="2198"/>
      <c r="UOT78" s="2198"/>
      <c r="UOU78" s="2198"/>
      <c r="UOV78" s="2198"/>
      <c r="UOW78" s="2198"/>
      <c r="UOX78" s="2198"/>
      <c r="UOY78" s="2198"/>
      <c r="UOZ78" s="2198"/>
      <c r="UPA78" s="2198"/>
      <c r="UPB78" s="2198"/>
      <c r="UPC78" s="2198"/>
      <c r="UPD78" s="2198"/>
      <c r="UPE78" s="2198"/>
      <c r="UPF78" s="2198"/>
      <c r="UPG78" s="2198"/>
      <c r="UPH78" s="2198"/>
      <c r="UPI78" s="2198"/>
      <c r="UPJ78" s="2198"/>
      <c r="UPK78" s="2198"/>
      <c r="UPL78" s="2198"/>
      <c r="UPM78" s="2198"/>
      <c r="UPN78" s="2198"/>
      <c r="UPO78" s="2198"/>
      <c r="UPP78" s="2198"/>
      <c r="UPQ78" s="2198"/>
      <c r="UPR78" s="2198"/>
      <c r="UPS78" s="2198"/>
      <c r="UPT78" s="2198"/>
      <c r="UPU78" s="2198"/>
      <c r="UPV78" s="2198"/>
      <c r="UPW78" s="2198"/>
      <c r="UPX78" s="2198"/>
      <c r="UPY78" s="2198"/>
      <c r="UPZ78" s="2198"/>
      <c r="UQA78" s="2198"/>
      <c r="UQB78" s="2198"/>
      <c r="UQC78" s="2198"/>
      <c r="UQD78" s="2198"/>
      <c r="UQE78" s="2198"/>
      <c r="UQF78" s="2198"/>
      <c r="UQG78" s="2198"/>
      <c r="UQH78" s="2198"/>
      <c r="UQI78" s="2198"/>
      <c r="UQJ78" s="2198"/>
      <c r="UQK78" s="2198"/>
      <c r="UQL78" s="2198"/>
      <c r="UQM78" s="2198"/>
      <c r="UQN78" s="2198"/>
      <c r="UQO78" s="2198"/>
      <c r="UQP78" s="2198"/>
      <c r="UQQ78" s="2198"/>
      <c r="UQR78" s="2198"/>
      <c r="UQS78" s="2198"/>
      <c r="UQT78" s="2198"/>
      <c r="UQU78" s="2198"/>
      <c r="UQV78" s="2198"/>
      <c r="UQW78" s="2198"/>
      <c r="UQX78" s="2198"/>
      <c r="UQY78" s="2198"/>
      <c r="UQZ78" s="2198"/>
      <c r="URA78" s="2198"/>
      <c r="URB78" s="2198"/>
      <c r="URC78" s="2198"/>
      <c r="URD78" s="2198"/>
      <c r="URE78" s="2198"/>
      <c r="URF78" s="2198"/>
      <c r="URG78" s="2198"/>
      <c r="URH78" s="2198"/>
      <c r="URI78" s="2198"/>
      <c r="URJ78" s="2198"/>
      <c r="URK78" s="2198"/>
      <c r="URL78" s="2198"/>
      <c r="URM78" s="2198"/>
      <c r="URN78" s="2198"/>
      <c r="URO78" s="2198"/>
      <c r="URP78" s="2198"/>
      <c r="URQ78" s="2198"/>
      <c r="URR78" s="2198"/>
      <c r="URS78" s="2198"/>
      <c r="URT78" s="2198"/>
      <c r="URU78" s="2198"/>
      <c r="URV78" s="2198"/>
      <c r="URW78" s="2198"/>
      <c r="URX78" s="2198"/>
      <c r="URY78" s="2198"/>
      <c r="URZ78" s="2198"/>
      <c r="USA78" s="2198"/>
      <c r="USB78" s="2198"/>
      <c r="USC78" s="2198"/>
      <c r="USD78" s="2198"/>
      <c r="USE78" s="2198"/>
      <c r="USF78" s="2198"/>
      <c r="USG78" s="2198"/>
      <c r="USH78" s="2198"/>
      <c r="USI78" s="2198"/>
      <c r="USJ78" s="2198"/>
      <c r="USK78" s="2198"/>
      <c r="USL78" s="2198"/>
      <c r="USM78" s="2198"/>
      <c r="USN78" s="2198"/>
      <c r="USO78" s="2198"/>
      <c r="USP78" s="2198"/>
      <c r="USQ78" s="2198"/>
      <c r="USR78" s="2198"/>
      <c r="USS78" s="2198"/>
      <c r="UST78" s="2198"/>
      <c r="USU78" s="2198"/>
      <c r="USV78" s="2198"/>
      <c r="USW78" s="2198"/>
      <c r="USX78" s="2198"/>
      <c r="USY78" s="2198"/>
      <c r="USZ78" s="2198"/>
      <c r="UTA78" s="2198"/>
      <c r="UTB78" s="2198"/>
      <c r="UTC78" s="2198"/>
      <c r="UTD78" s="2198"/>
      <c r="UTE78" s="2198"/>
      <c r="UTF78" s="2198"/>
      <c r="UTG78" s="2198"/>
      <c r="UTH78" s="2198"/>
      <c r="UTI78" s="2198"/>
      <c r="UTJ78" s="2198"/>
      <c r="UTK78" s="2198"/>
      <c r="UTL78" s="2198"/>
      <c r="UTM78" s="2198"/>
      <c r="UTN78" s="2198"/>
      <c r="UTO78" s="2198"/>
      <c r="UTP78" s="2198"/>
      <c r="UTQ78" s="2198"/>
      <c r="UTR78" s="2198"/>
      <c r="UTS78" s="2198"/>
      <c r="UTT78" s="2198"/>
      <c r="UTU78" s="2198"/>
      <c r="UTV78" s="2198"/>
      <c r="UTW78" s="2198"/>
      <c r="UTX78" s="2198"/>
      <c r="UTY78" s="2198"/>
      <c r="UTZ78" s="2198"/>
      <c r="UUA78" s="2198"/>
      <c r="UUB78" s="2198"/>
      <c r="UUC78" s="2198"/>
      <c r="UUD78" s="2198"/>
      <c r="UUE78" s="2198"/>
      <c r="UUF78" s="2198"/>
      <c r="UUG78" s="2198"/>
      <c r="UUH78" s="2198"/>
      <c r="UUI78" s="2198"/>
      <c r="UUJ78" s="2198"/>
      <c r="UUK78" s="2198"/>
      <c r="UUL78" s="2198"/>
      <c r="UUM78" s="2198"/>
      <c r="UUN78" s="2198"/>
      <c r="UUO78" s="2198"/>
      <c r="UUP78" s="2198"/>
      <c r="UUQ78" s="2198"/>
      <c r="UUR78" s="2198"/>
      <c r="UUS78" s="2198"/>
      <c r="UUT78" s="2198"/>
      <c r="UUU78" s="2198"/>
      <c r="UUV78" s="2198"/>
      <c r="UUW78" s="2198"/>
      <c r="UUX78" s="2198"/>
      <c r="UUY78" s="2198"/>
      <c r="UUZ78" s="2198"/>
      <c r="UVA78" s="2198"/>
      <c r="UVB78" s="2198"/>
      <c r="UVC78" s="2198"/>
      <c r="UVD78" s="2198"/>
      <c r="UVE78" s="2198"/>
      <c r="UVF78" s="2198"/>
      <c r="UVG78" s="2198"/>
      <c r="UVH78" s="2198"/>
      <c r="UVI78" s="2198"/>
      <c r="UVJ78" s="2198"/>
      <c r="UVK78" s="2198"/>
      <c r="UVL78" s="2198"/>
      <c r="UVM78" s="2198"/>
      <c r="UVN78" s="2198"/>
      <c r="UVO78" s="2198"/>
      <c r="UVP78" s="2198"/>
      <c r="UVQ78" s="2198"/>
      <c r="UVR78" s="2198"/>
      <c r="UVS78" s="2198"/>
      <c r="UVT78" s="2198"/>
      <c r="UVU78" s="2198"/>
      <c r="UVV78" s="2198"/>
      <c r="UVW78" s="2198"/>
      <c r="UVX78" s="2198"/>
      <c r="UVY78" s="2198"/>
      <c r="UVZ78" s="2198"/>
      <c r="UWA78" s="2198"/>
      <c r="UWB78" s="2198"/>
      <c r="UWC78" s="2198"/>
      <c r="UWD78" s="2198"/>
      <c r="UWE78" s="2198"/>
      <c r="UWF78" s="2198"/>
      <c r="UWG78" s="2198"/>
      <c r="UWH78" s="2198"/>
      <c r="UWI78" s="2198"/>
      <c r="UWJ78" s="2198"/>
      <c r="UWK78" s="2198"/>
      <c r="UWL78" s="2198"/>
      <c r="UWM78" s="2198"/>
      <c r="UWN78" s="2198"/>
      <c r="UWO78" s="2198"/>
      <c r="UWP78" s="2198"/>
      <c r="UWQ78" s="2198"/>
      <c r="UWR78" s="2198"/>
      <c r="UWS78" s="2198"/>
      <c r="UWT78" s="2198"/>
      <c r="UWU78" s="2198"/>
      <c r="UWV78" s="2198"/>
      <c r="UWW78" s="2198"/>
      <c r="UWX78" s="2198"/>
      <c r="UWY78" s="2198"/>
      <c r="UWZ78" s="2198"/>
      <c r="UXA78" s="2198"/>
      <c r="UXB78" s="2198"/>
      <c r="UXC78" s="2198"/>
      <c r="UXD78" s="2198"/>
      <c r="UXE78" s="2198"/>
      <c r="UXF78" s="2198"/>
      <c r="UXG78" s="2198"/>
      <c r="UXH78" s="2198"/>
      <c r="UXI78" s="2198"/>
      <c r="UXJ78" s="2198"/>
      <c r="UXK78" s="2198"/>
      <c r="UXL78" s="2198"/>
      <c r="UXM78" s="2198"/>
      <c r="UXN78" s="2198"/>
      <c r="UXO78" s="2198"/>
      <c r="UXP78" s="2198"/>
      <c r="UXQ78" s="2198"/>
      <c r="UXR78" s="2198"/>
      <c r="UXS78" s="2198"/>
      <c r="UXT78" s="2198"/>
      <c r="UXU78" s="2198"/>
      <c r="UXV78" s="2198"/>
      <c r="UXW78" s="2198"/>
      <c r="UXX78" s="2198"/>
      <c r="UXY78" s="2198"/>
      <c r="UXZ78" s="2198"/>
      <c r="UYA78" s="2198"/>
      <c r="UYB78" s="2198"/>
      <c r="UYC78" s="2198"/>
      <c r="UYD78" s="2198"/>
      <c r="UYE78" s="2198"/>
      <c r="UYF78" s="2198"/>
      <c r="UYG78" s="2198"/>
      <c r="UYH78" s="2198"/>
      <c r="UYI78" s="2198"/>
      <c r="UYJ78" s="2198"/>
      <c r="UYK78" s="2198"/>
      <c r="UYL78" s="2198"/>
      <c r="UYM78" s="2198"/>
      <c r="UYN78" s="2198"/>
      <c r="UYO78" s="2198"/>
      <c r="UYP78" s="2198"/>
      <c r="UYQ78" s="2198"/>
      <c r="UYR78" s="2198"/>
      <c r="UYS78" s="2198"/>
      <c r="UYT78" s="2198"/>
      <c r="UYU78" s="2198"/>
      <c r="UYV78" s="2198"/>
      <c r="UYW78" s="2198"/>
      <c r="UYX78" s="2198"/>
      <c r="UYY78" s="2198"/>
      <c r="UYZ78" s="2198"/>
      <c r="UZA78" s="2198"/>
      <c r="UZB78" s="2198"/>
      <c r="UZC78" s="2198"/>
      <c r="UZD78" s="2198"/>
      <c r="UZE78" s="2198"/>
      <c r="UZF78" s="2198"/>
      <c r="UZG78" s="2198"/>
      <c r="UZH78" s="2198"/>
      <c r="UZI78" s="2198"/>
      <c r="UZJ78" s="2198"/>
      <c r="UZK78" s="2198"/>
      <c r="UZL78" s="2198"/>
      <c r="UZM78" s="2198"/>
      <c r="UZN78" s="2198"/>
      <c r="UZO78" s="2198"/>
      <c r="UZP78" s="2198"/>
      <c r="UZQ78" s="2198"/>
      <c r="UZR78" s="2198"/>
      <c r="UZS78" s="2198"/>
      <c r="UZT78" s="2198"/>
      <c r="UZU78" s="2198"/>
      <c r="UZV78" s="2198"/>
      <c r="UZW78" s="2198"/>
      <c r="UZX78" s="2198"/>
      <c r="UZY78" s="2198"/>
      <c r="UZZ78" s="2198"/>
      <c r="VAA78" s="2198"/>
      <c r="VAB78" s="2198"/>
      <c r="VAC78" s="2198"/>
      <c r="VAD78" s="2198"/>
      <c r="VAE78" s="2198"/>
      <c r="VAF78" s="2198"/>
      <c r="VAG78" s="2198"/>
      <c r="VAH78" s="2198"/>
      <c r="VAI78" s="2198"/>
      <c r="VAJ78" s="2198"/>
      <c r="VAK78" s="2198"/>
      <c r="VAL78" s="2198"/>
      <c r="VAM78" s="2198"/>
      <c r="VAN78" s="2198"/>
      <c r="VAO78" s="2198"/>
      <c r="VAP78" s="2198"/>
      <c r="VAQ78" s="2198"/>
      <c r="VAR78" s="2198"/>
      <c r="VAS78" s="2198"/>
      <c r="VAT78" s="2198"/>
      <c r="VAU78" s="2198"/>
      <c r="VAV78" s="2198"/>
      <c r="VAW78" s="2198"/>
      <c r="VAX78" s="2198"/>
      <c r="VAY78" s="2198"/>
      <c r="VAZ78" s="2198"/>
      <c r="VBA78" s="2198"/>
      <c r="VBB78" s="2198"/>
      <c r="VBC78" s="2198"/>
      <c r="VBD78" s="2198"/>
      <c r="VBE78" s="2198"/>
      <c r="VBF78" s="2198"/>
      <c r="VBG78" s="2198"/>
      <c r="VBH78" s="2198"/>
      <c r="VBI78" s="2198"/>
      <c r="VBJ78" s="2198"/>
      <c r="VBK78" s="2198"/>
      <c r="VBL78" s="2198"/>
      <c r="VBM78" s="2198"/>
      <c r="VBN78" s="2198"/>
      <c r="VBO78" s="2198"/>
      <c r="VBP78" s="2198"/>
      <c r="VBQ78" s="2198"/>
      <c r="VBR78" s="2198"/>
      <c r="VBS78" s="2198"/>
      <c r="VBT78" s="2198"/>
      <c r="VBU78" s="2198"/>
      <c r="VBV78" s="2198"/>
      <c r="VBW78" s="2198"/>
      <c r="VBX78" s="2198"/>
      <c r="VBY78" s="2198"/>
      <c r="VBZ78" s="2198"/>
      <c r="VCA78" s="2198"/>
      <c r="VCB78" s="2198"/>
      <c r="VCC78" s="2198"/>
      <c r="VCD78" s="2198"/>
      <c r="VCE78" s="2198"/>
      <c r="VCF78" s="2198"/>
      <c r="VCG78" s="2198"/>
      <c r="VCH78" s="2198"/>
      <c r="VCI78" s="2198"/>
      <c r="VCJ78" s="2198"/>
      <c r="VCK78" s="2198"/>
      <c r="VCL78" s="2198"/>
      <c r="VCM78" s="2198"/>
      <c r="VCN78" s="2198"/>
      <c r="VCO78" s="2198"/>
      <c r="VCP78" s="2198"/>
      <c r="VCQ78" s="2198"/>
      <c r="VCR78" s="2198"/>
      <c r="VCS78" s="2198"/>
      <c r="VCT78" s="2198"/>
      <c r="VCU78" s="2198"/>
      <c r="VCV78" s="2198"/>
      <c r="VCW78" s="2198"/>
      <c r="VCX78" s="2198"/>
      <c r="VCY78" s="2198"/>
      <c r="VCZ78" s="2198"/>
      <c r="VDA78" s="2198"/>
      <c r="VDB78" s="2198"/>
      <c r="VDC78" s="2198"/>
      <c r="VDD78" s="2198"/>
      <c r="VDE78" s="2198"/>
      <c r="VDF78" s="2198"/>
      <c r="VDG78" s="2198"/>
      <c r="VDH78" s="2198"/>
      <c r="VDI78" s="2198"/>
      <c r="VDJ78" s="2198"/>
      <c r="VDK78" s="2198"/>
      <c r="VDL78" s="2198"/>
      <c r="VDM78" s="2198"/>
      <c r="VDN78" s="2198"/>
      <c r="VDO78" s="2198"/>
      <c r="VDP78" s="2198"/>
      <c r="VDQ78" s="2198"/>
      <c r="VDR78" s="2198"/>
      <c r="VDS78" s="2198"/>
      <c r="VDT78" s="2198"/>
      <c r="VDU78" s="2198"/>
      <c r="VDV78" s="2198"/>
      <c r="VDW78" s="2198"/>
      <c r="VDX78" s="2198"/>
      <c r="VDY78" s="2198"/>
      <c r="VDZ78" s="2198"/>
      <c r="VEA78" s="2198"/>
      <c r="VEB78" s="2198"/>
      <c r="VEC78" s="2198"/>
      <c r="VED78" s="2198"/>
      <c r="VEE78" s="2198"/>
      <c r="VEF78" s="2198"/>
      <c r="VEG78" s="2198"/>
      <c r="VEH78" s="2198"/>
      <c r="VEI78" s="2198"/>
      <c r="VEJ78" s="2198"/>
      <c r="VEK78" s="2198"/>
      <c r="VEL78" s="2198"/>
      <c r="VEM78" s="2198"/>
      <c r="VEN78" s="2198"/>
      <c r="VEO78" s="2198"/>
      <c r="VEP78" s="2198"/>
      <c r="VEQ78" s="2198"/>
      <c r="VER78" s="2198"/>
      <c r="VES78" s="2198"/>
      <c r="VET78" s="2198"/>
      <c r="VEU78" s="2198"/>
      <c r="VEV78" s="2198"/>
      <c r="VEW78" s="2198"/>
      <c r="VEX78" s="2198"/>
      <c r="VEY78" s="2198"/>
      <c r="VEZ78" s="2198"/>
      <c r="VFA78" s="2198"/>
      <c r="VFB78" s="2198"/>
      <c r="VFC78" s="2198"/>
      <c r="VFD78" s="2198"/>
      <c r="VFE78" s="2198"/>
      <c r="VFF78" s="2198"/>
      <c r="VFG78" s="2198"/>
      <c r="VFH78" s="2198"/>
      <c r="VFI78" s="2198"/>
      <c r="VFJ78" s="2198"/>
      <c r="VFK78" s="2198"/>
      <c r="VFL78" s="2198"/>
      <c r="VFM78" s="2198"/>
      <c r="VFN78" s="2198"/>
      <c r="VFO78" s="2198"/>
      <c r="VFP78" s="2198"/>
      <c r="VFQ78" s="2198"/>
      <c r="VFR78" s="2198"/>
      <c r="VFS78" s="2198"/>
      <c r="VFT78" s="2198"/>
      <c r="VFU78" s="2198"/>
      <c r="VFV78" s="2198"/>
      <c r="VFW78" s="2198"/>
      <c r="VFX78" s="2198"/>
      <c r="VFY78" s="2198"/>
      <c r="VFZ78" s="2198"/>
      <c r="VGA78" s="2198"/>
      <c r="VGB78" s="2198"/>
      <c r="VGC78" s="2198"/>
      <c r="VGD78" s="2198"/>
      <c r="VGE78" s="2198"/>
      <c r="VGF78" s="2198"/>
      <c r="VGG78" s="2198"/>
      <c r="VGH78" s="2198"/>
      <c r="VGI78" s="2198"/>
      <c r="VGJ78" s="2198"/>
      <c r="VGK78" s="2198"/>
      <c r="VGL78" s="2198"/>
      <c r="VGM78" s="2198"/>
      <c r="VGN78" s="2198"/>
      <c r="VGO78" s="2198"/>
      <c r="VGP78" s="2198"/>
      <c r="VGQ78" s="2198"/>
      <c r="VGR78" s="2198"/>
      <c r="VGS78" s="2198"/>
      <c r="VGT78" s="2198"/>
      <c r="VGU78" s="2198"/>
      <c r="VGV78" s="2198"/>
      <c r="VGW78" s="2198"/>
      <c r="VGX78" s="2198"/>
      <c r="VGY78" s="2198"/>
      <c r="VGZ78" s="2198"/>
      <c r="VHA78" s="2198"/>
      <c r="VHB78" s="2198"/>
      <c r="VHC78" s="2198"/>
      <c r="VHD78" s="2198"/>
      <c r="VHE78" s="2198"/>
      <c r="VHF78" s="2198"/>
      <c r="VHG78" s="2198"/>
      <c r="VHH78" s="2198"/>
      <c r="VHI78" s="2198"/>
      <c r="VHJ78" s="2198"/>
      <c r="VHK78" s="2198"/>
      <c r="VHL78" s="2198"/>
      <c r="VHM78" s="2198"/>
      <c r="VHN78" s="2198"/>
      <c r="VHO78" s="2198"/>
      <c r="VHP78" s="2198"/>
      <c r="VHQ78" s="2198"/>
      <c r="VHR78" s="2198"/>
      <c r="VHS78" s="2198"/>
      <c r="VHT78" s="2198"/>
      <c r="VHU78" s="2198"/>
      <c r="VHV78" s="2198"/>
      <c r="VHW78" s="2198"/>
      <c r="VHX78" s="2198"/>
      <c r="VHY78" s="2198"/>
      <c r="VHZ78" s="2198"/>
      <c r="VIA78" s="2198"/>
      <c r="VIB78" s="2198"/>
      <c r="VIC78" s="2198"/>
      <c r="VID78" s="2198"/>
      <c r="VIE78" s="2198"/>
      <c r="VIF78" s="2198"/>
      <c r="VIG78" s="2198"/>
      <c r="VIH78" s="2198"/>
      <c r="VII78" s="2198"/>
      <c r="VIJ78" s="2198"/>
      <c r="VIK78" s="2198"/>
      <c r="VIL78" s="2198"/>
      <c r="VIM78" s="2198"/>
      <c r="VIN78" s="2198"/>
      <c r="VIO78" s="2198"/>
      <c r="VIP78" s="2198"/>
      <c r="VIQ78" s="2198"/>
      <c r="VIR78" s="2198"/>
      <c r="VIS78" s="2198"/>
      <c r="VIT78" s="2198"/>
      <c r="VIU78" s="2198"/>
      <c r="VIV78" s="2198"/>
      <c r="VIW78" s="2198"/>
      <c r="VIX78" s="2198"/>
      <c r="VIY78" s="2198"/>
      <c r="VIZ78" s="2198"/>
      <c r="VJA78" s="2198"/>
      <c r="VJB78" s="2198"/>
      <c r="VJC78" s="2198"/>
      <c r="VJD78" s="2198"/>
      <c r="VJE78" s="2198"/>
      <c r="VJF78" s="2198"/>
      <c r="VJG78" s="2198"/>
      <c r="VJH78" s="2198"/>
      <c r="VJI78" s="2198"/>
      <c r="VJJ78" s="2198"/>
      <c r="VJK78" s="2198"/>
      <c r="VJL78" s="2198"/>
      <c r="VJM78" s="2198"/>
      <c r="VJN78" s="2198"/>
      <c r="VJO78" s="2198"/>
      <c r="VJP78" s="2198"/>
      <c r="VJQ78" s="2198"/>
      <c r="VJR78" s="2198"/>
      <c r="VJS78" s="2198"/>
      <c r="VJT78" s="2198"/>
      <c r="VJU78" s="2198"/>
      <c r="VJV78" s="2198"/>
      <c r="VJW78" s="2198"/>
      <c r="VJX78" s="2198"/>
      <c r="VJY78" s="2198"/>
      <c r="VJZ78" s="2198"/>
      <c r="VKA78" s="2198"/>
      <c r="VKB78" s="2198"/>
      <c r="VKC78" s="2198"/>
      <c r="VKD78" s="2198"/>
      <c r="VKE78" s="2198"/>
      <c r="VKF78" s="2198"/>
      <c r="VKG78" s="2198"/>
      <c r="VKH78" s="2198"/>
      <c r="VKI78" s="2198"/>
      <c r="VKJ78" s="2198"/>
      <c r="VKK78" s="2198"/>
      <c r="VKL78" s="2198"/>
      <c r="VKM78" s="2198"/>
      <c r="VKN78" s="2198"/>
      <c r="VKO78" s="2198"/>
      <c r="VKP78" s="2198"/>
      <c r="VKQ78" s="2198"/>
      <c r="VKR78" s="2198"/>
      <c r="VKS78" s="2198"/>
      <c r="VKT78" s="2198"/>
      <c r="VKU78" s="2198"/>
      <c r="VKV78" s="2198"/>
      <c r="VKW78" s="2198"/>
      <c r="VKX78" s="2198"/>
      <c r="VKY78" s="2198"/>
      <c r="VKZ78" s="2198"/>
      <c r="VLA78" s="2198"/>
      <c r="VLB78" s="2198"/>
      <c r="VLC78" s="2198"/>
      <c r="VLD78" s="2198"/>
      <c r="VLE78" s="2198"/>
      <c r="VLF78" s="2198"/>
      <c r="VLG78" s="2198"/>
      <c r="VLH78" s="2198"/>
      <c r="VLI78" s="2198"/>
      <c r="VLJ78" s="2198"/>
      <c r="VLK78" s="2198"/>
      <c r="VLL78" s="2198"/>
      <c r="VLM78" s="2198"/>
      <c r="VLN78" s="2198"/>
      <c r="VLO78" s="2198"/>
      <c r="VLP78" s="2198"/>
      <c r="VLQ78" s="2198"/>
      <c r="VLR78" s="2198"/>
      <c r="VLS78" s="2198"/>
      <c r="VLT78" s="2198"/>
      <c r="VLU78" s="2198"/>
      <c r="VLV78" s="2198"/>
      <c r="VLW78" s="2198"/>
      <c r="VLX78" s="2198"/>
      <c r="VLY78" s="2198"/>
      <c r="VLZ78" s="2198"/>
      <c r="VMA78" s="2198"/>
      <c r="VMB78" s="2198"/>
      <c r="VMC78" s="2198"/>
      <c r="VMD78" s="2198"/>
      <c r="VME78" s="2198"/>
      <c r="VMF78" s="2198"/>
      <c r="VMG78" s="2198"/>
      <c r="VMH78" s="2198"/>
      <c r="VMI78" s="2198"/>
      <c r="VMJ78" s="2198"/>
      <c r="VMK78" s="2198"/>
      <c r="VML78" s="2198"/>
      <c r="VMM78" s="2198"/>
      <c r="VMN78" s="2198"/>
      <c r="VMO78" s="2198"/>
      <c r="VMP78" s="2198"/>
      <c r="VMQ78" s="2198"/>
      <c r="VMR78" s="2198"/>
      <c r="VMS78" s="2198"/>
      <c r="VMT78" s="2198"/>
      <c r="VMU78" s="2198"/>
      <c r="VMV78" s="2198"/>
      <c r="VMW78" s="2198"/>
      <c r="VMX78" s="2198"/>
      <c r="VMY78" s="2198"/>
      <c r="VMZ78" s="2198"/>
      <c r="VNA78" s="2198"/>
      <c r="VNB78" s="2198"/>
      <c r="VNC78" s="2198"/>
      <c r="VND78" s="2198"/>
      <c r="VNE78" s="2198"/>
      <c r="VNF78" s="2198"/>
      <c r="VNG78" s="2198"/>
      <c r="VNH78" s="2198"/>
      <c r="VNI78" s="2198"/>
      <c r="VNJ78" s="2198"/>
      <c r="VNK78" s="2198"/>
      <c r="VNL78" s="2198"/>
      <c r="VNM78" s="2198"/>
      <c r="VNN78" s="2198"/>
      <c r="VNO78" s="2198"/>
      <c r="VNP78" s="2198"/>
      <c r="VNQ78" s="2198"/>
      <c r="VNR78" s="2198"/>
      <c r="VNS78" s="2198"/>
      <c r="VNT78" s="2198"/>
      <c r="VNU78" s="2198"/>
      <c r="VNV78" s="2198"/>
      <c r="VNW78" s="2198"/>
      <c r="VNX78" s="2198"/>
      <c r="VNY78" s="2198"/>
      <c r="VNZ78" s="2198"/>
      <c r="VOA78" s="2198"/>
      <c r="VOB78" s="2198"/>
      <c r="VOC78" s="2198"/>
      <c r="VOD78" s="2198"/>
      <c r="VOE78" s="2198"/>
      <c r="VOF78" s="2198"/>
      <c r="VOG78" s="2198"/>
      <c r="VOH78" s="2198"/>
      <c r="VOI78" s="2198"/>
      <c r="VOJ78" s="2198"/>
      <c r="VOK78" s="2198"/>
      <c r="VOL78" s="2198"/>
      <c r="VOM78" s="2198"/>
      <c r="VON78" s="2198"/>
      <c r="VOO78" s="2198"/>
      <c r="VOP78" s="2198"/>
      <c r="VOQ78" s="2198"/>
      <c r="VOR78" s="2198"/>
      <c r="VOS78" s="2198"/>
      <c r="VOT78" s="2198"/>
      <c r="VOU78" s="2198"/>
      <c r="VOV78" s="2198"/>
      <c r="VOW78" s="2198"/>
      <c r="VOX78" s="2198"/>
      <c r="VOY78" s="2198"/>
      <c r="VOZ78" s="2198"/>
      <c r="VPA78" s="2198"/>
      <c r="VPB78" s="2198"/>
      <c r="VPC78" s="2198"/>
      <c r="VPD78" s="2198"/>
      <c r="VPE78" s="2198"/>
      <c r="VPF78" s="2198"/>
      <c r="VPG78" s="2198"/>
      <c r="VPH78" s="2198"/>
      <c r="VPI78" s="2198"/>
      <c r="VPJ78" s="2198"/>
      <c r="VPK78" s="2198"/>
      <c r="VPL78" s="2198"/>
      <c r="VPM78" s="2198"/>
      <c r="VPN78" s="2198"/>
      <c r="VPO78" s="2198"/>
      <c r="VPP78" s="2198"/>
      <c r="VPQ78" s="2198"/>
      <c r="VPR78" s="2198"/>
      <c r="VPS78" s="2198"/>
      <c r="VPT78" s="2198"/>
      <c r="VPU78" s="2198"/>
      <c r="VPV78" s="2198"/>
      <c r="VPW78" s="2198"/>
      <c r="VPX78" s="2198"/>
      <c r="VPY78" s="2198"/>
      <c r="VPZ78" s="2198"/>
      <c r="VQA78" s="2198"/>
      <c r="VQB78" s="2198"/>
      <c r="VQC78" s="2198"/>
      <c r="VQD78" s="2198"/>
      <c r="VQE78" s="2198"/>
      <c r="VQF78" s="2198"/>
      <c r="VQG78" s="2198"/>
      <c r="VQH78" s="2198"/>
      <c r="VQI78" s="2198"/>
      <c r="VQJ78" s="2198"/>
      <c r="VQK78" s="2198"/>
      <c r="VQL78" s="2198"/>
      <c r="VQM78" s="2198"/>
      <c r="VQN78" s="2198"/>
      <c r="VQO78" s="2198"/>
      <c r="VQP78" s="2198"/>
      <c r="VQQ78" s="2198"/>
      <c r="VQR78" s="2198"/>
      <c r="VQS78" s="2198"/>
      <c r="VQT78" s="2198"/>
      <c r="VQU78" s="2198"/>
      <c r="VQV78" s="2198"/>
      <c r="VQW78" s="2198"/>
      <c r="VQX78" s="2198"/>
      <c r="VQY78" s="2198"/>
      <c r="VQZ78" s="2198"/>
      <c r="VRA78" s="2198"/>
      <c r="VRB78" s="2198"/>
      <c r="VRC78" s="2198"/>
      <c r="VRD78" s="2198"/>
      <c r="VRE78" s="2198"/>
      <c r="VRF78" s="2198"/>
      <c r="VRG78" s="2198"/>
      <c r="VRH78" s="2198"/>
      <c r="VRI78" s="2198"/>
      <c r="VRJ78" s="2198"/>
      <c r="VRK78" s="2198"/>
      <c r="VRL78" s="2198"/>
      <c r="VRM78" s="2198"/>
      <c r="VRN78" s="2198"/>
      <c r="VRO78" s="2198"/>
      <c r="VRP78" s="2198"/>
      <c r="VRQ78" s="2198"/>
      <c r="VRR78" s="2198"/>
      <c r="VRS78" s="2198"/>
      <c r="VRT78" s="2198"/>
      <c r="VRU78" s="2198"/>
      <c r="VRV78" s="2198"/>
      <c r="VRW78" s="2198"/>
      <c r="VRX78" s="2198"/>
      <c r="VRY78" s="2198"/>
      <c r="VRZ78" s="2198"/>
      <c r="VSA78" s="2198"/>
      <c r="VSB78" s="2198"/>
      <c r="VSC78" s="2198"/>
      <c r="VSD78" s="2198"/>
      <c r="VSE78" s="2198"/>
      <c r="VSF78" s="2198"/>
      <c r="VSG78" s="2198"/>
      <c r="VSH78" s="2198"/>
      <c r="VSI78" s="2198"/>
      <c r="VSJ78" s="2198"/>
      <c r="VSK78" s="2198"/>
      <c r="VSL78" s="2198"/>
      <c r="VSM78" s="2198"/>
      <c r="VSN78" s="2198"/>
      <c r="VSO78" s="2198"/>
      <c r="VSP78" s="2198"/>
      <c r="VSQ78" s="2198"/>
      <c r="VSR78" s="2198"/>
      <c r="VSS78" s="2198"/>
      <c r="VST78" s="2198"/>
      <c r="VSU78" s="2198"/>
      <c r="VSV78" s="2198"/>
      <c r="VSW78" s="2198"/>
      <c r="VSX78" s="2198"/>
      <c r="VSY78" s="2198"/>
      <c r="VSZ78" s="2198"/>
      <c r="VTA78" s="2198"/>
      <c r="VTB78" s="2198"/>
      <c r="VTC78" s="2198"/>
      <c r="VTD78" s="2198"/>
      <c r="VTE78" s="2198"/>
      <c r="VTF78" s="2198"/>
      <c r="VTG78" s="2198"/>
      <c r="VTH78" s="2198"/>
      <c r="VTI78" s="2198"/>
      <c r="VTJ78" s="2198"/>
      <c r="VTK78" s="2198"/>
      <c r="VTL78" s="2198"/>
      <c r="VTM78" s="2198"/>
      <c r="VTN78" s="2198"/>
      <c r="VTO78" s="2198"/>
      <c r="VTP78" s="2198"/>
      <c r="VTQ78" s="2198"/>
      <c r="VTR78" s="2198"/>
      <c r="VTS78" s="2198"/>
      <c r="VTT78" s="2198"/>
      <c r="VTU78" s="2198"/>
      <c r="VTV78" s="2198"/>
      <c r="VTW78" s="2198"/>
      <c r="VTX78" s="2198"/>
      <c r="VTY78" s="2198"/>
      <c r="VTZ78" s="2198"/>
      <c r="VUA78" s="2198"/>
      <c r="VUB78" s="2198"/>
      <c r="VUC78" s="2198"/>
      <c r="VUD78" s="2198"/>
      <c r="VUE78" s="2198"/>
      <c r="VUF78" s="2198"/>
      <c r="VUG78" s="2198"/>
      <c r="VUH78" s="2198"/>
      <c r="VUI78" s="2198"/>
      <c r="VUJ78" s="2198"/>
      <c r="VUK78" s="2198"/>
      <c r="VUL78" s="2198"/>
      <c r="VUM78" s="2198"/>
      <c r="VUN78" s="2198"/>
      <c r="VUO78" s="2198"/>
      <c r="VUP78" s="2198"/>
      <c r="VUQ78" s="2198"/>
      <c r="VUR78" s="2198"/>
      <c r="VUS78" s="2198"/>
      <c r="VUT78" s="2198"/>
      <c r="VUU78" s="2198"/>
      <c r="VUV78" s="2198"/>
      <c r="VUW78" s="2198"/>
      <c r="VUX78" s="2198"/>
      <c r="VUY78" s="2198"/>
      <c r="VUZ78" s="2198"/>
      <c r="VVA78" s="2198"/>
      <c r="VVB78" s="2198"/>
      <c r="VVC78" s="2198"/>
      <c r="VVD78" s="2198"/>
      <c r="VVE78" s="2198"/>
      <c r="VVF78" s="2198"/>
      <c r="VVG78" s="2198"/>
      <c r="VVH78" s="2198"/>
      <c r="VVI78" s="2198"/>
      <c r="VVJ78" s="2198"/>
      <c r="VVK78" s="2198"/>
      <c r="VVL78" s="2198"/>
      <c r="VVM78" s="2198"/>
      <c r="VVN78" s="2198"/>
      <c r="VVO78" s="2198"/>
      <c r="VVP78" s="2198"/>
      <c r="VVQ78" s="2198"/>
      <c r="VVR78" s="2198"/>
      <c r="VVS78" s="2198"/>
      <c r="VVT78" s="2198"/>
      <c r="VVU78" s="2198"/>
      <c r="VVV78" s="2198"/>
      <c r="VVW78" s="2198"/>
      <c r="VVX78" s="2198"/>
      <c r="VVY78" s="2198"/>
      <c r="VVZ78" s="2198"/>
      <c r="VWA78" s="2198"/>
      <c r="VWB78" s="2198"/>
      <c r="VWC78" s="2198"/>
      <c r="VWD78" s="2198"/>
      <c r="VWE78" s="2198"/>
      <c r="VWF78" s="2198"/>
      <c r="VWG78" s="2198"/>
      <c r="VWH78" s="2198"/>
      <c r="VWI78" s="2198"/>
      <c r="VWJ78" s="2198"/>
      <c r="VWK78" s="2198"/>
      <c r="VWL78" s="2198"/>
      <c r="VWM78" s="2198"/>
      <c r="VWN78" s="2198"/>
      <c r="VWO78" s="2198"/>
      <c r="VWP78" s="2198"/>
      <c r="VWQ78" s="2198"/>
      <c r="VWR78" s="2198"/>
      <c r="VWS78" s="2198"/>
      <c r="VWT78" s="2198"/>
      <c r="VWU78" s="2198"/>
      <c r="VWV78" s="2198"/>
      <c r="VWW78" s="2198"/>
      <c r="VWX78" s="2198"/>
      <c r="VWY78" s="2198"/>
      <c r="VWZ78" s="2198"/>
      <c r="VXA78" s="2198"/>
      <c r="VXB78" s="2198"/>
      <c r="VXC78" s="2198"/>
      <c r="VXD78" s="2198"/>
      <c r="VXE78" s="2198"/>
      <c r="VXF78" s="2198"/>
      <c r="VXG78" s="2198"/>
      <c r="VXH78" s="2198"/>
      <c r="VXI78" s="2198"/>
      <c r="VXJ78" s="2198"/>
      <c r="VXK78" s="2198"/>
      <c r="VXL78" s="2198"/>
      <c r="VXM78" s="2198"/>
      <c r="VXN78" s="2198"/>
      <c r="VXO78" s="2198"/>
      <c r="VXP78" s="2198"/>
      <c r="VXQ78" s="2198"/>
      <c r="VXR78" s="2198"/>
      <c r="VXS78" s="2198"/>
      <c r="VXT78" s="2198"/>
      <c r="VXU78" s="2198"/>
      <c r="VXV78" s="2198"/>
      <c r="VXW78" s="2198"/>
      <c r="VXX78" s="2198"/>
      <c r="VXY78" s="2198"/>
      <c r="VXZ78" s="2198"/>
      <c r="VYA78" s="2198"/>
      <c r="VYB78" s="2198"/>
      <c r="VYC78" s="2198"/>
      <c r="VYD78" s="2198"/>
      <c r="VYE78" s="2198"/>
      <c r="VYF78" s="2198"/>
      <c r="VYG78" s="2198"/>
      <c r="VYH78" s="2198"/>
      <c r="VYI78" s="2198"/>
      <c r="VYJ78" s="2198"/>
      <c r="VYK78" s="2198"/>
      <c r="VYL78" s="2198"/>
      <c r="VYM78" s="2198"/>
      <c r="VYN78" s="2198"/>
      <c r="VYO78" s="2198"/>
      <c r="VYP78" s="2198"/>
      <c r="VYQ78" s="2198"/>
      <c r="VYR78" s="2198"/>
      <c r="VYS78" s="2198"/>
      <c r="VYT78" s="2198"/>
      <c r="VYU78" s="2198"/>
      <c r="VYV78" s="2198"/>
      <c r="VYW78" s="2198"/>
      <c r="VYX78" s="2198"/>
      <c r="VYY78" s="2198"/>
      <c r="VYZ78" s="2198"/>
      <c r="VZA78" s="2198"/>
      <c r="VZB78" s="2198"/>
      <c r="VZC78" s="2198"/>
      <c r="VZD78" s="2198"/>
      <c r="VZE78" s="2198"/>
      <c r="VZF78" s="2198"/>
      <c r="VZG78" s="2198"/>
      <c r="VZH78" s="2198"/>
      <c r="VZI78" s="2198"/>
      <c r="VZJ78" s="2198"/>
      <c r="VZK78" s="2198"/>
      <c r="VZL78" s="2198"/>
      <c r="VZM78" s="2198"/>
      <c r="VZN78" s="2198"/>
      <c r="VZO78" s="2198"/>
      <c r="VZP78" s="2198"/>
      <c r="VZQ78" s="2198"/>
      <c r="VZR78" s="2198"/>
      <c r="VZS78" s="2198"/>
      <c r="VZT78" s="2198"/>
      <c r="VZU78" s="2198"/>
      <c r="VZV78" s="2198"/>
      <c r="VZW78" s="2198"/>
      <c r="VZX78" s="2198"/>
      <c r="VZY78" s="2198"/>
      <c r="VZZ78" s="2198"/>
      <c r="WAA78" s="2198"/>
      <c r="WAB78" s="2198"/>
      <c r="WAC78" s="2198"/>
      <c r="WAD78" s="2198"/>
      <c r="WAE78" s="2198"/>
      <c r="WAF78" s="2198"/>
      <c r="WAG78" s="2198"/>
      <c r="WAH78" s="2198"/>
      <c r="WAI78" s="2198"/>
      <c r="WAJ78" s="2198"/>
      <c r="WAK78" s="2198"/>
      <c r="WAL78" s="2198"/>
      <c r="WAM78" s="2198"/>
      <c r="WAN78" s="2198"/>
      <c r="WAO78" s="2198"/>
      <c r="WAP78" s="2198"/>
      <c r="WAQ78" s="2198"/>
      <c r="WAR78" s="2198"/>
      <c r="WAS78" s="2198"/>
      <c r="WAT78" s="2198"/>
      <c r="WAU78" s="2198"/>
      <c r="WAV78" s="2198"/>
      <c r="WAW78" s="2198"/>
      <c r="WAX78" s="2198"/>
      <c r="WAY78" s="2198"/>
      <c r="WAZ78" s="2198"/>
      <c r="WBA78" s="2198"/>
      <c r="WBB78" s="2198"/>
      <c r="WBC78" s="2198"/>
      <c r="WBD78" s="2198"/>
      <c r="WBE78" s="2198"/>
      <c r="WBF78" s="2198"/>
      <c r="WBG78" s="2198"/>
      <c r="WBH78" s="2198"/>
      <c r="WBI78" s="2198"/>
      <c r="WBJ78" s="2198"/>
      <c r="WBK78" s="2198"/>
      <c r="WBL78" s="2198"/>
      <c r="WBM78" s="2198"/>
      <c r="WBN78" s="2198"/>
      <c r="WBO78" s="2198"/>
      <c r="WBP78" s="2198"/>
      <c r="WBQ78" s="2198"/>
      <c r="WBR78" s="2198"/>
      <c r="WBS78" s="2198"/>
      <c r="WBT78" s="2198"/>
      <c r="WBU78" s="2198"/>
      <c r="WBV78" s="2198"/>
      <c r="WBW78" s="2198"/>
      <c r="WBX78" s="2198"/>
      <c r="WBY78" s="2198"/>
      <c r="WBZ78" s="2198"/>
      <c r="WCA78" s="2198"/>
      <c r="WCB78" s="2198"/>
      <c r="WCC78" s="2198"/>
      <c r="WCD78" s="2198"/>
      <c r="WCE78" s="2198"/>
      <c r="WCF78" s="2198"/>
      <c r="WCG78" s="2198"/>
      <c r="WCH78" s="2198"/>
      <c r="WCI78" s="2198"/>
      <c r="WCJ78" s="2198"/>
      <c r="WCK78" s="2198"/>
      <c r="WCL78" s="2198"/>
      <c r="WCM78" s="2198"/>
      <c r="WCN78" s="2198"/>
      <c r="WCO78" s="2198"/>
      <c r="WCP78" s="2198"/>
      <c r="WCQ78" s="2198"/>
      <c r="WCR78" s="2198"/>
      <c r="WCS78" s="2198"/>
      <c r="WCT78" s="2198"/>
      <c r="WCU78" s="2198"/>
      <c r="WCV78" s="2198"/>
      <c r="WCW78" s="2198"/>
      <c r="WCX78" s="2198"/>
      <c r="WCY78" s="2198"/>
      <c r="WCZ78" s="2198"/>
      <c r="WDA78" s="2198"/>
      <c r="WDB78" s="2198"/>
      <c r="WDC78" s="2198"/>
      <c r="WDD78" s="2198"/>
      <c r="WDE78" s="2198"/>
      <c r="WDF78" s="2198"/>
      <c r="WDG78" s="2198"/>
      <c r="WDH78" s="2198"/>
      <c r="WDI78" s="2198"/>
      <c r="WDJ78" s="2198"/>
      <c r="WDK78" s="2198"/>
      <c r="WDL78" s="2198"/>
      <c r="WDM78" s="2198"/>
      <c r="WDN78" s="2198"/>
      <c r="WDO78" s="2198"/>
      <c r="WDP78" s="2198"/>
      <c r="WDQ78" s="2198"/>
      <c r="WDR78" s="2198"/>
      <c r="WDS78" s="2198"/>
      <c r="WDT78" s="2198"/>
      <c r="WDU78" s="2198"/>
      <c r="WDV78" s="2198"/>
      <c r="WDW78" s="2198"/>
      <c r="WDX78" s="2198"/>
      <c r="WDY78" s="2198"/>
      <c r="WDZ78" s="2198"/>
      <c r="WEA78" s="2198"/>
      <c r="WEB78" s="2198"/>
      <c r="WEC78" s="2198"/>
      <c r="WED78" s="2198"/>
      <c r="WEE78" s="2198"/>
      <c r="WEF78" s="2198"/>
      <c r="WEG78" s="2198"/>
      <c r="WEH78" s="2198"/>
      <c r="WEI78" s="2198"/>
      <c r="WEJ78" s="2198"/>
      <c r="WEK78" s="2198"/>
      <c r="WEL78" s="2198"/>
      <c r="WEM78" s="2198"/>
      <c r="WEN78" s="2198"/>
      <c r="WEO78" s="2198"/>
      <c r="WEP78" s="2198"/>
      <c r="WEQ78" s="2198"/>
      <c r="WER78" s="2198"/>
      <c r="WES78" s="2198"/>
      <c r="WET78" s="2198"/>
      <c r="WEU78" s="2198"/>
      <c r="WEV78" s="2198"/>
      <c r="WEW78" s="2198"/>
      <c r="WEX78" s="2198"/>
      <c r="WEY78" s="2198"/>
      <c r="WEZ78" s="2198"/>
      <c r="WFA78" s="2198"/>
      <c r="WFB78" s="2198"/>
      <c r="WFC78" s="2198"/>
      <c r="WFD78" s="2198"/>
      <c r="WFE78" s="2198"/>
      <c r="WFF78" s="2198"/>
      <c r="WFG78" s="2198"/>
      <c r="WFH78" s="2198"/>
      <c r="WFI78" s="2198"/>
      <c r="WFJ78" s="2198"/>
      <c r="WFK78" s="2198"/>
      <c r="WFL78" s="2198"/>
      <c r="WFM78" s="2198"/>
      <c r="WFN78" s="2198"/>
      <c r="WFO78" s="2198"/>
      <c r="WFP78" s="2198"/>
      <c r="WFQ78" s="2198"/>
      <c r="WFR78" s="2198"/>
      <c r="WFS78" s="2198"/>
      <c r="WFT78" s="2198"/>
      <c r="WFU78" s="2198"/>
      <c r="WFV78" s="2198"/>
      <c r="WFW78" s="2198"/>
      <c r="WFX78" s="2198"/>
      <c r="WFY78" s="2198"/>
      <c r="WFZ78" s="2198"/>
      <c r="WGA78" s="2198"/>
      <c r="WGB78" s="2198"/>
      <c r="WGC78" s="2198"/>
      <c r="WGD78" s="2198"/>
      <c r="WGE78" s="2198"/>
      <c r="WGF78" s="2198"/>
      <c r="WGG78" s="2198"/>
      <c r="WGH78" s="2198"/>
      <c r="WGI78" s="2198"/>
      <c r="WGJ78" s="2198"/>
      <c r="WGK78" s="2198"/>
      <c r="WGL78" s="2198"/>
      <c r="WGM78" s="2198"/>
      <c r="WGN78" s="2198"/>
      <c r="WGO78" s="2198"/>
      <c r="WGP78" s="2198"/>
      <c r="WGQ78" s="2198"/>
      <c r="WGR78" s="2198"/>
      <c r="WGS78" s="2198"/>
      <c r="WGT78" s="2198"/>
      <c r="WGU78" s="2198"/>
      <c r="WGV78" s="2198"/>
      <c r="WGW78" s="2198"/>
      <c r="WGX78" s="2198"/>
      <c r="WGY78" s="2198"/>
      <c r="WGZ78" s="2198"/>
      <c r="WHA78" s="2198"/>
      <c r="WHB78" s="2198"/>
      <c r="WHC78" s="2198"/>
      <c r="WHD78" s="2198"/>
      <c r="WHE78" s="2198"/>
      <c r="WHF78" s="2198"/>
      <c r="WHG78" s="2198"/>
      <c r="WHH78" s="2198"/>
      <c r="WHI78" s="2198"/>
      <c r="WHJ78" s="2198"/>
      <c r="WHK78" s="2198"/>
      <c r="WHL78" s="2198"/>
      <c r="WHM78" s="2198"/>
      <c r="WHN78" s="2198"/>
      <c r="WHO78" s="2198"/>
      <c r="WHP78" s="2198"/>
      <c r="WHQ78" s="2198"/>
      <c r="WHR78" s="2198"/>
      <c r="WHS78" s="2198"/>
      <c r="WHT78" s="2198"/>
      <c r="WHU78" s="2198"/>
      <c r="WHV78" s="2198"/>
      <c r="WHW78" s="2198"/>
      <c r="WHX78" s="2198"/>
      <c r="WHY78" s="2198"/>
      <c r="WHZ78" s="2198"/>
      <c r="WIA78" s="2198"/>
      <c r="WIB78" s="2198"/>
      <c r="WIC78" s="2198"/>
      <c r="WID78" s="2198"/>
      <c r="WIE78" s="2198"/>
      <c r="WIF78" s="2198"/>
      <c r="WIG78" s="2198"/>
      <c r="WIH78" s="2198"/>
      <c r="WII78" s="2198"/>
      <c r="WIJ78" s="2198"/>
      <c r="WIK78" s="2198"/>
      <c r="WIL78" s="2198"/>
      <c r="WIM78" s="2198"/>
      <c r="WIN78" s="2198"/>
      <c r="WIO78" s="2198"/>
      <c r="WIP78" s="2198"/>
      <c r="WIQ78" s="2198"/>
      <c r="WIR78" s="2198"/>
      <c r="WIS78" s="2198"/>
      <c r="WIT78" s="2198"/>
      <c r="WIU78" s="2198"/>
      <c r="WIV78" s="2198"/>
      <c r="WIW78" s="2198"/>
      <c r="WIX78" s="2198"/>
      <c r="WIY78" s="2198"/>
      <c r="WIZ78" s="2198"/>
      <c r="WJA78" s="2198"/>
      <c r="WJB78" s="2198"/>
      <c r="WJC78" s="2198"/>
      <c r="WJD78" s="2198"/>
      <c r="WJE78" s="2198"/>
      <c r="WJF78" s="2198"/>
      <c r="WJG78" s="2198"/>
      <c r="WJH78" s="2198"/>
      <c r="WJI78" s="2198"/>
      <c r="WJJ78" s="2198"/>
      <c r="WJK78" s="2198"/>
      <c r="WJL78" s="2198"/>
      <c r="WJM78" s="2198"/>
      <c r="WJN78" s="2198"/>
      <c r="WJO78" s="2198"/>
      <c r="WJP78" s="2198"/>
      <c r="WJQ78" s="2198"/>
      <c r="WJR78" s="2198"/>
      <c r="WJS78" s="2198"/>
      <c r="WJT78" s="2198"/>
      <c r="WJU78" s="2198"/>
      <c r="WJV78" s="2198"/>
      <c r="WJW78" s="2198"/>
      <c r="WJX78" s="2198"/>
      <c r="WJY78" s="2198"/>
      <c r="WJZ78" s="2198"/>
      <c r="WKA78" s="2198"/>
      <c r="WKB78" s="2198"/>
      <c r="WKC78" s="2198"/>
      <c r="WKD78" s="2198"/>
      <c r="WKE78" s="2198"/>
      <c r="WKF78" s="2198"/>
      <c r="WKG78" s="2198"/>
      <c r="WKH78" s="2198"/>
      <c r="WKI78" s="2198"/>
      <c r="WKJ78" s="2198"/>
      <c r="WKK78" s="2198"/>
      <c r="WKL78" s="2198"/>
      <c r="WKM78" s="2198"/>
      <c r="WKN78" s="2198"/>
      <c r="WKO78" s="2198"/>
      <c r="WKP78" s="2198"/>
      <c r="WKQ78" s="2198"/>
      <c r="WKR78" s="2198"/>
      <c r="WKS78" s="2198"/>
      <c r="WKT78" s="2198"/>
      <c r="WKU78" s="2198"/>
      <c r="WKV78" s="2198"/>
      <c r="WKW78" s="2198"/>
      <c r="WKX78" s="2198"/>
      <c r="WKY78" s="2198"/>
      <c r="WKZ78" s="2198"/>
      <c r="WLA78" s="2198"/>
      <c r="WLB78" s="2198"/>
      <c r="WLC78" s="2198"/>
      <c r="WLD78" s="2198"/>
      <c r="WLE78" s="2198"/>
      <c r="WLF78" s="2198"/>
      <c r="WLG78" s="2198"/>
      <c r="WLH78" s="2198"/>
      <c r="WLI78" s="2198"/>
      <c r="WLJ78" s="2198"/>
      <c r="WLK78" s="2198"/>
      <c r="WLL78" s="2198"/>
      <c r="WLM78" s="2198"/>
      <c r="WLN78" s="2198"/>
      <c r="WLO78" s="2198"/>
      <c r="WLP78" s="2198"/>
      <c r="WLQ78" s="2198"/>
      <c r="WLR78" s="2198"/>
      <c r="WLS78" s="2198"/>
      <c r="WLT78" s="2198"/>
      <c r="WLU78" s="2198"/>
      <c r="WLV78" s="2198"/>
      <c r="WLW78" s="2198"/>
      <c r="WLX78" s="2198"/>
      <c r="WLY78" s="2198"/>
      <c r="WLZ78" s="2198"/>
      <c r="WMA78" s="2198"/>
      <c r="WMB78" s="2198"/>
      <c r="WMC78" s="2198"/>
      <c r="WMD78" s="2198"/>
      <c r="WME78" s="2198"/>
      <c r="WMF78" s="2198"/>
      <c r="WMG78" s="2198"/>
      <c r="WMH78" s="2198"/>
      <c r="WMI78" s="2198"/>
      <c r="WMJ78" s="2198"/>
      <c r="WMK78" s="2198"/>
      <c r="WML78" s="2198"/>
      <c r="WMM78" s="2198"/>
      <c r="WMN78" s="2198"/>
      <c r="WMO78" s="2198"/>
      <c r="WMP78" s="2198"/>
      <c r="WMQ78" s="2198"/>
      <c r="WMR78" s="2198"/>
      <c r="WMS78" s="2198"/>
      <c r="WMT78" s="2198"/>
      <c r="WMU78" s="2198"/>
      <c r="WMV78" s="2198"/>
      <c r="WMW78" s="2198"/>
      <c r="WMX78" s="2198"/>
      <c r="WMY78" s="2198"/>
      <c r="WMZ78" s="2198"/>
      <c r="WNA78" s="2198"/>
      <c r="WNB78" s="2198"/>
      <c r="WNC78" s="2198"/>
      <c r="WND78" s="2198"/>
      <c r="WNE78" s="2198"/>
      <c r="WNF78" s="2198"/>
      <c r="WNG78" s="2198"/>
      <c r="WNH78" s="2198"/>
      <c r="WNI78" s="2198"/>
      <c r="WNJ78" s="2198"/>
      <c r="WNK78" s="2198"/>
      <c r="WNL78" s="2198"/>
      <c r="WNM78" s="2198"/>
      <c r="WNN78" s="2198"/>
      <c r="WNO78" s="2198"/>
      <c r="WNP78" s="2198"/>
      <c r="WNQ78" s="2198"/>
      <c r="WNR78" s="2198"/>
      <c r="WNS78" s="2198"/>
      <c r="WNT78" s="2198"/>
      <c r="WNU78" s="2198"/>
      <c r="WNV78" s="2198"/>
      <c r="WNW78" s="2198"/>
      <c r="WNX78" s="2198"/>
      <c r="WNY78" s="2198"/>
      <c r="WNZ78" s="2198"/>
      <c r="WOA78" s="2198"/>
      <c r="WOB78" s="2198"/>
      <c r="WOC78" s="2198"/>
      <c r="WOD78" s="2198"/>
      <c r="WOE78" s="2198"/>
      <c r="WOF78" s="2198"/>
      <c r="WOG78" s="2198"/>
      <c r="WOH78" s="2198"/>
      <c r="WOI78" s="2198"/>
      <c r="WOJ78" s="2198"/>
      <c r="WOK78" s="2198"/>
      <c r="WOL78" s="2198"/>
      <c r="WOM78" s="2198"/>
      <c r="WON78" s="2198"/>
      <c r="WOO78" s="2198"/>
      <c r="WOP78" s="2198"/>
      <c r="WOQ78" s="2198"/>
      <c r="WOR78" s="2198"/>
      <c r="WOS78" s="2198"/>
      <c r="WOT78" s="2198"/>
      <c r="WOU78" s="2198"/>
      <c r="WOV78" s="2198"/>
      <c r="WOW78" s="2198"/>
      <c r="WOX78" s="2198"/>
      <c r="WOY78" s="2198"/>
      <c r="WOZ78" s="2198"/>
      <c r="WPA78" s="2198"/>
      <c r="WPB78" s="2198"/>
      <c r="WPC78" s="2198"/>
      <c r="WPD78" s="2198"/>
      <c r="WPE78" s="2198"/>
      <c r="WPF78" s="2198"/>
      <c r="WPG78" s="2198"/>
      <c r="WPH78" s="2198"/>
      <c r="WPI78" s="2198"/>
      <c r="WPJ78" s="2198"/>
      <c r="WPK78" s="2198"/>
      <c r="WPL78" s="2198"/>
      <c r="WPM78" s="2198"/>
      <c r="WPN78" s="2198"/>
      <c r="WPO78" s="2198"/>
      <c r="WPP78" s="2198"/>
      <c r="WPQ78" s="2198"/>
      <c r="WPR78" s="2198"/>
      <c r="WPS78" s="2198"/>
      <c r="WPT78" s="2198"/>
      <c r="WPU78" s="2198"/>
      <c r="WPV78" s="2198"/>
      <c r="WPW78" s="2198"/>
      <c r="WPX78" s="2198"/>
      <c r="WPY78" s="2198"/>
      <c r="WPZ78" s="2198"/>
      <c r="WQA78" s="2198"/>
      <c r="WQB78" s="2198"/>
      <c r="WQC78" s="2198"/>
      <c r="WQD78" s="2198"/>
      <c r="WQE78" s="2198"/>
      <c r="WQF78" s="2198"/>
      <c r="WQG78" s="2198"/>
      <c r="WQH78" s="2198"/>
      <c r="WQI78" s="2198"/>
      <c r="WQJ78" s="2198"/>
      <c r="WQK78" s="2198"/>
      <c r="WQL78" s="2198"/>
      <c r="WQM78" s="2198"/>
      <c r="WQN78" s="2198"/>
      <c r="WQO78" s="2198"/>
      <c r="WQP78" s="2198"/>
      <c r="WQQ78" s="2198"/>
      <c r="WQR78" s="2198"/>
      <c r="WQS78" s="2198"/>
      <c r="WQT78" s="2198"/>
      <c r="WQU78" s="2198"/>
      <c r="WQV78" s="2198"/>
      <c r="WQW78" s="2198"/>
      <c r="WQX78" s="2198"/>
      <c r="WQY78" s="2198"/>
      <c r="WQZ78" s="2198"/>
      <c r="WRA78" s="2198"/>
      <c r="WRB78" s="2198"/>
      <c r="WRC78" s="2198"/>
      <c r="WRD78" s="2198"/>
      <c r="WRE78" s="2198"/>
      <c r="WRF78" s="2198"/>
      <c r="WRG78" s="2198"/>
      <c r="WRH78" s="2198"/>
      <c r="WRI78" s="2198"/>
      <c r="WRJ78" s="2198"/>
      <c r="WRK78" s="2198"/>
      <c r="WRL78" s="2198"/>
      <c r="WRM78" s="2198"/>
      <c r="WRN78" s="2198"/>
      <c r="WRO78" s="2198"/>
      <c r="WRP78" s="2198"/>
      <c r="WRQ78" s="2198"/>
      <c r="WRR78" s="2198"/>
      <c r="WRS78" s="2198"/>
      <c r="WRT78" s="2198"/>
      <c r="WRU78" s="2198"/>
      <c r="WRV78" s="2198"/>
      <c r="WRW78" s="2198"/>
      <c r="WRX78" s="2198"/>
      <c r="WRY78" s="2198"/>
      <c r="WRZ78" s="2198"/>
      <c r="WSA78" s="2198"/>
      <c r="WSB78" s="2198"/>
      <c r="WSC78" s="2198"/>
      <c r="WSD78" s="2198"/>
      <c r="WSE78" s="2198"/>
      <c r="WSF78" s="2198"/>
      <c r="WSG78" s="2198"/>
      <c r="WSH78" s="2198"/>
      <c r="WSI78" s="2198"/>
      <c r="WSJ78" s="2198"/>
      <c r="WSK78" s="2198"/>
      <c r="WSL78" s="2198"/>
      <c r="WSM78" s="2198"/>
      <c r="WSN78" s="2198"/>
      <c r="WSO78" s="2198"/>
      <c r="WSP78" s="2198"/>
      <c r="WSQ78" s="2198"/>
      <c r="WSR78" s="2198"/>
      <c r="WSS78" s="2198"/>
      <c r="WST78" s="2198"/>
      <c r="WSU78" s="2198"/>
      <c r="WSV78" s="2198"/>
      <c r="WSW78" s="2198"/>
      <c r="WSX78" s="2198"/>
      <c r="WSY78" s="2198"/>
      <c r="WSZ78" s="2198"/>
      <c r="WTA78" s="2198"/>
      <c r="WTB78" s="2198"/>
      <c r="WTC78" s="2198"/>
      <c r="WTD78" s="2198"/>
      <c r="WTE78" s="2198"/>
      <c r="WTF78" s="2198"/>
      <c r="WTG78" s="2198"/>
      <c r="WTH78" s="2198"/>
      <c r="WTI78" s="2198"/>
      <c r="WTJ78" s="2198"/>
      <c r="WTK78" s="2198"/>
      <c r="WTL78" s="2198"/>
      <c r="WTM78" s="2198"/>
      <c r="WTN78" s="2198"/>
      <c r="WTO78" s="2198"/>
      <c r="WTP78" s="2198"/>
      <c r="WTQ78" s="2198"/>
      <c r="WTR78" s="2198"/>
      <c r="WTS78" s="2198"/>
      <c r="WTT78" s="2198"/>
      <c r="WTU78" s="2198"/>
      <c r="WTV78" s="2198"/>
      <c r="WTW78" s="2198"/>
      <c r="WTX78" s="2198"/>
      <c r="WTY78" s="2198"/>
      <c r="WTZ78" s="2198"/>
      <c r="WUA78" s="2198"/>
      <c r="WUB78" s="2198"/>
      <c r="WUC78" s="2198"/>
      <c r="WUD78" s="2198"/>
      <c r="WUE78" s="2198"/>
      <c r="WUF78" s="2198"/>
      <c r="WUG78" s="2198"/>
      <c r="WUH78" s="2198"/>
      <c r="WUI78" s="2198"/>
      <c r="WUJ78" s="2198"/>
      <c r="WUK78" s="2198"/>
      <c r="WUL78" s="2198"/>
      <c r="WUM78" s="2198"/>
      <c r="WUN78" s="2198"/>
      <c r="WUO78" s="2198"/>
      <c r="WUP78" s="2198"/>
      <c r="WUQ78" s="2198"/>
      <c r="WUR78" s="2198"/>
      <c r="WUS78" s="2198"/>
      <c r="WUT78" s="2198"/>
      <c r="WUU78" s="2198"/>
      <c r="WUV78" s="2198"/>
      <c r="WUW78" s="2198"/>
      <c r="WUX78" s="2198"/>
      <c r="WUY78" s="2198"/>
      <c r="WUZ78" s="2198"/>
      <c r="WVA78" s="2198"/>
      <c r="WVB78" s="2198"/>
      <c r="WVC78" s="2198"/>
      <c r="WVD78" s="2198"/>
      <c r="WVE78" s="2198"/>
      <c r="WVF78" s="2198"/>
      <c r="WVG78" s="2198"/>
      <c r="WVH78" s="2198"/>
      <c r="WVI78" s="2198"/>
      <c r="WVJ78" s="2198"/>
      <c r="WVK78" s="2198"/>
      <c r="WVL78" s="2198"/>
      <c r="WVM78" s="2198"/>
      <c r="WVN78" s="2198"/>
      <c r="WVO78" s="2198"/>
      <c r="WVP78" s="2198"/>
      <c r="WVQ78" s="2198"/>
      <c r="WVR78" s="2198"/>
      <c r="WVS78" s="2198"/>
      <c r="WVT78" s="2198"/>
      <c r="WVU78" s="2198"/>
      <c r="WVV78" s="2198"/>
      <c r="WVW78" s="2198"/>
      <c r="WVX78" s="2198"/>
      <c r="WVY78" s="2198"/>
      <c r="WVZ78" s="2198"/>
      <c r="WWA78" s="2198"/>
      <c r="WWB78" s="2198"/>
      <c r="WWC78" s="2198"/>
      <c r="WWD78" s="2198"/>
      <c r="WWE78" s="2198"/>
      <c r="WWF78" s="2198"/>
      <c r="WWG78" s="2198"/>
      <c r="WWH78" s="2198"/>
      <c r="WWI78" s="2198"/>
      <c r="WWJ78" s="2198"/>
      <c r="WWK78" s="2198"/>
      <c r="WWL78" s="2198"/>
      <c r="WWM78" s="2198"/>
      <c r="WWN78" s="2198"/>
      <c r="WWO78" s="2198"/>
      <c r="WWP78" s="2198"/>
      <c r="WWQ78" s="2198"/>
      <c r="WWR78" s="2198"/>
      <c r="WWS78" s="2198"/>
      <c r="WWT78" s="2198"/>
      <c r="WWU78" s="2198"/>
      <c r="WWV78" s="2198"/>
      <c r="WWW78" s="2198"/>
      <c r="WWX78" s="2198"/>
      <c r="WWY78" s="2198"/>
      <c r="WWZ78" s="2198"/>
      <c r="WXA78" s="2198"/>
      <c r="WXB78" s="2198"/>
      <c r="WXC78" s="2198"/>
      <c r="WXD78" s="2198"/>
      <c r="WXE78" s="2198"/>
      <c r="WXF78" s="2198"/>
      <c r="WXG78" s="2198"/>
      <c r="WXH78" s="2198"/>
      <c r="WXI78" s="2198"/>
      <c r="WXJ78" s="2198"/>
      <c r="WXK78" s="2198"/>
      <c r="WXL78" s="2198"/>
      <c r="WXM78" s="2198"/>
      <c r="WXN78" s="2198"/>
      <c r="WXO78" s="2198"/>
      <c r="WXP78" s="2198"/>
      <c r="WXQ78" s="2198"/>
      <c r="WXR78" s="2198"/>
      <c r="WXS78" s="2198"/>
      <c r="WXT78" s="2198"/>
      <c r="WXU78" s="2198"/>
      <c r="WXV78" s="2198"/>
      <c r="WXW78" s="2198"/>
      <c r="WXX78" s="2198"/>
      <c r="WXY78" s="2198"/>
      <c r="WXZ78" s="2198"/>
      <c r="WYA78" s="2198"/>
      <c r="WYB78" s="2198"/>
      <c r="WYC78" s="2198"/>
      <c r="WYD78" s="2198"/>
      <c r="WYE78" s="2198"/>
      <c r="WYF78" s="2198"/>
      <c r="WYG78" s="2198"/>
      <c r="WYH78" s="2198"/>
      <c r="WYI78" s="2198"/>
      <c r="WYJ78" s="2198"/>
      <c r="WYK78" s="2198"/>
      <c r="WYL78" s="2198"/>
      <c r="WYM78" s="2198"/>
      <c r="WYN78" s="2198"/>
      <c r="WYO78" s="2198"/>
      <c r="WYP78" s="2198"/>
      <c r="WYQ78" s="2198"/>
      <c r="WYR78" s="2198"/>
      <c r="WYS78" s="2198"/>
      <c r="WYT78" s="2198"/>
      <c r="WYU78" s="2198"/>
      <c r="WYV78" s="2198"/>
      <c r="WYW78" s="2198"/>
      <c r="WYX78" s="2198"/>
      <c r="WYY78" s="2198"/>
      <c r="WYZ78" s="2198"/>
      <c r="WZA78" s="2198"/>
      <c r="WZB78" s="2198"/>
      <c r="WZC78" s="2198"/>
      <c r="WZD78" s="2198"/>
      <c r="WZE78" s="2198"/>
      <c r="WZF78" s="2198"/>
      <c r="WZG78" s="2198"/>
      <c r="WZH78" s="2198"/>
      <c r="WZI78" s="2198"/>
      <c r="WZJ78" s="2198"/>
      <c r="WZK78" s="2198"/>
      <c r="WZL78" s="2198"/>
      <c r="WZM78" s="2198"/>
      <c r="WZN78" s="2198"/>
      <c r="WZO78" s="2198"/>
      <c r="WZP78" s="2198"/>
      <c r="WZQ78" s="2198"/>
      <c r="WZR78" s="2198"/>
      <c r="WZS78" s="2198"/>
      <c r="WZT78" s="2198"/>
      <c r="WZU78" s="2198"/>
      <c r="WZV78" s="2198"/>
      <c r="WZW78" s="2198"/>
      <c r="WZX78" s="2198"/>
      <c r="WZY78" s="2198"/>
      <c r="WZZ78" s="2198"/>
      <c r="XAA78" s="2198"/>
      <c r="XAB78" s="2198"/>
      <c r="XAC78" s="2198"/>
      <c r="XAD78" s="2198"/>
      <c r="XAE78" s="2198"/>
      <c r="XAF78" s="2198"/>
      <c r="XAG78" s="2198"/>
      <c r="XAH78" s="2198"/>
      <c r="XAI78" s="2198"/>
      <c r="XAJ78" s="2198"/>
      <c r="XAK78" s="2198"/>
      <c r="XAL78" s="2198"/>
      <c r="XAM78" s="2198"/>
      <c r="XAN78" s="2198"/>
      <c r="XAO78" s="2198"/>
      <c r="XAP78" s="2198"/>
      <c r="XAQ78" s="2198"/>
      <c r="XAR78" s="2198"/>
      <c r="XAS78" s="2198"/>
      <c r="XAT78" s="2198"/>
      <c r="XAU78" s="2198"/>
      <c r="XAV78" s="2198"/>
      <c r="XAW78" s="2198"/>
      <c r="XAX78" s="2198"/>
      <c r="XAY78" s="2198"/>
      <c r="XAZ78" s="2198"/>
      <c r="XBA78" s="2198"/>
      <c r="XBB78" s="2198"/>
      <c r="XBC78" s="2198"/>
      <c r="XBD78" s="2198"/>
      <c r="XBE78" s="2198"/>
      <c r="XBF78" s="2198"/>
      <c r="XBG78" s="2198"/>
      <c r="XBH78" s="2198"/>
      <c r="XBI78" s="2198"/>
      <c r="XBJ78" s="2198"/>
      <c r="XBK78" s="2198"/>
      <c r="XBL78" s="2198"/>
      <c r="XBM78" s="2198"/>
      <c r="XBN78" s="2198"/>
      <c r="XBO78" s="2198"/>
      <c r="XBP78" s="2198"/>
      <c r="XBQ78" s="2198"/>
      <c r="XBR78" s="2198"/>
      <c r="XBS78" s="2198"/>
      <c r="XBT78" s="2198"/>
      <c r="XBU78" s="2198"/>
      <c r="XBV78" s="2198"/>
      <c r="XBW78" s="2198"/>
      <c r="XBX78" s="2198"/>
      <c r="XBY78" s="2198"/>
      <c r="XBZ78" s="2198"/>
      <c r="XCA78" s="2198"/>
      <c r="XCB78" s="2198"/>
      <c r="XCC78" s="2198"/>
      <c r="XCD78" s="2198"/>
      <c r="XCE78" s="2198"/>
      <c r="XCF78" s="2198"/>
      <c r="XCG78" s="2198"/>
      <c r="XCH78" s="2198"/>
      <c r="XCI78" s="2198"/>
      <c r="XCJ78" s="2198"/>
      <c r="XCK78" s="2198"/>
      <c r="XCL78" s="2198"/>
      <c r="XCM78" s="2198"/>
      <c r="XCN78" s="2198"/>
      <c r="XCO78" s="2198"/>
      <c r="XCP78" s="2198"/>
      <c r="XCQ78" s="2198"/>
      <c r="XCR78" s="2198"/>
      <c r="XCS78" s="2198"/>
      <c r="XCT78" s="2198"/>
      <c r="XCU78" s="2198"/>
      <c r="XCV78" s="2198"/>
      <c r="XCW78" s="2198"/>
      <c r="XCX78" s="2198"/>
      <c r="XCY78" s="2198"/>
      <c r="XCZ78" s="2198"/>
      <c r="XDA78" s="2198"/>
      <c r="XDB78" s="2198"/>
      <c r="XDC78" s="2198"/>
      <c r="XDD78" s="2198"/>
      <c r="XDE78" s="2198"/>
      <c r="XDF78" s="2198"/>
      <c r="XDG78" s="2198"/>
      <c r="XDH78" s="2198"/>
      <c r="XDI78" s="2198"/>
      <c r="XDJ78" s="2198"/>
      <c r="XDK78" s="2198"/>
      <c r="XDL78" s="2198"/>
      <c r="XDM78" s="2198"/>
      <c r="XDN78" s="2198"/>
      <c r="XDO78" s="2198"/>
      <c r="XDP78" s="2198"/>
      <c r="XDQ78" s="2198"/>
      <c r="XDR78" s="2198"/>
      <c r="XDS78" s="2198"/>
      <c r="XDT78" s="2198"/>
      <c r="XDU78" s="2198"/>
      <c r="XDV78" s="2198"/>
      <c r="XDW78" s="2198"/>
      <c r="XDX78" s="2198"/>
      <c r="XDY78" s="2198"/>
      <c r="XDZ78" s="2198"/>
      <c r="XEA78" s="2198"/>
      <c r="XEB78" s="2198"/>
      <c r="XEC78" s="2198"/>
      <c r="XED78" s="2198"/>
      <c r="XEE78" s="2198"/>
      <c r="XEF78" s="2198"/>
      <c r="XEG78" s="2198"/>
      <c r="XEH78" s="2198"/>
      <c r="XEI78" s="2198"/>
      <c r="XEJ78" s="2198"/>
      <c r="XEK78" s="2198"/>
      <c r="XEL78" s="2198"/>
      <c r="XEM78" s="2198"/>
      <c r="XEN78" s="2198"/>
      <c r="XEO78" s="2198"/>
      <c r="XEP78" s="2198"/>
      <c r="XEQ78" s="2198"/>
      <c r="XER78" s="2198"/>
      <c r="XES78" s="2198"/>
      <c r="XET78" s="2198"/>
      <c r="XEU78" s="2198"/>
      <c r="XEV78" s="2198"/>
      <c r="XEW78" s="2198"/>
      <c r="XEX78" s="2198"/>
      <c r="XEY78" s="2198"/>
      <c r="XEZ78" s="2198"/>
      <c r="XFA78" s="2198"/>
      <c r="XFB78" s="2198"/>
      <c r="XFC78" s="2198"/>
    </row>
    <row r="79" spans="2:16383" x14ac:dyDescent="0.2">
      <c r="B79" s="2410"/>
      <c r="C79" s="2432" t="s">
        <v>1371</v>
      </c>
      <c r="D79" s="2415" t="s">
        <v>1365</v>
      </c>
      <c r="E79" s="2411" t="s">
        <v>319</v>
      </c>
      <c r="F79" s="2411"/>
      <c r="G79" s="2431">
        <v>827207.22372502019</v>
      </c>
      <c r="H79" s="2431">
        <v>824493.14407373546</v>
      </c>
      <c r="I79" s="2431">
        <v>826701.83034631168</v>
      </c>
      <c r="J79" s="2431">
        <v>826459.95237542794</v>
      </c>
      <c r="K79" s="2431">
        <v>824597.28158605541</v>
      </c>
      <c r="L79" s="2431">
        <v>820994.63340603397</v>
      </c>
      <c r="M79" s="2431">
        <v>815113.29082217312</v>
      </c>
      <c r="N79" s="2431">
        <v>809470.6551739081</v>
      </c>
      <c r="O79" s="2431">
        <v>804063.74843848473</v>
      </c>
      <c r="P79" s="2431">
        <v>798699.62994824233</v>
      </c>
      <c r="Q79" s="2431">
        <v>793119.60229268204</v>
      </c>
      <c r="R79" s="2431">
        <v>788682.27682031458</v>
      </c>
      <c r="S79" s="2431">
        <v>785149.19425260508</v>
      </c>
      <c r="T79" s="2431">
        <v>782333.24734182516</v>
      </c>
      <c r="U79" s="2431">
        <v>780087.06103428558</v>
      </c>
      <c r="V79" s="2431">
        <v>778294.19566675369</v>
      </c>
      <c r="W79" s="2431">
        <v>776862.42283259239</v>
      </c>
      <c r="X79" s="2431">
        <v>775718.54342705605</v>
      </c>
      <c r="Y79" s="2431">
        <v>774804.36671577045</v>
      </c>
      <c r="Z79" s="2431">
        <v>774073.57244804339</v>
      </c>
      <c r="AA79" s="2431">
        <v>773489.25051006244</v>
      </c>
      <c r="AB79" s="2431">
        <v>773021.96432775259</v>
      </c>
      <c r="AC79" s="2431">
        <v>772648.22168317204</v>
      </c>
      <c r="AD79" s="2431">
        <v>772349.26411061629</v>
      </c>
      <c r="AE79" s="2431">
        <v>772110.1064890977</v>
      </c>
      <c r="AF79" s="2431">
        <v>771918.77382775734</v>
      </c>
      <c r="AG79" s="2431">
        <v>771765.69392333971</v>
      </c>
      <c r="AH79" s="2431">
        <v>771643.21352080151</v>
      </c>
      <c r="AI79" s="2431">
        <v>771545.21251914615</v>
      </c>
      <c r="AJ79" s="2431">
        <v>771466.79613412195</v>
      </c>
      <c r="AK79" s="2431">
        <v>771404.04912375403</v>
      </c>
      <c r="AL79" s="2431">
        <v>771353.83947354136</v>
      </c>
      <c r="AM79" s="2431">
        <v>771313.66152994568</v>
      </c>
      <c r="AN79" s="2431">
        <v>771281.51061797561</v>
      </c>
      <c r="AO79" s="2431">
        <v>771255.78279994905</v>
      </c>
      <c r="AP79" s="2431">
        <v>771235.19471890037</v>
      </c>
      <c r="AQ79" s="2431">
        <v>771218.71949262498</v>
      </c>
      <c r="AR79" s="2431">
        <v>771205.53543807822</v>
      </c>
      <c r="AS79" s="2431">
        <v>771194.98505418177</v>
      </c>
    </row>
    <row r="80" spans="2:16383" x14ac:dyDescent="0.2">
      <c r="B80" s="2410"/>
      <c r="C80" s="2412" t="s">
        <v>1372</v>
      </c>
      <c r="D80" s="2415" t="s">
        <v>1365</v>
      </c>
      <c r="E80" s="2411" t="s">
        <v>319</v>
      </c>
      <c r="F80" s="2411"/>
      <c r="G80" s="2431">
        <v>566803.29387000704</v>
      </c>
      <c r="H80" s="2431">
        <v>564943.60352633917</v>
      </c>
      <c r="I80" s="2431">
        <v>566456.99777449889</v>
      </c>
      <c r="J80" s="2431">
        <v>566291.26272446616</v>
      </c>
      <c r="K80" s="2431">
        <v>565014.9586636076</v>
      </c>
      <c r="L80" s="2431">
        <v>562546.42019280512</v>
      </c>
      <c r="M80" s="2431">
        <v>558516.51782577939</v>
      </c>
      <c r="N80" s="2431">
        <v>554650.17771194095</v>
      </c>
      <c r="O80" s="2431">
        <v>550945.35930684372</v>
      </c>
      <c r="P80" s="2431">
        <v>547269.85945411376</v>
      </c>
      <c r="Q80" s="2431">
        <v>543446.41840531002</v>
      </c>
      <c r="R80" s="2431">
        <v>540405.95814145321</v>
      </c>
      <c r="S80" s="2431">
        <v>537985.08610424516</v>
      </c>
      <c r="T80" s="2431">
        <v>536055.59620302578</v>
      </c>
      <c r="U80" s="2431">
        <v>534516.50688991987</v>
      </c>
      <c r="V80" s="2431">
        <v>533288.03358040692</v>
      </c>
      <c r="W80" s="2431">
        <v>532306.98126944934</v>
      </c>
      <c r="X80" s="2431">
        <v>531523.1938504657</v>
      </c>
      <c r="Y80" s="2431">
        <v>530896.79896865773</v>
      </c>
      <c r="Z80" s="2431">
        <v>530396.05793762114</v>
      </c>
      <c r="AA80" s="2431">
        <v>529995.67990702717</v>
      </c>
      <c r="AB80" s="2431">
        <v>529675.4949041442</v>
      </c>
      <c r="AC80" s="2431">
        <v>529419.40603556065</v>
      </c>
      <c r="AD80" s="2431">
        <v>529214.55998007173</v>
      </c>
      <c r="AE80" s="2431">
        <v>529050.68891639751</v>
      </c>
      <c r="AF80" s="2431">
        <v>528919.58756771206</v>
      </c>
      <c r="AG80" s="2431">
        <v>528814.69704988215</v>
      </c>
      <c r="AH80" s="2431">
        <v>528730.77334418648</v>
      </c>
      <c r="AI80" s="2431">
        <v>528663.62295073294</v>
      </c>
      <c r="AJ80" s="2431">
        <v>528609.89195800177</v>
      </c>
      <c r="AK80" s="2431">
        <v>528566.89763791242</v>
      </c>
      <c r="AL80" s="2431">
        <v>528532.49393070536</v>
      </c>
      <c r="AM80" s="2431">
        <v>528504.96395983733</v>
      </c>
      <c r="AN80" s="2431">
        <v>528482.93411981314</v>
      </c>
      <c r="AO80" s="2431">
        <v>528465.30539077974</v>
      </c>
      <c r="AP80" s="2431">
        <v>528451.19841514144</v>
      </c>
      <c r="AQ80" s="2431">
        <v>528439.90957208944</v>
      </c>
      <c r="AR80" s="2431">
        <v>528430.87584350328</v>
      </c>
      <c r="AS80" s="2431">
        <v>528423.64670892537</v>
      </c>
    </row>
    <row r="81" spans="2:45" x14ac:dyDescent="0.2">
      <c r="B81" s="2410"/>
      <c r="C81" s="2412" t="s">
        <v>1373</v>
      </c>
      <c r="D81" s="2415" t="s">
        <v>1365</v>
      </c>
      <c r="E81" s="2411" t="s">
        <v>319</v>
      </c>
      <c r="F81" s="2411"/>
      <c r="G81" s="2431">
        <v>260917.96048273984</v>
      </c>
      <c r="H81" s="2431">
        <v>260917.64175805985</v>
      </c>
      <c r="I81" s="2431">
        <v>260917.32303337986</v>
      </c>
      <c r="J81" s="2431">
        <v>260917.00430869986</v>
      </c>
      <c r="K81" s="2431">
        <v>260916.68558401984</v>
      </c>
      <c r="L81" s="2431">
        <v>260916.36685933985</v>
      </c>
      <c r="M81" s="2431">
        <v>260916.04813465985</v>
      </c>
      <c r="N81" s="2431">
        <v>260915.72940997986</v>
      </c>
      <c r="O81" s="2431">
        <v>260915.41068529984</v>
      </c>
      <c r="P81" s="2431">
        <v>260915.09196061984</v>
      </c>
      <c r="Q81" s="2431">
        <v>260914.77323593985</v>
      </c>
      <c r="R81" s="2431">
        <v>260914.45451125986</v>
      </c>
      <c r="S81" s="2431">
        <v>260914.13578657986</v>
      </c>
      <c r="T81" s="2431">
        <v>260913.81706189984</v>
      </c>
      <c r="U81" s="2431">
        <v>260913.49833721985</v>
      </c>
      <c r="V81" s="2431">
        <v>260913.17961253985</v>
      </c>
      <c r="W81" s="2431">
        <v>260912.86088785986</v>
      </c>
      <c r="X81" s="2431">
        <v>260912.54216317984</v>
      </c>
      <c r="Y81" s="2431">
        <v>260912.22343849984</v>
      </c>
      <c r="Z81" s="2431">
        <v>260911.90471381985</v>
      </c>
      <c r="AA81" s="2431">
        <v>260911.58598913986</v>
      </c>
      <c r="AB81" s="2431">
        <v>260911.26726445986</v>
      </c>
      <c r="AC81" s="2431">
        <v>260910.94853977984</v>
      </c>
      <c r="AD81" s="2431">
        <v>260910.62981509985</v>
      </c>
      <c r="AE81" s="2431">
        <v>260910.31109041985</v>
      </c>
      <c r="AF81" s="2431">
        <v>260909.99236573986</v>
      </c>
      <c r="AG81" s="2431">
        <v>260909.67364105984</v>
      </c>
      <c r="AH81" s="2431">
        <v>260909.35491637985</v>
      </c>
      <c r="AI81" s="2431">
        <v>260909.03619169985</v>
      </c>
      <c r="AJ81" s="2431">
        <v>260908.71746701986</v>
      </c>
      <c r="AK81" s="2431">
        <v>260908.39874233986</v>
      </c>
      <c r="AL81" s="2431">
        <v>260908.08001765984</v>
      </c>
      <c r="AM81" s="2431">
        <v>260907.76129297985</v>
      </c>
      <c r="AN81" s="2431">
        <v>260907.44256829986</v>
      </c>
      <c r="AO81" s="2431">
        <v>260907.12384361986</v>
      </c>
      <c r="AP81" s="2431">
        <v>260906.80511893984</v>
      </c>
      <c r="AQ81" s="2431">
        <v>260906.48639425985</v>
      </c>
      <c r="AR81" s="2431">
        <v>260906.16766957985</v>
      </c>
      <c r="AS81" s="2431">
        <v>260905.84894489986</v>
      </c>
    </row>
    <row r="82" spans="2:45" x14ac:dyDescent="0.2">
      <c r="B82" s="2410"/>
      <c r="C82" s="2412" t="s">
        <v>1374</v>
      </c>
      <c r="D82" s="2415" t="s">
        <v>1365</v>
      </c>
      <c r="E82" s="2411" t="s">
        <v>319</v>
      </c>
      <c r="F82" s="2411"/>
      <c r="G82" s="2431">
        <v>26150.542157621792</v>
      </c>
      <c r="H82" s="2431">
        <v>26150.223432941792</v>
      </c>
      <c r="I82" s="2431">
        <v>26149.904708261791</v>
      </c>
      <c r="J82" s="2431">
        <v>26149.585983581794</v>
      </c>
      <c r="K82" s="2431">
        <v>26149.267258901793</v>
      </c>
      <c r="L82" s="2431">
        <v>26148.948534221792</v>
      </c>
      <c r="M82" s="2431">
        <v>26148.629809541791</v>
      </c>
      <c r="N82" s="2431">
        <v>26148.311084861794</v>
      </c>
      <c r="O82" s="2431">
        <v>26147.992360181794</v>
      </c>
      <c r="P82" s="2431">
        <v>26147.673635501793</v>
      </c>
      <c r="Q82" s="2431">
        <v>26147.354910821792</v>
      </c>
      <c r="R82" s="2431">
        <v>26147.036186141791</v>
      </c>
      <c r="S82" s="2431">
        <v>26146.717461461794</v>
      </c>
      <c r="T82" s="2431">
        <v>26146.398736781794</v>
      </c>
      <c r="U82" s="2431">
        <v>26146.080012101793</v>
      </c>
      <c r="V82" s="2431">
        <v>26145.761287421792</v>
      </c>
      <c r="W82" s="2431">
        <v>26145.442562741791</v>
      </c>
      <c r="X82" s="2431">
        <v>26145.123838061794</v>
      </c>
      <c r="Y82" s="2431">
        <v>26144.805113381793</v>
      </c>
      <c r="Z82" s="2431">
        <v>26144.486388701793</v>
      </c>
      <c r="AA82" s="2431">
        <v>26144.167664021792</v>
      </c>
      <c r="AB82" s="2431">
        <v>26143.848939341791</v>
      </c>
      <c r="AC82" s="2431">
        <v>26143.530214661794</v>
      </c>
      <c r="AD82" s="2431">
        <v>26143.211489981793</v>
      </c>
      <c r="AE82" s="2431">
        <v>26142.892765301793</v>
      </c>
      <c r="AF82" s="2431">
        <v>26142.574040621792</v>
      </c>
      <c r="AG82" s="2431">
        <v>26142.255315941791</v>
      </c>
      <c r="AH82" s="2431">
        <v>26141.936591261794</v>
      </c>
      <c r="AI82" s="2431">
        <v>26141.617866581793</v>
      </c>
      <c r="AJ82" s="2431">
        <v>26141.299141901793</v>
      </c>
      <c r="AK82" s="2431">
        <v>26140.980417221792</v>
      </c>
      <c r="AL82" s="2431">
        <v>26140.661692541791</v>
      </c>
      <c r="AM82" s="2431">
        <v>26140.342967861794</v>
      </c>
      <c r="AN82" s="2431">
        <v>26140.024243181793</v>
      </c>
      <c r="AO82" s="2431">
        <v>26139.705518501793</v>
      </c>
      <c r="AP82" s="2431">
        <v>26139.386793821792</v>
      </c>
      <c r="AQ82" s="2431">
        <v>26139.068069141791</v>
      </c>
      <c r="AR82" s="2431">
        <v>26138.749344461794</v>
      </c>
      <c r="AS82" s="2431">
        <v>26138.430619781793</v>
      </c>
    </row>
    <row r="83" spans="2:45" x14ac:dyDescent="0.2">
      <c r="B83" s="2410"/>
      <c r="C83" s="2412" t="s">
        <v>1375</v>
      </c>
      <c r="D83" s="2415" t="s">
        <v>1365</v>
      </c>
      <c r="E83" s="2411" t="s">
        <v>319</v>
      </c>
      <c r="F83" s="2411"/>
      <c r="G83" s="2431">
        <v>55339.07</v>
      </c>
      <c r="H83" s="2431">
        <v>55339.07</v>
      </c>
      <c r="I83" s="2431">
        <v>55339.07</v>
      </c>
      <c r="J83" s="2431">
        <v>55339.07</v>
      </c>
      <c r="K83" s="2431">
        <v>55339.07</v>
      </c>
      <c r="L83" s="2431">
        <v>55339.07</v>
      </c>
      <c r="M83" s="2431">
        <v>55339.07</v>
      </c>
      <c r="N83" s="2431">
        <v>55339.07</v>
      </c>
      <c r="O83" s="2431">
        <v>55339.07</v>
      </c>
      <c r="P83" s="2431">
        <v>55339.07</v>
      </c>
      <c r="Q83" s="2431">
        <v>55339.07</v>
      </c>
      <c r="R83" s="2431">
        <v>55339.07</v>
      </c>
      <c r="S83" s="2431">
        <v>55339.07</v>
      </c>
      <c r="T83" s="2431">
        <v>55339.07</v>
      </c>
      <c r="U83" s="2431">
        <v>55339.07</v>
      </c>
      <c r="V83" s="2431">
        <v>55339.07</v>
      </c>
      <c r="W83" s="2431">
        <v>55339.07</v>
      </c>
      <c r="X83" s="2431">
        <v>55339.07</v>
      </c>
      <c r="Y83" s="2431">
        <v>55339.07</v>
      </c>
      <c r="Z83" s="2431">
        <v>55339.07</v>
      </c>
      <c r="AA83" s="2431">
        <v>55339.07</v>
      </c>
      <c r="AB83" s="2431">
        <v>55339.07</v>
      </c>
      <c r="AC83" s="2431">
        <v>55339.07</v>
      </c>
      <c r="AD83" s="2431">
        <v>55339.07</v>
      </c>
      <c r="AE83" s="2431">
        <v>55339.07</v>
      </c>
      <c r="AF83" s="2431">
        <v>55339.07</v>
      </c>
      <c r="AG83" s="2431">
        <v>55339.07</v>
      </c>
      <c r="AH83" s="2431">
        <v>55339.07</v>
      </c>
      <c r="AI83" s="2431">
        <v>55339.07</v>
      </c>
      <c r="AJ83" s="2431">
        <v>55339.07</v>
      </c>
      <c r="AK83" s="2431">
        <v>55339.07</v>
      </c>
      <c r="AL83" s="2431">
        <v>55339.07</v>
      </c>
      <c r="AM83" s="2431">
        <v>55339.07</v>
      </c>
      <c r="AN83" s="2431">
        <v>55339.07</v>
      </c>
      <c r="AO83" s="2431">
        <v>55339.07</v>
      </c>
      <c r="AP83" s="2431">
        <v>55339.07</v>
      </c>
      <c r="AQ83" s="2431">
        <v>55339.07</v>
      </c>
      <c r="AR83" s="2431">
        <v>55339.07</v>
      </c>
      <c r="AS83" s="2431">
        <v>55339.07</v>
      </c>
    </row>
    <row r="84" spans="2:45" x14ac:dyDescent="0.2">
      <c r="B84" s="2410"/>
      <c r="C84" s="2412" t="s">
        <v>1376</v>
      </c>
      <c r="D84" s="2415" t="s">
        <v>1365</v>
      </c>
      <c r="E84" s="2411" t="s">
        <v>319</v>
      </c>
      <c r="F84" s="2411"/>
      <c r="G84" s="2431">
        <v>3253175.6381060006</v>
      </c>
      <c r="H84" s="2431">
        <v>3242501.91869422</v>
      </c>
      <c r="I84" s="2431">
        <v>3251188.0666969032</v>
      </c>
      <c r="J84" s="2431">
        <v>3250236.8279991439</v>
      </c>
      <c r="K84" s="2431">
        <v>3242911.4625284323</v>
      </c>
      <c r="L84" s="2431">
        <v>3228743.2505547311</v>
      </c>
      <c r="M84" s="2431">
        <v>3205613.5680949814</v>
      </c>
      <c r="N84" s="2431">
        <v>3183422.6535343188</v>
      </c>
      <c r="O84" s="2431">
        <v>3162158.7951386175</v>
      </c>
      <c r="P84" s="2431">
        <v>3141063.2109949137</v>
      </c>
      <c r="Q84" s="2431">
        <v>3119118.5162335671</v>
      </c>
      <c r="R84" s="2431">
        <v>3101667.7509222482</v>
      </c>
      <c r="S84" s="2431">
        <v>3087773.1211281177</v>
      </c>
      <c r="T84" s="2431">
        <v>3076698.7861542315</v>
      </c>
      <c r="U84" s="2431">
        <v>3067865.1609575977</v>
      </c>
      <c r="V84" s="2431">
        <v>3060814.3207705473</v>
      </c>
      <c r="W84" s="2431">
        <v>3055183.556954897</v>
      </c>
      <c r="X84" s="2431">
        <v>3050684.9978172425</v>
      </c>
      <c r="Y84" s="2431">
        <v>3047089.7954050996</v>
      </c>
      <c r="Z84" s="2431">
        <v>3044215.7850724389</v>
      </c>
      <c r="AA84" s="2431">
        <v>3041917.8096209066</v>
      </c>
      <c r="AB84" s="2431">
        <v>3040080.103202594</v>
      </c>
      <c r="AC84" s="2431">
        <v>3038610.277466794</v>
      </c>
      <c r="AD84" s="2431">
        <v>3037434.5605920232</v>
      </c>
      <c r="AE84" s="2431">
        <v>3036494.0202707141</v>
      </c>
      <c r="AF84" s="2431">
        <v>3035741.5621987893</v>
      </c>
      <c r="AG84" s="2431">
        <v>3035139.5415666522</v>
      </c>
      <c r="AH84" s="2431">
        <v>3034657.8602536093</v>
      </c>
      <c r="AI84" s="2431">
        <v>3034272.4496068554</v>
      </c>
      <c r="AJ84" s="2431">
        <v>3033964.0598031008</v>
      </c>
      <c r="AK84" s="2431">
        <v>3033717.293286032</v>
      </c>
      <c r="AL84" s="2431">
        <v>3033519.8327148654</v>
      </c>
      <c r="AM84" s="2431">
        <v>3033361.824052047</v>
      </c>
      <c r="AN84" s="2431">
        <v>3033235.3834691262</v>
      </c>
      <c r="AO84" s="2431">
        <v>3033134.203125888</v>
      </c>
      <c r="AP84" s="2431">
        <v>3033053.2359367944</v>
      </c>
      <c r="AQ84" s="2431">
        <v>3032988.4434601162</v>
      </c>
      <c r="AR84" s="2431">
        <v>3032936.5942452727</v>
      </c>
      <c r="AS84" s="2431">
        <v>3032895.1025236333</v>
      </c>
    </row>
    <row r="85" spans="2:45" x14ac:dyDescent="0.2">
      <c r="B85" s="2410"/>
      <c r="C85" s="2412" t="s">
        <v>1377</v>
      </c>
      <c r="D85" s="2415" t="s">
        <v>1365</v>
      </c>
      <c r="E85" s="2411" t="s">
        <v>319</v>
      </c>
      <c r="F85" s="2411"/>
      <c r="G85" s="2431"/>
      <c r="H85" s="2431"/>
      <c r="I85" s="2431"/>
      <c r="J85" s="2431"/>
      <c r="K85" s="2431"/>
      <c r="L85" s="2431"/>
      <c r="M85" s="2431"/>
      <c r="N85" s="2431"/>
      <c r="O85" s="2431"/>
      <c r="P85" s="2431"/>
      <c r="Q85" s="2431"/>
      <c r="R85" s="2431"/>
      <c r="S85" s="2431"/>
      <c r="T85" s="2431"/>
      <c r="U85" s="2431"/>
      <c r="V85" s="2431"/>
      <c r="W85" s="2431"/>
      <c r="X85" s="2431"/>
      <c r="Y85" s="2431"/>
      <c r="Z85" s="2431"/>
      <c r="AA85" s="2431"/>
      <c r="AB85" s="2431"/>
      <c r="AC85" s="2431"/>
      <c r="AD85" s="2431"/>
      <c r="AE85" s="2431"/>
      <c r="AF85" s="2431"/>
      <c r="AG85" s="2431"/>
      <c r="AH85" s="2431"/>
      <c r="AI85" s="2431"/>
      <c r="AJ85" s="2431"/>
      <c r="AK85" s="2431"/>
      <c r="AL85" s="2431"/>
      <c r="AM85" s="2431"/>
      <c r="AN85" s="2431"/>
      <c r="AO85" s="2431"/>
      <c r="AP85" s="2431"/>
      <c r="AQ85" s="2431"/>
      <c r="AR85" s="2431"/>
      <c r="AS85" s="2431"/>
    </row>
    <row r="86" spans="2:45" x14ac:dyDescent="0.2">
      <c r="B86" s="2410"/>
      <c r="C86" s="2432" t="s">
        <v>1378</v>
      </c>
      <c r="D86" s="2415" t="s">
        <v>1365</v>
      </c>
      <c r="E86" s="2411" t="s">
        <v>319</v>
      </c>
      <c r="F86" s="2411"/>
      <c r="G86" s="2431">
        <v>285177.96010299172</v>
      </c>
      <c r="H86" s="2431">
        <v>295369.99227875262</v>
      </c>
      <c r="I86" s="2431">
        <v>306607.04165902326</v>
      </c>
      <c r="J86" s="2431">
        <v>318229.86716629786</v>
      </c>
      <c r="K86" s="2431">
        <v>329957.32383251755</v>
      </c>
      <c r="L86" s="2431">
        <v>341680.30537387985</v>
      </c>
      <c r="M86" s="2431">
        <v>354110.93140705128</v>
      </c>
      <c r="N86" s="2431">
        <v>367009.94107269141</v>
      </c>
      <c r="O86" s="2431">
        <v>379695.92790665792</v>
      </c>
      <c r="P86" s="2431">
        <v>392473.4486860442</v>
      </c>
      <c r="Q86" s="2431">
        <v>405351.62142692757</v>
      </c>
      <c r="R86" s="2431">
        <v>417769.67348047037</v>
      </c>
      <c r="S86" s="2431">
        <v>429854.31724773225</v>
      </c>
      <c r="T86" s="2431">
        <v>441687.6469061799</v>
      </c>
      <c r="U86" s="2431">
        <v>453321.16678475006</v>
      </c>
      <c r="V86" s="2431">
        <v>464783.63756554836</v>
      </c>
      <c r="W86" s="2431">
        <v>476091.42120567232</v>
      </c>
      <c r="X86" s="2431">
        <v>487308.48366791959</v>
      </c>
      <c r="Y86" s="2431">
        <v>498477.97453528107</v>
      </c>
      <c r="Z86" s="2431">
        <v>509626.04787662381</v>
      </c>
      <c r="AA86" s="2431">
        <v>520768.27614333236</v>
      </c>
      <c r="AB86" s="2431">
        <v>531900.63088266167</v>
      </c>
      <c r="AC86" s="2431">
        <v>543029.55767442728</v>
      </c>
      <c r="AD86" s="2431">
        <v>554156.86822077259</v>
      </c>
      <c r="AE86" s="2431">
        <v>565281.13635764481</v>
      </c>
      <c r="AF86" s="2431">
        <v>576400.13652665424</v>
      </c>
      <c r="AG86" s="2431">
        <v>587508.1514572514</v>
      </c>
      <c r="AH86" s="2431">
        <v>598598.44772478286</v>
      </c>
      <c r="AI86" s="2431">
        <v>609663.55555958382</v>
      </c>
      <c r="AJ86" s="2431">
        <v>620711.33799779811</v>
      </c>
      <c r="AK86" s="2431">
        <v>631728.89242030948</v>
      </c>
      <c r="AL86" s="2431">
        <v>642706.07021172089</v>
      </c>
      <c r="AM86" s="2431">
        <v>653629.67408620624</v>
      </c>
      <c r="AN86" s="2431">
        <v>664489.28504224541</v>
      </c>
      <c r="AO86" s="2431">
        <v>675276.47348474874</v>
      </c>
      <c r="AP86" s="2431">
        <v>685978.99850073969</v>
      </c>
      <c r="AQ86" s="2431">
        <v>696587.14320857765</v>
      </c>
      <c r="AR86" s="2431">
        <v>707091.20674794272</v>
      </c>
      <c r="AS86" s="2431">
        <v>717481.50033991376</v>
      </c>
    </row>
    <row r="87" spans="2:45" x14ac:dyDescent="0.2">
      <c r="B87" s="2410"/>
      <c r="C87" s="2432" t="s">
        <v>1379</v>
      </c>
      <c r="D87" s="2415" t="s">
        <v>1365</v>
      </c>
      <c r="E87" s="2411" t="s">
        <v>319</v>
      </c>
      <c r="F87" s="2411"/>
      <c r="G87" s="2431">
        <v>4325.247119863373</v>
      </c>
      <c r="H87" s="2431">
        <v>4479.8279920943269</v>
      </c>
      <c r="I87" s="2431">
        <v>4650.2584680337195</v>
      </c>
      <c r="J87" s="2431">
        <v>4826.5399469104832</v>
      </c>
      <c r="K87" s="2431">
        <v>5004.408349330397</v>
      </c>
      <c r="L87" s="2431">
        <v>5182.208878269159</v>
      </c>
      <c r="M87" s="2431">
        <v>5370.7421345862176</v>
      </c>
      <c r="N87" s="2431">
        <v>5566.3792882612443</v>
      </c>
      <c r="O87" s="2431">
        <v>5758.7855597571979</v>
      </c>
      <c r="P87" s="2431">
        <v>5952.5801115173545</v>
      </c>
      <c r="Q87" s="2431">
        <v>6147.9012349887907</v>
      </c>
      <c r="R87" s="2431">
        <v>6336.2437838291771</v>
      </c>
      <c r="S87" s="2431">
        <v>6519.5295841415409</v>
      </c>
      <c r="T87" s="2431">
        <v>6699.0037447853374</v>
      </c>
      <c r="U87" s="2431">
        <v>6875.4474234289692</v>
      </c>
      <c r="V87" s="2431">
        <v>7049.2968285978013</v>
      </c>
      <c r="W87" s="2431">
        <v>7220.8001193984683</v>
      </c>
      <c r="X87" s="2431">
        <v>7390.9274570463031</v>
      </c>
      <c r="Y87" s="2431">
        <v>7560.3332841549209</v>
      </c>
      <c r="Z87" s="2431">
        <v>7729.4142751762965</v>
      </c>
      <c r="AA87" s="2431">
        <v>7898.4066149140399</v>
      </c>
      <c r="AB87" s="2431">
        <v>8067.2492044893079</v>
      </c>
      <c r="AC87" s="2431">
        <v>8236.039802948846</v>
      </c>
      <c r="AD87" s="2431">
        <v>8404.8058880804747</v>
      </c>
      <c r="AE87" s="2431">
        <v>8573.5258294890518</v>
      </c>
      <c r="AF87" s="2431">
        <v>8742.165872497284</v>
      </c>
      <c r="AG87" s="2431">
        <v>8910.6393042050258</v>
      </c>
      <c r="AH87" s="2431">
        <v>9078.8439998703179</v>
      </c>
      <c r="AI87" s="2431">
        <v>9246.6666667277623</v>
      </c>
      <c r="AJ87" s="2431">
        <v>9414.2265621506285</v>
      </c>
      <c r="AK87" s="2431">
        <v>9581.3279942412955</v>
      </c>
      <c r="AL87" s="2431">
        <v>9747.8170406226618</v>
      </c>
      <c r="AM87" s="2431">
        <v>9913.4935402356859</v>
      </c>
      <c r="AN87" s="2431">
        <v>10078.199469801497</v>
      </c>
      <c r="AO87" s="2431">
        <v>10241.806979040677</v>
      </c>
      <c r="AP87" s="2431">
        <v>10404.130412043574</v>
      </c>
      <c r="AQ87" s="2431">
        <v>10565.022394467809</v>
      </c>
      <c r="AR87" s="2431">
        <v>10724.335794963743</v>
      </c>
      <c r="AS87" s="2431">
        <v>10881.923665418308</v>
      </c>
    </row>
    <row r="88" spans="2:45" x14ac:dyDescent="0.2">
      <c r="B88" s="2410"/>
      <c r="C88" s="2432" t="s">
        <v>1380</v>
      </c>
      <c r="D88" s="2415" t="s">
        <v>1365</v>
      </c>
      <c r="E88" s="2411" t="s">
        <v>319</v>
      </c>
      <c r="F88" s="2411"/>
      <c r="G88" s="2431">
        <v>2593994.8726860601</v>
      </c>
      <c r="H88" s="2431">
        <v>2686702.174458704</v>
      </c>
      <c r="I88" s="2431">
        <v>2788915.0118954228</v>
      </c>
      <c r="J88" s="2431">
        <v>2894636.8908271138</v>
      </c>
      <c r="K88" s="2431">
        <v>3001310.5007050834</v>
      </c>
      <c r="L88" s="2431">
        <v>3107943.4045939567</v>
      </c>
      <c r="M88" s="2431">
        <v>3221013.0828491743</v>
      </c>
      <c r="N88" s="2431">
        <v>3338343.2051465432</v>
      </c>
      <c r="O88" s="2431">
        <v>3453735.6597050498</v>
      </c>
      <c r="P88" s="2431">
        <v>3569960.7122140075</v>
      </c>
      <c r="Q88" s="2431">
        <v>3687101.3006639439</v>
      </c>
      <c r="R88" s="2431">
        <v>3800056.6052884846</v>
      </c>
      <c r="S88" s="2431">
        <v>3909979.2092624865</v>
      </c>
      <c r="T88" s="2431">
        <v>4017615.8458725926</v>
      </c>
      <c r="U88" s="2431">
        <v>4123435.0014111339</v>
      </c>
      <c r="V88" s="2431">
        <v>4227698.2846710542</v>
      </c>
      <c r="W88" s="2431">
        <v>4330554.5249405745</v>
      </c>
      <c r="X88" s="2431">
        <v>4432585.5602392359</v>
      </c>
      <c r="Y88" s="2431">
        <v>4534183.8816171773</v>
      </c>
      <c r="Z88" s="2431">
        <v>4635587.3879657304</v>
      </c>
      <c r="AA88" s="2431">
        <v>4736937.7271844465</v>
      </c>
      <c r="AB88" s="2431">
        <v>4838198.2562390538</v>
      </c>
      <c r="AC88" s="2431">
        <v>4939427.6044885209</v>
      </c>
      <c r="AD88" s="2431">
        <v>5040642.2512781294</v>
      </c>
      <c r="AE88" s="2431">
        <v>5141829.2241389006</v>
      </c>
      <c r="AF88" s="2431">
        <v>5242968.2792657036</v>
      </c>
      <c r="AG88" s="2431">
        <v>5344007.4120418942</v>
      </c>
      <c r="AH88" s="2431">
        <v>5444885.3748555575</v>
      </c>
      <c r="AI88" s="2431">
        <v>5545534.222258863</v>
      </c>
      <c r="AJ88" s="2431">
        <v>5646025.4768738039</v>
      </c>
      <c r="AK88" s="2431">
        <v>5746241.7757463129</v>
      </c>
      <c r="AL88" s="2431">
        <v>5846090.8064960977</v>
      </c>
      <c r="AM88" s="2431">
        <v>5945452.5258640153</v>
      </c>
      <c r="AN88" s="2431">
        <v>6044232.1620222842</v>
      </c>
      <c r="AO88" s="2431">
        <v>6142353.0388966622</v>
      </c>
      <c r="AP88" s="2431">
        <v>6239703.8124495996</v>
      </c>
      <c r="AQ88" s="2431">
        <v>6336196.0973754944</v>
      </c>
      <c r="AR88" s="2431">
        <v>6431741.6540995883</v>
      </c>
      <c r="AS88" s="2431">
        <v>6526252.3529402055</v>
      </c>
    </row>
    <row r="89" spans="2:45" x14ac:dyDescent="0.2">
      <c r="B89" s="2410"/>
      <c r="C89" s="2412" t="s">
        <v>1381</v>
      </c>
      <c r="D89" s="2415" t="s">
        <v>1365</v>
      </c>
      <c r="E89" s="2411" t="s">
        <v>319</v>
      </c>
      <c r="F89" s="2411"/>
      <c r="G89" s="2431">
        <v>47814433.399924211</v>
      </c>
      <c r="H89" s="2431">
        <v>48600955.896316744</v>
      </c>
      <c r="I89" s="2431">
        <v>49622926.946446165</v>
      </c>
      <c r="J89" s="2431">
        <v>50620424.499805912</v>
      </c>
      <c r="K89" s="2431">
        <v>51616789.435264282</v>
      </c>
      <c r="L89" s="2431">
        <v>52603478.708071224</v>
      </c>
      <c r="M89" s="2431">
        <v>53569140.291458085</v>
      </c>
      <c r="N89" s="2431">
        <v>54529805.492599949</v>
      </c>
      <c r="O89" s="2431">
        <v>55484219.071022801</v>
      </c>
      <c r="P89" s="2431">
        <v>56425230.562347561</v>
      </c>
      <c r="Q89" s="2431">
        <v>57343280.51548972</v>
      </c>
      <c r="R89" s="2431">
        <v>58318800.817803882</v>
      </c>
      <c r="S89" s="2431">
        <v>59326278.961437032</v>
      </c>
      <c r="T89" s="2431">
        <v>60348971.090480454</v>
      </c>
      <c r="U89" s="2431">
        <v>61375771.122256108</v>
      </c>
      <c r="V89" s="2431">
        <v>62399011.542836808</v>
      </c>
      <c r="W89" s="2431">
        <v>63413585.629646823</v>
      </c>
      <c r="X89" s="2431">
        <v>64421938.167201191</v>
      </c>
      <c r="Y89" s="2431">
        <v>65425548.17988833</v>
      </c>
      <c r="Z89" s="2431">
        <v>66425015.831865214</v>
      </c>
      <c r="AA89" s="2431">
        <v>67420510.749457583</v>
      </c>
      <c r="AB89" s="2431">
        <v>68410672.724474251</v>
      </c>
      <c r="AC89" s="2431">
        <v>69395645.411838755</v>
      </c>
      <c r="AD89" s="2431">
        <v>70375303.442135945</v>
      </c>
      <c r="AE89" s="2431">
        <v>71349349.59875904</v>
      </c>
      <c r="AF89" s="2431">
        <v>72317524.027401209</v>
      </c>
      <c r="AG89" s="2431">
        <v>73279298.508846864</v>
      </c>
      <c r="AH89" s="2431">
        <v>74234117.900150403</v>
      </c>
      <c r="AI89" s="2431">
        <v>75181409.536147162</v>
      </c>
      <c r="AJ89" s="2431">
        <v>76122140.63108702</v>
      </c>
      <c r="AK89" s="2431">
        <v>77055185.144357502</v>
      </c>
      <c r="AL89" s="2431">
        <v>77979767.888945982</v>
      </c>
      <c r="AM89" s="2431">
        <v>78894860.73294878</v>
      </c>
      <c r="AN89" s="2431">
        <v>79799749.858866006</v>
      </c>
      <c r="AO89" s="2431">
        <v>80693928.081188723</v>
      </c>
      <c r="AP89" s="2431">
        <v>81576528.06847544</v>
      </c>
      <c r="AQ89" s="2431">
        <v>82446946.710220516</v>
      </c>
      <c r="AR89" s="2431">
        <v>83304586.443395451</v>
      </c>
      <c r="AS89" s="2431">
        <v>84148855.087926775</v>
      </c>
    </row>
    <row r="90" spans="2:45" x14ac:dyDescent="0.2">
      <c r="B90" s="2410"/>
      <c r="C90" s="2433" t="s">
        <v>118</v>
      </c>
      <c r="D90" s="2434" t="s">
        <v>1365</v>
      </c>
      <c r="E90" s="2434"/>
      <c r="F90" s="2434"/>
      <c r="G90" s="2435">
        <f>SUM(G74:G89)</f>
        <v>58595308.116866194</v>
      </c>
      <c r="H90" s="2435">
        <f>SUM(H74:H89)</f>
        <v>59460095.920680448</v>
      </c>
      <c r="I90" s="2435">
        <f t="shared" ref="I90:AS90" si="6">SUM(I74:I89)</f>
        <v>60615858.810643911</v>
      </c>
      <c r="J90" s="2435">
        <f t="shared" si="6"/>
        <v>61728667.615966484</v>
      </c>
      <c r="K90" s="2435">
        <f t="shared" si="6"/>
        <v>62826598.884099692</v>
      </c>
      <c r="L90" s="2435">
        <f t="shared" si="6"/>
        <v>63898917.847262263</v>
      </c>
      <c r="M90" s="2435">
        <f t="shared" si="6"/>
        <v>64936552.721101791</v>
      </c>
      <c r="N90" s="2435">
        <f t="shared" si="6"/>
        <v>65976107.27938094</v>
      </c>
      <c r="O90" s="2435">
        <f t="shared" si="6"/>
        <v>67009409.230011441</v>
      </c>
      <c r="P90" s="2435">
        <f t="shared" si="6"/>
        <v>68030625.403185293</v>
      </c>
      <c r="Q90" s="2435">
        <f t="shared" si="6"/>
        <v>69027925.831930131</v>
      </c>
      <c r="R90" s="2435">
        <f t="shared" si="6"/>
        <v>70088480.643894538</v>
      </c>
      <c r="S90" s="2435">
        <f t="shared" si="6"/>
        <v>71185880.675392434</v>
      </c>
      <c r="T90" s="2435">
        <f t="shared" si="6"/>
        <v>72302503.27325739</v>
      </c>
      <c r="U90" s="2435">
        <f t="shared" si="6"/>
        <v>73426417.13499409</v>
      </c>
      <c r="V90" s="2435">
        <f t="shared" si="6"/>
        <v>74549182.096880823</v>
      </c>
      <c r="W90" s="2435">
        <f t="shared" si="6"/>
        <v>75665014.544176847</v>
      </c>
      <c r="X90" s="2435">
        <f t="shared" si="6"/>
        <v>76776337.500552133</v>
      </c>
      <c r="Y90" s="2435">
        <f t="shared" si="6"/>
        <v>77884534.823479921</v>
      </c>
      <c r="Z90" s="2435">
        <f t="shared" si="6"/>
        <v>78990048.079115182</v>
      </c>
      <c r="AA90" s="2435">
        <f t="shared" si="6"/>
        <v>80092867.246435329</v>
      </c>
      <c r="AB90" s="2435">
        <f t="shared" si="6"/>
        <v>81191322.537390083</v>
      </c>
      <c r="AC90" s="2435">
        <f t="shared" si="6"/>
        <v>82285408.222746462</v>
      </c>
      <c r="AD90" s="2435">
        <f t="shared" si="6"/>
        <v>83374845.928608596</v>
      </c>
      <c r="AE90" s="2435">
        <f t="shared" si="6"/>
        <v>84459187.157447606</v>
      </c>
      <c r="AF90" s="2435">
        <f t="shared" si="6"/>
        <v>85538040.183009401</v>
      </c>
      <c r="AG90" s="2435">
        <f t="shared" si="6"/>
        <v>86610731.553556651</v>
      </c>
      <c r="AH90" s="2435">
        <f t="shared" si="6"/>
        <v>87676568.145013228</v>
      </c>
      <c r="AI90" s="2435">
        <f t="shared" si="6"/>
        <v>88734845.868189275</v>
      </c>
      <c r="AJ90" s="2435">
        <f t="shared" si="6"/>
        <v>89786566.73767975</v>
      </c>
      <c r="AK90" s="2435">
        <f t="shared" si="6"/>
        <v>90830438.493297532</v>
      </c>
      <c r="AL90" s="2435">
        <f t="shared" si="6"/>
        <v>91865554.728099778</v>
      </c>
      <c r="AM90" s="2435">
        <f t="shared" si="6"/>
        <v>92890730.985084057</v>
      </c>
      <c r="AN90" s="2435">
        <f t="shared" si="6"/>
        <v>93905129.788994044</v>
      </c>
      <c r="AO90" s="2435">
        <f t="shared" si="6"/>
        <v>94908144.071872577</v>
      </c>
      <c r="AP90" s="2435">
        <f t="shared" si="6"/>
        <v>95898771.010639906</v>
      </c>
      <c r="AQ90" s="2435">
        <f t="shared" si="6"/>
        <v>96876299.866607532</v>
      </c>
      <c r="AR90" s="2435">
        <f t="shared" si="6"/>
        <v>97840027.484664351</v>
      </c>
      <c r="AS90" s="2435">
        <f t="shared" si="6"/>
        <v>98789257.714302868</v>
      </c>
    </row>
    <row r="91" spans="2:45" x14ac:dyDescent="0.2">
      <c r="B91" s="2410"/>
      <c r="C91" s="2412"/>
      <c r="D91" s="2412"/>
      <c r="E91" s="2412"/>
      <c r="F91" s="2412"/>
      <c r="G91" s="2412"/>
      <c r="H91" s="2412"/>
      <c r="I91" s="2412"/>
      <c r="J91" s="2412"/>
      <c r="K91" s="2412"/>
      <c r="L91" s="2412"/>
      <c r="M91" s="2412"/>
      <c r="N91" s="2412"/>
      <c r="O91" s="2412"/>
      <c r="P91" s="2412"/>
      <c r="Q91" s="2412"/>
      <c r="R91" s="2412"/>
      <c r="S91" s="2412"/>
      <c r="T91" s="2412"/>
      <c r="U91" s="2412"/>
      <c r="V91" s="2412"/>
      <c r="W91" s="2412"/>
      <c r="X91" s="2412"/>
      <c r="Y91" s="2412"/>
      <c r="Z91" s="2412"/>
      <c r="AA91" s="2412"/>
      <c r="AB91" s="2412"/>
      <c r="AC91" s="2412"/>
      <c r="AD91" s="2412"/>
      <c r="AE91" s="2412"/>
      <c r="AF91" s="2412"/>
      <c r="AG91" s="2412"/>
      <c r="AH91" s="2412"/>
      <c r="AI91" s="2412"/>
      <c r="AJ91" s="2412"/>
      <c r="AK91" s="2412"/>
      <c r="AL91" s="2412"/>
      <c r="AM91" s="2412"/>
      <c r="AN91" s="2412"/>
      <c r="AO91" s="2412"/>
      <c r="AP91" s="2412"/>
      <c r="AQ91" s="2412"/>
      <c r="AR91" s="2412"/>
      <c r="AS91" s="2412"/>
    </row>
    <row r="92" spans="2:45" x14ac:dyDescent="0.2">
      <c r="B92" s="2410"/>
      <c r="C92" s="2412"/>
      <c r="D92" s="2412"/>
      <c r="E92" s="2412"/>
      <c r="F92" s="2412"/>
      <c r="G92" s="2412"/>
      <c r="H92" s="2412"/>
      <c r="I92" s="2412"/>
      <c r="J92" s="2412"/>
      <c r="K92" s="2412"/>
      <c r="L92" s="2412"/>
      <c r="M92" s="2412"/>
      <c r="N92" s="2412"/>
      <c r="O92" s="2412"/>
      <c r="P92" s="2412"/>
      <c r="Q92" s="2412"/>
      <c r="R92" s="2412"/>
      <c r="S92" s="2412"/>
      <c r="T92" s="2412"/>
      <c r="U92" s="2412"/>
      <c r="V92" s="2412"/>
      <c r="W92" s="2412"/>
      <c r="X92" s="2412"/>
      <c r="Y92" s="2412"/>
      <c r="Z92" s="2412"/>
      <c r="AA92" s="2412"/>
      <c r="AB92" s="2412"/>
      <c r="AC92" s="2412"/>
      <c r="AD92" s="2412"/>
      <c r="AE92" s="2412"/>
      <c r="AF92" s="2412"/>
      <c r="AG92" s="2412"/>
      <c r="AH92" s="2412"/>
      <c r="AI92" s="2412"/>
      <c r="AJ92" s="2412"/>
      <c r="AK92" s="2412"/>
      <c r="AL92" s="2412"/>
      <c r="AM92" s="2412"/>
      <c r="AN92" s="2412"/>
      <c r="AO92" s="2412"/>
      <c r="AP92" s="2412"/>
      <c r="AQ92" s="2412"/>
      <c r="AR92" s="2412"/>
      <c r="AS92" s="2412"/>
    </row>
    <row r="93" spans="2:45" x14ac:dyDescent="0.2">
      <c r="B93" s="2410"/>
      <c r="C93" s="2412" t="s">
        <v>1382</v>
      </c>
      <c r="D93" s="2412"/>
      <c r="E93" s="2412"/>
      <c r="F93" s="2412"/>
      <c r="G93" s="2412"/>
      <c r="H93" s="2412"/>
      <c r="I93" s="2412"/>
      <c r="J93" s="2412"/>
      <c r="K93" s="2412"/>
      <c r="L93" s="2412"/>
      <c r="M93" s="2412"/>
      <c r="N93" s="2412"/>
      <c r="O93" s="2412"/>
      <c r="P93" s="2412"/>
      <c r="Q93" s="2412"/>
      <c r="R93" s="2412"/>
      <c r="S93" s="2412"/>
      <c r="T93" s="2412"/>
      <c r="U93" s="2412"/>
      <c r="V93" s="2412"/>
      <c r="W93" s="2412"/>
      <c r="X93" s="2412"/>
      <c r="Y93" s="2412"/>
      <c r="Z93" s="2412"/>
      <c r="AA93" s="2412"/>
      <c r="AB93" s="2412"/>
      <c r="AC93" s="2412"/>
      <c r="AD93" s="2412"/>
      <c r="AE93" s="2412"/>
      <c r="AF93" s="2412"/>
      <c r="AG93" s="2412"/>
      <c r="AH93" s="2412"/>
      <c r="AI93" s="2412"/>
      <c r="AJ93" s="2412"/>
      <c r="AK93" s="2412"/>
      <c r="AL93" s="2412"/>
      <c r="AM93" s="2412"/>
      <c r="AN93" s="2412"/>
      <c r="AO93" s="2412"/>
      <c r="AP93" s="2412"/>
      <c r="AQ93" s="2412"/>
      <c r="AR93" s="2412"/>
      <c r="AS93" s="2412"/>
    </row>
    <row r="94" spans="2:45" x14ac:dyDescent="0.2">
      <c r="B94" s="2410"/>
      <c r="C94" s="2413"/>
      <c r="D94" s="2414" t="s">
        <v>1029</v>
      </c>
      <c r="E94" s="2414" t="s">
        <v>8</v>
      </c>
      <c r="F94" s="2414"/>
      <c r="G94" s="2414">
        <v>2012</v>
      </c>
      <c r="H94" s="2414">
        <v>2013</v>
      </c>
      <c r="I94" s="2414">
        <v>2014</v>
      </c>
      <c r="J94" s="2414">
        <v>2015</v>
      </c>
      <c r="K94" s="2414">
        <v>2016</v>
      </c>
      <c r="L94" s="2414">
        <v>2017</v>
      </c>
      <c r="M94" s="2414">
        <v>2018</v>
      </c>
      <c r="N94" s="2414">
        <v>2019</v>
      </c>
      <c r="O94" s="2414">
        <v>2020</v>
      </c>
      <c r="P94" s="2414">
        <v>2021</v>
      </c>
      <c r="Q94" s="2414">
        <v>2022</v>
      </c>
      <c r="R94" s="2414">
        <v>2023</v>
      </c>
      <c r="S94" s="2414">
        <v>2024</v>
      </c>
      <c r="T94" s="2414">
        <v>2025</v>
      </c>
      <c r="U94" s="2414">
        <v>2026</v>
      </c>
      <c r="V94" s="2414">
        <v>2027</v>
      </c>
      <c r="W94" s="2414">
        <v>2028</v>
      </c>
      <c r="X94" s="2414">
        <v>2029</v>
      </c>
      <c r="Y94" s="2414">
        <v>2030</v>
      </c>
      <c r="Z94" s="2414">
        <v>2031</v>
      </c>
      <c r="AA94" s="2414">
        <v>2032</v>
      </c>
      <c r="AB94" s="2414">
        <v>2033</v>
      </c>
      <c r="AC94" s="2414">
        <v>2034</v>
      </c>
      <c r="AD94" s="2414">
        <v>2035</v>
      </c>
      <c r="AE94" s="2414">
        <v>2036</v>
      </c>
      <c r="AF94" s="2414">
        <v>2037</v>
      </c>
      <c r="AG94" s="2414">
        <v>2038</v>
      </c>
      <c r="AH94" s="2414">
        <v>2039</v>
      </c>
      <c r="AI94" s="2414">
        <v>2040</v>
      </c>
      <c r="AJ94" s="2414">
        <v>2041</v>
      </c>
      <c r="AK94" s="2414">
        <v>2042</v>
      </c>
      <c r="AL94" s="2414">
        <v>2043</v>
      </c>
      <c r="AM94" s="2414">
        <v>2044</v>
      </c>
      <c r="AN94" s="2414">
        <v>2045</v>
      </c>
      <c r="AO94" s="2414">
        <v>2046</v>
      </c>
      <c r="AP94" s="2414">
        <v>2047</v>
      </c>
      <c r="AQ94" s="2414">
        <v>2048</v>
      </c>
      <c r="AR94" s="2414">
        <v>2049</v>
      </c>
      <c r="AS94" s="2414">
        <v>2050</v>
      </c>
    </row>
    <row r="95" spans="2:45" x14ac:dyDescent="0.2">
      <c r="B95" s="2410"/>
      <c r="C95" s="2432" t="s">
        <v>1383</v>
      </c>
      <c r="D95" s="2415" t="s">
        <v>1384</v>
      </c>
      <c r="E95" s="2411" t="s">
        <v>319</v>
      </c>
      <c r="F95" s="2436"/>
      <c r="G95" s="2437">
        <v>23.991</v>
      </c>
      <c r="H95" s="2437">
        <v>23.847000000000001</v>
      </c>
      <c r="I95" s="2437">
        <v>23.289000000000001</v>
      </c>
      <c r="J95" s="2437">
        <v>22.579000000000001</v>
      </c>
      <c r="K95" s="2437">
        <v>21.815999999999999</v>
      </c>
      <c r="L95" s="2437">
        <v>21.04</v>
      </c>
      <c r="M95" s="2437">
        <v>20.265999999999998</v>
      </c>
      <c r="N95" s="2437">
        <v>20.265999999999998</v>
      </c>
      <c r="O95" s="2437">
        <v>20.265999999999998</v>
      </c>
      <c r="P95" s="2437">
        <v>20.265999999999998</v>
      </c>
      <c r="Q95" s="2437">
        <v>20.265999999999998</v>
      </c>
      <c r="R95" s="2437">
        <v>20.265999999999998</v>
      </c>
      <c r="S95" s="2437">
        <v>20.265999999999998</v>
      </c>
      <c r="T95" s="2437">
        <v>20.265999999999998</v>
      </c>
      <c r="U95" s="2437">
        <v>20.265999999999998</v>
      </c>
      <c r="V95" s="2437">
        <v>20.265999999999998</v>
      </c>
      <c r="W95" s="2437">
        <v>20.265999999999998</v>
      </c>
      <c r="X95" s="2437">
        <v>20.265999999999998</v>
      </c>
      <c r="Y95" s="2437">
        <v>20.265999999999998</v>
      </c>
      <c r="Z95" s="2437">
        <v>20.265999999999998</v>
      </c>
      <c r="AA95" s="2437">
        <v>20.265999999999998</v>
      </c>
      <c r="AB95" s="2437">
        <v>20.265999999999998</v>
      </c>
      <c r="AC95" s="2437">
        <v>20.265999999999998</v>
      </c>
      <c r="AD95" s="2437">
        <v>20.265999999999998</v>
      </c>
      <c r="AE95" s="2437">
        <v>20.265999999999998</v>
      </c>
      <c r="AF95" s="2437">
        <v>20.265999999999998</v>
      </c>
      <c r="AG95" s="2437">
        <v>20.265999999999998</v>
      </c>
      <c r="AH95" s="2437">
        <v>20.265999999999998</v>
      </c>
      <c r="AI95" s="2437">
        <v>20.265999999999998</v>
      </c>
      <c r="AJ95" s="2437">
        <v>20.265999999999998</v>
      </c>
      <c r="AK95" s="2437">
        <v>20.265999999999998</v>
      </c>
      <c r="AL95" s="2437">
        <v>20.265999999999998</v>
      </c>
      <c r="AM95" s="2437">
        <v>20.265999999999998</v>
      </c>
      <c r="AN95" s="2437">
        <v>20.265999999999998</v>
      </c>
      <c r="AO95" s="2437">
        <v>20.265999999999998</v>
      </c>
      <c r="AP95" s="2437">
        <v>20.265999999999998</v>
      </c>
      <c r="AQ95" s="2437">
        <v>20.265999999999998</v>
      </c>
      <c r="AR95" s="2437">
        <v>20.265999999999998</v>
      </c>
      <c r="AS95" s="2437">
        <v>20.265999999999998</v>
      </c>
    </row>
    <row r="96" spans="2:45" x14ac:dyDescent="0.2">
      <c r="B96" s="2410"/>
      <c r="C96" s="2432" t="s">
        <v>1385</v>
      </c>
      <c r="D96" s="2415" t="s">
        <v>1384</v>
      </c>
      <c r="E96" s="2411" t="s">
        <v>1234</v>
      </c>
      <c r="F96" s="2436"/>
      <c r="G96" s="2437">
        <v>2255.3159999999998</v>
      </c>
      <c r="H96" s="2437">
        <v>2316.3984</v>
      </c>
      <c r="I96" s="2437">
        <v>2314.0204999999996</v>
      </c>
      <c r="J96" s="2437">
        <v>2310.9430000000002</v>
      </c>
      <c r="K96" s="2437">
        <v>2308.4263000000001</v>
      </c>
      <c r="L96" s="2437">
        <v>2306.1376</v>
      </c>
      <c r="M96" s="2437">
        <v>2304.0666000000001</v>
      </c>
      <c r="N96" s="2437">
        <v>2303.0610000000001</v>
      </c>
      <c r="O96" s="2437">
        <v>2302.2280000000001</v>
      </c>
      <c r="P96" s="2437">
        <v>2301.5477000000001</v>
      </c>
      <c r="Q96" s="2437">
        <v>2301.1007</v>
      </c>
      <c r="R96" s="2437">
        <v>2300.6673000000001</v>
      </c>
      <c r="S96" s="2437">
        <v>2300.4300000000003</v>
      </c>
      <c r="T96" s="2437">
        <v>2300.3688999999999</v>
      </c>
      <c r="U96" s="2437">
        <v>2300.2661000000003</v>
      </c>
      <c r="V96" s="2437">
        <v>2300.1853999999998</v>
      </c>
      <c r="W96" s="2437">
        <v>2300.2579000000001</v>
      </c>
      <c r="X96" s="2437">
        <v>2300.2847999999999</v>
      </c>
      <c r="Y96" s="2437">
        <v>2300.4726999999998</v>
      </c>
      <c r="Z96" s="2437">
        <v>2300.6203999999998</v>
      </c>
      <c r="AA96" s="2437">
        <v>2300.9270000000006</v>
      </c>
      <c r="AB96" s="2437">
        <v>2301.192</v>
      </c>
      <c r="AC96" s="2437">
        <v>2301.62</v>
      </c>
      <c r="AD96" s="2437">
        <v>2302.1097</v>
      </c>
      <c r="AE96" s="2437">
        <v>2302.5651000000003</v>
      </c>
      <c r="AF96" s="2437">
        <v>2303.1841000000004</v>
      </c>
      <c r="AG96" s="2437">
        <v>2303.8715999999999</v>
      </c>
      <c r="AH96" s="2437">
        <v>2304.6197000000002</v>
      </c>
      <c r="AI96" s="2437">
        <v>2305.3415</v>
      </c>
      <c r="AJ96" s="2437">
        <v>2306.2267000000002</v>
      </c>
      <c r="AK96" s="2437">
        <v>2307.1853000000001</v>
      </c>
      <c r="AL96" s="2437">
        <v>2308.2136</v>
      </c>
      <c r="AM96" s="2437">
        <v>2309.3132000000001</v>
      </c>
      <c r="AN96" s="2437">
        <v>2310.4889000000003</v>
      </c>
      <c r="AO96" s="2437">
        <v>2311.7341999999999</v>
      </c>
      <c r="AP96" s="2437">
        <v>2313.0613000000003</v>
      </c>
      <c r="AQ96" s="2437">
        <v>2314.4618</v>
      </c>
      <c r="AR96" s="2437">
        <v>2315.9386000000004</v>
      </c>
      <c r="AS96" s="2437">
        <v>2317.5972000000002</v>
      </c>
    </row>
    <row r="97" spans="2:45" x14ac:dyDescent="0.2">
      <c r="B97" s="2410"/>
      <c r="C97" s="2432" t="s">
        <v>1386</v>
      </c>
      <c r="D97" s="2415" t="s">
        <v>1384</v>
      </c>
      <c r="E97" s="2411" t="s">
        <v>319</v>
      </c>
      <c r="F97" s="2432"/>
      <c r="G97" s="2437">
        <v>10907.138999999999</v>
      </c>
      <c r="H97" s="2437">
        <v>10882.1</v>
      </c>
      <c r="I97" s="2437">
        <v>10830</v>
      </c>
      <c r="J97" s="2437">
        <v>10780.4</v>
      </c>
      <c r="K97" s="2437">
        <v>10733.2</v>
      </c>
      <c r="L97" s="2437">
        <v>10688.4</v>
      </c>
      <c r="M97" s="2437">
        <v>10646.1</v>
      </c>
      <c r="N97" s="2437">
        <v>10606.1</v>
      </c>
      <c r="O97" s="2437">
        <v>10568.6</v>
      </c>
      <c r="P97" s="2437">
        <v>10533.4</v>
      </c>
      <c r="Q97" s="2437">
        <v>10500.6</v>
      </c>
      <c r="R97" s="2437">
        <v>10470.200000000001</v>
      </c>
      <c r="S97" s="2437">
        <v>10442.200000000001</v>
      </c>
      <c r="T97" s="2437">
        <v>10416.5</v>
      </c>
      <c r="U97" s="2437">
        <v>10393.1</v>
      </c>
      <c r="V97" s="2437">
        <v>10369.799999999999</v>
      </c>
      <c r="W97" s="2437">
        <v>10346.5</v>
      </c>
      <c r="X97" s="2437">
        <v>10323.200000000001</v>
      </c>
      <c r="Y97" s="2437">
        <v>10300</v>
      </c>
      <c r="Z97" s="2437">
        <v>10276.700000000001</v>
      </c>
      <c r="AA97" s="2437">
        <v>10253.5</v>
      </c>
      <c r="AB97" s="2437">
        <v>10230.299999999999</v>
      </c>
      <c r="AC97" s="2437">
        <v>10207.1</v>
      </c>
      <c r="AD97" s="2437">
        <v>10183.9</v>
      </c>
      <c r="AE97" s="2437">
        <v>10160.799999999999</v>
      </c>
      <c r="AF97" s="2437">
        <v>10137.6</v>
      </c>
      <c r="AG97" s="2437">
        <v>10114.5</v>
      </c>
      <c r="AH97" s="2437">
        <v>10091.4</v>
      </c>
      <c r="AI97" s="2437">
        <v>10068.4</v>
      </c>
      <c r="AJ97" s="2437">
        <v>10045.299999999999</v>
      </c>
      <c r="AK97" s="2437">
        <v>10022.299999999999</v>
      </c>
      <c r="AL97" s="2437">
        <v>9999.2000000000007</v>
      </c>
      <c r="AM97" s="2437">
        <v>9976.2000000000007</v>
      </c>
      <c r="AN97" s="2437">
        <v>9953.2999999999993</v>
      </c>
      <c r="AO97" s="2437">
        <v>9930.2999999999993</v>
      </c>
      <c r="AP97" s="2437">
        <v>9907.2999999999993</v>
      </c>
      <c r="AQ97" s="2437">
        <v>9884.4</v>
      </c>
      <c r="AR97" s="2437">
        <v>9861.5</v>
      </c>
      <c r="AS97" s="2437">
        <v>9838.6</v>
      </c>
    </row>
    <row r="98" spans="2:45" x14ac:dyDescent="0.2">
      <c r="B98" s="2410"/>
      <c r="C98" s="2438" t="s">
        <v>118</v>
      </c>
      <c r="D98" s="2419" t="s">
        <v>1384</v>
      </c>
      <c r="E98" s="2439"/>
      <c r="F98" s="2439"/>
      <c r="G98" s="2440">
        <f>SUM(G95:G97)</f>
        <v>13186.446</v>
      </c>
      <c r="H98" s="2440">
        <f t="shared" ref="H98:AS98" si="7">SUM(H95:H97)</f>
        <v>13222.3454</v>
      </c>
      <c r="I98" s="2440">
        <f t="shared" si="7"/>
        <v>13167.309499999999</v>
      </c>
      <c r="J98" s="2440">
        <f t="shared" si="7"/>
        <v>13113.922</v>
      </c>
      <c r="K98" s="2440">
        <f t="shared" si="7"/>
        <v>13063.442300000001</v>
      </c>
      <c r="L98" s="2440">
        <f t="shared" si="7"/>
        <v>13015.577600000001</v>
      </c>
      <c r="M98" s="2440">
        <f t="shared" si="7"/>
        <v>12970.4326</v>
      </c>
      <c r="N98" s="2440">
        <f t="shared" si="7"/>
        <v>12929.427</v>
      </c>
      <c r="O98" s="2440">
        <f t="shared" si="7"/>
        <v>12891.094000000001</v>
      </c>
      <c r="P98" s="2440">
        <f t="shared" si="7"/>
        <v>12855.2137</v>
      </c>
      <c r="Q98" s="2440">
        <f t="shared" si="7"/>
        <v>12821.966700000001</v>
      </c>
      <c r="R98" s="2440">
        <f t="shared" si="7"/>
        <v>12791.133300000001</v>
      </c>
      <c r="S98" s="2440">
        <f t="shared" si="7"/>
        <v>12762.896000000001</v>
      </c>
      <c r="T98" s="2440">
        <f t="shared" si="7"/>
        <v>12737.134900000001</v>
      </c>
      <c r="U98" s="2440">
        <f t="shared" si="7"/>
        <v>12713.632100000001</v>
      </c>
      <c r="V98" s="2440">
        <f t="shared" si="7"/>
        <v>12690.251399999999</v>
      </c>
      <c r="W98" s="2440">
        <f t="shared" si="7"/>
        <v>12667.0239</v>
      </c>
      <c r="X98" s="2440">
        <f t="shared" si="7"/>
        <v>12643.750800000002</v>
      </c>
      <c r="Y98" s="2440">
        <f t="shared" si="7"/>
        <v>12620.7387</v>
      </c>
      <c r="Z98" s="2440">
        <f t="shared" si="7"/>
        <v>12597.5864</v>
      </c>
      <c r="AA98" s="2440">
        <f t="shared" si="7"/>
        <v>12574.693000000001</v>
      </c>
      <c r="AB98" s="2440">
        <f t="shared" si="7"/>
        <v>12551.758</v>
      </c>
      <c r="AC98" s="2440">
        <f t="shared" si="7"/>
        <v>12528.986000000001</v>
      </c>
      <c r="AD98" s="2440">
        <f t="shared" si="7"/>
        <v>12506.2757</v>
      </c>
      <c r="AE98" s="2440">
        <f t="shared" si="7"/>
        <v>12483.631099999999</v>
      </c>
      <c r="AF98" s="2440">
        <f t="shared" si="7"/>
        <v>12461.0501</v>
      </c>
      <c r="AG98" s="2440">
        <f t="shared" si="7"/>
        <v>12438.6376</v>
      </c>
      <c r="AH98" s="2440">
        <f t="shared" si="7"/>
        <v>12416.2857</v>
      </c>
      <c r="AI98" s="2440">
        <f t="shared" si="7"/>
        <v>12394.0075</v>
      </c>
      <c r="AJ98" s="2440">
        <f t="shared" si="7"/>
        <v>12371.7927</v>
      </c>
      <c r="AK98" s="2440">
        <f t="shared" si="7"/>
        <v>12349.7513</v>
      </c>
      <c r="AL98" s="2440">
        <f t="shared" si="7"/>
        <v>12327.679600000001</v>
      </c>
      <c r="AM98" s="2440">
        <f t="shared" si="7"/>
        <v>12305.779200000001</v>
      </c>
      <c r="AN98" s="2440">
        <f t="shared" si="7"/>
        <v>12284.054899999999</v>
      </c>
      <c r="AO98" s="2440">
        <f t="shared" si="7"/>
        <v>12262.3002</v>
      </c>
      <c r="AP98" s="2440">
        <f t="shared" si="7"/>
        <v>12240.6273</v>
      </c>
      <c r="AQ98" s="2440">
        <f t="shared" si="7"/>
        <v>12219.1278</v>
      </c>
      <c r="AR98" s="2440">
        <f t="shared" si="7"/>
        <v>12197.704600000001</v>
      </c>
      <c r="AS98" s="2440">
        <f t="shared" si="7"/>
        <v>12176.4632</v>
      </c>
    </row>
    <row r="99" spans="2:45" x14ac:dyDescent="0.2">
      <c r="B99" s="2410"/>
      <c r="C99" s="2412"/>
      <c r="D99" s="2412"/>
      <c r="E99" s="2412"/>
      <c r="F99" s="2412"/>
      <c r="G99" s="2412"/>
      <c r="H99" s="2412"/>
      <c r="I99" s="2412"/>
      <c r="J99" s="2412"/>
      <c r="K99" s="2412"/>
      <c r="L99" s="2412"/>
      <c r="M99" s="2412"/>
      <c r="N99" s="2412"/>
      <c r="O99" s="2412"/>
      <c r="P99" s="2412"/>
      <c r="Q99" s="2412"/>
      <c r="R99" s="2412"/>
      <c r="S99" s="2412"/>
      <c r="T99" s="2412"/>
      <c r="U99" s="2412"/>
      <c r="V99" s="2412"/>
      <c r="W99" s="2412"/>
      <c r="X99" s="2412"/>
      <c r="Y99" s="2412"/>
      <c r="Z99" s="2412"/>
      <c r="AA99" s="2412"/>
      <c r="AB99" s="2412"/>
      <c r="AC99" s="2412"/>
      <c r="AD99" s="2412"/>
      <c r="AE99" s="2412"/>
      <c r="AF99" s="2412"/>
      <c r="AG99" s="2412"/>
      <c r="AH99" s="2412"/>
      <c r="AI99" s="2412"/>
      <c r="AJ99" s="2412"/>
      <c r="AK99" s="2412"/>
      <c r="AL99" s="2412"/>
      <c r="AM99" s="2412"/>
      <c r="AN99" s="2412"/>
      <c r="AO99" s="2412"/>
      <c r="AP99" s="2412"/>
      <c r="AQ99" s="2412"/>
      <c r="AR99" s="2412"/>
      <c r="AS99" s="2412"/>
    </row>
    <row r="100" spans="2:45" x14ac:dyDescent="0.2">
      <c r="B100" s="2410"/>
      <c r="C100" s="2412"/>
      <c r="D100" s="2412"/>
      <c r="E100" s="2412"/>
      <c r="F100" s="2412"/>
      <c r="G100" s="2412"/>
      <c r="H100" s="2412"/>
      <c r="I100" s="2412"/>
      <c r="J100" s="2412"/>
      <c r="K100" s="2412"/>
      <c r="L100" s="2412"/>
      <c r="M100" s="2412"/>
      <c r="N100" s="2412"/>
      <c r="O100" s="2412"/>
      <c r="P100" s="2412"/>
      <c r="Q100" s="2412"/>
      <c r="R100" s="2412"/>
      <c r="S100" s="2412"/>
      <c r="T100" s="2412"/>
      <c r="U100" s="2412"/>
      <c r="V100" s="2412"/>
      <c r="W100" s="2412"/>
      <c r="X100" s="2412"/>
      <c r="Y100" s="2412"/>
      <c r="Z100" s="2412"/>
      <c r="AA100" s="2412"/>
      <c r="AB100" s="2412"/>
      <c r="AC100" s="2412"/>
      <c r="AD100" s="2412"/>
      <c r="AE100" s="2412"/>
      <c r="AF100" s="2412"/>
      <c r="AG100" s="2412"/>
      <c r="AH100" s="2412"/>
      <c r="AI100" s="2412"/>
      <c r="AJ100" s="2412"/>
      <c r="AK100" s="2412"/>
      <c r="AL100" s="2412"/>
      <c r="AM100" s="2412"/>
      <c r="AN100" s="2412"/>
      <c r="AO100" s="2412"/>
      <c r="AP100" s="2412"/>
      <c r="AQ100" s="2412"/>
      <c r="AR100" s="2412"/>
      <c r="AS100" s="2412"/>
    </row>
    <row r="101" spans="2:45" x14ac:dyDescent="0.2">
      <c r="B101" s="2410" t="s">
        <v>1387</v>
      </c>
      <c r="C101" s="2412" t="s">
        <v>1388</v>
      </c>
      <c r="D101" s="2412"/>
      <c r="E101" s="2412"/>
      <c r="F101" s="2412"/>
      <c r="G101" s="2412"/>
      <c r="H101" s="2412"/>
      <c r="I101" s="2412"/>
      <c r="J101" s="2412"/>
      <c r="K101" s="2412"/>
      <c r="L101" s="2412"/>
      <c r="M101" s="2412"/>
      <c r="N101" s="2412"/>
      <c r="O101" s="2412"/>
      <c r="P101" s="2412"/>
      <c r="Q101" s="2412"/>
      <c r="R101" s="2412"/>
      <c r="S101" s="2412"/>
      <c r="T101" s="2412"/>
      <c r="U101" s="2412"/>
      <c r="V101" s="2412"/>
      <c r="W101" s="2412"/>
      <c r="X101" s="2412"/>
      <c r="Y101" s="2412"/>
      <c r="Z101" s="2412"/>
      <c r="AA101" s="2412"/>
      <c r="AB101" s="2412"/>
      <c r="AC101" s="2412"/>
      <c r="AD101" s="2412"/>
      <c r="AE101" s="2412"/>
      <c r="AF101" s="2412"/>
      <c r="AG101" s="2412"/>
      <c r="AH101" s="2412"/>
      <c r="AI101" s="2412"/>
      <c r="AJ101" s="2412"/>
      <c r="AK101" s="2412"/>
      <c r="AL101" s="2412"/>
      <c r="AM101" s="2412"/>
      <c r="AN101" s="2412"/>
      <c r="AO101" s="2412"/>
      <c r="AP101" s="2412"/>
      <c r="AQ101" s="2412"/>
      <c r="AR101" s="2412"/>
      <c r="AS101" s="2412"/>
    </row>
    <row r="102" spans="2:45" x14ac:dyDescent="0.2">
      <c r="B102" s="2410" t="s">
        <v>1389</v>
      </c>
      <c r="C102" s="2413"/>
      <c r="D102" s="2414" t="s">
        <v>1029</v>
      </c>
      <c r="E102" s="2414" t="s">
        <v>8</v>
      </c>
      <c r="F102" s="2414"/>
      <c r="G102" s="2414">
        <v>2012</v>
      </c>
      <c r="H102" s="2414">
        <v>2013</v>
      </c>
      <c r="I102" s="2414">
        <v>2014</v>
      </c>
      <c r="J102" s="2414">
        <v>2015</v>
      </c>
      <c r="K102" s="2414">
        <v>2016</v>
      </c>
      <c r="L102" s="2414">
        <v>2017</v>
      </c>
      <c r="M102" s="2414">
        <v>2018</v>
      </c>
      <c r="N102" s="2414">
        <v>2019</v>
      </c>
      <c r="O102" s="2414">
        <v>2020</v>
      </c>
      <c r="P102" s="2414">
        <v>2021</v>
      </c>
      <c r="Q102" s="2414">
        <v>2022</v>
      </c>
      <c r="R102" s="2414">
        <v>2023</v>
      </c>
      <c r="S102" s="2414">
        <v>2024</v>
      </c>
      <c r="T102" s="2414">
        <v>2025</v>
      </c>
      <c r="U102" s="2414">
        <v>2026</v>
      </c>
      <c r="V102" s="2414">
        <v>2027</v>
      </c>
      <c r="W102" s="2414">
        <v>2028</v>
      </c>
      <c r="X102" s="2414">
        <v>2029</v>
      </c>
      <c r="Y102" s="2414">
        <v>2030</v>
      </c>
      <c r="Z102" s="2414">
        <v>2031</v>
      </c>
      <c r="AA102" s="2414">
        <v>2032</v>
      </c>
      <c r="AB102" s="2414">
        <v>2033</v>
      </c>
      <c r="AC102" s="2414">
        <v>2034</v>
      </c>
      <c r="AD102" s="2414">
        <v>2035</v>
      </c>
      <c r="AE102" s="2414">
        <v>2036</v>
      </c>
      <c r="AF102" s="2414">
        <v>2037</v>
      </c>
      <c r="AG102" s="2414">
        <v>2038</v>
      </c>
      <c r="AH102" s="2414">
        <v>2039</v>
      </c>
      <c r="AI102" s="2414">
        <v>2040</v>
      </c>
      <c r="AJ102" s="2414">
        <v>2041</v>
      </c>
      <c r="AK102" s="2414">
        <v>2042</v>
      </c>
      <c r="AL102" s="2414">
        <v>2043</v>
      </c>
      <c r="AM102" s="2414">
        <v>2044</v>
      </c>
      <c r="AN102" s="2414">
        <v>2045</v>
      </c>
      <c r="AO102" s="2414">
        <v>2046</v>
      </c>
      <c r="AP102" s="2414">
        <v>2047</v>
      </c>
      <c r="AQ102" s="2414">
        <v>2048</v>
      </c>
      <c r="AR102" s="2414">
        <v>2049</v>
      </c>
      <c r="AS102" s="2414">
        <v>2050</v>
      </c>
    </row>
    <row r="103" spans="2:45" x14ac:dyDescent="0.2">
      <c r="B103" s="2410"/>
      <c r="C103" s="2412" t="s">
        <v>1364</v>
      </c>
      <c r="D103" s="2411"/>
      <c r="E103" s="2411"/>
      <c r="F103" s="2411"/>
      <c r="G103" s="2411"/>
      <c r="H103" s="2411"/>
      <c r="I103" s="2411"/>
      <c r="J103" s="2411"/>
      <c r="K103" s="2411"/>
      <c r="L103" s="2411"/>
      <c r="M103" s="2411"/>
      <c r="N103" s="2411"/>
      <c r="O103" s="2411"/>
      <c r="P103" s="2411"/>
      <c r="Q103" s="2411"/>
      <c r="R103" s="2411"/>
      <c r="S103" s="2411"/>
      <c r="T103" s="2411"/>
      <c r="U103" s="2411"/>
      <c r="V103" s="2411"/>
      <c r="W103" s="2411"/>
      <c r="X103" s="2411"/>
      <c r="Y103" s="2411"/>
      <c r="Z103" s="2411"/>
      <c r="AA103" s="2411"/>
      <c r="AB103" s="2411"/>
      <c r="AC103" s="2411"/>
      <c r="AD103" s="2411"/>
      <c r="AE103" s="2411"/>
      <c r="AF103" s="2411"/>
      <c r="AG103" s="2411"/>
      <c r="AH103" s="2411"/>
      <c r="AI103" s="2411"/>
      <c r="AJ103" s="2411"/>
      <c r="AK103" s="2411"/>
      <c r="AL103" s="2411"/>
      <c r="AM103" s="2411"/>
      <c r="AN103" s="2411"/>
      <c r="AO103" s="2411"/>
      <c r="AP103" s="2411"/>
      <c r="AQ103" s="2411"/>
      <c r="AR103" s="2411"/>
      <c r="AS103" s="2411"/>
    </row>
    <row r="104" spans="2:45" x14ac:dyDescent="0.2">
      <c r="B104" s="2410"/>
      <c r="C104" s="2432" t="s">
        <v>1366</v>
      </c>
      <c r="D104" s="2411" t="s">
        <v>1390</v>
      </c>
      <c r="E104" s="2411" t="s">
        <v>319</v>
      </c>
      <c r="F104" s="2411"/>
      <c r="G104" s="2431">
        <v>77444.192176414348</v>
      </c>
      <c r="H104" s="2431">
        <v>77444.192176414348</v>
      </c>
      <c r="I104" s="2431">
        <v>77444.192176414348</v>
      </c>
      <c r="J104" s="2431">
        <v>77444.192176414348</v>
      </c>
      <c r="K104" s="2431">
        <v>77444.192176414348</v>
      </c>
      <c r="L104" s="2431">
        <v>77444.192176414348</v>
      </c>
      <c r="M104" s="2431">
        <v>77444.192176414348</v>
      </c>
      <c r="N104" s="2431">
        <v>77444.192176414348</v>
      </c>
      <c r="O104" s="2431">
        <v>77444.192176414348</v>
      </c>
      <c r="P104" s="2431">
        <v>77444.192176414348</v>
      </c>
      <c r="Q104" s="2431">
        <v>77444.192176414348</v>
      </c>
      <c r="R104" s="2431">
        <v>77444.192176414348</v>
      </c>
      <c r="S104" s="2431">
        <v>77444.192176414348</v>
      </c>
      <c r="T104" s="2431">
        <v>77444.192176414348</v>
      </c>
      <c r="U104" s="2431">
        <v>77444.192176414348</v>
      </c>
      <c r="V104" s="2431">
        <v>77444.192176414348</v>
      </c>
      <c r="W104" s="2431">
        <v>77444.192176414348</v>
      </c>
      <c r="X104" s="2431">
        <v>77444.192176414348</v>
      </c>
      <c r="Y104" s="2431">
        <v>77444.192176414348</v>
      </c>
      <c r="Z104" s="2431">
        <v>77444.192176414348</v>
      </c>
      <c r="AA104" s="2431">
        <v>77444.192176414348</v>
      </c>
      <c r="AB104" s="2431">
        <v>77444.192176414348</v>
      </c>
      <c r="AC104" s="2431">
        <v>77444.192176414348</v>
      </c>
      <c r="AD104" s="2431">
        <v>77444.192176414348</v>
      </c>
      <c r="AE104" s="2431">
        <v>77444.192176414348</v>
      </c>
      <c r="AF104" s="2431">
        <v>77444.192176414348</v>
      </c>
      <c r="AG104" s="2431">
        <v>77444.192176414348</v>
      </c>
      <c r="AH104" s="2431">
        <v>77444.192176414348</v>
      </c>
      <c r="AI104" s="2431">
        <v>77444.192176414348</v>
      </c>
      <c r="AJ104" s="2431">
        <v>77444.192176414348</v>
      </c>
      <c r="AK104" s="2431">
        <v>77444.192176414348</v>
      </c>
      <c r="AL104" s="2431">
        <v>77444.192176414348</v>
      </c>
      <c r="AM104" s="2431">
        <v>77444.192176414348</v>
      </c>
      <c r="AN104" s="2431">
        <v>77444.192176414348</v>
      </c>
      <c r="AO104" s="2431">
        <v>77444.192176414348</v>
      </c>
      <c r="AP104" s="2431">
        <v>77444.192176414348</v>
      </c>
      <c r="AQ104" s="2431">
        <v>77444.192176414348</v>
      </c>
      <c r="AR104" s="2431">
        <v>77444.192176414348</v>
      </c>
      <c r="AS104" s="2431">
        <v>77444.192176414348</v>
      </c>
    </row>
    <row r="105" spans="2:45" x14ac:dyDescent="0.2">
      <c r="B105" s="2410"/>
      <c r="C105" s="2432" t="s">
        <v>1367</v>
      </c>
      <c r="D105" s="2411" t="s">
        <v>1390</v>
      </c>
      <c r="E105" s="2411" t="s">
        <v>319</v>
      </c>
      <c r="F105" s="2411"/>
      <c r="G105" s="2431">
        <v>48129.762133905584</v>
      </c>
      <c r="H105" s="2431">
        <v>48129.762133905584</v>
      </c>
      <c r="I105" s="2431">
        <v>48129.762133905584</v>
      </c>
      <c r="J105" s="2431">
        <v>48129.762133905584</v>
      </c>
      <c r="K105" s="2431">
        <v>48129.762133905584</v>
      </c>
      <c r="L105" s="2431">
        <v>48129.762133905584</v>
      </c>
      <c r="M105" s="2431">
        <v>48129.762133905584</v>
      </c>
      <c r="N105" s="2431">
        <v>48129.762133905584</v>
      </c>
      <c r="O105" s="2431">
        <v>48129.762133905584</v>
      </c>
      <c r="P105" s="2431">
        <v>48129.762133905584</v>
      </c>
      <c r="Q105" s="2431">
        <v>48129.762133905584</v>
      </c>
      <c r="R105" s="2431">
        <v>48129.762133905584</v>
      </c>
      <c r="S105" s="2431">
        <v>48129.762133905584</v>
      </c>
      <c r="T105" s="2431">
        <v>48129.762133905584</v>
      </c>
      <c r="U105" s="2431">
        <v>48129.762133905584</v>
      </c>
      <c r="V105" s="2431">
        <v>48129.762133905584</v>
      </c>
      <c r="W105" s="2431">
        <v>48129.762133905584</v>
      </c>
      <c r="X105" s="2431">
        <v>48129.762133905584</v>
      </c>
      <c r="Y105" s="2431">
        <v>48129.762133905584</v>
      </c>
      <c r="Z105" s="2431">
        <v>48129.762133905584</v>
      </c>
      <c r="AA105" s="2431">
        <v>48129.762133905584</v>
      </c>
      <c r="AB105" s="2431">
        <v>48129.762133905584</v>
      </c>
      <c r="AC105" s="2431">
        <v>48129.762133905584</v>
      </c>
      <c r="AD105" s="2431">
        <v>48129.762133905584</v>
      </c>
      <c r="AE105" s="2431">
        <v>48129.762133905584</v>
      </c>
      <c r="AF105" s="2431">
        <v>48129.762133905584</v>
      </c>
      <c r="AG105" s="2431">
        <v>48129.762133905584</v>
      </c>
      <c r="AH105" s="2431">
        <v>48129.762133905584</v>
      </c>
      <c r="AI105" s="2431">
        <v>48129.762133905584</v>
      </c>
      <c r="AJ105" s="2431">
        <v>48129.762133905584</v>
      </c>
      <c r="AK105" s="2431">
        <v>48129.762133905584</v>
      </c>
      <c r="AL105" s="2431">
        <v>48129.762133905584</v>
      </c>
      <c r="AM105" s="2431">
        <v>48129.762133905584</v>
      </c>
      <c r="AN105" s="2431">
        <v>48129.762133905584</v>
      </c>
      <c r="AO105" s="2431">
        <v>48129.762133905584</v>
      </c>
      <c r="AP105" s="2431">
        <v>48129.762133905584</v>
      </c>
      <c r="AQ105" s="2431">
        <v>48129.762133905584</v>
      </c>
      <c r="AR105" s="2431">
        <v>48129.762133905584</v>
      </c>
      <c r="AS105" s="2431">
        <v>48129.762133905584</v>
      </c>
    </row>
    <row r="106" spans="2:45" x14ac:dyDescent="0.2">
      <c r="B106" s="2410"/>
      <c r="C106" s="2432" t="s">
        <v>1368</v>
      </c>
      <c r="D106" s="2411" t="s">
        <v>1390</v>
      </c>
      <c r="E106" s="2411" t="s">
        <v>319</v>
      </c>
      <c r="F106" s="2411"/>
      <c r="G106" s="2431">
        <v>50352.194303923017</v>
      </c>
      <c r="H106" s="2431">
        <v>50352.194303923017</v>
      </c>
      <c r="I106" s="2431">
        <v>50352.194303923017</v>
      </c>
      <c r="J106" s="2431">
        <v>50352.194303923017</v>
      </c>
      <c r="K106" s="2431">
        <v>50352.194303923017</v>
      </c>
      <c r="L106" s="2431">
        <v>50352.194303923017</v>
      </c>
      <c r="M106" s="2431">
        <v>50352.194303923017</v>
      </c>
      <c r="N106" s="2431">
        <v>50352.194303923017</v>
      </c>
      <c r="O106" s="2431">
        <v>50352.194303923017</v>
      </c>
      <c r="P106" s="2431">
        <v>50352.194303923017</v>
      </c>
      <c r="Q106" s="2431">
        <v>50352.194303923017</v>
      </c>
      <c r="R106" s="2431">
        <v>50352.194303923017</v>
      </c>
      <c r="S106" s="2431">
        <v>50352.194303923017</v>
      </c>
      <c r="T106" s="2431">
        <v>50352.194303923017</v>
      </c>
      <c r="U106" s="2431">
        <v>50352.194303923017</v>
      </c>
      <c r="V106" s="2431">
        <v>50352.194303923017</v>
      </c>
      <c r="W106" s="2431">
        <v>50352.194303923017</v>
      </c>
      <c r="X106" s="2431">
        <v>50352.194303923017</v>
      </c>
      <c r="Y106" s="2431">
        <v>50352.194303923017</v>
      </c>
      <c r="Z106" s="2431">
        <v>50352.194303923017</v>
      </c>
      <c r="AA106" s="2431">
        <v>50352.194303923017</v>
      </c>
      <c r="AB106" s="2431">
        <v>50352.194303923017</v>
      </c>
      <c r="AC106" s="2431">
        <v>50352.194303923017</v>
      </c>
      <c r="AD106" s="2431">
        <v>50352.194303923017</v>
      </c>
      <c r="AE106" s="2431">
        <v>50352.194303923017</v>
      </c>
      <c r="AF106" s="2431">
        <v>50352.194303923017</v>
      </c>
      <c r="AG106" s="2431">
        <v>50352.194303923017</v>
      </c>
      <c r="AH106" s="2431">
        <v>50352.194303923017</v>
      </c>
      <c r="AI106" s="2431">
        <v>50352.194303923017</v>
      </c>
      <c r="AJ106" s="2431">
        <v>50352.194303923017</v>
      </c>
      <c r="AK106" s="2431">
        <v>50352.194303923017</v>
      </c>
      <c r="AL106" s="2431">
        <v>50352.194303923017</v>
      </c>
      <c r="AM106" s="2431">
        <v>50352.194303923017</v>
      </c>
      <c r="AN106" s="2431">
        <v>50352.194303923017</v>
      </c>
      <c r="AO106" s="2431">
        <v>50352.194303923017</v>
      </c>
      <c r="AP106" s="2431">
        <v>50352.194303923017</v>
      </c>
      <c r="AQ106" s="2431">
        <v>50352.194303923017</v>
      </c>
      <c r="AR106" s="2431">
        <v>50352.194303923017</v>
      </c>
      <c r="AS106" s="2431">
        <v>50352.194303923017</v>
      </c>
    </row>
    <row r="107" spans="2:45" x14ac:dyDescent="0.2">
      <c r="B107" s="2410"/>
      <c r="C107" s="2432" t="s">
        <v>1369</v>
      </c>
      <c r="D107" s="2411" t="s">
        <v>1390</v>
      </c>
      <c r="E107" s="2411" t="s">
        <v>319</v>
      </c>
      <c r="F107" s="2411"/>
      <c r="G107" s="2431">
        <v>62923.771894446589</v>
      </c>
      <c r="H107" s="2431">
        <v>62923.771894446589</v>
      </c>
      <c r="I107" s="2431">
        <v>62923.771894446589</v>
      </c>
      <c r="J107" s="2431">
        <v>62923.771894446589</v>
      </c>
      <c r="K107" s="2431">
        <v>62923.771894446589</v>
      </c>
      <c r="L107" s="2431">
        <v>62923.771894446589</v>
      </c>
      <c r="M107" s="2431">
        <v>62923.771894446589</v>
      </c>
      <c r="N107" s="2431">
        <v>62923.771894446589</v>
      </c>
      <c r="O107" s="2431">
        <v>62923.771894446589</v>
      </c>
      <c r="P107" s="2431">
        <v>62923.771894446589</v>
      </c>
      <c r="Q107" s="2431">
        <v>62923.771894446589</v>
      </c>
      <c r="R107" s="2431">
        <v>62923.771894446589</v>
      </c>
      <c r="S107" s="2431">
        <v>62923.771894446589</v>
      </c>
      <c r="T107" s="2431">
        <v>62923.771894446589</v>
      </c>
      <c r="U107" s="2431">
        <v>62923.771894446589</v>
      </c>
      <c r="V107" s="2431">
        <v>62923.771894446589</v>
      </c>
      <c r="W107" s="2431">
        <v>62923.771894446589</v>
      </c>
      <c r="X107" s="2431">
        <v>62923.771894446589</v>
      </c>
      <c r="Y107" s="2431">
        <v>62923.771894446589</v>
      </c>
      <c r="Z107" s="2431">
        <v>62923.771894446589</v>
      </c>
      <c r="AA107" s="2431">
        <v>62923.771894446589</v>
      </c>
      <c r="AB107" s="2431">
        <v>62923.771894446589</v>
      </c>
      <c r="AC107" s="2431">
        <v>62923.771894446589</v>
      </c>
      <c r="AD107" s="2431">
        <v>62923.771894446589</v>
      </c>
      <c r="AE107" s="2431">
        <v>62923.771894446589</v>
      </c>
      <c r="AF107" s="2431">
        <v>62923.771894446589</v>
      </c>
      <c r="AG107" s="2431">
        <v>62923.771894446589</v>
      </c>
      <c r="AH107" s="2431">
        <v>62923.771894446589</v>
      </c>
      <c r="AI107" s="2431">
        <v>62923.771894446589</v>
      </c>
      <c r="AJ107" s="2431">
        <v>62923.771894446589</v>
      </c>
      <c r="AK107" s="2431">
        <v>62923.771894446589</v>
      </c>
      <c r="AL107" s="2431">
        <v>62923.771894446589</v>
      </c>
      <c r="AM107" s="2431">
        <v>62923.771894446589</v>
      </c>
      <c r="AN107" s="2431">
        <v>62923.771894446589</v>
      </c>
      <c r="AO107" s="2431">
        <v>62923.771894446589</v>
      </c>
      <c r="AP107" s="2431">
        <v>62923.771894446589</v>
      </c>
      <c r="AQ107" s="2431">
        <v>62923.771894446589</v>
      </c>
      <c r="AR107" s="2431">
        <v>62923.771894446589</v>
      </c>
      <c r="AS107" s="2431">
        <v>62923.771894446589</v>
      </c>
    </row>
    <row r="108" spans="2:45" x14ac:dyDescent="0.2">
      <c r="B108" s="2410"/>
      <c r="C108" s="2432" t="s">
        <v>1370</v>
      </c>
      <c r="D108" s="2411" t="s">
        <v>1390</v>
      </c>
      <c r="E108" s="2411" t="s">
        <v>319</v>
      </c>
      <c r="F108" s="2411"/>
      <c r="G108" s="2431">
        <v>40916.446348795158</v>
      </c>
      <c r="H108" s="2431">
        <v>40916.446348795158</v>
      </c>
      <c r="I108" s="2431">
        <v>40916.446348795158</v>
      </c>
      <c r="J108" s="2431">
        <v>40916.446348795158</v>
      </c>
      <c r="K108" s="2431">
        <v>40916.446348795158</v>
      </c>
      <c r="L108" s="2431">
        <v>40916.446348795158</v>
      </c>
      <c r="M108" s="2431">
        <v>40916.446348795158</v>
      </c>
      <c r="N108" s="2431">
        <v>40916.446348795158</v>
      </c>
      <c r="O108" s="2431">
        <v>40916.446348795158</v>
      </c>
      <c r="P108" s="2431">
        <v>40916.446348795158</v>
      </c>
      <c r="Q108" s="2431">
        <v>40916.446348795158</v>
      </c>
      <c r="R108" s="2431">
        <v>40916.446348795158</v>
      </c>
      <c r="S108" s="2431">
        <v>40916.446348795158</v>
      </c>
      <c r="T108" s="2431">
        <v>40916.446348795158</v>
      </c>
      <c r="U108" s="2431">
        <v>40916.446348795158</v>
      </c>
      <c r="V108" s="2431">
        <v>40916.446348795158</v>
      </c>
      <c r="W108" s="2431">
        <v>40916.446348795158</v>
      </c>
      <c r="X108" s="2431">
        <v>40916.446348795158</v>
      </c>
      <c r="Y108" s="2431">
        <v>40916.446348795158</v>
      </c>
      <c r="Z108" s="2431">
        <v>40916.446348795158</v>
      </c>
      <c r="AA108" s="2431">
        <v>40916.446348795158</v>
      </c>
      <c r="AB108" s="2431">
        <v>40916.446348795158</v>
      </c>
      <c r="AC108" s="2431">
        <v>40916.446348795158</v>
      </c>
      <c r="AD108" s="2431">
        <v>40916.446348795158</v>
      </c>
      <c r="AE108" s="2431">
        <v>40916.446348795158</v>
      </c>
      <c r="AF108" s="2431">
        <v>40916.446348795158</v>
      </c>
      <c r="AG108" s="2431">
        <v>40916.446348795158</v>
      </c>
      <c r="AH108" s="2431">
        <v>40916.446348795158</v>
      </c>
      <c r="AI108" s="2431">
        <v>40916.446348795158</v>
      </c>
      <c r="AJ108" s="2431">
        <v>40916.446348795158</v>
      </c>
      <c r="AK108" s="2431">
        <v>40916.446348795158</v>
      </c>
      <c r="AL108" s="2431">
        <v>40916.446348795158</v>
      </c>
      <c r="AM108" s="2431">
        <v>40916.446348795158</v>
      </c>
      <c r="AN108" s="2431">
        <v>40916.446348795158</v>
      </c>
      <c r="AO108" s="2431">
        <v>40916.446348795158</v>
      </c>
      <c r="AP108" s="2431">
        <v>40916.446348795158</v>
      </c>
      <c r="AQ108" s="2431">
        <v>40916.446348795158</v>
      </c>
      <c r="AR108" s="2431">
        <v>40916.446348795158</v>
      </c>
      <c r="AS108" s="2431">
        <v>40916.446348795158</v>
      </c>
    </row>
    <row r="109" spans="2:45" x14ac:dyDescent="0.2">
      <c r="B109" s="2410"/>
      <c r="C109" s="2432" t="s">
        <v>1371</v>
      </c>
      <c r="D109" s="2411" t="s">
        <v>1390</v>
      </c>
      <c r="E109" s="2411" t="s">
        <v>319</v>
      </c>
      <c r="F109" s="2411"/>
      <c r="G109" s="2431">
        <v>31657.316142375934</v>
      </c>
      <c r="H109" s="2431">
        <v>31657.316142375934</v>
      </c>
      <c r="I109" s="2431">
        <v>31657.316142375934</v>
      </c>
      <c r="J109" s="2431">
        <v>31657.316142375934</v>
      </c>
      <c r="K109" s="2431">
        <v>31657.316142375934</v>
      </c>
      <c r="L109" s="2431">
        <v>31657.316142375934</v>
      </c>
      <c r="M109" s="2431">
        <v>31657.316142375934</v>
      </c>
      <c r="N109" s="2431">
        <v>31657.316142375934</v>
      </c>
      <c r="O109" s="2431">
        <v>31657.316142375934</v>
      </c>
      <c r="P109" s="2431">
        <v>31657.316142375934</v>
      </c>
      <c r="Q109" s="2431">
        <v>31657.316142375934</v>
      </c>
      <c r="R109" s="2431">
        <v>31657.316142375934</v>
      </c>
      <c r="S109" s="2431">
        <v>31657.316142375934</v>
      </c>
      <c r="T109" s="2431">
        <v>31657.316142375934</v>
      </c>
      <c r="U109" s="2431">
        <v>31657.316142375934</v>
      </c>
      <c r="V109" s="2431">
        <v>31657.316142375934</v>
      </c>
      <c r="W109" s="2431">
        <v>31657.316142375934</v>
      </c>
      <c r="X109" s="2431">
        <v>31657.316142375934</v>
      </c>
      <c r="Y109" s="2431">
        <v>31657.316142375934</v>
      </c>
      <c r="Z109" s="2431">
        <v>31657.316142375934</v>
      </c>
      <c r="AA109" s="2431">
        <v>31657.316142375934</v>
      </c>
      <c r="AB109" s="2431">
        <v>31657.316142375934</v>
      </c>
      <c r="AC109" s="2431">
        <v>31657.316142375934</v>
      </c>
      <c r="AD109" s="2431">
        <v>31657.316142375934</v>
      </c>
      <c r="AE109" s="2431">
        <v>31657.316142375934</v>
      </c>
      <c r="AF109" s="2431">
        <v>31657.316142375934</v>
      </c>
      <c r="AG109" s="2431">
        <v>31657.316142375934</v>
      </c>
      <c r="AH109" s="2431">
        <v>31657.316142375934</v>
      </c>
      <c r="AI109" s="2431">
        <v>31657.316142375934</v>
      </c>
      <c r="AJ109" s="2431">
        <v>31657.316142375934</v>
      </c>
      <c r="AK109" s="2431">
        <v>31657.316142375934</v>
      </c>
      <c r="AL109" s="2431">
        <v>31657.316142375934</v>
      </c>
      <c r="AM109" s="2431">
        <v>31657.316142375934</v>
      </c>
      <c r="AN109" s="2431">
        <v>31657.316142375934</v>
      </c>
      <c r="AO109" s="2431">
        <v>31657.316142375934</v>
      </c>
      <c r="AP109" s="2431">
        <v>31657.316142375934</v>
      </c>
      <c r="AQ109" s="2431">
        <v>31657.316142375934</v>
      </c>
      <c r="AR109" s="2431">
        <v>31657.316142375934</v>
      </c>
      <c r="AS109" s="2431">
        <v>31657.316142375934</v>
      </c>
    </row>
    <row r="110" spans="2:45" x14ac:dyDescent="0.2">
      <c r="B110" s="2410"/>
      <c r="C110" s="2412" t="s">
        <v>1372</v>
      </c>
      <c r="D110" s="2411" t="s">
        <v>1390</v>
      </c>
      <c r="E110" s="2411" t="s">
        <v>319</v>
      </c>
      <c r="F110" s="2411"/>
      <c r="G110" s="2431">
        <v>4999.9999999999991</v>
      </c>
      <c r="H110" s="2431">
        <v>4999.9999999999991</v>
      </c>
      <c r="I110" s="2431">
        <v>4999.9999999999991</v>
      </c>
      <c r="J110" s="2431">
        <v>4999.9999999999991</v>
      </c>
      <c r="K110" s="2431">
        <v>4999.9999999999991</v>
      </c>
      <c r="L110" s="2431">
        <v>4999.9999999999991</v>
      </c>
      <c r="M110" s="2431">
        <v>4999.9999999999991</v>
      </c>
      <c r="N110" s="2431">
        <v>4999.9999999999991</v>
      </c>
      <c r="O110" s="2431">
        <v>4999.9999999999991</v>
      </c>
      <c r="P110" s="2431">
        <v>4999.9999999999991</v>
      </c>
      <c r="Q110" s="2431">
        <v>4999.9999999999991</v>
      </c>
      <c r="R110" s="2431">
        <v>4999.9999999999991</v>
      </c>
      <c r="S110" s="2431">
        <v>4999.9999999999991</v>
      </c>
      <c r="T110" s="2431">
        <v>4999.9999999999991</v>
      </c>
      <c r="U110" s="2431">
        <v>4999.9999999999991</v>
      </c>
      <c r="V110" s="2431">
        <v>4999.9999999999991</v>
      </c>
      <c r="W110" s="2431">
        <v>4999.9999999999991</v>
      </c>
      <c r="X110" s="2431">
        <v>4999.9999999999991</v>
      </c>
      <c r="Y110" s="2431">
        <v>4999.9999999999991</v>
      </c>
      <c r="Z110" s="2431">
        <v>4999.9999999999991</v>
      </c>
      <c r="AA110" s="2431">
        <v>4999.9999999999991</v>
      </c>
      <c r="AB110" s="2431">
        <v>4999.9999999999991</v>
      </c>
      <c r="AC110" s="2431">
        <v>4999.9999999999991</v>
      </c>
      <c r="AD110" s="2431">
        <v>4999.9999999999991</v>
      </c>
      <c r="AE110" s="2431">
        <v>4999.9999999999991</v>
      </c>
      <c r="AF110" s="2431">
        <v>4999.9999999999991</v>
      </c>
      <c r="AG110" s="2431">
        <v>4999.9999999999991</v>
      </c>
      <c r="AH110" s="2431">
        <v>4999.9999999999991</v>
      </c>
      <c r="AI110" s="2431">
        <v>4999.9999999999991</v>
      </c>
      <c r="AJ110" s="2431">
        <v>4999.9999999999991</v>
      </c>
      <c r="AK110" s="2431">
        <v>4999.9999999999991</v>
      </c>
      <c r="AL110" s="2431">
        <v>4999.9999999999991</v>
      </c>
      <c r="AM110" s="2431">
        <v>4999.9999999999991</v>
      </c>
      <c r="AN110" s="2431">
        <v>4999.9999999999991</v>
      </c>
      <c r="AO110" s="2431">
        <v>4999.9999999999991</v>
      </c>
      <c r="AP110" s="2431">
        <v>4999.9999999999991</v>
      </c>
      <c r="AQ110" s="2431">
        <v>4999.9999999999991</v>
      </c>
      <c r="AR110" s="2431">
        <v>4999.9999999999991</v>
      </c>
      <c r="AS110" s="2431">
        <v>4999.9999999999991</v>
      </c>
    </row>
    <row r="111" spans="2:45" x14ac:dyDescent="0.2">
      <c r="B111" s="2410"/>
      <c r="C111" s="2412" t="s">
        <v>1373</v>
      </c>
      <c r="D111" s="2411" t="s">
        <v>1390</v>
      </c>
      <c r="E111" s="2411" t="s">
        <v>319</v>
      </c>
      <c r="F111" s="2411"/>
      <c r="G111" s="2431">
        <v>18000.000000000007</v>
      </c>
      <c r="H111" s="2431">
        <v>18000.000000000007</v>
      </c>
      <c r="I111" s="2431">
        <v>18000.000000000007</v>
      </c>
      <c r="J111" s="2431">
        <v>18000.000000000007</v>
      </c>
      <c r="K111" s="2431">
        <v>18000.000000000007</v>
      </c>
      <c r="L111" s="2431">
        <v>18000.000000000007</v>
      </c>
      <c r="M111" s="2431">
        <v>18000.000000000007</v>
      </c>
      <c r="N111" s="2431">
        <v>18000.000000000007</v>
      </c>
      <c r="O111" s="2431">
        <v>18000.000000000007</v>
      </c>
      <c r="P111" s="2431">
        <v>18000.000000000007</v>
      </c>
      <c r="Q111" s="2431">
        <v>18000.000000000007</v>
      </c>
      <c r="R111" s="2431">
        <v>18000.000000000007</v>
      </c>
      <c r="S111" s="2431">
        <v>18000.000000000007</v>
      </c>
      <c r="T111" s="2431">
        <v>18000.000000000007</v>
      </c>
      <c r="U111" s="2431">
        <v>18000.000000000007</v>
      </c>
      <c r="V111" s="2431">
        <v>18000.000000000007</v>
      </c>
      <c r="W111" s="2431">
        <v>18000.000000000007</v>
      </c>
      <c r="X111" s="2431">
        <v>18000.000000000007</v>
      </c>
      <c r="Y111" s="2431">
        <v>18000.000000000007</v>
      </c>
      <c r="Z111" s="2431">
        <v>18000.000000000007</v>
      </c>
      <c r="AA111" s="2431">
        <v>18000.000000000007</v>
      </c>
      <c r="AB111" s="2431">
        <v>18000.000000000007</v>
      </c>
      <c r="AC111" s="2431">
        <v>18000.000000000007</v>
      </c>
      <c r="AD111" s="2431">
        <v>18000.000000000007</v>
      </c>
      <c r="AE111" s="2431">
        <v>18000.000000000007</v>
      </c>
      <c r="AF111" s="2431">
        <v>18000.000000000007</v>
      </c>
      <c r="AG111" s="2431">
        <v>18000.000000000007</v>
      </c>
      <c r="AH111" s="2431">
        <v>18000.000000000007</v>
      </c>
      <c r="AI111" s="2431">
        <v>18000.000000000007</v>
      </c>
      <c r="AJ111" s="2431">
        <v>18000.000000000007</v>
      </c>
      <c r="AK111" s="2431">
        <v>18000.000000000007</v>
      </c>
      <c r="AL111" s="2431">
        <v>18000.000000000007</v>
      </c>
      <c r="AM111" s="2431">
        <v>18000.000000000007</v>
      </c>
      <c r="AN111" s="2431">
        <v>18000.000000000007</v>
      </c>
      <c r="AO111" s="2431">
        <v>18000.000000000007</v>
      </c>
      <c r="AP111" s="2431">
        <v>18000.000000000007</v>
      </c>
      <c r="AQ111" s="2431">
        <v>18000.000000000007</v>
      </c>
      <c r="AR111" s="2431">
        <v>18000.000000000007</v>
      </c>
      <c r="AS111" s="2431">
        <v>18000.000000000007</v>
      </c>
    </row>
    <row r="112" spans="2:45" x14ac:dyDescent="0.2">
      <c r="B112" s="2410"/>
      <c r="C112" s="2412" t="s">
        <v>1374</v>
      </c>
      <c r="D112" s="2411" t="s">
        <v>1390</v>
      </c>
      <c r="E112" s="2411" t="s">
        <v>319</v>
      </c>
      <c r="F112" s="2411"/>
      <c r="G112" s="2431">
        <v>10000</v>
      </c>
      <c r="H112" s="2431">
        <v>10000</v>
      </c>
      <c r="I112" s="2431">
        <v>10000</v>
      </c>
      <c r="J112" s="2431">
        <v>10000</v>
      </c>
      <c r="K112" s="2431">
        <v>10000</v>
      </c>
      <c r="L112" s="2431">
        <v>10000</v>
      </c>
      <c r="M112" s="2431">
        <v>10000</v>
      </c>
      <c r="N112" s="2431">
        <v>10000</v>
      </c>
      <c r="O112" s="2431">
        <v>10000</v>
      </c>
      <c r="P112" s="2431">
        <v>10000</v>
      </c>
      <c r="Q112" s="2431">
        <v>10000</v>
      </c>
      <c r="R112" s="2431">
        <v>10000</v>
      </c>
      <c r="S112" s="2431">
        <v>10000</v>
      </c>
      <c r="T112" s="2431">
        <v>10000</v>
      </c>
      <c r="U112" s="2431">
        <v>10000</v>
      </c>
      <c r="V112" s="2431">
        <v>10000</v>
      </c>
      <c r="W112" s="2431">
        <v>10000</v>
      </c>
      <c r="X112" s="2431">
        <v>10000</v>
      </c>
      <c r="Y112" s="2431">
        <v>10000</v>
      </c>
      <c r="Z112" s="2431">
        <v>10000</v>
      </c>
      <c r="AA112" s="2431">
        <v>10000</v>
      </c>
      <c r="AB112" s="2431">
        <v>10000</v>
      </c>
      <c r="AC112" s="2431">
        <v>10000</v>
      </c>
      <c r="AD112" s="2431">
        <v>10000</v>
      </c>
      <c r="AE112" s="2431">
        <v>10000</v>
      </c>
      <c r="AF112" s="2431">
        <v>10000</v>
      </c>
      <c r="AG112" s="2431">
        <v>10000</v>
      </c>
      <c r="AH112" s="2431">
        <v>10000</v>
      </c>
      <c r="AI112" s="2431">
        <v>10000</v>
      </c>
      <c r="AJ112" s="2431">
        <v>10000</v>
      </c>
      <c r="AK112" s="2431">
        <v>10000</v>
      </c>
      <c r="AL112" s="2431">
        <v>10000</v>
      </c>
      <c r="AM112" s="2431">
        <v>10000</v>
      </c>
      <c r="AN112" s="2431">
        <v>10000</v>
      </c>
      <c r="AO112" s="2431">
        <v>10000</v>
      </c>
      <c r="AP112" s="2431">
        <v>10000</v>
      </c>
      <c r="AQ112" s="2431">
        <v>10000</v>
      </c>
      <c r="AR112" s="2431">
        <v>10000</v>
      </c>
      <c r="AS112" s="2431">
        <v>10000</v>
      </c>
    </row>
    <row r="113" spans="2:45" x14ac:dyDescent="0.2">
      <c r="B113" s="2410"/>
      <c r="C113" s="2412" t="s">
        <v>1375</v>
      </c>
      <c r="D113" s="2411" t="s">
        <v>1390</v>
      </c>
      <c r="E113" s="2411" t="s">
        <v>319</v>
      </c>
      <c r="F113" s="2411"/>
      <c r="G113" s="2431">
        <v>7999.9999999999982</v>
      </c>
      <c r="H113" s="2431">
        <v>7999.9999999999982</v>
      </c>
      <c r="I113" s="2431">
        <v>7999.9999999999982</v>
      </c>
      <c r="J113" s="2431">
        <v>7999.9999999999982</v>
      </c>
      <c r="K113" s="2431">
        <v>7999.9999999999982</v>
      </c>
      <c r="L113" s="2431">
        <v>7999.9999999999982</v>
      </c>
      <c r="M113" s="2431">
        <v>7999.9999999999982</v>
      </c>
      <c r="N113" s="2431">
        <v>7999.9999999999982</v>
      </c>
      <c r="O113" s="2431">
        <v>7999.9999999999982</v>
      </c>
      <c r="P113" s="2431">
        <v>7999.9999999999982</v>
      </c>
      <c r="Q113" s="2431">
        <v>7999.9999999999982</v>
      </c>
      <c r="R113" s="2431">
        <v>7999.9999999999982</v>
      </c>
      <c r="S113" s="2431">
        <v>7999.9999999999982</v>
      </c>
      <c r="T113" s="2431">
        <v>7999.9999999999982</v>
      </c>
      <c r="U113" s="2431">
        <v>7999.9999999999982</v>
      </c>
      <c r="V113" s="2431">
        <v>7999.9999999999982</v>
      </c>
      <c r="W113" s="2431">
        <v>7999.9999999999982</v>
      </c>
      <c r="X113" s="2431">
        <v>7999.9999999999982</v>
      </c>
      <c r="Y113" s="2431">
        <v>7999.9999999999982</v>
      </c>
      <c r="Z113" s="2431">
        <v>7999.9999999999982</v>
      </c>
      <c r="AA113" s="2431">
        <v>7999.9999999999982</v>
      </c>
      <c r="AB113" s="2431">
        <v>7999.9999999999982</v>
      </c>
      <c r="AC113" s="2431">
        <v>7999.9999999999982</v>
      </c>
      <c r="AD113" s="2431">
        <v>7999.9999999999982</v>
      </c>
      <c r="AE113" s="2431">
        <v>7999.9999999999982</v>
      </c>
      <c r="AF113" s="2431">
        <v>7999.9999999999982</v>
      </c>
      <c r="AG113" s="2431">
        <v>7999.9999999999982</v>
      </c>
      <c r="AH113" s="2431">
        <v>7999.9999999999982</v>
      </c>
      <c r="AI113" s="2431">
        <v>7999.9999999999982</v>
      </c>
      <c r="AJ113" s="2431">
        <v>7999.9999999999982</v>
      </c>
      <c r="AK113" s="2431">
        <v>7999.9999999999982</v>
      </c>
      <c r="AL113" s="2431">
        <v>7999.9999999999982</v>
      </c>
      <c r="AM113" s="2431">
        <v>7999.9999999999982</v>
      </c>
      <c r="AN113" s="2431">
        <v>7999.9999999999982</v>
      </c>
      <c r="AO113" s="2431">
        <v>7999.9999999999982</v>
      </c>
      <c r="AP113" s="2431">
        <v>7999.9999999999982</v>
      </c>
      <c r="AQ113" s="2431">
        <v>7999.9999999999982</v>
      </c>
      <c r="AR113" s="2431">
        <v>7999.9999999999982</v>
      </c>
      <c r="AS113" s="2431">
        <v>7999.9999999999982</v>
      </c>
    </row>
    <row r="114" spans="2:45" x14ac:dyDescent="0.2">
      <c r="B114" s="2410"/>
      <c r="C114" s="2412" t="s">
        <v>1376</v>
      </c>
      <c r="D114" s="2411" t="s">
        <v>1390</v>
      </c>
      <c r="E114" s="2411" t="s">
        <v>319</v>
      </c>
      <c r="F114" s="2411"/>
      <c r="G114" s="2431">
        <v>4999.9999999999991</v>
      </c>
      <c r="H114" s="2431">
        <v>4999.9999999999991</v>
      </c>
      <c r="I114" s="2431">
        <v>4999.9999999999991</v>
      </c>
      <c r="J114" s="2431">
        <v>4999.9999999999991</v>
      </c>
      <c r="K114" s="2431">
        <v>4999.9999999999991</v>
      </c>
      <c r="L114" s="2431">
        <v>4999.9999999999991</v>
      </c>
      <c r="M114" s="2431">
        <v>4999.9999999999991</v>
      </c>
      <c r="N114" s="2431">
        <v>4999.9999999999991</v>
      </c>
      <c r="O114" s="2431">
        <v>4999.9999999999991</v>
      </c>
      <c r="P114" s="2431">
        <v>4999.9999999999991</v>
      </c>
      <c r="Q114" s="2431">
        <v>4999.9999999999991</v>
      </c>
      <c r="R114" s="2431">
        <v>4999.9999999999991</v>
      </c>
      <c r="S114" s="2431">
        <v>4999.9999999999991</v>
      </c>
      <c r="T114" s="2431">
        <v>4999.9999999999991</v>
      </c>
      <c r="U114" s="2431">
        <v>4999.9999999999991</v>
      </c>
      <c r="V114" s="2431">
        <v>4999.9999999999991</v>
      </c>
      <c r="W114" s="2431">
        <v>4999.9999999999991</v>
      </c>
      <c r="X114" s="2431">
        <v>4999.9999999999991</v>
      </c>
      <c r="Y114" s="2431">
        <v>4999.9999999999991</v>
      </c>
      <c r="Z114" s="2431">
        <v>4999.9999999999991</v>
      </c>
      <c r="AA114" s="2431">
        <v>4999.9999999999991</v>
      </c>
      <c r="AB114" s="2431">
        <v>4999.9999999999991</v>
      </c>
      <c r="AC114" s="2431">
        <v>4999.9999999999991</v>
      </c>
      <c r="AD114" s="2431">
        <v>4999.9999999999991</v>
      </c>
      <c r="AE114" s="2431">
        <v>4999.9999999999991</v>
      </c>
      <c r="AF114" s="2431">
        <v>4999.9999999999991</v>
      </c>
      <c r="AG114" s="2431">
        <v>4999.9999999999991</v>
      </c>
      <c r="AH114" s="2431">
        <v>4999.9999999999991</v>
      </c>
      <c r="AI114" s="2431">
        <v>4999.9999999999991</v>
      </c>
      <c r="AJ114" s="2431">
        <v>4999.9999999999991</v>
      </c>
      <c r="AK114" s="2431">
        <v>4999.9999999999991</v>
      </c>
      <c r="AL114" s="2431">
        <v>4999.9999999999991</v>
      </c>
      <c r="AM114" s="2431">
        <v>4999.9999999999991</v>
      </c>
      <c r="AN114" s="2431">
        <v>4999.9999999999991</v>
      </c>
      <c r="AO114" s="2431">
        <v>4999.9999999999991</v>
      </c>
      <c r="AP114" s="2431">
        <v>4999.9999999999991</v>
      </c>
      <c r="AQ114" s="2431">
        <v>4999.9999999999991</v>
      </c>
      <c r="AR114" s="2431">
        <v>4999.9999999999991</v>
      </c>
      <c r="AS114" s="2431">
        <v>4999.9999999999991</v>
      </c>
    </row>
    <row r="115" spans="2:45" x14ac:dyDescent="0.2">
      <c r="B115" s="2410"/>
      <c r="C115" s="2412" t="s">
        <v>1377</v>
      </c>
      <c r="D115" s="2411"/>
      <c r="E115" s="2411"/>
      <c r="F115" s="2411"/>
      <c r="G115" s="2410"/>
      <c r="H115" s="2410"/>
      <c r="I115" s="2410"/>
      <c r="J115" s="2410"/>
      <c r="K115" s="2410"/>
      <c r="L115" s="2410"/>
      <c r="M115" s="2410"/>
      <c r="N115" s="2410"/>
      <c r="O115" s="2410"/>
      <c r="P115" s="2410"/>
      <c r="Q115" s="2410"/>
      <c r="R115" s="2410"/>
      <c r="S115" s="2410"/>
      <c r="T115" s="2410"/>
      <c r="U115" s="2410"/>
      <c r="V115" s="2410"/>
      <c r="W115" s="2410"/>
      <c r="X115" s="2410"/>
      <c r="Y115" s="2410"/>
      <c r="Z115" s="2410"/>
      <c r="AA115" s="2410"/>
      <c r="AB115" s="2410"/>
      <c r="AC115" s="2410"/>
      <c r="AD115" s="2410"/>
      <c r="AE115" s="2410"/>
      <c r="AF115" s="2410"/>
      <c r="AG115" s="2410"/>
      <c r="AH115" s="2410"/>
      <c r="AI115" s="2410"/>
      <c r="AJ115" s="2410"/>
      <c r="AK115" s="2410"/>
      <c r="AL115" s="2410"/>
      <c r="AM115" s="2410"/>
      <c r="AN115" s="2410"/>
      <c r="AO115" s="2410"/>
      <c r="AP115" s="2410"/>
      <c r="AQ115" s="2410"/>
      <c r="AR115" s="2410"/>
      <c r="AS115" s="2410"/>
    </row>
    <row r="116" spans="2:45" x14ac:dyDescent="0.2">
      <c r="B116" s="2410"/>
      <c r="C116" s="2432" t="s">
        <v>1378</v>
      </c>
      <c r="D116" s="2411" t="s">
        <v>1390</v>
      </c>
      <c r="E116" s="2411" t="s">
        <v>319</v>
      </c>
      <c r="F116" s="2411"/>
      <c r="G116" s="2431">
        <v>1500</v>
      </c>
      <c r="H116" s="2431">
        <v>1500</v>
      </c>
      <c r="I116" s="2431">
        <v>1500</v>
      </c>
      <c r="J116" s="2431">
        <v>1500</v>
      </c>
      <c r="K116" s="2431">
        <v>1500</v>
      </c>
      <c r="L116" s="2431">
        <v>1500</v>
      </c>
      <c r="M116" s="2431">
        <v>1500</v>
      </c>
      <c r="N116" s="2431">
        <v>1500</v>
      </c>
      <c r="O116" s="2431">
        <v>1500</v>
      </c>
      <c r="P116" s="2431">
        <v>1500</v>
      </c>
      <c r="Q116" s="2431">
        <v>1500</v>
      </c>
      <c r="R116" s="2431">
        <v>1500</v>
      </c>
      <c r="S116" s="2431">
        <v>1500</v>
      </c>
      <c r="T116" s="2431">
        <v>1500</v>
      </c>
      <c r="U116" s="2431">
        <v>1500</v>
      </c>
      <c r="V116" s="2431">
        <v>1500</v>
      </c>
      <c r="W116" s="2431">
        <v>1500</v>
      </c>
      <c r="X116" s="2431">
        <v>1500</v>
      </c>
      <c r="Y116" s="2431">
        <v>1500</v>
      </c>
      <c r="Z116" s="2431">
        <v>1500</v>
      </c>
      <c r="AA116" s="2431">
        <v>1500</v>
      </c>
      <c r="AB116" s="2431">
        <v>1500</v>
      </c>
      <c r="AC116" s="2431">
        <v>1500</v>
      </c>
      <c r="AD116" s="2431">
        <v>1500</v>
      </c>
      <c r="AE116" s="2431">
        <v>1500</v>
      </c>
      <c r="AF116" s="2431">
        <v>1500</v>
      </c>
      <c r="AG116" s="2431">
        <v>1500</v>
      </c>
      <c r="AH116" s="2431">
        <v>1500</v>
      </c>
      <c r="AI116" s="2431">
        <v>1500</v>
      </c>
      <c r="AJ116" s="2431">
        <v>1500</v>
      </c>
      <c r="AK116" s="2431">
        <v>1500</v>
      </c>
      <c r="AL116" s="2431">
        <v>1500</v>
      </c>
      <c r="AM116" s="2431">
        <v>1500</v>
      </c>
      <c r="AN116" s="2431">
        <v>1500</v>
      </c>
      <c r="AO116" s="2431">
        <v>1500</v>
      </c>
      <c r="AP116" s="2431">
        <v>1500</v>
      </c>
      <c r="AQ116" s="2431">
        <v>1500</v>
      </c>
      <c r="AR116" s="2431">
        <v>1500</v>
      </c>
      <c r="AS116" s="2431">
        <v>1500</v>
      </c>
    </row>
    <row r="117" spans="2:45" x14ac:dyDescent="0.2">
      <c r="B117" s="2410"/>
      <c r="C117" s="2432" t="s">
        <v>1379</v>
      </c>
      <c r="D117" s="2411" t="s">
        <v>1390</v>
      </c>
      <c r="E117" s="2411" t="s">
        <v>319</v>
      </c>
      <c r="F117" s="2411"/>
      <c r="G117" s="2431">
        <v>1500</v>
      </c>
      <c r="H117" s="2431">
        <v>1500</v>
      </c>
      <c r="I117" s="2431">
        <v>1500</v>
      </c>
      <c r="J117" s="2431">
        <v>1500</v>
      </c>
      <c r="K117" s="2431">
        <v>1500</v>
      </c>
      <c r="L117" s="2431">
        <v>1500</v>
      </c>
      <c r="M117" s="2431">
        <v>1500</v>
      </c>
      <c r="N117" s="2431">
        <v>1500</v>
      </c>
      <c r="O117" s="2431">
        <v>1500</v>
      </c>
      <c r="P117" s="2431">
        <v>1500</v>
      </c>
      <c r="Q117" s="2431">
        <v>1500</v>
      </c>
      <c r="R117" s="2431">
        <v>1500</v>
      </c>
      <c r="S117" s="2431">
        <v>1500</v>
      </c>
      <c r="T117" s="2431">
        <v>1500</v>
      </c>
      <c r="U117" s="2431">
        <v>1500</v>
      </c>
      <c r="V117" s="2431">
        <v>1500</v>
      </c>
      <c r="W117" s="2431">
        <v>1500</v>
      </c>
      <c r="X117" s="2431">
        <v>1500</v>
      </c>
      <c r="Y117" s="2431">
        <v>1500</v>
      </c>
      <c r="Z117" s="2431">
        <v>1500</v>
      </c>
      <c r="AA117" s="2431">
        <v>1500</v>
      </c>
      <c r="AB117" s="2431">
        <v>1500</v>
      </c>
      <c r="AC117" s="2431">
        <v>1500</v>
      </c>
      <c r="AD117" s="2431">
        <v>1500</v>
      </c>
      <c r="AE117" s="2431">
        <v>1500</v>
      </c>
      <c r="AF117" s="2431">
        <v>1500</v>
      </c>
      <c r="AG117" s="2431">
        <v>1500</v>
      </c>
      <c r="AH117" s="2431">
        <v>1500</v>
      </c>
      <c r="AI117" s="2431">
        <v>1500</v>
      </c>
      <c r="AJ117" s="2431">
        <v>1500</v>
      </c>
      <c r="AK117" s="2431">
        <v>1500</v>
      </c>
      <c r="AL117" s="2431">
        <v>1500</v>
      </c>
      <c r="AM117" s="2431">
        <v>1500</v>
      </c>
      <c r="AN117" s="2431">
        <v>1500</v>
      </c>
      <c r="AO117" s="2431">
        <v>1500</v>
      </c>
      <c r="AP117" s="2431">
        <v>1500</v>
      </c>
      <c r="AQ117" s="2431">
        <v>1500</v>
      </c>
      <c r="AR117" s="2431">
        <v>1500</v>
      </c>
      <c r="AS117" s="2431">
        <v>1500</v>
      </c>
    </row>
    <row r="118" spans="2:45" x14ac:dyDescent="0.2">
      <c r="B118" s="2410"/>
      <c r="C118" s="2432" t="s">
        <v>1380</v>
      </c>
      <c r="D118" s="2411" t="s">
        <v>1390</v>
      </c>
      <c r="E118" s="2411" t="s">
        <v>319</v>
      </c>
      <c r="F118" s="2411"/>
      <c r="G118" s="2431">
        <v>1500</v>
      </c>
      <c r="H118" s="2431">
        <v>1500</v>
      </c>
      <c r="I118" s="2431">
        <v>1500</v>
      </c>
      <c r="J118" s="2431">
        <v>1500</v>
      </c>
      <c r="K118" s="2431">
        <v>1500</v>
      </c>
      <c r="L118" s="2431">
        <v>1500</v>
      </c>
      <c r="M118" s="2431">
        <v>1500</v>
      </c>
      <c r="N118" s="2431">
        <v>1500</v>
      </c>
      <c r="O118" s="2431">
        <v>1500</v>
      </c>
      <c r="P118" s="2431">
        <v>1500</v>
      </c>
      <c r="Q118" s="2431">
        <v>1500</v>
      </c>
      <c r="R118" s="2431">
        <v>1500</v>
      </c>
      <c r="S118" s="2431">
        <v>1500</v>
      </c>
      <c r="T118" s="2431">
        <v>1500</v>
      </c>
      <c r="U118" s="2431">
        <v>1500</v>
      </c>
      <c r="V118" s="2431">
        <v>1500</v>
      </c>
      <c r="W118" s="2431">
        <v>1500</v>
      </c>
      <c r="X118" s="2431">
        <v>1500</v>
      </c>
      <c r="Y118" s="2431">
        <v>1500</v>
      </c>
      <c r="Z118" s="2431">
        <v>1500</v>
      </c>
      <c r="AA118" s="2431">
        <v>1500</v>
      </c>
      <c r="AB118" s="2431">
        <v>1500</v>
      </c>
      <c r="AC118" s="2431">
        <v>1500</v>
      </c>
      <c r="AD118" s="2431">
        <v>1500</v>
      </c>
      <c r="AE118" s="2431">
        <v>1500</v>
      </c>
      <c r="AF118" s="2431">
        <v>1500</v>
      </c>
      <c r="AG118" s="2431">
        <v>1500</v>
      </c>
      <c r="AH118" s="2431">
        <v>1500</v>
      </c>
      <c r="AI118" s="2431">
        <v>1500</v>
      </c>
      <c r="AJ118" s="2431">
        <v>1500</v>
      </c>
      <c r="AK118" s="2431">
        <v>1500</v>
      </c>
      <c r="AL118" s="2431">
        <v>1500</v>
      </c>
      <c r="AM118" s="2431">
        <v>1500</v>
      </c>
      <c r="AN118" s="2431">
        <v>1500</v>
      </c>
      <c r="AO118" s="2431">
        <v>1500</v>
      </c>
      <c r="AP118" s="2431">
        <v>1500</v>
      </c>
      <c r="AQ118" s="2431">
        <v>1500</v>
      </c>
      <c r="AR118" s="2431">
        <v>1500</v>
      </c>
      <c r="AS118" s="2431">
        <v>1500</v>
      </c>
    </row>
    <row r="119" spans="2:45" x14ac:dyDescent="0.2">
      <c r="B119" s="2410"/>
      <c r="C119" s="2441" t="s">
        <v>1381</v>
      </c>
      <c r="D119" s="2419" t="s">
        <v>1390</v>
      </c>
      <c r="E119" s="2419" t="s">
        <v>319</v>
      </c>
      <c r="F119" s="2441"/>
      <c r="G119" s="2442">
        <v>0</v>
      </c>
      <c r="H119" s="2442">
        <v>0</v>
      </c>
      <c r="I119" s="2442">
        <v>0</v>
      </c>
      <c r="J119" s="2442">
        <v>0</v>
      </c>
      <c r="K119" s="2442">
        <v>0</v>
      </c>
      <c r="L119" s="2442">
        <v>0</v>
      </c>
      <c r="M119" s="2442">
        <v>0</v>
      </c>
      <c r="N119" s="2442">
        <v>0</v>
      </c>
      <c r="O119" s="2442">
        <v>0</v>
      </c>
      <c r="P119" s="2442">
        <v>0</v>
      </c>
      <c r="Q119" s="2442">
        <v>0</v>
      </c>
      <c r="R119" s="2442">
        <v>0</v>
      </c>
      <c r="S119" s="2442">
        <v>0</v>
      </c>
      <c r="T119" s="2442">
        <v>0</v>
      </c>
      <c r="U119" s="2442">
        <v>0</v>
      </c>
      <c r="V119" s="2442">
        <v>0</v>
      </c>
      <c r="W119" s="2442">
        <v>0</v>
      </c>
      <c r="X119" s="2442">
        <v>0</v>
      </c>
      <c r="Y119" s="2442">
        <v>0</v>
      </c>
      <c r="Z119" s="2442">
        <v>0</v>
      </c>
      <c r="AA119" s="2442">
        <v>0</v>
      </c>
      <c r="AB119" s="2442">
        <v>0</v>
      </c>
      <c r="AC119" s="2442">
        <v>0</v>
      </c>
      <c r="AD119" s="2442">
        <v>0</v>
      </c>
      <c r="AE119" s="2442">
        <v>0</v>
      </c>
      <c r="AF119" s="2442">
        <v>0</v>
      </c>
      <c r="AG119" s="2442">
        <v>0</v>
      </c>
      <c r="AH119" s="2442">
        <v>0</v>
      </c>
      <c r="AI119" s="2442">
        <v>0</v>
      </c>
      <c r="AJ119" s="2442">
        <v>0</v>
      </c>
      <c r="AK119" s="2442">
        <v>0</v>
      </c>
      <c r="AL119" s="2442">
        <v>0</v>
      </c>
      <c r="AM119" s="2442">
        <v>0</v>
      </c>
      <c r="AN119" s="2442">
        <v>0</v>
      </c>
      <c r="AO119" s="2442">
        <v>0</v>
      </c>
      <c r="AP119" s="2442">
        <v>0</v>
      </c>
      <c r="AQ119" s="2442">
        <v>0</v>
      </c>
      <c r="AR119" s="2442">
        <v>0</v>
      </c>
      <c r="AS119" s="2442">
        <v>0</v>
      </c>
    </row>
    <row r="120" spans="2:45" x14ac:dyDescent="0.2">
      <c r="B120" s="2410"/>
      <c r="C120" s="2412"/>
      <c r="D120" s="2412"/>
      <c r="E120" s="2412"/>
      <c r="F120" s="2412"/>
      <c r="G120" s="2412"/>
      <c r="H120" s="2412"/>
      <c r="I120" s="2412"/>
      <c r="J120" s="2412"/>
      <c r="K120" s="2412"/>
      <c r="L120" s="2412"/>
      <c r="M120" s="2412"/>
      <c r="N120" s="2412"/>
      <c r="O120" s="2412"/>
      <c r="P120" s="2412"/>
      <c r="Q120" s="2412"/>
      <c r="R120" s="2412"/>
      <c r="S120" s="2412"/>
      <c r="T120" s="2412"/>
      <c r="U120" s="2412"/>
      <c r="V120" s="2412"/>
      <c r="W120" s="2412"/>
      <c r="X120" s="2412"/>
      <c r="Y120" s="2412"/>
      <c r="Z120" s="2412"/>
      <c r="AA120" s="2412"/>
      <c r="AB120" s="2412"/>
      <c r="AC120" s="2412"/>
      <c r="AD120" s="2412"/>
      <c r="AE120" s="2412"/>
      <c r="AF120" s="2412"/>
      <c r="AG120" s="2412"/>
      <c r="AH120" s="2412"/>
      <c r="AI120" s="2412"/>
      <c r="AJ120" s="2412"/>
      <c r="AK120" s="2412"/>
      <c r="AL120" s="2412"/>
      <c r="AM120" s="2412"/>
      <c r="AN120" s="2412"/>
      <c r="AO120" s="2412"/>
      <c r="AP120" s="2412"/>
      <c r="AQ120" s="2412"/>
      <c r="AR120" s="2412"/>
      <c r="AS120" s="2412"/>
    </row>
    <row r="121" spans="2:45" x14ac:dyDescent="0.2">
      <c r="B121" s="2410"/>
      <c r="C121" s="2412"/>
      <c r="D121" s="2412"/>
      <c r="E121" s="2412"/>
      <c r="F121" s="2412"/>
      <c r="G121" s="2412"/>
      <c r="H121" s="2412"/>
      <c r="I121" s="2412"/>
      <c r="J121" s="2412"/>
      <c r="K121" s="2412"/>
      <c r="L121" s="2412"/>
      <c r="M121" s="2412"/>
      <c r="N121" s="2412"/>
      <c r="O121" s="2412"/>
      <c r="P121" s="2412"/>
      <c r="Q121" s="2412"/>
      <c r="R121" s="2412"/>
      <c r="S121" s="2412"/>
      <c r="T121" s="2412"/>
      <c r="U121" s="2412"/>
      <c r="V121" s="2412"/>
      <c r="W121" s="2412"/>
      <c r="X121" s="2412"/>
      <c r="Y121" s="2412"/>
      <c r="Z121" s="2412"/>
      <c r="AA121" s="2412"/>
      <c r="AB121" s="2412"/>
      <c r="AC121" s="2412"/>
      <c r="AD121" s="2412"/>
      <c r="AE121" s="2412"/>
      <c r="AF121" s="2412"/>
      <c r="AG121" s="2412"/>
      <c r="AH121" s="2412"/>
      <c r="AI121" s="2412"/>
      <c r="AJ121" s="2412"/>
      <c r="AK121" s="2412"/>
      <c r="AL121" s="2412"/>
      <c r="AM121" s="2412"/>
      <c r="AN121" s="2412"/>
      <c r="AO121" s="2412"/>
      <c r="AP121" s="2412"/>
      <c r="AQ121" s="2412"/>
      <c r="AR121" s="2412"/>
      <c r="AS121" s="2412"/>
    </row>
    <row r="122" spans="2:45" x14ac:dyDescent="0.2">
      <c r="B122" s="2410" t="s">
        <v>1391</v>
      </c>
      <c r="C122" s="2412" t="s">
        <v>1392</v>
      </c>
      <c r="D122" s="2412"/>
      <c r="E122" s="2412"/>
      <c r="F122" s="2412"/>
      <c r="G122" s="2412"/>
      <c r="H122" s="2412"/>
      <c r="I122" s="2412"/>
      <c r="J122" s="2412"/>
      <c r="K122" s="2412"/>
      <c r="L122" s="2412"/>
      <c r="M122" s="2412"/>
      <c r="N122" s="2412"/>
      <c r="O122" s="2412"/>
      <c r="P122" s="2412"/>
      <c r="Q122" s="2412"/>
      <c r="R122" s="2412"/>
      <c r="S122" s="2412"/>
      <c r="T122" s="2412"/>
      <c r="U122" s="2412"/>
      <c r="V122" s="2412"/>
      <c r="W122" s="2412"/>
      <c r="X122" s="2412"/>
      <c r="Y122" s="2412"/>
      <c r="Z122" s="2412"/>
      <c r="AA122" s="2412"/>
      <c r="AB122" s="2412"/>
      <c r="AC122" s="2412"/>
      <c r="AD122" s="2412"/>
      <c r="AE122" s="2412"/>
      <c r="AF122" s="2412"/>
      <c r="AG122" s="2412"/>
      <c r="AH122" s="2412"/>
      <c r="AI122" s="2412"/>
      <c r="AJ122" s="2412"/>
      <c r="AK122" s="2412"/>
      <c r="AL122" s="2412"/>
      <c r="AM122" s="2412"/>
      <c r="AN122" s="2412"/>
      <c r="AO122" s="2412"/>
      <c r="AP122" s="2412"/>
      <c r="AQ122" s="2412"/>
      <c r="AR122" s="2412"/>
      <c r="AS122" s="2412"/>
    </row>
    <row r="123" spans="2:45" x14ac:dyDescent="0.2">
      <c r="B123" s="2410"/>
      <c r="C123" s="2413"/>
      <c r="D123" s="2414" t="s">
        <v>1029</v>
      </c>
      <c r="E123" s="2414" t="s">
        <v>8</v>
      </c>
      <c r="F123" s="2414"/>
      <c r="G123" s="2414">
        <v>2012</v>
      </c>
      <c r="H123" s="2414">
        <v>2013</v>
      </c>
      <c r="I123" s="2414">
        <v>2014</v>
      </c>
      <c r="J123" s="2414">
        <v>2015</v>
      </c>
      <c r="K123" s="2414">
        <v>2016</v>
      </c>
      <c r="L123" s="2414">
        <v>2017</v>
      </c>
      <c r="M123" s="2414">
        <v>2018</v>
      </c>
      <c r="N123" s="2414">
        <v>2019</v>
      </c>
      <c r="O123" s="2414">
        <v>2020</v>
      </c>
      <c r="P123" s="2414">
        <v>2021</v>
      </c>
      <c r="Q123" s="2414">
        <v>2022</v>
      </c>
      <c r="R123" s="2414">
        <v>2023</v>
      </c>
      <c r="S123" s="2414">
        <v>2024</v>
      </c>
      <c r="T123" s="2414">
        <v>2025</v>
      </c>
      <c r="U123" s="2414">
        <v>2026</v>
      </c>
      <c r="V123" s="2414">
        <v>2027</v>
      </c>
      <c r="W123" s="2414">
        <v>2028</v>
      </c>
      <c r="X123" s="2414">
        <v>2029</v>
      </c>
      <c r="Y123" s="2414">
        <v>2030</v>
      </c>
      <c r="Z123" s="2414">
        <v>2031</v>
      </c>
      <c r="AA123" s="2414">
        <v>2032</v>
      </c>
      <c r="AB123" s="2414">
        <v>2033</v>
      </c>
      <c r="AC123" s="2414">
        <v>2034</v>
      </c>
      <c r="AD123" s="2414">
        <v>2035</v>
      </c>
      <c r="AE123" s="2414">
        <v>2036</v>
      </c>
      <c r="AF123" s="2414">
        <v>2037</v>
      </c>
      <c r="AG123" s="2414">
        <v>2038</v>
      </c>
      <c r="AH123" s="2414">
        <v>2039</v>
      </c>
      <c r="AI123" s="2414">
        <v>2040</v>
      </c>
      <c r="AJ123" s="2414">
        <v>2041</v>
      </c>
      <c r="AK123" s="2414">
        <v>2042</v>
      </c>
      <c r="AL123" s="2414">
        <v>2043</v>
      </c>
      <c r="AM123" s="2414">
        <v>2044</v>
      </c>
      <c r="AN123" s="2414">
        <v>2045</v>
      </c>
      <c r="AO123" s="2414">
        <v>2046</v>
      </c>
      <c r="AP123" s="2414">
        <v>2047</v>
      </c>
      <c r="AQ123" s="2414">
        <v>2048</v>
      </c>
      <c r="AR123" s="2414">
        <v>2049</v>
      </c>
      <c r="AS123" s="2414">
        <v>2050</v>
      </c>
    </row>
    <row r="124" spans="2:45" x14ac:dyDescent="0.2">
      <c r="B124" s="2410"/>
      <c r="C124" s="2412" t="s">
        <v>1393</v>
      </c>
      <c r="D124" s="2411" t="s">
        <v>1394</v>
      </c>
      <c r="E124" s="2411" t="s">
        <v>319</v>
      </c>
      <c r="F124" s="2411"/>
      <c r="G124" s="2443">
        <v>169</v>
      </c>
      <c r="H124" s="2443">
        <v>169</v>
      </c>
      <c r="I124" s="2443">
        <v>169</v>
      </c>
      <c r="J124" s="2443">
        <v>169</v>
      </c>
      <c r="K124" s="2443">
        <v>169</v>
      </c>
      <c r="L124" s="2443">
        <v>169</v>
      </c>
      <c r="M124" s="2443">
        <v>169</v>
      </c>
      <c r="N124" s="2443">
        <v>169</v>
      </c>
      <c r="O124" s="2443">
        <v>169</v>
      </c>
      <c r="P124" s="2443">
        <v>169</v>
      </c>
      <c r="Q124" s="2443">
        <v>169</v>
      </c>
      <c r="R124" s="2443">
        <v>169</v>
      </c>
      <c r="S124" s="2443">
        <v>169</v>
      </c>
      <c r="T124" s="2443">
        <v>169</v>
      </c>
      <c r="U124" s="2443">
        <v>169</v>
      </c>
      <c r="V124" s="2443">
        <v>169</v>
      </c>
      <c r="W124" s="2443">
        <v>169</v>
      </c>
      <c r="X124" s="2443">
        <v>169</v>
      </c>
      <c r="Y124" s="2443">
        <v>169</v>
      </c>
      <c r="Z124" s="2443">
        <v>169</v>
      </c>
      <c r="AA124" s="2443">
        <v>169</v>
      </c>
      <c r="AB124" s="2443">
        <v>169</v>
      </c>
      <c r="AC124" s="2443">
        <v>169</v>
      </c>
      <c r="AD124" s="2443">
        <v>169</v>
      </c>
      <c r="AE124" s="2443">
        <v>169</v>
      </c>
      <c r="AF124" s="2443">
        <v>169</v>
      </c>
      <c r="AG124" s="2443">
        <v>169</v>
      </c>
      <c r="AH124" s="2443">
        <v>169</v>
      </c>
      <c r="AI124" s="2443">
        <v>169</v>
      </c>
      <c r="AJ124" s="2443">
        <v>169</v>
      </c>
      <c r="AK124" s="2443">
        <v>169</v>
      </c>
      <c r="AL124" s="2443">
        <v>169</v>
      </c>
      <c r="AM124" s="2443">
        <v>169</v>
      </c>
      <c r="AN124" s="2443">
        <v>169</v>
      </c>
      <c r="AO124" s="2443">
        <v>169</v>
      </c>
      <c r="AP124" s="2443">
        <v>169</v>
      </c>
      <c r="AQ124" s="2443">
        <v>169</v>
      </c>
      <c r="AR124" s="2443">
        <v>169</v>
      </c>
      <c r="AS124" s="2443">
        <v>169</v>
      </c>
    </row>
    <row r="125" spans="2:45" x14ac:dyDescent="0.2">
      <c r="B125" s="2410"/>
      <c r="C125" s="2412" t="s">
        <v>1395</v>
      </c>
      <c r="D125" s="2411" t="s">
        <v>1394</v>
      </c>
      <c r="E125" s="2411" t="s">
        <v>319</v>
      </c>
      <c r="F125" s="2411"/>
      <c r="G125" s="2443">
        <v>0</v>
      </c>
      <c r="H125" s="2443">
        <v>0</v>
      </c>
      <c r="I125" s="2443">
        <v>0</v>
      </c>
      <c r="J125" s="2443">
        <v>0</v>
      </c>
      <c r="K125" s="2443">
        <v>0</v>
      </c>
      <c r="L125" s="2443">
        <v>0</v>
      </c>
      <c r="M125" s="2443">
        <v>0</v>
      </c>
      <c r="N125" s="2443">
        <v>0</v>
      </c>
      <c r="O125" s="2443">
        <v>0</v>
      </c>
      <c r="P125" s="2443">
        <v>0</v>
      </c>
      <c r="Q125" s="2443">
        <v>0</v>
      </c>
      <c r="R125" s="2443">
        <v>0</v>
      </c>
      <c r="S125" s="2443">
        <v>0</v>
      </c>
      <c r="T125" s="2443">
        <v>0</v>
      </c>
      <c r="U125" s="2443">
        <v>0</v>
      </c>
      <c r="V125" s="2443">
        <v>0</v>
      </c>
      <c r="W125" s="2443">
        <v>0</v>
      </c>
      <c r="X125" s="2443">
        <v>0</v>
      </c>
      <c r="Y125" s="2443">
        <v>0</v>
      </c>
      <c r="Z125" s="2443">
        <v>0</v>
      </c>
      <c r="AA125" s="2443">
        <v>0</v>
      </c>
      <c r="AB125" s="2443">
        <v>0</v>
      </c>
      <c r="AC125" s="2443">
        <v>0</v>
      </c>
      <c r="AD125" s="2443">
        <v>0</v>
      </c>
      <c r="AE125" s="2443">
        <v>0</v>
      </c>
      <c r="AF125" s="2443">
        <v>0</v>
      </c>
      <c r="AG125" s="2443">
        <v>0</v>
      </c>
      <c r="AH125" s="2443">
        <v>0</v>
      </c>
      <c r="AI125" s="2443">
        <v>0</v>
      </c>
      <c r="AJ125" s="2443">
        <v>0</v>
      </c>
      <c r="AK125" s="2443">
        <v>0</v>
      </c>
      <c r="AL125" s="2443">
        <v>0</v>
      </c>
      <c r="AM125" s="2443">
        <v>0</v>
      </c>
      <c r="AN125" s="2443">
        <v>0</v>
      </c>
      <c r="AO125" s="2443">
        <v>0</v>
      </c>
      <c r="AP125" s="2443">
        <v>0</v>
      </c>
      <c r="AQ125" s="2443">
        <v>0</v>
      </c>
      <c r="AR125" s="2443">
        <v>0</v>
      </c>
      <c r="AS125" s="2443">
        <v>0</v>
      </c>
    </row>
    <row r="126" spans="2:45" x14ac:dyDescent="0.2">
      <c r="B126" s="2410"/>
      <c r="C126" s="2412" t="s">
        <v>1396</v>
      </c>
      <c r="D126" s="2411" t="s">
        <v>1394</v>
      </c>
      <c r="E126" s="2411" t="s">
        <v>319</v>
      </c>
      <c r="F126" s="2411"/>
      <c r="G126" s="2443">
        <v>0</v>
      </c>
      <c r="H126" s="2443">
        <v>0</v>
      </c>
      <c r="I126" s="2443">
        <v>0</v>
      </c>
      <c r="J126" s="2443">
        <v>0</v>
      </c>
      <c r="K126" s="2443">
        <v>0</v>
      </c>
      <c r="L126" s="2443">
        <v>0</v>
      </c>
      <c r="M126" s="2443">
        <v>0</v>
      </c>
      <c r="N126" s="2443">
        <v>0</v>
      </c>
      <c r="O126" s="2443">
        <v>0</v>
      </c>
      <c r="P126" s="2443">
        <v>0</v>
      </c>
      <c r="Q126" s="2443">
        <v>0</v>
      </c>
      <c r="R126" s="2443">
        <v>0</v>
      </c>
      <c r="S126" s="2443">
        <v>0</v>
      </c>
      <c r="T126" s="2443">
        <v>0</v>
      </c>
      <c r="U126" s="2443">
        <v>0</v>
      </c>
      <c r="V126" s="2443">
        <v>0</v>
      </c>
      <c r="W126" s="2443">
        <v>0</v>
      </c>
      <c r="X126" s="2443">
        <v>0</v>
      </c>
      <c r="Y126" s="2443">
        <v>0</v>
      </c>
      <c r="Z126" s="2443">
        <v>0</v>
      </c>
      <c r="AA126" s="2443">
        <v>0</v>
      </c>
      <c r="AB126" s="2443">
        <v>0</v>
      </c>
      <c r="AC126" s="2443">
        <v>0</v>
      </c>
      <c r="AD126" s="2443">
        <v>0</v>
      </c>
      <c r="AE126" s="2443">
        <v>0</v>
      </c>
      <c r="AF126" s="2443">
        <v>0</v>
      </c>
      <c r="AG126" s="2443">
        <v>0</v>
      </c>
      <c r="AH126" s="2443">
        <v>0</v>
      </c>
      <c r="AI126" s="2443">
        <v>0</v>
      </c>
      <c r="AJ126" s="2443">
        <v>0</v>
      </c>
      <c r="AK126" s="2443">
        <v>0</v>
      </c>
      <c r="AL126" s="2443">
        <v>0</v>
      </c>
      <c r="AM126" s="2443">
        <v>0</v>
      </c>
      <c r="AN126" s="2443">
        <v>0</v>
      </c>
      <c r="AO126" s="2443">
        <v>0</v>
      </c>
      <c r="AP126" s="2443">
        <v>0</v>
      </c>
      <c r="AQ126" s="2443">
        <v>0</v>
      </c>
      <c r="AR126" s="2443">
        <v>0</v>
      </c>
      <c r="AS126" s="2443">
        <v>0</v>
      </c>
    </row>
    <row r="127" spans="2:45" x14ac:dyDescent="0.2">
      <c r="B127" s="2410"/>
      <c r="C127" s="2441" t="s">
        <v>1013</v>
      </c>
      <c r="D127" s="2419" t="s">
        <v>1394</v>
      </c>
      <c r="E127" s="2419" t="s">
        <v>319</v>
      </c>
      <c r="F127" s="2419"/>
      <c r="G127" s="2439">
        <v>0</v>
      </c>
      <c r="H127" s="2439">
        <v>0</v>
      </c>
      <c r="I127" s="2439">
        <v>0</v>
      </c>
      <c r="J127" s="2439">
        <v>0</v>
      </c>
      <c r="K127" s="2439">
        <v>0</v>
      </c>
      <c r="L127" s="2439">
        <v>0</v>
      </c>
      <c r="M127" s="2439">
        <v>0</v>
      </c>
      <c r="N127" s="2439">
        <v>0</v>
      </c>
      <c r="O127" s="2439">
        <v>0</v>
      </c>
      <c r="P127" s="2439">
        <v>0</v>
      </c>
      <c r="Q127" s="2439">
        <v>0</v>
      </c>
      <c r="R127" s="2439">
        <v>0</v>
      </c>
      <c r="S127" s="2439">
        <v>0</v>
      </c>
      <c r="T127" s="2439">
        <v>0</v>
      </c>
      <c r="U127" s="2439">
        <v>0</v>
      </c>
      <c r="V127" s="2439">
        <v>0</v>
      </c>
      <c r="W127" s="2439">
        <v>0</v>
      </c>
      <c r="X127" s="2439">
        <v>0</v>
      </c>
      <c r="Y127" s="2439">
        <v>0</v>
      </c>
      <c r="Z127" s="2439">
        <v>0</v>
      </c>
      <c r="AA127" s="2439">
        <v>0</v>
      </c>
      <c r="AB127" s="2439">
        <v>0</v>
      </c>
      <c r="AC127" s="2439">
        <v>0</v>
      </c>
      <c r="AD127" s="2439">
        <v>0</v>
      </c>
      <c r="AE127" s="2439">
        <v>0</v>
      </c>
      <c r="AF127" s="2439">
        <v>0</v>
      </c>
      <c r="AG127" s="2439">
        <v>0</v>
      </c>
      <c r="AH127" s="2439">
        <v>0</v>
      </c>
      <c r="AI127" s="2439">
        <v>0</v>
      </c>
      <c r="AJ127" s="2439">
        <v>0</v>
      </c>
      <c r="AK127" s="2439">
        <v>0</v>
      </c>
      <c r="AL127" s="2439">
        <v>0</v>
      </c>
      <c r="AM127" s="2439">
        <v>0</v>
      </c>
      <c r="AN127" s="2439">
        <v>0</v>
      </c>
      <c r="AO127" s="2439">
        <v>0</v>
      </c>
      <c r="AP127" s="2439">
        <v>0</v>
      </c>
      <c r="AQ127" s="2439">
        <v>0</v>
      </c>
      <c r="AR127" s="2439">
        <v>0</v>
      </c>
      <c r="AS127" s="2439">
        <v>0</v>
      </c>
    </row>
    <row r="128" spans="2:45" ht="23.1" customHeight="1" x14ac:dyDescent="0.2">
      <c r="B128" s="2410"/>
      <c r="C128" s="2444"/>
      <c r="D128" s="2411"/>
      <c r="E128" s="2412"/>
      <c r="F128" s="2412"/>
      <c r="G128" s="2412"/>
      <c r="H128" s="2412"/>
      <c r="I128" s="2412"/>
      <c r="J128" s="2412"/>
      <c r="K128" s="2412"/>
      <c r="L128" s="2412"/>
      <c r="M128" s="2412"/>
      <c r="N128" s="2412"/>
      <c r="O128" s="2412"/>
      <c r="P128" s="2412"/>
      <c r="Q128" s="2412"/>
      <c r="R128" s="2412"/>
      <c r="S128" s="2412"/>
      <c r="T128" s="2412"/>
      <c r="U128" s="2412"/>
      <c r="V128" s="2412"/>
      <c r="W128" s="2412"/>
      <c r="X128" s="2412"/>
      <c r="Y128" s="2412"/>
      <c r="Z128" s="2412"/>
      <c r="AA128" s="2412"/>
      <c r="AB128" s="2412"/>
      <c r="AC128" s="2412"/>
      <c r="AD128" s="2412"/>
      <c r="AE128" s="2412"/>
      <c r="AF128" s="2412"/>
      <c r="AG128" s="2412"/>
      <c r="AH128" s="2412"/>
      <c r="AI128" s="2412"/>
      <c r="AJ128" s="2412"/>
      <c r="AK128" s="2412"/>
      <c r="AL128" s="2412"/>
      <c r="AM128" s="2412"/>
      <c r="AN128" s="2412"/>
      <c r="AO128" s="2412"/>
      <c r="AP128" s="2412"/>
      <c r="AQ128" s="2412"/>
      <c r="AR128" s="2412"/>
      <c r="AS128" s="2412"/>
    </row>
    <row r="129" spans="2:45" x14ac:dyDescent="0.2">
      <c r="B129" s="2410" t="s">
        <v>1397</v>
      </c>
      <c r="C129" s="2444"/>
      <c r="D129" s="2444"/>
      <c r="E129" s="2412"/>
      <c r="F129" s="2412"/>
      <c r="G129" s="2412"/>
      <c r="H129" s="2412"/>
      <c r="I129" s="2412"/>
      <c r="J129" s="2412"/>
      <c r="K129" s="2412"/>
      <c r="L129" s="2412"/>
      <c r="M129" s="2412"/>
      <c r="N129" s="2412"/>
      <c r="O129" s="2412"/>
      <c r="P129" s="2412"/>
      <c r="Q129" s="2412"/>
      <c r="R129" s="2412"/>
      <c r="S129" s="2412"/>
      <c r="T129" s="2412"/>
      <c r="U129" s="2412"/>
      <c r="V129" s="2412"/>
      <c r="W129" s="2412"/>
      <c r="X129" s="2412"/>
      <c r="Y129" s="2412"/>
      <c r="Z129" s="2412"/>
      <c r="AA129" s="2412"/>
      <c r="AB129" s="2412"/>
      <c r="AC129" s="2412"/>
      <c r="AD129" s="2412"/>
      <c r="AE129" s="2412"/>
      <c r="AF129" s="2412"/>
      <c r="AG129" s="2412"/>
      <c r="AH129" s="2412"/>
      <c r="AI129" s="2412"/>
      <c r="AJ129" s="2412"/>
      <c r="AK129" s="2412"/>
      <c r="AL129" s="2412"/>
      <c r="AM129" s="2412"/>
      <c r="AN129" s="2412"/>
      <c r="AO129" s="2412"/>
      <c r="AP129" s="2412"/>
      <c r="AQ129" s="2412"/>
      <c r="AR129" s="2412"/>
      <c r="AS129" s="2412"/>
    </row>
    <row r="130" spans="2:45" ht="15" x14ac:dyDescent="0.25">
      <c r="B130" s="2445" t="s">
        <v>1398</v>
      </c>
      <c r="C130" s="2412" t="s">
        <v>1399</v>
      </c>
      <c r="D130" s="2428"/>
      <c r="E130" s="2412"/>
      <c r="F130" s="2412"/>
      <c r="G130" s="2412"/>
      <c r="H130" s="2412"/>
      <c r="I130" s="2412"/>
      <c r="J130" s="2412"/>
      <c r="K130" s="2412"/>
      <c r="L130" s="2412"/>
      <c r="M130" s="2412"/>
      <c r="N130" s="2412"/>
      <c r="O130" s="2412"/>
      <c r="P130" s="2412"/>
      <c r="Q130" s="2412"/>
      <c r="R130" s="2412"/>
      <c r="S130" s="2412"/>
      <c r="T130" s="2412"/>
      <c r="U130" s="2412"/>
      <c r="V130" s="2412"/>
      <c r="W130" s="2412"/>
      <c r="X130" s="2412"/>
      <c r="Y130" s="2412"/>
      <c r="Z130" s="2412"/>
      <c r="AA130" s="2412"/>
      <c r="AB130" s="2412"/>
      <c r="AC130" s="2412"/>
      <c r="AD130" s="2412"/>
      <c r="AE130" s="2412"/>
      <c r="AF130" s="2412"/>
      <c r="AG130" s="2412"/>
      <c r="AH130" s="2412"/>
      <c r="AI130" s="2412"/>
      <c r="AJ130" s="2412"/>
      <c r="AK130" s="2412"/>
      <c r="AL130" s="2412"/>
      <c r="AM130" s="2412"/>
      <c r="AN130" s="2412"/>
      <c r="AO130" s="2412"/>
      <c r="AP130" s="2412"/>
      <c r="AQ130" s="2412"/>
      <c r="AR130" s="2412"/>
      <c r="AS130" s="2412"/>
    </row>
    <row r="131" spans="2:45" x14ac:dyDescent="0.2">
      <c r="B131" s="2410" t="s">
        <v>1400</v>
      </c>
      <c r="C131" s="2413"/>
      <c r="D131" s="2414" t="s">
        <v>1029</v>
      </c>
      <c r="E131" s="2414" t="s">
        <v>8</v>
      </c>
      <c r="F131" s="2414"/>
      <c r="G131" s="2414">
        <v>2012</v>
      </c>
      <c r="H131" s="2414">
        <v>2013</v>
      </c>
      <c r="I131" s="2414">
        <v>2014</v>
      </c>
      <c r="J131" s="2414">
        <v>2015</v>
      </c>
      <c r="K131" s="2414">
        <v>2016</v>
      </c>
      <c r="L131" s="2414">
        <v>2017</v>
      </c>
      <c r="M131" s="2414">
        <v>2018</v>
      </c>
      <c r="N131" s="2414">
        <v>2019</v>
      </c>
      <c r="O131" s="2414">
        <v>2020</v>
      </c>
      <c r="P131" s="2414">
        <v>2021</v>
      </c>
      <c r="Q131" s="2414">
        <v>2022</v>
      </c>
      <c r="R131" s="2414">
        <v>2023</v>
      </c>
      <c r="S131" s="2414">
        <v>2024</v>
      </c>
      <c r="T131" s="2414">
        <v>2025</v>
      </c>
      <c r="U131" s="2414">
        <v>2026</v>
      </c>
      <c r="V131" s="2414">
        <v>2027</v>
      </c>
      <c r="W131" s="2414">
        <v>2028</v>
      </c>
      <c r="X131" s="2414">
        <v>2029</v>
      </c>
      <c r="Y131" s="2414">
        <v>2030</v>
      </c>
      <c r="Z131" s="2414">
        <v>2031</v>
      </c>
      <c r="AA131" s="2414">
        <v>2032</v>
      </c>
      <c r="AB131" s="2414">
        <v>2033</v>
      </c>
      <c r="AC131" s="2414">
        <v>2034</v>
      </c>
      <c r="AD131" s="2414">
        <v>2035</v>
      </c>
      <c r="AE131" s="2414">
        <v>2036</v>
      </c>
      <c r="AF131" s="2414">
        <v>2037</v>
      </c>
      <c r="AG131" s="2414">
        <v>2038</v>
      </c>
      <c r="AH131" s="2414">
        <v>2039</v>
      </c>
      <c r="AI131" s="2414">
        <v>2040</v>
      </c>
      <c r="AJ131" s="2414">
        <v>2041</v>
      </c>
      <c r="AK131" s="2414">
        <v>2042</v>
      </c>
      <c r="AL131" s="2414">
        <v>2043</v>
      </c>
      <c r="AM131" s="2414">
        <v>2044</v>
      </c>
      <c r="AN131" s="2414">
        <v>2045</v>
      </c>
      <c r="AO131" s="2414">
        <v>2046</v>
      </c>
      <c r="AP131" s="2414">
        <v>2047</v>
      </c>
      <c r="AQ131" s="2414">
        <v>2048</v>
      </c>
      <c r="AR131" s="2414">
        <v>2049</v>
      </c>
      <c r="AS131" s="2414">
        <v>2050</v>
      </c>
    </row>
    <row r="132" spans="2:45" x14ac:dyDescent="0.2">
      <c r="B132" s="2410"/>
      <c r="C132" s="2441" t="s">
        <v>1401</v>
      </c>
      <c r="D132" s="2419" t="s">
        <v>1402</v>
      </c>
      <c r="E132" s="2419" t="s">
        <v>319</v>
      </c>
      <c r="F132" s="2419"/>
      <c r="G132" s="2446">
        <v>176</v>
      </c>
      <c r="H132" s="2442">
        <v>176</v>
      </c>
      <c r="I132" s="2442">
        <v>176</v>
      </c>
      <c r="J132" s="2442">
        <v>176</v>
      </c>
      <c r="K132" s="2442">
        <v>176</v>
      </c>
      <c r="L132" s="2442">
        <v>176</v>
      </c>
      <c r="M132" s="2442">
        <v>176</v>
      </c>
      <c r="N132" s="2442">
        <v>176</v>
      </c>
      <c r="O132" s="2442">
        <v>176</v>
      </c>
      <c r="P132" s="2442">
        <v>176</v>
      </c>
      <c r="Q132" s="2442">
        <v>176</v>
      </c>
      <c r="R132" s="2442">
        <v>176</v>
      </c>
      <c r="S132" s="2442">
        <v>176</v>
      </c>
      <c r="T132" s="2442">
        <v>176</v>
      </c>
      <c r="U132" s="2442">
        <v>176</v>
      </c>
      <c r="V132" s="2442">
        <v>176</v>
      </c>
      <c r="W132" s="2442">
        <v>176</v>
      </c>
      <c r="X132" s="2442">
        <v>176</v>
      </c>
      <c r="Y132" s="2442">
        <v>176</v>
      </c>
      <c r="Z132" s="2442">
        <v>176</v>
      </c>
      <c r="AA132" s="2442">
        <v>176</v>
      </c>
      <c r="AB132" s="2442">
        <v>176</v>
      </c>
      <c r="AC132" s="2442">
        <v>176</v>
      </c>
      <c r="AD132" s="2442">
        <v>176</v>
      </c>
      <c r="AE132" s="2442">
        <v>176</v>
      </c>
      <c r="AF132" s="2442">
        <v>176</v>
      </c>
      <c r="AG132" s="2442">
        <v>176</v>
      </c>
      <c r="AH132" s="2442">
        <v>176</v>
      </c>
      <c r="AI132" s="2442">
        <v>176</v>
      </c>
      <c r="AJ132" s="2442">
        <v>176</v>
      </c>
      <c r="AK132" s="2442">
        <v>176</v>
      </c>
      <c r="AL132" s="2442">
        <v>176</v>
      </c>
      <c r="AM132" s="2442">
        <v>176</v>
      </c>
      <c r="AN132" s="2442">
        <v>176</v>
      </c>
      <c r="AO132" s="2442">
        <v>176</v>
      </c>
      <c r="AP132" s="2442">
        <v>176</v>
      </c>
      <c r="AQ132" s="2442">
        <v>176</v>
      </c>
      <c r="AR132" s="2442">
        <v>176</v>
      </c>
      <c r="AS132" s="2442">
        <v>176</v>
      </c>
    </row>
    <row r="133" spans="2:45" x14ac:dyDescent="0.2">
      <c r="B133" s="2410"/>
      <c r="C133" s="2444"/>
      <c r="D133" s="2411"/>
      <c r="E133" s="2436"/>
      <c r="F133" s="2410"/>
      <c r="G133" s="2447"/>
      <c r="H133" s="2447"/>
      <c r="I133" s="2447"/>
      <c r="J133" s="2448"/>
      <c r="K133" s="2448"/>
      <c r="L133" s="2447"/>
      <c r="M133" s="2447"/>
      <c r="N133" s="2447"/>
      <c r="O133" s="2447"/>
      <c r="P133" s="2448"/>
      <c r="Q133" s="2448"/>
      <c r="R133" s="2448"/>
      <c r="S133" s="2448"/>
      <c r="T133" s="2448"/>
      <c r="U133" s="2448"/>
      <c r="V133" s="2448"/>
      <c r="W133" s="2448"/>
      <c r="X133" s="2448"/>
      <c r="Y133" s="2448"/>
      <c r="Z133" s="2448"/>
      <c r="AA133" s="2448"/>
      <c r="AB133" s="2448"/>
      <c r="AC133" s="2448"/>
      <c r="AD133" s="2448"/>
      <c r="AE133" s="2448"/>
      <c r="AF133" s="2448"/>
      <c r="AG133" s="2448"/>
      <c r="AH133" s="2448"/>
      <c r="AI133" s="2448"/>
      <c r="AJ133" s="2448"/>
      <c r="AK133" s="2448"/>
      <c r="AL133" s="2448"/>
      <c r="AM133" s="2448"/>
      <c r="AN133" s="2448"/>
      <c r="AO133" s="2448"/>
      <c r="AP133" s="2448"/>
      <c r="AQ133" s="2448"/>
      <c r="AR133" s="2448"/>
      <c r="AS133" s="2448"/>
    </row>
    <row r="134" spans="2:45" x14ac:dyDescent="0.2">
      <c r="B134" s="2410"/>
      <c r="C134" s="2444"/>
      <c r="D134" s="2411"/>
      <c r="E134" s="2436"/>
      <c r="F134" s="2410"/>
      <c r="G134" s="2447"/>
      <c r="H134" s="2447"/>
      <c r="I134" s="2447"/>
      <c r="J134" s="2448"/>
      <c r="K134" s="2448"/>
      <c r="L134" s="2447"/>
      <c r="M134" s="2447"/>
      <c r="N134" s="2447"/>
      <c r="O134" s="2447"/>
      <c r="P134" s="2448"/>
      <c r="Q134" s="2448"/>
      <c r="R134" s="2448"/>
      <c r="S134" s="2448"/>
      <c r="T134" s="2448"/>
      <c r="U134" s="2448"/>
      <c r="V134" s="2448"/>
      <c r="W134" s="2448"/>
      <c r="X134" s="2448"/>
      <c r="Y134" s="2448"/>
      <c r="Z134" s="2448"/>
      <c r="AA134" s="2448"/>
      <c r="AB134" s="2448"/>
      <c r="AC134" s="2448"/>
      <c r="AD134" s="2448"/>
      <c r="AE134" s="2448"/>
      <c r="AF134" s="2448"/>
      <c r="AG134" s="2448"/>
      <c r="AH134" s="2448"/>
      <c r="AI134" s="2448"/>
      <c r="AJ134" s="2448"/>
      <c r="AK134" s="2448"/>
      <c r="AL134" s="2448"/>
      <c r="AM134" s="2448"/>
      <c r="AN134" s="2448"/>
      <c r="AO134" s="2448"/>
      <c r="AP134" s="2448"/>
      <c r="AQ134" s="2448"/>
      <c r="AR134" s="2448"/>
      <c r="AS134" s="2448"/>
    </row>
    <row r="135" spans="2:45" x14ac:dyDescent="0.2">
      <c r="B135" s="2410" t="s">
        <v>1403</v>
      </c>
      <c r="C135" s="2412"/>
      <c r="D135" s="2410"/>
      <c r="E135" s="2410"/>
      <c r="F135" s="2410"/>
      <c r="G135" s="2410"/>
      <c r="H135" s="2447"/>
      <c r="I135" s="2447"/>
      <c r="J135" s="2448"/>
      <c r="K135" s="2448"/>
      <c r="L135" s="2447"/>
      <c r="M135" s="2447"/>
      <c r="N135" s="2447"/>
      <c r="O135" s="2447"/>
      <c r="P135" s="2448"/>
      <c r="Q135" s="2448"/>
      <c r="R135" s="2448"/>
      <c r="S135" s="2448"/>
      <c r="T135" s="2448"/>
      <c r="U135" s="2448"/>
      <c r="V135" s="2448"/>
      <c r="W135" s="2448"/>
      <c r="X135" s="2448"/>
      <c r="Y135" s="2448"/>
      <c r="Z135" s="2448"/>
      <c r="AA135" s="2448"/>
      <c r="AB135" s="2448"/>
      <c r="AC135" s="2448"/>
      <c r="AD135" s="2448"/>
      <c r="AE135" s="2448"/>
      <c r="AF135" s="2448"/>
      <c r="AG135" s="2448"/>
      <c r="AH135" s="2448"/>
      <c r="AI135" s="2448"/>
      <c r="AJ135" s="2448"/>
      <c r="AK135" s="2448"/>
      <c r="AL135" s="2448"/>
      <c r="AM135" s="2448"/>
      <c r="AN135" s="2448"/>
      <c r="AO135" s="2448"/>
      <c r="AP135" s="2448"/>
      <c r="AQ135" s="2448"/>
      <c r="AR135" s="2448"/>
      <c r="AS135" s="2448"/>
    </row>
    <row r="136" spans="2:45" x14ac:dyDescent="0.2">
      <c r="B136" s="2410"/>
      <c r="C136" s="2444"/>
      <c r="D136" s="2411"/>
      <c r="E136" s="2436"/>
      <c r="F136" s="2410"/>
      <c r="G136" s="2447"/>
      <c r="H136" s="2447"/>
      <c r="I136" s="2447"/>
      <c r="J136" s="2448"/>
      <c r="K136" s="2448"/>
      <c r="L136" s="2447"/>
      <c r="M136" s="2447"/>
      <c r="N136" s="2447"/>
      <c r="O136" s="2447"/>
      <c r="P136" s="2448"/>
      <c r="Q136" s="2448"/>
      <c r="R136" s="2448"/>
      <c r="S136" s="2448"/>
      <c r="T136" s="2448"/>
      <c r="U136" s="2448"/>
      <c r="V136" s="2448"/>
      <c r="W136" s="2448"/>
      <c r="X136" s="2448"/>
      <c r="Y136" s="2448"/>
      <c r="Z136" s="2448"/>
      <c r="AA136" s="2448"/>
      <c r="AB136" s="2448"/>
      <c r="AC136" s="2448"/>
      <c r="AD136" s="2448"/>
      <c r="AE136" s="2448"/>
      <c r="AF136" s="2448"/>
      <c r="AG136" s="2448"/>
      <c r="AH136" s="2448"/>
      <c r="AI136" s="2448"/>
      <c r="AJ136" s="2448"/>
      <c r="AK136" s="2448"/>
      <c r="AL136" s="2448"/>
      <c r="AM136" s="2448"/>
      <c r="AN136" s="2448"/>
      <c r="AO136" s="2448"/>
      <c r="AP136" s="2448"/>
      <c r="AQ136" s="2448"/>
      <c r="AR136" s="2448"/>
      <c r="AS136" s="2448"/>
    </row>
    <row r="137" spans="2:45" x14ac:dyDescent="0.2">
      <c r="B137" s="2410"/>
      <c r="C137" s="2411" t="s">
        <v>1404</v>
      </c>
      <c r="D137" s="2411"/>
      <c r="E137" s="2411"/>
      <c r="F137" s="2411"/>
      <c r="G137" s="2411"/>
      <c r="H137" s="2411"/>
      <c r="I137" s="2448"/>
      <c r="J137" s="2448"/>
      <c r="K137" s="2448"/>
      <c r="L137" s="2448"/>
      <c r="M137" s="2448"/>
      <c r="N137" s="2448"/>
      <c r="O137" s="2448"/>
      <c r="P137" s="2448"/>
      <c r="Q137" s="2448"/>
      <c r="R137" s="2448"/>
      <c r="S137" s="2448"/>
      <c r="T137" s="2448"/>
      <c r="U137" s="2448"/>
      <c r="V137" s="2448"/>
      <c r="W137" s="2448"/>
      <c r="X137" s="2448"/>
      <c r="Y137" s="2448"/>
      <c r="Z137" s="2448"/>
      <c r="AA137" s="2448"/>
      <c r="AB137" s="2448"/>
      <c r="AC137" s="2448"/>
      <c r="AD137" s="2448"/>
      <c r="AE137" s="2448"/>
      <c r="AF137" s="2448"/>
      <c r="AG137" s="2448"/>
      <c r="AH137" s="2448"/>
      <c r="AI137" s="2448"/>
      <c r="AJ137" s="2448"/>
      <c r="AK137" s="2448"/>
      <c r="AL137" s="2448"/>
      <c r="AM137" s="2448"/>
      <c r="AN137" s="2448"/>
      <c r="AO137" s="2448"/>
      <c r="AP137" s="2448"/>
      <c r="AQ137" s="2448"/>
      <c r="AR137" s="2448"/>
      <c r="AS137" s="2448"/>
    </row>
    <row r="138" spans="2:45" x14ac:dyDescent="0.2">
      <c r="B138" s="2410"/>
      <c r="C138" s="2413"/>
      <c r="D138" s="2414" t="s">
        <v>1029</v>
      </c>
      <c r="E138" s="2414" t="s">
        <v>8</v>
      </c>
      <c r="F138" s="2414"/>
      <c r="G138" s="2414">
        <v>2012</v>
      </c>
      <c r="H138" s="2414">
        <v>2013</v>
      </c>
      <c r="I138" s="2414">
        <v>2014</v>
      </c>
      <c r="J138" s="2414">
        <v>2015</v>
      </c>
      <c r="K138" s="2414">
        <v>2016</v>
      </c>
      <c r="L138" s="2414">
        <v>2017</v>
      </c>
      <c r="M138" s="2414">
        <v>2018</v>
      </c>
      <c r="N138" s="2414">
        <v>2019</v>
      </c>
      <c r="O138" s="2414">
        <v>2020</v>
      </c>
      <c r="P138" s="2414">
        <v>2021</v>
      </c>
      <c r="Q138" s="2414">
        <v>2022</v>
      </c>
      <c r="R138" s="2414">
        <v>2023</v>
      </c>
      <c r="S138" s="2414">
        <v>2024</v>
      </c>
      <c r="T138" s="2414">
        <v>2025</v>
      </c>
      <c r="U138" s="2414">
        <v>2026</v>
      </c>
      <c r="V138" s="2414">
        <v>2027</v>
      </c>
      <c r="W138" s="2414">
        <v>2028</v>
      </c>
      <c r="X138" s="2414">
        <v>2029</v>
      </c>
      <c r="Y138" s="2414">
        <v>2030</v>
      </c>
      <c r="Z138" s="2414">
        <v>2031</v>
      </c>
      <c r="AA138" s="2414">
        <v>2032</v>
      </c>
      <c r="AB138" s="2414">
        <v>2033</v>
      </c>
      <c r="AC138" s="2414">
        <v>2034</v>
      </c>
      <c r="AD138" s="2414">
        <v>2035</v>
      </c>
      <c r="AE138" s="2414">
        <v>2036</v>
      </c>
      <c r="AF138" s="2414">
        <v>2037</v>
      </c>
      <c r="AG138" s="2414">
        <v>2038</v>
      </c>
      <c r="AH138" s="2414">
        <v>2039</v>
      </c>
      <c r="AI138" s="2414">
        <v>2040</v>
      </c>
      <c r="AJ138" s="2414">
        <v>2041</v>
      </c>
      <c r="AK138" s="2414">
        <v>2042</v>
      </c>
      <c r="AL138" s="2414">
        <v>2043</v>
      </c>
      <c r="AM138" s="2414">
        <v>2044</v>
      </c>
      <c r="AN138" s="2414">
        <v>2045</v>
      </c>
      <c r="AO138" s="2414">
        <v>2046</v>
      </c>
      <c r="AP138" s="2414">
        <v>2047</v>
      </c>
      <c r="AQ138" s="2414">
        <v>2048</v>
      </c>
      <c r="AR138" s="2414">
        <v>2049</v>
      </c>
      <c r="AS138" s="2414">
        <v>2050</v>
      </c>
    </row>
    <row r="139" spans="2:45" x14ac:dyDescent="0.2">
      <c r="B139" s="2410"/>
      <c r="C139" s="2412" t="s">
        <v>1405</v>
      </c>
      <c r="D139" s="2411"/>
      <c r="E139" s="2411" t="s">
        <v>319</v>
      </c>
      <c r="F139" s="2411"/>
      <c r="G139" s="2449">
        <v>0.76300000000000001</v>
      </c>
      <c r="H139" s="2449">
        <v>0.76300000000000001</v>
      </c>
      <c r="I139" s="2449">
        <v>0.76300000000000001</v>
      </c>
      <c r="J139" s="2449">
        <v>0.76300000000000001</v>
      </c>
      <c r="K139" s="2449">
        <v>0.76300000000000001</v>
      </c>
      <c r="L139" s="2449">
        <v>0.76300000000000001</v>
      </c>
      <c r="M139" s="2449">
        <v>0.76300000000000001</v>
      </c>
      <c r="N139" s="2449">
        <v>0.76300000000000001</v>
      </c>
      <c r="O139" s="2449">
        <v>0.76300000000000001</v>
      </c>
      <c r="P139" s="2449">
        <v>0.76300000000000001</v>
      </c>
      <c r="Q139" s="2449">
        <v>0.76300000000000001</v>
      </c>
      <c r="R139" s="2449">
        <v>0.76300000000000001</v>
      </c>
      <c r="S139" s="2449">
        <v>0.76300000000000001</v>
      </c>
      <c r="T139" s="2449">
        <v>0.76300000000000001</v>
      </c>
      <c r="U139" s="2449">
        <v>0.76300000000000001</v>
      </c>
      <c r="V139" s="2449">
        <v>0.76300000000000001</v>
      </c>
      <c r="W139" s="2449">
        <v>0.76300000000000001</v>
      </c>
      <c r="X139" s="2449">
        <v>0.76300000000000001</v>
      </c>
      <c r="Y139" s="2449">
        <v>0.76300000000000001</v>
      </c>
      <c r="Z139" s="2449">
        <v>0.76300000000000001</v>
      </c>
      <c r="AA139" s="2449">
        <v>0.76300000000000001</v>
      </c>
      <c r="AB139" s="2449">
        <v>0.76300000000000001</v>
      </c>
      <c r="AC139" s="2449">
        <v>0.76300000000000001</v>
      </c>
      <c r="AD139" s="2449">
        <v>0.76300000000000001</v>
      </c>
      <c r="AE139" s="2449">
        <v>0.76300000000000001</v>
      </c>
      <c r="AF139" s="2449">
        <v>0.76300000000000001</v>
      </c>
      <c r="AG139" s="2449">
        <v>0.76300000000000001</v>
      </c>
      <c r="AH139" s="2449">
        <v>0.76300000000000001</v>
      </c>
      <c r="AI139" s="2449">
        <v>0.76300000000000001</v>
      </c>
      <c r="AJ139" s="2449">
        <v>0.76300000000000001</v>
      </c>
      <c r="AK139" s="2449">
        <v>0.76300000000000001</v>
      </c>
      <c r="AL139" s="2449">
        <v>0.76300000000000001</v>
      </c>
      <c r="AM139" s="2449">
        <v>0.76300000000000001</v>
      </c>
      <c r="AN139" s="2449">
        <v>0.76300000000000001</v>
      </c>
      <c r="AO139" s="2449">
        <v>0.76300000000000001</v>
      </c>
      <c r="AP139" s="2449">
        <v>0.76300000000000001</v>
      </c>
      <c r="AQ139" s="2449">
        <v>0.76300000000000001</v>
      </c>
      <c r="AR139" s="2449">
        <v>0.76300000000000001</v>
      </c>
      <c r="AS139" s="2449">
        <v>0.76300000000000001</v>
      </c>
    </row>
    <row r="140" spans="2:45" x14ac:dyDescent="0.2">
      <c r="B140" s="2410"/>
      <c r="C140" s="2412" t="s">
        <v>1406</v>
      </c>
      <c r="D140" s="2411"/>
      <c r="E140" s="2411" t="s">
        <v>319</v>
      </c>
      <c r="F140" s="2411"/>
      <c r="G140" s="2449">
        <v>0.96750000000000003</v>
      </c>
      <c r="H140" s="2449">
        <v>0.96750000000000003</v>
      </c>
      <c r="I140" s="2449">
        <v>0.96750000000000003</v>
      </c>
      <c r="J140" s="2449">
        <v>0.96750000000000003</v>
      </c>
      <c r="K140" s="2449">
        <v>0.96750000000000003</v>
      </c>
      <c r="L140" s="2449">
        <v>0.96750000000000003</v>
      </c>
      <c r="M140" s="2449">
        <v>0.96750000000000003</v>
      </c>
      <c r="N140" s="2449">
        <v>0.96750000000000003</v>
      </c>
      <c r="O140" s="2449">
        <v>0.96750000000000003</v>
      </c>
      <c r="P140" s="2449">
        <v>0.96750000000000003</v>
      </c>
      <c r="Q140" s="2449">
        <v>0.96750000000000003</v>
      </c>
      <c r="R140" s="2449">
        <v>0.96750000000000003</v>
      </c>
      <c r="S140" s="2449">
        <v>0.96750000000000003</v>
      </c>
      <c r="T140" s="2449">
        <v>0.96750000000000003</v>
      </c>
      <c r="U140" s="2449">
        <v>0.96750000000000003</v>
      </c>
      <c r="V140" s="2449">
        <v>0.96750000000000003</v>
      </c>
      <c r="W140" s="2449">
        <v>0.96750000000000003</v>
      </c>
      <c r="X140" s="2449">
        <v>0.96750000000000003</v>
      </c>
      <c r="Y140" s="2449">
        <v>0.96750000000000003</v>
      </c>
      <c r="Z140" s="2449">
        <v>0.96750000000000003</v>
      </c>
      <c r="AA140" s="2449">
        <v>0.96750000000000003</v>
      </c>
      <c r="AB140" s="2449">
        <v>0.96750000000000003</v>
      </c>
      <c r="AC140" s="2449">
        <v>0.96750000000000003</v>
      </c>
      <c r="AD140" s="2449">
        <v>0.96750000000000003</v>
      </c>
      <c r="AE140" s="2449">
        <v>0.96750000000000003</v>
      </c>
      <c r="AF140" s="2449">
        <v>0.96750000000000003</v>
      </c>
      <c r="AG140" s="2449">
        <v>0.96750000000000003</v>
      </c>
      <c r="AH140" s="2449">
        <v>0.96750000000000003</v>
      </c>
      <c r="AI140" s="2449">
        <v>0.96750000000000003</v>
      </c>
      <c r="AJ140" s="2449">
        <v>0.96750000000000003</v>
      </c>
      <c r="AK140" s="2449">
        <v>0.96750000000000003</v>
      </c>
      <c r="AL140" s="2449">
        <v>0.96750000000000003</v>
      </c>
      <c r="AM140" s="2449">
        <v>0.96750000000000003</v>
      </c>
      <c r="AN140" s="2449">
        <v>0.96750000000000003</v>
      </c>
      <c r="AO140" s="2449">
        <v>0.96750000000000003</v>
      </c>
      <c r="AP140" s="2449">
        <v>0.96750000000000003</v>
      </c>
      <c r="AQ140" s="2449">
        <v>0.96750000000000003</v>
      </c>
      <c r="AR140" s="2449">
        <v>0.96750000000000003</v>
      </c>
      <c r="AS140" s="2449">
        <v>0.96750000000000003</v>
      </c>
    </row>
    <row r="141" spans="2:45" x14ac:dyDescent="0.2">
      <c r="B141" s="2410"/>
      <c r="C141" s="2412" t="s">
        <v>1368</v>
      </c>
      <c r="D141" s="2411"/>
      <c r="E141" s="2411" t="s">
        <v>319</v>
      </c>
      <c r="F141" s="2411"/>
      <c r="G141" s="2449">
        <v>1</v>
      </c>
      <c r="H141" s="2449">
        <v>1</v>
      </c>
      <c r="I141" s="2449">
        <v>1</v>
      </c>
      <c r="J141" s="2449">
        <v>1</v>
      </c>
      <c r="K141" s="2449">
        <v>1</v>
      </c>
      <c r="L141" s="2449">
        <v>1</v>
      </c>
      <c r="M141" s="2449">
        <v>1</v>
      </c>
      <c r="N141" s="2449">
        <v>1</v>
      </c>
      <c r="O141" s="2449">
        <v>1</v>
      </c>
      <c r="P141" s="2449">
        <v>1</v>
      </c>
      <c r="Q141" s="2449">
        <v>1</v>
      </c>
      <c r="R141" s="2449">
        <v>1</v>
      </c>
      <c r="S141" s="2449">
        <v>1</v>
      </c>
      <c r="T141" s="2449">
        <v>1</v>
      </c>
      <c r="U141" s="2449">
        <v>1</v>
      </c>
      <c r="V141" s="2449">
        <v>1</v>
      </c>
      <c r="W141" s="2449">
        <v>1</v>
      </c>
      <c r="X141" s="2449">
        <v>1</v>
      </c>
      <c r="Y141" s="2449">
        <v>1</v>
      </c>
      <c r="Z141" s="2449">
        <v>1</v>
      </c>
      <c r="AA141" s="2449">
        <v>1</v>
      </c>
      <c r="AB141" s="2449">
        <v>1</v>
      </c>
      <c r="AC141" s="2449">
        <v>1</v>
      </c>
      <c r="AD141" s="2449">
        <v>1</v>
      </c>
      <c r="AE141" s="2449">
        <v>1</v>
      </c>
      <c r="AF141" s="2449">
        <v>1</v>
      </c>
      <c r="AG141" s="2449">
        <v>1</v>
      </c>
      <c r="AH141" s="2449">
        <v>1</v>
      </c>
      <c r="AI141" s="2449">
        <v>1</v>
      </c>
      <c r="AJ141" s="2449">
        <v>1</v>
      </c>
      <c r="AK141" s="2449">
        <v>1</v>
      </c>
      <c r="AL141" s="2449">
        <v>1</v>
      </c>
      <c r="AM141" s="2449">
        <v>1</v>
      </c>
      <c r="AN141" s="2449">
        <v>1</v>
      </c>
      <c r="AO141" s="2449">
        <v>1</v>
      </c>
      <c r="AP141" s="2449">
        <v>1</v>
      </c>
      <c r="AQ141" s="2449">
        <v>1</v>
      </c>
      <c r="AR141" s="2449">
        <v>1</v>
      </c>
      <c r="AS141" s="2449">
        <v>1</v>
      </c>
    </row>
    <row r="142" spans="2:45" x14ac:dyDescent="0.2">
      <c r="B142" s="2410"/>
      <c r="C142" s="2412" t="s">
        <v>1369</v>
      </c>
      <c r="D142" s="2411"/>
      <c r="E142" s="2411" t="s">
        <v>319</v>
      </c>
      <c r="F142" s="2411"/>
      <c r="G142" s="2449">
        <v>0.7</v>
      </c>
      <c r="H142" s="2449">
        <v>0.7</v>
      </c>
      <c r="I142" s="2449">
        <v>0.7</v>
      </c>
      <c r="J142" s="2449">
        <v>0.7</v>
      </c>
      <c r="K142" s="2449">
        <v>0.7</v>
      </c>
      <c r="L142" s="2449">
        <v>0.7</v>
      </c>
      <c r="M142" s="2449">
        <v>0.7</v>
      </c>
      <c r="N142" s="2449">
        <v>0.7</v>
      </c>
      <c r="O142" s="2449">
        <v>0.7</v>
      </c>
      <c r="P142" s="2449">
        <v>0.7</v>
      </c>
      <c r="Q142" s="2449">
        <v>0.7</v>
      </c>
      <c r="R142" s="2449">
        <v>0.7</v>
      </c>
      <c r="S142" s="2449">
        <v>0.7</v>
      </c>
      <c r="T142" s="2449">
        <v>0.7</v>
      </c>
      <c r="U142" s="2449">
        <v>0.7</v>
      </c>
      <c r="V142" s="2449">
        <v>0.7</v>
      </c>
      <c r="W142" s="2449">
        <v>0.7</v>
      </c>
      <c r="X142" s="2449">
        <v>0.7</v>
      </c>
      <c r="Y142" s="2449">
        <v>0.7</v>
      </c>
      <c r="Z142" s="2449">
        <v>0.7</v>
      </c>
      <c r="AA142" s="2449">
        <v>0.7</v>
      </c>
      <c r="AB142" s="2449">
        <v>0.7</v>
      </c>
      <c r="AC142" s="2449">
        <v>0.7</v>
      </c>
      <c r="AD142" s="2449">
        <v>0.7</v>
      </c>
      <c r="AE142" s="2449">
        <v>0.7</v>
      </c>
      <c r="AF142" s="2449">
        <v>0.7</v>
      </c>
      <c r="AG142" s="2449">
        <v>0.7</v>
      </c>
      <c r="AH142" s="2449">
        <v>0.7</v>
      </c>
      <c r="AI142" s="2449">
        <v>0.7</v>
      </c>
      <c r="AJ142" s="2449">
        <v>0.7</v>
      </c>
      <c r="AK142" s="2449">
        <v>0.7</v>
      </c>
      <c r="AL142" s="2449">
        <v>0.7</v>
      </c>
      <c r="AM142" s="2449">
        <v>0.7</v>
      </c>
      <c r="AN142" s="2449">
        <v>0.7</v>
      </c>
      <c r="AO142" s="2449">
        <v>0.7</v>
      </c>
      <c r="AP142" s="2449">
        <v>0.7</v>
      </c>
      <c r="AQ142" s="2449">
        <v>0.7</v>
      </c>
      <c r="AR142" s="2449">
        <v>0.7</v>
      </c>
      <c r="AS142" s="2449">
        <v>0.7</v>
      </c>
    </row>
    <row r="143" spans="2:45" x14ac:dyDescent="0.2">
      <c r="B143" s="2410"/>
      <c r="C143" s="2412" t="s">
        <v>1407</v>
      </c>
      <c r="D143" s="2411"/>
      <c r="E143" s="2411" t="s">
        <v>319</v>
      </c>
      <c r="F143" s="2411"/>
      <c r="G143" s="2449">
        <v>1</v>
      </c>
      <c r="H143" s="2449">
        <v>1</v>
      </c>
      <c r="I143" s="2449">
        <v>1</v>
      </c>
      <c r="J143" s="2449">
        <v>1</v>
      </c>
      <c r="K143" s="2449">
        <v>1</v>
      </c>
      <c r="L143" s="2449">
        <v>1</v>
      </c>
      <c r="M143" s="2449">
        <v>1</v>
      </c>
      <c r="N143" s="2449">
        <v>1</v>
      </c>
      <c r="O143" s="2449">
        <v>1</v>
      </c>
      <c r="P143" s="2449">
        <v>1</v>
      </c>
      <c r="Q143" s="2449">
        <v>1</v>
      </c>
      <c r="R143" s="2449">
        <v>1</v>
      </c>
      <c r="S143" s="2449">
        <v>1</v>
      </c>
      <c r="T143" s="2449">
        <v>1</v>
      </c>
      <c r="U143" s="2449">
        <v>1</v>
      </c>
      <c r="V143" s="2449">
        <v>1</v>
      </c>
      <c r="W143" s="2449">
        <v>1</v>
      </c>
      <c r="X143" s="2449">
        <v>1</v>
      </c>
      <c r="Y143" s="2449">
        <v>1</v>
      </c>
      <c r="Z143" s="2449">
        <v>1</v>
      </c>
      <c r="AA143" s="2449">
        <v>1</v>
      </c>
      <c r="AB143" s="2449">
        <v>1</v>
      </c>
      <c r="AC143" s="2449">
        <v>1</v>
      </c>
      <c r="AD143" s="2449">
        <v>1</v>
      </c>
      <c r="AE143" s="2449">
        <v>1</v>
      </c>
      <c r="AF143" s="2449">
        <v>1</v>
      </c>
      <c r="AG143" s="2449">
        <v>1</v>
      </c>
      <c r="AH143" s="2449">
        <v>1</v>
      </c>
      <c r="AI143" s="2449">
        <v>1</v>
      </c>
      <c r="AJ143" s="2449">
        <v>1</v>
      </c>
      <c r="AK143" s="2449">
        <v>1</v>
      </c>
      <c r="AL143" s="2449">
        <v>1</v>
      </c>
      <c r="AM143" s="2449">
        <v>1</v>
      </c>
      <c r="AN143" s="2449">
        <v>1</v>
      </c>
      <c r="AO143" s="2449">
        <v>1</v>
      </c>
      <c r="AP143" s="2449">
        <v>1</v>
      </c>
      <c r="AQ143" s="2449">
        <v>1</v>
      </c>
      <c r="AR143" s="2449">
        <v>1</v>
      </c>
      <c r="AS143" s="2449">
        <v>1</v>
      </c>
    </row>
    <row r="144" spans="2:45" x14ac:dyDescent="0.2">
      <c r="B144" s="2410"/>
      <c r="C144" s="2412" t="s">
        <v>1371</v>
      </c>
      <c r="D144" s="2411"/>
      <c r="E144" s="2411" t="s">
        <v>319</v>
      </c>
      <c r="F144" s="2411"/>
      <c r="G144" s="2449">
        <v>1</v>
      </c>
      <c r="H144" s="2449">
        <v>1</v>
      </c>
      <c r="I144" s="2449">
        <v>1</v>
      </c>
      <c r="J144" s="2449">
        <v>1</v>
      </c>
      <c r="K144" s="2449">
        <v>1</v>
      </c>
      <c r="L144" s="2449">
        <v>1</v>
      </c>
      <c r="M144" s="2449">
        <v>1</v>
      </c>
      <c r="N144" s="2449">
        <v>1</v>
      </c>
      <c r="O144" s="2449">
        <v>1</v>
      </c>
      <c r="P144" s="2449">
        <v>1</v>
      </c>
      <c r="Q144" s="2449">
        <v>1</v>
      </c>
      <c r="R144" s="2449">
        <v>1</v>
      </c>
      <c r="S144" s="2449">
        <v>1</v>
      </c>
      <c r="T144" s="2449">
        <v>1</v>
      </c>
      <c r="U144" s="2449">
        <v>1</v>
      </c>
      <c r="V144" s="2449">
        <v>1</v>
      </c>
      <c r="W144" s="2449">
        <v>1</v>
      </c>
      <c r="X144" s="2449">
        <v>1</v>
      </c>
      <c r="Y144" s="2449">
        <v>1</v>
      </c>
      <c r="Z144" s="2449">
        <v>1</v>
      </c>
      <c r="AA144" s="2449">
        <v>1</v>
      </c>
      <c r="AB144" s="2449">
        <v>1</v>
      </c>
      <c r="AC144" s="2449">
        <v>1</v>
      </c>
      <c r="AD144" s="2449">
        <v>1</v>
      </c>
      <c r="AE144" s="2449">
        <v>1</v>
      </c>
      <c r="AF144" s="2449">
        <v>1</v>
      </c>
      <c r="AG144" s="2449">
        <v>1</v>
      </c>
      <c r="AH144" s="2449">
        <v>1</v>
      </c>
      <c r="AI144" s="2449">
        <v>1</v>
      </c>
      <c r="AJ144" s="2449">
        <v>1</v>
      </c>
      <c r="AK144" s="2449">
        <v>1</v>
      </c>
      <c r="AL144" s="2449">
        <v>1</v>
      </c>
      <c r="AM144" s="2449">
        <v>1</v>
      </c>
      <c r="AN144" s="2449">
        <v>1</v>
      </c>
      <c r="AO144" s="2449">
        <v>1</v>
      </c>
      <c r="AP144" s="2449">
        <v>1</v>
      </c>
      <c r="AQ144" s="2449">
        <v>1</v>
      </c>
      <c r="AR144" s="2449">
        <v>1</v>
      </c>
      <c r="AS144" s="2449">
        <v>1</v>
      </c>
    </row>
    <row r="145" spans="2:45" x14ac:dyDescent="0.2">
      <c r="B145" s="2410"/>
      <c r="C145" s="2412" t="s">
        <v>1408</v>
      </c>
      <c r="D145" s="2411"/>
      <c r="E145" s="2411" t="s">
        <v>319</v>
      </c>
      <c r="F145" s="2411"/>
      <c r="G145" s="2449">
        <v>1</v>
      </c>
      <c r="H145" s="2449">
        <v>1</v>
      </c>
      <c r="I145" s="2449">
        <v>1</v>
      </c>
      <c r="J145" s="2449">
        <v>1</v>
      </c>
      <c r="K145" s="2449">
        <v>1</v>
      </c>
      <c r="L145" s="2449">
        <v>1</v>
      </c>
      <c r="M145" s="2449">
        <v>1</v>
      </c>
      <c r="N145" s="2449">
        <v>1</v>
      </c>
      <c r="O145" s="2449">
        <v>1</v>
      </c>
      <c r="P145" s="2449">
        <v>1</v>
      </c>
      <c r="Q145" s="2449">
        <v>1</v>
      </c>
      <c r="R145" s="2449">
        <v>1</v>
      </c>
      <c r="S145" s="2449">
        <v>1</v>
      </c>
      <c r="T145" s="2449">
        <v>1</v>
      </c>
      <c r="U145" s="2449">
        <v>1</v>
      </c>
      <c r="V145" s="2449">
        <v>1</v>
      </c>
      <c r="W145" s="2449">
        <v>1</v>
      </c>
      <c r="X145" s="2449">
        <v>1</v>
      </c>
      <c r="Y145" s="2449">
        <v>1</v>
      </c>
      <c r="Z145" s="2449">
        <v>1</v>
      </c>
      <c r="AA145" s="2449">
        <v>1</v>
      </c>
      <c r="AB145" s="2449">
        <v>1</v>
      </c>
      <c r="AC145" s="2449">
        <v>1</v>
      </c>
      <c r="AD145" s="2449">
        <v>1</v>
      </c>
      <c r="AE145" s="2449">
        <v>1</v>
      </c>
      <c r="AF145" s="2449">
        <v>1</v>
      </c>
      <c r="AG145" s="2449">
        <v>1</v>
      </c>
      <c r="AH145" s="2449">
        <v>1</v>
      </c>
      <c r="AI145" s="2449">
        <v>1</v>
      </c>
      <c r="AJ145" s="2449">
        <v>1</v>
      </c>
      <c r="AK145" s="2449">
        <v>1</v>
      </c>
      <c r="AL145" s="2449">
        <v>1</v>
      </c>
      <c r="AM145" s="2449">
        <v>1</v>
      </c>
      <c r="AN145" s="2449">
        <v>1</v>
      </c>
      <c r="AO145" s="2449">
        <v>1</v>
      </c>
      <c r="AP145" s="2449">
        <v>1</v>
      </c>
      <c r="AQ145" s="2449">
        <v>1</v>
      </c>
      <c r="AR145" s="2449">
        <v>1</v>
      </c>
      <c r="AS145" s="2449">
        <v>1</v>
      </c>
    </row>
    <row r="146" spans="2:45" x14ac:dyDescent="0.2">
      <c r="B146" s="2410"/>
      <c r="C146" s="2412" t="s">
        <v>1373</v>
      </c>
      <c r="D146" s="2411"/>
      <c r="E146" s="2411" t="s">
        <v>319</v>
      </c>
      <c r="F146" s="2411"/>
      <c r="G146" s="2449">
        <v>1</v>
      </c>
      <c r="H146" s="2449">
        <v>1</v>
      </c>
      <c r="I146" s="2449">
        <v>1</v>
      </c>
      <c r="J146" s="2449">
        <v>1</v>
      </c>
      <c r="K146" s="2449">
        <v>1</v>
      </c>
      <c r="L146" s="2449">
        <v>1</v>
      </c>
      <c r="M146" s="2449">
        <v>1</v>
      </c>
      <c r="N146" s="2449">
        <v>1</v>
      </c>
      <c r="O146" s="2449">
        <v>1</v>
      </c>
      <c r="P146" s="2449">
        <v>1</v>
      </c>
      <c r="Q146" s="2449">
        <v>1</v>
      </c>
      <c r="R146" s="2449">
        <v>1</v>
      </c>
      <c r="S146" s="2449">
        <v>1</v>
      </c>
      <c r="T146" s="2449">
        <v>1</v>
      </c>
      <c r="U146" s="2449">
        <v>1</v>
      </c>
      <c r="V146" s="2449">
        <v>1</v>
      </c>
      <c r="W146" s="2449">
        <v>1</v>
      </c>
      <c r="X146" s="2449">
        <v>1</v>
      </c>
      <c r="Y146" s="2449">
        <v>1</v>
      </c>
      <c r="Z146" s="2449">
        <v>1</v>
      </c>
      <c r="AA146" s="2449">
        <v>1</v>
      </c>
      <c r="AB146" s="2449">
        <v>1</v>
      </c>
      <c r="AC146" s="2449">
        <v>1</v>
      </c>
      <c r="AD146" s="2449">
        <v>1</v>
      </c>
      <c r="AE146" s="2449">
        <v>1</v>
      </c>
      <c r="AF146" s="2449">
        <v>1</v>
      </c>
      <c r="AG146" s="2449">
        <v>1</v>
      </c>
      <c r="AH146" s="2449">
        <v>1</v>
      </c>
      <c r="AI146" s="2449">
        <v>1</v>
      </c>
      <c r="AJ146" s="2449">
        <v>1</v>
      </c>
      <c r="AK146" s="2449">
        <v>1</v>
      </c>
      <c r="AL146" s="2449">
        <v>1</v>
      </c>
      <c r="AM146" s="2449">
        <v>1</v>
      </c>
      <c r="AN146" s="2449">
        <v>1</v>
      </c>
      <c r="AO146" s="2449">
        <v>1</v>
      </c>
      <c r="AP146" s="2449">
        <v>1</v>
      </c>
      <c r="AQ146" s="2449">
        <v>1</v>
      </c>
      <c r="AR146" s="2449">
        <v>1</v>
      </c>
      <c r="AS146" s="2449">
        <v>1</v>
      </c>
    </row>
    <row r="147" spans="2:45" x14ac:dyDescent="0.2">
      <c r="B147" s="2410"/>
      <c r="C147" s="2412" t="s">
        <v>1409</v>
      </c>
      <c r="D147" s="2411"/>
      <c r="E147" s="2411" t="s">
        <v>319</v>
      </c>
      <c r="F147" s="2411"/>
      <c r="G147" s="2449">
        <v>1</v>
      </c>
      <c r="H147" s="2449">
        <v>1</v>
      </c>
      <c r="I147" s="2449">
        <v>1</v>
      </c>
      <c r="J147" s="2449">
        <v>1</v>
      </c>
      <c r="K147" s="2449">
        <v>1</v>
      </c>
      <c r="L147" s="2449">
        <v>1</v>
      </c>
      <c r="M147" s="2449">
        <v>1</v>
      </c>
      <c r="N147" s="2449">
        <v>1</v>
      </c>
      <c r="O147" s="2449">
        <v>1</v>
      </c>
      <c r="P147" s="2449">
        <v>1</v>
      </c>
      <c r="Q147" s="2449">
        <v>1</v>
      </c>
      <c r="R147" s="2449">
        <v>1</v>
      </c>
      <c r="S147" s="2449">
        <v>1</v>
      </c>
      <c r="T147" s="2449">
        <v>1</v>
      </c>
      <c r="U147" s="2449">
        <v>1</v>
      </c>
      <c r="V147" s="2449">
        <v>1</v>
      </c>
      <c r="W147" s="2449">
        <v>1</v>
      </c>
      <c r="X147" s="2449">
        <v>1</v>
      </c>
      <c r="Y147" s="2449">
        <v>1</v>
      </c>
      <c r="Z147" s="2449">
        <v>1</v>
      </c>
      <c r="AA147" s="2449">
        <v>1</v>
      </c>
      <c r="AB147" s="2449">
        <v>1</v>
      </c>
      <c r="AC147" s="2449">
        <v>1</v>
      </c>
      <c r="AD147" s="2449">
        <v>1</v>
      </c>
      <c r="AE147" s="2449">
        <v>1</v>
      </c>
      <c r="AF147" s="2449">
        <v>1</v>
      </c>
      <c r="AG147" s="2449">
        <v>1</v>
      </c>
      <c r="AH147" s="2449">
        <v>1</v>
      </c>
      <c r="AI147" s="2449">
        <v>1</v>
      </c>
      <c r="AJ147" s="2449">
        <v>1</v>
      </c>
      <c r="AK147" s="2449">
        <v>1</v>
      </c>
      <c r="AL147" s="2449">
        <v>1</v>
      </c>
      <c r="AM147" s="2449">
        <v>1</v>
      </c>
      <c r="AN147" s="2449">
        <v>1</v>
      </c>
      <c r="AO147" s="2449">
        <v>1</v>
      </c>
      <c r="AP147" s="2449">
        <v>1</v>
      </c>
      <c r="AQ147" s="2449">
        <v>1</v>
      </c>
      <c r="AR147" s="2449">
        <v>1</v>
      </c>
      <c r="AS147" s="2449">
        <v>1</v>
      </c>
    </row>
    <row r="148" spans="2:45" x14ac:dyDescent="0.2">
      <c r="B148" s="2410"/>
      <c r="C148" s="2412" t="s">
        <v>1410</v>
      </c>
      <c r="D148" s="2411"/>
      <c r="E148" s="2411" t="s">
        <v>319</v>
      </c>
      <c r="F148" s="2411"/>
      <c r="G148" s="2449">
        <v>1</v>
      </c>
      <c r="H148" s="2449">
        <v>1</v>
      </c>
      <c r="I148" s="2449">
        <v>1</v>
      </c>
      <c r="J148" s="2449">
        <v>1</v>
      </c>
      <c r="K148" s="2449">
        <v>1</v>
      </c>
      <c r="L148" s="2449">
        <v>1</v>
      </c>
      <c r="M148" s="2449">
        <v>1</v>
      </c>
      <c r="N148" s="2449">
        <v>1</v>
      </c>
      <c r="O148" s="2449">
        <v>1</v>
      </c>
      <c r="P148" s="2449">
        <v>1</v>
      </c>
      <c r="Q148" s="2449">
        <v>1</v>
      </c>
      <c r="R148" s="2449">
        <v>1</v>
      </c>
      <c r="S148" s="2449">
        <v>1</v>
      </c>
      <c r="T148" s="2449">
        <v>1</v>
      </c>
      <c r="U148" s="2449">
        <v>1</v>
      </c>
      <c r="V148" s="2449">
        <v>1</v>
      </c>
      <c r="W148" s="2449">
        <v>1</v>
      </c>
      <c r="X148" s="2449">
        <v>1</v>
      </c>
      <c r="Y148" s="2449">
        <v>1</v>
      </c>
      <c r="Z148" s="2449">
        <v>1</v>
      </c>
      <c r="AA148" s="2449">
        <v>1</v>
      </c>
      <c r="AB148" s="2449">
        <v>1</v>
      </c>
      <c r="AC148" s="2449">
        <v>1</v>
      </c>
      <c r="AD148" s="2449">
        <v>1</v>
      </c>
      <c r="AE148" s="2449">
        <v>1</v>
      </c>
      <c r="AF148" s="2449">
        <v>1</v>
      </c>
      <c r="AG148" s="2449">
        <v>1</v>
      </c>
      <c r="AH148" s="2449">
        <v>1</v>
      </c>
      <c r="AI148" s="2449">
        <v>1</v>
      </c>
      <c r="AJ148" s="2449">
        <v>1</v>
      </c>
      <c r="AK148" s="2449">
        <v>1</v>
      </c>
      <c r="AL148" s="2449">
        <v>1</v>
      </c>
      <c r="AM148" s="2449">
        <v>1</v>
      </c>
      <c r="AN148" s="2449">
        <v>1</v>
      </c>
      <c r="AO148" s="2449">
        <v>1</v>
      </c>
      <c r="AP148" s="2449">
        <v>1</v>
      </c>
      <c r="AQ148" s="2449">
        <v>1</v>
      </c>
      <c r="AR148" s="2449">
        <v>1</v>
      </c>
      <c r="AS148" s="2449">
        <v>1</v>
      </c>
    </row>
    <row r="149" spans="2:45" x14ac:dyDescent="0.2">
      <c r="B149" s="2410"/>
      <c r="C149" s="2412" t="s">
        <v>1411</v>
      </c>
      <c r="D149" s="2411"/>
      <c r="E149" s="2411" t="s">
        <v>319</v>
      </c>
      <c r="F149" s="2411"/>
      <c r="G149" s="2449">
        <v>1</v>
      </c>
      <c r="H149" s="2449">
        <v>1</v>
      </c>
      <c r="I149" s="2449">
        <v>1</v>
      </c>
      <c r="J149" s="2449">
        <v>1</v>
      </c>
      <c r="K149" s="2449">
        <v>1</v>
      </c>
      <c r="L149" s="2449">
        <v>1</v>
      </c>
      <c r="M149" s="2449">
        <v>1</v>
      </c>
      <c r="N149" s="2449">
        <v>1</v>
      </c>
      <c r="O149" s="2449">
        <v>1</v>
      </c>
      <c r="P149" s="2449">
        <v>1</v>
      </c>
      <c r="Q149" s="2449">
        <v>1</v>
      </c>
      <c r="R149" s="2449">
        <v>1</v>
      </c>
      <c r="S149" s="2449">
        <v>1</v>
      </c>
      <c r="T149" s="2449">
        <v>1</v>
      </c>
      <c r="U149" s="2449">
        <v>1</v>
      </c>
      <c r="V149" s="2449">
        <v>1</v>
      </c>
      <c r="W149" s="2449">
        <v>1</v>
      </c>
      <c r="X149" s="2449">
        <v>1</v>
      </c>
      <c r="Y149" s="2449">
        <v>1</v>
      </c>
      <c r="Z149" s="2449">
        <v>1</v>
      </c>
      <c r="AA149" s="2449">
        <v>1</v>
      </c>
      <c r="AB149" s="2449">
        <v>1</v>
      </c>
      <c r="AC149" s="2449">
        <v>1</v>
      </c>
      <c r="AD149" s="2449">
        <v>1</v>
      </c>
      <c r="AE149" s="2449">
        <v>1</v>
      </c>
      <c r="AF149" s="2449">
        <v>1</v>
      </c>
      <c r="AG149" s="2449">
        <v>1</v>
      </c>
      <c r="AH149" s="2449">
        <v>1</v>
      </c>
      <c r="AI149" s="2449">
        <v>1</v>
      </c>
      <c r="AJ149" s="2449">
        <v>1</v>
      </c>
      <c r="AK149" s="2449">
        <v>1</v>
      </c>
      <c r="AL149" s="2449">
        <v>1</v>
      </c>
      <c r="AM149" s="2449">
        <v>1</v>
      </c>
      <c r="AN149" s="2449">
        <v>1</v>
      </c>
      <c r="AO149" s="2449">
        <v>1</v>
      </c>
      <c r="AP149" s="2449">
        <v>1</v>
      </c>
      <c r="AQ149" s="2449">
        <v>1</v>
      </c>
      <c r="AR149" s="2449">
        <v>1</v>
      </c>
      <c r="AS149" s="2449">
        <v>1</v>
      </c>
    </row>
    <row r="150" spans="2:45" x14ac:dyDescent="0.2">
      <c r="B150" s="2410"/>
      <c r="C150" s="2412" t="s">
        <v>1377</v>
      </c>
      <c r="D150" s="2411"/>
      <c r="E150" s="2411" t="s">
        <v>319</v>
      </c>
      <c r="F150" s="2411"/>
      <c r="G150" s="2449">
        <v>0.14999999999999997</v>
      </c>
      <c r="H150" s="2449">
        <v>0.14999999999999997</v>
      </c>
      <c r="I150" s="2449">
        <v>0.14999999999999997</v>
      </c>
      <c r="J150" s="2449">
        <v>0.14999999999999997</v>
      </c>
      <c r="K150" s="2449">
        <v>0.14999999999999997</v>
      </c>
      <c r="L150" s="2449">
        <v>0.14999999999999997</v>
      </c>
      <c r="M150" s="2449">
        <v>0.14999999999999997</v>
      </c>
      <c r="N150" s="2449">
        <v>0.14999999999999997</v>
      </c>
      <c r="O150" s="2449">
        <v>0.14999999999999997</v>
      </c>
      <c r="P150" s="2449">
        <v>0.14999999999999997</v>
      </c>
      <c r="Q150" s="2449">
        <v>0.14999999999999997</v>
      </c>
      <c r="R150" s="2449">
        <v>0.14999999999999997</v>
      </c>
      <c r="S150" s="2449">
        <v>0.14999999999999997</v>
      </c>
      <c r="T150" s="2449">
        <v>0.14999999999999997</v>
      </c>
      <c r="U150" s="2449">
        <v>0.14999999999999997</v>
      </c>
      <c r="V150" s="2449">
        <v>0.14999999999999997</v>
      </c>
      <c r="W150" s="2449">
        <v>0.14999999999999997</v>
      </c>
      <c r="X150" s="2449">
        <v>0.14999999999999997</v>
      </c>
      <c r="Y150" s="2449">
        <v>0.14999999999999997</v>
      </c>
      <c r="Z150" s="2449">
        <v>0.14999999999999997</v>
      </c>
      <c r="AA150" s="2449">
        <v>0.14999999999999997</v>
      </c>
      <c r="AB150" s="2449">
        <v>0.14999999999999997</v>
      </c>
      <c r="AC150" s="2449">
        <v>0.14999999999999997</v>
      </c>
      <c r="AD150" s="2449">
        <v>0.14999999999999997</v>
      </c>
      <c r="AE150" s="2449">
        <v>0.14999999999999997</v>
      </c>
      <c r="AF150" s="2449">
        <v>0.14999999999999997</v>
      </c>
      <c r="AG150" s="2449">
        <v>0.14999999999999997</v>
      </c>
      <c r="AH150" s="2449">
        <v>0.14999999999999997</v>
      </c>
      <c r="AI150" s="2449">
        <v>0.14999999999999997</v>
      </c>
      <c r="AJ150" s="2449">
        <v>0.14999999999999997</v>
      </c>
      <c r="AK150" s="2449">
        <v>0.14999999999999997</v>
      </c>
      <c r="AL150" s="2449">
        <v>0.14999999999999997</v>
      </c>
      <c r="AM150" s="2449">
        <v>0.14999999999999997</v>
      </c>
      <c r="AN150" s="2449">
        <v>0.14999999999999997</v>
      </c>
      <c r="AO150" s="2449">
        <v>0.14999999999999997</v>
      </c>
      <c r="AP150" s="2449">
        <v>0.14999999999999997</v>
      </c>
      <c r="AQ150" s="2449">
        <v>0.14999999999999997</v>
      </c>
      <c r="AR150" s="2449">
        <v>0.14999999999999997</v>
      </c>
      <c r="AS150" s="2449">
        <v>0.14999999999999997</v>
      </c>
    </row>
    <row r="151" spans="2:45" x14ac:dyDescent="0.2">
      <c r="B151" s="2410"/>
      <c r="C151" s="2412" t="s">
        <v>1412</v>
      </c>
      <c r="D151" s="2411"/>
      <c r="E151" s="2411" t="s">
        <v>319</v>
      </c>
      <c r="F151" s="2428"/>
      <c r="G151" s="2449">
        <v>0.15</v>
      </c>
      <c r="H151" s="2449">
        <v>0.15</v>
      </c>
      <c r="I151" s="2449">
        <v>0.15</v>
      </c>
      <c r="J151" s="2449">
        <v>0.15</v>
      </c>
      <c r="K151" s="2449">
        <v>0.15</v>
      </c>
      <c r="L151" s="2449">
        <v>0.15</v>
      </c>
      <c r="M151" s="2449">
        <v>0.15</v>
      </c>
      <c r="N151" s="2449">
        <v>0.15</v>
      </c>
      <c r="O151" s="2449">
        <v>0.15</v>
      </c>
      <c r="P151" s="2449">
        <v>0.15</v>
      </c>
      <c r="Q151" s="2449">
        <v>0.15</v>
      </c>
      <c r="R151" s="2449">
        <v>0.15</v>
      </c>
      <c r="S151" s="2449">
        <v>0.15</v>
      </c>
      <c r="T151" s="2449">
        <v>0.15</v>
      </c>
      <c r="U151" s="2449">
        <v>0.15</v>
      </c>
      <c r="V151" s="2449">
        <v>0.15</v>
      </c>
      <c r="W151" s="2449">
        <v>0.15</v>
      </c>
      <c r="X151" s="2449">
        <v>0.15</v>
      </c>
      <c r="Y151" s="2449">
        <v>0.15</v>
      </c>
      <c r="Z151" s="2449">
        <v>0.15</v>
      </c>
      <c r="AA151" s="2449">
        <v>0.15</v>
      </c>
      <c r="AB151" s="2449">
        <v>0.15</v>
      </c>
      <c r="AC151" s="2449">
        <v>0.15</v>
      </c>
      <c r="AD151" s="2449">
        <v>0.15</v>
      </c>
      <c r="AE151" s="2449">
        <v>0.15</v>
      </c>
      <c r="AF151" s="2449">
        <v>0.15</v>
      </c>
      <c r="AG151" s="2449">
        <v>0.15</v>
      </c>
      <c r="AH151" s="2449">
        <v>0.15</v>
      </c>
      <c r="AI151" s="2449">
        <v>0.15</v>
      </c>
      <c r="AJ151" s="2449">
        <v>0.15</v>
      </c>
      <c r="AK151" s="2449">
        <v>0.15</v>
      </c>
      <c r="AL151" s="2449">
        <v>0.15</v>
      </c>
      <c r="AM151" s="2449">
        <v>0.15</v>
      </c>
      <c r="AN151" s="2449">
        <v>0.15</v>
      </c>
      <c r="AO151" s="2449">
        <v>0.15</v>
      </c>
      <c r="AP151" s="2449">
        <v>0.15</v>
      </c>
      <c r="AQ151" s="2449">
        <v>0.15</v>
      </c>
      <c r="AR151" s="2449">
        <v>0.15</v>
      </c>
      <c r="AS151" s="2449">
        <v>0.15</v>
      </c>
    </row>
    <row r="152" spans="2:45" x14ac:dyDescent="0.2">
      <c r="B152" s="2410"/>
      <c r="C152" s="2412" t="s">
        <v>1413</v>
      </c>
      <c r="D152" s="2411"/>
      <c r="E152" s="2411" t="s">
        <v>319</v>
      </c>
      <c r="F152" s="2428"/>
      <c r="G152" s="2449">
        <v>0.15</v>
      </c>
      <c r="H152" s="2449">
        <v>0.15</v>
      </c>
      <c r="I152" s="2449">
        <v>0.15</v>
      </c>
      <c r="J152" s="2449">
        <v>0.15</v>
      </c>
      <c r="K152" s="2449">
        <v>0.15</v>
      </c>
      <c r="L152" s="2449">
        <v>0.15</v>
      </c>
      <c r="M152" s="2449">
        <v>0.15</v>
      </c>
      <c r="N152" s="2449">
        <v>0.15</v>
      </c>
      <c r="O152" s="2449">
        <v>0.15</v>
      </c>
      <c r="P152" s="2449">
        <v>0.15</v>
      </c>
      <c r="Q152" s="2449">
        <v>0.15</v>
      </c>
      <c r="R152" s="2449">
        <v>0.15</v>
      </c>
      <c r="S152" s="2449">
        <v>0.15</v>
      </c>
      <c r="T152" s="2449">
        <v>0.15</v>
      </c>
      <c r="U152" s="2449">
        <v>0.15</v>
      </c>
      <c r="V152" s="2449">
        <v>0.15</v>
      </c>
      <c r="W152" s="2449">
        <v>0.15</v>
      </c>
      <c r="X152" s="2449">
        <v>0.15</v>
      </c>
      <c r="Y152" s="2449">
        <v>0.15</v>
      </c>
      <c r="Z152" s="2449">
        <v>0.15</v>
      </c>
      <c r="AA152" s="2449">
        <v>0.15</v>
      </c>
      <c r="AB152" s="2449">
        <v>0.15</v>
      </c>
      <c r="AC152" s="2449">
        <v>0.15</v>
      </c>
      <c r="AD152" s="2449">
        <v>0.15</v>
      </c>
      <c r="AE152" s="2449">
        <v>0.15</v>
      </c>
      <c r="AF152" s="2449">
        <v>0.15</v>
      </c>
      <c r="AG152" s="2449">
        <v>0.15</v>
      </c>
      <c r="AH152" s="2449">
        <v>0.15</v>
      </c>
      <c r="AI152" s="2449">
        <v>0.15</v>
      </c>
      <c r="AJ152" s="2449">
        <v>0.15</v>
      </c>
      <c r="AK152" s="2449">
        <v>0.15</v>
      </c>
      <c r="AL152" s="2449">
        <v>0.15</v>
      </c>
      <c r="AM152" s="2449">
        <v>0.15</v>
      </c>
      <c r="AN152" s="2449">
        <v>0.15</v>
      </c>
      <c r="AO152" s="2449">
        <v>0.15</v>
      </c>
      <c r="AP152" s="2449">
        <v>0.15</v>
      </c>
      <c r="AQ152" s="2449">
        <v>0.15</v>
      </c>
      <c r="AR152" s="2449">
        <v>0.15</v>
      </c>
      <c r="AS152" s="2449">
        <v>0.15</v>
      </c>
    </row>
    <row r="153" spans="2:45" ht="17.100000000000001" customHeight="1" x14ac:dyDescent="0.2">
      <c r="B153" s="2410"/>
      <c r="C153" s="2412" t="s">
        <v>1414</v>
      </c>
      <c r="D153" s="2411"/>
      <c r="E153" s="2411" t="s">
        <v>319</v>
      </c>
      <c r="F153" s="2428"/>
      <c r="G153" s="2449">
        <v>0.15</v>
      </c>
      <c r="H153" s="2449">
        <v>0.15</v>
      </c>
      <c r="I153" s="2449">
        <v>0.15</v>
      </c>
      <c r="J153" s="2449">
        <v>0.15</v>
      </c>
      <c r="K153" s="2449">
        <v>0.15</v>
      </c>
      <c r="L153" s="2449">
        <v>0.15</v>
      </c>
      <c r="M153" s="2449">
        <v>0.15</v>
      </c>
      <c r="N153" s="2449">
        <v>0.15</v>
      </c>
      <c r="O153" s="2449">
        <v>0.15</v>
      </c>
      <c r="P153" s="2449">
        <v>0.15</v>
      </c>
      <c r="Q153" s="2449">
        <v>0.15</v>
      </c>
      <c r="R153" s="2449">
        <v>0.15</v>
      </c>
      <c r="S153" s="2449">
        <v>0.15</v>
      </c>
      <c r="T153" s="2449">
        <v>0.15</v>
      </c>
      <c r="U153" s="2449">
        <v>0.15</v>
      </c>
      <c r="V153" s="2449">
        <v>0.15</v>
      </c>
      <c r="W153" s="2449">
        <v>0.15</v>
      </c>
      <c r="X153" s="2449">
        <v>0.15</v>
      </c>
      <c r="Y153" s="2449">
        <v>0.15</v>
      </c>
      <c r="Z153" s="2449">
        <v>0.15</v>
      </c>
      <c r="AA153" s="2449">
        <v>0.15</v>
      </c>
      <c r="AB153" s="2449">
        <v>0.15</v>
      </c>
      <c r="AC153" s="2449">
        <v>0.15</v>
      </c>
      <c r="AD153" s="2449">
        <v>0.15</v>
      </c>
      <c r="AE153" s="2449">
        <v>0.15</v>
      </c>
      <c r="AF153" s="2449">
        <v>0.15</v>
      </c>
      <c r="AG153" s="2449">
        <v>0.15</v>
      </c>
      <c r="AH153" s="2449">
        <v>0.15</v>
      </c>
      <c r="AI153" s="2449">
        <v>0.15</v>
      </c>
      <c r="AJ153" s="2449">
        <v>0.15</v>
      </c>
      <c r="AK153" s="2449">
        <v>0.15</v>
      </c>
      <c r="AL153" s="2449">
        <v>0.15</v>
      </c>
      <c r="AM153" s="2449">
        <v>0.15</v>
      </c>
      <c r="AN153" s="2449">
        <v>0.15</v>
      </c>
      <c r="AO153" s="2449">
        <v>0.15</v>
      </c>
      <c r="AP153" s="2449">
        <v>0.15</v>
      </c>
      <c r="AQ153" s="2449">
        <v>0.15</v>
      </c>
      <c r="AR153" s="2449">
        <v>0.15</v>
      </c>
      <c r="AS153" s="2449">
        <v>0.15</v>
      </c>
    </row>
    <row r="154" spans="2:45" ht="17.100000000000001" customHeight="1" x14ac:dyDescent="0.2">
      <c r="B154" s="2410"/>
      <c r="C154" s="2441" t="s">
        <v>1415</v>
      </c>
      <c r="D154" s="2419"/>
      <c r="E154" s="2419" t="s">
        <v>319</v>
      </c>
      <c r="F154" s="2450"/>
      <c r="G154" s="2451">
        <v>0</v>
      </c>
      <c r="H154" s="2451">
        <v>0</v>
      </c>
      <c r="I154" s="2451">
        <v>0</v>
      </c>
      <c r="J154" s="2451">
        <v>0</v>
      </c>
      <c r="K154" s="2451">
        <v>0</v>
      </c>
      <c r="L154" s="2451">
        <v>0</v>
      </c>
      <c r="M154" s="2451">
        <v>0</v>
      </c>
      <c r="N154" s="2451">
        <v>0</v>
      </c>
      <c r="O154" s="2451">
        <v>0</v>
      </c>
      <c r="P154" s="2451">
        <v>0</v>
      </c>
      <c r="Q154" s="2451">
        <v>0</v>
      </c>
      <c r="R154" s="2451">
        <v>0</v>
      </c>
      <c r="S154" s="2451">
        <v>0</v>
      </c>
      <c r="T154" s="2451">
        <v>0</v>
      </c>
      <c r="U154" s="2451">
        <v>0</v>
      </c>
      <c r="V154" s="2451">
        <v>0</v>
      </c>
      <c r="W154" s="2451">
        <v>0</v>
      </c>
      <c r="X154" s="2451">
        <v>0</v>
      </c>
      <c r="Y154" s="2451">
        <v>0</v>
      </c>
      <c r="Z154" s="2451">
        <v>0</v>
      </c>
      <c r="AA154" s="2451">
        <v>0</v>
      </c>
      <c r="AB154" s="2451">
        <v>0</v>
      </c>
      <c r="AC154" s="2451">
        <v>0</v>
      </c>
      <c r="AD154" s="2451">
        <v>0</v>
      </c>
      <c r="AE154" s="2451">
        <v>0</v>
      </c>
      <c r="AF154" s="2451">
        <v>0</v>
      </c>
      <c r="AG154" s="2451">
        <v>0</v>
      </c>
      <c r="AH154" s="2451">
        <v>0</v>
      </c>
      <c r="AI154" s="2451">
        <v>0</v>
      </c>
      <c r="AJ154" s="2451">
        <v>0</v>
      </c>
      <c r="AK154" s="2451">
        <v>0</v>
      </c>
      <c r="AL154" s="2451">
        <v>0</v>
      </c>
      <c r="AM154" s="2451">
        <v>0</v>
      </c>
      <c r="AN154" s="2451">
        <v>0</v>
      </c>
      <c r="AO154" s="2451">
        <v>0</v>
      </c>
      <c r="AP154" s="2451">
        <v>0</v>
      </c>
      <c r="AQ154" s="2451">
        <v>0</v>
      </c>
      <c r="AR154" s="2451">
        <v>0</v>
      </c>
      <c r="AS154" s="2451">
        <v>0</v>
      </c>
    </row>
    <row r="155" spans="2:45" ht="17.100000000000001" customHeight="1" x14ac:dyDescent="0.2">
      <c r="B155" s="2410"/>
      <c r="C155" s="2410"/>
      <c r="D155" s="2412"/>
      <c r="E155" s="2412"/>
      <c r="F155" s="2412"/>
      <c r="G155" s="2412"/>
      <c r="H155" s="2412"/>
      <c r="I155" s="2412"/>
      <c r="J155" s="2412"/>
      <c r="K155" s="2412"/>
      <c r="L155" s="2412"/>
      <c r="M155" s="2412"/>
      <c r="N155" s="2412"/>
      <c r="O155" s="2412"/>
      <c r="P155" s="2412"/>
      <c r="Q155" s="2412"/>
      <c r="R155" s="2412"/>
      <c r="S155" s="2412"/>
      <c r="T155" s="2412"/>
      <c r="U155" s="2412"/>
      <c r="V155" s="2412"/>
      <c r="W155" s="2412"/>
      <c r="X155" s="2412"/>
      <c r="Y155" s="2412"/>
      <c r="Z155" s="2412"/>
      <c r="AA155" s="2412"/>
      <c r="AB155" s="2412"/>
      <c r="AC155" s="2412"/>
      <c r="AD155" s="2412"/>
      <c r="AE155" s="2412"/>
      <c r="AF155" s="2412"/>
      <c r="AG155" s="2412"/>
      <c r="AH155" s="2412"/>
      <c r="AI155" s="2412"/>
      <c r="AJ155" s="2412"/>
      <c r="AK155" s="2412"/>
      <c r="AL155" s="2412"/>
      <c r="AM155" s="2412"/>
      <c r="AN155" s="2412"/>
      <c r="AO155" s="2412"/>
      <c r="AP155" s="2412"/>
      <c r="AQ155" s="2412"/>
      <c r="AR155" s="2412"/>
      <c r="AS155" s="2412"/>
    </row>
    <row r="156" spans="2:45" ht="17.100000000000001" customHeight="1" x14ac:dyDescent="0.2">
      <c r="B156" s="2410"/>
      <c r="C156" s="2412" t="s">
        <v>1416</v>
      </c>
      <c r="D156" s="2412"/>
      <c r="E156" s="2412"/>
      <c r="F156" s="2412"/>
      <c r="G156" s="2412"/>
      <c r="H156" s="2412"/>
      <c r="I156" s="2412"/>
      <c r="J156" s="2412"/>
      <c r="K156" s="2412"/>
      <c r="L156" s="2412"/>
      <c r="M156" s="2412"/>
      <c r="N156" s="2412"/>
      <c r="O156" s="2412"/>
      <c r="P156" s="2412"/>
      <c r="Q156" s="2412"/>
      <c r="R156" s="2412"/>
      <c r="S156" s="2412"/>
      <c r="T156" s="2412"/>
      <c r="U156" s="2412"/>
      <c r="V156" s="2412"/>
      <c r="W156" s="2412"/>
      <c r="X156" s="2412"/>
      <c r="Y156" s="2412"/>
      <c r="Z156" s="2412"/>
      <c r="AA156" s="2412"/>
      <c r="AB156" s="2412"/>
      <c r="AC156" s="2412"/>
      <c r="AD156" s="2412"/>
      <c r="AE156" s="2412"/>
      <c r="AF156" s="2412"/>
      <c r="AG156" s="2412"/>
      <c r="AH156" s="2412"/>
      <c r="AI156" s="2412"/>
      <c r="AJ156" s="2412"/>
      <c r="AK156" s="2412"/>
      <c r="AL156" s="2412"/>
      <c r="AM156" s="2412"/>
      <c r="AN156" s="2412"/>
      <c r="AO156" s="2412"/>
      <c r="AP156" s="2412"/>
      <c r="AQ156" s="2412"/>
      <c r="AR156" s="2412"/>
      <c r="AS156" s="2412"/>
    </row>
    <row r="157" spans="2:45" ht="17.100000000000001" customHeight="1" x14ac:dyDescent="0.2">
      <c r="B157" s="2410"/>
      <c r="C157" s="2413"/>
      <c r="D157" s="2414" t="s">
        <v>1029</v>
      </c>
      <c r="E157" s="2414" t="s">
        <v>8</v>
      </c>
      <c r="F157" s="2414"/>
      <c r="G157" s="2414">
        <v>2012</v>
      </c>
      <c r="H157" s="2414">
        <v>2013</v>
      </c>
      <c r="I157" s="2414">
        <v>2014</v>
      </c>
      <c r="J157" s="2414">
        <v>2015</v>
      </c>
      <c r="K157" s="2414">
        <v>2016</v>
      </c>
      <c r="L157" s="2414">
        <v>2017</v>
      </c>
      <c r="M157" s="2414">
        <v>2018</v>
      </c>
      <c r="N157" s="2414">
        <v>2019</v>
      </c>
      <c r="O157" s="2414">
        <v>2020</v>
      </c>
      <c r="P157" s="2414">
        <v>2021</v>
      </c>
      <c r="Q157" s="2414">
        <v>2022</v>
      </c>
      <c r="R157" s="2414">
        <v>2023</v>
      </c>
      <c r="S157" s="2414">
        <v>2024</v>
      </c>
      <c r="T157" s="2414">
        <v>2025</v>
      </c>
      <c r="U157" s="2414">
        <v>2026</v>
      </c>
      <c r="V157" s="2414">
        <v>2027</v>
      </c>
      <c r="W157" s="2414">
        <v>2028</v>
      </c>
      <c r="X157" s="2414">
        <v>2029</v>
      </c>
      <c r="Y157" s="2414">
        <v>2030</v>
      </c>
      <c r="Z157" s="2414">
        <v>2031</v>
      </c>
      <c r="AA157" s="2414">
        <v>2032</v>
      </c>
      <c r="AB157" s="2414">
        <v>2033</v>
      </c>
      <c r="AC157" s="2414">
        <v>2034</v>
      </c>
      <c r="AD157" s="2414">
        <v>2035</v>
      </c>
      <c r="AE157" s="2414">
        <v>2036</v>
      </c>
      <c r="AF157" s="2414">
        <v>2037</v>
      </c>
      <c r="AG157" s="2414">
        <v>2038</v>
      </c>
      <c r="AH157" s="2414">
        <v>2039</v>
      </c>
      <c r="AI157" s="2414">
        <v>2040</v>
      </c>
      <c r="AJ157" s="2414">
        <v>2041</v>
      </c>
      <c r="AK157" s="2414">
        <v>2042</v>
      </c>
      <c r="AL157" s="2414">
        <v>2043</v>
      </c>
      <c r="AM157" s="2414">
        <v>2044</v>
      </c>
      <c r="AN157" s="2414">
        <v>2045</v>
      </c>
      <c r="AO157" s="2414">
        <v>2046</v>
      </c>
      <c r="AP157" s="2414">
        <v>2047</v>
      </c>
      <c r="AQ157" s="2414">
        <v>2048</v>
      </c>
      <c r="AR157" s="2414">
        <v>2049</v>
      </c>
      <c r="AS157" s="2414">
        <v>2050</v>
      </c>
    </row>
    <row r="158" spans="2:45" ht="17.100000000000001" customHeight="1" x14ac:dyDescent="0.2">
      <c r="B158" s="2410"/>
      <c r="C158" s="2412" t="s">
        <v>1405</v>
      </c>
      <c r="D158" s="2411"/>
      <c r="E158" s="2411"/>
      <c r="F158" s="2411"/>
      <c r="G158" s="2449">
        <v>0.23699999999999999</v>
      </c>
      <c r="H158" s="2449">
        <v>0.23699999999999999</v>
      </c>
      <c r="I158" s="2449">
        <v>0.23699999999999999</v>
      </c>
      <c r="J158" s="2449">
        <v>0.23699999999999999</v>
      </c>
      <c r="K158" s="2449">
        <v>0.23699999999999999</v>
      </c>
      <c r="L158" s="2449">
        <v>0.23699999999999999</v>
      </c>
      <c r="M158" s="2449">
        <v>0.23699999999999999</v>
      </c>
      <c r="N158" s="2449">
        <v>0.23699999999999999</v>
      </c>
      <c r="O158" s="2449">
        <v>0.23699999999999999</v>
      </c>
      <c r="P158" s="2449">
        <v>0.23699999999999999</v>
      </c>
      <c r="Q158" s="2449">
        <v>0.23699999999999999</v>
      </c>
      <c r="R158" s="2449">
        <v>0.23699999999999999</v>
      </c>
      <c r="S158" s="2449">
        <v>0.23699999999999999</v>
      </c>
      <c r="T158" s="2449">
        <v>0.23699999999999999</v>
      </c>
      <c r="U158" s="2449">
        <v>0.23699999999999999</v>
      </c>
      <c r="V158" s="2449">
        <v>0.23699999999999999</v>
      </c>
      <c r="W158" s="2449">
        <v>0.23699999999999999</v>
      </c>
      <c r="X158" s="2449">
        <v>0.23699999999999999</v>
      </c>
      <c r="Y158" s="2449">
        <v>0.23699999999999999</v>
      </c>
      <c r="Z158" s="2449">
        <v>0.23699999999999999</v>
      </c>
      <c r="AA158" s="2449">
        <v>0.23699999999999999</v>
      </c>
      <c r="AB158" s="2449">
        <v>0.23699999999999999</v>
      </c>
      <c r="AC158" s="2449">
        <v>0.23699999999999999</v>
      </c>
      <c r="AD158" s="2449">
        <v>0.23699999999999999</v>
      </c>
      <c r="AE158" s="2449">
        <v>0.23699999999999999</v>
      </c>
      <c r="AF158" s="2449">
        <v>0.23699999999999999</v>
      </c>
      <c r="AG158" s="2449">
        <v>0.23699999999999999</v>
      </c>
      <c r="AH158" s="2449">
        <v>0.23699999999999999</v>
      </c>
      <c r="AI158" s="2449">
        <v>0.23699999999999999</v>
      </c>
      <c r="AJ158" s="2449">
        <v>0.23699999999999999</v>
      </c>
      <c r="AK158" s="2449">
        <v>0.23699999999999999</v>
      </c>
      <c r="AL158" s="2449">
        <v>0.23699999999999999</v>
      </c>
      <c r="AM158" s="2449">
        <v>0.23699999999999999</v>
      </c>
      <c r="AN158" s="2449">
        <v>0.23699999999999999</v>
      </c>
      <c r="AO158" s="2449">
        <v>0.23699999999999999</v>
      </c>
      <c r="AP158" s="2449">
        <v>0.23699999999999999</v>
      </c>
      <c r="AQ158" s="2449">
        <v>0.23699999999999999</v>
      </c>
      <c r="AR158" s="2449">
        <v>0.23699999999999999</v>
      </c>
      <c r="AS158" s="2449">
        <v>0.23699999999999999</v>
      </c>
    </row>
    <row r="159" spans="2:45" ht="17.100000000000001" customHeight="1" x14ac:dyDescent="0.2">
      <c r="B159" s="2410"/>
      <c r="C159" s="2412" t="s">
        <v>1406</v>
      </c>
      <c r="D159" s="2411"/>
      <c r="E159" s="2411"/>
      <c r="F159" s="2411"/>
      <c r="G159" s="2449">
        <v>3.2499999999999973E-2</v>
      </c>
      <c r="H159" s="2449">
        <v>3.2499999999999973E-2</v>
      </c>
      <c r="I159" s="2449">
        <v>3.2499999999999973E-2</v>
      </c>
      <c r="J159" s="2449">
        <v>3.2499999999999973E-2</v>
      </c>
      <c r="K159" s="2449">
        <v>3.2499999999999973E-2</v>
      </c>
      <c r="L159" s="2449">
        <v>3.2499999999999973E-2</v>
      </c>
      <c r="M159" s="2449">
        <v>3.2499999999999973E-2</v>
      </c>
      <c r="N159" s="2449">
        <v>3.2499999999999973E-2</v>
      </c>
      <c r="O159" s="2449">
        <v>3.2499999999999973E-2</v>
      </c>
      <c r="P159" s="2449">
        <v>3.2499999999999973E-2</v>
      </c>
      <c r="Q159" s="2449">
        <v>3.2499999999999973E-2</v>
      </c>
      <c r="R159" s="2449">
        <v>3.2499999999999973E-2</v>
      </c>
      <c r="S159" s="2449">
        <v>3.2499999999999973E-2</v>
      </c>
      <c r="T159" s="2449">
        <v>3.2499999999999973E-2</v>
      </c>
      <c r="U159" s="2449">
        <v>3.2499999999999973E-2</v>
      </c>
      <c r="V159" s="2449">
        <v>3.2499999999999973E-2</v>
      </c>
      <c r="W159" s="2449">
        <v>3.2499999999999973E-2</v>
      </c>
      <c r="X159" s="2449">
        <v>3.2499999999999973E-2</v>
      </c>
      <c r="Y159" s="2449">
        <v>3.2499999999999973E-2</v>
      </c>
      <c r="Z159" s="2449">
        <v>3.2499999999999973E-2</v>
      </c>
      <c r="AA159" s="2449">
        <v>3.2499999999999973E-2</v>
      </c>
      <c r="AB159" s="2449">
        <v>3.2499999999999973E-2</v>
      </c>
      <c r="AC159" s="2449">
        <v>3.2499999999999973E-2</v>
      </c>
      <c r="AD159" s="2449">
        <v>3.2499999999999973E-2</v>
      </c>
      <c r="AE159" s="2449">
        <v>3.2499999999999973E-2</v>
      </c>
      <c r="AF159" s="2449">
        <v>3.2499999999999973E-2</v>
      </c>
      <c r="AG159" s="2449">
        <v>3.2499999999999973E-2</v>
      </c>
      <c r="AH159" s="2449">
        <v>3.2499999999999973E-2</v>
      </c>
      <c r="AI159" s="2449">
        <v>3.2499999999999973E-2</v>
      </c>
      <c r="AJ159" s="2449">
        <v>3.2499999999999973E-2</v>
      </c>
      <c r="AK159" s="2449">
        <v>3.2499999999999973E-2</v>
      </c>
      <c r="AL159" s="2449">
        <v>3.2499999999999973E-2</v>
      </c>
      <c r="AM159" s="2449">
        <v>3.2499999999999973E-2</v>
      </c>
      <c r="AN159" s="2449">
        <v>3.2499999999999973E-2</v>
      </c>
      <c r="AO159" s="2449">
        <v>3.2499999999999973E-2</v>
      </c>
      <c r="AP159" s="2449">
        <v>3.2499999999999973E-2</v>
      </c>
      <c r="AQ159" s="2449">
        <v>3.2499999999999973E-2</v>
      </c>
      <c r="AR159" s="2449">
        <v>3.2499999999999973E-2</v>
      </c>
      <c r="AS159" s="2449">
        <v>3.2499999999999973E-2</v>
      </c>
    </row>
    <row r="160" spans="2:45" ht="17.100000000000001" customHeight="1" x14ac:dyDescent="0.2">
      <c r="B160" s="2410"/>
      <c r="C160" s="2412" t="s">
        <v>1368</v>
      </c>
      <c r="D160" s="2411"/>
      <c r="E160" s="2411"/>
      <c r="F160" s="2411"/>
      <c r="G160" s="2449">
        <v>0</v>
      </c>
      <c r="H160" s="2449">
        <v>0</v>
      </c>
      <c r="I160" s="2449">
        <v>0</v>
      </c>
      <c r="J160" s="2449">
        <v>0</v>
      </c>
      <c r="K160" s="2449">
        <v>0</v>
      </c>
      <c r="L160" s="2449">
        <v>0</v>
      </c>
      <c r="M160" s="2449">
        <v>0</v>
      </c>
      <c r="N160" s="2449">
        <v>0</v>
      </c>
      <c r="O160" s="2449">
        <v>0</v>
      </c>
      <c r="P160" s="2449">
        <v>0</v>
      </c>
      <c r="Q160" s="2449">
        <v>0</v>
      </c>
      <c r="R160" s="2449">
        <v>0</v>
      </c>
      <c r="S160" s="2449">
        <v>0</v>
      </c>
      <c r="T160" s="2449">
        <v>0</v>
      </c>
      <c r="U160" s="2449">
        <v>0</v>
      </c>
      <c r="V160" s="2449">
        <v>0</v>
      </c>
      <c r="W160" s="2449">
        <v>0</v>
      </c>
      <c r="X160" s="2449">
        <v>0</v>
      </c>
      <c r="Y160" s="2449">
        <v>0</v>
      </c>
      <c r="Z160" s="2449">
        <v>0</v>
      </c>
      <c r="AA160" s="2449">
        <v>0</v>
      </c>
      <c r="AB160" s="2449">
        <v>0</v>
      </c>
      <c r="AC160" s="2449">
        <v>0</v>
      </c>
      <c r="AD160" s="2449">
        <v>0</v>
      </c>
      <c r="AE160" s="2449">
        <v>0</v>
      </c>
      <c r="AF160" s="2449">
        <v>0</v>
      </c>
      <c r="AG160" s="2449">
        <v>0</v>
      </c>
      <c r="AH160" s="2449">
        <v>0</v>
      </c>
      <c r="AI160" s="2449">
        <v>0</v>
      </c>
      <c r="AJ160" s="2449">
        <v>0</v>
      </c>
      <c r="AK160" s="2449">
        <v>0</v>
      </c>
      <c r="AL160" s="2449">
        <v>0</v>
      </c>
      <c r="AM160" s="2449">
        <v>0</v>
      </c>
      <c r="AN160" s="2449">
        <v>0</v>
      </c>
      <c r="AO160" s="2449">
        <v>0</v>
      </c>
      <c r="AP160" s="2449">
        <v>0</v>
      </c>
      <c r="AQ160" s="2449">
        <v>0</v>
      </c>
      <c r="AR160" s="2449">
        <v>0</v>
      </c>
      <c r="AS160" s="2449">
        <v>0</v>
      </c>
    </row>
    <row r="161" spans="2:45" ht="17.100000000000001" customHeight="1" x14ac:dyDescent="0.2">
      <c r="B161" s="2410"/>
      <c r="C161" s="2412" t="s">
        <v>1369</v>
      </c>
      <c r="D161" s="2411"/>
      <c r="E161" s="2411"/>
      <c r="F161" s="2411"/>
      <c r="G161" s="2449">
        <v>0.3</v>
      </c>
      <c r="H161" s="2449">
        <v>0.3</v>
      </c>
      <c r="I161" s="2449">
        <v>0.3</v>
      </c>
      <c r="J161" s="2449">
        <v>0.3</v>
      </c>
      <c r="K161" s="2449">
        <v>0.3</v>
      </c>
      <c r="L161" s="2449">
        <v>0.3</v>
      </c>
      <c r="M161" s="2449">
        <v>0.3</v>
      </c>
      <c r="N161" s="2449">
        <v>0.3</v>
      </c>
      <c r="O161" s="2449">
        <v>0.3</v>
      </c>
      <c r="P161" s="2449">
        <v>0.3</v>
      </c>
      <c r="Q161" s="2449">
        <v>0.3</v>
      </c>
      <c r="R161" s="2449">
        <v>0.3</v>
      </c>
      <c r="S161" s="2449">
        <v>0.3</v>
      </c>
      <c r="T161" s="2449">
        <v>0.3</v>
      </c>
      <c r="U161" s="2449">
        <v>0.3</v>
      </c>
      <c r="V161" s="2449">
        <v>0.3</v>
      </c>
      <c r="W161" s="2449">
        <v>0.3</v>
      </c>
      <c r="X161" s="2449">
        <v>0.3</v>
      </c>
      <c r="Y161" s="2449">
        <v>0.3</v>
      </c>
      <c r="Z161" s="2449">
        <v>0.3</v>
      </c>
      <c r="AA161" s="2449">
        <v>0.3</v>
      </c>
      <c r="AB161" s="2449">
        <v>0.3</v>
      </c>
      <c r="AC161" s="2449">
        <v>0.3</v>
      </c>
      <c r="AD161" s="2449">
        <v>0.3</v>
      </c>
      <c r="AE161" s="2449">
        <v>0.3</v>
      </c>
      <c r="AF161" s="2449">
        <v>0.3</v>
      </c>
      <c r="AG161" s="2449">
        <v>0.3</v>
      </c>
      <c r="AH161" s="2449">
        <v>0.3</v>
      </c>
      <c r="AI161" s="2449">
        <v>0.3</v>
      </c>
      <c r="AJ161" s="2449">
        <v>0.3</v>
      </c>
      <c r="AK161" s="2449">
        <v>0.3</v>
      </c>
      <c r="AL161" s="2449">
        <v>0.3</v>
      </c>
      <c r="AM161" s="2449">
        <v>0.3</v>
      </c>
      <c r="AN161" s="2449">
        <v>0.3</v>
      </c>
      <c r="AO161" s="2449">
        <v>0.3</v>
      </c>
      <c r="AP161" s="2449">
        <v>0.3</v>
      </c>
      <c r="AQ161" s="2449">
        <v>0.3</v>
      </c>
      <c r="AR161" s="2449">
        <v>0.3</v>
      </c>
      <c r="AS161" s="2449">
        <v>0.3</v>
      </c>
    </row>
    <row r="162" spans="2:45" ht="17.100000000000001" customHeight="1" x14ac:dyDescent="0.2">
      <c r="B162" s="2410"/>
      <c r="C162" s="2412" t="s">
        <v>1407</v>
      </c>
      <c r="D162" s="2411"/>
      <c r="E162" s="2411"/>
      <c r="F162" s="2411"/>
      <c r="G162" s="2449">
        <v>0</v>
      </c>
      <c r="H162" s="2449">
        <v>0</v>
      </c>
      <c r="I162" s="2449">
        <v>0</v>
      </c>
      <c r="J162" s="2449">
        <v>0</v>
      </c>
      <c r="K162" s="2449">
        <v>0</v>
      </c>
      <c r="L162" s="2449">
        <v>0</v>
      </c>
      <c r="M162" s="2449">
        <v>0</v>
      </c>
      <c r="N162" s="2449">
        <v>0</v>
      </c>
      <c r="O162" s="2449">
        <v>0</v>
      </c>
      <c r="P162" s="2449">
        <v>0</v>
      </c>
      <c r="Q162" s="2449">
        <v>0</v>
      </c>
      <c r="R162" s="2449">
        <v>0</v>
      </c>
      <c r="S162" s="2449">
        <v>0</v>
      </c>
      <c r="T162" s="2449">
        <v>0</v>
      </c>
      <c r="U162" s="2449">
        <v>0</v>
      </c>
      <c r="V162" s="2449">
        <v>0</v>
      </c>
      <c r="W162" s="2449">
        <v>0</v>
      </c>
      <c r="X162" s="2449">
        <v>0</v>
      </c>
      <c r="Y162" s="2449">
        <v>0</v>
      </c>
      <c r="Z162" s="2449">
        <v>0</v>
      </c>
      <c r="AA162" s="2449">
        <v>0</v>
      </c>
      <c r="AB162" s="2449">
        <v>0</v>
      </c>
      <c r="AC162" s="2449">
        <v>0</v>
      </c>
      <c r="AD162" s="2449">
        <v>0</v>
      </c>
      <c r="AE162" s="2449">
        <v>0</v>
      </c>
      <c r="AF162" s="2449">
        <v>0</v>
      </c>
      <c r="AG162" s="2449">
        <v>0</v>
      </c>
      <c r="AH162" s="2449">
        <v>0</v>
      </c>
      <c r="AI162" s="2449">
        <v>0</v>
      </c>
      <c r="AJ162" s="2449">
        <v>0</v>
      </c>
      <c r="AK162" s="2449">
        <v>0</v>
      </c>
      <c r="AL162" s="2449">
        <v>0</v>
      </c>
      <c r="AM162" s="2449">
        <v>0</v>
      </c>
      <c r="AN162" s="2449">
        <v>0</v>
      </c>
      <c r="AO162" s="2449">
        <v>0</v>
      </c>
      <c r="AP162" s="2449">
        <v>0</v>
      </c>
      <c r="AQ162" s="2449">
        <v>0</v>
      </c>
      <c r="AR162" s="2449">
        <v>0</v>
      </c>
      <c r="AS162" s="2449">
        <v>0</v>
      </c>
    </row>
    <row r="163" spans="2:45" ht="17.100000000000001" customHeight="1" x14ac:dyDescent="0.2">
      <c r="B163" s="2410"/>
      <c r="C163" s="2412" t="s">
        <v>1371</v>
      </c>
      <c r="D163" s="2411"/>
      <c r="E163" s="2411"/>
      <c r="F163" s="2411"/>
      <c r="G163" s="2449">
        <v>0</v>
      </c>
      <c r="H163" s="2449">
        <v>0</v>
      </c>
      <c r="I163" s="2449">
        <v>0</v>
      </c>
      <c r="J163" s="2449">
        <v>0</v>
      </c>
      <c r="K163" s="2449">
        <v>0</v>
      </c>
      <c r="L163" s="2449">
        <v>0</v>
      </c>
      <c r="M163" s="2449">
        <v>0</v>
      </c>
      <c r="N163" s="2449">
        <v>0</v>
      </c>
      <c r="O163" s="2449">
        <v>0</v>
      </c>
      <c r="P163" s="2449">
        <v>0</v>
      </c>
      <c r="Q163" s="2449">
        <v>0</v>
      </c>
      <c r="R163" s="2449">
        <v>0</v>
      </c>
      <c r="S163" s="2449">
        <v>0</v>
      </c>
      <c r="T163" s="2449">
        <v>0</v>
      </c>
      <c r="U163" s="2449">
        <v>0</v>
      </c>
      <c r="V163" s="2449">
        <v>0</v>
      </c>
      <c r="W163" s="2449">
        <v>0</v>
      </c>
      <c r="X163" s="2449">
        <v>0</v>
      </c>
      <c r="Y163" s="2449">
        <v>0</v>
      </c>
      <c r="Z163" s="2449">
        <v>0</v>
      </c>
      <c r="AA163" s="2449">
        <v>0</v>
      </c>
      <c r="AB163" s="2449">
        <v>0</v>
      </c>
      <c r="AC163" s="2449">
        <v>0</v>
      </c>
      <c r="AD163" s="2449">
        <v>0</v>
      </c>
      <c r="AE163" s="2449">
        <v>0</v>
      </c>
      <c r="AF163" s="2449">
        <v>0</v>
      </c>
      <c r="AG163" s="2449">
        <v>0</v>
      </c>
      <c r="AH163" s="2449">
        <v>0</v>
      </c>
      <c r="AI163" s="2449">
        <v>0</v>
      </c>
      <c r="AJ163" s="2449">
        <v>0</v>
      </c>
      <c r="AK163" s="2449">
        <v>0</v>
      </c>
      <c r="AL163" s="2449">
        <v>0</v>
      </c>
      <c r="AM163" s="2449">
        <v>0</v>
      </c>
      <c r="AN163" s="2449">
        <v>0</v>
      </c>
      <c r="AO163" s="2449">
        <v>0</v>
      </c>
      <c r="AP163" s="2449">
        <v>0</v>
      </c>
      <c r="AQ163" s="2449">
        <v>0</v>
      </c>
      <c r="AR163" s="2449">
        <v>0</v>
      </c>
      <c r="AS163" s="2449">
        <v>0</v>
      </c>
    </row>
    <row r="164" spans="2:45" ht="17.100000000000001" customHeight="1" x14ac:dyDescent="0.2">
      <c r="B164" s="2410"/>
      <c r="C164" s="2412" t="s">
        <v>1408</v>
      </c>
      <c r="D164" s="2411"/>
      <c r="E164" s="2411"/>
      <c r="F164" s="2411"/>
      <c r="G164" s="2449">
        <v>0</v>
      </c>
      <c r="H164" s="2449">
        <v>0</v>
      </c>
      <c r="I164" s="2449">
        <v>0</v>
      </c>
      <c r="J164" s="2449">
        <v>0</v>
      </c>
      <c r="K164" s="2449">
        <v>0</v>
      </c>
      <c r="L164" s="2449">
        <v>0</v>
      </c>
      <c r="M164" s="2449">
        <v>0</v>
      </c>
      <c r="N164" s="2449">
        <v>0</v>
      </c>
      <c r="O164" s="2449">
        <v>0</v>
      </c>
      <c r="P164" s="2449">
        <v>0</v>
      </c>
      <c r="Q164" s="2449">
        <v>0</v>
      </c>
      <c r="R164" s="2449">
        <v>0</v>
      </c>
      <c r="S164" s="2449">
        <v>0</v>
      </c>
      <c r="T164" s="2449">
        <v>0</v>
      </c>
      <c r="U164" s="2449">
        <v>0</v>
      </c>
      <c r="V164" s="2449">
        <v>0</v>
      </c>
      <c r="W164" s="2449">
        <v>0</v>
      </c>
      <c r="X164" s="2449">
        <v>0</v>
      </c>
      <c r="Y164" s="2449">
        <v>0</v>
      </c>
      <c r="Z164" s="2449">
        <v>0</v>
      </c>
      <c r="AA164" s="2449">
        <v>0</v>
      </c>
      <c r="AB164" s="2449">
        <v>0</v>
      </c>
      <c r="AC164" s="2449">
        <v>0</v>
      </c>
      <c r="AD164" s="2449">
        <v>0</v>
      </c>
      <c r="AE164" s="2449">
        <v>0</v>
      </c>
      <c r="AF164" s="2449">
        <v>0</v>
      </c>
      <c r="AG164" s="2449">
        <v>0</v>
      </c>
      <c r="AH164" s="2449">
        <v>0</v>
      </c>
      <c r="AI164" s="2449">
        <v>0</v>
      </c>
      <c r="AJ164" s="2449">
        <v>0</v>
      </c>
      <c r="AK164" s="2449">
        <v>0</v>
      </c>
      <c r="AL164" s="2449">
        <v>0</v>
      </c>
      <c r="AM164" s="2449">
        <v>0</v>
      </c>
      <c r="AN164" s="2449">
        <v>0</v>
      </c>
      <c r="AO164" s="2449">
        <v>0</v>
      </c>
      <c r="AP164" s="2449">
        <v>0</v>
      </c>
      <c r="AQ164" s="2449">
        <v>0</v>
      </c>
      <c r="AR164" s="2449">
        <v>0</v>
      </c>
      <c r="AS164" s="2449">
        <v>0</v>
      </c>
    </row>
    <row r="165" spans="2:45" ht="17.100000000000001" customHeight="1" x14ac:dyDescent="0.2">
      <c r="B165" s="2410"/>
      <c r="C165" s="2412" t="s">
        <v>1373</v>
      </c>
      <c r="D165" s="2411"/>
      <c r="E165" s="2411"/>
      <c r="F165" s="2411"/>
      <c r="G165" s="2449">
        <v>0</v>
      </c>
      <c r="H165" s="2449">
        <v>0</v>
      </c>
      <c r="I165" s="2449">
        <v>0</v>
      </c>
      <c r="J165" s="2449">
        <v>0</v>
      </c>
      <c r="K165" s="2449">
        <v>0</v>
      </c>
      <c r="L165" s="2449">
        <v>0</v>
      </c>
      <c r="M165" s="2449">
        <v>0</v>
      </c>
      <c r="N165" s="2449">
        <v>0</v>
      </c>
      <c r="O165" s="2449">
        <v>0</v>
      </c>
      <c r="P165" s="2449">
        <v>0</v>
      </c>
      <c r="Q165" s="2449">
        <v>0</v>
      </c>
      <c r="R165" s="2449">
        <v>0</v>
      </c>
      <c r="S165" s="2449">
        <v>0</v>
      </c>
      <c r="T165" s="2449">
        <v>0</v>
      </c>
      <c r="U165" s="2449">
        <v>0</v>
      </c>
      <c r="V165" s="2449">
        <v>0</v>
      </c>
      <c r="W165" s="2449">
        <v>0</v>
      </c>
      <c r="X165" s="2449">
        <v>0</v>
      </c>
      <c r="Y165" s="2449">
        <v>0</v>
      </c>
      <c r="Z165" s="2449">
        <v>0</v>
      </c>
      <c r="AA165" s="2449">
        <v>0</v>
      </c>
      <c r="AB165" s="2449">
        <v>0</v>
      </c>
      <c r="AC165" s="2449">
        <v>0</v>
      </c>
      <c r="AD165" s="2449">
        <v>0</v>
      </c>
      <c r="AE165" s="2449">
        <v>0</v>
      </c>
      <c r="AF165" s="2449">
        <v>0</v>
      </c>
      <c r="AG165" s="2449">
        <v>0</v>
      </c>
      <c r="AH165" s="2449">
        <v>0</v>
      </c>
      <c r="AI165" s="2449">
        <v>0</v>
      </c>
      <c r="AJ165" s="2449">
        <v>0</v>
      </c>
      <c r="AK165" s="2449">
        <v>0</v>
      </c>
      <c r="AL165" s="2449">
        <v>0</v>
      </c>
      <c r="AM165" s="2449">
        <v>0</v>
      </c>
      <c r="AN165" s="2449">
        <v>0</v>
      </c>
      <c r="AO165" s="2449">
        <v>0</v>
      </c>
      <c r="AP165" s="2449">
        <v>0</v>
      </c>
      <c r="AQ165" s="2449">
        <v>0</v>
      </c>
      <c r="AR165" s="2449">
        <v>0</v>
      </c>
      <c r="AS165" s="2449">
        <v>0</v>
      </c>
    </row>
    <row r="166" spans="2:45" ht="17.100000000000001" customHeight="1" x14ac:dyDescent="0.2">
      <c r="B166" s="2410"/>
      <c r="C166" s="2412" t="s">
        <v>1409</v>
      </c>
      <c r="D166" s="2411"/>
      <c r="E166" s="2411"/>
      <c r="F166" s="2411"/>
      <c r="G166" s="2449">
        <v>0</v>
      </c>
      <c r="H166" s="2449">
        <v>0</v>
      </c>
      <c r="I166" s="2449">
        <v>0</v>
      </c>
      <c r="J166" s="2449">
        <v>0</v>
      </c>
      <c r="K166" s="2449">
        <v>0</v>
      </c>
      <c r="L166" s="2449">
        <v>0</v>
      </c>
      <c r="M166" s="2449">
        <v>0</v>
      </c>
      <c r="N166" s="2449">
        <v>0</v>
      </c>
      <c r="O166" s="2449">
        <v>0</v>
      </c>
      <c r="P166" s="2449">
        <v>0</v>
      </c>
      <c r="Q166" s="2449">
        <v>0</v>
      </c>
      <c r="R166" s="2449">
        <v>0</v>
      </c>
      <c r="S166" s="2449">
        <v>0</v>
      </c>
      <c r="T166" s="2449">
        <v>0</v>
      </c>
      <c r="U166" s="2449">
        <v>0</v>
      </c>
      <c r="V166" s="2449">
        <v>0</v>
      </c>
      <c r="W166" s="2449">
        <v>0</v>
      </c>
      <c r="X166" s="2449">
        <v>0</v>
      </c>
      <c r="Y166" s="2449">
        <v>0</v>
      </c>
      <c r="Z166" s="2449">
        <v>0</v>
      </c>
      <c r="AA166" s="2449">
        <v>0</v>
      </c>
      <c r="AB166" s="2449">
        <v>0</v>
      </c>
      <c r="AC166" s="2449">
        <v>0</v>
      </c>
      <c r="AD166" s="2449">
        <v>0</v>
      </c>
      <c r="AE166" s="2449">
        <v>0</v>
      </c>
      <c r="AF166" s="2449">
        <v>0</v>
      </c>
      <c r="AG166" s="2449">
        <v>0</v>
      </c>
      <c r="AH166" s="2449">
        <v>0</v>
      </c>
      <c r="AI166" s="2449">
        <v>0</v>
      </c>
      <c r="AJ166" s="2449">
        <v>0</v>
      </c>
      <c r="AK166" s="2449">
        <v>0</v>
      </c>
      <c r="AL166" s="2449">
        <v>0</v>
      </c>
      <c r="AM166" s="2449">
        <v>0</v>
      </c>
      <c r="AN166" s="2449">
        <v>0</v>
      </c>
      <c r="AO166" s="2449">
        <v>0</v>
      </c>
      <c r="AP166" s="2449">
        <v>0</v>
      </c>
      <c r="AQ166" s="2449">
        <v>0</v>
      </c>
      <c r="AR166" s="2449">
        <v>0</v>
      </c>
      <c r="AS166" s="2449">
        <v>0</v>
      </c>
    </row>
    <row r="167" spans="2:45" ht="17.100000000000001" customHeight="1" x14ac:dyDescent="0.2">
      <c r="B167" s="2410"/>
      <c r="C167" s="2412" t="s">
        <v>1410</v>
      </c>
      <c r="D167" s="2411"/>
      <c r="E167" s="2411"/>
      <c r="F167" s="2411"/>
      <c r="G167" s="2449">
        <v>0</v>
      </c>
      <c r="H167" s="2449">
        <v>0</v>
      </c>
      <c r="I167" s="2449">
        <v>0</v>
      </c>
      <c r="J167" s="2449">
        <v>0</v>
      </c>
      <c r="K167" s="2449">
        <v>0</v>
      </c>
      <c r="L167" s="2449">
        <v>0</v>
      </c>
      <c r="M167" s="2449">
        <v>0</v>
      </c>
      <c r="N167" s="2449">
        <v>0</v>
      </c>
      <c r="O167" s="2449">
        <v>0</v>
      </c>
      <c r="P167" s="2449">
        <v>0</v>
      </c>
      <c r="Q167" s="2449">
        <v>0</v>
      </c>
      <c r="R167" s="2449">
        <v>0</v>
      </c>
      <c r="S167" s="2449">
        <v>0</v>
      </c>
      <c r="T167" s="2449">
        <v>0</v>
      </c>
      <c r="U167" s="2449">
        <v>0</v>
      </c>
      <c r="V167" s="2449">
        <v>0</v>
      </c>
      <c r="W167" s="2449">
        <v>0</v>
      </c>
      <c r="X167" s="2449">
        <v>0</v>
      </c>
      <c r="Y167" s="2449">
        <v>0</v>
      </c>
      <c r="Z167" s="2449">
        <v>0</v>
      </c>
      <c r="AA167" s="2449">
        <v>0</v>
      </c>
      <c r="AB167" s="2449">
        <v>0</v>
      </c>
      <c r="AC167" s="2449">
        <v>0</v>
      </c>
      <c r="AD167" s="2449">
        <v>0</v>
      </c>
      <c r="AE167" s="2449">
        <v>0</v>
      </c>
      <c r="AF167" s="2449">
        <v>0</v>
      </c>
      <c r="AG167" s="2449">
        <v>0</v>
      </c>
      <c r="AH167" s="2449">
        <v>0</v>
      </c>
      <c r="AI167" s="2449">
        <v>0</v>
      </c>
      <c r="AJ167" s="2449">
        <v>0</v>
      </c>
      <c r="AK167" s="2449">
        <v>0</v>
      </c>
      <c r="AL167" s="2449">
        <v>0</v>
      </c>
      <c r="AM167" s="2449">
        <v>0</v>
      </c>
      <c r="AN167" s="2449">
        <v>0</v>
      </c>
      <c r="AO167" s="2449">
        <v>0</v>
      </c>
      <c r="AP167" s="2449">
        <v>0</v>
      </c>
      <c r="AQ167" s="2449">
        <v>0</v>
      </c>
      <c r="AR167" s="2449">
        <v>0</v>
      </c>
      <c r="AS167" s="2449">
        <v>0</v>
      </c>
    </row>
    <row r="168" spans="2:45" ht="17.100000000000001" customHeight="1" x14ac:dyDescent="0.2">
      <c r="B168" s="2410"/>
      <c r="C168" s="2412" t="s">
        <v>1411</v>
      </c>
      <c r="D168" s="2411"/>
      <c r="E168" s="2411"/>
      <c r="F168" s="2411"/>
      <c r="G168" s="2449">
        <v>0</v>
      </c>
      <c r="H168" s="2449">
        <v>0</v>
      </c>
      <c r="I168" s="2449">
        <v>0</v>
      </c>
      <c r="J168" s="2449">
        <v>0</v>
      </c>
      <c r="K168" s="2449">
        <v>0</v>
      </c>
      <c r="L168" s="2449">
        <v>0</v>
      </c>
      <c r="M168" s="2449">
        <v>0</v>
      </c>
      <c r="N168" s="2449">
        <v>0</v>
      </c>
      <c r="O168" s="2449">
        <v>0</v>
      </c>
      <c r="P168" s="2449">
        <v>0</v>
      </c>
      <c r="Q168" s="2449">
        <v>0</v>
      </c>
      <c r="R168" s="2449">
        <v>0</v>
      </c>
      <c r="S168" s="2449">
        <v>0</v>
      </c>
      <c r="T168" s="2449">
        <v>0</v>
      </c>
      <c r="U168" s="2449">
        <v>0</v>
      </c>
      <c r="V168" s="2449">
        <v>0</v>
      </c>
      <c r="W168" s="2449">
        <v>0</v>
      </c>
      <c r="X168" s="2449">
        <v>0</v>
      </c>
      <c r="Y168" s="2449">
        <v>0</v>
      </c>
      <c r="Z168" s="2449">
        <v>0</v>
      </c>
      <c r="AA168" s="2449">
        <v>0</v>
      </c>
      <c r="AB168" s="2449">
        <v>0</v>
      </c>
      <c r="AC168" s="2449">
        <v>0</v>
      </c>
      <c r="AD168" s="2449">
        <v>0</v>
      </c>
      <c r="AE168" s="2449">
        <v>0</v>
      </c>
      <c r="AF168" s="2449">
        <v>0</v>
      </c>
      <c r="AG168" s="2449">
        <v>0</v>
      </c>
      <c r="AH168" s="2449">
        <v>0</v>
      </c>
      <c r="AI168" s="2449">
        <v>0</v>
      </c>
      <c r="AJ168" s="2449">
        <v>0</v>
      </c>
      <c r="AK168" s="2449">
        <v>0</v>
      </c>
      <c r="AL168" s="2449">
        <v>0</v>
      </c>
      <c r="AM168" s="2449">
        <v>0</v>
      </c>
      <c r="AN168" s="2449">
        <v>0</v>
      </c>
      <c r="AO168" s="2449">
        <v>0</v>
      </c>
      <c r="AP168" s="2449">
        <v>0</v>
      </c>
      <c r="AQ168" s="2449">
        <v>0</v>
      </c>
      <c r="AR168" s="2449">
        <v>0</v>
      </c>
      <c r="AS168" s="2449">
        <v>0</v>
      </c>
    </row>
    <row r="169" spans="2:45" ht="17.100000000000001" customHeight="1" x14ac:dyDescent="0.2">
      <c r="B169" s="2410"/>
      <c r="C169" s="2412" t="s">
        <v>1377</v>
      </c>
      <c r="D169" s="2411"/>
      <c r="E169" s="2411"/>
      <c r="F169" s="2411"/>
      <c r="G169" s="2449">
        <v>0.84999999999999987</v>
      </c>
      <c r="H169" s="2449">
        <v>0.84999999999999987</v>
      </c>
      <c r="I169" s="2449">
        <v>0.84999999999999987</v>
      </c>
      <c r="J169" s="2449">
        <v>0.84999999999999987</v>
      </c>
      <c r="K169" s="2449">
        <v>0.84999999999999987</v>
      </c>
      <c r="L169" s="2449">
        <v>0.84999999999999987</v>
      </c>
      <c r="M169" s="2449">
        <v>0.84999999999999987</v>
      </c>
      <c r="N169" s="2449">
        <v>0.84999999999999987</v>
      </c>
      <c r="O169" s="2449">
        <v>0.84999999999999987</v>
      </c>
      <c r="P169" s="2449">
        <v>0.84999999999999987</v>
      </c>
      <c r="Q169" s="2449">
        <v>0.84999999999999987</v>
      </c>
      <c r="R169" s="2449">
        <v>0.84999999999999987</v>
      </c>
      <c r="S169" s="2449">
        <v>0.84999999999999987</v>
      </c>
      <c r="T169" s="2449">
        <v>0.84999999999999987</v>
      </c>
      <c r="U169" s="2449">
        <v>0.84999999999999987</v>
      </c>
      <c r="V169" s="2449">
        <v>0.84999999999999987</v>
      </c>
      <c r="W169" s="2449">
        <v>0.84999999999999987</v>
      </c>
      <c r="X169" s="2449">
        <v>0.84999999999999987</v>
      </c>
      <c r="Y169" s="2449">
        <v>0.84999999999999987</v>
      </c>
      <c r="Z169" s="2449">
        <v>0.84999999999999987</v>
      </c>
      <c r="AA169" s="2449">
        <v>0.84999999999999987</v>
      </c>
      <c r="AB169" s="2449">
        <v>0.84999999999999987</v>
      </c>
      <c r="AC169" s="2449">
        <v>0.84999999999999987</v>
      </c>
      <c r="AD169" s="2449">
        <v>0.84999999999999987</v>
      </c>
      <c r="AE169" s="2449">
        <v>0.84999999999999987</v>
      </c>
      <c r="AF169" s="2449">
        <v>0.84999999999999987</v>
      </c>
      <c r="AG169" s="2449">
        <v>0.84999999999999987</v>
      </c>
      <c r="AH169" s="2449">
        <v>0.84999999999999987</v>
      </c>
      <c r="AI169" s="2449">
        <v>0.84999999999999987</v>
      </c>
      <c r="AJ169" s="2449">
        <v>0.84999999999999987</v>
      </c>
      <c r="AK169" s="2449">
        <v>0.84999999999999987</v>
      </c>
      <c r="AL169" s="2449">
        <v>0.84999999999999987</v>
      </c>
      <c r="AM169" s="2449">
        <v>0.84999999999999987</v>
      </c>
      <c r="AN169" s="2449">
        <v>0.84999999999999987</v>
      </c>
      <c r="AO169" s="2449">
        <v>0.84999999999999987</v>
      </c>
      <c r="AP169" s="2449">
        <v>0.84999999999999987</v>
      </c>
      <c r="AQ169" s="2449">
        <v>0.84999999999999987</v>
      </c>
      <c r="AR169" s="2449">
        <v>0.84999999999999987</v>
      </c>
      <c r="AS169" s="2449">
        <v>0.84999999999999987</v>
      </c>
    </row>
    <row r="170" spans="2:45" ht="17.100000000000001" customHeight="1" x14ac:dyDescent="0.2">
      <c r="B170" s="2410"/>
      <c r="C170" s="2412" t="s">
        <v>1412</v>
      </c>
      <c r="D170" s="2411"/>
      <c r="E170" s="2411"/>
      <c r="F170" s="2411"/>
      <c r="G170" s="2449">
        <v>0.85</v>
      </c>
      <c r="H170" s="2449">
        <v>0.85</v>
      </c>
      <c r="I170" s="2449">
        <v>0.85</v>
      </c>
      <c r="J170" s="2449">
        <v>0.85</v>
      </c>
      <c r="K170" s="2449">
        <v>0.85</v>
      </c>
      <c r="L170" s="2449">
        <v>0.85</v>
      </c>
      <c r="M170" s="2449">
        <v>0.85</v>
      </c>
      <c r="N170" s="2449">
        <v>0.85</v>
      </c>
      <c r="O170" s="2449">
        <v>0.85</v>
      </c>
      <c r="P170" s="2449">
        <v>0.85</v>
      </c>
      <c r="Q170" s="2449">
        <v>0.85</v>
      </c>
      <c r="R170" s="2449">
        <v>0.85</v>
      </c>
      <c r="S170" s="2449">
        <v>0.85</v>
      </c>
      <c r="T170" s="2449">
        <v>0.85</v>
      </c>
      <c r="U170" s="2449">
        <v>0.85</v>
      </c>
      <c r="V170" s="2449">
        <v>0.85</v>
      </c>
      <c r="W170" s="2449">
        <v>0.85</v>
      </c>
      <c r="X170" s="2449">
        <v>0.85</v>
      </c>
      <c r="Y170" s="2449">
        <v>0.85</v>
      </c>
      <c r="Z170" s="2449">
        <v>0.85</v>
      </c>
      <c r="AA170" s="2449">
        <v>0.85</v>
      </c>
      <c r="AB170" s="2449">
        <v>0.85</v>
      </c>
      <c r="AC170" s="2449">
        <v>0.85</v>
      </c>
      <c r="AD170" s="2449">
        <v>0.85</v>
      </c>
      <c r="AE170" s="2449">
        <v>0.85</v>
      </c>
      <c r="AF170" s="2449">
        <v>0.85</v>
      </c>
      <c r="AG170" s="2449">
        <v>0.85</v>
      </c>
      <c r="AH170" s="2449">
        <v>0.85</v>
      </c>
      <c r="AI170" s="2449">
        <v>0.85</v>
      </c>
      <c r="AJ170" s="2449">
        <v>0.85</v>
      </c>
      <c r="AK170" s="2449">
        <v>0.85</v>
      </c>
      <c r="AL170" s="2449">
        <v>0.85</v>
      </c>
      <c r="AM170" s="2449">
        <v>0.85</v>
      </c>
      <c r="AN170" s="2449">
        <v>0.85</v>
      </c>
      <c r="AO170" s="2449">
        <v>0.85</v>
      </c>
      <c r="AP170" s="2449">
        <v>0.85</v>
      </c>
      <c r="AQ170" s="2449">
        <v>0.85</v>
      </c>
      <c r="AR170" s="2449">
        <v>0.85</v>
      </c>
      <c r="AS170" s="2449">
        <v>0.85</v>
      </c>
    </row>
    <row r="171" spans="2:45" ht="17.100000000000001" customHeight="1" x14ac:dyDescent="0.2">
      <c r="B171" s="2410"/>
      <c r="C171" s="2412" t="s">
        <v>1417</v>
      </c>
      <c r="D171" s="2411"/>
      <c r="E171" s="2411"/>
      <c r="F171" s="2411"/>
      <c r="G171" s="2449">
        <v>0.85</v>
      </c>
      <c r="H171" s="2449">
        <v>0.85</v>
      </c>
      <c r="I171" s="2449">
        <v>0.85</v>
      </c>
      <c r="J171" s="2449">
        <v>0.85</v>
      </c>
      <c r="K171" s="2449">
        <v>0.85</v>
      </c>
      <c r="L171" s="2449">
        <v>0.85</v>
      </c>
      <c r="M171" s="2449">
        <v>0.85</v>
      </c>
      <c r="N171" s="2449">
        <v>0.85</v>
      </c>
      <c r="O171" s="2449">
        <v>0.85</v>
      </c>
      <c r="P171" s="2449">
        <v>0.85</v>
      </c>
      <c r="Q171" s="2449">
        <v>0.85</v>
      </c>
      <c r="R171" s="2449">
        <v>0.85</v>
      </c>
      <c r="S171" s="2449">
        <v>0.85</v>
      </c>
      <c r="T171" s="2449">
        <v>0.85</v>
      </c>
      <c r="U171" s="2449">
        <v>0.85</v>
      </c>
      <c r="V171" s="2449">
        <v>0.85</v>
      </c>
      <c r="W171" s="2449">
        <v>0.85</v>
      </c>
      <c r="X171" s="2449">
        <v>0.85</v>
      </c>
      <c r="Y171" s="2449">
        <v>0.85</v>
      </c>
      <c r="Z171" s="2449">
        <v>0.85</v>
      </c>
      <c r="AA171" s="2449">
        <v>0.85</v>
      </c>
      <c r="AB171" s="2449">
        <v>0.85</v>
      </c>
      <c r="AC171" s="2449">
        <v>0.85</v>
      </c>
      <c r="AD171" s="2449">
        <v>0.85</v>
      </c>
      <c r="AE171" s="2449">
        <v>0.85</v>
      </c>
      <c r="AF171" s="2449">
        <v>0.85</v>
      </c>
      <c r="AG171" s="2449">
        <v>0.85</v>
      </c>
      <c r="AH171" s="2449">
        <v>0.85</v>
      </c>
      <c r="AI171" s="2449">
        <v>0.85</v>
      </c>
      <c r="AJ171" s="2449">
        <v>0.85</v>
      </c>
      <c r="AK171" s="2449">
        <v>0.85</v>
      </c>
      <c r="AL171" s="2449">
        <v>0.85</v>
      </c>
      <c r="AM171" s="2449">
        <v>0.85</v>
      </c>
      <c r="AN171" s="2449">
        <v>0.85</v>
      </c>
      <c r="AO171" s="2449">
        <v>0.85</v>
      </c>
      <c r="AP171" s="2449">
        <v>0.85</v>
      </c>
      <c r="AQ171" s="2449">
        <v>0.85</v>
      </c>
      <c r="AR171" s="2449">
        <v>0.85</v>
      </c>
      <c r="AS171" s="2449">
        <v>0.85</v>
      </c>
    </row>
    <row r="172" spans="2:45" ht="17.100000000000001" customHeight="1" x14ac:dyDescent="0.2">
      <c r="B172" s="2410"/>
      <c r="C172" s="2412" t="s">
        <v>1414</v>
      </c>
      <c r="D172" s="2411"/>
      <c r="E172" s="2411"/>
      <c r="F172" s="2411"/>
      <c r="G172" s="2449">
        <v>0.85</v>
      </c>
      <c r="H172" s="2449">
        <v>0.85</v>
      </c>
      <c r="I172" s="2449">
        <v>0.85</v>
      </c>
      <c r="J172" s="2449">
        <v>0.85</v>
      </c>
      <c r="K172" s="2449">
        <v>0.85</v>
      </c>
      <c r="L172" s="2449">
        <v>0.85</v>
      </c>
      <c r="M172" s="2449">
        <v>0.85</v>
      </c>
      <c r="N172" s="2449">
        <v>0.85</v>
      </c>
      <c r="O172" s="2449">
        <v>0.85</v>
      </c>
      <c r="P172" s="2449">
        <v>0.85</v>
      </c>
      <c r="Q172" s="2449">
        <v>0.85</v>
      </c>
      <c r="R172" s="2449">
        <v>0.85</v>
      </c>
      <c r="S172" s="2449">
        <v>0.85</v>
      </c>
      <c r="T172" s="2449">
        <v>0.85</v>
      </c>
      <c r="U172" s="2449">
        <v>0.85</v>
      </c>
      <c r="V172" s="2449">
        <v>0.85</v>
      </c>
      <c r="W172" s="2449">
        <v>0.85</v>
      </c>
      <c r="X172" s="2449">
        <v>0.85</v>
      </c>
      <c r="Y172" s="2449">
        <v>0.85</v>
      </c>
      <c r="Z172" s="2449">
        <v>0.85</v>
      </c>
      <c r="AA172" s="2449">
        <v>0.85</v>
      </c>
      <c r="AB172" s="2449">
        <v>0.85</v>
      </c>
      <c r="AC172" s="2449">
        <v>0.85</v>
      </c>
      <c r="AD172" s="2449">
        <v>0.85</v>
      </c>
      <c r="AE172" s="2449">
        <v>0.85</v>
      </c>
      <c r="AF172" s="2449">
        <v>0.85</v>
      </c>
      <c r="AG172" s="2449">
        <v>0.85</v>
      </c>
      <c r="AH172" s="2449">
        <v>0.85</v>
      </c>
      <c r="AI172" s="2449">
        <v>0.85</v>
      </c>
      <c r="AJ172" s="2449">
        <v>0.85</v>
      </c>
      <c r="AK172" s="2449">
        <v>0.85</v>
      </c>
      <c r="AL172" s="2449">
        <v>0.85</v>
      </c>
      <c r="AM172" s="2449">
        <v>0.85</v>
      </c>
      <c r="AN172" s="2449">
        <v>0.85</v>
      </c>
      <c r="AO172" s="2449">
        <v>0.85</v>
      </c>
      <c r="AP172" s="2449">
        <v>0.85</v>
      </c>
      <c r="AQ172" s="2449">
        <v>0.85</v>
      </c>
      <c r="AR172" s="2449">
        <v>0.85</v>
      </c>
      <c r="AS172" s="2449">
        <v>0.85</v>
      </c>
    </row>
    <row r="173" spans="2:45" ht="17.100000000000001" customHeight="1" x14ac:dyDescent="0.2">
      <c r="B173" s="2410"/>
      <c r="C173" s="2441" t="s">
        <v>1415</v>
      </c>
      <c r="D173" s="2419"/>
      <c r="E173" s="2419"/>
      <c r="F173" s="2419"/>
      <c r="G173" s="2451">
        <v>1</v>
      </c>
      <c r="H173" s="2451">
        <v>1</v>
      </c>
      <c r="I173" s="2451">
        <v>1</v>
      </c>
      <c r="J173" s="2451">
        <v>1</v>
      </c>
      <c r="K173" s="2451">
        <v>1</v>
      </c>
      <c r="L173" s="2451">
        <v>1</v>
      </c>
      <c r="M173" s="2451">
        <v>1</v>
      </c>
      <c r="N173" s="2451">
        <v>1</v>
      </c>
      <c r="O173" s="2451">
        <v>1</v>
      </c>
      <c r="P173" s="2451">
        <v>1</v>
      </c>
      <c r="Q173" s="2451">
        <v>1</v>
      </c>
      <c r="R173" s="2451">
        <v>1</v>
      </c>
      <c r="S173" s="2451">
        <v>1</v>
      </c>
      <c r="T173" s="2451">
        <v>1</v>
      </c>
      <c r="U173" s="2451">
        <v>1</v>
      </c>
      <c r="V173" s="2451">
        <v>1</v>
      </c>
      <c r="W173" s="2451">
        <v>1</v>
      </c>
      <c r="X173" s="2451">
        <v>1</v>
      </c>
      <c r="Y173" s="2451">
        <v>1</v>
      </c>
      <c r="Z173" s="2451">
        <v>1</v>
      </c>
      <c r="AA173" s="2451">
        <v>1</v>
      </c>
      <c r="AB173" s="2451">
        <v>1</v>
      </c>
      <c r="AC173" s="2451">
        <v>1</v>
      </c>
      <c r="AD173" s="2451">
        <v>1</v>
      </c>
      <c r="AE173" s="2451">
        <v>1</v>
      </c>
      <c r="AF173" s="2451">
        <v>1</v>
      </c>
      <c r="AG173" s="2451">
        <v>1</v>
      </c>
      <c r="AH173" s="2451">
        <v>1</v>
      </c>
      <c r="AI173" s="2451">
        <v>1</v>
      </c>
      <c r="AJ173" s="2451">
        <v>1</v>
      </c>
      <c r="AK173" s="2451">
        <v>1</v>
      </c>
      <c r="AL173" s="2451">
        <v>1</v>
      </c>
      <c r="AM173" s="2451">
        <v>1</v>
      </c>
      <c r="AN173" s="2451">
        <v>1</v>
      </c>
      <c r="AO173" s="2451">
        <v>1</v>
      </c>
      <c r="AP173" s="2451">
        <v>1</v>
      </c>
      <c r="AQ173" s="2451">
        <v>1</v>
      </c>
      <c r="AR173" s="2451">
        <v>1</v>
      </c>
      <c r="AS173" s="2451">
        <v>1</v>
      </c>
    </row>
    <row r="174" spans="2:45" ht="17.100000000000001" customHeight="1" x14ac:dyDescent="0.2">
      <c r="B174" s="2410"/>
      <c r="C174" s="2412"/>
      <c r="D174" s="2412"/>
      <c r="E174" s="2412"/>
      <c r="F174" s="2412"/>
      <c r="G174" s="2412"/>
      <c r="H174" s="2412"/>
      <c r="I174" s="2412"/>
      <c r="J174" s="2412"/>
      <c r="K174" s="2412"/>
      <c r="L174" s="2412"/>
      <c r="M174" s="2412"/>
      <c r="N174" s="2412"/>
      <c r="O174" s="2412"/>
      <c r="P174" s="2412"/>
      <c r="Q174" s="2412"/>
      <c r="R174" s="2412"/>
      <c r="S174" s="2412"/>
      <c r="T174" s="2412"/>
      <c r="U174" s="2412"/>
      <c r="V174" s="2412"/>
      <c r="W174" s="2412"/>
      <c r="X174" s="2412"/>
      <c r="Y174" s="2412"/>
      <c r="Z174" s="2412"/>
      <c r="AA174" s="2412"/>
      <c r="AB174" s="2412"/>
      <c r="AC174" s="2412"/>
      <c r="AD174" s="2412"/>
      <c r="AE174" s="2412"/>
      <c r="AF174" s="2412"/>
      <c r="AG174" s="2412"/>
      <c r="AH174" s="2412"/>
      <c r="AI174" s="2412"/>
      <c r="AJ174" s="2412"/>
      <c r="AK174" s="2412"/>
      <c r="AL174" s="2412"/>
      <c r="AM174" s="2412"/>
      <c r="AN174" s="2412"/>
      <c r="AO174" s="2412"/>
      <c r="AP174" s="2412"/>
      <c r="AQ174" s="2412"/>
      <c r="AR174" s="2412"/>
      <c r="AS174" s="2412"/>
    </row>
    <row r="175" spans="2:45" ht="17.100000000000001" customHeight="1" x14ac:dyDescent="0.2">
      <c r="B175" s="2410"/>
      <c r="C175" s="2412" t="s">
        <v>1418</v>
      </c>
      <c r="D175" s="2412"/>
      <c r="E175" s="2412"/>
      <c r="F175" s="2412"/>
      <c r="G175" s="2412"/>
      <c r="H175" s="2412"/>
      <c r="I175" s="2412"/>
      <c r="J175" s="2412"/>
      <c r="K175" s="2412"/>
      <c r="L175" s="2412"/>
      <c r="M175" s="2412"/>
      <c r="N175" s="2412"/>
      <c r="O175" s="2412"/>
      <c r="P175" s="2412"/>
      <c r="Q175" s="2412"/>
      <c r="R175" s="2412"/>
      <c r="S175" s="2412"/>
      <c r="T175" s="2412"/>
      <c r="U175" s="2412"/>
      <c r="V175" s="2412"/>
      <c r="W175" s="2412"/>
      <c r="X175" s="2412"/>
      <c r="Y175" s="2412"/>
      <c r="Z175" s="2412"/>
      <c r="AA175" s="2412"/>
      <c r="AB175" s="2412"/>
      <c r="AC175" s="2412"/>
      <c r="AD175" s="2412"/>
      <c r="AE175" s="2412"/>
      <c r="AF175" s="2412"/>
      <c r="AG175" s="2412"/>
      <c r="AH175" s="2412"/>
      <c r="AI175" s="2412"/>
      <c r="AJ175" s="2412"/>
      <c r="AK175" s="2412"/>
      <c r="AL175" s="2412"/>
      <c r="AM175" s="2412"/>
      <c r="AN175" s="2412"/>
      <c r="AO175" s="2412"/>
      <c r="AP175" s="2412"/>
      <c r="AQ175" s="2412"/>
      <c r="AR175" s="2412"/>
      <c r="AS175" s="2412"/>
    </row>
    <row r="176" spans="2:45" ht="17.100000000000001" customHeight="1" x14ac:dyDescent="0.2">
      <c r="B176" s="2410"/>
      <c r="C176" s="2413"/>
      <c r="D176" s="2414" t="s">
        <v>1029</v>
      </c>
      <c r="E176" s="2414" t="s">
        <v>8</v>
      </c>
      <c r="F176" s="2414"/>
      <c r="G176" s="2414">
        <v>2012</v>
      </c>
      <c r="H176" s="2414">
        <v>2013</v>
      </c>
      <c r="I176" s="2414">
        <v>2014</v>
      </c>
      <c r="J176" s="2414">
        <v>2015</v>
      </c>
      <c r="K176" s="2414">
        <v>2016</v>
      </c>
      <c r="L176" s="2414">
        <v>2017</v>
      </c>
      <c r="M176" s="2414">
        <v>2018</v>
      </c>
      <c r="N176" s="2414">
        <v>2019</v>
      </c>
      <c r="O176" s="2414">
        <v>2020</v>
      </c>
      <c r="P176" s="2414">
        <v>2021</v>
      </c>
      <c r="Q176" s="2414">
        <v>2022</v>
      </c>
      <c r="R176" s="2414">
        <v>2023</v>
      </c>
      <c r="S176" s="2414">
        <v>2024</v>
      </c>
      <c r="T176" s="2414">
        <v>2025</v>
      </c>
      <c r="U176" s="2414">
        <v>2026</v>
      </c>
      <c r="V176" s="2414">
        <v>2027</v>
      </c>
      <c r="W176" s="2414">
        <v>2028</v>
      </c>
      <c r="X176" s="2414">
        <v>2029</v>
      </c>
      <c r="Y176" s="2414">
        <v>2030</v>
      </c>
      <c r="Z176" s="2414">
        <v>2031</v>
      </c>
      <c r="AA176" s="2414">
        <v>2032</v>
      </c>
      <c r="AB176" s="2414">
        <v>2033</v>
      </c>
      <c r="AC176" s="2414">
        <v>2034</v>
      </c>
      <c r="AD176" s="2414">
        <v>2035</v>
      </c>
      <c r="AE176" s="2414">
        <v>2036</v>
      </c>
      <c r="AF176" s="2414">
        <v>2037</v>
      </c>
      <c r="AG176" s="2414">
        <v>2038</v>
      </c>
      <c r="AH176" s="2414">
        <v>2039</v>
      </c>
      <c r="AI176" s="2414">
        <v>2040</v>
      </c>
      <c r="AJ176" s="2414">
        <v>2041</v>
      </c>
      <c r="AK176" s="2414">
        <v>2042</v>
      </c>
      <c r="AL176" s="2414">
        <v>2043</v>
      </c>
      <c r="AM176" s="2414">
        <v>2044</v>
      </c>
      <c r="AN176" s="2414">
        <v>2045</v>
      </c>
      <c r="AO176" s="2414">
        <v>2046</v>
      </c>
      <c r="AP176" s="2414">
        <v>2047</v>
      </c>
      <c r="AQ176" s="2414">
        <v>2048</v>
      </c>
      <c r="AR176" s="2414">
        <v>2049</v>
      </c>
      <c r="AS176" s="2414">
        <v>2050</v>
      </c>
    </row>
    <row r="177" spans="2:45" ht="17.100000000000001" customHeight="1" x14ac:dyDescent="0.2">
      <c r="B177" s="2410"/>
      <c r="C177" s="2412" t="s">
        <v>1405</v>
      </c>
      <c r="D177" s="2411" t="s">
        <v>1419</v>
      </c>
      <c r="E177" s="2411" t="s">
        <v>319</v>
      </c>
      <c r="F177" s="2411"/>
      <c r="G177" s="2449">
        <v>113.88</v>
      </c>
      <c r="H177" s="2449">
        <v>113.88</v>
      </c>
      <c r="I177" s="2449">
        <v>113.88</v>
      </c>
      <c r="J177" s="2449">
        <v>113.88</v>
      </c>
      <c r="K177" s="2449">
        <v>113.88</v>
      </c>
      <c r="L177" s="2449">
        <v>113.88</v>
      </c>
      <c r="M177" s="2449">
        <v>113.88</v>
      </c>
      <c r="N177" s="2449">
        <v>113.88</v>
      </c>
      <c r="O177" s="2449">
        <v>113.88</v>
      </c>
      <c r="P177" s="2449">
        <v>113.88</v>
      </c>
      <c r="Q177" s="2449">
        <v>113.88</v>
      </c>
      <c r="R177" s="2449">
        <v>113.88</v>
      </c>
      <c r="S177" s="2449">
        <v>113.88</v>
      </c>
      <c r="T177" s="2449">
        <v>113.88</v>
      </c>
      <c r="U177" s="2449">
        <v>113.88</v>
      </c>
      <c r="V177" s="2449">
        <v>113.88</v>
      </c>
      <c r="W177" s="2449">
        <v>113.88</v>
      </c>
      <c r="X177" s="2449">
        <v>113.88</v>
      </c>
      <c r="Y177" s="2449">
        <v>113.88</v>
      </c>
      <c r="Z177" s="2449">
        <v>113.88</v>
      </c>
      <c r="AA177" s="2449">
        <v>113.88</v>
      </c>
      <c r="AB177" s="2449">
        <v>113.88</v>
      </c>
      <c r="AC177" s="2449">
        <v>113.88</v>
      </c>
      <c r="AD177" s="2449">
        <v>113.88</v>
      </c>
      <c r="AE177" s="2449">
        <v>113.88</v>
      </c>
      <c r="AF177" s="2449">
        <v>113.88</v>
      </c>
      <c r="AG177" s="2449">
        <v>113.88</v>
      </c>
      <c r="AH177" s="2449">
        <v>113.88</v>
      </c>
      <c r="AI177" s="2449">
        <v>113.88</v>
      </c>
      <c r="AJ177" s="2449">
        <v>113.88</v>
      </c>
      <c r="AK177" s="2449">
        <v>113.88</v>
      </c>
      <c r="AL177" s="2449">
        <v>113.88</v>
      </c>
      <c r="AM177" s="2449">
        <v>113.88</v>
      </c>
      <c r="AN177" s="2449">
        <v>113.88</v>
      </c>
      <c r="AO177" s="2449">
        <v>113.88</v>
      </c>
      <c r="AP177" s="2449">
        <v>113.88</v>
      </c>
      <c r="AQ177" s="2449">
        <v>113.88</v>
      </c>
      <c r="AR177" s="2449">
        <v>113.88</v>
      </c>
      <c r="AS177" s="2449">
        <v>113.88</v>
      </c>
    </row>
    <row r="178" spans="2:45" ht="17.100000000000001" customHeight="1" x14ac:dyDescent="0.2">
      <c r="B178" s="2410"/>
      <c r="C178" s="2412" t="s">
        <v>1406</v>
      </c>
      <c r="D178" s="2411" t="s">
        <v>1419</v>
      </c>
      <c r="E178" s="2411" t="s">
        <v>319</v>
      </c>
      <c r="F178" s="2411"/>
      <c r="G178" s="2449">
        <v>43.995344373360005</v>
      </c>
      <c r="H178" s="2449">
        <v>43.995344373360005</v>
      </c>
      <c r="I178" s="2449">
        <v>43.995344373360005</v>
      </c>
      <c r="J178" s="2449">
        <v>43.995344373360005</v>
      </c>
      <c r="K178" s="2449">
        <v>43.995344373360005</v>
      </c>
      <c r="L178" s="2449">
        <v>43.995344373360005</v>
      </c>
      <c r="M178" s="2449">
        <v>43.995344373360005</v>
      </c>
      <c r="N178" s="2449">
        <v>43.995344373360005</v>
      </c>
      <c r="O178" s="2449">
        <v>43.995344373360005</v>
      </c>
      <c r="P178" s="2449">
        <v>43.995344373360005</v>
      </c>
      <c r="Q178" s="2449">
        <v>43.995344373360005</v>
      </c>
      <c r="R178" s="2449">
        <v>43.995344373360005</v>
      </c>
      <c r="S178" s="2449">
        <v>43.995344373360005</v>
      </c>
      <c r="T178" s="2449">
        <v>43.995344373360005</v>
      </c>
      <c r="U178" s="2449">
        <v>43.995344373360005</v>
      </c>
      <c r="V178" s="2449">
        <v>43.995344373360005</v>
      </c>
      <c r="W178" s="2449">
        <v>43.995344373360005</v>
      </c>
      <c r="X178" s="2449">
        <v>43.995344373360005</v>
      </c>
      <c r="Y178" s="2449">
        <v>43.995344373360005</v>
      </c>
      <c r="Z178" s="2449">
        <v>43.995344373360005</v>
      </c>
      <c r="AA178" s="2449">
        <v>43.995344373360005</v>
      </c>
      <c r="AB178" s="2449">
        <v>43.995344373360005</v>
      </c>
      <c r="AC178" s="2449">
        <v>43.995344373360005</v>
      </c>
      <c r="AD178" s="2449">
        <v>43.995344373360005</v>
      </c>
      <c r="AE178" s="2449">
        <v>43.995344373360005</v>
      </c>
      <c r="AF178" s="2449">
        <v>43.995344373360005</v>
      </c>
      <c r="AG178" s="2449">
        <v>43.995344373360005</v>
      </c>
      <c r="AH178" s="2449">
        <v>43.995344373360005</v>
      </c>
      <c r="AI178" s="2449">
        <v>43.995344373360005</v>
      </c>
      <c r="AJ178" s="2449">
        <v>43.995344373360005</v>
      </c>
      <c r="AK178" s="2449">
        <v>43.995344373360005</v>
      </c>
      <c r="AL178" s="2449">
        <v>43.995344373360005</v>
      </c>
      <c r="AM178" s="2449">
        <v>43.995344373360005</v>
      </c>
      <c r="AN178" s="2449">
        <v>43.995344373360005</v>
      </c>
      <c r="AO178" s="2449">
        <v>43.995344373360005</v>
      </c>
      <c r="AP178" s="2449">
        <v>43.995344373360005</v>
      </c>
      <c r="AQ178" s="2449">
        <v>43.995344373360005</v>
      </c>
      <c r="AR178" s="2449">
        <v>43.995344373360005</v>
      </c>
      <c r="AS178" s="2449">
        <v>43.995344373360005</v>
      </c>
    </row>
    <row r="179" spans="2:45" ht="17.100000000000001" customHeight="1" x14ac:dyDescent="0.2">
      <c r="B179" s="2410"/>
      <c r="C179" s="2412" t="s">
        <v>1368</v>
      </c>
      <c r="D179" s="2411" t="s">
        <v>1419</v>
      </c>
      <c r="E179" s="2411" t="s">
        <v>319</v>
      </c>
      <c r="F179" s="2411"/>
      <c r="G179" s="2449">
        <v>45.99</v>
      </c>
      <c r="H179" s="2449">
        <v>45.99</v>
      </c>
      <c r="I179" s="2449">
        <v>45.99</v>
      </c>
      <c r="J179" s="2449">
        <v>45.99</v>
      </c>
      <c r="K179" s="2449">
        <v>45.99</v>
      </c>
      <c r="L179" s="2449">
        <v>45.99</v>
      </c>
      <c r="M179" s="2449">
        <v>45.99</v>
      </c>
      <c r="N179" s="2449">
        <v>45.99</v>
      </c>
      <c r="O179" s="2449">
        <v>45.99</v>
      </c>
      <c r="P179" s="2449">
        <v>45.99</v>
      </c>
      <c r="Q179" s="2449">
        <v>45.99</v>
      </c>
      <c r="R179" s="2449">
        <v>45.99</v>
      </c>
      <c r="S179" s="2449">
        <v>45.99</v>
      </c>
      <c r="T179" s="2449">
        <v>45.99</v>
      </c>
      <c r="U179" s="2449">
        <v>45.99</v>
      </c>
      <c r="V179" s="2449">
        <v>45.99</v>
      </c>
      <c r="W179" s="2449">
        <v>45.99</v>
      </c>
      <c r="X179" s="2449">
        <v>45.99</v>
      </c>
      <c r="Y179" s="2449">
        <v>45.99</v>
      </c>
      <c r="Z179" s="2449">
        <v>45.99</v>
      </c>
      <c r="AA179" s="2449">
        <v>45.99</v>
      </c>
      <c r="AB179" s="2449">
        <v>45.99</v>
      </c>
      <c r="AC179" s="2449">
        <v>45.99</v>
      </c>
      <c r="AD179" s="2449">
        <v>45.99</v>
      </c>
      <c r="AE179" s="2449">
        <v>45.99</v>
      </c>
      <c r="AF179" s="2449">
        <v>45.99</v>
      </c>
      <c r="AG179" s="2449">
        <v>45.99</v>
      </c>
      <c r="AH179" s="2449">
        <v>45.99</v>
      </c>
      <c r="AI179" s="2449">
        <v>45.99</v>
      </c>
      <c r="AJ179" s="2449">
        <v>45.99</v>
      </c>
      <c r="AK179" s="2449">
        <v>45.99</v>
      </c>
      <c r="AL179" s="2449">
        <v>45.99</v>
      </c>
      <c r="AM179" s="2449">
        <v>45.99</v>
      </c>
      <c r="AN179" s="2449">
        <v>45.99</v>
      </c>
      <c r="AO179" s="2449">
        <v>45.99</v>
      </c>
      <c r="AP179" s="2449">
        <v>45.99</v>
      </c>
      <c r="AQ179" s="2449">
        <v>45.99</v>
      </c>
      <c r="AR179" s="2449">
        <v>45.99</v>
      </c>
      <c r="AS179" s="2449">
        <v>45.99</v>
      </c>
    </row>
    <row r="180" spans="2:45" ht="17.100000000000001" customHeight="1" x14ac:dyDescent="0.2">
      <c r="B180" s="2410"/>
      <c r="C180" s="2412" t="s">
        <v>1369</v>
      </c>
      <c r="D180" s="2411" t="s">
        <v>1419</v>
      </c>
      <c r="E180" s="2411" t="s">
        <v>319</v>
      </c>
      <c r="F180" s="2411"/>
      <c r="G180" s="2449">
        <v>59.13</v>
      </c>
      <c r="H180" s="2449">
        <v>59.13</v>
      </c>
      <c r="I180" s="2449">
        <v>59.13</v>
      </c>
      <c r="J180" s="2449">
        <v>59.13</v>
      </c>
      <c r="K180" s="2449">
        <v>59.13</v>
      </c>
      <c r="L180" s="2449">
        <v>59.13</v>
      </c>
      <c r="M180" s="2449">
        <v>59.13</v>
      </c>
      <c r="N180" s="2449">
        <v>59.13</v>
      </c>
      <c r="O180" s="2449">
        <v>59.13</v>
      </c>
      <c r="P180" s="2449">
        <v>59.13</v>
      </c>
      <c r="Q180" s="2449">
        <v>59.13</v>
      </c>
      <c r="R180" s="2449">
        <v>59.13</v>
      </c>
      <c r="S180" s="2449">
        <v>59.13</v>
      </c>
      <c r="T180" s="2449">
        <v>59.13</v>
      </c>
      <c r="U180" s="2449">
        <v>59.13</v>
      </c>
      <c r="V180" s="2449">
        <v>59.13</v>
      </c>
      <c r="W180" s="2449">
        <v>59.13</v>
      </c>
      <c r="X180" s="2449">
        <v>59.13</v>
      </c>
      <c r="Y180" s="2449">
        <v>59.13</v>
      </c>
      <c r="Z180" s="2449">
        <v>59.13</v>
      </c>
      <c r="AA180" s="2449">
        <v>59.13</v>
      </c>
      <c r="AB180" s="2449">
        <v>59.13</v>
      </c>
      <c r="AC180" s="2449">
        <v>59.13</v>
      </c>
      <c r="AD180" s="2449">
        <v>59.13</v>
      </c>
      <c r="AE180" s="2449">
        <v>59.13</v>
      </c>
      <c r="AF180" s="2449">
        <v>59.13</v>
      </c>
      <c r="AG180" s="2449">
        <v>59.13</v>
      </c>
      <c r="AH180" s="2449">
        <v>59.13</v>
      </c>
      <c r="AI180" s="2449">
        <v>59.13</v>
      </c>
      <c r="AJ180" s="2449">
        <v>59.13</v>
      </c>
      <c r="AK180" s="2449">
        <v>59.13</v>
      </c>
      <c r="AL180" s="2449">
        <v>59.13</v>
      </c>
      <c r="AM180" s="2449">
        <v>59.13</v>
      </c>
      <c r="AN180" s="2449">
        <v>59.13</v>
      </c>
      <c r="AO180" s="2449">
        <v>59.13</v>
      </c>
      <c r="AP180" s="2449">
        <v>59.13</v>
      </c>
      <c r="AQ180" s="2449">
        <v>59.13</v>
      </c>
      <c r="AR180" s="2449">
        <v>59.13</v>
      </c>
      <c r="AS180" s="2449">
        <v>59.13</v>
      </c>
    </row>
    <row r="181" spans="2:45" ht="17.100000000000001" customHeight="1" x14ac:dyDescent="0.2">
      <c r="B181" s="2410"/>
      <c r="C181" s="2412" t="s">
        <v>1407</v>
      </c>
      <c r="D181" s="2411" t="s">
        <v>1419</v>
      </c>
      <c r="E181" s="2411" t="s">
        <v>319</v>
      </c>
      <c r="F181" s="2411"/>
      <c r="G181" s="2449">
        <v>32.85</v>
      </c>
      <c r="H181" s="2449">
        <v>32.85</v>
      </c>
      <c r="I181" s="2449">
        <v>32.85</v>
      </c>
      <c r="J181" s="2449">
        <v>32.85</v>
      </c>
      <c r="K181" s="2449">
        <v>32.85</v>
      </c>
      <c r="L181" s="2449">
        <v>32.85</v>
      </c>
      <c r="M181" s="2449">
        <v>32.85</v>
      </c>
      <c r="N181" s="2449">
        <v>32.85</v>
      </c>
      <c r="O181" s="2449">
        <v>32.85</v>
      </c>
      <c r="P181" s="2449">
        <v>32.85</v>
      </c>
      <c r="Q181" s="2449">
        <v>32.85</v>
      </c>
      <c r="R181" s="2449">
        <v>32.85</v>
      </c>
      <c r="S181" s="2449">
        <v>32.85</v>
      </c>
      <c r="T181" s="2449">
        <v>32.85</v>
      </c>
      <c r="U181" s="2449">
        <v>32.85</v>
      </c>
      <c r="V181" s="2449">
        <v>32.85</v>
      </c>
      <c r="W181" s="2449">
        <v>32.85</v>
      </c>
      <c r="X181" s="2449">
        <v>32.85</v>
      </c>
      <c r="Y181" s="2449">
        <v>32.85</v>
      </c>
      <c r="Z181" s="2449">
        <v>32.85</v>
      </c>
      <c r="AA181" s="2449">
        <v>32.85</v>
      </c>
      <c r="AB181" s="2449">
        <v>32.85</v>
      </c>
      <c r="AC181" s="2449">
        <v>32.85</v>
      </c>
      <c r="AD181" s="2449">
        <v>32.85</v>
      </c>
      <c r="AE181" s="2449">
        <v>32.85</v>
      </c>
      <c r="AF181" s="2449">
        <v>32.85</v>
      </c>
      <c r="AG181" s="2449">
        <v>32.85</v>
      </c>
      <c r="AH181" s="2449">
        <v>32.85</v>
      </c>
      <c r="AI181" s="2449">
        <v>32.85</v>
      </c>
      <c r="AJ181" s="2449">
        <v>32.85</v>
      </c>
      <c r="AK181" s="2449">
        <v>32.85</v>
      </c>
      <c r="AL181" s="2449">
        <v>32.85</v>
      </c>
      <c r="AM181" s="2449">
        <v>32.85</v>
      </c>
      <c r="AN181" s="2449">
        <v>32.85</v>
      </c>
      <c r="AO181" s="2449">
        <v>32.85</v>
      </c>
      <c r="AP181" s="2449">
        <v>32.85</v>
      </c>
      <c r="AQ181" s="2449">
        <v>32.85</v>
      </c>
      <c r="AR181" s="2449">
        <v>32.85</v>
      </c>
      <c r="AS181" s="2449">
        <v>32.85</v>
      </c>
    </row>
    <row r="182" spans="2:45" ht="17.100000000000001" customHeight="1" x14ac:dyDescent="0.2">
      <c r="B182" s="2410"/>
      <c r="C182" s="2412" t="s">
        <v>1371</v>
      </c>
      <c r="D182" s="2411" t="s">
        <v>1419</v>
      </c>
      <c r="E182" s="2411" t="s">
        <v>319</v>
      </c>
      <c r="F182" s="2411"/>
      <c r="G182" s="2449">
        <v>19.71</v>
      </c>
      <c r="H182" s="2449">
        <v>19.71</v>
      </c>
      <c r="I182" s="2449">
        <v>19.71</v>
      </c>
      <c r="J182" s="2449">
        <v>19.71</v>
      </c>
      <c r="K182" s="2449">
        <v>19.71</v>
      </c>
      <c r="L182" s="2449">
        <v>19.71</v>
      </c>
      <c r="M182" s="2449">
        <v>19.71</v>
      </c>
      <c r="N182" s="2449">
        <v>19.71</v>
      </c>
      <c r="O182" s="2449">
        <v>19.71</v>
      </c>
      <c r="P182" s="2449">
        <v>19.71</v>
      </c>
      <c r="Q182" s="2449">
        <v>19.71</v>
      </c>
      <c r="R182" s="2449">
        <v>19.71</v>
      </c>
      <c r="S182" s="2449">
        <v>19.71</v>
      </c>
      <c r="T182" s="2449">
        <v>19.71</v>
      </c>
      <c r="U182" s="2449">
        <v>19.71</v>
      </c>
      <c r="V182" s="2449">
        <v>19.71</v>
      </c>
      <c r="W182" s="2449">
        <v>19.71</v>
      </c>
      <c r="X182" s="2449">
        <v>19.71</v>
      </c>
      <c r="Y182" s="2449">
        <v>19.71</v>
      </c>
      <c r="Z182" s="2449">
        <v>19.71</v>
      </c>
      <c r="AA182" s="2449">
        <v>19.71</v>
      </c>
      <c r="AB182" s="2449">
        <v>19.71</v>
      </c>
      <c r="AC182" s="2449">
        <v>19.71</v>
      </c>
      <c r="AD182" s="2449">
        <v>19.71</v>
      </c>
      <c r="AE182" s="2449">
        <v>19.71</v>
      </c>
      <c r="AF182" s="2449">
        <v>19.71</v>
      </c>
      <c r="AG182" s="2449">
        <v>19.71</v>
      </c>
      <c r="AH182" s="2449">
        <v>19.71</v>
      </c>
      <c r="AI182" s="2449">
        <v>19.71</v>
      </c>
      <c r="AJ182" s="2449">
        <v>19.71</v>
      </c>
      <c r="AK182" s="2449">
        <v>19.71</v>
      </c>
      <c r="AL182" s="2449">
        <v>19.71</v>
      </c>
      <c r="AM182" s="2449">
        <v>19.71</v>
      </c>
      <c r="AN182" s="2449">
        <v>19.71</v>
      </c>
      <c r="AO182" s="2449">
        <v>19.71</v>
      </c>
      <c r="AP182" s="2449">
        <v>19.71</v>
      </c>
      <c r="AQ182" s="2449">
        <v>19.71</v>
      </c>
      <c r="AR182" s="2449">
        <v>19.71</v>
      </c>
      <c r="AS182" s="2449">
        <v>19.71</v>
      </c>
    </row>
    <row r="183" spans="2:45" ht="17.100000000000001" customHeight="1" x14ac:dyDescent="0.2">
      <c r="B183" s="2410"/>
      <c r="C183" s="2412" t="s">
        <v>1408</v>
      </c>
      <c r="D183" s="2411" t="s">
        <v>1419</v>
      </c>
      <c r="E183" s="2411" t="s">
        <v>319</v>
      </c>
      <c r="F183" s="2411"/>
      <c r="G183" s="2449">
        <v>25.002500000000001</v>
      </c>
      <c r="H183" s="2449">
        <v>25.002500000000001</v>
      </c>
      <c r="I183" s="2449">
        <v>25.002500000000001</v>
      </c>
      <c r="J183" s="2449">
        <v>25.002500000000001</v>
      </c>
      <c r="K183" s="2449">
        <v>25.002500000000001</v>
      </c>
      <c r="L183" s="2449">
        <v>25.002500000000001</v>
      </c>
      <c r="M183" s="2449">
        <v>25.002500000000001</v>
      </c>
      <c r="N183" s="2449">
        <v>25.002500000000001</v>
      </c>
      <c r="O183" s="2449">
        <v>25.002500000000001</v>
      </c>
      <c r="P183" s="2449">
        <v>25.002500000000001</v>
      </c>
      <c r="Q183" s="2449">
        <v>25.002500000000001</v>
      </c>
      <c r="R183" s="2449">
        <v>25.002500000000001</v>
      </c>
      <c r="S183" s="2449">
        <v>25.002500000000001</v>
      </c>
      <c r="T183" s="2449">
        <v>25.002500000000001</v>
      </c>
      <c r="U183" s="2449">
        <v>25.002500000000001</v>
      </c>
      <c r="V183" s="2449">
        <v>25.002500000000001</v>
      </c>
      <c r="W183" s="2449">
        <v>25.002500000000001</v>
      </c>
      <c r="X183" s="2449">
        <v>25.002500000000001</v>
      </c>
      <c r="Y183" s="2449">
        <v>25.002500000000001</v>
      </c>
      <c r="Z183" s="2449">
        <v>25.002500000000001</v>
      </c>
      <c r="AA183" s="2449">
        <v>25.002500000000001</v>
      </c>
      <c r="AB183" s="2449">
        <v>25.002500000000001</v>
      </c>
      <c r="AC183" s="2449">
        <v>25.002500000000001</v>
      </c>
      <c r="AD183" s="2449">
        <v>25.002500000000001</v>
      </c>
      <c r="AE183" s="2449">
        <v>25.002500000000001</v>
      </c>
      <c r="AF183" s="2449">
        <v>25.002500000000001</v>
      </c>
      <c r="AG183" s="2449">
        <v>25.002500000000001</v>
      </c>
      <c r="AH183" s="2449">
        <v>25.002500000000001</v>
      </c>
      <c r="AI183" s="2449">
        <v>25.002500000000001</v>
      </c>
      <c r="AJ183" s="2449">
        <v>25.002500000000001</v>
      </c>
      <c r="AK183" s="2449">
        <v>25.002500000000001</v>
      </c>
      <c r="AL183" s="2449">
        <v>25.002500000000001</v>
      </c>
      <c r="AM183" s="2449">
        <v>25.002500000000001</v>
      </c>
      <c r="AN183" s="2449">
        <v>25.002500000000001</v>
      </c>
      <c r="AO183" s="2449">
        <v>25.002500000000001</v>
      </c>
      <c r="AP183" s="2449">
        <v>25.002500000000001</v>
      </c>
      <c r="AQ183" s="2449">
        <v>25.002500000000001</v>
      </c>
      <c r="AR183" s="2449">
        <v>25.002500000000001</v>
      </c>
      <c r="AS183" s="2449">
        <v>25.002500000000001</v>
      </c>
    </row>
    <row r="184" spans="2:45" ht="17.100000000000001" customHeight="1" x14ac:dyDescent="0.2">
      <c r="B184" s="2410"/>
      <c r="C184" s="2412" t="s">
        <v>1373</v>
      </c>
      <c r="D184" s="2411" t="s">
        <v>1419</v>
      </c>
      <c r="E184" s="2411" t="s">
        <v>319</v>
      </c>
      <c r="F184" s="2411"/>
      <c r="G184" s="2449">
        <v>75.555000000000007</v>
      </c>
      <c r="H184" s="2449">
        <v>75.555000000000007</v>
      </c>
      <c r="I184" s="2449">
        <v>75.555000000000007</v>
      </c>
      <c r="J184" s="2449">
        <v>75.555000000000007</v>
      </c>
      <c r="K184" s="2449">
        <v>75.555000000000007</v>
      </c>
      <c r="L184" s="2449">
        <v>75.555000000000007</v>
      </c>
      <c r="M184" s="2449">
        <v>75.555000000000007</v>
      </c>
      <c r="N184" s="2449">
        <v>75.555000000000007</v>
      </c>
      <c r="O184" s="2449">
        <v>75.555000000000007</v>
      </c>
      <c r="P184" s="2449">
        <v>75.555000000000007</v>
      </c>
      <c r="Q184" s="2449">
        <v>75.555000000000007</v>
      </c>
      <c r="R184" s="2449">
        <v>75.555000000000007</v>
      </c>
      <c r="S184" s="2449">
        <v>75.555000000000007</v>
      </c>
      <c r="T184" s="2449">
        <v>75.555000000000007</v>
      </c>
      <c r="U184" s="2449">
        <v>75.555000000000007</v>
      </c>
      <c r="V184" s="2449">
        <v>75.555000000000007</v>
      </c>
      <c r="W184" s="2449">
        <v>75.555000000000007</v>
      </c>
      <c r="X184" s="2449">
        <v>75.555000000000007</v>
      </c>
      <c r="Y184" s="2449">
        <v>75.555000000000007</v>
      </c>
      <c r="Z184" s="2449">
        <v>75.555000000000007</v>
      </c>
      <c r="AA184" s="2449">
        <v>75.555000000000007</v>
      </c>
      <c r="AB184" s="2449">
        <v>75.555000000000007</v>
      </c>
      <c r="AC184" s="2449">
        <v>75.555000000000007</v>
      </c>
      <c r="AD184" s="2449">
        <v>75.555000000000007</v>
      </c>
      <c r="AE184" s="2449">
        <v>75.555000000000007</v>
      </c>
      <c r="AF184" s="2449">
        <v>75.555000000000007</v>
      </c>
      <c r="AG184" s="2449">
        <v>75.555000000000007</v>
      </c>
      <c r="AH184" s="2449">
        <v>75.555000000000007</v>
      </c>
      <c r="AI184" s="2449">
        <v>75.555000000000007</v>
      </c>
      <c r="AJ184" s="2449">
        <v>75.555000000000007</v>
      </c>
      <c r="AK184" s="2449">
        <v>75.555000000000007</v>
      </c>
      <c r="AL184" s="2449">
        <v>75.555000000000007</v>
      </c>
      <c r="AM184" s="2449">
        <v>75.555000000000007</v>
      </c>
      <c r="AN184" s="2449">
        <v>75.555000000000007</v>
      </c>
      <c r="AO184" s="2449">
        <v>75.555000000000007</v>
      </c>
      <c r="AP184" s="2449">
        <v>75.555000000000007</v>
      </c>
      <c r="AQ184" s="2449">
        <v>75.555000000000007</v>
      </c>
      <c r="AR184" s="2449">
        <v>75.555000000000007</v>
      </c>
      <c r="AS184" s="2449">
        <v>75.555000000000007</v>
      </c>
    </row>
    <row r="185" spans="2:45" ht="17.100000000000001" customHeight="1" x14ac:dyDescent="0.2">
      <c r="B185" s="2410"/>
      <c r="C185" s="2412" t="s">
        <v>1409</v>
      </c>
      <c r="D185" s="2411" t="s">
        <v>1419</v>
      </c>
      <c r="E185" s="2411" t="s">
        <v>319</v>
      </c>
      <c r="F185" s="2411"/>
      <c r="G185" s="2449">
        <v>39.876249999999999</v>
      </c>
      <c r="H185" s="2449">
        <v>39.876249999999999</v>
      </c>
      <c r="I185" s="2449">
        <v>39.876249999999999</v>
      </c>
      <c r="J185" s="2449">
        <v>39.876249999999999</v>
      </c>
      <c r="K185" s="2449">
        <v>39.876249999999999</v>
      </c>
      <c r="L185" s="2449">
        <v>39.876249999999999</v>
      </c>
      <c r="M185" s="2449">
        <v>39.876249999999999</v>
      </c>
      <c r="N185" s="2449">
        <v>39.876249999999999</v>
      </c>
      <c r="O185" s="2449">
        <v>39.876249999999999</v>
      </c>
      <c r="P185" s="2449">
        <v>39.876249999999999</v>
      </c>
      <c r="Q185" s="2449">
        <v>39.876249999999999</v>
      </c>
      <c r="R185" s="2449">
        <v>39.876249999999999</v>
      </c>
      <c r="S185" s="2449">
        <v>39.876249999999999</v>
      </c>
      <c r="T185" s="2449">
        <v>39.876249999999999</v>
      </c>
      <c r="U185" s="2449">
        <v>39.876249999999999</v>
      </c>
      <c r="V185" s="2449">
        <v>39.876249999999999</v>
      </c>
      <c r="W185" s="2449">
        <v>39.876249999999999</v>
      </c>
      <c r="X185" s="2449">
        <v>39.876249999999999</v>
      </c>
      <c r="Y185" s="2449">
        <v>39.876249999999999</v>
      </c>
      <c r="Z185" s="2449">
        <v>39.876249999999999</v>
      </c>
      <c r="AA185" s="2449">
        <v>39.876249999999999</v>
      </c>
      <c r="AB185" s="2449">
        <v>39.876249999999999</v>
      </c>
      <c r="AC185" s="2449">
        <v>39.876249999999999</v>
      </c>
      <c r="AD185" s="2449">
        <v>39.876249999999999</v>
      </c>
      <c r="AE185" s="2449">
        <v>39.876249999999999</v>
      </c>
      <c r="AF185" s="2449">
        <v>39.876249999999999</v>
      </c>
      <c r="AG185" s="2449">
        <v>39.876249999999999</v>
      </c>
      <c r="AH185" s="2449">
        <v>39.876249999999999</v>
      </c>
      <c r="AI185" s="2449">
        <v>39.876249999999999</v>
      </c>
      <c r="AJ185" s="2449">
        <v>39.876249999999999</v>
      </c>
      <c r="AK185" s="2449">
        <v>39.876249999999999</v>
      </c>
      <c r="AL185" s="2449">
        <v>39.876249999999999</v>
      </c>
      <c r="AM185" s="2449">
        <v>39.876249999999999</v>
      </c>
      <c r="AN185" s="2449">
        <v>39.876249999999999</v>
      </c>
      <c r="AO185" s="2449">
        <v>39.876249999999999</v>
      </c>
      <c r="AP185" s="2449">
        <v>39.876249999999999</v>
      </c>
      <c r="AQ185" s="2449">
        <v>39.876249999999999</v>
      </c>
      <c r="AR185" s="2449">
        <v>39.876249999999999</v>
      </c>
      <c r="AS185" s="2449">
        <v>39.876249999999999</v>
      </c>
    </row>
    <row r="186" spans="2:45" ht="17.100000000000001" customHeight="1" x14ac:dyDescent="0.2">
      <c r="B186" s="2410"/>
      <c r="C186" s="2412" t="s">
        <v>1410</v>
      </c>
      <c r="D186" s="2411" t="s">
        <v>1419</v>
      </c>
      <c r="E186" s="2411" t="s">
        <v>319</v>
      </c>
      <c r="F186" s="2411"/>
      <c r="G186" s="2449">
        <v>15.950500000000002</v>
      </c>
      <c r="H186" s="2449">
        <v>15.950500000000002</v>
      </c>
      <c r="I186" s="2449">
        <v>15.950500000000002</v>
      </c>
      <c r="J186" s="2449">
        <v>15.950500000000002</v>
      </c>
      <c r="K186" s="2449">
        <v>15.950500000000002</v>
      </c>
      <c r="L186" s="2449">
        <v>15.950500000000002</v>
      </c>
      <c r="M186" s="2449">
        <v>15.950500000000002</v>
      </c>
      <c r="N186" s="2449">
        <v>15.950500000000002</v>
      </c>
      <c r="O186" s="2449">
        <v>15.950500000000002</v>
      </c>
      <c r="P186" s="2449">
        <v>15.950500000000002</v>
      </c>
      <c r="Q186" s="2449">
        <v>15.950500000000002</v>
      </c>
      <c r="R186" s="2449">
        <v>15.950500000000002</v>
      </c>
      <c r="S186" s="2449">
        <v>15.950500000000002</v>
      </c>
      <c r="T186" s="2449">
        <v>15.950500000000002</v>
      </c>
      <c r="U186" s="2449">
        <v>15.950500000000002</v>
      </c>
      <c r="V186" s="2449">
        <v>15.950500000000002</v>
      </c>
      <c r="W186" s="2449">
        <v>15.950500000000002</v>
      </c>
      <c r="X186" s="2449">
        <v>15.950500000000002</v>
      </c>
      <c r="Y186" s="2449">
        <v>15.950500000000002</v>
      </c>
      <c r="Z186" s="2449">
        <v>15.950500000000002</v>
      </c>
      <c r="AA186" s="2449">
        <v>15.950500000000002</v>
      </c>
      <c r="AB186" s="2449">
        <v>15.950500000000002</v>
      </c>
      <c r="AC186" s="2449">
        <v>15.950500000000002</v>
      </c>
      <c r="AD186" s="2449">
        <v>15.950500000000002</v>
      </c>
      <c r="AE186" s="2449">
        <v>15.950500000000002</v>
      </c>
      <c r="AF186" s="2449">
        <v>15.950500000000002</v>
      </c>
      <c r="AG186" s="2449">
        <v>15.950500000000002</v>
      </c>
      <c r="AH186" s="2449">
        <v>15.950500000000002</v>
      </c>
      <c r="AI186" s="2449">
        <v>15.950500000000002</v>
      </c>
      <c r="AJ186" s="2449">
        <v>15.950500000000002</v>
      </c>
      <c r="AK186" s="2449">
        <v>15.950500000000002</v>
      </c>
      <c r="AL186" s="2449">
        <v>15.950500000000002</v>
      </c>
      <c r="AM186" s="2449">
        <v>15.950500000000002</v>
      </c>
      <c r="AN186" s="2449">
        <v>15.950500000000002</v>
      </c>
      <c r="AO186" s="2449">
        <v>15.950500000000002</v>
      </c>
      <c r="AP186" s="2449">
        <v>15.950500000000002</v>
      </c>
      <c r="AQ186" s="2449">
        <v>15.950500000000002</v>
      </c>
      <c r="AR186" s="2449">
        <v>15.950500000000002</v>
      </c>
      <c r="AS186" s="2449">
        <v>15.950500000000002</v>
      </c>
    </row>
    <row r="187" spans="2:45" ht="17.100000000000001" customHeight="1" x14ac:dyDescent="0.2">
      <c r="B187" s="2410"/>
      <c r="C187" s="2412" t="s">
        <v>1411</v>
      </c>
      <c r="D187" s="2411" t="s">
        <v>1419</v>
      </c>
      <c r="E187" s="2411" t="s">
        <v>319</v>
      </c>
      <c r="F187" s="2411"/>
      <c r="G187" s="2449">
        <v>25.622999999999998</v>
      </c>
      <c r="H187" s="2449">
        <v>25.622999999999998</v>
      </c>
      <c r="I187" s="2449">
        <v>25.622999999999998</v>
      </c>
      <c r="J187" s="2449">
        <v>25.622999999999998</v>
      </c>
      <c r="K187" s="2449">
        <v>25.622999999999998</v>
      </c>
      <c r="L187" s="2449">
        <v>25.622999999999998</v>
      </c>
      <c r="M187" s="2449">
        <v>25.622999999999998</v>
      </c>
      <c r="N187" s="2449">
        <v>25.622999999999998</v>
      </c>
      <c r="O187" s="2449">
        <v>25.622999999999998</v>
      </c>
      <c r="P187" s="2449">
        <v>25.622999999999998</v>
      </c>
      <c r="Q187" s="2449">
        <v>25.622999999999998</v>
      </c>
      <c r="R187" s="2449">
        <v>25.622999999999998</v>
      </c>
      <c r="S187" s="2449">
        <v>25.622999999999998</v>
      </c>
      <c r="T187" s="2449">
        <v>25.622999999999998</v>
      </c>
      <c r="U187" s="2449">
        <v>25.622999999999998</v>
      </c>
      <c r="V187" s="2449">
        <v>25.622999999999998</v>
      </c>
      <c r="W187" s="2449">
        <v>25.622999999999998</v>
      </c>
      <c r="X187" s="2449">
        <v>25.622999999999998</v>
      </c>
      <c r="Y187" s="2449">
        <v>25.622999999999998</v>
      </c>
      <c r="Z187" s="2449">
        <v>25.622999999999998</v>
      </c>
      <c r="AA187" s="2449">
        <v>25.622999999999998</v>
      </c>
      <c r="AB187" s="2449">
        <v>25.622999999999998</v>
      </c>
      <c r="AC187" s="2449">
        <v>25.622999999999998</v>
      </c>
      <c r="AD187" s="2449">
        <v>25.622999999999998</v>
      </c>
      <c r="AE187" s="2449">
        <v>25.622999999999998</v>
      </c>
      <c r="AF187" s="2449">
        <v>25.622999999999998</v>
      </c>
      <c r="AG187" s="2449">
        <v>25.622999999999998</v>
      </c>
      <c r="AH187" s="2449">
        <v>25.622999999999998</v>
      </c>
      <c r="AI187" s="2449">
        <v>25.622999999999998</v>
      </c>
      <c r="AJ187" s="2449">
        <v>25.622999999999998</v>
      </c>
      <c r="AK187" s="2449">
        <v>25.622999999999998</v>
      </c>
      <c r="AL187" s="2449">
        <v>25.622999999999998</v>
      </c>
      <c r="AM187" s="2449">
        <v>25.622999999999998</v>
      </c>
      <c r="AN187" s="2449">
        <v>25.622999999999998</v>
      </c>
      <c r="AO187" s="2449">
        <v>25.622999999999998</v>
      </c>
      <c r="AP187" s="2449">
        <v>25.622999999999998</v>
      </c>
      <c r="AQ187" s="2449">
        <v>25.622999999999998</v>
      </c>
      <c r="AR187" s="2449">
        <v>25.622999999999998</v>
      </c>
      <c r="AS187" s="2449">
        <v>25.622999999999998</v>
      </c>
    </row>
    <row r="188" spans="2:45" ht="17.100000000000001" customHeight="1" x14ac:dyDescent="0.2">
      <c r="B188" s="2410"/>
      <c r="C188" s="2412" t="s">
        <v>1377</v>
      </c>
      <c r="D188" s="2411" t="s">
        <v>1419</v>
      </c>
      <c r="E188" s="2411" t="s">
        <v>319</v>
      </c>
      <c r="F188" s="2411"/>
      <c r="G188" s="2449">
        <v>14.532913000000001</v>
      </c>
      <c r="H188" s="2449">
        <v>14.532913000000001</v>
      </c>
      <c r="I188" s="2449">
        <v>14.532913000000001</v>
      </c>
      <c r="J188" s="2449">
        <v>14.532913000000001</v>
      </c>
      <c r="K188" s="2449">
        <v>14.532913000000001</v>
      </c>
      <c r="L188" s="2449">
        <v>14.532913000000001</v>
      </c>
      <c r="M188" s="2449">
        <v>14.532913000000001</v>
      </c>
      <c r="N188" s="2449">
        <v>14.532913000000001</v>
      </c>
      <c r="O188" s="2449">
        <v>14.532913000000001</v>
      </c>
      <c r="P188" s="2449">
        <v>14.532913000000001</v>
      </c>
      <c r="Q188" s="2449">
        <v>14.532913000000001</v>
      </c>
      <c r="R188" s="2449">
        <v>14.532913000000001</v>
      </c>
      <c r="S188" s="2449">
        <v>14.532913000000001</v>
      </c>
      <c r="T188" s="2449">
        <v>14.532913000000001</v>
      </c>
      <c r="U188" s="2449">
        <v>14.532913000000001</v>
      </c>
      <c r="V188" s="2449">
        <v>14.532913000000001</v>
      </c>
      <c r="W188" s="2449">
        <v>14.532913000000001</v>
      </c>
      <c r="X188" s="2449">
        <v>14.532913000000001</v>
      </c>
      <c r="Y188" s="2449">
        <v>14.532913000000001</v>
      </c>
      <c r="Z188" s="2449">
        <v>14.532913000000001</v>
      </c>
      <c r="AA188" s="2449">
        <v>14.532913000000001</v>
      </c>
      <c r="AB188" s="2449">
        <v>14.532913000000001</v>
      </c>
      <c r="AC188" s="2449">
        <v>14.532913000000001</v>
      </c>
      <c r="AD188" s="2449">
        <v>14.532913000000001</v>
      </c>
      <c r="AE188" s="2449">
        <v>14.532913000000001</v>
      </c>
      <c r="AF188" s="2449">
        <v>14.532913000000001</v>
      </c>
      <c r="AG188" s="2449">
        <v>14.532913000000001</v>
      </c>
      <c r="AH188" s="2449">
        <v>14.532913000000001</v>
      </c>
      <c r="AI188" s="2449">
        <v>14.532913000000001</v>
      </c>
      <c r="AJ188" s="2449">
        <v>14.532913000000001</v>
      </c>
      <c r="AK188" s="2449">
        <v>14.532913000000001</v>
      </c>
      <c r="AL188" s="2449">
        <v>14.532913000000001</v>
      </c>
      <c r="AM188" s="2449">
        <v>14.532913000000001</v>
      </c>
      <c r="AN188" s="2449">
        <v>14.532913000000001</v>
      </c>
      <c r="AO188" s="2449">
        <v>14.532913000000001</v>
      </c>
      <c r="AP188" s="2449">
        <v>14.532913000000001</v>
      </c>
      <c r="AQ188" s="2449">
        <v>14.532913000000001</v>
      </c>
      <c r="AR188" s="2449">
        <v>14.532913000000001</v>
      </c>
      <c r="AS188" s="2449">
        <v>14.532913000000001</v>
      </c>
    </row>
    <row r="189" spans="2:45" ht="17.100000000000001" customHeight="1" x14ac:dyDescent="0.2">
      <c r="B189" s="2410"/>
      <c r="C189" s="2412" t="s">
        <v>1412</v>
      </c>
      <c r="D189" s="2411" t="s">
        <v>1419</v>
      </c>
      <c r="E189" s="2411" t="s">
        <v>319</v>
      </c>
      <c r="F189" s="2411"/>
      <c r="G189" s="2449">
        <v>36.5</v>
      </c>
      <c r="H189" s="2449">
        <v>36.5</v>
      </c>
      <c r="I189" s="2449">
        <v>36.5</v>
      </c>
      <c r="J189" s="2449">
        <v>36.5</v>
      </c>
      <c r="K189" s="2449">
        <v>36.5</v>
      </c>
      <c r="L189" s="2449">
        <v>36.5</v>
      </c>
      <c r="M189" s="2449">
        <v>36.5</v>
      </c>
      <c r="N189" s="2449">
        <v>36.5</v>
      </c>
      <c r="O189" s="2449">
        <v>36.5</v>
      </c>
      <c r="P189" s="2449">
        <v>36.5</v>
      </c>
      <c r="Q189" s="2449">
        <v>36.5</v>
      </c>
      <c r="R189" s="2449">
        <v>36.5</v>
      </c>
      <c r="S189" s="2449">
        <v>36.5</v>
      </c>
      <c r="T189" s="2449">
        <v>36.5</v>
      </c>
      <c r="U189" s="2449">
        <v>36.5</v>
      </c>
      <c r="V189" s="2449">
        <v>36.5</v>
      </c>
      <c r="W189" s="2449">
        <v>36.5</v>
      </c>
      <c r="X189" s="2449">
        <v>36.5</v>
      </c>
      <c r="Y189" s="2449">
        <v>36.5</v>
      </c>
      <c r="Z189" s="2449">
        <v>36.5</v>
      </c>
      <c r="AA189" s="2449">
        <v>36.5</v>
      </c>
      <c r="AB189" s="2449">
        <v>36.5</v>
      </c>
      <c r="AC189" s="2449">
        <v>36.5</v>
      </c>
      <c r="AD189" s="2449">
        <v>36.5</v>
      </c>
      <c r="AE189" s="2449">
        <v>36.5</v>
      </c>
      <c r="AF189" s="2449">
        <v>36.5</v>
      </c>
      <c r="AG189" s="2449">
        <v>36.5</v>
      </c>
      <c r="AH189" s="2449">
        <v>36.5</v>
      </c>
      <c r="AI189" s="2449">
        <v>36.5</v>
      </c>
      <c r="AJ189" s="2449">
        <v>36.5</v>
      </c>
      <c r="AK189" s="2449">
        <v>36.5</v>
      </c>
      <c r="AL189" s="2449">
        <v>36.5</v>
      </c>
      <c r="AM189" s="2449">
        <v>36.5</v>
      </c>
      <c r="AN189" s="2449">
        <v>36.5</v>
      </c>
      <c r="AO189" s="2449">
        <v>36.5</v>
      </c>
      <c r="AP189" s="2449">
        <v>36.5</v>
      </c>
      <c r="AQ189" s="2449">
        <v>36.5</v>
      </c>
      <c r="AR189" s="2449">
        <v>36.5</v>
      </c>
      <c r="AS189" s="2449">
        <v>36.5</v>
      </c>
    </row>
    <row r="190" spans="2:45" ht="17.100000000000001" customHeight="1" x14ac:dyDescent="0.2">
      <c r="B190" s="2410"/>
      <c r="C190" s="2412" t="s">
        <v>1413</v>
      </c>
      <c r="D190" s="2411" t="s">
        <v>1419</v>
      </c>
      <c r="E190" s="2411" t="s">
        <v>319</v>
      </c>
      <c r="F190" s="2411"/>
      <c r="G190" s="2449">
        <v>40.15</v>
      </c>
      <c r="H190" s="2449">
        <v>40.15</v>
      </c>
      <c r="I190" s="2449">
        <v>40.15</v>
      </c>
      <c r="J190" s="2449">
        <v>40.15</v>
      </c>
      <c r="K190" s="2449">
        <v>40.15</v>
      </c>
      <c r="L190" s="2449">
        <v>40.15</v>
      </c>
      <c r="M190" s="2449">
        <v>40.15</v>
      </c>
      <c r="N190" s="2449">
        <v>40.15</v>
      </c>
      <c r="O190" s="2449">
        <v>40.15</v>
      </c>
      <c r="P190" s="2449">
        <v>40.15</v>
      </c>
      <c r="Q190" s="2449">
        <v>40.15</v>
      </c>
      <c r="R190" s="2449">
        <v>40.15</v>
      </c>
      <c r="S190" s="2449">
        <v>40.15</v>
      </c>
      <c r="T190" s="2449">
        <v>40.15</v>
      </c>
      <c r="U190" s="2449">
        <v>40.15</v>
      </c>
      <c r="V190" s="2449">
        <v>40.15</v>
      </c>
      <c r="W190" s="2449">
        <v>40.15</v>
      </c>
      <c r="X190" s="2449">
        <v>40.15</v>
      </c>
      <c r="Y190" s="2449">
        <v>40.15</v>
      </c>
      <c r="Z190" s="2449">
        <v>40.15</v>
      </c>
      <c r="AA190" s="2449">
        <v>40.15</v>
      </c>
      <c r="AB190" s="2449">
        <v>40.15</v>
      </c>
      <c r="AC190" s="2449">
        <v>40.15</v>
      </c>
      <c r="AD190" s="2449">
        <v>40.15</v>
      </c>
      <c r="AE190" s="2449">
        <v>40.15</v>
      </c>
      <c r="AF190" s="2449">
        <v>40.15</v>
      </c>
      <c r="AG190" s="2449">
        <v>40.15</v>
      </c>
      <c r="AH190" s="2449">
        <v>40.15</v>
      </c>
      <c r="AI190" s="2449">
        <v>40.15</v>
      </c>
      <c r="AJ190" s="2449">
        <v>40.15</v>
      </c>
      <c r="AK190" s="2449">
        <v>40.15</v>
      </c>
      <c r="AL190" s="2449">
        <v>40.15</v>
      </c>
      <c r="AM190" s="2449">
        <v>40.15</v>
      </c>
      <c r="AN190" s="2449">
        <v>40.15</v>
      </c>
      <c r="AO190" s="2449">
        <v>40.15</v>
      </c>
      <c r="AP190" s="2449">
        <v>40.15</v>
      </c>
      <c r="AQ190" s="2449">
        <v>40.15</v>
      </c>
      <c r="AR190" s="2449">
        <v>40.15</v>
      </c>
      <c r="AS190" s="2449">
        <v>40.15</v>
      </c>
    </row>
    <row r="191" spans="2:45" ht="17.100000000000001" customHeight="1" x14ac:dyDescent="0.2">
      <c r="B191" s="2410"/>
      <c r="C191" s="2412" t="s">
        <v>1414</v>
      </c>
      <c r="D191" s="2411" t="s">
        <v>1419</v>
      </c>
      <c r="E191" s="2411" t="s">
        <v>319</v>
      </c>
      <c r="F191" s="2411"/>
      <c r="G191" s="2449">
        <v>11.68</v>
      </c>
      <c r="H191" s="2449">
        <v>11.68</v>
      </c>
      <c r="I191" s="2449">
        <v>11.68</v>
      </c>
      <c r="J191" s="2449">
        <v>11.68</v>
      </c>
      <c r="K191" s="2449">
        <v>11.68</v>
      </c>
      <c r="L191" s="2449">
        <v>11.68</v>
      </c>
      <c r="M191" s="2449">
        <v>11.68</v>
      </c>
      <c r="N191" s="2449">
        <v>11.68</v>
      </c>
      <c r="O191" s="2449">
        <v>11.68</v>
      </c>
      <c r="P191" s="2449">
        <v>11.68</v>
      </c>
      <c r="Q191" s="2449">
        <v>11.68</v>
      </c>
      <c r="R191" s="2449">
        <v>11.68</v>
      </c>
      <c r="S191" s="2449">
        <v>11.68</v>
      </c>
      <c r="T191" s="2449">
        <v>11.68</v>
      </c>
      <c r="U191" s="2449">
        <v>11.68</v>
      </c>
      <c r="V191" s="2449">
        <v>11.68</v>
      </c>
      <c r="W191" s="2449">
        <v>11.68</v>
      </c>
      <c r="X191" s="2449">
        <v>11.68</v>
      </c>
      <c r="Y191" s="2449">
        <v>11.68</v>
      </c>
      <c r="Z191" s="2449">
        <v>11.68</v>
      </c>
      <c r="AA191" s="2449">
        <v>11.68</v>
      </c>
      <c r="AB191" s="2449">
        <v>11.68</v>
      </c>
      <c r="AC191" s="2449">
        <v>11.68</v>
      </c>
      <c r="AD191" s="2449">
        <v>11.68</v>
      </c>
      <c r="AE191" s="2449">
        <v>11.68</v>
      </c>
      <c r="AF191" s="2449">
        <v>11.68</v>
      </c>
      <c r="AG191" s="2449">
        <v>11.68</v>
      </c>
      <c r="AH191" s="2449">
        <v>11.68</v>
      </c>
      <c r="AI191" s="2449">
        <v>11.68</v>
      </c>
      <c r="AJ191" s="2449">
        <v>11.68</v>
      </c>
      <c r="AK191" s="2449">
        <v>11.68</v>
      </c>
      <c r="AL191" s="2449">
        <v>11.68</v>
      </c>
      <c r="AM191" s="2449">
        <v>11.68</v>
      </c>
      <c r="AN191" s="2449">
        <v>11.68</v>
      </c>
      <c r="AO191" s="2449">
        <v>11.68</v>
      </c>
      <c r="AP191" s="2449">
        <v>11.68</v>
      </c>
      <c r="AQ191" s="2449">
        <v>11.68</v>
      </c>
      <c r="AR191" s="2449">
        <v>11.68</v>
      </c>
      <c r="AS191" s="2449">
        <v>11.68</v>
      </c>
    </row>
    <row r="192" spans="2:45" ht="17.100000000000001" customHeight="1" x14ac:dyDescent="0.2">
      <c r="B192" s="2410"/>
      <c r="C192" s="2441" t="s">
        <v>1415</v>
      </c>
      <c r="D192" s="2419" t="s">
        <v>1419</v>
      </c>
      <c r="E192" s="2419" t="s">
        <v>319</v>
      </c>
      <c r="F192" s="2419"/>
      <c r="G192" s="2451">
        <v>0.74824999999999986</v>
      </c>
      <c r="H192" s="2451">
        <v>0.74824999999999986</v>
      </c>
      <c r="I192" s="2451">
        <v>0.74824999999999986</v>
      </c>
      <c r="J192" s="2451">
        <v>0.74824999999999986</v>
      </c>
      <c r="K192" s="2451">
        <v>0.74824999999999986</v>
      </c>
      <c r="L192" s="2451">
        <v>0.74824999999999986</v>
      </c>
      <c r="M192" s="2451">
        <v>0.74824999999999986</v>
      </c>
      <c r="N192" s="2451">
        <v>0.74824999999999986</v>
      </c>
      <c r="O192" s="2451">
        <v>0.74824999999999986</v>
      </c>
      <c r="P192" s="2451">
        <v>0.74824999999999986</v>
      </c>
      <c r="Q192" s="2451">
        <v>0.74824999999999986</v>
      </c>
      <c r="R192" s="2451">
        <v>0.74824999999999986</v>
      </c>
      <c r="S192" s="2451">
        <v>0.74824999999999986</v>
      </c>
      <c r="T192" s="2451">
        <v>0.74824999999999986</v>
      </c>
      <c r="U192" s="2451">
        <v>0.74824999999999986</v>
      </c>
      <c r="V192" s="2451">
        <v>0.74824999999999986</v>
      </c>
      <c r="W192" s="2451">
        <v>0.74824999999999986</v>
      </c>
      <c r="X192" s="2451">
        <v>0.74824999999999986</v>
      </c>
      <c r="Y192" s="2451">
        <v>0.74824999999999986</v>
      </c>
      <c r="Z192" s="2451">
        <v>0.74824999999999986</v>
      </c>
      <c r="AA192" s="2451">
        <v>0.74824999999999986</v>
      </c>
      <c r="AB192" s="2451">
        <v>0.74824999999999986</v>
      </c>
      <c r="AC192" s="2451">
        <v>0.74824999999999986</v>
      </c>
      <c r="AD192" s="2451">
        <v>0.74824999999999986</v>
      </c>
      <c r="AE192" s="2451">
        <v>0.74824999999999986</v>
      </c>
      <c r="AF192" s="2451">
        <v>0.74824999999999986</v>
      </c>
      <c r="AG192" s="2451">
        <v>0.74824999999999986</v>
      </c>
      <c r="AH192" s="2451">
        <v>0.74824999999999986</v>
      </c>
      <c r="AI192" s="2451">
        <v>0.74824999999999986</v>
      </c>
      <c r="AJ192" s="2451">
        <v>0.74824999999999986</v>
      </c>
      <c r="AK192" s="2451">
        <v>0.74824999999999986</v>
      </c>
      <c r="AL192" s="2451">
        <v>0.74824999999999986</v>
      </c>
      <c r="AM192" s="2451">
        <v>0.74824999999999986</v>
      </c>
      <c r="AN192" s="2451">
        <v>0.74824999999999986</v>
      </c>
      <c r="AO192" s="2451">
        <v>0.74824999999999986</v>
      </c>
      <c r="AP192" s="2451">
        <v>0.74824999999999986</v>
      </c>
      <c r="AQ192" s="2451">
        <v>0.74824999999999986</v>
      </c>
      <c r="AR192" s="2451">
        <v>0.74824999999999986</v>
      </c>
      <c r="AS192" s="2451">
        <v>0.74824999999999986</v>
      </c>
    </row>
    <row r="193" spans="2:45" ht="17.100000000000001" customHeight="1" x14ac:dyDescent="0.2">
      <c r="B193" s="2410"/>
      <c r="C193" s="2412"/>
      <c r="D193" s="2412"/>
      <c r="E193" s="2412"/>
      <c r="F193" s="2412"/>
      <c r="G193" s="2412"/>
      <c r="H193" s="2412"/>
      <c r="I193" s="2412"/>
      <c r="J193" s="2412"/>
      <c r="K193" s="2412"/>
      <c r="L193" s="2412"/>
      <c r="M193" s="2412"/>
      <c r="N193" s="2412"/>
      <c r="O193" s="2412"/>
      <c r="P193" s="2412"/>
      <c r="Q193" s="2412"/>
      <c r="R193" s="2412"/>
      <c r="S193" s="2412"/>
      <c r="T193" s="2412"/>
      <c r="U193" s="2412"/>
      <c r="V193" s="2412"/>
      <c r="W193" s="2412"/>
      <c r="X193" s="2412"/>
      <c r="Y193" s="2412"/>
      <c r="Z193" s="2412"/>
      <c r="AA193" s="2412"/>
      <c r="AB193" s="2412"/>
      <c r="AC193" s="2412"/>
      <c r="AD193" s="2412"/>
      <c r="AE193" s="2412"/>
      <c r="AF193" s="2412"/>
      <c r="AG193" s="2412"/>
      <c r="AH193" s="2412"/>
      <c r="AI193" s="2412"/>
      <c r="AJ193" s="2412"/>
      <c r="AK193" s="2412"/>
      <c r="AL193" s="2412"/>
      <c r="AM193" s="2412"/>
      <c r="AN193" s="2412"/>
      <c r="AO193" s="2412"/>
      <c r="AP193" s="2412"/>
      <c r="AQ193" s="2412"/>
      <c r="AR193" s="2412"/>
      <c r="AS193" s="2412"/>
    </row>
    <row r="194" spans="2:45" ht="17.100000000000001" customHeight="1" x14ac:dyDescent="0.2">
      <c r="B194" s="2410"/>
      <c r="C194" s="2412" t="s">
        <v>1420</v>
      </c>
      <c r="D194" s="2412"/>
      <c r="E194" s="2412"/>
      <c r="F194" s="2412"/>
      <c r="G194" s="2412"/>
      <c r="H194" s="2412"/>
      <c r="I194" s="2412"/>
      <c r="J194" s="2412"/>
      <c r="K194" s="2412"/>
      <c r="L194" s="2412"/>
      <c r="M194" s="2412"/>
      <c r="N194" s="2412"/>
      <c r="O194" s="2412"/>
      <c r="P194" s="2412"/>
      <c r="Q194" s="2412"/>
      <c r="R194" s="2412"/>
      <c r="S194" s="2412"/>
      <c r="T194" s="2412"/>
      <c r="U194" s="2412"/>
      <c r="V194" s="2412"/>
      <c r="W194" s="2412"/>
      <c r="X194" s="2412"/>
      <c r="Y194" s="2412"/>
      <c r="Z194" s="2412"/>
      <c r="AA194" s="2412"/>
      <c r="AB194" s="2412"/>
      <c r="AC194" s="2412"/>
      <c r="AD194" s="2412"/>
      <c r="AE194" s="2412"/>
      <c r="AF194" s="2412"/>
      <c r="AG194" s="2412"/>
      <c r="AH194" s="2412"/>
      <c r="AI194" s="2412"/>
      <c r="AJ194" s="2412"/>
      <c r="AK194" s="2412"/>
      <c r="AL194" s="2412"/>
      <c r="AM194" s="2412"/>
      <c r="AN194" s="2412"/>
      <c r="AO194" s="2412"/>
      <c r="AP194" s="2412"/>
      <c r="AQ194" s="2412"/>
      <c r="AR194" s="2412"/>
      <c r="AS194" s="2412"/>
    </row>
    <row r="195" spans="2:45" ht="30" customHeight="1" x14ac:dyDescent="0.2">
      <c r="B195" s="2410"/>
      <c r="C195" s="2413" t="s">
        <v>1421</v>
      </c>
      <c r="D195" s="2414"/>
      <c r="E195" s="2414" t="s">
        <v>1422</v>
      </c>
      <c r="F195" s="2414" t="s">
        <v>1423</v>
      </c>
      <c r="G195" s="2412"/>
      <c r="H195" s="2412"/>
      <c r="I195" s="2412"/>
      <c r="J195" s="2412"/>
      <c r="K195" s="2412"/>
      <c r="L195" s="2412"/>
      <c r="M195" s="2412"/>
      <c r="N195" s="2412"/>
      <c r="O195" s="2412"/>
      <c r="P195" s="2412"/>
      <c r="Q195" s="2412"/>
      <c r="R195" s="2412"/>
      <c r="S195" s="2412"/>
      <c r="T195" s="2412"/>
      <c r="U195" s="2412"/>
      <c r="V195" s="2412"/>
      <c r="W195" s="2412"/>
      <c r="X195" s="2412"/>
      <c r="Y195" s="2412"/>
      <c r="Z195" s="2412"/>
      <c r="AA195" s="2412"/>
      <c r="AB195" s="2412"/>
      <c r="AC195" s="2412"/>
      <c r="AD195" s="2412"/>
      <c r="AE195" s="2412"/>
      <c r="AF195" s="2412"/>
      <c r="AG195" s="2412"/>
      <c r="AH195" s="2412"/>
      <c r="AI195" s="2412"/>
      <c r="AJ195" s="2412"/>
      <c r="AK195" s="2412"/>
      <c r="AL195" s="2412"/>
      <c r="AM195" s="2412"/>
      <c r="AN195" s="2412"/>
      <c r="AO195" s="2412"/>
      <c r="AP195" s="2412"/>
      <c r="AQ195" s="2412"/>
      <c r="AR195" s="2412"/>
      <c r="AS195" s="2412"/>
    </row>
    <row r="196" spans="2:45" ht="20.100000000000001" customHeight="1" x14ac:dyDescent="0.2">
      <c r="B196" s="2410"/>
      <c r="C196" s="2452" t="s">
        <v>1424</v>
      </c>
      <c r="D196" s="2453" t="s">
        <v>1425</v>
      </c>
      <c r="E196" s="2453">
        <v>0.01</v>
      </c>
      <c r="F196" s="2453" t="s">
        <v>1426</v>
      </c>
      <c r="G196" s="2412"/>
      <c r="H196" s="2412"/>
      <c r="I196" s="2412"/>
      <c r="J196" s="2412"/>
      <c r="K196" s="2412"/>
      <c r="L196" s="2412"/>
      <c r="M196" s="2412"/>
      <c r="N196" s="2412"/>
      <c r="O196" s="2412"/>
      <c r="P196" s="2412"/>
      <c r="Q196" s="2412"/>
      <c r="R196" s="2412"/>
      <c r="S196" s="2412"/>
      <c r="T196" s="2412"/>
      <c r="U196" s="2412"/>
      <c r="V196" s="2412"/>
      <c r="W196" s="2412"/>
      <c r="X196" s="2412"/>
      <c r="Y196" s="2412"/>
      <c r="Z196" s="2412"/>
      <c r="AA196" s="2412"/>
      <c r="AB196" s="2412"/>
      <c r="AC196" s="2412"/>
      <c r="AD196" s="2412"/>
      <c r="AE196" s="2412"/>
      <c r="AF196" s="2412"/>
      <c r="AG196" s="2412"/>
      <c r="AH196" s="2412"/>
      <c r="AI196" s="2412"/>
      <c r="AJ196" s="2412"/>
      <c r="AK196" s="2412"/>
      <c r="AL196" s="2412"/>
      <c r="AM196" s="2412"/>
      <c r="AN196" s="2412"/>
      <c r="AO196" s="2412"/>
      <c r="AP196" s="2412"/>
      <c r="AQ196" s="2412"/>
      <c r="AR196" s="2412"/>
      <c r="AS196" s="2412"/>
    </row>
    <row r="197" spans="2:45" ht="32.1" customHeight="1" x14ac:dyDescent="0.2">
      <c r="B197" s="2410"/>
      <c r="C197" s="2452" t="s">
        <v>1427</v>
      </c>
      <c r="D197" s="2453"/>
      <c r="E197" s="2453">
        <v>3.0000000000000001E-3</v>
      </c>
      <c r="F197" s="2453" t="s">
        <v>1426</v>
      </c>
      <c r="G197" s="2412"/>
      <c r="H197" s="2412"/>
      <c r="I197" s="2412"/>
      <c r="J197" s="2412"/>
      <c r="K197" s="2412"/>
      <c r="L197" s="2412"/>
      <c r="M197" s="2412"/>
      <c r="N197" s="2412"/>
      <c r="O197" s="2412"/>
      <c r="P197" s="2412"/>
      <c r="Q197" s="2412"/>
      <c r="R197" s="2412"/>
      <c r="S197" s="2412"/>
      <c r="T197" s="2412"/>
      <c r="U197" s="2412"/>
      <c r="V197" s="2412"/>
      <c r="W197" s="2412"/>
      <c r="X197" s="2412"/>
      <c r="Y197" s="2412"/>
      <c r="Z197" s="2412"/>
      <c r="AA197" s="2412"/>
      <c r="AB197" s="2412"/>
      <c r="AC197" s="2412"/>
      <c r="AD197" s="2412"/>
      <c r="AE197" s="2412"/>
      <c r="AF197" s="2412"/>
      <c r="AG197" s="2412"/>
      <c r="AH197" s="2412"/>
      <c r="AI197" s="2412"/>
      <c r="AJ197" s="2412"/>
      <c r="AK197" s="2412"/>
      <c r="AL197" s="2412"/>
      <c r="AM197" s="2412"/>
      <c r="AN197" s="2412"/>
      <c r="AO197" s="2412"/>
      <c r="AP197" s="2412"/>
      <c r="AQ197" s="2412"/>
      <c r="AR197" s="2412"/>
      <c r="AS197" s="2412"/>
    </row>
    <row r="198" spans="2:45" ht="41.1" customHeight="1" x14ac:dyDescent="0.2">
      <c r="B198" s="2410"/>
      <c r="C198" s="2452" t="s">
        <v>1428</v>
      </c>
      <c r="D198" s="2453"/>
      <c r="E198" s="2453">
        <v>0.02</v>
      </c>
      <c r="F198" s="2453" t="s">
        <v>1426</v>
      </c>
      <c r="G198" s="2412"/>
      <c r="H198" s="2412"/>
      <c r="I198" s="2412"/>
      <c r="J198" s="2412"/>
      <c r="K198" s="2412"/>
      <c r="L198" s="2412"/>
      <c r="M198" s="2412"/>
      <c r="N198" s="2412"/>
      <c r="O198" s="2412"/>
      <c r="P198" s="2412"/>
      <c r="Q198" s="2412"/>
      <c r="R198" s="2412"/>
      <c r="S198" s="2412"/>
      <c r="T198" s="2412"/>
      <c r="U198" s="2412"/>
      <c r="V198" s="2412"/>
      <c r="W198" s="2412"/>
      <c r="X198" s="2412"/>
      <c r="Y198" s="2412"/>
      <c r="Z198" s="2412"/>
      <c r="AA198" s="2412"/>
      <c r="AB198" s="2412"/>
      <c r="AC198" s="2412"/>
      <c r="AD198" s="2412"/>
      <c r="AE198" s="2412"/>
      <c r="AF198" s="2412"/>
      <c r="AG198" s="2412"/>
      <c r="AH198" s="2412"/>
      <c r="AI198" s="2412"/>
      <c r="AJ198" s="2412"/>
      <c r="AK198" s="2412"/>
      <c r="AL198" s="2412"/>
      <c r="AM198" s="2412"/>
      <c r="AN198" s="2412"/>
      <c r="AO198" s="2412"/>
      <c r="AP198" s="2412"/>
      <c r="AQ198" s="2412"/>
      <c r="AR198" s="2412"/>
      <c r="AS198" s="2412"/>
    </row>
    <row r="199" spans="2:45" ht="24" customHeight="1" x14ac:dyDescent="0.2">
      <c r="B199" s="2410"/>
      <c r="C199" s="2454" t="s">
        <v>1429</v>
      </c>
      <c r="D199" s="2455"/>
      <c r="E199" s="2455">
        <v>0.01</v>
      </c>
      <c r="F199" s="2456" t="s">
        <v>1426</v>
      </c>
      <c r="G199" s="2412"/>
      <c r="H199" s="2412"/>
      <c r="I199" s="2412"/>
      <c r="J199" s="2412"/>
      <c r="K199" s="2412"/>
      <c r="L199" s="2412"/>
      <c r="M199" s="2412"/>
      <c r="N199" s="2412"/>
      <c r="O199" s="2412"/>
      <c r="P199" s="2412"/>
      <c r="Q199" s="2412"/>
      <c r="R199" s="2412"/>
      <c r="S199" s="2412"/>
      <c r="T199" s="2412"/>
      <c r="U199" s="2412"/>
      <c r="V199" s="2412"/>
      <c r="W199" s="2412"/>
      <c r="X199" s="2412"/>
      <c r="Y199" s="2412"/>
      <c r="Z199" s="2412"/>
      <c r="AA199" s="2412"/>
      <c r="AB199" s="2412"/>
      <c r="AC199" s="2412"/>
      <c r="AD199" s="2412"/>
      <c r="AE199" s="2412"/>
      <c r="AF199" s="2412"/>
      <c r="AG199" s="2412"/>
      <c r="AH199" s="2412"/>
      <c r="AI199" s="2412"/>
      <c r="AJ199" s="2412"/>
      <c r="AK199" s="2412"/>
      <c r="AL199" s="2412"/>
      <c r="AM199" s="2412"/>
      <c r="AN199" s="2412"/>
      <c r="AO199" s="2412"/>
      <c r="AP199" s="2412"/>
      <c r="AQ199" s="2412"/>
      <c r="AR199" s="2412"/>
      <c r="AS199" s="2412"/>
    </row>
    <row r="200" spans="2:45" ht="17.100000000000001" customHeight="1" x14ac:dyDescent="0.2">
      <c r="B200" s="2410"/>
      <c r="C200" s="2412"/>
      <c r="D200" s="2412"/>
      <c r="E200" s="2412"/>
      <c r="F200" s="2412"/>
      <c r="G200" s="2412"/>
      <c r="H200" s="2412"/>
      <c r="I200" s="2412"/>
      <c r="J200" s="2412"/>
      <c r="K200" s="2412"/>
      <c r="L200" s="2412"/>
      <c r="M200" s="2412"/>
      <c r="N200" s="2412"/>
      <c r="O200" s="2412"/>
      <c r="P200" s="2412"/>
      <c r="Q200" s="2412"/>
      <c r="R200" s="2412"/>
      <c r="S200" s="2412"/>
      <c r="T200" s="2412"/>
      <c r="U200" s="2412"/>
      <c r="V200" s="2412"/>
      <c r="W200" s="2412"/>
      <c r="X200" s="2412"/>
      <c r="Y200" s="2412"/>
      <c r="Z200" s="2412"/>
      <c r="AA200" s="2412"/>
      <c r="AB200" s="2412"/>
      <c r="AC200" s="2412"/>
      <c r="AD200" s="2412"/>
      <c r="AE200" s="2412"/>
      <c r="AF200" s="2412"/>
      <c r="AG200" s="2412"/>
      <c r="AH200" s="2412"/>
      <c r="AI200" s="2412"/>
      <c r="AJ200" s="2412"/>
      <c r="AK200" s="2412"/>
      <c r="AL200" s="2412"/>
      <c r="AM200" s="2412"/>
      <c r="AN200" s="2412"/>
      <c r="AO200" s="2412"/>
      <c r="AP200" s="2412"/>
      <c r="AQ200" s="2412"/>
      <c r="AR200" s="2412"/>
      <c r="AS200" s="2412"/>
    </row>
    <row r="201" spans="2:45" ht="17.100000000000001" customHeight="1" x14ac:dyDescent="0.2">
      <c r="B201" s="2410"/>
      <c r="C201" s="2412" t="s">
        <v>1430</v>
      </c>
      <c r="D201" s="2412"/>
      <c r="E201" s="2412"/>
      <c r="F201" s="2412"/>
      <c r="G201" s="2412"/>
      <c r="H201" s="2412"/>
      <c r="I201" s="2412"/>
      <c r="J201" s="2412"/>
      <c r="K201" s="2412"/>
      <c r="L201" s="2412"/>
      <c r="M201" s="2412"/>
      <c r="N201" s="2412"/>
      <c r="O201" s="2412"/>
      <c r="P201" s="2412"/>
      <c r="Q201" s="2412"/>
      <c r="R201" s="2412"/>
      <c r="S201" s="2412"/>
      <c r="T201" s="2412"/>
      <c r="U201" s="2412"/>
      <c r="V201" s="2412"/>
      <c r="W201" s="2412"/>
      <c r="X201" s="2412"/>
      <c r="Y201" s="2412"/>
      <c r="Z201" s="2412"/>
      <c r="AA201" s="2412"/>
      <c r="AB201" s="2412"/>
      <c r="AC201" s="2412"/>
      <c r="AD201" s="2412"/>
      <c r="AE201" s="2412"/>
      <c r="AF201" s="2412"/>
      <c r="AG201" s="2412"/>
      <c r="AH201" s="2412"/>
      <c r="AI201" s="2412"/>
      <c r="AJ201" s="2412"/>
      <c r="AK201" s="2412"/>
      <c r="AL201" s="2412"/>
      <c r="AM201" s="2412"/>
      <c r="AN201" s="2412"/>
      <c r="AO201" s="2412"/>
      <c r="AP201" s="2412"/>
      <c r="AQ201" s="2412"/>
      <c r="AR201" s="2412"/>
      <c r="AS201" s="2412"/>
    </row>
    <row r="202" spans="2:45" ht="42" customHeight="1" x14ac:dyDescent="0.2">
      <c r="B202" s="2410"/>
      <c r="C202" s="2413" t="s">
        <v>1421</v>
      </c>
      <c r="D202" s="2414" t="s">
        <v>1029</v>
      </c>
      <c r="E202" s="2414" t="s">
        <v>1422</v>
      </c>
      <c r="F202" s="2414" t="s">
        <v>1423</v>
      </c>
      <c r="G202" s="2412"/>
      <c r="H202" s="2412"/>
      <c r="I202" s="2412"/>
      <c r="J202" s="2412"/>
      <c r="K202" s="2412"/>
      <c r="L202" s="2412"/>
      <c r="M202" s="2412"/>
      <c r="N202" s="2412"/>
      <c r="O202" s="2412"/>
      <c r="P202" s="2412"/>
      <c r="Q202" s="2412"/>
      <c r="R202" s="2412"/>
      <c r="S202" s="2412"/>
      <c r="T202" s="2412"/>
      <c r="U202" s="2412"/>
      <c r="V202" s="2412"/>
      <c r="W202" s="2412"/>
      <c r="X202" s="2412"/>
      <c r="Y202" s="2412"/>
      <c r="Z202" s="2412"/>
      <c r="AA202" s="2412"/>
      <c r="AB202" s="2412"/>
      <c r="AC202" s="2412"/>
      <c r="AD202" s="2412"/>
      <c r="AE202" s="2412"/>
      <c r="AF202" s="2412"/>
      <c r="AG202" s="2412"/>
      <c r="AH202" s="2412"/>
      <c r="AI202" s="2412"/>
      <c r="AJ202" s="2412"/>
      <c r="AK202" s="2412"/>
      <c r="AL202" s="2412"/>
      <c r="AM202" s="2412"/>
      <c r="AN202" s="2412"/>
      <c r="AO202" s="2412"/>
      <c r="AP202" s="2412"/>
      <c r="AQ202" s="2412"/>
      <c r="AR202" s="2412"/>
      <c r="AS202" s="2412"/>
    </row>
    <row r="203" spans="2:45" ht="27.95" customHeight="1" x14ac:dyDescent="0.2">
      <c r="B203" s="2410"/>
      <c r="C203" s="2452" t="s">
        <v>1431</v>
      </c>
      <c r="D203" s="2457" t="s">
        <v>1432</v>
      </c>
      <c r="E203" s="2453">
        <v>0.01</v>
      </c>
      <c r="F203" s="2453" t="s">
        <v>1433</v>
      </c>
      <c r="G203" s="2412"/>
      <c r="H203" s="2412"/>
      <c r="I203" s="2412"/>
      <c r="J203" s="2412"/>
      <c r="K203" s="2412"/>
      <c r="L203" s="2412"/>
      <c r="M203" s="2412"/>
      <c r="N203" s="2412"/>
      <c r="O203" s="2412"/>
      <c r="P203" s="2412"/>
      <c r="Q203" s="2412"/>
      <c r="R203" s="2412"/>
      <c r="S203" s="2412"/>
      <c r="T203" s="2412"/>
      <c r="U203" s="2412"/>
      <c r="V203" s="2412"/>
      <c r="W203" s="2412"/>
      <c r="X203" s="2412"/>
      <c r="Y203" s="2412"/>
      <c r="Z203" s="2412"/>
      <c r="AA203" s="2412"/>
      <c r="AB203" s="2412"/>
      <c r="AC203" s="2412"/>
      <c r="AD203" s="2412"/>
      <c r="AE203" s="2412"/>
      <c r="AF203" s="2412"/>
      <c r="AG203" s="2412"/>
      <c r="AH203" s="2412"/>
      <c r="AI203" s="2412"/>
      <c r="AJ203" s="2412"/>
      <c r="AK203" s="2412"/>
      <c r="AL203" s="2412"/>
      <c r="AM203" s="2412"/>
      <c r="AN203" s="2412"/>
      <c r="AO203" s="2412"/>
      <c r="AP203" s="2412"/>
      <c r="AQ203" s="2412"/>
      <c r="AR203" s="2412"/>
      <c r="AS203" s="2412"/>
    </row>
    <row r="204" spans="2:45" ht="14.25" x14ac:dyDescent="0.2">
      <c r="B204" s="2410"/>
      <c r="C204" s="2452" t="s">
        <v>1434</v>
      </c>
      <c r="D204" s="2412" t="s">
        <v>1435</v>
      </c>
      <c r="E204" s="2453">
        <v>7.4999999999999997E-3</v>
      </c>
      <c r="F204" s="2453" t="s">
        <v>1433</v>
      </c>
      <c r="G204" s="2412"/>
      <c r="H204" s="2412"/>
      <c r="I204" s="2412"/>
      <c r="J204" s="2412"/>
      <c r="K204" s="2412"/>
      <c r="L204" s="2412"/>
      <c r="M204" s="2412"/>
      <c r="N204" s="2412"/>
      <c r="O204" s="2412"/>
      <c r="P204" s="2412"/>
      <c r="Q204" s="2412"/>
      <c r="R204" s="2412"/>
      <c r="S204" s="2412"/>
      <c r="T204" s="2412"/>
      <c r="U204" s="2412"/>
      <c r="V204" s="2412"/>
      <c r="W204" s="2412"/>
      <c r="X204" s="2412"/>
      <c r="Y204" s="2412"/>
      <c r="Z204" s="2412"/>
      <c r="AA204" s="2412"/>
      <c r="AB204" s="2412"/>
      <c r="AC204" s="2412"/>
      <c r="AD204" s="2412"/>
      <c r="AE204" s="2412"/>
      <c r="AF204" s="2412"/>
      <c r="AG204" s="2412"/>
      <c r="AH204" s="2412"/>
      <c r="AI204" s="2412"/>
      <c r="AJ204" s="2412"/>
      <c r="AK204" s="2412"/>
      <c r="AL204" s="2412"/>
      <c r="AM204" s="2412"/>
      <c r="AN204" s="2412"/>
      <c r="AO204" s="2412"/>
      <c r="AP204" s="2412"/>
      <c r="AQ204" s="2412"/>
      <c r="AR204" s="2412"/>
      <c r="AS204" s="2412"/>
    </row>
    <row r="205" spans="2:45" ht="27" x14ac:dyDescent="0.2">
      <c r="B205" s="2410"/>
      <c r="C205" s="2452" t="s">
        <v>1436</v>
      </c>
      <c r="D205" s="2412"/>
      <c r="E205" s="2453">
        <v>0.1</v>
      </c>
      <c r="F205" s="2453" t="s">
        <v>1433</v>
      </c>
      <c r="G205" s="2412"/>
      <c r="H205" s="2412"/>
      <c r="I205" s="2412"/>
      <c r="J205" s="2412"/>
      <c r="K205" s="2412"/>
      <c r="L205" s="2412"/>
      <c r="M205" s="2412"/>
      <c r="N205" s="2412"/>
      <c r="O205" s="2412"/>
      <c r="P205" s="2412"/>
      <c r="Q205" s="2412"/>
      <c r="R205" s="2412"/>
      <c r="S205" s="2412"/>
      <c r="T205" s="2412"/>
      <c r="U205" s="2412"/>
      <c r="V205" s="2412"/>
      <c r="W205" s="2412"/>
      <c r="X205" s="2412"/>
      <c r="Y205" s="2412"/>
      <c r="Z205" s="2412"/>
      <c r="AA205" s="2412"/>
      <c r="AB205" s="2412"/>
      <c r="AC205" s="2412"/>
      <c r="AD205" s="2412"/>
      <c r="AE205" s="2412"/>
      <c r="AF205" s="2412"/>
      <c r="AG205" s="2412"/>
      <c r="AH205" s="2412"/>
      <c r="AI205" s="2412"/>
      <c r="AJ205" s="2412"/>
      <c r="AK205" s="2412"/>
      <c r="AL205" s="2412"/>
      <c r="AM205" s="2412"/>
      <c r="AN205" s="2412"/>
      <c r="AO205" s="2412"/>
      <c r="AP205" s="2412"/>
      <c r="AQ205" s="2412"/>
      <c r="AR205" s="2412"/>
      <c r="AS205" s="2412"/>
    </row>
    <row r="206" spans="2:45" ht="14.25" x14ac:dyDescent="0.2">
      <c r="B206" s="2410"/>
      <c r="C206" s="2452" t="s">
        <v>1437</v>
      </c>
      <c r="D206" s="2412"/>
      <c r="E206" s="2453">
        <v>0.2</v>
      </c>
      <c r="F206" s="2453" t="s">
        <v>1433</v>
      </c>
      <c r="G206" s="2412"/>
      <c r="H206" s="2412"/>
      <c r="I206" s="2412"/>
      <c r="J206" s="2412"/>
      <c r="K206" s="2412"/>
      <c r="L206" s="2412"/>
      <c r="M206" s="2412"/>
      <c r="N206" s="2412"/>
      <c r="O206" s="2412"/>
      <c r="P206" s="2412"/>
      <c r="Q206" s="2412"/>
      <c r="R206" s="2412"/>
      <c r="S206" s="2412"/>
      <c r="T206" s="2412"/>
      <c r="U206" s="2412"/>
      <c r="V206" s="2412"/>
      <c r="W206" s="2412"/>
      <c r="X206" s="2412"/>
      <c r="Y206" s="2412"/>
      <c r="Z206" s="2412"/>
      <c r="AA206" s="2412"/>
      <c r="AB206" s="2412"/>
      <c r="AC206" s="2412"/>
      <c r="AD206" s="2412"/>
      <c r="AE206" s="2412"/>
      <c r="AF206" s="2412"/>
      <c r="AG206" s="2412"/>
      <c r="AH206" s="2412"/>
      <c r="AI206" s="2412"/>
      <c r="AJ206" s="2412"/>
      <c r="AK206" s="2412"/>
      <c r="AL206" s="2412"/>
      <c r="AM206" s="2412"/>
      <c r="AN206" s="2412"/>
      <c r="AO206" s="2412"/>
      <c r="AP206" s="2412"/>
      <c r="AQ206" s="2412"/>
      <c r="AR206" s="2412"/>
      <c r="AS206" s="2412"/>
    </row>
    <row r="207" spans="2:45" ht="14.25" x14ac:dyDescent="0.2">
      <c r="B207" s="2410"/>
      <c r="C207" s="2452" t="s">
        <v>1438</v>
      </c>
      <c r="D207" s="2412"/>
      <c r="E207" s="2453">
        <v>0.3</v>
      </c>
      <c r="F207" s="2453" t="s">
        <v>1433</v>
      </c>
      <c r="G207" s="2412"/>
      <c r="H207" s="2412"/>
      <c r="I207" s="2412"/>
      <c r="J207" s="2412"/>
      <c r="K207" s="2412"/>
      <c r="L207" s="2412"/>
      <c r="M207" s="2412"/>
      <c r="N207" s="2412"/>
      <c r="O207" s="2412"/>
      <c r="P207" s="2412"/>
      <c r="Q207" s="2412"/>
      <c r="R207" s="2412"/>
      <c r="S207" s="2412"/>
      <c r="T207" s="2412"/>
      <c r="U207" s="2412"/>
      <c r="V207" s="2412"/>
      <c r="W207" s="2412"/>
      <c r="X207" s="2412"/>
      <c r="Y207" s="2412"/>
      <c r="Z207" s="2412"/>
      <c r="AA207" s="2412"/>
      <c r="AB207" s="2412"/>
      <c r="AC207" s="2412"/>
      <c r="AD207" s="2412"/>
      <c r="AE207" s="2412"/>
      <c r="AF207" s="2412"/>
      <c r="AG207" s="2412"/>
      <c r="AH207" s="2412"/>
      <c r="AI207" s="2412"/>
      <c r="AJ207" s="2412"/>
      <c r="AK207" s="2412"/>
      <c r="AL207" s="2412"/>
      <c r="AM207" s="2412"/>
      <c r="AN207" s="2412"/>
      <c r="AO207" s="2412"/>
      <c r="AP207" s="2412"/>
      <c r="AQ207" s="2412"/>
      <c r="AR207" s="2412"/>
      <c r="AS207" s="2412"/>
    </row>
    <row r="208" spans="2:45" x14ac:dyDescent="0.2">
      <c r="B208" s="2410"/>
      <c r="C208" s="2452" t="s">
        <v>1439</v>
      </c>
      <c r="D208" s="2412" t="s">
        <v>1440</v>
      </c>
      <c r="E208" s="2453">
        <v>1.6E-2</v>
      </c>
      <c r="F208" s="2453"/>
      <c r="G208" s="2412"/>
      <c r="H208" s="2412"/>
      <c r="I208" s="2412"/>
      <c r="J208" s="2412"/>
      <c r="K208" s="2412"/>
      <c r="L208" s="2412"/>
      <c r="M208" s="2412"/>
      <c r="N208" s="2412"/>
      <c r="O208" s="2412"/>
      <c r="P208" s="2412"/>
      <c r="Q208" s="2412"/>
      <c r="R208" s="2412"/>
      <c r="S208" s="2412"/>
      <c r="T208" s="2412"/>
      <c r="U208" s="2412"/>
      <c r="V208" s="2412"/>
      <c r="W208" s="2412"/>
      <c r="X208" s="2412"/>
      <c r="Y208" s="2412"/>
      <c r="Z208" s="2412"/>
      <c r="AA208" s="2412"/>
      <c r="AB208" s="2412"/>
      <c r="AC208" s="2412"/>
      <c r="AD208" s="2412"/>
      <c r="AE208" s="2412"/>
      <c r="AF208" s="2412"/>
      <c r="AG208" s="2412"/>
      <c r="AH208" s="2412"/>
      <c r="AI208" s="2412"/>
      <c r="AJ208" s="2412"/>
      <c r="AK208" s="2412"/>
      <c r="AL208" s="2412"/>
      <c r="AM208" s="2412"/>
      <c r="AN208" s="2412"/>
      <c r="AO208" s="2412"/>
      <c r="AP208" s="2412"/>
      <c r="AQ208" s="2412"/>
      <c r="AR208" s="2412"/>
      <c r="AS208" s="2412"/>
    </row>
    <row r="209" spans="2:45" ht="17.100000000000001" customHeight="1" x14ac:dyDescent="0.2">
      <c r="B209" s="2410"/>
      <c r="C209" s="2454" t="s">
        <v>1441</v>
      </c>
      <c r="D209" s="2441"/>
      <c r="E209" s="2455">
        <v>0.3</v>
      </c>
      <c r="F209" s="2456" t="s">
        <v>1442</v>
      </c>
      <c r="G209" s="2412"/>
      <c r="H209" s="2412"/>
      <c r="I209" s="2412"/>
      <c r="J209" s="2412"/>
      <c r="K209" s="2412"/>
      <c r="L209" s="2412"/>
      <c r="M209" s="2412"/>
      <c r="N209" s="2412"/>
      <c r="O209" s="2412"/>
      <c r="P209" s="2412"/>
      <c r="Q209" s="2412"/>
      <c r="R209" s="2412"/>
      <c r="S209" s="2412"/>
      <c r="T209" s="2412"/>
      <c r="U209" s="2412"/>
      <c r="V209" s="2412"/>
      <c r="W209" s="2412"/>
      <c r="X209" s="2412"/>
      <c r="Y209" s="2412"/>
      <c r="Z209" s="2412"/>
      <c r="AA209" s="2412"/>
      <c r="AB209" s="2412"/>
      <c r="AC209" s="2412"/>
      <c r="AD209" s="2412"/>
      <c r="AE209" s="2412"/>
      <c r="AF209" s="2412"/>
      <c r="AG209" s="2412"/>
      <c r="AH209" s="2412"/>
      <c r="AI209" s="2412"/>
      <c r="AJ209" s="2412"/>
      <c r="AK209" s="2412"/>
      <c r="AL209" s="2412"/>
      <c r="AM209" s="2412"/>
      <c r="AN209" s="2412"/>
      <c r="AO209" s="2412"/>
      <c r="AP209" s="2412"/>
      <c r="AQ209" s="2412"/>
      <c r="AR209" s="2412"/>
      <c r="AS209" s="2412"/>
    </row>
    <row r="210" spans="2:45" ht="18.75" customHeight="1" x14ac:dyDescent="0.2">
      <c r="B210" s="2410"/>
      <c r="C210" s="2412"/>
      <c r="D210" s="2453"/>
      <c r="E210" s="2453"/>
      <c r="F210" s="2410"/>
      <c r="G210" s="2412"/>
      <c r="H210" s="2412"/>
      <c r="I210" s="2412"/>
      <c r="J210" s="2412"/>
      <c r="K210" s="2412"/>
      <c r="L210" s="2412"/>
      <c r="M210" s="2412"/>
      <c r="N210" s="2412"/>
      <c r="O210" s="2412"/>
      <c r="P210" s="2412"/>
      <c r="Q210" s="2412"/>
      <c r="R210" s="2412"/>
      <c r="S210" s="2412"/>
      <c r="T210" s="2412"/>
      <c r="U210" s="2412"/>
      <c r="V210" s="2412"/>
      <c r="W210" s="2412"/>
      <c r="X210" s="2412"/>
      <c r="Y210" s="2412"/>
      <c r="Z210" s="2412"/>
      <c r="AA210" s="2412"/>
      <c r="AB210" s="2412"/>
      <c r="AC210" s="2412"/>
      <c r="AD210" s="2412"/>
      <c r="AE210" s="2412"/>
      <c r="AF210" s="2412"/>
      <c r="AG210" s="2412"/>
      <c r="AH210" s="2412"/>
      <c r="AI210" s="2412"/>
      <c r="AJ210" s="2412"/>
      <c r="AK210" s="2412"/>
      <c r="AL210" s="2412"/>
      <c r="AM210" s="2412"/>
      <c r="AN210" s="2412"/>
      <c r="AO210" s="2412"/>
      <c r="AP210" s="2412"/>
      <c r="AQ210" s="2412"/>
      <c r="AR210" s="2412"/>
      <c r="AS210" s="2412"/>
    </row>
    <row r="211" spans="2:45" ht="18.75" customHeight="1" x14ac:dyDescent="0.2">
      <c r="B211" s="2410"/>
      <c r="C211" s="2412" t="s">
        <v>1274</v>
      </c>
      <c r="D211" s="2412"/>
      <c r="E211" s="2412"/>
      <c r="F211" s="2412"/>
      <c r="G211" s="2412"/>
      <c r="H211" s="2412"/>
      <c r="I211" s="2412"/>
      <c r="J211" s="2412"/>
      <c r="K211" s="2412"/>
      <c r="L211" s="2412"/>
      <c r="M211" s="2412"/>
      <c r="N211" s="2412"/>
      <c r="O211" s="2412"/>
      <c r="P211" s="2412"/>
      <c r="Q211" s="2412"/>
      <c r="R211" s="2412"/>
      <c r="S211" s="2412"/>
      <c r="T211" s="2412"/>
      <c r="U211" s="2412"/>
      <c r="V211" s="2412"/>
      <c r="W211" s="2412"/>
      <c r="X211" s="2412"/>
      <c r="Y211" s="2412"/>
      <c r="Z211" s="2412"/>
      <c r="AA211" s="2412"/>
      <c r="AB211" s="2412"/>
      <c r="AC211" s="2412"/>
      <c r="AD211" s="2412"/>
      <c r="AE211" s="2412"/>
      <c r="AF211" s="2412"/>
      <c r="AG211" s="2412"/>
      <c r="AH211" s="2412"/>
      <c r="AI211" s="2412"/>
      <c r="AJ211" s="2412"/>
      <c r="AK211" s="2412"/>
      <c r="AL211" s="2412"/>
      <c r="AM211" s="2412"/>
      <c r="AN211" s="2412"/>
      <c r="AO211" s="2412"/>
      <c r="AP211" s="2412"/>
      <c r="AQ211" s="2412"/>
      <c r="AR211" s="2412"/>
      <c r="AS211" s="2412"/>
    </row>
    <row r="212" spans="2:45" ht="18.75" customHeight="1" x14ac:dyDescent="0.2">
      <c r="B212" s="2410"/>
      <c r="C212" s="2414"/>
      <c r="D212" s="2414" t="s">
        <v>1029</v>
      </c>
      <c r="E212" s="2414" t="s">
        <v>8</v>
      </c>
      <c r="F212" s="2414"/>
      <c r="G212" s="2414">
        <v>2012</v>
      </c>
      <c r="H212" s="2414">
        <v>2013</v>
      </c>
      <c r="I212" s="2414">
        <v>2014</v>
      </c>
      <c r="J212" s="2414">
        <v>2015</v>
      </c>
      <c r="K212" s="2414">
        <v>2016</v>
      </c>
      <c r="L212" s="2414">
        <v>2017</v>
      </c>
      <c r="M212" s="2414">
        <v>2018</v>
      </c>
      <c r="N212" s="2414">
        <v>2019</v>
      </c>
      <c r="O212" s="2414">
        <v>2020</v>
      </c>
      <c r="P212" s="2414">
        <v>2021</v>
      </c>
      <c r="Q212" s="2414">
        <v>2022</v>
      </c>
      <c r="R212" s="2414">
        <v>2023</v>
      </c>
      <c r="S212" s="2414">
        <v>2024</v>
      </c>
      <c r="T212" s="2414">
        <v>2025</v>
      </c>
      <c r="U212" s="2414">
        <v>2026</v>
      </c>
      <c r="V212" s="2414">
        <v>2027</v>
      </c>
      <c r="W212" s="2414">
        <v>2028</v>
      </c>
      <c r="X212" s="2414">
        <v>2029</v>
      </c>
      <c r="Y212" s="2414">
        <v>2030</v>
      </c>
      <c r="Z212" s="2414">
        <v>2031</v>
      </c>
      <c r="AA212" s="2414">
        <v>2032</v>
      </c>
      <c r="AB212" s="2414">
        <v>2033</v>
      </c>
      <c r="AC212" s="2414">
        <v>2034</v>
      </c>
      <c r="AD212" s="2414">
        <v>2035</v>
      </c>
      <c r="AE212" s="2414">
        <v>2036</v>
      </c>
      <c r="AF212" s="2414">
        <v>2037</v>
      </c>
      <c r="AG212" s="2414">
        <v>2038</v>
      </c>
      <c r="AH212" s="2414">
        <v>2039</v>
      </c>
      <c r="AI212" s="2414">
        <v>2040</v>
      </c>
      <c r="AJ212" s="2414">
        <v>2041</v>
      </c>
      <c r="AK212" s="2414">
        <v>2042</v>
      </c>
      <c r="AL212" s="2414">
        <v>2043</v>
      </c>
      <c r="AM212" s="2414">
        <v>2044</v>
      </c>
      <c r="AN212" s="2414">
        <v>2045</v>
      </c>
      <c r="AO212" s="2414">
        <v>2046</v>
      </c>
      <c r="AP212" s="2414">
        <v>2047</v>
      </c>
      <c r="AQ212" s="2414">
        <v>2048</v>
      </c>
      <c r="AR212" s="2414">
        <v>2049</v>
      </c>
      <c r="AS212" s="2414">
        <v>2050</v>
      </c>
    </row>
    <row r="213" spans="2:45" ht="18.75" customHeight="1" x14ac:dyDescent="0.2">
      <c r="B213" s="2410"/>
      <c r="C213" s="2454" t="s">
        <v>1275</v>
      </c>
      <c r="D213" s="2454" t="s">
        <v>1076</v>
      </c>
      <c r="E213" s="2454"/>
      <c r="F213" s="2454"/>
      <c r="G213" s="2458">
        <v>0.5</v>
      </c>
      <c r="H213" s="2458">
        <v>0.5</v>
      </c>
      <c r="I213" s="2458">
        <v>0.5</v>
      </c>
      <c r="J213" s="2458">
        <v>0.5</v>
      </c>
      <c r="K213" s="2458">
        <v>0.5</v>
      </c>
      <c r="L213" s="2458">
        <v>0.5</v>
      </c>
      <c r="M213" s="2458">
        <v>0.5</v>
      </c>
      <c r="N213" s="2458">
        <v>0.5</v>
      </c>
      <c r="O213" s="2458">
        <v>0.5</v>
      </c>
      <c r="P213" s="2458">
        <v>0.5</v>
      </c>
      <c r="Q213" s="2458">
        <v>0.5</v>
      </c>
      <c r="R213" s="2458">
        <v>0.5</v>
      </c>
      <c r="S213" s="2458">
        <v>0.5</v>
      </c>
      <c r="T213" s="2458">
        <v>0.5</v>
      </c>
      <c r="U213" s="2458">
        <v>0.5</v>
      </c>
      <c r="V213" s="2458">
        <v>0.5</v>
      </c>
      <c r="W213" s="2458">
        <v>0.5</v>
      </c>
      <c r="X213" s="2458">
        <v>0.5</v>
      </c>
      <c r="Y213" s="2458">
        <v>0.5</v>
      </c>
      <c r="Z213" s="2458">
        <v>0.5</v>
      </c>
      <c r="AA213" s="2458">
        <v>0.5</v>
      </c>
      <c r="AB213" s="2458">
        <v>0.5</v>
      </c>
      <c r="AC213" s="2458">
        <v>0.5</v>
      </c>
      <c r="AD213" s="2458">
        <v>0.5</v>
      </c>
      <c r="AE213" s="2458">
        <v>0.5</v>
      </c>
      <c r="AF213" s="2458">
        <v>0.5</v>
      </c>
      <c r="AG213" s="2458">
        <v>0.5</v>
      </c>
      <c r="AH213" s="2458">
        <v>0.5</v>
      </c>
      <c r="AI213" s="2458">
        <v>0.5</v>
      </c>
      <c r="AJ213" s="2458">
        <v>0.5</v>
      </c>
      <c r="AK213" s="2458">
        <v>0.5</v>
      </c>
      <c r="AL213" s="2458">
        <v>0.5</v>
      </c>
      <c r="AM213" s="2458">
        <v>0.5</v>
      </c>
      <c r="AN213" s="2458">
        <v>0.5</v>
      </c>
      <c r="AO213" s="2458">
        <v>0.5</v>
      </c>
      <c r="AP213" s="2458">
        <v>0.5</v>
      </c>
      <c r="AQ213" s="2458">
        <v>0.5</v>
      </c>
      <c r="AR213" s="2458">
        <v>0.5</v>
      </c>
      <c r="AS213" s="2458">
        <v>0.5</v>
      </c>
    </row>
    <row r="214" spans="2:45" ht="18.75" customHeight="1" x14ac:dyDescent="0.2">
      <c r="B214" s="2410"/>
      <c r="C214" s="2412"/>
      <c r="D214" s="2411"/>
      <c r="E214" s="2411"/>
      <c r="F214" s="2412"/>
      <c r="G214" s="2412"/>
      <c r="H214" s="2412"/>
      <c r="I214" s="2412"/>
      <c r="J214" s="2412"/>
      <c r="K214" s="2412"/>
      <c r="L214" s="2412"/>
      <c r="M214" s="2412"/>
      <c r="N214" s="2412"/>
      <c r="O214" s="2412"/>
      <c r="P214" s="2412"/>
      <c r="Q214" s="2412"/>
      <c r="R214" s="2412"/>
      <c r="S214" s="2412"/>
      <c r="T214" s="2412"/>
      <c r="U214" s="2412"/>
      <c r="V214" s="2412"/>
      <c r="W214" s="2412"/>
      <c r="X214" s="2412"/>
      <c r="Y214" s="2412"/>
      <c r="Z214" s="2412"/>
      <c r="AA214" s="2412"/>
      <c r="AB214" s="2412"/>
      <c r="AC214" s="2412"/>
      <c r="AD214" s="2412"/>
      <c r="AE214" s="2412"/>
      <c r="AF214" s="2412"/>
      <c r="AG214" s="2412"/>
      <c r="AH214" s="2412"/>
      <c r="AI214" s="2412"/>
      <c r="AJ214" s="2412"/>
      <c r="AK214" s="2412"/>
      <c r="AL214" s="2412"/>
      <c r="AM214" s="2412"/>
      <c r="AN214" s="2412"/>
      <c r="AO214" s="2412"/>
      <c r="AP214" s="2412"/>
      <c r="AQ214" s="2412"/>
      <c r="AR214" s="2412"/>
      <c r="AS214" s="2412"/>
    </row>
    <row r="215" spans="2:45" ht="17.100000000000001" customHeight="1" x14ac:dyDescent="0.2">
      <c r="B215" s="2410"/>
      <c r="C215" s="2412" t="s">
        <v>1443</v>
      </c>
      <c r="D215" s="2411"/>
      <c r="E215" s="2412"/>
      <c r="F215" s="2411"/>
      <c r="G215" s="2411"/>
      <c r="H215" s="2411"/>
      <c r="I215" s="2411"/>
      <c r="J215" s="2411"/>
      <c r="K215" s="2411"/>
      <c r="L215" s="2411"/>
      <c r="M215" s="2411"/>
      <c r="N215" s="2411"/>
      <c r="O215" s="2411"/>
      <c r="P215" s="2411"/>
      <c r="Q215" s="2411"/>
      <c r="R215" s="2411"/>
      <c r="S215" s="2411"/>
      <c r="T215" s="2411"/>
      <c r="U215" s="2411"/>
      <c r="V215" s="2411"/>
      <c r="W215" s="2411"/>
      <c r="X215" s="2411"/>
      <c r="Y215" s="2411"/>
      <c r="Z215" s="2411"/>
      <c r="AA215" s="2411"/>
      <c r="AB215" s="2411"/>
      <c r="AC215" s="2411"/>
      <c r="AD215" s="2411"/>
      <c r="AE215" s="2411"/>
      <c r="AF215" s="2411"/>
      <c r="AG215" s="2411"/>
      <c r="AH215" s="2411"/>
      <c r="AI215" s="2411"/>
      <c r="AJ215" s="2411"/>
      <c r="AK215" s="2411"/>
      <c r="AL215" s="2411"/>
      <c r="AM215" s="2411"/>
      <c r="AN215" s="2411"/>
      <c r="AO215" s="2411"/>
      <c r="AP215" s="2411"/>
      <c r="AQ215" s="2411"/>
      <c r="AR215" s="2411"/>
      <c r="AS215" s="2411"/>
    </row>
    <row r="216" spans="2:45" ht="17.100000000000001" customHeight="1" x14ac:dyDescent="0.2">
      <c r="B216" s="2410"/>
      <c r="C216" s="2413" t="s">
        <v>1444</v>
      </c>
      <c r="D216" s="2414" t="s">
        <v>1422</v>
      </c>
      <c r="E216" s="2411"/>
      <c r="F216" s="2411"/>
      <c r="G216" s="2411"/>
      <c r="H216" s="2411"/>
      <c r="I216" s="2411"/>
      <c r="J216" s="2411"/>
      <c r="K216" s="2411"/>
      <c r="L216" s="2411"/>
      <c r="M216" s="2411"/>
      <c r="N216" s="2411"/>
      <c r="O216" s="2411"/>
      <c r="P216" s="2411"/>
      <c r="Q216" s="2411"/>
      <c r="R216" s="2411"/>
      <c r="S216" s="2411"/>
      <c r="T216" s="2411"/>
      <c r="U216" s="2411"/>
      <c r="V216" s="2411"/>
      <c r="W216" s="2411"/>
      <c r="X216" s="2411"/>
      <c r="Y216" s="2411"/>
      <c r="Z216" s="2411"/>
      <c r="AA216" s="2411"/>
      <c r="AB216" s="2411"/>
      <c r="AC216" s="2411"/>
      <c r="AD216" s="2411"/>
      <c r="AE216" s="2411"/>
      <c r="AF216" s="2411"/>
      <c r="AG216" s="2411"/>
      <c r="AH216" s="2411"/>
      <c r="AI216" s="2411"/>
      <c r="AJ216" s="2411"/>
      <c r="AK216" s="2411"/>
      <c r="AL216" s="2411"/>
      <c r="AM216" s="2411"/>
      <c r="AN216" s="2411"/>
      <c r="AO216" s="2411"/>
      <c r="AP216" s="2411"/>
      <c r="AQ216" s="2411"/>
      <c r="AR216" s="2411"/>
      <c r="AS216" s="2411"/>
    </row>
    <row r="217" spans="2:45" ht="14.25" x14ac:dyDescent="0.2">
      <c r="B217" s="2410"/>
      <c r="C217" s="2412" t="s">
        <v>1445</v>
      </c>
      <c r="D217" s="2453">
        <v>1.5714285714285714</v>
      </c>
      <c r="E217" s="2411"/>
      <c r="F217" s="2411"/>
      <c r="G217" s="2411"/>
      <c r="H217" s="2411"/>
      <c r="I217" s="2411"/>
      <c r="J217" s="2411"/>
      <c r="K217" s="2411"/>
      <c r="L217" s="2411"/>
      <c r="M217" s="2411"/>
      <c r="N217" s="2411"/>
      <c r="O217" s="2411"/>
      <c r="P217" s="2411"/>
      <c r="Q217" s="2411"/>
      <c r="R217" s="2411"/>
      <c r="S217" s="2411"/>
      <c r="T217" s="2411"/>
      <c r="U217" s="2411"/>
      <c r="V217" s="2411"/>
      <c r="W217" s="2411"/>
      <c r="X217" s="2411"/>
      <c r="Y217" s="2411"/>
      <c r="Z217" s="2411"/>
      <c r="AA217" s="2411"/>
      <c r="AB217" s="2411"/>
      <c r="AC217" s="2411"/>
      <c r="AD217" s="2411"/>
      <c r="AE217" s="2411"/>
      <c r="AF217" s="2411"/>
      <c r="AG217" s="2411"/>
      <c r="AH217" s="2411"/>
      <c r="AI217" s="2411"/>
      <c r="AJ217" s="2411"/>
      <c r="AK217" s="2411"/>
      <c r="AL217" s="2411"/>
      <c r="AM217" s="2411"/>
      <c r="AN217" s="2411"/>
      <c r="AO217" s="2411"/>
      <c r="AP217" s="2411"/>
      <c r="AQ217" s="2411"/>
      <c r="AR217" s="2411"/>
      <c r="AS217" s="2411"/>
    </row>
    <row r="218" spans="2:45" ht="14.25" x14ac:dyDescent="0.2">
      <c r="B218" s="2410"/>
      <c r="C218" s="2412" t="s">
        <v>1446</v>
      </c>
      <c r="D218" s="2453">
        <f>16/12</f>
        <v>1.3333333333333333</v>
      </c>
      <c r="E218" s="2411"/>
      <c r="F218" s="2411"/>
      <c r="G218" s="2411"/>
      <c r="H218" s="2411"/>
      <c r="I218" s="2411"/>
      <c r="J218" s="2411"/>
      <c r="K218" s="2411"/>
      <c r="L218" s="2411"/>
      <c r="M218" s="2411"/>
      <c r="N218" s="2411"/>
      <c r="O218" s="2411"/>
      <c r="P218" s="2411"/>
      <c r="Q218" s="2411"/>
      <c r="R218" s="2411"/>
      <c r="S218" s="2411"/>
      <c r="T218" s="2411"/>
      <c r="U218" s="2411"/>
      <c r="V218" s="2411"/>
      <c r="W218" s="2411"/>
      <c r="X218" s="2411"/>
      <c r="Y218" s="2411"/>
      <c r="Z218" s="2411"/>
      <c r="AA218" s="2411"/>
      <c r="AB218" s="2411"/>
      <c r="AC218" s="2411"/>
      <c r="AD218" s="2411"/>
      <c r="AE218" s="2411"/>
      <c r="AF218" s="2411"/>
      <c r="AG218" s="2411"/>
      <c r="AH218" s="2411"/>
      <c r="AI218" s="2411"/>
      <c r="AJ218" s="2411"/>
      <c r="AK218" s="2411"/>
      <c r="AL218" s="2411"/>
      <c r="AM218" s="2411"/>
      <c r="AN218" s="2411"/>
      <c r="AO218" s="2411"/>
      <c r="AP218" s="2411"/>
      <c r="AQ218" s="2411"/>
      <c r="AR218" s="2411"/>
      <c r="AS218" s="2411"/>
    </row>
    <row r="219" spans="2:45" ht="14.25" x14ac:dyDescent="0.2">
      <c r="B219" s="2410"/>
      <c r="C219" s="2441" t="s">
        <v>1447</v>
      </c>
      <c r="D219" s="2456">
        <f>(12+16*2)/12</f>
        <v>3.6666666666666665</v>
      </c>
      <c r="E219" s="2411"/>
      <c r="F219" s="2411"/>
      <c r="G219" s="2411"/>
      <c r="H219" s="2411"/>
      <c r="I219" s="2411"/>
      <c r="J219" s="2411"/>
      <c r="K219" s="2411"/>
      <c r="L219" s="2411"/>
      <c r="M219" s="2411"/>
      <c r="N219" s="2411"/>
      <c r="O219" s="2411"/>
      <c r="P219" s="2411"/>
      <c r="Q219" s="2411"/>
      <c r="R219" s="2411"/>
      <c r="S219" s="2411"/>
      <c r="T219" s="2411"/>
      <c r="U219" s="2411"/>
      <c r="V219" s="2411"/>
      <c r="W219" s="2411"/>
      <c r="X219" s="2411"/>
      <c r="Y219" s="2411"/>
      <c r="Z219" s="2411"/>
      <c r="AA219" s="2411"/>
      <c r="AB219" s="2411"/>
      <c r="AC219" s="2411"/>
      <c r="AD219" s="2411"/>
      <c r="AE219" s="2411"/>
      <c r="AF219" s="2411"/>
      <c r="AG219" s="2411"/>
      <c r="AH219" s="2411"/>
      <c r="AI219" s="2411"/>
      <c r="AJ219" s="2411"/>
      <c r="AK219" s="2411"/>
      <c r="AL219" s="2411"/>
      <c r="AM219" s="2411"/>
      <c r="AN219" s="2411"/>
      <c r="AO219" s="2411"/>
      <c r="AP219" s="2411"/>
      <c r="AQ219" s="2411"/>
      <c r="AR219" s="2411"/>
      <c r="AS219" s="2411"/>
    </row>
    <row r="220" spans="2:45" ht="9" customHeight="1" x14ac:dyDescent="0.2">
      <c r="B220" s="2410"/>
      <c r="C220" s="2410"/>
      <c r="D220" s="2410"/>
      <c r="E220" s="2411"/>
      <c r="F220" s="2411"/>
      <c r="G220" s="2411"/>
      <c r="H220" s="2411"/>
      <c r="I220" s="2411"/>
      <c r="J220" s="2411"/>
      <c r="K220" s="2411"/>
      <c r="L220" s="2411"/>
      <c r="M220" s="2411"/>
      <c r="N220" s="2411"/>
      <c r="O220" s="2411"/>
      <c r="P220" s="2411"/>
      <c r="Q220" s="2411"/>
      <c r="R220" s="2411"/>
      <c r="S220" s="2411"/>
      <c r="T220" s="2411"/>
      <c r="U220" s="2411"/>
      <c r="V220" s="2411"/>
      <c r="W220" s="2411"/>
      <c r="X220" s="2411"/>
      <c r="Y220" s="2411"/>
      <c r="Z220" s="2411"/>
      <c r="AA220" s="2411"/>
      <c r="AB220" s="2411"/>
      <c r="AC220" s="2411"/>
      <c r="AD220" s="2411"/>
      <c r="AE220" s="2411"/>
      <c r="AF220" s="2411"/>
      <c r="AG220" s="2411"/>
      <c r="AH220" s="2411"/>
      <c r="AI220" s="2411"/>
      <c r="AJ220" s="2411"/>
      <c r="AK220" s="2411"/>
      <c r="AL220" s="2411"/>
      <c r="AM220" s="2411"/>
      <c r="AN220" s="2411"/>
      <c r="AO220" s="2411"/>
      <c r="AP220" s="2411"/>
      <c r="AQ220" s="2411"/>
      <c r="AR220" s="2411"/>
      <c r="AS220" s="2411"/>
    </row>
    <row r="221" spans="2:45" x14ac:dyDescent="0.2">
      <c r="B221" s="2410"/>
      <c r="C221" s="2410"/>
      <c r="D221" s="2410"/>
      <c r="E221" s="2411"/>
      <c r="F221" s="2412"/>
      <c r="G221" s="2412"/>
      <c r="H221" s="2412"/>
      <c r="I221" s="2412"/>
      <c r="J221" s="2412"/>
      <c r="K221" s="2412"/>
      <c r="L221" s="2412"/>
      <c r="M221" s="2412"/>
      <c r="N221" s="2412"/>
      <c r="O221" s="2412"/>
      <c r="P221" s="2412"/>
      <c r="Q221" s="2412"/>
      <c r="R221" s="2412"/>
      <c r="S221" s="2412"/>
      <c r="T221" s="2412"/>
      <c r="U221" s="2412"/>
      <c r="V221" s="2412"/>
      <c r="W221" s="2412"/>
      <c r="X221" s="2412"/>
      <c r="Y221" s="2412"/>
      <c r="Z221" s="2412"/>
      <c r="AA221" s="2412"/>
      <c r="AB221" s="2412"/>
      <c r="AC221" s="2412"/>
      <c r="AD221" s="2412"/>
      <c r="AE221" s="2412"/>
      <c r="AF221" s="2412"/>
      <c r="AG221" s="2412"/>
      <c r="AH221" s="2412"/>
      <c r="AI221" s="2412"/>
      <c r="AJ221" s="2412"/>
      <c r="AK221" s="2412"/>
      <c r="AL221" s="2412"/>
      <c r="AM221" s="2412"/>
      <c r="AN221" s="2412"/>
      <c r="AO221" s="2412"/>
      <c r="AP221" s="2412"/>
      <c r="AQ221" s="2412"/>
      <c r="AR221" s="2412"/>
      <c r="AS221" s="2412"/>
    </row>
    <row r="222" spans="2:45" x14ac:dyDescent="0.2">
      <c r="B222" s="2410" t="s">
        <v>1448</v>
      </c>
      <c r="C222" s="2412" t="s">
        <v>1449</v>
      </c>
      <c r="D222" s="2410"/>
      <c r="E222" s="2411"/>
      <c r="F222" s="2411"/>
      <c r="G222" s="2411"/>
      <c r="H222" s="2411"/>
      <c r="I222" s="2411"/>
      <c r="J222" s="2411"/>
      <c r="K222" s="2411"/>
      <c r="L222" s="2411"/>
      <c r="M222" s="2411"/>
      <c r="N222" s="2411"/>
      <c r="O222" s="2411"/>
      <c r="P222" s="2411"/>
      <c r="Q222" s="2411"/>
      <c r="R222" s="2411"/>
      <c r="S222" s="2411"/>
      <c r="T222" s="2411"/>
      <c r="U222" s="2411"/>
      <c r="V222" s="2411"/>
      <c r="W222" s="2411"/>
      <c r="X222" s="2411"/>
      <c r="Y222" s="2411"/>
      <c r="Z222" s="2411"/>
      <c r="AA222" s="2411"/>
      <c r="AB222" s="2411"/>
      <c r="AC222" s="2411"/>
      <c r="AD222" s="2411"/>
      <c r="AE222" s="2411"/>
      <c r="AF222" s="2411"/>
      <c r="AG222" s="2411"/>
      <c r="AH222" s="2411"/>
      <c r="AI222" s="2411"/>
      <c r="AJ222" s="2411"/>
      <c r="AK222" s="2411"/>
      <c r="AL222" s="2411"/>
      <c r="AM222" s="2411"/>
      <c r="AN222" s="2411"/>
      <c r="AO222" s="2411"/>
      <c r="AP222" s="2411"/>
      <c r="AQ222" s="2411"/>
      <c r="AR222" s="2411"/>
      <c r="AS222" s="2411"/>
    </row>
    <row r="223" spans="2:45" x14ac:dyDescent="0.2">
      <c r="B223" s="2410"/>
      <c r="C223" s="2459"/>
      <c r="D223" s="2414" t="s">
        <v>1029</v>
      </c>
      <c r="E223" s="2414" t="s">
        <v>8</v>
      </c>
      <c r="F223" s="2414"/>
      <c r="G223" s="2414">
        <v>2012</v>
      </c>
      <c r="H223" s="2414">
        <v>2013</v>
      </c>
      <c r="I223" s="2414">
        <v>2014</v>
      </c>
      <c r="J223" s="2414">
        <v>2015</v>
      </c>
      <c r="K223" s="2414">
        <v>2016</v>
      </c>
      <c r="L223" s="2414">
        <v>2017</v>
      </c>
      <c r="M223" s="2414">
        <v>2018</v>
      </c>
      <c r="N223" s="2414">
        <v>2019</v>
      </c>
      <c r="O223" s="2414">
        <v>2020</v>
      </c>
      <c r="P223" s="2414">
        <v>2021</v>
      </c>
      <c r="Q223" s="2414">
        <v>2022</v>
      </c>
      <c r="R223" s="2414">
        <v>2023</v>
      </c>
      <c r="S223" s="2414">
        <v>2024</v>
      </c>
      <c r="T223" s="2414">
        <v>2025</v>
      </c>
      <c r="U223" s="2414">
        <v>2026</v>
      </c>
      <c r="V223" s="2414">
        <v>2027</v>
      </c>
      <c r="W223" s="2414">
        <v>2028</v>
      </c>
      <c r="X223" s="2414">
        <v>2029</v>
      </c>
      <c r="Y223" s="2414">
        <v>2030</v>
      </c>
      <c r="Z223" s="2414">
        <v>2031</v>
      </c>
      <c r="AA223" s="2414">
        <v>2032</v>
      </c>
      <c r="AB223" s="2414">
        <v>2033</v>
      </c>
      <c r="AC223" s="2414">
        <v>2034</v>
      </c>
      <c r="AD223" s="2414">
        <v>2035</v>
      </c>
      <c r="AE223" s="2414">
        <v>2036</v>
      </c>
      <c r="AF223" s="2414">
        <v>2037</v>
      </c>
      <c r="AG223" s="2414">
        <v>2038</v>
      </c>
      <c r="AH223" s="2414">
        <v>2039</v>
      </c>
      <c r="AI223" s="2414">
        <v>2040</v>
      </c>
      <c r="AJ223" s="2414">
        <v>2041</v>
      </c>
      <c r="AK223" s="2414">
        <v>2042</v>
      </c>
      <c r="AL223" s="2414">
        <v>2043</v>
      </c>
      <c r="AM223" s="2414">
        <v>2044</v>
      </c>
      <c r="AN223" s="2414">
        <v>2045</v>
      </c>
      <c r="AO223" s="2414">
        <v>2046</v>
      </c>
      <c r="AP223" s="2414">
        <v>2047</v>
      </c>
      <c r="AQ223" s="2414">
        <v>2048</v>
      </c>
      <c r="AR223" s="2414">
        <v>2049</v>
      </c>
      <c r="AS223" s="2414">
        <v>2050</v>
      </c>
    </row>
    <row r="224" spans="2:45" x14ac:dyDescent="0.2">
      <c r="B224" s="2410"/>
      <c r="C224" s="2460" t="s">
        <v>865</v>
      </c>
      <c r="D224" s="2461" t="s">
        <v>1450</v>
      </c>
      <c r="E224" s="2461" t="s">
        <v>1115</v>
      </c>
      <c r="F224" s="2462"/>
      <c r="G224" s="2463">
        <v>219.75352842761231</v>
      </c>
      <c r="H224" s="2463">
        <v>220.879519189554</v>
      </c>
      <c r="I224" s="2463">
        <v>222.24202446468479</v>
      </c>
      <c r="J224" s="2463">
        <v>223.61402137524686</v>
      </c>
      <c r="K224" s="2463">
        <v>225.0348941346131</v>
      </c>
      <c r="L224" s="2463">
        <v>226.46631551528145</v>
      </c>
      <c r="M224" s="2463">
        <v>227.94863578054819</v>
      </c>
      <c r="N224" s="2463">
        <v>229.44269823880578</v>
      </c>
      <c r="O224" s="2463">
        <v>230.94861676951524</v>
      </c>
      <c r="P224" s="2463">
        <v>232.46650653290999</v>
      </c>
      <c r="Q224" s="2463">
        <v>233.99648398561763</v>
      </c>
      <c r="R224" s="2463">
        <v>235.53866689647955</v>
      </c>
      <c r="S224" s="2463">
        <v>237.09317436257075</v>
      </c>
      <c r="T224" s="2463">
        <v>238.66012682542282</v>
      </c>
      <c r="U224" s="2463">
        <v>240.23964608745206</v>
      </c>
      <c r="V224" s="2463">
        <v>241.83185532859619</v>
      </c>
      <c r="W224" s="2463">
        <v>243.4368791231615</v>
      </c>
      <c r="X224" s="2463">
        <v>245.05484345688393</v>
      </c>
      <c r="Y224" s="2463">
        <v>246.59186304522035</v>
      </c>
      <c r="Z224" s="2463">
        <v>248.10996287647035</v>
      </c>
      <c r="AA224" s="2463">
        <v>249.83885353847927</v>
      </c>
      <c r="AB224" s="2463">
        <v>251.58076008419255</v>
      </c>
      <c r="AC224" s="2463">
        <v>253.5382614305033</v>
      </c>
      <c r="AD224" s="2463">
        <v>255.61357061048582</v>
      </c>
      <c r="AE224" s="2463">
        <v>257.70635610372995</v>
      </c>
      <c r="AF224" s="2463">
        <v>260.12720829981544</v>
      </c>
      <c r="AG224" s="2463">
        <v>262.57096461056835</v>
      </c>
      <c r="AH224" s="2463">
        <v>265.14319389575712</v>
      </c>
      <c r="AI224" s="2463">
        <v>267.74071521549058</v>
      </c>
      <c r="AJ224" s="2463">
        <v>270.30545900963205</v>
      </c>
      <c r="AK224" s="2463">
        <v>272.89477781911387</v>
      </c>
      <c r="AL224" s="2463">
        <v>275.50890718507975</v>
      </c>
      <c r="AM224" s="2463">
        <v>278.14808490689148</v>
      </c>
      <c r="AN224" s="2463">
        <v>280.81255106378563</v>
      </c>
      <c r="AO224" s="2463">
        <v>283.50254803673806</v>
      </c>
      <c r="AP224" s="2463">
        <v>286.21832053053816</v>
      </c>
      <c r="AQ224" s="2463">
        <v>288.96011559607518</v>
      </c>
      <c r="AR224" s="2463">
        <v>291.72818265283763</v>
      </c>
      <c r="AS224" s="2463">
        <v>294.52277351162951</v>
      </c>
    </row>
    <row r="225" spans="2:45" x14ac:dyDescent="0.2">
      <c r="B225" s="2410"/>
      <c r="C225" s="2444"/>
      <c r="D225" s="2412"/>
      <c r="E225" s="2412"/>
      <c r="F225" s="2412"/>
      <c r="G225" s="2412"/>
      <c r="H225" s="2412"/>
      <c r="I225" s="2412"/>
      <c r="J225" s="2412"/>
      <c r="K225" s="2412"/>
      <c r="L225" s="2412"/>
      <c r="M225" s="2412"/>
      <c r="N225" s="2412"/>
      <c r="O225" s="2412"/>
      <c r="P225" s="2412"/>
      <c r="Q225" s="2412"/>
      <c r="R225" s="2412"/>
      <c r="S225" s="2412"/>
      <c r="T225" s="2412"/>
      <c r="U225" s="2412"/>
      <c r="V225" s="2412"/>
      <c r="W225" s="2412"/>
      <c r="X225" s="2412"/>
      <c r="Y225" s="2412"/>
      <c r="Z225" s="2412"/>
      <c r="AA225" s="2412"/>
      <c r="AB225" s="2412"/>
      <c r="AC225" s="2412"/>
      <c r="AD225" s="2412"/>
      <c r="AE225" s="2412"/>
      <c r="AF225" s="2412"/>
      <c r="AG225" s="2412"/>
      <c r="AH225" s="2412"/>
      <c r="AI225" s="2412"/>
      <c r="AJ225" s="2412"/>
      <c r="AK225" s="2412"/>
      <c r="AL225" s="2412"/>
      <c r="AM225" s="2412"/>
      <c r="AN225" s="2412"/>
      <c r="AO225" s="2412"/>
      <c r="AP225" s="2412"/>
      <c r="AQ225" s="2412"/>
      <c r="AR225" s="2412"/>
      <c r="AS225" s="2412"/>
    </row>
    <row r="226" spans="2:45" x14ac:dyDescent="0.2">
      <c r="B226" s="2410"/>
      <c r="C226" s="2444"/>
      <c r="D226" s="2412"/>
      <c r="E226" s="2412"/>
      <c r="F226" s="2412"/>
      <c r="G226" s="2412"/>
      <c r="H226" s="2412"/>
      <c r="I226" s="2412"/>
      <c r="J226" s="2412"/>
      <c r="K226" s="2412"/>
      <c r="L226" s="2412"/>
      <c r="M226" s="2412"/>
      <c r="N226" s="2412"/>
      <c r="O226" s="2412"/>
      <c r="P226" s="2412"/>
      <c r="Q226" s="2412"/>
      <c r="R226" s="2412"/>
      <c r="S226" s="2412"/>
      <c r="T226" s="2412"/>
      <c r="U226" s="2412"/>
      <c r="V226" s="2412"/>
      <c r="W226" s="2412"/>
      <c r="X226" s="2412"/>
      <c r="Y226" s="2412"/>
      <c r="Z226" s="2412"/>
      <c r="AA226" s="2412"/>
      <c r="AB226" s="2412"/>
      <c r="AC226" s="2412"/>
      <c r="AD226" s="2412"/>
      <c r="AE226" s="2412"/>
      <c r="AF226" s="2412"/>
      <c r="AG226" s="2412"/>
      <c r="AH226" s="2412"/>
      <c r="AI226" s="2412"/>
      <c r="AJ226" s="2412"/>
      <c r="AK226" s="2412"/>
      <c r="AL226" s="2412"/>
      <c r="AM226" s="2412"/>
      <c r="AN226" s="2412"/>
      <c r="AO226" s="2412"/>
      <c r="AP226" s="2412"/>
      <c r="AQ226" s="2412"/>
      <c r="AR226" s="2412"/>
      <c r="AS226" s="2412"/>
    </row>
    <row r="227" spans="2:45" x14ac:dyDescent="0.2">
      <c r="B227" s="2410"/>
      <c r="C227" s="2444"/>
      <c r="D227" s="2412"/>
      <c r="E227" s="2412"/>
      <c r="F227" s="2412"/>
      <c r="G227" s="2412"/>
      <c r="H227" s="2412"/>
      <c r="I227" s="2412"/>
      <c r="J227" s="2412"/>
      <c r="K227" s="2412"/>
      <c r="L227" s="2412"/>
      <c r="M227" s="2412"/>
      <c r="N227" s="2412"/>
      <c r="O227" s="2412"/>
      <c r="P227" s="2412"/>
      <c r="Q227" s="2412"/>
      <c r="R227" s="2412"/>
      <c r="S227" s="2412"/>
      <c r="T227" s="2412"/>
      <c r="U227" s="2412"/>
      <c r="V227" s="2412"/>
      <c r="W227" s="2412"/>
      <c r="X227" s="2412"/>
      <c r="Y227" s="2412"/>
      <c r="Z227" s="2412"/>
      <c r="AA227" s="2412"/>
      <c r="AB227" s="2412"/>
      <c r="AC227" s="2412"/>
      <c r="AD227" s="2412"/>
      <c r="AE227" s="2412"/>
      <c r="AF227" s="2412"/>
      <c r="AG227" s="2412"/>
      <c r="AH227" s="2412"/>
      <c r="AI227" s="2412"/>
      <c r="AJ227" s="2412"/>
      <c r="AK227" s="2412"/>
      <c r="AL227" s="2412"/>
      <c r="AM227" s="2412"/>
      <c r="AN227" s="2412"/>
      <c r="AO227" s="2412"/>
      <c r="AP227" s="2412"/>
      <c r="AQ227" s="2412"/>
      <c r="AR227" s="2412"/>
      <c r="AS227" s="2412"/>
    </row>
    <row r="228" spans="2:45" x14ac:dyDescent="0.2">
      <c r="B228" s="2410" t="s">
        <v>1451</v>
      </c>
      <c r="C228" s="2412" t="s">
        <v>1452</v>
      </c>
      <c r="D228" s="2412"/>
      <c r="E228" s="2412"/>
      <c r="F228" s="2412"/>
      <c r="G228" s="2412"/>
      <c r="H228" s="2412"/>
      <c r="I228" s="2412"/>
      <c r="J228" s="2412"/>
      <c r="K228" s="2412"/>
      <c r="L228" s="2412"/>
      <c r="M228" s="2412"/>
      <c r="N228" s="2412"/>
      <c r="O228" s="2412"/>
      <c r="P228" s="2412"/>
      <c r="Q228" s="2412"/>
      <c r="R228" s="2412"/>
      <c r="S228" s="2412"/>
      <c r="T228" s="2412"/>
      <c r="U228" s="2412"/>
      <c r="V228" s="2412"/>
      <c r="W228" s="2412"/>
      <c r="X228" s="2412"/>
      <c r="Y228" s="2412"/>
      <c r="Z228" s="2412"/>
      <c r="AA228" s="2412"/>
      <c r="AB228" s="2412"/>
      <c r="AC228" s="2412"/>
      <c r="AD228" s="2412"/>
      <c r="AE228" s="2412"/>
      <c r="AF228" s="2412"/>
      <c r="AG228" s="2412"/>
      <c r="AH228" s="2412"/>
      <c r="AI228" s="2412"/>
      <c r="AJ228" s="2412"/>
      <c r="AK228" s="2412"/>
      <c r="AL228" s="2412"/>
      <c r="AM228" s="2412"/>
      <c r="AN228" s="2412"/>
      <c r="AO228" s="2412"/>
      <c r="AP228" s="2412"/>
      <c r="AQ228" s="2412"/>
      <c r="AR228" s="2412"/>
      <c r="AS228" s="2412"/>
    </row>
    <row r="229" spans="2:45" x14ac:dyDescent="0.2">
      <c r="B229" s="2410"/>
      <c r="C229" s="2413"/>
      <c r="D229" s="2414" t="s">
        <v>1029</v>
      </c>
      <c r="E229" s="2414" t="s">
        <v>8</v>
      </c>
      <c r="F229" s="2414"/>
      <c r="G229" s="2414">
        <v>2012</v>
      </c>
      <c r="H229" s="2414">
        <v>2013</v>
      </c>
      <c r="I229" s="2414">
        <v>2014</v>
      </c>
      <c r="J229" s="2414">
        <v>2015</v>
      </c>
      <c r="K229" s="2414">
        <v>2016</v>
      </c>
      <c r="L229" s="2414">
        <v>2017</v>
      </c>
      <c r="M229" s="2414">
        <v>2018</v>
      </c>
      <c r="N229" s="2414">
        <v>2019</v>
      </c>
      <c r="O229" s="2414">
        <v>2020</v>
      </c>
      <c r="P229" s="2414">
        <v>2021</v>
      </c>
      <c r="Q229" s="2414">
        <v>2022</v>
      </c>
      <c r="R229" s="2414">
        <v>2023</v>
      </c>
      <c r="S229" s="2414">
        <v>2024</v>
      </c>
      <c r="T229" s="2414">
        <v>2025</v>
      </c>
      <c r="U229" s="2414">
        <v>2026</v>
      </c>
      <c r="V229" s="2414">
        <v>2027</v>
      </c>
      <c r="W229" s="2414">
        <v>2028</v>
      </c>
      <c r="X229" s="2414">
        <v>2029</v>
      </c>
      <c r="Y229" s="2414">
        <v>2030</v>
      </c>
      <c r="Z229" s="2414">
        <v>2031</v>
      </c>
      <c r="AA229" s="2414">
        <v>2032</v>
      </c>
      <c r="AB229" s="2414">
        <v>2033</v>
      </c>
      <c r="AC229" s="2414">
        <v>2034</v>
      </c>
      <c r="AD229" s="2414">
        <v>2035</v>
      </c>
      <c r="AE229" s="2414">
        <v>2036</v>
      </c>
      <c r="AF229" s="2414">
        <v>2037</v>
      </c>
      <c r="AG229" s="2414">
        <v>2038</v>
      </c>
      <c r="AH229" s="2414">
        <v>2039</v>
      </c>
      <c r="AI229" s="2414">
        <v>2040</v>
      </c>
      <c r="AJ229" s="2414">
        <v>2041</v>
      </c>
      <c r="AK229" s="2414">
        <v>2042</v>
      </c>
      <c r="AL229" s="2414">
        <v>2043</v>
      </c>
      <c r="AM229" s="2414">
        <v>2044</v>
      </c>
      <c r="AN229" s="2414">
        <v>2045</v>
      </c>
      <c r="AO229" s="2414">
        <v>2046</v>
      </c>
      <c r="AP229" s="2414">
        <v>2047</v>
      </c>
      <c r="AQ229" s="2414">
        <v>2048</v>
      </c>
      <c r="AR229" s="2414">
        <v>2049</v>
      </c>
      <c r="AS229" s="2414">
        <v>2050</v>
      </c>
    </row>
    <row r="230" spans="2:45" x14ac:dyDescent="0.2">
      <c r="B230" s="2410"/>
      <c r="C230" s="2412" t="s">
        <v>1364</v>
      </c>
      <c r="D230" s="2415" t="s">
        <v>1453</v>
      </c>
      <c r="E230" s="2411" t="s">
        <v>319</v>
      </c>
      <c r="F230" s="2411"/>
      <c r="G230" s="2431"/>
      <c r="H230" s="2431"/>
      <c r="I230" s="2431"/>
      <c r="J230" s="2431"/>
      <c r="K230" s="2431"/>
      <c r="L230" s="2431"/>
      <c r="M230" s="2431"/>
      <c r="N230" s="2431"/>
      <c r="O230" s="2431"/>
      <c r="P230" s="2431"/>
      <c r="Q230" s="2431"/>
      <c r="R230" s="2431"/>
      <c r="S230" s="2431"/>
      <c r="T230" s="2431"/>
      <c r="U230" s="2431"/>
      <c r="V230" s="2431"/>
      <c r="W230" s="2431"/>
      <c r="X230" s="2431"/>
      <c r="Y230" s="2431"/>
      <c r="Z230" s="2431"/>
      <c r="AA230" s="2431"/>
      <c r="AB230" s="2431"/>
      <c r="AC230" s="2431"/>
      <c r="AD230" s="2431"/>
      <c r="AE230" s="2431"/>
      <c r="AF230" s="2431"/>
      <c r="AG230" s="2431"/>
      <c r="AH230" s="2431"/>
      <c r="AI230" s="2431"/>
      <c r="AJ230" s="2431"/>
      <c r="AK230" s="2431"/>
      <c r="AL230" s="2431"/>
      <c r="AM230" s="2431"/>
      <c r="AN230" s="2431"/>
      <c r="AO230" s="2431"/>
      <c r="AP230" s="2431"/>
      <c r="AQ230" s="2431"/>
      <c r="AR230" s="2431"/>
      <c r="AS230" s="2431"/>
    </row>
    <row r="231" spans="2:45" x14ac:dyDescent="0.2">
      <c r="B231" s="2410"/>
      <c r="C231" s="2432" t="s">
        <v>1366</v>
      </c>
      <c r="D231" s="2415" t="s">
        <v>1453</v>
      </c>
      <c r="E231" s="2411" t="s">
        <v>319</v>
      </c>
      <c r="F231" s="2411"/>
      <c r="G231" s="2431">
        <v>9992.4063574620977</v>
      </c>
      <c r="H231" s="2431">
        <v>9992.4063574620977</v>
      </c>
      <c r="I231" s="2431">
        <v>9992.4063574620977</v>
      </c>
      <c r="J231" s="2431">
        <v>9992.4063574620977</v>
      </c>
      <c r="K231" s="2431">
        <v>9992.4063574620977</v>
      </c>
      <c r="L231" s="2431">
        <v>9992.4063574620977</v>
      </c>
      <c r="M231" s="2431">
        <v>9992.4063574620977</v>
      </c>
      <c r="N231" s="2431">
        <v>9992.4063574620977</v>
      </c>
      <c r="O231" s="2431">
        <v>9992.4063574620977</v>
      </c>
      <c r="P231" s="2431">
        <v>9992.4063574620977</v>
      </c>
      <c r="Q231" s="2431">
        <v>9992.4063574620977</v>
      </c>
      <c r="R231" s="2431">
        <v>9992.4063574620977</v>
      </c>
      <c r="S231" s="2431">
        <v>9992.4063574620977</v>
      </c>
      <c r="T231" s="2431">
        <v>9992.4063574620977</v>
      </c>
      <c r="U231" s="2431">
        <v>9992.4063574620977</v>
      </c>
      <c r="V231" s="2431">
        <v>9992.4063574620977</v>
      </c>
      <c r="W231" s="2431">
        <v>9992.4063574620977</v>
      </c>
      <c r="X231" s="2431">
        <v>9992.4063574620977</v>
      </c>
      <c r="Y231" s="2431">
        <v>9992.4063574620977</v>
      </c>
      <c r="Z231" s="2431">
        <v>9992.4063574620977</v>
      </c>
      <c r="AA231" s="2431">
        <v>9992.4063574620977</v>
      </c>
      <c r="AB231" s="2431">
        <v>9992.4063574620977</v>
      </c>
      <c r="AC231" s="2431">
        <v>9992.4063574620977</v>
      </c>
      <c r="AD231" s="2431">
        <v>9992.4063574620977</v>
      </c>
      <c r="AE231" s="2431">
        <v>9992.4063574620977</v>
      </c>
      <c r="AF231" s="2431">
        <v>9992.4063574620977</v>
      </c>
      <c r="AG231" s="2431">
        <v>9992.4063574620977</v>
      </c>
      <c r="AH231" s="2431">
        <v>9992.4063574620977</v>
      </c>
      <c r="AI231" s="2431">
        <v>9992.4063574620977</v>
      </c>
      <c r="AJ231" s="2431">
        <v>9992.4063574620977</v>
      </c>
      <c r="AK231" s="2431">
        <v>9992.4063574620977</v>
      </c>
      <c r="AL231" s="2431">
        <v>9992.4063574620977</v>
      </c>
      <c r="AM231" s="2431">
        <v>9992.4063574620977</v>
      </c>
      <c r="AN231" s="2431">
        <v>9992.4063574620977</v>
      </c>
      <c r="AO231" s="2431">
        <v>9992.4063574620977</v>
      </c>
      <c r="AP231" s="2431">
        <v>9992.4063574620977</v>
      </c>
      <c r="AQ231" s="2431">
        <v>9992.4063574620977</v>
      </c>
      <c r="AR231" s="2431">
        <v>9992.4063574620977</v>
      </c>
      <c r="AS231" s="2431">
        <v>9992.4063574620977</v>
      </c>
    </row>
    <row r="232" spans="2:45" x14ac:dyDescent="0.2">
      <c r="B232" s="2410"/>
      <c r="C232" s="2432" t="s">
        <v>1367</v>
      </c>
      <c r="D232" s="2415" t="s">
        <v>1453</v>
      </c>
      <c r="E232" s="2411" t="s">
        <v>319</v>
      </c>
      <c r="F232" s="2411"/>
      <c r="G232" s="2431">
        <v>22681.813787585332</v>
      </c>
      <c r="H232" s="2431">
        <v>22681.813787585332</v>
      </c>
      <c r="I232" s="2431">
        <v>22681.813787585332</v>
      </c>
      <c r="J232" s="2431">
        <v>22681.813787585332</v>
      </c>
      <c r="K232" s="2431">
        <v>22681.813787585332</v>
      </c>
      <c r="L232" s="2431">
        <v>22681.813787585332</v>
      </c>
      <c r="M232" s="2431">
        <v>22681.813787585332</v>
      </c>
      <c r="N232" s="2431">
        <v>22681.813787585332</v>
      </c>
      <c r="O232" s="2431">
        <v>22681.813787585332</v>
      </c>
      <c r="P232" s="2431">
        <v>22681.813787585332</v>
      </c>
      <c r="Q232" s="2431">
        <v>22681.813787585332</v>
      </c>
      <c r="R232" s="2431">
        <v>22681.813787585332</v>
      </c>
      <c r="S232" s="2431">
        <v>22681.813787585332</v>
      </c>
      <c r="T232" s="2431">
        <v>22681.813787585332</v>
      </c>
      <c r="U232" s="2431">
        <v>22681.813787585332</v>
      </c>
      <c r="V232" s="2431">
        <v>22681.813787585332</v>
      </c>
      <c r="W232" s="2431">
        <v>22681.813787585332</v>
      </c>
      <c r="X232" s="2431">
        <v>22681.813787585332</v>
      </c>
      <c r="Y232" s="2431">
        <v>22681.813787585332</v>
      </c>
      <c r="Z232" s="2431">
        <v>22681.813787585332</v>
      </c>
      <c r="AA232" s="2431">
        <v>22681.813787585332</v>
      </c>
      <c r="AB232" s="2431">
        <v>22681.813787585332</v>
      </c>
      <c r="AC232" s="2431">
        <v>22681.813787585332</v>
      </c>
      <c r="AD232" s="2431">
        <v>22681.813787585332</v>
      </c>
      <c r="AE232" s="2431">
        <v>22681.813787585332</v>
      </c>
      <c r="AF232" s="2431">
        <v>22681.813787585332</v>
      </c>
      <c r="AG232" s="2431">
        <v>22681.813787585332</v>
      </c>
      <c r="AH232" s="2431">
        <v>22681.813787585332</v>
      </c>
      <c r="AI232" s="2431">
        <v>22681.813787585332</v>
      </c>
      <c r="AJ232" s="2431">
        <v>22681.813787585332</v>
      </c>
      <c r="AK232" s="2431">
        <v>22681.813787585332</v>
      </c>
      <c r="AL232" s="2431">
        <v>22681.813787585332</v>
      </c>
      <c r="AM232" s="2431">
        <v>22681.813787585332</v>
      </c>
      <c r="AN232" s="2431">
        <v>22681.813787585332</v>
      </c>
      <c r="AO232" s="2431">
        <v>22681.813787585332</v>
      </c>
      <c r="AP232" s="2431">
        <v>22681.813787585332</v>
      </c>
      <c r="AQ232" s="2431">
        <v>22681.813787585332</v>
      </c>
      <c r="AR232" s="2431">
        <v>22681.813787585332</v>
      </c>
      <c r="AS232" s="2431">
        <v>22681.813787585332</v>
      </c>
    </row>
    <row r="233" spans="2:45" x14ac:dyDescent="0.2">
      <c r="B233" s="2410"/>
      <c r="C233" s="2432" t="s">
        <v>1368</v>
      </c>
      <c r="D233" s="2415" t="s">
        <v>1453</v>
      </c>
      <c r="E233" s="2411" t="s">
        <v>319</v>
      </c>
      <c r="F233" s="2411"/>
      <c r="G233" s="2431">
        <v>1104.639899103991</v>
      </c>
      <c r="H233" s="2431">
        <v>1104.639899103991</v>
      </c>
      <c r="I233" s="2431">
        <v>1104.639899103991</v>
      </c>
      <c r="J233" s="2431">
        <v>1104.639899103991</v>
      </c>
      <c r="K233" s="2431">
        <v>1104.639899103991</v>
      </c>
      <c r="L233" s="2431">
        <v>1104.639899103991</v>
      </c>
      <c r="M233" s="2431">
        <v>1104.639899103991</v>
      </c>
      <c r="N233" s="2431">
        <v>1104.639899103991</v>
      </c>
      <c r="O233" s="2431">
        <v>1104.639899103991</v>
      </c>
      <c r="P233" s="2431">
        <v>1104.639899103991</v>
      </c>
      <c r="Q233" s="2431">
        <v>1104.639899103991</v>
      </c>
      <c r="R233" s="2431">
        <v>1104.639899103991</v>
      </c>
      <c r="S233" s="2431">
        <v>1104.639899103991</v>
      </c>
      <c r="T233" s="2431">
        <v>1104.639899103991</v>
      </c>
      <c r="U233" s="2431">
        <v>1104.639899103991</v>
      </c>
      <c r="V233" s="2431">
        <v>1104.639899103991</v>
      </c>
      <c r="W233" s="2431">
        <v>1104.639899103991</v>
      </c>
      <c r="X233" s="2431">
        <v>1104.639899103991</v>
      </c>
      <c r="Y233" s="2431">
        <v>1104.639899103991</v>
      </c>
      <c r="Z233" s="2431">
        <v>1104.639899103991</v>
      </c>
      <c r="AA233" s="2431">
        <v>1104.639899103991</v>
      </c>
      <c r="AB233" s="2431">
        <v>1104.639899103991</v>
      </c>
      <c r="AC233" s="2431">
        <v>1104.639899103991</v>
      </c>
      <c r="AD233" s="2431">
        <v>1104.639899103991</v>
      </c>
      <c r="AE233" s="2431">
        <v>1104.639899103991</v>
      </c>
      <c r="AF233" s="2431">
        <v>1104.639899103991</v>
      </c>
      <c r="AG233" s="2431">
        <v>1104.639899103991</v>
      </c>
      <c r="AH233" s="2431">
        <v>1104.639899103991</v>
      </c>
      <c r="AI233" s="2431">
        <v>1104.639899103991</v>
      </c>
      <c r="AJ233" s="2431">
        <v>1104.639899103991</v>
      </c>
      <c r="AK233" s="2431">
        <v>1104.639899103991</v>
      </c>
      <c r="AL233" s="2431">
        <v>1104.639899103991</v>
      </c>
      <c r="AM233" s="2431">
        <v>1104.639899103991</v>
      </c>
      <c r="AN233" s="2431">
        <v>1104.639899103991</v>
      </c>
      <c r="AO233" s="2431">
        <v>1104.639899103991</v>
      </c>
      <c r="AP233" s="2431">
        <v>1104.639899103991</v>
      </c>
      <c r="AQ233" s="2431">
        <v>1104.639899103991</v>
      </c>
      <c r="AR233" s="2431">
        <v>1104.639899103991</v>
      </c>
      <c r="AS233" s="2431">
        <v>1104.639899103991</v>
      </c>
    </row>
    <row r="234" spans="2:45" x14ac:dyDescent="0.2">
      <c r="B234" s="2410"/>
      <c r="C234" s="2432" t="s">
        <v>1369</v>
      </c>
      <c r="D234" s="2415" t="s">
        <v>1453</v>
      </c>
      <c r="E234" s="2411" t="s">
        <v>319</v>
      </c>
      <c r="F234" s="2411"/>
      <c r="G234" s="2431">
        <v>10727.454900310171</v>
      </c>
      <c r="H234" s="2431">
        <v>10727.454900310171</v>
      </c>
      <c r="I234" s="2431">
        <v>10727.454900310171</v>
      </c>
      <c r="J234" s="2431">
        <v>10727.454900310171</v>
      </c>
      <c r="K234" s="2431">
        <v>10727.454900310171</v>
      </c>
      <c r="L234" s="2431">
        <v>10727.454900310171</v>
      </c>
      <c r="M234" s="2431">
        <v>10727.454900310171</v>
      </c>
      <c r="N234" s="2431">
        <v>10727.454900310171</v>
      </c>
      <c r="O234" s="2431">
        <v>10727.454900310171</v>
      </c>
      <c r="P234" s="2431">
        <v>10727.454900310171</v>
      </c>
      <c r="Q234" s="2431">
        <v>10727.454900310171</v>
      </c>
      <c r="R234" s="2431">
        <v>10727.454900310171</v>
      </c>
      <c r="S234" s="2431">
        <v>10727.454900310171</v>
      </c>
      <c r="T234" s="2431">
        <v>10727.454900310171</v>
      </c>
      <c r="U234" s="2431">
        <v>10727.454900310171</v>
      </c>
      <c r="V234" s="2431">
        <v>10727.454900310171</v>
      </c>
      <c r="W234" s="2431">
        <v>10727.454900310171</v>
      </c>
      <c r="X234" s="2431">
        <v>10727.454900310171</v>
      </c>
      <c r="Y234" s="2431">
        <v>10727.454900310171</v>
      </c>
      <c r="Z234" s="2431">
        <v>10727.454900310171</v>
      </c>
      <c r="AA234" s="2431">
        <v>10727.454900310171</v>
      </c>
      <c r="AB234" s="2431">
        <v>10727.454900310171</v>
      </c>
      <c r="AC234" s="2431">
        <v>10727.454900310171</v>
      </c>
      <c r="AD234" s="2431">
        <v>10727.454900310171</v>
      </c>
      <c r="AE234" s="2431">
        <v>10727.454900310171</v>
      </c>
      <c r="AF234" s="2431">
        <v>10727.454900310171</v>
      </c>
      <c r="AG234" s="2431">
        <v>10727.454900310171</v>
      </c>
      <c r="AH234" s="2431">
        <v>10727.454900310171</v>
      </c>
      <c r="AI234" s="2431">
        <v>10727.454900310171</v>
      </c>
      <c r="AJ234" s="2431">
        <v>10727.454900310171</v>
      </c>
      <c r="AK234" s="2431">
        <v>10727.454900310171</v>
      </c>
      <c r="AL234" s="2431">
        <v>10727.454900310171</v>
      </c>
      <c r="AM234" s="2431">
        <v>10727.454900310171</v>
      </c>
      <c r="AN234" s="2431">
        <v>10727.454900310171</v>
      </c>
      <c r="AO234" s="2431">
        <v>10727.454900310171</v>
      </c>
      <c r="AP234" s="2431">
        <v>10727.454900310171</v>
      </c>
      <c r="AQ234" s="2431">
        <v>10727.454900310171</v>
      </c>
      <c r="AR234" s="2431">
        <v>10727.454900310171</v>
      </c>
      <c r="AS234" s="2431">
        <v>10727.454900310171</v>
      </c>
    </row>
    <row r="235" spans="2:45" x14ac:dyDescent="0.2">
      <c r="B235" s="2410"/>
      <c r="C235" s="2432" t="s">
        <v>1370</v>
      </c>
      <c r="D235" s="2415" t="s">
        <v>1453</v>
      </c>
      <c r="E235" s="2411" t="s">
        <v>319</v>
      </c>
      <c r="F235" s="2411"/>
      <c r="G235" s="2431">
        <v>27192.637642118643</v>
      </c>
      <c r="H235" s="2431">
        <v>27192.637642118643</v>
      </c>
      <c r="I235" s="2431">
        <v>27192.637642118643</v>
      </c>
      <c r="J235" s="2431">
        <v>27192.637642118643</v>
      </c>
      <c r="K235" s="2431">
        <v>27192.637642118643</v>
      </c>
      <c r="L235" s="2431">
        <v>27192.637642118643</v>
      </c>
      <c r="M235" s="2431">
        <v>27192.637642118643</v>
      </c>
      <c r="N235" s="2431">
        <v>27192.637642118643</v>
      </c>
      <c r="O235" s="2431">
        <v>27192.637642118643</v>
      </c>
      <c r="P235" s="2431">
        <v>27192.637642118643</v>
      </c>
      <c r="Q235" s="2431">
        <v>27192.637642118643</v>
      </c>
      <c r="R235" s="2431">
        <v>27192.637642118643</v>
      </c>
      <c r="S235" s="2431">
        <v>27192.637642118643</v>
      </c>
      <c r="T235" s="2431">
        <v>27192.637642118643</v>
      </c>
      <c r="U235" s="2431">
        <v>27192.637642118643</v>
      </c>
      <c r="V235" s="2431">
        <v>27192.637642118643</v>
      </c>
      <c r="W235" s="2431">
        <v>27192.637642118643</v>
      </c>
      <c r="X235" s="2431">
        <v>27192.637642118643</v>
      </c>
      <c r="Y235" s="2431">
        <v>27192.637642118643</v>
      </c>
      <c r="Z235" s="2431">
        <v>27192.637642118643</v>
      </c>
      <c r="AA235" s="2431">
        <v>27192.637642118643</v>
      </c>
      <c r="AB235" s="2431">
        <v>27192.637642118643</v>
      </c>
      <c r="AC235" s="2431">
        <v>27192.637642118643</v>
      </c>
      <c r="AD235" s="2431">
        <v>27192.637642118643</v>
      </c>
      <c r="AE235" s="2431">
        <v>27192.637642118643</v>
      </c>
      <c r="AF235" s="2431">
        <v>27192.637642118643</v>
      </c>
      <c r="AG235" s="2431">
        <v>27192.637642118643</v>
      </c>
      <c r="AH235" s="2431">
        <v>27192.637642118643</v>
      </c>
      <c r="AI235" s="2431">
        <v>27192.637642118643</v>
      </c>
      <c r="AJ235" s="2431">
        <v>27192.637642118643</v>
      </c>
      <c r="AK235" s="2431">
        <v>27192.637642118643</v>
      </c>
      <c r="AL235" s="2431">
        <v>27192.637642118643</v>
      </c>
      <c r="AM235" s="2431">
        <v>27192.637642118643</v>
      </c>
      <c r="AN235" s="2431">
        <v>27192.637642118643</v>
      </c>
      <c r="AO235" s="2431">
        <v>27192.637642118643</v>
      </c>
      <c r="AP235" s="2431">
        <v>27192.637642118643</v>
      </c>
      <c r="AQ235" s="2431">
        <v>27192.637642118643</v>
      </c>
      <c r="AR235" s="2431">
        <v>27192.637642118643</v>
      </c>
      <c r="AS235" s="2431">
        <v>27192.637642118643</v>
      </c>
    </row>
    <row r="236" spans="2:45" x14ac:dyDescent="0.2">
      <c r="B236" s="2410"/>
      <c r="C236" s="2432" t="s">
        <v>1371</v>
      </c>
      <c r="D236" s="2415" t="s">
        <v>1453</v>
      </c>
      <c r="E236" s="2411" t="s">
        <v>319</v>
      </c>
      <c r="F236" s="2411"/>
      <c r="G236" s="2431">
        <v>2330.1669466820626</v>
      </c>
      <c r="H236" s="2431">
        <v>2330.1669466820626</v>
      </c>
      <c r="I236" s="2431">
        <v>2330.1669466820626</v>
      </c>
      <c r="J236" s="2431">
        <v>2330.1669466820626</v>
      </c>
      <c r="K236" s="2431">
        <v>2330.1669466820626</v>
      </c>
      <c r="L236" s="2431">
        <v>2330.1669466820626</v>
      </c>
      <c r="M236" s="2431">
        <v>2330.1669466820626</v>
      </c>
      <c r="N236" s="2431">
        <v>2330.1669466820626</v>
      </c>
      <c r="O236" s="2431">
        <v>2330.1669466820626</v>
      </c>
      <c r="P236" s="2431">
        <v>2330.1669466820626</v>
      </c>
      <c r="Q236" s="2431">
        <v>2330.1669466820626</v>
      </c>
      <c r="R236" s="2431">
        <v>2330.1669466820626</v>
      </c>
      <c r="S236" s="2431">
        <v>2330.1669466820626</v>
      </c>
      <c r="T236" s="2431">
        <v>2330.1669466820626</v>
      </c>
      <c r="U236" s="2431">
        <v>2330.1669466820626</v>
      </c>
      <c r="V236" s="2431">
        <v>2330.1669466820626</v>
      </c>
      <c r="W236" s="2431">
        <v>2330.1669466820626</v>
      </c>
      <c r="X236" s="2431">
        <v>2330.1669466820626</v>
      </c>
      <c r="Y236" s="2431">
        <v>2330.1669466820626</v>
      </c>
      <c r="Z236" s="2431">
        <v>2330.1669466820626</v>
      </c>
      <c r="AA236" s="2431">
        <v>2330.1669466820626</v>
      </c>
      <c r="AB236" s="2431">
        <v>2330.1669466820626</v>
      </c>
      <c r="AC236" s="2431">
        <v>2330.1669466820626</v>
      </c>
      <c r="AD236" s="2431">
        <v>2330.1669466820626</v>
      </c>
      <c r="AE236" s="2431">
        <v>2330.1669466820626</v>
      </c>
      <c r="AF236" s="2431">
        <v>2330.1669466820626</v>
      </c>
      <c r="AG236" s="2431">
        <v>2330.1669466820626</v>
      </c>
      <c r="AH236" s="2431">
        <v>2330.1669466820626</v>
      </c>
      <c r="AI236" s="2431">
        <v>2330.1669466820626</v>
      </c>
      <c r="AJ236" s="2431">
        <v>2330.1669466820626</v>
      </c>
      <c r="AK236" s="2431">
        <v>2330.1669466820626</v>
      </c>
      <c r="AL236" s="2431">
        <v>2330.1669466820626</v>
      </c>
      <c r="AM236" s="2431">
        <v>2330.1669466820626</v>
      </c>
      <c r="AN236" s="2431">
        <v>2330.1669466820626</v>
      </c>
      <c r="AO236" s="2431">
        <v>2330.1669466820626</v>
      </c>
      <c r="AP236" s="2431">
        <v>2330.1669466820626</v>
      </c>
      <c r="AQ236" s="2431">
        <v>2330.1669466820626</v>
      </c>
      <c r="AR236" s="2431">
        <v>2330.1669466820626</v>
      </c>
      <c r="AS236" s="2431">
        <v>2330.1669466820626</v>
      </c>
    </row>
    <row r="237" spans="2:45" x14ac:dyDescent="0.2">
      <c r="B237" s="2410"/>
      <c r="C237" s="2412" t="s">
        <v>1372</v>
      </c>
      <c r="D237" s="2415" t="s">
        <v>1453</v>
      </c>
      <c r="E237" s="2411" t="s">
        <v>319</v>
      </c>
      <c r="F237" s="2411"/>
      <c r="G237" s="2431">
        <v>169.99999999999997</v>
      </c>
      <c r="H237" s="2431">
        <v>169.99999999999997</v>
      </c>
      <c r="I237" s="2431">
        <v>169.99999999999997</v>
      </c>
      <c r="J237" s="2431">
        <v>169.99999999999997</v>
      </c>
      <c r="K237" s="2431">
        <v>169.99999999999997</v>
      </c>
      <c r="L237" s="2431">
        <v>169.99999999999997</v>
      </c>
      <c r="M237" s="2431">
        <v>169.99999999999997</v>
      </c>
      <c r="N237" s="2431">
        <v>169.99999999999997</v>
      </c>
      <c r="O237" s="2431">
        <v>169.99999999999997</v>
      </c>
      <c r="P237" s="2431">
        <v>169.99999999999997</v>
      </c>
      <c r="Q237" s="2431">
        <v>169.99999999999997</v>
      </c>
      <c r="R237" s="2431">
        <v>169.99999999999997</v>
      </c>
      <c r="S237" s="2431">
        <v>169.99999999999997</v>
      </c>
      <c r="T237" s="2431">
        <v>169.99999999999997</v>
      </c>
      <c r="U237" s="2431">
        <v>169.99999999999997</v>
      </c>
      <c r="V237" s="2431">
        <v>169.99999999999997</v>
      </c>
      <c r="W237" s="2431">
        <v>169.99999999999997</v>
      </c>
      <c r="X237" s="2431">
        <v>169.99999999999997</v>
      </c>
      <c r="Y237" s="2431">
        <v>169.99999999999997</v>
      </c>
      <c r="Z237" s="2431">
        <v>169.99999999999997</v>
      </c>
      <c r="AA237" s="2431">
        <v>169.99999999999997</v>
      </c>
      <c r="AB237" s="2431">
        <v>169.99999999999997</v>
      </c>
      <c r="AC237" s="2431">
        <v>169.99999999999997</v>
      </c>
      <c r="AD237" s="2431">
        <v>169.99999999999997</v>
      </c>
      <c r="AE237" s="2431">
        <v>169.99999999999997</v>
      </c>
      <c r="AF237" s="2431">
        <v>169.99999999999997</v>
      </c>
      <c r="AG237" s="2431">
        <v>169.99999999999997</v>
      </c>
      <c r="AH237" s="2431">
        <v>169.99999999999997</v>
      </c>
      <c r="AI237" s="2431">
        <v>169.99999999999997</v>
      </c>
      <c r="AJ237" s="2431">
        <v>169.99999999999997</v>
      </c>
      <c r="AK237" s="2431">
        <v>169.99999999999997</v>
      </c>
      <c r="AL237" s="2431">
        <v>169.99999999999997</v>
      </c>
      <c r="AM237" s="2431">
        <v>169.99999999999997</v>
      </c>
      <c r="AN237" s="2431">
        <v>169.99999999999997</v>
      </c>
      <c r="AO237" s="2431">
        <v>169.99999999999997</v>
      </c>
      <c r="AP237" s="2431">
        <v>169.99999999999997</v>
      </c>
      <c r="AQ237" s="2431">
        <v>169.99999999999997</v>
      </c>
      <c r="AR237" s="2431">
        <v>169.99999999999997</v>
      </c>
      <c r="AS237" s="2431">
        <v>169.99999999999997</v>
      </c>
    </row>
    <row r="238" spans="2:45" x14ac:dyDescent="0.2">
      <c r="B238" s="2410"/>
      <c r="C238" s="2412" t="s">
        <v>1373</v>
      </c>
      <c r="D238" s="2415" t="s">
        <v>1453</v>
      </c>
      <c r="E238" s="2411" t="s">
        <v>319</v>
      </c>
      <c r="F238" s="2411"/>
      <c r="G238" s="2431">
        <v>1640</v>
      </c>
      <c r="H238" s="2431">
        <v>1640</v>
      </c>
      <c r="I238" s="2431">
        <v>1640</v>
      </c>
      <c r="J238" s="2431">
        <v>1640</v>
      </c>
      <c r="K238" s="2431">
        <v>1640</v>
      </c>
      <c r="L238" s="2431">
        <v>1640</v>
      </c>
      <c r="M238" s="2431">
        <v>1640</v>
      </c>
      <c r="N238" s="2431">
        <v>1640</v>
      </c>
      <c r="O238" s="2431">
        <v>1640</v>
      </c>
      <c r="P238" s="2431">
        <v>1640</v>
      </c>
      <c r="Q238" s="2431">
        <v>1640</v>
      </c>
      <c r="R238" s="2431">
        <v>1640</v>
      </c>
      <c r="S238" s="2431">
        <v>1640</v>
      </c>
      <c r="T238" s="2431">
        <v>1640</v>
      </c>
      <c r="U238" s="2431">
        <v>1640</v>
      </c>
      <c r="V238" s="2431">
        <v>1640</v>
      </c>
      <c r="W238" s="2431">
        <v>1640</v>
      </c>
      <c r="X238" s="2431">
        <v>1640</v>
      </c>
      <c r="Y238" s="2431">
        <v>1640</v>
      </c>
      <c r="Z238" s="2431">
        <v>1640</v>
      </c>
      <c r="AA238" s="2431">
        <v>1640</v>
      </c>
      <c r="AB238" s="2431">
        <v>1640</v>
      </c>
      <c r="AC238" s="2431">
        <v>1640</v>
      </c>
      <c r="AD238" s="2431">
        <v>1640</v>
      </c>
      <c r="AE238" s="2431">
        <v>1640</v>
      </c>
      <c r="AF238" s="2431">
        <v>1640</v>
      </c>
      <c r="AG238" s="2431">
        <v>1640</v>
      </c>
      <c r="AH238" s="2431">
        <v>1640</v>
      </c>
      <c r="AI238" s="2431">
        <v>1640</v>
      </c>
      <c r="AJ238" s="2431">
        <v>1640</v>
      </c>
      <c r="AK238" s="2431">
        <v>1640</v>
      </c>
      <c r="AL238" s="2431">
        <v>1640</v>
      </c>
      <c r="AM238" s="2431">
        <v>1640</v>
      </c>
      <c r="AN238" s="2431">
        <v>1640</v>
      </c>
      <c r="AO238" s="2431">
        <v>1640</v>
      </c>
      <c r="AP238" s="2431">
        <v>1640</v>
      </c>
      <c r="AQ238" s="2431">
        <v>1640</v>
      </c>
      <c r="AR238" s="2431">
        <v>1640</v>
      </c>
      <c r="AS238" s="2431">
        <v>1640</v>
      </c>
    </row>
    <row r="239" spans="2:45" x14ac:dyDescent="0.2">
      <c r="B239" s="2410"/>
      <c r="C239" s="2412" t="s">
        <v>1454</v>
      </c>
      <c r="D239" s="2415" t="s">
        <v>1453</v>
      </c>
      <c r="E239" s="2411" t="s">
        <v>319</v>
      </c>
      <c r="F239" s="2411"/>
      <c r="G239" s="2431">
        <v>900</v>
      </c>
      <c r="H239" s="2431">
        <v>900</v>
      </c>
      <c r="I239" s="2431">
        <v>900</v>
      </c>
      <c r="J239" s="2431">
        <v>900</v>
      </c>
      <c r="K239" s="2431">
        <v>900</v>
      </c>
      <c r="L239" s="2431">
        <v>900</v>
      </c>
      <c r="M239" s="2431">
        <v>900</v>
      </c>
      <c r="N239" s="2431">
        <v>900</v>
      </c>
      <c r="O239" s="2431">
        <v>900</v>
      </c>
      <c r="P239" s="2431">
        <v>900</v>
      </c>
      <c r="Q239" s="2431">
        <v>900</v>
      </c>
      <c r="R239" s="2431">
        <v>900</v>
      </c>
      <c r="S239" s="2431">
        <v>900</v>
      </c>
      <c r="T239" s="2431">
        <v>900</v>
      </c>
      <c r="U239" s="2431">
        <v>900</v>
      </c>
      <c r="V239" s="2431">
        <v>900</v>
      </c>
      <c r="W239" s="2431">
        <v>900</v>
      </c>
      <c r="X239" s="2431">
        <v>900</v>
      </c>
      <c r="Y239" s="2431">
        <v>900</v>
      </c>
      <c r="Z239" s="2431">
        <v>900</v>
      </c>
      <c r="AA239" s="2431">
        <v>900</v>
      </c>
      <c r="AB239" s="2431">
        <v>900</v>
      </c>
      <c r="AC239" s="2431">
        <v>900</v>
      </c>
      <c r="AD239" s="2431">
        <v>900</v>
      </c>
      <c r="AE239" s="2431">
        <v>900</v>
      </c>
      <c r="AF239" s="2431">
        <v>900</v>
      </c>
      <c r="AG239" s="2431">
        <v>900</v>
      </c>
      <c r="AH239" s="2431">
        <v>900</v>
      </c>
      <c r="AI239" s="2431">
        <v>900</v>
      </c>
      <c r="AJ239" s="2431">
        <v>900</v>
      </c>
      <c r="AK239" s="2431">
        <v>900</v>
      </c>
      <c r="AL239" s="2431">
        <v>900</v>
      </c>
      <c r="AM239" s="2431">
        <v>900</v>
      </c>
      <c r="AN239" s="2431">
        <v>900</v>
      </c>
      <c r="AO239" s="2431">
        <v>900</v>
      </c>
      <c r="AP239" s="2431">
        <v>900</v>
      </c>
      <c r="AQ239" s="2431">
        <v>900</v>
      </c>
      <c r="AR239" s="2431">
        <v>900</v>
      </c>
      <c r="AS239" s="2431">
        <v>900</v>
      </c>
    </row>
    <row r="240" spans="2:45" x14ac:dyDescent="0.2">
      <c r="B240" s="2410"/>
      <c r="C240" s="2412" t="s">
        <v>1455</v>
      </c>
      <c r="D240" s="2415" t="s">
        <v>1453</v>
      </c>
      <c r="E240" s="2411" t="s">
        <v>319</v>
      </c>
      <c r="F240" s="2411"/>
      <c r="G240" s="2431">
        <v>1919.9999999999995</v>
      </c>
      <c r="H240" s="2431">
        <v>1919.9999999999995</v>
      </c>
      <c r="I240" s="2431">
        <v>1919.9999999999995</v>
      </c>
      <c r="J240" s="2431">
        <v>1919.9999999999995</v>
      </c>
      <c r="K240" s="2431">
        <v>1919.9999999999995</v>
      </c>
      <c r="L240" s="2431">
        <v>1919.9999999999995</v>
      </c>
      <c r="M240" s="2431">
        <v>1919.9999999999995</v>
      </c>
      <c r="N240" s="2431">
        <v>1919.9999999999995</v>
      </c>
      <c r="O240" s="2431">
        <v>1919.9999999999995</v>
      </c>
      <c r="P240" s="2431">
        <v>1919.9999999999995</v>
      </c>
      <c r="Q240" s="2431">
        <v>1919.9999999999995</v>
      </c>
      <c r="R240" s="2431">
        <v>1919.9999999999995</v>
      </c>
      <c r="S240" s="2431">
        <v>1919.9999999999995</v>
      </c>
      <c r="T240" s="2431">
        <v>1919.9999999999995</v>
      </c>
      <c r="U240" s="2431">
        <v>1919.9999999999995</v>
      </c>
      <c r="V240" s="2431">
        <v>1919.9999999999995</v>
      </c>
      <c r="W240" s="2431">
        <v>1919.9999999999995</v>
      </c>
      <c r="X240" s="2431">
        <v>1919.9999999999995</v>
      </c>
      <c r="Y240" s="2431">
        <v>1919.9999999999995</v>
      </c>
      <c r="Z240" s="2431">
        <v>1919.9999999999995</v>
      </c>
      <c r="AA240" s="2431">
        <v>1919.9999999999995</v>
      </c>
      <c r="AB240" s="2431">
        <v>1919.9999999999995</v>
      </c>
      <c r="AC240" s="2431">
        <v>1919.9999999999995</v>
      </c>
      <c r="AD240" s="2431">
        <v>1919.9999999999995</v>
      </c>
      <c r="AE240" s="2431">
        <v>1919.9999999999995</v>
      </c>
      <c r="AF240" s="2431">
        <v>1919.9999999999995</v>
      </c>
      <c r="AG240" s="2431">
        <v>1919.9999999999995</v>
      </c>
      <c r="AH240" s="2431">
        <v>1919.9999999999995</v>
      </c>
      <c r="AI240" s="2431">
        <v>1919.9999999999995</v>
      </c>
      <c r="AJ240" s="2431">
        <v>1919.9999999999995</v>
      </c>
      <c r="AK240" s="2431">
        <v>1919.9999999999995</v>
      </c>
      <c r="AL240" s="2431">
        <v>1919.9999999999995</v>
      </c>
      <c r="AM240" s="2431">
        <v>1919.9999999999995</v>
      </c>
      <c r="AN240" s="2431">
        <v>1919.9999999999995</v>
      </c>
      <c r="AO240" s="2431">
        <v>1919.9999999999995</v>
      </c>
      <c r="AP240" s="2431">
        <v>1919.9999999999995</v>
      </c>
      <c r="AQ240" s="2431">
        <v>1919.9999999999995</v>
      </c>
      <c r="AR240" s="2431">
        <v>1919.9999999999995</v>
      </c>
      <c r="AS240" s="2431">
        <v>1919.9999999999995</v>
      </c>
    </row>
    <row r="241" spans="2:45" x14ac:dyDescent="0.2">
      <c r="B241" s="2410"/>
      <c r="C241" s="2412" t="s">
        <v>1376</v>
      </c>
      <c r="D241" s="2415" t="s">
        <v>1453</v>
      </c>
      <c r="E241" s="2411" t="s">
        <v>319</v>
      </c>
      <c r="F241" s="2411"/>
      <c r="G241" s="2431">
        <v>159.99999999999997</v>
      </c>
      <c r="H241" s="2431">
        <v>159.99999999999997</v>
      </c>
      <c r="I241" s="2431">
        <v>159.99999999999997</v>
      </c>
      <c r="J241" s="2431">
        <v>159.99999999999997</v>
      </c>
      <c r="K241" s="2431">
        <v>159.99999999999997</v>
      </c>
      <c r="L241" s="2431">
        <v>159.99999999999997</v>
      </c>
      <c r="M241" s="2431">
        <v>159.99999999999997</v>
      </c>
      <c r="N241" s="2431">
        <v>159.99999999999997</v>
      </c>
      <c r="O241" s="2431">
        <v>159.99999999999997</v>
      </c>
      <c r="P241" s="2431">
        <v>159.99999999999997</v>
      </c>
      <c r="Q241" s="2431">
        <v>159.99999999999997</v>
      </c>
      <c r="R241" s="2431">
        <v>159.99999999999997</v>
      </c>
      <c r="S241" s="2431">
        <v>159.99999999999997</v>
      </c>
      <c r="T241" s="2431">
        <v>159.99999999999997</v>
      </c>
      <c r="U241" s="2431">
        <v>159.99999999999997</v>
      </c>
      <c r="V241" s="2431">
        <v>159.99999999999997</v>
      </c>
      <c r="W241" s="2431">
        <v>159.99999999999997</v>
      </c>
      <c r="X241" s="2431">
        <v>159.99999999999997</v>
      </c>
      <c r="Y241" s="2431">
        <v>159.99999999999997</v>
      </c>
      <c r="Z241" s="2431">
        <v>159.99999999999997</v>
      </c>
      <c r="AA241" s="2431">
        <v>159.99999999999997</v>
      </c>
      <c r="AB241" s="2431">
        <v>159.99999999999997</v>
      </c>
      <c r="AC241" s="2431">
        <v>159.99999999999997</v>
      </c>
      <c r="AD241" s="2431">
        <v>159.99999999999997</v>
      </c>
      <c r="AE241" s="2431">
        <v>159.99999999999997</v>
      </c>
      <c r="AF241" s="2431">
        <v>159.99999999999997</v>
      </c>
      <c r="AG241" s="2431">
        <v>159.99999999999997</v>
      </c>
      <c r="AH241" s="2431">
        <v>159.99999999999997</v>
      </c>
      <c r="AI241" s="2431">
        <v>159.99999999999997</v>
      </c>
      <c r="AJ241" s="2431">
        <v>159.99999999999997</v>
      </c>
      <c r="AK241" s="2431">
        <v>159.99999999999997</v>
      </c>
      <c r="AL241" s="2431">
        <v>159.99999999999997</v>
      </c>
      <c r="AM241" s="2431">
        <v>159.99999999999997</v>
      </c>
      <c r="AN241" s="2431">
        <v>159.99999999999997</v>
      </c>
      <c r="AO241" s="2431">
        <v>159.99999999999997</v>
      </c>
      <c r="AP241" s="2431">
        <v>159.99999999999997</v>
      </c>
      <c r="AQ241" s="2431">
        <v>159.99999999999997</v>
      </c>
      <c r="AR241" s="2431">
        <v>159.99999999999997</v>
      </c>
      <c r="AS241" s="2431">
        <v>159.99999999999997</v>
      </c>
    </row>
    <row r="242" spans="2:45" x14ac:dyDescent="0.2">
      <c r="B242" s="2410"/>
      <c r="C242" s="2412" t="s">
        <v>1377</v>
      </c>
      <c r="D242" s="2415" t="s">
        <v>1453</v>
      </c>
      <c r="E242" s="2411" t="s">
        <v>319</v>
      </c>
      <c r="F242" s="2411"/>
      <c r="G242" s="2431"/>
      <c r="H242" s="2431"/>
      <c r="I242" s="2431"/>
      <c r="J242" s="2431"/>
      <c r="K242" s="2431"/>
      <c r="L242" s="2431"/>
      <c r="M242" s="2431"/>
      <c r="N242" s="2431"/>
      <c r="O242" s="2431"/>
      <c r="P242" s="2431"/>
      <c r="Q242" s="2431"/>
      <c r="R242" s="2431"/>
      <c r="S242" s="2431"/>
      <c r="T242" s="2431"/>
      <c r="U242" s="2431"/>
      <c r="V242" s="2431"/>
      <c r="W242" s="2431"/>
      <c r="X242" s="2431"/>
      <c r="Y242" s="2431"/>
      <c r="Z242" s="2431"/>
      <c r="AA242" s="2431"/>
      <c r="AB242" s="2431"/>
      <c r="AC242" s="2431"/>
      <c r="AD242" s="2431"/>
      <c r="AE242" s="2431"/>
      <c r="AF242" s="2431"/>
      <c r="AG242" s="2431"/>
      <c r="AH242" s="2431"/>
      <c r="AI242" s="2431"/>
      <c r="AJ242" s="2431"/>
      <c r="AK242" s="2431"/>
      <c r="AL242" s="2431"/>
      <c r="AM242" s="2431"/>
      <c r="AN242" s="2431"/>
      <c r="AO242" s="2431"/>
      <c r="AP242" s="2431"/>
      <c r="AQ242" s="2431"/>
      <c r="AR242" s="2431"/>
      <c r="AS242" s="2431"/>
    </row>
    <row r="243" spans="2:45" x14ac:dyDescent="0.2">
      <c r="B243" s="2410"/>
      <c r="C243" s="2432" t="s">
        <v>1378</v>
      </c>
      <c r="D243" s="2415" t="s">
        <v>1453</v>
      </c>
      <c r="E243" s="2411" t="s">
        <v>319</v>
      </c>
      <c r="F243" s="2411"/>
      <c r="G243" s="2431">
        <v>19021.948113694762</v>
      </c>
      <c r="H243" s="2431">
        <v>19021.948113694762</v>
      </c>
      <c r="I243" s="2431">
        <v>19021.948113694762</v>
      </c>
      <c r="J243" s="2431">
        <v>19021.948113694762</v>
      </c>
      <c r="K243" s="2431">
        <v>19021.948113694762</v>
      </c>
      <c r="L243" s="2431">
        <v>19021.948113694762</v>
      </c>
      <c r="M243" s="2431">
        <v>19021.948113694762</v>
      </c>
      <c r="N243" s="2431">
        <v>19021.948113694762</v>
      </c>
      <c r="O243" s="2431">
        <v>19021.948113694762</v>
      </c>
      <c r="P243" s="2431">
        <v>19021.948113694762</v>
      </c>
      <c r="Q243" s="2431">
        <v>19021.948113694762</v>
      </c>
      <c r="R243" s="2431">
        <v>19021.948113694762</v>
      </c>
      <c r="S243" s="2431">
        <v>19021.948113694762</v>
      </c>
      <c r="T243" s="2431">
        <v>19021.948113694762</v>
      </c>
      <c r="U243" s="2431">
        <v>19021.948113694762</v>
      </c>
      <c r="V243" s="2431">
        <v>19021.948113694762</v>
      </c>
      <c r="W243" s="2431">
        <v>19021.948113694762</v>
      </c>
      <c r="X243" s="2431">
        <v>19021.948113694762</v>
      </c>
      <c r="Y243" s="2431">
        <v>19021.948113694762</v>
      </c>
      <c r="Z243" s="2431">
        <v>19021.948113694762</v>
      </c>
      <c r="AA243" s="2431">
        <v>19021.948113694762</v>
      </c>
      <c r="AB243" s="2431">
        <v>19021.948113694762</v>
      </c>
      <c r="AC243" s="2431">
        <v>19021.948113694762</v>
      </c>
      <c r="AD243" s="2431">
        <v>19021.948113694762</v>
      </c>
      <c r="AE243" s="2431">
        <v>19021.948113694762</v>
      </c>
      <c r="AF243" s="2431">
        <v>19021.948113694762</v>
      </c>
      <c r="AG243" s="2431">
        <v>19021.948113694762</v>
      </c>
      <c r="AH243" s="2431">
        <v>19021.948113694762</v>
      </c>
      <c r="AI243" s="2431">
        <v>19021.948113694762</v>
      </c>
      <c r="AJ243" s="2431">
        <v>19021.948113694762</v>
      </c>
      <c r="AK243" s="2431">
        <v>19021.948113694762</v>
      </c>
      <c r="AL243" s="2431">
        <v>19021.948113694762</v>
      </c>
      <c r="AM243" s="2431">
        <v>19021.948113694762</v>
      </c>
      <c r="AN243" s="2431">
        <v>19021.948113694762</v>
      </c>
      <c r="AO243" s="2431">
        <v>19021.948113694762</v>
      </c>
      <c r="AP243" s="2431">
        <v>19021.948113694762</v>
      </c>
      <c r="AQ243" s="2431">
        <v>19021.948113694762</v>
      </c>
      <c r="AR243" s="2431">
        <v>19021.948113694762</v>
      </c>
      <c r="AS243" s="2431">
        <v>19021.948113694762</v>
      </c>
    </row>
    <row r="244" spans="2:45" x14ac:dyDescent="0.2">
      <c r="B244" s="2410"/>
      <c r="C244" s="2432" t="s">
        <v>1379</v>
      </c>
      <c r="D244" s="2415" t="s">
        <v>1453</v>
      </c>
      <c r="E244" s="2411" t="s">
        <v>319</v>
      </c>
      <c r="F244" s="2411"/>
      <c r="G244" s="2431">
        <v>15217.558490955807</v>
      </c>
      <c r="H244" s="2431">
        <v>15217.558490955807</v>
      </c>
      <c r="I244" s="2431">
        <v>15217.558490955807</v>
      </c>
      <c r="J244" s="2431">
        <v>15217.558490955807</v>
      </c>
      <c r="K244" s="2431">
        <v>15217.558490955807</v>
      </c>
      <c r="L244" s="2431">
        <v>15217.558490955807</v>
      </c>
      <c r="M244" s="2431">
        <v>15217.558490955807</v>
      </c>
      <c r="N244" s="2431">
        <v>15217.558490955807</v>
      </c>
      <c r="O244" s="2431">
        <v>15217.558490955807</v>
      </c>
      <c r="P244" s="2431">
        <v>15217.558490955807</v>
      </c>
      <c r="Q244" s="2431">
        <v>15217.558490955807</v>
      </c>
      <c r="R244" s="2431">
        <v>15217.558490955807</v>
      </c>
      <c r="S244" s="2431">
        <v>15217.558490955807</v>
      </c>
      <c r="T244" s="2431">
        <v>15217.558490955807</v>
      </c>
      <c r="U244" s="2431">
        <v>15217.558490955807</v>
      </c>
      <c r="V244" s="2431">
        <v>15217.558490955807</v>
      </c>
      <c r="W244" s="2431">
        <v>15217.558490955807</v>
      </c>
      <c r="X244" s="2431">
        <v>15217.558490955807</v>
      </c>
      <c r="Y244" s="2431">
        <v>15217.558490955807</v>
      </c>
      <c r="Z244" s="2431">
        <v>15217.558490955807</v>
      </c>
      <c r="AA244" s="2431">
        <v>15217.558490955807</v>
      </c>
      <c r="AB244" s="2431">
        <v>15217.558490955807</v>
      </c>
      <c r="AC244" s="2431">
        <v>15217.558490955807</v>
      </c>
      <c r="AD244" s="2431">
        <v>15217.558490955807</v>
      </c>
      <c r="AE244" s="2431">
        <v>15217.558490955807</v>
      </c>
      <c r="AF244" s="2431">
        <v>15217.558490955807</v>
      </c>
      <c r="AG244" s="2431">
        <v>15217.558490955807</v>
      </c>
      <c r="AH244" s="2431">
        <v>15217.558490955807</v>
      </c>
      <c r="AI244" s="2431">
        <v>15217.558490955807</v>
      </c>
      <c r="AJ244" s="2431">
        <v>15217.558490955807</v>
      </c>
      <c r="AK244" s="2431">
        <v>15217.558490955807</v>
      </c>
      <c r="AL244" s="2431">
        <v>15217.558490955807</v>
      </c>
      <c r="AM244" s="2431">
        <v>15217.558490955807</v>
      </c>
      <c r="AN244" s="2431">
        <v>15217.558490955807</v>
      </c>
      <c r="AO244" s="2431">
        <v>15217.558490955807</v>
      </c>
      <c r="AP244" s="2431">
        <v>15217.558490955807</v>
      </c>
      <c r="AQ244" s="2431">
        <v>15217.558490955807</v>
      </c>
      <c r="AR244" s="2431">
        <v>15217.558490955807</v>
      </c>
      <c r="AS244" s="2431">
        <v>15217.558490955807</v>
      </c>
    </row>
    <row r="245" spans="2:45" x14ac:dyDescent="0.2">
      <c r="B245" s="2410"/>
      <c r="C245" s="2432" t="s">
        <v>1380</v>
      </c>
      <c r="D245" s="2415" t="s">
        <v>1453</v>
      </c>
      <c r="E245" s="2411" t="s">
        <v>319</v>
      </c>
      <c r="F245" s="2411"/>
      <c r="G245" s="2431">
        <v>5072.5194969852682</v>
      </c>
      <c r="H245" s="2431">
        <v>5072.5194969852682</v>
      </c>
      <c r="I245" s="2431">
        <v>5072.5194969852682</v>
      </c>
      <c r="J245" s="2431">
        <v>5072.5194969852682</v>
      </c>
      <c r="K245" s="2431">
        <v>5072.5194969852682</v>
      </c>
      <c r="L245" s="2431">
        <v>5072.5194969852682</v>
      </c>
      <c r="M245" s="2431">
        <v>5072.5194969852682</v>
      </c>
      <c r="N245" s="2431">
        <v>5072.5194969852682</v>
      </c>
      <c r="O245" s="2431">
        <v>5072.5194969852682</v>
      </c>
      <c r="P245" s="2431">
        <v>5072.5194969852682</v>
      </c>
      <c r="Q245" s="2431">
        <v>5072.5194969852682</v>
      </c>
      <c r="R245" s="2431">
        <v>5072.5194969852682</v>
      </c>
      <c r="S245" s="2431">
        <v>5072.5194969852682</v>
      </c>
      <c r="T245" s="2431">
        <v>5072.5194969852682</v>
      </c>
      <c r="U245" s="2431">
        <v>5072.5194969852682</v>
      </c>
      <c r="V245" s="2431">
        <v>5072.5194969852682</v>
      </c>
      <c r="W245" s="2431">
        <v>5072.5194969852682</v>
      </c>
      <c r="X245" s="2431">
        <v>5072.5194969852682</v>
      </c>
      <c r="Y245" s="2431">
        <v>5072.5194969852682</v>
      </c>
      <c r="Z245" s="2431">
        <v>5072.5194969852682</v>
      </c>
      <c r="AA245" s="2431">
        <v>5072.5194969852682</v>
      </c>
      <c r="AB245" s="2431">
        <v>5072.5194969852682</v>
      </c>
      <c r="AC245" s="2431">
        <v>5072.5194969852682</v>
      </c>
      <c r="AD245" s="2431">
        <v>5072.5194969852682</v>
      </c>
      <c r="AE245" s="2431">
        <v>5072.5194969852682</v>
      </c>
      <c r="AF245" s="2431">
        <v>5072.5194969852682</v>
      </c>
      <c r="AG245" s="2431">
        <v>5072.5194969852682</v>
      </c>
      <c r="AH245" s="2431">
        <v>5072.5194969852682</v>
      </c>
      <c r="AI245" s="2431">
        <v>5072.5194969852682</v>
      </c>
      <c r="AJ245" s="2431">
        <v>5072.5194969852682</v>
      </c>
      <c r="AK245" s="2431">
        <v>5072.5194969852682</v>
      </c>
      <c r="AL245" s="2431">
        <v>5072.5194969852682</v>
      </c>
      <c r="AM245" s="2431">
        <v>5072.5194969852682</v>
      </c>
      <c r="AN245" s="2431">
        <v>5072.5194969852682</v>
      </c>
      <c r="AO245" s="2431">
        <v>5072.5194969852682</v>
      </c>
      <c r="AP245" s="2431">
        <v>5072.5194969852682</v>
      </c>
      <c r="AQ245" s="2431">
        <v>5072.5194969852682</v>
      </c>
      <c r="AR245" s="2431">
        <v>5072.5194969852682</v>
      </c>
      <c r="AS245" s="2431">
        <v>5072.5194969852682</v>
      </c>
    </row>
    <row r="246" spans="2:45" x14ac:dyDescent="0.2">
      <c r="B246" s="2410"/>
      <c r="C246" s="2441" t="s">
        <v>1381</v>
      </c>
      <c r="D246" s="2418" t="s">
        <v>1453</v>
      </c>
      <c r="E246" s="2419" t="s">
        <v>319</v>
      </c>
      <c r="F246" s="2419"/>
      <c r="G246" s="2442">
        <v>17.999999999999996</v>
      </c>
      <c r="H246" s="2442">
        <v>17.999999999999996</v>
      </c>
      <c r="I246" s="2442">
        <v>17.999999999999996</v>
      </c>
      <c r="J246" s="2442">
        <v>17.999999999999996</v>
      </c>
      <c r="K246" s="2442">
        <v>17.999999999999996</v>
      </c>
      <c r="L246" s="2442">
        <v>17.999999999999996</v>
      </c>
      <c r="M246" s="2442">
        <v>17.999999999999996</v>
      </c>
      <c r="N246" s="2442">
        <v>17.999999999999996</v>
      </c>
      <c r="O246" s="2442">
        <v>17.999999999999996</v>
      </c>
      <c r="P246" s="2442">
        <v>17.999999999999996</v>
      </c>
      <c r="Q246" s="2442">
        <v>17.999999999999996</v>
      </c>
      <c r="R246" s="2442">
        <v>17.999999999999996</v>
      </c>
      <c r="S246" s="2442">
        <v>17.999999999999996</v>
      </c>
      <c r="T246" s="2442">
        <v>17.999999999999996</v>
      </c>
      <c r="U246" s="2442">
        <v>17.999999999999996</v>
      </c>
      <c r="V246" s="2442">
        <v>17.999999999999996</v>
      </c>
      <c r="W246" s="2442">
        <v>17.999999999999996</v>
      </c>
      <c r="X246" s="2442">
        <v>17.999999999999996</v>
      </c>
      <c r="Y246" s="2442">
        <v>17.999999999999996</v>
      </c>
      <c r="Z246" s="2442">
        <v>17.999999999999996</v>
      </c>
      <c r="AA246" s="2442">
        <v>17.999999999999996</v>
      </c>
      <c r="AB246" s="2442">
        <v>17.999999999999996</v>
      </c>
      <c r="AC246" s="2442">
        <v>17.999999999999996</v>
      </c>
      <c r="AD246" s="2442">
        <v>17.999999999999996</v>
      </c>
      <c r="AE246" s="2442">
        <v>17.999999999999996</v>
      </c>
      <c r="AF246" s="2442">
        <v>17.999999999999996</v>
      </c>
      <c r="AG246" s="2442">
        <v>17.999999999999996</v>
      </c>
      <c r="AH246" s="2442">
        <v>17.999999999999996</v>
      </c>
      <c r="AI246" s="2442">
        <v>17.999999999999996</v>
      </c>
      <c r="AJ246" s="2442">
        <v>17.999999999999996</v>
      </c>
      <c r="AK246" s="2442">
        <v>17.999999999999996</v>
      </c>
      <c r="AL246" s="2442">
        <v>17.999999999999996</v>
      </c>
      <c r="AM246" s="2442">
        <v>17.999999999999996</v>
      </c>
      <c r="AN246" s="2442">
        <v>17.999999999999996</v>
      </c>
      <c r="AO246" s="2442">
        <v>17.999999999999996</v>
      </c>
      <c r="AP246" s="2442">
        <v>17.999999999999996</v>
      </c>
      <c r="AQ246" s="2442">
        <v>17.999999999999996</v>
      </c>
      <c r="AR246" s="2442">
        <v>17.999999999999996</v>
      </c>
      <c r="AS246" s="2442">
        <v>17.999999999999996</v>
      </c>
    </row>
    <row r="247" spans="2:45" x14ac:dyDescent="0.2">
      <c r="B247" s="2410"/>
      <c r="C247" s="2412"/>
      <c r="D247" s="2412"/>
      <c r="E247" s="2412"/>
      <c r="F247" s="2412"/>
      <c r="G247" s="2412"/>
      <c r="H247" s="2412"/>
      <c r="I247" s="2412"/>
      <c r="J247" s="2412"/>
      <c r="K247" s="2412"/>
      <c r="L247" s="2412"/>
      <c r="M247" s="2412"/>
      <c r="N247" s="2412"/>
      <c r="O247" s="2412"/>
      <c r="P247" s="2412"/>
      <c r="Q247" s="2412"/>
      <c r="R247" s="2412"/>
      <c r="S247" s="2412"/>
      <c r="T247" s="2412"/>
      <c r="U247" s="2412"/>
      <c r="V247" s="2412"/>
      <c r="W247" s="2412"/>
      <c r="X247" s="2412"/>
      <c r="Y247" s="2412"/>
      <c r="Z247" s="2412"/>
      <c r="AA247" s="2412"/>
      <c r="AB247" s="2412"/>
      <c r="AC247" s="2412"/>
      <c r="AD247" s="2412"/>
      <c r="AE247" s="2412"/>
      <c r="AF247" s="2412"/>
      <c r="AG247" s="2412"/>
      <c r="AH247" s="2412"/>
      <c r="AI247" s="2412"/>
      <c r="AJ247" s="2412"/>
      <c r="AK247" s="2412"/>
      <c r="AL247" s="2412"/>
      <c r="AM247" s="2412"/>
      <c r="AN247" s="2412"/>
      <c r="AO247" s="2412"/>
      <c r="AP247" s="2412"/>
      <c r="AQ247" s="2412"/>
      <c r="AR247" s="2412"/>
      <c r="AS247" s="2412"/>
    </row>
    <row r="248" spans="2:45" x14ac:dyDescent="0.2">
      <c r="B248" s="2410"/>
      <c r="C248" s="2412"/>
      <c r="D248" s="2412"/>
      <c r="E248" s="2412"/>
      <c r="F248" s="2412"/>
      <c r="G248" s="2412"/>
      <c r="H248" s="2412"/>
      <c r="I248" s="2412"/>
      <c r="J248" s="2412"/>
      <c r="K248" s="2412"/>
      <c r="L248" s="2412"/>
      <c r="M248" s="2412"/>
      <c r="N248" s="2412"/>
      <c r="O248" s="2412"/>
      <c r="P248" s="2412"/>
      <c r="Q248" s="2412"/>
      <c r="R248" s="2412"/>
      <c r="S248" s="2412"/>
      <c r="T248" s="2412"/>
      <c r="U248" s="2412"/>
      <c r="V248" s="2412"/>
      <c r="W248" s="2412"/>
      <c r="X248" s="2412"/>
      <c r="Y248" s="2412"/>
      <c r="Z248" s="2412"/>
      <c r="AA248" s="2412"/>
      <c r="AB248" s="2412"/>
      <c r="AC248" s="2412"/>
      <c r="AD248" s="2412"/>
      <c r="AE248" s="2412"/>
      <c r="AF248" s="2412"/>
      <c r="AG248" s="2412"/>
      <c r="AH248" s="2412"/>
      <c r="AI248" s="2412"/>
      <c r="AJ248" s="2412"/>
      <c r="AK248" s="2412"/>
      <c r="AL248" s="2412"/>
      <c r="AM248" s="2412"/>
      <c r="AN248" s="2412"/>
      <c r="AO248" s="2412"/>
      <c r="AP248" s="2412"/>
      <c r="AQ248" s="2412"/>
      <c r="AR248" s="2412"/>
      <c r="AS248" s="2412"/>
    </row>
    <row r="249" spans="2:45" ht="15" customHeight="1" x14ac:dyDescent="0.2">
      <c r="B249" s="2410"/>
      <c r="C249" s="2412" t="s">
        <v>1456</v>
      </c>
      <c r="D249" s="2412"/>
      <c r="E249" s="2412"/>
      <c r="F249" s="2412"/>
      <c r="G249" s="2412"/>
      <c r="H249" s="2412"/>
      <c r="I249" s="2412"/>
      <c r="J249" s="2412"/>
      <c r="K249" s="2412"/>
      <c r="L249" s="2412"/>
      <c r="M249" s="2412"/>
      <c r="N249" s="2412"/>
      <c r="O249" s="2412"/>
      <c r="P249" s="2412"/>
      <c r="Q249" s="2412"/>
      <c r="R249" s="2412"/>
      <c r="S249" s="2412"/>
      <c r="T249" s="2412"/>
      <c r="U249" s="2412"/>
      <c r="V249" s="2412"/>
      <c r="W249" s="2412"/>
      <c r="X249" s="2412"/>
      <c r="Y249" s="2412"/>
      <c r="Z249" s="2412"/>
      <c r="AA249" s="2412"/>
      <c r="AB249" s="2412"/>
      <c r="AC249" s="2412"/>
      <c r="AD249" s="2412"/>
      <c r="AE249" s="2412"/>
      <c r="AF249" s="2412"/>
      <c r="AG249" s="2412"/>
      <c r="AH249" s="2412"/>
      <c r="AI249" s="2412"/>
      <c r="AJ249" s="2412"/>
      <c r="AK249" s="2412"/>
      <c r="AL249" s="2412"/>
      <c r="AM249" s="2412"/>
      <c r="AN249" s="2412"/>
      <c r="AO249" s="2412"/>
      <c r="AP249" s="2412"/>
      <c r="AQ249" s="2412"/>
      <c r="AR249" s="2412"/>
      <c r="AS249" s="2412"/>
    </row>
    <row r="250" spans="2:45" ht="15" customHeight="1" x14ac:dyDescent="0.2">
      <c r="B250" s="2410"/>
      <c r="C250" s="2414" t="s">
        <v>1457</v>
      </c>
      <c r="D250" s="2414" t="s">
        <v>305</v>
      </c>
      <c r="E250" s="2414" t="s">
        <v>605</v>
      </c>
      <c r="F250" s="2414" t="s">
        <v>1458</v>
      </c>
      <c r="G250" s="2412"/>
      <c r="H250" s="2412"/>
      <c r="I250" s="2412"/>
      <c r="J250" s="2412"/>
      <c r="K250" s="2412"/>
      <c r="L250" s="2412"/>
      <c r="M250" s="2412"/>
      <c r="N250" s="2412"/>
      <c r="O250" s="2412"/>
      <c r="P250" s="2412"/>
      <c r="Q250" s="2412"/>
      <c r="R250" s="2412"/>
      <c r="S250" s="2412"/>
      <c r="T250" s="2412"/>
      <c r="U250" s="2412"/>
      <c r="V250" s="2412"/>
      <c r="W250" s="2412"/>
      <c r="X250" s="2412"/>
      <c r="Y250" s="2412"/>
      <c r="Z250" s="2412"/>
      <c r="AA250" s="2412"/>
      <c r="AB250" s="2412"/>
      <c r="AC250" s="2412"/>
      <c r="AD250" s="2412"/>
      <c r="AE250" s="2412"/>
      <c r="AF250" s="2412"/>
      <c r="AG250" s="2412"/>
      <c r="AH250" s="2412"/>
      <c r="AI250" s="2412"/>
      <c r="AJ250" s="2412"/>
      <c r="AK250" s="2412"/>
      <c r="AL250" s="2412"/>
      <c r="AM250" s="2412"/>
      <c r="AN250" s="2412"/>
      <c r="AO250" s="2412"/>
      <c r="AP250" s="2412"/>
      <c r="AQ250" s="2412"/>
      <c r="AR250" s="2412"/>
      <c r="AS250" s="2412"/>
    </row>
    <row r="251" spans="2:45" ht="14.1" customHeight="1" x14ac:dyDescent="0.2">
      <c r="B251" s="2410"/>
      <c r="C251" s="2432" t="s">
        <v>1459</v>
      </c>
      <c r="D251" s="2432" t="s">
        <v>1460</v>
      </c>
      <c r="E251" s="2411" t="s">
        <v>1073</v>
      </c>
      <c r="F251" s="2453">
        <v>5.0000000000000001E-3</v>
      </c>
      <c r="G251" s="2412"/>
      <c r="H251" s="2412"/>
      <c r="I251" s="2412"/>
      <c r="J251" s="2412"/>
      <c r="K251" s="2412"/>
      <c r="L251" s="2412"/>
      <c r="M251" s="2412"/>
      <c r="N251" s="2412"/>
      <c r="O251" s="2412"/>
      <c r="P251" s="2412"/>
      <c r="Q251" s="2412"/>
      <c r="R251" s="2412"/>
      <c r="S251" s="2412"/>
      <c r="T251" s="2412"/>
      <c r="U251" s="2412"/>
      <c r="V251" s="2412"/>
      <c r="W251" s="2412"/>
      <c r="X251" s="2412"/>
      <c r="Y251" s="2412"/>
      <c r="Z251" s="2412"/>
      <c r="AA251" s="2412"/>
      <c r="AB251" s="2412"/>
      <c r="AC251" s="2412"/>
      <c r="AD251" s="2412"/>
      <c r="AE251" s="2412"/>
      <c r="AF251" s="2412"/>
      <c r="AG251" s="2412"/>
      <c r="AH251" s="2412"/>
      <c r="AI251" s="2412"/>
      <c r="AJ251" s="2412"/>
      <c r="AK251" s="2412"/>
      <c r="AL251" s="2412"/>
      <c r="AM251" s="2412"/>
      <c r="AN251" s="2412"/>
      <c r="AO251" s="2412"/>
      <c r="AP251" s="2412"/>
      <c r="AQ251" s="2412"/>
      <c r="AR251" s="2412"/>
      <c r="AS251" s="2412"/>
    </row>
    <row r="252" spans="2:45" ht="14.1" customHeight="1" x14ac:dyDescent="0.2">
      <c r="B252" s="2410"/>
      <c r="C252" s="2432" t="s">
        <v>1461</v>
      </c>
      <c r="D252" s="2432" t="s">
        <v>1460</v>
      </c>
      <c r="E252" s="2411" t="s">
        <v>1073</v>
      </c>
      <c r="F252" s="2453">
        <v>1E-3</v>
      </c>
      <c r="G252" s="2412"/>
      <c r="H252" s="2412"/>
      <c r="I252" s="2412"/>
      <c r="J252" s="2412"/>
      <c r="K252" s="2412"/>
      <c r="L252" s="2412"/>
      <c r="M252" s="2412"/>
      <c r="N252" s="2412"/>
      <c r="O252" s="2412"/>
      <c r="P252" s="2412"/>
      <c r="Q252" s="2412"/>
      <c r="R252" s="2412"/>
      <c r="S252" s="2412"/>
      <c r="T252" s="2412"/>
      <c r="U252" s="2412"/>
      <c r="V252" s="2412"/>
      <c r="W252" s="2412"/>
      <c r="X252" s="2412"/>
      <c r="Y252" s="2412"/>
      <c r="Z252" s="2412"/>
      <c r="AA252" s="2412"/>
      <c r="AB252" s="2412"/>
      <c r="AC252" s="2412"/>
      <c r="AD252" s="2412"/>
      <c r="AE252" s="2412"/>
      <c r="AF252" s="2412"/>
      <c r="AG252" s="2412"/>
      <c r="AH252" s="2412"/>
      <c r="AI252" s="2412"/>
      <c r="AJ252" s="2412"/>
      <c r="AK252" s="2412"/>
      <c r="AL252" s="2412"/>
      <c r="AM252" s="2412"/>
      <c r="AN252" s="2412"/>
      <c r="AO252" s="2412"/>
      <c r="AP252" s="2412"/>
      <c r="AQ252" s="2412"/>
      <c r="AR252" s="2412"/>
      <c r="AS252" s="2412"/>
    </row>
    <row r="253" spans="2:45" ht="14.1" customHeight="1" x14ac:dyDescent="0.2">
      <c r="B253" s="2410"/>
      <c r="C253" s="2432" t="s">
        <v>1462</v>
      </c>
      <c r="D253" s="2432" t="s">
        <v>1460</v>
      </c>
      <c r="E253" s="2411" t="s">
        <v>1073</v>
      </c>
      <c r="F253" s="2453">
        <v>0</v>
      </c>
      <c r="G253" s="2412"/>
      <c r="H253" s="2412"/>
      <c r="I253" s="2412"/>
      <c r="J253" s="2412"/>
      <c r="K253" s="2412"/>
      <c r="L253" s="2412"/>
      <c r="M253" s="2412"/>
      <c r="N253" s="2412"/>
      <c r="O253" s="2412"/>
      <c r="P253" s="2412"/>
      <c r="Q253" s="2412"/>
      <c r="R253" s="2412"/>
      <c r="S253" s="2412"/>
      <c r="T253" s="2412"/>
      <c r="U253" s="2412"/>
      <c r="V253" s="2412"/>
      <c r="W253" s="2412"/>
      <c r="X253" s="2412"/>
      <c r="Y253" s="2412"/>
      <c r="Z253" s="2412"/>
      <c r="AA253" s="2412"/>
      <c r="AB253" s="2412"/>
      <c r="AC253" s="2412"/>
      <c r="AD253" s="2412"/>
      <c r="AE253" s="2412"/>
      <c r="AF253" s="2412"/>
      <c r="AG253" s="2412"/>
      <c r="AH253" s="2412"/>
      <c r="AI253" s="2412"/>
      <c r="AJ253" s="2412"/>
      <c r="AK253" s="2412"/>
      <c r="AL253" s="2412"/>
      <c r="AM253" s="2412"/>
      <c r="AN253" s="2412"/>
      <c r="AO253" s="2412"/>
      <c r="AP253" s="2412"/>
      <c r="AQ253" s="2412"/>
      <c r="AR253" s="2412"/>
      <c r="AS253" s="2412"/>
    </row>
    <row r="254" spans="2:45" ht="14.1" customHeight="1" x14ac:dyDescent="0.2">
      <c r="B254" s="2410"/>
      <c r="C254" s="2432" t="s">
        <v>1463</v>
      </c>
      <c r="D254" s="2432" t="s">
        <v>1460</v>
      </c>
      <c r="E254" s="2411" t="s">
        <v>1073</v>
      </c>
      <c r="F254" s="2453">
        <v>0.02</v>
      </c>
      <c r="G254" s="2412"/>
      <c r="H254" s="2412"/>
      <c r="I254" s="2412"/>
      <c r="J254" s="2412"/>
      <c r="K254" s="2412"/>
      <c r="L254" s="2412"/>
      <c r="M254" s="2412"/>
      <c r="N254" s="2412"/>
      <c r="O254" s="2412"/>
      <c r="P254" s="2412"/>
      <c r="Q254" s="2412"/>
      <c r="R254" s="2412"/>
      <c r="S254" s="2412"/>
      <c r="T254" s="2412"/>
      <c r="U254" s="2412"/>
      <c r="V254" s="2412"/>
      <c r="W254" s="2412"/>
      <c r="X254" s="2412"/>
      <c r="Y254" s="2412"/>
      <c r="Z254" s="2412"/>
      <c r="AA254" s="2412"/>
      <c r="AB254" s="2412"/>
      <c r="AC254" s="2412"/>
      <c r="AD254" s="2412"/>
      <c r="AE254" s="2412"/>
      <c r="AF254" s="2412"/>
      <c r="AG254" s="2412"/>
      <c r="AH254" s="2412"/>
      <c r="AI254" s="2412"/>
      <c r="AJ254" s="2412"/>
      <c r="AK254" s="2412"/>
      <c r="AL254" s="2412"/>
      <c r="AM254" s="2412"/>
      <c r="AN254" s="2412"/>
      <c r="AO254" s="2412"/>
      <c r="AP254" s="2412"/>
      <c r="AQ254" s="2412"/>
      <c r="AR254" s="2412"/>
      <c r="AS254" s="2412"/>
    </row>
    <row r="255" spans="2:45" ht="14.1" customHeight="1" x14ac:dyDescent="0.2">
      <c r="B255" s="2410"/>
      <c r="C255" s="2432" t="s">
        <v>1464</v>
      </c>
      <c r="D255" s="2432" t="s">
        <v>1460</v>
      </c>
      <c r="E255" s="2411" t="s">
        <v>1073</v>
      </c>
      <c r="F255" s="2453">
        <v>0.02</v>
      </c>
      <c r="G255" s="2412"/>
      <c r="H255" s="2412"/>
      <c r="I255" s="2412"/>
      <c r="J255" s="2412"/>
      <c r="K255" s="2412"/>
      <c r="L255" s="2412"/>
      <c r="M255" s="2412"/>
      <c r="N255" s="2412"/>
      <c r="O255" s="2412"/>
      <c r="P255" s="2412"/>
      <c r="Q255" s="2412"/>
      <c r="R255" s="2412"/>
      <c r="S255" s="2412"/>
      <c r="T255" s="2412"/>
      <c r="U255" s="2412"/>
      <c r="V255" s="2412"/>
      <c r="W255" s="2412"/>
      <c r="X255" s="2412"/>
      <c r="Y255" s="2412"/>
      <c r="Z255" s="2412"/>
      <c r="AA255" s="2412"/>
      <c r="AB255" s="2412"/>
      <c r="AC255" s="2412"/>
      <c r="AD255" s="2412"/>
      <c r="AE255" s="2412"/>
      <c r="AF255" s="2412"/>
      <c r="AG255" s="2412"/>
      <c r="AH255" s="2412"/>
      <c r="AI255" s="2412"/>
      <c r="AJ255" s="2412"/>
      <c r="AK255" s="2412"/>
      <c r="AL255" s="2412"/>
      <c r="AM255" s="2412"/>
      <c r="AN255" s="2412"/>
      <c r="AO255" s="2412"/>
      <c r="AP255" s="2412"/>
      <c r="AQ255" s="2412"/>
      <c r="AR255" s="2412"/>
      <c r="AS255" s="2412"/>
    </row>
    <row r="256" spans="2:45" ht="14.1" customHeight="1" x14ac:dyDescent="0.2">
      <c r="B256" s="2410"/>
      <c r="C256" s="2432" t="s">
        <v>1465</v>
      </c>
      <c r="D256" s="2432" t="s">
        <v>1460</v>
      </c>
      <c r="E256" s="2411" t="s">
        <v>1073</v>
      </c>
      <c r="F256" s="2453">
        <v>0.02</v>
      </c>
      <c r="G256" s="2412"/>
      <c r="H256" s="2412"/>
      <c r="I256" s="2412"/>
      <c r="J256" s="2412"/>
      <c r="K256" s="2412"/>
      <c r="L256" s="2412"/>
      <c r="M256" s="2412"/>
      <c r="N256" s="2412"/>
      <c r="O256" s="2412"/>
      <c r="P256" s="2412"/>
      <c r="Q256" s="2412"/>
      <c r="R256" s="2412"/>
      <c r="S256" s="2412"/>
      <c r="T256" s="2412"/>
      <c r="U256" s="2412"/>
      <c r="V256" s="2412"/>
      <c r="W256" s="2412"/>
      <c r="X256" s="2412"/>
      <c r="Y256" s="2412"/>
      <c r="Z256" s="2412"/>
      <c r="AA256" s="2412"/>
      <c r="AB256" s="2412"/>
      <c r="AC256" s="2412"/>
      <c r="AD256" s="2412"/>
      <c r="AE256" s="2412"/>
      <c r="AF256" s="2412"/>
      <c r="AG256" s="2412"/>
      <c r="AH256" s="2412"/>
      <c r="AI256" s="2412"/>
      <c r="AJ256" s="2412"/>
      <c r="AK256" s="2412"/>
      <c r="AL256" s="2412"/>
      <c r="AM256" s="2412"/>
      <c r="AN256" s="2412"/>
      <c r="AO256" s="2412"/>
      <c r="AP256" s="2412"/>
      <c r="AQ256" s="2412"/>
      <c r="AR256" s="2412"/>
      <c r="AS256" s="2412"/>
    </row>
    <row r="257" spans="2:45" ht="15" customHeight="1" x14ac:dyDescent="0.2">
      <c r="B257" s="2410"/>
      <c r="C257" s="2432" t="s">
        <v>1466</v>
      </c>
      <c r="D257" s="2432" t="s">
        <v>1460</v>
      </c>
      <c r="E257" s="2411" t="s">
        <v>1073</v>
      </c>
      <c r="F257" s="2453">
        <v>5.2500000000000005E-2</v>
      </c>
      <c r="G257" s="2412"/>
      <c r="H257" s="2412"/>
      <c r="I257" s="2412"/>
      <c r="J257" s="2412"/>
      <c r="K257" s="2412"/>
      <c r="L257" s="2412"/>
      <c r="M257" s="2412"/>
      <c r="N257" s="2412"/>
      <c r="O257" s="2412"/>
      <c r="P257" s="2412"/>
      <c r="Q257" s="2412"/>
      <c r="R257" s="2412"/>
      <c r="S257" s="2412"/>
      <c r="T257" s="2412"/>
      <c r="U257" s="2412"/>
      <c r="V257" s="2412"/>
      <c r="W257" s="2412"/>
      <c r="X257" s="2412"/>
      <c r="Y257" s="2412"/>
      <c r="Z257" s="2412"/>
      <c r="AA257" s="2412"/>
      <c r="AB257" s="2412"/>
      <c r="AC257" s="2412"/>
      <c r="AD257" s="2412"/>
      <c r="AE257" s="2412"/>
      <c r="AF257" s="2412"/>
      <c r="AG257" s="2412"/>
      <c r="AH257" s="2412"/>
      <c r="AI257" s="2412"/>
      <c r="AJ257" s="2412"/>
      <c r="AK257" s="2412"/>
      <c r="AL257" s="2412"/>
      <c r="AM257" s="2412"/>
      <c r="AN257" s="2412"/>
      <c r="AO257" s="2412"/>
      <c r="AP257" s="2412"/>
      <c r="AQ257" s="2412"/>
      <c r="AR257" s="2412"/>
      <c r="AS257" s="2412"/>
    </row>
    <row r="258" spans="2:45" ht="14.1" customHeight="1" x14ac:dyDescent="0.2">
      <c r="B258" s="2410"/>
      <c r="C258" s="2464" t="s">
        <v>1467</v>
      </c>
      <c r="D258" s="2464" t="s">
        <v>1460</v>
      </c>
      <c r="E258" s="2419" t="s">
        <v>1073</v>
      </c>
      <c r="F258" s="2456">
        <v>5.0000000000000001E-3</v>
      </c>
      <c r="G258" s="2412"/>
      <c r="H258" s="2412"/>
      <c r="I258" s="2412"/>
      <c r="J258" s="2412"/>
      <c r="K258" s="2412"/>
      <c r="L258" s="2412"/>
      <c r="M258" s="2412"/>
      <c r="N258" s="2412"/>
      <c r="O258" s="2412"/>
      <c r="P258" s="2412"/>
      <c r="Q258" s="2412"/>
      <c r="R258" s="2412"/>
      <c r="S258" s="2412"/>
      <c r="T258" s="2412"/>
      <c r="U258" s="2412"/>
      <c r="V258" s="2412"/>
      <c r="W258" s="2412"/>
      <c r="X258" s="2412"/>
      <c r="Y258" s="2412"/>
      <c r="Z258" s="2412"/>
      <c r="AA258" s="2412"/>
      <c r="AB258" s="2412"/>
      <c r="AC258" s="2412"/>
      <c r="AD258" s="2412"/>
      <c r="AE258" s="2412"/>
      <c r="AF258" s="2412"/>
      <c r="AG258" s="2412"/>
      <c r="AH258" s="2412"/>
      <c r="AI258" s="2412"/>
      <c r="AJ258" s="2412"/>
      <c r="AK258" s="2412"/>
      <c r="AL258" s="2412"/>
      <c r="AM258" s="2412"/>
      <c r="AN258" s="2412"/>
      <c r="AO258" s="2412"/>
      <c r="AP258" s="2412"/>
      <c r="AQ258" s="2412"/>
      <c r="AR258" s="2412"/>
      <c r="AS258" s="2412"/>
    </row>
    <row r="259" spans="2:45" ht="14.1" customHeight="1" x14ac:dyDescent="0.2">
      <c r="B259" s="2410"/>
      <c r="C259" s="2428"/>
      <c r="D259" s="2411"/>
      <c r="E259" s="2411"/>
      <c r="F259" s="2453"/>
      <c r="G259" s="2412"/>
      <c r="H259" s="2412"/>
      <c r="I259" s="2412"/>
      <c r="J259" s="2412"/>
      <c r="K259" s="2412"/>
      <c r="L259" s="2412"/>
      <c r="M259" s="2412"/>
      <c r="N259" s="2412"/>
      <c r="O259" s="2412"/>
      <c r="P259" s="2412"/>
      <c r="Q259" s="2412"/>
      <c r="R259" s="2412"/>
      <c r="S259" s="2412"/>
      <c r="T259" s="2412"/>
      <c r="U259" s="2412"/>
      <c r="V259" s="2412"/>
      <c r="W259" s="2412"/>
      <c r="X259" s="2412"/>
      <c r="Y259" s="2412"/>
      <c r="Z259" s="2412"/>
      <c r="AA259" s="2412"/>
      <c r="AB259" s="2412"/>
      <c r="AC259" s="2412"/>
      <c r="AD259" s="2412"/>
      <c r="AE259" s="2412"/>
      <c r="AF259" s="2412"/>
      <c r="AG259" s="2412"/>
      <c r="AH259" s="2412"/>
      <c r="AI259" s="2412"/>
      <c r="AJ259" s="2412"/>
      <c r="AK259" s="2412"/>
      <c r="AL259" s="2412"/>
      <c r="AM259" s="2412"/>
      <c r="AN259" s="2412"/>
      <c r="AO259" s="2412"/>
      <c r="AP259" s="2412"/>
      <c r="AQ259" s="2412"/>
      <c r="AR259" s="2412"/>
      <c r="AS259" s="2412"/>
    </row>
    <row r="260" spans="2:45" x14ac:dyDescent="0.2">
      <c r="B260" s="2410"/>
      <c r="C260" s="2412" t="s">
        <v>1468</v>
      </c>
      <c r="D260" s="2411"/>
      <c r="E260" s="2436"/>
      <c r="F260" s="2410"/>
      <c r="G260" s="2412"/>
      <c r="H260" s="2412"/>
      <c r="I260" s="2412"/>
      <c r="J260" s="2412"/>
      <c r="K260" s="2412"/>
      <c r="L260" s="2412"/>
      <c r="M260" s="2412"/>
      <c r="N260" s="2412"/>
      <c r="O260" s="2412"/>
      <c r="P260" s="2412"/>
      <c r="Q260" s="2412"/>
      <c r="R260" s="2412"/>
      <c r="S260" s="2412"/>
      <c r="T260" s="2412"/>
      <c r="U260" s="2412"/>
      <c r="V260" s="2412"/>
      <c r="W260" s="2412"/>
      <c r="X260" s="2412"/>
      <c r="Y260" s="2412"/>
      <c r="Z260" s="2412"/>
      <c r="AA260" s="2412"/>
      <c r="AB260" s="2412"/>
      <c r="AC260" s="2412"/>
      <c r="AD260" s="2412"/>
      <c r="AE260" s="2412"/>
      <c r="AF260" s="2412"/>
      <c r="AG260" s="2412"/>
      <c r="AH260" s="2412"/>
      <c r="AI260" s="2412"/>
      <c r="AJ260" s="2412"/>
      <c r="AK260" s="2412"/>
      <c r="AL260" s="2412"/>
      <c r="AM260" s="2412"/>
      <c r="AN260" s="2412"/>
      <c r="AO260" s="2412"/>
      <c r="AP260" s="2412"/>
      <c r="AQ260" s="2412"/>
      <c r="AR260" s="2412"/>
      <c r="AS260" s="2412"/>
    </row>
    <row r="261" spans="2:45" ht="15" customHeight="1" x14ac:dyDescent="0.2">
      <c r="B261" s="2410"/>
      <c r="C261" s="2413" t="s">
        <v>1469</v>
      </c>
      <c r="D261" s="2414" t="s">
        <v>1029</v>
      </c>
      <c r="E261" s="2414"/>
      <c r="F261" s="2414" t="s">
        <v>1470</v>
      </c>
      <c r="G261" s="2413" t="s">
        <v>1423</v>
      </c>
      <c r="H261" s="2412"/>
      <c r="I261" s="2412"/>
      <c r="J261" s="2412"/>
      <c r="K261" s="2412"/>
      <c r="L261" s="2412"/>
      <c r="M261" s="2412"/>
      <c r="N261" s="2412"/>
      <c r="O261" s="2412"/>
      <c r="P261" s="2412"/>
      <c r="Q261" s="2412"/>
      <c r="R261" s="2412"/>
      <c r="S261" s="2412"/>
      <c r="T261" s="2412"/>
      <c r="U261" s="2412"/>
      <c r="V261" s="2412"/>
      <c r="W261" s="2412"/>
      <c r="X261" s="2412"/>
      <c r="Y261" s="2412"/>
      <c r="Z261" s="2412"/>
      <c r="AA261" s="2412"/>
      <c r="AB261" s="2412"/>
      <c r="AC261" s="2412"/>
      <c r="AD261" s="2412"/>
      <c r="AE261" s="2412"/>
      <c r="AF261" s="2412"/>
      <c r="AG261" s="2412"/>
      <c r="AH261" s="2412"/>
      <c r="AI261" s="2412"/>
      <c r="AJ261" s="2412"/>
      <c r="AK261" s="2412"/>
      <c r="AL261" s="2412"/>
      <c r="AM261" s="2412"/>
      <c r="AN261" s="2412"/>
      <c r="AO261" s="2412"/>
      <c r="AP261" s="2412"/>
      <c r="AQ261" s="2412"/>
      <c r="AR261" s="2412"/>
      <c r="AS261" s="2412"/>
    </row>
    <row r="262" spans="2:45" x14ac:dyDescent="0.2">
      <c r="B262" s="2432"/>
      <c r="C262" s="2432" t="s">
        <v>1471</v>
      </c>
      <c r="D262" s="2432"/>
      <c r="E262" s="2411" t="s">
        <v>319</v>
      </c>
      <c r="F262" s="2432">
        <v>0.35</v>
      </c>
      <c r="G262" s="2432" t="s">
        <v>1472</v>
      </c>
      <c r="H262" s="2412"/>
      <c r="I262" s="2412"/>
      <c r="J262" s="2412"/>
      <c r="K262" s="2412"/>
      <c r="L262" s="2412"/>
      <c r="M262" s="2412"/>
      <c r="N262" s="2412"/>
      <c r="O262" s="2412"/>
      <c r="P262" s="2412"/>
      <c r="Q262" s="2412"/>
      <c r="R262" s="2412"/>
      <c r="S262" s="2412"/>
      <c r="T262" s="2412"/>
      <c r="U262" s="2412"/>
      <c r="V262" s="2412"/>
      <c r="W262" s="2412"/>
      <c r="X262" s="2412"/>
      <c r="Y262" s="2412"/>
      <c r="Z262" s="2412"/>
      <c r="AA262" s="2412"/>
      <c r="AB262" s="2412"/>
      <c r="AC262" s="2412"/>
      <c r="AD262" s="2412"/>
      <c r="AE262" s="2412"/>
      <c r="AF262" s="2412"/>
      <c r="AG262" s="2412"/>
      <c r="AH262" s="2412"/>
      <c r="AI262" s="2412"/>
      <c r="AJ262" s="2412"/>
      <c r="AK262" s="2412"/>
      <c r="AL262" s="2412"/>
      <c r="AM262" s="2412"/>
      <c r="AN262" s="2412"/>
      <c r="AO262" s="2412"/>
      <c r="AP262" s="2412"/>
      <c r="AQ262" s="2412"/>
      <c r="AR262" s="2412"/>
      <c r="AS262" s="2412"/>
    </row>
    <row r="263" spans="2:45" x14ac:dyDescent="0.2">
      <c r="B263" s="2432"/>
      <c r="C263" s="2432" t="s">
        <v>1473</v>
      </c>
      <c r="D263" s="2432"/>
      <c r="E263" s="2411" t="s">
        <v>319</v>
      </c>
      <c r="F263" s="2432">
        <v>0.3</v>
      </c>
      <c r="G263" s="2432" t="s">
        <v>1472</v>
      </c>
      <c r="H263" s="2412"/>
      <c r="I263" s="2412"/>
      <c r="J263" s="2412"/>
      <c r="K263" s="2412"/>
      <c r="L263" s="2412"/>
      <c r="M263" s="2412"/>
      <c r="N263" s="2412"/>
      <c r="O263" s="2412"/>
      <c r="P263" s="2412"/>
      <c r="Q263" s="2412"/>
      <c r="R263" s="2412"/>
      <c r="S263" s="2412"/>
      <c r="T263" s="2412"/>
      <c r="U263" s="2412"/>
      <c r="V263" s="2412"/>
      <c r="W263" s="2412"/>
      <c r="X263" s="2412"/>
      <c r="Y263" s="2412"/>
      <c r="Z263" s="2412"/>
      <c r="AA263" s="2412"/>
      <c r="AB263" s="2412"/>
      <c r="AC263" s="2412"/>
      <c r="AD263" s="2412"/>
      <c r="AE263" s="2412"/>
      <c r="AF263" s="2412"/>
      <c r="AG263" s="2412"/>
      <c r="AH263" s="2412"/>
      <c r="AI263" s="2412"/>
      <c r="AJ263" s="2412"/>
      <c r="AK263" s="2412"/>
      <c r="AL263" s="2412"/>
      <c r="AM263" s="2412"/>
      <c r="AN263" s="2412"/>
      <c r="AO263" s="2412"/>
      <c r="AP263" s="2412"/>
      <c r="AQ263" s="2412"/>
      <c r="AR263" s="2412"/>
      <c r="AS263" s="2412"/>
    </row>
    <row r="264" spans="2:45" x14ac:dyDescent="0.2">
      <c r="B264" s="2432"/>
      <c r="C264" s="2432" t="s">
        <v>1474</v>
      </c>
      <c r="D264" s="2432"/>
      <c r="E264" s="2411" t="s">
        <v>319</v>
      </c>
      <c r="F264" s="2432">
        <v>0.45</v>
      </c>
      <c r="G264" s="2432" t="s">
        <v>1472</v>
      </c>
      <c r="H264" s="2412"/>
      <c r="I264" s="2412"/>
      <c r="J264" s="2412"/>
      <c r="K264" s="2412"/>
      <c r="L264" s="2412"/>
      <c r="M264" s="2412"/>
      <c r="N264" s="2412"/>
      <c r="O264" s="2412"/>
      <c r="P264" s="2412"/>
      <c r="Q264" s="2412"/>
      <c r="R264" s="2412"/>
      <c r="S264" s="2412"/>
      <c r="T264" s="2412"/>
      <c r="U264" s="2412"/>
      <c r="V264" s="2412"/>
      <c r="W264" s="2412"/>
      <c r="X264" s="2412"/>
      <c r="Y264" s="2412"/>
      <c r="Z264" s="2412"/>
      <c r="AA264" s="2412"/>
      <c r="AB264" s="2412"/>
      <c r="AC264" s="2412"/>
      <c r="AD264" s="2412"/>
      <c r="AE264" s="2412"/>
      <c r="AF264" s="2412"/>
      <c r="AG264" s="2412"/>
      <c r="AH264" s="2412"/>
      <c r="AI264" s="2412"/>
      <c r="AJ264" s="2412"/>
      <c r="AK264" s="2412"/>
      <c r="AL264" s="2412"/>
      <c r="AM264" s="2412"/>
      <c r="AN264" s="2412"/>
      <c r="AO264" s="2412"/>
      <c r="AP264" s="2412"/>
      <c r="AQ264" s="2412"/>
      <c r="AR264" s="2412"/>
      <c r="AS264" s="2412"/>
    </row>
    <row r="265" spans="2:45" x14ac:dyDescent="0.2">
      <c r="B265" s="2432"/>
      <c r="C265" s="2464" t="s">
        <v>1475</v>
      </c>
      <c r="D265" s="2464"/>
      <c r="E265" s="2419" t="s">
        <v>319</v>
      </c>
      <c r="F265" s="2464">
        <v>0.4</v>
      </c>
      <c r="G265" s="2464" t="s">
        <v>1472</v>
      </c>
      <c r="H265" s="2412"/>
      <c r="I265" s="2412"/>
      <c r="J265" s="2412"/>
      <c r="K265" s="2412"/>
      <c r="L265" s="2412"/>
      <c r="M265" s="2412"/>
      <c r="N265" s="2412"/>
      <c r="O265" s="2412"/>
      <c r="P265" s="2412"/>
      <c r="Q265" s="2412"/>
      <c r="R265" s="2412"/>
      <c r="S265" s="2412"/>
      <c r="T265" s="2412"/>
      <c r="U265" s="2412"/>
      <c r="V265" s="2412"/>
      <c r="W265" s="2412"/>
      <c r="X265" s="2412"/>
      <c r="Y265" s="2412"/>
      <c r="Z265" s="2412"/>
      <c r="AA265" s="2412"/>
      <c r="AB265" s="2412"/>
      <c r="AC265" s="2412"/>
      <c r="AD265" s="2412"/>
      <c r="AE265" s="2412"/>
      <c r="AF265" s="2412"/>
      <c r="AG265" s="2412"/>
      <c r="AH265" s="2412"/>
      <c r="AI265" s="2412"/>
      <c r="AJ265" s="2412"/>
      <c r="AK265" s="2412"/>
      <c r="AL265" s="2412"/>
      <c r="AM265" s="2412"/>
      <c r="AN265" s="2412"/>
      <c r="AO265" s="2412"/>
      <c r="AP265" s="2412"/>
      <c r="AQ265" s="2412"/>
      <c r="AR265" s="2412"/>
      <c r="AS265" s="2412"/>
    </row>
    <row r="266" spans="2:45" x14ac:dyDescent="0.2">
      <c r="B266" s="2410"/>
      <c r="C266" s="2444"/>
      <c r="D266" s="2411"/>
      <c r="E266" s="2465"/>
      <c r="F266" s="2428"/>
      <c r="G266" s="2448"/>
      <c r="H266" s="2412"/>
      <c r="I266" s="2412"/>
      <c r="J266" s="2412"/>
      <c r="K266" s="2412"/>
      <c r="L266" s="2412"/>
      <c r="M266" s="2412"/>
      <c r="N266" s="2412"/>
      <c r="O266" s="2412"/>
      <c r="P266" s="2412"/>
      <c r="Q266" s="2412"/>
      <c r="R266" s="2412"/>
      <c r="S266" s="2412"/>
      <c r="T266" s="2412"/>
      <c r="U266" s="2412"/>
      <c r="V266" s="2412"/>
      <c r="W266" s="2412"/>
      <c r="X266" s="2412"/>
      <c r="Y266" s="2412"/>
      <c r="Z266" s="2412"/>
      <c r="AA266" s="2412"/>
      <c r="AB266" s="2412"/>
      <c r="AC266" s="2412"/>
      <c r="AD266" s="2412"/>
      <c r="AE266" s="2412"/>
      <c r="AF266" s="2412"/>
      <c r="AG266" s="2412"/>
      <c r="AH266" s="2412"/>
      <c r="AI266" s="2412"/>
      <c r="AJ266" s="2412"/>
      <c r="AK266" s="2412"/>
      <c r="AL266" s="2412"/>
      <c r="AM266" s="2412"/>
      <c r="AN266" s="2412"/>
      <c r="AO266" s="2412"/>
      <c r="AP266" s="2412"/>
      <c r="AQ266" s="2412"/>
      <c r="AR266" s="2412"/>
      <c r="AS266" s="2412"/>
    </row>
    <row r="267" spans="2:45" x14ac:dyDescent="0.2">
      <c r="B267" s="2410"/>
      <c r="C267" s="2444"/>
      <c r="D267" s="2411"/>
      <c r="E267" s="2465"/>
      <c r="F267" s="2428"/>
      <c r="G267" s="2448"/>
      <c r="H267" s="2412"/>
      <c r="I267" s="2412"/>
      <c r="J267" s="2412"/>
      <c r="K267" s="2412"/>
      <c r="L267" s="2412"/>
      <c r="M267" s="2412"/>
      <c r="N267" s="2412"/>
      <c r="O267" s="2412"/>
      <c r="P267" s="2412"/>
      <c r="Q267" s="2412"/>
      <c r="R267" s="2412"/>
      <c r="S267" s="2412"/>
      <c r="T267" s="2412"/>
      <c r="U267" s="2412"/>
      <c r="V267" s="2412"/>
      <c r="W267" s="2412"/>
      <c r="X267" s="2412"/>
      <c r="Y267" s="2412"/>
      <c r="Z267" s="2412"/>
      <c r="AA267" s="2412"/>
      <c r="AB267" s="2412"/>
      <c r="AC267" s="2412"/>
      <c r="AD267" s="2412"/>
      <c r="AE267" s="2412"/>
      <c r="AF267" s="2412"/>
      <c r="AG267" s="2412"/>
      <c r="AH267" s="2412"/>
      <c r="AI267" s="2412"/>
      <c r="AJ267" s="2412"/>
      <c r="AK267" s="2412"/>
      <c r="AL267" s="2412"/>
      <c r="AM267" s="2412"/>
      <c r="AN267" s="2412"/>
      <c r="AO267" s="2412"/>
      <c r="AP267" s="2412"/>
      <c r="AQ267" s="2412"/>
      <c r="AR267" s="2412"/>
      <c r="AS267" s="2412"/>
    </row>
    <row r="268" spans="2:45" x14ac:dyDescent="0.2">
      <c r="B268" s="2428" t="s">
        <v>1476</v>
      </c>
      <c r="C268" s="2412" t="s">
        <v>1477</v>
      </c>
      <c r="D268" s="2411"/>
      <c r="E268" s="2465"/>
      <c r="F268" s="2466"/>
      <c r="G268" s="2467"/>
      <c r="H268" s="2412"/>
      <c r="I268" s="2412"/>
      <c r="J268" s="2412"/>
      <c r="K268" s="2412"/>
      <c r="L268" s="2412"/>
      <c r="M268" s="2412"/>
      <c r="N268" s="2412"/>
      <c r="O268" s="2412"/>
      <c r="P268" s="2412"/>
      <c r="Q268" s="2412"/>
      <c r="R268" s="2412"/>
      <c r="S268" s="2412"/>
      <c r="T268" s="2412"/>
      <c r="U268" s="2412"/>
      <c r="V268" s="2412"/>
      <c r="W268" s="2412"/>
      <c r="X268" s="2412"/>
      <c r="Y268" s="2412"/>
      <c r="Z268" s="2412"/>
      <c r="AA268" s="2412"/>
      <c r="AB268" s="2412"/>
      <c r="AC268" s="2412"/>
      <c r="AD268" s="2412"/>
      <c r="AE268" s="2412"/>
      <c r="AF268" s="2412"/>
      <c r="AG268" s="2412"/>
      <c r="AH268" s="2412"/>
      <c r="AI268" s="2412"/>
      <c r="AJ268" s="2412"/>
      <c r="AK268" s="2412"/>
      <c r="AL268" s="2412"/>
      <c r="AM268" s="2412"/>
      <c r="AN268" s="2412"/>
      <c r="AO268" s="2412"/>
      <c r="AP268" s="2412"/>
      <c r="AQ268" s="2412"/>
      <c r="AR268" s="2412"/>
      <c r="AS268" s="2412"/>
    </row>
    <row r="269" spans="2:45" x14ac:dyDescent="0.2">
      <c r="B269" s="2428"/>
      <c r="C269" s="2459"/>
      <c r="D269" s="2414" t="s">
        <v>1029</v>
      </c>
      <c r="E269" s="2414" t="s">
        <v>8</v>
      </c>
      <c r="F269" s="2414"/>
      <c r="G269" s="2414">
        <v>2012</v>
      </c>
      <c r="H269" s="2414">
        <v>2013</v>
      </c>
      <c r="I269" s="2414">
        <v>2014</v>
      </c>
      <c r="J269" s="2414">
        <v>2015</v>
      </c>
      <c r="K269" s="2414">
        <v>2016</v>
      </c>
      <c r="L269" s="2414">
        <v>2017</v>
      </c>
      <c r="M269" s="2414">
        <v>2018</v>
      </c>
      <c r="N269" s="2414">
        <v>2019</v>
      </c>
      <c r="O269" s="2414">
        <v>2020</v>
      </c>
      <c r="P269" s="2414">
        <v>2021</v>
      </c>
      <c r="Q269" s="2414">
        <v>2022</v>
      </c>
      <c r="R269" s="2414">
        <v>2023</v>
      </c>
      <c r="S269" s="2414">
        <v>2024</v>
      </c>
      <c r="T269" s="2414">
        <v>2025</v>
      </c>
      <c r="U269" s="2414">
        <v>2026</v>
      </c>
      <c r="V269" s="2414">
        <v>2027</v>
      </c>
      <c r="W269" s="2414">
        <v>2028</v>
      </c>
      <c r="X269" s="2414">
        <v>2029</v>
      </c>
      <c r="Y269" s="2414">
        <v>2030</v>
      </c>
      <c r="Z269" s="2414">
        <v>2031</v>
      </c>
      <c r="AA269" s="2414">
        <v>2032</v>
      </c>
      <c r="AB269" s="2414">
        <v>2033</v>
      </c>
      <c r="AC269" s="2414">
        <v>2034</v>
      </c>
      <c r="AD269" s="2414">
        <v>2035</v>
      </c>
      <c r="AE269" s="2414">
        <v>2036</v>
      </c>
      <c r="AF269" s="2414">
        <v>2037</v>
      </c>
      <c r="AG269" s="2414">
        <v>2038</v>
      </c>
      <c r="AH269" s="2414">
        <v>2039</v>
      </c>
      <c r="AI269" s="2414">
        <v>2040</v>
      </c>
      <c r="AJ269" s="2414">
        <v>2041</v>
      </c>
      <c r="AK269" s="2414">
        <v>2042</v>
      </c>
      <c r="AL269" s="2414">
        <v>2043</v>
      </c>
      <c r="AM269" s="2414">
        <v>2044</v>
      </c>
      <c r="AN269" s="2414">
        <v>2045</v>
      </c>
      <c r="AO269" s="2414">
        <v>2046</v>
      </c>
      <c r="AP269" s="2414">
        <v>2047</v>
      </c>
      <c r="AQ269" s="2414">
        <v>2048</v>
      </c>
      <c r="AR269" s="2414">
        <v>2049</v>
      </c>
      <c r="AS269" s="2414">
        <v>2050</v>
      </c>
    </row>
    <row r="270" spans="2:45" x14ac:dyDescent="0.2">
      <c r="B270" s="2428"/>
      <c r="C270" s="2441" t="s">
        <v>1401</v>
      </c>
      <c r="D270" s="2419" t="s">
        <v>1478</v>
      </c>
      <c r="E270" s="2419" t="s">
        <v>319</v>
      </c>
      <c r="F270" s="2419"/>
      <c r="G270" s="2468">
        <v>523810</v>
      </c>
      <c r="H270" s="2469">
        <v>523810</v>
      </c>
      <c r="I270" s="2469">
        <v>142857</v>
      </c>
      <c r="J270" s="2469">
        <v>142857</v>
      </c>
      <c r="K270" s="2469">
        <v>142857</v>
      </c>
      <c r="L270" s="2469">
        <v>142857</v>
      </c>
      <c r="M270" s="2469">
        <v>142857</v>
      </c>
      <c r="N270" s="2469">
        <v>142857</v>
      </c>
      <c r="O270" s="2469">
        <v>142857</v>
      </c>
      <c r="P270" s="2469">
        <v>0</v>
      </c>
      <c r="Q270" s="2469">
        <v>0</v>
      </c>
      <c r="R270" s="2469">
        <v>0</v>
      </c>
      <c r="S270" s="2469">
        <v>0</v>
      </c>
      <c r="T270" s="2469">
        <v>0</v>
      </c>
      <c r="U270" s="2469">
        <v>0</v>
      </c>
      <c r="V270" s="2469">
        <v>0</v>
      </c>
      <c r="W270" s="2469">
        <v>0</v>
      </c>
      <c r="X270" s="2469">
        <v>0</v>
      </c>
      <c r="Y270" s="2469">
        <v>0</v>
      </c>
      <c r="Z270" s="2469">
        <v>0</v>
      </c>
      <c r="AA270" s="2469">
        <v>0</v>
      </c>
      <c r="AB270" s="2469">
        <v>0</v>
      </c>
      <c r="AC270" s="2469">
        <v>0</v>
      </c>
      <c r="AD270" s="2469">
        <v>0</v>
      </c>
      <c r="AE270" s="2469">
        <v>0</v>
      </c>
      <c r="AF270" s="2469">
        <v>0</v>
      </c>
      <c r="AG270" s="2469">
        <v>0</v>
      </c>
      <c r="AH270" s="2469">
        <v>0</v>
      </c>
      <c r="AI270" s="2469">
        <v>0</v>
      </c>
      <c r="AJ270" s="2469">
        <v>0</v>
      </c>
      <c r="AK270" s="2469">
        <v>0</v>
      </c>
      <c r="AL270" s="2469">
        <v>0</v>
      </c>
      <c r="AM270" s="2469">
        <v>0</v>
      </c>
      <c r="AN270" s="2469">
        <v>0</v>
      </c>
      <c r="AO270" s="2469">
        <v>0</v>
      </c>
      <c r="AP270" s="2469">
        <v>0</v>
      </c>
      <c r="AQ270" s="2469">
        <v>0</v>
      </c>
      <c r="AR270" s="2469">
        <v>0</v>
      </c>
      <c r="AS270" s="2469">
        <v>0</v>
      </c>
    </row>
    <row r="271" spans="2:45" x14ac:dyDescent="0.2">
      <c r="B271" s="2410"/>
      <c r="C271" s="2444"/>
      <c r="D271" s="2412"/>
      <c r="E271" s="2412"/>
      <c r="F271" s="2412"/>
      <c r="G271" s="2412"/>
      <c r="H271" s="2412"/>
      <c r="I271" s="2412"/>
      <c r="J271" s="2412"/>
      <c r="K271" s="2412"/>
      <c r="L271" s="2412"/>
      <c r="M271" s="2412"/>
      <c r="N271" s="2412"/>
      <c r="O271" s="2412"/>
      <c r="P271" s="2412"/>
      <c r="Q271" s="2412"/>
      <c r="R271" s="2412"/>
      <c r="S271" s="2412"/>
      <c r="T271" s="2412"/>
      <c r="U271" s="2412"/>
      <c r="V271" s="2412"/>
      <c r="W271" s="2412"/>
      <c r="X271" s="2412"/>
      <c r="Y271" s="2412"/>
      <c r="Z271" s="2412"/>
      <c r="AA271" s="2412"/>
      <c r="AB271" s="2412"/>
      <c r="AC271" s="2412"/>
      <c r="AD271" s="2412"/>
      <c r="AE271" s="2412"/>
      <c r="AF271" s="2412"/>
      <c r="AG271" s="2412"/>
      <c r="AH271" s="2412"/>
      <c r="AI271" s="2412"/>
      <c r="AJ271" s="2412"/>
      <c r="AK271" s="2412"/>
      <c r="AL271" s="2412"/>
      <c r="AM271" s="2412"/>
      <c r="AN271" s="2412"/>
      <c r="AO271" s="2412"/>
      <c r="AP271" s="2412"/>
      <c r="AQ271" s="2412"/>
      <c r="AR271" s="2412"/>
      <c r="AS271" s="2412"/>
    </row>
    <row r="272" spans="2:45" x14ac:dyDescent="0.2">
      <c r="B272" s="2410"/>
      <c r="C272" s="2410"/>
      <c r="D272" s="2412"/>
      <c r="E272" s="2412"/>
      <c r="F272" s="2412"/>
      <c r="G272" s="2412"/>
      <c r="H272" s="2412"/>
      <c r="I272" s="2412"/>
      <c r="J272" s="2412"/>
      <c r="K272" s="2412"/>
      <c r="L272" s="2412"/>
      <c r="M272" s="2412"/>
      <c r="N272" s="2412"/>
      <c r="O272" s="2412"/>
      <c r="P272" s="2412"/>
      <c r="Q272" s="2412"/>
      <c r="R272" s="2412"/>
      <c r="S272" s="2412"/>
      <c r="T272" s="2412"/>
      <c r="U272" s="2412"/>
      <c r="V272" s="2412"/>
      <c r="W272" s="2412"/>
      <c r="X272" s="2412"/>
      <c r="Y272" s="2412"/>
      <c r="Z272" s="2412"/>
      <c r="AA272" s="2412"/>
      <c r="AB272" s="2412"/>
      <c r="AC272" s="2412"/>
      <c r="AD272" s="2412"/>
      <c r="AE272" s="2412"/>
      <c r="AF272" s="2412"/>
      <c r="AG272" s="2412"/>
      <c r="AH272" s="2412"/>
      <c r="AI272" s="2412"/>
      <c r="AJ272" s="2412"/>
      <c r="AK272" s="2412"/>
      <c r="AL272" s="2412"/>
      <c r="AM272" s="2412"/>
      <c r="AN272" s="2412"/>
      <c r="AO272" s="2412"/>
      <c r="AP272" s="2412"/>
      <c r="AQ272" s="2412"/>
      <c r="AR272" s="2412"/>
      <c r="AS272" s="2412"/>
    </row>
    <row r="273" spans="2:45" x14ac:dyDescent="0.2">
      <c r="B273" s="2410" t="s">
        <v>1479</v>
      </c>
      <c r="C273" s="2412" t="s">
        <v>1480</v>
      </c>
      <c r="D273" s="2412"/>
      <c r="E273" s="2412"/>
      <c r="F273" s="2412"/>
      <c r="G273" s="2412"/>
      <c r="H273" s="2412"/>
      <c r="I273" s="2412"/>
      <c r="J273" s="2412"/>
      <c r="K273" s="2412"/>
      <c r="L273" s="2412"/>
      <c r="M273" s="2412"/>
      <c r="N273" s="2412"/>
      <c r="O273" s="2412"/>
      <c r="P273" s="2412"/>
      <c r="Q273" s="2412"/>
      <c r="R273" s="2412"/>
      <c r="S273" s="2412"/>
      <c r="T273" s="2412"/>
      <c r="U273" s="2412"/>
      <c r="V273" s="2412"/>
      <c r="W273" s="2412"/>
      <c r="X273" s="2412"/>
      <c r="Y273" s="2412"/>
      <c r="Z273" s="2412"/>
      <c r="AA273" s="2412"/>
      <c r="AB273" s="2412"/>
      <c r="AC273" s="2412"/>
      <c r="AD273" s="2412"/>
      <c r="AE273" s="2412"/>
      <c r="AF273" s="2412"/>
      <c r="AG273" s="2412"/>
      <c r="AH273" s="2412"/>
      <c r="AI273" s="2412"/>
      <c r="AJ273" s="2412"/>
      <c r="AK273" s="2412"/>
      <c r="AL273" s="2412"/>
      <c r="AM273" s="2412"/>
      <c r="AN273" s="2412"/>
      <c r="AO273" s="2412"/>
      <c r="AP273" s="2412"/>
      <c r="AQ273" s="2412"/>
      <c r="AR273" s="2412"/>
      <c r="AS273" s="2412"/>
    </row>
    <row r="274" spans="2:45" x14ac:dyDescent="0.2">
      <c r="B274" s="2410"/>
      <c r="C274" s="2413"/>
      <c r="D274" s="2414" t="s">
        <v>1029</v>
      </c>
      <c r="E274" s="2414" t="s">
        <v>8</v>
      </c>
      <c r="F274" s="2414"/>
      <c r="G274" s="2414">
        <v>2012</v>
      </c>
      <c r="H274" s="2414">
        <v>2013</v>
      </c>
      <c r="I274" s="2414">
        <v>2014</v>
      </c>
      <c r="J274" s="2414">
        <v>2015</v>
      </c>
      <c r="K274" s="2414">
        <v>2016</v>
      </c>
      <c r="L274" s="2414">
        <v>2017</v>
      </c>
      <c r="M274" s="2414">
        <v>2018</v>
      </c>
      <c r="N274" s="2414">
        <v>2019</v>
      </c>
      <c r="O274" s="2414">
        <v>2020</v>
      </c>
      <c r="P274" s="2414">
        <v>2021</v>
      </c>
      <c r="Q274" s="2414">
        <v>2022</v>
      </c>
      <c r="R274" s="2414">
        <v>2023</v>
      </c>
      <c r="S274" s="2414">
        <v>2024</v>
      </c>
      <c r="T274" s="2414">
        <v>2025</v>
      </c>
      <c r="U274" s="2414">
        <v>2026</v>
      </c>
      <c r="V274" s="2414">
        <v>2027</v>
      </c>
      <c r="W274" s="2414">
        <v>2028</v>
      </c>
      <c r="X274" s="2414">
        <v>2029</v>
      </c>
      <c r="Y274" s="2414">
        <v>2030</v>
      </c>
      <c r="Z274" s="2414">
        <v>2031</v>
      </c>
      <c r="AA274" s="2414">
        <v>2032</v>
      </c>
      <c r="AB274" s="2414">
        <v>2033</v>
      </c>
      <c r="AC274" s="2414">
        <v>2034</v>
      </c>
      <c r="AD274" s="2414">
        <v>2035</v>
      </c>
      <c r="AE274" s="2414">
        <v>2036</v>
      </c>
      <c r="AF274" s="2414">
        <v>2037</v>
      </c>
      <c r="AG274" s="2414">
        <v>2038</v>
      </c>
      <c r="AH274" s="2414">
        <v>2039</v>
      </c>
      <c r="AI274" s="2414">
        <v>2040</v>
      </c>
      <c r="AJ274" s="2414">
        <v>2041</v>
      </c>
      <c r="AK274" s="2414">
        <v>2042</v>
      </c>
      <c r="AL274" s="2414">
        <v>2043</v>
      </c>
      <c r="AM274" s="2414">
        <v>2044</v>
      </c>
      <c r="AN274" s="2414">
        <v>2045</v>
      </c>
      <c r="AO274" s="2414">
        <v>2046</v>
      </c>
      <c r="AP274" s="2414">
        <v>2047</v>
      </c>
      <c r="AQ274" s="2414">
        <v>2048</v>
      </c>
      <c r="AR274" s="2414">
        <v>2049</v>
      </c>
      <c r="AS274" s="2414">
        <v>2050</v>
      </c>
    </row>
    <row r="275" spans="2:45" x14ac:dyDescent="0.2">
      <c r="B275" s="2428"/>
      <c r="C275" s="2412" t="s">
        <v>1481</v>
      </c>
      <c r="D275" s="2411" t="s">
        <v>1482</v>
      </c>
      <c r="E275" s="2411" t="s">
        <v>1087</v>
      </c>
      <c r="F275" s="2411"/>
      <c r="G275" s="2470">
        <v>0.13500000000000001</v>
      </c>
      <c r="H275" s="2470">
        <v>0.13500000000000001</v>
      </c>
      <c r="I275" s="2470">
        <v>0.13500000000000001</v>
      </c>
      <c r="J275" s="2470">
        <v>0.13500000000000001</v>
      </c>
      <c r="K275" s="2470">
        <v>0.13500000000000001</v>
      </c>
      <c r="L275" s="2470">
        <v>0.13500000000000001</v>
      </c>
      <c r="M275" s="2470">
        <v>0.13500000000000001</v>
      </c>
      <c r="N275" s="2470">
        <v>0.13500000000000001</v>
      </c>
      <c r="O275" s="2470">
        <v>0.13500000000000001</v>
      </c>
      <c r="P275" s="2470">
        <v>0.13500000000000001</v>
      </c>
      <c r="Q275" s="2470">
        <v>0.13500000000000001</v>
      </c>
      <c r="R275" s="2470">
        <v>0.13500000000000001</v>
      </c>
      <c r="S275" s="2470">
        <v>0.13500000000000001</v>
      </c>
      <c r="T275" s="2470">
        <v>0.13500000000000001</v>
      </c>
      <c r="U275" s="2470">
        <v>0.13500000000000001</v>
      </c>
      <c r="V275" s="2470">
        <v>0.13500000000000001</v>
      </c>
      <c r="W275" s="2470">
        <v>0.13500000000000001</v>
      </c>
      <c r="X275" s="2470">
        <v>0.13500000000000001</v>
      </c>
      <c r="Y275" s="2470">
        <v>0.13500000000000001</v>
      </c>
      <c r="Z275" s="2470">
        <v>0.13500000000000001</v>
      </c>
      <c r="AA275" s="2470">
        <v>0.13500000000000001</v>
      </c>
      <c r="AB275" s="2470">
        <v>0.13500000000000001</v>
      </c>
      <c r="AC275" s="2470">
        <v>0.13500000000000001</v>
      </c>
      <c r="AD275" s="2470">
        <v>0.13500000000000001</v>
      </c>
      <c r="AE275" s="2470">
        <v>0.13500000000000001</v>
      </c>
      <c r="AF275" s="2470">
        <v>0.13500000000000001</v>
      </c>
      <c r="AG275" s="2470">
        <v>0.13500000000000001</v>
      </c>
      <c r="AH275" s="2470">
        <v>0.13500000000000001</v>
      </c>
      <c r="AI275" s="2470">
        <v>0.13500000000000001</v>
      </c>
      <c r="AJ275" s="2470">
        <v>0.13500000000000001</v>
      </c>
      <c r="AK275" s="2470">
        <v>0.13500000000000001</v>
      </c>
      <c r="AL275" s="2470">
        <v>0.13500000000000001</v>
      </c>
      <c r="AM275" s="2470">
        <v>0.13500000000000001</v>
      </c>
      <c r="AN275" s="2470">
        <v>0.13500000000000001</v>
      </c>
      <c r="AO275" s="2470">
        <v>0.13500000000000001</v>
      </c>
      <c r="AP275" s="2470">
        <v>0.13500000000000001</v>
      </c>
      <c r="AQ275" s="2470">
        <v>0.13500000000000001</v>
      </c>
      <c r="AR275" s="2470">
        <v>0.13500000000000001</v>
      </c>
      <c r="AS275" s="2470">
        <v>0.13500000000000001</v>
      </c>
    </row>
    <row r="276" spans="2:45" x14ac:dyDescent="0.2">
      <c r="B276" s="2428"/>
      <c r="C276" s="2412" t="s">
        <v>1483</v>
      </c>
      <c r="D276" s="2411" t="s">
        <v>1482</v>
      </c>
      <c r="E276" s="2411" t="s">
        <v>1087</v>
      </c>
      <c r="F276" s="2466"/>
      <c r="G276" s="2470">
        <v>0.4</v>
      </c>
      <c r="H276" s="2470">
        <v>0.4</v>
      </c>
      <c r="I276" s="2470">
        <v>0.4</v>
      </c>
      <c r="J276" s="2470">
        <v>0.4</v>
      </c>
      <c r="K276" s="2470">
        <v>0.4</v>
      </c>
      <c r="L276" s="2470">
        <v>0.4</v>
      </c>
      <c r="M276" s="2470">
        <v>0.4</v>
      </c>
      <c r="N276" s="2470">
        <v>0.4</v>
      </c>
      <c r="O276" s="2470">
        <v>0.4</v>
      </c>
      <c r="P276" s="2470">
        <v>0.4</v>
      </c>
      <c r="Q276" s="2470">
        <v>0.4</v>
      </c>
      <c r="R276" s="2470">
        <v>0.4</v>
      </c>
      <c r="S276" s="2470">
        <v>0.4</v>
      </c>
      <c r="T276" s="2470">
        <v>0.4</v>
      </c>
      <c r="U276" s="2470">
        <v>0.4</v>
      </c>
      <c r="V276" s="2470">
        <v>0.4</v>
      </c>
      <c r="W276" s="2470">
        <v>0.4</v>
      </c>
      <c r="X276" s="2470">
        <v>0.4</v>
      </c>
      <c r="Y276" s="2470">
        <v>0.4</v>
      </c>
      <c r="Z276" s="2470">
        <v>0.4</v>
      </c>
      <c r="AA276" s="2470">
        <v>0.4</v>
      </c>
      <c r="AB276" s="2470">
        <v>0.4</v>
      </c>
      <c r="AC276" s="2470">
        <v>0.4</v>
      </c>
      <c r="AD276" s="2470">
        <v>0.4</v>
      </c>
      <c r="AE276" s="2470">
        <v>0.4</v>
      </c>
      <c r="AF276" s="2470">
        <v>0.4</v>
      </c>
      <c r="AG276" s="2470">
        <v>0.4</v>
      </c>
      <c r="AH276" s="2470">
        <v>0.4</v>
      </c>
      <c r="AI276" s="2470">
        <v>0.4</v>
      </c>
      <c r="AJ276" s="2470">
        <v>0.4</v>
      </c>
      <c r="AK276" s="2470">
        <v>0.4</v>
      </c>
      <c r="AL276" s="2470">
        <v>0.4</v>
      </c>
      <c r="AM276" s="2470">
        <v>0.4</v>
      </c>
      <c r="AN276" s="2470">
        <v>0.4</v>
      </c>
      <c r="AO276" s="2470">
        <v>0.4</v>
      </c>
      <c r="AP276" s="2470">
        <v>0.4</v>
      </c>
      <c r="AQ276" s="2470">
        <v>0.4</v>
      </c>
      <c r="AR276" s="2470">
        <v>0.4</v>
      </c>
      <c r="AS276" s="2470">
        <v>0.4</v>
      </c>
    </row>
    <row r="277" spans="2:45" x14ac:dyDescent="0.2">
      <c r="B277" s="2428"/>
      <c r="C277" s="2412" t="s">
        <v>1484</v>
      </c>
      <c r="D277" s="2411" t="s">
        <v>1482</v>
      </c>
      <c r="E277" s="2411" t="s">
        <v>1087</v>
      </c>
      <c r="F277" s="2466"/>
      <c r="G277" s="2470">
        <v>1.4E-2</v>
      </c>
      <c r="H277" s="2470">
        <v>1.4E-2</v>
      </c>
      <c r="I277" s="2470">
        <v>1.4E-2</v>
      </c>
      <c r="J277" s="2470">
        <v>1.4E-2</v>
      </c>
      <c r="K277" s="2470">
        <v>1.4E-2</v>
      </c>
      <c r="L277" s="2470">
        <v>1.4E-2</v>
      </c>
      <c r="M277" s="2470">
        <v>1.4E-2</v>
      </c>
      <c r="N277" s="2470">
        <v>1.4E-2</v>
      </c>
      <c r="O277" s="2470">
        <v>1.4E-2</v>
      </c>
      <c r="P277" s="2470">
        <v>1.4E-2</v>
      </c>
      <c r="Q277" s="2470">
        <v>1.4E-2</v>
      </c>
      <c r="R277" s="2470">
        <v>1.4E-2</v>
      </c>
      <c r="S277" s="2470">
        <v>1.4E-2</v>
      </c>
      <c r="T277" s="2470">
        <v>1.4E-2</v>
      </c>
      <c r="U277" s="2470">
        <v>1.4E-2</v>
      </c>
      <c r="V277" s="2470">
        <v>1.4E-2</v>
      </c>
      <c r="W277" s="2470">
        <v>1.4E-2</v>
      </c>
      <c r="X277" s="2470">
        <v>1.4E-2</v>
      </c>
      <c r="Y277" s="2470">
        <v>1.4E-2</v>
      </c>
      <c r="Z277" s="2470">
        <v>1.4E-2</v>
      </c>
      <c r="AA277" s="2470">
        <v>1.4E-2</v>
      </c>
      <c r="AB277" s="2470">
        <v>1.4E-2</v>
      </c>
      <c r="AC277" s="2470">
        <v>1.4E-2</v>
      </c>
      <c r="AD277" s="2470">
        <v>1.4E-2</v>
      </c>
      <c r="AE277" s="2470">
        <v>1.4E-2</v>
      </c>
      <c r="AF277" s="2470">
        <v>1.4E-2</v>
      </c>
      <c r="AG277" s="2470">
        <v>1.4E-2</v>
      </c>
      <c r="AH277" s="2470">
        <v>1.4E-2</v>
      </c>
      <c r="AI277" s="2470">
        <v>1.4E-2</v>
      </c>
      <c r="AJ277" s="2470">
        <v>1.4E-2</v>
      </c>
      <c r="AK277" s="2470">
        <v>1.4E-2</v>
      </c>
      <c r="AL277" s="2470">
        <v>1.4E-2</v>
      </c>
      <c r="AM277" s="2470">
        <v>1.4E-2</v>
      </c>
      <c r="AN277" s="2470">
        <v>1.4E-2</v>
      </c>
      <c r="AO277" s="2470">
        <v>1.4E-2</v>
      </c>
      <c r="AP277" s="2470">
        <v>1.4E-2</v>
      </c>
      <c r="AQ277" s="2470">
        <v>1.4E-2</v>
      </c>
      <c r="AR277" s="2470">
        <v>1.4E-2</v>
      </c>
      <c r="AS277" s="2470">
        <v>1.4E-2</v>
      </c>
    </row>
    <row r="278" spans="2:45" x14ac:dyDescent="0.2">
      <c r="B278" s="2428"/>
      <c r="C278" s="2412" t="s">
        <v>1485</v>
      </c>
      <c r="D278" s="2411" t="s">
        <v>1031</v>
      </c>
      <c r="E278" s="2411" t="s">
        <v>1087</v>
      </c>
      <c r="F278" s="2466"/>
      <c r="G278" s="2471">
        <v>0.62</v>
      </c>
      <c r="H278" s="2471">
        <v>0.62</v>
      </c>
      <c r="I278" s="2471">
        <v>0.62</v>
      </c>
      <c r="J278" s="2471">
        <v>0.62</v>
      </c>
      <c r="K278" s="2471">
        <v>0.62</v>
      </c>
      <c r="L278" s="2471">
        <v>0.62</v>
      </c>
      <c r="M278" s="2471">
        <v>0.62</v>
      </c>
      <c r="N278" s="2471">
        <v>0.62</v>
      </c>
      <c r="O278" s="2471">
        <v>0.62</v>
      </c>
      <c r="P278" s="2471">
        <v>0.62</v>
      </c>
      <c r="Q278" s="2471">
        <v>0.62</v>
      </c>
      <c r="R278" s="2471">
        <v>0.62</v>
      </c>
      <c r="S278" s="2471">
        <v>0.62</v>
      </c>
      <c r="T278" s="2471">
        <v>0.62</v>
      </c>
      <c r="U278" s="2471">
        <v>0.62</v>
      </c>
      <c r="V278" s="2471">
        <v>0.62</v>
      </c>
      <c r="W278" s="2471">
        <v>0.62</v>
      </c>
      <c r="X278" s="2471">
        <v>0.62</v>
      </c>
      <c r="Y278" s="2471">
        <v>0.62</v>
      </c>
      <c r="Z278" s="2471">
        <v>0.62</v>
      </c>
      <c r="AA278" s="2471">
        <v>0.62</v>
      </c>
      <c r="AB278" s="2471">
        <v>0.62</v>
      </c>
      <c r="AC278" s="2471">
        <v>0.62</v>
      </c>
      <c r="AD278" s="2471">
        <v>0.62</v>
      </c>
      <c r="AE278" s="2471">
        <v>0.62</v>
      </c>
      <c r="AF278" s="2471">
        <v>0.62</v>
      </c>
      <c r="AG278" s="2471">
        <v>0.62</v>
      </c>
      <c r="AH278" s="2471">
        <v>0.62</v>
      </c>
      <c r="AI278" s="2471">
        <v>0.62</v>
      </c>
      <c r="AJ278" s="2471">
        <v>0.62</v>
      </c>
      <c r="AK278" s="2471">
        <v>0.62</v>
      </c>
      <c r="AL278" s="2471">
        <v>0.62</v>
      </c>
      <c r="AM278" s="2471">
        <v>0.62</v>
      </c>
      <c r="AN278" s="2471">
        <v>0.62</v>
      </c>
      <c r="AO278" s="2471">
        <v>0.62</v>
      </c>
      <c r="AP278" s="2471">
        <v>0.62</v>
      </c>
      <c r="AQ278" s="2471">
        <v>0.62</v>
      </c>
      <c r="AR278" s="2471">
        <v>0.62</v>
      </c>
      <c r="AS278" s="2471">
        <v>0.62</v>
      </c>
    </row>
    <row r="279" spans="2:45" x14ac:dyDescent="0.2">
      <c r="B279" s="2428"/>
      <c r="C279" s="2412" t="s">
        <v>1486</v>
      </c>
      <c r="D279" s="2411" t="s">
        <v>1031</v>
      </c>
      <c r="E279" s="2411" t="s">
        <v>1087</v>
      </c>
      <c r="F279" s="2466"/>
      <c r="G279" s="2471">
        <v>0.6</v>
      </c>
      <c r="H279" s="2471">
        <v>0.6</v>
      </c>
      <c r="I279" s="2471">
        <v>0.6</v>
      </c>
      <c r="J279" s="2471">
        <v>0.6</v>
      </c>
      <c r="K279" s="2471">
        <v>0.6</v>
      </c>
      <c r="L279" s="2471">
        <v>0.6</v>
      </c>
      <c r="M279" s="2471">
        <v>0.6</v>
      </c>
      <c r="N279" s="2471">
        <v>0.6</v>
      </c>
      <c r="O279" s="2471">
        <v>0.6</v>
      </c>
      <c r="P279" s="2471">
        <v>0.6</v>
      </c>
      <c r="Q279" s="2471">
        <v>0.6</v>
      </c>
      <c r="R279" s="2471">
        <v>0.6</v>
      </c>
      <c r="S279" s="2471">
        <v>0.6</v>
      </c>
      <c r="T279" s="2471">
        <v>0.6</v>
      </c>
      <c r="U279" s="2471">
        <v>0.6</v>
      </c>
      <c r="V279" s="2471">
        <v>0.6</v>
      </c>
      <c r="W279" s="2471">
        <v>0.6</v>
      </c>
      <c r="X279" s="2471">
        <v>0.6</v>
      </c>
      <c r="Y279" s="2471">
        <v>0.6</v>
      </c>
      <c r="Z279" s="2471">
        <v>0.6</v>
      </c>
      <c r="AA279" s="2471">
        <v>0.6</v>
      </c>
      <c r="AB279" s="2471">
        <v>0.6</v>
      </c>
      <c r="AC279" s="2471">
        <v>0.6</v>
      </c>
      <c r="AD279" s="2471">
        <v>0.6</v>
      </c>
      <c r="AE279" s="2471">
        <v>0.6</v>
      </c>
      <c r="AF279" s="2471">
        <v>0.6</v>
      </c>
      <c r="AG279" s="2471">
        <v>0.6</v>
      </c>
      <c r="AH279" s="2471">
        <v>0.6</v>
      </c>
      <c r="AI279" s="2471">
        <v>0.6</v>
      </c>
      <c r="AJ279" s="2471">
        <v>0.6</v>
      </c>
      <c r="AK279" s="2471">
        <v>0.6</v>
      </c>
      <c r="AL279" s="2471">
        <v>0.6</v>
      </c>
      <c r="AM279" s="2471">
        <v>0.6</v>
      </c>
      <c r="AN279" s="2471">
        <v>0.6</v>
      </c>
      <c r="AO279" s="2471">
        <v>0.6</v>
      </c>
      <c r="AP279" s="2471">
        <v>0.6</v>
      </c>
      <c r="AQ279" s="2471">
        <v>0.6</v>
      </c>
      <c r="AR279" s="2471">
        <v>0.6</v>
      </c>
      <c r="AS279" s="2471">
        <v>0.6</v>
      </c>
    </row>
    <row r="280" spans="2:45" x14ac:dyDescent="0.2">
      <c r="B280" s="2428"/>
      <c r="C280" s="2412" t="s">
        <v>1487</v>
      </c>
      <c r="D280" s="2411" t="s">
        <v>1031</v>
      </c>
      <c r="E280" s="2411" t="s">
        <v>1087</v>
      </c>
      <c r="F280" s="2466"/>
      <c r="G280" s="2471">
        <v>0.57999999999999996</v>
      </c>
      <c r="H280" s="2471">
        <v>0.57999999999999996</v>
      </c>
      <c r="I280" s="2471">
        <v>0.57999999999999996</v>
      </c>
      <c r="J280" s="2471">
        <v>0.57999999999999996</v>
      </c>
      <c r="K280" s="2471">
        <v>0.57999999999999996</v>
      </c>
      <c r="L280" s="2471">
        <v>0.57999999999999996</v>
      </c>
      <c r="M280" s="2471">
        <v>0.57999999999999996</v>
      </c>
      <c r="N280" s="2471">
        <v>0.57999999999999996</v>
      </c>
      <c r="O280" s="2471">
        <v>0.57999999999999996</v>
      </c>
      <c r="P280" s="2471">
        <v>0.57999999999999996</v>
      </c>
      <c r="Q280" s="2471">
        <v>0.57999999999999996</v>
      </c>
      <c r="R280" s="2471">
        <v>0.57999999999999996</v>
      </c>
      <c r="S280" s="2471">
        <v>0.57999999999999996</v>
      </c>
      <c r="T280" s="2471">
        <v>0.57999999999999996</v>
      </c>
      <c r="U280" s="2471">
        <v>0.57999999999999996</v>
      </c>
      <c r="V280" s="2471">
        <v>0.57999999999999996</v>
      </c>
      <c r="W280" s="2471">
        <v>0.57999999999999996</v>
      </c>
      <c r="X280" s="2471">
        <v>0.57999999999999996</v>
      </c>
      <c r="Y280" s="2471">
        <v>0.57999999999999996</v>
      </c>
      <c r="Z280" s="2471">
        <v>0.57999999999999996</v>
      </c>
      <c r="AA280" s="2471">
        <v>0.57999999999999996</v>
      </c>
      <c r="AB280" s="2471">
        <v>0.57999999999999996</v>
      </c>
      <c r="AC280" s="2471">
        <v>0.57999999999999996</v>
      </c>
      <c r="AD280" s="2471">
        <v>0.57999999999999996</v>
      </c>
      <c r="AE280" s="2471">
        <v>0.57999999999999996</v>
      </c>
      <c r="AF280" s="2471">
        <v>0.57999999999999996</v>
      </c>
      <c r="AG280" s="2471">
        <v>0.57999999999999996</v>
      </c>
      <c r="AH280" s="2471">
        <v>0.57999999999999996</v>
      </c>
      <c r="AI280" s="2471">
        <v>0.57999999999999996</v>
      </c>
      <c r="AJ280" s="2471">
        <v>0.57999999999999996</v>
      </c>
      <c r="AK280" s="2471">
        <v>0.57999999999999996</v>
      </c>
      <c r="AL280" s="2471">
        <v>0.57999999999999996</v>
      </c>
      <c r="AM280" s="2471">
        <v>0.57999999999999996</v>
      </c>
      <c r="AN280" s="2471">
        <v>0.57999999999999996</v>
      </c>
      <c r="AO280" s="2471">
        <v>0.57999999999999996</v>
      </c>
      <c r="AP280" s="2471">
        <v>0.57999999999999996</v>
      </c>
      <c r="AQ280" s="2471">
        <v>0.57999999999999996</v>
      </c>
      <c r="AR280" s="2471">
        <v>0.57999999999999996</v>
      </c>
      <c r="AS280" s="2471">
        <v>0.57999999999999996</v>
      </c>
    </row>
    <row r="281" spans="2:45" x14ac:dyDescent="0.2">
      <c r="B281" s="2428"/>
      <c r="C281" s="2441" t="s">
        <v>1488</v>
      </c>
      <c r="D281" s="2419" t="s">
        <v>1489</v>
      </c>
      <c r="E281" s="2419" t="s">
        <v>1077</v>
      </c>
      <c r="F281" s="2472"/>
      <c r="G281" s="2473">
        <v>2</v>
      </c>
      <c r="H281" s="2473">
        <v>2</v>
      </c>
      <c r="I281" s="2473">
        <v>2</v>
      </c>
      <c r="J281" s="2473">
        <v>2</v>
      </c>
      <c r="K281" s="2473">
        <v>2</v>
      </c>
      <c r="L281" s="2473">
        <v>2</v>
      </c>
      <c r="M281" s="2473">
        <v>2</v>
      </c>
      <c r="N281" s="2473">
        <v>2</v>
      </c>
      <c r="O281" s="2473">
        <v>2</v>
      </c>
      <c r="P281" s="2473">
        <v>2</v>
      </c>
      <c r="Q281" s="2473">
        <v>2</v>
      </c>
      <c r="R281" s="2473">
        <v>2</v>
      </c>
      <c r="S281" s="2473">
        <v>2</v>
      </c>
      <c r="T281" s="2473">
        <v>2</v>
      </c>
      <c r="U281" s="2473">
        <v>2</v>
      </c>
      <c r="V281" s="2473">
        <v>2</v>
      </c>
      <c r="W281" s="2473">
        <v>2</v>
      </c>
      <c r="X281" s="2473">
        <v>2</v>
      </c>
      <c r="Y281" s="2473">
        <v>2</v>
      </c>
      <c r="Z281" s="2473">
        <v>2</v>
      </c>
      <c r="AA281" s="2473">
        <v>2</v>
      </c>
      <c r="AB281" s="2473">
        <v>2</v>
      </c>
      <c r="AC281" s="2473">
        <v>2</v>
      </c>
      <c r="AD281" s="2473">
        <v>2</v>
      </c>
      <c r="AE281" s="2473">
        <v>2</v>
      </c>
      <c r="AF281" s="2473">
        <v>2</v>
      </c>
      <c r="AG281" s="2473">
        <v>2</v>
      </c>
      <c r="AH281" s="2473">
        <v>2</v>
      </c>
      <c r="AI281" s="2473">
        <v>2</v>
      </c>
      <c r="AJ281" s="2473">
        <v>2</v>
      </c>
      <c r="AK281" s="2473">
        <v>2</v>
      </c>
      <c r="AL281" s="2473">
        <v>2</v>
      </c>
      <c r="AM281" s="2473">
        <v>2</v>
      </c>
      <c r="AN281" s="2473">
        <v>2</v>
      </c>
      <c r="AO281" s="2473">
        <v>2</v>
      </c>
      <c r="AP281" s="2473">
        <v>2</v>
      </c>
      <c r="AQ281" s="2473">
        <v>2</v>
      </c>
      <c r="AR281" s="2473">
        <v>2</v>
      </c>
      <c r="AS281" s="2473">
        <v>2</v>
      </c>
    </row>
    <row r="282" spans="2:45" x14ac:dyDescent="0.2">
      <c r="B282" s="2428"/>
      <c r="C282" s="2412"/>
      <c r="D282" s="2411"/>
      <c r="E282" s="2465"/>
      <c r="F282" s="2466"/>
      <c r="G282" s="2467"/>
      <c r="H282" s="2467"/>
      <c r="I282" s="2467"/>
      <c r="J282" s="2467"/>
      <c r="K282" s="2467"/>
      <c r="L282" s="2467"/>
      <c r="M282" s="2467"/>
      <c r="N282" s="2467"/>
      <c r="O282" s="2467"/>
      <c r="P282" s="2467"/>
      <c r="Q282" s="2467"/>
      <c r="R282" s="2467"/>
      <c r="S282" s="2467"/>
      <c r="T282" s="2467"/>
      <c r="U282" s="2467"/>
      <c r="V282" s="2467"/>
      <c r="W282" s="2467"/>
      <c r="X282" s="2467"/>
      <c r="Y282" s="2467"/>
      <c r="Z282" s="2467"/>
      <c r="AA282" s="2467"/>
      <c r="AB282" s="2467"/>
      <c r="AC282" s="2467"/>
      <c r="AD282" s="2467"/>
      <c r="AE282" s="2467"/>
      <c r="AF282" s="2467"/>
      <c r="AG282" s="2467"/>
      <c r="AH282" s="2467"/>
      <c r="AI282" s="2467"/>
      <c r="AJ282" s="2467"/>
      <c r="AK282" s="2467"/>
      <c r="AL282" s="2467"/>
      <c r="AM282" s="2467"/>
      <c r="AN282" s="2467"/>
      <c r="AO282" s="2467"/>
      <c r="AP282" s="2467"/>
      <c r="AQ282" s="2467"/>
      <c r="AR282" s="2467"/>
      <c r="AS282" s="2467"/>
    </row>
    <row r="283" spans="2:45" x14ac:dyDescent="0.2">
      <c r="B283" s="2428" t="s">
        <v>1490</v>
      </c>
      <c r="C283" s="2412" t="s">
        <v>1491</v>
      </c>
      <c r="D283" s="2411"/>
      <c r="E283" s="2465"/>
      <c r="F283" s="2466"/>
      <c r="G283" s="2467"/>
      <c r="H283" s="2467"/>
      <c r="I283" s="2467"/>
      <c r="J283" s="2467"/>
      <c r="K283" s="2467"/>
      <c r="L283" s="2467"/>
      <c r="M283" s="2467"/>
      <c r="N283" s="2467"/>
      <c r="O283" s="2467"/>
      <c r="P283" s="2467"/>
      <c r="Q283" s="2467"/>
      <c r="R283" s="2467"/>
      <c r="S283" s="2467"/>
      <c r="T283" s="2467"/>
      <c r="U283" s="2467"/>
      <c r="V283" s="2467"/>
      <c r="W283" s="2467"/>
      <c r="X283" s="2467"/>
      <c r="Y283" s="2467"/>
      <c r="Z283" s="2467"/>
      <c r="AA283" s="2467"/>
      <c r="AB283" s="2467"/>
      <c r="AC283" s="2467"/>
      <c r="AD283" s="2467"/>
      <c r="AE283" s="2467"/>
      <c r="AF283" s="2467"/>
      <c r="AG283" s="2467"/>
      <c r="AH283" s="2467"/>
      <c r="AI283" s="2467"/>
      <c r="AJ283" s="2467"/>
      <c r="AK283" s="2467"/>
      <c r="AL283" s="2467"/>
      <c r="AM283" s="2467"/>
      <c r="AN283" s="2467"/>
      <c r="AO283" s="2467"/>
      <c r="AP283" s="2467"/>
      <c r="AQ283" s="2467"/>
      <c r="AR283" s="2467"/>
      <c r="AS283" s="2467"/>
    </row>
    <row r="284" spans="2:45" x14ac:dyDescent="0.2">
      <c r="B284" s="2428"/>
      <c r="C284" s="2414"/>
      <c r="D284" s="2414" t="s">
        <v>1029</v>
      </c>
      <c r="E284" s="2414" t="s">
        <v>8</v>
      </c>
      <c r="F284" s="2414"/>
      <c r="G284" s="2414">
        <v>2012</v>
      </c>
      <c r="H284" s="2414">
        <v>2013</v>
      </c>
      <c r="I284" s="2414">
        <v>2014</v>
      </c>
      <c r="J284" s="2414">
        <v>2015</v>
      </c>
      <c r="K284" s="2414">
        <v>2016</v>
      </c>
      <c r="L284" s="2414">
        <v>2017</v>
      </c>
      <c r="M284" s="2414">
        <v>2018</v>
      </c>
      <c r="N284" s="2414">
        <v>2019</v>
      </c>
      <c r="O284" s="2414">
        <v>2020</v>
      </c>
      <c r="P284" s="2414">
        <v>2021</v>
      </c>
      <c r="Q284" s="2414">
        <v>2022</v>
      </c>
      <c r="R284" s="2414">
        <v>2023</v>
      </c>
      <c r="S284" s="2414">
        <v>2024</v>
      </c>
      <c r="T284" s="2414">
        <v>2025</v>
      </c>
      <c r="U284" s="2414">
        <v>2026</v>
      </c>
      <c r="V284" s="2414">
        <v>2027</v>
      </c>
      <c r="W284" s="2414">
        <v>2028</v>
      </c>
      <c r="X284" s="2414">
        <v>2029</v>
      </c>
      <c r="Y284" s="2414">
        <v>2030</v>
      </c>
      <c r="Z284" s="2414">
        <v>2031</v>
      </c>
      <c r="AA284" s="2414">
        <v>2032</v>
      </c>
      <c r="AB284" s="2414">
        <v>2033</v>
      </c>
      <c r="AC284" s="2414">
        <v>2034</v>
      </c>
      <c r="AD284" s="2414">
        <v>2035</v>
      </c>
      <c r="AE284" s="2414">
        <v>2036</v>
      </c>
      <c r="AF284" s="2414">
        <v>2037</v>
      </c>
      <c r="AG284" s="2414">
        <v>2038</v>
      </c>
      <c r="AH284" s="2414">
        <v>2039</v>
      </c>
      <c r="AI284" s="2414">
        <v>2040</v>
      </c>
      <c r="AJ284" s="2414">
        <v>2041</v>
      </c>
      <c r="AK284" s="2414">
        <v>2042</v>
      </c>
      <c r="AL284" s="2414">
        <v>2043</v>
      </c>
      <c r="AM284" s="2414">
        <v>2044</v>
      </c>
      <c r="AN284" s="2414">
        <v>2045</v>
      </c>
      <c r="AO284" s="2414">
        <v>2046</v>
      </c>
      <c r="AP284" s="2414">
        <v>2047</v>
      </c>
      <c r="AQ284" s="2414">
        <v>2048</v>
      </c>
      <c r="AR284" s="2414">
        <v>2049</v>
      </c>
      <c r="AS284" s="2414">
        <v>2050</v>
      </c>
    </row>
    <row r="285" spans="2:45" x14ac:dyDescent="0.2">
      <c r="B285" s="2428"/>
      <c r="C285" s="2411" t="s">
        <v>1492</v>
      </c>
      <c r="D285" s="2474" t="s">
        <v>1031</v>
      </c>
      <c r="E285" s="2474" t="s">
        <v>1113</v>
      </c>
      <c r="F285" s="2474"/>
      <c r="G285" s="2475">
        <v>0.3</v>
      </c>
      <c r="H285" s="2475">
        <v>0.3</v>
      </c>
      <c r="I285" s="2475">
        <v>0.3</v>
      </c>
      <c r="J285" s="2475">
        <v>0.3</v>
      </c>
      <c r="K285" s="2475">
        <v>0.3</v>
      </c>
      <c r="L285" s="2475">
        <v>0.3</v>
      </c>
      <c r="M285" s="2475">
        <v>0.3</v>
      </c>
      <c r="N285" s="2475">
        <v>0.3</v>
      </c>
      <c r="O285" s="2475">
        <v>0.3</v>
      </c>
      <c r="P285" s="2475">
        <v>0.3</v>
      </c>
      <c r="Q285" s="2475">
        <v>0.3</v>
      </c>
      <c r="R285" s="2475">
        <v>0.3</v>
      </c>
      <c r="S285" s="2475">
        <v>0.3</v>
      </c>
      <c r="T285" s="2475">
        <v>0.3</v>
      </c>
      <c r="U285" s="2475">
        <v>0.3</v>
      </c>
      <c r="V285" s="2475">
        <v>0.3</v>
      </c>
      <c r="W285" s="2475">
        <v>0.3</v>
      </c>
      <c r="X285" s="2475">
        <v>0.3</v>
      </c>
      <c r="Y285" s="2475">
        <v>0.3</v>
      </c>
      <c r="Z285" s="2475">
        <v>0.3</v>
      </c>
      <c r="AA285" s="2475">
        <v>0.3</v>
      </c>
      <c r="AB285" s="2475">
        <v>0.3</v>
      </c>
      <c r="AC285" s="2475">
        <v>0.3</v>
      </c>
      <c r="AD285" s="2475">
        <v>0.3</v>
      </c>
      <c r="AE285" s="2475">
        <v>0.3</v>
      </c>
      <c r="AF285" s="2475">
        <v>0.3</v>
      </c>
      <c r="AG285" s="2475">
        <v>0.3</v>
      </c>
      <c r="AH285" s="2475">
        <v>0.3</v>
      </c>
      <c r="AI285" s="2475">
        <v>0.3</v>
      </c>
      <c r="AJ285" s="2475">
        <v>0.3</v>
      </c>
      <c r="AK285" s="2475">
        <v>0.3</v>
      </c>
      <c r="AL285" s="2475">
        <v>0.3</v>
      </c>
      <c r="AM285" s="2475">
        <v>0.3</v>
      </c>
      <c r="AN285" s="2475">
        <v>0.3</v>
      </c>
      <c r="AO285" s="2475">
        <v>0.3</v>
      </c>
      <c r="AP285" s="2475">
        <v>0.3</v>
      </c>
      <c r="AQ285" s="2475">
        <v>0.3</v>
      </c>
      <c r="AR285" s="2475">
        <v>0.3</v>
      </c>
      <c r="AS285" s="2475">
        <v>0.3</v>
      </c>
    </row>
    <row r="286" spans="2:45" x14ac:dyDescent="0.2">
      <c r="B286" s="2428"/>
      <c r="C286" s="2411" t="s">
        <v>642</v>
      </c>
      <c r="D286" s="2474" t="s">
        <v>1031</v>
      </c>
      <c r="E286" s="2474" t="s">
        <v>1113</v>
      </c>
      <c r="F286" s="2474"/>
      <c r="G286" s="2475">
        <v>0.2</v>
      </c>
      <c r="H286" s="2475">
        <v>0.2</v>
      </c>
      <c r="I286" s="2475">
        <v>0.2</v>
      </c>
      <c r="J286" s="2475">
        <v>0.2</v>
      </c>
      <c r="K286" s="2475">
        <v>0.2</v>
      </c>
      <c r="L286" s="2475">
        <v>0.2</v>
      </c>
      <c r="M286" s="2475">
        <v>0.2</v>
      </c>
      <c r="N286" s="2475">
        <v>0.2</v>
      </c>
      <c r="O286" s="2475">
        <v>0.2</v>
      </c>
      <c r="P286" s="2475">
        <v>0.2</v>
      </c>
      <c r="Q286" s="2475">
        <v>0.2</v>
      </c>
      <c r="R286" s="2475">
        <v>0.2</v>
      </c>
      <c r="S286" s="2475">
        <v>0.2</v>
      </c>
      <c r="T286" s="2475">
        <v>0.2</v>
      </c>
      <c r="U286" s="2475">
        <v>0.2</v>
      </c>
      <c r="V286" s="2475">
        <v>0.2</v>
      </c>
      <c r="W286" s="2475">
        <v>0.2</v>
      </c>
      <c r="X286" s="2475">
        <v>0.2</v>
      </c>
      <c r="Y286" s="2475">
        <v>0.2</v>
      </c>
      <c r="Z286" s="2475">
        <v>0.2</v>
      </c>
      <c r="AA286" s="2475">
        <v>0.2</v>
      </c>
      <c r="AB286" s="2475">
        <v>0.2</v>
      </c>
      <c r="AC286" s="2475">
        <v>0.2</v>
      </c>
      <c r="AD286" s="2475">
        <v>0.2</v>
      </c>
      <c r="AE286" s="2475">
        <v>0.2</v>
      </c>
      <c r="AF286" s="2475">
        <v>0.2</v>
      </c>
      <c r="AG286" s="2475">
        <v>0.2</v>
      </c>
      <c r="AH286" s="2475">
        <v>0.2</v>
      </c>
      <c r="AI286" s="2475">
        <v>0.2</v>
      </c>
      <c r="AJ286" s="2475">
        <v>0.2</v>
      </c>
      <c r="AK286" s="2475">
        <v>0.2</v>
      </c>
      <c r="AL286" s="2475">
        <v>0.2</v>
      </c>
      <c r="AM286" s="2475">
        <v>0.2</v>
      </c>
      <c r="AN286" s="2475">
        <v>0.2</v>
      </c>
      <c r="AO286" s="2475">
        <v>0.2</v>
      </c>
      <c r="AP286" s="2475">
        <v>0.2</v>
      </c>
      <c r="AQ286" s="2475">
        <v>0.2</v>
      </c>
      <c r="AR286" s="2475">
        <v>0.2</v>
      </c>
      <c r="AS286" s="2475">
        <v>0.2</v>
      </c>
    </row>
    <row r="287" spans="2:45" x14ac:dyDescent="0.2">
      <c r="B287" s="2428"/>
      <c r="C287" s="2419" t="s">
        <v>1493</v>
      </c>
      <c r="D287" s="2476" t="s">
        <v>1031</v>
      </c>
      <c r="E287" s="2476" t="s">
        <v>1113</v>
      </c>
      <c r="F287" s="2476"/>
      <c r="G287" s="2477">
        <v>0.5</v>
      </c>
      <c r="H287" s="2477">
        <v>0.5</v>
      </c>
      <c r="I287" s="2477">
        <v>0.5</v>
      </c>
      <c r="J287" s="2477">
        <v>0.5</v>
      </c>
      <c r="K287" s="2477">
        <v>0.5</v>
      </c>
      <c r="L287" s="2477">
        <v>0.5</v>
      </c>
      <c r="M287" s="2477">
        <v>0.5</v>
      </c>
      <c r="N287" s="2477">
        <v>0.5</v>
      </c>
      <c r="O287" s="2477">
        <v>0.5</v>
      </c>
      <c r="P287" s="2477">
        <v>0.5</v>
      </c>
      <c r="Q287" s="2477">
        <v>0.5</v>
      </c>
      <c r="R287" s="2477">
        <v>0.5</v>
      </c>
      <c r="S287" s="2477">
        <v>0.5</v>
      </c>
      <c r="T287" s="2477">
        <v>0.5</v>
      </c>
      <c r="U287" s="2477">
        <v>0.5</v>
      </c>
      <c r="V287" s="2477">
        <v>0.5</v>
      </c>
      <c r="W287" s="2477">
        <v>0.5</v>
      </c>
      <c r="X287" s="2477">
        <v>0.5</v>
      </c>
      <c r="Y287" s="2477">
        <v>0.5</v>
      </c>
      <c r="Z287" s="2477">
        <v>0.5</v>
      </c>
      <c r="AA287" s="2477">
        <v>0.5</v>
      </c>
      <c r="AB287" s="2477">
        <v>0.5</v>
      </c>
      <c r="AC287" s="2477">
        <v>0.5</v>
      </c>
      <c r="AD287" s="2477">
        <v>0.5</v>
      </c>
      <c r="AE287" s="2477">
        <v>0.5</v>
      </c>
      <c r="AF287" s="2477">
        <v>0.5</v>
      </c>
      <c r="AG287" s="2477">
        <v>0.5</v>
      </c>
      <c r="AH287" s="2477">
        <v>0.5</v>
      </c>
      <c r="AI287" s="2477">
        <v>0.5</v>
      </c>
      <c r="AJ287" s="2477">
        <v>0.5</v>
      </c>
      <c r="AK287" s="2477">
        <v>0.5</v>
      </c>
      <c r="AL287" s="2477">
        <v>0.5</v>
      </c>
      <c r="AM287" s="2477">
        <v>0.5</v>
      </c>
      <c r="AN287" s="2477">
        <v>0.5</v>
      </c>
      <c r="AO287" s="2477">
        <v>0.5</v>
      </c>
      <c r="AP287" s="2477">
        <v>0.5</v>
      </c>
      <c r="AQ287" s="2477">
        <v>0.5</v>
      </c>
      <c r="AR287" s="2477">
        <v>0.5</v>
      </c>
      <c r="AS287" s="2477">
        <v>0.5</v>
      </c>
    </row>
    <row r="288" spans="2:45" x14ac:dyDescent="0.2">
      <c r="B288" s="2428"/>
      <c r="C288" s="2412"/>
      <c r="D288" s="2411"/>
      <c r="E288" s="2465"/>
      <c r="F288" s="2466"/>
      <c r="G288" s="2467"/>
      <c r="H288" s="2467"/>
      <c r="I288" s="2467"/>
      <c r="J288" s="2467"/>
      <c r="K288" s="2467"/>
      <c r="L288" s="2467"/>
      <c r="M288" s="2467"/>
      <c r="N288" s="2467"/>
      <c r="O288" s="2467"/>
      <c r="P288" s="2467"/>
      <c r="Q288" s="2467"/>
      <c r="R288" s="2467"/>
      <c r="S288" s="2467"/>
      <c r="T288" s="2467"/>
      <c r="U288" s="2467"/>
      <c r="V288" s="2467"/>
      <c r="W288" s="2467"/>
      <c r="X288" s="2467"/>
      <c r="Y288" s="2467"/>
      <c r="Z288" s="2467"/>
      <c r="AA288" s="2467"/>
      <c r="AB288" s="2467"/>
      <c r="AC288" s="2467"/>
      <c r="AD288" s="2467"/>
      <c r="AE288" s="2467"/>
      <c r="AF288" s="2467"/>
      <c r="AG288" s="2467"/>
      <c r="AH288" s="2467"/>
      <c r="AI288" s="2467"/>
      <c r="AJ288" s="2467"/>
      <c r="AK288" s="2467"/>
      <c r="AL288" s="2467"/>
      <c r="AM288" s="2467"/>
      <c r="AN288" s="2467"/>
      <c r="AO288" s="2467"/>
      <c r="AP288" s="2467"/>
      <c r="AQ288" s="2467"/>
      <c r="AR288" s="2467"/>
      <c r="AS288" s="2467"/>
    </row>
    <row r="289" spans="2:45" x14ac:dyDescent="0.2">
      <c r="B289" s="2428"/>
      <c r="C289" s="2411"/>
      <c r="D289" s="2411"/>
      <c r="E289" s="2411"/>
      <c r="F289" s="2411"/>
      <c r="G289" s="2478"/>
      <c r="H289" s="2478"/>
      <c r="I289" s="2478"/>
      <c r="J289" s="2478"/>
      <c r="K289" s="2478"/>
      <c r="L289" s="2478"/>
      <c r="M289" s="2478"/>
      <c r="N289" s="2478"/>
      <c r="O289" s="2478"/>
      <c r="P289" s="2478"/>
      <c r="Q289" s="2478"/>
      <c r="R289" s="2478"/>
      <c r="S289" s="2478"/>
      <c r="T289" s="2478"/>
      <c r="U289" s="2478"/>
      <c r="V289" s="2478"/>
      <c r="W289" s="2478"/>
      <c r="X289" s="2478"/>
      <c r="Y289" s="2478"/>
      <c r="Z289" s="2478"/>
      <c r="AA289" s="2478"/>
      <c r="AB289" s="2478"/>
      <c r="AC289" s="2478"/>
      <c r="AD289" s="2478"/>
      <c r="AE289" s="2478"/>
      <c r="AF289" s="2478"/>
      <c r="AG289" s="2478"/>
      <c r="AH289" s="2478"/>
      <c r="AI289" s="2478"/>
      <c r="AJ289" s="2478"/>
      <c r="AK289" s="2478"/>
      <c r="AL289" s="2478"/>
      <c r="AM289" s="2478"/>
      <c r="AN289" s="2478"/>
      <c r="AO289" s="2478"/>
      <c r="AP289" s="2478"/>
      <c r="AQ289" s="2478"/>
      <c r="AR289" s="2478"/>
      <c r="AS289" s="2478"/>
    </row>
    <row r="290" spans="2:45" x14ac:dyDescent="0.2">
      <c r="B290" s="2428"/>
      <c r="C290" s="2443" t="s">
        <v>319</v>
      </c>
      <c r="D290" s="2412" t="s">
        <v>1494</v>
      </c>
      <c r="E290" s="2411"/>
      <c r="F290" s="2411"/>
      <c r="G290" s="2478"/>
      <c r="H290" s="2478"/>
      <c r="I290" s="2478"/>
      <c r="J290" s="2478"/>
      <c r="K290" s="2478"/>
      <c r="L290" s="2478"/>
      <c r="M290" s="2478"/>
      <c r="N290" s="2478"/>
      <c r="O290" s="2478"/>
      <c r="P290" s="2478"/>
      <c r="Q290" s="2478"/>
      <c r="R290" s="2478"/>
      <c r="S290" s="2478"/>
      <c r="T290" s="2478"/>
      <c r="U290" s="2478"/>
      <c r="V290" s="2478"/>
      <c r="W290" s="2478"/>
      <c r="X290" s="2478"/>
      <c r="Y290" s="2478"/>
      <c r="Z290" s="2478"/>
      <c r="AA290" s="2478"/>
      <c r="AB290" s="2478"/>
      <c r="AC290" s="2478"/>
      <c r="AD290" s="2478"/>
      <c r="AE290" s="2478"/>
      <c r="AF290" s="2478"/>
      <c r="AG290" s="2478"/>
      <c r="AH290" s="2478"/>
      <c r="AI290" s="2478"/>
      <c r="AJ290" s="2478"/>
      <c r="AK290" s="2478"/>
      <c r="AL290" s="2478"/>
      <c r="AM290" s="2478"/>
      <c r="AN290" s="2478"/>
      <c r="AO290" s="2478"/>
      <c r="AP290" s="2478"/>
      <c r="AQ290" s="2478"/>
      <c r="AR290" s="2478"/>
      <c r="AS290" s="2478"/>
    </row>
    <row r="291" spans="2:45" x14ac:dyDescent="0.2">
      <c r="B291" s="2428"/>
      <c r="C291" s="2443" t="s">
        <v>1067</v>
      </c>
      <c r="D291" s="2412" t="s">
        <v>1495</v>
      </c>
      <c r="E291" s="2411"/>
      <c r="F291" s="2411"/>
      <c r="G291" s="2478"/>
      <c r="H291" s="2478"/>
      <c r="I291" s="2478"/>
      <c r="J291" s="2478"/>
      <c r="K291" s="2478"/>
      <c r="L291" s="2478"/>
      <c r="M291" s="2478"/>
      <c r="N291" s="2478"/>
      <c r="O291" s="2478"/>
      <c r="P291" s="2478"/>
      <c r="Q291" s="2478"/>
      <c r="R291" s="2478"/>
      <c r="S291" s="2478"/>
      <c r="T291" s="2478"/>
      <c r="U291" s="2478"/>
      <c r="V291" s="2478"/>
      <c r="W291" s="2478"/>
      <c r="X291" s="2478"/>
      <c r="Y291" s="2478"/>
      <c r="Z291" s="2478"/>
      <c r="AA291" s="2478"/>
      <c r="AB291" s="2478"/>
      <c r="AC291" s="2478"/>
      <c r="AD291" s="2478"/>
      <c r="AE291" s="2478"/>
      <c r="AF291" s="2478"/>
      <c r="AG291" s="2478"/>
      <c r="AH291" s="2478"/>
      <c r="AI291" s="2478"/>
      <c r="AJ291" s="2478"/>
      <c r="AK291" s="2478"/>
      <c r="AL291" s="2478"/>
      <c r="AM291" s="2478"/>
      <c r="AN291" s="2478"/>
      <c r="AO291" s="2478"/>
      <c r="AP291" s="2478"/>
      <c r="AQ291" s="2478"/>
      <c r="AR291" s="2478"/>
      <c r="AS291" s="2478"/>
    </row>
    <row r="292" spans="2:45" x14ac:dyDescent="0.2">
      <c r="B292" s="2428"/>
      <c r="C292" s="2443" t="s">
        <v>1073</v>
      </c>
      <c r="D292" s="2412" t="s">
        <v>1496</v>
      </c>
      <c r="E292" s="2411"/>
      <c r="F292" s="2411"/>
      <c r="G292" s="2478"/>
      <c r="H292" s="2478"/>
      <c r="I292" s="2478"/>
      <c r="J292" s="2478"/>
      <c r="K292" s="2478"/>
      <c r="L292" s="2478"/>
      <c r="M292" s="2478"/>
      <c r="N292" s="2478"/>
      <c r="O292" s="2478"/>
      <c r="P292" s="2478"/>
      <c r="Q292" s="2478"/>
      <c r="R292" s="2478"/>
      <c r="S292" s="2478"/>
      <c r="T292" s="2478"/>
      <c r="U292" s="2478"/>
      <c r="V292" s="2478"/>
      <c r="W292" s="2478"/>
      <c r="X292" s="2478"/>
      <c r="Y292" s="2478"/>
      <c r="Z292" s="2478"/>
      <c r="AA292" s="2478"/>
      <c r="AB292" s="2478"/>
      <c r="AC292" s="2478"/>
      <c r="AD292" s="2478"/>
      <c r="AE292" s="2478"/>
      <c r="AF292" s="2478"/>
      <c r="AG292" s="2478"/>
      <c r="AH292" s="2478"/>
      <c r="AI292" s="2478"/>
      <c r="AJ292" s="2478"/>
      <c r="AK292" s="2478"/>
      <c r="AL292" s="2478"/>
      <c r="AM292" s="2478"/>
      <c r="AN292" s="2478"/>
      <c r="AO292" s="2478"/>
      <c r="AP292" s="2478"/>
      <c r="AQ292" s="2478"/>
      <c r="AR292" s="2478"/>
      <c r="AS292" s="2478"/>
    </row>
    <row r="293" spans="2:45" x14ac:dyDescent="0.2">
      <c r="B293" s="2428"/>
      <c r="C293" s="2443" t="s">
        <v>1087</v>
      </c>
      <c r="D293" s="2412" t="s">
        <v>1497</v>
      </c>
      <c r="E293" s="2465"/>
      <c r="F293" s="2466"/>
      <c r="G293" s="2479"/>
      <c r="H293" s="2480"/>
      <c r="I293" s="2480"/>
      <c r="J293" s="2480"/>
      <c r="K293" s="2480"/>
      <c r="L293" s="2480"/>
      <c r="M293" s="2480"/>
      <c r="N293" s="2480"/>
      <c r="O293" s="2480"/>
      <c r="P293" s="2480"/>
      <c r="Q293" s="2480"/>
      <c r="R293" s="2480"/>
      <c r="S293" s="2480"/>
      <c r="T293" s="2480"/>
      <c r="U293" s="2480"/>
      <c r="V293" s="2480"/>
      <c r="W293" s="2480"/>
      <c r="X293" s="2480"/>
      <c r="Y293" s="2480"/>
      <c r="Z293" s="2480"/>
      <c r="AA293" s="2480"/>
      <c r="AB293" s="2480"/>
      <c r="AC293" s="2480"/>
      <c r="AD293" s="2480"/>
      <c r="AE293" s="2480"/>
      <c r="AF293" s="2480"/>
      <c r="AG293" s="2480"/>
      <c r="AH293" s="2480"/>
      <c r="AI293" s="2480"/>
      <c r="AJ293" s="2480"/>
      <c r="AK293" s="2480"/>
      <c r="AL293" s="2480"/>
      <c r="AM293" s="2480"/>
      <c r="AN293" s="2480"/>
      <c r="AO293" s="2480"/>
      <c r="AP293" s="2480"/>
      <c r="AQ293" s="2480"/>
      <c r="AR293" s="2480"/>
      <c r="AS293" s="2480"/>
    </row>
    <row r="294" spans="2:45" x14ac:dyDescent="0.2">
      <c r="B294" s="2428"/>
      <c r="C294" s="2443" t="s">
        <v>1077</v>
      </c>
      <c r="D294" s="2412" t="s">
        <v>1498</v>
      </c>
      <c r="E294" s="2465"/>
      <c r="F294" s="2466"/>
      <c r="G294" s="2479"/>
      <c r="H294" s="2480"/>
      <c r="I294" s="2480"/>
      <c r="J294" s="2480"/>
      <c r="K294" s="2480"/>
      <c r="L294" s="2480"/>
      <c r="M294" s="2480"/>
      <c r="N294" s="2480"/>
      <c r="O294" s="2480"/>
      <c r="P294" s="2480"/>
      <c r="Q294" s="2480"/>
      <c r="R294" s="2480"/>
      <c r="S294" s="2480"/>
      <c r="T294" s="2480"/>
      <c r="U294" s="2480"/>
      <c r="V294" s="2480"/>
      <c r="W294" s="2480"/>
      <c r="X294" s="2480"/>
      <c r="Y294" s="2480"/>
      <c r="Z294" s="2480"/>
      <c r="AA294" s="2480"/>
      <c r="AB294" s="2480"/>
      <c r="AC294" s="2480"/>
      <c r="AD294" s="2480"/>
      <c r="AE294" s="2480"/>
      <c r="AF294" s="2480"/>
      <c r="AG294" s="2480"/>
      <c r="AH294" s="2480"/>
      <c r="AI294" s="2480"/>
      <c r="AJ294" s="2480"/>
      <c r="AK294" s="2480"/>
      <c r="AL294" s="2480"/>
      <c r="AM294" s="2480"/>
      <c r="AN294" s="2480"/>
      <c r="AO294" s="2480"/>
      <c r="AP294" s="2480"/>
      <c r="AQ294" s="2480"/>
      <c r="AR294" s="2480"/>
      <c r="AS294" s="2480"/>
    </row>
    <row r="295" spans="2:45" x14ac:dyDescent="0.2">
      <c r="B295" s="2428"/>
      <c r="C295" s="2443" t="s">
        <v>1113</v>
      </c>
      <c r="D295" s="2412" t="s">
        <v>1499</v>
      </c>
      <c r="E295" s="2465"/>
      <c r="F295" s="2466"/>
      <c r="G295" s="2479"/>
      <c r="H295" s="2480"/>
      <c r="I295" s="2480"/>
      <c r="J295" s="2480"/>
      <c r="K295" s="2480"/>
      <c r="L295" s="2480"/>
      <c r="M295" s="2480"/>
      <c r="N295" s="2480"/>
      <c r="O295" s="2480"/>
      <c r="P295" s="2480"/>
      <c r="Q295" s="2480"/>
      <c r="R295" s="2480"/>
      <c r="S295" s="2480"/>
      <c r="T295" s="2480"/>
      <c r="U295" s="2480"/>
      <c r="V295" s="2480"/>
      <c r="W295" s="2480"/>
      <c r="X295" s="2480"/>
      <c r="Y295" s="2480"/>
      <c r="Z295" s="2480"/>
      <c r="AA295" s="2480"/>
      <c r="AB295" s="2480"/>
      <c r="AC295" s="2480"/>
      <c r="AD295" s="2480"/>
      <c r="AE295" s="2480"/>
      <c r="AF295" s="2480"/>
      <c r="AG295" s="2480"/>
      <c r="AH295" s="2480"/>
      <c r="AI295" s="2480"/>
      <c r="AJ295" s="2480"/>
      <c r="AK295" s="2480"/>
      <c r="AL295" s="2480"/>
      <c r="AM295" s="2480"/>
      <c r="AN295" s="2480"/>
      <c r="AO295" s="2480"/>
      <c r="AP295" s="2480"/>
      <c r="AQ295" s="2480"/>
      <c r="AR295" s="2480"/>
      <c r="AS295" s="2480"/>
    </row>
    <row r="296" spans="2:45" x14ac:dyDescent="0.2">
      <c r="B296" s="2428"/>
      <c r="C296" s="2443" t="s">
        <v>1115</v>
      </c>
      <c r="D296" s="2412" t="s">
        <v>1500</v>
      </c>
      <c r="E296" s="2465"/>
      <c r="F296" s="2466"/>
      <c r="G296" s="2479"/>
      <c r="H296" s="2480"/>
      <c r="I296" s="2480"/>
      <c r="J296" s="2480"/>
      <c r="K296" s="2480"/>
      <c r="L296" s="2480"/>
      <c r="M296" s="2480"/>
      <c r="N296" s="2480"/>
      <c r="O296" s="2480"/>
      <c r="P296" s="2480"/>
      <c r="Q296" s="2480"/>
      <c r="R296" s="2480"/>
      <c r="S296" s="2480"/>
      <c r="T296" s="2480"/>
      <c r="U296" s="2480"/>
      <c r="V296" s="2480"/>
      <c r="W296" s="2480"/>
      <c r="X296" s="2480"/>
      <c r="Y296" s="2480"/>
      <c r="Z296" s="2480"/>
      <c r="AA296" s="2480"/>
      <c r="AB296" s="2480"/>
      <c r="AC296" s="2480"/>
      <c r="AD296" s="2480"/>
      <c r="AE296" s="2480"/>
      <c r="AF296" s="2480"/>
      <c r="AG296" s="2480"/>
      <c r="AH296" s="2480"/>
      <c r="AI296" s="2480"/>
      <c r="AJ296" s="2480"/>
      <c r="AK296" s="2480"/>
      <c r="AL296" s="2480"/>
      <c r="AM296" s="2480"/>
      <c r="AN296" s="2480"/>
      <c r="AO296" s="2480"/>
      <c r="AP296" s="2480"/>
      <c r="AQ296" s="2480"/>
      <c r="AR296" s="2480"/>
      <c r="AS296" s="2480"/>
    </row>
    <row r="297" spans="2:45" x14ac:dyDescent="0.2">
      <c r="B297" s="2428"/>
      <c r="C297" s="2443"/>
      <c r="D297" s="2412"/>
      <c r="E297" s="2465"/>
      <c r="F297" s="2466"/>
      <c r="G297" s="2479"/>
      <c r="H297" s="2480"/>
      <c r="I297" s="2480"/>
      <c r="J297" s="2480"/>
      <c r="K297" s="2480"/>
      <c r="L297" s="2480"/>
      <c r="M297" s="2480"/>
      <c r="N297" s="2480"/>
      <c r="O297" s="2480"/>
      <c r="P297" s="2480"/>
      <c r="Q297" s="2480"/>
      <c r="R297" s="2480"/>
      <c r="S297" s="2480"/>
      <c r="T297" s="2480"/>
      <c r="U297" s="2480"/>
      <c r="V297" s="2480"/>
      <c r="W297" s="2480"/>
      <c r="X297" s="2480"/>
      <c r="Y297" s="2480"/>
      <c r="Z297" s="2480"/>
      <c r="AA297" s="2480"/>
      <c r="AB297" s="2480"/>
      <c r="AC297" s="2480"/>
      <c r="AD297" s="2480"/>
      <c r="AE297" s="2480"/>
      <c r="AF297" s="2480"/>
      <c r="AG297" s="2480"/>
      <c r="AH297" s="2480"/>
      <c r="AI297" s="2480"/>
      <c r="AJ297" s="2480"/>
      <c r="AK297" s="2480"/>
      <c r="AL297" s="2480"/>
      <c r="AM297" s="2480"/>
      <c r="AN297" s="2480"/>
      <c r="AO297" s="2480"/>
      <c r="AP297" s="2480"/>
      <c r="AQ297" s="2480"/>
      <c r="AR297" s="2480"/>
      <c r="AS297" s="2480"/>
    </row>
    <row r="298" spans="2:45" x14ac:dyDescent="0.2">
      <c r="B298" s="2429" t="s">
        <v>168</v>
      </c>
      <c r="C298" s="2409"/>
      <c r="D298" s="2409"/>
      <c r="E298" s="2409"/>
      <c r="F298" s="2409"/>
      <c r="G298" s="2409"/>
      <c r="H298" s="2409"/>
      <c r="I298" s="2409"/>
      <c r="J298" s="2409"/>
      <c r="K298" s="2409"/>
      <c r="L298" s="2409"/>
      <c r="M298" s="2409"/>
      <c r="N298" s="2409"/>
      <c r="O298" s="2409"/>
      <c r="P298" s="2409"/>
      <c r="Q298" s="2409"/>
      <c r="R298" s="2409"/>
      <c r="S298" s="2409"/>
      <c r="T298" s="2409"/>
      <c r="U298" s="2409"/>
      <c r="V298" s="2409"/>
      <c r="W298" s="2409"/>
      <c r="X298" s="2409"/>
      <c r="Y298" s="2409"/>
      <c r="Z298" s="2409"/>
      <c r="AA298" s="2409"/>
      <c r="AB298" s="2409"/>
      <c r="AC298" s="2409"/>
      <c r="AD298" s="2409"/>
      <c r="AE298" s="2409"/>
      <c r="AF298" s="2409"/>
      <c r="AG298" s="2409"/>
      <c r="AH298" s="2409"/>
      <c r="AI298" s="2409"/>
      <c r="AJ298" s="2409"/>
      <c r="AK298" s="2409"/>
      <c r="AL298" s="2409"/>
      <c r="AM298" s="2409"/>
      <c r="AN298" s="2409"/>
      <c r="AO298" s="2409"/>
      <c r="AP298" s="2409"/>
      <c r="AQ298" s="2409"/>
      <c r="AR298" s="2409"/>
      <c r="AS298" s="2409"/>
    </row>
    <row r="299" spans="2:45" x14ac:dyDescent="0.2">
      <c r="B299" s="2410"/>
      <c r="C299" s="2412"/>
      <c r="D299" s="2412"/>
      <c r="E299" s="2412"/>
      <c r="F299" s="2412"/>
      <c r="G299" s="2412"/>
      <c r="H299" s="2412"/>
      <c r="I299" s="2412"/>
      <c r="J299" s="2412"/>
      <c r="K299" s="2412"/>
      <c r="L299" s="2412"/>
      <c r="M299" s="2412"/>
      <c r="N299" s="2412"/>
      <c r="O299" s="2412"/>
      <c r="P299" s="2412"/>
      <c r="Q299" s="2412"/>
      <c r="R299" s="2412"/>
      <c r="S299" s="2412"/>
      <c r="T299" s="2412"/>
      <c r="U299" s="2412"/>
      <c r="V299" s="2412"/>
      <c r="W299" s="2412"/>
      <c r="X299" s="2412"/>
      <c r="Y299" s="2412"/>
      <c r="Z299" s="2412"/>
      <c r="AA299" s="2412"/>
      <c r="AB299" s="2412"/>
      <c r="AC299" s="2412"/>
      <c r="AD299" s="2412"/>
      <c r="AE299" s="2412"/>
      <c r="AF299" s="2412"/>
      <c r="AG299" s="2412"/>
      <c r="AH299" s="2412"/>
      <c r="AI299" s="2412"/>
      <c r="AJ299" s="2412"/>
      <c r="AK299" s="2412"/>
      <c r="AL299" s="2412"/>
      <c r="AM299" s="2412"/>
      <c r="AN299" s="2412"/>
      <c r="AO299" s="2412"/>
      <c r="AP299" s="2412"/>
      <c r="AQ299" s="2412"/>
      <c r="AR299" s="2412"/>
      <c r="AS299" s="2412"/>
    </row>
    <row r="300" spans="2:45" x14ac:dyDescent="0.2">
      <c r="B300" s="2410"/>
      <c r="C300" s="2412" t="s">
        <v>1501</v>
      </c>
      <c r="D300" s="2412"/>
      <c r="E300" s="2412"/>
      <c r="F300" s="2412"/>
      <c r="G300" s="2412"/>
      <c r="H300" s="2412"/>
      <c r="I300" s="2412"/>
      <c r="J300" s="2412"/>
      <c r="K300" s="2412"/>
      <c r="L300" s="2412"/>
      <c r="M300" s="2412"/>
      <c r="N300" s="2412"/>
      <c r="O300" s="2412"/>
      <c r="P300" s="2412"/>
      <c r="Q300" s="2412"/>
      <c r="R300" s="2412"/>
      <c r="S300" s="2412"/>
      <c r="T300" s="2412"/>
      <c r="U300" s="2412"/>
      <c r="V300" s="2412"/>
      <c r="W300" s="2412"/>
      <c r="X300" s="2412"/>
      <c r="Y300" s="2412"/>
      <c r="Z300" s="2412"/>
      <c r="AA300" s="2412"/>
      <c r="AB300" s="2412"/>
      <c r="AC300" s="2412"/>
      <c r="AD300" s="2412"/>
      <c r="AE300" s="2412"/>
      <c r="AF300" s="2412"/>
      <c r="AG300" s="2412"/>
      <c r="AH300" s="2412"/>
      <c r="AI300" s="2412"/>
      <c r="AJ300" s="2412"/>
      <c r="AK300" s="2412"/>
      <c r="AL300" s="2412"/>
      <c r="AM300" s="2412"/>
      <c r="AN300" s="2412"/>
      <c r="AO300" s="2412"/>
      <c r="AP300" s="2412"/>
      <c r="AQ300" s="2412"/>
      <c r="AR300" s="2412"/>
      <c r="AS300" s="2412"/>
    </row>
    <row r="301" spans="2:45" x14ac:dyDescent="0.2">
      <c r="B301" s="2410" t="s">
        <v>1502</v>
      </c>
      <c r="C301" s="2413"/>
      <c r="D301" s="2414" t="s">
        <v>1029</v>
      </c>
      <c r="E301" s="2414" t="s">
        <v>8</v>
      </c>
      <c r="F301" s="2414"/>
      <c r="G301" s="2414">
        <v>2012</v>
      </c>
      <c r="H301" s="2414">
        <v>2013</v>
      </c>
      <c r="I301" s="2414">
        <v>2014</v>
      </c>
      <c r="J301" s="2414">
        <v>2015</v>
      </c>
      <c r="K301" s="2414">
        <v>2016</v>
      </c>
      <c r="L301" s="2414">
        <v>2017</v>
      </c>
      <c r="M301" s="2414">
        <v>2018</v>
      </c>
      <c r="N301" s="2414">
        <v>2019</v>
      </c>
      <c r="O301" s="2414">
        <v>2020</v>
      </c>
      <c r="P301" s="2414">
        <v>2021</v>
      </c>
      <c r="Q301" s="2414">
        <v>2022</v>
      </c>
      <c r="R301" s="2414">
        <v>2023</v>
      </c>
      <c r="S301" s="2414">
        <v>2024</v>
      </c>
      <c r="T301" s="2414">
        <v>2025</v>
      </c>
      <c r="U301" s="2414">
        <v>2026</v>
      </c>
      <c r="V301" s="2414">
        <v>2027</v>
      </c>
      <c r="W301" s="2414">
        <v>2028</v>
      </c>
      <c r="X301" s="2414">
        <v>2029</v>
      </c>
      <c r="Y301" s="2414">
        <v>2030</v>
      </c>
      <c r="Z301" s="2414">
        <v>2031</v>
      </c>
      <c r="AA301" s="2414">
        <v>2032</v>
      </c>
      <c r="AB301" s="2414">
        <v>2033</v>
      </c>
      <c r="AC301" s="2414">
        <v>2034</v>
      </c>
      <c r="AD301" s="2414">
        <v>2035</v>
      </c>
      <c r="AE301" s="2414">
        <v>2036</v>
      </c>
      <c r="AF301" s="2414">
        <v>2037</v>
      </c>
      <c r="AG301" s="2414">
        <v>2038</v>
      </c>
      <c r="AH301" s="2414">
        <v>2039</v>
      </c>
      <c r="AI301" s="2414">
        <v>2040</v>
      </c>
      <c r="AJ301" s="2414">
        <v>2041</v>
      </c>
      <c r="AK301" s="2414">
        <v>2042</v>
      </c>
      <c r="AL301" s="2414">
        <v>2043</v>
      </c>
      <c r="AM301" s="2414">
        <v>2044</v>
      </c>
      <c r="AN301" s="2414">
        <v>2045</v>
      </c>
      <c r="AO301" s="2414">
        <v>2046</v>
      </c>
      <c r="AP301" s="2414">
        <v>2047</v>
      </c>
      <c r="AQ301" s="2414">
        <v>2048</v>
      </c>
      <c r="AR301" s="2414">
        <v>2049</v>
      </c>
      <c r="AS301" s="2414">
        <v>2050</v>
      </c>
    </row>
    <row r="302" spans="2:45" x14ac:dyDescent="0.2">
      <c r="B302" s="2410"/>
      <c r="C302" s="2410" t="s">
        <v>1364</v>
      </c>
      <c r="D302" s="2415" t="s">
        <v>1365</v>
      </c>
      <c r="E302" s="2411"/>
      <c r="F302" s="2411"/>
      <c r="G302" s="2431"/>
      <c r="H302" s="2431"/>
      <c r="I302" s="2431"/>
      <c r="J302" s="2431"/>
      <c r="K302" s="2431"/>
      <c r="L302" s="2431"/>
      <c r="M302" s="2431"/>
      <c r="N302" s="2431"/>
      <c r="O302" s="2431"/>
      <c r="P302" s="2431"/>
      <c r="Q302" s="2431"/>
      <c r="R302" s="2431"/>
      <c r="S302" s="2431"/>
      <c r="T302" s="2431"/>
      <c r="U302" s="2431"/>
      <c r="V302" s="2431"/>
      <c r="W302" s="2431"/>
      <c r="X302" s="2431"/>
      <c r="Y302" s="2431"/>
      <c r="Z302" s="2431"/>
      <c r="AA302" s="2431"/>
      <c r="AB302" s="2431"/>
      <c r="AC302" s="2431"/>
      <c r="AD302" s="2431"/>
      <c r="AE302" s="2431"/>
      <c r="AF302" s="2431"/>
      <c r="AG302" s="2431"/>
      <c r="AH302" s="2431"/>
      <c r="AI302" s="2431"/>
      <c r="AJ302" s="2431"/>
      <c r="AK302" s="2431"/>
      <c r="AL302" s="2431"/>
      <c r="AM302" s="2431"/>
      <c r="AN302" s="2431"/>
      <c r="AO302" s="2431"/>
      <c r="AP302" s="2431"/>
      <c r="AQ302" s="2431"/>
      <c r="AR302" s="2431"/>
      <c r="AS302" s="2431"/>
    </row>
    <row r="303" spans="2:45" x14ac:dyDescent="0.2">
      <c r="B303" s="2410"/>
      <c r="C303" s="2432" t="s">
        <v>1366</v>
      </c>
      <c r="D303" s="2415" t="s">
        <v>1365</v>
      </c>
      <c r="E303" s="2411"/>
      <c r="F303" s="2411"/>
      <c r="G303" s="2431">
        <f t="shared" ref="G303:AS309" si="8">G74*G158</f>
        <v>292113.50936425978</v>
      </c>
      <c r="H303" s="2431">
        <f t="shared" si="8"/>
        <v>291155.08043751423</v>
      </c>
      <c r="I303" s="2431">
        <f t="shared" si="8"/>
        <v>291935.03868698591</v>
      </c>
      <c r="J303" s="2431">
        <f t="shared" si="8"/>
        <v>291849.62378623767</v>
      </c>
      <c r="K303" s="2431">
        <f t="shared" si="8"/>
        <v>291191.85474666895</v>
      </c>
      <c r="L303" s="2431">
        <f t="shared" si="8"/>
        <v>289919.6436577331</v>
      </c>
      <c r="M303" s="2431">
        <f t="shared" si="8"/>
        <v>287842.75219369511</v>
      </c>
      <c r="N303" s="2431">
        <f t="shared" si="8"/>
        <v>285850.15583572793</v>
      </c>
      <c r="O303" s="2431">
        <f t="shared" si="8"/>
        <v>283940.80294809554</v>
      </c>
      <c r="P303" s="2431">
        <f t="shared" si="8"/>
        <v>282046.5599677522</v>
      </c>
      <c r="Q303" s="2431">
        <f t="shared" si="8"/>
        <v>280076.0725081829</v>
      </c>
      <c r="R303" s="2431">
        <f t="shared" si="8"/>
        <v>278509.10998809303</v>
      </c>
      <c r="S303" s="2431">
        <f t="shared" si="8"/>
        <v>277261.46475709532</v>
      </c>
      <c r="T303" s="2431">
        <f t="shared" si="8"/>
        <v>276267.06322057685</v>
      </c>
      <c r="U303" s="2431">
        <f t="shared" si="8"/>
        <v>275473.86250114086</v>
      </c>
      <c r="V303" s="2431">
        <f t="shared" si="8"/>
        <v>274840.74400397757</v>
      </c>
      <c r="W303" s="2431">
        <f t="shared" si="8"/>
        <v>274335.13890865957</v>
      </c>
      <c r="X303" s="2431">
        <f t="shared" si="8"/>
        <v>273931.19825406029</v>
      </c>
      <c r="Y303" s="2431">
        <f t="shared" si="8"/>
        <v>273608.37301794806</v>
      </c>
      <c r="Z303" s="2431">
        <f t="shared" si="8"/>
        <v>273350.3060281463</v>
      </c>
      <c r="AA303" s="2431">
        <f t="shared" si="8"/>
        <v>273143.9631348463</v>
      </c>
      <c r="AB303" s="2431">
        <f t="shared" si="8"/>
        <v>272978.94933579199</v>
      </c>
      <c r="AC303" s="2431">
        <f t="shared" si="8"/>
        <v>272846.96877230529</v>
      </c>
      <c r="AD303" s="2431">
        <f t="shared" si="8"/>
        <v>272741.39722606447</v>
      </c>
      <c r="AE303" s="2431">
        <f t="shared" si="8"/>
        <v>272656.94296828075</v>
      </c>
      <c r="AF303" s="2431">
        <f t="shared" si="8"/>
        <v>272589.37724404968</v>
      </c>
      <c r="AG303" s="2431">
        <f t="shared" si="8"/>
        <v>272535.3198001468</v>
      </c>
      <c r="AH303" s="2431">
        <f t="shared" si="8"/>
        <v>272492.0680257575</v>
      </c>
      <c r="AI303" s="2431">
        <f t="shared" si="8"/>
        <v>272457.46071613336</v>
      </c>
      <c r="AJ303" s="2431">
        <f t="shared" si="8"/>
        <v>272429.76936532778</v>
      </c>
      <c r="AK303" s="2431">
        <f t="shared" si="8"/>
        <v>272407.61137531634</v>
      </c>
      <c r="AL303" s="2431">
        <f t="shared" si="8"/>
        <v>272389.88073091803</v>
      </c>
      <c r="AM303" s="2431">
        <f t="shared" si="8"/>
        <v>272375.69260517863</v>
      </c>
      <c r="AN303" s="2431">
        <f t="shared" si="8"/>
        <v>272364.33908280177</v>
      </c>
      <c r="AO303" s="2431">
        <f t="shared" si="8"/>
        <v>272355.25376174017</v>
      </c>
      <c r="AP303" s="2431">
        <f t="shared" si="8"/>
        <v>272347.98344732111</v>
      </c>
      <c r="AQ303" s="2431">
        <f t="shared" si="8"/>
        <v>272342.16551436932</v>
      </c>
      <c r="AR303" s="2431">
        <f t="shared" si="8"/>
        <v>272337.50980014092</v>
      </c>
      <c r="AS303" s="2431">
        <f t="shared" si="8"/>
        <v>272333.78411983163</v>
      </c>
    </row>
    <row r="304" spans="2:45" x14ac:dyDescent="0.2">
      <c r="B304" s="2410"/>
      <c r="C304" s="2432" t="s">
        <v>1367</v>
      </c>
      <c r="D304" s="2415" t="s">
        <v>1365</v>
      </c>
      <c r="E304" s="2411"/>
      <c r="F304" s="2411"/>
      <c r="G304" s="2431">
        <f t="shared" si="8"/>
        <v>19901.172571052437</v>
      </c>
      <c r="H304" s="2431">
        <f t="shared" si="8"/>
        <v>19835.876517098059</v>
      </c>
      <c r="I304" s="2431">
        <f t="shared" si="8"/>
        <v>19889.013682012937</v>
      </c>
      <c r="J304" s="2431">
        <f t="shared" si="8"/>
        <v>19883.194517114913</v>
      </c>
      <c r="K304" s="2431">
        <f t="shared" si="8"/>
        <v>19838.381885214243</v>
      </c>
      <c r="L304" s="2431">
        <f t="shared" si="8"/>
        <v>19751.708412005759</v>
      </c>
      <c r="M304" s="2431">
        <f t="shared" si="8"/>
        <v>19610.213499541362</v>
      </c>
      <c r="N304" s="2431">
        <f t="shared" si="8"/>
        <v>19474.461462360137</v>
      </c>
      <c r="O304" s="2431">
        <f t="shared" si="8"/>
        <v>19344.380654394397</v>
      </c>
      <c r="P304" s="2431">
        <f t="shared" si="8"/>
        <v>19215.329257472153</v>
      </c>
      <c r="Q304" s="2431">
        <f t="shared" si="8"/>
        <v>19081.083460119848</v>
      </c>
      <c r="R304" s="2431">
        <f t="shared" si="8"/>
        <v>18974.329097432044</v>
      </c>
      <c r="S304" s="2431">
        <f t="shared" si="8"/>
        <v>18889.329252325351</v>
      </c>
      <c r="T304" s="2431">
        <f t="shared" si="8"/>
        <v>18821.582448604277</v>
      </c>
      <c r="U304" s="2431">
        <f t="shared" si="8"/>
        <v>18767.543097821312</v>
      </c>
      <c r="V304" s="2431">
        <f t="shared" si="8"/>
        <v>18724.4098634242</v>
      </c>
      <c r="W304" s="2431">
        <f t="shared" si="8"/>
        <v>18689.963889745592</v>
      </c>
      <c r="X304" s="2431">
        <f t="shared" si="8"/>
        <v>18662.444133151177</v>
      </c>
      <c r="Y304" s="2431">
        <f t="shared" si="8"/>
        <v>18640.450625394067</v>
      </c>
      <c r="Z304" s="2431">
        <f t="shared" si="8"/>
        <v>18622.868981497777</v>
      </c>
      <c r="AA304" s="2431">
        <f t="shared" si="8"/>
        <v>18608.811208075003</v>
      </c>
      <c r="AB304" s="2431">
        <f t="shared" si="8"/>
        <v>18597.569112155747</v>
      </c>
      <c r="AC304" s="2431">
        <f t="shared" si="8"/>
        <v>18588.577511679308</v>
      </c>
      <c r="AD304" s="2431">
        <f t="shared" si="8"/>
        <v>18581.385110462041</v>
      </c>
      <c r="AE304" s="2431">
        <f t="shared" si="8"/>
        <v>18575.63139245642</v>
      </c>
      <c r="AF304" s="2431">
        <f t="shared" si="8"/>
        <v>18571.028260130439</v>
      </c>
      <c r="AG304" s="2431">
        <f t="shared" si="8"/>
        <v>18567.345422858714</v>
      </c>
      <c r="AH304" s="2431">
        <f t="shared" si="8"/>
        <v>18564.398756585048</v>
      </c>
      <c r="AI304" s="2431">
        <f t="shared" si="8"/>
        <v>18562.04102228324</v>
      </c>
      <c r="AJ304" s="2431">
        <f t="shared" si="8"/>
        <v>18560.154459924976</v>
      </c>
      <c r="AK304" s="2431">
        <f t="shared" si="8"/>
        <v>18558.644875571943</v>
      </c>
      <c r="AL304" s="2431">
        <f t="shared" si="8"/>
        <v>18557.436918381827</v>
      </c>
      <c r="AM304" s="2431">
        <f t="shared" si="8"/>
        <v>18556.470306671828</v>
      </c>
      <c r="AN304" s="2431">
        <f t="shared" si="8"/>
        <v>18555.696811434987</v>
      </c>
      <c r="AO304" s="2431">
        <f t="shared" si="8"/>
        <v>18555.077844709678</v>
      </c>
      <c r="AP304" s="2431">
        <f t="shared" si="8"/>
        <v>18554.582531150867</v>
      </c>
      <c r="AQ304" s="2431">
        <f t="shared" si="8"/>
        <v>18554.186165751908</v>
      </c>
      <c r="AR304" s="2431">
        <f t="shared" si="8"/>
        <v>18553.868980242405</v>
      </c>
      <c r="AS304" s="2431">
        <f t="shared" si="8"/>
        <v>18553.61515628561</v>
      </c>
    </row>
    <row r="305" spans="2:45" x14ac:dyDescent="0.2">
      <c r="B305" s="2410"/>
      <c r="C305" s="2432" t="s">
        <v>1368</v>
      </c>
      <c r="D305" s="2415" t="s">
        <v>1365</v>
      </c>
      <c r="E305" s="2411"/>
      <c r="F305" s="2411"/>
      <c r="G305" s="2431">
        <f t="shared" si="8"/>
        <v>0</v>
      </c>
      <c r="H305" s="2431">
        <f t="shared" si="8"/>
        <v>0</v>
      </c>
      <c r="I305" s="2431">
        <f t="shared" si="8"/>
        <v>0</v>
      </c>
      <c r="J305" s="2431">
        <f t="shared" si="8"/>
        <v>0</v>
      </c>
      <c r="K305" s="2431">
        <f t="shared" si="8"/>
        <v>0</v>
      </c>
      <c r="L305" s="2431">
        <f t="shared" si="8"/>
        <v>0</v>
      </c>
      <c r="M305" s="2431">
        <f t="shared" si="8"/>
        <v>0</v>
      </c>
      <c r="N305" s="2431">
        <f t="shared" si="8"/>
        <v>0</v>
      </c>
      <c r="O305" s="2431">
        <f t="shared" si="8"/>
        <v>0</v>
      </c>
      <c r="P305" s="2431">
        <f t="shared" si="8"/>
        <v>0</v>
      </c>
      <c r="Q305" s="2431">
        <f t="shared" si="8"/>
        <v>0</v>
      </c>
      <c r="R305" s="2431">
        <f t="shared" si="8"/>
        <v>0</v>
      </c>
      <c r="S305" s="2431">
        <f t="shared" si="8"/>
        <v>0</v>
      </c>
      <c r="T305" s="2431">
        <f t="shared" si="8"/>
        <v>0</v>
      </c>
      <c r="U305" s="2431">
        <f t="shared" si="8"/>
        <v>0</v>
      </c>
      <c r="V305" s="2431">
        <f t="shared" si="8"/>
        <v>0</v>
      </c>
      <c r="W305" s="2431">
        <f t="shared" si="8"/>
        <v>0</v>
      </c>
      <c r="X305" s="2431">
        <f t="shared" si="8"/>
        <v>0</v>
      </c>
      <c r="Y305" s="2431">
        <f t="shared" si="8"/>
        <v>0</v>
      </c>
      <c r="Z305" s="2431">
        <f t="shared" si="8"/>
        <v>0</v>
      </c>
      <c r="AA305" s="2431">
        <f t="shared" si="8"/>
        <v>0</v>
      </c>
      <c r="AB305" s="2431">
        <f t="shared" si="8"/>
        <v>0</v>
      </c>
      <c r="AC305" s="2431">
        <f t="shared" si="8"/>
        <v>0</v>
      </c>
      <c r="AD305" s="2431">
        <f t="shared" si="8"/>
        <v>0</v>
      </c>
      <c r="AE305" s="2431">
        <f t="shared" si="8"/>
        <v>0</v>
      </c>
      <c r="AF305" s="2431">
        <f t="shared" si="8"/>
        <v>0</v>
      </c>
      <c r="AG305" s="2431">
        <f t="shared" si="8"/>
        <v>0</v>
      </c>
      <c r="AH305" s="2431">
        <f t="shared" si="8"/>
        <v>0</v>
      </c>
      <c r="AI305" s="2431">
        <f t="shared" si="8"/>
        <v>0</v>
      </c>
      <c r="AJ305" s="2431">
        <f t="shared" si="8"/>
        <v>0</v>
      </c>
      <c r="AK305" s="2431">
        <f t="shared" si="8"/>
        <v>0</v>
      </c>
      <c r="AL305" s="2431">
        <f t="shared" si="8"/>
        <v>0</v>
      </c>
      <c r="AM305" s="2431">
        <f t="shared" si="8"/>
        <v>0</v>
      </c>
      <c r="AN305" s="2431">
        <f t="shared" si="8"/>
        <v>0</v>
      </c>
      <c r="AO305" s="2431">
        <f t="shared" si="8"/>
        <v>0</v>
      </c>
      <c r="AP305" s="2431">
        <f t="shared" si="8"/>
        <v>0</v>
      </c>
      <c r="AQ305" s="2431">
        <f t="shared" si="8"/>
        <v>0</v>
      </c>
      <c r="AR305" s="2431">
        <f t="shared" si="8"/>
        <v>0</v>
      </c>
      <c r="AS305" s="2431">
        <f t="shared" si="8"/>
        <v>0</v>
      </c>
    </row>
    <row r="306" spans="2:45" x14ac:dyDescent="0.2">
      <c r="B306" s="2410"/>
      <c r="C306" s="2432" t="s">
        <v>1369</v>
      </c>
      <c r="D306" s="2415" t="s">
        <v>1365</v>
      </c>
      <c r="E306" s="2411"/>
      <c r="F306" s="2411"/>
      <c r="G306" s="2431">
        <f t="shared" si="8"/>
        <v>101075.12155535222</v>
      </c>
      <c r="H306" s="2431">
        <f t="shared" si="8"/>
        <v>100743.49252359739</v>
      </c>
      <c r="I306" s="2431">
        <f t="shared" si="8"/>
        <v>101013.36835044641</v>
      </c>
      <c r="J306" s="2431">
        <f t="shared" si="8"/>
        <v>100983.81366982052</v>
      </c>
      <c r="K306" s="2431">
        <f t="shared" si="8"/>
        <v>100756.21691890527</v>
      </c>
      <c r="L306" s="2431">
        <f t="shared" si="8"/>
        <v>100316.01512632775</v>
      </c>
      <c r="M306" s="2431">
        <f t="shared" si="8"/>
        <v>99597.383325827395</v>
      </c>
      <c r="N306" s="2431">
        <f t="shared" si="8"/>
        <v>98907.918742246155</v>
      </c>
      <c r="O306" s="2431">
        <f t="shared" si="8"/>
        <v>98247.257495768674</v>
      </c>
      <c r="P306" s="2431">
        <f t="shared" si="8"/>
        <v>97591.82447621999</v>
      </c>
      <c r="Q306" s="2431">
        <f t="shared" si="8"/>
        <v>96910.009862672247</v>
      </c>
      <c r="R306" s="2431">
        <f t="shared" si="8"/>
        <v>96367.820192857078</v>
      </c>
      <c r="S306" s="2431">
        <f t="shared" si="8"/>
        <v>95936.118510673681</v>
      </c>
      <c r="T306" s="2431">
        <f t="shared" si="8"/>
        <v>95592.042482155943</v>
      </c>
      <c r="U306" s="2431">
        <f t="shared" si="8"/>
        <v>95317.584586287747</v>
      </c>
      <c r="V306" s="2431">
        <f t="shared" si="8"/>
        <v>95098.517247707656</v>
      </c>
      <c r="W306" s="2431">
        <f t="shared" si="8"/>
        <v>94923.571225596257</v>
      </c>
      <c r="X306" s="2431">
        <f t="shared" si="8"/>
        <v>94783.802438957035</v>
      </c>
      <c r="Y306" s="2431">
        <f t="shared" si="8"/>
        <v>94672.100655454487</v>
      </c>
      <c r="Z306" s="2431">
        <f t="shared" si="8"/>
        <v>94582.806078081427</v>
      </c>
      <c r="AA306" s="2431">
        <f t="shared" si="8"/>
        <v>94511.408719336294</v>
      </c>
      <c r="AB306" s="2431">
        <f t="shared" si="8"/>
        <v>94454.311771529887</v>
      </c>
      <c r="AC306" s="2431">
        <f t="shared" si="8"/>
        <v>94408.64475829796</v>
      </c>
      <c r="AD306" s="2431">
        <f t="shared" si="8"/>
        <v>94372.115612856142</v>
      </c>
      <c r="AE306" s="2431">
        <f t="shared" si="8"/>
        <v>94342.893327348254</v>
      </c>
      <c r="AF306" s="2431">
        <f t="shared" si="8"/>
        <v>94319.51469688199</v>
      </c>
      <c r="AG306" s="2431">
        <f t="shared" si="8"/>
        <v>94300.810109321683</v>
      </c>
      <c r="AH306" s="2431">
        <f t="shared" si="8"/>
        <v>94285.844425730393</v>
      </c>
      <c r="AI306" s="2431">
        <f t="shared" si="8"/>
        <v>94273.869840800806</v>
      </c>
      <c r="AJ306" s="2431">
        <f t="shared" si="8"/>
        <v>94264.288268709875</v>
      </c>
      <c r="AK306" s="2431">
        <f t="shared" si="8"/>
        <v>94256.62131233151</v>
      </c>
      <c r="AL306" s="2431">
        <f t="shared" si="8"/>
        <v>94250.486275846168</v>
      </c>
      <c r="AM306" s="2431">
        <f t="shared" si="8"/>
        <v>94245.576997473938</v>
      </c>
      <c r="AN306" s="2431">
        <f t="shared" si="8"/>
        <v>94241.648529198661</v>
      </c>
      <c r="AO306" s="2431">
        <f t="shared" si="8"/>
        <v>94238.504888452051</v>
      </c>
      <c r="AP306" s="2431">
        <f t="shared" si="8"/>
        <v>94235.98926390853</v>
      </c>
      <c r="AQ306" s="2431">
        <f t="shared" si="8"/>
        <v>94233.976182481434</v>
      </c>
      <c r="AR306" s="2431">
        <f t="shared" si="8"/>
        <v>94232.365244039785</v>
      </c>
      <c r="AS306" s="2431">
        <f t="shared" si="8"/>
        <v>94231.076109583257</v>
      </c>
    </row>
    <row r="307" spans="2:45" x14ac:dyDescent="0.2">
      <c r="B307" s="2410"/>
      <c r="C307" s="2432" t="s">
        <v>1370</v>
      </c>
      <c r="D307" s="2415" t="s">
        <v>1365</v>
      </c>
      <c r="E307" s="2411"/>
      <c r="F307" s="2411"/>
      <c r="G307" s="2431">
        <f t="shared" si="8"/>
        <v>0</v>
      </c>
      <c r="H307" s="2431">
        <f t="shared" si="8"/>
        <v>0</v>
      </c>
      <c r="I307" s="2431">
        <f t="shared" si="8"/>
        <v>0</v>
      </c>
      <c r="J307" s="2431">
        <f t="shared" si="8"/>
        <v>0</v>
      </c>
      <c r="K307" s="2431">
        <f t="shared" si="8"/>
        <v>0</v>
      </c>
      <c r="L307" s="2431">
        <f t="shared" si="8"/>
        <v>0</v>
      </c>
      <c r="M307" s="2431">
        <f t="shared" si="8"/>
        <v>0</v>
      </c>
      <c r="N307" s="2431">
        <f t="shared" si="8"/>
        <v>0</v>
      </c>
      <c r="O307" s="2431">
        <f t="shared" si="8"/>
        <v>0</v>
      </c>
      <c r="P307" s="2431">
        <f t="shared" si="8"/>
        <v>0</v>
      </c>
      <c r="Q307" s="2431">
        <f t="shared" si="8"/>
        <v>0</v>
      </c>
      <c r="R307" s="2431">
        <f t="shared" si="8"/>
        <v>0</v>
      </c>
      <c r="S307" s="2431">
        <f t="shared" si="8"/>
        <v>0</v>
      </c>
      <c r="T307" s="2431">
        <f t="shared" si="8"/>
        <v>0</v>
      </c>
      <c r="U307" s="2431">
        <f t="shared" si="8"/>
        <v>0</v>
      </c>
      <c r="V307" s="2431">
        <f t="shared" si="8"/>
        <v>0</v>
      </c>
      <c r="W307" s="2431">
        <f t="shared" si="8"/>
        <v>0</v>
      </c>
      <c r="X307" s="2431">
        <f t="shared" si="8"/>
        <v>0</v>
      </c>
      <c r="Y307" s="2431">
        <f t="shared" si="8"/>
        <v>0</v>
      </c>
      <c r="Z307" s="2431">
        <f t="shared" si="8"/>
        <v>0</v>
      </c>
      <c r="AA307" s="2431">
        <f t="shared" si="8"/>
        <v>0</v>
      </c>
      <c r="AB307" s="2431">
        <f t="shared" si="8"/>
        <v>0</v>
      </c>
      <c r="AC307" s="2431">
        <f t="shared" si="8"/>
        <v>0</v>
      </c>
      <c r="AD307" s="2431">
        <f t="shared" si="8"/>
        <v>0</v>
      </c>
      <c r="AE307" s="2431">
        <f t="shared" si="8"/>
        <v>0</v>
      </c>
      <c r="AF307" s="2431">
        <f t="shared" si="8"/>
        <v>0</v>
      </c>
      <c r="AG307" s="2431">
        <f t="shared" si="8"/>
        <v>0</v>
      </c>
      <c r="AH307" s="2431">
        <f t="shared" si="8"/>
        <v>0</v>
      </c>
      <c r="AI307" s="2431">
        <f t="shared" si="8"/>
        <v>0</v>
      </c>
      <c r="AJ307" s="2431">
        <f t="shared" si="8"/>
        <v>0</v>
      </c>
      <c r="AK307" s="2431">
        <f t="shared" si="8"/>
        <v>0</v>
      </c>
      <c r="AL307" s="2431">
        <f t="shared" si="8"/>
        <v>0</v>
      </c>
      <c r="AM307" s="2431">
        <f t="shared" si="8"/>
        <v>0</v>
      </c>
      <c r="AN307" s="2431">
        <f t="shared" si="8"/>
        <v>0</v>
      </c>
      <c r="AO307" s="2431">
        <f t="shared" si="8"/>
        <v>0</v>
      </c>
      <c r="AP307" s="2431">
        <f t="shared" si="8"/>
        <v>0</v>
      </c>
      <c r="AQ307" s="2431">
        <f t="shared" si="8"/>
        <v>0</v>
      </c>
      <c r="AR307" s="2431">
        <f t="shared" si="8"/>
        <v>0</v>
      </c>
      <c r="AS307" s="2431">
        <f t="shared" si="8"/>
        <v>0</v>
      </c>
    </row>
    <row r="308" spans="2:45" x14ac:dyDescent="0.2">
      <c r="B308" s="2410"/>
      <c r="C308" s="2432" t="s">
        <v>1371</v>
      </c>
      <c r="D308" s="2415" t="s">
        <v>1365</v>
      </c>
      <c r="E308" s="2411"/>
      <c r="F308" s="2411"/>
      <c r="G308" s="2431">
        <f t="shared" si="8"/>
        <v>0</v>
      </c>
      <c r="H308" s="2431">
        <f t="shared" si="8"/>
        <v>0</v>
      </c>
      <c r="I308" s="2431">
        <f t="shared" si="8"/>
        <v>0</v>
      </c>
      <c r="J308" s="2431">
        <f t="shared" si="8"/>
        <v>0</v>
      </c>
      <c r="K308" s="2431">
        <f t="shared" si="8"/>
        <v>0</v>
      </c>
      <c r="L308" s="2431">
        <f t="shared" si="8"/>
        <v>0</v>
      </c>
      <c r="M308" s="2431">
        <f t="shared" si="8"/>
        <v>0</v>
      </c>
      <c r="N308" s="2431">
        <f t="shared" si="8"/>
        <v>0</v>
      </c>
      <c r="O308" s="2431">
        <f t="shared" si="8"/>
        <v>0</v>
      </c>
      <c r="P308" s="2431">
        <f t="shared" si="8"/>
        <v>0</v>
      </c>
      <c r="Q308" s="2431">
        <f t="shared" si="8"/>
        <v>0</v>
      </c>
      <c r="R308" s="2431">
        <f t="shared" si="8"/>
        <v>0</v>
      </c>
      <c r="S308" s="2431">
        <f t="shared" si="8"/>
        <v>0</v>
      </c>
      <c r="T308" s="2431">
        <f t="shared" si="8"/>
        <v>0</v>
      </c>
      <c r="U308" s="2431">
        <f t="shared" si="8"/>
        <v>0</v>
      </c>
      <c r="V308" s="2431">
        <f t="shared" si="8"/>
        <v>0</v>
      </c>
      <c r="W308" s="2431">
        <f t="shared" si="8"/>
        <v>0</v>
      </c>
      <c r="X308" s="2431">
        <f t="shared" si="8"/>
        <v>0</v>
      </c>
      <c r="Y308" s="2431">
        <f t="shared" si="8"/>
        <v>0</v>
      </c>
      <c r="Z308" s="2431">
        <f t="shared" si="8"/>
        <v>0</v>
      </c>
      <c r="AA308" s="2431">
        <f t="shared" si="8"/>
        <v>0</v>
      </c>
      <c r="AB308" s="2431">
        <f t="shared" si="8"/>
        <v>0</v>
      </c>
      <c r="AC308" s="2431">
        <f t="shared" si="8"/>
        <v>0</v>
      </c>
      <c r="AD308" s="2431">
        <f t="shared" si="8"/>
        <v>0</v>
      </c>
      <c r="AE308" s="2431">
        <f t="shared" si="8"/>
        <v>0</v>
      </c>
      <c r="AF308" s="2431">
        <f t="shared" si="8"/>
        <v>0</v>
      </c>
      <c r="AG308" s="2431">
        <f t="shared" si="8"/>
        <v>0</v>
      </c>
      <c r="AH308" s="2431">
        <f t="shared" si="8"/>
        <v>0</v>
      </c>
      <c r="AI308" s="2431">
        <f t="shared" si="8"/>
        <v>0</v>
      </c>
      <c r="AJ308" s="2431">
        <f t="shared" si="8"/>
        <v>0</v>
      </c>
      <c r="AK308" s="2431">
        <f t="shared" si="8"/>
        <v>0</v>
      </c>
      <c r="AL308" s="2431">
        <f t="shared" si="8"/>
        <v>0</v>
      </c>
      <c r="AM308" s="2431">
        <f t="shared" si="8"/>
        <v>0</v>
      </c>
      <c r="AN308" s="2431">
        <f t="shared" si="8"/>
        <v>0</v>
      </c>
      <c r="AO308" s="2431">
        <f t="shared" si="8"/>
        <v>0</v>
      </c>
      <c r="AP308" s="2431">
        <f t="shared" si="8"/>
        <v>0</v>
      </c>
      <c r="AQ308" s="2431">
        <f t="shared" si="8"/>
        <v>0</v>
      </c>
      <c r="AR308" s="2431">
        <f t="shared" si="8"/>
        <v>0</v>
      </c>
      <c r="AS308" s="2431">
        <f t="shared" si="8"/>
        <v>0</v>
      </c>
    </row>
    <row r="309" spans="2:45" x14ac:dyDescent="0.2">
      <c r="B309" s="2410"/>
      <c r="C309" s="2412" t="s">
        <v>1372</v>
      </c>
      <c r="D309" s="2415" t="s">
        <v>1365</v>
      </c>
      <c r="E309" s="2411"/>
      <c r="F309" s="2411"/>
      <c r="G309" s="2431">
        <f t="shared" si="8"/>
        <v>0</v>
      </c>
      <c r="H309" s="2431">
        <f t="shared" si="8"/>
        <v>0</v>
      </c>
      <c r="I309" s="2431">
        <f t="shared" si="8"/>
        <v>0</v>
      </c>
      <c r="J309" s="2431">
        <f t="shared" si="8"/>
        <v>0</v>
      </c>
      <c r="K309" s="2431">
        <f t="shared" si="8"/>
        <v>0</v>
      </c>
      <c r="L309" s="2431">
        <f t="shared" si="8"/>
        <v>0</v>
      </c>
      <c r="M309" s="2431">
        <f t="shared" si="8"/>
        <v>0</v>
      </c>
      <c r="N309" s="2431">
        <f t="shared" si="8"/>
        <v>0</v>
      </c>
      <c r="O309" s="2431">
        <f t="shared" si="8"/>
        <v>0</v>
      </c>
      <c r="P309" s="2431">
        <f t="shared" si="8"/>
        <v>0</v>
      </c>
      <c r="Q309" s="2431">
        <f t="shared" si="8"/>
        <v>0</v>
      </c>
      <c r="R309" s="2431">
        <f t="shared" si="8"/>
        <v>0</v>
      </c>
      <c r="S309" s="2431">
        <f t="shared" si="8"/>
        <v>0</v>
      </c>
      <c r="T309" s="2431">
        <f t="shared" si="8"/>
        <v>0</v>
      </c>
      <c r="U309" s="2431">
        <f t="shared" si="8"/>
        <v>0</v>
      </c>
      <c r="V309" s="2431">
        <f t="shared" si="8"/>
        <v>0</v>
      </c>
      <c r="W309" s="2431">
        <f t="shared" si="8"/>
        <v>0</v>
      </c>
      <c r="X309" s="2431">
        <f t="shared" si="8"/>
        <v>0</v>
      </c>
      <c r="Y309" s="2431">
        <f t="shared" si="8"/>
        <v>0</v>
      </c>
      <c r="Z309" s="2431">
        <f t="shared" si="8"/>
        <v>0</v>
      </c>
      <c r="AA309" s="2431">
        <f t="shared" si="8"/>
        <v>0</v>
      </c>
      <c r="AB309" s="2431">
        <f t="shared" ref="AB309:AS309" si="9">AB80*AB164</f>
        <v>0</v>
      </c>
      <c r="AC309" s="2431">
        <f t="shared" si="9"/>
        <v>0</v>
      </c>
      <c r="AD309" s="2431">
        <f t="shared" si="9"/>
        <v>0</v>
      </c>
      <c r="AE309" s="2431">
        <f t="shared" si="9"/>
        <v>0</v>
      </c>
      <c r="AF309" s="2431">
        <f t="shared" si="9"/>
        <v>0</v>
      </c>
      <c r="AG309" s="2431">
        <f t="shared" si="9"/>
        <v>0</v>
      </c>
      <c r="AH309" s="2431">
        <f t="shared" si="9"/>
        <v>0</v>
      </c>
      <c r="AI309" s="2431">
        <f t="shared" si="9"/>
        <v>0</v>
      </c>
      <c r="AJ309" s="2431">
        <f t="shared" si="9"/>
        <v>0</v>
      </c>
      <c r="AK309" s="2431">
        <f t="shared" si="9"/>
        <v>0</v>
      </c>
      <c r="AL309" s="2431">
        <f t="shared" si="9"/>
        <v>0</v>
      </c>
      <c r="AM309" s="2431">
        <f t="shared" si="9"/>
        <v>0</v>
      </c>
      <c r="AN309" s="2431">
        <f t="shared" si="9"/>
        <v>0</v>
      </c>
      <c r="AO309" s="2431">
        <f t="shared" si="9"/>
        <v>0</v>
      </c>
      <c r="AP309" s="2431">
        <f t="shared" si="9"/>
        <v>0</v>
      </c>
      <c r="AQ309" s="2431">
        <f t="shared" si="9"/>
        <v>0</v>
      </c>
      <c r="AR309" s="2431">
        <f t="shared" si="9"/>
        <v>0</v>
      </c>
      <c r="AS309" s="2431">
        <f t="shared" si="9"/>
        <v>0</v>
      </c>
    </row>
    <row r="310" spans="2:45" x14ac:dyDescent="0.2">
      <c r="B310" s="2410"/>
      <c r="C310" s="2412" t="s">
        <v>1373</v>
      </c>
      <c r="D310" s="2415" t="s">
        <v>1365</v>
      </c>
      <c r="E310" s="2411"/>
      <c r="F310" s="2411"/>
      <c r="G310" s="2431">
        <f t="shared" ref="G310:AS316" si="10">G81*G165</f>
        <v>0</v>
      </c>
      <c r="H310" s="2431">
        <f t="shared" si="10"/>
        <v>0</v>
      </c>
      <c r="I310" s="2431">
        <f t="shared" si="10"/>
        <v>0</v>
      </c>
      <c r="J310" s="2431">
        <f t="shared" si="10"/>
        <v>0</v>
      </c>
      <c r="K310" s="2431">
        <f t="shared" si="10"/>
        <v>0</v>
      </c>
      <c r="L310" s="2431">
        <f t="shared" si="10"/>
        <v>0</v>
      </c>
      <c r="M310" s="2431">
        <f t="shared" si="10"/>
        <v>0</v>
      </c>
      <c r="N310" s="2431">
        <f t="shared" si="10"/>
        <v>0</v>
      </c>
      <c r="O310" s="2431">
        <f t="shared" si="10"/>
        <v>0</v>
      </c>
      <c r="P310" s="2431">
        <f t="shared" si="10"/>
        <v>0</v>
      </c>
      <c r="Q310" s="2431">
        <f t="shared" si="10"/>
        <v>0</v>
      </c>
      <c r="R310" s="2431">
        <f t="shared" si="10"/>
        <v>0</v>
      </c>
      <c r="S310" s="2431">
        <f t="shared" si="10"/>
        <v>0</v>
      </c>
      <c r="T310" s="2431">
        <f t="shared" si="10"/>
        <v>0</v>
      </c>
      <c r="U310" s="2431">
        <f t="shared" si="10"/>
        <v>0</v>
      </c>
      <c r="V310" s="2431">
        <f t="shared" si="10"/>
        <v>0</v>
      </c>
      <c r="W310" s="2431">
        <f t="shared" si="10"/>
        <v>0</v>
      </c>
      <c r="X310" s="2431">
        <f t="shared" si="10"/>
        <v>0</v>
      </c>
      <c r="Y310" s="2431">
        <f t="shared" si="10"/>
        <v>0</v>
      </c>
      <c r="Z310" s="2431">
        <f t="shared" si="10"/>
        <v>0</v>
      </c>
      <c r="AA310" s="2431">
        <f t="shared" si="10"/>
        <v>0</v>
      </c>
      <c r="AB310" s="2431">
        <f t="shared" si="10"/>
        <v>0</v>
      </c>
      <c r="AC310" s="2431">
        <f t="shared" si="10"/>
        <v>0</v>
      </c>
      <c r="AD310" s="2431">
        <f t="shared" si="10"/>
        <v>0</v>
      </c>
      <c r="AE310" s="2431">
        <f t="shared" si="10"/>
        <v>0</v>
      </c>
      <c r="AF310" s="2431">
        <f t="shared" si="10"/>
        <v>0</v>
      </c>
      <c r="AG310" s="2431">
        <f t="shared" si="10"/>
        <v>0</v>
      </c>
      <c r="AH310" s="2431">
        <f t="shared" si="10"/>
        <v>0</v>
      </c>
      <c r="AI310" s="2431">
        <f t="shared" si="10"/>
        <v>0</v>
      </c>
      <c r="AJ310" s="2431">
        <f t="shared" si="10"/>
        <v>0</v>
      </c>
      <c r="AK310" s="2431">
        <f t="shared" si="10"/>
        <v>0</v>
      </c>
      <c r="AL310" s="2431">
        <f t="shared" si="10"/>
        <v>0</v>
      </c>
      <c r="AM310" s="2431">
        <f t="shared" si="10"/>
        <v>0</v>
      </c>
      <c r="AN310" s="2431">
        <f t="shared" si="10"/>
        <v>0</v>
      </c>
      <c r="AO310" s="2431">
        <f t="shared" si="10"/>
        <v>0</v>
      </c>
      <c r="AP310" s="2431">
        <f t="shared" si="10"/>
        <v>0</v>
      </c>
      <c r="AQ310" s="2431">
        <f t="shared" si="10"/>
        <v>0</v>
      </c>
      <c r="AR310" s="2431">
        <f t="shared" si="10"/>
        <v>0</v>
      </c>
      <c r="AS310" s="2431">
        <f t="shared" si="10"/>
        <v>0</v>
      </c>
    </row>
    <row r="311" spans="2:45" x14ac:dyDescent="0.2">
      <c r="B311" s="2410"/>
      <c r="C311" s="2412" t="s">
        <v>1374</v>
      </c>
      <c r="D311" s="2415" t="s">
        <v>1365</v>
      </c>
      <c r="E311" s="2411"/>
      <c r="F311" s="2411"/>
      <c r="G311" s="2431">
        <f t="shared" si="10"/>
        <v>0</v>
      </c>
      <c r="H311" s="2431">
        <f t="shared" si="10"/>
        <v>0</v>
      </c>
      <c r="I311" s="2431">
        <f t="shared" si="10"/>
        <v>0</v>
      </c>
      <c r="J311" s="2431">
        <f t="shared" si="10"/>
        <v>0</v>
      </c>
      <c r="K311" s="2431">
        <f t="shared" si="10"/>
        <v>0</v>
      </c>
      <c r="L311" s="2431">
        <f t="shared" si="10"/>
        <v>0</v>
      </c>
      <c r="M311" s="2431">
        <f t="shared" si="10"/>
        <v>0</v>
      </c>
      <c r="N311" s="2431">
        <f t="shared" si="10"/>
        <v>0</v>
      </c>
      <c r="O311" s="2431">
        <f t="shared" si="10"/>
        <v>0</v>
      </c>
      <c r="P311" s="2431">
        <f t="shared" si="10"/>
        <v>0</v>
      </c>
      <c r="Q311" s="2431">
        <f t="shared" si="10"/>
        <v>0</v>
      </c>
      <c r="R311" s="2431">
        <f t="shared" si="10"/>
        <v>0</v>
      </c>
      <c r="S311" s="2431">
        <f t="shared" si="10"/>
        <v>0</v>
      </c>
      <c r="T311" s="2431">
        <f t="shared" si="10"/>
        <v>0</v>
      </c>
      <c r="U311" s="2431">
        <f t="shared" si="10"/>
        <v>0</v>
      </c>
      <c r="V311" s="2431">
        <f t="shared" si="10"/>
        <v>0</v>
      </c>
      <c r="W311" s="2431">
        <f t="shared" si="10"/>
        <v>0</v>
      </c>
      <c r="X311" s="2431">
        <f t="shared" si="10"/>
        <v>0</v>
      </c>
      <c r="Y311" s="2431">
        <f t="shared" si="10"/>
        <v>0</v>
      </c>
      <c r="Z311" s="2431">
        <f t="shared" si="10"/>
        <v>0</v>
      </c>
      <c r="AA311" s="2431">
        <f t="shared" si="10"/>
        <v>0</v>
      </c>
      <c r="AB311" s="2431">
        <f t="shared" si="10"/>
        <v>0</v>
      </c>
      <c r="AC311" s="2431">
        <f t="shared" si="10"/>
        <v>0</v>
      </c>
      <c r="AD311" s="2431">
        <f t="shared" si="10"/>
        <v>0</v>
      </c>
      <c r="AE311" s="2431">
        <f t="shared" si="10"/>
        <v>0</v>
      </c>
      <c r="AF311" s="2431">
        <f t="shared" si="10"/>
        <v>0</v>
      </c>
      <c r="AG311" s="2431">
        <f t="shared" si="10"/>
        <v>0</v>
      </c>
      <c r="AH311" s="2431">
        <f t="shared" si="10"/>
        <v>0</v>
      </c>
      <c r="AI311" s="2431">
        <f t="shared" si="10"/>
        <v>0</v>
      </c>
      <c r="AJ311" s="2431">
        <f t="shared" si="10"/>
        <v>0</v>
      </c>
      <c r="AK311" s="2431">
        <f t="shared" si="10"/>
        <v>0</v>
      </c>
      <c r="AL311" s="2431">
        <f t="shared" si="10"/>
        <v>0</v>
      </c>
      <c r="AM311" s="2431">
        <f t="shared" si="10"/>
        <v>0</v>
      </c>
      <c r="AN311" s="2431">
        <f t="shared" si="10"/>
        <v>0</v>
      </c>
      <c r="AO311" s="2431">
        <f t="shared" si="10"/>
        <v>0</v>
      </c>
      <c r="AP311" s="2431">
        <f t="shared" si="10"/>
        <v>0</v>
      </c>
      <c r="AQ311" s="2431">
        <f t="shared" si="10"/>
        <v>0</v>
      </c>
      <c r="AR311" s="2431">
        <f t="shared" si="10"/>
        <v>0</v>
      </c>
      <c r="AS311" s="2431">
        <f t="shared" si="10"/>
        <v>0</v>
      </c>
    </row>
    <row r="312" spans="2:45" x14ac:dyDescent="0.2">
      <c r="B312" s="2410"/>
      <c r="C312" s="2412" t="s">
        <v>1375</v>
      </c>
      <c r="D312" s="2415" t="s">
        <v>1365</v>
      </c>
      <c r="E312" s="2411"/>
      <c r="F312" s="2411"/>
      <c r="G312" s="2431">
        <f t="shared" si="10"/>
        <v>0</v>
      </c>
      <c r="H312" s="2431">
        <f t="shared" si="10"/>
        <v>0</v>
      </c>
      <c r="I312" s="2431">
        <f t="shared" si="10"/>
        <v>0</v>
      </c>
      <c r="J312" s="2431">
        <f t="shared" si="10"/>
        <v>0</v>
      </c>
      <c r="K312" s="2431">
        <f t="shared" si="10"/>
        <v>0</v>
      </c>
      <c r="L312" s="2431">
        <f t="shared" si="10"/>
        <v>0</v>
      </c>
      <c r="M312" s="2431">
        <f t="shared" si="10"/>
        <v>0</v>
      </c>
      <c r="N312" s="2431">
        <f t="shared" si="10"/>
        <v>0</v>
      </c>
      <c r="O312" s="2431">
        <f t="shared" si="10"/>
        <v>0</v>
      </c>
      <c r="P312" s="2431">
        <f t="shared" si="10"/>
        <v>0</v>
      </c>
      <c r="Q312" s="2431">
        <f t="shared" si="10"/>
        <v>0</v>
      </c>
      <c r="R312" s="2431">
        <f t="shared" si="10"/>
        <v>0</v>
      </c>
      <c r="S312" s="2431">
        <f t="shared" si="10"/>
        <v>0</v>
      </c>
      <c r="T312" s="2431">
        <f t="shared" si="10"/>
        <v>0</v>
      </c>
      <c r="U312" s="2431">
        <f t="shared" si="10"/>
        <v>0</v>
      </c>
      <c r="V312" s="2431">
        <f t="shared" si="10"/>
        <v>0</v>
      </c>
      <c r="W312" s="2431">
        <f t="shared" si="10"/>
        <v>0</v>
      </c>
      <c r="X312" s="2431">
        <f t="shared" si="10"/>
        <v>0</v>
      </c>
      <c r="Y312" s="2431">
        <f t="shared" si="10"/>
        <v>0</v>
      </c>
      <c r="Z312" s="2431">
        <f t="shared" si="10"/>
        <v>0</v>
      </c>
      <c r="AA312" s="2431">
        <f t="shared" si="10"/>
        <v>0</v>
      </c>
      <c r="AB312" s="2431">
        <f t="shared" si="10"/>
        <v>0</v>
      </c>
      <c r="AC312" s="2431">
        <f t="shared" si="10"/>
        <v>0</v>
      </c>
      <c r="AD312" s="2431">
        <f t="shared" si="10"/>
        <v>0</v>
      </c>
      <c r="AE312" s="2431">
        <f t="shared" si="10"/>
        <v>0</v>
      </c>
      <c r="AF312" s="2431">
        <f t="shared" si="10"/>
        <v>0</v>
      </c>
      <c r="AG312" s="2431">
        <f t="shared" si="10"/>
        <v>0</v>
      </c>
      <c r="AH312" s="2431">
        <f t="shared" si="10"/>
        <v>0</v>
      </c>
      <c r="AI312" s="2431">
        <f t="shared" si="10"/>
        <v>0</v>
      </c>
      <c r="AJ312" s="2431">
        <f t="shared" si="10"/>
        <v>0</v>
      </c>
      <c r="AK312" s="2431">
        <f t="shared" si="10"/>
        <v>0</v>
      </c>
      <c r="AL312" s="2431">
        <f t="shared" si="10"/>
        <v>0</v>
      </c>
      <c r="AM312" s="2431">
        <f t="shared" si="10"/>
        <v>0</v>
      </c>
      <c r="AN312" s="2431">
        <f t="shared" si="10"/>
        <v>0</v>
      </c>
      <c r="AO312" s="2431">
        <f t="shared" si="10"/>
        <v>0</v>
      </c>
      <c r="AP312" s="2431">
        <f t="shared" si="10"/>
        <v>0</v>
      </c>
      <c r="AQ312" s="2431">
        <f t="shared" si="10"/>
        <v>0</v>
      </c>
      <c r="AR312" s="2431">
        <f t="shared" si="10"/>
        <v>0</v>
      </c>
      <c r="AS312" s="2431">
        <f t="shared" si="10"/>
        <v>0</v>
      </c>
    </row>
    <row r="313" spans="2:45" x14ac:dyDescent="0.2">
      <c r="B313" s="2410"/>
      <c r="C313" s="2412" t="s">
        <v>1376</v>
      </c>
      <c r="D313" s="2415" t="s">
        <v>1365</v>
      </c>
      <c r="E313" s="2411"/>
      <c r="F313" s="2411"/>
      <c r="G313" s="2431">
        <f t="shared" si="10"/>
        <v>0</v>
      </c>
      <c r="H313" s="2431">
        <f t="shared" si="10"/>
        <v>0</v>
      </c>
      <c r="I313" s="2431">
        <f t="shared" si="10"/>
        <v>0</v>
      </c>
      <c r="J313" s="2431">
        <f t="shared" si="10"/>
        <v>0</v>
      </c>
      <c r="K313" s="2431">
        <f t="shared" si="10"/>
        <v>0</v>
      </c>
      <c r="L313" s="2431">
        <f t="shared" si="10"/>
        <v>0</v>
      </c>
      <c r="M313" s="2431">
        <f t="shared" si="10"/>
        <v>0</v>
      </c>
      <c r="N313" s="2431">
        <f t="shared" si="10"/>
        <v>0</v>
      </c>
      <c r="O313" s="2431">
        <f t="shared" si="10"/>
        <v>0</v>
      </c>
      <c r="P313" s="2431">
        <f t="shared" si="10"/>
        <v>0</v>
      </c>
      <c r="Q313" s="2431">
        <f t="shared" si="10"/>
        <v>0</v>
      </c>
      <c r="R313" s="2431">
        <f t="shared" si="10"/>
        <v>0</v>
      </c>
      <c r="S313" s="2431">
        <f t="shared" si="10"/>
        <v>0</v>
      </c>
      <c r="T313" s="2431">
        <f t="shared" si="10"/>
        <v>0</v>
      </c>
      <c r="U313" s="2431">
        <f t="shared" si="10"/>
        <v>0</v>
      </c>
      <c r="V313" s="2431">
        <f t="shared" si="10"/>
        <v>0</v>
      </c>
      <c r="W313" s="2431">
        <f t="shared" si="10"/>
        <v>0</v>
      </c>
      <c r="X313" s="2431">
        <f t="shared" si="10"/>
        <v>0</v>
      </c>
      <c r="Y313" s="2431">
        <f t="shared" si="10"/>
        <v>0</v>
      </c>
      <c r="Z313" s="2431">
        <f t="shared" si="10"/>
        <v>0</v>
      </c>
      <c r="AA313" s="2431">
        <f t="shared" si="10"/>
        <v>0</v>
      </c>
      <c r="AB313" s="2431">
        <f t="shared" si="10"/>
        <v>0</v>
      </c>
      <c r="AC313" s="2431">
        <f t="shared" si="10"/>
        <v>0</v>
      </c>
      <c r="AD313" s="2431">
        <f t="shared" si="10"/>
        <v>0</v>
      </c>
      <c r="AE313" s="2431">
        <f t="shared" si="10"/>
        <v>0</v>
      </c>
      <c r="AF313" s="2431">
        <f t="shared" si="10"/>
        <v>0</v>
      </c>
      <c r="AG313" s="2431">
        <f t="shared" si="10"/>
        <v>0</v>
      </c>
      <c r="AH313" s="2431">
        <f t="shared" si="10"/>
        <v>0</v>
      </c>
      <c r="AI313" s="2431">
        <f t="shared" si="10"/>
        <v>0</v>
      </c>
      <c r="AJ313" s="2431">
        <f t="shared" si="10"/>
        <v>0</v>
      </c>
      <c r="AK313" s="2431">
        <f t="shared" si="10"/>
        <v>0</v>
      </c>
      <c r="AL313" s="2431">
        <f t="shared" si="10"/>
        <v>0</v>
      </c>
      <c r="AM313" s="2431">
        <f t="shared" si="10"/>
        <v>0</v>
      </c>
      <c r="AN313" s="2431">
        <f t="shared" si="10"/>
        <v>0</v>
      </c>
      <c r="AO313" s="2431">
        <f t="shared" si="10"/>
        <v>0</v>
      </c>
      <c r="AP313" s="2431">
        <f t="shared" si="10"/>
        <v>0</v>
      </c>
      <c r="AQ313" s="2431">
        <f t="shared" si="10"/>
        <v>0</v>
      </c>
      <c r="AR313" s="2431">
        <f t="shared" si="10"/>
        <v>0</v>
      </c>
      <c r="AS313" s="2431">
        <f t="shared" si="10"/>
        <v>0</v>
      </c>
    </row>
    <row r="314" spans="2:45" x14ac:dyDescent="0.2">
      <c r="B314" s="2410"/>
      <c r="C314" s="2412" t="s">
        <v>1377</v>
      </c>
      <c r="D314" s="2415" t="s">
        <v>1365</v>
      </c>
      <c r="E314" s="2411"/>
      <c r="F314" s="2411"/>
      <c r="G314" s="2431">
        <f t="shared" si="10"/>
        <v>0</v>
      </c>
      <c r="H314" s="2431">
        <f t="shared" si="10"/>
        <v>0</v>
      </c>
      <c r="I314" s="2431">
        <f t="shared" si="10"/>
        <v>0</v>
      </c>
      <c r="J314" s="2431">
        <f t="shared" si="10"/>
        <v>0</v>
      </c>
      <c r="K314" s="2431">
        <f t="shared" si="10"/>
        <v>0</v>
      </c>
      <c r="L314" s="2431">
        <f t="shared" si="10"/>
        <v>0</v>
      </c>
      <c r="M314" s="2431">
        <f t="shared" si="10"/>
        <v>0</v>
      </c>
      <c r="N314" s="2431">
        <f t="shared" si="10"/>
        <v>0</v>
      </c>
      <c r="O314" s="2431">
        <f t="shared" si="10"/>
        <v>0</v>
      </c>
      <c r="P314" s="2431">
        <f t="shared" si="10"/>
        <v>0</v>
      </c>
      <c r="Q314" s="2431">
        <f t="shared" si="10"/>
        <v>0</v>
      </c>
      <c r="R314" s="2431">
        <f t="shared" si="10"/>
        <v>0</v>
      </c>
      <c r="S314" s="2431">
        <f t="shared" si="10"/>
        <v>0</v>
      </c>
      <c r="T314" s="2431">
        <f t="shared" si="10"/>
        <v>0</v>
      </c>
      <c r="U314" s="2431">
        <f t="shared" si="10"/>
        <v>0</v>
      </c>
      <c r="V314" s="2431">
        <f t="shared" si="10"/>
        <v>0</v>
      </c>
      <c r="W314" s="2431">
        <f t="shared" si="10"/>
        <v>0</v>
      </c>
      <c r="X314" s="2431">
        <f t="shared" si="10"/>
        <v>0</v>
      </c>
      <c r="Y314" s="2431">
        <f t="shared" si="10"/>
        <v>0</v>
      </c>
      <c r="Z314" s="2431">
        <f t="shared" si="10"/>
        <v>0</v>
      </c>
      <c r="AA314" s="2431">
        <f t="shared" si="10"/>
        <v>0</v>
      </c>
      <c r="AB314" s="2431">
        <f t="shared" si="10"/>
        <v>0</v>
      </c>
      <c r="AC314" s="2431">
        <f t="shared" si="10"/>
        <v>0</v>
      </c>
      <c r="AD314" s="2431">
        <f t="shared" si="10"/>
        <v>0</v>
      </c>
      <c r="AE314" s="2431">
        <f t="shared" si="10"/>
        <v>0</v>
      </c>
      <c r="AF314" s="2431">
        <f t="shared" si="10"/>
        <v>0</v>
      </c>
      <c r="AG314" s="2431">
        <f t="shared" si="10"/>
        <v>0</v>
      </c>
      <c r="AH314" s="2431">
        <f t="shared" si="10"/>
        <v>0</v>
      </c>
      <c r="AI314" s="2431">
        <f t="shared" si="10"/>
        <v>0</v>
      </c>
      <c r="AJ314" s="2431">
        <f t="shared" si="10"/>
        <v>0</v>
      </c>
      <c r="AK314" s="2431">
        <f t="shared" si="10"/>
        <v>0</v>
      </c>
      <c r="AL314" s="2431">
        <f t="shared" si="10"/>
        <v>0</v>
      </c>
      <c r="AM314" s="2431">
        <f t="shared" si="10"/>
        <v>0</v>
      </c>
      <c r="AN314" s="2431">
        <f t="shared" si="10"/>
        <v>0</v>
      </c>
      <c r="AO314" s="2431">
        <f t="shared" si="10"/>
        <v>0</v>
      </c>
      <c r="AP314" s="2431">
        <f t="shared" si="10"/>
        <v>0</v>
      </c>
      <c r="AQ314" s="2431">
        <f t="shared" si="10"/>
        <v>0</v>
      </c>
      <c r="AR314" s="2431">
        <f t="shared" si="10"/>
        <v>0</v>
      </c>
      <c r="AS314" s="2431">
        <f t="shared" si="10"/>
        <v>0</v>
      </c>
    </row>
    <row r="315" spans="2:45" x14ac:dyDescent="0.2">
      <c r="B315" s="2410"/>
      <c r="C315" s="2432" t="s">
        <v>1378</v>
      </c>
      <c r="D315" s="2415" t="s">
        <v>1365</v>
      </c>
      <c r="E315" s="2411"/>
      <c r="F315" s="2411"/>
      <c r="G315" s="2431">
        <f t="shared" si="10"/>
        <v>242401.26608754296</v>
      </c>
      <c r="H315" s="2431">
        <f t="shared" si="10"/>
        <v>251064.49343693972</v>
      </c>
      <c r="I315" s="2431">
        <f t="shared" si="10"/>
        <v>260615.98541016976</v>
      </c>
      <c r="J315" s="2431">
        <f t="shared" si="10"/>
        <v>270495.38709135319</v>
      </c>
      <c r="K315" s="2431">
        <f t="shared" si="10"/>
        <v>280463.72525763989</v>
      </c>
      <c r="L315" s="2431">
        <f t="shared" si="10"/>
        <v>290428.25956779788</v>
      </c>
      <c r="M315" s="2431">
        <f t="shared" si="10"/>
        <v>300994.29169599357</v>
      </c>
      <c r="N315" s="2431">
        <f t="shared" si="10"/>
        <v>311958.4499117877</v>
      </c>
      <c r="O315" s="2431">
        <f t="shared" si="10"/>
        <v>322741.53872065921</v>
      </c>
      <c r="P315" s="2431">
        <f t="shared" si="10"/>
        <v>333602.43138313753</v>
      </c>
      <c r="Q315" s="2431">
        <f t="shared" si="10"/>
        <v>344548.87821288843</v>
      </c>
      <c r="R315" s="2431">
        <f t="shared" si="10"/>
        <v>355104.22245839983</v>
      </c>
      <c r="S315" s="2431">
        <f t="shared" si="10"/>
        <v>365376.16966057243</v>
      </c>
      <c r="T315" s="2431">
        <f t="shared" si="10"/>
        <v>375434.49987025291</v>
      </c>
      <c r="U315" s="2431">
        <f t="shared" si="10"/>
        <v>385322.99176703754</v>
      </c>
      <c r="V315" s="2431">
        <f t="shared" si="10"/>
        <v>395066.09193071607</v>
      </c>
      <c r="W315" s="2431">
        <f t="shared" si="10"/>
        <v>404677.70802482148</v>
      </c>
      <c r="X315" s="2431">
        <f t="shared" si="10"/>
        <v>414212.21111773164</v>
      </c>
      <c r="Y315" s="2431">
        <f t="shared" si="10"/>
        <v>423706.2783549889</v>
      </c>
      <c r="Z315" s="2431">
        <f t="shared" si="10"/>
        <v>433182.14069513022</v>
      </c>
      <c r="AA315" s="2431">
        <f t="shared" si="10"/>
        <v>442653.03472183249</v>
      </c>
      <c r="AB315" s="2431">
        <f t="shared" si="10"/>
        <v>452115.5362502624</v>
      </c>
      <c r="AC315" s="2431">
        <f t="shared" si="10"/>
        <v>461575.12402326317</v>
      </c>
      <c r="AD315" s="2431">
        <f t="shared" si="10"/>
        <v>471033.33798765671</v>
      </c>
      <c r="AE315" s="2431">
        <f t="shared" si="10"/>
        <v>480488.96590399806</v>
      </c>
      <c r="AF315" s="2431">
        <f t="shared" si="10"/>
        <v>489940.11604765611</v>
      </c>
      <c r="AG315" s="2431">
        <f t="shared" si="10"/>
        <v>499381.92873866367</v>
      </c>
      <c r="AH315" s="2431">
        <f t="shared" si="10"/>
        <v>508808.68056606542</v>
      </c>
      <c r="AI315" s="2431">
        <f t="shared" si="10"/>
        <v>518214.02222564624</v>
      </c>
      <c r="AJ315" s="2431">
        <f t="shared" si="10"/>
        <v>527604.63729812833</v>
      </c>
      <c r="AK315" s="2431">
        <f t="shared" si="10"/>
        <v>536969.55855726299</v>
      </c>
      <c r="AL315" s="2431">
        <f t="shared" si="10"/>
        <v>546300.15967996279</v>
      </c>
      <c r="AM315" s="2431">
        <f t="shared" si="10"/>
        <v>555585.22297327535</v>
      </c>
      <c r="AN315" s="2431">
        <f t="shared" si="10"/>
        <v>564815.89228590857</v>
      </c>
      <c r="AO315" s="2431">
        <f t="shared" si="10"/>
        <v>573985.00246203644</v>
      </c>
      <c r="AP315" s="2431">
        <f t="shared" si="10"/>
        <v>583082.14872562874</v>
      </c>
      <c r="AQ315" s="2431">
        <f t="shared" si="10"/>
        <v>592099.07172729098</v>
      </c>
      <c r="AR315" s="2431">
        <f t="shared" si="10"/>
        <v>601027.52573575126</v>
      </c>
      <c r="AS315" s="2431">
        <f t="shared" si="10"/>
        <v>609859.27528892667</v>
      </c>
    </row>
    <row r="316" spans="2:45" x14ac:dyDescent="0.2">
      <c r="B316" s="2410"/>
      <c r="C316" s="2432" t="s">
        <v>1379</v>
      </c>
      <c r="D316" s="2415" t="s">
        <v>1365</v>
      </c>
      <c r="E316" s="2411"/>
      <c r="F316" s="2411"/>
      <c r="G316" s="2431">
        <f t="shared" si="10"/>
        <v>3676.460051883867</v>
      </c>
      <c r="H316" s="2431">
        <f t="shared" si="10"/>
        <v>3807.8537932801778</v>
      </c>
      <c r="I316" s="2431">
        <f t="shared" si="10"/>
        <v>3952.7196978286615</v>
      </c>
      <c r="J316" s="2431">
        <f t="shared" si="10"/>
        <v>4102.5589548739108</v>
      </c>
      <c r="K316" s="2431">
        <f t="shared" si="10"/>
        <v>4253.747096930837</v>
      </c>
      <c r="L316" s="2431">
        <f t="shared" si="10"/>
        <v>4404.8775465287854</v>
      </c>
      <c r="M316" s="2431">
        <f t="shared" si="10"/>
        <v>4565.1308143982851</v>
      </c>
      <c r="N316" s="2431">
        <f t="shared" si="10"/>
        <v>4731.4223950220576</v>
      </c>
      <c r="O316" s="2431">
        <f t="shared" si="10"/>
        <v>4894.9677257936182</v>
      </c>
      <c r="P316" s="2431">
        <f t="shared" si="10"/>
        <v>5059.6930947897508</v>
      </c>
      <c r="Q316" s="2431">
        <f t="shared" si="10"/>
        <v>5225.716049740472</v>
      </c>
      <c r="R316" s="2431">
        <f t="shared" si="10"/>
        <v>5385.8072162548006</v>
      </c>
      <c r="S316" s="2431">
        <f t="shared" si="10"/>
        <v>5541.6001465203099</v>
      </c>
      <c r="T316" s="2431">
        <f t="shared" si="10"/>
        <v>5694.1531830675367</v>
      </c>
      <c r="U316" s="2431">
        <f t="shared" si="10"/>
        <v>5844.1303099146235</v>
      </c>
      <c r="V316" s="2431">
        <f t="shared" si="10"/>
        <v>5991.9023043081306</v>
      </c>
      <c r="W316" s="2431">
        <f t="shared" si="10"/>
        <v>6137.6801014886978</v>
      </c>
      <c r="X316" s="2431">
        <f t="shared" si="10"/>
        <v>6282.2883384893576</v>
      </c>
      <c r="Y316" s="2431">
        <f t="shared" si="10"/>
        <v>6426.2832915316822</v>
      </c>
      <c r="Z316" s="2431">
        <f t="shared" si="10"/>
        <v>6570.0021338998522</v>
      </c>
      <c r="AA316" s="2431">
        <f t="shared" si="10"/>
        <v>6713.6456226769342</v>
      </c>
      <c r="AB316" s="2431">
        <f t="shared" ref="AB316:AS316" si="11">AB87*AB171</f>
        <v>6857.1618238159117</v>
      </c>
      <c r="AC316" s="2431">
        <f t="shared" si="11"/>
        <v>7000.633832506519</v>
      </c>
      <c r="AD316" s="2431">
        <f t="shared" si="11"/>
        <v>7144.0850048684033</v>
      </c>
      <c r="AE316" s="2431">
        <f t="shared" si="11"/>
        <v>7287.4969550656942</v>
      </c>
      <c r="AF316" s="2431">
        <f t="shared" si="11"/>
        <v>7430.840991622691</v>
      </c>
      <c r="AG316" s="2431">
        <f t="shared" si="11"/>
        <v>7574.0434085742718</v>
      </c>
      <c r="AH316" s="2431">
        <f t="shared" si="11"/>
        <v>7717.0173998897699</v>
      </c>
      <c r="AI316" s="2431">
        <f t="shared" si="11"/>
        <v>7859.6666667185973</v>
      </c>
      <c r="AJ316" s="2431">
        <f t="shared" si="11"/>
        <v>8002.0925778280343</v>
      </c>
      <c r="AK316" s="2431">
        <f t="shared" si="11"/>
        <v>8144.1287951051008</v>
      </c>
      <c r="AL316" s="2431">
        <f t="shared" si="11"/>
        <v>8285.6444845292626</v>
      </c>
      <c r="AM316" s="2431">
        <f t="shared" si="11"/>
        <v>8426.4695092003331</v>
      </c>
      <c r="AN316" s="2431">
        <f t="shared" si="11"/>
        <v>8566.469549331272</v>
      </c>
      <c r="AO316" s="2431">
        <f t="shared" si="11"/>
        <v>8705.5359321845754</v>
      </c>
      <c r="AP316" s="2431">
        <f t="shared" si="11"/>
        <v>8843.5108502370385</v>
      </c>
      <c r="AQ316" s="2431">
        <f t="shared" si="11"/>
        <v>8980.2690352976369</v>
      </c>
      <c r="AR316" s="2431">
        <f t="shared" si="11"/>
        <v>9115.6854257191808</v>
      </c>
      <c r="AS316" s="2431">
        <f t="shared" si="11"/>
        <v>9249.6351156055607</v>
      </c>
    </row>
    <row r="317" spans="2:45" x14ac:dyDescent="0.2">
      <c r="B317" s="2410"/>
      <c r="C317" s="2432" t="s">
        <v>1380</v>
      </c>
      <c r="D317" s="2415" t="s">
        <v>1365</v>
      </c>
      <c r="E317" s="2411"/>
      <c r="F317" s="2411"/>
      <c r="G317" s="2431">
        <f t="shared" ref="G317:AS318" si="12">G88*G172</f>
        <v>2204895.6417831508</v>
      </c>
      <c r="H317" s="2431">
        <f t="shared" si="12"/>
        <v>2283696.8482898981</v>
      </c>
      <c r="I317" s="2431">
        <f t="shared" si="12"/>
        <v>2370577.7601111094</v>
      </c>
      <c r="J317" s="2431">
        <f t="shared" si="12"/>
        <v>2460441.3572030468</v>
      </c>
      <c r="K317" s="2431">
        <f t="shared" si="12"/>
        <v>2551113.9255993208</v>
      </c>
      <c r="L317" s="2431">
        <f t="shared" si="12"/>
        <v>2641751.8939048629</v>
      </c>
      <c r="M317" s="2431">
        <f t="shared" si="12"/>
        <v>2737861.120421798</v>
      </c>
      <c r="N317" s="2431">
        <f t="shared" si="12"/>
        <v>2837591.7243745616</v>
      </c>
      <c r="O317" s="2431">
        <f t="shared" si="12"/>
        <v>2935675.3107492924</v>
      </c>
      <c r="P317" s="2431">
        <f t="shared" si="12"/>
        <v>3034466.6053819065</v>
      </c>
      <c r="Q317" s="2431">
        <f t="shared" si="12"/>
        <v>3134036.1055643521</v>
      </c>
      <c r="R317" s="2431">
        <f t="shared" si="12"/>
        <v>3230048.1144952117</v>
      </c>
      <c r="S317" s="2431">
        <f t="shared" si="12"/>
        <v>3323482.3278731136</v>
      </c>
      <c r="T317" s="2431">
        <f t="shared" si="12"/>
        <v>3414973.4689917038</v>
      </c>
      <c r="U317" s="2431">
        <f t="shared" si="12"/>
        <v>3504919.7511994638</v>
      </c>
      <c r="V317" s="2431">
        <f t="shared" si="12"/>
        <v>3593543.5419703959</v>
      </c>
      <c r="W317" s="2431">
        <f t="shared" si="12"/>
        <v>3680971.3461994883</v>
      </c>
      <c r="X317" s="2431">
        <f t="shared" si="12"/>
        <v>3767697.7262033504</v>
      </c>
      <c r="Y317" s="2431">
        <f t="shared" si="12"/>
        <v>3854056.2993746004</v>
      </c>
      <c r="Z317" s="2431">
        <f t="shared" si="12"/>
        <v>3940249.2797708707</v>
      </c>
      <c r="AA317" s="2431">
        <f t="shared" si="12"/>
        <v>4026397.0681067794</v>
      </c>
      <c r="AB317" s="2431">
        <f t="shared" si="12"/>
        <v>4112468.5178031954</v>
      </c>
      <c r="AC317" s="2431">
        <f t="shared" si="12"/>
        <v>4198513.463815243</v>
      </c>
      <c r="AD317" s="2431">
        <f t="shared" si="12"/>
        <v>4284545.9135864098</v>
      </c>
      <c r="AE317" s="2431">
        <f t="shared" si="12"/>
        <v>4370554.8405180657</v>
      </c>
      <c r="AF317" s="2431">
        <f t="shared" si="12"/>
        <v>4456523.0373758478</v>
      </c>
      <c r="AG317" s="2431">
        <f t="shared" si="12"/>
        <v>4542406.3002356095</v>
      </c>
      <c r="AH317" s="2431">
        <f t="shared" si="12"/>
        <v>4628152.5686272234</v>
      </c>
      <c r="AI317" s="2431">
        <f t="shared" si="12"/>
        <v>4713704.0889200335</v>
      </c>
      <c r="AJ317" s="2431">
        <f t="shared" si="12"/>
        <v>4799121.6553427335</v>
      </c>
      <c r="AK317" s="2431">
        <f t="shared" si="12"/>
        <v>4884305.5093843658</v>
      </c>
      <c r="AL317" s="2431">
        <f t="shared" si="12"/>
        <v>4969177.1855216827</v>
      </c>
      <c r="AM317" s="2431">
        <f t="shared" si="12"/>
        <v>5053634.6469844133</v>
      </c>
      <c r="AN317" s="2431">
        <f t="shared" si="12"/>
        <v>5137597.3377189413</v>
      </c>
      <c r="AO317" s="2431">
        <f t="shared" si="12"/>
        <v>5221000.0830621626</v>
      </c>
      <c r="AP317" s="2431">
        <f t="shared" si="12"/>
        <v>5303748.2405821597</v>
      </c>
      <c r="AQ317" s="2431">
        <f t="shared" si="12"/>
        <v>5385766.68276917</v>
      </c>
      <c r="AR317" s="2431">
        <f t="shared" si="12"/>
        <v>5466980.4059846494</v>
      </c>
      <c r="AS317" s="2431">
        <f t="shared" si="12"/>
        <v>5547314.4999991748</v>
      </c>
    </row>
    <row r="318" spans="2:45" x14ac:dyDescent="0.2">
      <c r="B318" s="2410"/>
      <c r="C318" s="2412" t="s">
        <v>1381</v>
      </c>
      <c r="D318" s="2415" t="s">
        <v>1365</v>
      </c>
      <c r="E318" s="2411"/>
      <c r="F318" s="2411"/>
      <c r="G318" s="2431">
        <f t="shared" si="12"/>
        <v>47814433.399924211</v>
      </c>
      <c r="H318" s="2431">
        <f t="shared" si="12"/>
        <v>48600955.896316744</v>
      </c>
      <c r="I318" s="2431">
        <f t="shared" si="12"/>
        <v>49622926.946446165</v>
      </c>
      <c r="J318" s="2431">
        <f t="shared" si="12"/>
        <v>50620424.499805912</v>
      </c>
      <c r="K318" s="2431">
        <f t="shared" si="12"/>
        <v>51616789.435264282</v>
      </c>
      <c r="L318" s="2431">
        <f t="shared" si="12"/>
        <v>52603478.708071224</v>
      </c>
      <c r="M318" s="2431">
        <f t="shared" si="12"/>
        <v>53569140.291458085</v>
      </c>
      <c r="N318" s="2431">
        <f t="shared" si="12"/>
        <v>54529805.492599949</v>
      </c>
      <c r="O318" s="2431">
        <f t="shared" si="12"/>
        <v>55484219.071022801</v>
      </c>
      <c r="P318" s="2431">
        <f t="shared" si="12"/>
        <v>56425230.562347561</v>
      </c>
      <c r="Q318" s="2431">
        <f t="shared" si="12"/>
        <v>57343280.51548972</v>
      </c>
      <c r="R318" s="2431">
        <f t="shared" si="12"/>
        <v>58318800.817803882</v>
      </c>
      <c r="S318" s="2431">
        <f t="shared" si="12"/>
        <v>59326278.961437032</v>
      </c>
      <c r="T318" s="2431">
        <f t="shared" si="12"/>
        <v>60348971.090480454</v>
      </c>
      <c r="U318" s="2431">
        <f t="shared" si="12"/>
        <v>61375771.122256108</v>
      </c>
      <c r="V318" s="2431">
        <f t="shared" si="12"/>
        <v>62399011.542836808</v>
      </c>
      <c r="W318" s="2431">
        <f t="shared" si="12"/>
        <v>63413585.629646823</v>
      </c>
      <c r="X318" s="2431">
        <f t="shared" si="12"/>
        <v>64421938.167201191</v>
      </c>
      <c r="Y318" s="2431">
        <f t="shared" si="12"/>
        <v>65425548.17988833</v>
      </c>
      <c r="Z318" s="2431">
        <f t="shared" si="12"/>
        <v>66425015.831865214</v>
      </c>
      <c r="AA318" s="2431">
        <f t="shared" si="12"/>
        <v>67420510.749457583</v>
      </c>
      <c r="AB318" s="2431">
        <f t="shared" si="12"/>
        <v>68410672.724474251</v>
      </c>
      <c r="AC318" s="2431">
        <f t="shared" si="12"/>
        <v>69395645.411838755</v>
      </c>
      <c r="AD318" s="2431">
        <f t="shared" si="12"/>
        <v>70375303.442135945</v>
      </c>
      <c r="AE318" s="2431">
        <f t="shared" si="12"/>
        <v>71349349.59875904</v>
      </c>
      <c r="AF318" s="2431">
        <f t="shared" si="12"/>
        <v>72317524.027401209</v>
      </c>
      <c r="AG318" s="2431">
        <f t="shared" si="12"/>
        <v>73279298.508846864</v>
      </c>
      <c r="AH318" s="2431">
        <f t="shared" si="12"/>
        <v>74234117.900150403</v>
      </c>
      <c r="AI318" s="2431">
        <f t="shared" si="12"/>
        <v>75181409.536147162</v>
      </c>
      <c r="AJ318" s="2431">
        <f t="shared" si="12"/>
        <v>76122140.63108702</v>
      </c>
      <c r="AK318" s="2431">
        <f t="shared" si="12"/>
        <v>77055185.144357502</v>
      </c>
      <c r="AL318" s="2431">
        <f t="shared" si="12"/>
        <v>77979767.888945982</v>
      </c>
      <c r="AM318" s="2431">
        <f t="shared" si="12"/>
        <v>78894860.73294878</v>
      </c>
      <c r="AN318" s="2431">
        <f t="shared" si="12"/>
        <v>79799749.858866006</v>
      </c>
      <c r="AO318" s="2431">
        <f t="shared" si="12"/>
        <v>80693928.081188723</v>
      </c>
      <c r="AP318" s="2431">
        <f t="shared" si="12"/>
        <v>81576528.06847544</v>
      </c>
      <c r="AQ318" s="2431">
        <f t="shared" si="12"/>
        <v>82446946.710220516</v>
      </c>
      <c r="AR318" s="2431">
        <f t="shared" si="12"/>
        <v>83304586.443395451</v>
      </c>
      <c r="AS318" s="2431">
        <f t="shared" si="12"/>
        <v>84148855.087926775</v>
      </c>
    </row>
    <row r="319" spans="2:45" x14ac:dyDescent="0.2">
      <c r="B319" s="2410"/>
      <c r="C319" s="2481" t="s">
        <v>118</v>
      </c>
      <c r="D319" s="2418" t="s">
        <v>1365</v>
      </c>
      <c r="E319" s="2419"/>
      <c r="F319" s="2419"/>
      <c r="G319" s="2442">
        <f>SUM(G303:G318)</f>
        <v>50678496.571337454</v>
      </c>
      <c r="H319" s="2442">
        <f t="shared" ref="H319:AS319" si="13">SUM(H303:H318)</f>
        <v>51551259.541315071</v>
      </c>
      <c r="I319" s="2442">
        <f t="shared" si="13"/>
        <v>52670910.83238472</v>
      </c>
      <c r="J319" s="2442">
        <f t="shared" si="13"/>
        <v>53768180.435028359</v>
      </c>
      <c r="K319" s="2442">
        <f t="shared" si="13"/>
        <v>54864407.286768958</v>
      </c>
      <c r="L319" s="2442">
        <f t="shared" si="13"/>
        <v>55950051.106286481</v>
      </c>
      <c r="M319" s="2442">
        <f t="shared" si="13"/>
        <v>57019611.183409341</v>
      </c>
      <c r="N319" s="2442">
        <f t="shared" si="13"/>
        <v>58088319.625321656</v>
      </c>
      <c r="O319" s="2442">
        <f t="shared" si="13"/>
        <v>59149063.329316802</v>
      </c>
      <c r="P319" s="2442">
        <f t="shared" si="13"/>
        <v>60197213.005908839</v>
      </c>
      <c r="Q319" s="2442">
        <f t="shared" si="13"/>
        <v>61223158.381147675</v>
      </c>
      <c r="R319" s="2442">
        <f t="shared" si="13"/>
        <v>62303190.221252128</v>
      </c>
      <c r="S319" s="2442">
        <f t="shared" si="13"/>
        <v>63412765.971637331</v>
      </c>
      <c r="T319" s="2442">
        <f t="shared" si="13"/>
        <v>64535753.900676817</v>
      </c>
      <c r="U319" s="2442">
        <f t="shared" si="13"/>
        <v>65661416.985717773</v>
      </c>
      <c r="V319" s="2442">
        <f t="shared" si="13"/>
        <v>66782276.750157341</v>
      </c>
      <c r="W319" s="2442">
        <f t="shared" si="13"/>
        <v>67893321.03799662</v>
      </c>
      <c r="X319" s="2442">
        <f t="shared" si="13"/>
        <v>68997507.837686926</v>
      </c>
      <c r="Y319" s="2442">
        <f t="shared" si="13"/>
        <v>70096657.965208247</v>
      </c>
      <c r="Z319" s="2442">
        <f t="shared" si="13"/>
        <v>71191573.235552847</v>
      </c>
      <c r="AA319" s="2442">
        <f t="shared" si="13"/>
        <v>72282538.680971131</v>
      </c>
      <c r="AB319" s="2442">
        <f t="shared" si="13"/>
        <v>73368144.770571008</v>
      </c>
      <c r="AC319" s="2442">
        <f t="shared" si="13"/>
        <v>74448578.824552044</v>
      </c>
      <c r="AD319" s="2442">
        <f t="shared" si="13"/>
        <v>75523721.676664263</v>
      </c>
      <c r="AE319" s="2442">
        <f t="shared" si="13"/>
        <v>76593256.36982426</v>
      </c>
      <c r="AF319" s="2442">
        <f t="shared" si="13"/>
        <v>77656897.942017391</v>
      </c>
      <c r="AG319" s="2442">
        <f t="shared" si="13"/>
        <v>78714064.256562039</v>
      </c>
      <c r="AH319" s="2442">
        <f t="shared" si="13"/>
        <v>79764138.477951661</v>
      </c>
      <c r="AI319" s="2442">
        <f t="shared" si="13"/>
        <v>80806480.685538784</v>
      </c>
      <c r="AJ319" s="2442">
        <f t="shared" si="13"/>
        <v>81842123.228399679</v>
      </c>
      <c r="AK319" s="2442">
        <f t="shared" si="13"/>
        <v>82869827.218657464</v>
      </c>
      <c r="AL319" s="2442">
        <f t="shared" si="13"/>
        <v>83888728.6825573</v>
      </c>
      <c r="AM319" s="2442">
        <f t="shared" si="13"/>
        <v>84897684.812325001</v>
      </c>
      <c r="AN319" s="2442">
        <f t="shared" si="13"/>
        <v>85895891.242843628</v>
      </c>
      <c r="AO319" s="2442">
        <f t="shared" si="13"/>
        <v>86882767.539140016</v>
      </c>
      <c r="AP319" s="2442">
        <f t="shared" si="13"/>
        <v>87857340.523875847</v>
      </c>
      <c r="AQ319" s="2442">
        <f t="shared" si="13"/>
        <v>88818923.061614871</v>
      </c>
      <c r="AR319" s="2442">
        <f t="shared" si="13"/>
        <v>89766833.804565996</v>
      </c>
      <c r="AS319" s="2442">
        <f t="shared" si="13"/>
        <v>90700396.973716184</v>
      </c>
    </row>
    <row r="320" spans="2:45" x14ac:dyDescent="0.2">
      <c r="B320" s="2410"/>
      <c r="C320" s="2410"/>
      <c r="D320" s="2412"/>
      <c r="E320" s="2412"/>
      <c r="F320" s="2412"/>
      <c r="G320" s="2412"/>
      <c r="H320" s="2412"/>
      <c r="I320" s="2412"/>
      <c r="J320" s="2412"/>
      <c r="K320" s="2412"/>
      <c r="L320" s="2412"/>
      <c r="M320" s="2412"/>
      <c r="N320" s="2412"/>
      <c r="O320" s="2412"/>
      <c r="P320" s="2412"/>
      <c r="Q320" s="2412"/>
      <c r="R320" s="2412"/>
      <c r="S320" s="2412"/>
      <c r="T320" s="2412"/>
      <c r="U320" s="2412"/>
      <c r="V320" s="2412"/>
      <c r="W320" s="2412"/>
      <c r="X320" s="2412"/>
      <c r="Y320" s="2412"/>
      <c r="Z320" s="2412"/>
      <c r="AA320" s="2412"/>
      <c r="AB320" s="2412"/>
      <c r="AC320" s="2412"/>
      <c r="AD320" s="2412"/>
      <c r="AE320" s="2412"/>
      <c r="AF320" s="2412"/>
      <c r="AG320" s="2412"/>
      <c r="AH320" s="2412"/>
      <c r="AI320" s="2412"/>
      <c r="AJ320" s="2412"/>
      <c r="AK320" s="2412"/>
      <c r="AL320" s="2412"/>
      <c r="AM320" s="2412"/>
      <c r="AN320" s="2412"/>
      <c r="AO320" s="2412"/>
      <c r="AP320" s="2412"/>
      <c r="AQ320" s="2412"/>
      <c r="AR320" s="2412"/>
      <c r="AS320" s="2412"/>
    </row>
    <row r="321" spans="2:45" x14ac:dyDescent="0.2">
      <c r="B321" s="2410"/>
      <c r="C321" s="2412" t="s">
        <v>1503</v>
      </c>
      <c r="D321" s="2412"/>
      <c r="E321" s="2412"/>
      <c r="F321" s="2412"/>
      <c r="G321" s="2412"/>
      <c r="H321" s="2412"/>
      <c r="I321" s="2412"/>
      <c r="J321" s="2412"/>
      <c r="K321" s="2412"/>
      <c r="L321" s="2412"/>
      <c r="M321" s="2412"/>
      <c r="N321" s="2412"/>
      <c r="O321" s="2412"/>
      <c r="P321" s="2412"/>
      <c r="Q321" s="2412"/>
      <c r="R321" s="2412"/>
      <c r="S321" s="2412"/>
      <c r="T321" s="2412"/>
      <c r="U321" s="2412"/>
      <c r="V321" s="2412"/>
      <c r="W321" s="2412"/>
      <c r="X321" s="2412"/>
      <c r="Y321" s="2412"/>
      <c r="Z321" s="2412"/>
      <c r="AA321" s="2412"/>
      <c r="AB321" s="2412"/>
      <c r="AC321" s="2412"/>
      <c r="AD321" s="2412"/>
      <c r="AE321" s="2412"/>
      <c r="AF321" s="2412"/>
      <c r="AG321" s="2412"/>
      <c r="AH321" s="2412"/>
      <c r="AI321" s="2412"/>
      <c r="AJ321" s="2412"/>
      <c r="AK321" s="2412"/>
      <c r="AL321" s="2412"/>
      <c r="AM321" s="2412"/>
      <c r="AN321" s="2412"/>
      <c r="AO321" s="2412"/>
      <c r="AP321" s="2412"/>
      <c r="AQ321" s="2412"/>
      <c r="AR321" s="2412"/>
      <c r="AS321" s="2412"/>
    </row>
    <row r="322" spans="2:45" x14ac:dyDescent="0.2">
      <c r="B322" s="2410" t="s">
        <v>1504</v>
      </c>
      <c r="C322" s="2413"/>
      <c r="D322" s="2414" t="s">
        <v>1029</v>
      </c>
      <c r="E322" s="2414" t="s">
        <v>8</v>
      </c>
      <c r="F322" s="2414"/>
      <c r="G322" s="2414">
        <v>2012</v>
      </c>
      <c r="H322" s="2414">
        <v>2013</v>
      </c>
      <c r="I322" s="2414">
        <v>2014</v>
      </c>
      <c r="J322" s="2414">
        <v>2015</v>
      </c>
      <c r="K322" s="2414">
        <v>2016</v>
      </c>
      <c r="L322" s="2414">
        <v>2017</v>
      </c>
      <c r="M322" s="2414">
        <v>2018</v>
      </c>
      <c r="N322" s="2414">
        <v>2019</v>
      </c>
      <c r="O322" s="2414">
        <v>2020</v>
      </c>
      <c r="P322" s="2414">
        <v>2021</v>
      </c>
      <c r="Q322" s="2414">
        <v>2022</v>
      </c>
      <c r="R322" s="2414">
        <v>2023</v>
      </c>
      <c r="S322" s="2414">
        <v>2024</v>
      </c>
      <c r="T322" s="2414">
        <v>2025</v>
      </c>
      <c r="U322" s="2414">
        <v>2026</v>
      </c>
      <c r="V322" s="2414">
        <v>2027</v>
      </c>
      <c r="W322" s="2414">
        <v>2028</v>
      </c>
      <c r="X322" s="2414">
        <v>2029</v>
      </c>
      <c r="Y322" s="2414">
        <v>2030</v>
      </c>
      <c r="Z322" s="2414">
        <v>2031</v>
      </c>
      <c r="AA322" s="2414">
        <v>2032</v>
      </c>
      <c r="AB322" s="2414">
        <v>2033</v>
      </c>
      <c r="AC322" s="2414">
        <v>2034</v>
      </c>
      <c r="AD322" s="2414">
        <v>2035</v>
      </c>
      <c r="AE322" s="2414">
        <v>2036</v>
      </c>
      <c r="AF322" s="2414">
        <v>2037</v>
      </c>
      <c r="AG322" s="2414">
        <v>2038</v>
      </c>
      <c r="AH322" s="2414">
        <v>2039</v>
      </c>
      <c r="AI322" s="2414">
        <v>2040</v>
      </c>
      <c r="AJ322" s="2414">
        <v>2041</v>
      </c>
      <c r="AK322" s="2414">
        <v>2042</v>
      </c>
      <c r="AL322" s="2414">
        <v>2043</v>
      </c>
      <c r="AM322" s="2414">
        <v>2044</v>
      </c>
      <c r="AN322" s="2414">
        <v>2045</v>
      </c>
      <c r="AO322" s="2414">
        <v>2046</v>
      </c>
      <c r="AP322" s="2414">
        <v>2047</v>
      </c>
      <c r="AQ322" s="2414">
        <v>2048</v>
      </c>
      <c r="AR322" s="2414">
        <v>2049</v>
      </c>
      <c r="AS322" s="2414">
        <v>2050</v>
      </c>
    </row>
    <row r="323" spans="2:45" x14ac:dyDescent="0.2">
      <c r="B323" s="2410"/>
      <c r="C323" s="2412" t="s">
        <v>1377</v>
      </c>
      <c r="D323" s="2415" t="s">
        <v>1505</v>
      </c>
      <c r="E323" s="2411"/>
      <c r="F323" s="2411"/>
      <c r="G323" s="2482">
        <f>SUM(G324:G326)</f>
        <v>49019.467358451555</v>
      </c>
      <c r="H323" s="2482">
        <f t="shared" ref="H323:AS323" si="14">SUM(H324:H326)</f>
        <v>50771.383910402357</v>
      </c>
      <c r="I323" s="2482">
        <f t="shared" si="14"/>
        <v>52702.92930438216</v>
      </c>
      <c r="J323" s="2482">
        <f t="shared" si="14"/>
        <v>54700.786064985477</v>
      </c>
      <c r="K323" s="2482">
        <f t="shared" si="14"/>
        <v>56716.627959077836</v>
      </c>
      <c r="L323" s="2482">
        <f t="shared" si="14"/>
        <v>58731.700620383795</v>
      </c>
      <c r="M323" s="2482">
        <f t="shared" si="14"/>
        <v>60868.410858643801</v>
      </c>
      <c r="N323" s="2482">
        <f t="shared" si="14"/>
        <v>63085.631933627425</v>
      </c>
      <c r="O323" s="2482">
        <f t="shared" si="14"/>
        <v>65266.236343914905</v>
      </c>
      <c r="P323" s="2482">
        <f t="shared" si="14"/>
        <v>67462.574597196683</v>
      </c>
      <c r="Q323" s="2482">
        <f t="shared" si="14"/>
        <v>69676.21399653962</v>
      </c>
      <c r="R323" s="2482">
        <f t="shared" si="14"/>
        <v>71810.762883397329</v>
      </c>
      <c r="S323" s="2482">
        <f t="shared" si="14"/>
        <v>73888.001953604122</v>
      </c>
      <c r="T323" s="2482">
        <f t="shared" si="14"/>
        <v>75922.042440900477</v>
      </c>
      <c r="U323" s="2482">
        <f t="shared" si="14"/>
        <v>77921.73746552832</v>
      </c>
      <c r="V323" s="2482">
        <f t="shared" si="14"/>
        <v>79892.030724108394</v>
      </c>
      <c r="W323" s="2482">
        <f t="shared" si="14"/>
        <v>81835.734686515978</v>
      </c>
      <c r="X323" s="2482">
        <f t="shared" si="14"/>
        <v>83763.844513191434</v>
      </c>
      <c r="Y323" s="2482">
        <f t="shared" si="14"/>
        <v>85683.777220422417</v>
      </c>
      <c r="Z323" s="2482">
        <f t="shared" si="14"/>
        <v>87600.02845199802</v>
      </c>
      <c r="AA323" s="2482">
        <f t="shared" si="14"/>
        <v>89515.274969025777</v>
      </c>
      <c r="AB323" s="2482">
        <f t="shared" si="14"/>
        <v>91428.824317545485</v>
      </c>
      <c r="AC323" s="2482">
        <f t="shared" si="14"/>
        <v>93341.784433420253</v>
      </c>
      <c r="AD323" s="2482">
        <f t="shared" si="14"/>
        <v>95254.466731578694</v>
      </c>
      <c r="AE323" s="2482">
        <f t="shared" si="14"/>
        <v>97166.626067542587</v>
      </c>
      <c r="AF323" s="2482">
        <f t="shared" si="14"/>
        <v>99077.87988830253</v>
      </c>
      <c r="AG323" s="2482">
        <f t="shared" si="14"/>
        <v>100987.24544765695</v>
      </c>
      <c r="AH323" s="2482">
        <f t="shared" si="14"/>
        <v>102893.56533186357</v>
      </c>
      <c r="AI323" s="2482">
        <f t="shared" si="14"/>
        <v>104795.55555624797</v>
      </c>
      <c r="AJ323" s="2482">
        <f t="shared" si="14"/>
        <v>106694.5677043738</v>
      </c>
      <c r="AK323" s="2482">
        <f t="shared" si="14"/>
        <v>108588.38393473468</v>
      </c>
      <c r="AL323" s="2482">
        <f t="shared" si="14"/>
        <v>110475.2597937235</v>
      </c>
      <c r="AM323" s="2482">
        <f t="shared" si="14"/>
        <v>112352.92678933777</v>
      </c>
      <c r="AN323" s="2482">
        <f t="shared" si="14"/>
        <v>114219.59399108363</v>
      </c>
      <c r="AO323" s="2482">
        <f t="shared" si="14"/>
        <v>116073.81242912768</v>
      </c>
      <c r="AP323" s="2482">
        <f t="shared" si="14"/>
        <v>117913.4780031605</v>
      </c>
      <c r="AQ323" s="2482">
        <f t="shared" si="14"/>
        <v>119736.92047063517</v>
      </c>
      <c r="AR323" s="2482">
        <f t="shared" si="14"/>
        <v>121542.4723429224</v>
      </c>
      <c r="AS323" s="2482">
        <f t="shared" si="14"/>
        <v>123328.46820807415</v>
      </c>
    </row>
    <row r="324" spans="2:45" x14ac:dyDescent="0.2">
      <c r="B324" s="2410"/>
      <c r="C324" s="2432" t="s">
        <v>1378</v>
      </c>
      <c r="D324" s="2415" t="s">
        <v>1505</v>
      </c>
      <c r="E324" s="2431"/>
      <c r="F324" s="2431"/>
      <c r="G324" s="2431">
        <f t="shared" ref="G324:AS326" si="15">+G315*G$18</f>
        <v>4848.0253217508589</v>
      </c>
      <c r="H324" s="2431">
        <f t="shared" si="15"/>
        <v>5021.2898687387942</v>
      </c>
      <c r="I324" s="2431">
        <f t="shared" si="15"/>
        <v>5212.3197082033948</v>
      </c>
      <c r="J324" s="2431">
        <f t="shared" si="15"/>
        <v>5409.9077418270635</v>
      </c>
      <c r="K324" s="2431">
        <f t="shared" si="15"/>
        <v>5609.2745051527982</v>
      </c>
      <c r="L324" s="2431">
        <f t="shared" si="15"/>
        <v>5808.5651913559577</v>
      </c>
      <c r="M324" s="2431">
        <f t="shared" si="15"/>
        <v>6019.8858339198714</v>
      </c>
      <c r="N324" s="2431">
        <f t="shared" si="15"/>
        <v>6239.1689982357539</v>
      </c>
      <c r="O324" s="2431">
        <f t="shared" si="15"/>
        <v>6454.8307744131844</v>
      </c>
      <c r="P324" s="2431">
        <f t="shared" si="15"/>
        <v>6672.0486276627507</v>
      </c>
      <c r="Q324" s="2431">
        <f t="shared" si="15"/>
        <v>6890.9775642577688</v>
      </c>
      <c r="R324" s="2431">
        <f t="shared" si="15"/>
        <v>7102.0844491679964</v>
      </c>
      <c r="S324" s="2431">
        <f t="shared" si="15"/>
        <v>7307.5233932114488</v>
      </c>
      <c r="T324" s="2431">
        <f t="shared" si="15"/>
        <v>7508.6899974050584</v>
      </c>
      <c r="U324" s="2431">
        <f t="shared" si="15"/>
        <v>7706.4598353407509</v>
      </c>
      <c r="V324" s="2431">
        <f t="shared" si="15"/>
        <v>7901.3218386143217</v>
      </c>
      <c r="W324" s="2431">
        <f t="shared" si="15"/>
        <v>8093.5541604964301</v>
      </c>
      <c r="X324" s="2431">
        <f t="shared" si="15"/>
        <v>8284.2442223546332</v>
      </c>
      <c r="Y324" s="2431">
        <f t="shared" si="15"/>
        <v>8474.125567099778</v>
      </c>
      <c r="Z324" s="2431">
        <f t="shared" si="15"/>
        <v>8663.6428139026048</v>
      </c>
      <c r="AA324" s="2431">
        <f t="shared" si="15"/>
        <v>8853.06069443665</v>
      </c>
      <c r="AB324" s="2431">
        <f t="shared" si="15"/>
        <v>9042.310725005249</v>
      </c>
      <c r="AC324" s="2431">
        <f t="shared" si="15"/>
        <v>9231.5024804652639</v>
      </c>
      <c r="AD324" s="2431">
        <f t="shared" si="15"/>
        <v>9420.6667597531341</v>
      </c>
      <c r="AE324" s="2431">
        <f t="shared" si="15"/>
        <v>9609.7793180799617</v>
      </c>
      <c r="AF324" s="2431">
        <f t="shared" si="15"/>
        <v>9798.802320953122</v>
      </c>
      <c r="AG324" s="2431">
        <f t="shared" si="15"/>
        <v>9987.6385747732729</v>
      </c>
      <c r="AH324" s="2431">
        <f t="shared" si="15"/>
        <v>10176.173611321308</v>
      </c>
      <c r="AI324" s="2431">
        <f t="shared" si="15"/>
        <v>10364.280444512926</v>
      </c>
      <c r="AJ324" s="2431">
        <f t="shared" si="15"/>
        <v>10552.092745962567</v>
      </c>
      <c r="AK324" s="2431">
        <f t="shared" si="15"/>
        <v>10739.39117114526</v>
      </c>
      <c r="AL324" s="2431">
        <f t="shared" si="15"/>
        <v>10926.003193599256</v>
      </c>
      <c r="AM324" s="2431">
        <f t="shared" si="15"/>
        <v>11111.704459465507</v>
      </c>
      <c r="AN324" s="2431">
        <f t="shared" si="15"/>
        <v>11296.317845718171</v>
      </c>
      <c r="AO324" s="2431">
        <f t="shared" si="15"/>
        <v>11479.70004924073</v>
      </c>
      <c r="AP324" s="2431">
        <f t="shared" si="15"/>
        <v>11661.642974512575</v>
      </c>
      <c r="AQ324" s="2431">
        <f t="shared" si="15"/>
        <v>11841.98143454582</v>
      </c>
      <c r="AR324" s="2431">
        <f t="shared" si="15"/>
        <v>12020.550514715025</v>
      </c>
      <c r="AS324" s="2431">
        <f t="shared" si="15"/>
        <v>12197.185505778534</v>
      </c>
    </row>
    <row r="325" spans="2:45" x14ac:dyDescent="0.2">
      <c r="B325" s="2410"/>
      <c r="C325" s="2432" t="s">
        <v>1379</v>
      </c>
      <c r="D325" s="2415" t="s">
        <v>1505</v>
      </c>
      <c r="E325" s="2431"/>
      <c r="F325" s="2431"/>
      <c r="G325" s="2431">
        <f t="shared" si="15"/>
        <v>73.529201037677339</v>
      </c>
      <c r="H325" s="2431">
        <f t="shared" si="15"/>
        <v>76.157075865603559</v>
      </c>
      <c r="I325" s="2431">
        <f t="shared" si="15"/>
        <v>79.054393956573236</v>
      </c>
      <c r="J325" s="2431">
        <f t="shared" si="15"/>
        <v>82.051179097478212</v>
      </c>
      <c r="K325" s="2431">
        <f t="shared" si="15"/>
        <v>85.074941938616746</v>
      </c>
      <c r="L325" s="2431">
        <f t="shared" si="15"/>
        <v>88.097550930575707</v>
      </c>
      <c r="M325" s="2431">
        <f t="shared" si="15"/>
        <v>91.302616287965705</v>
      </c>
      <c r="N325" s="2431">
        <f t="shared" si="15"/>
        <v>94.628447900441159</v>
      </c>
      <c r="O325" s="2431">
        <f t="shared" si="15"/>
        <v>97.899354515872361</v>
      </c>
      <c r="P325" s="2431">
        <f t="shared" si="15"/>
        <v>101.19386189579502</v>
      </c>
      <c r="Q325" s="2431">
        <f t="shared" si="15"/>
        <v>104.51432099480944</v>
      </c>
      <c r="R325" s="2431">
        <f t="shared" si="15"/>
        <v>107.71614432509601</v>
      </c>
      <c r="S325" s="2431">
        <f t="shared" si="15"/>
        <v>110.8320029304062</v>
      </c>
      <c r="T325" s="2431">
        <f t="shared" si="15"/>
        <v>113.88306366135073</v>
      </c>
      <c r="U325" s="2431">
        <f t="shared" si="15"/>
        <v>116.88260619829248</v>
      </c>
      <c r="V325" s="2431">
        <f t="shared" si="15"/>
        <v>119.83804608616262</v>
      </c>
      <c r="W325" s="2431">
        <f t="shared" si="15"/>
        <v>122.75360202977396</v>
      </c>
      <c r="X325" s="2431">
        <f t="shared" si="15"/>
        <v>125.64576676978716</v>
      </c>
      <c r="Y325" s="2431">
        <f t="shared" si="15"/>
        <v>128.52566583063364</v>
      </c>
      <c r="Z325" s="2431">
        <f t="shared" si="15"/>
        <v>131.40004267799705</v>
      </c>
      <c r="AA325" s="2431">
        <f t="shared" si="15"/>
        <v>134.27291245353868</v>
      </c>
      <c r="AB325" s="2431">
        <f t="shared" si="15"/>
        <v>137.14323647631824</v>
      </c>
      <c r="AC325" s="2431">
        <f t="shared" si="15"/>
        <v>140.01267665013037</v>
      </c>
      <c r="AD325" s="2431">
        <f t="shared" si="15"/>
        <v>142.88170009736808</v>
      </c>
      <c r="AE325" s="2431">
        <f t="shared" si="15"/>
        <v>145.74993910131388</v>
      </c>
      <c r="AF325" s="2431">
        <f t="shared" si="15"/>
        <v>148.61681983245381</v>
      </c>
      <c r="AG325" s="2431">
        <f t="shared" si="15"/>
        <v>151.48086817148544</v>
      </c>
      <c r="AH325" s="2431">
        <f t="shared" si="15"/>
        <v>154.34034799779539</v>
      </c>
      <c r="AI325" s="2431">
        <f t="shared" si="15"/>
        <v>157.19333333437194</v>
      </c>
      <c r="AJ325" s="2431">
        <f t="shared" si="15"/>
        <v>160.04185155656069</v>
      </c>
      <c r="AK325" s="2431">
        <f t="shared" si="15"/>
        <v>162.88257590210202</v>
      </c>
      <c r="AL325" s="2431">
        <f t="shared" si="15"/>
        <v>165.71288969058526</v>
      </c>
      <c r="AM325" s="2431">
        <f t="shared" si="15"/>
        <v>168.52939018400667</v>
      </c>
      <c r="AN325" s="2431">
        <f t="shared" si="15"/>
        <v>171.32939098662544</v>
      </c>
      <c r="AO325" s="2431">
        <f t="shared" si="15"/>
        <v>174.11071864369151</v>
      </c>
      <c r="AP325" s="2431">
        <f t="shared" si="15"/>
        <v>176.87021700474077</v>
      </c>
      <c r="AQ325" s="2431">
        <f t="shared" si="15"/>
        <v>179.60538070595274</v>
      </c>
      <c r="AR325" s="2431">
        <f t="shared" si="15"/>
        <v>182.31370851438362</v>
      </c>
      <c r="AS325" s="2431">
        <f t="shared" si="15"/>
        <v>184.99270231211122</v>
      </c>
    </row>
    <row r="326" spans="2:45" x14ac:dyDescent="0.2">
      <c r="B326" s="2410"/>
      <c r="C326" s="2464" t="s">
        <v>1380</v>
      </c>
      <c r="D326" s="2418" t="s">
        <v>1505</v>
      </c>
      <c r="E326" s="2442"/>
      <c r="F326" s="2442"/>
      <c r="G326" s="2442">
        <f t="shared" si="15"/>
        <v>44097.912835663017</v>
      </c>
      <c r="H326" s="2442">
        <f t="shared" si="15"/>
        <v>45673.936965797962</v>
      </c>
      <c r="I326" s="2442">
        <f t="shared" si="15"/>
        <v>47411.555202222189</v>
      </c>
      <c r="J326" s="2442">
        <f t="shared" si="15"/>
        <v>49208.827144060939</v>
      </c>
      <c r="K326" s="2442">
        <f t="shared" si="15"/>
        <v>51022.27851198642</v>
      </c>
      <c r="L326" s="2442">
        <f t="shared" si="15"/>
        <v>52835.037878097261</v>
      </c>
      <c r="M326" s="2442">
        <f t="shared" si="15"/>
        <v>54757.222408435962</v>
      </c>
      <c r="N326" s="2442">
        <f t="shared" si="15"/>
        <v>56751.834487491229</v>
      </c>
      <c r="O326" s="2442">
        <f t="shared" si="15"/>
        <v>58713.50621498585</v>
      </c>
      <c r="P326" s="2442">
        <f t="shared" si="15"/>
        <v>60689.332107638133</v>
      </c>
      <c r="Q326" s="2442">
        <f t="shared" si="15"/>
        <v>62680.722111287047</v>
      </c>
      <c r="R326" s="2442">
        <f t="shared" si="15"/>
        <v>64600.962289904237</v>
      </c>
      <c r="S326" s="2442">
        <f t="shared" si="15"/>
        <v>66469.646557462271</v>
      </c>
      <c r="T326" s="2442">
        <f t="shared" si="15"/>
        <v>68299.469379834074</v>
      </c>
      <c r="U326" s="2442">
        <f t="shared" si="15"/>
        <v>70098.395023989273</v>
      </c>
      <c r="V326" s="2442">
        <f t="shared" si="15"/>
        <v>71870.870839407915</v>
      </c>
      <c r="W326" s="2442">
        <f t="shared" si="15"/>
        <v>73619.426923989769</v>
      </c>
      <c r="X326" s="2442">
        <f t="shared" si="15"/>
        <v>75353.954524067012</v>
      </c>
      <c r="Y326" s="2442">
        <f t="shared" si="15"/>
        <v>77081.125987492007</v>
      </c>
      <c r="Z326" s="2442">
        <f t="shared" si="15"/>
        <v>78804.985595417413</v>
      </c>
      <c r="AA326" s="2442">
        <f t="shared" si="15"/>
        <v>80527.941362135592</v>
      </c>
      <c r="AB326" s="2442">
        <f t="shared" si="15"/>
        <v>82249.370356063911</v>
      </c>
      <c r="AC326" s="2442">
        <f t="shared" si="15"/>
        <v>83970.269276304854</v>
      </c>
      <c r="AD326" s="2442">
        <f t="shared" si="15"/>
        <v>85690.918271728195</v>
      </c>
      <c r="AE326" s="2442">
        <f t="shared" si="15"/>
        <v>87411.096810361312</v>
      </c>
      <c r="AF326" s="2442">
        <f t="shared" si="15"/>
        <v>89130.460747516961</v>
      </c>
      <c r="AG326" s="2442">
        <f t="shared" si="15"/>
        <v>90848.12600471219</v>
      </c>
      <c r="AH326" s="2442">
        <f t="shared" si="15"/>
        <v>92563.051372544476</v>
      </c>
      <c r="AI326" s="2442">
        <f t="shared" si="15"/>
        <v>94274.081778400679</v>
      </c>
      <c r="AJ326" s="2442">
        <f t="shared" si="15"/>
        <v>95982.433106854674</v>
      </c>
      <c r="AK326" s="2442">
        <f t="shared" si="15"/>
        <v>97686.110187687314</v>
      </c>
      <c r="AL326" s="2442">
        <f t="shared" si="15"/>
        <v>99383.54371043366</v>
      </c>
      <c r="AM326" s="2442">
        <f t="shared" si="15"/>
        <v>101072.69293968826</v>
      </c>
      <c r="AN326" s="2442">
        <f t="shared" si="15"/>
        <v>102751.94675437883</v>
      </c>
      <c r="AO326" s="2442">
        <f t="shared" si="15"/>
        <v>104420.00166124325</v>
      </c>
      <c r="AP326" s="2442">
        <f t="shared" si="15"/>
        <v>106074.96481164319</v>
      </c>
      <c r="AQ326" s="2442">
        <f t="shared" si="15"/>
        <v>107715.33365538341</v>
      </c>
      <c r="AR326" s="2442">
        <f t="shared" si="15"/>
        <v>109339.60811969299</v>
      </c>
      <c r="AS326" s="2442">
        <f t="shared" si="15"/>
        <v>110946.28999998351</v>
      </c>
    </row>
    <row r="327" spans="2:45" x14ac:dyDescent="0.2">
      <c r="B327" s="2410"/>
      <c r="C327" s="2432"/>
      <c r="D327" s="2412"/>
      <c r="E327" s="2412"/>
      <c r="F327" s="2412"/>
      <c r="G327" s="2412"/>
      <c r="H327" s="2412"/>
      <c r="I327" s="2412"/>
      <c r="J327" s="2412"/>
      <c r="K327" s="2412"/>
      <c r="L327" s="2412"/>
      <c r="M327" s="2412"/>
      <c r="N327" s="2412"/>
      <c r="O327" s="2412"/>
      <c r="P327" s="2412"/>
      <c r="Q327" s="2412"/>
      <c r="R327" s="2412"/>
      <c r="S327" s="2412"/>
      <c r="T327" s="2412"/>
      <c r="U327" s="2412"/>
      <c r="V327" s="2412"/>
      <c r="W327" s="2412"/>
      <c r="X327" s="2412"/>
      <c r="Y327" s="2412"/>
      <c r="Z327" s="2412"/>
      <c r="AA327" s="2412"/>
      <c r="AB327" s="2412"/>
      <c r="AC327" s="2412"/>
      <c r="AD327" s="2412"/>
      <c r="AE327" s="2412"/>
      <c r="AF327" s="2412"/>
      <c r="AG327" s="2412"/>
      <c r="AH327" s="2412"/>
      <c r="AI327" s="2412"/>
      <c r="AJ327" s="2412"/>
      <c r="AK327" s="2412"/>
      <c r="AL327" s="2412"/>
      <c r="AM327" s="2412"/>
      <c r="AN327" s="2412"/>
      <c r="AO327" s="2412"/>
      <c r="AP327" s="2412"/>
      <c r="AQ327" s="2412"/>
      <c r="AR327" s="2412"/>
      <c r="AS327" s="2412"/>
    </row>
    <row r="328" spans="2:45" x14ac:dyDescent="0.2">
      <c r="B328" s="2410"/>
      <c r="C328" s="2412" t="s">
        <v>1506</v>
      </c>
      <c r="D328" s="2412"/>
      <c r="E328" s="2412"/>
      <c r="F328" s="2412"/>
      <c r="G328" s="2412"/>
      <c r="H328" s="2412"/>
      <c r="I328" s="2412"/>
      <c r="J328" s="2412"/>
      <c r="K328" s="2412"/>
      <c r="L328" s="2412"/>
      <c r="M328" s="2412"/>
      <c r="N328" s="2412"/>
      <c r="O328" s="2412"/>
      <c r="P328" s="2412"/>
      <c r="Q328" s="2412"/>
      <c r="R328" s="2412"/>
      <c r="S328" s="2412"/>
      <c r="T328" s="2412"/>
      <c r="U328" s="2412"/>
      <c r="V328" s="2412"/>
      <c r="W328" s="2412"/>
      <c r="X328" s="2412"/>
      <c r="Y328" s="2412"/>
      <c r="Z328" s="2412"/>
      <c r="AA328" s="2412"/>
      <c r="AB328" s="2412"/>
      <c r="AC328" s="2412"/>
      <c r="AD328" s="2412"/>
      <c r="AE328" s="2412"/>
      <c r="AF328" s="2412"/>
      <c r="AG328" s="2412"/>
      <c r="AH328" s="2412"/>
      <c r="AI328" s="2412"/>
      <c r="AJ328" s="2412"/>
      <c r="AK328" s="2412"/>
      <c r="AL328" s="2412"/>
      <c r="AM328" s="2412"/>
      <c r="AN328" s="2412"/>
      <c r="AO328" s="2412"/>
      <c r="AP328" s="2412"/>
      <c r="AQ328" s="2412"/>
      <c r="AR328" s="2412"/>
      <c r="AS328" s="2412"/>
    </row>
    <row r="329" spans="2:45" x14ac:dyDescent="0.2">
      <c r="B329" s="2410" t="s">
        <v>1507</v>
      </c>
      <c r="C329" s="2413"/>
      <c r="D329" s="2414" t="s">
        <v>1029</v>
      </c>
      <c r="E329" s="2414" t="s">
        <v>8</v>
      </c>
      <c r="F329" s="2414"/>
      <c r="G329" s="2414">
        <v>2012</v>
      </c>
      <c r="H329" s="2414">
        <v>2013</v>
      </c>
      <c r="I329" s="2414">
        <v>2014</v>
      </c>
      <c r="J329" s="2414">
        <v>2015</v>
      </c>
      <c r="K329" s="2414">
        <v>2016</v>
      </c>
      <c r="L329" s="2414">
        <v>2017</v>
      </c>
      <c r="M329" s="2414">
        <v>2018</v>
      </c>
      <c r="N329" s="2414">
        <v>2019</v>
      </c>
      <c r="O329" s="2414">
        <v>2020</v>
      </c>
      <c r="P329" s="2414">
        <v>2021</v>
      </c>
      <c r="Q329" s="2414">
        <v>2022</v>
      </c>
      <c r="R329" s="2414">
        <v>2023</v>
      </c>
      <c r="S329" s="2414">
        <v>2024</v>
      </c>
      <c r="T329" s="2414">
        <v>2025</v>
      </c>
      <c r="U329" s="2414">
        <v>2026</v>
      </c>
      <c r="V329" s="2414">
        <v>2027</v>
      </c>
      <c r="W329" s="2414">
        <v>2028</v>
      </c>
      <c r="X329" s="2414">
        <v>2029</v>
      </c>
      <c r="Y329" s="2414">
        <v>2030</v>
      </c>
      <c r="Z329" s="2414">
        <v>2031</v>
      </c>
      <c r="AA329" s="2414">
        <v>2032</v>
      </c>
      <c r="AB329" s="2414">
        <v>2033</v>
      </c>
      <c r="AC329" s="2414">
        <v>2034</v>
      </c>
      <c r="AD329" s="2414">
        <v>2035</v>
      </c>
      <c r="AE329" s="2414">
        <v>2036</v>
      </c>
      <c r="AF329" s="2414">
        <v>2037</v>
      </c>
      <c r="AG329" s="2414">
        <v>2038</v>
      </c>
      <c r="AH329" s="2414">
        <v>2039</v>
      </c>
      <c r="AI329" s="2414">
        <v>2040</v>
      </c>
      <c r="AJ329" s="2414">
        <v>2041</v>
      </c>
      <c r="AK329" s="2414">
        <v>2042</v>
      </c>
      <c r="AL329" s="2414">
        <v>2043</v>
      </c>
      <c r="AM329" s="2414">
        <v>2044</v>
      </c>
      <c r="AN329" s="2414">
        <v>2045</v>
      </c>
      <c r="AO329" s="2414">
        <v>2046</v>
      </c>
      <c r="AP329" s="2414">
        <v>2047</v>
      </c>
      <c r="AQ329" s="2414">
        <v>2048</v>
      </c>
      <c r="AR329" s="2414">
        <v>2049</v>
      </c>
      <c r="AS329" s="2414">
        <v>2050</v>
      </c>
    </row>
    <row r="330" spans="2:45" x14ac:dyDescent="0.2">
      <c r="B330" s="2410"/>
      <c r="C330" s="2412" t="s">
        <v>1364</v>
      </c>
      <c r="D330" s="2415" t="s">
        <v>1505</v>
      </c>
      <c r="E330" s="2411"/>
      <c r="F330" s="2411"/>
      <c r="G330" s="2411"/>
      <c r="H330" s="2411"/>
      <c r="I330" s="2411"/>
      <c r="J330" s="2411"/>
      <c r="K330" s="2411"/>
      <c r="L330" s="2411"/>
      <c r="M330" s="2411"/>
      <c r="N330" s="2411"/>
      <c r="O330" s="2411"/>
      <c r="P330" s="2411"/>
      <c r="Q330" s="2411"/>
      <c r="R330" s="2411"/>
      <c r="S330" s="2411"/>
      <c r="T330" s="2411"/>
      <c r="U330" s="2411"/>
      <c r="V330" s="2411"/>
      <c r="W330" s="2411"/>
      <c r="X330" s="2411"/>
      <c r="Y330" s="2411"/>
      <c r="Z330" s="2411"/>
      <c r="AA330" s="2411"/>
      <c r="AB330" s="2411"/>
      <c r="AC330" s="2411"/>
      <c r="AD330" s="2411"/>
      <c r="AE330" s="2411"/>
      <c r="AF330" s="2411"/>
      <c r="AG330" s="2411"/>
      <c r="AH330" s="2411"/>
      <c r="AI330" s="2411"/>
      <c r="AJ330" s="2411"/>
      <c r="AK330" s="2411"/>
      <c r="AL330" s="2411"/>
      <c r="AM330" s="2411"/>
      <c r="AN330" s="2411"/>
      <c r="AO330" s="2411"/>
      <c r="AP330" s="2411"/>
      <c r="AQ330" s="2411"/>
      <c r="AR330" s="2411"/>
      <c r="AS330" s="2411"/>
    </row>
    <row r="331" spans="2:45" x14ac:dyDescent="0.2">
      <c r="B331" s="2410"/>
      <c r="C331" s="2432" t="s">
        <v>1366</v>
      </c>
      <c r="D331" s="2415" t="s">
        <v>1505</v>
      </c>
      <c r="E331" s="2411"/>
      <c r="F331" s="2411"/>
      <c r="G331" s="2431">
        <f t="shared" ref="G331:AS331" si="16">G303*G26</f>
        <v>0</v>
      </c>
      <c r="H331" s="2431">
        <f t="shared" si="16"/>
        <v>0</v>
      </c>
      <c r="I331" s="2431">
        <f t="shared" si="16"/>
        <v>0</v>
      </c>
      <c r="J331" s="2431">
        <f t="shared" si="16"/>
        <v>0</v>
      </c>
      <c r="K331" s="2431">
        <f t="shared" si="16"/>
        <v>0</v>
      </c>
      <c r="L331" s="2431">
        <f t="shared" si="16"/>
        <v>0</v>
      </c>
      <c r="M331" s="2431">
        <f t="shared" si="16"/>
        <v>0</v>
      </c>
      <c r="N331" s="2431">
        <f t="shared" si="16"/>
        <v>0</v>
      </c>
      <c r="O331" s="2431">
        <f t="shared" si="16"/>
        <v>0</v>
      </c>
      <c r="P331" s="2431">
        <f t="shared" si="16"/>
        <v>0</v>
      </c>
      <c r="Q331" s="2431">
        <f t="shared" si="16"/>
        <v>0</v>
      </c>
      <c r="R331" s="2431">
        <f t="shared" si="16"/>
        <v>0</v>
      </c>
      <c r="S331" s="2431">
        <f t="shared" si="16"/>
        <v>0</v>
      </c>
      <c r="T331" s="2431">
        <f t="shared" si="16"/>
        <v>0</v>
      </c>
      <c r="U331" s="2431">
        <f t="shared" si="16"/>
        <v>0</v>
      </c>
      <c r="V331" s="2431">
        <f t="shared" si="16"/>
        <v>0</v>
      </c>
      <c r="W331" s="2431">
        <f t="shared" si="16"/>
        <v>0</v>
      </c>
      <c r="X331" s="2431">
        <f t="shared" si="16"/>
        <v>0</v>
      </c>
      <c r="Y331" s="2431">
        <f t="shared" si="16"/>
        <v>0</v>
      </c>
      <c r="Z331" s="2431">
        <f t="shared" si="16"/>
        <v>0</v>
      </c>
      <c r="AA331" s="2431">
        <f t="shared" si="16"/>
        <v>0</v>
      </c>
      <c r="AB331" s="2431">
        <f t="shared" si="16"/>
        <v>0</v>
      </c>
      <c r="AC331" s="2431">
        <f t="shared" si="16"/>
        <v>0</v>
      </c>
      <c r="AD331" s="2431">
        <f t="shared" si="16"/>
        <v>0</v>
      </c>
      <c r="AE331" s="2431">
        <f t="shared" si="16"/>
        <v>0</v>
      </c>
      <c r="AF331" s="2431">
        <f t="shared" si="16"/>
        <v>0</v>
      </c>
      <c r="AG331" s="2431">
        <f t="shared" si="16"/>
        <v>0</v>
      </c>
      <c r="AH331" s="2431">
        <f t="shared" si="16"/>
        <v>0</v>
      </c>
      <c r="AI331" s="2431">
        <f t="shared" si="16"/>
        <v>0</v>
      </c>
      <c r="AJ331" s="2431">
        <f t="shared" si="16"/>
        <v>0</v>
      </c>
      <c r="AK331" s="2431">
        <f t="shared" si="16"/>
        <v>0</v>
      </c>
      <c r="AL331" s="2431">
        <f t="shared" si="16"/>
        <v>0</v>
      </c>
      <c r="AM331" s="2431">
        <f t="shared" si="16"/>
        <v>0</v>
      </c>
      <c r="AN331" s="2431">
        <f t="shared" si="16"/>
        <v>0</v>
      </c>
      <c r="AO331" s="2431">
        <f t="shared" si="16"/>
        <v>0</v>
      </c>
      <c r="AP331" s="2431">
        <f t="shared" si="16"/>
        <v>0</v>
      </c>
      <c r="AQ331" s="2431">
        <f t="shared" si="16"/>
        <v>0</v>
      </c>
      <c r="AR331" s="2431">
        <f t="shared" si="16"/>
        <v>0</v>
      </c>
      <c r="AS331" s="2431">
        <f t="shared" si="16"/>
        <v>0</v>
      </c>
    </row>
    <row r="332" spans="2:45" x14ac:dyDescent="0.2">
      <c r="B332" s="2410"/>
      <c r="C332" s="2432" t="s">
        <v>1367</v>
      </c>
      <c r="D332" s="2415" t="s">
        <v>1505</v>
      </c>
      <c r="E332" s="2411"/>
      <c r="F332" s="2411"/>
      <c r="G332" s="2431"/>
      <c r="H332" s="2431"/>
      <c r="I332" s="2431"/>
      <c r="J332" s="2431"/>
      <c r="K332" s="2431"/>
      <c r="L332" s="2431"/>
      <c r="M332" s="2431"/>
      <c r="N332" s="2431"/>
      <c r="O332" s="2431"/>
      <c r="P332" s="2411"/>
      <c r="Q332" s="2411"/>
      <c r="R332" s="2411"/>
      <c r="S332" s="2411"/>
      <c r="T332" s="2411"/>
      <c r="U332" s="2411"/>
      <c r="V332" s="2411"/>
      <c r="W332" s="2411"/>
      <c r="X332" s="2411"/>
      <c r="Y332" s="2411"/>
      <c r="Z332" s="2411"/>
      <c r="AA332" s="2411"/>
      <c r="AB332" s="2411"/>
      <c r="AC332" s="2411"/>
      <c r="AD332" s="2411"/>
      <c r="AE332" s="2411"/>
      <c r="AF332" s="2411"/>
      <c r="AG332" s="2411"/>
      <c r="AH332" s="2411"/>
      <c r="AI332" s="2411"/>
      <c r="AJ332" s="2411"/>
      <c r="AK332" s="2411"/>
      <c r="AL332" s="2411"/>
      <c r="AM332" s="2411"/>
      <c r="AN332" s="2411"/>
      <c r="AO332" s="2411"/>
      <c r="AP332" s="2411"/>
      <c r="AQ332" s="2411"/>
      <c r="AR332" s="2411"/>
      <c r="AS332" s="2411"/>
    </row>
    <row r="333" spans="2:45" x14ac:dyDescent="0.2">
      <c r="B333" s="2410"/>
      <c r="C333" s="2432" t="s">
        <v>1368</v>
      </c>
      <c r="D333" s="2415" t="s">
        <v>1505</v>
      </c>
      <c r="E333" s="2431"/>
      <c r="F333" s="2431"/>
      <c r="G333" s="2431"/>
      <c r="H333" s="2431"/>
      <c r="I333" s="2431"/>
      <c r="J333" s="2431"/>
      <c r="K333" s="2431"/>
      <c r="L333" s="2431"/>
      <c r="M333" s="2431"/>
      <c r="N333" s="2431"/>
      <c r="O333" s="2431"/>
      <c r="P333" s="2411"/>
      <c r="Q333" s="2411"/>
      <c r="R333" s="2411"/>
      <c r="S333" s="2411"/>
      <c r="T333" s="2411"/>
      <c r="U333" s="2411"/>
      <c r="V333" s="2411"/>
      <c r="W333" s="2411"/>
      <c r="X333" s="2411"/>
      <c r="Y333" s="2411"/>
      <c r="Z333" s="2411"/>
      <c r="AA333" s="2411"/>
      <c r="AB333" s="2411"/>
      <c r="AC333" s="2411"/>
      <c r="AD333" s="2411"/>
      <c r="AE333" s="2411"/>
      <c r="AF333" s="2411"/>
      <c r="AG333" s="2411"/>
      <c r="AH333" s="2411"/>
      <c r="AI333" s="2411"/>
      <c r="AJ333" s="2411"/>
      <c r="AK333" s="2411"/>
      <c r="AL333" s="2411"/>
      <c r="AM333" s="2411"/>
      <c r="AN333" s="2411"/>
      <c r="AO333" s="2411"/>
      <c r="AP333" s="2411"/>
      <c r="AQ333" s="2411"/>
      <c r="AR333" s="2411"/>
      <c r="AS333" s="2411"/>
    </row>
    <row r="334" spans="2:45" x14ac:dyDescent="0.2">
      <c r="B334" s="2410"/>
      <c r="C334" s="2432" t="s">
        <v>1369</v>
      </c>
      <c r="D334" s="2415" t="s">
        <v>1505</v>
      </c>
      <c r="E334" s="2411"/>
      <c r="F334" s="2411"/>
      <c r="G334" s="2431"/>
      <c r="H334" s="2431"/>
      <c r="I334" s="2431"/>
      <c r="J334" s="2431"/>
      <c r="K334" s="2431"/>
      <c r="L334" s="2431"/>
      <c r="M334" s="2431"/>
      <c r="N334" s="2431"/>
      <c r="O334" s="2431"/>
      <c r="P334" s="2411"/>
      <c r="Q334" s="2411"/>
      <c r="R334" s="2411"/>
      <c r="S334" s="2411"/>
      <c r="T334" s="2411"/>
      <c r="U334" s="2411"/>
      <c r="V334" s="2411"/>
      <c r="W334" s="2411"/>
      <c r="X334" s="2411"/>
      <c r="Y334" s="2411"/>
      <c r="Z334" s="2411"/>
      <c r="AA334" s="2411"/>
      <c r="AB334" s="2411"/>
      <c r="AC334" s="2411"/>
      <c r="AD334" s="2411"/>
      <c r="AE334" s="2411"/>
      <c r="AF334" s="2411"/>
      <c r="AG334" s="2411"/>
      <c r="AH334" s="2411"/>
      <c r="AI334" s="2411"/>
      <c r="AJ334" s="2411"/>
      <c r="AK334" s="2411"/>
      <c r="AL334" s="2411"/>
      <c r="AM334" s="2411"/>
      <c r="AN334" s="2411"/>
      <c r="AO334" s="2411"/>
      <c r="AP334" s="2411"/>
      <c r="AQ334" s="2411"/>
      <c r="AR334" s="2411"/>
      <c r="AS334" s="2411"/>
    </row>
    <row r="335" spans="2:45" x14ac:dyDescent="0.2">
      <c r="B335" s="2410"/>
      <c r="C335" s="2432" t="s">
        <v>1370</v>
      </c>
      <c r="D335" s="2415" t="s">
        <v>1505</v>
      </c>
      <c r="E335" s="2411"/>
      <c r="F335" s="2411"/>
      <c r="G335" s="2431"/>
      <c r="H335" s="2431"/>
      <c r="I335" s="2431"/>
      <c r="J335" s="2431"/>
      <c r="K335" s="2431"/>
      <c r="L335" s="2431"/>
      <c r="M335" s="2431"/>
      <c r="N335" s="2431"/>
      <c r="O335" s="2431"/>
      <c r="P335" s="2411"/>
      <c r="Q335" s="2411"/>
      <c r="R335" s="2411"/>
      <c r="S335" s="2411"/>
      <c r="T335" s="2411"/>
      <c r="U335" s="2411"/>
      <c r="V335" s="2411"/>
      <c r="W335" s="2411"/>
      <c r="X335" s="2411"/>
      <c r="Y335" s="2411"/>
      <c r="Z335" s="2411"/>
      <c r="AA335" s="2411"/>
      <c r="AB335" s="2411"/>
      <c r="AC335" s="2411"/>
      <c r="AD335" s="2411"/>
      <c r="AE335" s="2411"/>
      <c r="AF335" s="2411"/>
      <c r="AG335" s="2411"/>
      <c r="AH335" s="2411"/>
      <c r="AI335" s="2411"/>
      <c r="AJ335" s="2411"/>
      <c r="AK335" s="2411"/>
      <c r="AL335" s="2411"/>
      <c r="AM335" s="2411"/>
      <c r="AN335" s="2411"/>
      <c r="AO335" s="2411"/>
      <c r="AP335" s="2411"/>
      <c r="AQ335" s="2411"/>
      <c r="AR335" s="2411"/>
      <c r="AS335" s="2411"/>
    </row>
    <row r="336" spans="2:45" x14ac:dyDescent="0.2">
      <c r="B336" s="2410"/>
      <c r="C336" s="2464" t="s">
        <v>1371</v>
      </c>
      <c r="D336" s="2418" t="s">
        <v>1505</v>
      </c>
      <c r="E336" s="2419"/>
      <c r="F336" s="2419"/>
      <c r="G336" s="2442"/>
      <c r="H336" s="2442"/>
      <c r="I336" s="2442"/>
      <c r="J336" s="2442"/>
      <c r="K336" s="2442"/>
      <c r="L336" s="2442"/>
      <c r="M336" s="2442"/>
      <c r="N336" s="2442"/>
      <c r="O336" s="2442"/>
      <c r="P336" s="2419"/>
      <c r="Q336" s="2419"/>
      <c r="R336" s="2419"/>
      <c r="S336" s="2419"/>
      <c r="T336" s="2419"/>
      <c r="U336" s="2419"/>
      <c r="V336" s="2419"/>
      <c r="W336" s="2419"/>
      <c r="X336" s="2419"/>
      <c r="Y336" s="2419"/>
      <c r="Z336" s="2419"/>
      <c r="AA336" s="2419"/>
      <c r="AB336" s="2419"/>
      <c r="AC336" s="2419"/>
      <c r="AD336" s="2419"/>
      <c r="AE336" s="2419"/>
      <c r="AF336" s="2419"/>
      <c r="AG336" s="2419"/>
      <c r="AH336" s="2419"/>
      <c r="AI336" s="2419"/>
      <c r="AJ336" s="2419"/>
      <c r="AK336" s="2419"/>
      <c r="AL336" s="2419"/>
      <c r="AM336" s="2419"/>
      <c r="AN336" s="2419"/>
      <c r="AO336" s="2419"/>
      <c r="AP336" s="2419"/>
      <c r="AQ336" s="2419"/>
      <c r="AR336" s="2419"/>
      <c r="AS336" s="2419"/>
    </row>
    <row r="337" spans="2:45" x14ac:dyDescent="0.2">
      <c r="B337" s="2410"/>
      <c r="C337" s="2432"/>
      <c r="D337" s="2415"/>
      <c r="E337" s="2411"/>
      <c r="F337" s="2411"/>
      <c r="G337" s="2431"/>
      <c r="H337" s="2431"/>
      <c r="I337" s="2431"/>
      <c r="J337" s="2431"/>
      <c r="K337" s="2431"/>
      <c r="L337" s="2431"/>
      <c r="M337" s="2431"/>
      <c r="N337" s="2431"/>
      <c r="O337" s="2431"/>
      <c r="P337" s="2411"/>
      <c r="Q337" s="2411"/>
      <c r="R337" s="2411"/>
      <c r="S337" s="2411"/>
      <c r="T337" s="2411"/>
      <c r="U337" s="2411"/>
      <c r="V337" s="2411"/>
      <c r="W337" s="2411"/>
      <c r="X337" s="2411"/>
      <c r="Y337" s="2411"/>
      <c r="Z337" s="2411"/>
      <c r="AA337" s="2411"/>
      <c r="AB337" s="2411"/>
      <c r="AC337" s="2411"/>
      <c r="AD337" s="2411"/>
      <c r="AE337" s="2411"/>
      <c r="AF337" s="2411"/>
      <c r="AG337" s="2411"/>
      <c r="AH337" s="2411"/>
      <c r="AI337" s="2411"/>
      <c r="AJ337" s="2411"/>
      <c r="AK337" s="2411"/>
      <c r="AL337" s="2411"/>
      <c r="AM337" s="2411"/>
      <c r="AN337" s="2411"/>
      <c r="AO337" s="2411"/>
      <c r="AP337" s="2411"/>
      <c r="AQ337" s="2411"/>
      <c r="AR337" s="2411"/>
      <c r="AS337" s="2411"/>
    </row>
    <row r="338" spans="2:45" x14ac:dyDescent="0.2">
      <c r="B338" s="2410"/>
      <c r="C338" s="2412" t="s">
        <v>1508</v>
      </c>
      <c r="D338" s="2412"/>
      <c r="E338" s="2412"/>
      <c r="F338" s="2412"/>
      <c r="G338" s="2412"/>
      <c r="H338" s="2412"/>
      <c r="I338" s="2412"/>
      <c r="J338" s="2412"/>
      <c r="K338" s="2412"/>
      <c r="L338" s="2412"/>
      <c r="M338" s="2412"/>
      <c r="N338" s="2412"/>
      <c r="O338" s="2412"/>
      <c r="P338" s="2412"/>
      <c r="Q338" s="2412"/>
      <c r="R338" s="2412"/>
      <c r="S338" s="2412"/>
      <c r="T338" s="2412"/>
      <c r="U338" s="2412"/>
      <c r="V338" s="2412"/>
      <c r="W338" s="2412"/>
      <c r="X338" s="2412"/>
      <c r="Y338" s="2412"/>
      <c r="Z338" s="2412"/>
      <c r="AA338" s="2412"/>
      <c r="AB338" s="2412"/>
      <c r="AC338" s="2412"/>
      <c r="AD338" s="2412"/>
      <c r="AE338" s="2412"/>
      <c r="AF338" s="2412"/>
      <c r="AG338" s="2412"/>
      <c r="AH338" s="2412"/>
      <c r="AI338" s="2412"/>
      <c r="AJ338" s="2412"/>
      <c r="AK338" s="2412"/>
      <c r="AL338" s="2412"/>
      <c r="AM338" s="2412"/>
      <c r="AN338" s="2412"/>
      <c r="AO338" s="2412"/>
      <c r="AP338" s="2412"/>
      <c r="AQ338" s="2412"/>
      <c r="AR338" s="2412"/>
      <c r="AS338" s="2412"/>
    </row>
    <row r="339" spans="2:45" x14ac:dyDescent="0.2">
      <c r="B339" s="2410"/>
      <c r="C339" s="2413"/>
      <c r="D339" s="2414" t="s">
        <v>1029</v>
      </c>
      <c r="E339" s="2414" t="s">
        <v>8</v>
      </c>
      <c r="F339" s="2414"/>
      <c r="G339" s="2414">
        <v>2012</v>
      </c>
      <c r="H339" s="2414">
        <v>2013</v>
      </c>
      <c r="I339" s="2414">
        <v>2014</v>
      </c>
      <c r="J339" s="2414">
        <v>2015</v>
      </c>
      <c r="K339" s="2414">
        <v>2016</v>
      </c>
      <c r="L339" s="2414">
        <v>2017</v>
      </c>
      <c r="M339" s="2414">
        <v>2018</v>
      </c>
      <c r="N339" s="2414">
        <v>2019</v>
      </c>
      <c r="O339" s="2414">
        <v>2020</v>
      </c>
      <c r="P339" s="2414">
        <v>2021</v>
      </c>
      <c r="Q339" s="2414">
        <v>2022</v>
      </c>
      <c r="R339" s="2414">
        <v>2023</v>
      </c>
      <c r="S339" s="2414">
        <v>2024</v>
      </c>
      <c r="T339" s="2414">
        <v>2025</v>
      </c>
      <c r="U339" s="2414">
        <v>2026</v>
      </c>
      <c r="V339" s="2414">
        <v>2027</v>
      </c>
      <c r="W339" s="2414">
        <v>2028</v>
      </c>
      <c r="X339" s="2414">
        <v>2029</v>
      </c>
      <c r="Y339" s="2414">
        <v>2030</v>
      </c>
      <c r="Z339" s="2414">
        <v>2031</v>
      </c>
      <c r="AA339" s="2414">
        <v>2032</v>
      </c>
      <c r="AB339" s="2414">
        <v>2033</v>
      </c>
      <c r="AC339" s="2414">
        <v>2034</v>
      </c>
      <c r="AD339" s="2414">
        <v>2035</v>
      </c>
      <c r="AE339" s="2414">
        <v>2036</v>
      </c>
      <c r="AF339" s="2414">
        <v>2037</v>
      </c>
      <c r="AG339" s="2414">
        <v>2038</v>
      </c>
      <c r="AH339" s="2414">
        <v>2039</v>
      </c>
      <c r="AI339" s="2414">
        <v>2040</v>
      </c>
      <c r="AJ339" s="2414">
        <v>2041</v>
      </c>
      <c r="AK339" s="2414">
        <v>2042</v>
      </c>
      <c r="AL339" s="2414">
        <v>2043</v>
      </c>
      <c r="AM339" s="2414">
        <v>2044</v>
      </c>
      <c r="AN339" s="2414">
        <v>2045</v>
      </c>
      <c r="AO339" s="2414">
        <v>2046</v>
      </c>
      <c r="AP339" s="2414">
        <v>2047</v>
      </c>
      <c r="AQ339" s="2414">
        <v>2048</v>
      </c>
      <c r="AR339" s="2414">
        <v>2049</v>
      </c>
      <c r="AS339" s="2414">
        <v>2050</v>
      </c>
    </row>
    <row r="340" spans="2:45" x14ac:dyDescent="0.2">
      <c r="B340" s="2410" t="s">
        <v>1509</v>
      </c>
      <c r="C340" s="2483" t="s">
        <v>1415</v>
      </c>
      <c r="D340" s="2484" t="s">
        <v>1510</v>
      </c>
      <c r="E340" s="2483"/>
      <c r="F340" s="2485"/>
      <c r="G340" s="2485">
        <f t="shared" ref="G340:AS340" si="17">G318*G34</f>
        <v>0</v>
      </c>
      <c r="H340" s="2485">
        <f t="shared" si="17"/>
        <v>0</v>
      </c>
      <c r="I340" s="2485">
        <f t="shared" si="17"/>
        <v>0</v>
      </c>
      <c r="J340" s="2485">
        <f t="shared" si="17"/>
        <v>0</v>
      </c>
      <c r="K340" s="2485">
        <f t="shared" si="17"/>
        <v>0</v>
      </c>
      <c r="L340" s="2485">
        <f t="shared" si="17"/>
        <v>0</v>
      </c>
      <c r="M340" s="2485">
        <f t="shared" si="17"/>
        <v>0</v>
      </c>
      <c r="N340" s="2485">
        <f t="shared" si="17"/>
        <v>0</v>
      </c>
      <c r="O340" s="2485">
        <f t="shared" si="17"/>
        <v>0</v>
      </c>
      <c r="P340" s="2485">
        <f t="shared" si="17"/>
        <v>0</v>
      </c>
      <c r="Q340" s="2485">
        <f t="shared" si="17"/>
        <v>0</v>
      </c>
      <c r="R340" s="2485">
        <f t="shared" si="17"/>
        <v>0</v>
      </c>
      <c r="S340" s="2485">
        <f t="shared" si="17"/>
        <v>0</v>
      </c>
      <c r="T340" s="2485">
        <f t="shared" si="17"/>
        <v>0</v>
      </c>
      <c r="U340" s="2485">
        <f t="shared" si="17"/>
        <v>0</v>
      </c>
      <c r="V340" s="2485">
        <f t="shared" si="17"/>
        <v>0</v>
      </c>
      <c r="W340" s="2485">
        <f t="shared" si="17"/>
        <v>0</v>
      </c>
      <c r="X340" s="2485">
        <f t="shared" si="17"/>
        <v>0</v>
      </c>
      <c r="Y340" s="2485">
        <f t="shared" si="17"/>
        <v>0</v>
      </c>
      <c r="Z340" s="2485">
        <f t="shared" si="17"/>
        <v>0</v>
      </c>
      <c r="AA340" s="2485">
        <f t="shared" si="17"/>
        <v>0</v>
      </c>
      <c r="AB340" s="2485">
        <f t="shared" si="17"/>
        <v>0</v>
      </c>
      <c r="AC340" s="2485">
        <f t="shared" si="17"/>
        <v>0</v>
      </c>
      <c r="AD340" s="2485">
        <f t="shared" si="17"/>
        <v>0</v>
      </c>
      <c r="AE340" s="2485">
        <f t="shared" si="17"/>
        <v>0</v>
      </c>
      <c r="AF340" s="2485">
        <f t="shared" si="17"/>
        <v>0</v>
      </c>
      <c r="AG340" s="2485">
        <f t="shared" si="17"/>
        <v>0</v>
      </c>
      <c r="AH340" s="2485">
        <f t="shared" si="17"/>
        <v>0</v>
      </c>
      <c r="AI340" s="2485">
        <f t="shared" si="17"/>
        <v>0</v>
      </c>
      <c r="AJ340" s="2485">
        <f t="shared" si="17"/>
        <v>0</v>
      </c>
      <c r="AK340" s="2485">
        <f t="shared" si="17"/>
        <v>0</v>
      </c>
      <c r="AL340" s="2485">
        <f t="shared" si="17"/>
        <v>0</v>
      </c>
      <c r="AM340" s="2485">
        <f t="shared" si="17"/>
        <v>0</v>
      </c>
      <c r="AN340" s="2485">
        <f t="shared" si="17"/>
        <v>0</v>
      </c>
      <c r="AO340" s="2485">
        <f t="shared" si="17"/>
        <v>0</v>
      </c>
      <c r="AP340" s="2485">
        <f t="shared" si="17"/>
        <v>0</v>
      </c>
      <c r="AQ340" s="2485">
        <f t="shared" si="17"/>
        <v>0</v>
      </c>
      <c r="AR340" s="2485">
        <f t="shared" si="17"/>
        <v>0</v>
      </c>
      <c r="AS340" s="2485">
        <f t="shared" si="17"/>
        <v>0</v>
      </c>
    </row>
    <row r="341" spans="2:45" x14ac:dyDescent="0.2">
      <c r="B341" s="2410"/>
      <c r="C341" s="2432"/>
      <c r="D341" s="2415"/>
      <c r="E341" s="2411"/>
      <c r="F341" s="2411"/>
      <c r="G341" s="2431"/>
      <c r="H341" s="2431"/>
      <c r="I341" s="2431"/>
      <c r="J341" s="2431"/>
      <c r="K341" s="2431"/>
      <c r="L341" s="2431"/>
      <c r="M341" s="2431"/>
      <c r="N341" s="2431"/>
      <c r="O341" s="2431"/>
      <c r="P341" s="2431"/>
      <c r="Q341" s="2431"/>
      <c r="R341" s="2431"/>
      <c r="S341" s="2431"/>
      <c r="T341" s="2431"/>
      <c r="U341" s="2431"/>
      <c r="V341" s="2431"/>
      <c r="W341" s="2431"/>
      <c r="X341" s="2431"/>
      <c r="Y341" s="2431"/>
      <c r="Z341" s="2431"/>
      <c r="AA341" s="2431"/>
      <c r="AB341" s="2431"/>
      <c r="AC341" s="2431"/>
      <c r="AD341" s="2431"/>
      <c r="AE341" s="2431"/>
      <c r="AF341" s="2431"/>
      <c r="AG341" s="2431"/>
      <c r="AH341" s="2431"/>
      <c r="AI341" s="2431"/>
      <c r="AJ341" s="2431"/>
      <c r="AK341" s="2431"/>
      <c r="AL341" s="2431"/>
      <c r="AM341" s="2431"/>
      <c r="AN341" s="2431"/>
      <c r="AO341" s="2431"/>
      <c r="AP341" s="2431"/>
      <c r="AQ341" s="2431"/>
      <c r="AR341" s="2431"/>
      <c r="AS341" s="2431"/>
    </row>
    <row r="342" spans="2:45" x14ac:dyDescent="0.2">
      <c r="B342" s="2410"/>
      <c r="C342" s="2412" t="s">
        <v>1511</v>
      </c>
      <c r="D342" s="2412"/>
      <c r="E342" s="2412"/>
      <c r="F342" s="2412"/>
      <c r="G342" s="2412"/>
      <c r="H342" s="2412"/>
      <c r="I342" s="2412"/>
      <c r="J342" s="2412"/>
      <c r="K342" s="2412"/>
      <c r="L342" s="2412"/>
      <c r="M342" s="2412"/>
      <c r="N342" s="2412"/>
      <c r="O342" s="2412"/>
      <c r="P342" s="2412"/>
      <c r="Q342" s="2412"/>
      <c r="R342" s="2412"/>
      <c r="S342" s="2412"/>
      <c r="T342" s="2412"/>
      <c r="U342" s="2412"/>
      <c r="V342" s="2412"/>
      <c r="W342" s="2412"/>
      <c r="X342" s="2412"/>
      <c r="Y342" s="2412"/>
      <c r="Z342" s="2412"/>
      <c r="AA342" s="2412"/>
      <c r="AB342" s="2412"/>
      <c r="AC342" s="2412"/>
      <c r="AD342" s="2412"/>
      <c r="AE342" s="2412"/>
      <c r="AF342" s="2412"/>
      <c r="AG342" s="2412"/>
      <c r="AH342" s="2412"/>
      <c r="AI342" s="2412"/>
      <c r="AJ342" s="2412"/>
      <c r="AK342" s="2412"/>
      <c r="AL342" s="2412"/>
      <c r="AM342" s="2412"/>
      <c r="AN342" s="2412"/>
      <c r="AO342" s="2412"/>
      <c r="AP342" s="2412"/>
      <c r="AQ342" s="2412"/>
      <c r="AR342" s="2412"/>
      <c r="AS342" s="2412"/>
    </row>
    <row r="343" spans="2:45" x14ac:dyDescent="0.2">
      <c r="B343" s="2410"/>
      <c r="C343" s="2414"/>
      <c r="D343" s="2414" t="s">
        <v>1029</v>
      </c>
      <c r="E343" s="2414" t="s">
        <v>8</v>
      </c>
      <c r="F343" s="2414"/>
      <c r="G343" s="2414">
        <v>2012</v>
      </c>
      <c r="H343" s="2414">
        <v>2013</v>
      </c>
      <c r="I343" s="2414">
        <v>2014</v>
      </c>
      <c r="J343" s="2414">
        <v>2015</v>
      </c>
      <c r="K343" s="2414">
        <v>2016</v>
      </c>
      <c r="L343" s="2414">
        <v>2017</v>
      </c>
      <c r="M343" s="2414">
        <v>2018</v>
      </c>
      <c r="N343" s="2414">
        <v>2019</v>
      </c>
      <c r="O343" s="2414">
        <v>2020</v>
      </c>
      <c r="P343" s="2414">
        <v>2021</v>
      </c>
      <c r="Q343" s="2414">
        <v>2022</v>
      </c>
      <c r="R343" s="2414">
        <v>2023</v>
      </c>
      <c r="S343" s="2414">
        <v>2024</v>
      </c>
      <c r="T343" s="2414">
        <v>2025</v>
      </c>
      <c r="U343" s="2414">
        <v>2026</v>
      </c>
      <c r="V343" s="2414">
        <v>2027</v>
      </c>
      <c r="W343" s="2414">
        <v>2028</v>
      </c>
      <c r="X343" s="2414">
        <v>2029</v>
      </c>
      <c r="Y343" s="2414">
        <v>2030</v>
      </c>
      <c r="Z343" s="2414">
        <v>2031</v>
      </c>
      <c r="AA343" s="2414">
        <v>2032</v>
      </c>
      <c r="AB343" s="2414">
        <v>2033</v>
      </c>
      <c r="AC343" s="2414">
        <v>2034</v>
      </c>
      <c r="AD343" s="2414">
        <v>2035</v>
      </c>
      <c r="AE343" s="2414">
        <v>2036</v>
      </c>
      <c r="AF343" s="2414">
        <v>2037</v>
      </c>
      <c r="AG343" s="2414">
        <v>2038</v>
      </c>
      <c r="AH343" s="2414">
        <v>2039</v>
      </c>
      <c r="AI343" s="2414">
        <v>2040</v>
      </c>
      <c r="AJ343" s="2414">
        <v>2041</v>
      </c>
      <c r="AK343" s="2414">
        <v>2042</v>
      </c>
      <c r="AL343" s="2414">
        <v>2043</v>
      </c>
      <c r="AM343" s="2414">
        <v>2044</v>
      </c>
      <c r="AN343" s="2414">
        <v>2045</v>
      </c>
      <c r="AO343" s="2414">
        <v>2046</v>
      </c>
      <c r="AP343" s="2414">
        <v>2047</v>
      </c>
      <c r="AQ343" s="2414">
        <v>2048</v>
      </c>
      <c r="AR343" s="2414">
        <v>2049</v>
      </c>
      <c r="AS343" s="2414">
        <v>2050</v>
      </c>
    </row>
    <row r="344" spans="2:45" x14ac:dyDescent="0.2">
      <c r="B344" s="2410"/>
      <c r="C344" s="2412" t="s">
        <v>1377</v>
      </c>
      <c r="D344" s="2415" t="s">
        <v>1365</v>
      </c>
      <c r="E344" s="2411" t="s">
        <v>319</v>
      </c>
      <c r="F344" s="2431"/>
      <c r="G344" s="2431"/>
      <c r="H344" s="2431"/>
      <c r="I344" s="2431"/>
      <c r="J344" s="2431"/>
      <c r="K344" s="2431"/>
      <c r="L344" s="2431"/>
      <c r="M344" s="2431"/>
      <c r="N344" s="2431"/>
      <c r="O344" s="2431"/>
      <c r="P344" s="2431"/>
      <c r="Q344" s="2431"/>
      <c r="R344" s="2431"/>
      <c r="S344" s="2431"/>
      <c r="T344" s="2431"/>
      <c r="U344" s="2431"/>
      <c r="V344" s="2431"/>
      <c r="W344" s="2431"/>
      <c r="X344" s="2431"/>
      <c r="Y344" s="2431"/>
      <c r="Z344" s="2431"/>
      <c r="AA344" s="2431"/>
      <c r="AB344" s="2431"/>
      <c r="AC344" s="2431"/>
      <c r="AD344" s="2431"/>
      <c r="AE344" s="2431"/>
      <c r="AF344" s="2431"/>
      <c r="AG344" s="2431"/>
      <c r="AH344" s="2431"/>
      <c r="AI344" s="2431"/>
      <c r="AJ344" s="2431"/>
      <c r="AK344" s="2431"/>
      <c r="AL344" s="2431"/>
      <c r="AM344" s="2431"/>
      <c r="AN344" s="2431"/>
      <c r="AO344" s="2431"/>
      <c r="AP344" s="2431"/>
      <c r="AQ344" s="2431"/>
      <c r="AR344" s="2431"/>
      <c r="AS344" s="2431"/>
    </row>
    <row r="345" spans="2:45" x14ac:dyDescent="0.2">
      <c r="B345" s="2410"/>
      <c r="C345" s="2432" t="s">
        <v>1378</v>
      </c>
      <c r="D345" s="2415" t="s">
        <v>1365</v>
      </c>
      <c r="E345" s="2411" t="s">
        <v>319</v>
      </c>
      <c r="F345" s="2431"/>
      <c r="G345" s="2431">
        <f t="shared" ref="G345:AS347" si="18">G86-G324</f>
        <v>280329.93478124088</v>
      </c>
      <c r="H345" s="2431">
        <f t="shared" si="18"/>
        <v>290348.70241001382</v>
      </c>
      <c r="I345" s="2431">
        <f t="shared" si="18"/>
        <v>301394.72195081989</v>
      </c>
      <c r="J345" s="2431">
        <f t="shared" si="18"/>
        <v>312819.95942447078</v>
      </c>
      <c r="K345" s="2431">
        <f t="shared" si="18"/>
        <v>324348.04932736477</v>
      </c>
      <c r="L345" s="2431">
        <f t="shared" si="18"/>
        <v>335871.74018252391</v>
      </c>
      <c r="M345" s="2431">
        <f t="shared" si="18"/>
        <v>348091.04557313141</v>
      </c>
      <c r="N345" s="2431">
        <f t="shared" si="18"/>
        <v>360770.77207445563</v>
      </c>
      <c r="O345" s="2431">
        <f t="shared" si="18"/>
        <v>373241.09713224473</v>
      </c>
      <c r="P345" s="2431">
        <f t="shared" si="18"/>
        <v>385801.40005838143</v>
      </c>
      <c r="Q345" s="2431">
        <f t="shared" si="18"/>
        <v>398460.64386266982</v>
      </c>
      <c r="R345" s="2431">
        <f t="shared" si="18"/>
        <v>410667.58903130237</v>
      </c>
      <c r="S345" s="2431">
        <f t="shared" si="18"/>
        <v>422546.79385452083</v>
      </c>
      <c r="T345" s="2431">
        <f t="shared" si="18"/>
        <v>434178.95690877485</v>
      </c>
      <c r="U345" s="2431">
        <f t="shared" si="18"/>
        <v>445614.70694940933</v>
      </c>
      <c r="V345" s="2431">
        <f t="shared" si="18"/>
        <v>456882.31572693406</v>
      </c>
      <c r="W345" s="2431">
        <f t="shared" si="18"/>
        <v>467997.86704517587</v>
      </c>
      <c r="X345" s="2431">
        <f t="shared" si="18"/>
        <v>479024.23944556498</v>
      </c>
      <c r="Y345" s="2431">
        <f t="shared" si="18"/>
        <v>490003.84896818129</v>
      </c>
      <c r="Z345" s="2431">
        <f t="shared" si="18"/>
        <v>500962.40506272123</v>
      </c>
      <c r="AA345" s="2431">
        <f t="shared" si="18"/>
        <v>511915.2154488957</v>
      </c>
      <c r="AB345" s="2431">
        <f t="shared" si="18"/>
        <v>522858.32015765645</v>
      </c>
      <c r="AC345" s="2431">
        <f t="shared" si="18"/>
        <v>533798.05519396206</v>
      </c>
      <c r="AD345" s="2431">
        <f t="shared" si="18"/>
        <v>544736.20146101946</v>
      </c>
      <c r="AE345" s="2431">
        <f t="shared" si="18"/>
        <v>555671.35703956487</v>
      </c>
      <c r="AF345" s="2431">
        <f t="shared" si="18"/>
        <v>566601.33420570113</v>
      </c>
      <c r="AG345" s="2431">
        <f t="shared" si="18"/>
        <v>577520.51288247807</v>
      </c>
      <c r="AH345" s="2431">
        <f t="shared" si="18"/>
        <v>588422.27411346161</v>
      </c>
      <c r="AI345" s="2431">
        <f t="shared" si="18"/>
        <v>599299.27511507086</v>
      </c>
      <c r="AJ345" s="2431">
        <f t="shared" si="18"/>
        <v>610159.24525183556</v>
      </c>
      <c r="AK345" s="2431">
        <f t="shared" si="18"/>
        <v>620989.50124916423</v>
      </c>
      <c r="AL345" s="2431">
        <f t="shared" si="18"/>
        <v>631780.0670181216</v>
      </c>
      <c r="AM345" s="2431">
        <f t="shared" si="18"/>
        <v>642517.96962674079</v>
      </c>
      <c r="AN345" s="2431">
        <f t="shared" si="18"/>
        <v>653192.96719652729</v>
      </c>
      <c r="AO345" s="2431">
        <f t="shared" si="18"/>
        <v>663796.77343550802</v>
      </c>
      <c r="AP345" s="2431">
        <f t="shared" si="18"/>
        <v>674317.35552622715</v>
      </c>
      <c r="AQ345" s="2431">
        <f t="shared" si="18"/>
        <v>684745.16177403182</v>
      </c>
      <c r="AR345" s="2431">
        <f t="shared" si="18"/>
        <v>695070.6562332277</v>
      </c>
      <c r="AS345" s="2431">
        <f t="shared" si="18"/>
        <v>705284.31483413524</v>
      </c>
    </row>
    <row r="346" spans="2:45" x14ac:dyDescent="0.2">
      <c r="B346" s="2410"/>
      <c r="C346" s="2432" t="s">
        <v>1379</v>
      </c>
      <c r="D346" s="2415" t="s">
        <v>1365</v>
      </c>
      <c r="E346" s="2411" t="s">
        <v>319</v>
      </c>
      <c r="F346" s="2431"/>
      <c r="G346" s="2431">
        <f t="shared" si="18"/>
        <v>4251.717918825696</v>
      </c>
      <c r="H346" s="2431">
        <f t="shared" si="18"/>
        <v>4403.6709162287234</v>
      </c>
      <c r="I346" s="2431">
        <f t="shared" si="18"/>
        <v>4571.2040740771463</v>
      </c>
      <c r="J346" s="2431">
        <f t="shared" si="18"/>
        <v>4744.4887678130053</v>
      </c>
      <c r="K346" s="2431">
        <f t="shared" si="18"/>
        <v>4919.3334073917804</v>
      </c>
      <c r="L346" s="2431">
        <f t="shared" si="18"/>
        <v>5094.1113273385836</v>
      </c>
      <c r="M346" s="2431">
        <f t="shared" si="18"/>
        <v>5279.4395182982516</v>
      </c>
      <c r="N346" s="2431">
        <f t="shared" si="18"/>
        <v>5471.7508403608035</v>
      </c>
      <c r="O346" s="2431">
        <f t="shared" si="18"/>
        <v>5660.8862052413251</v>
      </c>
      <c r="P346" s="2431">
        <f t="shared" si="18"/>
        <v>5851.3862496215597</v>
      </c>
      <c r="Q346" s="2431">
        <f t="shared" si="18"/>
        <v>6043.3869139939816</v>
      </c>
      <c r="R346" s="2431">
        <f t="shared" si="18"/>
        <v>6228.527639504081</v>
      </c>
      <c r="S346" s="2431">
        <f t="shared" si="18"/>
        <v>6408.697581211135</v>
      </c>
      <c r="T346" s="2431">
        <f t="shared" si="18"/>
        <v>6585.1206811239863</v>
      </c>
      <c r="U346" s="2431">
        <f t="shared" si="18"/>
        <v>6758.5648172306765</v>
      </c>
      <c r="V346" s="2431">
        <f t="shared" si="18"/>
        <v>6929.4587825116387</v>
      </c>
      <c r="W346" s="2431">
        <f t="shared" si="18"/>
        <v>7098.0465173686944</v>
      </c>
      <c r="X346" s="2431">
        <f t="shared" si="18"/>
        <v>7265.2816902765162</v>
      </c>
      <c r="Y346" s="2431">
        <f t="shared" si="18"/>
        <v>7431.8076183242874</v>
      </c>
      <c r="Z346" s="2431">
        <f t="shared" si="18"/>
        <v>7598.0142324982999</v>
      </c>
      <c r="AA346" s="2431">
        <f t="shared" si="18"/>
        <v>7764.1337024605009</v>
      </c>
      <c r="AB346" s="2431">
        <f t="shared" si="18"/>
        <v>7930.1059680129893</v>
      </c>
      <c r="AC346" s="2431">
        <f t="shared" si="18"/>
        <v>8096.0271262987153</v>
      </c>
      <c r="AD346" s="2431">
        <f t="shared" si="18"/>
        <v>8261.9241879831061</v>
      </c>
      <c r="AE346" s="2431">
        <f t="shared" si="18"/>
        <v>8427.7758903877384</v>
      </c>
      <c r="AF346" s="2431">
        <f t="shared" si="18"/>
        <v>8593.54905266483</v>
      </c>
      <c r="AG346" s="2431">
        <f t="shared" si="18"/>
        <v>8759.1584360335401</v>
      </c>
      <c r="AH346" s="2431">
        <f t="shared" si="18"/>
        <v>8924.5036518725228</v>
      </c>
      <c r="AI346" s="2431">
        <f t="shared" si="18"/>
        <v>9089.4733333933909</v>
      </c>
      <c r="AJ346" s="2431">
        <f t="shared" si="18"/>
        <v>9254.1847105940687</v>
      </c>
      <c r="AK346" s="2431">
        <f t="shared" si="18"/>
        <v>9418.4454183391936</v>
      </c>
      <c r="AL346" s="2431">
        <f t="shared" si="18"/>
        <v>9582.1041509320767</v>
      </c>
      <c r="AM346" s="2431">
        <f t="shared" si="18"/>
        <v>9744.9641500516791</v>
      </c>
      <c r="AN346" s="2431">
        <f t="shared" si="18"/>
        <v>9906.8700788148708</v>
      </c>
      <c r="AO346" s="2431">
        <f t="shared" si="18"/>
        <v>10067.696260396986</v>
      </c>
      <c r="AP346" s="2431">
        <f t="shared" si="18"/>
        <v>10227.260195038834</v>
      </c>
      <c r="AQ346" s="2431">
        <f t="shared" si="18"/>
        <v>10385.417013761857</v>
      </c>
      <c r="AR346" s="2431">
        <f t="shared" si="18"/>
        <v>10542.022086449359</v>
      </c>
      <c r="AS346" s="2431">
        <f t="shared" si="18"/>
        <v>10696.930963106197</v>
      </c>
    </row>
    <row r="347" spans="2:45" x14ac:dyDescent="0.2">
      <c r="B347" s="2410"/>
      <c r="C347" s="2464" t="s">
        <v>1380</v>
      </c>
      <c r="D347" s="2418" t="s">
        <v>1365</v>
      </c>
      <c r="E347" s="2419" t="s">
        <v>319</v>
      </c>
      <c r="F347" s="2442"/>
      <c r="G347" s="2442">
        <f t="shared" si="18"/>
        <v>2549896.959850397</v>
      </c>
      <c r="H347" s="2442">
        <f t="shared" si="18"/>
        <v>2641028.2374929059</v>
      </c>
      <c r="I347" s="2442">
        <f t="shared" si="18"/>
        <v>2741503.4566932009</v>
      </c>
      <c r="J347" s="2442">
        <f t="shared" si="18"/>
        <v>2845428.063683053</v>
      </c>
      <c r="K347" s="2442">
        <f t="shared" si="18"/>
        <v>2950288.2221930968</v>
      </c>
      <c r="L347" s="2442">
        <f t="shared" si="18"/>
        <v>3055108.3667158596</v>
      </c>
      <c r="M347" s="2442">
        <f t="shared" si="18"/>
        <v>3166255.8604407385</v>
      </c>
      <c r="N347" s="2442">
        <f t="shared" si="18"/>
        <v>3281591.3706590519</v>
      </c>
      <c r="O347" s="2442">
        <f t="shared" si="18"/>
        <v>3395022.1534900642</v>
      </c>
      <c r="P347" s="2442">
        <f t="shared" si="18"/>
        <v>3509271.3801063695</v>
      </c>
      <c r="Q347" s="2442">
        <f t="shared" si="18"/>
        <v>3624420.5785526568</v>
      </c>
      <c r="R347" s="2442">
        <f t="shared" si="18"/>
        <v>3735455.6429985804</v>
      </c>
      <c r="S347" s="2442">
        <f t="shared" si="18"/>
        <v>3843509.5627050241</v>
      </c>
      <c r="T347" s="2442">
        <f t="shared" si="18"/>
        <v>3949316.3764927587</v>
      </c>
      <c r="U347" s="2442">
        <f t="shared" si="18"/>
        <v>4053336.6063871444</v>
      </c>
      <c r="V347" s="2442">
        <f t="shared" si="18"/>
        <v>4155827.4138316461</v>
      </c>
      <c r="W347" s="2442">
        <f t="shared" si="18"/>
        <v>4256935.0980165852</v>
      </c>
      <c r="X347" s="2442">
        <f t="shared" si="18"/>
        <v>4357231.6057151686</v>
      </c>
      <c r="Y347" s="2442">
        <f t="shared" si="18"/>
        <v>4457102.7556296857</v>
      </c>
      <c r="Z347" s="2442">
        <f t="shared" si="18"/>
        <v>4556782.4023703132</v>
      </c>
      <c r="AA347" s="2442">
        <f t="shared" si="18"/>
        <v>4656409.7858223105</v>
      </c>
      <c r="AB347" s="2442">
        <f t="shared" si="18"/>
        <v>4755948.8858829895</v>
      </c>
      <c r="AC347" s="2442">
        <f t="shared" si="18"/>
        <v>4855457.3352122158</v>
      </c>
      <c r="AD347" s="2442">
        <f t="shared" si="18"/>
        <v>4954951.3330064015</v>
      </c>
      <c r="AE347" s="2442">
        <f t="shared" si="18"/>
        <v>5054418.1273285393</v>
      </c>
      <c r="AF347" s="2442">
        <f t="shared" si="18"/>
        <v>5153837.8185181869</v>
      </c>
      <c r="AG347" s="2442">
        <f t="shared" si="18"/>
        <v>5253159.2860371824</v>
      </c>
      <c r="AH347" s="2442">
        <f t="shared" si="18"/>
        <v>5352322.3234830126</v>
      </c>
      <c r="AI347" s="2442">
        <f t="shared" si="18"/>
        <v>5451260.1404804625</v>
      </c>
      <c r="AJ347" s="2442">
        <f t="shared" si="18"/>
        <v>5550043.0437669493</v>
      </c>
      <c r="AK347" s="2442">
        <f t="shared" si="18"/>
        <v>5648555.6655586259</v>
      </c>
      <c r="AL347" s="2442">
        <f t="shared" si="18"/>
        <v>5746707.2627856638</v>
      </c>
      <c r="AM347" s="2442">
        <f t="shared" si="18"/>
        <v>5844379.8329243269</v>
      </c>
      <c r="AN347" s="2442">
        <f t="shared" si="18"/>
        <v>5941480.215267905</v>
      </c>
      <c r="AO347" s="2442">
        <f t="shared" si="18"/>
        <v>6037933.0372354193</v>
      </c>
      <c r="AP347" s="2442">
        <f t="shared" si="18"/>
        <v>6133628.847637956</v>
      </c>
      <c r="AQ347" s="2442">
        <f t="shared" si="18"/>
        <v>6228480.763720111</v>
      </c>
      <c r="AR347" s="2442">
        <f t="shared" si="18"/>
        <v>6322402.0459798956</v>
      </c>
      <c r="AS347" s="2442">
        <f t="shared" si="18"/>
        <v>6415306.0629402222</v>
      </c>
    </row>
    <row r="348" spans="2:45" x14ac:dyDescent="0.2">
      <c r="B348" s="2410"/>
      <c r="C348" s="2432"/>
      <c r="D348" s="2415"/>
      <c r="E348" s="2411"/>
      <c r="F348" s="2431"/>
      <c r="G348" s="2431"/>
      <c r="H348" s="2431"/>
      <c r="I348" s="2431"/>
      <c r="J348" s="2431"/>
      <c r="K348" s="2431"/>
      <c r="L348" s="2431"/>
      <c r="M348" s="2431"/>
      <c r="N348" s="2431"/>
      <c r="O348" s="2431"/>
      <c r="P348" s="2431"/>
      <c r="Q348" s="2431"/>
      <c r="R348" s="2431"/>
      <c r="S348" s="2431"/>
      <c r="T348" s="2431"/>
      <c r="U348" s="2431"/>
      <c r="V348" s="2431"/>
      <c r="W348" s="2431"/>
      <c r="X348" s="2431"/>
      <c r="Y348" s="2431"/>
      <c r="Z348" s="2431"/>
      <c r="AA348" s="2431"/>
      <c r="AB348" s="2431"/>
      <c r="AC348" s="2431"/>
      <c r="AD348" s="2431"/>
      <c r="AE348" s="2431"/>
      <c r="AF348" s="2431"/>
      <c r="AG348" s="2431"/>
      <c r="AH348" s="2431"/>
      <c r="AI348" s="2431"/>
      <c r="AJ348" s="2431"/>
      <c r="AK348" s="2431"/>
      <c r="AL348" s="2431"/>
      <c r="AM348" s="2431"/>
      <c r="AN348" s="2431"/>
      <c r="AO348" s="2431"/>
      <c r="AP348" s="2431"/>
      <c r="AQ348" s="2431"/>
      <c r="AR348" s="2431"/>
      <c r="AS348" s="2431"/>
    </row>
    <row r="349" spans="2:45" x14ac:dyDescent="0.2">
      <c r="B349" s="2410"/>
      <c r="C349" s="2430" t="s">
        <v>1512</v>
      </c>
      <c r="D349" s="2415"/>
      <c r="E349" s="2411"/>
      <c r="F349" s="2431"/>
      <c r="G349" s="2431"/>
      <c r="H349" s="2431"/>
      <c r="I349" s="2431"/>
      <c r="J349" s="2431"/>
      <c r="K349" s="2431"/>
      <c r="L349" s="2431"/>
      <c r="M349" s="2431"/>
      <c r="N349" s="2431"/>
      <c r="O349" s="2431"/>
      <c r="P349" s="2431"/>
      <c r="Q349" s="2431"/>
      <c r="R349" s="2431"/>
      <c r="S349" s="2431"/>
      <c r="T349" s="2431"/>
      <c r="U349" s="2431"/>
      <c r="V349" s="2431"/>
      <c r="W349" s="2431"/>
      <c r="X349" s="2431"/>
      <c r="Y349" s="2431"/>
      <c r="Z349" s="2431"/>
      <c r="AA349" s="2431"/>
      <c r="AB349" s="2431"/>
      <c r="AC349" s="2431"/>
      <c r="AD349" s="2431"/>
      <c r="AE349" s="2431"/>
      <c r="AF349" s="2431"/>
      <c r="AG349" s="2431"/>
      <c r="AH349" s="2431"/>
      <c r="AI349" s="2431"/>
      <c r="AJ349" s="2431"/>
      <c r="AK349" s="2431"/>
      <c r="AL349" s="2431"/>
      <c r="AM349" s="2431"/>
      <c r="AN349" s="2431"/>
      <c r="AO349" s="2431"/>
      <c r="AP349" s="2431"/>
      <c r="AQ349" s="2431"/>
      <c r="AR349" s="2431"/>
      <c r="AS349" s="2431"/>
    </row>
    <row r="350" spans="2:45" x14ac:dyDescent="0.2">
      <c r="B350" s="2410"/>
      <c r="C350" s="2414"/>
      <c r="D350" s="2414" t="s">
        <v>1029</v>
      </c>
      <c r="E350" s="2414" t="s">
        <v>8</v>
      </c>
      <c r="F350" s="2414"/>
      <c r="G350" s="2414">
        <v>2012</v>
      </c>
      <c r="H350" s="2414">
        <v>2013</v>
      </c>
      <c r="I350" s="2414">
        <v>2014</v>
      </c>
      <c r="J350" s="2414">
        <v>2015</v>
      </c>
      <c r="K350" s="2414">
        <v>2016</v>
      </c>
      <c r="L350" s="2414">
        <v>2017</v>
      </c>
      <c r="M350" s="2414">
        <v>2018</v>
      </c>
      <c r="N350" s="2414">
        <v>2019</v>
      </c>
      <c r="O350" s="2414">
        <v>2020</v>
      </c>
      <c r="P350" s="2414">
        <v>2021</v>
      </c>
      <c r="Q350" s="2414">
        <v>2022</v>
      </c>
      <c r="R350" s="2414">
        <v>2023</v>
      </c>
      <c r="S350" s="2414">
        <v>2024</v>
      </c>
      <c r="T350" s="2414">
        <v>2025</v>
      </c>
      <c r="U350" s="2414">
        <v>2026</v>
      </c>
      <c r="V350" s="2414">
        <v>2027</v>
      </c>
      <c r="W350" s="2414">
        <v>2028</v>
      </c>
      <c r="X350" s="2414">
        <v>2029</v>
      </c>
      <c r="Y350" s="2414">
        <v>2030</v>
      </c>
      <c r="Z350" s="2414">
        <v>2031</v>
      </c>
      <c r="AA350" s="2414">
        <v>2032</v>
      </c>
      <c r="AB350" s="2414">
        <v>2033</v>
      </c>
      <c r="AC350" s="2414">
        <v>2034</v>
      </c>
      <c r="AD350" s="2414">
        <v>2035</v>
      </c>
      <c r="AE350" s="2414">
        <v>2036</v>
      </c>
      <c r="AF350" s="2414">
        <v>2037</v>
      </c>
      <c r="AG350" s="2414">
        <v>2038</v>
      </c>
      <c r="AH350" s="2414">
        <v>2039</v>
      </c>
      <c r="AI350" s="2414">
        <v>2040</v>
      </c>
      <c r="AJ350" s="2414">
        <v>2041</v>
      </c>
      <c r="AK350" s="2414">
        <v>2042</v>
      </c>
      <c r="AL350" s="2414">
        <v>2043</v>
      </c>
      <c r="AM350" s="2414">
        <v>2044</v>
      </c>
      <c r="AN350" s="2414">
        <v>2045</v>
      </c>
      <c r="AO350" s="2414">
        <v>2046</v>
      </c>
      <c r="AP350" s="2414">
        <v>2047</v>
      </c>
      <c r="AQ350" s="2414">
        <v>2048</v>
      </c>
      <c r="AR350" s="2414">
        <v>2049</v>
      </c>
      <c r="AS350" s="2414">
        <v>2050</v>
      </c>
    </row>
    <row r="351" spans="2:45" x14ac:dyDescent="0.2">
      <c r="B351" s="2410"/>
      <c r="C351" s="2483" t="s">
        <v>1366</v>
      </c>
      <c r="D351" s="2484" t="s">
        <v>1365</v>
      </c>
      <c r="E351" s="2461" t="s">
        <v>319</v>
      </c>
      <c r="F351" s="2486"/>
      <c r="G351" s="2486">
        <f t="shared" ref="G351:AS351" si="19">G74-G331</f>
        <v>1232546.4530137544</v>
      </c>
      <c r="H351" s="2486">
        <f t="shared" si="19"/>
        <v>1228502.4491034357</v>
      </c>
      <c r="I351" s="2486">
        <f t="shared" si="19"/>
        <v>1231793.4121813753</v>
      </c>
      <c r="J351" s="2486">
        <f t="shared" si="19"/>
        <v>1231433.0117562772</v>
      </c>
      <c r="K351" s="2486">
        <f t="shared" si="19"/>
        <v>1228657.6149648479</v>
      </c>
      <c r="L351" s="2486">
        <f t="shared" si="19"/>
        <v>1223289.6356866376</v>
      </c>
      <c r="M351" s="2486">
        <f t="shared" si="19"/>
        <v>1214526.3805641145</v>
      </c>
      <c r="N351" s="2486">
        <f t="shared" si="19"/>
        <v>1206118.8009946328</v>
      </c>
      <c r="O351" s="2486">
        <f t="shared" si="19"/>
        <v>1198062.4596966058</v>
      </c>
      <c r="P351" s="2486">
        <f t="shared" si="19"/>
        <v>1190069.8732816549</v>
      </c>
      <c r="Q351" s="2486">
        <f t="shared" si="19"/>
        <v>1181755.5802033034</v>
      </c>
      <c r="R351" s="2486">
        <f t="shared" si="19"/>
        <v>1175143.9240003927</v>
      </c>
      <c r="S351" s="2486">
        <f t="shared" si="19"/>
        <v>1169879.598131204</v>
      </c>
      <c r="T351" s="2486">
        <f t="shared" si="19"/>
        <v>1165683.8110572863</v>
      </c>
      <c r="U351" s="2486">
        <f t="shared" si="19"/>
        <v>1162336.9725786534</v>
      </c>
      <c r="V351" s="2486">
        <f t="shared" si="19"/>
        <v>1159665.5865146734</v>
      </c>
      <c r="W351" s="2486">
        <f t="shared" si="19"/>
        <v>1157532.231682108</v>
      </c>
      <c r="X351" s="2486">
        <f t="shared" si="19"/>
        <v>1155827.8407344318</v>
      </c>
      <c r="Y351" s="2486">
        <f t="shared" si="19"/>
        <v>1154465.7089364899</v>
      </c>
      <c r="Z351" s="2486">
        <f t="shared" si="19"/>
        <v>1153376.8186841616</v>
      </c>
      <c r="AA351" s="2486">
        <f t="shared" si="19"/>
        <v>1152506.1735647523</v>
      </c>
      <c r="AB351" s="2486">
        <f t="shared" si="19"/>
        <v>1151809.912809249</v>
      </c>
      <c r="AC351" s="2486">
        <f t="shared" si="19"/>
        <v>1151253.0327945373</v>
      </c>
      <c r="AD351" s="2486">
        <f t="shared" si="19"/>
        <v>1150807.5832323395</v>
      </c>
      <c r="AE351" s="2486">
        <f t="shared" si="19"/>
        <v>1150451.2361530834</v>
      </c>
      <c r="AF351" s="2486">
        <f t="shared" si="19"/>
        <v>1150166.1487090704</v>
      </c>
      <c r="AG351" s="2486">
        <f t="shared" si="19"/>
        <v>1149938.0582284676</v>
      </c>
      <c r="AH351" s="2486">
        <f t="shared" si="19"/>
        <v>1149755.561290116</v>
      </c>
      <c r="AI351" s="2486">
        <f t="shared" si="19"/>
        <v>1149609.5388866386</v>
      </c>
      <c r="AJ351" s="2486">
        <f t="shared" si="19"/>
        <v>1149492.6977439991</v>
      </c>
      <c r="AK351" s="2486">
        <f t="shared" si="19"/>
        <v>1149399.2041152588</v>
      </c>
      <c r="AL351" s="2486">
        <f t="shared" si="19"/>
        <v>1149324.3912696964</v>
      </c>
      <c r="AM351" s="2486">
        <f t="shared" si="19"/>
        <v>1149264.5257602474</v>
      </c>
      <c r="AN351" s="2486">
        <f t="shared" si="19"/>
        <v>1149216.6206025393</v>
      </c>
      <c r="AO351" s="2486">
        <f t="shared" si="19"/>
        <v>1149178.2859145156</v>
      </c>
      <c r="AP351" s="2486">
        <f t="shared" si="19"/>
        <v>1149147.6094823675</v>
      </c>
      <c r="AQ351" s="2486">
        <f t="shared" si="19"/>
        <v>1149123.0612420647</v>
      </c>
      <c r="AR351" s="2486">
        <f t="shared" si="19"/>
        <v>1149103.4168782318</v>
      </c>
      <c r="AS351" s="2486">
        <f t="shared" si="19"/>
        <v>1149087.6967081504</v>
      </c>
    </row>
    <row r="352" spans="2:45" x14ac:dyDescent="0.2">
      <c r="B352" s="2410"/>
      <c r="C352" s="2432"/>
      <c r="D352" s="2415"/>
      <c r="E352" s="2411"/>
      <c r="F352" s="2431"/>
      <c r="G352" s="2431"/>
      <c r="H352" s="2431"/>
      <c r="I352" s="2431"/>
      <c r="J352" s="2431"/>
      <c r="K352" s="2431"/>
      <c r="L352" s="2431"/>
      <c r="M352" s="2431"/>
      <c r="N352" s="2431"/>
      <c r="O352" s="2431"/>
      <c r="P352" s="2431"/>
      <c r="Q352" s="2431"/>
      <c r="R352" s="2431"/>
      <c r="S352" s="2431"/>
      <c r="T352" s="2431"/>
      <c r="U352" s="2431"/>
      <c r="V352" s="2431"/>
      <c r="W352" s="2431"/>
      <c r="X352" s="2431"/>
      <c r="Y352" s="2431"/>
      <c r="Z352" s="2431"/>
      <c r="AA352" s="2431"/>
      <c r="AB352" s="2431"/>
      <c r="AC352" s="2431"/>
      <c r="AD352" s="2431"/>
      <c r="AE352" s="2431"/>
      <c r="AF352" s="2431"/>
      <c r="AG352" s="2431"/>
      <c r="AH352" s="2431"/>
      <c r="AI352" s="2431"/>
      <c r="AJ352" s="2431"/>
      <c r="AK352" s="2431"/>
      <c r="AL352" s="2431"/>
      <c r="AM352" s="2431"/>
      <c r="AN352" s="2431"/>
      <c r="AO352" s="2431"/>
      <c r="AP352" s="2431"/>
      <c r="AQ352" s="2431"/>
      <c r="AR352" s="2431"/>
      <c r="AS352" s="2431"/>
    </row>
    <row r="353" spans="2:45" x14ac:dyDescent="0.2">
      <c r="B353" s="2410"/>
      <c r="C353" s="2430" t="s">
        <v>1513</v>
      </c>
      <c r="D353" s="2415"/>
      <c r="E353" s="2411"/>
      <c r="F353" s="2431"/>
      <c r="G353" s="2431"/>
      <c r="H353" s="2431"/>
      <c r="I353" s="2431"/>
      <c r="J353" s="2431"/>
      <c r="K353" s="2431"/>
      <c r="L353" s="2431"/>
      <c r="M353" s="2431"/>
      <c r="N353" s="2431"/>
      <c r="O353" s="2431"/>
      <c r="P353" s="2431"/>
      <c r="Q353" s="2431"/>
      <c r="R353" s="2431"/>
      <c r="S353" s="2431"/>
      <c r="T353" s="2431"/>
      <c r="U353" s="2431"/>
      <c r="V353" s="2431"/>
      <c r="W353" s="2431"/>
      <c r="X353" s="2431"/>
      <c r="Y353" s="2431"/>
      <c r="Z353" s="2431"/>
      <c r="AA353" s="2431"/>
      <c r="AB353" s="2431"/>
      <c r="AC353" s="2431"/>
      <c r="AD353" s="2431"/>
      <c r="AE353" s="2431"/>
      <c r="AF353" s="2431"/>
      <c r="AG353" s="2431"/>
      <c r="AH353" s="2431"/>
      <c r="AI353" s="2431"/>
      <c r="AJ353" s="2431"/>
      <c r="AK353" s="2431"/>
      <c r="AL353" s="2431"/>
      <c r="AM353" s="2431"/>
      <c r="AN353" s="2431"/>
      <c r="AO353" s="2431"/>
      <c r="AP353" s="2431"/>
      <c r="AQ353" s="2431"/>
      <c r="AR353" s="2431"/>
      <c r="AS353" s="2431"/>
    </row>
    <row r="354" spans="2:45" x14ac:dyDescent="0.2">
      <c r="B354" s="2410"/>
      <c r="C354" s="2414"/>
      <c r="D354" s="2414" t="s">
        <v>1029</v>
      </c>
      <c r="E354" s="2414" t="s">
        <v>8</v>
      </c>
      <c r="F354" s="2414"/>
      <c r="G354" s="2414">
        <v>2012</v>
      </c>
      <c r="H354" s="2414">
        <v>2013</v>
      </c>
      <c r="I354" s="2414">
        <v>2014</v>
      </c>
      <c r="J354" s="2414">
        <v>2015</v>
      </c>
      <c r="K354" s="2414">
        <v>2016</v>
      </c>
      <c r="L354" s="2414">
        <v>2017</v>
      </c>
      <c r="M354" s="2414">
        <v>2018</v>
      </c>
      <c r="N354" s="2414">
        <v>2019</v>
      </c>
      <c r="O354" s="2414">
        <v>2020</v>
      </c>
      <c r="P354" s="2414">
        <v>2021</v>
      </c>
      <c r="Q354" s="2414">
        <v>2022</v>
      </c>
      <c r="R354" s="2414">
        <v>2023</v>
      </c>
      <c r="S354" s="2414">
        <v>2024</v>
      </c>
      <c r="T354" s="2414">
        <v>2025</v>
      </c>
      <c r="U354" s="2414">
        <v>2026</v>
      </c>
      <c r="V354" s="2414">
        <v>2027</v>
      </c>
      <c r="W354" s="2414">
        <v>2028</v>
      </c>
      <c r="X354" s="2414">
        <v>2029</v>
      </c>
      <c r="Y354" s="2414">
        <v>2030</v>
      </c>
      <c r="Z354" s="2414">
        <v>2031</v>
      </c>
      <c r="AA354" s="2414">
        <v>2032</v>
      </c>
      <c r="AB354" s="2414">
        <v>2033</v>
      </c>
      <c r="AC354" s="2414">
        <v>2034</v>
      </c>
      <c r="AD354" s="2414">
        <v>2035</v>
      </c>
      <c r="AE354" s="2414">
        <v>2036</v>
      </c>
      <c r="AF354" s="2414">
        <v>2037</v>
      </c>
      <c r="AG354" s="2414">
        <v>2038</v>
      </c>
      <c r="AH354" s="2414">
        <v>2039</v>
      </c>
      <c r="AI354" s="2414">
        <v>2040</v>
      </c>
      <c r="AJ354" s="2414">
        <v>2041</v>
      </c>
      <c r="AK354" s="2414">
        <v>2042</v>
      </c>
      <c r="AL354" s="2414">
        <v>2043</v>
      </c>
      <c r="AM354" s="2414">
        <v>2044</v>
      </c>
      <c r="AN354" s="2414">
        <v>2045</v>
      </c>
      <c r="AO354" s="2414">
        <v>2046</v>
      </c>
      <c r="AP354" s="2414">
        <v>2047</v>
      </c>
      <c r="AQ354" s="2414">
        <v>2048</v>
      </c>
      <c r="AR354" s="2414">
        <v>2049</v>
      </c>
      <c r="AS354" s="2414">
        <v>2050</v>
      </c>
    </row>
    <row r="355" spans="2:45" x14ac:dyDescent="0.2">
      <c r="B355" s="2410"/>
      <c r="C355" s="2483" t="s">
        <v>1415</v>
      </c>
      <c r="D355" s="2484" t="s">
        <v>1365</v>
      </c>
      <c r="E355" s="2461" t="s">
        <v>319</v>
      </c>
      <c r="F355" s="2486"/>
      <c r="G355" s="2486">
        <f t="shared" ref="G355:AS355" si="20">G89-G340</f>
        <v>47814433.399924211</v>
      </c>
      <c r="H355" s="2486">
        <f t="shared" si="20"/>
        <v>48600955.896316744</v>
      </c>
      <c r="I355" s="2486">
        <f t="shared" si="20"/>
        <v>49622926.946446165</v>
      </c>
      <c r="J355" s="2486">
        <f t="shared" si="20"/>
        <v>50620424.499805912</v>
      </c>
      <c r="K355" s="2486">
        <f t="shared" si="20"/>
        <v>51616789.435264282</v>
      </c>
      <c r="L355" s="2486">
        <f t="shared" si="20"/>
        <v>52603478.708071224</v>
      </c>
      <c r="M355" s="2486">
        <f t="shared" si="20"/>
        <v>53569140.291458085</v>
      </c>
      <c r="N355" s="2486">
        <f t="shared" si="20"/>
        <v>54529805.492599949</v>
      </c>
      <c r="O355" s="2486">
        <f t="shared" si="20"/>
        <v>55484219.071022801</v>
      </c>
      <c r="P355" s="2486">
        <f t="shared" si="20"/>
        <v>56425230.562347561</v>
      </c>
      <c r="Q355" s="2486">
        <f t="shared" si="20"/>
        <v>57343280.51548972</v>
      </c>
      <c r="R355" s="2486">
        <f t="shared" si="20"/>
        <v>58318800.817803882</v>
      </c>
      <c r="S355" s="2486">
        <f t="shared" si="20"/>
        <v>59326278.961437032</v>
      </c>
      <c r="T355" s="2486">
        <f t="shared" si="20"/>
        <v>60348971.090480454</v>
      </c>
      <c r="U355" s="2486">
        <f t="shared" si="20"/>
        <v>61375771.122256108</v>
      </c>
      <c r="V355" s="2486">
        <f t="shared" si="20"/>
        <v>62399011.542836808</v>
      </c>
      <c r="W355" s="2486">
        <f t="shared" si="20"/>
        <v>63413585.629646823</v>
      </c>
      <c r="X355" s="2486">
        <f t="shared" si="20"/>
        <v>64421938.167201191</v>
      </c>
      <c r="Y355" s="2486">
        <f t="shared" si="20"/>
        <v>65425548.17988833</v>
      </c>
      <c r="Z355" s="2486">
        <f t="shared" si="20"/>
        <v>66425015.831865214</v>
      </c>
      <c r="AA355" s="2486">
        <f t="shared" si="20"/>
        <v>67420510.749457583</v>
      </c>
      <c r="AB355" s="2486">
        <f t="shared" si="20"/>
        <v>68410672.724474251</v>
      </c>
      <c r="AC355" s="2486">
        <f t="shared" si="20"/>
        <v>69395645.411838755</v>
      </c>
      <c r="AD355" s="2486">
        <f t="shared" si="20"/>
        <v>70375303.442135945</v>
      </c>
      <c r="AE355" s="2486">
        <f t="shared" si="20"/>
        <v>71349349.59875904</v>
      </c>
      <c r="AF355" s="2486">
        <f t="shared" si="20"/>
        <v>72317524.027401209</v>
      </c>
      <c r="AG355" s="2486">
        <f t="shared" si="20"/>
        <v>73279298.508846864</v>
      </c>
      <c r="AH355" s="2486">
        <f t="shared" si="20"/>
        <v>74234117.900150403</v>
      </c>
      <c r="AI355" s="2486">
        <f t="shared" si="20"/>
        <v>75181409.536147162</v>
      </c>
      <c r="AJ355" s="2486">
        <f t="shared" si="20"/>
        <v>76122140.63108702</v>
      </c>
      <c r="AK355" s="2486">
        <f t="shared" si="20"/>
        <v>77055185.144357502</v>
      </c>
      <c r="AL355" s="2486">
        <f t="shared" si="20"/>
        <v>77979767.888945982</v>
      </c>
      <c r="AM355" s="2486">
        <f t="shared" si="20"/>
        <v>78894860.73294878</v>
      </c>
      <c r="AN355" s="2486">
        <f t="shared" si="20"/>
        <v>79799749.858866006</v>
      </c>
      <c r="AO355" s="2486">
        <f t="shared" si="20"/>
        <v>80693928.081188723</v>
      </c>
      <c r="AP355" s="2486">
        <f t="shared" si="20"/>
        <v>81576528.06847544</v>
      </c>
      <c r="AQ355" s="2486">
        <f t="shared" si="20"/>
        <v>82446946.710220516</v>
      </c>
      <c r="AR355" s="2486">
        <f t="shared" si="20"/>
        <v>83304586.443395451</v>
      </c>
      <c r="AS355" s="2486">
        <f t="shared" si="20"/>
        <v>84148855.087926775</v>
      </c>
    </row>
    <row r="356" spans="2:45" x14ac:dyDescent="0.2">
      <c r="B356" s="2410"/>
      <c r="C356" s="2432"/>
      <c r="D356" s="2415"/>
      <c r="E356" s="2411"/>
      <c r="F356" s="2431"/>
      <c r="G356" s="2431"/>
      <c r="H356" s="2431"/>
      <c r="I356" s="2431"/>
      <c r="J356" s="2431"/>
      <c r="K356" s="2431"/>
      <c r="L356" s="2431"/>
      <c r="M356" s="2431"/>
      <c r="N356" s="2431"/>
      <c r="O356" s="2431"/>
      <c r="P356" s="2431"/>
      <c r="Q356" s="2431"/>
      <c r="R356" s="2431"/>
      <c r="S356" s="2431"/>
      <c r="T356" s="2431"/>
      <c r="U356" s="2431"/>
      <c r="V356" s="2431"/>
      <c r="W356" s="2431"/>
      <c r="X356" s="2431"/>
      <c r="Y356" s="2431"/>
      <c r="Z356" s="2431"/>
      <c r="AA356" s="2431"/>
      <c r="AB356" s="2431"/>
      <c r="AC356" s="2431"/>
      <c r="AD356" s="2431"/>
      <c r="AE356" s="2431"/>
      <c r="AF356" s="2431"/>
      <c r="AG356" s="2431"/>
      <c r="AH356" s="2431"/>
      <c r="AI356" s="2431"/>
      <c r="AJ356" s="2431"/>
      <c r="AK356" s="2431"/>
      <c r="AL356" s="2431"/>
      <c r="AM356" s="2431"/>
      <c r="AN356" s="2431"/>
      <c r="AO356" s="2431"/>
      <c r="AP356" s="2431"/>
      <c r="AQ356" s="2431"/>
      <c r="AR356" s="2431"/>
      <c r="AS356" s="2431"/>
    </row>
    <row r="357" spans="2:45" x14ac:dyDescent="0.2">
      <c r="B357" s="2410"/>
      <c r="C357" s="2430" t="s">
        <v>1514</v>
      </c>
      <c r="D357" s="2430"/>
      <c r="E357" s="2430"/>
      <c r="F357" s="2430"/>
      <c r="G357" s="2430"/>
      <c r="H357" s="2430"/>
      <c r="I357" s="2430"/>
      <c r="J357" s="2430"/>
      <c r="K357" s="2430"/>
      <c r="L357" s="2430"/>
      <c r="M357" s="2430"/>
      <c r="N357" s="2430"/>
      <c r="O357" s="2430"/>
      <c r="P357" s="2430"/>
      <c r="Q357" s="2430"/>
      <c r="R357" s="2430"/>
      <c r="S357" s="2430"/>
      <c r="T357" s="2430"/>
      <c r="U357" s="2430"/>
      <c r="V357" s="2430"/>
      <c r="W357" s="2430"/>
      <c r="X357" s="2430"/>
      <c r="Y357" s="2430"/>
      <c r="Z357" s="2430"/>
      <c r="AA357" s="2430"/>
      <c r="AB357" s="2430"/>
      <c r="AC357" s="2430"/>
      <c r="AD357" s="2430"/>
      <c r="AE357" s="2430"/>
      <c r="AF357" s="2430"/>
      <c r="AG357" s="2430"/>
      <c r="AH357" s="2430"/>
      <c r="AI357" s="2430"/>
      <c r="AJ357" s="2430"/>
      <c r="AK357" s="2430"/>
      <c r="AL357" s="2430"/>
      <c r="AM357" s="2430"/>
      <c r="AN357" s="2430"/>
      <c r="AO357" s="2430"/>
      <c r="AP357" s="2430"/>
      <c r="AQ357" s="2430"/>
      <c r="AR357" s="2430"/>
      <c r="AS357" s="2430"/>
    </row>
    <row r="358" spans="2:45" x14ac:dyDescent="0.2">
      <c r="B358" s="2410"/>
      <c r="C358" s="2414"/>
      <c r="D358" s="2414" t="s">
        <v>1029</v>
      </c>
      <c r="E358" s="2414" t="s">
        <v>8</v>
      </c>
      <c r="F358" s="2414"/>
      <c r="G358" s="2414">
        <v>2012</v>
      </c>
      <c r="H358" s="2414">
        <v>2013</v>
      </c>
      <c r="I358" s="2414">
        <v>2014</v>
      </c>
      <c r="J358" s="2414">
        <v>2015</v>
      </c>
      <c r="K358" s="2414">
        <v>2016</v>
      </c>
      <c r="L358" s="2414">
        <v>2017</v>
      </c>
      <c r="M358" s="2414">
        <v>2018</v>
      </c>
      <c r="N358" s="2414">
        <v>2019</v>
      </c>
      <c r="O358" s="2414">
        <v>2020</v>
      </c>
      <c r="P358" s="2414">
        <v>2021</v>
      </c>
      <c r="Q358" s="2414">
        <v>2022</v>
      </c>
      <c r="R358" s="2414">
        <v>2023</v>
      </c>
      <c r="S358" s="2414">
        <v>2024</v>
      </c>
      <c r="T358" s="2414">
        <v>2025</v>
      </c>
      <c r="U358" s="2414">
        <v>2026</v>
      </c>
      <c r="V358" s="2414">
        <v>2027</v>
      </c>
      <c r="W358" s="2414">
        <v>2028</v>
      </c>
      <c r="X358" s="2414">
        <v>2029</v>
      </c>
      <c r="Y358" s="2414">
        <v>2030</v>
      </c>
      <c r="Z358" s="2414">
        <v>2031</v>
      </c>
      <c r="AA358" s="2414">
        <v>2032</v>
      </c>
      <c r="AB358" s="2414">
        <v>2033</v>
      </c>
      <c r="AC358" s="2414">
        <v>2034</v>
      </c>
      <c r="AD358" s="2414">
        <v>2035</v>
      </c>
      <c r="AE358" s="2414">
        <v>2036</v>
      </c>
      <c r="AF358" s="2414">
        <v>2037</v>
      </c>
      <c r="AG358" s="2414">
        <v>2038</v>
      </c>
      <c r="AH358" s="2414">
        <v>2039</v>
      </c>
      <c r="AI358" s="2414">
        <v>2040</v>
      </c>
      <c r="AJ358" s="2414">
        <v>2041</v>
      </c>
      <c r="AK358" s="2414">
        <v>2042</v>
      </c>
      <c r="AL358" s="2414">
        <v>2043</v>
      </c>
      <c r="AM358" s="2414">
        <v>2044</v>
      </c>
      <c r="AN358" s="2414">
        <v>2045</v>
      </c>
      <c r="AO358" s="2414">
        <v>2046</v>
      </c>
      <c r="AP358" s="2414">
        <v>2047</v>
      </c>
      <c r="AQ358" s="2414">
        <v>2048</v>
      </c>
      <c r="AR358" s="2414">
        <v>2049</v>
      </c>
      <c r="AS358" s="2414">
        <v>2050</v>
      </c>
    </row>
    <row r="359" spans="2:45" x14ac:dyDescent="0.2">
      <c r="B359" s="2428"/>
      <c r="C359" s="2432" t="s">
        <v>1492</v>
      </c>
      <c r="D359" s="2415" t="s">
        <v>1384</v>
      </c>
      <c r="E359" s="2415"/>
      <c r="F359" s="2415"/>
      <c r="G359" s="2431">
        <f t="shared" ref="G359:AS361" si="21">G$96*G285</f>
        <v>676.59479999999996</v>
      </c>
      <c r="H359" s="2431">
        <f t="shared" si="21"/>
        <v>694.91952000000003</v>
      </c>
      <c r="I359" s="2431">
        <f t="shared" si="21"/>
        <v>694.20614999999987</v>
      </c>
      <c r="J359" s="2431">
        <f t="shared" si="21"/>
        <v>693.28290000000004</v>
      </c>
      <c r="K359" s="2431">
        <f t="shared" si="21"/>
        <v>692.52788999999996</v>
      </c>
      <c r="L359" s="2431">
        <f t="shared" si="21"/>
        <v>691.84127999999998</v>
      </c>
      <c r="M359" s="2431">
        <f t="shared" si="21"/>
        <v>691.21997999999996</v>
      </c>
      <c r="N359" s="2431">
        <f t="shared" si="21"/>
        <v>690.91830000000004</v>
      </c>
      <c r="O359" s="2431">
        <f t="shared" si="21"/>
        <v>690.66840000000002</v>
      </c>
      <c r="P359" s="2431">
        <f t="shared" si="21"/>
        <v>690.46430999999995</v>
      </c>
      <c r="Q359" s="2431">
        <f t="shared" si="21"/>
        <v>690.33020999999997</v>
      </c>
      <c r="R359" s="2431">
        <f t="shared" si="21"/>
        <v>690.20019000000002</v>
      </c>
      <c r="S359" s="2431">
        <f t="shared" si="21"/>
        <v>690.12900000000002</v>
      </c>
      <c r="T359" s="2431">
        <f t="shared" si="21"/>
        <v>690.11066999999991</v>
      </c>
      <c r="U359" s="2431">
        <f t="shared" si="21"/>
        <v>690.07983000000002</v>
      </c>
      <c r="V359" s="2431">
        <f t="shared" si="21"/>
        <v>690.05561999999998</v>
      </c>
      <c r="W359" s="2431">
        <f t="shared" si="21"/>
        <v>690.07736999999997</v>
      </c>
      <c r="X359" s="2431">
        <f t="shared" si="21"/>
        <v>690.08543999999995</v>
      </c>
      <c r="Y359" s="2431">
        <f t="shared" si="21"/>
        <v>690.14180999999996</v>
      </c>
      <c r="Z359" s="2431">
        <f t="shared" si="21"/>
        <v>690.18611999999996</v>
      </c>
      <c r="AA359" s="2431">
        <f t="shared" si="21"/>
        <v>690.27810000000011</v>
      </c>
      <c r="AB359" s="2431">
        <f t="shared" si="21"/>
        <v>690.35759999999993</v>
      </c>
      <c r="AC359" s="2431">
        <f t="shared" si="21"/>
        <v>690.48599999999999</v>
      </c>
      <c r="AD359" s="2431">
        <f t="shared" si="21"/>
        <v>690.63290999999992</v>
      </c>
      <c r="AE359" s="2431">
        <f t="shared" si="21"/>
        <v>690.76953000000003</v>
      </c>
      <c r="AF359" s="2431">
        <f t="shared" si="21"/>
        <v>690.95523000000014</v>
      </c>
      <c r="AG359" s="2431">
        <f t="shared" si="21"/>
        <v>691.16147999999998</v>
      </c>
      <c r="AH359" s="2431">
        <f t="shared" si="21"/>
        <v>691.38591000000008</v>
      </c>
      <c r="AI359" s="2431">
        <f t="shared" si="21"/>
        <v>691.60244999999998</v>
      </c>
      <c r="AJ359" s="2431">
        <f t="shared" si="21"/>
        <v>691.86801000000003</v>
      </c>
      <c r="AK359" s="2431">
        <f t="shared" si="21"/>
        <v>692.15558999999996</v>
      </c>
      <c r="AL359" s="2431">
        <f t="shared" si="21"/>
        <v>692.46407999999997</v>
      </c>
      <c r="AM359" s="2431">
        <f t="shared" si="21"/>
        <v>692.79395999999997</v>
      </c>
      <c r="AN359" s="2431">
        <f t="shared" si="21"/>
        <v>693.14667000000009</v>
      </c>
      <c r="AO359" s="2431">
        <f t="shared" si="21"/>
        <v>693.52025999999989</v>
      </c>
      <c r="AP359" s="2431">
        <f t="shared" si="21"/>
        <v>693.91839000000004</v>
      </c>
      <c r="AQ359" s="2431">
        <f t="shared" si="21"/>
        <v>694.33853999999997</v>
      </c>
      <c r="AR359" s="2431">
        <f t="shared" si="21"/>
        <v>694.78158000000008</v>
      </c>
      <c r="AS359" s="2431">
        <f t="shared" si="21"/>
        <v>695.27916000000005</v>
      </c>
    </row>
    <row r="360" spans="2:45" x14ac:dyDescent="0.2">
      <c r="B360" s="2428"/>
      <c r="C360" s="2432" t="s">
        <v>642</v>
      </c>
      <c r="D360" s="2415" t="s">
        <v>1384</v>
      </c>
      <c r="E360" s="2415"/>
      <c r="F360" s="2415"/>
      <c r="G360" s="2431">
        <f t="shared" si="21"/>
        <v>451.06319999999999</v>
      </c>
      <c r="H360" s="2431">
        <f t="shared" si="21"/>
        <v>463.27968000000004</v>
      </c>
      <c r="I360" s="2431">
        <f t="shared" si="21"/>
        <v>462.80409999999995</v>
      </c>
      <c r="J360" s="2431">
        <f t="shared" si="21"/>
        <v>462.18860000000006</v>
      </c>
      <c r="K360" s="2431">
        <f t="shared" si="21"/>
        <v>461.68526000000003</v>
      </c>
      <c r="L360" s="2431">
        <f t="shared" si="21"/>
        <v>461.22752000000003</v>
      </c>
      <c r="M360" s="2431">
        <f t="shared" si="21"/>
        <v>460.81332000000003</v>
      </c>
      <c r="N360" s="2431">
        <f t="shared" si="21"/>
        <v>460.61220000000003</v>
      </c>
      <c r="O360" s="2431">
        <f t="shared" si="21"/>
        <v>460.44560000000001</v>
      </c>
      <c r="P360" s="2431">
        <f t="shared" si="21"/>
        <v>460.30954000000003</v>
      </c>
      <c r="Q360" s="2431">
        <f t="shared" si="21"/>
        <v>460.22014000000001</v>
      </c>
      <c r="R360" s="2431">
        <f t="shared" si="21"/>
        <v>460.13346000000001</v>
      </c>
      <c r="S360" s="2431">
        <f t="shared" si="21"/>
        <v>460.08600000000007</v>
      </c>
      <c r="T360" s="2431">
        <f t="shared" si="21"/>
        <v>460.07378</v>
      </c>
      <c r="U360" s="2431">
        <f t="shared" si="21"/>
        <v>460.05322000000007</v>
      </c>
      <c r="V360" s="2431">
        <f t="shared" si="21"/>
        <v>460.03708</v>
      </c>
      <c r="W360" s="2431">
        <f t="shared" si="21"/>
        <v>460.05158000000006</v>
      </c>
      <c r="X360" s="2431">
        <f t="shared" si="21"/>
        <v>460.05696</v>
      </c>
      <c r="Y360" s="2431">
        <f t="shared" si="21"/>
        <v>460.09453999999999</v>
      </c>
      <c r="Z360" s="2431">
        <f t="shared" si="21"/>
        <v>460.12407999999999</v>
      </c>
      <c r="AA360" s="2431">
        <f t="shared" si="21"/>
        <v>460.18540000000013</v>
      </c>
      <c r="AB360" s="2431">
        <f t="shared" si="21"/>
        <v>460.23840000000001</v>
      </c>
      <c r="AC360" s="2431">
        <f t="shared" si="21"/>
        <v>460.32400000000001</v>
      </c>
      <c r="AD360" s="2431">
        <f t="shared" si="21"/>
        <v>460.42194000000001</v>
      </c>
      <c r="AE360" s="2431">
        <f t="shared" si="21"/>
        <v>460.5130200000001</v>
      </c>
      <c r="AF360" s="2431">
        <f t="shared" si="21"/>
        <v>460.63682000000011</v>
      </c>
      <c r="AG360" s="2431">
        <f t="shared" si="21"/>
        <v>460.77431999999999</v>
      </c>
      <c r="AH360" s="2431">
        <f t="shared" si="21"/>
        <v>460.92394000000007</v>
      </c>
      <c r="AI360" s="2431">
        <f t="shared" si="21"/>
        <v>461.06830000000002</v>
      </c>
      <c r="AJ360" s="2431">
        <f t="shared" si="21"/>
        <v>461.24534000000006</v>
      </c>
      <c r="AK360" s="2431">
        <f t="shared" si="21"/>
        <v>461.43706000000003</v>
      </c>
      <c r="AL360" s="2431">
        <f t="shared" si="21"/>
        <v>461.64272000000005</v>
      </c>
      <c r="AM360" s="2431">
        <f t="shared" si="21"/>
        <v>461.86264000000006</v>
      </c>
      <c r="AN360" s="2431">
        <f t="shared" si="21"/>
        <v>462.09778000000006</v>
      </c>
      <c r="AO360" s="2431">
        <f t="shared" si="21"/>
        <v>462.34683999999999</v>
      </c>
      <c r="AP360" s="2431">
        <f t="shared" si="21"/>
        <v>462.61226000000011</v>
      </c>
      <c r="AQ360" s="2431">
        <f t="shared" si="21"/>
        <v>462.89236000000005</v>
      </c>
      <c r="AR360" s="2431">
        <f t="shared" si="21"/>
        <v>463.18772000000013</v>
      </c>
      <c r="AS360" s="2431">
        <f t="shared" si="21"/>
        <v>463.51944000000003</v>
      </c>
    </row>
    <row r="361" spans="2:45" x14ac:dyDescent="0.2">
      <c r="B361" s="2428"/>
      <c r="C361" s="2464" t="s">
        <v>1493</v>
      </c>
      <c r="D361" s="2418" t="s">
        <v>1384</v>
      </c>
      <c r="E361" s="2418"/>
      <c r="F361" s="2418"/>
      <c r="G361" s="2442">
        <f t="shared" si="21"/>
        <v>1127.6579999999999</v>
      </c>
      <c r="H361" s="2442">
        <f t="shared" si="21"/>
        <v>1158.1992</v>
      </c>
      <c r="I361" s="2442">
        <f t="shared" si="21"/>
        <v>1157.0102499999998</v>
      </c>
      <c r="J361" s="2442">
        <f t="shared" si="21"/>
        <v>1155.4715000000001</v>
      </c>
      <c r="K361" s="2442">
        <f t="shared" si="21"/>
        <v>1154.21315</v>
      </c>
      <c r="L361" s="2442">
        <f t="shared" si="21"/>
        <v>1153.0688</v>
      </c>
      <c r="M361" s="2442">
        <f t="shared" si="21"/>
        <v>1152.0333000000001</v>
      </c>
      <c r="N361" s="2442">
        <f t="shared" si="21"/>
        <v>1151.5305000000001</v>
      </c>
      <c r="O361" s="2442">
        <f t="shared" si="21"/>
        <v>1151.114</v>
      </c>
      <c r="P361" s="2442">
        <f t="shared" si="21"/>
        <v>1150.77385</v>
      </c>
      <c r="Q361" s="2442">
        <f t="shared" si="21"/>
        <v>1150.55035</v>
      </c>
      <c r="R361" s="2442">
        <f t="shared" si="21"/>
        <v>1150.33365</v>
      </c>
      <c r="S361" s="2442">
        <f t="shared" si="21"/>
        <v>1150.2150000000001</v>
      </c>
      <c r="T361" s="2442">
        <f t="shared" si="21"/>
        <v>1150.18445</v>
      </c>
      <c r="U361" s="2442">
        <f t="shared" si="21"/>
        <v>1150.1330500000001</v>
      </c>
      <c r="V361" s="2442">
        <f t="shared" si="21"/>
        <v>1150.0926999999999</v>
      </c>
      <c r="W361" s="2442">
        <f t="shared" si="21"/>
        <v>1150.12895</v>
      </c>
      <c r="X361" s="2442">
        <f t="shared" si="21"/>
        <v>1150.1424</v>
      </c>
      <c r="Y361" s="2442">
        <f t="shared" si="21"/>
        <v>1150.2363499999999</v>
      </c>
      <c r="Z361" s="2442">
        <f t="shared" si="21"/>
        <v>1150.3101999999999</v>
      </c>
      <c r="AA361" s="2442">
        <f t="shared" si="21"/>
        <v>1150.4635000000003</v>
      </c>
      <c r="AB361" s="2442">
        <f t="shared" si="21"/>
        <v>1150.596</v>
      </c>
      <c r="AC361" s="2442">
        <f t="shared" si="21"/>
        <v>1150.81</v>
      </c>
      <c r="AD361" s="2442">
        <f t="shared" si="21"/>
        <v>1151.05485</v>
      </c>
      <c r="AE361" s="2442">
        <f t="shared" si="21"/>
        <v>1151.2825500000001</v>
      </c>
      <c r="AF361" s="2442">
        <f t="shared" si="21"/>
        <v>1151.5920500000002</v>
      </c>
      <c r="AG361" s="2442">
        <f t="shared" si="21"/>
        <v>1151.9358</v>
      </c>
      <c r="AH361" s="2442">
        <f t="shared" si="21"/>
        <v>1152.3098500000001</v>
      </c>
      <c r="AI361" s="2442">
        <f t="shared" si="21"/>
        <v>1152.67075</v>
      </c>
      <c r="AJ361" s="2442">
        <f t="shared" si="21"/>
        <v>1153.1133500000001</v>
      </c>
      <c r="AK361" s="2442">
        <f t="shared" si="21"/>
        <v>1153.59265</v>
      </c>
      <c r="AL361" s="2442">
        <f t="shared" si="21"/>
        <v>1154.1068</v>
      </c>
      <c r="AM361" s="2442">
        <f t="shared" si="21"/>
        <v>1154.6566</v>
      </c>
      <c r="AN361" s="2442">
        <f t="shared" si="21"/>
        <v>1155.2444500000001</v>
      </c>
      <c r="AO361" s="2442">
        <f t="shared" si="21"/>
        <v>1155.8670999999999</v>
      </c>
      <c r="AP361" s="2442">
        <f t="shared" si="21"/>
        <v>1156.5306500000002</v>
      </c>
      <c r="AQ361" s="2442">
        <f t="shared" si="21"/>
        <v>1157.2309</v>
      </c>
      <c r="AR361" s="2442">
        <f t="shared" si="21"/>
        <v>1157.9693000000002</v>
      </c>
      <c r="AS361" s="2442">
        <f t="shared" si="21"/>
        <v>1158.7986000000001</v>
      </c>
    </row>
    <row r="362" spans="2:45" x14ac:dyDescent="0.2">
      <c r="F362" s="2407"/>
      <c r="G362" s="2487"/>
    </row>
    <row r="363" spans="2:45" x14ac:dyDescent="0.2">
      <c r="F363" s="2407"/>
      <c r="G363" s="2487"/>
    </row>
    <row r="364" spans="2:45" x14ac:dyDescent="0.2">
      <c r="B364" s="2097" t="s">
        <v>229</v>
      </c>
      <c r="F364" s="2407"/>
    </row>
    <row r="365" spans="2:45" s="2490" customFormat="1" x14ac:dyDescent="0.2">
      <c r="B365" s="2488">
        <v>1</v>
      </c>
      <c r="C365" s="2489" t="s">
        <v>1515</v>
      </c>
      <c r="F365" s="2491"/>
    </row>
    <row r="366" spans="2:45" s="2490" customFormat="1" ht="14.1" customHeight="1" x14ac:dyDescent="0.2">
      <c r="B366" s="3612" t="s">
        <v>1516</v>
      </c>
      <c r="C366" s="2492"/>
      <c r="D366" s="2492" t="s">
        <v>1029</v>
      </c>
      <c r="E366" s="2492" t="s">
        <v>8</v>
      </c>
      <c r="F366" s="2492"/>
      <c r="G366" s="2492">
        <v>2012</v>
      </c>
      <c r="H366" s="2492">
        <v>2013</v>
      </c>
      <c r="I366" s="2492">
        <v>2014</v>
      </c>
      <c r="J366" s="2492">
        <v>2015</v>
      </c>
      <c r="K366" s="2492">
        <v>2016</v>
      </c>
      <c r="L366" s="2492">
        <v>2017</v>
      </c>
      <c r="M366" s="2492">
        <v>2018</v>
      </c>
      <c r="N366" s="2492">
        <v>2019</v>
      </c>
      <c r="O366" s="2492">
        <v>2020</v>
      </c>
      <c r="P366" s="2492">
        <v>2021</v>
      </c>
      <c r="Q366" s="2492">
        <v>2022</v>
      </c>
      <c r="R366" s="2492">
        <v>2023</v>
      </c>
      <c r="S366" s="2492">
        <v>2024</v>
      </c>
      <c r="T366" s="2492">
        <v>2025</v>
      </c>
      <c r="U366" s="2492">
        <v>2026</v>
      </c>
      <c r="V366" s="2492">
        <v>2027</v>
      </c>
      <c r="W366" s="2492">
        <v>2028</v>
      </c>
      <c r="X366" s="2492">
        <v>2029</v>
      </c>
      <c r="Y366" s="2492">
        <v>2030</v>
      </c>
      <c r="Z366" s="2492">
        <v>2031</v>
      </c>
      <c r="AA366" s="2492">
        <v>2032</v>
      </c>
      <c r="AB366" s="2492">
        <v>2033</v>
      </c>
      <c r="AC366" s="2492">
        <v>2034</v>
      </c>
      <c r="AD366" s="2492">
        <v>2035</v>
      </c>
      <c r="AE366" s="2492">
        <v>2036</v>
      </c>
      <c r="AF366" s="2492">
        <v>2037</v>
      </c>
      <c r="AG366" s="2492">
        <v>2038</v>
      </c>
      <c r="AH366" s="2492">
        <v>2039</v>
      </c>
      <c r="AI366" s="2492">
        <v>2040</v>
      </c>
      <c r="AJ366" s="2492">
        <v>2041</v>
      </c>
      <c r="AK366" s="2492">
        <v>2042</v>
      </c>
      <c r="AL366" s="2492">
        <v>2043</v>
      </c>
      <c r="AM366" s="2492">
        <v>2044</v>
      </c>
      <c r="AN366" s="2492">
        <v>2045</v>
      </c>
      <c r="AO366" s="2492">
        <v>2046</v>
      </c>
      <c r="AP366" s="2492">
        <v>2047</v>
      </c>
      <c r="AQ366" s="2492">
        <v>2048</v>
      </c>
      <c r="AR366" s="2492">
        <v>2049</v>
      </c>
      <c r="AS366" s="2492">
        <v>2050</v>
      </c>
    </row>
    <row r="367" spans="2:45" s="2490" customFormat="1" x14ac:dyDescent="0.2">
      <c r="B367" s="3612"/>
      <c r="C367" s="2489" t="s">
        <v>1364</v>
      </c>
      <c r="D367" s="2493" t="s">
        <v>1517</v>
      </c>
      <c r="G367" s="2494"/>
      <c r="H367" s="2491"/>
      <c r="I367" s="2491"/>
      <c r="J367" s="2491"/>
      <c r="K367" s="2491"/>
      <c r="L367" s="2491"/>
      <c r="M367" s="2491"/>
      <c r="N367" s="2491"/>
      <c r="O367" s="2491"/>
      <c r="P367" s="2491"/>
      <c r="Q367" s="2491"/>
    </row>
    <row r="368" spans="2:45" s="2490" customFormat="1" x14ac:dyDescent="0.2">
      <c r="B368" s="3612"/>
      <c r="C368" s="2495" t="s">
        <v>1366</v>
      </c>
      <c r="D368" s="2493" t="s">
        <v>1517</v>
      </c>
      <c r="G368" s="2496">
        <f t="shared" ref="G368:AS374" si="22">G74*G104/1000</f>
        <v>95453564.373555049</v>
      </c>
      <c r="H368" s="2496">
        <f t="shared" si="22"/>
        <v>95140379.75756216</v>
      </c>
      <c r="I368" s="2496">
        <f t="shared" si="22"/>
        <v>95395245.734615594</v>
      </c>
      <c r="J368" s="2496">
        <f t="shared" si="22"/>
        <v>95367334.814833835</v>
      </c>
      <c r="K368" s="2496">
        <f t="shared" si="22"/>
        <v>95152396.452352583</v>
      </c>
      <c r="L368" s="2496">
        <f t="shared" si="22"/>
        <v>94736677.633531854</v>
      </c>
      <c r="M368" s="2496">
        <f t="shared" si="22"/>
        <v>94058014.419732243</v>
      </c>
      <c r="N368" s="2496">
        <f t="shared" si="22"/>
        <v>93406896.211814791</v>
      </c>
      <c r="O368" s="2496">
        <f t="shared" si="22"/>
        <v>92782979.368091613</v>
      </c>
      <c r="P368" s="2496">
        <f t="shared" si="22"/>
        <v>92163999.969785556</v>
      </c>
      <c r="Q368" s="2496">
        <f t="shared" si="22"/>
        <v>91520106.258814663</v>
      </c>
      <c r="R368" s="2496">
        <f t="shared" si="22"/>
        <v>91008071.885232076</v>
      </c>
      <c r="S368" s="2496">
        <f t="shared" si="22"/>
        <v>90600380.420939341</v>
      </c>
      <c r="T368" s="2496">
        <f t="shared" si="22"/>
        <v>90275441.080455557</v>
      </c>
      <c r="U368" s="2496">
        <f t="shared" si="22"/>
        <v>90016247.878132895</v>
      </c>
      <c r="V368" s="2496">
        <f t="shared" si="22"/>
        <v>89809364.542416632</v>
      </c>
      <c r="W368" s="2496">
        <f t="shared" si="22"/>
        <v>89644148.600782946</v>
      </c>
      <c r="X368" s="2496">
        <f t="shared" si="22"/>
        <v>89512153.420687363</v>
      </c>
      <c r="Y368" s="2496">
        <f t="shared" si="22"/>
        <v>89406664.223957941</v>
      </c>
      <c r="Z368" s="2496">
        <f t="shared" si="22"/>
        <v>89322335.997997627</v>
      </c>
      <c r="AA368" s="2496">
        <f t="shared" si="22"/>
        <v>89254909.590052634</v>
      </c>
      <c r="AB368" s="2496">
        <f t="shared" si="22"/>
        <v>89200988.238298535</v>
      </c>
      <c r="AC368" s="2496">
        <f t="shared" si="22"/>
        <v>89157861.115419999</v>
      </c>
      <c r="AD368" s="2496">
        <f t="shared" si="22"/>
        <v>89123363.633920237</v>
      </c>
      <c r="AE368" s="2496">
        <f t="shared" si="22"/>
        <v>89095766.622232839</v>
      </c>
      <c r="AF368" s="2496">
        <f t="shared" si="22"/>
        <v>89073688.255431607</v>
      </c>
      <c r="AG368" s="2496">
        <f t="shared" si="22"/>
        <v>89056023.972418204</v>
      </c>
      <c r="AH368" s="2496">
        <f t="shared" si="22"/>
        <v>89041890.6444529</v>
      </c>
      <c r="AI368" s="2496">
        <f t="shared" si="22"/>
        <v>89030582.057375923</v>
      </c>
      <c r="AJ368" s="2496">
        <f t="shared" si="22"/>
        <v>89021533.389471233</v>
      </c>
      <c r="AK368" s="2496">
        <f t="shared" si="22"/>
        <v>89014292.850919798</v>
      </c>
      <c r="AL368" s="2496">
        <f t="shared" si="22"/>
        <v>89008499.03053081</v>
      </c>
      <c r="AM368" s="2496">
        <f t="shared" si="22"/>
        <v>89003862.794512302</v>
      </c>
      <c r="AN368" s="2496">
        <f t="shared" si="22"/>
        <v>89000152.818272501</v>
      </c>
      <c r="AO368" s="2496">
        <f t="shared" si="22"/>
        <v>88997184.01932618</v>
      </c>
      <c r="AP368" s="2496">
        <f t="shared" si="22"/>
        <v>88994808.307819605</v>
      </c>
      <c r="AQ368" s="2496">
        <f t="shared" si="22"/>
        <v>88992907.189180002</v>
      </c>
      <c r="AR368" s="2496">
        <f t="shared" si="22"/>
        <v>88991385.847292155</v>
      </c>
      <c r="AS368" s="2496">
        <f t="shared" si="22"/>
        <v>88990168.411419332</v>
      </c>
    </row>
    <row r="369" spans="2:45" s="2490" customFormat="1" x14ac:dyDescent="0.2">
      <c r="B369" s="3612"/>
      <c r="C369" s="2495" t="s">
        <v>1367</v>
      </c>
      <c r="D369" s="2493" t="s">
        <v>1517</v>
      </c>
      <c r="G369" s="2496">
        <f t="shared" si="22"/>
        <v>29471960.062478796</v>
      </c>
      <c r="H369" s="2496">
        <f t="shared" si="22"/>
        <v>29375262.107244737</v>
      </c>
      <c r="I369" s="2496">
        <f t="shared" si="22"/>
        <v>29453953.772100832</v>
      </c>
      <c r="J369" s="2496">
        <f t="shared" si="22"/>
        <v>29445336.079105146</v>
      </c>
      <c r="K369" s="2496">
        <f t="shared" si="22"/>
        <v>29378972.346367501</v>
      </c>
      <c r="L369" s="2496">
        <f t="shared" si="22"/>
        <v>29250616.234095387</v>
      </c>
      <c r="M369" s="2496">
        <f t="shared" si="22"/>
        <v>29041074.18855479</v>
      </c>
      <c r="N369" s="2496">
        <f t="shared" si="22"/>
        <v>28840036.857517086</v>
      </c>
      <c r="O369" s="2496">
        <f t="shared" si="22"/>
        <v>28647398.139191631</v>
      </c>
      <c r="P369" s="2496">
        <f t="shared" si="22"/>
        <v>28456283.89190191</v>
      </c>
      <c r="Q369" s="2496">
        <f t="shared" si="22"/>
        <v>28257477.175162125</v>
      </c>
      <c r="R369" s="2496">
        <f t="shared" si="22"/>
        <v>28099382.957226109</v>
      </c>
      <c r="S369" s="2496">
        <f t="shared" si="22"/>
        <v>27973505.347182911</v>
      </c>
      <c r="T369" s="2496">
        <f t="shared" si="22"/>
        <v>27873178.03800052</v>
      </c>
      <c r="U369" s="2496">
        <f t="shared" si="22"/>
        <v>27793150.311875753</v>
      </c>
      <c r="V369" s="2496">
        <f t="shared" si="22"/>
        <v>27729273.625365015</v>
      </c>
      <c r="W369" s="2496">
        <f t="shared" si="22"/>
        <v>27678262.04014587</v>
      </c>
      <c r="X369" s="2496">
        <f t="shared" si="22"/>
        <v>27637507.598949805</v>
      </c>
      <c r="Y369" s="2496">
        <f t="shared" si="22"/>
        <v>27604937.066739351</v>
      </c>
      <c r="Z369" s="2496">
        <f t="shared" si="22"/>
        <v>27578900.133242384</v>
      </c>
      <c r="AA369" s="2496">
        <f t="shared" si="22"/>
        <v>27558081.755058672</v>
      </c>
      <c r="AB369" s="2496">
        <f t="shared" si="22"/>
        <v>27541433.158059277</v>
      </c>
      <c r="AC369" s="2496">
        <f t="shared" si="22"/>
        <v>27528117.355224386</v>
      </c>
      <c r="AD369" s="2496">
        <f t="shared" si="22"/>
        <v>27517466.014924109</v>
      </c>
      <c r="AE369" s="2496">
        <f t="shared" si="22"/>
        <v>27508945.243262697</v>
      </c>
      <c r="AF369" s="2496">
        <f t="shared" si="22"/>
        <v>27502128.392065149</v>
      </c>
      <c r="AG369" s="2496">
        <f t="shared" si="22"/>
        <v>27496674.420315426</v>
      </c>
      <c r="AH369" s="2496">
        <f t="shared" si="22"/>
        <v>27492310.65579728</v>
      </c>
      <c r="AI369" s="2496">
        <f t="shared" si="22"/>
        <v>27488819.049916636</v>
      </c>
      <c r="AJ369" s="2496">
        <f t="shared" si="22"/>
        <v>27486025.209991898</v>
      </c>
      <c r="AK369" s="2496">
        <f t="shared" si="22"/>
        <v>27483789.642735511</v>
      </c>
      <c r="AL369" s="2496">
        <f t="shared" si="22"/>
        <v>27482000.75989772</v>
      </c>
      <c r="AM369" s="2496">
        <f t="shared" si="22"/>
        <v>27480569.289384551</v>
      </c>
      <c r="AN369" s="2496">
        <f t="shared" si="22"/>
        <v>27479423.808099598</v>
      </c>
      <c r="AO369" s="2496">
        <f t="shared" si="22"/>
        <v>27478507.170522429</v>
      </c>
      <c r="AP369" s="2496">
        <f t="shared" si="22"/>
        <v>27477773.652868055</v>
      </c>
      <c r="AQ369" s="2496">
        <f t="shared" si="22"/>
        <v>27477186.669102821</v>
      </c>
      <c r="AR369" s="2496">
        <f t="shared" si="22"/>
        <v>27476716.944083598</v>
      </c>
      <c r="AS369" s="2496">
        <f t="shared" si="22"/>
        <v>27476341.052186236</v>
      </c>
    </row>
    <row r="370" spans="2:45" s="2490" customFormat="1" x14ac:dyDescent="0.2">
      <c r="B370" s="2488"/>
      <c r="C370" s="2495" t="s">
        <v>1368</v>
      </c>
      <c r="D370" s="2493" t="s">
        <v>1517</v>
      </c>
      <c r="G370" s="2496">
        <f t="shared" si="22"/>
        <v>22100124.636547457</v>
      </c>
      <c r="H370" s="2496">
        <f t="shared" si="22"/>
        <v>22027613.786972418</v>
      </c>
      <c r="I370" s="2496">
        <f t="shared" si="22"/>
        <v>22086622.268169135</v>
      </c>
      <c r="J370" s="2496">
        <f t="shared" si="22"/>
        <v>22080160.122832332</v>
      </c>
      <c r="K370" s="2496">
        <f t="shared" si="22"/>
        <v>22030395.982213955</v>
      </c>
      <c r="L370" s="2496">
        <f t="shared" si="22"/>
        <v>21934145.64551891</v>
      </c>
      <c r="M370" s="2496">
        <f t="shared" si="22"/>
        <v>21777016.451762304</v>
      </c>
      <c r="N370" s="2496">
        <f t="shared" si="22"/>
        <v>21626264.684213981</v>
      </c>
      <c r="O370" s="2496">
        <f t="shared" si="22"/>
        <v>21481810.78037481</v>
      </c>
      <c r="P370" s="2496">
        <f t="shared" si="22"/>
        <v>21338500.030904159</v>
      </c>
      <c r="Q370" s="2496">
        <f t="shared" si="22"/>
        <v>21189420.933035623</v>
      </c>
      <c r="R370" s="2496">
        <f t="shared" si="22"/>
        <v>21070870.897228822</v>
      </c>
      <c r="S370" s="2496">
        <f t="shared" si="22"/>
        <v>20976479.11381815</v>
      </c>
      <c r="T370" s="2496">
        <f t="shared" si="22"/>
        <v>20901246.722328756</v>
      </c>
      <c r="U370" s="2496">
        <f t="shared" si="22"/>
        <v>20841236.369505685</v>
      </c>
      <c r="V370" s="2496">
        <f t="shared" si="22"/>
        <v>20793337.189055372</v>
      </c>
      <c r="W370" s="2496">
        <f t="shared" si="22"/>
        <v>20755085.155975081</v>
      </c>
      <c r="X370" s="2496">
        <f t="shared" si="22"/>
        <v>20724524.642591633</v>
      </c>
      <c r="Y370" s="2496">
        <f t="shared" si="22"/>
        <v>20700100.993136223</v>
      </c>
      <c r="Z370" s="2496">
        <f t="shared" si="22"/>
        <v>20680576.690232154</v>
      </c>
      <c r="AA370" s="2496">
        <f t="shared" si="22"/>
        <v>20664965.622912053</v>
      </c>
      <c r="AB370" s="2496">
        <f t="shared" si="22"/>
        <v>20652481.347420018</v>
      </c>
      <c r="AC370" s="2496">
        <f t="shared" si="22"/>
        <v>20642496.232698664</v>
      </c>
      <c r="AD370" s="2496">
        <f t="shared" si="22"/>
        <v>20634509.117227443</v>
      </c>
      <c r="AE370" s="2496">
        <f t="shared" si="22"/>
        <v>20628119.65024535</v>
      </c>
      <c r="AF370" s="2496">
        <f t="shared" si="22"/>
        <v>20623007.901288874</v>
      </c>
      <c r="AG370" s="2496">
        <f t="shared" si="22"/>
        <v>20618918.134093966</v>
      </c>
      <c r="AH370" s="2496">
        <f t="shared" si="22"/>
        <v>20615645.880075879</v>
      </c>
      <c r="AI370" s="2496">
        <f t="shared" si="22"/>
        <v>20613027.631239347</v>
      </c>
      <c r="AJ370" s="2496">
        <f t="shared" si="22"/>
        <v>20610932.615827389</v>
      </c>
      <c r="AK370" s="2496">
        <f t="shared" si="22"/>
        <v>20609256.232075013</v>
      </c>
      <c r="AL370" s="2496">
        <f t="shared" si="22"/>
        <v>20607914.803354576</v>
      </c>
      <c r="AM370" s="2496">
        <f t="shared" si="22"/>
        <v>20606841.38724355</v>
      </c>
      <c r="AN370" s="2496">
        <f t="shared" si="22"/>
        <v>20605982.425738696</v>
      </c>
      <c r="AO370" s="2496">
        <f t="shared" si="22"/>
        <v>20605295.067155857</v>
      </c>
      <c r="AP370" s="2496">
        <f t="shared" si="22"/>
        <v>20604745.024622191</v>
      </c>
      <c r="AQ370" s="2496">
        <f t="shared" si="22"/>
        <v>20604304.863386098</v>
      </c>
      <c r="AR370" s="2496">
        <f t="shared" si="22"/>
        <v>20603952.63090995</v>
      </c>
      <c r="AS370" s="2496">
        <f t="shared" si="22"/>
        <v>20603670.761032138</v>
      </c>
    </row>
    <row r="371" spans="2:45" s="2490" customFormat="1" x14ac:dyDescent="0.2">
      <c r="B371" s="2488"/>
      <c r="C371" s="2495" t="s">
        <v>1369</v>
      </c>
      <c r="D371" s="2493" t="s">
        <v>1517</v>
      </c>
      <c r="G371" s="2496">
        <f t="shared" si="22"/>
        <v>21200092.976508148</v>
      </c>
      <c r="H371" s="2496">
        <f t="shared" si="22"/>
        <v>21130535.144682426</v>
      </c>
      <c r="I371" s="2496">
        <f t="shared" si="22"/>
        <v>21187140.494577337</v>
      </c>
      <c r="J371" s="2496">
        <f t="shared" si="22"/>
        <v>21180941.521303613</v>
      </c>
      <c r="K371" s="2496">
        <f t="shared" si="22"/>
        <v>21133204.034508582</v>
      </c>
      <c r="L371" s="2496">
        <f t="shared" si="22"/>
        <v>21040873.510563005</v>
      </c>
      <c r="M371" s="2496">
        <f t="shared" si="22"/>
        <v>20890143.432260405</v>
      </c>
      <c r="N371" s="2496">
        <f t="shared" si="22"/>
        <v>20745531.058305189</v>
      </c>
      <c r="O371" s="2496">
        <f t="shared" si="22"/>
        <v>20606960.066395689</v>
      </c>
      <c r="P371" s="2496">
        <f t="shared" si="22"/>
        <v>20469485.673681788</v>
      </c>
      <c r="Q371" s="2496">
        <f t="shared" si="22"/>
        <v>20326477.849624526</v>
      </c>
      <c r="R371" s="2496">
        <f t="shared" si="22"/>
        <v>20212755.785934608</v>
      </c>
      <c r="S371" s="2496">
        <f t="shared" si="22"/>
        <v>20122208.125347421</v>
      </c>
      <c r="T371" s="2496">
        <f t="shared" si="22"/>
        <v>20050039.58690476</v>
      </c>
      <c r="U371" s="2496">
        <f t="shared" si="22"/>
        <v>19992473.166790627</v>
      </c>
      <c r="V371" s="2496">
        <f t="shared" si="22"/>
        <v>19946524.689316168</v>
      </c>
      <c r="W371" s="2496">
        <f t="shared" si="22"/>
        <v>19909830.477352247</v>
      </c>
      <c r="X371" s="2496">
        <f t="shared" si="22"/>
        <v>19880514.546524074</v>
      </c>
      <c r="Y371" s="2496">
        <f t="shared" si="22"/>
        <v>19857085.554706354</v>
      </c>
      <c r="Z371" s="2496">
        <f t="shared" si="22"/>
        <v>19838356.38264624</v>
      </c>
      <c r="AA371" s="2496">
        <f t="shared" si="22"/>
        <v>19823381.078927759</v>
      </c>
      <c r="AB371" s="2496">
        <f t="shared" si="22"/>
        <v>19811405.227862295</v>
      </c>
      <c r="AC371" s="2496">
        <f t="shared" si="22"/>
        <v>19801826.758783273</v>
      </c>
      <c r="AD371" s="2496">
        <f t="shared" si="22"/>
        <v>19794164.920065671</v>
      </c>
      <c r="AE371" s="2496">
        <f t="shared" si="22"/>
        <v>19788035.665307231</v>
      </c>
      <c r="AF371" s="2496">
        <f t="shared" si="22"/>
        <v>19783132.093271684</v>
      </c>
      <c r="AG371" s="2496">
        <f t="shared" si="22"/>
        <v>19779208.8826016</v>
      </c>
      <c r="AH371" s="2496">
        <f t="shared" si="22"/>
        <v>19776069.891733129</v>
      </c>
      <c r="AI371" s="2496">
        <f t="shared" si="22"/>
        <v>19773558.271564323</v>
      </c>
      <c r="AJ371" s="2496">
        <f t="shared" si="22"/>
        <v>19771548.576042194</v>
      </c>
      <c r="AK371" s="2496">
        <f t="shared" si="22"/>
        <v>19769940.463327937</v>
      </c>
      <c r="AL371" s="2496">
        <f t="shared" si="22"/>
        <v>19768653.664540041</v>
      </c>
      <c r="AM371" s="2496">
        <f t="shared" si="22"/>
        <v>19767623.963498507</v>
      </c>
      <c r="AN371" s="2496">
        <f t="shared" si="22"/>
        <v>19766799.983359683</v>
      </c>
      <c r="AO371" s="2496">
        <f t="shared" si="22"/>
        <v>19766140.617582157</v>
      </c>
      <c r="AP371" s="2496">
        <f t="shared" si="22"/>
        <v>19765612.975632329</v>
      </c>
      <c r="AQ371" s="2496">
        <f t="shared" si="22"/>
        <v>19765190.74004392</v>
      </c>
      <c r="AR371" s="2496">
        <f t="shared" si="22"/>
        <v>19764852.852300454</v>
      </c>
      <c r="AS371" s="2496">
        <f t="shared" si="22"/>
        <v>19764582.461625509</v>
      </c>
    </row>
    <row r="372" spans="2:45" s="2490" customFormat="1" x14ac:dyDescent="0.2">
      <c r="B372" s="2488"/>
      <c r="C372" s="2495" t="s">
        <v>1370</v>
      </c>
      <c r="D372" s="2493" t="s">
        <v>1517</v>
      </c>
      <c r="G372" s="2496">
        <f t="shared" si="22"/>
        <v>11745669.758604893</v>
      </c>
      <c r="H372" s="2496">
        <f t="shared" si="22"/>
        <v>11707132.03508383</v>
      </c>
      <c r="I372" s="2496">
        <f t="shared" si="22"/>
        <v>11738493.583694614</v>
      </c>
      <c r="J372" s="2496">
        <f t="shared" si="22"/>
        <v>11735059.113242231</v>
      </c>
      <c r="K372" s="2496">
        <f t="shared" si="22"/>
        <v>11708610.703057356</v>
      </c>
      <c r="L372" s="2496">
        <f t="shared" si="22"/>
        <v>11657456.029155429</v>
      </c>
      <c r="M372" s="2496">
        <f t="shared" si="22"/>
        <v>11573945.748120688</v>
      </c>
      <c r="N372" s="2496">
        <f t="shared" si="22"/>
        <v>11493824.91141643</v>
      </c>
      <c r="O372" s="2496">
        <f t="shared" si="22"/>
        <v>11417051.233541768</v>
      </c>
      <c r="P372" s="2496">
        <f t="shared" si="22"/>
        <v>11340885.113946373</v>
      </c>
      <c r="Q372" s="2496">
        <f t="shared" si="22"/>
        <v>11261653.259815611</v>
      </c>
      <c r="R372" s="2496">
        <f t="shared" si="22"/>
        <v>11198646.847256526</v>
      </c>
      <c r="S372" s="2496">
        <f t="shared" si="22"/>
        <v>11148479.948467458</v>
      </c>
      <c r="T372" s="2496">
        <f t="shared" si="22"/>
        <v>11108495.792716444</v>
      </c>
      <c r="U372" s="2496">
        <f t="shared" si="22"/>
        <v>11076601.774110254</v>
      </c>
      <c r="V372" s="2496">
        <f t="shared" si="22"/>
        <v>11051144.544138495</v>
      </c>
      <c r="W372" s="2496">
        <f t="shared" si="22"/>
        <v>11030814.534441927</v>
      </c>
      <c r="X372" s="2496">
        <f t="shared" si="22"/>
        <v>11014572.377270477</v>
      </c>
      <c r="Y372" s="2496">
        <f t="shared" si="22"/>
        <v>11001591.811526122</v>
      </c>
      <c r="Z372" s="2496">
        <f t="shared" si="22"/>
        <v>10991215.127324127</v>
      </c>
      <c r="AA372" s="2496">
        <f t="shared" si="22"/>
        <v>10982918.231069615</v>
      </c>
      <c r="AB372" s="2496">
        <f t="shared" si="22"/>
        <v>10976283.147353278</v>
      </c>
      <c r="AC372" s="2496">
        <f t="shared" si="22"/>
        <v>10970976.305788016</v>
      </c>
      <c r="AD372" s="2496">
        <f t="shared" si="22"/>
        <v>10966731.351418225</v>
      </c>
      <c r="AE372" s="2496">
        <f t="shared" si="22"/>
        <v>10963335.507714199</v>
      </c>
      <c r="AF372" s="2496">
        <f t="shared" si="22"/>
        <v>10960618.739545736</v>
      </c>
      <c r="AG372" s="2496">
        <f t="shared" si="22"/>
        <v>10958445.129412265</v>
      </c>
      <c r="AH372" s="2496">
        <f t="shared" si="22"/>
        <v>10956706.007317036</v>
      </c>
      <c r="AI372" s="2496">
        <f t="shared" si="22"/>
        <v>10955314.472803747</v>
      </c>
      <c r="AJ372" s="2496">
        <f t="shared" si="22"/>
        <v>10954201.02391725</v>
      </c>
      <c r="AK372" s="2496">
        <f t="shared" si="22"/>
        <v>10953310.067406012</v>
      </c>
      <c r="AL372" s="2496">
        <f t="shared" si="22"/>
        <v>10952597.131211575</v>
      </c>
      <c r="AM372" s="2496">
        <f t="shared" si="22"/>
        <v>10952026.637091698</v>
      </c>
      <c r="AN372" s="2496">
        <f t="shared" si="22"/>
        <v>10951570.12029203</v>
      </c>
      <c r="AO372" s="2496">
        <f t="shared" si="22"/>
        <v>10951204.806202061</v>
      </c>
      <c r="AP372" s="2496">
        <f t="shared" si="22"/>
        <v>10950912.472196717</v>
      </c>
      <c r="AQ372" s="2496">
        <f t="shared" si="22"/>
        <v>10950678.537383918</v>
      </c>
      <c r="AR372" s="2496">
        <f t="shared" si="22"/>
        <v>10950491.334532753</v>
      </c>
      <c r="AS372" s="2496">
        <f t="shared" si="22"/>
        <v>10950341.527662694</v>
      </c>
    </row>
    <row r="373" spans="2:45" s="2490" customFormat="1" x14ac:dyDescent="0.2">
      <c r="B373" s="2488"/>
      <c r="C373" s="2495" t="s">
        <v>1371</v>
      </c>
      <c r="D373" s="2493" t="s">
        <v>1517</v>
      </c>
      <c r="G373" s="2496">
        <f t="shared" si="22"/>
        <v>26187160.596720062</v>
      </c>
      <c r="H373" s="2496">
        <f t="shared" si="22"/>
        <v>26101240.119163755</v>
      </c>
      <c r="I373" s="2496">
        <f t="shared" si="22"/>
        <v>26171161.198754024</v>
      </c>
      <c r="J373" s="2496">
        <f t="shared" si="22"/>
        <v>26163503.991361883</v>
      </c>
      <c r="K373" s="2496">
        <f t="shared" si="22"/>
        <v>26104536.833313547</v>
      </c>
      <c r="L373" s="2496">
        <f t="shared" si="22"/>
        <v>25990486.660928853</v>
      </c>
      <c r="M373" s="2496">
        <f t="shared" si="22"/>
        <v>25804299.139409952</v>
      </c>
      <c r="N373" s="2496">
        <f t="shared" si="22"/>
        <v>25625668.438816585</v>
      </c>
      <c r="O373" s="2496">
        <f t="shared" si="22"/>
        <v>25454500.282940947</v>
      </c>
      <c r="P373" s="2496">
        <f t="shared" si="22"/>
        <v>25284686.688070174</v>
      </c>
      <c r="Q373" s="2496">
        <f t="shared" si="22"/>
        <v>25108037.988494903</v>
      </c>
      <c r="R373" s="2496">
        <f t="shared" si="22"/>
        <v>24967564.173189547</v>
      </c>
      <c r="S373" s="2496">
        <f t="shared" si="22"/>
        <v>24855716.26138645</v>
      </c>
      <c r="T373" s="2496">
        <f t="shared" si="22"/>
        <v>24766570.939791743</v>
      </c>
      <c r="U373" s="2496">
        <f t="shared" si="22"/>
        <v>24695462.70973929</v>
      </c>
      <c r="V373" s="2496">
        <f t="shared" si="22"/>
        <v>24638705.403998617</v>
      </c>
      <c r="W373" s="2496">
        <f t="shared" si="22"/>
        <v>24593379.318743505</v>
      </c>
      <c r="X373" s="2496">
        <f t="shared" si="22"/>
        <v>24557167.166773688</v>
      </c>
      <c r="Y373" s="2496">
        <f t="shared" si="22"/>
        <v>24528226.78561452</v>
      </c>
      <c r="Z373" s="2496">
        <f t="shared" si="22"/>
        <v>24505091.800446052</v>
      </c>
      <c r="AA373" s="2496">
        <f t="shared" si="22"/>
        <v>24486593.73612646</v>
      </c>
      <c r="AB373" s="2496">
        <f t="shared" si="22"/>
        <v>24471800.709724117</v>
      </c>
      <c r="AC373" s="2496">
        <f t="shared" si="22"/>
        <v>24459969.020668741</v>
      </c>
      <c r="AD373" s="2496">
        <f t="shared" si="22"/>
        <v>24450504.826281186</v>
      </c>
      <c r="AE373" s="2496">
        <f t="shared" si="22"/>
        <v>24442933.737848915</v>
      </c>
      <c r="AF373" s="2496">
        <f t="shared" si="22"/>
        <v>24436876.659300499</v>
      </c>
      <c r="AG373" s="2496">
        <f t="shared" si="22"/>
        <v>24432030.560371306</v>
      </c>
      <c r="AH373" s="2496">
        <f t="shared" si="22"/>
        <v>24428153.159546908</v>
      </c>
      <c r="AI373" s="2496">
        <f t="shared" si="22"/>
        <v>24425050.710855234</v>
      </c>
      <c r="AJ373" s="2496">
        <f t="shared" si="22"/>
        <v>24422568.258563783</v>
      </c>
      <c r="AK373" s="2496">
        <f t="shared" si="22"/>
        <v>24420581.856619574</v>
      </c>
      <c r="AL373" s="2496">
        <f t="shared" si="22"/>
        <v>24418992.353849396</v>
      </c>
      <c r="AM373" s="2496">
        <f t="shared" si="22"/>
        <v>24417720.427987039</v>
      </c>
      <c r="AN373" s="2496">
        <f t="shared" si="22"/>
        <v>24416702.616402533</v>
      </c>
      <c r="AO373" s="2496">
        <f t="shared" si="22"/>
        <v>24415888.142733615</v>
      </c>
      <c r="AP373" s="2496">
        <f t="shared" si="22"/>
        <v>24415236.379343089</v>
      </c>
      <c r="AQ373" s="2496">
        <f t="shared" si="22"/>
        <v>24414714.817896374</v>
      </c>
      <c r="AR373" s="2496">
        <f t="shared" si="22"/>
        <v>24414297.446113549</v>
      </c>
      <c r="AS373" s="2496">
        <f t="shared" si="22"/>
        <v>24413963.449275117</v>
      </c>
    </row>
    <row r="374" spans="2:45" s="2490" customFormat="1" x14ac:dyDescent="0.2">
      <c r="B374" s="2488"/>
      <c r="C374" s="2489" t="s">
        <v>1372</v>
      </c>
      <c r="D374" s="2493" t="s">
        <v>1517</v>
      </c>
      <c r="G374" s="2496">
        <f t="shared" si="22"/>
        <v>2834016.4693500348</v>
      </c>
      <c r="H374" s="2496">
        <f t="shared" si="22"/>
        <v>2824718.0176316951</v>
      </c>
      <c r="I374" s="2496">
        <f t="shared" si="22"/>
        <v>2832284.9888724936</v>
      </c>
      <c r="J374" s="2496">
        <f t="shared" si="22"/>
        <v>2831456.3136223303</v>
      </c>
      <c r="K374" s="2496">
        <f t="shared" si="22"/>
        <v>2825074.7933180374</v>
      </c>
      <c r="L374" s="2496">
        <f t="shared" si="22"/>
        <v>2812732.1009640251</v>
      </c>
      <c r="M374" s="2496">
        <f t="shared" si="22"/>
        <v>2792582.5891288961</v>
      </c>
      <c r="N374" s="2496">
        <f t="shared" si="22"/>
        <v>2773250.8885597042</v>
      </c>
      <c r="O374" s="2496">
        <f t="shared" si="22"/>
        <v>2754726.7965342184</v>
      </c>
      <c r="P374" s="2496">
        <f t="shared" si="22"/>
        <v>2736349.2972705686</v>
      </c>
      <c r="Q374" s="2496">
        <f t="shared" si="22"/>
        <v>2717232.0920265499</v>
      </c>
      <c r="R374" s="2496">
        <f t="shared" si="22"/>
        <v>2702029.7907072655</v>
      </c>
      <c r="S374" s="2496">
        <f t="shared" si="22"/>
        <v>2689925.4305212256</v>
      </c>
      <c r="T374" s="2496">
        <f t="shared" si="22"/>
        <v>2680277.9810151285</v>
      </c>
      <c r="U374" s="2496">
        <f t="shared" si="22"/>
        <v>2672582.5344495988</v>
      </c>
      <c r="V374" s="2496">
        <f t="shared" si="22"/>
        <v>2666440.1679020342</v>
      </c>
      <c r="W374" s="2496">
        <f t="shared" si="22"/>
        <v>2661534.9063472464</v>
      </c>
      <c r="X374" s="2496">
        <f t="shared" si="22"/>
        <v>2657615.9692523279</v>
      </c>
      <c r="Y374" s="2496">
        <f t="shared" si="22"/>
        <v>2654483.9948432883</v>
      </c>
      <c r="Z374" s="2496">
        <f t="shared" si="22"/>
        <v>2651980.2896881052</v>
      </c>
      <c r="AA374" s="2496">
        <f t="shared" si="22"/>
        <v>2649978.3995351354</v>
      </c>
      <c r="AB374" s="2496">
        <f t="shared" ref="AB374:AS374" si="23">AB80*AB110/1000</f>
        <v>2648377.4745207205</v>
      </c>
      <c r="AC374" s="2496">
        <f t="shared" si="23"/>
        <v>2647097.0301778028</v>
      </c>
      <c r="AD374" s="2496">
        <f t="shared" si="23"/>
        <v>2646072.7999003581</v>
      </c>
      <c r="AE374" s="2496">
        <f t="shared" si="23"/>
        <v>2645253.4445819869</v>
      </c>
      <c r="AF374" s="2496">
        <f t="shared" si="23"/>
        <v>2644597.9378385595</v>
      </c>
      <c r="AG374" s="2496">
        <f t="shared" si="23"/>
        <v>2644073.4852494104</v>
      </c>
      <c r="AH374" s="2496">
        <f t="shared" si="23"/>
        <v>2643653.8667209321</v>
      </c>
      <c r="AI374" s="2496">
        <f t="shared" si="23"/>
        <v>2643318.114753664</v>
      </c>
      <c r="AJ374" s="2496">
        <f t="shared" si="23"/>
        <v>2643049.4597900086</v>
      </c>
      <c r="AK374" s="2496">
        <f t="shared" si="23"/>
        <v>2642834.4881895618</v>
      </c>
      <c r="AL374" s="2496">
        <f t="shared" si="23"/>
        <v>2642662.4696535263</v>
      </c>
      <c r="AM374" s="2496">
        <f t="shared" si="23"/>
        <v>2642524.8197991862</v>
      </c>
      <c r="AN374" s="2496">
        <f t="shared" si="23"/>
        <v>2642414.6705990653</v>
      </c>
      <c r="AO374" s="2496">
        <f t="shared" si="23"/>
        <v>2642326.5269538984</v>
      </c>
      <c r="AP374" s="2496">
        <f t="shared" si="23"/>
        <v>2642255.9920757064</v>
      </c>
      <c r="AQ374" s="2496">
        <f t="shared" si="23"/>
        <v>2642199.5478604469</v>
      </c>
      <c r="AR374" s="2496">
        <f t="shared" si="23"/>
        <v>2642154.3792175162</v>
      </c>
      <c r="AS374" s="2496">
        <f t="shared" si="23"/>
        <v>2642118.2335446263</v>
      </c>
    </row>
    <row r="375" spans="2:45" s="2490" customFormat="1" x14ac:dyDescent="0.2">
      <c r="B375" s="2488"/>
      <c r="C375" s="2489" t="s">
        <v>1373</v>
      </c>
      <c r="D375" s="2493" t="s">
        <v>1517</v>
      </c>
      <c r="G375" s="2496">
        <f t="shared" ref="G375:AS381" si="24">G81*G111/1000</f>
        <v>4696523.288689319</v>
      </c>
      <c r="H375" s="2496">
        <f t="shared" si="24"/>
        <v>4696517.5516450796</v>
      </c>
      <c r="I375" s="2496">
        <f t="shared" si="24"/>
        <v>4696511.8146008393</v>
      </c>
      <c r="J375" s="2496">
        <f t="shared" si="24"/>
        <v>4696506.0775565999</v>
      </c>
      <c r="K375" s="2496">
        <f t="shared" si="24"/>
        <v>4696500.3405123586</v>
      </c>
      <c r="L375" s="2496">
        <f t="shared" si="24"/>
        <v>4696494.6034681182</v>
      </c>
      <c r="M375" s="2496">
        <f t="shared" si="24"/>
        <v>4696488.8664238798</v>
      </c>
      <c r="N375" s="2496">
        <f t="shared" si="24"/>
        <v>4696483.1293796394</v>
      </c>
      <c r="O375" s="2496">
        <f t="shared" si="24"/>
        <v>4696477.3923353991</v>
      </c>
      <c r="P375" s="2496">
        <f t="shared" si="24"/>
        <v>4696471.6552911587</v>
      </c>
      <c r="Q375" s="2496">
        <f t="shared" si="24"/>
        <v>4696465.9182469193</v>
      </c>
      <c r="R375" s="2496">
        <f t="shared" si="24"/>
        <v>4696460.1812026799</v>
      </c>
      <c r="S375" s="2496">
        <f t="shared" si="24"/>
        <v>4696454.4441584395</v>
      </c>
      <c r="T375" s="2496">
        <f t="shared" si="24"/>
        <v>4696448.7071141982</v>
      </c>
      <c r="U375" s="2496">
        <f t="shared" si="24"/>
        <v>4696442.9700699588</v>
      </c>
      <c r="V375" s="2496">
        <f t="shared" si="24"/>
        <v>4696437.2330257194</v>
      </c>
      <c r="W375" s="2496">
        <f t="shared" si="24"/>
        <v>4696431.49598148</v>
      </c>
      <c r="X375" s="2496">
        <f t="shared" si="24"/>
        <v>4696425.7589372387</v>
      </c>
      <c r="Y375" s="2496">
        <f t="shared" si="24"/>
        <v>4696420.0218929984</v>
      </c>
      <c r="Z375" s="2496">
        <f t="shared" si="24"/>
        <v>4696414.2848487599</v>
      </c>
      <c r="AA375" s="2496">
        <f t="shared" si="24"/>
        <v>4696408.5478045195</v>
      </c>
      <c r="AB375" s="2496">
        <f t="shared" si="24"/>
        <v>4696402.8107602801</v>
      </c>
      <c r="AC375" s="2496">
        <f t="shared" si="24"/>
        <v>4696397.0737160388</v>
      </c>
      <c r="AD375" s="2496">
        <f t="shared" si="24"/>
        <v>4696391.3366717985</v>
      </c>
      <c r="AE375" s="2496">
        <f t="shared" si="24"/>
        <v>4696385.59962756</v>
      </c>
      <c r="AF375" s="2496">
        <f t="shared" si="24"/>
        <v>4696379.8625833197</v>
      </c>
      <c r="AG375" s="2496">
        <f t="shared" si="24"/>
        <v>4696374.1255390784</v>
      </c>
      <c r="AH375" s="2496">
        <f t="shared" si="24"/>
        <v>4696368.388494839</v>
      </c>
      <c r="AI375" s="2496">
        <f t="shared" si="24"/>
        <v>4696362.6514505995</v>
      </c>
      <c r="AJ375" s="2496">
        <f t="shared" si="24"/>
        <v>4696356.9144063601</v>
      </c>
      <c r="AK375" s="2496">
        <f t="shared" si="24"/>
        <v>4696351.1773621198</v>
      </c>
      <c r="AL375" s="2496">
        <f t="shared" si="24"/>
        <v>4696345.4403178785</v>
      </c>
      <c r="AM375" s="2496">
        <f t="shared" si="24"/>
        <v>4696339.7032736391</v>
      </c>
      <c r="AN375" s="2496">
        <f t="shared" si="24"/>
        <v>4696333.9662293997</v>
      </c>
      <c r="AO375" s="2496">
        <f t="shared" si="24"/>
        <v>4696328.2291851593</v>
      </c>
      <c r="AP375" s="2496">
        <f t="shared" si="24"/>
        <v>4696322.492140919</v>
      </c>
      <c r="AQ375" s="2496">
        <f t="shared" si="24"/>
        <v>4696316.7550966786</v>
      </c>
      <c r="AR375" s="2496">
        <f t="shared" si="24"/>
        <v>4696311.0180524401</v>
      </c>
      <c r="AS375" s="2496">
        <f t="shared" si="24"/>
        <v>4696305.2810081998</v>
      </c>
    </row>
    <row r="376" spans="2:45" s="2490" customFormat="1" x14ac:dyDescent="0.2">
      <c r="B376" s="2488"/>
      <c r="C376" s="2489" t="s">
        <v>1374</v>
      </c>
      <c r="D376" s="2493" t="s">
        <v>1517</v>
      </c>
      <c r="G376" s="2496">
        <f t="shared" si="24"/>
        <v>261505.42157621792</v>
      </c>
      <c r="H376" s="2496">
        <f t="shared" si="24"/>
        <v>261502.2343294179</v>
      </c>
      <c r="I376" s="2496">
        <f t="shared" si="24"/>
        <v>261499.04708261791</v>
      </c>
      <c r="J376" s="2496">
        <f t="shared" si="24"/>
        <v>261495.85983581794</v>
      </c>
      <c r="K376" s="2496">
        <f t="shared" si="24"/>
        <v>261492.67258901792</v>
      </c>
      <c r="L376" s="2496">
        <f t="shared" si="24"/>
        <v>261489.48534221793</v>
      </c>
      <c r="M376" s="2496">
        <f t="shared" si="24"/>
        <v>261486.29809541791</v>
      </c>
      <c r="N376" s="2496">
        <f t="shared" si="24"/>
        <v>261483.11084861794</v>
      </c>
      <c r="O376" s="2496">
        <f t="shared" si="24"/>
        <v>261479.92360181792</v>
      </c>
      <c r="P376" s="2496">
        <f t="shared" si="24"/>
        <v>261476.73635501793</v>
      </c>
      <c r="Q376" s="2496">
        <f t="shared" si="24"/>
        <v>261473.54910821794</v>
      </c>
      <c r="R376" s="2496">
        <f t="shared" si="24"/>
        <v>261470.36186141791</v>
      </c>
      <c r="S376" s="2496">
        <f t="shared" si="24"/>
        <v>261467.17461461795</v>
      </c>
      <c r="T376" s="2496">
        <f t="shared" si="24"/>
        <v>261463.98736781793</v>
      </c>
      <c r="U376" s="2496">
        <f t="shared" si="24"/>
        <v>261460.80012101794</v>
      </c>
      <c r="V376" s="2496">
        <f t="shared" si="24"/>
        <v>261457.61287421791</v>
      </c>
      <c r="W376" s="2496">
        <f t="shared" si="24"/>
        <v>261454.42562741792</v>
      </c>
      <c r="X376" s="2496">
        <f t="shared" si="24"/>
        <v>261451.23838061796</v>
      </c>
      <c r="Y376" s="2496">
        <f t="shared" si="24"/>
        <v>261448.05113381793</v>
      </c>
      <c r="Z376" s="2496">
        <f t="shared" si="24"/>
        <v>261444.86388701794</v>
      </c>
      <c r="AA376" s="2496">
        <f t="shared" si="24"/>
        <v>261441.67664021792</v>
      </c>
      <c r="AB376" s="2496">
        <f t="shared" si="24"/>
        <v>261438.48939341793</v>
      </c>
      <c r="AC376" s="2496">
        <f t="shared" si="24"/>
        <v>261435.30214661796</v>
      </c>
      <c r="AD376" s="2496">
        <f t="shared" si="24"/>
        <v>261432.11489981794</v>
      </c>
      <c r="AE376" s="2496">
        <f t="shared" si="24"/>
        <v>261428.92765301795</v>
      </c>
      <c r="AF376" s="2496">
        <f t="shared" si="24"/>
        <v>261425.74040621793</v>
      </c>
      <c r="AG376" s="2496">
        <f t="shared" si="24"/>
        <v>261422.5531594179</v>
      </c>
      <c r="AH376" s="2496">
        <f t="shared" si="24"/>
        <v>261419.36591261794</v>
      </c>
      <c r="AI376" s="2496">
        <f t="shared" si="24"/>
        <v>261416.17866581795</v>
      </c>
      <c r="AJ376" s="2496">
        <f t="shared" si="24"/>
        <v>261412.99141901796</v>
      </c>
      <c r="AK376" s="2496">
        <f t="shared" si="24"/>
        <v>261409.8041722179</v>
      </c>
      <c r="AL376" s="2496">
        <f t="shared" si="24"/>
        <v>261406.61692541791</v>
      </c>
      <c r="AM376" s="2496">
        <f t="shared" si="24"/>
        <v>261403.42967861795</v>
      </c>
      <c r="AN376" s="2496">
        <f t="shared" si="24"/>
        <v>261400.24243181793</v>
      </c>
      <c r="AO376" s="2496">
        <f t="shared" si="24"/>
        <v>261397.0551850179</v>
      </c>
      <c r="AP376" s="2496">
        <f t="shared" si="24"/>
        <v>261393.86793821791</v>
      </c>
      <c r="AQ376" s="2496">
        <f t="shared" si="24"/>
        <v>261390.68069141789</v>
      </c>
      <c r="AR376" s="2496">
        <f t="shared" si="24"/>
        <v>261387.49344461792</v>
      </c>
      <c r="AS376" s="2496">
        <f t="shared" si="24"/>
        <v>261384.30619781793</v>
      </c>
    </row>
    <row r="377" spans="2:45" s="2490" customFormat="1" x14ac:dyDescent="0.2">
      <c r="B377" s="2488"/>
      <c r="C377" s="2489" t="s">
        <v>1375</v>
      </c>
      <c r="D377" s="2493" t="s">
        <v>1517</v>
      </c>
      <c r="G377" s="2496">
        <f t="shared" si="24"/>
        <v>442712.55999999988</v>
      </c>
      <c r="H377" s="2496">
        <f t="shared" si="24"/>
        <v>442712.55999999988</v>
      </c>
      <c r="I377" s="2496">
        <f t="shared" si="24"/>
        <v>442712.55999999988</v>
      </c>
      <c r="J377" s="2496">
        <f t="shared" si="24"/>
        <v>442712.55999999988</v>
      </c>
      <c r="K377" s="2496">
        <f t="shared" si="24"/>
        <v>442712.55999999988</v>
      </c>
      <c r="L377" s="2496">
        <f t="shared" si="24"/>
        <v>442712.55999999988</v>
      </c>
      <c r="M377" s="2496">
        <f t="shared" si="24"/>
        <v>442712.55999999988</v>
      </c>
      <c r="N377" s="2496">
        <f t="shared" si="24"/>
        <v>442712.55999999988</v>
      </c>
      <c r="O377" s="2496">
        <f t="shared" si="24"/>
        <v>442712.55999999988</v>
      </c>
      <c r="P377" s="2496">
        <f t="shared" si="24"/>
        <v>442712.55999999988</v>
      </c>
      <c r="Q377" s="2496">
        <f t="shared" si="24"/>
        <v>442712.55999999988</v>
      </c>
      <c r="R377" s="2496">
        <f t="shared" si="24"/>
        <v>442712.55999999988</v>
      </c>
      <c r="S377" s="2496">
        <f t="shared" si="24"/>
        <v>442712.55999999988</v>
      </c>
      <c r="T377" s="2496">
        <f t="shared" si="24"/>
        <v>442712.55999999988</v>
      </c>
      <c r="U377" s="2496">
        <f t="shared" si="24"/>
        <v>442712.55999999988</v>
      </c>
      <c r="V377" s="2496">
        <f t="shared" si="24"/>
        <v>442712.55999999988</v>
      </c>
      <c r="W377" s="2496">
        <f t="shared" si="24"/>
        <v>442712.55999999988</v>
      </c>
      <c r="X377" s="2496">
        <f t="shared" si="24"/>
        <v>442712.55999999988</v>
      </c>
      <c r="Y377" s="2496">
        <f t="shared" si="24"/>
        <v>442712.55999999988</v>
      </c>
      <c r="Z377" s="2496">
        <f t="shared" si="24"/>
        <v>442712.55999999988</v>
      </c>
      <c r="AA377" s="2496">
        <f t="shared" si="24"/>
        <v>442712.55999999988</v>
      </c>
      <c r="AB377" s="2496">
        <f t="shared" si="24"/>
        <v>442712.55999999988</v>
      </c>
      <c r="AC377" s="2496">
        <f t="shared" si="24"/>
        <v>442712.55999999988</v>
      </c>
      <c r="AD377" s="2496">
        <f t="shared" si="24"/>
        <v>442712.55999999988</v>
      </c>
      <c r="AE377" s="2496">
        <f t="shared" si="24"/>
        <v>442712.55999999988</v>
      </c>
      <c r="AF377" s="2496">
        <f t="shared" si="24"/>
        <v>442712.55999999988</v>
      </c>
      <c r="AG377" s="2496">
        <f t="shared" si="24"/>
        <v>442712.55999999988</v>
      </c>
      <c r="AH377" s="2496">
        <f t="shared" si="24"/>
        <v>442712.55999999988</v>
      </c>
      <c r="AI377" s="2496">
        <f t="shared" si="24"/>
        <v>442712.55999999988</v>
      </c>
      <c r="AJ377" s="2496">
        <f t="shared" si="24"/>
        <v>442712.55999999988</v>
      </c>
      <c r="AK377" s="2496">
        <f t="shared" si="24"/>
        <v>442712.55999999988</v>
      </c>
      <c r="AL377" s="2496">
        <f t="shared" si="24"/>
        <v>442712.55999999988</v>
      </c>
      <c r="AM377" s="2496">
        <f t="shared" si="24"/>
        <v>442712.55999999988</v>
      </c>
      <c r="AN377" s="2496">
        <f t="shared" si="24"/>
        <v>442712.55999999988</v>
      </c>
      <c r="AO377" s="2496">
        <f t="shared" si="24"/>
        <v>442712.55999999988</v>
      </c>
      <c r="AP377" s="2496">
        <f t="shared" si="24"/>
        <v>442712.55999999988</v>
      </c>
      <c r="AQ377" s="2496">
        <f t="shared" si="24"/>
        <v>442712.55999999988</v>
      </c>
      <c r="AR377" s="2496">
        <f t="shared" si="24"/>
        <v>442712.55999999988</v>
      </c>
      <c r="AS377" s="2496">
        <f t="shared" si="24"/>
        <v>442712.55999999988</v>
      </c>
    </row>
    <row r="378" spans="2:45" s="2490" customFormat="1" x14ac:dyDescent="0.2">
      <c r="B378" s="2488"/>
      <c r="C378" s="2489" t="s">
        <v>1376</v>
      </c>
      <c r="D378" s="2493" t="s">
        <v>1517</v>
      </c>
      <c r="G378" s="2496">
        <f t="shared" si="24"/>
        <v>16265878.19053</v>
      </c>
      <c r="H378" s="2496">
        <f t="shared" si="24"/>
        <v>16212509.593471099</v>
      </c>
      <c r="I378" s="2496">
        <f t="shared" si="24"/>
        <v>16255940.333484512</v>
      </c>
      <c r="J378" s="2496">
        <f t="shared" si="24"/>
        <v>16251184.139995717</v>
      </c>
      <c r="K378" s="2496">
        <f t="shared" si="24"/>
        <v>16214557.312642159</v>
      </c>
      <c r="L378" s="2496">
        <f t="shared" si="24"/>
        <v>16143716.252773654</v>
      </c>
      <c r="M378" s="2496">
        <f t="shared" si="24"/>
        <v>16028067.840474904</v>
      </c>
      <c r="N378" s="2496">
        <f t="shared" si="24"/>
        <v>15917113.267671591</v>
      </c>
      <c r="O378" s="2496">
        <f t="shared" si="24"/>
        <v>15810793.975693084</v>
      </c>
      <c r="P378" s="2496">
        <f t="shared" si="24"/>
        <v>15705316.054974565</v>
      </c>
      <c r="Q378" s="2496">
        <f t="shared" si="24"/>
        <v>15595592.581167834</v>
      </c>
      <c r="R378" s="2496">
        <f t="shared" si="24"/>
        <v>15508338.754611239</v>
      </c>
      <c r="S378" s="2496">
        <f t="shared" si="24"/>
        <v>15438865.605640585</v>
      </c>
      <c r="T378" s="2496">
        <f t="shared" si="24"/>
        <v>15383493.930771155</v>
      </c>
      <c r="U378" s="2496">
        <f t="shared" si="24"/>
        <v>15339325.804787984</v>
      </c>
      <c r="V378" s="2496">
        <f t="shared" si="24"/>
        <v>15304071.603852734</v>
      </c>
      <c r="W378" s="2496">
        <f t="shared" si="24"/>
        <v>15275917.784774482</v>
      </c>
      <c r="X378" s="2496">
        <f t="shared" si="24"/>
        <v>15253424.989086211</v>
      </c>
      <c r="Y378" s="2496">
        <f t="shared" si="24"/>
        <v>15235448.977025496</v>
      </c>
      <c r="Z378" s="2496">
        <f t="shared" si="24"/>
        <v>15221078.925362192</v>
      </c>
      <c r="AA378" s="2496">
        <f t="shared" si="24"/>
        <v>15209589.04810453</v>
      </c>
      <c r="AB378" s="2496">
        <f t="shared" si="24"/>
        <v>15200400.516012968</v>
      </c>
      <c r="AC378" s="2496">
        <f t="shared" si="24"/>
        <v>15193051.387333967</v>
      </c>
      <c r="AD378" s="2496">
        <f t="shared" si="24"/>
        <v>15187172.802960113</v>
      </c>
      <c r="AE378" s="2496">
        <f t="shared" si="24"/>
        <v>15182470.101353567</v>
      </c>
      <c r="AF378" s="2496">
        <f t="shared" si="24"/>
        <v>15178707.810993943</v>
      </c>
      <c r="AG378" s="2496">
        <f t="shared" si="24"/>
        <v>15175697.707833258</v>
      </c>
      <c r="AH378" s="2496">
        <f t="shared" si="24"/>
        <v>15173289.301268043</v>
      </c>
      <c r="AI378" s="2496">
        <f t="shared" si="24"/>
        <v>15171362.248034274</v>
      </c>
      <c r="AJ378" s="2496">
        <f t="shared" si="24"/>
        <v>15169820.299015502</v>
      </c>
      <c r="AK378" s="2496">
        <f t="shared" si="24"/>
        <v>15168586.466430157</v>
      </c>
      <c r="AL378" s="2496">
        <f t="shared" si="24"/>
        <v>15167599.163574323</v>
      </c>
      <c r="AM378" s="2496">
        <f t="shared" si="24"/>
        <v>15166809.120260233</v>
      </c>
      <c r="AN378" s="2496">
        <f t="shared" si="24"/>
        <v>15166176.917345628</v>
      </c>
      <c r="AO378" s="2496">
        <f t="shared" si="24"/>
        <v>15165671.015629437</v>
      </c>
      <c r="AP378" s="2496">
        <f t="shared" si="24"/>
        <v>15165266.17968397</v>
      </c>
      <c r="AQ378" s="2496">
        <f t="shared" si="24"/>
        <v>15164942.217300577</v>
      </c>
      <c r="AR378" s="2496">
        <f t="shared" si="24"/>
        <v>15164682.971226361</v>
      </c>
      <c r="AS378" s="2496">
        <f t="shared" si="24"/>
        <v>15164475.512618164</v>
      </c>
    </row>
    <row r="379" spans="2:45" s="2490" customFormat="1" x14ac:dyDescent="0.2">
      <c r="B379" s="2488"/>
      <c r="C379" s="2489" t="s">
        <v>1377</v>
      </c>
      <c r="D379" s="2493" t="s">
        <v>1517</v>
      </c>
      <c r="G379" s="2496">
        <f t="shared" si="24"/>
        <v>0</v>
      </c>
      <c r="H379" s="2496">
        <f t="shared" si="24"/>
        <v>0</v>
      </c>
      <c r="I379" s="2496">
        <f t="shared" si="24"/>
        <v>0</v>
      </c>
      <c r="J379" s="2496">
        <f t="shared" si="24"/>
        <v>0</v>
      </c>
      <c r="K379" s="2496">
        <f t="shared" si="24"/>
        <v>0</v>
      </c>
      <c r="L379" s="2496">
        <f t="shared" si="24"/>
        <v>0</v>
      </c>
      <c r="M379" s="2496">
        <f t="shared" si="24"/>
        <v>0</v>
      </c>
      <c r="N379" s="2496">
        <f t="shared" si="24"/>
        <v>0</v>
      </c>
      <c r="O379" s="2496">
        <f t="shared" si="24"/>
        <v>0</v>
      </c>
      <c r="P379" s="2496">
        <f t="shared" si="24"/>
        <v>0</v>
      </c>
      <c r="Q379" s="2496">
        <f t="shared" si="24"/>
        <v>0</v>
      </c>
      <c r="R379" s="2496">
        <f t="shared" si="24"/>
        <v>0</v>
      </c>
      <c r="S379" s="2496">
        <f t="shared" si="24"/>
        <v>0</v>
      </c>
      <c r="T379" s="2496">
        <f t="shared" si="24"/>
        <v>0</v>
      </c>
      <c r="U379" s="2496">
        <f t="shared" si="24"/>
        <v>0</v>
      </c>
      <c r="V379" s="2496">
        <f t="shared" si="24"/>
        <v>0</v>
      </c>
      <c r="W379" s="2496">
        <f t="shared" si="24"/>
        <v>0</v>
      </c>
      <c r="X379" s="2496">
        <f t="shared" si="24"/>
        <v>0</v>
      </c>
      <c r="Y379" s="2496">
        <f t="shared" si="24"/>
        <v>0</v>
      </c>
      <c r="Z379" s="2496">
        <f t="shared" si="24"/>
        <v>0</v>
      </c>
      <c r="AA379" s="2496">
        <f t="shared" si="24"/>
        <v>0</v>
      </c>
      <c r="AB379" s="2496">
        <f t="shared" si="24"/>
        <v>0</v>
      </c>
      <c r="AC379" s="2496">
        <f t="shared" si="24"/>
        <v>0</v>
      </c>
      <c r="AD379" s="2496">
        <f t="shared" si="24"/>
        <v>0</v>
      </c>
      <c r="AE379" s="2496">
        <f t="shared" si="24"/>
        <v>0</v>
      </c>
      <c r="AF379" s="2496">
        <f t="shared" si="24"/>
        <v>0</v>
      </c>
      <c r="AG379" s="2496">
        <f t="shared" si="24"/>
        <v>0</v>
      </c>
      <c r="AH379" s="2496">
        <f t="shared" si="24"/>
        <v>0</v>
      </c>
      <c r="AI379" s="2496">
        <f t="shared" si="24"/>
        <v>0</v>
      </c>
      <c r="AJ379" s="2496">
        <f t="shared" si="24"/>
        <v>0</v>
      </c>
      <c r="AK379" s="2496">
        <f t="shared" si="24"/>
        <v>0</v>
      </c>
      <c r="AL379" s="2496">
        <f t="shared" si="24"/>
        <v>0</v>
      </c>
      <c r="AM379" s="2496">
        <f t="shared" si="24"/>
        <v>0</v>
      </c>
      <c r="AN379" s="2496">
        <f t="shared" si="24"/>
        <v>0</v>
      </c>
      <c r="AO379" s="2496">
        <f t="shared" si="24"/>
        <v>0</v>
      </c>
      <c r="AP379" s="2496">
        <f t="shared" si="24"/>
        <v>0</v>
      </c>
      <c r="AQ379" s="2496">
        <f t="shared" si="24"/>
        <v>0</v>
      </c>
      <c r="AR379" s="2496">
        <f t="shared" si="24"/>
        <v>0</v>
      </c>
      <c r="AS379" s="2496">
        <f t="shared" si="24"/>
        <v>0</v>
      </c>
    </row>
    <row r="380" spans="2:45" s="2490" customFormat="1" x14ac:dyDescent="0.2">
      <c r="B380" s="2488"/>
      <c r="C380" s="2495" t="s">
        <v>1378</v>
      </c>
      <c r="D380" s="2493" t="s">
        <v>1517</v>
      </c>
      <c r="G380" s="2496">
        <f t="shared" si="24"/>
        <v>427766.94015448762</v>
      </c>
      <c r="H380" s="2496">
        <f t="shared" si="24"/>
        <v>443054.98841812892</v>
      </c>
      <c r="I380" s="2496">
        <f t="shared" si="24"/>
        <v>459910.5624885349</v>
      </c>
      <c r="J380" s="2496">
        <f t="shared" si="24"/>
        <v>477344.80074944679</v>
      </c>
      <c r="K380" s="2496">
        <f t="shared" si="24"/>
        <v>494935.98574877629</v>
      </c>
      <c r="L380" s="2496">
        <f t="shared" si="24"/>
        <v>512520.45806081977</v>
      </c>
      <c r="M380" s="2496">
        <f t="shared" si="24"/>
        <v>531166.39711057697</v>
      </c>
      <c r="N380" s="2496">
        <f t="shared" si="24"/>
        <v>550514.9116090372</v>
      </c>
      <c r="O380" s="2496">
        <f t="shared" si="24"/>
        <v>569543.89185998694</v>
      </c>
      <c r="P380" s="2496">
        <f t="shared" si="24"/>
        <v>588710.1730290663</v>
      </c>
      <c r="Q380" s="2496">
        <f t="shared" si="24"/>
        <v>608027.43214039132</v>
      </c>
      <c r="R380" s="2496">
        <f t="shared" si="24"/>
        <v>626654.51022070553</v>
      </c>
      <c r="S380" s="2496">
        <f t="shared" si="24"/>
        <v>644781.47587159835</v>
      </c>
      <c r="T380" s="2496">
        <f t="shared" si="24"/>
        <v>662531.47035926988</v>
      </c>
      <c r="U380" s="2496">
        <f t="shared" si="24"/>
        <v>679981.7501771251</v>
      </c>
      <c r="V380" s="2496">
        <f t="shared" si="24"/>
        <v>697175.45634832256</v>
      </c>
      <c r="W380" s="2496">
        <f t="shared" si="24"/>
        <v>714137.13180850854</v>
      </c>
      <c r="X380" s="2496">
        <f t="shared" si="24"/>
        <v>730962.72550187935</v>
      </c>
      <c r="Y380" s="2496">
        <f t="shared" si="24"/>
        <v>747716.96180292161</v>
      </c>
      <c r="Z380" s="2496">
        <f t="shared" si="24"/>
        <v>764439.07181493565</v>
      </c>
      <c r="AA380" s="2496">
        <f t="shared" si="24"/>
        <v>781152.41421499848</v>
      </c>
      <c r="AB380" s="2496">
        <f t="shared" si="24"/>
        <v>797850.94632399245</v>
      </c>
      <c r="AC380" s="2496">
        <f t="shared" si="24"/>
        <v>814544.33651164093</v>
      </c>
      <c r="AD380" s="2496">
        <f t="shared" si="24"/>
        <v>831235.30233115889</v>
      </c>
      <c r="AE380" s="2496">
        <f t="shared" si="24"/>
        <v>847921.70453646721</v>
      </c>
      <c r="AF380" s="2496">
        <f t="shared" si="24"/>
        <v>864600.20478998136</v>
      </c>
      <c r="AG380" s="2496">
        <f t="shared" si="24"/>
        <v>881262.22718587704</v>
      </c>
      <c r="AH380" s="2496">
        <f t="shared" si="24"/>
        <v>897897.67158717429</v>
      </c>
      <c r="AI380" s="2496">
        <f t="shared" si="24"/>
        <v>914495.33333937568</v>
      </c>
      <c r="AJ380" s="2496">
        <f t="shared" si="24"/>
        <v>931067.00699669716</v>
      </c>
      <c r="AK380" s="2496">
        <f t="shared" si="24"/>
        <v>947593.33863046416</v>
      </c>
      <c r="AL380" s="2496">
        <f t="shared" si="24"/>
        <v>964059.10531758133</v>
      </c>
      <c r="AM380" s="2496">
        <f t="shared" si="24"/>
        <v>980444.51112930942</v>
      </c>
      <c r="AN380" s="2496">
        <f t="shared" si="24"/>
        <v>996733.92756336811</v>
      </c>
      <c r="AO380" s="2496">
        <f t="shared" si="24"/>
        <v>1012914.7102271231</v>
      </c>
      <c r="AP380" s="2496">
        <f t="shared" si="24"/>
        <v>1028968.4977511095</v>
      </c>
      <c r="AQ380" s="2496">
        <f t="shared" si="24"/>
        <v>1044880.7148128664</v>
      </c>
      <c r="AR380" s="2496">
        <f t="shared" si="24"/>
        <v>1060636.8101219141</v>
      </c>
      <c r="AS380" s="2496">
        <f t="shared" si="24"/>
        <v>1076222.2505098705</v>
      </c>
    </row>
    <row r="381" spans="2:45" s="2490" customFormat="1" x14ac:dyDescent="0.2">
      <c r="B381" s="2488"/>
      <c r="C381" s="2495" t="s">
        <v>1379</v>
      </c>
      <c r="D381" s="2493" t="s">
        <v>1517</v>
      </c>
      <c r="G381" s="2496">
        <f t="shared" si="24"/>
        <v>6487.870679795059</v>
      </c>
      <c r="H381" s="2496">
        <f t="shared" si="24"/>
        <v>6719.7419881414899</v>
      </c>
      <c r="I381" s="2496">
        <f t="shared" si="24"/>
        <v>6975.3877020505797</v>
      </c>
      <c r="J381" s="2496">
        <f t="shared" si="24"/>
        <v>7239.8099203657248</v>
      </c>
      <c r="K381" s="2496">
        <f t="shared" si="24"/>
        <v>7506.6125239955954</v>
      </c>
      <c r="L381" s="2496">
        <f t="shared" si="24"/>
        <v>7773.3133174037384</v>
      </c>
      <c r="M381" s="2496">
        <f t="shared" si="24"/>
        <v>8056.113201879326</v>
      </c>
      <c r="N381" s="2496">
        <f t="shared" si="24"/>
        <v>8349.5689323918668</v>
      </c>
      <c r="O381" s="2496">
        <f t="shared" si="24"/>
        <v>8638.1783396357969</v>
      </c>
      <c r="P381" s="2496">
        <f t="shared" si="24"/>
        <v>8928.8701672760326</v>
      </c>
      <c r="Q381" s="2496">
        <f t="shared" si="24"/>
        <v>9221.851852483187</v>
      </c>
      <c r="R381" s="2496">
        <f t="shared" si="24"/>
        <v>9504.3656757437657</v>
      </c>
      <c r="S381" s="2496">
        <f t="shared" si="24"/>
        <v>9779.2943762123123</v>
      </c>
      <c r="T381" s="2496">
        <f t="shared" si="24"/>
        <v>10048.505617178005</v>
      </c>
      <c r="U381" s="2496">
        <f t="shared" si="24"/>
        <v>10313.171135143453</v>
      </c>
      <c r="V381" s="2496">
        <f t="shared" si="24"/>
        <v>10573.945242896702</v>
      </c>
      <c r="W381" s="2496">
        <f t="shared" si="24"/>
        <v>10831.200179097703</v>
      </c>
      <c r="X381" s="2496">
        <f t="shared" si="24"/>
        <v>11086.391185569453</v>
      </c>
      <c r="Y381" s="2496">
        <f t="shared" si="24"/>
        <v>11340.49992623238</v>
      </c>
      <c r="Z381" s="2496">
        <f t="shared" si="24"/>
        <v>11594.121412764445</v>
      </c>
      <c r="AA381" s="2496">
        <f t="shared" si="24"/>
        <v>11847.609922371059</v>
      </c>
      <c r="AB381" s="2496">
        <f t="shared" ref="AB381:AS381" si="25">AB87*AB117/1000</f>
        <v>12100.873806733962</v>
      </c>
      <c r="AC381" s="2496">
        <f t="shared" si="25"/>
        <v>12354.059704423269</v>
      </c>
      <c r="AD381" s="2496">
        <f t="shared" si="25"/>
        <v>12607.208832120712</v>
      </c>
      <c r="AE381" s="2496">
        <f t="shared" si="25"/>
        <v>12860.288744233578</v>
      </c>
      <c r="AF381" s="2496">
        <f t="shared" si="25"/>
        <v>13113.248808745926</v>
      </c>
      <c r="AG381" s="2496">
        <f t="shared" si="25"/>
        <v>13365.958956307539</v>
      </c>
      <c r="AH381" s="2496">
        <f t="shared" si="25"/>
        <v>13618.265999805477</v>
      </c>
      <c r="AI381" s="2496">
        <f t="shared" si="25"/>
        <v>13870.000000091644</v>
      </c>
      <c r="AJ381" s="2496">
        <f t="shared" si="25"/>
        <v>14121.339843225944</v>
      </c>
      <c r="AK381" s="2496">
        <f t="shared" si="25"/>
        <v>14371.991991361943</v>
      </c>
      <c r="AL381" s="2496">
        <f t="shared" si="25"/>
        <v>14621.725560933992</v>
      </c>
      <c r="AM381" s="2496">
        <f t="shared" si="25"/>
        <v>14870.240310353529</v>
      </c>
      <c r="AN381" s="2496">
        <f t="shared" si="25"/>
        <v>15117.299204702245</v>
      </c>
      <c r="AO381" s="2496">
        <f t="shared" si="25"/>
        <v>15362.710468561016</v>
      </c>
      <c r="AP381" s="2496">
        <f t="shared" si="25"/>
        <v>15606.195618065361</v>
      </c>
      <c r="AQ381" s="2496">
        <f t="shared" si="25"/>
        <v>15847.533591701715</v>
      </c>
      <c r="AR381" s="2496">
        <f t="shared" si="25"/>
        <v>16086.503692445614</v>
      </c>
      <c r="AS381" s="2496">
        <f t="shared" si="25"/>
        <v>16322.885498127462</v>
      </c>
    </row>
    <row r="382" spans="2:45" s="2490" customFormat="1" x14ac:dyDescent="0.2">
      <c r="B382" s="2488"/>
      <c r="C382" s="2495" t="s">
        <v>1380</v>
      </c>
      <c r="D382" s="2493" t="s">
        <v>1517</v>
      </c>
      <c r="G382" s="2496">
        <f t="shared" ref="G382:AS383" si="26">G88*G118/1000</f>
        <v>3890992.3090290902</v>
      </c>
      <c r="H382" s="2496">
        <f t="shared" si="26"/>
        <v>4030053.2616880559</v>
      </c>
      <c r="I382" s="2496">
        <f t="shared" si="26"/>
        <v>4183372.5178431342</v>
      </c>
      <c r="J382" s="2496">
        <f t="shared" si="26"/>
        <v>4341955.3362406706</v>
      </c>
      <c r="K382" s="2496">
        <f t="shared" si="26"/>
        <v>4501965.7510576248</v>
      </c>
      <c r="L382" s="2496">
        <f t="shared" si="26"/>
        <v>4661915.1068909345</v>
      </c>
      <c r="M382" s="2496">
        <f t="shared" si="26"/>
        <v>4831519.6242737621</v>
      </c>
      <c r="N382" s="2496">
        <f t="shared" si="26"/>
        <v>5007514.8077198155</v>
      </c>
      <c r="O382" s="2496">
        <f t="shared" si="26"/>
        <v>5180603.4895575745</v>
      </c>
      <c r="P382" s="2496">
        <f t="shared" si="26"/>
        <v>5354941.068321012</v>
      </c>
      <c r="Q382" s="2496">
        <f t="shared" si="26"/>
        <v>5530651.9509959156</v>
      </c>
      <c r="R382" s="2496">
        <f t="shared" si="26"/>
        <v>5700084.9079327267</v>
      </c>
      <c r="S382" s="2496">
        <f t="shared" si="26"/>
        <v>5864968.8138937298</v>
      </c>
      <c r="T382" s="2496">
        <f t="shared" si="26"/>
        <v>6026423.7688088892</v>
      </c>
      <c r="U382" s="2496">
        <f t="shared" si="26"/>
        <v>6185152.5021167016</v>
      </c>
      <c r="V382" s="2496">
        <f t="shared" si="26"/>
        <v>6341547.4270065809</v>
      </c>
      <c r="W382" s="2496">
        <f t="shared" si="26"/>
        <v>6495831.7874108618</v>
      </c>
      <c r="X382" s="2496">
        <f t="shared" si="26"/>
        <v>6648878.3403588533</v>
      </c>
      <c r="Y382" s="2496">
        <f t="shared" si="26"/>
        <v>6801275.8224257659</v>
      </c>
      <c r="Z382" s="2496">
        <f t="shared" si="26"/>
        <v>6953381.0819485961</v>
      </c>
      <c r="AA382" s="2496">
        <f t="shared" si="26"/>
        <v>7105406.5907766698</v>
      </c>
      <c r="AB382" s="2496">
        <f t="shared" si="26"/>
        <v>7257297.3843585802</v>
      </c>
      <c r="AC382" s="2496">
        <f t="shared" si="26"/>
        <v>7409141.4067327818</v>
      </c>
      <c r="AD382" s="2496">
        <f t="shared" si="26"/>
        <v>7560963.3769171946</v>
      </c>
      <c r="AE382" s="2496">
        <f t="shared" si="26"/>
        <v>7712743.836208351</v>
      </c>
      <c r="AF382" s="2496">
        <f t="shared" si="26"/>
        <v>7864452.4188985555</v>
      </c>
      <c r="AG382" s="2496">
        <f t="shared" si="26"/>
        <v>8016011.1180628417</v>
      </c>
      <c r="AH382" s="2496">
        <f t="shared" si="26"/>
        <v>8167328.0622833362</v>
      </c>
      <c r="AI382" s="2496">
        <f t="shared" si="26"/>
        <v>8318301.3333882941</v>
      </c>
      <c r="AJ382" s="2496">
        <f t="shared" si="26"/>
        <v>8469038.2153107058</v>
      </c>
      <c r="AK382" s="2496">
        <f t="shared" si="26"/>
        <v>8619362.663619468</v>
      </c>
      <c r="AL382" s="2496">
        <f t="shared" si="26"/>
        <v>8769136.2097441461</v>
      </c>
      <c r="AM382" s="2496">
        <f t="shared" si="26"/>
        <v>8918178.7887960225</v>
      </c>
      <c r="AN382" s="2496">
        <f t="shared" si="26"/>
        <v>9066348.2430334259</v>
      </c>
      <c r="AO382" s="2496">
        <f t="shared" si="26"/>
        <v>9213529.5583449937</v>
      </c>
      <c r="AP382" s="2496">
        <f t="shared" si="26"/>
        <v>9359555.7186744008</v>
      </c>
      <c r="AQ382" s="2496">
        <f t="shared" si="26"/>
        <v>9504294.1460632421</v>
      </c>
      <c r="AR382" s="2496">
        <f t="shared" si="26"/>
        <v>9647612.481149381</v>
      </c>
      <c r="AS382" s="2496">
        <f t="shared" si="26"/>
        <v>9789378.5294103082</v>
      </c>
    </row>
    <row r="383" spans="2:45" s="2490" customFormat="1" x14ac:dyDescent="0.2">
      <c r="B383" s="2488"/>
      <c r="C383" s="2489" t="s">
        <v>1381</v>
      </c>
      <c r="D383" s="2493" t="s">
        <v>1517</v>
      </c>
      <c r="G383" s="2496">
        <f t="shared" si="26"/>
        <v>0</v>
      </c>
      <c r="H383" s="2496">
        <f t="shared" si="26"/>
        <v>0</v>
      </c>
      <c r="I383" s="2496">
        <f t="shared" si="26"/>
        <v>0</v>
      </c>
      <c r="J383" s="2496">
        <f t="shared" si="26"/>
        <v>0</v>
      </c>
      <c r="K383" s="2496">
        <f t="shared" si="26"/>
        <v>0</v>
      </c>
      <c r="L383" s="2496">
        <f t="shared" si="26"/>
        <v>0</v>
      </c>
      <c r="M383" s="2496">
        <f t="shared" si="26"/>
        <v>0</v>
      </c>
      <c r="N383" s="2496">
        <f t="shared" si="26"/>
        <v>0</v>
      </c>
      <c r="O383" s="2496">
        <f t="shared" si="26"/>
        <v>0</v>
      </c>
      <c r="P383" s="2496">
        <f t="shared" si="26"/>
        <v>0</v>
      </c>
      <c r="Q383" s="2496">
        <f t="shared" si="26"/>
        <v>0</v>
      </c>
      <c r="R383" s="2496">
        <f t="shared" si="26"/>
        <v>0</v>
      </c>
      <c r="S383" s="2496">
        <f t="shared" si="26"/>
        <v>0</v>
      </c>
      <c r="T383" s="2496">
        <f t="shared" si="26"/>
        <v>0</v>
      </c>
      <c r="U383" s="2496">
        <f t="shared" si="26"/>
        <v>0</v>
      </c>
      <c r="V383" s="2496">
        <f t="shared" si="26"/>
        <v>0</v>
      </c>
      <c r="W383" s="2496">
        <f t="shared" si="26"/>
        <v>0</v>
      </c>
      <c r="X383" s="2496">
        <f t="shared" si="26"/>
        <v>0</v>
      </c>
      <c r="Y383" s="2496">
        <f t="shared" si="26"/>
        <v>0</v>
      </c>
      <c r="Z383" s="2496">
        <f t="shared" si="26"/>
        <v>0</v>
      </c>
      <c r="AA383" s="2496">
        <f t="shared" si="26"/>
        <v>0</v>
      </c>
      <c r="AB383" s="2496">
        <f t="shared" si="26"/>
        <v>0</v>
      </c>
      <c r="AC383" s="2496">
        <f t="shared" si="26"/>
        <v>0</v>
      </c>
      <c r="AD383" s="2496">
        <f t="shared" si="26"/>
        <v>0</v>
      </c>
      <c r="AE383" s="2496">
        <f t="shared" si="26"/>
        <v>0</v>
      </c>
      <c r="AF383" s="2496">
        <f t="shared" si="26"/>
        <v>0</v>
      </c>
      <c r="AG383" s="2496">
        <f t="shared" si="26"/>
        <v>0</v>
      </c>
      <c r="AH383" s="2496">
        <f t="shared" si="26"/>
        <v>0</v>
      </c>
      <c r="AI383" s="2496">
        <f t="shared" si="26"/>
        <v>0</v>
      </c>
      <c r="AJ383" s="2496">
        <f t="shared" si="26"/>
        <v>0</v>
      </c>
      <c r="AK383" s="2496">
        <f t="shared" si="26"/>
        <v>0</v>
      </c>
      <c r="AL383" s="2496">
        <f t="shared" si="26"/>
        <v>0</v>
      </c>
      <c r="AM383" s="2496">
        <f t="shared" si="26"/>
        <v>0</v>
      </c>
      <c r="AN383" s="2496">
        <f t="shared" si="26"/>
        <v>0</v>
      </c>
      <c r="AO383" s="2496">
        <f t="shared" si="26"/>
        <v>0</v>
      </c>
      <c r="AP383" s="2496">
        <f t="shared" si="26"/>
        <v>0</v>
      </c>
      <c r="AQ383" s="2496">
        <f t="shared" si="26"/>
        <v>0</v>
      </c>
      <c r="AR383" s="2496">
        <f t="shared" si="26"/>
        <v>0</v>
      </c>
      <c r="AS383" s="2496">
        <f t="shared" si="26"/>
        <v>0</v>
      </c>
    </row>
    <row r="384" spans="2:45" s="2490" customFormat="1" x14ac:dyDescent="0.2">
      <c r="B384" s="2488"/>
      <c r="C384" s="2497" t="s">
        <v>118</v>
      </c>
      <c r="D384" s="2498" t="s">
        <v>1517</v>
      </c>
      <c r="E384" s="2499"/>
      <c r="F384" s="2499"/>
      <c r="G384" s="2500">
        <f>SUM(G368:G383)</f>
        <v>234984455.45442337</v>
      </c>
      <c r="H384" s="2500">
        <f>SUM(H368:H383)</f>
        <v>234399950.89988098</v>
      </c>
      <c r="I384" s="2500">
        <f t="shared" ref="I384:AS384" si="27">SUM(I368:I383)</f>
        <v>235171824.26398569</v>
      </c>
      <c r="J384" s="2500">
        <f t="shared" si="27"/>
        <v>235282230.54060003</v>
      </c>
      <c r="K384" s="2500">
        <f t="shared" si="27"/>
        <v>234952862.38020548</v>
      </c>
      <c r="L384" s="2500">
        <f t="shared" si="27"/>
        <v>234149609.59461063</v>
      </c>
      <c r="M384" s="2500">
        <f t="shared" si="27"/>
        <v>232736573.66854972</v>
      </c>
      <c r="N384" s="2500">
        <f t="shared" si="27"/>
        <v>231395644.40680486</v>
      </c>
      <c r="O384" s="2500">
        <f t="shared" si="27"/>
        <v>230115676.0784581</v>
      </c>
      <c r="P384" s="2500">
        <f t="shared" si="27"/>
        <v>228848747.78369865</v>
      </c>
      <c r="Q384" s="2500">
        <f t="shared" si="27"/>
        <v>227524551.40048575</v>
      </c>
      <c r="R384" s="2500">
        <f t="shared" si="27"/>
        <v>226504547.97827944</v>
      </c>
      <c r="S384" s="2500">
        <f t="shared" si="27"/>
        <v>225725724.01621813</v>
      </c>
      <c r="T384" s="2500">
        <f t="shared" si="27"/>
        <v>225138373.07125139</v>
      </c>
      <c r="U384" s="2500">
        <f t="shared" si="27"/>
        <v>224703144.30301204</v>
      </c>
      <c r="V384" s="2500">
        <f t="shared" si="27"/>
        <v>224388766.00054279</v>
      </c>
      <c r="W384" s="2500">
        <f t="shared" si="27"/>
        <v>224170371.41957068</v>
      </c>
      <c r="X384" s="2500">
        <f t="shared" si="27"/>
        <v>224028997.72549972</v>
      </c>
      <c r="Y384" s="2500">
        <f t="shared" si="27"/>
        <v>223949453.32473102</v>
      </c>
      <c r="Z384" s="2500">
        <f t="shared" si="27"/>
        <v>223919521.33085096</v>
      </c>
      <c r="AA384" s="2500">
        <f t="shared" si="27"/>
        <v>223929386.86114568</v>
      </c>
      <c r="AB384" s="2500">
        <f t="shared" si="27"/>
        <v>223970972.88389423</v>
      </c>
      <c r="AC384" s="2500">
        <f t="shared" si="27"/>
        <v>224037979.94490632</v>
      </c>
      <c r="AD384" s="2500">
        <f t="shared" si="27"/>
        <v>224125327.36634943</v>
      </c>
      <c r="AE384" s="2500">
        <f t="shared" si="27"/>
        <v>224228912.88931638</v>
      </c>
      <c r="AF384" s="2500">
        <f t="shared" si="27"/>
        <v>224345441.82522285</v>
      </c>
      <c r="AG384" s="2500">
        <f t="shared" si="27"/>
        <v>224472220.83519894</v>
      </c>
      <c r="AH384" s="2500">
        <f t="shared" si="27"/>
        <v>224607063.72118989</v>
      </c>
      <c r="AI384" s="2500">
        <f t="shared" si="27"/>
        <v>224748190.61338735</v>
      </c>
      <c r="AJ384" s="2500">
        <f t="shared" si="27"/>
        <v>224894387.86059526</v>
      </c>
      <c r="AK384" s="2500">
        <f t="shared" si="27"/>
        <v>225044393.60347918</v>
      </c>
      <c r="AL384" s="2500">
        <f t="shared" si="27"/>
        <v>225197201.03447792</v>
      </c>
      <c r="AM384" s="2500">
        <f t="shared" si="27"/>
        <v>225351927.67296499</v>
      </c>
      <c r="AN384" s="2500">
        <f t="shared" si="27"/>
        <v>225507869.59857252</v>
      </c>
      <c r="AO384" s="2500">
        <f t="shared" si="27"/>
        <v>225664462.18951651</v>
      </c>
      <c r="AP384" s="2500">
        <f t="shared" si="27"/>
        <v>225821170.31636444</v>
      </c>
      <c r="AQ384" s="2500">
        <f t="shared" si="27"/>
        <v>225977566.97241002</v>
      </c>
      <c r="AR384" s="2500">
        <f t="shared" si="27"/>
        <v>226133281.27213717</v>
      </c>
      <c r="AS384" s="2500">
        <f t="shared" si="27"/>
        <v>226287987.22198814</v>
      </c>
    </row>
    <row r="385" spans="2:45" s="2490" customFormat="1" x14ac:dyDescent="0.2">
      <c r="B385" s="2488"/>
      <c r="C385" s="2501"/>
      <c r="D385" s="2502"/>
      <c r="E385" s="2503"/>
      <c r="F385" s="2503"/>
      <c r="G385" s="2503"/>
      <c r="H385" s="2503"/>
      <c r="I385" s="2503"/>
      <c r="J385" s="2503"/>
      <c r="K385" s="2503"/>
      <c r="L385" s="2503"/>
      <c r="M385" s="2503"/>
      <c r="N385" s="2503"/>
      <c r="O385" s="2503"/>
      <c r="P385" s="2503"/>
      <c r="Q385" s="2503"/>
      <c r="R385" s="2503"/>
      <c r="S385" s="2503"/>
      <c r="T385" s="2503"/>
      <c r="U385" s="2503"/>
      <c r="V385" s="2503"/>
      <c r="W385" s="2503"/>
      <c r="X385" s="2503"/>
      <c r="Y385" s="2503"/>
      <c r="Z385" s="2503"/>
      <c r="AA385" s="2503"/>
      <c r="AB385" s="2503"/>
      <c r="AC385" s="2503"/>
      <c r="AD385" s="2503"/>
      <c r="AE385" s="2503"/>
      <c r="AF385" s="2503"/>
      <c r="AG385" s="2503"/>
      <c r="AH385" s="2503"/>
      <c r="AI385" s="2503"/>
      <c r="AJ385" s="2503"/>
      <c r="AK385" s="2503"/>
      <c r="AL385" s="2503"/>
      <c r="AM385" s="2503"/>
      <c r="AN385" s="2503"/>
      <c r="AO385" s="2503"/>
      <c r="AP385" s="2503"/>
      <c r="AQ385" s="2503"/>
    </row>
    <row r="386" spans="2:45" s="2490" customFormat="1" x14ac:dyDescent="0.2">
      <c r="B386" s="2488">
        <v>2</v>
      </c>
      <c r="C386" s="2489" t="s">
        <v>1518</v>
      </c>
      <c r="D386" s="2502"/>
      <c r="E386" s="2503"/>
      <c r="F386" s="2503"/>
      <c r="G386" s="2503"/>
      <c r="H386" s="2503"/>
      <c r="I386" s="2503"/>
      <c r="J386" s="2503"/>
      <c r="K386" s="2503"/>
      <c r="L386" s="2503"/>
      <c r="M386" s="2503"/>
      <c r="N386" s="2503"/>
      <c r="O386" s="2503"/>
      <c r="P386" s="2503"/>
      <c r="Q386" s="2503"/>
      <c r="R386" s="2503"/>
      <c r="S386" s="2503"/>
      <c r="T386" s="2503"/>
      <c r="U386" s="2503"/>
      <c r="V386" s="2503"/>
      <c r="W386" s="2503"/>
      <c r="X386" s="2503"/>
      <c r="Y386" s="2503"/>
      <c r="Z386" s="2503"/>
      <c r="AA386" s="2503"/>
      <c r="AB386" s="2503"/>
      <c r="AC386" s="2503"/>
      <c r="AD386" s="2503"/>
      <c r="AE386" s="2503"/>
      <c r="AF386" s="2503"/>
      <c r="AG386" s="2503"/>
      <c r="AH386" s="2503"/>
      <c r="AI386" s="2503"/>
      <c r="AJ386" s="2503"/>
      <c r="AK386" s="2503"/>
      <c r="AL386" s="2503"/>
      <c r="AM386" s="2503"/>
      <c r="AN386" s="2503"/>
      <c r="AO386" s="2503"/>
      <c r="AP386" s="2503"/>
      <c r="AQ386" s="2503"/>
    </row>
    <row r="387" spans="2:45" s="2490" customFormat="1" x14ac:dyDescent="0.2">
      <c r="B387" s="3612"/>
      <c r="C387" s="2504"/>
      <c r="D387" s="2492" t="s">
        <v>1029</v>
      </c>
      <c r="E387" s="2492" t="s">
        <v>8</v>
      </c>
      <c r="F387" s="2492"/>
      <c r="G387" s="2492">
        <v>2012</v>
      </c>
      <c r="H387" s="2492">
        <v>2013</v>
      </c>
      <c r="I387" s="2492">
        <v>2014</v>
      </c>
      <c r="J387" s="2492">
        <v>2015</v>
      </c>
      <c r="K387" s="2492">
        <v>2016</v>
      </c>
      <c r="L387" s="2492">
        <v>2017</v>
      </c>
      <c r="M387" s="2492">
        <v>2018</v>
      </c>
      <c r="N387" s="2492">
        <v>2019</v>
      </c>
      <c r="O387" s="2492">
        <v>2020</v>
      </c>
      <c r="P387" s="2492">
        <v>2021</v>
      </c>
      <c r="Q387" s="2492">
        <v>2022</v>
      </c>
      <c r="R387" s="2492">
        <v>2023</v>
      </c>
      <c r="S387" s="2492">
        <v>2024</v>
      </c>
      <c r="T387" s="2492">
        <v>2025</v>
      </c>
      <c r="U387" s="2492">
        <v>2026</v>
      </c>
      <c r="V387" s="2492">
        <v>2027</v>
      </c>
      <c r="W387" s="2492">
        <v>2028</v>
      </c>
      <c r="X387" s="2492">
        <v>2029</v>
      </c>
      <c r="Y387" s="2492">
        <v>2030</v>
      </c>
      <c r="Z387" s="2492">
        <v>2031</v>
      </c>
      <c r="AA387" s="2492">
        <v>2032</v>
      </c>
      <c r="AB387" s="2492">
        <v>2033</v>
      </c>
      <c r="AC387" s="2492">
        <v>2034</v>
      </c>
      <c r="AD387" s="2492">
        <v>2035</v>
      </c>
      <c r="AE387" s="2492">
        <v>2036</v>
      </c>
      <c r="AF387" s="2492">
        <v>2037</v>
      </c>
      <c r="AG387" s="2492">
        <v>2038</v>
      </c>
      <c r="AH387" s="2492">
        <v>2039</v>
      </c>
      <c r="AI387" s="2492">
        <v>2040</v>
      </c>
      <c r="AJ387" s="2492">
        <v>2041</v>
      </c>
      <c r="AK387" s="2492">
        <v>2042</v>
      </c>
      <c r="AL387" s="2492">
        <v>2043</v>
      </c>
      <c r="AM387" s="2492">
        <v>2044</v>
      </c>
      <c r="AN387" s="2492">
        <v>2045</v>
      </c>
      <c r="AO387" s="2492">
        <v>2046</v>
      </c>
      <c r="AP387" s="2492">
        <v>2047</v>
      </c>
      <c r="AQ387" s="2492">
        <v>2048</v>
      </c>
      <c r="AR387" s="2492">
        <v>2049</v>
      </c>
      <c r="AS387" s="2492">
        <v>2050</v>
      </c>
    </row>
    <row r="388" spans="2:45" s="2490" customFormat="1" x14ac:dyDescent="0.2">
      <c r="B388" s="3612"/>
      <c r="C388" s="2489" t="s">
        <v>1393</v>
      </c>
      <c r="D388" s="2493" t="s">
        <v>1517</v>
      </c>
      <c r="G388" s="2496">
        <f t="shared" ref="G388:AS391" si="28">G95*G124*1000</f>
        <v>4054479</v>
      </c>
      <c r="H388" s="2496">
        <f t="shared" si="28"/>
        <v>4030143</v>
      </c>
      <c r="I388" s="2496">
        <f t="shared" si="28"/>
        <v>3935841.0000000005</v>
      </c>
      <c r="J388" s="2496">
        <f t="shared" si="28"/>
        <v>3815851</v>
      </c>
      <c r="K388" s="2496">
        <f t="shared" si="28"/>
        <v>3686904</v>
      </c>
      <c r="L388" s="2496">
        <f t="shared" si="28"/>
        <v>3555759.9999999995</v>
      </c>
      <c r="M388" s="2496">
        <f t="shared" si="28"/>
        <v>3424953.9999999995</v>
      </c>
      <c r="N388" s="2496">
        <f t="shared" si="28"/>
        <v>3424953.9999999995</v>
      </c>
      <c r="O388" s="2496">
        <f t="shared" si="28"/>
        <v>3424953.9999999995</v>
      </c>
      <c r="P388" s="2496">
        <f t="shared" si="28"/>
        <v>3424953.9999999995</v>
      </c>
      <c r="Q388" s="2496">
        <f t="shared" si="28"/>
        <v>3424953.9999999995</v>
      </c>
      <c r="R388" s="2496">
        <f t="shared" si="28"/>
        <v>3424953.9999999995</v>
      </c>
      <c r="S388" s="2496">
        <f t="shared" si="28"/>
        <v>3424953.9999999995</v>
      </c>
      <c r="T388" s="2496">
        <f t="shared" si="28"/>
        <v>3424953.9999999995</v>
      </c>
      <c r="U388" s="2496">
        <f t="shared" si="28"/>
        <v>3424953.9999999995</v>
      </c>
      <c r="V388" s="2496">
        <f t="shared" si="28"/>
        <v>3424953.9999999995</v>
      </c>
      <c r="W388" s="2496">
        <f t="shared" si="28"/>
        <v>3424953.9999999995</v>
      </c>
      <c r="X388" s="2496">
        <f t="shared" si="28"/>
        <v>3424953.9999999995</v>
      </c>
      <c r="Y388" s="2496">
        <f t="shared" si="28"/>
        <v>3424953.9999999995</v>
      </c>
      <c r="Z388" s="2496">
        <f t="shared" si="28"/>
        <v>3424953.9999999995</v>
      </c>
      <c r="AA388" s="2496">
        <f t="shared" si="28"/>
        <v>3424953.9999999995</v>
      </c>
      <c r="AB388" s="2496">
        <f t="shared" si="28"/>
        <v>3424953.9999999995</v>
      </c>
      <c r="AC388" s="2496">
        <f t="shared" si="28"/>
        <v>3424953.9999999995</v>
      </c>
      <c r="AD388" s="2496">
        <f t="shared" si="28"/>
        <v>3424953.9999999995</v>
      </c>
      <c r="AE388" s="2496">
        <f t="shared" si="28"/>
        <v>3424953.9999999995</v>
      </c>
      <c r="AF388" s="2496">
        <f t="shared" si="28"/>
        <v>3424953.9999999995</v>
      </c>
      <c r="AG388" s="2496">
        <f t="shared" si="28"/>
        <v>3424953.9999999995</v>
      </c>
      <c r="AH388" s="2496">
        <f t="shared" si="28"/>
        <v>3424953.9999999995</v>
      </c>
      <c r="AI388" s="2496">
        <f t="shared" si="28"/>
        <v>3424953.9999999995</v>
      </c>
      <c r="AJ388" s="2496">
        <f t="shared" si="28"/>
        <v>3424953.9999999995</v>
      </c>
      <c r="AK388" s="2496">
        <f t="shared" si="28"/>
        <v>3424953.9999999995</v>
      </c>
      <c r="AL388" s="2496">
        <f t="shared" si="28"/>
        <v>3424953.9999999995</v>
      </c>
      <c r="AM388" s="2496">
        <f t="shared" si="28"/>
        <v>3424953.9999999995</v>
      </c>
      <c r="AN388" s="2496">
        <f t="shared" si="28"/>
        <v>3424953.9999999995</v>
      </c>
      <c r="AO388" s="2496">
        <f t="shared" si="28"/>
        <v>3424953.9999999995</v>
      </c>
      <c r="AP388" s="2496">
        <f t="shared" si="28"/>
        <v>3424953.9999999995</v>
      </c>
      <c r="AQ388" s="2496">
        <f t="shared" si="28"/>
        <v>3424953.9999999995</v>
      </c>
      <c r="AR388" s="2496">
        <f t="shared" si="28"/>
        <v>3424953.9999999995</v>
      </c>
      <c r="AS388" s="2496">
        <f t="shared" si="28"/>
        <v>3424953.9999999995</v>
      </c>
    </row>
    <row r="389" spans="2:45" s="2490" customFormat="1" x14ac:dyDescent="0.2">
      <c r="B389" s="3612"/>
      <c r="C389" s="2489" t="s">
        <v>1395</v>
      </c>
      <c r="D389" s="2493" t="s">
        <v>1517</v>
      </c>
      <c r="G389" s="2496">
        <f t="shared" si="28"/>
        <v>0</v>
      </c>
      <c r="H389" s="2496">
        <f t="shared" si="28"/>
        <v>0</v>
      </c>
      <c r="I389" s="2496">
        <f t="shared" si="28"/>
        <v>0</v>
      </c>
      <c r="J389" s="2496">
        <f t="shared" si="28"/>
        <v>0</v>
      </c>
      <c r="K389" s="2496">
        <f t="shared" si="28"/>
        <v>0</v>
      </c>
      <c r="L389" s="2496">
        <f t="shared" si="28"/>
        <v>0</v>
      </c>
      <c r="M389" s="2496">
        <f t="shared" si="28"/>
        <v>0</v>
      </c>
      <c r="N389" s="2496">
        <f t="shared" si="28"/>
        <v>0</v>
      </c>
      <c r="O389" s="2496">
        <f t="shared" si="28"/>
        <v>0</v>
      </c>
      <c r="P389" s="2496">
        <f t="shared" si="28"/>
        <v>0</v>
      </c>
      <c r="Q389" s="2496">
        <f t="shared" si="28"/>
        <v>0</v>
      </c>
      <c r="R389" s="2496">
        <f t="shared" si="28"/>
        <v>0</v>
      </c>
      <c r="S389" s="2496">
        <f t="shared" si="28"/>
        <v>0</v>
      </c>
      <c r="T389" s="2496">
        <f t="shared" si="28"/>
        <v>0</v>
      </c>
      <c r="U389" s="2496">
        <f t="shared" si="28"/>
        <v>0</v>
      </c>
      <c r="V389" s="2496">
        <f t="shared" si="28"/>
        <v>0</v>
      </c>
      <c r="W389" s="2496">
        <f t="shared" si="28"/>
        <v>0</v>
      </c>
      <c r="X389" s="2496">
        <f t="shared" si="28"/>
        <v>0</v>
      </c>
      <c r="Y389" s="2496">
        <f t="shared" si="28"/>
        <v>0</v>
      </c>
      <c r="Z389" s="2496">
        <f t="shared" si="28"/>
        <v>0</v>
      </c>
      <c r="AA389" s="2496">
        <f t="shared" si="28"/>
        <v>0</v>
      </c>
      <c r="AB389" s="2496">
        <f t="shared" si="28"/>
        <v>0</v>
      </c>
      <c r="AC389" s="2496">
        <f t="shared" si="28"/>
        <v>0</v>
      </c>
      <c r="AD389" s="2496">
        <f t="shared" si="28"/>
        <v>0</v>
      </c>
      <c r="AE389" s="2496">
        <f t="shared" si="28"/>
        <v>0</v>
      </c>
      <c r="AF389" s="2496">
        <f t="shared" si="28"/>
        <v>0</v>
      </c>
      <c r="AG389" s="2496">
        <f t="shared" si="28"/>
        <v>0</v>
      </c>
      <c r="AH389" s="2496">
        <f t="shared" si="28"/>
        <v>0</v>
      </c>
      <c r="AI389" s="2496">
        <f t="shared" si="28"/>
        <v>0</v>
      </c>
      <c r="AJ389" s="2496">
        <f t="shared" si="28"/>
        <v>0</v>
      </c>
      <c r="AK389" s="2496">
        <f t="shared" si="28"/>
        <v>0</v>
      </c>
      <c r="AL389" s="2496">
        <f t="shared" si="28"/>
        <v>0</v>
      </c>
      <c r="AM389" s="2496">
        <f t="shared" si="28"/>
        <v>0</v>
      </c>
      <c r="AN389" s="2496">
        <f t="shared" si="28"/>
        <v>0</v>
      </c>
      <c r="AO389" s="2496">
        <f t="shared" si="28"/>
        <v>0</v>
      </c>
      <c r="AP389" s="2496">
        <f t="shared" si="28"/>
        <v>0</v>
      </c>
      <c r="AQ389" s="2496">
        <f t="shared" si="28"/>
        <v>0</v>
      </c>
      <c r="AR389" s="2496">
        <f t="shared" si="28"/>
        <v>0</v>
      </c>
      <c r="AS389" s="2496">
        <f t="shared" si="28"/>
        <v>0</v>
      </c>
    </row>
    <row r="390" spans="2:45" s="2490" customFormat="1" x14ac:dyDescent="0.2">
      <c r="B390" s="2505" t="s">
        <v>1519</v>
      </c>
      <c r="C390" s="2489" t="s">
        <v>1396</v>
      </c>
      <c r="D390" s="2493" t="s">
        <v>1517</v>
      </c>
      <c r="G390" s="2496">
        <f t="shared" si="28"/>
        <v>0</v>
      </c>
      <c r="H390" s="2496">
        <f t="shared" si="28"/>
        <v>0</v>
      </c>
      <c r="I390" s="2496">
        <f t="shared" si="28"/>
        <v>0</v>
      </c>
      <c r="J390" s="2496">
        <f t="shared" si="28"/>
        <v>0</v>
      </c>
      <c r="K390" s="2496">
        <f t="shared" si="28"/>
        <v>0</v>
      </c>
      <c r="L390" s="2496">
        <f t="shared" si="28"/>
        <v>0</v>
      </c>
      <c r="M390" s="2496">
        <f t="shared" si="28"/>
        <v>0</v>
      </c>
      <c r="N390" s="2496">
        <f t="shared" si="28"/>
        <v>0</v>
      </c>
      <c r="O390" s="2496">
        <f t="shared" si="28"/>
        <v>0</v>
      </c>
      <c r="P390" s="2496">
        <f t="shared" si="28"/>
        <v>0</v>
      </c>
      <c r="Q390" s="2496">
        <f t="shared" si="28"/>
        <v>0</v>
      </c>
      <c r="R390" s="2496">
        <f t="shared" si="28"/>
        <v>0</v>
      </c>
      <c r="S390" s="2496">
        <f t="shared" si="28"/>
        <v>0</v>
      </c>
      <c r="T390" s="2496">
        <f t="shared" si="28"/>
        <v>0</v>
      </c>
      <c r="U390" s="2496">
        <f t="shared" si="28"/>
        <v>0</v>
      </c>
      <c r="V390" s="2496">
        <f t="shared" si="28"/>
        <v>0</v>
      </c>
      <c r="W390" s="2496">
        <f t="shared" si="28"/>
        <v>0</v>
      </c>
      <c r="X390" s="2496">
        <f t="shared" si="28"/>
        <v>0</v>
      </c>
      <c r="Y390" s="2496">
        <f t="shared" si="28"/>
        <v>0</v>
      </c>
      <c r="Z390" s="2496">
        <f t="shared" si="28"/>
        <v>0</v>
      </c>
      <c r="AA390" s="2496">
        <f t="shared" si="28"/>
        <v>0</v>
      </c>
      <c r="AB390" s="2496">
        <f t="shared" si="28"/>
        <v>0</v>
      </c>
      <c r="AC390" s="2496">
        <f t="shared" si="28"/>
        <v>0</v>
      </c>
      <c r="AD390" s="2496">
        <f t="shared" si="28"/>
        <v>0</v>
      </c>
      <c r="AE390" s="2496">
        <f t="shared" si="28"/>
        <v>0</v>
      </c>
      <c r="AF390" s="2496">
        <f t="shared" si="28"/>
        <v>0</v>
      </c>
      <c r="AG390" s="2496">
        <f t="shared" si="28"/>
        <v>0</v>
      </c>
      <c r="AH390" s="2496">
        <f t="shared" si="28"/>
        <v>0</v>
      </c>
      <c r="AI390" s="2496">
        <f t="shared" si="28"/>
        <v>0</v>
      </c>
      <c r="AJ390" s="2496">
        <f t="shared" si="28"/>
        <v>0</v>
      </c>
      <c r="AK390" s="2496">
        <f t="shared" si="28"/>
        <v>0</v>
      </c>
      <c r="AL390" s="2496">
        <f t="shared" si="28"/>
        <v>0</v>
      </c>
      <c r="AM390" s="2496">
        <f t="shared" si="28"/>
        <v>0</v>
      </c>
      <c r="AN390" s="2496">
        <f t="shared" si="28"/>
        <v>0</v>
      </c>
      <c r="AO390" s="2496">
        <f t="shared" si="28"/>
        <v>0</v>
      </c>
      <c r="AP390" s="2496">
        <f t="shared" si="28"/>
        <v>0</v>
      </c>
      <c r="AQ390" s="2496">
        <f t="shared" si="28"/>
        <v>0</v>
      </c>
      <c r="AR390" s="2496">
        <f t="shared" si="28"/>
        <v>0</v>
      </c>
      <c r="AS390" s="2496">
        <f t="shared" si="28"/>
        <v>0</v>
      </c>
    </row>
    <row r="391" spans="2:45" s="2490" customFormat="1" x14ac:dyDescent="0.2">
      <c r="B391" s="2488"/>
      <c r="C391" s="2489" t="s">
        <v>1013</v>
      </c>
      <c r="D391" s="2493" t="s">
        <v>1517</v>
      </c>
      <c r="G391" s="2496">
        <f t="shared" si="28"/>
        <v>0</v>
      </c>
      <c r="H391" s="2496">
        <f t="shared" si="28"/>
        <v>0</v>
      </c>
      <c r="I391" s="2496">
        <f t="shared" si="28"/>
        <v>0</v>
      </c>
      <c r="J391" s="2496">
        <f t="shared" si="28"/>
        <v>0</v>
      </c>
      <c r="K391" s="2496">
        <f t="shared" si="28"/>
        <v>0</v>
      </c>
      <c r="L391" s="2496">
        <f t="shared" si="28"/>
        <v>0</v>
      </c>
      <c r="M391" s="2496">
        <f t="shared" si="28"/>
        <v>0</v>
      </c>
      <c r="N391" s="2496">
        <f t="shared" si="28"/>
        <v>0</v>
      </c>
      <c r="O391" s="2496">
        <f t="shared" si="28"/>
        <v>0</v>
      </c>
      <c r="P391" s="2496">
        <f t="shared" si="28"/>
        <v>0</v>
      </c>
      <c r="Q391" s="2496">
        <f t="shared" si="28"/>
        <v>0</v>
      </c>
      <c r="R391" s="2496">
        <f t="shared" si="28"/>
        <v>0</v>
      </c>
      <c r="S391" s="2496">
        <f t="shared" si="28"/>
        <v>0</v>
      </c>
      <c r="T391" s="2496">
        <f t="shared" si="28"/>
        <v>0</v>
      </c>
      <c r="U391" s="2496">
        <f t="shared" si="28"/>
        <v>0</v>
      </c>
      <c r="V391" s="2496">
        <f t="shared" si="28"/>
        <v>0</v>
      </c>
      <c r="W391" s="2496">
        <f t="shared" si="28"/>
        <v>0</v>
      </c>
      <c r="X391" s="2496">
        <f t="shared" si="28"/>
        <v>0</v>
      </c>
      <c r="Y391" s="2496">
        <f t="shared" si="28"/>
        <v>0</v>
      </c>
      <c r="Z391" s="2496">
        <f t="shared" si="28"/>
        <v>0</v>
      </c>
      <c r="AA391" s="2496">
        <f t="shared" si="28"/>
        <v>0</v>
      </c>
      <c r="AB391" s="2496">
        <f t="shared" si="28"/>
        <v>0</v>
      </c>
      <c r="AC391" s="2496">
        <f t="shared" si="28"/>
        <v>0</v>
      </c>
      <c r="AD391" s="2496">
        <f t="shared" si="28"/>
        <v>0</v>
      </c>
      <c r="AE391" s="2496">
        <f t="shared" si="28"/>
        <v>0</v>
      </c>
      <c r="AF391" s="2496">
        <f t="shared" si="28"/>
        <v>0</v>
      </c>
      <c r="AG391" s="2496">
        <f t="shared" si="28"/>
        <v>0</v>
      </c>
      <c r="AH391" s="2496">
        <f t="shared" si="28"/>
        <v>0</v>
      </c>
      <c r="AI391" s="2496">
        <f t="shared" si="28"/>
        <v>0</v>
      </c>
      <c r="AJ391" s="2496">
        <f t="shared" si="28"/>
        <v>0</v>
      </c>
      <c r="AK391" s="2496">
        <f t="shared" si="28"/>
        <v>0</v>
      </c>
      <c r="AL391" s="2496">
        <f t="shared" si="28"/>
        <v>0</v>
      </c>
      <c r="AM391" s="2496">
        <f t="shared" si="28"/>
        <v>0</v>
      </c>
      <c r="AN391" s="2496">
        <f t="shared" si="28"/>
        <v>0</v>
      </c>
      <c r="AO391" s="2496">
        <f t="shared" si="28"/>
        <v>0</v>
      </c>
      <c r="AP391" s="2496">
        <f t="shared" si="28"/>
        <v>0</v>
      </c>
      <c r="AQ391" s="2496">
        <f t="shared" si="28"/>
        <v>0</v>
      </c>
      <c r="AR391" s="2496">
        <f t="shared" si="28"/>
        <v>0</v>
      </c>
      <c r="AS391" s="2496">
        <f t="shared" si="28"/>
        <v>0</v>
      </c>
    </row>
    <row r="392" spans="2:45" s="2490" customFormat="1" x14ac:dyDescent="0.2">
      <c r="B392" s="2488"/>
      <c r="C392" s="2506" t="s">
        <v>118</v>
      </c>
      <c r="D392" s="2498" t="s">
        <v>1517</v>
      </c>
      <c r="E392" s="2507"/>
      <c r="F392" s="2507"/>
      <c r="G392" s="2508">
        <f>SUM(G388:G391)</f>
        <v>4054479</v>
      </c>
      <c r="H392" s="2508">
        <f t="shared" ref="H392:AS392" si="29">SUM(H388:H391)</f>
        <v>4030143</v>
      </c>
      <c r="I392" s="2508">
        <f t="shared" si="29"/>
        <v>3935841.0000000005</v>
      </c>
      <c r="J392" s="2508">
        <f t="shared" si="29"/>
        <v>3815851</v>
      </c>
      <c r="K392" s="2508">
        <f t="shared" si="29"/>
        <v>3686904</v>
      </c>
      <c r="L392" s="2508">
        <f t="shared" si="29"/>
        <v>3555759.9999999995</v>
      </c>
      <c r="M392" s="2508">
        <f t="shared" si="29"/>
        <v>3424953.9999999995</v>
      </c>
      <c r="N392" s="2508">
        <f t="shared" si="29"/>
        <v>3424953.9999999995</v>
      </c>
      <c r="O392" s="2508">
        <f t="shared" si="29"/>
        <v>3424953.9999999995</v>
      </c>
      <c r="P392" s="2508">
        <f t="shared" si="29"/>
        <v>3424953.9999999995</v>
      </c>
      <c r="Q392" s="2508">
        <f t="shared" si="29"/>
        <v>3424953.9999999995</v>
      </c>
      <c r="R392" s="2508">
        <f t="shared" si="29"/>
        <v>3424953.9999999995</v>
      </c>
      <c r="S392" s="2508">
        <f t="shared" si="29"/>
        <v>3424953.9999999995</v>
      </c>
      <c r="T392" s="2508">
        <f t="shared" si="29"/>
        <v>3424953.9999999995</v>
      </c>
      <c r="U392" s="2508">
        <f t="shared" si="29"/>
        <v>3424953.9999999995</v>
      </c>
      <c r="V392" s="2508">
        <f t="shared" si="29"/>
        <v>3424953.9999999995</v>
      </c>
      <c r="W392" s="2508">
        <f t="shared" si="29"/>
        <v>3424953.9999999995</v>
      </c>
      <c r="X392" s="2508">
        <f t="shared" si="29"/>
        <v>3424953.9999999995</v>
      </c>
      <c r="Y392" s="2508">
        <f t="shared" si="29"/>
        <v>3424953.9999999995</v>
      </c>
      <c r="Z392" s="2508">
        <f t="shared" si="29"/>
        <v>3424953.9999999995</v>
      </c>
      <c r="AA392" s="2508">
        <f t="shared" si="29"/>
        <v>3424953.9999999995</v>
      </c>
      <c r="AB392" s="2508">
        <f t="shared" si="29"/>
        <v>3424953.9999999995</v>
      </c>
      <c r="AC392" s="2508">
        <f t="shared" si="29"/>
        <v>3424953.9999999995</v>
      </c>
      <c r="AD392" s="2508">
        <f t="shared" si="29"/>
        <v>3424953.9999999995</v>
      </c>
      <c r="AE392" s="2508">
        <f t="shared" si="29"/>
        <v>3424953.9999999995</v>
      </c>
      <c r="AF392" s="2508">
        <f t="shared" si="29"/>
        <v>3424953.9999999995</v>
      </c>
      <c r="AG392" s="2508">
        <f t="shared" si="29"/>
        <v>3424953.9999999995</v>
      </c>
      <c r="AH392" s="2508">
        <f t="shared" si="29"/>
        <v>3424953.9999999995</v>
      </c>
      <c r="AI392" s="2508">
        <f t="shared" si="29"/>
        <v>3424953.9999999995</v>
      </c>
      <c r="AJ392" s="2508">
        <f t="shared" si="29"/>
        <v>3424953.9999999995</v>
      </c>
      <c r="AK392" s="2508">
        <f t="shared" si="29"/>
        <v>3424953.9999999995</v>
      </c>
      <c r="AL392" s="2508">
        <f t="shared" si="29"/>
        <v>3424953.9999999995</v>
      </c>
      <c r="AM392" s="2508">
        <f t="shared" si="29"/>
        <v>3424953.9999999995</v>
      </c>
      <c r="AN392" s="2508">
        <f t="shared" si="29"/>
        <v>3424953.9999999995</v>
      </c>
      <c r="AO392" s="2508">
        <f t="shared" si="29"/>
        <v>3424953.9999999995</v>
      </c>
      <c r="AP392" s="2508">
        <f t="shared" si="29"/>
        <v>3424953.9999999995</v>
      </c>
      <c r="AQ392" s="2508">
        <f t="shared" si="29"/>
        <v>3424953.9999999995</v>
      </c>
      <c r="AR392" s="2508">
        <f t="shared" si="29"/>
        <v>3424953.9999999995</v>
      </c>
      <c r="AS392" s="2508">
        <f t="shared" si="29"/>
        <v>3424953.9999999995</v>
      </c>
    </row>
    <row r="393" spans="2:45" s="2490" customFormat="1" x14ac:dyDescent="0.2">
      <c r="B393" s="2488"/>
      <c r="C393" s="2489"/>
      <c r="D393" s="2502"/>
      <c r="E393" s="2509"/>
      <c r="F393" s="2509"/>
      <c r="G393" s="2503"/>
      <c r="H393" s="2503"/>
      <c r="I393" s="2503"/>
      <c r="J393" s="2503"/>
      <c r="K393" s="2503"/>
      <c r="L393" s="2503"/>
      <c r="M393" s="2503"/>
      <c r="N393" s="2503"/>
      <c r="O393" s="2503"/>
      <c r="P393" s="2503"/>
      <c r="Q393" s="2503"/>
      <c r="R393" s="2503"/>
      <c r="S393" s="2503"/>
      <c r="T393" s="2503"/>
      <c r="U393" s="2503"/>
      <c r="V393" s="2503"/>
      <c r="W393" s="2503"/>
      <c r="X393" s="2503"/>
      <c r="Y393" s="2503"/>
      <c r="Z393" s="2503"/>
      <c r="AA393" s="2503"/>
      <c r="AB393" s="2503"/>
      <c r="AC393" s="2503"/>
      <c r="AD393" s="2503"/>
      <c r="AE393" s="2503"/>
      <c r="AF393" s="2503"/>
      <c r="AG393" s="2503"/>
      <c r="AH393" s="2503"/>
      <c r="AI393" s="2503"/>
      <c r="AJ393" s="2503"/>
      <c r="AK393" s="2503"/>
      <c r="AL393" s="2503"/>
      <c r="AM393" s="2503"/>
      <c r="AN393" s="2503"/>
      <c r="AO393" s="2503"/>
      <c r="AP393" s="2503"/>
      <c r="AQ393" s="2503"/>
    </row>
    <row r="394" spans="2:45" s="2490" customFormat="1" x14ac:dyDescent="0.2">
      <c r="B394" s="2488">
        <v>3</v>
      </c>
      <c r="C394" s="2489" t="s">
        <v>1520</v>
      </c>
      <c r="D394" s="2502"/>
      <c r="E394" s="2503"/>
      <c r="F394" s="2503"/>
      <c r="G394" s="2503"/>
      <c r="H394" s="2503"/>
      <c r="I394" s="2503"/>
      <c r="J394" s="2503"/>
      <c r="K394" s="2503"/>
      <c r="L394" s="2503"/>
      <c r="M394" s="2503"/>
      <c r="N394" s="2503"/>
      <c r="O394" s="2503"/>
      <c r="P394" s="2503"/>
      <c r="Q394" s="2503"/>
      <c r="R394" s="2503"/>
      <c r="S394" s="2503"/>
      <c r="T394" s="2503"/>
      <c r="U394" s="2503"/>
      <c r="V394" s="2503"/>
      <c r="W394" s="2503"/>
      <c r="X394" s="2503"/>
      <c r="Y394" s="2503"/>
      <c r="Z394" s="2503"/>
      <c r="AA394" s="2503"/>
      <c r="AB394" s="2503"/>
      <c r="AC394" s="2503"/>
      <c r="AD394" s="2503"/>
      <c r="AE394" s="2503"/>
      <c r="AF394" s="2503"/>
      <c r="AG394" s="2503"/>
      <c r="AH394" s="2503"/>
      <c r="AI394" s="2503"/>
      <c r="AJ394" s="2503"/>
      <c r="AK394" s="2503"/>
      <c r="AL394" s="2503"/>
      <c r="AM394" s="2503"/>
      <c r="AN394" s="2503"/>
      <c r="AO394" s="2503"/>
      <c r="AP394" s="2503"/>
      <c r="AQ394" s="2503"/>
    </row>
    <row r="395" spans="2:45" s="2490" customFormat="1" x14ac:dyDescent="0.2">
      <c r="B395" s="2488"/>
      <c r="C395" s="2510"/>
      <c r="D395" s="2502"/>
      <c r="E395" s="2503"/>
      <c r="F395" s="2503"/>
      <c r="G395" s="2503"/>
      <c r="H395" s="2503"/>
      <c r="I395" s="2503"/>
      <c r="J395" s="2503"/>
      <c r="K395" s="2503"/>
      <c r="L395" s="2503"/>
      <c r="M395" s="2503"/>
      <c r="N395" s="2503"/>
      <c r="O395" s="2503"/>
      <c r="P395" s="2503"/>
      <c r="Q395" s="2503"/>
      <c r="R395" s="2503"/>
      <c r="S395" s="2503"/>
      <c r="T395" s="2503"/>
      <c r="U395" s="2503"/>
      <c r="V395" s="2503"/>
      <c r="W395" s="2503"/>
      <c r="X395" s="2503"/>
      <c r="Y395" s="2503"/>
      <c r="Z395" s="2503"/>
      <c r="AA395" s="2503"/>
      <c r="AB395" s="2503"/>
      <c r="AC395" s="2503"/>
      <c r="AD395" s="2503"/>
      <c r="AE395" s="2503"/>
      <c r="AF395" s="2503"/>
      <c r="AG395" s="2503"/>
      <c r="AH395" s="2503"/>
      <c r="AI395" s="2503"/>
      <c r="AJ395" s="2503"/>
      <c r="AK395" s="2503"/>
      <c r="AL395" s="2503"/>
      <c r="AM395" s="2503"/>
      <c r="AN395" s="2503"/>
      <c r="AO395" s="2503"/>
      <c r="AP395" s="2503"/>
      <c r="AQ395" s="2503"/>
    </row>
    <row r="396" spans="2:45" s="2490" customFormat="1" x14ac:dyDescent="0.2">
      <c r="B396" s="2488"/>
      <c r="C396" s="2489" t="s">
        <v>1521</v>
      </c>
      <c r="D396" s="2502"/>
      <c r="E396" s="2503"/>
      <c r="F396" s="2503"/>
      <c r="G396" s="2503"/>
      <c r="H396" s="2503"/>
      <c r="I396" s="2503"/>
      <c r="J396" s="2503"/>
      <c r="K396" s="2503"/>
      <c r="L396" s="2503"/>
      <c r="M396" s="2503"/>
      <c r="N396" s="2503"/>
      <c r="O396" s="2503"/>
      <c r="P396" s="2503"/>
      <c r="Q396" s="2503"/>
      <c r="R396" s="2503"/>
      <c r="S396" s="2503"/>
      <c r="T396" s="2503"/>
      <c r="U396" s="2503"/>
      <c r="V396" s="2503"/>
      <c r="W396" s="2503"/>
      <c r="X396" s="2503"/>
      <c r="Y396" s="2503"/>
      <c r="Z396" s="2503"/>
      <c r="AA396" s="2503"/>
      <c r="AB396" s="2503"/>
      <c r="AC396" s="2503"/>
      <c r="AD396" s="2503"/>
      <c r="AE396" s="2503"/>
      <c r="AF396" s="2503"/>
      <c r="AG396" s="2503"/>
      <c r="AH396" s="2503"/>
      <c r="AI396" s="2503"/>
      <c r="AJ396" s="2503"/>
      <c r="AK396" s="2503"/>
      <c r="AL396" s="2503"/>
      <c r="AM396" s="2503"/>
      <c r="AN396" s="2503"/>
      <c r="AO396" s="2503"/>
      <c r="AP396" s="2503"/>
      <c r="AQ396" s="2503"/>
    </row>
    <row r="397" spans="2:45" s="2490" customFormat="1" x14ac:dyDescent="0.2">
      <c r="B397" s="2488"/>
      <c r="C397" s="2504"/>
      <c r="D397" s="2492" t="s">
        <v>1029</v>
      </c>
      <c r="E397" s="2492" t="s">
        <v>8</v>
      </c>
      <c r="F397" s="2492"/>
      <c r="G397" s="2492">
        <v>2012</v>
      </c>
      <c r="H397" s="2492">
        <v>2013</v>
      </c>
      <c r="I397" s="2492">
        <v>2014</v>
      </c>
      <c r="J397" s="2492">
        <v>2015</v>
      </c>
      <c r="K397" s="2492">
        <v>2016</v>
      </c>
      <c r="L397" s="2492">
        <v>2017</v>
      </c>
      <c r="M397" s="2492">
        <v>2018</v>
      </c>
      <c r="N397" s="2492">
        <v>2019</v>
      </c>
      <c r="O397" s="2492">
        <v>2020</v>
      </c>
      <c r="P397" s="2492">
        <v>2021</v>
      </c>
      <c r="Q397" s="2492">
        <v>2022</v>
      </c>
      <c r="R397" s="2492">
        <v>2023</v>
      </c>
      <c r="S397" s="2492">
        <v>2024</v>
      </c>
      <c r="T397" s="2492">
        <v>2025</v>
      </c>
      <c r="U397" s="2492">
        <v>2026</v>
      </c>
      <c r="V397" s="2492">
        <v>2027</v>
      </c>
      <c r="W397" s="2492">
        <v>2028</v>
      </c>
      <c r="X397" s="2492">
        <v>2029</v>
      </c>
      <c r="Y397" s="2492">
        <v>2030</v>
      </c>
      <c r="Z397" s="2492">
        <v>2031</v>
      </c>
      <c r="AA397" s="2492">
        <v>2032</v>
      </c>
      <c r="AB397" s="2492">
        <v>2033</v>
      </c>
      <c r="AC397" s="2492">
        <v>2034</v>
      </c>
      <c r="AD397" s="2492">
        <v>2035</v>
      </c>
      <c r="AE397" s="2492">
        <v>2036</v>
      </c>
      <c r="AF397" s="2492">
        <v>2037</v>
      </c>
      <c r="AG397" s="2492">
        <v>2038</v>
      </c>
      <c r="AH397" s="2492">
        <v>2039</v>
      </c>
      <c r="AI397" s="2492">
        <v>2040</v>
      </c>
      <c r="AJ397" s="2492">
        <v>2041</v>
      </c>
      <c r="AK397" s="2492">
        <v>2042</v>
      </c>
      <c r="AL397" s="2492">
        <v>2043</v>
      </c>
      <c r="AM397" s="2492">
        <v>2044</v>
      </c>
      <c r="AN397" s="2492">
        <v>2045</v>
      </c>
      <c r="AO397" s="2492">
        <v>2046</v>
      </c>
      <c r="AP397" s="2492">
        <v>2047</v>
      </c>
      <c r="AQ397" s="2492">
        <v>2048</v>
      </c>
      <c r="AR397" s="2492">
        <v>2049</v>
      </c>
      <c r="AS397" s="2492">
        <v>2050</v>
      </c>
    </row>
    <row r="398" spans="2:45" s="2490" customFormat="1" x14ac:dyDescent="0.2">
      <c r="B398" s="2511" t="s">
        <v>625</v>
      </c>
      <c r="C398" s="2489" t="s">
        <v>1522</v>
      </c>
      <c r="D398" s="2493" t="s">
        <v>1523</v>
      </c>
      <c r="G398" s="2496">
        <f t="shared" ref="G398:AS398" si="30">G96*G132*$E$208*1000</f>
        <v>6350969.8559999997</v>
      </c>
      <c r="H398" s="2496">
        <f t="shared" si="30"/>
        <v>6522977.8944000006</v>
      </c>
      <c r="I398" s="2496">
        <f t="shared" si="30"/>
        <v>6516281.7279999992</v>
      </c>
      <c r="J398" s="2496">
        <f t="shared" si="30"/>
        <v>6507615.4880000008</v>
      </c>
      <c r="K398" s="2496">
        <f t="shared" si="30"/>
        <v>6500528.4608000005</v>
      </c>
      <c r="L398" s="2496">
        <f t="shared" si="30"/>
        <v>6494083.4815999996</v>
      </c>
      <c r="M398" s="2496">
        <f t="shared" si="30"/>
        <v>6488251.5456000008</v>
      </c>
      <c r="N398" s="2496">
        <f t="shared" si="30"/>
        <v>6485419.7760000005</v>
      </c>
      <c r="O398" s="2496">
        <f t="shared" si="30"/>
        <v>6483074.0480000004</v>
      </c>
      <c r="P398" s="2496">
        <f t="shared" si="30"/>
        <v>6481158.3232000005</v>
      </c>
      <c r="Q398" s="2496">
        <f t="shared" si="30"/>
        <v>6479899.5712000001</v>
      </c>
      <c r="R398" s="2496">
        <f t="shared" si="30"/>
        <v>6478679.1168</v>
      </c>
      <c r="S398" s="2496">
        <f t="shared" si="30"/>
        <v>6478010.8800000008</v>
      </c>
      <c r="T398" s="2496">
        <f t="shared" si="30"/>
        <v>6477838.8223999999</v>
      </c>
      <c r="U398" s="2496">
        <f t="shared" si="30"/>
        <v>6477549.3376000011</v>
      </c>
      <c r="V398" s="2496">
        <f t="shared" si="30"/>
        <v>6477322.0863999994</v>
      </c>
      <c r="W398" s="2496">
        <f t="shared" si="30"/>
        <v>6477526.2464000005</v>
      </c>
      <c r="X398" s="2496">
        <f t="shared" si="30"/>
        <v>6477601.9967999998</v>
      </c>
      <c r="Y398" s="2496">
        <f t="shared" si="30"/>
        <v>6478131.1232000003</v>
      </c>
      <c r="Z398" s="2496">
        <f t="shared" si="30"/>
        <v>6478547.0464000003</v>
      </c>
      <c r="AA398" s="2496">
        <f t="shared" si="30"/>
        <v>6479410.4320000028</v>
      </c>
      <c r="AB398" s="2496">
        <f t="shared" si="30"/>
        <v>6480156.6720000003</v>
      </c>
      <c r="AC398" s="2496">
        <f t="shared" si="30"/>
        <v>6481361.9199999999</v>
      </c>
      <c r="AD398" s="2496">
        <f t="shared" si="30"/>
        <v>6482740.9151999997</v>
      </c>
      <c r="AE398" s="2496">
        <f t="shared" si="30"/>
        <v>6484023.3216000004</v>
      </c>
      <c r="AF398" s="2496">
        <f t="shared" si="30"/>
        <v>6485766.4256000016</v>
      </c>
      <c r="AG398" s="2496">
        <f t="shared" si="30"/>
        <v>6487702.4255999997</v>
      </c>
      <c r="AH398" s="2496">
        <f t="shared" si="30"/>
        <v>6489809.0752000008</v>
      </c>
      <c r="AI398" s="2496">
        <f t="shared" si="30"/>
        <v>6491841.6639999999</v>
      </c>
      <c r="AJ398" s="2496">
        <f t="shared" si="30"/>
        <v>6494334.3872000007</v>
      </c>
      <c r="AK398" s="2496">
        <f t="shared" si="30"/>
        <v>6497033.8048</v>
      </c>
      <c r="AL398" s="2496">
        <f t="shared" si="30"/>
        <v>6499929.4976000004</v>
      </c>
      <c r="AM398" s="2496">
        <f t="shared" si="30"/>
        <v>6503025.9712000005</v>
      </c>
      <c r="AN398" s="2496">
        <f t="shared" si="30"/>
        <v>6506336.7424000008</v>
      </c>
      <c r="AO398" s="2496">
        <f t="shared" si="30"/>
        <v>6509843.5071999999</v>
      </c>
      <c r="AP398" s="2496">
        <f t="shared" si="30"/>
        <v>6513580.6208000006</v>
      </c>
      <c r="AQ398" s="2496">
        <f t="shared" si="30"/>
        <v>6517524.4288000008</v>
      </c>
      <c r="AR398" s="2496">
        <f t="shared" si="30"/>
        <v>6521683.0976000009</v>
      </c>
      <c r="AS398" s="2496">
        <f t="shared" si="30"/>
        <v>6526353.7152000004</v>
      </c>
    </row>
    <row r="399" spans="2:45" s="2490" customFormat="1" x14ac:dyDescent="0.2">
      <c r="B399" s="2488"/>
      <c r="C399" s="2506" t="s">
        <v>118</v>
      </c>
      <c r="D399" s="2512"/>
      <c r="E399" s="2499"/>
      <c r="F399" s="2499"/>
      <c r="G399" s="2508">
        <f>G398</f>
        <v>6350969.8559999997</v>
      </c>
      <c r="H399" s="2508">
        <f t="shared" ref="H399:AS399" si="31">H398</f>
        <v>6522977.8944000006</v>
      </c>
      <c r="I399" s="2508">
        <f t="shared" si="31"/>
        <v>6516281.7279999992</v>
      </c>
      <c r="J399" s="2508">
        <f t="shared" si="31"/>
        <v>6507615.4880000008</v>
      </c>
      <c r="K399" s="2508">
        <f t="shared" si="31"/>
        <v>6500528.4608000005</v>
      </c>
      <c r="L399" s="2508">
        <f t="shared" si="31"/>
        <v>6494083.4815999996</v>
      </c>
      <c r="M399" s="2508">
        <f t="shared" si="31"/>
        <v>6488251.5456000008</v>
      </c>
      <c r="N399" s="2508">
        <f t="shared" si="31"/>
        <v>6485419.7760000005</v>
      </c>
      <c r="O399" s="2508">
        <f t="shared" si="31"/>
        <v>6483074.0480000004</v>
      </c>
      <c r="P399" s="2508">
        <f t="shared" si="31"/>
        <v>6481158.3232000005</v>
      </c>
      <c r="Q399" s="2508">
        <f t="shared" si="31"/>
        <v>6479899.5712000001</v>
      </c>
      <c r="R399" s="2508">
        <f t="shared" si="31"/>
        <v>6478679.1168</v>
      </c>
      <c r="S399" s="2508">
        <f t="shared" si="31"/>
        <v>6478010.8800000008</v>
      </c>
      <c r="T399" s="2508">
        <f t="shared" si="31"/>
        <v>6477838.8223999999</v>
      </c>
      <c r="U399" s="2508">
        <f t="shared" si="31"/>
        <v>6477549.3376000011</v>
      </c>
      <c r="V399" s="2508">
        <f t="shared" si="31"/>
        <v>6477322.0863999994</v>
      </c>
      <c r="W399" s="2508">
        <f t="shared" si="31"/>
        <v>6477526.2464000005</v>
      </c>
      <c r="X399" s="2508">
        <f t="shared" si="31"/>
        <v>6477601.9967999998</v>
      </c>
      <c r="Y399" s="2508">
        <f t="shared" si="31"/>
        <v>6478131.1232000003</v>
      </c>
      <c r="Z399" s="2508">
        <f t="shared" si="31"/>
        <v>6478547.0464000003</v>
      </c>
      <c r="AA399" s="2508">
        <f t="shared" si="31"/>
        <v>6479410.4320000028</v>
      </c>
      <c r="AB399" s="2508">
        <f t="shared" si="31"/>
        <v>6480156.6720000003</v>
      </c>
      <c r="AC399" s="2508">
        <f t="shared" si="31"/>
        <v>6481361.9199999999</v>
      </c>
      <c r="AD399" s="2508">
        <f t="shared" si="31"/>
        <v>6482740.9151999997</v>
      </c>
      <c r="AE399" s="2508">
        <f t="shared" si="31"/>
        <v>6484023.3216000004</v>
      </c>
      <c r="AF399" s="2508">
        <f t="shared" si="31"/>
        <v>6485766.4256000016</v>
      </c>
      <c r="AG399" s="2508">
        <f t="shared" si="31"/>
        <v>6487702.4255999997</v>
      </c>
      <c r="AH399" s="2508">
        <f t="shared" si="31"/>
        <v>6489809.0752000008</v>
      </c>
      <c r="AI399" s="2508">
        <f t="shared" si="31"/>
        <v>6491841.6639999999</v>
      </c>
      <c r="AJ399" s="2508">
        <f t="shared" si="31"/>
        <v>6494334.3872000007</v>
      </c>
      <c r="AK399" s="2508">
        <f t="shared" si="31"/>
        <v>6497033.8048</v>
      </c>
      <c r="AL399" s="2508">
        <f t="shared" si="31"/>
        <v>6499929.4976000004</v>
      </c>
      <c r="AM399" s="2508">
        <f t="shared" si="31"/>
        <v>6503025.9712000005</v>
      </c>
      <c r="AN399" s="2508">
        <f t="shared" si="31"/>
        <v>6506336.7424000008</v>
      </c>
      <c r="AO399" s="2508">
        <f t="shared" si="31"/>
        <v>6509843.5071999999</v>
      </c>
      <c r="AP399" s="2508">
        <f t="shared" si="31"/>
        <v>6513580.6208000006</v>
      </c>
      <c r="AQ399" s="2508">
        <f t="shared" si="31"/>
        <v>6517524.4288000008</v>
      </c>
      <c r="AR399" s="2508">
        <f t="shared" si="31"/>
        <v>6521683.0976000009</v>
      </c>
      <c r="AS399" s="2508">
        <f t="shared" si="31"/>
        <v>6526353.7152000004</v>
      </c>
    </row>
    <row r="400" spans="2:45" s="2490" customFormat="1" x14ac:dyDescent="0.2">
      <c r="B400" s="2488"/>
      <c r="C400" s="2510"/>
      <c r="D400" s="2502"/>
      <c r="E400" s="2503"/>
      <c r="F400" s="2503"/>
      <c r="G400" s="2503"/>
      <c r="H400" s="2503"/>
      <c r="I400" s="2503"/>
      <c r="J400" s="2503"/>
      <c r="K400" s="2503"/>
      <c r="L400" s="2503"/>
      <c r="M400" s="2503"/>
      <c r="N400" s="2503"/>
      <c r="O400" s="2503"/>
      <c r="P400" s="2503"/>
      <c r="Q400" s="2503"/>
      <c r="R400" s="2503"/>
      <c r="S400" s="2503"/>
      <c r="T400" s="2503"/>
      <c r="U400" s="2503"/>
      <c r="V400" s="2503"/>
      <c r="W400" s="2503"/>
      <c r="X400" s="2503"/>
      <c r="Y400" s="2503"/>
      <c r="Z400" s="2503"/>
      <c r="AA400" s="2503"/>
      <c r="AB400" s="2503"/>
      <c r="AC400" s="2503"/>
      <c r="AD400" s="2503"/>
      <c r="AE400" s="2503"/>
      <c r="AF400" s="2503"/>
      <c r="AG400" s="2503"/>
      <c r="AH400" s="2503"/>
      <c r="AI400" s="2503"/>
      <c r="AJ400" s="2503"/>
      <c r="AK400" s="2503"/>
      <c r="AL400" s="2503"/>
      <c r="AM400" s="2503"/>
      <c r="AN400" s="2503"/>
      <c r="AO400" s="2503"/>
      <c r="AP400" s="2503"/>
      <c r="AQ400" s="2503"/>
    </row>
    <row r="401" spans="2:45" s="2490" customFormat="1" x14ac:dyDescent="0.2">
      <c r="B401" s="2488"/>
      <c r="C401" s="2510"/>
      <c r="D401" s="2502"/>
      <c r="E401" s="2503"/>
      <c r="F401" s="2503"/>
      <c r="G401" s="2503"/>
      <c r="H401" s="2503"/>
      <c r="I401" s="2503"/>
      <c r="J401" s="2503"/>
      <c r="K401" s="2503"/>
      <c r="L401" s="2503"/>
      <c r="M401" s="2503"/>
      <c r="N401" s="2503"/>
      <c r="O401" s="2503"/>
      <c r="P401" s="2503"/>
      <c r="Q401" s="2503"/>
      <c r="R401" s="2503"/>
      <c r="S401" s="2503"/>
      <c r="T401" s="2503"/>
      <c r="U401" s="2503"/>
      <c r="V401" s="2503"/>
      <c r="W401" s="2503"/>
      <c r="X401" s="2503"/>
      <c r="Y401" s="2503"/>
      <c r="Z401" s="2503"/>
      <c r="AA401" s="2503"/>
      <c r="AB401" s="2503"/>
      <c r="AC401" s="2503"/>
      <c r="AD401" s="2503"/>
      <c r="AE401" s="2503"/>
      <c r="AF401" s="2503"/>
      <c r="AG401" s="2503"/>
      <c r="AH401" s="2503"/>
      <c r="AI401" s="2503"/>
      <c r="AJ401" s="2503"/>
      <c r="AK401" s="2503"/>
      <c r="AL401" s="2503"/>
      <c r="AM401" s="2503"/>
      <c r="AN401" s="2503"/>
      <c r="AO401" s="2503"/>
      <c r="AP401" s="2503"/>
      <c r="AQ401" s="2503"/>
    </row>
    <row r="402" spans="2:45" s="2490" customFormat="1" x14ac:dyDescent="0.2">
      <c r="B402" s="2488"/>
      <c r="C402" s="2489"/>
      <c r="D402" s="2502"/>
      <c r="E402" s="2503"/>
      <c r="F402" s="2503"/>
      <c r="G402" s="2503"/>
      <c r="H402" s="2503"/>
      <c r="I402" s="2503"/>
      <c r="J402" s="2503"/>
      <c r="K402" s="2503"/>
      <c r="L402" s="2503"/>
      <c r="M402" s="2503"/>
      <c r="N402" s="2503"/>
      <c r="O402" s="2503"/>
      <c r="P402" s="2503"/>
      <c r="Q402" s="2503"/>
      <c r="R402" s="2503"/>
      <c r="S402" s="2503"/>
      <c r="T402" s="2503"/>
      <c r="U402" s="2503"/>
      <c r="V402" s="2503"/>
      <c r="W402" s="2503"/>
      <c r="X402" s="2503"/>
      <c r="Y402" s="2503"/>
      <c r="Z402" s="2503"/>
      <c r="AA402" s="2503"/>
      <c r="AB402" s="2503"/>
      <c r="AC402" s="2503"/>
      <c r="AD402" s="2503"/>
      <c r="AE402" s="2503"/>
      <c r="AF402" s="2503"/>
      <c r="AG402" s="2503"/>
      <c r="AH402" s="2503"/>
      <c r="AI402" s="2503"/>
      <c r="AJ402" s="2503"/>
      <c r="AK402" s="2503"/>
      <c r="AL402" s="2503"/>
      <c r="AM402" s="2503"/>
      <c r="AN402" s="2503"/>
      <c r="AO402" s="2503"/>
      <c r="AP402" s="2503"/>
      <c r="AQ402" s="2503"/>
    </row>
    <row r="403" spans="2:45" s="2490" customFormat="1" x14ac:dyDescent="0.2">
      <c r="B403" s="2511" t="s">
        <v>626</v>
      </c>
      <c r="C403" s="2489" t="s">
        <v>1524</v>
      </c>
      <c r="D403" s="2502"/>
      <c r="E403" s="2503"/>
      <c r="F403" s="2503"/>
      <c r="G403" s="2503"/>
      <c r="H403" s="2503"/>
      <c r="I403" s="2503"/>
      <c r="J403" s="2503"/>
      <c r="K403" s="2503"/>
      <c r="L403" s="2503"/>
      <c r="M403" s="2503"/>
      <c r="N403" s="2503"/>
      <c r="O403" s="2503"/>
      <c r="P403" s="2503"/>
      <c r="Q403" s="2503"/>
      <c r="R403" s="2503"/>
      <c r="S403" s="2503"/>
      <c r="T403" s="2503"/>
      <c r="U403" s="2503"/>
      <c r="V403" s="2503"/>
      <c r="W403" s="2503"/>
      <c r="X403" s="2503"/>
      <c r="Y403" s="2503"/>
      <c r="Z403" s="2503"/>
      <c r="AA403" s="2503"/>
      <c r="AB403" s="2503"/>
      <c r="AC403" s="2503"/>
      <c r="AD403" s="2503"/>
      <c r="AE403" s="2503"/>
      <c r="AF403" s="2503"/>
      <c r="AG403" s="2503"/>
      <c r="AH403" s="2503"/>
      <c r="AI403" s="2503"/>
      <c r="AJ403" s="2503"/>
      <c r="AK403" s="2503"/>
      <c r="AL403" s="2503"/>
      <c r="AM403" s="2503"/>
      <c r="AN403" s="2503"/>
      <c r="AO403" s="2503"/>
      <c r="AP403" s="2503"/>
      <c r="AQ403" s="2503"/>
    </row>
    <row r="404" spans="2:45" s="2490" customFormat="1" x14ac:dyDescent="0.2">
      <c r="B404" s="2488"/>
      <c r="C404" s="2513"/>
      <c r="D404" s="2513" t="s">
        <v>1029</v>
      </c>
      <c r="E404" s="2492" t="s">
        <v>8</v>
      </c>
      <c r="F404" s="2492"/>
      <c r="G404" s="2492">
        <v>2012</v>
      </c>
      <c r="H404" s="2492">
        <v>2013</v>
      </c>
      <c r="I404" s="2492">
        <v>2014</v>
      </c>
      <c r="J404" s="2492">
        <v>2015</v>
      </c>
      <c r="K404" s="2492">
        <v>2016</v>
      </c>
      <c r="L404" s="2492">
        <v>2017</v>
      </c>
      <c r="M404" s="2492">
        <v>2018</v>
      </c>
      <c r="N404" s="2492">
        <v>2019</v>
      </c>
      <c r="O404" s="2492">
        <v>2020</v>
      </c>
      <c r="P404" s="2492">
        <v>2021</v>
      </c>
      <c r="Q404" s="2492">
        <v>2022</v>
      </c>
      <c r="R404" s="2492">
        <v>2023</v>
      </c>
      <c r="S404" s="2492">
        <v>2024</v>
      </c>
      <c r="T404" s="2492">
        <v>2025</v>
      </c>
      <c r="U404" s="2492">
        <v>2026</v>
      </c>
      <c r="V404" s="2492">
        <v>2027</v>
      </c>
      <c r="W404" s="2492">
        <v>2028</v>
      </c>
      <c r="X404" s="2492">
        <v>2029</v>
      </c>
      <c r="Y404" s="2492">
        <v>2030</v>
      </c>
      <c r="Z404" s="2492">
        <v>2031</v>
      </c>
      <c r="AA404" s="2492">
        <v>2032</v>
      </c>
      <c r="AB404" s="2492">
        <v>2033</v>
      </c>
      <c r="AC404" s="2492">
        <v>2034</v>
      </c>
      <c r="AD404" s="2492">
        <v>2035</v>
      </c>
      <c r="AE404" s="2492">
        <v>2036</v>
      </c>
      <c r="AF404" s="2492">
        <v>2037</v>
      </c>
      <c r="AG404" s="2492">
        <v>2038</v>
      </c>
      <c r="AH404" s="2492">
        <v>2039</v>
      </c>
      <c r="AI404" s="2492">
        <v>2040</v>
      </c>
      <c r="AJ404" s="2492">
        <v>2041</v>
      </c>
      <c r="AK404" s="2492">
        <v>2042</v>
      </c>
      <c r="AL404" s="2492">
        <v>2043</v>
      </c>
      <c r="AM404" s="2492">
        <v>2044</v>
      </c>
      <c r="AN404" s="2492">
        <v>2045</v>
      </c>
      <c r="AO404" s="2492">
        <v>2046</v>
      </c>
      <c r="AP404" s="2492">
        <v>2047</v>
      </c>
      <c r="AQ404" s="2492">
        <v>2048</v>
      </c>
      <c r="AR404" s="2492">
        <v>2049</v>
      </c>
      <c r="AS404" s="2492">
        <v>2050</v>
      </c>
    </row>
    <row r="405" spans="2:45" s="2490" customFormat="1" ht="14.1" customHeight="1" x14ac:dyDescent="0.2">
      <c r="B405" s="3606" t="s">
        <v>1525</v>
      </c>
      <c r="C405" s="2489" t="s">
        <v>1364</v>
      </c>
      <c r="D405" s="2502"/>
      <c r="H405" s="2503"/>
      <c r="I405" s="2503"/>
      <c r="J405" s="2503"/>
      <c r="K405" s="2503"/>
      <c r="L405" s="2503"/>
      <c r="M405" s="2503"/>
      <c r="N405" s="2503"/>
      <c r="O405" s="2503"/>
      <c r="P405" s="2503"/>
      <c r="Q405" s="2503"/>
      <c r="R405" s="2503"/>
      <c r="S405" s="2503"/>
      <c r="T405" s="2503"/>
      <c r="U405" s="2503"/>
      <c r="V405" s="2503"/>
      <c r="W405" s="2503"/>
      <c r="X405" s="2503"/>
      <c r="Y405" s="2503"/>
      <c r="Z405" s="2503"/>
      <c r="AA405" s="2503"/>
      <c r="AB405" s="2503"/>
      <c r="AC405" s="2503"/>
      <c r="AD405" s="2503"/>
      <c r="AE405" s="2503"/>
      <c r="AF405" s="2503"/>
      <c r="AG405" s="2503"/>
      <c r="AH405" s="2503"/>
      <c r="AI405" s="2503"/>
      <c r="AJ405" s="2503"/>
      <c r="AK405" s="2503"/>
      <c r="AL405" s="2503"/>
      <c r="AM405" s="2503"/>
      <c r="AN405" s="2503"/>
      <c r="AO405" s="2503"/>
      <c r="AP405" s="2503"/>
      <c r="AQ405" s="2503"/>
      <c r="AR405" s="2503"/>
      <c r="AS405" s="2503"/>
    </row>
    <row r="406" spans="2:45" s="2490" customFormat="1" x14ac:dyDescent="0.2">
      <c r="B406" s="3606"/>
      <c r="C406" s="2495" t="s">
        <v>1366</v>
      </c>
      <c r="D406" s="2493" t="s">
        <v>1523</v>
      </c>
      <c r="G406" s="2496">
        <f t="shared" ref="G406:AS411" si="32">G74*G139*G177*$E$198*$D$217</f>
        <v>3365890.1138595683</v>
      </c>
      <c r="H406" s="2496">
        <f t="shared" si="32"/>
        <v>3354846.5765155042</v>
      </c>
      <c r="I406" s="2496">
        <f t="shared" si="32"/>
        <v>3363833.6780255758</v>
      </c>
      <c r="J406" s="2496">
        <f t="shared" si="32"/>
        <v>3362849.48126374</v>
      </c>
      <c r="K406" s="2496">
        <f t="shared" si="32"/>
        <v>3355270.3100288808</v>
      </c>
      <c r="L406" s="2496">
        <f t="shared" si="32"/>
        <v>3340611.2046136232</v>
      </c>
      <c r="M406" s="2496">
        <f t="shared" si="32"/>
        <v>3316680.1359630194</v>
      </c>
      <c r="N406" s="2496">
        <f t="shared" si="32"/>
        <v>3293720.3611933053</v>
      </c>
      <c r="O406" s="2496">
        <f t="shared" si="32"/>
        <v>3271719.7627877821</v>
      </c>
      <c r="P406" s="2496">
        <f t="shared" si="32"/>
        <v>3249893.2689201701</v>
      </c>
      <c r="Q406" s="2496">
        <f t="shared" si="32"/>
        <v>3227188.2448557816</v>
      </c>
      <c r="R406" s="2496">
        <f t="shared" si="32"/>
        <v>3209132.8537626499</v>
      </c>
      <c r="S406" s="2496">
        <f t="shared" si="32"/>
        <v>3194756.8094716524</v>
      </c>
      <c r="T406" s="2496">
        <f t="shared" si="32"/>
        <v>3183298.7762288265</v>
      </c>
      <c r="U406" s="2496">
        <f t="shared" si="32"/>
        <v>3174159.0878054239</v>
      </c>
      <c r="V406" s="2496">
        <f t="shared" si="32"/>
        <v>3166863.9534751382</v>
      </c>
      <c r="W406" s="2496">
        <f t="shared" si="32"/>
        <v>3161038.0976441242</v>
      </c>
      <c r="X406" s="2496">
        <f t="shared" si="32"/>
        <v>3156383.6745780334</v>
      </c>
      <c r="Y406" s="2496">
        <f t="shared" si="32"/>
        <v>3152663.9073098255</v>
      </c>
      <c r="Z406" s="2496">
        <f t="shared" si="32"/>
        <v>3149690.3196398206</v>
      </c>
      <c r="AA406" s="2496">
        <f t="shared" si="32"/>
        <v>3147312.7250323845</v>
      </c>
      <c r="AB406" s="2496">
        <f t="shared" si="32"/>
        <v>3145411.3466398004</v>
      </c>
      <c r="AC406" s="2496">
        <f t="shared" si="32"/>
        <v>3143890.5950839128</v>
      </c>
      <c r="AD406" s="2496">
        <f t="shared" si="32"/>
        <v>3142674.1425324017</v>
      </c>
      <c r="AE406" s="2496">
        <f t="shared" si="32"/>
        <v>3141701.0148192528</v>
      </c>
      <c r="AF406" s="2496">
        <f t="shared" si="32"/>
        <v>3140922.4859394347</v>
      </c>
      <c r="AG406" s="2496">
        <f t="shared" si="32"/>
        <v>3140299.6067839684</v>
      </c>
      <c r="AH406" s="2496">
        <f t="shared" si="32"/>
        <v>3139801.2364068478</v>
      </c>
      <c r="AI406" s="2496">
        <f t="shared" si="32"/>
        <v>3139402.472236081</v>
      </c>
      <c r="AJ406" s="2496">
        <f t="shared" si="32"/>
        <v>3139083.3974896967</v>
      </c>
      <c r="AK406" s="2496">
        <f t="shared" si="32"/>
        <v>3138828.0811242033</v>
      </c>
      <c r="AL406" s="2496">
        <f t="shared" si="32"/>
        <v>3138623.779033477</v>
      </c>
      <c r="AM406" s="2496">
        <f t="shared" si="32"/>
        <v>3138460.2957619759</v>
      </c>
      <c r="AN406" s="2496">
        <f t="shared" si="32"/>
        <v>3138329.4743261277</v>
      </c>
      <c r="AO406" s="2496">
        <f t="shared" si="32"/>
        <v>3138224.7883346817</v>
      </c>
      <c r="AP406" s="2496">
        <f t="shared" si="32"/>
        <v>3138141.015833091</v>
      </c>
      <c r="AQ406" s="2496">
        <f t="shared" si="32"/>
        <v>3138073.9784576269</v>
      </c>
      <c r="AR406" s="2496">
        <f t="shared" si="32"/>
        <v>3138020.332795951</v>
      </c>
      <c r="AS406" s="2496">
        <f t="shared" si="32"/>
        <v>3137977.4034889578</v>
      </c>
    </row>
    <row r="407" spans="2:45" s="2490" customFormat="1" x14ac:dyDescent="0.2">
      <c r="B407" s="3606"/>
      <c r="C407" s="2495" t="s">
        <v>1367</v>
      </c>
      <c r="D407" s="2493" t="s">
        <v>1523</v>
      </c>
      <c r="G407" s="2496">
        <f t="shared" si="32"/>
        <v>819176.79352695297</v>
      </c>
      <c r="H407" s="2496">
        <f t="shared" si="32"/>
        <v>816489.06184092595</v>
      </c>
      <c r="I407" s="2496">
        <f t="shared" si="32"/>
        <v>818676.30644757778</v>
      </c>
      <c r="J407" s="2496">
        <f t="shared" si="32"/>
        <v>818436.77659951732</v>
      </c>
      <c r="K407" s="2496">
        <f t="shared" si="32"/>
        <v>816592.18839855422</v>
      </c>
      <c r="L407" s="2496">
        <f t="shared" si="32"/>
        <v>813024.51430230285</v>
      </c>
      <c r="M407" s="2496">
        <f t="shared" si="32"/>
        <v>807200.267098821</v>
      </c>
      <c r="N407" s="2496">
        <f t="shared" si="32"/>
        <v>801612.4094921482</v>
      </c>
      <c r="O407" s="2496">
        <f t="shared" si="32"/>
        <v>796257.99236982409</v>
      </c>
      <c r="P407" s="2496">
        <f t="shared" si="32"/>
        <v>790945.94810944144</v>
      </c>
      <c r="Q407" s="2496">
        <f t="shared" si="32"/>
        <v>785420.09070446168</v>
      </c>
      <c r="R407" s="2496">
        <f t="shared" si="32"/>
        <v>781025.84226460801</v>
      </c>
      <c r="S407" s="2496">
        <f t="shared" si="32"/>
        <v>777527.0584459065</v>
      </c>
      <c r="T407" s="2496">
        <f t="shared" si="32"/>
        <v>774738.44841572898</v>
      </c>
      <c r="U407" s="2496">
        <f t="shared" si="32"/>
        <v>772514.06782003178</v>
      </c>
      <c r="V407" s="2496">
        <f t="shared" si="32"/>
        <v>770738.60737810435</v>
      </c>
      <c r="W407" s="2496">
        <f t="shared" si="32"/>
        <v>769320.73402580747</v>
      </c>
      <c r="X407" s="2496">
        <f t="shared" si="32"/>
        <v>768187.95926667377</v>
      </c>
      <c r="Y407" s="2496">
        <f t="shared" si="32"/>
        <v>767282.65727511747</v>
      </c>
      <c r="Z407" s="2496">
        <f t="shared" si="32"/>
        <v>766558.95747197897</v>
      </c>
      <c r="AA407" s="2496">
        <f t="shared" si="32"/>
        <v>765980.30806247902</v>
      </c>
      <c r="AB407" s="2496">
        <f t="shared" si="32"/>
        <v>765517.55823933287</v>
      </c>
      <c r="AC407" s="2496">
        <f t="shared" si="32"/>
        <v>765147.44384428067</v>
      </c>
      <c r="AD407" s="2496">
        <f t="shared" si="32"/>
        <v>764851.3885165914</v>
      </c>
      <c r="AE407" s="2496">
        <f t="shared" si="32"/>
        <v>764614.55260906508</v>
      </c>
      <c r="AF407" s="2496">
        <f t="shared" si="32"/>
        <v>764425.07738264254</v>
      </c>
      <c r="AG407" s="2496">
        <f t="shared" si="32"/>
        <v>764273.48355988844</v>
      </c>
      <c r="AH407" s="2496">
        <f t="shared" si="32"/>
        <v>764152.19218265731</v>
      </c>
      <c r="AI407" s="2496">
        <f t="shared" si="32"/>
        <v>764055.14256317145</v>
      </c>
      <c r="AJ407" s="2496">
        <f t="shared" si="32"/>
        <v>763977.48743516754</v>
      </c>
      <c r="AK407" s="2496">
        <f t="shared" si="32"/>
        <v>763915.34956537827</v>
      </c>
      <c r="AL407" s="2496">
        <f t="shared" si="32"/>
        <v>763865.62734453008</v>
      </c>
      <c r="AM407" s="2496">
        <f t="shared" si="32"/>
        <v>763825.83944367385</v>
      </c>
      <c r="AN407" s="2496">
        <f t="shared" si="32"/>
        <v>763794.00064896641</v>
      </c>
      <c r="AO407" s="2496">
        <f t="shared" si="32"/>
        <v>763768.522593564</v>
      </c>
      <c r="AP407" s="2496">
        <f t="shared" si="32"/>
        <v>763748.13437917863</v>
      </c>
      <c r="AQ407" s="2496">
        <f t="shared" si="32"/>
        <v>763731.81909245742</v>
      </c>
      <c r="AR407" s="2496">
        <f t="shared" si="32"/>
        <v>763718.76302715787</v>
      </c>
      <c r="AS407" s="2496">
        <f t="shared" si="32"/>
        <v>763708.31506514433</v>
      </c>
    </row>
    <row r="408" spans="2:45" s="2490" customFormat="1" x14ac:dyDescent="0.2">
      <c r="B408" s="3606"/>
      <c r="C408" s="2495" t="s">
        <v>1368</v>
      </c>
      <c r="D408" s="2493" t="s">
        <v>1523</v>
      </c>
      <c r="G408" s="2496">
        <f t="shared" si="32"/>
        <v>634401.74934296613</v>
      </c>
      <c r="H408" s="2496">
        <f t="shared" si="32"/>
        <v>632320.26742495573</v>
      </c>
      <c r="I408" s="2496">
        <f t="shared" si="32"/>
        <v>634014.15306193358</v>
      </c>
      <c r="J408" s="2496">
        <f t="shared" si="32"/>
        <v>633828.65201279486</v>
      </c>
      <c r="K408" s="2496">
        <f t="shared" si="32"/>
        <v>632400.13256405666</v>
      </c>
      <c r="L408" s="2496">
        <f t="shared" si="32"/>
        <v>629637.18968575238</v>
      </c>
      <c r="M408" s="2496">
        <f t="shared" si="32"/>
        <v>625126.6705356841</v>
      </c>
      <c r="N408" s="2496">
        <f t="shared" si="32"/>
        <v>620799.22050442756</v>
      </c>
      <c r="O408" s="2496">
        <f t="shared" si="32"/>
        <v>616652.55568682554</v>
      </c>
      <c r="P408" s="2496">
        <f t="shared" si="32"/>
        <v>612538.70602945832</v>
      </c>
      <c r="Q408" s="2496">
        <f t="shared" si="32"/>
        <v>608259.27131885651</v>
      </c>
      <c r="R408" s="2496">
        <f t="shared" si="32"/>
        <v>604856.19774631504</v>
      </c>
      <c r="S408" s="2496">
        <f t="shared" si="32"/>
        <v>602146.60612617084</v>
      </c>
      <c r="T408" s="2496">
        <f t="shared" si="32"/>
        <v>599987.00017131574</v>
      </c>
      <c r="U408" s="2496">
        <f t="shared" si="32"/>
        <v>598264.3550081891</v>
      </c>
      <c r="V408" s="2496">
        <f t="shared" si="32"/>
        <v>596889.37073233037</v>
      </c>
      <c r="W408" s="2496">
        <f t="shared" si="32"/>
        <v>595791.31553575781</v>
      </c>
      <c r="X408" s="2496">
        <f t="shared" si="32"/>
        <v>594914.05156235839</v>
      </c>
      <c r="Y408" s="2496">
        <f t="shared" si="32"/>
        <v>594212.95117515838</v>
      </c>
      <c r="Z408" s="2496">
        <f t="shared" si="32"/>
        <v>593652.49044831889</v>
      </c>
      <c r="AA408" s="2496">
        <f t="shared" si="32"/>
        <v>593204.36227800965</v>
      </c>
      <c r="AB408" s="2496">
        <f t="shared" si="32"/>
        <v>592845.99116736301</v>
      </c>
      <c r="AC408" s="2496">
        <f t="shared" si="32"/>
        <v>592559.36046501214</v>
      </c>
      <c r="AD408" s="2496">
        <f t="shared" si="32"/>
        <v>592330.08392877178</v>
      </c>
      <c r="AE408" s="2496">
        <f t="shared" si="32"/>
        <v>592146.66916991991</v>
      </c>
      <c r="AF408" s="2496">
        <f t="shared" si="32"/>
        <v>591999.93232867948</v>
      </c>
      <c r="AG408" s="2496">
        <f t="shared" si="32"/>
        <v>591882.53229109931</v>
      </c>
      <c r="AH408" s="2496">
        <f t="shared" si="32"/>
        <v>591788.59962295776</v>
      </c>
      <c r="AI408" s="2496">
        <f t="shared" si="32"/>
        <v>591713.44069650699</v>
      </c>
      <c r="AJ408" s="2496">
        <f t="shared" si="32"/>
        <v>591653.30160389538</v>
      </c>
      <c r="AK408" s="2496">
        <f t="shared" si="32"/>
        <v>591605.17966781743</v>
      </c>
      <c r="AL408" s="2496">
        <f t="shared" si="32"/>
        <v>591566.67288376705</v>
      </c>
      <c r="AM408" s="2496">
        <f t="shared" si="32"/>
        <v>591535.8596159775</v>
      </c>
      <c r="AN408" s="2496">
        <f t="shared" si="32"/>
        <v>591511.20243913995</v>
      </c>
      <c r="AO408" s="2496">
        <f t="shared" si="32"/>
        <v>591491.47126139526</v>
      </c>
      <c r="AP408" s="2496">
        <f t="shared" si="32"/>
        <v>591475.68185064278</v>
      </c>
      <c r="AQ408" s="2496">
        <f t="shared" si="32"/>
        <v>591463.04667039996</v>
      </c>
      <c r="AR408" s="2496">
        <f t="shared" si="32"/>
        <v>591452.9355555207</v>
      </c>
      <c r="AS408" s="2496">
        <f t="shared" si="32"/>
        <v>591444.84425529011</v>
      </c>
    </row>
    <row r="409" spans="2:45" s="2490" customFormat="1" x14ac:dyDescent="0.2">
      <c r="B409" s="3606"/>
      <c r="C409" s="2495" t="s">
        <v>1369</v>
      </c>
      <c r="D409" s="2493" t="s">
        <v>1523</v>
      </c>
      <c r="G409" s="2496">
        <f t="shared" si="32"/>
        <v>438281.94208831835</v>
      </c>
      <c r="H409" s="2496">
        <f t="shared" si="32"/>
        <v>436843.93228082306</v>
      </c>
      <c r="I409" s="2496">
        <f t="shared" si="32"/>
        <v>438014.16784120572</v>
      </c>
      <c r="J409" s="2496">
        <f t="shared" si="32"/>
        <v>437886.01283507573</v>
      </c>
      <c r="K409" s="2496">
        <f t="shared" si="32"/>
        <v>436899.10780375695</v>
      </c>
      <c r="L409" s="2496">
        <f t="shared" si="32"/>
        <v>434990.30479078233</v>
      </c>
      <c r="M409" s="2496">
        <f t="shared" si="32"/>
        <v>431874.17357745278</v>
      </c>
      <c r="N409" s="2496">
        <f t="shared" si="32"/>
        <v>428884.5172501278</v>
      </c>
      <c r="O409" s="2496">
        <f t="shared" si="32"/>
        <v>426019.75795315212</v>
      </c>
      <c r="P409" s="2496">
        <f t="shared" si="32"/>
        <v>423177.66929378512</v>
      </c>
      <c r="Q409" s="2496">
        <f t="shared" si="32"/>
        <v>420221.18476651935</v>
      </c>
      <c r="R409" s="2496">
        <f t="shared" si="32"/>
        <v>417870.14192026685</v>
      </c>
      <c r="S409" s="2496">
        <f t="shared" si="32"/>
        <v>415998.19708598318</v>
      </c>
      <c r="T409" s="2496">
        <f t="shared" si="32"/>
        <v>414506.2146111246</v>
      </c>
      <c r="U409" s="2496">
        <f t="shared" si="32"/>
        <v>413316.11028306093</v>
      </c>
      <c r="V409" s="2496">
        <f t="shared" si="32"/>
        <v>412366.1904895099</v>
      </c>
      <c r="W409" s="2496">
        <f t="shared" si="32"/>
        <v>411607.58954843052</v>
      </c>
      <c r="X409" s="2496">
        <f t="shared" si="32"/>
        <v>411001.52413580549</v>
      </c>
      <c r="Y409" s="2496">
        <f t="shared" si="32"/>
        <v>410517.16286218178</v>
      </c>
      <c r="Z409" s="2496">
        <f t="shared" si="32"/>
        <v>410129.96371577663</v>
      </c>
      <c r="AA409" s="2496">
        <f t="shared" si="32"/>
        <v>409820.37048878608</v>
      </c>
      <c r="AB409" s="2496">
        <f t="shared" si="32"/>
        <v>409572.78670370794</v>
      </c>
      <c r="AC409" s="2496">
        <f t="shared" si="32"/>
        <v>409374.76540093159</v>
      </c>
      <c r="AD409" s="2496">
        <f t="shared" si="32"/>
        <v>409216.36772046681</v>
      </c>
      <c r="AE409" s="2496">
        <f t="shared" si="32"/>
        <v>409089.65404604754</v>
      </c>
      <c r="AF409" s="2496">
        <f t="shared" si="32"/>
        <v>408988.27962861967</v>
      </c>
      <c r="AG409" s="2496">
        <f t="shared" si="32"/>
        <v>408907.17279604072</v>
      </c>
      <c r="AH409" s="2496">
        <f t="shared" si="32"/>
        <v>408842.27859885216</v>
      </c>
      <c r="AI409" s="2496">
        <f t="shared" si="32"/>
        <v>408790.35440368048</v>
      </c>
      <c r="AJ409" s="2496">
        <f t="shared" si="32"/>
        <v>408748.80679077975</v>
      </c>
      <c r="AK409" s="2496">
        <f t="shared" si="32"/>
        <v>408715.56133453193</v>
      </c>
      <c r="AL409" s="2496">
        <f t="shared" si="32"/>
        <v>408688.9585893242</v>
      </c>
      <c r="AM409" s="2496">
        <f t="shared" si="32"/>
        <v>408667.67097644653</v>
      </c>
      <c r="AN409" s="2496">
        <f t="shared" si="32"/>
        <v>408650.63635231124</v>
      </c>
      <c r="AO409" s="2496">
        <f t="shared" si="32"/>
        <v>408637.0048973058</v>
      </c>
      <c r="AP409" s="2496">
        <f t="shared" si="32"/>
        <v>408626.09664616018</v>
      </c>
      <c r="AQ409" s="2496">
        <f t="shared" si="32"/>
        <v>408617.36752247601</v>
      </c>
      <c r="AR409" s="2496">
        <f t="shared" si="32"/>
        <v>408610.38217120524</v>
      </c>
      <c r="AS409" s="2496">
        <f t="shared" si="32"/>
        <v>408604.79222637491</v>
      </c>
    </row>
    <row r="410" spans="2:45" s="2490" customFormat="1" x14ac:dyDescent="0.2">
      <c r="B410" s="3606"/>
      <c r="C410" s="2495" t="s">
        <v>1370</v>
      </c>
      <c r="D410" s="2493" t="s">
        <v>1523</v>
      </c>
      <c r="G410" s="2496">
        <f t="shared" si="32"/>
        <v>296373.85773863288</v>
      </c>
      <c r="H410" s="2496">
        <f t="shared" si="32"/>
        <v>295401.45054320374</v>
      </c>
      <c r="I410" s="2496">
        <f t="shared" si="32"/>
        <v>296192.78414422105</v>
      </c>
      <c r="J410" s="2496">
        <f t="shared" si="32"/>
        <v>296106.12350432714</v>
      </c>
      <c r="K410" s="2496">
        <f t="shared" si="32"/>
        <v>295438.76118964923</v>
      </c>
      <c r="L410" s="2496">
        <f t="shared" si="32"/>
        <v>294147.99545578647</v>
      </c>
      <c r="M410" s="2496">
        <f t="shared" si="32"/>
        <v>292040.81343383557</v>
      </c>
      <c r="N410" s="2496">
        <f t="shared" si="32"/>
        <v>290019.15592538298</v>
      </c>
      <c r="O410" s="2496">
        <f t="shared" si="32"/>
        <v>288081.95595704339</v>
      </c>
      <c r="P410" s="2496">
        <f t="shared" si="32"/>
        <v>286160.08626741316</v>
      </c>
      <c r="Q410" s="2496">
        <f t="shared" si="32"/>
        <v>284160.86010601738</v>
      </c>
      <c r="R410" s="2496">
        <f t="shared" si="32"/>
        <v>282571.04411968525</v>
      </c>
      <c r="S410" s="2496">
        <f t="shared" si="32"/>
        <v>281305.20252610499</v>
      </c>
      <c r="T410" s="2496">
        <f t="shared" si="32"/>
        <v>280296.29807604849</v>
      </c>
      <c r="U410" s="2496">
        <f t="shared" si="32"/>
        <v>279491.52886940719</v>
      </c>
      <c r="V410" s="2496">
        <f t="shared" si="32"/>
        <v>278849.17661456508</v>
      </c>
      <c r="W410" s="2496">
        <f t="shared" si="32"/>
        <v>278336.19748902635</v>
      </c>
      <c r="X410" s="2496">
        <f t="shared" si="32"/>
        <v>277926.36553581886</v>
      </c>
      <c r="Y410" s="2496">
        <f t="shared" si="32"/>
        <v>277598.83203416679</v>
      </c>
      <c r="Z410" s="2496">
        <f t="shared" si="32"/>
        <v>277337.00124965765</v>
      </c>
      <c r="AA410" s="2496">
        <f t="shared" si="32"/>
        <v>277127.64893508179</v>
      </c>
      <c r="AB410" s="2496">
        <f t="shared" si="32"/>
        <v>276960.22848160035</v>
      </c>
      <c r="AC410" s="2496">
        <f t="shared" si="32"/>
        <v>276826.32303904759</v>
      </c>
      <c r="AD410" s="2496">
        <f t="shared" si="32"/>
        <v>276719.21177776105</v>
      </c>
      <c r="AE410" s="2496">
        <f t="shared" si="32"/>
        <v>276633.52579139126</v>
      </c>
      <c r="AF410" s="2496">
        <f t="shared" si="32"/>
        <v>276564.97465048434</v>
      </c>
      <c r="AG410" s="2496">
        <f t="shared" si="32"/>
        <v>276510.1288022938</v>
      </c>
      <c r="AH410" s="2496">
        <f t="shared" si="32"/>
        <v>276466.24621960288</v>
      </c>
      <c r="AI410" s="2496">
        <f t="shared" si="32"/>
        <v>276431.1341774328</v>
      </c>
      <c r="AJ410" s="2496">
        <f t="shared" si="32"/>
        <v>276403.03896033001</v>
      </c>
      <c r="AK410" s="2496">
        <f t="shared" si="32"/>
        <v>276380.55780567985</v>
      </c>
      <c r="AL410" s="2496">
        <f t="shared" si="32"/>
        <v>276362.56856755132</v>
      </c>
      <c r="AM410" s="2496">
        <f t="shared" si="32"/>
        <v>276348.17351417418</v>
      </c>
      <c r="AN410" s="2496">
        <f t="shared" si="32"/>
        <v>276336.65440561582</v>
      </c>
      <c r="AO410" s="2496">
        <f t="shared" si="32"/>
        <v>276327.43657910143</v>
      </c>
      <c r="AP410" s="2496">
        <f t="shared" si="32"/>
        <v>276320.06023031136</v>
      </c>
      <c r="AQ410" s="2496">
        <f t="shared" si="32"/>
        <v>276314.15744534013</v>
      </c>
      <c r="AR410" s="2496">
        <f t="shared" si="32"/>
        <v>276309.43382954638</v>
      </c>
      <c r="AS410" s="2496">
        <f t="shared" si="32"/>
        <v>276305.65381181159</v>
      </c>
    </row>
    <row r="411" spans="2:45" s="2490" customFormat="1" x14ac:dyDescent="0.2">
      <c r="B411" s="3606"/>
      <c r="C411" s="2495" t="s">
        <v>1371</v>
      </c>
      <c r="D411" s="2493" t="s">
        <v>1523</v>
      </c>
      <c r="G411" s="2496">
        <f t="shared" si="32"/>
        <v>512419.42335949035</v>
      </c>
      <c r="H411" s="2496">
        <f t="shared" si="32"/>
        <v>510738.16733321885</v>
      </c>
      <c r="I411" s="2496">
        <f t="shared" si="32"/>
        <v>512106.35382109677</v>
      </c>
      <c r="J411" s="2496">
        <f t="shared" si="32"/>
        <v>511956.520784333</v>
      </c>
      <c r="K411" s="2496">
        <f t="shared" si="32"/>
        <v>510802.67605906475</v>
      </c>
      <c r="L411" s="2496">
        <f t="shared" si="32"/>
        <v>508570.98991074931</v>
      </c>
      <c r="M411" s="2496">
        <f t="shared" si="32"/>
        <v>504927.75023758673</v>
      </c>
      <c r="N411" s="2496">
        <f t="shared" si="32"/>
        <v>501432.37928072864</v>
      </c>
      <c r="O411" s="2496">
        <f t="shared" si="32"/>
        <v>498083.03228270821</v>
      </c>
      <c r="P411" s="2496">
        <f t="shared" si="32"/>
        <v>494760.1907687955</v>
      </c>
      <c r="Q411" s="2496">
        <f t="shared" si="32"/>
        <v>491303.60278021835</v>
      </c>
      <c r="R411" s="2496">
        <f t="shared" si="32"/>
        <v>488554.86982117832</v>
      </c>
      <c r="S411" s="2496">
        <f t="shared" si="32"/>
        <v>486366.2765883067</v>
      </c>
      <c r="T411" s="2496">
        <f t="shared" si="32"/>
        <v>484621.91816051741</v>
      </c>
      <c r="U411" s="2496">
        <f t="shared" si="32"/>
        <v>483230.5020081242</v>
      </c>
      <c r="V411" s="2496">
        <f t="shared" si="32"/>
        <v>482119.89875002537</v>
      </c>
      <c r="W411" s="2496">
        <f t="shared" si="32"/>
        <v>481232.97684095538</v>
      </c>
      <c r="X411" s="2496">
        <f t="shared" si="32"/>
        <v>480524.39257262868</v>
      </c>
      <c r="Y411" s="2496">
        <f t="shared" si="32"/>
        <v>479958.09927898919</v>
      </c>
      <c r="Z411" s="2496">
        <f t="shared" si="32"/>
        <v>479505.40354988654</v>
      </c>
      <c r="AA411" s="2496">
        <f t="shared" si="32"/>
        <v>479143.44115167606</v>
      </c>
      <c r="AB411" s="2496">
        <f t="shared" si="32"/>
        <v>478853.97738828586</v>
      </c>
      <c r="AC411" s="2496">
        <f t="shared" si="32"/>
        <v>478622.45983751008</v>
      </c>
      <c r="AD411" s="2496">
        <f t="shared" si="32"/>
        <v>478437.26843377919</v>
      </c>
      <c r="AE411" s="2496">
        <f t="shared" si="32"/>
        <v>478289.12053686084</v>
      </c>
      <c r="AF411" s="2496">
        <f t="shared" si="32"/>
        <v>478170.59815313166</v>
      </c>
      <c r="AG411" s="2496">
        <f t="shared" si="32"/>
        <v>478075.77171291225</v>
      </c>
      <c r="AH411" s="2496">
        <f t="shared" si="32"/>
        <v>477999.90035269991</v>
      </c>
      <c r="AI411" s="2496">
        <f t="shared" si="32"/>
        <v>477939.19293221738</v>
      </c>
      <c r="AJ411" s="2496">
        <f t="shared" si="32"/>
        <v>477890.6173423971</v>
      </c>
      <c r="AK411" s="2496">
        <f t="shared" si="32"/>
        <v>477851.74825863179</v>
      </c>
      <c r="AL411" s="2496">
        <f t="shared" si="32"/>
        <v>477820.64553216711</v>
      </c>
      <c r="AM411" s="2496">
        <f t="shared" si="32"/>
        <v>477795.75701802148</v>
      </c>
      <c r="AN411" s="2496">
        <f t="shared" si="32"/>
        <v>477775.84090595227</v>
      </c>
      <c r="AO411" s="2496">
        <f t="shared" si="32"/>
        <v>477759.90362530563</v>
      </c>
      <c r="AP411" s="2496">
        <f t="shared" si="32"/>
        <v>477747.15019144223</v>
      </c>
      <c r="AQ411" s="2496">
        <f t="shared" si="32"/>
        <v>477736.94449484581</v>
      </c>
      <c r="AR411" s="2496">
        <f t="shared" si="32"/>
        <v>477728.77753808501</v>
      </c>
      <c r="AS411" s="2496">
        <f t="shared" si="32"/>
        <v>477722.24202742043</v>
      </c>
    </row>
    <row r="412" spans="2:45" s="2490" customFormat="1" x14ac:dyDescent="0.2">
      <c r="B412" s="2488"/>
      <c r="C412" s="2489" t="s">
        <v>1372</v>
      </c>
      <c r="D412" s="2493" t="s">
        <v>1523</v>
      </c>
      <c r="G412" s="2496">
        <f t="shared" ref="G412:AS416" si="33">G80*G145*$E$199*$D$217*G183</f>
        <v>222694.98986404767</v>
      </c>
      <c r="H412" s="2496">
        <f t="shared" si="33"/>
        <v>221964.3241697718</v>
      </c>
      <c r="I412" s="2496">
        <f t="shared" si="33"/>
        <v>222558.93136489429</v>
      </c>
      <c r="J412" s="2496">
        <f t="shared" si="33"/>
        <v>222493.81465564732</v>
      </c>
      <c r="K412" s="2496">
        <f t="shared" si="33"/>
        <v>221992.35934836481</v>
      </c>
      <c r="L412" s="2496">
        <f t="shared" si="33"/>
        <v>221022.47939939529</v>
      </c>
      <c r="M412" s="2496">
        <f t="shared" si="33"/>
        <v>219439.14515189934</v>
      </c>
      <c r="N412" s="2496">
        <f t="shared" si="33"/>
        <v>217920.07392952981</v>
      </c>
      <c r="O412" s="2496">
        <f t="shared" si="33"/>
        <v>216464.46400966137</v>
      </c>
      <c r="P412" s="2496">
        <f t="shared" si="33"/>
        <v>215020.37324430898</v>
      </c>
      <c r="Q412" s="2496">
        <f t="shared" si="33"/>
        <v>213518.15691138056</v>
      </c>
      <c r="R412" s="2496">
        <f t="shared" si="33"/>
        <v>212323.57093249791</v>
      </c>
      <c r="S412" s="2496">
        <f t="shared" si="33"/>
        <v>211372.41895505038</v>
      </c>
      <c r="T412" s="2496">
        <f t="shared" si="33"/>
        <v>210614.32926389671</v>
      </c>
      <c r="U412" s="2496">
        <f t="shared" si="33"/>
        <v>210009.62656952493</v>
      </c>
      <c r="V412" s="2496">
        <f t="shared" si="33"/>
        <v>209526.96379362198</v>
      </c>
      <c r="W412" s="2496">
        <f t="shared" si="33"/>
        <v>209141.51184440497</v>
      </c>
      <c r="X412" s="2496">
        <f t="shared" si="33"/>
        <v>208833.56456672709</v>
      </c>
      <c r="Y412" s="2496">
        <f t="shared" si="33"/>
        <v>208587.45625478931</v>
      </c>
      <c r="Z412" s="2496">
        <f t="shared" si="33"/>
        <v>208390.71689205585</v>
      </c>
      <c r="AA412" s="2496">
        <f t="shared" si="33"/>
        <v>208233.40979375705</v>
      </c>
      <c r="AB412" s="2496">
        <f t="shared" si="33"/>
        <v>208107.61024964217</v>
      </c>
      <c r="AC412" s="2496">
        <f t="shared" si="33"/>
        <v>208006.99384777882</v>
      </c>
      <c r="AD412" s="2496">
        <f t="shared" si="33"/>
        <v>207926.51056417028</v>
      </c>
      <c r="AE412" s="2496">
        <f t="shared" si="33"/>
        <v>207862.12620850647</v>
      </c>
      <c r="AF412" s="2496">
        <f t="shared" si="33"/>
        <v>207810.61695682709</v>
      </c>
      <c r="AG412" s="2496">
        <f t="shared" si="33"/>
        <v>207769.40584698066</v>
      </c>
      <c r="AH412" s="2496">
        <f t="shared" si="33"/>
        <v>207736.43252274039</v>
      </c>
      <c r="AI412" s="2496">
        <f t="shared" si="33"/>
        <v>207710.04937297534</v>
      </c>
      <c r="AJ412" s="2496">
        <f t="shared" si="33"/>
        <v>207688.93865782759</v>
      </c>
      <c r="AK412" s="2496">
        <f t="shared" si="33"/>
        <v>207672.04634301571</v>
      </c>
      <c r="AL412" s="2496">
        <f t="shared" si="33"/>
        <v>207658.52924932441</v>
      </c>
      <c r="AM412" s="2496">
        <f t="shared" si="33"/>
        <v>207647.71282209168</v>
      </c>
      <c r="AN412" s="2496">
        <f t="shared" si="33"/>
        <v>207639.05737662414</v>
      </c>
      <c r="AO412" s="2496">
        <f t="shared" si="33"/>
        <v>207632.13111194668</v>
      </c>
      <c r="AP412" s="2496">
        <f t="shared" si="33"/>
        <v>207626.58853160046</v>
      </c>
      <c r="AQ412" s="2496">
        <f t="shared" si="33"/>
        <v>207622.15318548263</v>
      </c>
      <c r="AR412" s="2496">
        <f t="shared" si="33"/>
        <v>207618.60386578445</v>
      </c>
      <c r="AS412" s="2496">
        <f t="shared" si="33"/>
        <v>207615.76356462709</v>
      </c>
    </row>
    <row r="413" spans="2:45" s="2490" customFormat="1" x14ac:dyDescent="0.2">
      <c r="B413" s="2488"/>
      <c r="C413" s="2489" t="s">
        <v>1373</v>
      </c>
      <c r="D413" s="2493" t="s">
        <v>1523</v>
      </c>
      <c r="G413" s="2496">
        <f t="shared" si="33"/>
        <v>309786.03078143933</v>
      </c>
      <c r="H413" s="2496">
        <f t="shared" si="33"/>
        <v>309785.65236190334</v>
      </c>
      <c r="I413" s="2496">
        <f t="shared" si="33"/>
        <v>309785.27394236735</v>
      </c>
      <c r="J413" s="2496">
        <f t="shared" si="33"/>
        <v>309784.89552283147</v>
      </c>
      <c r="K413" s="2496">
        <f t="shared" si="33"/>
        <v>309784.51710329548</v>
      </c>
      <c r="L413" s="2496">
        <f t="shared" si="33"/>
        <v>309784.13868375949</v>
      </c>
      <c r="M413" s="2496">
        <f t="shared" si="33"/>
        <v>309783.76026422362</v>
      </c>
      <c r="N413" s="2496">
        <f t="shared" si="33"/>
        <v>309783.38184468757</v>
      </c>
      <c r="O413" s="2496">
        <f t="shared" si="33"/>
        <v>309783.00342515163</v>
      </c>
      <c r="P413" s="2496">
        <f t="shared" si="33"/>
        <v>309782.62500561564</v>
      </c>
      <c r="Q413" s="2496">
        <f t="shared" si="33"/>
        <v>309782.24658607971</v>
      </c>
      <c r="R413" s="2496">
        <f t="shared" si="33"/>
        <v>309781.86816654383</v>
      </c>
      <c r="S413" s="2496">
        <f t="shared" si="33"/>
        <v>309781.48974700784</v>
      </c>
      <c r="T413" s="2496">
        <f t="shared" si="33"/>
        <v>309781.11132747185</v>
      </c>
      <c r="U413" s="2496">
        <f t="shared" si="33"/>
        <v>309780.73290793586</v>
      </c>
      <c r="V413" s="2496">
        <f t="shared" si="33"/>
        <v>309780.35448839993</v>
      </c>
      <c r="W413" s="2496">
        <f t="shared" si="33"/>
        <v>309779.97606886394</v>
      </c>
      <c r="X413" s="2496">
        <f t="shared" si="33"/>
        <v>309779.597649328</v>
      </c>
      <c r="Y413" s="2496">
        <f t="shared" si="33"/>
        <v>309779.21922979207</v>
      </c>
      <c r="Z413" s="2496">
        <f t="shared" si="33"/>
        <v>309778.84081025608</v>
      </c>
      <c r="AA413" s="2496">
        <f t="shared" si="33"/>
        <v>309778.46239072015</v>
      </c>
      <c r="AB413" s="2496">
        <f t="shared" si="33"/>
        <v>309778.08397118415</v>
      </c>
      <c r="AC413" s="2496">
        <f t="shared" si="33"/>
        <v>309777.70555164822</v>
      </c>
      <c r="AD413" s="2496">
        <f t="shared" si="33"/>
        <v>309777.32713211223</v>
      </c>
      <c r="AE413" s="2496">
        <f t="shared" si="33"/>
        <v>309776.9487125763</v>
      </c>
      <c r="AF413" s="2496">
        <f t="shared" si="33"/>
        <v>309776.57029304036</v>
      </c>
      <c r="AG413" s="2496">
        <f t="shared" si="33"/>
        <v>309776.19187350437</v>
      </c>
      <c r="AH413" s="2496">
        <f t="shared" si="33"/>
        <v>309775.81345396844</v>
      </c>
      <c r="AI413" s="2496">
        <f t="shared" si="33"/>
        <v>309775.43503443245</v>
      </c>
      <c r="AJ413" s="2496">
        <f t="shared" si="33"/>
        <v>309775.05661489652</v>
      </c>
      <c r="AK413" s="2496">
        <f t="shared" si="33"/>
        <v>309774.67819536052</v>
      </c>
      <c r="AL413" s="2496">
        <f t="shared" si="33"/>
        <v>309774.29977582459</v>
      </c>
      <c r="AM413" s="2496">
        <f t="shared" si="33"/>
        <v>309773.92135628866</v>
      </c>
      <c r="AN413" s="2496">
        <f t="shared" si="33"/>
        <v>309773.54293675267</v>
      </c>
      <c r="AO413" s="2496">
        <f t="shared" si="33"/>
        <v>309773.16451721673</v>
      </c>
      <c r="AP413" s="2496">
        <f t="shared" si="33"/>
        <v>309772.78609768074</v>
      </c>
      <c r="AQ413" s="2496">
        <f t="shared" si="33"/>
        <v>309772.40767814481</v>
      </c>
      <c r="AR413" s="2496">
        <f t="shared" si="33"/>
        <v>309772.02925860882</v>
      </c>
      <c r="AS413" s="2496">
        <f t="shared" si="33"/>
        <v>309771.65083907288</v>
      </c>
    </row>
    <row r="414" spans="2:45" s="2490" customFormat="1" x14ac:dyDescent="0.2">
      <c r="B414" s="2488"/>
      <c r="C414" s="2489" t="s">
        <v>1374</v>
      </c>
      <c r="D414" s="2493" t="s">
        <v>1523</v>
      </c>
      <c r="G414" s="2496">
        <f t="shared" si="33"/>
        <v>16386.630176916467</v>
      </c>
      <c r="H414" s="2496">
        <f t="shared" si="33"/>
        <v>16386.430455494708</v>
      </c>
      <c r="I414" s="2496">
        <f t="shared" si="33"/>
        <v>16386.230734072949</v>
      </c>
      <c r="J414" s="2496">
        <f t="shared" si="33"/>
        <v>16386.031012651198</v>
      </c>
      <c r="K414" s="2496">
        <f t="shared" si="33"/>
        <v>16385.831291229442</v>
      </c>
      <c r="L414" s="2496">
        <f t="shared" si="33"/>
        <v>16385.631569807683</v>
      </c>
      <c r="M414" s="2496">
        <f t="shared" si="33"/>
        <v>16385.431848385928</v>
      </c>
      <c r="N414" s="2496">
        <f t="shared" si="33"/>
        <v>16385.232126964176</v>
      </c>
      <c r="O414" s="2496">
        <f t="shared" si="33"/>
        <v>16385.032405542413</v>
      </c>
      <c r="P414" s="2496">
        <f t="shared" si="33"/>
        <v>16384.832684120658</v>
      </c>
      <c r="Q414" s="2496">
        <f t="shared" si="33"/>
        <v>16384.632962698903</v>
      </c>
      <c r="R414" s="2496">
        <f t="shared" si="33"/>
        <v>16384.433241277147</v>
      </c>
      <c r="S414" s="2496">
        <f t="shared" si="33"/>
        <v>16384.233519855392</v>
      </c>
      <c r="T414" s="2496">
        <f t="shared" si="33"/>
        <v>16384.033798433633</v>
      </c>
      <c r="U414" s="2496">
        <f t="shared" si="33"/>
        <v>16383.834077011879</v>
      </c>
      <c r="V414" s="2496">
        <f t="shared" si="33"/>
        <v>16383.634355590124</v>
      </c>
      <c r="W414" s="2496">
        <f t="shared" si="33"/>
        <v>16383.434634168363</v>
      </c>
      <c r="X414" s="2496">
        <f t="shared" si="33"/>
        <v>16383.234912746611</v>
      </c>
      <c r="Y414" s="2496">
        <f t="shared" si="33"/>
        <v>16383.035191324854</v>
      </c>
      <c r="Z414" s="2496">
        <f t="shared" si="33"/>
        <v>16382.835469903099</v>
      </c>
      <c r="AA414" s="2496">
        <f t="shared" si="33"/>
        <v>16382.63574848134</v>
      </c>
      <c r="AB414" s="2496">
        <f t="shared" si="33"/>
        <v>16382.436027059583</v>
      </c>
      <c r="AC414" s="2496">
        <f t="shared" si="33"/>
        <v>16382.236305637831</v>
      </c>
      <c r="AD414" s="2496">
        <f t="shared" si="33"/>
        <v>16382.036584216072</v>
      </c>
      <c r="AE414" s="2496">
        <f t="shared" si="33"/>
        <v>16381.836862794316</v>
      </c>
      <c r="AF414" s="2496">
        <f t="shared" si="33"/>
        <v>16381.637141372559</v>
      </c>
      <c r="AG414" s="2496">
        <f t="shared" si="33"/>
        <v>16381.437419950804</v>
      </c>
      <c r="AH414" s="2496">
        <f t="shared" si="33"/>
        <v>16381.237698529048</v>
      </c>
      <c r="AI414" s="2496">
        <f t="shared" si="33"/>
        <v>16381.037977107291</v>
      </c>
      <c r="AJ414" s="2496">
        <f t="shared" si="33"/>
        <v>16380.838255685536</v>
      </c>
      <c r="AK414" s="2496">
        <f t="shared" si="33"/>
        <v>16380.638534263779</v>
      </c>
      <c r="AL414" s="2496">
        <f t="shared" si="33"/>
        <v>16380.43881284202</v>
      </c>
      <c r="AM414" s="2496">
        <f t="shared" si="33"/>
        <v>16380.239091420268</v>
      </c>
      <c r="AN414" s="2496">
        <f t="shared" si="33"/>
        <v>16380.039369998512</v>
      </c>
      <c r="AO414" s="2496">
        <f t="shared" si="33"/>
        <v>16379.839648576752</v>
      </c>
      <c r="AP414" s="2496">
        <f t="shared" si="33"/>
        <v>16379.639927154996</v>
      </c>
      <c r="AQ414" s="2496">
        <f t="shared" si="33"/>
        <v>16379.440205733241</v>
      </c>
      <c r="AR414" s="2496">
        <f t="shared" si="33"/>
        <v>16379.240484311485</v>
      </c>
      <c r="AS414" s="2496">
        <f t="shared" si="33"/>
        <v>16379.040762889728</v>
      </c>
    </row>
    <row r="415" spans="2:45" s="2490" customFormat="1" x14ac:dyDescent="0.2">
      <c r="B415" s="2488"/>
      <c r="C415" s="2489" t="s">
        <v>1375</v>
      </c>
      <c r="D415" s="2493" t="s">
        <v>1523</v>
      </c>
      <c r="G415" s="2496">
        <f t="shared" si="33"/>
        <v>13870.777423407146</v>
      </c>
      <c r="H415" s="2496">
        <f t="shared" si="33"/>
        <v>13870.777423407146</v>
      </c>
      <c r="I415" s="2496">
        <f t="shared" si="33"/>
        <v>13870.777423407146</v>
      </c>
      <c r="J415" s="2496">
        <f t="shared" si="33"/>
        <v>13870.777423407146</v>
      </c>
      <c r="K415" s="2496">
        <f t="shared" si="33"/>
        <v>13870.777423407146</v>
      </c>
      <c r="L415" s="2496">
        <f t="shared" si="33"/>
        <v>13870.777423407146</v>
      </c>
      <c r="M415" s="2496">
        <f t="shared" si="33"/>
        <v>13870.777423407146</v>
      </c>
      <c r="N415" s="2496">
        <f t="shared" si="33"/>
        <v>13870.777423407146</v>
      </c>
      <c r="O415" s="2496">
        <f t="shared" si="33"/>
        <v>13870.777423407146</v>
      </c>
      <c r="P415" s="2496">
        <f t="shared" si="33"/>
        <v>13870.777423407146</v>
      </c>
      <c r="Q415" s="2496">
        <f t="shared" si="33"/>
        <v>13870.777423407146</v>
      </c>
      <c r="R415" s="2496">
        <f t="shared" si="33"/>
        <v>13870.777423407146</v>
      </c>
      <c r="S415" s="2496">
        <f t="shared" si="33"/>
        <v>13870.777423407146</v>
      </c>
      <c r="T415" s="2496">
        <f t="shared" si="33"/>
        <v>13870.777423407146</v>
      </c>
      <c r="U415" s="2496">
        <f t="shared" si="33"/>
        <v>13870.777423407146</v>
      </c>
      <c r="V415" s="2496">
        <f t="shared" si="33"/>
        <v>13870.777423407146</v>
      </c>
      <c r="W415" s="2496">
        <f t="shared" si="33"/>
        <v>13870.777423407146</v>
      </c>
      <c r="X415" s="2496">
        <f t="shared" si="33"/>
        <v>13870.777423407146</v>
      </c>
      <c r="Y415" s="2496">
        <f t="shared" si="33"/>
        <v>13870.777423407146</v>
      </c>
      <c r="Z415" s="2496">
        <f t="shared" si="33"/>
        <v>13870.777423407146</v>
      </c>
      <c r="AA415" s="2496">
        <f t="shared" si="33"/>
        <v>13870.777423407146</v>
      </c>
      <c r="AB415" s="2496">
        <f t="shared" si="33"/>
        <v>13870.777423407146</v>
      </c>
      <c r="AC415" s="2496">
        <f t="shared" si="33"/>
        <v>13870.777423407146</v>
      </c>
      <c r="AD415" s="2496">
        <f t="shared" si="33"/>
        <v>13870.777423407146</v>
      </c>
      <c r="AE415" s="2496">
        <f t="shared" si="33"/>
        <v>13870.777423407146</v>
      </c>
      <c r="AF415" s="2496">
        <f t="shared" si="33"/>
        <v>13870.777423407146</v>
      </c>
      <c r="AG415" s="2496">
        <f t="shared" si="33"/>
        <v>13870.777423407146</v>
      </c>
      <c r="AH415" s="2496">
        <f t="shared" si="33"/>
        <v>13870.777423407146</v>
      </c>
      <c r="AI415" s="2496">
        <f t="shared" si="33"/>
        <v>13870.777423407146</v>
      </c>
      <c r="AJ415" s="2496">
        <f t="shared" si="33"/>
        <v>13870.777423407146</v>
      </c>
      <c r="AK415" s="2496">
        <f t="shared" si="33"/>
        <v>13870.777423407146</v>
      </c>
      <c r="AL415" s="2496">
        <f t="shared" si="33"/>
        <v>13870.777423407146</v>
      </c>
      <c r="AM415" s="2496">
        <f t="shared" si="33"/>
        <v>13870.777423407146</v>
      </c>
      <c r="AN415" s="2496">
        <f t="shared" si="33"/>
        <v>13870.777423407146</v>
      </c>
      <c r="AO415" s="2496">
        <f t="shared" si="33"/>
        <v>13870.777423407146</v>
      </c>
      <c r="AP415" s="2496">
        <f t="shared" si="33"/>
        <v>13870.777423407146</v>
      </c>
      <c r="AQ415" s="2496">
        <f t="shared" si="33"/>
        <v>13870.777423407146</v>
      </c>
      <c r="AR415" s="2496">
        <f t="shared" si="33"/>
        <v>13870.777423407146</v>
      </c>
      <c r="AS415" s="2496">
        <f t="shared" si="33"/>
        <v>13870.777423407146</v>
      </c>
    </row>
    <row r="416" spans="2:45" s="2490" customFormat="1" x14ac:dyDescent="0.2">
      <c r="B416" s="2488"/>
      <c r="C416" s="2489" t="s">
        <v>1376</v>
      </c>
      <c r="D416" s="2493" t="s">
        <v>1523</v>
      </c>
      <c r="G416" s="2496">
        <f t="shared" si="33"/>
        <v>1309881.8758958436</v>
      </c>
      <c r="H416" s="2496">
        <f t="shared" si="33"/>
        <v>1305584.1332710313</v>
      </c>
      <c r="I416" s="2496">
        <f t="shared" si="33"/>
        <v>1309081.5859467459</v>
      </c>
      <c r="J416" s="2496">
        <f t="shared" si="33"/>
        <v>1308698.572402918</v>
      </c>
      <c r="K416" s="2496">
        <f t="shared" si="33"/>
        <v>1305749.0349257516</v>
      </c>
      <c r="L416" s="2496">
        <f t="shared" si="33"/>
        <v>1300044.2448551464</v>
      </c>
      <c r="M416" s="2496">
        <f t="shared" si="33"/>
        <v>1290731.1442975353</v>
      </c>
      <c r="N416" s="2496">
        <f t="shared" si="33"/>
        <v>1281796.0359522977</v>
      </c>
      <c r="O416" s="2496">
        <f t="shared" si="33"/>
        <v>1273234.2041231496</v>
      </c>
      <c r="P416" s="2496">
        <f t="shared" si="33"/>
        <v>1264740.1274407846</v>
      </c>
      <c r="Q416" s="2496">
        <f t="shared" si="33"/>
        <v>1255904.1587942564</v>
      </c>
      <c r="R416" s="2496">
        <f t="shared" si="33"/>
        <v>1248877.6580009833</v>
      </c>
      <c r="S416" s="2496">
        <f t="shared" si="33"/>
        <v>1243283.025013319</v>
      </c>
      <c r="T416" s="2496">
        <f t="shared" si="33"/>
        <v>1238823.9756770406</v>
      </c>
      <c r="U416" s="2496">
        <f t="shared" si="33"/>
        <v>1235267.1417305453</v>
      </c>
      <c r="V416" s="2496">
        <f t="shared" si="33"/>
        <v>1232428.1410744872</v>
      </c>
      <c r="W416" s="2496">
        <f t="shared" si="33"/>
        <v>1230160.930112012</v>
      </c>
      <c r="X416" s="2496">
        <f t="shared" si="33"/>
        <v>1228349.5981282615</v>
      </c>
      <c r="Y416" s="2496">
        <f t="shared" si="33"/>
        <v>1226902.0001490193</v>
      </c>
      <c r="Z416" s="2496">
        <f t="shared" si="33"/>
        <v>1225744.7881000314</v>
      </c>
      <c r="AA416" s="2496">
        <f t="shared" si="33"/>
        <v>1224819.5148501161</v>
      </c>
      <c r="AB416" s="2496">
        <f t="shared" si="33"/>
        <v>1224079.5676113723</v>
      </c>
      <c r="AC416" s="2496">
        <f t="shared" si="33"/>
        <v>1223487.7464783546</v>
      </c>
      <c r="AD416" s="2496">
        <f t="shared" si="33"/>
        <v>1223014.3474379191</v>
      </c>
      <c r="AE416" s="2496">
        <f t="shared" si="33"/>
        <v>1222635.6415648023</v>
      </c>
      <c r="AF416" s="2496">
        <f t="shared" si="33"/>
        <v>1222332.666472022</v>
      </c>
      <c r="AG416" s="2496">
        <f t="shared" si="33"/>
        <v>1222090.2645845509</v>
      </c>
      <c r="AH416" s="2496">
        <f t="shared" si="33"/>
        <v>1221896.3169800863</v>
      </c>
      <c r="AI416" s="2496">
        <f t="shared" si="33"/>
        <v>1221741.1324843441</v>
      </c>
      <c r="AJ416" s="2496">
        <f t="shared" si="33"/>
        <v>1221616.960210976</v>
      </c>
      <c r="AK416" s="2496">
        <f t="shared" si="33"/>
        <v>1221517.6003779254</v>
      </c>
      <c r="AL416" s="2496">
        <f t="shared" si="33"/>
        <v>1221438.0934431183</v>
      </c>
      <c r="AM416" s="2496">
        <f t="shared" si="33"/>
        <v>1221374.4717064879</v>
      </c>
      <c r="AN416" s="2496">
        <f t="shared" si="33"/>
        <v>1221323.5607670336</v>
      </c>
      <c r="AO416" s="2496">
        <f t="shared" si="33"/>
        <v>1221282.8207909155</v>
      </c>
      <c r="AP416" s="2496">
        <f t="shared" si="33"/>
        <v>1221250.2195835619</v>
      </c>
      <c r="AQ416" s="2496">
        <f t="shared" si="33"/>
        <v>1221224.1310779487</v>
      </c>
      <c r="AR416" s="2496">
        <f t="shared" si="33"/>
        <v>1221203.2541397326</v>
      </c>
      <c r="AS416" s="2496">
        <f t="shared" si="33"/>
        <v>1221186.5476165621</v>
      </c>
    </row>
    <row r="417" spans="2:45" s="2490" customFormat="1" x14ac:dyDescent="0.2">
      <c r="B417" s="2488"/>
      <c r="C417" s="2489" t="s">
        <v>1377</v>
      </c>
      <c r="D417" s="2493" t="s">
        <v>1523</v>
      </c>
      <c r="G417" s="2496"/>
      <c r="H417" s="2496"/>
      <c r="I417" s="2496"/>
      <c r="J417" s="2496"/>
      <c r="K417" s="2496"/>
      <c r="L417" s="2496"/>
      <c r="M417" s="2496"/>
      <c r="N417" s="2496"/>
      <c r="O417" s="2496"/>
      <c r="P417" s="2496"/>
      <c r="Q417" s="2496"/>
      <c r="R417" s="2496"/>
      <c r="S417" s="2496"/>
      <c r="T417" s="2496"/>
      <c r="U417" s="2496"/>
      <c r="V417" s="2496"/>
      <c r="W417" s="2496"/>
      <c r="X417" s="2496"/>
      <c r="Y417" s="2496"/>
      <c r="Z417" s="2496"/>
      <c r="AA417" s="2496"/>
      <c r="AB417" s="2496"/>
      <c r="AC417" s="2496"/>
      <c r="AD417" s="2496"/>
      <c r="AE417" s="2496"/>
      <c r="AF417" s="2496"/>
      <c r="AG417" s="2496"/>
      <c r="AH417" s="2496"/>
      <c r="AI417" s="2496"/>
      <c r="AJ417" s="2496"/>
      <c r="AK417" s="2496"/>
      <c r="AL417" s="2496"/>
      <c r="AM417" s="2496"/>
      <c r="AN417" s="2496"/>
      <c r="AO417" s="2496"/>
      <c r="AP417" s="2496"/>
      <c r="AQ417" s="2496"/>
      <c r="AR417" s="2496"/>
      <c r="AS417" s="2496"/>
    </row>
    <row r="418" spans="2:45" s="2490" customFormat="1" x14ac:dyDescent="0.2">
      <c r="B418" s="2488"/>
      <c r="C418" s="2495" t="s">
        <v>1378</v>
      </c>
      <c r="D418" s="2493" t="s">
        <v>1523</v>
      </c>
      <c r="G418" s="2496">
        <f t="shared" ref="G418:AS421" si="34">G86*G151*G189*$E$198*$D$217</f>
        <v>49070.978992007651</v>
      </c>
      <c r="H418" s="2496">
        <f t="shared" si="34"/>
        <v>50824.736528536785</v>
      </c>
      <c r="I418" s="2496">
        <f t="shared" si="34"/>
        <v>52758.311668327646</v>
      </c>
      <c r="J418" s="2496">
        <f t="shared" si="34"/>
        <v>54758.267857400824</v>
      </c>
      <c r="K418" s="2496">
        <f t="shared" si="34"/>
        <v>56776.228079466768</v>
      </c>
      <c r="L418" s="2496">
        <f t="shared" si="34"/>
        <v>58793.418260405466</v>
      </c>
      <c r="M418" s="2496">
        <f t="shared" si="34"/>
        <v>60932.37383997046</v>
      </c>
      <c r="N418" s="2496">
        <f t="shared" si="34"/>
        <v>63151.924860293824</v>
      </c>
      <c r="O418" s="2496">
        <f t="shared" si="34"/>
        <v>65334.820737652779</v>
      </c>
      <c r="P418" s="2496">
        <f t="shared" si="34"/>
        <v>67533.466991762878</v>
      </c>
      <c r="Q418" s="2496">
        <f t="shared" si="34"/>
        <v>69749.43257267632</v>
      </c>
      <c r="R418" s="2496">
        <f t="shared" si="34"/>
        <v>71886.224529603787</v>
      </c>
      <c r="S418" s="2496">
        <f t="shared" si="34"/>
        <v>73965.646446413361</v>
      </c>
      <c r="T418" s="2496">
        <f t="shared" si="34"/>
        <v>76001.824385499101</v>
      </c>
      <c r="U418" s="2496">
        <f t="shared" si="34"/>
        <v>78003.620770318783</v>
      </c>
      <c r="V418" s="2496">
        <f t="shared" si="34"/>
        <v>79975.984492528994</v>
      </c>
      <c r="W418" s="2496">
        <f t="shared" si="34"/>
        <v>81921.730977461746</v>
      </c>
      <c r="X418" s="2496">
        <f t="shared" si="34"/>
        <v>83851.866939715575</v>
      </c>
      <c r="Y418" s="2496">
        <f t="shared" si="34"/>
        <v>85773.817189678011</v>
      </c>
      <c r="Z418" s="2496">
        <f t="shared" si="34"/>
        <v>87692.082095341902</v>
      </c>
      <c r="AA418" s="2496">
        <f t="shared" si="34"/>
        <v>89609.341230663398</v>
      </c>
      <c r="AB418" s="2496">
        <f t="shared" si="34"/>
        <v>91524.901414023712</v>
      </c>
      <c r="AC418" s="2496">
        <f t="shared" si="34"/>
        <v>93439.871745549652</v>
      </c>
      <c r="AD418" s="2496">
        <f t="shared" si="34"/>
        <v>95354.563967417227</v>
      </c>
      <c r="AE418" s="2496">
        <f t="shared" si="34"/>
        <v>97268.732677540451</v>
      </c>
      <c r="AF418" s="2496">
        <f t="shared" si="34"/>
        <v>99181.994920907862</v>
      </c>
      <c r="AG418" s="2496">
        <f t="shared" si="34"/>
        <v>101093.36691860846</v>
      </c>
      <c r="AH418" s="2496">
        <f t="shared" si="34"/>
        <v>103001.69004064301</v>
      </c>
      <c r="AI418" s="2496">
        <f t="shared" si="34"/>
        <v>104905.67895307409</v>
      </c>
      <c r="AJ418" s="2496">
        <f t="shared" si="34"/>
        <v>106806.68665976397</v>
      </c>
      <c r="AK418" s="2496">
        <f t="shared" si="34"/>
        <v>108702.49298860897</v>
      </c>
      <c r="AL418" s="2496">
        <f t="shared" si="34"/>
        <v>110591.3516528597</v>
      </c>
      <c r="AM418" s="2496">
        <f t="shared" si="34"/>
        <v>112470.99177669079</v>
      </c>
      <c r="AN418" s="2496">
        <f t="shared" si="34"/>
        <v>114339.62054762636</v>
      </c>
      <c r="AO418" s="2496">
        <f t="shared" si="34"/>
        <v>116195.78747319712</v>
      </c>
      <c r="AP418" s="2496">
        <f t="shared" si="34"/>
        <v>118037.38624202015</v>
      </c>
      <c r="AQ418" s="2496">
        <f t="shared" si="34"/>
        <v>119862.74485639026</v>
      </c>
      <c r="AR418" s="2496">
        <f t="shared" si="34"/>
        <v>121670.19407541385</v>
      </c>
      <c r="AS418" s="2496">
        <f t="shared" si="34"/>
        <v>123458.06673706087</v>
      </c>
    </row>
    <row r="419" spans="2:45" s="2490" customFormat="1" x14ac:dyDescent="0.2">
      <c r="B419" s="2488"/>
      <c r="C419" s="2495" t="s">
        <v>1379</v>
      </c>
      <c r="D419" s="2493" t="s">
        <v>1523</v>
      </c>
      <c r="G419" s="2496">
        <f t="shared" si="34"/>
        <v>818.67659592328221</v>
      </c>
      <c r="H419" s="2496">
        <f t="shared" si="34"/>
        <v>847.93544258933957</v>
      </c>
      <c r="I419" s="2496">
        <f t="shared" si="34"/>
        <v>880.19427960303938</v>
      </c>
      <c r="J419" s="2496">
        <f t="shared" si="34"/>
        <v>913.56058609414924</v>
      </c>
      <c r="K419" s="2496">
        <f t="shared" si="34"/>
        <v>947.22726320647268</v>
      </c>
      <c r="L419" s="2496">
        <f t="shared" si="34"/>
        <v>980.88109332324598</v>
      </c>
      <c r="M419" s="2496">
        <f t="shared" si="34"/>
        <v>1016.5663987457156</v>
      </c>
      <c r="N419" s="2496">
        <f t="shared" si="34"/>
        <v>1053.5963197116764</v>
      </c>
      <c r="O419" s="2496">
        <f t="shared" si="34"/>
        <v>1090.0147039143285</v>
      </c>
      <c r="P419" s="2496">
        <f t="shared" si="34"/>
        <v>1126.6958598221313</v>
      </c>
      <c r="Q419" s="2496">
        <f t="shared" si="34"/>
        <v>1163.6659630426284</v>
      </c>
      <c r="R419" s="2496">
        <f t="shared" si="34"/>
        <v>1199.3151716263524</v>
      </c>
      <c r="S419" s="2496">
        <f t="shared" si="34"/>
        <v>1234.007246072619</v>
      </c>
      <c r="T419" s="2496">
        <f t="shared" si="34"/>
        <v>1267.977858807619</v>
      </c>
      <c r="U419" s="2496">
        <f t="shared" si="34"/>
        <v>1301.3748662388873</v>
      </c>
      <c r="V419" s="2496">
        <f t="shared" si="34"/>
        <v>1334.280833292951</v>
      </c>
      <c r="W419" s="2496">
        <f t="shared" si="34"/>
        <v>1366.7427311709998</v>
      </c>
      <c r="X419" s="2496">
        <f t="shared" si="34"/>
        <v>1398.9441906019285</v>
      </c>
      <c r="Y419" s="2496">
        <f t="shared" si="34"/>
        <v>1431.0090835487231</v>
      </c>
      <c r="Z419" s="2496">
        <f t="shared" si="34"/>
        <v>1463.0124919849761</v>
      </c>
      <c r="AA419" s="2496">
        <f t="shared" si="34"/>
        <v>1494.999120632908</v>
      </c>
      <c r="AB419" s="2496">
        <f t="shared" si="34"/>
        <v>1526.9574047840156</v>
      </c>
      <c r="AC419" s="2496">
        <f t="shared" si="34"/>
        <v>1558.9058481310105</v>
      </c>
      <c r="AD419" s="2496">
        <f t="shared" si="34"/>
        <v>1590.8496516303178</v>
      </c>
      <c r="AE419" s="2496">
        <f t="shared" si="34"/>
        <v>1622.7847211116455</v>
      </c>
      <c r="AF419" s="2496">
        <f t="shared" si="34"/>
        <v>1654.7046675378965</v>
      </c>
      <c r="AG419" s="2496">
        <f t="shared" si="34"/>
        <v>1686.5930780152071</v>
      </c>
      <c r="AH419" s="2496">
        <f t="shared" si="34"/>
        <v>1718.4306225183109</v>
      </c>
      <c r="AI419" s="2496">
        <f t="shared" si="34"/>
        <v>1750.1958571544212</v>
      </c>
      <c r="AJ419" s="2496">
        <f t="shared" si="34"/>
        <v>1781.9113547887821</v>
      </c>
      <c r="AK419" s="2496">
        <f t="shared" si="34"/>
        <v>1813.5400751385716</v>
      </c>
      <c r="AL419" s="2496">
        <f t="shared" si="34"/>
        <v>1845.0528839961419</v>
      </c>
      <c r="AM419" s="2496">
        <f t="shared" si="34"/>
        <v>1876.411895162182</v>
      </c>
      <c r="AN419" s="2496">
        <f t="shared" si="34"/>
        <v>1907.5871982162132</v>
      </c>
      <c r="AO419" s="2496">
        <f t="shared" si="34"/>
        <v>1938.5545938399919</v>
      </c>
      <c r="AP419" s="2496">
        <f t="shared" si="34"/>
        <v>1969.2789413481619</v>
      </c>
      <c r="AQ419" s="2496">
        <f t="shared" si="34"/>
        <v>1999.7323459357319</v>
      </c>
      <c r="AR419" s="2496">
        <f t="shared" si="34"/>
        <v>2029.8869587910303</v>
      </c>
      <c r="AS419" s="2496">
        <f t="shared" si="34"/>
        <v>2059.714965785141</v>
      </c>
    </row>
    <row r="420" spans="2:45" s="2490" customFormat="1" x14ac:dyDescent="0.2">
      <c r="B420" s="2488"/>
      <c r="C420" s="2495" t="s">
        <v>1380</v>
      </c>
      <c r="D420" s="2493" t="s">
        <v>1523</v>
      </c>
      <c r="G420" s="2496">
        <f t="shared" si="34"/>
        <v>142832.76910401642</v>
      </c>
      <c r="H420" s="2496">
        <f t="shared" si="34"/>
        <v>147937.49801762326</v>
      </c>
      <c r="I420" s="2496">
        <f t="shared" si="34"/>
        <v>153565.62888356741</v>
      </c>
      <c r="J420" s="2496">
        <f t="shared" si="34"/>
        <v>159386.97760005752</v>
      </c>
      <c r="K420" s="2496">
        <f t="shared" si="34"/>
        <v>165260.73134168104</v>
      </c>
      <c r="L420" s="2496">
        <f t="shared" si="34"/>
        <v>171132.2436952421</v>
      </c>
      <c r="M420" s="2496">
        <f t="shared" si="34"/>
        <v>177358.18323619798</v>
      </c>
      <c r="N420" s="2496">
        <f t="shared" si="34"/>
        <v>183818.71499881192</v>
      </c>
      <c r="O420" s="2496">
        <f t="shared" si="34"/>
        <v>190172.55323953062</v>
      </c>
      <c r="P420" s="2496">
        <f t="shared" si="34"/>
        <v>196572.23670225244</v>
      </c>
      <c r="Q420" s="2496">
        <f t="shared" si="34"/>
        <v>203022.33218970144</v>
      </c>
      <c r="R420" s="2496">
        <f t="shared" si="34"/>
        <v>209241.97399177047</v>
      </c>
      <c r="S420" s="2496">
        <f t="shared" si="34"/>
        <v>215294.62663116184</v>
      </c>
      <c r="T420" s="2496">
        <f t="shared" si="34"/>
        <v>221221.40737616169</v>
      </c>
      <c r="U420" s="2496">
        <f t="shared" si="34"/>
        <v>227048.1124205582</v>
      </c>
      <c r="V420" s="2496">
        <f t="shared" si="34"/>
        <v>232789.14669194445</v>
      </c>
      <c r="W420" s="2496">
        <f t="shared" si="34"/>
        <v>238452.70515615641</v>
      </c>
      <c r="X420" s="2496">
        <f t="shared" si="34"/>
        <v>244070.82547694445</v>
      </c>
      <c r="Y420" s="2496">
        <f t="shared" si="34"/>
        <v>249665.11933293211</v>
      </c>
      <c r="Z420" s="2496">
        <f t="shared" si="34"/>
        <v>255248.68611678731</v>
      </c>
      <c r="AA420" s="2496">
        <f t="shared" si="34"/>
        <v>260829.32536656759</v>
      </c>
      <c r="AB420" s="2496">
        <f t="shared" si="34"/>
        <v>266405.01941211155</v>
      </c>
      <c r="AC420" s="2496">
        <f t="shared" si="34"/>
        <v>271978.99655343645</v>
      </c>
      <c r="AD420" s="2496">
        <f t="shared" si="34"/>
        <v>277552.1641903774</v>
      </c>
      <c r="AE420" s="2496">
        <f t="shared" si="34"/>
        <v>283123.80802172824</v>
      </c>
      <c r="AF420" s="2496">
        <f t="shared" si="34"/>
        <v>288692.81336573896</v>
      </c>
      <c r="AG420" s="2496">
        <f t="shared" si="34"/>
        <v>294256.3166996325</v>
      </c>
      <c r="AH420" s="2496">
        <f t="shared" si="34"/>
        <v>299810.94555490371</v>
      </c>
      <c r="AI420" s="2496">
        <f t="shared" si="34"/>
        <v>305352.95866106509</v>
      </c>
      <c r="AJ420" s="2496">
        <f t="shared" si="34"/>
        <v>310886.29425803409</v>
      </c>
      <c r="AK420" s="2496">
        <f t="shared" si="34"/>
        <v>316404.490006237</v>
      </c>
      <c r="AL420" s="2496">
        <f t="shared" si="34"/>
        <v>321902.46292226511</v>
      </c>
      <c r="AM420" s="2496">
        <f t="shared" si="34"/>
        <v>327373.60308128945</v>
      </c>
      <c r="AN420" s="2496">
        <f t="shared" si="34"/>
        <v>332812.69207569561</v>
      </c>
      <c r="AO420" s="2496">
        <f t="shared" si="34"/>
        <v>338215.50790176133</v>
      </c>
      <c r="AP420" s="2496">
        <f t="shared" si="34"/>
        <v>343575.9196386534</v>
      </c>
      <c r="AQ420" s="2496">
        <f t="shared" si="34"/>
        <v>348889.0605389158</v>
      </c>
      <c r="AR420" s="2496">
        <f t="shared" si="34"/>
        <v>354150.07187944924</v>
      </c>
      <c r="AS420" s="2496">
        <f t="shared" si="34"/>
        <v>359354.10098818177</v>
      </c>
    </row>
    <row r="421" spans="2:45" s="2490" customFormat="1" x14ac:dyDescent="0.2">
      <c r="B421" s="2488"/>
      <c r="C421" s="2489" t="s">
        <v>1381</v>
      </c>
      <c r="D421" s="2493" t="s">
        <v>1523</v>
      </c>
      <c r="G421" s="2496">
        <f t="shared" si="34"/>
        <v>0</v>
      </c>
      <c r="H421" s="2496">
        <f t="shared" si="34"/>
        <v>0</v>
      </c>
      <c r="I421" s="2496">
        <f t="shared" si="34"/>
        <v>0</v>
      </c>
      <c r="J421" s="2496">
        <f t="shared" si="34"/>
        <v>0</v>
      </c>
      <c r="K421" s="2496">
        <f t="shared" si="34"/>
        <v>0</v>
      </c>
      <c r="L421" s="2496">
        <f t="shared" si="34"/>
        <v>0</v>
      </c>
      <c r="M421" s="2496">
        <f t="shared" si="34"/>
        <v>0</v>
      </c>
      <c r="N421" s="2496">
        <f t="shared" si="34"/>
        <v>0</v>
      </c>
      <c r="O421" s="2496">
        <f t="shared" si="34"/>
        <v>0</v>
      </c>
      <c r="P421" s="2496">
        <f t="shared" si="34"/>
        <v>0</v>
      </c>
      <c r="Q421" s="2496">
        <f t="shared" si="34"/>
        <v>0</v>
      </c>
      <c r="R421" s="2496">
        <f t="shared" si="34"/>
        <v>0</v>
      </c>
      <c r="S421" s="2496">
        <f t="shared" si="34"/>
        <v>0</v>
      </c>
      <c r="T421" s="2496">
        <f t="shared" si="34"/>
        <v>0</v>
      </c>
      <c r="U421" s="2496">
        <f t="shared" si="34"/>
        <v>0</v>
      </c>
      <c r="V421" s="2496">
        <f t="shared" si="34"/>
        <v>0</v>
      </c>
      <c r="W421" s="2496">
        <f t="shared" si="34"/>
        <v>0</v>
      </c>
      <c r="X421" s="2496">
        <f t="shared" si="34"/>
        <v>0</v>
      </c>
      <c r="Y421" s="2496">
        <f t="shared" si="34"/>
        <v>0</v>
      </c>
      <c r="Z421" s="2496">
        <f t="shared" si="34"/>
        <v>0</v>
      </c>
      <c r="AA421" s="2496">
        <f t="shared" si="34"/>
        <v>0</v>
      </c>
      <c r="AB421" s="2496">
        <f t="shared" si="34"/>
        <v>0</v>
      </c>
      <c r="AC421" s="2496">
        <f t="shared" si="34"/>
        <v>0</v>
      </c>
      <c r="AD421" s="2496">
        <f t="shared" si="34"/>
        <v>0</v>
      </c>
      <c r="AE421" s="2496">
        <f t="shared" si="34"/>
        <v>0</v>
      </c>
      <c r="AF421" s="2496">
        <f t="shared" si="34"/>
        <v>0</v>
      </c>
      <c r="AG421" s="2496">
        <f t="shared" si="34"/>
        <v>0</v>
      </c>
      <c r="AH421" s="2496">
        <f t="shared" si="34"/>
        <v>0</v>
      </c>
      <c r="AI421" s="2496">
        <f t="shared" si="34"/>
        <v>0</v>
      </c>
      <c r="AJ421" s="2496">
        <f t="shared" si="34"/>
        <v>0</v>
      </c>
      <c r="AK421" s="2496">
        <f t="shared" si="34"/>
        <v>0</v>
      </c>
      <c r="AL421" s="2496">
        <f t="shared" si="34"/>
        <v>0</v>
      </c>
      <c r="AM421" s="2496">
        <f t="shared" si="34"/>
        <v>0</v>
      </c>
      <c r="AN421" s="2496">
        <f t="shared" si="34"/>
        <v>0</v>
      </c>
      <c r="AO421" s="2496">
        <f t="shared" si="34"/>
        <v>0</v>
      </c>
      <c r="AP421" s="2496">
        <f t="shared" si="34"/>
        <v>0</v>
      </c>
      <c r="AQ421" s="2496">
        <f t="shared" si="34"/>
        <v>0</v>
      </c>
      <c r="AR421" s="2496">
        <f t="shared" si="34"/>
        <v>0</v>
      </c>
      <c r="AS421" s="2496">
        <f t="shared" si="34"/>
        <v>0</v>
      </c>
    </row>
    <row r="422" spans="2:45" s="2490" customFormat="1" x14ac:dyDescent="0.2">
      <c r="B422" s="2488"/>
      <c r="C422" s="2514" t="s">
        <v>118</v>
      </c>
      <c r="D422" s="2498" t="s">
        <v>1523</v>
      </c>
      <c r="E422" s="2507"/>
      <c r="F422" s="2507"/>
      <c r="G422" s="2508">
        <f>SUM(G406:G421)</f>
        <v>8131886.6087495303</v>
      </c>
      <c r="H422" s="2508">
        <f t="shared" ref="H422:AS422" si="35">SUM(H406:H421)</f>
        <v>8113840.9436089881</v>
      </c>
      <c r="I422" s="2508">
        <f t="shared" si="35"/>
        <v>8141724.3775845952</v>
      </c>
      <c r="J422" s="2508">
        <f t="shared" si="35"/>
        <v>8147356.4640607974</v>
      </c>
      <c r="K422" s="2508">
        <f t="shared" si="35"/>
        <v>8138169.882820366</v>
      </c>
      <c r="L422" s="2508">
        <f t="shared" si="35"/>
        <v>8112996.0137394844</v>
      </c>
      <c r="M422" s="2508">
        <f t="shared" si="35"/>
        <v>8067367.1933067646</v>
      </c>
      <c r="N422" s="2508">
        <f t="shared" si="35"/>
        <v>8024247.7811018238</v>
      </c>
      <c r="O422" s="2508">
        <f t="shared" si="35"/>
        <v>7983149.9271053448</v>
      </c>
      <c r="P422" s="2508">
        <f t="shared" si="35"/>
        <v>7942507.0047411378</v>
      </c>
      <c r="Q422" s="2508">
        <f t="shared" si="35"/>
        <v>7899948.657935096</v>
      </c>
      <c r="R422" s="2508">
        <f t="shared" si="35"/>
        <v>7867576.7710924121</v>
      </c>
      <c r="S422" s="2508">
        <f t="shared" si="35"/>
        <v>7843286.375226412</v>
      </c>
      <c r="T422" s="2508">
        <f t="shared" si="35"/>
        <v>7825414.0927742803</v>
      </c>
      <c r="U422" s="2508">
        <f t="shared" si="35"/>
        <v>7812640.8725597775</v>
      </c>
      <c r="V422" s="2508">
        <f t="shared" si="35"/>
        <v>7803916.4805929456</v>
      </c>
      <c r="W422" s="2508">
        <f t="shared" si="35"/>
        <v>7798404.7200317467</v>
      </c>
      <c r="X422" s="2508">
        <f t="shared" si="35"/>
        <v>7795476.3769390518</v>
      </c>
      <c r="Y422" s="2508">
        <f t="shared" si="35"/>
        <v>7794626.0437899297</v>
      </c>
      <c r="Z422" s="2508">
        <f t="shared" si="35"/>
        <v>7795445.8754752083</v>
      </c>
      <c r="AA422" s="2508">
        <f t="shared" si="35"/>
        <v>7797607.3218727624</v>
      </c>
      <c r="AB422" s="2508">
        <f t="shared" si="35"/>
        <v>7800837.2421336733</v>
      </c>
      <c r="AC422" s="2508">
        <f t="shared" si="35"/>
        <v>7804924.1814246392</v>
      </c>
      <c r="AD422" s="2508">
        <f t="shared" si="35"/>
        <v>7809697.0398610206</v>
      </c>
      <c r="AE422" s="2508">
        <f t="shared" si="35"/>
        <v>7815017.1931650033</v>
      </c>
      <c r="AF422" s="2508">
        <f t="shared" si="35"/>
        <v>7820773.1293238467</v>
      </c>
      <c r="AG422" s="2508">
        <f t="shared" si="35"/>
        <v>7826873.0497908527</v>
      </c>
      <c r="AH422" s="2508">
        <f t="shared" si="35"/>
        <v>7833242.0976804132</v>
      </c>
      <c r="AI422" s="2508">
        <f t="shared" si="35"/>
        <v>7839819.0027726488</v>
      </c>
      <c r="AJ422" s="2508">
        <f t="shared" si="35"/>
        <v>7846564.113057646</v>
      </c>
      <c r="AK422" s="2508">
        <f t="shared" si="35"/>
        <v>7853432.7417001985</v>
      </c>
      <c r="AL422" s="2508">
        <f t="shared" si="35"/>
        <v>7860389.2581144534</v>
      </c>
      <c r="AM422" s="2508">
        <f t="shared" si="35"/>
        <v>7867401.7254831092</v>
      </c>
      <c r="AN422" s="2508">
        <f t="shared" si="35"/>
        <v>7874444.6867734678</v>
      </c>
      <c r="AO422" s="2508">
        <f t="shared" si="35"/>
        <v>7881497.7107522152</v>
      </c>
      <c r="AP422" s="2508">
        <f t="shared" si="35"/>
        <v>7888540.735516252</v>
      </c>
      <c r="AQ422" s="2508">
        <f t="shared" si="35"/>
        <v>7895557.7609951058</v>
      </c>
      <c r="AR422" s="2508">
        <f t="shared" si="35"/>
        <v>7902534.6830029646</v>
      </c>
      <c r="AS422" s="2508">
        <f t="shared" si="35"/>
        <v>7909458.9137725849</v>
      </c>
    </row>
    <row r="423" spans="2:45" s="2490" customFormat="1" x14ac:dyDescent="0.2">
      <c r="B423" s="2488"/>
      <c r="C423" s="2489"/>
      <c r="D423" s="2502"/>
      <c r="E423" s="2503"/>
      <c r="F423" s="2503"/>
      <c r="G423" s="2503"/>
      <c r="H423" s="2503"/>
      <c r="I423" s="2503"/>
      <c r="J423" s="2503"/>
      <c r="K423" s="2503"/>
      <c r="L423" s="2503"/>
      <c r="M423" s="2503"/>
      <c r="N423" s="2503"/>
      <c r="O423" s="2503"/>
      <c r="P423" s="2503"/>
      <c r="Q423" s="2503"/>
      <c r="R423" s="2503"/>
      <c r="S423" s="2503"/>
      <c r="T423" s="2503"/>
      <c r="U423" s="2503"/>
      <c r="V423" s="2503"/>
      <c r="W423" s="2503"/>
      <c r="X423" s="2503"/>
      <c r="Y423" s="2503"/>
      <c r="Z423" s="2503"/>
      <c r="AA423" s="2503"/>
      <c r="AB423" s="2503"/>
      <c r="AC423" s="2503"/>
      <c r="AD423" s="2503"/>
      <c r="AE423" s="2503"/>
      <c r="AF423" s="2503"/>
      <c r="AG423" s="2503"/>
      <c r="AH423" s="2503"/>
      <c r="AI423" s="2503"/>
      <c r="AJ423" s="2503"/>
      <c r="AK423" s="2503"/>
      <c r="AL423" s="2503"/>
      <c r="AM423" s="2503"/>
      <c r="AN423" s="2503"/>
      <c r="AO423" s="2503"/>
      <c r="AP423" s="2503"/>
      <c r="AQ423" s="2503"/>
    </row>
    <row r="424" spans="2:45" s="2490" customFormat="1" x14ac:dyDescent="0.2">
      <c r="B424" s="2511" t="s">
        <v>694</v>
      </c>
      <c r="C424" s="2489" t="s">
        <v>1526</v>
      </c>
      <c r="D424" s="2502"/>
      <c r="E424" s="2503"/>
      <c r="F424" s="2503"/>
      <c r="G424" s="2503"/>
      <c r="H424" s="2503"/>
      <c r="I424" s="2503"/>
      <c r="J424" s="2503"/>
      <c r="K424" s="2503"/>
      <c r="L424" s="2503"/>
      <c r="M424" s="2503"/>
      <c r="N424" s="2503"/>
      <c r="O424" s="2503"/>
      <c r="P424" s="2503"/>
      <c r="Q424" s="2503"/>
      <c r="R424" s="2503"/>
      <c r="S424" s="2503"/>
      <c r="T424" s="2503"/>
      <c r="U424" s="2503"/>
      <c r="V424" s="2503"/>
      <c r="W424" s="2503"/>
      <c r="X424" s="2503"/>
      <c r="Y424" s="2503"/>
      <c r="Z424" s="2503"/>
      <c r="AA424" s="2503"/>
      <c r="AB424" s="2503"/>
      <c r="AC424" s="2503"/>
      <c r="AD424" s="2503"/>
      <c r="AE424" s="2503"/>
      <c r="AF424" s="2503"/>
      <c r="AG424" s="2503"/>
      <c r="AH424" s="2503"/>
      <c r="AI424" s="2503"/>
      <c r="AJ424" s="2503"/>
      <c r="AK424" s="2503"/>
      <c r="AL424" s="2503"/>
      <c r="AM424" s="2503"/>
      <c r="AN424" s="2503"/>
      <c r="AO424" s="2503"/>
      <c r="AP424" s="2503"/>
      <c r="AQ424" s="2503"/>
    </row>
    <row r="425" spans="2:45" s="2490" customFormat="1" x14ac:dyDescent="0.2">
      <c r="B425" s="2488"/>
      <c r="C425" s="2513"/>
      <c r="D425" s="2513" t="s">
        <v>1029</v>
      </c>
      <c r="E425" s="2492" t="s">
        <v>8</v>
      </c>
      <c r="F425" s="2492"/>
      <c r="G425" s="2492">
        <v>2012</v>
      </c>
      <c r="H425" s="2492">
        <v>2013</v>
      </c>
      <c r="I425" s="2492">
        <v>2014</v>
      </c>
      <c r="J425" s="2492">
        <v>2015</v>
      </c>
      <c r="K425" s="2492">
        <v>2016</v>
      </c>
      <c r="L425" s="2492">
        <v>2017</v>
      </c>
      <c r="M425" s="2492">
        <v>2018</v>
      </c>
      <c r="N425" s="2492">
        <v>2019</v>
      </c>
      <c r="O425" s="2492">
        <v>2020</v>
      </c>
      <c r="P425" s="2492">
        <v>2021</v>
      </c>
      <c r="Q425" s="2492">
        <v>2022</v>
      </c>
      <c r="R425" s="2492">
        <v>2023</v>
      </c>
      <c r="S425" s="2492">
        <v>2024</v>
      </c>
      <c r="T425" s="2492">
        <v>2025</v>
      </c>
      <c r="U425" s="2492">
        <v>2026</v>
      </c>
      <c r="V425" s="2492">
        <v>2027</v>
      </c>
      <c r="W425" s="2492">
        <v>2028</v>
      </c>
      <c r="X425" s="2492">
        <v>2029</v>
      </c>
      <c r="Y425" s="2492">
        <v>2030</v>
      </c>
      <c r="Z425" s="2492">
        <v>2031</v>
      </c>
      <c r="AA425" s="2492">
        <v>2032</v>
      </c>
      <c r="AB425" s="2492">
        <v>2033</v>
      </c>
      <c r="AC425" s="2492">
        <v>2034</v>
      </c>
      <c r="AD425" s="2492">
        <v>2035</v>
      </c>
      <c r="AE425" s="2492">
        <v>2036</v>
      </c>
      <c r="AF425" s="2492">
        <v>2037</v>
      </c>
      <c r="AG425" s="2492">
        <v>2038</v>
      </c>
      <c r="AH425" s="2492">
        <v>2039</v>
      </c>
      <c r="AI425" s="2492">
        <v>2040</v>
      </c>
      <c r="AJ425" s="2492">
        <v>2041</v>
      </c>
      <c r="AK425" s="2492">
        <v>2042</v>
      </c>
      <c r="AL425" s="2492">
        <v>2043</v>
      </c>
      <c r="AM425" s="2492">
        <v>2044</v>
      </c>
      <c r="AN425" s="2492">
        <v>2045</v>
      </c>
      <c r="AO425" s="2492">
        <v>2046</v>
      </c>
      <c r="AP425" s="2492">
        <v>2047</v>
      </c>
      <c r="AQ425" s="2492">
        <v>2048</v>
      </c>
      <c r="AR425" s="2492">
        <v>2049</v>
      </c>
      <c r="AS425" s="2492">
        <v>2050</v>
      </c>
    </row>
    <row r="426" spans="2:45" s="2490" customFormat="1" x14ac:dyDescent="0.2">
      <c r="C426" s="2489" t="s">
        <v>1364</v>
      </c>
      <c r="D426" s="2502"/>
      <c r="G426" s="2515"/>
      <c r="H426" s="2515"/>
      <c r="I426" s="2515"/>
      <c r="J426" s="2515"/>
      <c r="K426" s="2515"/>
      <c r="L426" s="2515"/>
      <c r="M426" s="2515"/>
      <c r="N426" s="2515"/>
      <c r="O426" s="2515"/>
      <c r="P426" s="2515"/>
      <c r="Q426" s="2515"/>
      <c r="R426" s="2515"/>
      <c r="S426" s="2515"/>
      <c r="T426" s="2515"/>
      <c r="U426" s="2515"/>
      <c r="V426" s="2515"/>
      <c r="W426" s="2515"/>
      <c r="X426" s="2515"/>
      <c r="Y426" s="2515"/>
      <c r="Z426" s="2515"/>
      <c r="AA426" s="2515"/>
      <c r="AB426" s="2515"/>
      <c r="AC426" s="2515"/>
      <c r="AD426" s="2515"/>
      <c r="AE426" s="2515"/>
      <c r="AF426" s="2515"/>
      <c r="AG426" s="2515"/>
      <c r="AH426" s="2515"/>
      <c r="AI426" s="2515"/>
      <c r="AJ426" s="2515"/>
      <c r="AK426" s="2515"/>
      <c r="AL426" s="2515"/>
      <c r="AM426" s="2515"/>
      <c r="AN426" s="2515"/>
      <c r="AO426" s="2515"/>
      <c r="AP426" s="2515"/>
      <c r="AQ426" s="2515"/>
      <c r="AR426" s="2515"/>
      <c r="AS426" s="2515"/>
    </row>
    <row r="427" spans="2:45" s="2490" customFormat="1" x14ac:dyDescent="0.2">
      <c r="C427" s="2495" t="s">
        <v>1366</v>
      </c>
      <c r="D427" s="2493" t="s">
        <v>1523</v>
      </c>
      <c r="G427" s="2496">
        <f t="shared" ref="G427:AS433" si="36">G74*G139*G177*$E$206*$E$203*$D$217</f>
        <v>336589.01138595684</v>
      </c>
      <c r="H427" s="2496">
        <f t="shared" si="36"/>
        <v>335484.65765155043</v>
      </c>
      <c r="I427" s="2496">
        <f t="shared" si="36"/>
        <v>336383.36780255765</v>
      </c>
      <c r="J427" s="2496">
        <f t="shared" si="36"/>
        <v>336284.94812637399</v>
      </c>
      <c r="K427" s="2496">
        <f t="shared" si="36"/>
        <v>335527.03100288816</v>
      </c>
      <c r="L427" s="2496">
        <f t="shared" si="36"/>
        <v>334061.1204613623</v>
      </c>
      <c r="M427" s="2496">
        <f t="shared" si="36"/>
        <v>331668.01359630201</v>
      </c>
      <c r="N427" s="2496">
        <f t="shared" si="36"/>
        <v>329372.03611933056</v>
      </c>
      <c r="O427" s="2496">
        <f t="shared" si="36"/>
        <v>327171.97627877828</v>
      </c>
      <c r="P427" s="2496">
        <f t="shared" si="36"/>
        <v>324989.32689201704</v>
      </c>
      <c r="Q427" s="2496">
        <f t="shared" si="36"/>
        <v>322718.82448557822</v>
      </c>
      <c r="R427" s="2496">
        <f t="shared" si="36"/>
        <v>320913.285376265</v>
      </c>
      <c r="S427" s="2496">
        <f t="shared" si="36"/>
        <v>319475.6809471653</v>
      </c>
      <c r="T427" s="2496">
        <f t="shared" si="36"/>
        <v>318329.8776228826</v>
      </c>
      <c r="U427" s="2496">
        <f t="shared" si="36"/>
        <v>317415.90878054244</v>
      </c>
      <c r="V427" s="2496">
        <f t="shared" si="36"/>
        <v>316686.39534751384</v>
      </c>
      <c r="W427" s="2496">
        <f t="shared" si="36"/>
        <v>316103.80976441241</v>
      </c>
      <c r="X427" s="2496">
        <f t="shared" si="36"/>
        <v>315638.36745780328</v>
      </c>
      <c r="Y427" s="2496">
        <f t="shared" si="36"/>
        <v>315266.39073098259</v>
      </c>
      <c r="Z427" s="2496">
        <f t="shared" si="36"/>
        <v>314969.03196398204</v>
      </c>
      <c r="AA427" s="2496">
        <f t="shared" si="36"/>
        <v>314731.27250323846</v>
      </c>
      <c r="AB427" s="2496">
        <f t="shared" si="36"/>
        <v>314541.13466397999</v>
      </c>
      <c r="AC427" s="2496">
        <f t="shared" si="36"/>
        <v>314389.05950839131</v>
      </c>
      <c r="AD427" s="2496">
        <f t="shared" si="36"/>
        <v>314267.41425324016</v>
      </c>
      <c r="AE427" s="2496">
        <f t="shared" si="36"/>
        <v>314170.10148192535</v>
      </c>
      <c r="AF427" s="2496">
        <f t="shared" si="36"/>
        <v>314092.24859394348</v>
      </c>
      <c r="AG427" s="2496">
        <f t="shared" si="36"/>
        <v>314029.96067839686</v>
      </c>
      <c r="AH427" s="2496">
        <f t="shared" si="36"/>
        <v>313980.12364068482</v>
      </c>
      <c r="AI427" s="2496">
        <f t="shared" si="36"/>
        <v>313940.24722360814</v>
      </c>
      <c r="AJ427" s="2496">
        <f t="shared" si="36"/>
        <v>313908.33974896971</v>
      </c>
      <c r="AK427" s="2496">
        <f t="shared" si="36"/>
        <v>313882.80811242032</v>
      </c>
      <c r="AL427" s="2496">
        <f t="shared" si="36"/>
        <v>313862.37790334766</v>
      </c>
      <c r="AM427" s="2496">
        <f t="shared" si="36"/>
        <v>313846.02957619762</v>
      </c>
      <c r="AN427" s="2496">
        <f t="shared" si="36"/>
        <v>313832.94743261277</v>
      </c>
      <c r="AO427" s="2496">
        <f t="shared" si="36"/>
        <v>313822.47883346817</v>
      </c>
      <c r="AP427" s="2496">
        <f t="shared" si="36"/>
        <v>313814.10158330912</v>
      </c>
      <c r="AQ427" s="2496">
        <f t="shared" si="36"/>
        <v>313807.39784576272</v>
      </c>
      <c r="AR427" s="2496">
        <f t="shared" si="36"/>
        <v>313802.03327959508</v>
      </c>
      <c r="AS427" s="2496">
        <f t="shared" si="36"/>
        <v>313797.74034889578</v>
      </c>
    </row>
    <row r="428" spans="2:45" s="2490" customFormat="1" x14ac:dyDescent="0.2">
      <c r="C428" s="2495" t="s">
        <v>1367</v>
      </c>
      <c r="D428" s="2493" t="s">
        <v>1523</v>
      </c>
      <c r="G428" s="2496">
        <f t="shared" si="36"/>
        <v>81917.679352695297</v>
      </c>
      <c r="H428" s="2496">
        <f t="shared" si="36"/>
        <v>81648.906184092601</v>
      </c>
      <c r="I428" s="2496">
        <f t="shared" si="36"/>
        <v>81867.630644757781</v>
      </c>
      <c r="J428" s="2496">
        <f t="shared" si="36"/>
        <v>81843.677659951747</v>
      </c>
      <c r="K428" s="2496">
        <f t="shared" si="36"/>
        <v>81659.218839855428</v>
      </c>
      <c r="L428" s="2496">
        <f t="shared" si="36"/>
        <v>81302.451430230285</v>
      </c>
      <c r="M428" s="2496">
        <f t="shared" si="36"/>
        <v>80720.026709882106</v>
      </c>
      <c r="N428" s="2496">
        <f t="shared" si="36"/>
        <v>80161.240949214814</v>
      </c>
      <c r="O428" s="2496">
        <f t="shared" si="36"/>
        <v>79625.799236982406</v>
      </c>
      <c r="P428" s="2496">
        <f t="shared" si="36"/>
        <v>79094.594810944152</v>
      </c>
      <c r="Q428" s="2496">
        <f t="shared" si="36"/>
        <v>78542.009070446162</v>
      </c>
      <c r="R428" s="2496">
        <f t="shared" si="36"/>
        <v>78102.584226460807</v>
      </c>
      <c r="S428" s="2496">
        <f t="shared" si="36"/>
        <v>77752.705844590644</v>
      </c>
      <c r="T428" s="2496">
        <f t="shared" si="36"/>
        <v>77473.844841572893</v>
      </c>
      <c r="U428" s="2496">
        <f t="shared" si="36"/>
        <v>77251.406782003178</v>
      </c>
      <c r="V428" s="2496">
        <f t="shared" si="36"/>
        <v>77073.86073781045</v>
      </c>
      <c r="W428" s="2496">
        <f t="shared" si="36"/>
        <v>76932.073402580747</v>
      </c>
      <c r="X428" s="2496">
        <f t="shared" si="36"/>
        <v>76818.795926667386</v>
      </c>
      <c r="Y428" s="2496">
        <f t="shared" si="36"/>
        <v>76728.265727511753</v>
      </c>
      <c r="Z428" s="2496">
        <f t="shared" si="36"/>
        <v>76655.895747197894</v>
      </c>
      <c r="AA428" s="2496">
        <f t="shared" si="36"/>
        <v>76598.030806247916</v>
      </c>
      <c r="AB428" s="2496">
        <f t="shared" si="36"/>
        <v>76551.755823933287</v>
      </c>
      <c r="AC428" s="2496">
        <f t="shared" si="36"/>
        <v>76514.744384428064</v>
      </c>
      <c r="AD428" s="2496">
        <f t="shared" si="36"/>
        <v>76485.13885165914</v>
      </c>
      <c r="AE428" s="2496">
        <f t="shared" si="36"/>
        <v>76461.455260906499</v>
      </c>
      <c r="AF428" s="2496">
        <f t="shared" si="36"/>
        <v>76442.507738264248</v>
      </c>
      <c r="AG428" s="2496">
        <f t="shared" si="36"/>
        <v>76427.348355988841</v>
      </c>
      <c r="AH428" s="2496">
        <f t="shared" si="36"/>
        <v>76415.219218265731</v>
      </c>
      <c r="AI428" s="2496">
        <f t="shared" si="36"/>
        <v>76405.514256317139</v>
      </c>
      <c r="AJ428" s="2496">
        <f t="shared" si="36"/>
        <v>76397.748743516757</v>
      </c>
      <c r="AK428" s="2496">
        <f t="shared" si="36"/>
        <v>76391.534956537827</v>
      </c>
      <c r="AL428" s="2496">
        <f t="shared" si="36"/>
        <v>76386.562734453008</v>
      </c>
      <c r="AM428" s="2496">
        <f t="shared" si="36"/>
        <v>76382.58394436739</v>
      </c>
      <c r="AN428" s="2496">
        <f t="shared" si="36"/>
        <v>76379.400064896647</v>
      </c>
      <c r="AO428" s="2496">
        <f t="shared" si="36"/>
        <v>76376.852259356412</v>
      </c>
      <c r="AP428" s="2496">
        <f t="shared" si="36"/>
        <v>76374.813437917881</v>
      </c>
      <c r="AQ428" s="2496">
        <f t="shared" si="36"/>
        <v>76373.181909245744</v>
      </c>
      <c r="AR428" s="2496">
        <f t="shared" si="36"/>
        <v>76371.876302715798</v>
      </c>
      <c r="AS428" s="2496">
        <f t="shared" si="36"/>
        <v>76370.831506514442</v>
      </c>
    </row>
    <row r="429" spans="2:45" s="2490" customFormat="1" x14ac:dyDescent="0.2">
      <c r="B429" s="3606" t="s">
        <v>1527</v>
      </c>
      <c r="C429" s="2495" t="s">
        <v>1368</v>
      </c>
      <c r="D429" s="2493" t="s">
        <v>1523</v>
      </c>
      <c r="G429" s="2496">
        <f t="shared" si="36"/>
        <v>63440.174934296621</v>
      </c>
      <c r="H429" s="2496">
        <f t="shared" si="36"/>
        <v>63232.026742495575</v>
      </c>
      <c r="I429" s="2496">
        <f t="shared" si="36"/>
        <v>63401.415306193361</v>
      </c>
      <c r="J429" s="2496">
        <f t="shared" si="36"/>
        <v>63382.865201279499</v>
      </c>
      <c r="K429" s="2496">
        <f t="shared" si="36"/>
        <v>63240.013256405662</v>
      </c>
      <c r="L429" s="2496">
        <f t="shared" si="36"/>
        <v>62963.718968575246</v>
      </c>
      <c r="M429" s="2496">
        <f t="shared" si="36"/>
        <v>62512.667053568417</v>
      </c>
      <c r="N429" s="2496">
        <f t="shared" si="36"/>
        <v>62079.922050442765</v>
      </c>
      <c r="O429" s="2496">
        <f t="shared" si="36"/>
        <v>61665.255568682558</v>
      </c>
      <c r="P429" s="2496">
        <f t="shared" si="36"/>
        <v>61253.870602945834</v>
      </c>
      <c r="Q429" s="2496">
        <f t="shared" si="36"/>
        <v>60825.927131885648</v>
      </c>
      <c r="R429" s="2496">
        <f t="shared" si="36"/>
        <v>60485.619774631516</v>
      </c>
      <c r="S429" s="2496">
        <f t="shared" si="36"/>
        <v>60214.660612617081</v>
      </c>
      <c r="T429" s="2496">
        <f t="shared" si="36"/>
        <v>59998.700017131574</v>
      </c>
      <c r="U429" s="2496">
        <f t="shared" si="36"/>
        <v>59826.435500818916</v>
      </c>
      <c r="V429" s="2496">
        <f t="shared" si="36"/>
        <v>59688.937073233035</v>
      </c>
      <c r="W429" s="2496">
        <f t="shared" si="36"/>
        <v>59579.131553575789</v>
      </c>
      <c r="X429" s="2496">
        <f t="shared" si="36"/>
        <v>59491.405156235844</v>
      </c>
      <c r="Y429" s="2496">
        <f t="shared" si="36"/>
        <v>59421.295117515838</v>
      </c>
      <c r="Z429" s="2496">
        <f t="shared" si="36"/>
        <v>59365.249044831886</v>
      </c>
      <c r="AA429" s="2496">
        <f t="shared" si="36"/>
        <v>59320.436227800965</v>
      </c>
      <c r="AB429" s="2496">
        <f t="shared" si="36"/>
        <v>59284.599116736295</v>
      </c>
      <c r="AC429" s="2496">
        <f t="shared" si="36"/>
        <v>59255.936046501229</v>
      </c>
      <c r="AD429" s="2496">
        <f t="shared" si="36"/>
        <v>59233.008392877186</v>
      </c>
      <c r="AE429" s="2496">
        <f t="shared" si="36"/>
        <v>59214.666916991999</v>
      </c>
      <c r="AF429" s="2496">
        <f t="shared" si="36"/>
        <v>59199.993232867942</v>
      </c>
      <c r="AG429" s="2496">
        <f t="shared" si="36"/>
        <v>59188.253229109941</v>
      </c>
      <c r="AH429" s="2496">
        <f t="shared" si="36"/>
        <v>59178.859962295784</v>
      </c>
      <c r="AI429" s="2496">
        <f t="shared" si="36"/>
        <v>59171.344069650702</v>
      </c>
      <c r="AJ429" s="2496">
        <f t="shared" si="36"/>
        <v>59165.330160389545</v>
      </c>
      <c r="AK429" s="2496">
        <f t="shared" si="36"/>
        <v>59160.517966781736</v>
      </c>
      <c r="AL429" s="2496">
        <f t="shared" si="36"/>
        <v>59156.66728837671</v>
      </c>
      <c r="AM429" s="2496">
        <f t="shared" si="36"/>
        <v>59153.585961597753</v>
      </c>
      <c r="AN429" s="2496">
        <f t="shared" si="36"/>
        <v>59151.120243913996</v>
      </c>
      <c r="AO429" s="2496">
        <f t="shared" si="36"/>
        <v>59149.147126139535</v>
      </c>
      <c r="AP429" s="2496">
        <f t="shared" si="36"/>
        <v>59147.56818506428</v>
      </c>
      <c r="AQ429" s="2496">
        <f t="shared" si="36"/>
        <v>59146.30466704</v>
      </c>
      <c r="AR429" s="2496">
        <f t="shared" si="36"/>
        <v>59145.293555552082</v>
      </c>
      <c r="AS429" s="2496">
        <f t="shared" si="36"/>
        <v>59144.484425529023</v>
      </c>
    </row>
    <row r="430" spans="2:45" s="2490" customFormat="1" x14ac:dyDescent="0.2">
      <c r="B430" s="3606"/>
      <c r="C430" s="2495" t="s">
        <v>1369</v>
      </c>
      <c r="D430" s="2493" t="s">
        <v>1523</v>
      </c>
      <c r="G430" s="2496">
        <f t="shared" si="36"/>
        <v>43828.194208831839</v>
      </c>
      <c r="H430" s="2496">
        <f t="shared" si="36"/>
        <v>43684.393228082306</v>
      </c>
      <c r="I430" s="2496">
        <f t="shared" si="36"/>
        <v>43801.416784120578</v>
      </c>
      <c r="J430" s="2496">
        <f t="shared" si="36"/>
        <v>43788.601283507574</v>
      </c>
      <c r="K430" s="2496">
        <f t="shared" si="36"/>
        <v>43689.910780375707</v>
      </c>
      <c r="L430" s="2496">
        <f t="shared" si="36"/>
        <v>43499.030479078232</v>
      </c>
      <c r="M430" s="2496">
        <f t="shared" si="36"/>
        <v>43187.417357745275</v>
      </c>
      <c r="N430" s="2496">
        <f t="shared" si="36"/>
        <v>42888.451725012783</v>
      </c>
      <c r="O430" s="2496">
        <f t="shared" si="36"/>
        <v>42601.975795315215</v>
      </c>
      <c r="P430" s="2496">
        <f t="shared" si="36"/>
        <v>42317.766929378515</v>
      </c>
      <c r="Q430" s="2496">
        <f t="shared" si="36"/>
        <v>42022.118476651936</v>
      </c>
      <c r="R430" s="2496">
        <f t="shared" si="36"/>
        <v>41787.014192026691</v>
      </c>
      <c r="S430" s="2496">
        <f t="shared" si="36"/>
        <v>41599.819708598327</v>
      </c>
      <c r="T430" s="2496">
        <f t="shared" si="36"/>
        <v>41450.62146111246</v>
      </c>
      <c r="U430" s="2496">
        <f t="shared" si="36"/>
        <v>41331.611028306092</v>
      </c>
      <c r="V430" s="2496">
        <f t="shared" si="36"/>
        <v>41236.61904895099</v>
      </c>
      <c r="W430" s="2496">
        <f t="shared" si="36"/>
        <v>41160.758954843055</v>
      </c>
      <c r="X430" s="2496">
        <f t="shared" si="36"/>
        <v>41100.152413580552</v>
      </c>
      <c r="Y430" s="2496">
        <f t="shared" si="36"/>
        <v>41051.716286218179</v>
      </c>
      <c r="Z430" s="2496">
        <f t="shared" si="36"/>
        <v>41012.996371577668</v>
      </c>
      <c r="AA430" s="2496">
        <f t="shared" si="36"/>
        <v>40982.037048878607</v>
      </c>
      <c r="AB430" s="2496">
        <f t="shared" si="36"/>
        <v>40957.278670370797</v>
      </c>
      <c r="AC430" s="2496">
        <f t="shared" si="36"/>
        <v>40937.476540093165</v>
      </c>
      <c r="AD430" s="2496">
        <f t="shared" si="36"/>
        <v>40921.636772046688</v>
      </c>
      <c r="AE430" s="2496">
        <f t="shared" si="36"/>
        <v>40908.965404604758</v>
      </c>
      <c r="AF430" s="2496">
        <f t="shared" si="36"/>
        <v>40898.827962861971</v>
      </c>
      <c r="AG430" s="2496">
        <f t="shared" si="36"/>
        <v>40890.717279604076</v>
      </c>
      <c r="AH430" s="2496">
        <f t="shared" si="36"/>
        <v>40884.227859885221</v>
      </c>
      <c r="AI430" s="2496">
        <f t="shared" si="36"/>
        <v>40879.035440368047</v>
      </c>
      <c r="AJ430" s="2496">
        <f t="shared" si="36"/>
        <v>40874.880679077978</v>
      </c>
      <c r="AK430" s="2496">
        <f t="shared" si="36"/>
        <v>40871.556133453196</v>
      </c>
      <c r="AL430" s="2496">
        <f t="shared" si="36"/>
        <v>40868.895858932425</v>
      </c>
      <c r="AM430" s="2496">
        <f t="shared" si="36"/>
        <v>40866.767097644653</v>
      </c>
      <c r="AN430" s="2496">
        <f t="shared" si="36"/>
        <v>40865.063635231127</v>
      </c>
      <c r="AO430" s="2496">
        <f t="shared" si="36"/>
        <v>40863.700489730581</v>
      </c>
      <c r="AP430" s="2496">
        <f t="shared" si="36"/>
        <v>40862.609664616015</v>
      </c>
      <c r="AQ430" s="2496">
        <f t="shared" si="36"/>
        <v>40861.736752247605</v>
      </c>
      <c r="AR430" s="2496">
        <f t="shared" si="36"/>
        <v>40861.038217120527</v>
      </c>
      <c r="AS430" s="2496">
        <f t="shared" si="36"/>
        <v>40860.479222637492</v>
      </c>
    </row>
    <row r="431" spans="2:45" s="2490" customFormat="1" x14ac:dyDescent="0.2">
      <c r="B431" s="3606"/>
      <c r="C431" s="2495" t="s">
        <v>1370</v>
      </c>
      <c r="D431" s="2493" t="s">
        <v>1523</v>
      </c>
      <c r="G431" s="2496">
        <f t="shared" si="36"/>
        <v>29637.385773863291</v>
      </c>
      <c r="H431" s="2496">
        <f t="shared" si="36"/>
        <v>29540.145054320379</v>
      </c>
      <c r="I431" s="2496">
        <f t="shared" si="36"/>
        <v>29619.2784144221</v>
      </c>
      <c r="J431" s="2496">
        <f t="shared" si="36"/>
        <v>29610.612350432722</v>
      </c>
      <c r="K431" s="2496">
        <f t="shared" si="36"/>
        <v>29543.876118964923</v>
      </c>
      <c r="L431" s="2496">
        <f t="shared" si="36"/>
        <v>29414.799545578648</v>
      </c>
      <c r="M431" s="2496">
        <f t="shared" si="36"/>
        <v>29204.081343383561</v>
      </c>
      <c r="N431" s="2496">
        <f t="shared" si="36"/>
        <v>29001.915592538302</v>
      </c>
      <c r="O431" s="2496">
        <f t="shared" si="36"/>
        <v>28808.195595704343</v>
      </c>
      <c r="P431" s="2496">
        <f t="shared" si="36"/>
        <v>28616.008626741321</v>
      </c>
      <c r="Q431" s="2496">
        <f t="shared" si="36"/>
        <v>28416.086010601743</v>
      </c>
      <c r="R431" s="2496">
        <f t="shared" si="36"/>
        <v>28257.104411968528</v>
      </c>
      <c r="S431" s="2496">
        <f t="shared" si="36"/>
        <v>28130.520252610502</v>
      </c>
      <c r="T431" s="2496">
        <f t="shared" si="36"/>
        <v>28029.629807604852</v>
      </c>
      <c r="U431" s="2496">
        <f t="shared" si="36"/>
        <v>27949.152886940716</v>
      </c>
      <c r="V431" s="2496">
        <f t="shared" si="36"/>
        <v>27884.917661456515</v>
      </c>
      <c r="W431" s="2496">
        <f t="shared" si="36"/>
        <v>27833.619748902642</v>
      </c>
      <c r="X431" s="2496">
        <f t="shared" si="36"/>
        <v>27792.636553581884</v>
      </c>
      <c r="Y431" s="2496">
        <f t="shared" si="36"/>
        <v>27759.883203416688</v>
      </c>
      <c r="Z431" s="2496">
        <f t="shared" si="36"/>
        <v>27733.700124965766</v>
      </c>
      <c r="AA431" s="2496">
        <f t="shared" si="36"/>
        <v>27712.764893508182</v>
      </c>
      <c r="AB431" s="2496">
        <f t="shared" si="36"/>
        <v>27696.022848160039</v>
      </c>
      <c r="AC431" s="2496">
        <f t="shared" si="36"/>
        <v>27682.63230390476</v>
      </c>
      <c r="AD431" s="2496">
        <f t="shared" si="36"/>
        <v>27671.921177776108</v>
      </c>
      <c r="AE431" s="2496">
        <f t="shared" si="36"/>
        <v>27663.352579139129</v>
      </c>
      <c r="AF431" s="2496">
        <f t="shared" si="36"/>
        <v>27656.497465048436</v>
      </c>
      <c r="AG431" s="2496">
        <f t="shared" si="36"/>
        <v>27651.01288022938</v>
      </c>
      <c r="AH431" s="2496">
        <f t="shared" si="36"/>
        <v>27646.624621960287</v>
      </c>
      <c r="AI431" s="2496">
        <f t="shared" si="36"/>
        <v>27643.113417743287</v>
      </c>
      <c r="AJ431" s="2496">
        <f t="shared" si="36"/>
        <v>27640.303896033001</v>
      </c>
      <c r="AK431" s="2496">
        <f t="shared" si="36"/>
        <v>27638.055780567982</v>
      </c>
      <c r="AL431" s="2496">
        <f t="shared" si="36"/>
        <v>27636.256856755132</v>
      </c>
      <c r="AM431" s="2496">
        <f t="shared" si="36"/>
        <v>27634.81735141742</v>
      </c>
      <c r="AN431" s="2496">
        <f t="shared" si="36"/>
        <v>27633.665440561585</v>
      </c>
      <c r="AO431" s="2496">
        <f t="shared" si="36"/>
        <v>27632.743657910145</v>
      </c>
      <c r="AP431" s="2496">
        <f t="shared" si="36"/>
        <v>27632.006023031136</v>
      </c>
      <c r="AQ431" s="2496">
        <f t="shared" si="36"/>
        <v>27631.41574453401</v>
      </c>
      <c r="AR431" s="2496">
        <f t="shared" si="36"/>
        <v>27630.943382954636</v>
      </c>
      <c r="AS431" s="2496">
        <f t="shared" si="36"/>
        <v>27630.565381181161</v>
      </c>
    </row>
    <row r="432" spans="2:45" s="2490" customFormat="1" x14ac:dyDescent="0.2">
      <c r="B432" s="3606"/>
      <c r="C432" s="2495" t="s">
        <v>1371</v>
      </c>
      <c r="D432" s="2493" t="s">
        <v>1523</v>
      </c>
      <c r="G432" s="2496">
        <f t="shared" si="36"/>
        <v>51241.942335949039</v>
      </c>
      <c r="H432" s="2496">
        <f t="shared" si="36"/>
        <v>51073.816733321888</v>
      </c>
      <c r="I432" s="2496">
        <f t="shared" si="36"/>
        <v>51210.635382109671</v>
      </c>
      <c r="J432" s="2496">
        <f t="shared" si="36"/>
        <v>51195.652078433304</v>
      </c>
      <c r="K432" s="2496">
        <f t="shared" si="36"/>
        <v>51080.267605906483</v>
      </c>
      <c r="L432" s="2496">
        <f t="shared" si="36"/>
        <v>50857.098991074919</v>
      </c>
      <c r="M432" s="2496">
        <f t="shared" si="36"/>
        <v>50492.775023758673</v>
      </c>
      <c r="N432" s="2496">
        <f t="shared" si="36"/>
        <v>50143.237928072864</v>
      </c>
      <c r="O432" s="2496">
        <f t="shared" si="36"/>
        <v>49808.30322827083</v>
      </c>
      <c r="P432" s="2496">
        <f t="shared" si="36"/>
        <v>49476.019076879558</v>
      </c>
      <c r="Q432" s="2496">
        <f t="shared" si="36"/>
        <v>49130.360278021828</v>
      </c>
      <c r="R432" s="2496">
        <f t="shared" si="36"/>
        <v>48855.486982117829</v>
      </c>
      <c r="S432" s="2496">
        <f t="shared" si="36"/>
        <v>48636.627658830665</v>
      </c>
      <c r="T432" s="2496">
        <f t="shared" si="36"/>
        <v>48462.191816051745</v>
      </c>
      <c r="U432" s="2496">
        <f t="shared" si="36"/>
        <v>48323.050200812417</v>
      </c>
      <c r="V432" s="2496">
        <f t="shared" si="36"/>
        <v>48211.989875002539</v>
      </c>
      <c r="W432" s="2496">
        <f t="shared" si="36"/>
        <v>48123.297684095538</v>
      </c>
      <c r="X432" s="2496">
        <f t="shared" si="36"/>
        <v>48052.439257262871</v>
      </c>
      <c r="Y432" s="2496">
        <f t="shared" si="36"/>
        <v>47995.80992789891</v>
      </c>
      <c r="Z432" s="2496">
        <f t="shared" si="36"/>
        <v>47950.540354988661</v>
      </c>
      <c r="AA432" s="2496">
        <f t="shared" si="36"/>
        <v>47914.344115167616</v>
      </c>
      <c r="AB432" s="2496">
        <f t="shared" si="36"/>
        <v>47885.397738828578</v>
      </c>
      <c r="AC432" s="2496">
        <f t="shared" si="36"/>
        <v>47862.24598375101</v>
      </c>
      <c r="AD432" s="2496">
        <f t="shared" si="36"/>
        <v>47843.726843377917</v>
      </c>
      <c r="AE432" s="2496">
        <f t="shared" si="36"/>
        <v>47828.912053686086</v>
      </c>
      <c r="AF432" s="2496">
        <f t="shared" si="36"/>
        <v>47817.059815313165</v>
      </c>
      <c r="AG432" s="2496">
        <f t="shared" si="36"/>
        <v>47807.577171291232</v>
      </c>
      <c r="AH432" s="2496">
        <f t="shared" si="36"/>
        <v>47799.990035269999</v>
      </c>
      <c r="AI432" s="2496">
        <f t="shared" si="36"/>
        <v>47793.919293221741</v>
      </c>
      <c r="AJ432" s="2496">
        <f t="shared" si="36"/>
        <v>47789.061734239716</v>
      </c>
      <c r="AK432" s="2496">
        <f t="shared" si="36"/>
        <v>47785.174825863178</v>
      </c>
      <c r="AL432" s="2496">
        <f t="shared" si="36"/>
        <v>47782.064553216718</v>
      </c>
      <c r="AM432" s="2496">
        <f t="shared" si="36"/>
        <v>47779.575701802154</v>
      </c>
      <c r="AN432" s="2496">
        <f t="shared" si="36"/>
        <v>47777.584090595228</v>
      </c>
      <c r="AO432" s="2496">
        <f t="shared" si="36"/>
        <v>47775.990362530567</v>
      </c>
      <c r="AP432" s="2496">
        <f t="shared" si="36"/>
        <v>47774.715019144227</v>
      </c>
      <c r="AQ432" s="2496">
        <f t="shared" si="36"/>
        <v>47773.694449484581</v>
      </c>
      <c r="AR432" s="2496">
        <f t="shared" si="36"/>
        <v>47772.877753808505</v>
      </c>
      <c r="AS432" s="2496">
        <f t="shared" si="36"/>
        <v>47772.224202742043</v>
      </c>
    </row>
    <row r="433" spans="1:45" s="2490" customFormat="1" x14ac:dyDescent="0.2">
      <c r="B433" s="3606"/>
      <c r="C433" s="2489" t="s">
        <v>1372</v>
      </c>
      <c r="D433" s="2493" t="s">
        <v>1523</v>
      </c>
      <c r="G433" s="2496">
        <f t="shared" si="36"/>
        <v>44538.997972809535</v>
      </c>
      <c r="H433" s="2496">
        <f t="shared" si="36"/>
        <v>44392.864833954358</v>
      </c>
      <c r="I433" s="2496">
        <f t="shared" si="36"/>
        <v>44511.786272978861</v>
      </c>
      <c r="J433" s="2496">
        <f t="shared" si="36"/>
        <v>44498.762931129459</v>
      </c>
      <c r="K433" s="2496">
        <f t="shared" si="36"/>
        <v>44398.471869672961</v>
      </c>
      <c r="L433" s="2496">
        <f t="shared" si="36"/>
        <v>44204.495879879061</v>
      </c>
      <c r="M433" s="2496">
        <f t="shared" si="36"/>
        <v>43887.829030379871</v>
      </c>
      <c r="N433" s="2496">
        <f t="shared" si="36"/>
        <v>43584.014785905965</v>
      </c>
      <c r="O433" s="2496">
        <f t="shared" si="36"/>
        <v>43292.892801932278</v>
      </c>
      <c r="P433" s="2496">
        <f t="shared" si="36"/>
        <v>43004.074648861795</v>
      </c>
      <c r="Q433" s="2496">
        <f t="shared" si="36"/>
        <v>42703.631382276122</v>
      </c>
      <c r="R433" s="2496">
        <f t="shared" si="36"/>
        <v>42464.714186499587</v>
      </c>
      <c r="S433" s="2496">
        <f t="shared" si="36"/>
        <v>42274.48379101009</v>
      </c>
      <c r="T433" s="2496">
        <f t="shared" si="36"/>
        <v>42122.865852779345</v>
      </c>
      <c r="U433" s="2496">
        <f t="shared" si="36"/>
        <v>42001.925313904983</v>
      </c>
      <c r="V433" s="2496">
        <f t="shared" si="36"/>
        <v>41905.392758724396</v>
      </c>
      <c r="W433" s="2496">
        <f t="shared" si="36"/>
        <v>41828.302368880999</v>
      </c>
      <c r="X433" s="2496">
        <f t="shared" si="36"/>
        <v>41766.712913345422</v>
      </c>
      <c r="Y433" s="2496">
        <f t="shared" si="36"/>
        <v>41717.491250957872</v>
      </c>
      <c r="Z433" s="2496">
        <f t="shared" si="36"/>
        <v>41678.143378411172</v>
      </c>
      <c r="AA433" s="2496">
        <f t="shared" si="36"/>
        <v>41646.681958751411</v>
      </c>
      <c r="AB433" s="2496">
        <f t="shared" ref="AB433:AS433" si="37">AB80*AB145*AB183*$E$206*$E$203*$D$217</f>
        <v>41621.522049928441</v>
      </c>
      <c r="AC433" s="2496">
        <f t="shared" si="37"/>
        <v>41601.398769555759</v>
      </c>
      <c r="AD433" s="2496">
        <f t="shared" si="37"/>
        <v>41585.302112834055</v>
      </c>
      <c r="AE433" s="2496">
        <f t="shared" si="37"/>
        <v>41572.425241701298</v>
      </c>
      <c r="AF433" s="2496">
        <f t="shared" si="37"/>
        <v>41562.123391365414</v>
      </c>
      <c r="AG433" s="2496">
        <f t="shared" si="37"/>
        <v>41553.88116939614</v>
      </c>
      <c r="AH433" s="2496">
        <f t="shared" si="37"/>
        <v>41547.286504548072</v>
      </c>
      <c r="AI433" s="2496">
        <f t="shared" si="37"/>
        <v>41542.009874595053</v>
      </c>
      <c r="AJ433" s="2496">
        <f t="shared" si="37"/>
        <v>41537.787731565528</v>
      </c>
      <c r="AK433" s="2496">
        <f t="shared" si="37"/>
        <v>41534.409268603136</v>
      </c>
      <c r="AL433" s="2496">
        <f t="shared" si="37"/>
        <v>41531.705849864877</v>
      </c>
      <c r="AM433" s="2496">
        <f t="shared" si="37"/>
        <v>41529.542564418334</v>
      </c>
      <c r="AN433" s="2496">
        <f t="shared" si="37"/>
        <v>41527.811475324837</v>
      </c>
      <c r="AO433" s="2496">
        <f t="shared" si="37"/>
        <v>41526.426222389338</v>
      </c>
      <c r="AP433" s="2496">
        <f t="shared" si="37"/>
        <v>41525.317706320093</v>
      </c>
      <c r="AQ433" s="2496">
        <f t="shared" si="37"/>
        <v>41524.430637096528</v>
      </c>
      <c r="AR433" s="2496">
        <f t="shared" si="37"/>
        <v>41523.720773156885</v>
      </c>
      <c r="AS433" s="2496">
        <f t="shared" si="37"/>
        <v>41523.152712925425</v>
      </c>
    </row>
    <row r="434" spans="1:45" s="2490" customFormat="1" x14ac:dyDescent="0.2">
      <c r="B434" s="3606"/>
      <c r="C434" s="2489" t="s">
        <v>1373</v>
      </c>
      <c r="D434" s="2493" t="s">
        <v>1523</v>
      </c>
      <c r="G434" s="2496">
        <f t="shared" ref="G434:AS440" si="38">G81*G146*G184*$E$206*$E$203*$D$217</f>
        <v>61957.206156287859</v>
      </c>
      <c r="H434" s="2496">
        <f t="shared" si="38"/>
        <v>61957.130472380668</v>
      </c>
      <c r="I434" s="2496">
        <f t="shared" si="38"/>
        <v>61957.054788473491</v>
      </c>
      <c r="J434" s="2496">
        <f t="shared" si="38"/>
        <v>61956.979104566286</v>
      </c>
      <c r="K434" s="2496">
        <f t="shared" si="38"/>
        <v>61956.903420659102</v>
      </c>
      <c r="L434" s="2496">
        <f t="shared" si="38"/>
        <v>61956.827736751897</v>
      </c>
      <c r="M434" s="2496">
        <f t="shared" si="38"/>
        <v>61956.752052844728</v>
      </c>
      <c r="N434" s="2496">
        <f t="shared" si="38"/>
        <v>61956.676368937522</v>
      </c>
      <c r="O434" s="2496">
        <f t="shared" si="38"/>
        <v>61956.600685030338</v>
      </c>
      <c r="P434" s="2496">
        <f t="shared" si="38"/>
        <v>61956.525001123126</v>
      </c>
      <c r="Q434" s="2496">
        <f t="shared" si="38"/>
        <v>61956.449317215956</v>
      </c>
      <c r="R434" s="2496">
        <f t="shared" si="38"/>
        <v>61956.373633308758</v>
      </c>
      <c r="S434" s="2496">
        <f t="shared" si="38"/>
        <v>61956.297949401567</v>
      </c>
      <c r="T434" s="2496">
        <f t="shared" si="38"/>
        <v>61956.222265494362</v>
      </c>
      <c r="U434" s="2496">
        <f t="shared" si="38"/>
        <v>61956.146581587185</v>
      </c>
      <c r="V434" s="2496">
        <f t="shared" si="38"/>
        <v>61956.070897679994</v>
      </c>
      <c r="W434" s="2496">
        <f t="shared" si="38"/>
        <v>61955.995213772796</v>
      </c>
      <c r="X434" s="2496">
        <f t="shared" si="38"/>
        <v>61955.919529865605</v>
      </c>
      <c r="Y434" s="2496">
        <f t="shared" si="38"/>
        <v>61955.843845958421</v>
      </c>
      <c r="Z434" s="2496">
        <f t="shared" si="38"/>
        <v>61955.768162051223</v>
      </c>
      <c r="AA434" s="2496">
        <f t="shared" si="38"/>
        <v>61955.692478144025</v>
      </c>
      <c r="AB434" s="2496">
        <f t="shared" si="38"/>
        <v>61955.616794236841</v>
      </c>
      <c r="AC434" s="2496">
        <f t="shared" si="38"/>
        <v>61955.54111032965</v>
      </c>
      <c r="AD434" s="2496">
        <f t="shared" si="38"/>
        <v>61955.465426422452</v>
      </c>
      <c r="AE434" s="2496">
        <f t="shared" si="38"/>
        <v>61955.389742515261</v>
      </c>
      <c r="AF434" s="2496">
        <f t="shared" si="38"/>
        <v>61955.314058608077</v>
      </c>
      <c r="AG434" s="2496">
        <f t="shared" si="38"/>
        <v>61955.238374700879</v>
      </c>
      <c r="AH434" s="2496">
        <f t="shared" si="38"/>
        <v>61955.162690793688</v>
      </c>
      <c r="AI434" s="2496">
        <f t="shared" si="38"/>
        <v>61955.08700688649</v>
      </c>
      <c r="AJ434" s="2496">
        <f t="shared" si="38"/>
        <v>61955.011322979306</v>
      </c>
      <c r="AK434" s="2496">
        <f t="shared" si="38"/>
        <v>61954.935639072122</v>
      </c>
      <c r="AL434" s="2496">
        <f t="shared" si="38"/>
        <v>61954.859955164917</v>
      </c>
      <c r="AM434" s="2496">
        <f t="shared" si="38"/>
        <v>61954.784271257719</v>
      </c>
      <c r="AN434" s="2496">
        <f t="shared" si="38"/>
        <v>61954.708587350535</v>
      </c>
      <c r="AO434" s="2496">
        <f t="shared" si="38"/>
        <v>61954.632903443351</v>
      </c>
      <c r="AP434" s="2496">
        <f t="shared" si="38"/>
        <v>61954.557219536146</v>
      </c>
      <c r="AQ434" s="2496">
        <f t="shared" si="38"/>
        <v>61954.481535628962</v>
      </c>
      <c r="AR434" s="2496">
        <f t="shared" si="38"/>
        <v>61954.405851721771</v>
      </c>
      <c r="AS434" s="2496">
        <f t="shared" si="38"/>
        <v>61954.330167814587</v>
      </c>
    </row>
    <row r="435" spans="1:45" s="2490" customFormat="1" x14ac:dyDescent="0.2">
      <c r="B435" s="2488"/>
      <c r="C435" s="2489" t="s">
        <v>1374</v>
      </c>
      <c r="D435" s="2493" t="s">
        <v>1523</v>
      </c>
      <c r="G435" s="2496">
        <f t="shared" si="38"/>
        <v>3277.3260353832925</v>
      </c>
      <c r="H435" s="2496">
        <f t="shared" si="38"/>
        <v>3277.2860910989421</v>
      </c>
      <c r="I435" s="2496">
        <f t="shared" si="38"/>
        <v>3277.2461468145902</v>
      </c>
      <c r="J435" s="2496">
        <f t="shared" si="38"/>
        <v>3277.2062025302398</v>
      </c>
      <c r="K435" s="2496">
        <f t="shared" si="38"/>
        <v>3277.1662582458889</v>
      </c>
      <c r="L435" s="2496">
        <f t="shared" si="38"/>
        <v>3277.1263139615376</v>
      </c>
      <c r="M435" s="2496">
        <f t="shared" si="38"/>
        <v>3277.0863696771858</v>
      </c>
      <c r="N435" s="2496">
        <f t="shared" si="38"/>
        <v>3277.0464253928353</v>
      </c>
      <c r="O435" s="2496">
        <f t="shared" si="38"/>
        <v>3277.0064811084831</v>
      </c>
      <c r="P435" s="2496">
        <f t="shared" si="38"/>
        <v>3276.9665368241322</v>
      </c>
      <c r="Q435" s="2496">
        <f t="shared" si="38"/>
        <v>3276.9265925397808</v>
      </c>
      <c r="R435" s="2496">
        <f t="shared" si="38"/>
        <v>3276.886648255429</v>
      </c>
      <c r="S435" s="2496">
        <f t="shared" si="38"/>
        <v>3276.8467039710786</v>
      </c>
      <c r="T435" s="2496">
        <f t="shared" si="38"/>
        <v>3276.8067596867268</v>
      </c>
      <c r="U435" s="2496">
        <f t="shared" si="38"/>
        <v>3276.7668154023763</v>
      </c>
      <c r="V435" s="2496">
        <f t="shared" si="38"/>
        <v>3276.7268711180245</v>
      </c>
      <c r="W435" s="2496">
        <f t="shared" si="38"/>
        <v>3276.6869268336732</v>
      </c>
      <c r="X435" s="2496">
        <f t="shared" si="38"/>
        <v>3276.6469825493223</v>
      </c>
      <c r="Y435" s="2496">
        <f t="shared" si="38"/>
        <v>3276.6070382649709</v>
      </c>
      <c r="Z435" s="2496">
        <f t="shared" si="38"/>
        <v>3276.5670939806196</v>
      </c>
      <c r="AA435" s="2496">
        <f t="shared" si="38"/>
        <v>3276.5271496962682</v>
      </c>
      <c r="AB435" s="2496">
        <f t="shared" si="38"/>
        <v>3276.4872054119173</v>
      </c>
      <c r="AC435" s="2496">
        <f t="shared" si="38"/>
        <v>3276.447261127566</v>
      </c>
      <c r="AD435" s="2496">
        <f t="shared" si="38"/>
        <v>3276.4073168432142</v>
      </c>
      <c r="AE435" s="2496">
        <f t="shared" si="38"/>
        <v>3276.3673725588637</v>
      </c>
      <c r="AF435" s="2496">
        <f t="shared" si="38"/>
        <v>3276.3274282745119</v>
      </c>
      <c r="AG435" s="2496">
        <f t="shared" si="38"/>
        <v>3276.2874839901606</v>
      </c>
      <c r="AH435" s="2496">
        <f t="shared" si="38"/>
        <v>3276.2475397058097</v>
      </c>
      <c r="AI435" s="2496">
        <f t="shared" si="38"/>
        <v>3276.2075954214583</v>
      </c>
      <c r="AJ435" s="2496">
        <f t="shared" si="38"/>
        <v>3276.1676511371074</v>
      </c>
      <c r="AK435" s="2496">
        <f t="shared" si="38"/>
        <v>3276.1277068527561</v>
      </c>
      <c r="AL435" s="2496">
        <f t="shared" si="38"/>
        <v>3276.0877625684047</v>
      </c>
      <c r="AM435" s="2496">
        <f t="shared" si="38"/>
        <v>3276.0478182840538</v>
      </c>
      <c r="AN435" s="2496">
        <f t="shared" si="38"/>
        <v>3276.0078739997025</v>
      </c>
      <c r="AO435" s="2496">
        <f t="shared" si="38"/>
        <v>3275.9679297153507</v>
      </c>
      <c r="AP435" s="2496">
        <f t="shared" si="38"/>
        <v>3275.9279854310003</v>
      </c>
      <c r="AQ435" s="2496">
        <f t="shared" si="38"/>
        <v>3275.888041146648</v>
      </c>
      <c r="AR435" s="2496">
        <f t="shared" si="38"/>
        <v>3275.8480968622971</v>
      </c>
      <c r="AS435" s="2496">
        <f t="shared" si="38"/>
        <v>3275.8081525779462</v>
      </c>
    </row>
    <row r="436" spans="1:45" s="2490" customFormat="1" x14ac:dyDescent="0.2">
      <c r="B436" s="2488"/>
      <c r="C436" s="2489" t="s">
        <v>1375</v>
      </c>
      <c r="D436" s="2493" t="s">
        <v>1523</v>
      </c>
      <c r="G436" s="2496">
        <f t="shared" si="38"/>
        <v>2774.1554846814288</v>
      </c>
      <c r="H436" s="2496">
        <f t="shared" si="38"/>
        <v>2774.1554846814288</v>
      </c>
      <c r="I436" s="2496">
        <f t="shared" si="38"/>
        <v>2774.1554846814288</v>
      </c>
      <c r="J436" s="2496">
        <f t="shared" si="38"/>
        <v>2774.1554846814288</v>
      </c>
      <c r="K436" s="2496">
        <f t="shared" si="38"/>
        <v>2774.1554846814288</v>
      </c>
      <c r="L436" s="2496">
        <f t="shared" si="38"/>
        <v>2774.1554846814288</v>
      </c>
      <c r="M436" s="2496">
        <f t="shared" si="38"/>
        <v>2774.1554846814288</v>
      </c>
      <c r="N436" s="2496">
        <f t="shared" si="38"/>
        <v>2774.1554846814288</v>
      </c>
      <c r="O436" s="2496">
        <f t="shared" si="38"/>
        <v>2774.1554846814288</v>
      </c>
      <c r="P436" s="2496">
        <f t="shared" si="38"/>
        <v>2774.1554846814288</v>
      </c>
      <c r="Q436" s="2496">
        <f t="shared" si="38"/>
        <v>2774.1554846814288</v>
      </c>
      <c r="R436" s="2496">
        <f t="shared" si="38"/>
        <v>2774.1554846814288</v>
      </c>
      <c r="S436" s="2496">
        <f t="shared" si="38"/>
        <v>2774.1554846814288</v>
      </c>
      <c r="T436" s="2496">
        <f t="shared" si="38"/>
        <v>2774.1554846814288</v>
      </c>
      <c r="U436" s="2496">
        <f t="shared" si="38"/>
        <v>2774.1554846814288</v>
      </c>
      <c r="V436" s="2496">
        <f t="shared" si="38"/>
        <v>2774.1554846814288</v>
      </c>
      <c r="W436" s="2496">
        <f t="shared" si="38"/>
        <v>2774.1554846814288</v>
      </c>
      <c r="X436" s="2496">
        <f t="shared" si="38"/>
        <v>2774.1554846814288</v>
      </c>
      <c r="Y436" s="2496">
        <f t="shared" si="38"/>
        <v>2774.1554846814288</v>
      </c>
      <c r="Z436" s="2496">
        <f t="shared" si="38"/>
        <v>2774.1554846814288</v>
      </c>
      <c r="AA436" s="2496">
        <f t="shared" si="38"/>
        <v>2774.1554846814288</v>
      </c>
      <c r="AB436" s="2496">
        <f t="shared" si="38"/>
        <v>2774.1554846814288</v>
      </c>
      <c r="AC436" s="2496">
        <f t="shared" si="38"/>
        <v>2774.1554846814288</v>
      </c>
      <c r="AD436" s="2496">
        <f t="shared" si="38"/>
        <v>2774.1554846814288</v>
      </c>
      <c r="AE436" s="2496">
        <f t="shared" si="38"/>
        <v>2774.1554846814288</v>
      </c>
      <c r="AF436" s="2496">
        <f t="shared" si="38"/>
        <v>2774.1554846814288</v>
      </c>
      <c r="AG436" s="2496">
        <f t="shared" si="38"/>
        <v>2774.1554846814288</v>
      </c>
      <c r="AH436" s="2496">
        <f t="shared" si="38"/>
        <v>2774.1554846814288</v>
      </c>
      <c r="AI436" s="2496">
        <f t="shared" si="38"/>
        <v>2774.1554846814288</v>
      </c>
      <c r="AJ436" s="2496">
        <f t="shared" si="38"/>
        <v>2774.1554846814288</v>
      </c>
      <c r="AK436" s="2496">
        <f t="shared" si="38"/>
        <v>2774.1554846814288</v>
      </c>
      <c r="AL436" s="2496">
        <f t="shared" si="38"/>
        <v>2774.1554846814288</v>
      </c>
      <c r="AM436" s="2496">
        <f t="shared" si="38"/>
        <v>2774.1554846814288</v>
      </c>
      <c r="AN436" s="2496">
        <f t="shared" si="38"/>
        <v>2774.1554846814288</v>
      </c>
      <c r="AO436" s="2496">
        <f t="shared" si="38"/>
        <v>2774.1554846814288</v>
      </c>
      <c r="AP436" s="2496">
        <f t="shared" si="38"/>
        <v>2774.1554846814288</v>
      </c>
      <c r="AQ436" s="2496">
        <f t="shared" si="38"/>
        <v>2774.1554846814288</v>
      </c>
      <c r="AR436" s="2496">
        <f t="shared" si="38"/>
        <v>2774.1554846814288</v>
      </c>
      <c r="AS436" s="2496">
        <f t="shared" si="38"/>
        <v>2774.1554846814288</v>
      </c>
    </row>
    <row r="437" spans="1:45" s="2490" customFormat="1" x14ac:dyDescent="0.2">
      <c r="B437" s="2488"/>
      <c r="C437" s="2489" t="s">
        <v>1376</v>
      </c>
      <c r="D437" s="2493" t="s">
        <v>1523</v>
      </c>
      <c r="G437" s="2496">
        <f t="shared" si="38"/>
        <v>261976.37517916874</v>
      </c>
      <c r="H437" s="2496">
        <f t="shared" si="38"/>
        <v>261116.82665420632</v>
      </c>
      <c r="I437" s="2496">
        <f t="shared" si="38"/>
        <v>261816.31718934924</v>
      </c>
      <c r="J437" s="2496">
        <f t="shared" si="38"/>
        <v>261739.71448058359</v>
      </c>
      <c r="K437" s="2496">
        <f t="shared" si="38"/>
        <v>261149.80698515035</v>
      </c>
      <c r="L437" s="2496">
        <f t="shared" si="38"/>
        <v>260008.84897102928</v>
      </c>
      <c r="M437" s="2496">
        <f t="shared" si="38"/>
        <v>258146.22885950701</v>
      </c>
      <c r="N437" s="2496">
        <f t="shared" si="38"/>
        <v>256359.20719045948</v>
      </c>
      <c r="O437" s="2496">
        <f t="shared" si="38"/>
        <v>254646.84082462991</v>
      </c>
      <c r="P437" s="2496">
        <f t="shared" si="38"/>
        <v>252948.02548815697</v>
      </c>
      <c r="Q437" s="2496">
        <f t="shared" si="38"/>
        <v>251180.8317588513</v>
      </c>
      <c r="R437" s="2496">
        <f t="shared" si="38"/>
        <v>249775.5316001967</v>
      </c>
      <c r="S437" s="2496">
        <f t="shared" si="38"/>
        <v>248656.6050026638</v>
      </c>
      <c r="T437" s="2496">
        <f t="shared" si="38"/>
        <v>247764.79513540815</v>
      </c>
      <c r="U437" s="2496">
        <f t="shared" si="38"/>
        <v>247053.42834610908</v>
      </c>
      <c r="V437" s="2496">
        <f t="shared" si="38"/>
        <v>246485.62821489741</v>
      </c>
      <c r="W437" s="2496">
        <f t="shared" si="38"/>
        <v>246032.18602240246</v>
      </c>
      <c r="X437" s="2496">
        <f t="shared" si="38"/>
        <v>245669.91962565234</v>
      </c>
      <c r="Y437" s="2496">
        <f t="shared" si="38"/>
        <v>245380.40002980386</v>
      </c>
      <c r="Z437" s="2496">
        <f t="shared" si="38"/>
        <v>245148.95762000629</v>
      </c>
      <c r="AA437" s="2496">
        <f t="shared" si="38"/>
        <v>244963.90297002322</v>
      </c>
      <c r="AB437" s="2496">
        <f t="shared" si="38"/>
        <v>244815.91352227447</v>
      </c>
      <c r="AC437" s="2496">
        <f t="shared" si="38"/>
        <v>244697.54929567091</v>
      </c>
      <c r="AD437" s="2496">
        <f t="shared" si="38"/>
        <v>244602.86948758384</v>
      </c>
      <c r="AE437" s="2496">
        <f t="shared" si="38"/>
        <v>244527.12831296041</v>
      </c>
      <c r="AF437" s="2496">
        <f t="shared" si="38"/>
        <v>244466.53329440436</v>
      </c>
      <c r="AG437" s="2496">
        <f t="shared" si="38"/>
        <v>244418.05291691018</v>
      </c>
      <c r="AH437" s="2496">
        <f t="shared" si="38"/>
        <v>244379.26339601728</v>
      </c>
      <c r="AI437" s="2496">
        <f t="shared" si="38"/>
        <v>244348.22649686883</v>
      </c>
      <c r="AJ437" s="2496">
        <f t="shared" si="38"/>
        <v>244323.39204219528</v>
      </c>
      <c r="AK437" s="2496">
        <f t="shared" si="38"/>
        <v>244303.52007558511</v>
      </c>
      <c r="AL437" s="2496">
        <f t="shared" si="38"/>
        <v>244287.61868862371</v>
      </c>
      <c r="AM437" s="2496">
        <f t="shared" si="38"/>
        <v>244274.89434129759</v>
      </c>
      <c r="AN437" s="2496">
        <f t="shared" si="38"/>
        <v>244264.71215340673</v>
      </c>
      <c r="AO437" s="2496">
        <f t="shared" si="38"/>
        <v>244256.56415818309</v>
      </c>
      <c r="AP437" s="2496">
        <f t="shared" si="38"/>
        <v>244250.0439167124</v>
      </c>
      <c r="AQ437" s="2496">
        <f t="shared" si="38"/>
        <v>244244.82621558974</v>
      </c>
      <c r="AR437" s="2496">
        <f t="shared" si="38"/>
        <v>244240.65082794652</v>
      </c>
      <c r="AS437" s="2496">
        <f t="shared" si="38"/>
        <v>244237.30952331243</v>
      </c>
    </row>
    <row r="438" spans="1:45" s="2490" customFormat="1" x14ac:dyDescent="0.2">
      <c r="B438" s="2488"/>
      <c r="C438" s="2489" t="s">
        <v>1377</v>
      </c>
      <c r="D438" s="2493" t="s">
        <v>1523</v>
      </c>
      <c r="G438" s="2496">
        <f t="shared" si="38"/>
        <v>0</v>
      </c>
      <c r="H438" s="2496">
        <f t="shared" si="38"/>
        <v>0</v>
      </c>
      <c r="I438" s="2496">
        <f t="shared" si="38"/>
        <v>0</v>
      </c>
      <c r="J438" s="2496">
        <f t="shared" si="38"/>
        <v>0</v>
      </c>
      <c r="K438" s="2496">
        <f t="shared" si="38"/>
        <v>0</v>
      </c>
      <c r="L438" s="2496">
        <f t="shared" si="38"/>
        <v>0</v>
      </c>
      <c r="M438" s="2496">
        <f t="shared" si="38"/>
        <v>0</v>
      </c>
      <c r="N438" s="2496">
        <f t="shared" si="38"/>
        <v>0</v>
      </c>
      <c r="O438" s="2496">
        <f t="shared" si="38"/>
        <v>0</v>
      </c>
      <c r="P438" s="2496">
        <f t="shared" si="38"/>
        <v>0</v>
      </c>
      <c r="Q438" s="2496">
        <f t="shared" si="38"/>
        <v>0</v>
      </c>
      <c r="R438" s="2496">
        <f t="shared" si="38"/>
        <v>0</v>
      </c>
      <c r="S438" s="2496">
        <f t="shared" si="38"/>
        <v>0</v>
      </c>
      <c r="T438" s="2496">
        <f t="shared" si="38"/>
        <v>0</v>
      </c>
      <c r="U438" s="2496">
        <f t="shared" si="38"/>
        <v>0</v>
      </c>
      <c r="V438" s="2496">
        <f t="shared" si="38"/>
        <v>0</v>
      </c>
      <c r="W438" s="2496">
        <f t="shared" si="38"/>
        <v>0</v>
      </c>
      <c r="X438" s="2496">
        <f t="shared" si="38"/>
        <v>0</v>
      </c>
      <c r="Y438" s="2496">
        <f t="shared" si="38"/>
        <v>0</v>
      </c>
      <c r="Z438" s="2496">
        <f t="shared" si="38"/>
        <v>0</v>
      </c>
      <c r="AA438" s="2496">
        <f t="shared" si="38"/>
        <v>0</v>
      </c>
      <c r="AB438" s="2496">
        <f t="shared" si="38"/>
        <v>0</v>
      </c>
      <c r="AC438" s="2496">
        <f t="shared" si="38"/>
        <v>0</v>
      </c>
      <c r="AD438" s="2496">
        <f t="shared" si="38"/>
        <v>0</v>
      </c>
      <c r="AE438" s="2496">
        <f t="shared" si="38"/>
        <v>0</v>
      </c>
      <c r="AF438" s="2496">
        <f t="shared" si="38"/>
        <v>0</v>
      </c>
      <c r="AG438" s="2496">
        <f t="shared" si="38"/>
        <v>0</v>
      </c>
      <c r="AH438" s="2496">
        <f t="shared" si="38"/>
        <v>0</v>
      </c>
      <c r="AI438" s="2496">
        <f t="shared" si="38"/>
        <v>0</v>
      </c>
      <c r="AJ438" s="2496">
        <f t="shared" si="38"/>
        <v>0</v>
      </c>
      <c r="AK438" s="2496">
        <f t="shared" si="38"/>
        <v>0</v>
      </c>
      <c r="AL438" s="2496">
        <f t="shared" si="38"/>
        <v>0</v>
      </c>
      <c r="AM438" s="2496">
        <f t="shared" si="38"/>
        <v>0</v>
      </c>
      <c r="AN438" s="2496">
        <f t="shared" si="38"/>
        <v>0</v>
      </c>
      <c r="AO438" s="2496">
        <f t="shared" si="38"/>
        <v>0</v>
      </c>
      <c r="AP438" s="2496">
        <f t="shared" si="38"/>
        <v>0</v>
      </c>
      <c r="AQ438" s="2496">
        <f t="shared" si="38"/>
        <v>0</v>
      </c>
      <c r="AR438" s="2496">
        <f t="shared" si="38"/>
        <v>0</v>
      </c>
      <c r="AS438" s="2496">
        <f t="shared" si="38"/>
        <v>0</v>
      </c>
    </row>
    <row r="439" spans="1:45" s="2490" customFormat="1" x14ac:dyDescent="0.2">
      <c r="B439" s="2488"/>
      <c r="C439" s="2495" t="s">
        <v>1378</v>
      </c>
      <c r="D439" s="2493" t="s">
        <v>1523</v>
      </c>
      <c r="G439" s="2496">
        <f t="shared" si="38"/>
        <v>4907.0978992007649</v>
      </c>
      <c r="H439" s="2496">
        <f t="shared" si="38"/>
        <v>5082.4736528536787</v>
      </c>
      <c r="I439" s="2496">
        <f t="shared" si="38"/>
        <v>5275.8311668327651</v>
      </c>
      <c r="J439" s="2496">
        <f t="shared" si="38"/>
        <v>5475.8267857400833</v>
      </c>
      <c r="K439" s="2496">
        <f t="shared" si="38"/>
        <v>5677.6228079466773</v>
      </c>
      <c r="L439" s="2496">
        <f t="shared" si="38"/>
        <v>5879.341826040546</v>
      </c>
      <c r="M439" s="2496">
        <f t="shared" si="38"/>
        <v>6093.237383997046</v>
      </c>
      <c r="N439" s="2496">
        <f t="shared" si="38"/>
        <v>6315.1924860293839</v>
      </c>
      <c r="O439" s="2496">
        <f t="shared" si="38"/>
        <v>6533.4820737652781</v>
      </c>
      <c r="P439" s="2496">
        <f t="shared" si="38"/>
        <v>6753.3466991762889</v>
      </c>
      <c r="Q439" s="2496">
        <f t="shared" si="38"/>
        <v>6974.9432572676315</v>
      </c>
      <c r="R439" s="2496">
        <f t="shared" si="38"/>
        <v>7188.6224529603796</v>
      </c>
      <c r="S439" s="2496">
        <f t="shared" si="38"/>
        <v>7396.5646446413366</v>
      </c>
      <c r="T439" s="2496">
        <f t="shared" si="38"/>
        <v>7600.1824385499103</v>
      </c>
      <c r="U439" s="2496">
        <f t="shared" si="38"/>
        <v>7800.3620770318785</v>
      </c>
      <c r="V439" s="2496">
        <f t="shared" si="38"/>
        <v>7997.5984492528996</v>
      </c>
      <c r="W439" s="2496">
        <f t="shared" si="38"/>
        <v>8192.1730977461757</v>
      </c>
      <c r="X439" s="2496">
        <f t="shared" si="38"/>
        <v>8385.1866939715583</v>
      </c>
      <c r="Y439" s="2496">
        <f t="shared" si="38"/>
        <v>8577.3817189678011</v>
      </c>
      <c r="Z439" s="2496">
        <f t="shared" si="38"/>
        <v>8769.2082095341921</v>
      </c>
      <c r="AA439" s="2496">
        <f t="shared" si="38"/>
        <v>8960.9341230663413</v>
      </c>
      <c r="AB439" s="2496">
        <f t="shared" si="38"/>
        <v>9152.4901414023716</v>
      </c>
      <c r="AC439" s="2496">
        <f t="shared" si="38"/>
        <v>9343.9871745549663</v>
      </c>
      <c r="AD439" s="2496">
        <f t="shared" si="38"/>
        <v>9535.4563967417234</v>
      </c>
      <c r="AE439" s="2496">
        <f t="shared" si="38"/>
        <v>9726.8732677540447</v>
      </c>
      <c r="AF439" s="2496">
        <f t="shared" si="38"/>
        <v>9918.1994920907855</v>
      </c>
      <c r="AG439" s="2496">
        <f t="shared" si="38"/>
        <v>10109.336691860846</v>
      </c>
      <c r="AH439" s="2496">
        <f t="shared" si="38"/>
        <v>10300.169004064301</v>
      </c>
      <c r="AI439" s="2496">
        <f t="shared" si="38"/>
        <v>10490.567895307409</v>
      </c>
      <c r="AJ439" s="2496">
        <f t="shared" si="38"/>
        <v>10680.668665976398</v>
      </c>
      <c r="AK439" s="2496">
        <f t="shared" si="38"/>
        <v>10870.249298860897</v>
      </c>
      <c r="AL439" s="2496">
        <f t="shared" si="38"/>
        <v>11059.135165285968</v>
      </c>
      <c r="AM439" s="2496">
        <f t="shared" si="38"/>
        <v>11247.099177669079</v>
      </c>
      <c r="AN439" s="2496">
        <f t="shared" si="38"/>
        <v>11433.962054762636</v>
      </c>
      <c r="AO439" s="2496">
        <f t="shared" si="38"/>
        <v>11619.578747319712</v>
      </c>
      <c r="AP439" s="2496">
        <f t="shared" si="38"/>
        <v>11803.738624202017</v>
      </c>
      <c r="AQ439" s="2496">
        <f t="shared" si="38"/>
        <v>11986.274485639025</v>
      </c>
      <c r="AR439" s="2496">
        <f t="shared" si="38"/>
        <v>12167.019407541386</v>
      </c>
      <c r="AS439" s="2496">
        <f t="shared" si="38"/>
        <v>12345.806673706087</v>
      </c>
    </row>
    <row r="440" spans="1:45" s="2490" customFormat="1" x14ac:dyDescent="0.2">
      <c r="B440" s="2488"/>
      <c r="C440" s="2495" t="s">
        <v>1379</v>
      </c>
      <c r="D440" s="2493" t="s">
        <v>1523</v>
      </c>
      <c r="G440" s="2496">
        <f t="shared" si="38"/>
        <v>81.867659592328209</v>
      </c>
      <c r="H440" s="2496">
        <f t="shared" si="38"/>
        <v>84.793544258933977</v>
      </c>
      <c r="I440" s="2496">
        <f t="shared" si="38"/>
        <v>88.019427960303943</v>
      </c>
      <c r="J440" s="2496">
        <f t="shared" si="38"/>
        <v>91.356058609414944</v>
      </c>
      <c r="K440" s="2496">
        <f t="shared" si="38"/>
        <v>94.722726320647283</v>
      </c>
      <c r="L440" s="2496">
        <f t="shared" si="38"/>
        <v>98.088109332324592</v>
      </c>
      <c r="M440" s="2496">
        <f t="shared" si="38"/>
        <v>101.65663987457155</v>
      </c>
      <c r="N440" s="2496">
        <f t="shared" si="38"/>
        <v>105.35963197116763</v>
      </c>
      <c r="O440" s="2496">
        <f t="shared" si="38"/>
        <v>109.00147039143285</v>
      </c>
      <c r="P440" s="2496">
        <f t="shared" si="38"/>
        <v>112.66958598221312</v>
      </c>
      <c r="Q440" s="2496">
        <f t="shared" si="38"/>
        <v>116.36659630426284</v>
      </c>
      <c r="R440" s="2496">
        <f t="shared" si="38"/>
        <v>119.93151716263526</v>
      </c>
      <c r="S440" s="2496">
        <f t="shared" si="38"/>
        <v>123.40072460726191</v>
      </c>
      <c r="T440" s="2496">
        <f t="shared" si="38"/>
        <v>126.79778588076189</v>
      </c>
      <c r="U440" s="2496">
        <f t="shared" si="38"/>
        <v>130.13748662388872</v>
      </c>
      <c r="V440" s="2496">
        <f t="shared" si="38"/>
        <v>133.42808332929513</v>
      </c>
      <c r="W440" s="2496">
        <f t="shared" si="38"/>
        <v>136.6742731171</v>
      </c>
      <c r="X440" s="2496">
        <f t="shared" si="38"/>
        <v>139.89441906019286</v>
      </c>
      <c r="Y440" s="2496">
        <f t="shared" si="38"/>
        <v>143.1009083548723</v>
      </c>
      <c r="Z440" s="2496">
        <f t="shared" si="38"/>
        <v>146.30124919849763</v>
      </c>
      <c r="AA440" s="2496">
        <f t="shared" si="38"/>
        <v>149.49991206329079</v>
      </c>
      <c r="AB440" s="2496">
        <f t="shared" ref="AB440:AS440" si="39">AB87*AB152*AB190*$E$206*$E$203*$D$217</f>
        <v>152.69574047840155</v>
      </c>
      <c r="AC440" s="2496">
        <f t="shared" si="39"/>
        <v>155.89058481310107</v>
      </c>
      <c r="AD440" s="2496">
        <f t="shared" si="39"/>
        <v>159.0849651630318</v>
      </c>
      <c r="AE440" s="2496">
        <f t="shared" si="39"/>
        <v>162.2784721111646</v>
      </c>
      <c r="AF440" s="2496">
        <f t="shared" si="39"/>
        <v>165.47046675378965</v>
      </c>
      <c r="AG440" s="2496">
        <f t="shared" si="39"/>
        <v>168.6593078015207</v>
      </c>
      <c r="AH440" s="2496">
        <f t="shared" si="39"/>
        <v>171.8430622518311</v>
      </c>
      <c r="AI440" s="2496">
        <f t="shared" si="39"/>
        <v>175.01958571544213</v>
      </c>
      <c r="AJ440" s="2496">
        <f t="shared" si="39"/>
        <v>178.19113547887821</v>
      </c>
      <c r="AK440" s="2496">
        <f t="shared" si="39"/>
        <v>181.3540075138572</v>
      </c>
      <c r="AL440" s="2496">
        <f t="shared" si="39"/>
        <v>184.50528839961424</v>
      </c>
      <c r="AM440" s="2496">
        <f t="shared" si="39"/>
        <v>187.64118951621816</v>
      </c>
      <c r="AN440" s="2496">
        <f t="shared" si="39"/>
        <v>190.75871982162133</v>
      </c>
      <c r="AO440" s="2496">
        <f t="shared" si="39"/>
        <v>193.85545938399923</v>
      </c>
      <c r="AP440" s="2496">
        <f t="shared" si="39"/>
        <v>196.9278941348162</v>
      </c>
      <c r="AQ440" s="2496">
        <f t="shared" si="39"/>
        <v>199.97323459357318</v>
      </c>
      <c r="AR440" s="2496">
        <f t="shared" si="39"/>
        <v>202.98869587910303</v>
      </c>
      <c r="AS440" s="2496">
        <f t="shared" si="39"/>
        <v>205.97149657851412</v>
      </c>
    </row>
    <row r="441" spans="1:45" s="2490" customFormat="1" x14ac:dyDescent="0.2">
      <c r="B441" s="2488"/>
      <c r="C441" s="2495" t="s">
        <v>1380</v>
      </c>
      <c r="D441" s="2493" t="s">
        <v>1523</v>
      </c>
      <c r="G441" s="2496">
        <f t="shared" ref="G441:AS442" si="40">G88*G153*G191*$E$206*$E$203*$D$217</f>
        <v>14283.276910401642</v>
      </c>
      <c r="H441" s="2496">
        <f t="shared" si="40"/>
        <v>14793.749801762327</v>
      </c>
      <c r="I441" s="2496">
        <f t="shared" si="40"/>
        <v>15356.562888356739</v>
      </c>
      <c r="J441" s="2496">
        <f t="shared" si="40"/>
        <v>15938.697760005754</v>
      </c>
      <c r="K441" s="2496">
        <f t="shared" si="40"/>
        <v>16526.073134168102</v>
      </c>
      <c r="L441" s="2496">
        <f t="shared" si="40"/>
        <v>17113.22436952421</v>
      </c>
      <c r="M441" s="2496">
        <f t="shared" si="40"/>
        <v>17735.818323619795</v>
      </c>
      <c r="N441" s="2496">
        <f t="shared" si="40"/>
        <v>18381.871499881196</v>
      </c>
      <c r="O441" s="2496">
        <f t="shared" si="40"/>
        <v>19017.255323953064</v>
      </c>
      <c r="P441" s="2496">
        <f t="shared" si="40"/>
        <v>19657.223670225245</v>
      </c>
      <c r="Q441" s="2496">
        <f t="shared" si="40"/>
        <v>20302.233218970145</v>
      </c>
      <c r="R441" s="2496">
        <f t="shared" si="40"/>
        <v>20924.197399177046</v>
      </c>
      <c r="S441" s="2496">
        <f t="shared" si="40"/>
        <v>21529.462663116185</v>
      </c>
      <c r="T441" s="2496">
        <f t="shared" si="40"/>
        <v>22122.14073761617</v>
      </c>
      <c r="U441" s="2496">
        <f t="shared" si="40"/>
        <v>22704.811242055821</v>
      </c>
      <c r="V441" s="2496">
        <f t="shared" si="40"/>
        <v>23278.914669194448</v>
      </c>
      <c r="W441" s="2496">
        <f t="shared" si="40"/>
        <v>23845.270515615644</v>
      </c>
      <c r="X441" s="2496">
        <f t="shared" si="40"/>
        <v>24407.082547694448</v>
      </c>
      <c r="Y441" s="2496">
        <f t="shared" si="40"/>
        <v>24966.511933293212</v>
      </c>
      <c r="Z441" s="2496">
        <f t="shared" si="40"/>
        <v>25524.868611678732</v>
      </c>
      <c r="AA441" s="2496">
        <f t="shared" si="40"/>
        <v>26082.932536656757</v>
      </c>
      <c r="AB441" s="2496">
        <f t="shared" si="40"/>
        <v>26640.501941211158</v>
      </c>
      <c r="AC441" s="2496">
        <f t="shared" si="40"/>
        <v>27197.899655343652</v>
      </c>
      <c r="AD441" s="2496">
        <f t="shared" si="40"/>
        <v>27755.216419037744</v>
      </c>
      <c r="AE441" s="2496">
        <f t="shared" si="40"/>
        <v>28312.380802172822</v>
      </c>
      <c r="AF441" s="2496">
        <f t="shared" si="40"/>
        <v>28869.281336573898</v>
      </c>
      <c r="AG441" s="2496">
        <f t="shared" si="40"/>
        <v>29425.631669963252</v>
      </c>
      <c r="AH441" s="2496">
        <f t="shared" si="40"/>
        <v>29981.094555490374</v>
      </c>
      <c r="AI441" s="2496">
        <f t="shared" si="40"/>
        <v>30535.295866106513</v>
      </c>
      <c r="AJ441" s="2496">
        <f t="shared" si="40"/>
        <v>31088.62942580341</v>
      </c>
      <c r="AK441" s="2496">
        <f t="shared" si="40"/>
        <v>31640.449000623699</v>
      </c>
      <c r="AL441" s="2496">
        <f t="shared" si="40"/>
        <v>32190.246292226515</v>
      </c>
      <c r="AM441" s="2496">
        <f t="shared" si="40"/>
        <v>32737.360308128944</v>
      </c>
      <c r="AN441" s="2496">
        <f t="shared" si="40"/>
        <v>33281.26920756956</v>
      </c>
      <c r="AO441" s="2496">
        <f t="shared" si="40"/>
        <v>33821.55079017613</v>
      </c>
      <c r="AP441" s="2496">
        <f t="shared" si="40"/>
        <v>34357.591963865343</v>
      </c>
      <c r="AQ441" s="2496">
        <f t="shared" si="40"/>
        <v>34888.90605389158</v>
      </c>
      <c r="AR441" s="2496">
        <f t="shared" si="40"/>
        <v>35415.007187944924</v>
      </c>
      <c r="AS441" s="2496">
        <f t="shared" si="40"/>
        <v>35935.410098818174</v>
      </c>
    </row>
    <row r="442" spans="1:45" s="2490" customFormat="1" x14ac:dyDescent="0.2">
      <c r="B442" s="2488"/>
      <c r="C442" s="2489" t="s">
        <v>1381</v>
      </c>
      <c r="D442" s="2493" t="s">
        <v>1523</v>
      </c>
      <c r="G442" s="2496">
        <f t="shared" si="40"/>
        <v>0</v>
      </c>
      <c r="H442" s="2496">
        <f t="shared" si="40"/>
        <v>0</v>
      </c>
      <c r="I442" s="2496">
        <f t="shared" si="40"/>
        <v>0</v>
      </c>
      <c r="J442" s="2496">
        <f t="shared" si="40"/>
        <v>0</v>
      </c>
      <c r="K442" s="2496">
        <f t="shared" si="40"/>
        <v>0</v>
      </c>
      <c r="L442" s="2496">
        <f t="shared" si="40"/>
        <v>0</v>
      </c>
      <c r="M442" s="2496">
        <f t="shared" si="40"/>
        <v>0</v>
      </c>
      <c r="N442" s="2496">
        <f t="shared" si="40"/>
        <v>0</v>
      </c>
      <c r="O442" s="2496">
        <f t="shared" si="40"/>
        <v>0</v>
      </c>
      <c r="P442" s="2496">
        <f t="shared" si="40"/>
        <v>0</v>
      </c>
      <c r="Q442" s="2496">
        <f t="shared" si="40"/>
        <v>0</v>
      </c>
      <c r="R442" s="2496">
        <f t="shared" si="40"/>
        <v>0</v>
      </c>
      <c r="S442" s="2496">
        <f t="shared" si="40"/>
        <v>0</v>
      </c>
      <c r="T442" s="2496">
        <f t="shared" si="40"/>
        <v>0</v>
      </c>
      <c r="U442" s="2496">
        <f t="shared" si="40"/>
        <v>0</v>
      </c>
      <c r="V442" s="2496">
        <f t="shared" si="40"/>
        <v>0</v>
      </c>
      <c r="W442" s="2496">
        <f t="shared" si="40"/>
        <v>0</v>
      </c>
      <c r="X442" s="2496">
        <f t="shared" si="40"/>
        <v>0</v>
      </c>
      <c r="Y442" s="2496">
        <f t="shared" si="40"/>
        <v>0</v>
      </c>
      <c r="Z442" s="2496">
        <f t="shared" si="40"/>
        <v>0</v>
      </c>
      <c r="AA442" s="2496">
        <f t="shared" si="40"/>
        <v>0</v>
      </c>
      <c r="AB442" s="2496">
        <f t="shared" si="40"/>
        <v>0</v>
      </c>
      <c r="AC442" s="2496">
        <f t="shared" si="40"/>
        <v>0</v>
      </c>
      <c r="AD442" s="2496">
        <f t="shared" si="40"/>
        <v>0</v>
      </c>
      <c r="AE442" s="2496">
        <f t="shared" si="40"/>
        <v>0</v>
      </c>
      <c r="AF442" s="2496">
        <f t="shared" si="40"/>
        <v>0</v>
      </c>
      <c r="AG442" s="2496">
        <f t="shared" si="40"/>
        <v>0</v>
      </c>
      <c r="AH442" s="2496">
        <f t="shared" si="40"/>
        <v>0</v>
      </c>
      <c r="AI442" s="2496">
        <f t="shared" si="40"/>
        <v>0</v>
      </c>
      <c r="AJ442" s="2496">
        <f t="shared" si="40"/>
        <v>0</v>
      </c>
      <c r="AK442" s="2496">
        <f t="shared" si="40"/>
        <v>0</v>
      </c>
      <c r="AL442" s="2496">
        <f t="shared" si="40"/>
        <v>0</v>
      </c>
      <c r="AM442" s="2496">
        <f t="shared" si="40"/>
        <v>0</v>
      </c>
      <c r="AN442" s="2496">
        <f t="shared" si="40"/>
        <v>0</v>
      </c>
      <c r="AO442" s="2496">
        <f t="shared" si="40"/>
        <v>0</v>
      </c>
      <c r="AP442" s="2496">
        <f t="shared" si="40"/>
        <v>0</v>
      </c>
      <c r="AQ442" s="2496">
        <f t="shared" si="40"/>
        <v>0</v>
      </c>
      <c r="AR442" s="2496">
        <f t="shared" si="40"/>
        <v>0</v>
      </c>
      <c r="AS442" s="2496">
        <f t="shared" si="40"/>
        <v>0</v>
      </c>
    </row>
    <row r="443" spans="1:45" s="2490" customFormat="1" x14ac:dyDescent="0.2">
      <c r="B443" s="2488"/>
      <c r="C443" s="2514" t="s">
        <v>118</v>
      </c>
      <c r="D443" s="2498" t="s">
        <v>1523</v>
      </c>
      <c r="E443" s="2507"/>
      <c r="F443" s="2507"/>
      <c r="G443" s="2500">
        <f>SUM(G427:G442)</f>
        <v>1000450.6912891185</v>
      </c>
      <c r="H443" s="2500">
        <f t="shared" ref="H443:AS443" si="41">SUM(H427:H442)</f>
        <v>998143.2261290598</v>
      </c>
      <c r="I443" s="2500">
        <f t="shared" si="41"/>
        <v>1001340.7176996084</v>
      </c>
      <c r="J443" s="2500">
        <f t="shared" si="41"/>
        <v>1001859.055507825</v>
      </c>
      <c r="K443" s="2500">
        <f t="shared" si="41"/>
        <v>1000595.2402912416</v>
      </c>
      <c r="L443" s="2500">
        <f t="shared" si="41"/>
        <v>997410.32856709999</v>
      </c>
      <c r="M443" s="2500">
        <f t="shared" si="41"/>
        <v>991757.74522922176</v>
      </c>
      <c r="N443" s="2500">
        <f t="shared" si="41"/>
        <v>986400.32823787106</v>
      </c>
      <c r="O443" s="2500">
        <f t="shared" si="41"/>
        <v>981288.7408492259</v>
      </c>
      <c r="P443" s="2500">
        <f t="shared" si="41"/>
        <v>976230.57405393757</v>
      </c>
      <c r="Q443" s="2500">
        <f t="shared" si="41"/>
        <v>970940.86306129198</v>
      </c>
      <c r="R443" s="2500">
        <f t="shared" si="41"/>
        <v>966881.50788571243</v>
      </c>
      <c r="S443" s="2500">
        <f t="shared" si="41"/>
        <v>963797.8319885052</v>
      </c>
      <c r="T443" s="2500">
        <f t="shared" si="41"/>
        <v>961488.83202645311</v>
      </c>
      <c r="U443" s="2500">
        <f t="shared" si="41"/>
        <v>959795.29852682049</v>
      </c>
      <c r="V443" s="2500">
        <f t="shared" si="41"/>
        <v>958590.63517284533</v>
      </c>
      <c r="W443" s="2500">
        <f t="shared" si="41"/>
        <v>957774.1350114604</v>
      </c>
      <c r="X443" s="2500">
        <f t="shared" si="41"/>
        <v>957269.31496195227</v>
      </c>
      <c r="Y443" s="2500">
        <f t="shared" si="41"/>
        <v>957014.85320382647</v>
      </c>
      <c r="Z443" s="2500">
        <f t="shared" si="41"/>
        <v>956961.38341708609</v>
      </c>
      <c r="AA443" s="2500">
        <f t="shared" si="41"/>
        <v>957069.21220792446</v>
      </c>
      <c r="AB443" s="2500">
        <f t="shared" si="41"/>
        <v>957305.57174163405</v>
      </c>
      <c r="AC443" s="2500">
        <f t="shared" si="41"/>
        <v>957644.96410314657</v>
      </c>
      <c r="AD443" s="2500">
        <f t="shared" si="41"/>
        <v>958066.80390028469</v>
      </c>
      <c r="AE443" s="2500">
        <f t="shared" si="41"/>
        <v>958554.45239370922</v>
      </c>
      <c r="AF443" s="2500">
        <f t="shared" si="41"/>
        <v>959094.53976105154</v>
      </c>
      <c r="AG443" s="2500">
        <f t="shared" si="41"/>
        <v>959676.11269392469</v>
      </c>
      <c r="AH443" s="2500">
        <f t="shared" si="41"/>
        <v>960290.26757591474</v>
      </c>
      <c r="AI443" s="2500">
        <f t="shared" si="41"/>
        <v>960929.74350649188</v>
      </c>
      <c r="AJ443" s="2500">
        <f t="shared" si="41"/>
        <v>961589.66842204414</v>
      </c>
      <c r="AK443" s="2500">
        <f t="shared" si="41"/>
        <v>962264.84825741721</v>
      </c>
      <c r="AL443" s="2500">
        <f t="shared" si="41"/>
        <v>962951.13968189724</v>
      </c>
      <c r="AM443" s="2500">
        <f t="shared" si="41"/>
        <v>963644.88478828012</v>
      </c>
      <c r="AN443" s="2500">
        <f t="shared" si="41"/>
        <v>964343.1664647283</v>
      </c>
      <c r="AO443" s="2500">
        <f t="shared" si="41"/>
        <v>965043.64442442788</v>
      </c>
      <c r="AP443" s="2500">
        <f t="shared" si="41"/>
        <v>965744.07470796583</v>
      </c>
      <c r="AQ443" s="2500">
        <f t="shared" si="41"/>
        <v>966442.66705658217</v>
      </c>
      <c r="AR443" s="2500">
        <f t="shared" si="41"/>
        <v>967137.85881748097</v>
      </c>
      <c r="AS443" s="2500">
        <f t="shared" si="41"/>
        <v>967828.26939791464</v>
      </c>
    </row>
    <row r="444" spans="1:45" s="2490" customFormat="1" x14ac:dyDescent="0.2">
      <c r="A444" s="2488"/>
      <c r="B444" s="2488"/>
      <c r="C444" s="2501"/>
      <c r="D444" s="2516"/>
      <c r="E444" s="2517"/>
      <c r="F444" s="2517"/>
      <c r="G444" s="2517"/>
      <c r="H444" s="2517"/>
      <c r="I444" s="2517"/>
      <c r="J444" s="2517"/>
      <c r="K444" s="2517"/>
      <c r="L444" s="2517"/>
      <c r="M444" s="2517"/>
      <c r="N444" s="2517"/>
      <c r="O444" s="2517"/>
      <c r="P444" s="2517"/>
      <c r="Q444" s="2517"/>
      <c r="R444" s="2517"/>
      <c r="S444" s="2517"/>
      <c r="T444" s="2517"/>
      <c r="U444" s="2517"/>
      <c r="V444" s="2517"/>
      <c r="W444" s="2517"/>
      <c r="X444" s="2517"/>
      <c r="Y444" s="2517"/>
      <c r="Z444" s="2517"/>
      <c r="AA444" s="2517"/>
      <c r="AB444" s="2517"/>
      <c r="AC444" s="2517"/>
      <c r="AD444" s="2517"/>
      <c r="AE444" s="2517"/>
      <c r="AF444" s="2517"/>
      <c r="AG444" s="2517"/>
      <c r="AH444" s="2517"/>
      <c r="AI444" s="2517"/>
      <c r="AJ444" s="2517"/>
      <c r="AK444" s="2517"/>
      <c r="AL444" s="2517"/>
      <c r="AM444" s="2517"/>
      <c r="AN444" s="2517"/>
      <c r="AO444" s="2517"/>
      <c r="AP444" s="2517"/>
      <c r="AQ444" s="2517"/>
    </row>
    <row r="445" spans="1:45" s="2490" customFormat="1" x14ac:dyDescent="0.2">
      <c r="A445" s="2488"/>
      <c r="B445" s="2488" t="s">
        <v>1528</v>
      </c>
      <c r="C445" s="2489" t="s">
        <v>1529</v>
      </c>
      <c r="D445" s="2516"/>
      <c r="E445" s="2517"/>
      <c r="F445" s="2517"/>
      <c r="G445" s="2517"/>
      <c r="H445" s="2517"/>
      <c r="I445" s="2517"/>
      <c r="J445" s="2517"/>
      <c r="K445" s="2517"/>
      <c r="L445" s="2517"/>
      <c r="M445" s="2517"/>
      <c r="N445" s="2517"/>
      <c r="O445" s="2517"/>
      <c r="P445" s="2517"/>
      <c r="Q445" s="2517"/>
      <c r="R445" s="2517"/>
      <c r="S445" s="2517"/>
      <c r="T445" s="2517"/>
      <c r="U445" s="2517"/>
      <c r="V445" s="2517"/>
      <c r="W445" s="2517"/>
      <c r="X445" s="2517"/>
      <c r="Y445" s="2517"/>
      <c r="Z445" s="2517"/>
      <c r="AA445" s="2517"/>
      <c r="AB445" s="2517"/>
      <c r="AC445" s="2517"/>
      <c r="AD445" s="2517"/>
      <c r="AE445" s="2517"/>
      <c r="AF445" s="2517"/>
      <c r="AG445" s="2517"/>
      <c r="AH445" s="2517"/>
      <c r="AI445" s="2517"/>
      <c r="AJ445" s="2517"/>
      <c r="AK445" s="2517"/>
      <c r="AL445" s="2517"/>
      <c r="AM445" s="2517"/>
      <c r="AN445" s="2517"/>
      <c r="AO445" s="2517"/>
      <c r="AP445" s="2517"/>
      <c r="AQ445" s="2517"/>
    </row>
    <row r="446" spans="1:45" s="2490" customFormat="1" x14ac:dyDescent="0.2">
      <c r="B446" s="3606" t="s">
        <v>1530</v>
      </c>
      <c r="C446" s="2513"/>
      <c r="D446" s="2513" t="s">
        <v>1029</v>
      </c>
      <c r="E446" s="2492" t="s">
        <v>8</v>
      </c>
      <c r="F446" s="2492"/>
      <c r="G446" s="2492">
        <v>2012</v>
      </c>
      <c r="H446" s="2492">
        <v>2013</v>
      </c>
      <c r="I446" s="2492">
        <v>2014</v>
      </c>
      <c r="J446" s="2492">
        <v>2015</v>
      </c>
      <c r="K446" s="2492">
        <v>2016</v>
      </c>
      <c r="L446" s="2492">
        <v>2017</v>
      </c>
      <c r="M446" s="2492">
        <v>2018</v>
      </c>
      <c r="N446" s="2492">
        <v>2019</v>
      </c>
      <c r="O446" s="2492">
        <v>2020</v>
      </c>
      <c r="P446" s="2492">
        <v>2021</v>
      </c>
      <c r="Q446" s="2492">
        <v>2022</v>
      </c>
      <c r="R446" s="2492">
        <v>2023</v>
      </c>
      <c r="S446" s="2492">
        <v>2024</v>
      </c>
      <c r="T446" s="2492">
        <v>2025</v>
      </c>
      <c r="U446" s="2492">
        <v>2026</v>
      </c>
      <c r="V446" s="2492">
        <v>2027</v>
      </c>
      <c r="W446" s="2492">
        <v>2028</v>
      </c>
      <c r="X446" s="2492">
        <v>2029</v>
      </c>
      <c r="Y446" s="2492">
        <v>2030</v>
      </c>
      <c r="Z446" s="2492">
        <v>2031</v>
      </c>
      <c r="AA446" s="2492">
        <v>2032</v>
      </c>
      <c r="AB446" s="2492">
        <v>2033</v>
      </c>
      <c r="AC446" s="2492">
        <v>2034</v>
      </c>
      <c r="AD446" s="2492">
        <v>2035</v>
      </c>
      <c r="AE446" s="2492">
        <v>2036</v>
      </c>
      <c r="AF446" s="2492">
        <v>2037</v>
      </c>
      <c r="AG446" s="2492">
        <v>2038</v>
      </c>
      <c r="AH446" s="2492">
        <v>2039</v>
      </c>
      <c r="AI446" s="2492">
        <v>2040</v>
      </c>
      <c r="AJ446" s="2492">
        <v>2041</v>
      </c>
      <c r="AK446" s="2492">
        <v>2042</v>
      </c>
      <c r="AL446" s="2492">
        <v>2043</v>
      </c>
      <c r="AM446" s="2492">
        <v>2044</v>
      </c>
      <c r="AN446" s="2492">
        <v>2045</v>
      </c>
      <c r="AO446" s="2492">
        <v>2046</v>
      </c>
      <c r="AP446" s="2492">
        <v>2047</v>
      </c>
      <c r="AQ446" s="2492">
        <v>2048</v>
      </c>
      <c r="AR446" s="2492">
        <v>2049</v>
      </c>
      <c r="AS446" s="2492">
        <v>2050</v>
      </c>
    </row>
    <row r="447" spans="1:45" s="2490" customFormat="1" x14ac:dyDescent="0.2">
      <c r="B447" s="3606"/>
      <c r="C447" s="2489" t="s">
        <v>1364</v>
      </c>
      <c r="D447" s="2502"/>
      <c r="G447" s="2517"/>
      <c r="H447" s="2517"/>
      <c r="I447" s="2517"/>
      <c r="J447" s="2517"/>
      <c r="K447" s="2517"/>
      <c r="L447" s="2517"/>
      <c r="M447" s="2517"/>
      <c r="N447" s="2517"/>
      <c r="O447" s="2517"/>
      <c r="P447" s="2517"/>
      <c r="Q447" s="2517"/>
      <c r="R447" s="2517"/>
      <c r="S447" s="2517"/>
      <c r="T447" s="2517"/>
      <c r="U447" s="2517"/>
      <c r="V447" s="2517"/>
      <c r="W447" s="2517"/>
      <c r="X447" s="2517"/>
      <c r="Y447" s="2517"/>
      <c r="Z447" s="2517"/>
      <c r="AA447" s="2517"/>
      <c r="AB447" s="2517"/>
      <c r="AC447" s="2517"/>
      <c r="AD447" s="2517"/>
      <c r="AE447" s="2517"/>
      <c r="AF447" s="2517"/>
      <c r="AG447" s="2517"/>
      <c r="AH447" s="2517"/>
      <c r="AI447" s="2517"/>
      <c r="AJ447" s="2517"/>
      <c r="AK447" s="2517"/>
      <c r="AL447" s="2517"/>
      <c r="AM447" s="2517"/>
      <c r="AN447" s="2517"/>
      <c r="AO447" s="2517"/>
      <c r="AP447" s="2517"/>
      <c r="AQ447" s="2517"/>
      <c r="AR447" s="2517"/>
      <c r="AS447" s="2517"/>
    </row>
    <row r="448" spans="1:45" s="2490" customFormat="1" x14ac:dyDescent="0.2">
      <c r="B448" s="3606"/>
      <c r="C448" s="2495" t="s">
        <v>1366</v>
      </c>
      <c r="D448" s="2493" t="s">
        <v>1523</v>
      </c>
      <c r="E448" s="2518"/>
      <c r="F448" s="2518"/>
      <c r="G448" s="2496">
        <f t="shared" ref="G448:AS454" si="42">G74*G139*G177*$E$207*$E$204*$D$217</f>
        <v>378662.63780920143</v>
      </c>
      <c r="H448" s="2496">
        <f t="shared" si="42"/>
        <v>377420.23985799419</v>
      </c>
      <c r="I448" s="2496">
        <f t="shared" si="42"/>
        <v>378431.28877787729</v>
      </c>
      <c r="J448" s="2496">
        <f t="shared" si="42"/>
        <v>378320.56664217071</v>
      </c>
      <c r="K448" s="2496">
        <f t="shared" si="42"/>
        <v>377467.90987824911</v>
      </c>
      <c r="L448" s="2496">
        <f t="shared" si="42"/>
        <v>375818.76051903254</v>
      </c>
      <c r="M448" s="2496">
        <f t="shared" si="42"/>
        <v>373126.51529583969</v>
      </c>
      <c r="N448" s="2496">
        <f t="shared" si="42"/>
        <v>370543.54063424678</v>
      </c>
      <c r="O448" s="2496">
        <f t="shared" si="42"/>
        <v>368068.47331362549</v>
      </c>
      <c r="P448" s="2496">
        <f t="shared" si="42"/>
        <v>365612.99275351915</v>
      </c>
      <c r="Q448" s="2496">
        <f t="shared" si="42"/>
        <v>363058.67754627537</v>
      </c>
      <c r="R448" s="2496">
        <f t="shared" si="42"/>
        <v>361027.44604829804</v>
      </c>
      <c r="S448" s="2496">
        <f t="shared" si="42"/>
        <v>359410.14106556086</v>
      </c>
      <c r="T448" s="2496">
        <f t="shared" si="42"/>
        <v>358121.11232574296</v>
      </c>
      <c r="U448" s="2496">
        <f t="shared" si="42"/>
        <v>357092.89737811015</v>
      </c>
      <c r="V448" s="2496">
        <f t="shared" si="42"/>
        <v>356272.19476595294</v>
      </c>
      <c r="W448" s="2496">
        <f t="shared" si="42"/>
        <v>355616.78598496394</v>
      </c>
      <c r="X448" s="2496">
        <f t="shared" si="42"/>
        <v>355093.16339002876</v>
      </c>
      <c r="Y448" s="2496">
        <f t="shared" si="42"/>
        <v>354674.6895723553</v>
      </c>
      <c r="Z448" s="2496">
        <f t="shared" si="42"/>
        <v>354340.16095947981</v>
      </c>
      <c r="AA448" s="2496">
        <f t="shared" si="42"/>
        <v>354072.68156614329</v>
      </c>
      <c r="AB448" s="2496">
        <f t="shared" si="42"/>
        <v>353858.77649697749</v>
      </c>
      <c r="AC448" s="2496">
        <f t="shared" si="42"/>
        <v>353687.69194694015</v>
      </c>
      <c r="AD448" s="2496">
        <f t="shared" si="42"/>
        <v>353550.84103489516</v>
      </c>
      <c r="AE448" s="2496">
        <f t="shared" si="42"/>
        <v>353441.36416716588</v>
      </c>
      <c r="AF448" s="2496">
        <f t="shared" si="42"/>
        <v>353353.77966818633</v>
      </c>
      <c r="AG448" s="2496">
        <f t="shared" si="42"/>
        <v>353283.70576319634</v>
      </c>
      <c r="AH448" s="2496">
        <f t="shared" si="42"/>
        <v>353227.63909577037</v>
      </c>
      <c r="AI448" s="2496">
        <f t="shared" si="42"/>
        <v>353182.77812655916</v>
      </c>
      <c r="AJ448" s="2496">
        <f t="shared" si="42"/>
        <v>353146.88221759087</v>
      </c>
      <c r="AK448" s="2496">
        <f t="shared" si="42"/>
        <v>353118.15912647289</v>
      </c>
      <c r="AL448" s="2496">
        <f t="shared" si="42"/>
        <v>353095.17514126614</v>
      </c>
      <c r="AM448" s="2496">
        <f t="shared" si="42"/>
        <v>353076.78327322222</v>
      </c>
      <c r="AN448" s="2496">
        <f t="shared" si="42"/>
        <v>353062.06586168933</v>
      </c>
      <c r="AO448" s="2496">
        <f t="shared" si="42"/>
        <v>353050.28868765169</v>
      </c>
      <c r="AP448" s="2496">
        <f t="shared" si="42"/>
        <v>353040.86428122269</v>
      </c>
      <c r="AQ448" s="2496">
        <f t="shared" si="42"/>
        <v>353033.32257648301</v>
      </c>
      <c r="AR448" s="2496">
        <f t="shared" si="42"/>
        <v>353027.28743954445</v>
      </c>
      <c r="AS448" s="2496">
        <f t="shared" si="42"/>
        <v>353022.45789250772</v>
      </c>
    </row>
    <row r="449" spans="2:45" s="2490" customFormat="1" x14ac:dyDescent="0.2">
      <c r="B449" s="3606"/>
      <c r="C449" s="2495" t="s">
        <v>1367</v>
      </c>
      <c r="D449" s="2493" t="s">
        <v>1523</v>
      </c>
      <c r="E449" s="2518"/>
      <c r="F449" s="2518"/>
      <c r="G449" s="2496">
        <f t="shared" si="42"/>
        <v>92157.389271782202</v>
      </c>
      <c r="H449" s="2496">
        <f t="shared" si="42"/>
        <v>91855.01945710415</v>
      </c>
      <c r="I449" s="2496">
        <f t="shared" si="42"/>
        <v>92101.084475352487</v>
      </c>
      <c r="J449" s="2496">
        <f t="shared" si="42"/>
        <v>92074.137367445699</v>
      </c>
      <c r="K449" s="2496">
        <f t="shared" si="42"/>
        <v>91866.621194837338</v>
      </c>
      <c r="L449" s="2496">
        <f t="shared" si="42"/>
        <v>91465.257859009071</v>
      </c>
      <c r="M449" s="2496">
        <f t="shared" si="42"/>
        <v>90810.030048617366</v>
      </c>
      <c r="N449" s="2496">
        <f t="shared" si="42"/>
        <v>90181.396067866663</v>
      </c>
      <c r="O449" s="2496">
        <f t="shared" si="42"/>
        <v>89579.024141605201</v>
      </c>
      <c r="P449" s="2496">
        <f t="shared" si="42"/>
        <v>88981.419162312159</v>
      </c>
      <c r="Q449" s="2496">
        <f t="shared" si="42"/>
        <v>88359.760204251928</v>
      </c>
      <c r="R449" s="2496">
        <f t="shared" si="42"/>
        <v>87865.407254768405</v>
      </c>
      <c r="S449" s="2496">
        <f t="shared" si="42"/>
        <v>87471.794075164464</v>
      </c>
      <c r="T449" s="2496">
        <f t="shared" si="42"/>
        <v>87158.075446769493</v>
      </c>
      <c r="U449" s="2496">
        <f t="shared" si="42"/>
        <v>86907.832629753568</v>
      </c>
      <c r="V449" s="2496">
        <f t="shared" si="42"/>
        <v>86708.093330036732</v>
      </c>
      <c r="W449" s="2496">
        <f t="shared" si="42"/>
        <v>86548.582577903333</v>
      </c>
      <c r="X449" s="2496">
        <f t="shared" si="42"/>
        <v>86421.145417500797</v>
      </c>
      <c r="Y449" s="2496">
        <f t="shared" si="42"/>
        <v>86319.298943450718</v>
      </c>
      <c r="Z449" s="2496">
        <f t="shared" si="42"/>
        <v>86237.882715597632</v>
      </c>
      <c r="AA449" s="2496">
        <f t="shared" si="42"/>
        <v>86172.784657028882</v>
      </c>
      <c r="AB449" s="2496">
        <f t="shared" si="42"/>
        <v>86120.725301924947</v>
      </c>
      <c r="AC449" s="2496">
        <f t="shared" si="42"/>
        <v>86079.087432481567</v>
      </c>
      <c r="AD449" s="2496">
        <f t="shared" si="42"/>
        <v>86045.781208116518</v>
      </c>
      <c r="AE449" s="2496">
        <f t="shared" si="42"/>
        <v>86019.137168519825</v>
      </c>
      <c r="AF449" s="2496">
        <f t="shared" si="42"/>
        <v>85997.821205547269</v>
      </c>
      <c r="AG449" s="2496">
        <f t="shared" si="42"/>
        <v>85980.766900487448</v>
      </c>
      <c r="AH449" s="2496">
        <f t="shared" si="42"/>
        <v>85967.121620548947</v>
      </c>
      <c r="AI449" s="2496">
        <f t="shared" si="42"/>
        <v>85956.203538356785</v>
      </c>
      <c r="AJ449" s="2496">
        <f t="shared" si="42"/>
        <v>85947.467336456335</v>
      </c>
      <c r="AK449" s="2496">
        <f t="shared" si="42"/>
        <v>85940.476826105049</v>
      </c>
      <c r="AL449" s="2496">
        <f t="shared" si="42"/>
        <v>85934.883076259634</v>
      </c>
      <c r="AM449" s="2496">
        <f t="shared" si="42"/>
        <v>85930.406937413296</v>
      </c>
      <c r="AN449" s="2496">
        <f t="shared" si="42"/>
        <v>85926.825073008717</v>
      </c>
      <c r="AO449" s="2496">
        <f t="shared" si="42"/>
        <v>85923.958791775949</v>
      </c>
      <c r="AP449" s="2496">
        <f t="shared" si="42"/>
        <v>85921.665117657583</v>
      </c>
      <c r="AQ449" s="2496">
        <f t="shared" si="42"/>
        <v>85919.829647901453</v>
      </c>
      <c r="AR449" s="2496">
        <f t="shared" si="42"/>
        <v>85918.360840555237</v>
      </c>
      <c r="AS449" s="2496">
        <f t="shared" si="42"/>
        <v>85917.185444828719</v>
      </c>
    </row>
    <row r="450" spans="2:45" s="2490" customFormat="1" x14ac:dyDescent="0.2">
      <c r="B450" s="3606"/>
      <c r="C450" s="2495" t="s">
        <v>1368</v>
      </c>
      <c r="D450" s="2493" t="s">
        <v>1523</v>
      </c>
      <c r="E450" s="2518"/>
      <c r="F450" s="2518"/>
      <c r="G450" s="2496">
        <f t="shared" si="42"/>
        <v>71370.196801083686</v>
      </c>
      <c r="H450" s="2496">
        <f t="shared" si="42"/>
        <v>71136.030085307502</v>
      </c>
      <c r="I450" s="2496">
        <f t="shared" si="42"/>
        <v>71326.592219467522</v>
      </c>
      <c r="J450" s="2496">
        <f t="shared" si="42"/>
        <v>71305.723351439417</v>
      </c>
      <c r="K450" s="2496">
        <f t="shared" si="42"/>
        <v>71145.014913456369</v>
      </c>
      <c r="L450" s="2496">
        <f t="shared" si="42"/>
        <v>70834.183839647128</v>
      </c>
      <c r="M450" s="2496">
        <f t="shared" si="42"/>
        <v>70326.750435264446</v>
      </c>
      <c r="N450" s="2496">
        <f t="shared" si="42"/>
        <v>69839.912306748112</v>
      </c>
      <c r="O450" s="2496">
        <f t="shared" si="42"/>
        <v>69373.412514767857</v>
      </c>
      <c r="P450" s="2496">
        <f t="shared" si="42"/>
        <v>68910.604428314065</v>
      </c>
      <c r="Q450" s="2496">
        <f t="shared" si="42"/>
        <v>68429.168023371341</v>
      </c>
      <c r="R450" s="2496">
        <f t="shared" si="42"/>
        <v>68046.322246460448</v>
      </c>
      <c r="S450" s="2496">
        <f t="shared" si="42"/>
        <v>67741.493189194211</v>
      </c>
      <c r="T450" s="2496">
        <f t="shared" si="42"/>
        <v>67498.537519273013</v>
      </c>
      <c r="U450" s="2496">
        <f t="shared" si="42"/>
        <v>67304.739938421262</v>
      </c>
      <c r="V450" s="2496">
        <f t="shared" si="42"/>
        <v>67150.054207387162</v>
      </c>
      <c r="W450" s="2496">
        <f t="shared" si="42"/>
        <v>67026.522997772743</v>
      </c>
      <c r="X450" s="2496">
        <f t="shared" si="42"/>
        <v>66927.83080076531</v>
      </c>
      <c r="Y450" s="2496">
        <f t="shared" si="42"/>
        <v>66848.957007205317</v>
      </c>
      <c r="Z450" s="2496">
        <f t="shared" si="42"/>
        <v>66785.905175435866</v>
      </c>
      <c r="AA450" s="2496">
        <f t="shared" si="42"/>
        <v>66735.490756276078</v>
      </c>
      <c r="AB450" s="2496">
        <f t="shared" si="42"/>
        <v>66695.174006328336</v>
      </c>
      <c r="AC450" s="2496">
        <f t="shared" si="42"/>
        <v>66662.928052313859</v>
      </c>
      <c r="AD450" s="2496">
        <f t="shared" si="42"/>
        <v>66637.134441986811</v>
      </c>
      <c r="AE450" s="2496">
        <f t="shared" si="42"/>
        <v>66616.500281615998</v>
      </c>
      <c r="AF450" s="2496">
        <f t="shared" si="42"/>
        <v>66599.992386976432</v>
      </c>
      <c r="AG450" s="2496">
        <f t="shared" si="42"/>
        <v>66586.78488274866</v>
      </c>
      <c r="AH450" s="2496">
        <f t="shared" si="42"/>
        <v>66576.217457582752</v>
      </c>
      <c r="AI450" s="2496">
        <f t="shared" si="42"/>
        <v>66567.762078357031</v>
      </c>
      <c r="AJ450" s="2496">
        <f t="shared" si="42"/>
        <v>66560.996430438216</v>
      </c>
      <c r="AK450" s="2496">
        <f t="shared" si="42"/>
        <v>66555.582712629432</v>
      </c>
      <c r="AL450" s="2496">
        <f t="shared" si="42"/>
        <v>66551.250699423777</v>
      </c>
      <c r="AM450" s="2496">
        <f t="shared" si="42"/>
        <v>66547.784206797456</v>
      </c>
      <c r="AN450" s="2496">
        <f t="shared" si="42"/>
        <v>66545.010274403234</v>
      </c>
      <c r="AO450" s="2496">
        <f t="shared" si="42"/>
        <v>66542.790516906971</v>
      </c>
      <c r="AP450" s="2496">
        <f t="shared" si="42"/>
        <v>66541.014208197303</v>
      </c>
      <c r="AQ450" s="2496">
        <f t="shared" si="42"/>
        <v>66539.592750419979</v>
      </c>
      <c r="AR450" s="2496">
        <f t="shared" si="42"/>
        <v>66538.455249996085</v>
      </c>
      <c r="AS450" s="2496">
        <f t="shared" si="42"/>
        <v>66537.544978720151</v>
      </c>
    </row>
    <row r="451" spans="2:45" s="2490" customFormat="1" x14ac:dyDescent="0.2">
      <c r="B451" s="3606"/>
      <c r="C451" s="2495" t="s">
        <v>1369</v>
      </c>
      <c r="D451" s="2493" t="s">
        <v>1523</v>
      </c>
      <c r="E451" s="2518"/>
      <c r="F451" s="2518"/>
      <c r="G451" s="2496">
        <f t="shared" si="42"/>
        <v>49306.718484935802</v>
      </c>
      <c r="H451" s="2496">
        <f t="shared" si="42"/>
        <v>49144.942381592584</v>
      </c>
      <c r="I451" s="2496">
        <f t="shared" si="42"/>
        <v>49276.593882135639</v>
      </c>
      <c r="J451" s="2496">
        <f t="shared" si="42"/>
        <v>49262.176443946009</v>
      </c>
      <c r="K451" s="2496">
        <f t="shared" si="42"/>
        <v>49151.149627922656</v>
      </c>
      <c r="L451" s="2496">
        <f t="shared" si="42"/>
        <v>48936.409288963012</v>
      </c>
      <c r="M451" s="2496">
        <f t="shared" si="42"/>
        <v>48585.844527463436</v>
      </c>
      <c r="N451" s="2496">
        <f t="shared" si="42"/>
        <v>48249.508190639375</v>
      </c>
      <c r="O451" s="2496">
        <f t="shared" si="42"/>
        <v>47927.222769729611</v>
      </c>
      <c r="P451" s="2496">
        <f t="shared" si="42"/>
        <v>47607.48779555082</v>
      </c>
      <c r="Q451" s="2496">
        <f t="shared" si="42"/>
        <v>47274.883286233424</v>
      </c>
      <c r="R451" s="2496">
        <f t="shared" si="42"/>
        <v>47010.390966030012</v>
      </c>
      <c r="S451" s="2496">
        <f t="shared" si="42"/>
        <v>46799.797172173108</v>
      </c>
      <c r="T451" s="2496">
        <f t="shared" si="42"/>
        <v>46631.949143751503</v>
      </c>
      <c r="U451" s="2496">
        <f t="shared" si="42"/>
        <v>46498.06240684435</v>
      </c>
      <c r="V451" s="2496">
        <f t="shared" si="42"/>
        <v>46391.19643006986</v>
      </c>
      <c r="W451" s="2496">
        <f t="shared" si="42"/>
        <v>46305.853824198428</v>
      </c>
      <c r="X451" s="2496">
        <f t="shared" si="42"/>
        <v>46237.671465278116</v>
      </c>
      <c r="Y451" s="2496">
        <f t="shared" si="42"/>
        <v>46183.180821995447</v>
      </c>
      <c r="Z451" s="2496">
        <f t="shared" si="42"/>
        <v>46139.62091802487</v>
      </c>
      <c r="AA451" s="2496">
        <f t="shared" si="42"/>
        <v>46104.791679988426</v>
      </c>
      <c r="AB451" s="2496">
        <f t="shared" si="42"/>
        <v>46076.938504167141</v>
      </c>
      <c r="AC451" s="2496">
        <f t="shared" si="42"/>
        <v>46054.661107604799</v>
      </c>
      <c r="AD451" s="2496">
        <f t="shared" si="42"/>
        <v>46036.841368552508</v>
      </c>
      <c r="AE451" s="2496">
        <f t="shared" si="42"/>
        <v>46022.586080180343</v>
      </c>
      <c r="AF451" s="2496">
        <f t="shared" si="42"/>
        <v>46011.181458219711</v>
      </c>
      <c r="AG451" s="2496">
        <f t="shared" si="42"/>
        <v>46002.056939554575</v>
      </c>
      <c r="AH451" s="2496">
        <f t="shared" si="42"/>
        <v>45994.756342370856</v>
      </c>
      <c r="AI451" s="2496">
        <f t="shared" si="42"/>
        <v>45988.914870414046</v>
      </c>
      <c r="AJ451" s="2496">
        <f t="shared" si="42"/>
        <v>45984.240763962713</v>
      </c>
      <c r="AK451" s="2496">
        <f t="shared" si="42"/>
        <v>45980.500650134833</v>
      </c>
      <c r="AL451" s="2496">
        <f t="shared" si="42"/>
        <v>45977.507841298961</v>
      </c>
      <c r="AM451" s="2496">
        <f t="shared" si="42"/>
        <v>45975.112984850231</v>
      </c>
      <c r="AN451" s="2496">
        <f t="shared" si="42"/>
        <v>45973.196589635016</v>
      </c>
      <c r="AO451" s="2496">
        <f t="shared" si="42"/>
        <v>45971.663050946903</v>
      </c>
      <c r="AP451" s="2496">
        <f t="shared" si="42"/>
        <v>45970.435872693015</v>
      </c>
      <c r="AQ451" s="2496">
        <f t="shared" si="42"/>
        <v>45969.453846278542</v>
      </c>
      <c r="AR451" s="2496">
        <f t="shared" si="42"/>
        <v>45968.667994260584</v>
      </c>
      <c r="AS451" s="2496">
        <f t="shared" si="42"/>
        <v>45968.039125467178</v>
      </c>
    </row>
    <row r="452" spans="2:45" s="2490" customFormat="1" x14ac:dyDescent="0.2">
      <c r="B452" s="3606"/>
      <c r="C452" s="2495" t="s">
        <v>1370</v>
      </c>
      <c r="D452" s="2493" t="s">
        <v>1523</v>
      </c>
      <c r="E452" s="2518"/>
      <c r="F452" s="2518"/>
      <c r="G452" s="2496">
        <f t="shared" si="42"/>
        <v>33342.058995596191</v>
      </c>
      <c r="H452" s="2496">
        <f t="shared" si="42"/>
        <v>33232.663186110418</v>
      </c>
      <c r="I452" s="2496">
        <f t="shared" si="42"/>
        <v>33321.688216224858</v>
      </c>
      <c r="J452" s="2496">
        <f t="shared" si="42"/>
        <v>33311.938894236802</v>
      </c>
      <c r="K452" s="2496">
        <f t="shared" si="42"/>
        <v>33236.860633835538</v>
      </c>
      <c r="L452" s="2496">
        <f t="shared" si="42"/>
        <v>33091.649488775969</v>
      </c>
      <c r="M452" s="2496">
        <f t="shared" si="42"/>
        <v>32854.591511306498</v>
      </c>
      <c r="N452" s="2496">
        <f t="shared" si="42"/>
        <v>32627.15504160558</v>
      </c>
      <c r="O452" s="2496">
        <f t="shared" si="42"/>
        <v>32409.220045167378</v>
      </c>
      <c r="P452" s="2496">
        <f t="shared" si="42"/>
        <v>32193.009705083979</v>
      </c>
      <c r="Q452" s="2496">
        <f t="shared" si="42"/>
        <v>31968.096761926954</v>
      </c>
      <c r="R452" s="2496">
        <f t="shared" si="42"/>
        <v>31789.24246346459</v>
      </c>
      <c r="S452" s="2496">
        <f t="shared" si="42"/>
        <v>31646.835284186807</v>
      </c>
      <c r="T452" s="2496">
        <f t="shared" si="42"/>
        <v>31533.333533555458</v>
      </c>
      <c r="U452" s="2496">
        <f t="shared" si="42"/>
        <v>31442.796997808302</v>
      </c>
      <c r="V452" s="2496">
        <f t="shared" si="42"/>
        <v>31370.532369138575</v>
      </c>
      <c r="W452" s="2496">
        <f t="shared" si="42"/>
        <v>31312.822217515462</v>
      </c>
      <c r="X452" s="2496">
        <f t="shared" si="42"/>
        <v>31266.716122779617</v>
      </c>
      <c r="Y452" s="2496">
        <f t="shared" si="42"/>
        <v>31229.868603843763</v>
      </c>
      <c r="Z452" s="2496">
        <f t="shared" si="42"/>
        <v>31200.412640586481</v>
      </c>
      <c r="AA452" s="2496">
        <f t="shared" si="42"/>
        <v>31176.860505196699</v>
      </c>
      <c r="AB452" s="2496">
        <f t="shared" si="42"/>
        <v>31158.02570418004</v>
      </c>
      <c r="AC452" s="2496">
        <f t="shared" si="42"/>
        <v>31142.961341892853</v>
      </c>
      <c r="AD452" s="2496">
        <f t="shared" si="42"/>
        <v>31130.91132499812</v>
      </c>
      <c r="AE452" s="2496">
        <f t="shared" si="42"/>
        <v>31121.271651531519</v>
      </c>
      <c r="AF452" s="2496">
        <f t="shared" si="42"/>
        <v>31113.559648179486</v>
      </c>
      <c r="AG452" s="2496">
        <f t="shared" si="42"/>
        <v>31107.389490258051</v>
      </c>
      <c r="AH452" s="2496">
        <f t="shared" si="42"/>
        <v>31102.452699705322</v>
      </c>
      <c r="AI452" s="2496">
        <f t="shared" si="42"/>
        <v>31098.502594961192</v>
      </c>
      <c r="AJ452" s="2496">
        <f t="shared" si="42"/>
        <v>31095.341883037119</v>
      </c>
      <c r="AK452" s="2496">
        <f t="shared" si="42"/>
        <v>31092.812753138976</v>
      </c>
      <c r="AL452" s="2496">
        <f t="shared" si="42"/>
        <v>31090.788963849514</v>
      </c>
      <c r="AM452" s="2496">
        <f t="shared" si="42"/>
        <v>31089.169520344592</v>
      </c>
      <c r="AN452" s="2496">
        <f t="shared" si="42"/>
        <v>31087.873620631774</v>
      </c>
      <c r="AO452" s="2496">
        <f t="shared" si="42"/>
        <v>31086.836615148903</v>
      </c>
      <c r="AP452" s="2496">
        <f t="shared" si="42"/>
        <v>31086.006775910024</v>
      </c>
      <c r="AQ452" s="2496">
        <f t="shared" si="42"/>
        <v>31085.342712600755</v>
      </c>
      <c r="AR452" s="2496">
        <f t="shared" si="42"/>
        <v>31084.811305823965</v>
      </c>
      <c r="AS452" s="2496">
        <f t="shared" si="42"/>
        <v>31084.386053828803</v>
      </c>
    </row>
    <row r="453" spans="2:45" s="2490" customFormat="1" x14ac:dyDescent="0.2">
      <c r="B453" s="2488"/>
      <c r="C453" s="2495" t="s">
        <v>1371</v>
      </c>
      <c r="D453" s="2493" t="s">
        <v>1523</v>
      </c>
      <c r="E453" s="2518"/>
      <c r="F453" s="2518"/>
      <c r="G453" s="2496">
        <f t="shared" si="42"/>
        <v>57647.185127942663</v>
      </c>
      <c r="H453" s="2496">
        <f t="shared" si="42"/>
        <v>57458.043824987115</v>
      </c>
      <c r="I453" s="2496">
        <f t="shared" si="42"/>
        <v>57611.964804873365</v>
      </c>
      <c r="J453" s="2496">
        <f t="shared" si="42"/>
        <v>57595.108588237454</v>
      </c>
      <c r="K453" s="2496">
        <f t="shared" si="42"/>
        <v>57465.301056644785</v>
      </c>
      <c r="L453" s="2496">
        <f t="shared" si="42"/>
        <v>57214.236364959288</v>
      </c>
      <c r="M453" s="2496">
        <f t="shared" si="42"/>
        <v>56804.371901728504</v>
      </c>
      <c r="N453" s="2496">
        <f t="shared" si="42"/>
        <v>56411.142669081964</v>
      </c>
      <c r="O453" s="2496">
        <f t="shared" si="42"/>
        <v>56034.341131804671</v>
      </c>
      <c r="P453" s="2496">
        <f t="shared" si="42"/>
        <v>55660.521461489494</v>
      </c>
      <c r="Q453" s="2496">
        <f t="shared" si="42"/>
        <v>55271.65531277455</v>
      </c>
      <c r="R453" s="2496">
        <f t="shared" si="42"/>
        <v>54962.422854882563</v>
      </c>
      <c r="S453" s="2496">
        <f t="shared" si="42"/>
        <v>54716.206116184498</v>
      </c>
      <c r="T453" s="2496">
        <f t="shared" si="42"/>
        <v>54519.965793058218</v>
      </c>
      <c r="U453" s="2496">
        <f t="shared" si="42"/>
        <v>54363.43147591396</v>
      </c>
      <c r="V453" s="2496">
        <f t="shared" si="42"/>
        <v>54238.488609377855</v>
      </c>
      <c r="W453" s="2496">
        <f t="shared" si="42"/>
        <v>54138.709894607469</v>
      </c>
      <c r="X453" s="2496">
        <f t="shared" si="42"/>
        <v>54058.994164420721</v>
      </c>
      <c r="Y453" s="2496">
        <f t="shared" si="42"/>
        <v>53995.286168886269</v>
      </c>
      <c r="Z453" s="2496">
        <f t="shared" si="42"/>
        <v>53944.357899362236</v>
      </c>
      <c r="AA453" s="2496">
        <f t="shared" si="42"/>
        <v>53903.637129563562</v>
      </c>
      <c r="AB453" s="2496">
        <f t="shared" si="42"/>
        <v>53871.072456182155</v>
      </c>
      <c r="AC453" s="2496">
        <f t="shared" si="42"/>
        <v>53845.026731719874</v>
      </c>
      <c r="AD453" s="2496">
        <f t="shared" si="42"/>
        <v>53824.192698800151</v>
      </c>
      <c r="AE453" s="2496">
        <f t="shared" si="42"/>
        <v>53807.526060396835</v>
      </c>
      <c r="AF453" s="2496">
        <f t="shared" si="42"/>
        <v>53794.192292227308</v>
      </c>
      <c r="AG453" s="2496">
        <f t="shared" si="42"/>
        <v>53783.52431770262</v>
      </c>
      <c r="AH453" s="2496">
        <f t="shared" si="42"/>
        <v>53774.98878967874</v>
      </c>
      <c r="AI453" s="2496">
        <f t="shared" si="42"/>
        <v>53768.15920487445</v>
      </c>
      <c r="AJ453" s="2496">
        <f t="shared" si="42"/>
        <v>53762.69445101967</v>
      </c>
      <c r="AK453" s="2496">
        <f t="shared" si="42"/>
        <v>53758.321679096072</v>
      </c>
      <c r="AL453" s="2496">
        <f t="shared" si="42"/>
        <v>53754.822622368796</v>
      </c>
      <c r="AM453" s="2496">
        <f t="shared" si="42"/>
        <v>53752.022664527409</v>
      </c>
      <c r="AN453" s="2496">
        <f t="shared" si="42"/>
        <v>53749.782101919627</v>
      </c>
      <c r="AO453" s="2496">
        <f t="shared" si="42"/>
        <v>53747.989157846881</v>
      </c>
      <c r="AP453" s="2496">
        <f t="shared" si="42"/>
        <v>53746.554396537249</v>
      </c>
      <c r="AQ453" s="2496">
        <f t="shared" si="42"/>
        <v>53745.406255670146</v>
      </c>
      <c r="AR453" s="2496">
        <f t="shared" si="42"/>
        <v>53744.487473034562</v>
      </c>
      <c r="AS453" s="2496">
        <f t="shared" si="42"/>
        <v>53743.752228084792</v>
      </c>
    </row>
    <row r="454" spans="2:45" s="2490" customFormat="1" x14ac:dyDescent="0.2">
      <c r="B454" s="2488"/>
      <c r="C454" s="2489" t="s">
        <v>1372</v>
      </c>
      <c r="D454" s="2493" t="s">
        <v>1523</v>
      </c>
      <c r="E454" s="2518"/>
      <c r="F454" s="2518"/>
      <c r="G454" s="2496">
        <f t="shared" si="42"/>
        <v>50106.37271941072</v>
      </c>
      <c r="H454" s="2496">
        <f t="shared" si="42"/>
        <v>49941.972938198654</v>
      </c>
      <c r="I454" s="2496">
        <f t="shared" si="42"/>
        <v>50075.759557101213</v>
      </c>
      <c r="J454" s="2496">
        <f t="shared" si="42"/>
        <v>50061.108297520645</v>
      </c>
      <c r="K454" s="2496">
        <f t="shared" si="42"/>
        <v>49948.280853382079</v>
      </c>
      <c r="L454" s="2496">
        <f t="shared" si="42"/>
        <v>49730.057864863935</v>
      </c>
      <c r="M454" s="2496">
        <f t="shared" si="42"/>
        <v>49373.80765917735</v>
      </c>
      <c r="N454" s="2496">
        <f t="shared" si="42"/>
        <v>49032.016634144202</v>
      </c>
      <c r="O454" s="2496">
        <f t="shared" si="42"/>
        <v>48704.504402173807</v>
      </c>
      <c r="P454" s="2496">
        <f t="shared" si="42"/>
        <v>48379.583979969517</v>
      </c>
      <c r="Q454" s="2496">
        <f t="shared" si="42"/>
        <v>48041.585305060631</v>
      </c>
      <c r="R454" s="2496">
        <f t="shared" si="42"/>
        <v>47772.803459812028</v>
      </c>
      <c r="S454" s="2496">
        <f t="shared" si="42"/>
        <v>47558.794264886339</v>
      </c>
      <c r="T454" s="2496">
        <f t="shared" si="42"/>
        <v>47388.22408437675</v>
      </c>
      <c r="U454" s="2496">
        <f t="shared" si="42"/>
        <v>47252.165978143101</v>
      </c>
      <c r="V454" s="2496">
        <f t="shared" si="42"/>
        <v>47143.566853564938</v>
      </c>
      <c r="W454" s="2496">
        <f t="shared" si="42"/>
        <v>47056.84016499111</v>
      </c>
      <c r="X454" s="2496">
        <f t="shared" si="42"/>
        <v>46987.552027513586</v>
      </c>
      <c r="Y454" s="2496">
        <f t="shared" si="42"/>
        <v>46932.177657327586</v>
      </c>
      <c r="Z454" s="2496">
        <f t="shared" si="42"/>
        <v>46887.911300712563</v>
      </c>
      <c r="AA454" s="2496">
        <f t="shared" si="42"/>
        <v>46852.517203595322</v>
      </c>
      <c r="AB454" s="2496">
        <f t="shared" ref="AB454:AS454" si="43">AB80*AB145*AB183*$E$207*$E$204*$D$217</f>
        <v>46824.212306169487</v>
      </c>
      <c r="AC454" s="2496">
        <f t="shared" si="43"/>
        <v>46801.573615750225</v>
      </c>
      <c r="AD454" s="2496">
        <f t="shared" si="43"/>
        <v>46783.464876938306</v>
      </c>
      <c r="AE454" s="2496">
        <f t="shared" si="43"/>
        <v>46768.978396913953</v>
      </c>
      <c r="AF454" s="2496">
        <f t="shared" si="43"/>
        <v>46757.388815286089</v>
      </c>
      <c r="AG454" s="2496">
        <f t="shared" si="43"/>
        <v>46748.116315570645</v>
      </c>
      <c r="AH454" s="2496">
        <f t="shared" si="43"/>
        <v>46740.697317616577</v>
      </c>
      <c r="AI454" s="2496">
        <f t="shared" si="43"/>
        <v>46734.761108919432</v>
      </c>
      <c r="AJ454" s="2496">
        <f t="shared" si="43"/>
        <v>46730.011198011212</v>
      </c>
      <c r="AK454" s="2496">
        <f t="shared" si="43"/>
        <v>46726.210427178521</v>
      </c>
      <c r="AL454" s="2496">
        <f t="shared" si="43"/>
        <v>46723.169081097978</v>
      </c>
      <c r="AM454" s="2496">
        <f t="shared" si="43"/>
        <v>46720.735384970612</v>
      </c>
      <c r="AN454" s="2496">
        <f t="shared" si="43"/>
        <v>46718.787909740437</v>
      </c>
      <c r="AO454" s="2496">
        <f t="shared" si="43"/>
        <v>46717.229500188005</v>
      </c>
      <c r="AP454" s="2496">
        <f t="shared" si="43"/>
        <v>46715.982419610096</v>
      </c>
      <c r="AQ454" s="2496">
        <f t="shared" si="43"/>
        <v>46714.984466733586</v>
      </c>
      <c r="AR454" s="2496">
        <f t="shared" si="43"/>
        <v>46714.185869801491</v>
      </c>
      <c r="AS454" s="2496">
        <f t="shared" si="43"/>
        <v>46713.546802041099</v>
      </c>
    </row>
    <row r="455" spans="2:45" s="2490" customFormat="1" x14ac:dyDescent="0.2">
      <c r="B455" s="2488"/>
      <c r="C455" s="2489" t="s">
        <v>1373</v>
      </c>
      <c r="D455" s="2493" t="s">
        <v>1523</v>
      </c>
      <c r="E455" s="2518"/>
      <c r="F455" s="2518"/>
      <c r="G455" s="2496">
        <f t="shared" ref="G455:AS461" si="44">G81*G146*G184*$E$207*$E$204*$D$217</f>
        <v>69701.856925823842</v>
      </c>
      <c r="H455" s="2496">
        <f t="shared" si="44"/>
        <v>69701.771781428251</v>
      </c>
      <c r="I455" s="2496">
        <f t="shared" si="44"/>
        <v>69701.686637032661</v>
      </c>
      <c r="J455" s="2496">
        <f t="shared" si="44"/>
        <v>69701.60149263707</v>
      </c>
      <c r="K455" s="2496">
        <f t="shared" si="44"/>
        <v>69701.516348241479</v>
      </c>
      <c r="L455" s="2496">
        <f t="shared" si="44"/>
        <v>69701.431203845888</v>
      </c>
      <c r="M455" s="2496">
        <f t="shared" si="44"/>
        <v>69701.346059450298</v>
      </c>
      <c r="N455" s="2496">
        <f t="shared" si="44"/>
        <v>69701.260915054692</v>
      </c>
      <c r="O455" s="2496">
        <f t="shared" si="44"/>
        <v>69701.175770659116</v>
      </c>
      <c r="P455" s="2496">
        <f t="shared" si="44"/>
        <v>69701.090626263511</v>
      </c>
      <c r="Q455" s="2496">
        <f t="shared" si="44"/>
        <v>69701.005481867935</v>
      </c>
      <c r="R455" s="2496">
        <f t="shared" si="44"/>
        <v>69700.920337472329</v>
      </c>
      <c r="S455" s="2496">
        <f t="shared" si="44"/>
        <v>69700.835193076753</v>
      </c>
      <c r="T455" s="2496">
        <f t="shared" si="44"/>
        <v>69700.750048681162</v>
      </c>
      <c r="U455" s="2496">
        <f t="shared" si="44"/>
        <v>69700.664904285572</v>
      </c>
      <c r="V455" s="2496">
        <f t="shared" si="44"/>
        <v>69700.579759889981</v>
      </c>
      <c r="W455" s="2496">
        <f t="shared" si="44"/>
        <v>69700.49461549439</v>
      </c>
      <c r="X455" s="2496">
        <f t="shared" si="44"/>
        <v>69700.409471098799</v>
      </c>
      <c r="Y455" s="2496">
        <f t="shared" si="44"/>
        <v>69700.324326703208</v>
      </c>
      <c r="Z455" s="2496">
        <f t="shared" si="44"/>
        <v>69700.239182307618</v>
      </c>
      <c r="AA455" s="2496">
        <f t="shared" si="44"/>
        <v>69700.154037912027</v>
      </c>
      <c r="AB455" s="2496">
        <f t="shared" si="44"/>
        <v>69700.068893516451</v>
      </c>
      <c r="AC455" s="2496">
        <f t="shared" si="44"/>
        <v>69699.983749120831</v>
      </c>
      <c r="AD455" s="2496">
        <f t="shared" si="44"/>
        <v>69699.89860472524</v>
      </c>
      <c r="AE455" s="2496">
        <f t="shared" si="44"/>
        <v>69699.813460329664</v>
      </c>
      <c r="AF455" s="2496">
        <f t="shared" si="44"/>
        <v>69699.728315934073</v>
      </c>
      <c r="AG455" s="2496">
        <f t="shared" si="44"/>
        <v>69699.643171538482</v>
      </c>
      <c r="AH455" s="2496">
        <f t="shared" si="44"/>
        <v>69699.558027142877</v>
      </c>
      <c r="AI455" s="2496">
        <f t="shared" si="44"/>
        <v>69699.472882747301</v>
      </c>
      <c r="AJ455" s="2496">
        <f t="shared" si="44"/>
        <v>69699.38773835171</v>
      </c>
      <c r="AK455" s="2496">
        <f t="shared" si="44"/>
        <v>69699.302593956119</v>
      </c>
      <c r="AL455" s="2496">
        <f t="shared" si="44"/>
        <v>69699.217449560514</v>
      </c>
      <c r="AM455" s="2496">
        <f t="shared" si="44"/>
        <v>69699.132305164938</v>
      </c>
      <c r="AN455" s="2496">
        <f t="shared" si="44"/>
        <v>69699.047160769347</v>
      </c>
      <c r="AO455" s="2496">
        <f t="shared" si="44"/>
        <v>69698.962016373756</v>
      </c>
      <c r="AP455" s="2496">
        <f t="shared" si="44"/>
        <v>69698.876871978166</v>
      </c>
      <c r="AQ455" s="2496">
        <f t="shared" si="44"/>
        <v>69698.791727582575</v>
      </c>
      <c r="AR455" s="2496">
        <f t="shared" si="44"/>
        <v>69698.706583186984</v>
      </c>
      <c r="AS455" s="2496">
        <f t="shared" si="44"/>
        <v>69698.621438791393</v>
      </c>
    </row>
    <row r="456" spans="2:45" s="2490" customFormat="1" x14ac:dyDescent="0.2">
      <c r="B456" s="2488"/>
      <c r="C456" s="2489" t="s">
        <v>1374</v>
      </c>
      <c r="D456" s="2493" t="s">
        <v>1523</v>
      </c>
      <c r="E456" s="2518"/>
      <c r="F456" s="2518"/>
      <c r="G456" s="2496">
        <f t="shared" si="44"/>
        <v>3686.9917898062045</v>
      </c>
      <c r="H456" s="2496">
        <f t="shared" si="44"/>
        <v>3686.9468524863091</v>
      </c>
      <c r="I456" s="2496">
        <f t="shared" si="44"/>
        <v>3686.9019151664138</v>
      </c>
      <c r="J456" s="2496">
        <f t="shared" si="44"/>
        <v>3686.8569778465185</v>
      </c>
      <c r="K456" s="2496">
        <f t="shared" si="44"/>
        <v>3686.8120405266245</v>
      </c>
      <c r="L456" s="2496">
        <f t="shared" si="44"/>
        <v>3686.7671032067283</v>
      </c>
      <c r="M456" s="2496">
        <f t="shared" si="44"/>
        <v>3686.722165886833</v>
      </c>
      <c r="N456" s="2496">
        <f t="shared" si="44"/>
        <v>3686.6772285669385</v>
      </c>
      <c r="O456" s="2496">
        <f t="shared" si="44"/>
        <v>3686.6322912470432</v>
      </c>
      <c r="P456" s="2496">
        <f t="shared" si="44"/>
        <v>3686.5873539271479</v>
      </c>
      <c r="Q456" s="2496">
        <f t="shared" si="44"/>
        <v>3686.5424166072535</v>
      </c>
      <c r="R456" s="2496">
        <f t="shared" si="44"/>
        <v>3686.4974792873581</v>
      </c>
      <c r="S456" s="2496">
        <f t="shared" si="44"/>
        <v>3686.4525419674633</v>
      </c>
      <c r="T456" s="2496">
        <f t="shared" si="44"/>
        <v>3686.4076046475675</v>
      </c>
      <c r="U456" s="2496">
        <f t="shared" si="44"/>
        <v>3686.3626673276722</v>
      </c>
      <c r="V456" s="2496">
        <f t="shared" si="44"/>
        <v>3686.3177300077768</v>
      </c>
      <c r="W456" s="2496">
        <f t="shared" si="44"/>
        <v>3686.272792687882</v>
      </c>
      <c r="X456" s="2496">
        <f t="shared" si="44"/>
        <v>3686.2278553679876</v>
      </c>
      <c r="Y456" s="2496">
        <f t="shared" si="44"/>
        <v>3686.1829180480922</v>
      </c>
      <c r="Z456" s="2496">
        <f t="shared" si="44"/>
        <v>3686.1379807281969</v>
      </c>
      <c r="AA456" s="2496">
        <f t="shared" si="44"/>
        <v>3686.0930434083007</v>
      </c>
      <c r="AB456" s="2496">
        <f t="shared" si="44"/>
        <v>3686.0481060884063</v>
      </c>
      <c r="AC456" s="2496">
        <f t="shared" si="44"/>
        <v>3686.0031687685109</v>
      </c>
      <c r="AD456" s="2496">
        <f t="shared" si="44"/>
        <v>3685.9582314486161</v>
      </c>
      <c r="AE456" s="2496">
        <f t="shared" si="44"/>
        <v>3685.9132941287207</v>
      </c>
      <c r="AF456" s="2496">
        <f t="shared" si="44"/>
        <v>3685.8683568088254</v>
      </c>
      <c r="AG456" s="2496">
        <f t="shared" si="44"/>
        <v>3685.8234194889301</v>
      </c>
      <c r="AH456" s="2496">
        <f t="shared" si="44"/>
        <v>3685.7784821690357</v>
      </c>
      <c r="AI456" s="2496">
        <f t="shared" si="44"/>
        <v>3685.7335448491394</v>
      </c>
      <c r="AJ456" s="2496">
        <f t="shared" si="44"/>
        <v>3685.6886075292455</v>
      </c>
      <c r="AK456" s="2496">
        <f t="shared" si="44"/>
        <v>3685.6436702093501</v>
      </c>
      <c r="AL456" s="2496">
        <f t="shared" si="44"/>
        <v>3685.5987328894544</v>
      </c>
      <c r="AM456" s="2496">
        <f t="shared" si="44"/>
        <v>3685.5537955695595</v>
      </c>
      <c r="AN456" s="2496">
        <f t="shared" si="44"/>
        <v>3685.5088582496642</v>
      </c>
      <c r="AO456" s="2496">
        <f t="shared" si="44"/>
        <v>3685.4639209297688</v>
      </c>
      <c r="AP456" s="2496">
        <f t="shared" si="44"/>
        <v>3685.4189836098735</v>
      </c>
      <c r="AQ456" s="2496">
        <f t="shared" si="44"/>
        <v>3685.3740462899791</v>
      </c>
      <c r="AR456" s="2496">
        <f t="shared" si="44"/>
        <v>3685.3291089700847</v>
      </c>
      <c r="AS456" s="2496">
        <f t="shared" si="44"/>
        <v>3685.2841716501894</v>
      </c>
    </row>
    <row r="457" spans="2:45" s="2490" customFormat="1" x14ac:dyDescent="0.2">
      <c r="B457" s="2488"/>
      <c r="C457" s="2489" t="s">
        <v>1375</v>
      </c>
      <c r="D457" s="2493" t="s">
        <v>1523</v>
      </c>
      <c r="E457" s="2518"/>
      <c r="F457" s="2518"/>
      <c r="G457" s="2496">
        <f t="shared" si="44"/>
        <v>3120.9249202666069</v>
      </c>
      <c r="H457" s="2496">
        <f t="shared" si="44"/>
        <v>3120.9249202666069</v>
      </c>
      <c r="I457" s="2496">
        <f t="shared" si="44"/>
        <v>3120.9249202666069</v>
      </c>
      <c r="J457" s="2496">
        <f t="shared" si="44"/>
        <v>3120.9249202666069</v>
      </c>
      <c r="K457" s="2496">
        <f t="shared" si="44"/>
        <v>3120.9249202666069</v>
      </c>
      <c r="L457" s="2496">
        <f t="shared" si="44"/>
        <v>3120.9249202666069</v>
      </c>
      <c r="M457" s="2496">
        <f t="shared" si="44"/>
        <v>3120.9249202666069</v>
      </c>
      <c r="N457" s="2496">
        <f t="shared" si="44"/>
        <v>3120.9249202666069</v>
      </c>
      <c r="O457" s="2496">
        <f t="shared" si="44"/>
        <v>3120.9249202666069</v>
      </c>
      <c r="P457" s="2496">
        <f t="shared" si="44"/>
        <v>3120.9249202666069</v>
      </c>
      <c r="Q457" s="2496">
        <f t="shared" si="44"/>
        <v>3120.9249202666069</v>
      </c>
      <c r="R457" s="2496">
        <f t="shared" si="44"/>
        <v>3120.9249202666069</v>
      </c>
      <c r="S457" s="2496">
        <f t="shared" si="44"/>
        <v>3120.9249202666069</v>
      </c>
      <c r="T457" s="2496">
        <f t="shared" si="44"/>
        <v>3120.9249202666069</v>
      </c>
      <c r="U457" s="2496">
        <f t="shared" si="44"/>
        <v>3120.9249202666069</v>
      </c>
      <c r="V457" s="2496">
        <f t="shared" si="44"/>
        <v>3120.9249202666069</v>
      </c>
      <c r="W457" s="2496">
        <f t="shared" si="44"/>
        <v>3120.9249202666069</v>
      </c>
      <c r="X457" s="2496">
        <f t="shared" si="44"/>
        <v>3120.9249202666069</v>
      </c>
      <c r="Y457" s="2496">
        <f t="shared" si="44"/>
        <v>3120.9249202666069</v>
      </c>
      <c r="Z457" s="2496">
        <f t="shared" si="44"/>
        <v>3120.9249202666069</v>
      </c>
      <c r="AA457" s="2496">
        <f t="shared" si="44"/>
        <v>3120.9249202666069</v>
      </c>
      <c r="AB457" s="2496">
        <f t="shared" si="44"/>
        <v>3120.9249202666069</v>
      </c>
      <c r="AC457" s="2496">
        <f t="shared" si="44"/>
        <v>3120.9249202666069</v>
      </c>
      <c r="AD457" s="2496">
        <f t="shared" si="44"/>
        <v>3120.9249202666069</v>
      </c>
      <c r="AE457" s="2496">
        <f t="shared" si="44"/>
        <v>3120.9249202666069</v>
      </c>
      <c r="AF457" s="2496">
        <f t="shared" si="44"/>
        <v>3120.9249202666069</v>
      </c>
      <c r="AG457" s="2496">
        <f t="shared" si="44"/>
        <v>3120.9249202666069</v>
      </c>
      <c r="AH457" s="2496">
        <f t="shared" si="44"/>
        <v>3120.9249202666069</v>
      </c>
      <c r="AI457" s="2496">
        <f t="shared" si="44"/>
        <v>3120.9249202666069</v>
      </c>
      <c r="AJ457" s="2496">
        <f t="shared" si="44"/>
        <v>3120.9249202666069</v>
      </c>
      <c r="AK457" s="2496">
        <f t="shared" si="44"/>
        <v>3120.9249202666069</v>
      </c>
      <c r="AL457" s="2496">
        <f t="shared" si="44"/>
        <v>3120.9249202666069</v>
      </c>
      <c r="AM457" s="2496">
        <f t="shared" si="44"/>
        <v>3120.9249202666069</v>
      </c>
      <c r="AN457" s="2496">
        <f t="shared" si="44"/>
        <v>3120.9249202666069</v>
      </c>
      <c r="AO457" s="2496">
        <f t="shared" si="44"/>
        <v>3120.9249202666069</v>
      </c>
      <c r="AP457" s="2496">
        <f t="shared" si="44"/>
        <v>3120.9249202666069</v>
      </c>
      <c r="AQ457" s="2496">
        <f t="shared" si="44"/>
        <v>3120.9249202666069</v>
      </c>
      <c r="AR457" s="2496">
        <f t="shared" si="44"/>
        <v>3120.9249202666069</v>
      </c>
      <c r="AS457" s="2496">
        <f t="shared" si="44"/>
        <v>3120.9249202666069</v>
      </c>
    </row>
    <row r="458" spans="2:45" s="2490" customFormat="1" x14ac:dyDescent="0.2">
      <c r="B458" s="2488"/>
      <c r="C458" s="2489" t="s">
        <v>1376</v>
      </c>
      <c r="D458" s="2493" t="s">
        <v>1523</v>
      </c>
      <c r="E458" s="2518"/>
      <c r="F458" s="2518"/>
      <c r="G458" s="2496">
        <f t="shared" si="44"/>
        <v>294723.42207656481</v>
      </c>
      <c r="H458" s="2496">
        <f t="shared" si="44"/>
        <v>293756.42998598202</v>
      </c>
      <c r="I458" s="2496">
        <f t="shared" si="44"/>
        <v>294543.35683801782</v>
      </c>
      <c r="J458" s="2496">
        <f t="shared" si="44"/>
        <v>294457.1787906565</v>
      </c>
      <c r="K458" s="2496">
        <f t="shared" si="44"/>
        <v>293793.53285829414</v>
      </c>
      <c r="L458" s="2496">
        <f t="shared" si="44"/>
        <v>292509.95509240794</v>
      </c>
      <c r="M458" s="2496">
        <f t="shared" si="44"/>
        <v>290414.50746694539</v>
      </c>
      <c r="N458" s="2496">
        <f t="shared" si="44"/>
        <v>288404.10808926687</v>
      </c>
      <c r="O458" s="2496">
        <f t="shared" si="44"/>
        <v>286477.69592770858</v>
      </c>
      <c r="P458" s="2496">
        <f t="shared" si="44"/>
        <v>284566.52867417654</v>
      </c>
      <c r="Q458" s="2496">
        <f t="shared" si="44"/>
        <v>282578.4357287077</v>
      </c>
      <c r="R458" s="2496">
        <f t="shared" si="44"/>
        <v>280997.47305022122</v>
      </c>
      <c r="S458" s="2496">
        <f t="shared" si="44"/>
        <v>279738.68062799674</v>
      </c>
      <c r="T458" s="2496">
        <f t="shared" si="44"/>
        <v>278735.39452733414</v>
      </c>
      <c r="U458" s="2496">
        <f t="shared" si="44"/>
        <v>277935.10688937269</v>
      </c>
      <c r="V458" s="2496">
        <f t="shared" si="44"/>
        <v>277296.3317417595</v>
      </c>
      <c r="W458" s="2496">
        <f t="shared" si="44"/>
        <v>276786.20927520277</v>
      </c>
      <c r="X458" s="2496">
        <f t="shared" si="44"/>
        <v>276378.65957885882</v>
      </c>
      <c r="Y458" s="2496">
        <f t="shared" si="44"/>
        <v>276052.95003352931</v>
      </c>
      <c r="Z458" s="2496">
        <f t="shared" si="44"/>
        <v>275792.57732250699</v>
      </c>
      <c r="AA458" s="2496">
        <f t="shared" si="44"/>
        <v>275584.39084127609</v>
      </c>
      <c r="AB458" s="2496">
        <f t="shared" si="44"/>
        <v>275417.90271255875</v>
      </c>
      <c r="AC458" s="2496">
        <f t="shared" si="44"/>
        <v>275284.74295762979</v>
      </c>
      <c r="AD458" s="2496">
        <f t="shared" si="44"/>
        <v>275178.22817353177</v>
      </c>
      <c r="AE458" s="2496">
        <f t="shared" si="44"/>
        <v>275093.01935208042</v>
      </c>
      <c r="AF458" s="2496">
        <f t="shared" si="44"/>
        <v>275024.84995620488</v>
      </c>
      <c r="AG458" s="2496">
        <f t="shared" si="44"/>
        <v>274970.3095315239</v>
      </c>
      <c r="AH458" s="2496">
        <f t="shared" si="44"/>
        <v>274926.67132051941</v>
      </c>
      <c r="AI458" s="2496">
        <f t="shared" si="44"/>
        <v>274891.75480897742</v>
      </c>
      <c r="AJ458" s="2496">
        <f t="shared" si="44"/>
        <v>274863.81604746962</v>
      </c>
      <c r="AK458" s="2496">
        <f t="shared" si="44"/>
        <v>274841.46008503326</v>
      </c>
      <c r="AL458" s="2496">
        <f t="shared" si="44"/>
        <v>274823.57102470164</v>
      </c>
      <c r="AM458" s="2496">
        <f t="shared" si="44"/>
        <v>274809.25613395975</v>
      </c>
      <c r="AN458" s="2496">
        <f t="shared" si="44"/>
        <v>274797.80117258255</v>
      </c>
      <c r="AO458" s="2496">
        <f t="shared" si="44"/>
        <v>274788.634677956</v>
      </c>
      <c r="AP458" s="2496">
        <f t="shared" si="44"/>
        <v>274781.2994063014</v>
      </c>
      <c r="AQ458" s="2496">
        <f t="shared" si="44"/>
        <v>274775.42949253839</v>
      </c>
      <c r="AR458" s="2496">
        <f t="shared" si="44"/>
        <v>274770.73218143982</v>
      </c>
      <c r="AS458" s="2496">
        <f t="shared" si="44"/>
        <v>274766.97321372642</v>
      </c>
    </row>
    <row r="459" spans="2:45" s="2490" customFormat="1" x14ac:dyDescent="0.2">
      <c r="B459" s="2488"/>
      <c r="C459" s="2489" t="s">
        <v>1377</v>
      </c>
      <c r="D459" s="2493" t="s">
        <v>1523</v>
      </c>
      <c r="E459" s="2518"/>
      <c r="F459" s="2518"/>
      <c r="G459" s="2496">
        <f t="shared" si="44"/>
        <v>0</v>
      </c>
      <c r="H459" s="2496">
        <f t="shared" si="44"/>
        <v>0</v>
      </c>
      <c r="I459" s="2496">
        <f t="shared" si="44"/>
        <v>0</v>
      </c>
      <c r="J459" s="2496">
        <f t="shared" si="44"/>
        <v>0</v>
      </c>
      <c r="K459" s="2496">
        <f t="shared" si="44"/>
        <v>0</v>
      </c>
      <c r="L459" s="2496">
        <f t="shared" si="44"/>
        <v>0</v>
      </c>
      <c r="M459" s="2496">
        <f t="shared" si="44"/>
        <v>0</v>
      </c>
      <c r="N459" s="2496">
        <f t="shared" si="44"/>
        <v>0</v>
      </c>
      <c r="O459" s="2496">
        <f t="shared" si="44"/>
        <v>0</v>
      </c>
      <c r="P459" s="2496">
        <f t="shared" si="44"/>
        <v>0</v>
      </c>
      <c r="Q459" s="2496">
        <f t="shared" si="44"/>
        <v>0</v>
      </c>
      <c r="R459" s="2496">
        <f t="shared" si="44"/>
        <v>0</v>
      </c>
      <c r="S459" s="2496">
        <f t="shared" si="44"/>
        <v>0</v>
      </c>
      <c r="T459" s="2496">
        <f t="shared" si="44"/>
        <v>0</v>
      </c>
      <c r="U459" s="2496">
        <f t="shared" si="44"/>
        <v>0</v>
      </c>
      <c r="V459" s="2496">
        <f t="shared" si="44"/>
        <v>0</v>
      </c>
      <c r="W459" s="2496">
        <f t="shared" si="44"/>
        <v>0</v>
      </c>
      <c r="X459" s="2496">
        <f t="shared" si="44"/>
        <v>0</v>
      </c>
      <c r="Y459" s="2496">
        <f t="shared" si="44"/>
        <v>0</v>
      </c>
      <c r="Z459" s="2496">
        <f t="shared" si="44"/>
        <v>0</v>
      </c>
      <c r="AA459" s="2496">
        <f t="shared" si="44"/>
        <v>0</v>
      </c>
      <c r="AB459" s="2496">
        <f t="shared" si="44"/>
        <v>0</v>
      </c>
      <c r="AC459" s="2496">
        <f t="shared" si="44"/>
        <v>0</v>
      </c>
      <c r="AD459" s="2496">
        <f t="shared" si="44"/>
        <v>0</v>
      </c>
      <c r="AE459" s="2496">
        <f t="shared" si="44"/>
        <v>0</v>
      </c>
      <c r="AF459" s="2496">
        <f t="shared" si="44"/>
        <v>0</v>
      </c>
      <c r="AG459" s="2496">
        <f t="shared" si="44"/>
        <v>0</v>
      </c>
      <c r="AH459" s="2496">
        <f t="shared" si="44"/>
        <v>0</v>
      </c>
      <c r="AI459" s="2496">
        <f t="shared" si="44"/>
        <v>0</v>
      </c>
      <c r="AJ459" s="2496">
        <f t="shared" si="44"/>
        <v>0</v>
      </c>
      <c r="AK459" s="2496">
        <f t="shared" si="44"/>
        <v>0</v>
      </c>
      <c r="AL459" s="2496">
        <f t="shared" si="44"/>
        <v>0</v>
      </c>
      <c r="AM459" s="2496">
        <f t="shared" si="44"/>
        <v>0</v>
      </c>
      <c r="AN459" s="2496">
        <f t="shared" si="44"/>
        <v>0</v>
      </c>
      <c r="AO459" s="2496">
        <f t="shared" si="44"/>
        <v>0</v>
      </c>
      <c r="AP459" s="2496">
        <f t="shared" si="44"/>
        <v>0</v>
      </c>
      <c r="AQ459" s="2496">
        <f t="shared" si="44"/>
        <v>0</v>
      </c>
      <c r="AR459" s="2496">
        <f t="shared" si="44"/>
        <v>0</v>
      </c>
      <c r="AS459" s="2496">
        <f t="shared" si="44"/>
        <v>0</v>
      </c>
    </row>
    <row r="460" spans="2:45" s="2490" customFormat="1" x14ac:dyDescent="0.2">
      <c r="B460" s="2488"/>
      <c r="C460" s="2495" t="s">
        <v>1378</v>
      </c>
      <c r="D460" s="2493" t="s">
        <v>1523</v>
      </c>
      <c r="E460" s="2518"/>
      <c r="F460" s="2518"/>
      <c r="G460" s="2496">
        <f t="shared" si="44"/>
        <v>5520.4851366008606</v>
      </c>
      <c r="H460" s="2496">
        <f t="shared" si="44"/>
        <v>5717.782859460388</v>
      </c>
      <c r="I460" s="2496">
        <f t="shared" si="44"/>
        <v>5935.3100626868591</v>
      </c>
      <c r="J460" s="2496">
        <f t="shared" si="44"/>
        <v>6160.3051339575923</v>
      </c>
      <c r="K460" s="2496">
        <f t="shared" si="44"/>
        <v>6387.3256589400098</v>
      </c>
      <c r="L460" s="2496">
        <f t="shared" si="44"/>
        <v>6614.2595542956151</v>
      </c>
      <c r="M460" s="2496">
        <f t="shared" si="44"/>
        <v>6854.8920569966758</v>
      </c>
      <c r="N460" s="2496">
        <f t="shared" si="44"/>
        <v>7104.5915467830546</v>
      </c>
      <c r="O460" s="2496">
        <f t="shared" si="44"/>
        <v>7350.1673329859368</v>
      </c>
      <c r="P460" s="2496">
        <f t="shared" si="44"/>
        <v>7597.5150365733243</v>
      </c>
      <c r="Q460" s="2496">
        <f t="shared" si="44"/>
        <v>7846.8111644260844</v>
      </c>
      <c r="R460" s="2496">
        <f t="shared" si="44"/>
        <v>8087.2002595804252</v>
      </c>
      <c r="S460" s="2496">
        <f t="shared" si="44"/>
        <v>8321.1352252215038</v>
      </c>
      <c r="T460" s="2496">
        <f t="shared" si="44"/>
        <v>8550.2052433686495</v>
      </c>
      <c r="U460" s="2496">
        <f t="shared" si="44"/>
        <v>8775.4073366608609</v>
      </c>
      <c r="V460" s="2496">
        <f t="shared" si="44"/>
        <v>8997.2982554095106</v>
      </c>
      <c r="W460" s="2496">
        <f t="shared" si="44"/>
        <v>9216.1947349644452</v>
      </c>
      <c r="X460" s="2496">
        <f t="shared" si="44"/>
        <v>9433.3350307180026</v>
      </c>
      <c r="Y460" s="2496">
        <f t="shared" si="44"/>
        <v>9649.5544338387754</v>
      </c>
      <c r="Z460" s="2496">
        <f t="shared" si="44"/>
        <v>9865.3592357259622</v>
      </c>
      <c r="AA460" s="2496">
        <f t="shared" si="44"/>
        <v>10081.050888449632</v>
      </c>
      <c r="AB460" s="2496">
        <f t="shared" si="44"/>
        <v>10296.551409077669</v>
      </c>
      <c r="AC460" s="2496">
        <f t="shared" si="44"/>
        <v>10511.985571374335</v>
      </c>
      <c r="AD460" s="2496">
        <f t="shared" si="44"/>
        <v>10727.388446334438</v>
      </c>
      <c r="AE460" s="2496">
        <f t="shared" si="44"/>
        <v>10942.7324262233</v>
      </c>
      <c r="AF460" s="2496">
        <f t="shared" si="44"/>
        <v>11157.974428602132</v>
      </c>
      <c r="AG460" s="2496">
        <f t="shared" si="44"/>
        <v>11373.003778343451</v>
      </c>
      <c r="AH460" s="2496">
        <f t="shared" si="44"/>
        <v>11587.690129572336</v>
      </c>
      <c r="AI460" s="2496">
        <f t="shared" si="44"/>
        <v>11801.888882220834</v>
      </c>
      <c r="AJ460" s="2496">
        <f t="shared" si="44"/>
        <v>12015.752249223446</v>
      </c>
      <c r="AK460" s="2496">
        <f t="shared" si="44"/>
        <v>12229.030461218506</v>
      </c>
      <c r="AL460" s="2496">
        <f t="shared" si="44"/>
        <v>12441.527060946713</v>
      </c>
      <c r="AM460" s="2496">
        <f t="shared" si="44"/>
        <v>12652.986574877714</v>
      </c>
      <c r="AN460" s="2496">
        <f t="shared" si="44"/>
        <v>12863.207311607965</v>
      </c>
      <c r="AO460" s="2496">
        <f t="shared" si="44"/>
        <v>13072.026090734675</v>
      </c>
      <c r="AP460" s="2496">
        <f t="shared" si="44"/>
        <v>13279.205952227263</v>
      </c>
      <c r="AQ460" s="2496">
        <f t="shared" si="44"/>
        <v>13484.558796343903</v>
      </c>
      <c r="AR460" s="2496">
        <f t="shared" si="44"/>
        <v>13687.896833484057</v>
      </c>
      <c r="AS460" s="2496">
        <f t="shared" si="44"/>
        <v>13889.032507919348</v>
      </c>
    </row>
    <row r="461" spans="2:45" s="2490" customFormat="1" x14ac:dyDescent="0.2">
      <c r="B461" s="2488"/>
      <c r="C461" s="2495" t="s">
        <v>1379</v>
      </c>
      <c r="D461" s="2493" t="s">
        <v>1523</v>
      </c>
      <c r="E461" s="2518"/>
      <c r="F461" s="2518"/>
      <c r="G461" s="2496">
        <f t="shared" si="44"/>
        <v>92.10111704136925</v>
      </c>
      <c r="H461" s="2496">
        <f t="shared" si="44"/>
        <v>95.392737291300691</v>
      </c>
      <c r="I461" s="2496">
        <f t="shared" si="44"/>
        <v>99.021856455341918</v>
      </c>
      <c r="J461" s="2496">
        <f t="shared" si="44"/>
        <v>102.77556593559179</v>
      </c>
      <c r="K461" s="2496">
        <f t="shared" si="44"/>
        <v>106.5630671107282</v>
      </c>
      <c r="L461" s="2496">
        <f t="shared" si="44"/>
        <v>110.34912299886516</v>
      </c>
      <c r="M461" s="2496">
        <f t="shared" si="44"/>
        <v>114.36371985889298</v>
      </c>
      <c r="N461" s="2496">
        <f t="shared" si="44"/>
        <v>118.52958596756356</v>
      </c>
      <c r="O461" s="2496">
        <f t="shared" si="44"/>
        <v>122.62665419036193</v>
      </c>
      <c r="P461" s="2496">
        <f t="shared" si="44"/>
        <v>126.75328422998976</v>
      </c>
      <c r="Q461" s="2496">
        <f t="shared" si="44"/>
        <v>130.91242084229566</v>
      </c>
      <c r="R461" s="2496">
        <f t="shared" si="44"/>
        <v>134.92295680796465</v>
      </c>
      <c r="S461" s="2496">
        <f t="shared" si="44"/>
        <v>138.82581518316962</v>
      </c>
      <c r="T461" s="2496">
        <f t="shared" si="44"/>
        <v>142.6475091158571</v>
      </c>
      <c r="U461" s="2496">
        <f t="shared" si="44"/>
        <v>146.40467245187483</v>
      </c>
      <c r="V461" s="2496">
        <f t="shared" si="44"/>
        <v>150.10659374545696</v>
      </c>
      <c r="W461" s="2496">
        <f t="shared" si="44"/>
        <v>153.75855725673748</v>
      </c>
      <c r="X461" s="2496">
        <f t="shared" si="44"/>
        <v>157.38122144271694</v>
      </c>
      <c r="Y461" s="2496">
        <f t="shared" si="44"/>
        <v>160.98852189923133</v>
      </c>
      <c r="Z461" s="2496">
        <f t="shared" si="44"/>
        <v>164.58890534830979</v>
      </c>
      <c r="AA461" s="2496">
        <f t="shared" si="44"/>
        <v>168.18740107120212</v>
      </c>
      <c r="AB461" s="2496">
        <f t="shared" ref="AB461:AS461" si="45">AB87*AB152*AB190*$E$207*$E$204*$D$217</f>
        <v>171.78270803820175</v>
      </c>
      <c r="AC461" s="2496">
        <f t="shared" si="45"/>
        <v>175.37690791473867</v>
      </c>
      <c r="AD461" s="2496">
        <f t="shared" si="45"/>
        <v>178.97058580841073</v>
      </c>
      <c r="AE461" s="2496">
        <f t="shared" si="45"/>
        <v>182.56328112506012</v>
      </c>
      <c r="AF461" s="2496">
        <f t="shared" si="45"/>
        <v>186.15427509801333</v>
      </c>
      <c r="AG461" s="2496">
        <f t="shared" si="45"/>
        <v>189.74172127671076</v>
      </c>
      <c r="AH461" s="2496">
        <f t="shared" si="45"/>
        <v>193.32344503330995</v>
      </c>
      <c r="AI461" s="2496">
        <f t="shared" si="45"/>
        <v>196.89703392987238</v>
      </c>
      <c r="AJ461" s="2496">
        <f t="shared" si="45"/>
        <v>200.46502741373794</v>
      </c>
      <c r="AK461" s="2496">
        <f t="shared" si="45"/>
        <v>204.02325845308934</v>
      </c>
      <c r="AL461" s="2496">
        <f t="shared" si="45"/>
        <v>207.56844944956597</v>
      </c>
      <c r="AM461" s="2496">
        <f t="shared" si="45"/>
        <v>211.09633820574541</v>
      </c>
      <c r="AN461" s="2496">
        <f t="shared" si="45"/>
        <v>214.60355979932399</v>
      </c>
      <c r="AO461" s="2496">
        <f t="shared" si="45"/>
        <v>218.08739180699911</v>
      </c>
      <c r="AP461" s="2496">
        <f t="shared" si="45"/>
        <v>221.54388090166816</v>
      </c>
      <c r="AQ461" s="2496">
        <f t="shared" si="45"/>
        <v>224.96988891776979</v>
      </c>
      <c r="AR461" s="2496">
        <f t="shared" si="45"/>
        <v>228.36228286399088</v>
      </c>
      <c r="AS461" s="2496">
        <f t="shared" si="45"/>
        <v>231.71793365082834</v>
      </c>
    </row>
    <row r="462" spans="2:45" s="2490" customFormat="1" x14ac:dyDescent="0.2">
      <c r="B462" s="2488"/>
      <c r="C462" s="2495" t="s">
        <v>1380</v>
      </c>
      <c r="D462" s="2493" t="s">
        <v>1523</v>
      </c>
      <c r="E462" s="2518"/>
      <c r="F462" s="2518"/>
      <c r="G462" s="2496">
        <f t="shared" ref="G462:AS463" si="46">G88*G153*G191*$E$207*$E$204*$D$217</f>
        <v>16068.686524201845</v>
      </c>
      <c r="H462" s="2496">
        <f t="shared" si="46"/>
        <v>16642.968526982615</v>
      </c>
      <c r="I462" s="2496">
        <f t="shared" si="46"/>
        <v>17276.133249401333</v>
      </c>
      <c r="J462" s="2496">
        <f t="shared" si="46"/>
        <v>17931.034980006469</v>
      </c>
      <c r="K462" s="2496">
        <f t="shared" si="46"/>
        <v>18591.832275939116</v>
      </c>
      <c r="L462" s="2496">
        <f t="shared" si="46"/>
        <v>19252.377415714738</v>
      </c>
      <c r="M462" s="2496">
        <f t="shared" si="46"/>
        <v>19952.795614072271</v>
      </c>
      <c r="N462" s="2496">
        <f t="shared" si="46"/>
        <v>20679.605437366343</v>
      </c>
      <c r="O462" s="2496">
        <f t="shared" si="46"/>
        <v>21394.412239447192</v>
      </c>
      <c r="P462" s="2496">
        <f t="shared" si="46"/>
        <v>22114.376629003396</v>
      </c>
      <c r="Q462" s="2496">
        <f t="shared" si="46"/>
        <v>22840.012371341414</v>
      </c>
      <c r="R462" s="2496">
        <f t="shared" si="46"/>
        <v>23539.72207407418</v>
      </c>
      <c r="S462" s="2496">
        <f t="shared" si="46"/>
        <v>24220.645496005702</v>
      </c>
      <c r="T462" s="2496">
        <f t="shared" si="46"/>
        <v>24887.408329818187</v>
      </c>
      <c r="U462" s="2496">
        <f t="shared" si="46"/>
        <v>25542.912647312794</v>
      </c>
      <c r="V462" s="2496">
        <f t="shared" si="46"/>
        <v>26188.779002843748</v>
      </c>
      <c r="W462" s="2496">
        <f t="shared" si="46"/>
        <v>26825.929330067596</v>
      </c>
      <c r="X462" s="2496">
        <f t="shared" si="46"/>
        <v>27457.967866156247</v>
      </c>
      <c r="Y462" s="2496">
        <f t="shared" si="46"/>
        <v>28087.325924954857</v>
      </c>
      <c r="Z462" s="2496">
        <f t="shared" si="46"/>
        <v>28715.477188138571</v>
      </c>
      <c r="AA462" s="2496">
        <f t="shared" si="46"/>
        <v>29343.299103738846</v>
      </c>
      <c r="AB462" s="2496">
        <f t="shared" si="46"/>
        <v>29970.564683862543</v>
      </c>
      <c r="AC462" s="2496">
        <f t="shared" si="46"/>
        <v>30597.6371122616</v>
      </c>
      <c r="AD462" s="2496">
        <f t="shared" si="46"/>
        <v>31224.618471417456</v>
      </c>
      <c r="AE462" s="2496">
        <f t="shared" si="46"/>
        <v>31851.428402444424</v>
      </c>
      <c r="AF462" s="2496">
        <f t="shared" si="46"/>
        <v>32477.941503645623</v>
      </c>
      <c r="AG462" s="2496">
        <f t="shared" si="46"/>
        <v>33103.83562870865</v>
      </c>
      <c r="AH462" s="2496">
        <f t="shared" si="46"/>
        <v>33728.731374926661</v>
      </c>
      <c r="AI462" s="2496">
        <f t="shared" si="46"/>
        <v>34352.207849369821</v>
      </c>
      <c r="AJ462" s="2496">
        <f t="shared" si="46"/>
        <v>34974.708104028832</v>
      </c>
      <c r="AK462" s="2496">
        <f t="shared" si="46"/>
        <v>35595.505125701653</v>
      </c>
      <c r="AL462" s="2496">
        <f t="shared" si="46"/>
        <v>36214.027078754829</v>
      </c>
      <c r="AM462" s="2496">
        <f t="shared" si="46"/>
        <v>36829.530346645057</v>
      </c>
      <c r="AN462" s="2496">
        <f t="shared" si="46"/>
        <v>37441.427858515752</v>
      </c>
      <c r="AO462" s="2496">
        <f t="shared" si="46"/>
        <v>38049.244638948148</v>
      </c>
      <c r="AP462" s="2496">
        <f t="shared" si="46"/>
        <v>38652.290959348502</v>
      </c>
      <c r="AQ462" s="2496">
        <f t="shared" si="46"/>
        <v>39250.01931062802</v>
      </c>
      <c r="AR462" s="2496">
        <f t="shared" si="46"/>
        <v>39841.883086438043</v>
      </c>
      <c r="AS462" s="2496">
        <f t="shared" si="46"/>
        <v>40427.336361170448</v>
      </c>
    </row>
    <row r="463" spans="2:45" s="2490" customFormat="1" x14ac:dyDescent="0.2">
      <c r="B463" s="2488"/>
      <c r="C463" s="2489" t="s">
        <v>1381</v>
      </c>
      <c r="D463" s="2493" t="s">
        <v>1523</v>
      </c>
      <c r="E463" s="2518"/>
      <c r="F463" s="2518"/>
      <c r="G463" s="2496">
        <f t="shared" si="46"/>
        <v>0</v>
      </c>
      <c r="H463" s="2496">
        <f t="shared" si="46"/>
        <v>0</v>
      </c>
      <c r="I463" s="2496">
        <f t="shared" si="46"/>
        <v>0</v>
      </c>
      <c r="J463" s="2496">
        <f t="shared" si="46"/>
        <v>0</v>
      </c>
      <c r="K463" s="2496">
        <f t="shared" si="46"/>
        <v>0</v>
      </c>
      <c r="L463" s="2496">
        <f t="shared" si="46"/>
        <v>0</v>
      </c>
      <c r="M463" s="2496">
        <f t="shared" si="46"/>
        <v>0</v>
      </c>
      <c r="N463" s="2496">
        <f t="shared" si="46"/>
        <v>0</v>
      </c>
      <c r="O463" s="2496">
        <f t="shared" si="46"/>
        <v>0</v>
      </c>
      <c r="P463" s="2496">
        <f t="shared" si="46"/>
        <v>0</v>
      </c>
      <c r="Q463" s="2496">
        <f t="shared" si="46"/>
        <v>0</v>
      </c>
      <c r="R463" s="2496">
        <f t="shared" si="46"/>
        <v>0</v>
      </c>
      <c r="S463" s="2496">
        <f t="shared" si="46"/>
        <v>0</v>
      </c>
      <c r="T463" s="2496">
        <f t="shared" si="46"/>
        <v>0</v>
      </c>
      <c r="U463" s="2496">
        <f t="shared" si="46"/>
        <v>0</v>
      </c>
      <c r="V463" s="2496">
        <f t="shared" si="46"/>
        <v>0</v>
      </c>
      <c r="W463" s="2496">
        <f t="shared" si="46"/>
        <v>0</v>
      </c>
      <c r="X463" s="2496">
        <f t="shared" si="46"/>
        <v>0</v>
      </c>
      <c r="Y463" s="2496">
        <f t="shared" si="46"/>
        <v>0</v>
      </c>
      <c r="Z463" s="2496">
        <f t="shared" si="46"/>
        <v>0</v>
      </c>
      <c r="AA463" s="2496">
        <f t="shared" si="46"/>
        <v>0</v>
      </c>
      <c r="AB463" s="2496">
        <f t="shared" si="46"/>
        <v>0</v>
      </c>
      <c r="AC463" s="2496">
        <f t="shared" si="46"/>
        <v>0</v>
      </c>
      <c r="AD463" s="2496">
        <f t="shared" si="46"/>
        <v>0</v>
      </c>
      <c r="AE463" s="2496">
        <f t="shared" si="46"/>
        <v>0</v>
      </c>
      <c r="AF463" s="2496">
        <f t="shared" si="46"/>
        <v>0</v>
      </c>
      <c r="AG463" s="2496">
        <f t="shared" si="46"/>
        <v>0</v>
      </c>
      <c r="AH463" s="2496">
        <f t="shared" si="46"/>
        <v>0</v>
      </c>
      <c r="AI463" s="2496">
        <f t="shared" si="46"/>
        <v>0</v>
      </c>
      <c r="AJ463" s="2496">
        <f t="shared" si="46"/>
        <v>0</v>
      </c>
      <c r="AK463" s="2496">
        <f t="shared" si="46"/>
        <v>0</v>
      </c>
      <c r="AL463" s="2496">
        <f t="shared" si="46"/>
        <v>0</v>
      </c>
      <c r="AM463" s="2496">
        <f t="shared" si="46"/>
        <v>0</v>
      </c>
      <c r="AN463" s="2496">
        <f t="shared" si="46"/>
        <v>0</v>
      </c>
      <c r="AO463" s="2496">
        <f t="shared" si="46"/>
        <v>0</v>
      </c>
      <c r="AP463" s="2496">
        <f t="shared" si="46"/>
        <v>0</v>
      </c>
      <c r="AQ463" s="2496">
        <f t="shared" si="46"/>
        <v>0</v>
      </c>
      <c r="AR463" s="2496">
        <f t="shared" si="46"/>
        <v>0</v>
      </c>
      <c r="AS463" s="2496">
        <f t="shared" si="46"/>
        <v>0</v>
      </c>
    </row>
    <row r="464" spans="2:45" s="2490" customFormat="1" x14ac:dyDescent="0.2">
      <c r="B464" s="2488"/>
      <c r="C464" s="2514" t="s">
        <v>118</v>
      </c>
      <c r="D464" s="2498" t="s">
        <v>1523</v>
      </c>
      <c r="E464" s="2507"/>
      <c r="F464" s="2507"/>
      <c r="G464" s="2500">
        <f>SUM(G448:G463)</f>
        <v>1125507.0277002582</v>
      </c>
      <c r="H464" s="2500">
        <f t="shared" ref="H464:AS464" si="47">SUM(H448:H463)</f>
        <v>1122911.1293951923</v>
      </c>
      <c r="I464" s="2500">
        <f t="shared" si="47"/>
        <v>1126508.3074120595</v>
      </c>
      <c r="J464" s="2500">
        <f t="shared" si="47"/>
        <v>1127091.4374463032</v>
      </c>
      <c r="K464" s="2500">
        <f t="shared" si="47"/>
        <v>1125669.6453276468</v>
      </c>
      <c r="L464" s="2500">
        <f t="shared" si="47"/>
        <v>1122086.6196379873</v>
      </c>
      <c r="M464" s="2500">
        <f t="shared" si="47"/>
        <v>1115727.4633828741</v>
      </c>
      <c r="N464" s="2500">
        <f t="shared" si="47"/>
        <v>1109700.3692676048</v>
      </c>
      <c r="O464" s="2500">
        <f t="shared" si="47"/>
        <v>1103949.8334553789</v>
      </c>
      <c r="P464" s="2500">
        <f t="shared" si="47"/>
        <v>1098259.3958106798</v>
      </c>
      <c r="Q464" s="2500">
        <f t="shared" si="47"/>
        <v>1092308.4709439536</v>
      </c>
      <c r="R464" s="2500">
        <f t="shared" si="47"/>
        <v>1087741.6963714266</v>
      </c>
      <c r="S464" s="2500">
        <f t="shared" si="47"/>
        <v>1084272.5609870681</v>
      </c>
      <c r="T464" s="2500">
        <f t="shared" si="47"/>
        <v>1081674.9360297595</v>
      </c>
      <c r="U464" s="2500">
        <f t="shared" si="47"/>
        <v>1079769.7108426725</v>
      </c>
      <c r="V464" s="2500">
        <f t="shared" si="47"/>
        <v>1078414.4645694508</v>
      </c>
      <c r="W464" s="2500">
        <f t="shared" si="47"/>
        <v>1077495.901887893</v>
      </c>
      <c r="X464" s="2500">
        <f t="shared" si="47"/>
        <v>1076927.9793321961</v>
      </c>
      <c r="Y464" s="2500">
        <f t="shared" si="47"/>
        <v>1076641.7098543046</v>
      </c>
      <c r="Z464" s="2500">
        <f t="shared" si="47"/>
        <v>1076581.5563442218</v>
      </c>
      <c r="AA464" s="2500">
        <f t="shared" si="47"/>
        <v>1076702.8637339149</v>
      </c>
      <c r="AB464" s="2500">
        <f t="shared" si="47"/>
        <v>1076968.7682093382</v>
      </c>
      <c r="AC464" s="2500">
        <f t="shared" si="47"/>
        <v>1077350.5846160394</v>
      </c>
      <c r="AD464" s="2500">
        <f t="shared" si="47"/>
        <v>1077825.15438782</v>
      </c>
      <c r="AE464" s="2500">
        <f t="shared" si="47"/>
        <v>1078373.7589429226</v>
      </c>
      <c r="AF464" s="2500">
        <f t="shared" si="47"/>
        <v>1078981.3572311827</v>
      </c>
      <c r="AG464" s="2500">
        <f t="shared" si="47"/>
        <v>1079635.6267806652</v>
      </c>
      <c r="AH464" s="2500">
        <f t="shared" si="47"/>
        <v>1080326.5510229038</v>
      </c>
      <c r="AI464" s="2500">
        <f t="shared" si="47"/>
        <v>1081045.9614448028</v>
      </c>
      <c r="AJ464" s="2500">
        <f t="shared" si="47"/>
        <v>1081788.3769747992</v>
      </c>
      <c r="AK464" s="2500">
        <f t="shared" si="47"/>
        <v>1082547.9542895944</v>
      </c>
      <c r="AL464" s="2500">
        <f t="shared" si="47"/>
        <v>1083320.0321421342</v>
      </c>
      <c r="AM464" s="2500">
        <f t="shared" si="47"/>
        <v>1084100.4953868154</v>
      </c>
      <c r="AN464" s="2500">
        <f t="shared" si="47"/>
        <v>1084886.0622728195</v>
      </c>
      <c r="AO464" s="2500">
        <f t="shared" si="47"/>
        <v>1085674.0999774814</v>
      </c>
      <c r="AP464" s="2500">
        <f t="shared" si="47"/>
        <v>1086462.0840464614</v>
      </c>
      <c r="AQ464" s="2500">
        <f t="shared" si="47"/>
        <v>1087248.0004386546</v>
      </c>
      <c r="AR464" s="2500">
        <f t="shared" si="47"/>
        <v>1088030.0911696658</v>
      </c>
      <c r="AS464" s="2500">
        <f t="shared" si="47"/>
        <v>1088806.8030726537</v>
      </c>
    </row>
    <row r="465" spans="1:45" s="2490" customFormat="1" x14ac:dyDescent="0.2">
      <c r="B465" s="2488"/>
      <c r="C465" s="2501"/>
      <c r="D465" s="2516"/>
      <c r="E465" s="2517"/>
      <c r="F465" s="2517"/>
      <c r="G465" s="2517"/>
      <c r="H465" s="2517"/>
      <c r="I465" s="2517"/>
      <c r="J465" s="2517"/>
      <c r="K465" s="2517"/>
      <c r="L465" s="2517"/>
      <c r="M465" s="2517"/>
      <c r="N465" s="2517"/>
      <c r="O465" s="2517"/>
      <c r="P465" s="2517"/>
      <c r="Q465" s="2517"/>
      <c r="R465" s="2517"/>
      <c r="S465" s="2517"/>
      <c r="T465" s="2517"/>
      <c r="U465" s="2517"/>
      <c r="V465" s="2517"/>
      <c r="W465" s="2517"/>
      <c r="X465" s="2517"/>
      <c r="Y465" s="2517"/>
      <c r="Z465" s="2517"/>
      <c r="AA465" s="2517"/>
      <c r="AB465" s="2517"/>
      <c r="AC465" s="2517"/>
      <c r="AD465" s="2517"/>
      <c r="AE465" s="2517"/>
      <c r="AF465" s="2517"/>
      <c r="AG465" s="2517"/>
      <c r="AH465" s="2517"/>
      <c r="AI465" s="2517"/>
      <c r="AJ465" s="2517"/>
      <c r="AK465" s="2517"/>
      <c r="AL465" s="2517"/>
      <c r="AM465" s="2517"/>
      <c r="AN465" s="2517"/>
      <c r="AO465" s="2517"/>
      <c r="AP465" s="2517"/>
      <c r="AQ465" s="2517"/>
    </row>
    <row r="466" spans="1:45" s="2490" customFormat="1" x14ac:dyDescent="0.2">
      <c r="B466" s="2488"/>
      <c r="C466" s="2501"/>
      <c r="D466" s="2516"/>
      <c r="E466" s="2517"/>
      <c r="F466" s="2517"/>
      <c r="G466" s="2517"/>
      <c r="H466" s="2517"/>
      <c r="I466" s="2517"/>
      <c r="J466" s="2517"/>
      <c r="K466" s="2517"/>
      <c r="L466" s="2517"/>
      <c r="M466" s="2517"/>
      <c r="N466" s="2517"/>
      <c r="O466" s="2517"/>
      <c r="P466" s="2517"/>
      <c r="Q466" s="2517"/>
      <c r="R466" s="2517"/>
      <c r="S466" s="2517"/>
      <c r="T466" s="2517"/>
      <c r="U466" s="2517"/>
      <c r="V466" s="2517"/>
      <c r="W466" s="2517"/>
      <c r="X466" s="2517"/>
      <c r="Y466" s="2517"/>
      <c r="Z466" s="2517"/>
      <c r="AA466" s="2517"/>
      <c r="AB466" s="2517"/>
      <c r="AC466" s="2517"/>
      <c r="AD466" s="2517"/>
      <c r="AE466" s="2517"/>
      <c r="AF466" s="2517"/>
      <c r="AG466" s="2517"/>
      <c r="AH466" s="2517"/>
      <c r="AI466" s="2517"/>
      <c r="AJ466" s="2517"/>
      <c r="AK466" s="2517"/>
      <c r="AL466" s="2517"/>
      <c r="AM466" s="2517"/>
      <c r="AN466" s="2517"/>
      <c r="AO466" s="2517"/>
      <c r="AP466" s="2517"/>
      <c r="AQ466" s="2517"/>
    </row>
    <row r="467" spans="1:45" s="2490" customFormat="1" x14ac:dyDescent="0.2">
      <c r="A467" s="2488"/>
      <c r="B467" s="2488" t="s">
        <v>1531</v>
      </c>
      <c r="C467" s="2489" t="s">
        <v>1532</v>
      </c>
      <c r="D467" s="2516"/>
      <c r="E467" s="2517"/>
      <c r="F467" s="2517"/>
      <c r="G467" s="2517"/>
      <c r="H467" s="2517"/>
      <c r="I467" s="2517"/>
      <c r="J467" s="2517"/>
      <c r="K467" s="2517"/>
      <c r="L467" s="2517"/>
      <c r="M467" s="2517"/>
      <c r="N467" s="2517"/>
      <c r="O467" s="2517"/>
      <c r="P467" s="2517"/>
      <c r="Q467" s="2517"/>
      <c r="R467" s="2517"/>
      <c r="S467" s="2517"/>
      <c r="T467" s="2517"/>
      <c r="U467" s="2517"/>
      <c r="V467" s="2517"/>
      <c r="W467" s="2517"/>
      <c r="X467" s="2517"/>
      <c r="Y467" s="2517"/>
      <c r="Z467" s="2517"/>
      <c r="AA467" s="2517"/>
      <c r="AB467" s="2517"/>
      <c r="AC467" s="2517"/>
      <c r="AD467" s="2517"/>
      <c r="AE467" s="2517"/>
      <c r="AF467" s="2517"/>
      <c r="AG467" s="2517"/>
      <c r="AH467" s="2517"/>
      <c r="AI467" s="2517"/>
      <c r="AJ467" s="2517"/>
      <c r="AK467" s="2517"/>
      <c r="AL467" s="2517"/>
      <c r="AM467" s="2517"/>
      <c r="AN467" s="2517"/>
      <c r="AO467" s="2517"/>
      <c r="AP467" s="2517"/>
      <c r="AQ467" s="2517"/>
    </row>
    <row r="468" spans="1:45" s="2490" customFormat="1" x14ac:dyDescent="0.2">
      <c r="B468" s="3606" t="s">
        <v>1533</v>
      </c>
      <c r="C468" s="2513"/>
      <c r="D468" s="2513" t="s">
        <v>1029</v>
      </c>
      <c r="E468" s="2492" t="s">
        <v>8</v>
      </c>
      <c r="F468" s="2492"/>
      <c r="G468" s="2492">
        <v>2012</v>
      </c>
      <c r="H468" s="2492">
        <v>2013</v>
      </c>
      <c r="I468" s="2492">
        <v>2014</v>
      </c>
      <c r="J468" s="2492">
        <v>2015</v>
      </c>
      <c r="K468" s="2492">
        <v>2016</v>
      </c>
      <c r="L468" s="2492">
        <v>2017</v>
      </c>
      <c r="M468" s="2492">
        <v>2018</v>
      </c>
      <c r="N468" s="2492">
        <v>2019</v>
      </c>
      <c r="O468" s="2492">
        <v>2020</v>
      </c>
      <c r="P468" s="2492">
        <v>2021</v>
      </c>
      <c r="Q468" s="2492">
        <v>2022</v>
      </c>
      <c r="R468" s="2492">
        <v>2023</v>
      </c>
      <c r="S468" s="2492">
        <v>2024</v>
      </c>
      <c r="T468" s="2492">
        <v>2025</v>
      </c>
      <c r="U468" s="2492">
        <v>2026</v>
      </c>
      <c r="V468" s="2492">
        <v>2027</v>
      </c>
      <c r="W468" s="2492">
        <v>2028</v>
      </c>
      <c r="X468" s="2492">
        <v>2029</v>
      </c>
      <c r="Y468" s="2492">
        <v>2030</v>
      </c>
      <c r="Z468" s="2492">
        <v>2031</v>
      </c>
      <c r="AA468" s="2492">
        <v>2032</v>
      </c>
      <c r="AB468" s="2492">
        <v>2033</v>
      </c>
      <c r="AC468" s="2492">
        <v>2034</v>
      </c>
      <c r="AD468" s="2492">
        <v>2035</v>
      </c>
      <c r="AE468" s="2492">
        <v>2036</v>
      </c>
      <c r="AF468" s="2492">
        <v>2037</v>
      </c>
      <c r="AG468" s="2492">
        <v>2038</v>
      </c>
      <c r="AH468" s="2492">
        <v>2039</v>
      </c>
      <c r="AI468" s="2492">
        <v>2040</v>
      </c>
      <c r="AJ468" s="2492">
        <v>2041</v>
      </c>
      <c r="AK468" s="2492">
        <v>2042</v>
      </c>
      <c r="AL468" s="2492">
        <v>2043</v>
      </c>
      <c r="AM468" s="2492">
        <v>2044</v>
      </c>
      <c r="AN468" s="2492">
        <v>2045</v>
      </c>
      <c r="AO468" s="2492">
        <v>2046</v>
      </c>
      <c r="AP468" s="2492">
        <v>2047</v>
      </c>
      <c r="AQ468" s="2492">
        <v>2048</v>
      </c>
      <c r="AR468" s="2492">
        <v>2049</v>
      </c>
      <c r="AS468" s="2492">
        <v>2050</v>
      </c>
    </row>
    <row r="469" spans="1:45" s="2490" customFormat="1" x14ac:dyDescent="0.2">
      <c r="B469" s="3606"/>
      <c r="C469" s="2489" t="s">
        <v>1364</v>
      </c>
      <c r="D469" s="2502"/>
      <c r="G469" s="2517"/>
      <c r="H469" s="2517"/>
      <c r="I469" s="2517"/>
      <c r="J469" s="2517"/>
      <c r="K469" s="2517"/>
      <c r="L469" s="2517"/>
      <c r="M469" s="2517"/>
      <c r="N469" s="2517"/>
      <c r="O469" s="2517"/>
      <c r="P469" s="2517"/>
      <c r="Q469" s="2517"/>
      <c r="R469" s="2517"/>
      <c r="S469" s="2517"/>
      <c r="T469" s="2517"/>
      <c r="U469" s="2517"/>
      <c r="V469" s="2517"/>
      <c r="W469" s="2517"/>
      <c r="X469" s="2517"/>
      <c r="Y469" s="2517"/>
      <c r="Z469" s="2517"/>
      <c r="AA469" s="2517"/>
      <c r="AB469" s="2517"/>
      <c r="AC469" s="2517"/>
      <c r="AD469" s="2517"/>
      <c r="AE469" s="2517"/>
      <c r="AF469" s="2517"/>
      <c r="AG469" s="2517"/>
      <c r="AH469" s="2517"/>
      <c r="AI469" s="2517"/>
      <c r="AJ469" s="2517"/>
      <c r="AK469" s="2517"/>
      <c r="AL469" s="2517"/>
      <c r="AM469" s="2517"/>
      <c r="AN469" s="2517"/>
      <c r="AO469" s="2517"/>
      <c r="AP469" s="2517"/>
      <c r="AQ469" s="2517"/>
      <c r="AR469" s="2517"/>
      <c r="AS469" s="2517"/>
    </row>
    <row r="470" spans="1:45" s="2490" customFormat="1" x14ac:dyDescent="0.2">
      <c r="B470" s="3606"/>
      <c r="C470" s="2495" t="s">
        <v>1366</v>
      </c>
      <c r="D470" s="2493" t="s">
        <v>1523</v>
      </c>
      <c r="G470" s="2496">
        <f t="shared" ref="G470:AS476" si="48">G74*G158*G177*$E$196*$D$217</f>
        <v>522749.64415774419</v>
      </c>
      <c r="H470" s="2496">
        <f t="shared" si="48"/>
        <v>521034.49451780762</v>
      </c>
      <c r="I470" s="2496">
        <f t="shared" si="48"/>
        <v>522430.26323201932</v>
      </c>
      <c r="J470" s="2496">
        <f t="shared" si="48"/>
        <v>522277.40960649168</v>
      </c>
      <c r="K470" s="2496">
        <f t="shared" si="48"/>
        <v>521100.30372008175</v>
      </c>
      <c r="L470" s="2496">
        <f t="shared" si="48"/>
        <v>518823.62745309871</v>
      </c>
      <c r="M470" s="2496">
        <f t="shared" si="48"/>
        <v>515106.9411685685</v>
      </c>
      <c r="N470" s="2496">
        <f t="shared" si="48"/>
        <v>511541.10458899947</v>
      </c>
      <c r="O470" s="2496">
        <f t="shared" si="48"/>
        <v>508124.23576717195</v>
      </c>
      <c r="P470" s="2496">
        <f t="shared" si="48"/>
        <v>504734.40677200543</v>
      </c>
      <c r="Q470" s="2496">
        <f t="shared" si="48"/>
        <v>501208.13501364359</v>
      </c>
      <c r="R470" s="2496">
        <f t="shared" si="48"/>
        <v>498403.98842840618</v>
      </c>
      <c r="S470" s="2496">
        <f t="shared" si="48"/>
        <v>496171.27381702594</v>
      </c>
      <c r="T470" s="2496">
        <f t="shared" si="48"/>
        <v>494391.74965021748</v>
      </c>
      <c r="U470" s="2496">
        <f t="shared" si="48"/>
        <v>492972.28296847013</v>
      </c>
      <c r="V470" s="2496">
        <f t="shared" si="48"/>
        <v>491839.29028414655</v>
      </c>
      <c r="W470" s="2496">
        <f t="shared" si="48"/>
        <v>490934.48829728522</v>
      </c>
      <c r="X470" s="2496">
        <f t="shared" si="48"/>
        <v>490211.6191841375</v>
      </c>
      <c r="Y470" s="2496">
        <f t="shared" si="48"/>
        <v>489633.90958874743</v>
      </c>
      <c r="Z470" s="2496">
        <f t="shared" si="48"/>
        <v>489172.0876504833</v>
      </c>
      <c r="AA470" s="2496">
        <f t="shared" si="48"/>
        <v>488802.8281996561</v>
      </c>
      <c r="AB470" s="2496">
        <f t="shared" si="48"/>
        <v>488507.52893422841</v>
      </c>
      <c r="AC470" s="2496">
        <f t="shared" si="48"/>
        <v>488271.34405955911</v>
      </c>
      <c r="AD470" s="2496">
        <f t="shared" si="48"/>
        <v>488082.4192530663</v>
      </c>
      <c r="AE470" s="2496">
        <f t="shared" si="48"/>
        <v>487931.28473929415</v>
      </c>
      <c r="AF470" s="2496">
        <f t="shared" si="48"/>
        <v>487810.37298010878</v>
      </c>
      <c r="AG470" s="2496">
        <f t="shared" si="48"/>
        <v>487713.63486749696</v>
      </c>
      <c r="AH470" s="2496">
        <f t="shared" si="48"/>
        <v>487636.23396357987</v>
      </c>
      <c r="AI470" s="2496">
        <f t="shared" si="48"/>
        <v>487574.30269983702</v>
      </c>
      <c r="AJ470" s="2496">
        <f t="shared" si="48"/>
        <v>487524.74784079829</v>
      </c>
      <c r="AK470" s="2496">
        <f t="shared" si="48"/>
        <v>487485.09516804467</v>
      </c>
      <c r="AL470" s="2496">
        <f t="shared" si="48"/>
        <v>487453.36542000913</v>
      </c>
      <c r="AM470" s="2496">
        <f t="shared" si="48"/>
        <v>487427.97516093595</v>
      </c>
      <c r="AN470" s="2496">
        <f t="shared" si="48"/>
        <v>487407.65754606301</v>
      </c>
      <c r="AO470" s="2496">
        <f t="shared" si="48"/>
        <v>487391.39897465234</v>
      </c>
      <c r="AP470" s="2496">
        <f t="shared" si="48"/>
        <v>487378.38843541458</v>
      </c>
      <c r="AQ470" s="2496">
        <f t="shared" si="48"/>
        <v>487367.97699505737</v>
      </c>
      <c r="AR470" s="2496">
        <f t="shared" si="48"/>
        <v>487359.64539491502</v>
      </c>
      <c r="AS470" s="2496">
        <f t="shared" si="48"/>
        <v>487352.97813032946</v>
      </c>
    </row>
    <row r="471" spans="1:45" s="2490" customFormat="1" x14ac:dyDescent="0.2">
      <c r="B471" s="2511"/>
      <c r="C471" s="2495" t="s">
        <v>1367</v>
      </c>
      <c r="D471" s="2493" t="s">
        <v>1523</v>
      </c>
      <c r="G471" s="2496">
        <f t="shared" si="48"/>
        <v>13758.783353811859</v>
      </c>
      <c r="H471" s="2496">
        <f t="shared" si="48"/>
        <v>13713.640573555589</v>
      </c>
      <c r="I471" s="2496">
        <f t="shared" si="48"/>
        <v>13750.377240075582</v>
      </c>
      <c r="J471" s="2496">
        <f t="shared" si="48"/>
        <v>13746.354128932449</v>
      </c>
      <c r="K471" s="2496">
        <f t="shared" si="48"/>
        <v>13715.372673360718</v>
      </c>
      <c r="L471" s="2496">
        <f t="shared" si="48"/>
        <v>13655.450498617482</v>
      </c>
      <c r="M471" s="2496">
        <f t="shared" si="48"/>
        <v>13557.627225173987</v>
      </c>
      <c r="N471" s="2496">
        <f t="shared" si="48"/>
        <v>13463.774319635551</v>
      </c>
      <c r="O471" s="2496">
        <f t="shared" si="48"/>
        <v>13373.842249105559</v>
      </c>
      <c r="P471" s="2496">
        <f t="shared" si="48"/>
        <v>13284.621867471229</v>
      </c>
      <c r="Q471" s="2496">
        <f t="shared" si="48"/>
        <v>13191.810308989658</v>
      </c>
      <c r="R471" s="2496">
        <f t="shared" si="48"/>
        <v>13118.005102635525</v>
      </c>
      <c r="S471" s="2496">
        <f t="shared" si="48"/>
        <v>13059.239999737432</v>
      </c>
      <c r="T471" s="2496">
        <f t="shared" si="48"/>
        <v>13012.40288036753</v>
      </c>
      <c r="U471" s="2496">
        <f t="shared" si="48"/>
        <v>12975.042482765381</v>
      </c>
      <c r="V471" s="2496">
        <f t="shared" si="48"/>
        <v>12945.222087745929</v>
      </c>
      <c r="W471" s="2496">
        <f t="shared" si="48"/>
        <v>12921.407677436033</v>
      </c>
      <c r="X471" s="2496">
        <f t="shared" si="48"/>
        <v>12902.381744789083</v>
      </c>
      <c r="Y471" s="2496">
        <f t="shared" si="48"/>
        <v>12887.176414181551</v>
      </c>
      <c r="Z471" s="2496">
        <f t="shared" si="48"/>
        <v>12875.021249529351</v>
      </c>
      <c r="AA471" s="2496">
        <f t="shared" si="48"/>
        <v>12865.302331798734</v>
      </c>
      <c r="AB471" s="2496">
        <f t="shared" si="48"/>
        <v>12857.530047947437</v>
      </c>
      <c r="AC471" s="2496">
        <f t="shared" si="48"/>
        <v>12851.313656299273</v>
      </c>
      <c r="AD471" s="2496">
        <f t="shared" si="48"/>
        <v>12846.341150795452</v>
      </c>
      <c r="AE471" s="2496">
        <f t="shared" si="48"/>
        <v>12842.363286715554</v>
      </c>
      <c r="AF471" s="2496">
        <f t="shared" si="48"/>
        <v>12839.180886271763</v>
      </c>
      <c r="AG471" s="2496">
        <f t="shared" si="48"/>
        <v>12836.634736793982</v>
      </c>
      <c r="AH471" s="2496">
        <f t="shared" si="48"/>
        <v>12834.597543119557</v>
      </c>
      <c r="AI471" s="2496">
        <f t="shared" si="48"/>
        <v>12832.96751075093</v>
      </c>
      <c r="AJ471" s="2496">
        <f t="shared" si="48"/>
        <v>12831.66322565526</v>
      </c>
      <c r="AK471" s="2496">
        <f t="shared" si="48"/>
        <v>12830.619566343552</v>
      </c>
      <c r="AL471" s="2496">
        <f t="shared" si="48"/>
        <v>12829.784438603207</v>
      </c>
      <c r="AM471" s="2496">
        <f t="shared" si="48"/>
        <v>12829.116166366603</v>
      </c>
      <c r="AN471" s="2496">
        <f t="shared" si="48"/>
        <v>12828.581406248779</v>
      </c>
      <c r="AO471" s="2496">
        <f t="shared" si="48"/>
        <v>12828.153480253648</v>
      </c>
      <c r="AP471" s="2496">
        <f t="shared" si="48"/>
        <v>12827.811042544336</v>
      </c>
      <c r="AQ471" s="2496">
        <f t="shared" si="48"/>
        <v>12827.537013180798</v>
      </c>
      <c r="AR471" s="2496">
        <f t="shared" si="48"/>
        <v>12827.31772526233</v>
      </c>
      <c r="AS471" s="2496">
        <f t="shared" si="48"/>
        <v>12827.142242696211</v>
      </c>
    </row>
    <row r="472" spans="1:45" s="2490" customFormat="1" x14ac:dyDescent="0.2">
      <c r="B472" s="2511"/>
      <c r="C472" s="2495" t="s">
        <v>1368</v>
      </c>
      <c r="D472" s="2493" t="s">
        <v>1523</v>
      </c>
      <c r="G472" s="2496">
        <f t="shared" si="48"/>
        <v>0</v>
      </c>
      <c r="H472" s="2496">
        <f t="shared" si="48"/>
        <v>0</v>
      </c>
      <c r="I472" s="2496">
        <f t="shared" si="48"/>
        <v>0</v>
      </c>
      <c r="J472" s="2496">
        <f t="shared" si="48"/>
        <v>0</v>
      </c>
      <c r="K472" s="2496">
        <f t="shared" si="48"/>
        <v>0</v>
      </c>
      <c r="L472" s="2496">
        <f t="shared" si="48"/>
        <v>0</v>
      </c>
      <c r="M472" s="2496">
        <f t="shared" si="48"/>
        <v>0</v>
      </c>
      <c r="N472" s="2496">
        <f t="shared" si="48"/>
        <v>0</v>
      </c>
      <c r="O472" s="2496">
        <f t="shared" si="48"/>
        <v>0</v>
      </c>
      <c r="P472" s="2496">
        <f t="shared" si="48"/>
        <v>0</v>
      </c>
      <c r="Q472" s="2496">
        <f t="shared" si="48"/>
        <v>0</v>
      </c>
      <c r="R472" s="2496">
        <f t="shared" si="48"/>
        <v>0</v>
      </c>
      <c r="S472" s="2496">
        <f t="shared" si="48"/>
        <v>0</v>
      </c>
      <c r="T472" s="2496">
        <f t="shared" si="48"/>
        <v>0</v>
      </c>
      <c r="U472" s="2496">
        <f t="shared" si="48"/>
        <v>0</v>
      </c>
      <c r="V472" s="2496">
        <f t="shared" si="48"/>
        <v>0</v>
      </c>
      <c r="W472" s="2496">
        <f t="shared" si="48"/>
        <v>0</v>
      </c>
      <c r="X472" s="2496">
        <f t="shared" si="48"/>
        <v>0</v>
      </c>
      <c r="Y472" s="2496">
        <f t="shared" si="48"/>
        <v>0</v>
      </c>
      <c r="Z472" s="2496">
        <f t="shared" si="48"/>
        <v>0</v>
      </c>
      <c r="AA472" s="2496">
        <f t="shared" si="48"/>
        <v>0</v>
      </c>
      <c r="AB472" s="2496">
        <f t="shared" si="48"/>
        <v>0</v>
      </c>
      <c r="AC472" s="2496">
        <f t="shared" si="48"/>
        <v>0</v>
      </c>
      <c r="AD472" s="2496">
        <f t="shared" si="48"/>
        <v>0</v>
      </c>
      <c r="AE472" s="2496">
        <f t="shared" si="48"/>
        <v>0</v>
      </c>
      <c r="AF472" s="2496">
        <f t="shared" si="48"/>
        <v>0</v>
      </c>
      <c r="AG472" s="2496">
        <f t="shared" si="48"/>
        <v>0</v>
      </c>
      <c r="AH472" s="2496">
        <f t="shared" si="48"/>
        <v>0</v>
      </c>
      <c r="AI472" s="2496">
        <f t="shared" si="48"/>
        <v>0</v>
      </c>
      <c r="AJ472" s="2496">
        <f t="shared" si="48"/>
        <v>0</v>
      </c>
      <c r="AK472" s="2496">
        <f t="shared" si="48"/>
        <v>0</v>
      </c>
      <c r="AL472" s="2496">
        <f t="shared" si="48"/>
        <v>0</v>
      </c>
      <c r="AM472" s="2496">
        <f t="shared" si="48"/>
        <v>0</v>
      </c>
      <c r="AN472" s="2496">
        <f t="shared" si="48"/>
        <v>0</v>
      </c>
      <c r="AO472" s="2496">
        <f t="shared" si="48"/>
        <v>0</v>
      </c>
      <c r="AP472" s="2496">
        <f t="shared" si="48"/>
        <v>0</v>
      </c>
      <c r="AQ472" s="2496">
        <f t="shared" si="48"/>
        <v>0</v>
      </c>
      <c r="AR472" s="2496">
        <f t="shared" si="48"/>
        <v>0</v>
      </c>
      <c r="AS472" s="2496">
        <f t="shared" si="48"/>
        <v>0</v>
      </c>
    </row>
    <row r="473" spans="1:45" s="2490" customFormat="1" x14ac:dyDescent="0.2">
      <c r="B473" s="2511"/>
      <c r="C473" s="2495" t="s">
        <v>1369</v>
      </c>
      <c r="D473" s="2493" t="s">
        <v>1523</v>
      </c>
      <c r="G473" s="2496">
        <f t="shared" si="48"/>
        <v>93917.559018925356</v>
      </c>
      <c r="H473" s="2496">
        <f t="shared" si="48"/>
        <v>93609.414060176365</v>
      </c>
      <c r="I473" s="2496">
        <f t="shared" si="48"/>
        <v>93860.178823115508</v>
      </c>
      <c r="J473" s="2496">
        <f t="shared" si="48"/>
        <v>93832.717036087648</v>
      </c>
      <c r="K473" s="2496">
        <f t="shared" si="48"/>
        <v>93621.237386519366</v>
      </c>
      <c r="L473" s="2496">
        <f t="shared" si="48"/>
        <v>93212.208169453384</v>
      </c>
      <c r="M473" s="2496">
        <f t="shared" si="48"/>
        <v>92544.46576659703</v>
      </c>
      <c r="N473" s="2496">
        <f t="shared" si="48"/>
        <v>91903.82512502739</v>
      </c>
      <c r="O473" s="2496">
        <f t="shared" si="48"/>
        <v>91289.948132818303</v>
      </c>
      <c r="P473" s="2496">
        <f t="shared" si="48"/>
        <v>90680.929134382532</v>
      </c>
      <c r="Q473" s="2496">
        <f t="shared" si="48"/>
        <v>90047.396735682734</v>
      </c>
      <c r="R473" s="2496">
        <f t="shared" si="48"/>
        <v>89543.601840057192</v>
      </c>
      <c r="S473" s="2496">
        <f t="shared" si="48"/>
        <v>89142.470804139273</v>
      </c>
      <c r="T473" s="2496">
        <f t="shared" si="48"/>
        <v>88822.760273812411</v>
      </c>
      <c r="U473" s="2496">
        <f t="shared" si="48"/>
        <v>88567.737917798775</v>
      </c>
      <c r="V473" s="2496">
        <f t="shared" si="48"/>
        <v>88364.183676323562</v>
      </c>
      <c r="W473" s="2496">
        <f t="shared" si="48"/>
        <v>88201.626331806547</v>
      </c>
      <c r="X473" s="2496">
        <f t="shared" si="48"/>
        <v>88071.755171958313</v>
      </c>
      <c r="Y473" s="2496">
        <f t="shared" si="48"/>
        <v>87967.963470467526</v>
      </c>
      <c r="Z473" s="2496">
        <f t="shared" si="48"/>
        <v>87884.992224809292</v>
      </c>
      <c r="AA473" s="2496">
        <f t="shared" si="48"/>
        <v>87818.65081902557</v>
      </c>
      <c r="AB473" s="2496">
        <f t="shared" si="48"/>
        <v>87765.597150794551</v>
      </c>
      <c r="AC473" s="2496">
        <f t="shared" si="48"/>
        <v>87723.164014485345</v>
      </c>
      <c r="AD473" s="2496">
        <f t="shared" si="48"/>
        <v>87689.221654385736</v>
      </c>
      <c r="AE473" s="2496">
        <f t="shared" si="48"/>
        <v>87662.06872415304</v>
      </c>
      <c r="AF473" s="2496">
        <f t="shared" si="48"/>
        <v>87640.345634704223</v>
      </c>
      <c r="AG473" s="2496">
        <f t="shared" si="48"/>
        <v>87622.965599151576</v>
      </c>
      <c r="AH473" s="2496">
        <f t="shared" si="48"/>
        <v>87609.059699754042</v>
      </c>
      <c r="AI473" s="2496">
        <f t="shared" si="48"/>
        <v>87597.933086502962</v>
      </c>
      <c r="AJ473" s="2496">
        <f t="shared" si="48"/>
        <v>87589.030026595661</v>
      </c>
      <c r="AK473" s="2496">
        <f t="shared" si="48"/>
        <v>87581.906000256844</v>
      </c>
      <c r="AL473" s="2496">
        <f t="shared" si="48"/>
        <v>87576.205411998031</v>
      </c>
      <c r="AM473" s="2496">
        <f t="shared" si="48"/>
        <v>87571.643780667117</v>
      </c>
      <c r="AN473" s="2496">
        <f t="shared" si="48"/>
        <v>87567.99350406669</v>
      </c>
      <c r="AO473" s="2496">
        <f t="shared" si="48"/>
        <v>87565.072477994094</v>
      </c>
      <c r="AP473" s="2496">
        <f t="shared" si="48"/>
        <v>87562.734995605759</v>
      </c>
      <c r="AQ473" s="2496">
        <f t="shared" si="48"/>
        <v>87560.864469102002</v>
      </c>
      <c r="AR473" s="2496">
        <f t="shared" si="48"/>
        <v>87559.367608115426</v>
      </c>
      <c r="AS473" s="2496">
        <f t="shared" si="48"/>
        <v>87558.169762794627</v>
      </c>
    </row>
    <row r="474" spans="1:45" s="2490" customFormat="1" x14ac:dyDescent="0.2">
      <c r="B474" s="2511"/>
      <c r="C474" s="2495" t="s">
        <v>1370</v>
      </c>
      <c r="D474" s="2493" t="s">
        <v>1523</v>
      </c>
      <c r="G474" s="2496">
        <f t="shared" si="48"/>
        <v>0</v>
      </c>
      <c r="H474" s="2496">
        <f t="shared" si="48"/>
        <v>0</v>
      </c>
      <c r="I474" s="2496">
        <f t="shared" si="48"/>
        <v>0</v>
      </c>
      <c r="J474" s="2496">
        <f t="shared" si="48"/>
        <v>0</v>
      </c>
      <c r="K474" s="2496">
        <f t="shared" si="48"/>
        <v>0</v>
      </c>
      <c r="L474" s="2496">
        <f t="shared" si="48"/>
        <v>0</v>
      </c>
      <c r="M474" s="2496">
        <f t="shared" si="48"/>
        <v>0</v>
      </c>
      <c r="N474" s="2496">
        <f t="shared" si="48"/>
        <v>0</v>
      </c>
      <c r="O474" s="2496">
        <f t="shared" si="48"/>
        <v>0</v>
      </c>
      <c r="P474" s="2496">
        <f t="shared" si="48"/>
        <v>0</v>
      </c>
      <c r="Q474" s="2496">
        <f t="shared" si="48"/>
        <v>0</v>
      </c>
      <c r="R474" s="2496">
        <f t="shared" si="48"/>
        <v>0</v>
      </c>
      <c r="S474" s="2496">
        <f t="shared" si="48"/>
        <v>0</v>
      </c>
      <c r="T474" s="2496">
        <f t="shared" si="48"/>
        <v>0</v>
      </c>
      <c r="U474" s="2496">
        <f t="shared" si="48"/>
        <v>0</v>
      </c>
      <c r="V474" s="2496">
        <f t="shared" si="48"/>
        <v>0</v>
      </c>
      <c r="W474" s="2496">
        <f t="shared" si="48"/>
        <v>0</v>
      </c>
      <c r="X474" s="2496">
        <f t="shared" si="48"/>
        <v>0</v>
      </c>
      <c r="Y474" s="2496">
        <f t="shared" si="48"/>
        <v>0</v>
      </c>
      <c r="Z474" s="2496">
        <f t="shared" si="48"/>
        <v>0</v>
      </c>
      <c r="AA474" s="2496">
        <f t="shared" si="48"/>
        <v>0</v>
      </c>
      <c r="AB474" s="2496">
        <f t="shared" si="48"/>
        <v>0</v>
      </c>
      <c r="AC474" s="2496">
        <f t="shared" si="48"/>
        <v>0</v>
      </c>
      <c r="AD474" s="2496">
        <f t="shared" si="48"/>
        <v>0</v>
      </c>
      <c r="AE474" s="2496">
        <f t="shared" si="48"/>
        <v>0</v>
      </c>
      <c r="AF474" s="2496">
        <f t="shared" si="48"/>
        <v>0</v>
      </c>
      <c r="AG474" s="2496">
        <f t="shared" si="48"/>
        <v>0</v>
      </c>
      <c r="AH474" s="2496">
        <f t="shared" si="48"/>
        <v>0</v>
      </c>
      <c r="AI474" s="2496">
        <f t="shared" si="48"/>
        <v>0</v>
      </c>
      <c r="AJ474" s="2496">
        <f t="shared" si="48"/>
        <v>0</v>
      </c>
      <c r="AK474" s="2496">
        <f t="shared" si="48"/>
        <v>0</v>
      </c>
      <c r="AL474" s="2496">
        <f t="shared" si="48"/>
        <v>0</v>
      </c>
      <c r="AM474" s="2496">
        <f t="shared" si="48"/>
        <v>0</v>
      </c>
      <c r="AN474" s="2496">
        <f t="shared" si="48"/>
        <v>0</v>
      </c>
      <c r="AO474" s="2496">
        <f t="shared" si="48"/>
        <v>0</v>
      </c>
      <c r="AP474" s="2496">
        <f t="shared" si="48"/>
        <v>0</v>
      </c>
      <c r="AQ474" s="2496">
        <f t="shared" si="48"/>
        <v>0</v>
      </c>
      <c r="AR474" s="2496">
        <f t="shared" si="48"/>
        <v>0</v>
      </c>
      <c r="AS474" s="2496">
        <f t="shared" si="48"/>
        <v>0</v>
      </c>
    </row>
    <row r="475" spans="1:45" s="2490" customFormat="1" x14ac:dyDescent="0.2">
      <c r="B475" s="2511"/>
      <c r="C475" s="2495" t="s">
        <v>1371</v>
      </c>
      <c r="D475" s="2493" t="s">
        <v>1523</v>
      </c>
      <c r="G475" s="2496">
        <f t="shared" si="48"/>
        <v>0</v>
      </c>
      <c r="H475" s="2496">
        <f t="shared" si="48"/>
        <v>0</v>
      </c>
      <c r="I475" s="2496">
        <f t="shared" si="48"/>
        <v>0</v>
      </c>
      <c r="J475" s="2496">
        <f t="shared" si="48"/>
        <v>0</v>
      </c>
      <c r="K475" s="2496">
        <f t="shared" si="48"/>
        <v>0</v>
      </c>
      <c r="L475" s="2496">
        <f t="shared" si="48"/>
        <v>0</v>
      </c>
      <c r="M475" s="2496">
        <f t="shared" si="48"/>
        <v>0</v>
      </c>
      <c r="N475" s="2496">
        <f t="shared" si="48"/>
        <v>0</v>
      </c>
      <c r="O475" s="2496">
        <f t="shared" si="48"/>
        <v>0</v>
      </c>
      <c r="P475" s="2496">
        <f t="shared" si="48"/>
        <v>0</v>
      </c>
      <c r="Q475" s="2496">
        <f t="shared" si="48"/>
        <v>0</v>
      </c>
      <c r="R475" s="2496">
        <f t="shared" si="48"/>
        <v>0</v>
      </c>
      <c r="S475" s="2496">
        <f t="shared" si="48"/>
        <v>0</v>
      </c>
      <c r="T475" s="2496">
        <f t="shared" si="48"/>
        <v>0</v>
      </c>
      <c r="U475" s="2496">
        <f t="shared" si="48"/>
        <v>0</v>
      </c>
      <c r="V475" s="2496">
        <f t="shared" si="48"/>
        <v>0</v>
      </c>
      <c r="W475" s="2496">
        <f t="shared" si="48"/>
        <v>0</v>
      </c>
      <c r="X475" s="2496">
        <f t="shared" si="48"/>
        <v>0</v>
      </c>
      <c r="Y475" s="2496">
        <f t="shared" si="48"/>
        <v>0</v>
      </c>
      <c r="Z475" s="2496">
        <f t="shared" si="48"/>
        <v>0</v>
      </c>
      <c r="AA475" s="2496">
        <f t="shared" si="48"/>
        <v>0</v>
      </c>
      <c r="AB475" s="2496">
        <f t="shared" si="48"/>
        <v>0</v>
      </c>
      <c r="AC475" s="2496">
        <f t="shared" si="48"/>
        <v>0</v>
      </c>
      <c r="AD475" s="2496">
        <f t="shared" si="48"/>
        <v>0</v>
      </c>
      <c r="AE475" s="2496">
        <f t="shared" si="48"/>
        <v>0</v>
      </c>
      <c r="AF475" s="2496">
        <f t="shared" si="48"/>
        <v>0</v>
      </c>
      <c r="AG475" s="2496">
        <f t="shared" si="48"/>
        <v>0</v>
      </c>
      <c r="AH475" s="2496">
        <f t="shared" si="48"/>
        <v>0</v>
      </c>
      <c r="AI475" s="2496">
        <f t="shared" si="48"/>
        <v>0</v>
      </c>
      <c r="AJ475" s="2496">
        <f t="shared" si="48"/>
        <v>0</v>
      </c>
      <c r="AK475" s="2496">
        <f t="shared" si="48"/>
        <v>0</v>
      </c>
      <c r="AL475" s="2496">
        <f t="shared" si="48"/>
        <v>0</v>
      </c>
      <c r="AM475" s="2496">
        <f t="shared" si="48"/>
        <v>0</v>
      </c>
      <c r="AN475" s="2496">
        <f t="shared" si="48"/>
        <v>0</v>
      </c>
      <c r="AO475" s="2496">
        <f t="shared" si="48"/>
        <v>0</v>
      </c>
      <c r="AP475" s="2496">
        <f t="shared" si="48"/>
        <v>0</v>
      </c>
      <c r="AQ475" s="2496">
        <f t="shared" si="48"/>
        <v>0</v>
      </c>
      <c r="AR475" s="2496">
        <f t="shared" si="48"/>
        <v>0</v>
      </c>
      <c r="AS475" s="2496">
        <f t="shared" si="48"/>
        <v>0</v>
      </c>
    </row>
    <row r="476" spans="1:45" s="2490" customFormat="1" x14ac:dyDescent="0.2">
      <c r="B476" s="2511"/>
      <c r="C476" s="2489" t="s">
        <v>1372</v>
      </c>
      <c r="D476" s="2493" t="s">
        <v>1523</v>
      </c>
      <c r="G476" s="2496">
        <f t="shared" si="48"/>
        <v>0</v>
      </c>
      <c r="H476" s="2496">
        <f t="shared" si="48"/>
        <v>0</v>
      </c>
      <c r="I476" s="2496">
        <f t="shared" si="48"/>
        <v>0</v>
      </c>
      <c r="J476" s="2496">
        <f t="shared" si="48"/>
        <v>0</v>
      </c>
      <c r="K476" s="2496">
        <f t="shared" si="48"/>
        <v>0</v>
      </c>
      <c r="L476" s="2496">
        <f t="shared" si="48"/>
        <v>0</v>
      </c>
      <c r="M476" s="2496">
        <f t="shared" si="48"/>
        <v>0</v>
      </c>
      <c r="N476" s="2496">
        <f t="shared" si="48"/>
        <v>0</v>
      </c>
      <c r="O476" s="2496">
        <f t="shared" si="48"/>
        <v>0</v>
      </c>
      <c r="P476" s="2496">
        <f t="shared" si="48"/>
        <v>0</v>
      </c>
      <c r="Q476" s="2496">
        <f t="shared" si="48"/>
        <v>0</v>
      </c>
      <c r="R476" s="2496">
        <f t="shared" si="48"/>
        <v>0</v>
      </c>
      <c r="S476" s="2496">
        <f t="shared" si="48"/>
        <v>0</v>
      </c>
      <c r="T476" s="2496">
        <f t="shared" si="48"/>
        <v>0</v>
      </c>
      <c r="U476" s="2496">
        <f t="shared" si="48"/>
        <v>0</v>
      </c>
      <c r="V476" s="2496">
        <f t="shared" si="48"/>
        <v>0</v>
      </c>
      <c r="W476" s="2496">
        <f t="shared" si="48"/>
        <v>0</v>
      </c>
      <c r="X476" s="2496">
        <f t="shared" si="48"/>
        <v>0</v>
      </c>
      <c r="Y476" s="2496">
        <f t="shared" si="48"/>
        <v>0</v>
      </c>
      <c r="Z476" s="2496">
        <f t="shared" si="48"/>
        <v>0</v>
      </c>
      <c r="AA476" s="2496">
        <f t="shared" si="48"/>
        <v>0</v>
      </c>
      <c r="AB476" s="2496">
        <f t="shared" ref="AB476:AS476" si="49">AB80*AB164*AB183*$E$196*$D$217</f>
        <v>0</v>
      </c>
      <c r="AC476" s="2496">
        <f t="shared" si="49"/>
        <v>0</v>
      </c>
      <c r="AD476" s="2496">
        <f t="shared" si="49"/>
        <v>0</v>
      </c>
      <c r="AE476" s="2496">
        <f t="shared" si="49"/>
        <v>0</v>
      </c>
      <c r="AF476" s="2496">
        <f t="shared" si="49"/>
        <v>0</v>
      </c>
      <c r="AG476" s="2496">
        <f t="shared" si="49"/>
        <v>0</v>
      </c>
      <c r="AH476" s="2496">
        <f t="shared" si="49"/>
        <v>0</v>
      </c>
      <c r="AI476" s="2496">
        <f t="shared" si="49"/>
        <v>0</v>
      </c>
      <c r="AJ476" s="2496">
        <f t="shared" si="49"/>
        <v>0</v>
      </c>
      <c r="AK476" s="2496">
        <f t="shared" si="49"/>
        <v>0</v>
      </c>
      <c r="AL476" s="2496">
        <f t="shared" si="49"/>
        <v>0</v>
      </c>
      <c r="AM476" s="2496">
        <f t="shared" si="49"/>
        <v>0</v>
      </c>
      <c r="AN476" s="2496">
        <f t="shared" si="49"/>
        <v>0</v>
      </c>
      <c r="AO476" s="2496">
        <f t="shared" si="49"/>
        <v>0</v>
      </c>
      <c r="AP476" s="2496">
        <f t="shared" si="49"/>
        <v>0</v>
      </c>
      <c r="AQ476" s="2496">
        <f t="shared" si="49"/>
        <v>0</v>
      </c>
      <c r="AR476" s="2496">
        <f t="shared" si="49"/>
        <v>0</v>
      </c>
      <c r="AS476" s="2496">
        <f t="shared" si="49"/>
        <v>0</v>
      </c>
    </row>
    <row r="477" spans="1:45" s="2490" customFormat="1" x14ac:dyDescent="0.2">
      <c r="B477" s="2511"/>
      <c r="C477" s="2489" t="s">
        <v>1373</v>
      </c>
      <c r="D477" s="2493" t="s">
        <v>1523</v>
      </c>
      <c r="G477" s="2496">
        <f t="shared" ref="G477:AS483" si="50">G81*G165*G184*$E$196*$D$217</f>
        <v>0</v>
      </c>
      <c r="H477" s="2496">
        <f t="shared" si="50"/>
        <v>0</v>
      </c>
      <c r="I477" s="2496">
        <f t="shared" si="50"/>
        <v>0</v>
      </c>
      <c r="J477" s="2496">
        <f t="shared" si="50"/>
        <v>0</v>
      </c>
      <c r="K477" s="2496">
        <f t="shared" si="50"/>
        <v>0</v>
      </c>
      <c r="L477" s="2496">
        <f t="shared" si="50"/>
        <v>0</v>
      </c>
      <c r="M477" s="2496">
        <f t="shared" si="50"/>
        <v>0</v>
      </c>
      <c r="N477" s="2496">
        <f t="shared" si="50"/>
        <v>0</v>
      </c>
      <c r="O477" s="2496">
        <f t="shared" si="50"/>
        <v>0</v>
      </c>
      <c r="P477" s="2496">
        <f t="shared" si="50"/>
        <v>0</v>
      </c>
      <c r="Q477" s="2496">
        <f t="shared" si="50"/>
        <v>0</v>
      </c>
      <c r="R477" s="2496">
        <f t="shared" si="50"/>
        <v>0</v>
      </c>
      <c r="S477" s="2496">
        <f t="shared" si="50"/>
        <v>0</v>
      </c>
      <c r="T477" s="2496">
        <f t="shared" si="50"/>
        <v>0</v>
      </c>
      <c r="U477" s="2496">
        <f t="shared" si="50"/>
        <v>0</v>
      </c>
      <c r="V477" s="2496">
        <f t="shared" si="50"/>
        <v>0</v>
      </c>
      <c r="W477" s="2496">
        <f t="shared" si="50"/>
        <v>0</v>
      </c>
      <c r="X477" s="2496">
        <f t="shared" si="50"/>
        <v>0</v>
      </c>
      <c r="Y477" s="2496">
        <f t="shared" si="50"/>
        <v>0</v>
      </c>
      <c r="Z477" s="2496">
        <f t="shared" si="50"/>
        <v>0</v>
      </c>
      <c r="AA477" s="2496">
        <f t="shared" si="50"/>
        <v>0</v>
      </c>
      <c r="AB477" s="2496">
        <f t="shared" si="50"/>
        <v>0</v>
      </c>
      <c r="AC477" s="2496">
        <f t="shared" si="50"/>
        <v>0</v>
      </c>
      <c r="AD477" s="2496">
        <f t="shared" si="50"/>
        <v>0</v>
      </c>
      <c r="AE477" s="2496">
        <f t="shared" si="50"/>
        <v>0</v>
      </c>
      <c r="AF477" s="2496">
        <f t="shared" si="50"/>
        <v>0</v>
      </c>
      <c r="AG477" s="2496">
        <f t="shared" si="50"/>
        <v>0</v>
      </c>
      <c r="AH477" s="2496">
        <f t="shared" si="50"/>
        <v>0</v>
      </c>
      <c r="AI477" s="2496">
        <f t="shared" si="50"/>
        <v>0</v>
      </c>
      <c r="AJ477" s="2496">
        <f t="shared" si="50"/>
        <v>0</v>
      </c>
      <c r="AK477" s="2496">
        <f t="shared" si="50"/>
        <v>0</v>
      </c>
      <c r="AL477" s="2496">
        <f t="shared" si="50"/>
        <v>0</v>
      </c>
      <c r="AM477" s="2496">
        <f t="shared" si="50"/>
        <v>0</v>
      </c>
      <c r="AN477" s="2496">
        <f t="shared" si="50"/>
        <v>0</v>
      </c>
      <c r="AO477" s="2496">
        <f t="shared" si="50"/>
        <v>0</v>
      </c>
      <c r="AP477" s="2496">
        <f t="shared" si="50"/>
        <v>0</v>
      </c>
      <c r="AQ477" s="2496">
        <f t="shared" si="50"/>
        <v>0</v>
      </c>
      <c r="AR477" s="2496">
        <f t="shared" si="50"/>
        <v>0</v>
      </c>
      <c r="AS477" s="2496">
        <f t="shared" si="50"/>
        <v>0</v>
      </c>
    </row>
    <row r="478" spans="1:45" s="2490" customFormat="1" x14ac:dyDescent="0.2">
      <c r="B478" s="2511"/>
      <c r="C478" s="2489" t="s">
        <v>1374</v>
      </c>
      <c r="D478" s="2493" t="s">
        <v>1523</v>
      </c>
      <c r="G478" s="2496">
        <f t="shared" si="50"/>
        <v>0</v>
      </c>
      <c r="H478" s="2496">
        <f t="shared" si="50"/>
        <v>0</v>
      </c>
      <c r="I478" s="2496">
        <f t="shared" si="50"/>
        <v>0</v>
      </c>
      <c r="J478" s="2496">
        <f t="shared" si="50"/>
        <v>0</v>
      </c>
      <c r="K478" s="2496">
        <f t="shared" si="50"/>
        <v>0</v>
      </c>
      <c r="L478" s="2496">
        <f t="shared" si="50"/>
        <v>0</v>
      </c>
      <c r="M478" s="2496">
        <f t="shared" si="50"/>
        <v>0</v>
      </c>
      <c r="N478" s="2496">
        <f t="shared" si="50"/>
        <v>0</v>
      </c>
      <c r="O478" s="2496">
        <f t="shared" si="50"/>
        <v>0</v>
      </c>
      <c r="P478" s="2496">
        <f t="shared" si="50"/>
        <v>0</v>
      </c>
      <c r="Q478" s="2496">
        <f t="shared" si="50"/>
        <v>0</v>
      </c>
      <c r="R478" s="2496">
        <f t="shared" si="50"/>
        <v>0</v>
      </c>
      <c r="S478" s="2496">
        <f t="shared" si="50"/>
        <v>0</v>
      </c>
      <c r="T478" s="2496">
        <f t="shared" si="50"/>
        <v>0</v>
      </c>
      <c r="U478" s="2496">
        <f t="shared" si="50"/>
        <v>0</v>
      </c>
      <c r="V478" s="2496">
        <f t="shared" si="50"/>
        <v>0</v>
      </c>
      <c r="W478" s="2496">
        <f t="shared" si="50"/>
        <v>0</v>
      </c>
      <c r="X478" s="2496">
        <f t="shared" si="50"/>
        <v>0</v>
      </c>
      <c r="Y478" s="2496">
        <f t="shared" si="50"/>
        <v>0</v>
      </c>
      <c r="Z478" s="2496">
        <f t="shared" si="50"/>
        <v>0</v>
      </c>
      <c r="AA478" s="2496">
        <f t="shared" si="50"/>
        <v>0</v>
      </c>
      <c r="AB478" s="2496">
        <f t="shared" si="50"/>
        <v>0</v>
      </c>
      <c r="AC478" s="2496">
        <f t="shared" si="50"/>
        <v>0</v>
      </c>
      <c r="AD478" s="2496">
        <f t="shared" si="50"/>
        <v>0</v>
      </c>
      <c r="AE478" s="2496">
        <f t="shared" si="50"/>
        <v>0</v>
      </c>
      <c r="AF478" s="2496">
        <f t="shared" si="50"/>
        <v>0</v>
      </c>
      <c r="AG478" s="2496">
        <f t="shared" si="50"/>
        <v>0</v>
      </c>
      <c r="AH478" s="2496">
        <f t="shared" si="50"/>
        <v>0</v>
      </c>
      <c r="AI478" s="2496">
        <f t="shared" si="50"/>
        <v>0</v>
      </c>
      <c r="AJ478" s="2496">
        <f t="shared" si="50"/>
        <v>0</v>
      </c>
      <c r="AK478" s="2496">
        <f t="shared" si="50"/>
        <v>0</v>
      </c>
      <c r="AL478" s="2496">
        <f t="shared" si="50"/>
        <v>0</v>
      </c>
      <c r="AM478" s="2496">
        <f t="shared" si="50"/>
        <v>0</v>
      </c>
      <c r="AN478" s="2496">
        <f t="shared" si="50"/>
        <v>0</v>
      </c>
      <c r="AO478" s="2496">
        <f t="shared" si="50"/>
        <v>0</v>
      </c>
      <c r="AP478" s="2496">
        <f t="shared" si="50"/>
        <v>0</v>
      </c>
      <c r="AQ478" s="2496">
        <f t="shared" si="50"/>
        <v>0</v>
      </c>
      <c r="AR478" s="2496">
        <f t="shared" si="50"/>
        <v>0</v>
      </c>
      <c r="AS478" s="2496">
        <f t="shared" si="50"/>
        <v>0</v>
      </c>
    </row>
    <row r="479" spans="1:45" s="2490" customFormat="1" x14ac:dyDescent="0.2">
      <c r="B479" s="2511"/>
      <c r="C479" s="2489" t="s">
        <v>1375</v>
      </c>
      <c r="D479" s="2493" t="s">
        <v>1523</v>
      </c>
      <c r="G479" s="2496">
        <f t="shared" si="50"/>
        <v>0</v>
      </c>
      <c r="H479" s="2496">
        <f t="shared" si="50"/>
        <v>0</v>
      </c>
      <c r="I479" s="2496">
        <f t="shared" si="50"/>
        <v>0</v>
      </c>
      <c r="J479" s="2496">
        <f t="shared" si="50"/>
        <v>0</v>
      </c>
      <c r="K479" s="2496">
        <f t="shared" si="50"/>
        <v>0</v>
      </c>
      <c r="L479" s="2496">
        <f t="shared" si="50"/>
        <v>0</v>
      </c>
      <c r="M479" s="2496">
        <f t="shared" si="50"/>
        <v>0</v>
      </c>
      <c r="N479" s="2496">
        <f t="shared" si="50"/>
        <v>0</v>
      </c>
      <c r="O479" s="2496">
        <f t="shared" si="50"/>
        <v>0</v>
      </c>
      <c r="P479" s="2496">
        <f t="shared" si="50"/>
        <v>0</v>
      </c>
      <c r="Q479" s="2496">
        <f t="shared" si="50"/>
        <v>0</v>
      </c>
      <c r="R479" s="2496">
        <f t="shared" si="50"/>
        <v>0</v>
      </c>
      <c r="S479" s="2496">
        <f t="shared" si="50"/>
        <v>0</v>
      </c>
      <c r="T479" s="2496">
        <f t="shared" si="50"/>
        <v>0</v>
      </c>
      <c r="U479" s="2496">
        <f t="shared" si="50"/>
        <v>0</v>
      </c>
      <c r="V479" s="2496">
        <f t="shared" si="50"/>
        <v>0</v>
      </c>
      <c r="W479" s="2496">
        <f t="shared" si="50"/>
        <v>0</v>
      </c>
      <c r="X479" s="2496">
        <f t="shared" si="50"/>
        <v>0</v>
      </c>
      <c r="Y479" s="2496">
        <f t="shared" si="50"/>
        <v>0</v>
      </c>
      <c r="Z479" s="2496">
        <f t="shared" si="50"/>
        <v>0</v>
      </c>
      <c r="AA479" s="2496">
        <f t="shared" si="50"/>
        <v>0</v>
      </c>
      <c r="AB479" s="2496">
        <f t="shared" si="50"/>
        <v>0</v>
      </c>
      <c r="AC479" s="2496">
        <f t="shared" si="50"/>
        <v>0</v>
      </c>
      <c r="AD479" s="2496">
        <f t="shared" si="50"/>
        <v>0</v>
      </c>
      <c r="AE479" s="2496">
        <f t="shared" si="50"/>
        <v>0</v>
      </c>
      <c r="AF479" s="2496">
        <f t="shared" si="50"/>
        <v>0</v>
      </c>
      <c r="AG479" s="2496">
        <f t="shared" si="50"/>
        <v>0</v>
      </c>
      <c r="AH479" s="2496">
        <f t="shared" si="50"/>
        <v>0</v>
      </c>
      <c r="AI479" s="2496">
        <f t="shared" si="50"/>
        <v>0</v>
      </c>
      <c r="AJ479" s="2496">
        <f t="shared" si="50"/>
        <v>0</v>
      </c>
      <c r="AK479" s="2496">
        <f t="shared" si="50"/>
        <v>0</v>
      </c>
      <c r="AL479" s="2496">
        <f t="shared" si="50"/>
        <v>0</v>
      </c>
      <c r="AM479" s="2496">
        <f t="shared" si="50"/>
        <v>0</v>
      </c>
      <c r="AN479" s="2496">
        <f t="shared" si="50"/>
        <v>0</v>
      </c>
      <c r="AO479" s="2496">
        <f t="shared" si="50"/>
        <v>0</v>
      </c>
      <c r="AP479" s="2496">
        <f t="shared" si="50"/>
        <v>0</v>
      </c>
      <c r="AQ479" s="2496">
        <f t="shared" si="50"/>
        <v>0</v>
      </c>
      <c r="AR479" s="2496">
        <f t="shared" si="50"/>
        <v>0</v>
      </c>
      <c r="AS479" s="2496">
        <f t="shared" si="50"/>
        <v>0</v>
      </c>
    </row>
    <row r="480" spans="1:45" s="2490" customFormat="1" x14ac:dyDescent="0.2">
      <c r="B480" s="2511"/>
      <c r="C480" s="2489" t="s">
        <v>1376</v>
      </c>
      <c r="D480" s="2493" t="s">
        <v>1523</v>
      </c>
      <c r="G480" s="2496">
        <f t="shared" si="50"/>
        <v>0</v>
      </c>
      <c r="H480" s="2496">
        <f t="shared" si="50"/>
        <v>0</v>
      </c>
      <c r="I480" s="2496">
        <f t="shared" si="50"/>
        <v>0</v>
      </c>
      <c r="J480" s="2496">
        <f t="shared" si="50"/>
        <v>0</v>
      </c>
      <c r="K480" s="2496">
        <f t="shared" si="50"/>
        <v>0</v>
      </c>
      <c r="L480" s="2496">
        <f t="shared" si="50"/>
        <v>0</v>
      </c>
      <c r="M480" s="2496">
        <f t="shared" si="50"/>
        <v>0</v>
      </c>
      <c r="N480" s="2496">
        <f t="shared" si="50"/>
        <v>0</v>
      </c>
      <c r="O480" s="2496">
        <f t="shared" si="50"/>
        <v>0</v>
      </c>
      <c r="P480" s="2496">
        <f t="shared" si="50"/>
        <v>0</v>
      </c>
      <c r="Q480" s="2496">
        <f t="shared" si="50"/>
        <v>0</v>
      </c>
      <c r="R480" s="2496">
        <f t="shared" si="50"/>
        <v>0</v>
      </c>
      <c r="S480" s="2496">
        <f t="shared" si="50"/>
        <v>0</v>
      </c>
      <c r="T480" s="2496">
        <f t="shared" si="50"/>
        <v>0</v>
      </c>
      <c r="U480" s="2496">
        <f t="shared" si="50"/>
        <v>0</v>
      </c>
      <c r="V480" s="2496">
        <f t="shared" si="50"/>
        <v>0</v>
      </c>
      <c r="W480" s="2496">
        <f t="shared" si="50"/>
        <v>0</v>
      </c>
      <c r="X480" s="2496">
        <f t="shared" si="50"/>
        <v>0</v>
      </c>
      <c r="Y480" s="2496">
        <f t="shared" si="50"/>
        <v>0</v>
      </c>
      <c r="Z480" s="2496">
        <f t="shared" si="50"/>
        <v>0</v>
      </c>
      <c r="AA480" s="2496">
        <f t="shared" si="50"/>
        <v>0</v>
      </c>
      <c r="AB480" s="2496">
        <f t="shared" si="50"/>
        <v>0</v>
      </c>
      <c r="AC480" s="2496">
        <f t="shared" si="50"/>
        <v>0</v>
      </c>
      <c r="AD480" s="2496">
        <f t="shared" si="50"/>
        <v>0</v>
      </c>
      <c r="AE480" s="2496">
        <f t="shared" si="50"/>
        <v>0</v>
      </c>
      <c r="AF480" s="2496">
        <f t="shared" si="50"/>
        <v>0</v>
      </c>
      <c r="AG480" s="2496">
        <f t="shared" si="50"/>
        <v>0</v>
      </c>
      <c r="AH480" s="2496">
        <f t="shared" si="50"/>
        <v>0</v>
      </c>
      <c r="AI480" s="2496">
        <f t="shared" si="50"/>
        <v>0</v>
      </c>
      <c r="AJ480" s="2496">
        <f t="shared" si="50"/>
        <v>0</v>
      </c>
      <c r="AK480" s="2496">
        <f t="shared" si="50"/>
        <v>0</v>
      </c>
      <c r="AL480" s="2496">
        <f t="shared" si="50"/>
        <v>0</v>
      </c>
      <c r="AM480" s="2496">
        <f t="shared" si="50"/>
        <v>0</v>
      </c>
      <c r="AN480" s="2496">
        <f t="shared" si="50"/>
        <v>0</v>
      </c>
      <c r="AO480" s="2496">
        <f t="shared" si="50"/>
        <v>0</v>
      </c>
      <c r="AP480" s="2496">
        <f t="shared" si="50"/>
        <v>0</v>
      </c>
      <c r="AQ480" s="2496">
        <f t="shared" si="50"/>
        <v>0</v>
      </c>
      <c r="AR480" s="2496">
        <f t="shared" si="50"/>
        <v>0</v>
      </c>
      <c r="AS480" s="2496">
        <f t="shared" si="50"/>
        <v>0</v>
      </c>
    </row>
    <row r="481" spans="1:45" s="2490" customFormat="1" x14ac:dyDescent="0.2">
      <c r="B481" s="2511"/>
      <c r="C481" s="2489" t="s">
        <v>1377</v>
      </c>
      <c r="D481" s="2493" t="s">
        <v>1523</v>
      </c>
      <c r="G481" s="2496">
        <f t="shared" si="50"/>
        <v>0</v>
      </c>
      <c r="H481" s="2496">
        <f t="shared" si="50"/>
        <v>0</v>
      </c>
      <c r="I481" s="2496">
        <f t="shared" si="50"/>
        <v>0</v>
      </c>
      <c r="J481" s="2496">
        <f t="shared" si="50"/>
        <v>0</v>
      </c>
      <c r="K481" s="2496">
        <f t="shared" si="50"/>
        <v>0</v>
      </c>
      <c r="L481" s="2496">
        <f t="shared" si="50"/>
        <v>0</v>
      </c>
      <c r="M481" s="2496">
        <f t="shared" si="50"/>
        <v>0</v>
      </c>
      <c r="N481" s="2496">
        <f t="shared" si="50"/>
        <v>0</v>
      </c>
      <c r="O481" s="2496">
        <f t="shared" si="50"/>
        <v>0</v>
      </c>
      <c r="P481" s="2496">
        <f t="shared" si="50"/>
        <v>0</v>
      </c>
      <c r="Q481" s="2496">
        <f t="shared" si="50"/>
        <v>0</v>
      </c>
      <c r="R481" s="2496">
        <f t="shared" si="50"/>
        <v>0</v>
      </c>
      <c r="S481" s="2496">
        <f t="shared" si="50"/>
        <v>0</v>
      </c>
      <c r="T481" s="2496">
        <f t="shared" si="50"/>
        <v>0</v>
      </c>
      <c r="U481" s="2496">
        <f t="shared" si="50"/>
        <v>0</v>
      </c>
      <c r="V481" s="2496">
        <f t="shared" si="50"/>
        <v>0</v>
      </c>
      <c r="W481" s="2496">
        <f t="shared" si="50"/>
        <v>0</v>
      </c>
      <c r="X481" s="2496">
        <f t="shared" si="50"/>
        <v>0</v>
      </c>
      <c r="Y481" s="2496">
        <f t="shared" si="50"/>
        <v>0</v>
      </c>
      <c r="Z481" s="2496">
        <f t="shared" si="50"/>
        <v>0</v>
      </c>
      <c r="AA481" s="2496">
        <f t="shared" si="50"/>
        <v>0</v>
      </c>
      <c r="AB481" s="2496">
        <f t="shared" si="50"/>
        <v>0</v>
      </c>
      <c r="AC481" s="2496">
        <f t="shared" si="50"/>
        <v>0</v>
      </c>
      <c r="AD481" s="2496">
        <f t="shared" si="50"/>
        <v>0</v>
      </c>
      <c r="AE481" s="2496">
        <f t="shared" si="50"/>
        <v>0</v>
      </c>
      <c r="AF481" s="2496">
        <f t="shared" si="50"/>
        <v>0</v>
      </c>
      <c r="AG481" s="2496">
        <f t="shared" si="50"/>
        <v>0</v>
      </c>
      <c r="AH481" s="2496">
        <f t="shared" si="50"/>
        <v>0</v>
      </c>
      <c r="AI481" s="2496">
        <f t="shared" si="50"/>
        <v>0</v>
      </c>
      <c r="AJ481" s="2496">
        <f t="shared" si="50"/>
        <v>0</v>
      </c>
      <c r="AK481" s="2496">
        <f t="shared" si="50"/>
        <v>0</v>
      </c>
      <c r="AL481" s="2496">
        <f t="shared" si="50"/>
        <v>0</v>
      </c>
      <c r="AM481" s="2496">
        <f t="shared" si="50"/>
        <v>0</v>
      </c>
      <c r="AN481" s="2496">
        <f t="shared" si="50"/>
        <v>0</v>
      </c>
      <c r="AO481" s="2496">
        <f t="shared" si="50"/>
        <v>0</v>
      </c>
      <c r="AP481" s="2496">
        <f t="shared" si="50"/>
        <v>0</v>
      </c>
      <c r="AQ481" s="2496">
        <f t="shared" si="50"/>
        <v>0</v>
      </c>
      <c r="AR481" s="2496">
        <f t="shared" si="50"/>
        <v>0</v>
      </c>
      <c r="AS481" s="2496">
        <f t="shared" si="50"/>
        <v>0</v>
      </c>
    </row>
    <row r="482" spans="1:45" s="2490" customFormat="1" x14ac:dyDescent="0.2">
      <c r="B482" s="2511"/>
      <c r="C482" s="2495" t="s">
        <v>1378</v>
      </c>
      <c r="D482" s="2493" t="s">
        <v>1523</v>
      </c>
      <c r="G482" s="2496">
        <f t="shared" si="50"/>
        <v>139034.440477355</v>
      </c>
      <c r="H482" s="2496">
        <f t="shared" si="50"/>
        <v>144003.42016418756</v>
      </c>
      <c r="I482" s="2496">
        <f t="shared" si="50"/>
        <v>149481.88306026164</v>
      </c>
      <c r="J482" s="2496">
        <f t="shared" si="50"/>
        <v>155148.42559596899</v>
      </c>
      <c r="K482" s="2496">
        <f t="shared" si="50"/>
        <v>160865.97955848917</v>
      </c>
      <c r="L482" s="2496">
        <f t="shared" si="50"/>
        <v>166581.35173781551</v>
      </c>
      <c r="M482" s="2496">
        <f t="shared" si="50"/>
        <v>172641.72587991631</v>
      </c>
      <c r="N482" s="2496">
        <f t="shared" si="50"/>
        <v>178930.45377083251</v>
      </c>
      <c r="O482" s="2496">
        <f t="shared" si="50"/>
        <v>185115.32542334954</v>
      </c>
      <c r="P482" s="2496">
        <f t="shared" si="50"/>
        <v>191344.82314332816</v>
      </c>
      <c r="Q482" s="2496">
        <f t="shared" si="50"/>
        <v>197623.39228924958</v>
      </c>
      <c r="R482" s="2496">
        <f t="shared" si="50"/>
        <v>203677.63616721076</v>
      </c>
      <c r="S482" s="2496">
        <f t="shared" si="50"/>
        <v>209569.33159817121</v>
      </c>
      <c r="T482" s="2496">
        <f t="shared" si="50"/>
        <v>215338.50242558081</v>
      </c>
      <c r="U482" s="2496">
        <f t="shared" si="50"/>
        <v>221010.25884923656</v>
      </c>
      <c r="V482" s="2496">
        <f t="shared" si="50"/>
        <v>226598.62272883215</v>
      </c>
      <c r="W482" s="2496">
        <f t="shared" si="50"/>
        <v>232111.57110280829</v>
      </c>
      <c r="X482" s="2496">
        <f t="shared" si="50"/>
        <v>237580.28966252753</v>
      </c>
      <c r="Y482" s="2496">
        <f t="shared" si="50"/>
        <v>243025.81537075434</v>
      </c>
      <c r="Z482" s="2496">
        <f t="shared" si="50"/>
        <v>248460.89927013541</v>
      </c>
      <c r="AA482" s="2496">
        <f t="shared" si="50"/>
        <v>253893.13348687961</v>
      </c>
      <c r="AB482" s="2496">
        <f t="shared" si="50"/>
        <v>259320.55400640049</v>
      </c>
      <c r="AC482" s="2496">
        <f t="shared" si="50"/>
        <v>264746.30327905738</v>
      </c>
      <c r="AD482" s="2496">
        <f t="shared" si="50"/>
        <v>270171.26457434881</v>
      </c>
      <c r="AE482" s="2496">
        <f t="shared" si="50"/>
        <v>275594.74258636462</v>
      </c>
      <c r="AF482" s="2496">
        <f t="shared" si="50"/>
        <v>281015.6522759056</v>
      </c>
      <c r="AG482" s="2496">
        <f t="shared" si="50"/>
        <v>286431.20626939065</v>
      </c>
      <c r="AH482" s="2496">
        <f t="shared" si="50"/>
        <v>291838.12178182177</v>
      </c>
      <c r="AI482" s="2496">
        <f t="shared" si="50"/>
        <v>297232.75703370996</v>
      </c>
      <c r="AJ482" s="2496">
        <f t="shared" si="50"/>
        <v>302618.94553599792</v>
      </c>
      <c r="AK482" s="2496">
        <f t="shared" si="50"/>
        <v>307990.39680105867</v>
      </c>
      <c r="AL482" s="2496">
        <f t="shared" si="50"/>
        <v>313342.16301643575</v>
      </c>
      <c r="AM482" s="2496">
        <f t="shared" si="50"/>
        <v>318667.81003395724</v>
      </c>
      <c r="AN482" s="2496">
        <f t="shared" si="50"/>
        <v>323962.25821827468</v>
      </c>
      <c r="AO482" s="2496">
        <f t="shared" si="50"/>
        <v>329221.3978407252</v>
      </c>
      <c r="AP482" s="2496">
        <f t="shared" si="50"/>
        <v>334439.26101905707</v>
      </c>
      <c r="AQ482" s="2496">
        <f t="shared" si="50"/>
        <v>339611.11042643903</v>
      </c>
      <c r="AR482" s="2496">
        <f t="shared" si="50"/>
        <v>344732.21654700593</v>
      </c>
      <c r="AS482" s="2496">
        <f t="shared" si="50"/>
        <v>349797.85575500585</v>
      </c>
    </row>
    <row r="483" spans="1:45" s="2490" customFormat="1" x14ac:dyDescent="0.2">
      <c r="B483" s="2511"/>
      <c r="C483" s="2495" t="s">
        <v>1379</v>
      </c>
      <c r="D483" s="2493" t="s">
        <v>1523</v>
      </c>
      <c r="G483" s="2496">
        <f t="shared" si="50"/>
        <v>2319.5836884493001</v>
      </c>
      <c r="H483" s="2496">
        <f t="shared" si="50"/>
        <v>2402.483754003129</v>
      </c>
      <c r="I483" s="2496">
        <f t="shared" si="50"/>
        <v>2493.8837922086118</v>
      </c>
      <c r="J483" s="2496">
        <f t="shared" si="50"/>
        <v>2588.4216606000896</v>
      </c>
      <c r="K483" s="2496">
        <f t="shared" si="50"/>
        <v>2683.8105790850059</v>
      </c>
      <c r="L483" s="2496">
        <f t="shared" si="50"/>
        <v>2779.1630977491968</v>
      </c>
      <c r="M483" s="2496">
        <f t="shared" si="50"/>
        <v>2880.2714631128611</v>
      </c>
      <c r="N483" s="2496">
        <f t="shared" si="50"/>
        <v>2985.1895725164168</v>
      </c>
      <c r="O483" s="2496">
        <f t="shared" si="50"/>
        <v>3088.3749944239303</v>
      </c>
      <c r="P483" s="2496">
        <f t="shared" si="50"/>
        <v>3192.304936162705</v>
      </c>
      <c r="Q483" s="2496">
        <f t="shared" si="50"/>
        <v>3297.0535619541133</v>
      </c>
      <c r="R483" s="2496">
        <f t="shared" si="50"/>
        <v>3398.0596529413328</v>
      </c>
      <c r="S483" s="2496">
        <f t="shared" si="50"/>
        <v>3496.3538638724208</v>
      </c>
      <c r="T483" s="2496">
        <f t="shared" si="50"/>
        <v>3592.6039332882538</v>
      </c>
      <c r="U483" s="2496">
        <f t="shared" si="50"/>
        <v>3687.2287876768473</v>
      </c>
      <c r="V483" s="2496">
        <f t="shared" si="50"/>
        <v>3780.4623609966939</v>
      </c>
      <c r="W483" s="2496">
        <f t="shared" si="50"/>
        <v>3872.4377383178335</v>
      </c>
      <c r="X483" s="2496">
        <f t="shared" si="50"/>
        <v>3963.6752067054636</v>
      </c>
      <c r="Y483" s="2496">
        <f t="shared" si="50"/>
        <v>4054.5257367213821</v>
      </c>
      <c r="Z483" s="2496">
        <f t="shared" si="50"/>
        <v>4145.2020606240985</v>
      </c>
      <c r="AA483" s="2496">
        <f t="shared" si="50"/>
        <v>4235.8308417932403</v>
      </c>
      <c r="AB483" s="2496">
        <f t="shared" ref="AB483:AS483" si="51">AB87*AB171*AB190*$E$196*$D$217</f>
        <v>4326.3793135547103</v>
      </c>
      <c r="AC483" s="2496">
        <f t="shared" si="51"/>
        <v>4416.8999030378618</v>
      </c>
      <c r="AD483" s="2496">
        <f t="shared" si="51"/>
        <v>4507.4073462859005</v>
      </c>
      <c r="AE483" s="2496">
        <f t="shared" si="51"/>
        <v>4597.8900431496631</v>
      </c>
      <c r="AF483" s="2496">
        <f t="shared" si="51"/>
        <v>4688.3298913573735</v>
      </c>
      <c r="AG483" s="2496">
        <f t="shared" si="51"/>
        <v>4778.6803877097527</v>
      </c>
      <c r="AH483" s="2496">
        <f t="shared" si="51"/>
        <v>4868.886763801881</v>
      </c>
      <c r="AI483" s="2496">
        <f t="shared" si="51"/>
        <v>4958.8882619375263</v>
      </c>
      <c r="AJ483" s="2496">
        <f t="shared" si="51"/>
        <v>5048.7488385682163</v>
      </c>
      <c r="AK483" s="2496">
        <f t="shared" si="51"/>
        <v>5138.3635462259545</v>
      </c>
      <c r="AL483" s="2496">
        <f t="shared" si="51"/>
        <v>5227.64983798907</v>
      </c>
      <c r="AM483" s="2496">
        <f t="shared" si="51"/>
        <v>5316.5003696261811</v>
      </c>
      <c r="AN483" s="2496">
        <f t="shared" si="51"/>
        <v>5404.8303949459378</v>
      </c>
      <c r="AO483" s="2496">
        <f t="shared" si="51"/>
        <v>5492.5713492133109</v>
      </c>
      <c r="AP483" s="2496">
        <f t="shared" si="51"/>
        <v>5579.623667153126</v>
      </c>
      <c r="AQ483" s="2496">
        <f t="shared" si="51"/>
        <v>5665.9083134845732</v>
      </c>
      <c r="AR483" s="2496">
        <f t="shared" si="51"/>
        <v>5751.3463832412517</v>
      </c>
      <c r="AS483" s="2496">
        <f t="shared" si="51"/>
        <v>5835.8590697245654</v>
      </c>
    </row>
    <row r="484" spans="1:45" s="2490" customFormat="1" x14ac:dyDescent="0.2">
      <c r="B484" s="2511"/>
      <c r="C484" s="2495" t="s">
        <v>1380</v>
      </c>
      <c r="D484" s="2493" t="s">
        <v>1523</v>
      </c>
      <c r="G484" s="2496">
        <f t="shared" ref="G484:AS485" si="52">G88*G172*G191*$E$196*$D$217</f>
        <v>404692.84579471318</v>
      </c>
      <c r="H484" s="2496">
        <f t="shared" si="52"/>
        <v>419156.24438326585</v>
      </c>
      <c r="I484" s="2496">
        <f t="shared" si="52"/>
        <v>435102.61517010763</v>
      </c>
      <c r="J484" s="2496">
        <f t="shared" si="52"/>
        <v>451596.43653349637</v>
      </c>
      <c r="K484" s="2496">
        <f t="shared" si="52"/>
        <v>468238.73880142969</v>
      </c>
      <c r="L484" s="2496">
        <f t="shared" si="52"/>
        <v>484874.69046985259</v>
      </c>
      <c r="M484" s="2496">
        <f t="shared" si="52"/>
        <v>502514.85250256083</v>
      </c>
      <c r="N484" s="2496">
        <f t="shared" si="52"/>
        <v>520819.6924966338</v>
      </c>
      <c r="O484" s="2496">
        <f t="shared" si="52"/>
        <v>538822.2341786701</v>
      </c>
      <c r="P484" s="2496">
        <f t="shared" si="52"/>
        <v>556954.67065638187</v>
      </c>
      <c r="Q484" s="2496">
        <f t="shared" si="52"/>
        <v>575229.94120415417</v>
      </c>
      <c r="R484" s="2496">
        <f t="shared" si="52"/>
        <v>592852.25964334968</v>
      </c>
      <c r="S484" s="2496">
        <f t="shared" si="52"/>
        <v>610001.44212162518</v>
      </c>
      <c r="T484" s="2496">
        <f t="shared" si="52"/>
        <v>626793.98756579158</v>
      </c>
      <c r="U484" s="2496">
        <f t="shared" si="52"/>
        <v>643302.98519158154</v>
      </c>
      <c r="V484" s="2496">
        <f t="shared" si="52"/>
        <v>659569.2489605092</v>
      </c>
      <c r="W484" s="2496">
        <f t="shared" si="52"/>
        <v>675615.99794244324</v>
      </c>
      <c r="X484" s="2496">
        <f t="shared" si="52"/>
        <v>691534.00551800919</v>
      </c>
      <c r="Y484" s="2496">
        <f t="shared" si="52"/>
        <v>707384.50477664091</v>
      </c>
      <c r="Z484" s="2496">
        <f t="shared" si="52"/>
        <v>723204.61066423065</v>
      </c>
      <c r="AA484" s="2496">
        <f t="shared" si="52"/>
        <v>739016.42187194142</v>
      </c>
      <c r="AB484" s="2496">
        <f t="shared" si="52"/>
        <v>754814.22166764934</v>
      </c>
      <c r="AC484" s="2496">
        <f t="shared" si="52"/>
        <v>770607.15690140345</v>
      </c>
      <c r="AD484" s="2496">
        <f t="shared" si="52"/>
        <v>786397.79853940266</v>
      </c>
      <c r="AE484" s="2496">
        <f t="shared" si="52"/>
        <v>802184.12272823008</v>
      </c>
      <c r="AF484" s="2496">
        <f t="shared" si="52"/>
        <v>817962.97120292706</v>
      </c>
      <c r="AG484" s="2496">
        <f t="shared" si="52"/>
        <v>833726.23064895859</v>
      </c>
      <c r="AH484" s="2496">
        <f t="shared" si="52"/>
        <v>849464.34573889384</v>
      </c>
      <c r="AI484" s="2496">
        <f t="shared" si="52"/>
        <v>865166.71620635118</v>
      </c>
      <c r="AJ484" s="2496">
        <f t="shared" si="52"/>
        <v>880844.50039776333</v>
      </c>
      <c r="AK484" s="2496">
        <f t="shared" si="52"/>
        <v>896479.38835100469</v>
      </c>
      <c r="AL484" s="2496">
        <f t="shared" si="52"/>
        <v>912056.97827975114</v>
      </c>
      <c r="AM484" s="2496">
        <f t="shared" si="52"/>
        <v>927558.54206365347</v>
      </c>
      <c r="AN484" s="2496">
        <f t="shared" si="52"/>
        <v>942969.29421447078</v>
      </c>
      <c r="AO484" s="2496">
        <f t="shared" si="52"/>
        <v>958277.27238832368</v>
      </c>
      <c r="AP484" s="2496">
        <f t="shared" si="52"/>
        <v>973465.10564285121</v>
      </c>
      <c r="AQ484" s="2496">
        <f t="shared" si="52"/>
        <v>988519.00486026134</v>
      </c>
      <c r="AR484" s="2496">
        <f t="shared" si="52"/>
        <v>1003425.2036584396</v>
      </c>
      <c r="AS484" s="2496">
        <f t="shared" si="52"/>
        <v>1018169.9527998485</v>
      </c>
    </row>
    <row r="485" spans="1:45" s="2490" customFormat="1" x14ac:dyDescent="0.2">
      <c r="B485" s="2488"/>
      <c r="C485" s="2489" t="s">
        <v>1381</v>
      </c>
      <c r="D485" s="2493" t="s">
        <v>1523</v>
      </c>
      <c r="G485" s="2496">
        <f t="shared" si="52"/>
        <v>562212.35386632301</v>
      </c>
      <c r="H485" s="2496">
        <f t="shared" si="52"/>
        <v>571460.45391944132</v>
      </c>
      <c r="I485" s="2496">
        <f t="shared" si="52"/>
        <v>583477.00852065964</v>
      </c>
      <c r="J485" s="2496">
        <f t="shared" si="52"/>
        <v>595205.79850253917</v>
      </c>
      <c r="K485" s="2496">
        <f t="shared" si="52"/>
        <v>606921.27092043054</v>
      </c>
      <c r="L485" s="2496">
        <f t="shared" si="52"/>
        <v>618522.97482351016</v>
      </c>
      <c r="M485" s="2496">
        <f t="shared" si="52"/>
        <v>629877.43064845505</v>
      </c>
      <c r="N485" s="2496">
        <f t="shared" si="52"/>
        <v>641173.13794030994</v>
      </c>
      <c r="O485" s="2496">
        <f t="shared" si="52"/>
        <v>652395.33731260116</v>
      </c>
      <c r="P485" s="2496">
        <f t="shared" si="52"/>
        <v>663459.95207291737</v>
      </c>
      <c r="Q485" s="2496">
        <f t="shared" si="52"/>
        <v>674254.58014695277</v>
      </c>
      <c r="R485" s="2496">
        <f t="shared" si="52"/>
        <v>685724.95690162748</v>
      </c>
      <c r="S485" s="2496">
        <f t="shared" si="52"/>
        <v>697571.10080263962</v>
      </c>
      <c r="T485" s="2496">
        <f t="shared" si="52"/>
        <v>709596.13400424551</v>
      </c>
      <c r="U485" s="2496">
        <f t="shared" si="52"/>
        <v>721669.46880644187</v>
      </c>
      <c r="V485" s="2496">
        <f t="shared" si="52"/>
        <v>733700.94893743424</v>
      </c>
      <c r="W485" s="2496">
        <f t="shared" si="52"/>
        <v>745630.52845887933</v>
      </c>
      <c r="X485" s="2496">
        <f t="shared" si="52"/>
        <v>757486.95367098728</v>
      </c>
      <c r="Y485" s="2496">
        <f t="shared" si="52"/>
        <v>769287.61525945121</v>
      </c>
      <c r="Z485" s="2496">
        <f t="shared" si="52"/>
        <v>781039.57008303492</v>
      </c>
      <c r="AA485" s="2496">
        <f t="shared" si="52"/>
        <v>792744.81264442566</v>
      </c>
      <c r="AB485" s="2496">
        <f t="shared" si="52"/>
        <v>804387.34932423767</v>
      </c>
      <c r="AC485" s="2496">
        <f t="shared" si="52"/>
        <v>815968.86924784537</v>
      </c>
      <c r="AD485" s="2496">
        <f t="shared" si="52"/>
        <v>827487.89829480043</v>
      </c>
      <c r="AE485" s="2496">
        <f t="shared" si="52"/>
        <v>838940.94172855141</v>
      </c>
      <c r="AF485" s="2496">
        <f t="shared" si="52"/>
        <v>850324.9441264749</v>
      </c>
      <c r="AG485" s="2496">
        <f t="shared" si="52"/>
        <v>861633.69457384443</v>
      </c>
      <c r="AH485" s="2496">
        <f t="shared" si="52"/>
        <v>872860.66558094684</v>
      </c>
      <c r="AI485" s="2496">
        <f t="shared" si="52"/>
        <v>883999.12362806161</v>
      </c>
      <c r="AJ485" s="2496">
        <f t="shared" si="52"/>
        <v>895060.44142759906</v>
      </c>
      <c r="AK485" s="2496">
        <f t="shared" si="52"/>
        <v>906031.37875274336</v>
      </c>
      <c r="AL485" s="2496">
        <f t="shared" si="52"/>
        <v>916902.82078848861</v>
      </c>
      <c r="AM485" s="2496">
        <f t="shared" si="52"/>
        <v>927662.6785395972</v>
      </c>
      <c r="AN485" s="2496">
        <f t="shared" si="52"/>
        <v>938302.5587869446</v>
      </c>
      <c r="AO485" s="2496">
        <f t="shared" si="52"/>
        <v>948816.49793463422</v>
      </c>
      <c r="AP485" s="2496">
        <f t="shared" si="52"/>
        <v>959194.29771372024</v>
      </c>
      <c r="AQ485" s="2496">
        <f t="shared" si="52"/>
        <v>969428.86662163911</v>
      </c>
      <c r="AR485" s="2496">
        <f t="shared" si="52"/>
        <v>979513.17838425282</v>
      </c>
      <c r="AS485" s="2496">
        <f t="shared" si="52"/>
        <v>989440.27002136176</v>
      </c>
    </row>
    <row r="486" spans="1:45" s="2490" customFormat="1" x14ac:dyDescent="0.2">
      <c r="B486" s="2488"/>
      <c r="C486" s="2514" t="s">
        <v>118</v>
      </c>
      <c r="D486" s="2498" t="s">
        <v>1523</v>
      </c>
      <c r="E486" s="2507"/>
      <c r="F486" s="2507"/>
      <c r="G486" s="2500">
        <f>SUM(G470:G485)</f>
        <v>1738685.2103573219</v>
      </c>
      <c r="H486" s="2500">
        <f t="shared" ref="H486:AS486" si="53">SUM(H470:H485)</f>
        <v>1765380.1513724374</v>
      </c>
      <c r="I486" s="2500">
        <f t="shared" si="53"/>
        <v>1800596.2098384481</v>
      </c>
      <c r="J486" s="2500">
        <f t="shared" si="53"/>
        <v>1834395.5630641165</v>
      </c>
      <c r="K486" s="2500">
        <f t="shared" si="53"/>
        <v>1867146.7136393962</v>
      </c>
      <c r="L486" s="2500">
        <f t="shared" si="53"/>
        <v>1898449.4662500969</v>
      </c>
      <c r="M486" s="2500">
        <f t="shared" si="53"/>
        <v>1929123.3146543847</v>
      </c>
      <c r="N486" s="2500">
        <f t="shared" si="53"/>
        <v>1960817.1778139549</v>
      </c>
      <c r="O486" s="2500">
        <f t="shared" si="53"/>
        <v>1992209.2980581406</v>
      </c>
      <c r="P486" s="2500">
        <f t="shared" si="53"/>
        <v>2023651.7085826495</v>
      </c>
      <c r="Q486" s="2500">
        <f t="shared" si="53"/>
        <v>2054852.3092606266</v>
      </c>
      <c r="R486" s="2500">
        <f t="shared" si="53"/>
        <v>2086718.5077362284</v>
      </c>
      <c r="S486" s="2500">
        <f t="shared" si="53"/>
        <v>2119011.2130072112</v>
      </c>
      <c r="T486" s="2500">
        <f t="shared" si="53"/>
        <v>2151548.1407333035</v>
      </c>
      <c r="U486" s="2500">
        <f t="shared" si="53"/>
        <v>2184185.005003971</v>
      </c>
      <c r="V486" s="2500">
        <f t="shared" si="53"/>
        <v>2216797.9790359885</v>
      </c>
      <c r="W486" s="2500">
        <f t="shared" si="53"/>
        <v>2249288.0575489765</v>
      </c>
      <c r="X486" s="2500">
        <f t="shared" si="53"/>
        <v>2281750.6801591143</v>
      </c>
      <c r="Y486" s="2500">
        <f t="shared" si="53"/>
        <v>2314241.5106169642</v>
      </c>
      <c r="Z486" s="2500">
        <f t="shared" si="53"/>
        <v>2346782.3832028471</v>
      </c>
      <c r="AA486" s="2500">
        <f t="shared" si="53"/>
        <v>2379376.9801955204</v>
      </c>
      <c r="AB486" s="2500">
        <f t="shared" si="53"/>
        <v>2411979.1604448124</v>
      </c>
      <c r="AC486" s="2500">
        <f t="shared" si="53"/>
        <v>2444585.051061688</v>
      </c>
      <c r="AD486" s="2500">
        <f t="shared" si="53"/>
        <v>2477182.3508130852</v>
      </c>
      <c r="AE486" s="2500">
        <f t="shared" si="53"/>
        <v>2509753.4138364587</v>
      </c>
      <c r="AF486" s="2500">
        <f t="shared" si="53"/>
        <v>2542281.7969977497</v>
      </c>
      <c r="AG486" s="2500">
        <f t="shared" si="53"/>
        <v>2574743.0470833457</v>
      </c>
      <c r="AH486" s="2500">
        <f t="shared" si="53"/>
        <v>2607111.911071918</v>
      </c>
      <c r="AI486" s="2500">
        <f t="shared" si="53"/>
        <v>2639362.6884271512</v>
      </c>
      <c r="AJ486" s="2500">
        <f t="shared" si="53"/>
        <v>2671518.0772929778</v>
      </c>
      <c r="AK486" s="2500">
        <f t="shared" si="53"/>
        <v>2703537.1481856778</v>
      </c>
      <c r="AL486" s="2500">
        <f t="shared" si="53"/>
        <v>2735388.9671932752</v>
      </c>
      <c r="AM486" s="2500">
        <f t="shared" si="53"/>
        <v>2767034.266114804</v>
      </c>
      <c r="AN486" s="2500">
        <f t="shared" si="53"/>
        <v>2798443.1740710144</v>
      </c>
      <c r="AO486" s="2500">
        <f t="shared" si="53"/>
        <v>2829592.3644457967</v>
      </c>
      <c r="AP486" s="2500">
        <f t="shared" si="53"/>
        <v>2860447.2225163463</v>
      </c>
      <c r="AQ486" s="2500">
        <f t="shared" si="53"/>
        <v>2890981.268699164</v>
      </c>
      <c r="AR486" s="2500">
        <f t="shared" si="53"/>
        <v>2921168.2757012323</v>
      </c>
      <c r="AS486" s="2500">
        <f t="shared" si="53"/>
        <v>2950982.227781761</v>
      </c>
    </row>
    <row r="487" spans="1:45" s="2490" customFormat="1" x14ac:dyDescent="0.2">
      <c r="B487" s="2488"/>
      <c r="C487" s="2501"/>
      <c r="D487" s="2516"/>
      <c r="E487" s="2517"/>
      <c r="F487" s="2517"/>
      <c r="G487" s="2517"/>
      <c r="H487" s="2517"/>
      <c r="I487" s="2517"/>
      <c r="J487" s="2517"/>
      <c r="K487" s="2517"/>
      <c r="L487" s="2517"/>
      <c r="M487" s="2517"/>
      <c r="N487" s="2517"/>
      <c r="O487" s="2517"/>
      <c r="P487" s="2517"/>
      <c r="Q487" s="2517"/>
      <c r="R487" s="2517"/>
      <c r="S487" s="2517"/>
      <c r="T487" s="2517"/>
      <c r="U487" s="2517"/>
      <c r="V487" s="2517"/>
      <c r="W487" s="2517"/>
      <c r="X487" s="2517"/>
      <c r="Y487" s="2517"/>
      <c r="Z487" s="2517"/>
      <c r="AA487" s="2517"/>
      <c r="AB487" s="2517"/>
      <c r="AC487" s="2517"/>
      <c r="AD487" s="2517"/>
      <c r="AE487" s="2517"/>
      <c r="AF487" s="2517"/>
      <c r="AG487" s="2517"/>
      <c r="AH487" s="2517"/>
      <c r="AI487" s="2517"/>
      <c r="AJ487" s="2517"/>
      <c r="AK487" s="2517"/>
      <c r="AL487" s="2517"/>
      <c r="AM487" s="2517"/>
      <c r="AN487" s="2517"/>
      <c r="AO487" s="2517"/>
      <c r="AP487" s="2517"/>
      <c r="AQ487" s="2517"/>
    </row>
    <row r="488" spans="1:45" s="2490" customFormat="1" x14ac:dyDescent="0.2">
      <c r="B488" s="2488"/>
      <c r="C488" s="2501"/>
      <c r="D488" s="2516"/>
      <c r="E488" s="2517"/>
      <c r="F488" s="2517"/>
      <c r="G488" s="2517"/>
      <c r="H488" s="2517"/>
      <c r="I488" s="2517"/>
      <c r="J488" s="2517"/>
      <c r="K488" s="2517"/>
      <c r="L488" s="2517"/>
      <c r="M488" s="2517"/>
      <c r="N488" s="2517"/>
      <c r="O488" s="2517"/>
      <c r="P488" s="2517"/>
      <c r="Q488" s="2517"/>
      <c r="R488" s="2517"/>
      <c r="S488" s="2517"/>
      <c r="T488" s="2517"/>
      <c r="U488" s="2517"/>
      <c r="V488" s="2517"/>
      <c r="W488" s="2517"/>
      <c r="X488" s="2517"/>
      <c r="Y488" s="2517"/>
      <c r="Z488" s="2517"/>
      <c r="AA488" s="2517"/>
      <c r="AB488" s="2517"/>
      <c r="AC488" s="2517"/>
      <c r="AD488" s="2517"/>
      <c r="AE488" s="2517"/>
      <c r="AF488" s="2517"/>
      <c r="AG488" s="2517"/>
      <c r="AH488" s="2517"/>
      <c r="AI488" s="2517"/>
      <c r="AJ488" s="2517"/>
      <c r="AK488" s="2517"/>
      <c r="AL488" s="2517"/>
      <c r="AM488" s="2517"/>
      <c r="AN488" s="2517"/>
      <c r="AO488" s="2517"/>
      <c r="AP488" s="2517"/>
      <c r="AQ488" s="2517"/>
    </row>
    <row r="489" spans="1:45" s="2490" customFormat="1" x14ac:dyDescent="0.2">
      <c r="A489" s="2488"/>
      <c r="B489" s="2488" t="s">
        <v>1534</v>
      </c>
      <c r="C489" s="2489" t="s">
        <v>1535</v>
      </c>
      <c r="D489" s="2516"/>
      <c r="E489" s="2517"/>
      <c r="F489" s="2517"/>
      <c r="G489" s="2517"/>
      <c r="H489" s="2517"/>
      <c r="I489" s="2517"/>
      <c r="J489" s="2517"/>
      <c r="K489" s="2517"/>
      <c r="L489" s="2517"/>
      <c r="M489" s="2517"/>
      <c r="N489" s="2517"/>
      <c r="O489" s="2517"/>
      <c r="P489" s="2517"/>
      <c r="Q489" s="2517"/>
      <c r="R489" s="2517"/>
      <c r="S489" s="2517"/>
      <c r="T489" s="2517"/>
      <c r="U489" s="2517"/>
      <c r="V489" s="2517"/>
      <c r="W489" s="2517"/>
      <c r="X489" s="2517"/>
      <c r="Y489" s="2517"/>
      <c r="Z489" s="2517"/>
      <c r="AA489" s="2517"/>
      <c r="AB489" s="2517"/>
      <c r="AC489" s="2517"/>
      <c r="AD489" s="2517"/>
      <c r="AE489" s="2517"/>
      <c r="AF489" s="2517"/>
      <c r="AG489" s="2517"/>
      <c r="AH489" s="2517"/>
      <c r="AI489" s="2517"/>
      <c r="AJ489" s="2517"/>
      <c r="AK489" s="2517"/>
      <c r="AL489" s="2517"/>
      <c r="AM489" s="2517"/>
      <c r="AN489" s="2517"/>
      <c r="AO489" s="2517"/>
      <c r="AP489" s="2517"/>
      <c r="AQ489" s="2517"/>
    </row>
    <row r="490" spans="1:45" s="2490" customFormat="1" x14ac:dyDescent="0.2">
      <c r="A490" s="2488"/>
      <c r="B490" s="3606" t="s">
        <v>1536</v>
      </c>
      <c r="C490" s="2513"/>
      <c r="D490" s="2513" t="s">
        <v>1029</v>
      </c>
      <c r="E490" s="2492" t="s">
        <v>8</v>
      </c>
      <c r="F490" s="2492"/>
      <c r="G490" s="2492">
        <v>2012</v>
      </c>
      <c r="H490" s="2492">
        <v>2013</v>
      </c>
      <c r="I490" s="2492">
        <v>2014</v>
      </c>
      <c r="J490" s="2492">
        <v>2015</v>
      </c>
      <c r="K490" s="2492">
        <v>2016</v>
      </c>
      <c r="L490" s="2492">
        <v>2017</v>
      </c>
      <c r="M490" s="2492">
        <v>2018</v>
      </c>
      <c r="N490" s="2492">
        <v>2019</v>
      </c>
      <c r="O490" s="2492">
        <v>2020</v>
      </c>
      <c r="P490" s="2492">
        <v>2021</v>
      </c>
      <c r="Q490" s="2492">
        <v>2022</v>
      </c>
      <c r="R490" s="2492">
        <v>2023</v>
      </c>
      <c r="S490" s="2492">
        <v>2024</v>
      </c>
      <c r="T490" s="2492">
        <v>2025</v>
      </c>
      <c r="U490" s="2492">
        <v>2026</v>
      </c>
      <c r="V490" s="2492">
        <v>2027</v>
      </c>
      <c r="W490" s="2492">
        <v>2028</v>
      </c>
      <c r="X490" s="2492">
        <v>2029</v>
      </c>
      <c r="Y490" s="2492">
        <v>2030</v>
      </c>
      <c r="Z490" s="2492">
        <v>2031</v>
      </c>
      <c r="AA490" s="2492">
        <v>2032</v>
      </c>
      <c r="AB490" s="2492">
        <v>2033</v>
      </c>
      <c r="AC490" s="2492">
        <v>2034</v>
      </c>
      <c r="AD490" s="2492">
        <v>2035</v>
      </c>
      <c r="AE490" s="2492">
        <v>2036</v>
      </c>
      <c r="AF490" s="2492">
        <v>2037</v>
      </c>
      <c r="AG490" s="2492">
        <v>2038</v>
      </c>
      <c r="AH490" s="2492">
        <v>2039</v>
      </c>
      <c r="AI490" s="2492">
        <v>2040</v>
      </c>
      <c r="AJ490" s="2492">
        <v>2041</v>
      </c>
      <c r="AK490" s="2492">
        <v>2042</v>
      </c>
      <c r="AL490" s="2492">
        <v>2043</v>
      </c>
      <c r="AM490" s="2492">
        <v>2044</v>
      </c>
      <c r="AN490" s="2492">
        <v>2045</v>
      </c>
      <c r="AO490" s="2492">
        <v>2046</v>
      </c>
      <c r="AP490" s="2492">
        <v>2047</v>
      </c>
      <c r="AQ490" s="2492">
        <v>2048</v>
      </c>
      <c r="AR490" s="2492">
        <v>2049</v>
      </c>
      <c r="AS490" s="2492">
        <v>2050</v>
      </c>
    </row>
    <row r="491" spans="1:45" s="2490" customFormat="1" x14ac:dyDescent="0.2">
      <c r="B491" s="3606"/>
      <c r="C491" s="2489" t="s">
        <v>1364</v>
      </c>
      <c r="D491" s="2502"/>
      <c r="G491" s="2517"/>
      <c r="H491" s="2517"/>
      <c r="I491" s="2517"/>
      <c r="J491" s="2517"/>
      <c r="K491" s="2517"/>
      <c r="L491" s="2517"/>
      <c r="M491" s="2517"/>
      <c r="N491" s="2517"/>
      <c r="O491" s="2517"/>
      <c r="P491" s="2517"/>
      <c r="Q491" s="2517"/>
      <c r="R491" s="2517"/>
      <c r="S491" s="2517"/>
      <c r="T491" s="2517"/>
      <c r="U491" s="2517"/>
      <c r="V491" s="2517"/>
      <c r="W491" s="2517"/>
      <c r="X491" s="2517"/>
      <c r="Y491" s="2517"/>
      <c r="Z491" s="2517"/>
      <c r="AA491" s="2517"/>
      <c r="AB491" s="2517"/>
      <c r="AC491" s="2517"/>
      <c r="AD491" s="2517"/>
      <c r="AE491" s="2517"/>
      <c r="AF491" s="2517"/>
      <c r="AG491" s="2517"/>
      <c r="AH491" s="2517"/>
      <c r="AI491" s="2517"/>
      <c r="AJ491" s="2517"/>
      <c r="AK491" s="2517"/>
      <c r="AL491" s="2517"/>
      <c r="AM491" s="2517"/>
      <c r="AN491" s="2517"/>
      <c r="AO491" s="2517"/>
      <c r="AP491" s="2517"/>
      <c r="AQ491" s="2517"/>
      <c r="AR491" s="2517"/>
      <c r="AS491" s="2517"/>
    </row>
    <row r="492" spans="1:45" s="2490" customFormat="1" x14ac:dyDescent="0.2">
      <c r="B492" s="3606"/>
      <c r="C492" s="2495" t="s">
        <v>1366</v>
      </c>
      <c r="D492" s="2493" t="s">
        <v>1523</v>
      </c>
      <c r="G492" s="2496">
        <f t="shared" ref="G492:AS498" si="54">G74*G158*G177*$E$206*$E$203*$D$217</f>
        <v>104549.92883154885</v>
      </c>
      <c r="H492" s="2496">
        <f t="shared" si="54"/>
        <v>104206.89890356152</v>
      </c>
      <c r="I492" s="2496">
        <f t="shared" si="54"/>
        <v>104486.05264640387</v>
      </c>
      <c r="J492" s="2496">
        <f t="shared" si="54"/>
        <v>104455.48192129834</v>
      </c>
      <c r="K492" s="2496">
        <f t="shared" si="54"/>
        <v>104220.06074401636</v>
      </c>
      <c r="L492" s="2496">
        <f t="shared" si="54"/>
        <v>103764.72549061975</v>
      </c>
      <c r="M492" s="2496">
        <f t="shared" si="54"/>
        <v>103021.38823371373</v>
      </c>
      <c r="N492" s="2496">
        <f t="shared" si="54"/>
        <v>102308.2209177999</v>
      </c>
      <c r="O492" s="2496">
        <f t="shared" si="54"/>
        <v>101624.84715343438</v>
      </c>
      <c r="P492" s="2496">
        <f t="shared" si="54"/>
        <v>100946.88135440111</v>
      </c>
      <c r="Q492" s="2496">
        <f t="shared" si="54"/>
        <v>100241.62700272874</v>
      </c>
      <c r="R492" s="2496">
        <f t="shared" si="54"/>
        <v>99680.79768568126</v>
      </c>
      <c r="S492" s="2496">
        <f t="shared" si="54"/>
        <v>99234.254763405188</v>
      </c>
      <c r="T492" s="2496">
        <f t="shared" si="54"/>
        <v>98878.349930043507</v>
      </c>
      <c r="U492" s="2496">
        <f t="shared" si="54"/>
        <v>98594.456593694034</v>
      </c>
      <c r="V492" s="2496">
        <f t="shared" si="54"/>
        <v>98367.858056829311</v>
      </c>
      <c r="W492" s="2496">
        <f t="shared" si="54"/>
        <v>98186.897659457041</v>
      </c>
      <c r="X492" s="2496">
        <f t="shared" si="54"/>
        <v>98042.323836827505</v>
      </c>
      <c r="Y492" s="2496">
        <f t="shared" si="54"/>
        <v>97926.781917749482</v>
      </c>
      <c r="Z492" s="2496">
        <f t="shared" si="54"/>
        <v>97834.41753009666</v>
      </c>
      <c r="AA492" s="2496">
        <f t="shared" si="54"/>
        <v>97760.565639931228</v>
      </c>
      <c r="AB492" s="2496">
        <f t="shared" si="54"/>
        <v>97701.505786845693</v>
      </c>
      <c r="AC492" s="2496">
        <f t="shared" si="54"/>
        <v>97654.268811911825</v>
      </c>
      <c r="AD492" s="2496">
        <f t="shared" si="54"/>
        <v>97616.483850613266</v>
      </c>
      <c r="AE492" s="2496">
        <f t="shared" si="54"/>
        <v>97586.256947858841</v>
      </c>
      <c r="AF492" s="2496">
        <f t="shared" si="54"/>
        <v>97562.074596021761</v>
      </c>
      <c r="AG492" s="2496">
        <f t="shared" si="54"/>
        <v>97542.726973499404</v>
      </c>
      <c r="AH492" s="2496">
        <f t="shared" si="54"/>
        <v>97527.246792715974</v>
      </c>
      <c r="AI492" s="2496">
        <f t="shared" si="54"/>
        <v>97514.860539967412</v>
      </c>
      <c r="AJ492" s="2496">
        <f t="shared" si="54"/>
        <v>97504.94956815966</v>
      </c>
      <c r="AK492" s="2496">
        <f t="shared" si="54"/>
        <v>97497.019033608944</v>
      </c>
      <c r="AL492" s="2496">
        <f t="shared" si="54"/>
        <v>97490.673084001828</v>
      </c>
      <c r="AM492" s="2496">
        <f t="shared" si="54"/>
        <v>97485.595032187193</v>
      </c>
      <c r="AN492" s="2496">
        <f t="shared" si="54"/>
        <v>97481.531509212611</v>
      </c>
      <c r="AO492" s="2496">
        <f t="shared" si="54"/>
        <v>97478.27979493048</v>
      </c>
      <c r="AP492" s="2496">
        <f t="shared" si="54"/>
        <v>97475.67768708292</v>
      </c>
      <c r="AQ492" s="2496">
        <f t="shared" si="54"/>
        <v>97473.595399011479</v>
      </c>
      <c r="AR492" s="2496">
        <f t="shared" si="54"/>
        <v>97471.929078983012</v>
      </c>
      <c r="AS492" s="2496">
        <f t="shared" si="54"/>
        <v>97470.595626065915</v>
      </c>
    </row>
    <row r="493" spans="1:45" s="2490" customFormat="1" x14ac:dyDescent="0.2">
      <c r="B493" s="3606"/>
      <c r="C493" s="2495" t="s">
        <v>1367</v>
      </c>
      <c r="D493" s="2493" t="s">
        <v>1523</v>
      </c>
      <c r="G493" s="2496">
        <f t="shared" si="54"/>
        <v>2751.7566707623719</v>
      </c>
      <c r="H493" s="2496">
        <f t="shared" si="54"/>
        <v>2742.728114711118</v>
      </c>
      <c r="I493" s="2496">
        <f t="shared" si="54"/>
        <v>2750.0754480151168</v>
      </c>
      <c r="J493" s="2496">
        <f t="shared" si="54"/>
        <v>2749.2708257864901</v>
      </c>
      <c r="K493" s="2496">
        <f t="shared" si="54"/>
        <v>2743.0745346721433</v>
      </c>
      <c r="L493" s="2496">
        <f t="shared" si="54"/>
        <v>2731.0900997234962</v>
      </c>
      <c r="M493" s="2496">
        <f t="shared" si="54"/>
        <v>2711.5254450347975</v>
      </c>
      <c r="N493" s="2496">
        <f t="shared" si="54"/>
        <v>2692.7548639271108</v>
      </c>
      <c r="O493" s="2496">
        <f t="shared" si="54"/>
        <v>2674.7684498211115</v>
      </c>
      <c r="P493" s="2496">
        <f t="shared" si="54"/>
        <v>2656.9243734942461</v>
      </c>
      <c r="Q493" s="2496">
        <f t="shared" si="54"/>
        <v>2638.3620617979318</v>
      </c>
      <c r="R493" s="2496">
        <f t="shared" si="54"/>
        <v>2623.6010205271054</v>
      </c>
      <c r="S493" s="2496">
        <f t="shared" si="54"/>
        <v>2611.8479999474866</v>
      </c>
      <c r="T493" s="2496">
        <f t="shared" si="54"/>
        <v>2602.4805760735057</v>
      </c>
      <c r="U493" s="2496">
        <f t="shared" si="54"/>
        <v>2595.0084965530764</v>
      </c>
      <c r="V493" s="2496">
        <f t="shared" si="54"/>
        <v>2589.0444175491862</v>
      </c>
      <c r="W493" s="2496">
        <f t="shared" si="54"/>
        <v>2584.2815354872073</v>
      </c>
      <c r="X493" s="2496">
        <f t="shared" si="54"/>
        <v>2580.4763489578168</v>
      </c>
      <c r="Y493" s="2496">
        <f t="shared" si="54"/>
        <v>2577.4352828363099</v>
      </c>
      <c r="Z493" s="2496">
        <f t="shared" si="54"/>
        <v>2575.0042499058704</v>
      </c>
      <c r="AA493" s="2496">
        <f t="shared" si="54"/>
        <v>2573.0604663597469</v>
      </c>
      <c r="AB493" s="2496">
        <f t="shared" si="54"/>
        <v>2571.5060095894878</v>
      </c>
      <c r="AC493" s="2496">
        <f t="shared" si="54"/>
        <v>2570.2627312598552</v>
      </c>
      <c r="AD493" s="2496">
        <f t="shared" si="54"/>
        <v>2569.2682301590908</v>
      </c>
      <c r="AE493" s="2496">
        <f t="shared" si="54"/>
        <v>2568.4726573431108</v>
      </c>
      <c r="AF493" s="2496">
        <f t="shared" si="54"/>
        <v>2567.8361772543526</v>
      </c>
      <c r="AG493" s="2496">
        <f t="shared" si="54"/>
        <v>2567.3269473587966</v>
      </c>
      <c r="AH493" s="2496">
        <f t="shared" si="54"/>
        <v>2566.919508623912</v>
      </c>
      <c r="AI493" s="2496">
        <f t="shared" si="54"/>
        <v>2566.5935021501859</v>
      </c>
      <c r="AJ493" s="2496">
        <f t="shared" si="54"/>
        <v>2566.3326451310518</v>
      </c>
      <c r="AK493" s="2496">
        <f t="shared" si="54"/>
        <v>2566.1239132687106</v>
      </c>
      <c r="AL493" s="2496">
        <f t="shared" si="54"/>
        <v>2565.9568877206411</v>
      </c>
      <c r="AM493" s="2496">
        <f t="shared" si="54"/>
        <v>2565.8232332733205</v>
      </c>
      <c r="AN493" s="2496">
        <f t="shared" si="54"/>
        <v>2565.7162812497559</v>
      </c>
      <c r="AO493" s="2496">
        <f t="shared" si="54"/>
        <v>2565.6306960507295</v>
      </c>
      <c r="AP493" s="2496">
        <f t="shared" si="54"/>
        <v>2565.5622085088671</v>
      </c>
      <c r="AQ493" s="2496">
        <f t="shared" si="54"/>
        <v>2565.5074026361599</v>
      </c>
      <c r="AR493" s="2496">
        <f t="shared" si="54"/>
        <v>2565.4635450524661</v>
      </c>
      <c r="AS493" s="2496">
        <f t="shared" si="54"/>
        <v>2565.4284485392427</v>
      </c>
    </row>
    <row r="494" spans="1:45" s="2490" customFormat="1" x14ac:dyDescent="0.2">
      <c r="B494" s="2488"/>
      <c r="C494" s="2495" t="s">
        <v>1368</v>
      </c>
      <c r="D494" s="2493" t="s">
        <v>1523</v>
      </c>
      <c r="G494" s="2496">
        <f t="shared" si="54"/>
        <v>0</v>
      </c>
      <c r="H494" s="2496">
        <f t="shared" si="54"/>
        <v>0</v>
      </c>
      <c r="I494" s="2496">
        <f t="shared" si="54"/>
        <v>0</v>
      </c>
      <c r="J494" s="2496">
        <f t="shared" si="54"/>
        <v>0</v>
      </c>
      <c r="K494" s="2496">
        <f t="shared" si="54"/>
        <v>0</v>
      </c>
      <c r="L494" s="2496">
        <f t="shared" si="54"/>
        <v>0</v>
      </c>
      <c r="M494" s="2496">
        <f t="shared" si="54"/>
        <v>0</v>
      </c>
      <c r="N494" s="2496">
        <f t="shared" si="54"/>
        <v>0</v>
      </c>
      <c r="O494" s="2496">
        <f t="shared" si="54"/>
        <v>0</v>
      </c>
      <c r="P494" s="2496">
        <f t="shared" si="54"/>
        <v>0</v>
      </c>
      <c r="Q494" s="2496">
        <f t="shared" si="54"/>
        <v>0</v>
      </c>
      <c r="R494" s="2496">
        <f t="shared" si="54"/>
        <v>0</v>
      </c>
      <c r="S494" s="2496">
        <f t="shared" si="54"/>
        <v>0</v>
      </c>
      <c r="T494" s="2496">
        <f t="shared" si="54"/>
        <v>0</v>
      </c>
      <c r="U494" s="2496">
        <f t="shared" si="54"/>
        <v>0</v>
      </c>
      <c r="V494" s="2496">
        <f t="shared" si="54"/>
        <v>0</v>
      </c>
      <c r="W494" s="2496">
        <f t="shared" si="54"/>
        <v>0</v>
      </c>
      <c r="X494" s="2496">
        <f t="shared" si="54"/>
        <v>0</v>
      </c>
      <c r="Y494" s="2496">
        <f t="shared" si="54"/>
        <v>0</v>
      </c>
      <c r="Z494" s="2496">
        <f t="shared" si="54"/>
        <v>0</v>
      </c>
      <c r="AA494" s="2496">
        <f t="shared" si="54"/>
        <v>0</v>
      </c>
      <c r="AB494" s="2496">
        <f t="shared" si="54"/>
        <v>0</v>
      </c>
      <c r="AC494" s="2496">
        <f t="shared" si="54"/>
        <v>0</v>
      </c>
      <c r="AD494" s="2496">
        <f t="shared" si="54"/>
        <v>0</v>
      </c>
      <c r="AE494" s="2496">
        <f t="shared" si="54"/>
        <v>0</v>
      </c>
      <c r="AF494" s="2496">
        <f t="shared" si="54"/>
        <v>0</v>
      </c>
      <c r="AG494" s="2496">
        <f t="shared" si="54"/>
        <v>0</v>
      </c>
      <c r="AH494" s="2496">
        <f t="shared" si="54"/>
        <v>0</v>
      </c>
      <c r="AI494" s="2496">
        <f t="shared" si="54"/>
        <v>0</v>
      </c>
      <c r="AJ494" s="2496">
        <f t="shared" si="54"/>
        <v>0</v>
      </c>
      <c r="AK494" s="2496">
        <f t="shared" si="54"/>
        <v>0</v>
      </c>
      <c r="AL494" s="2496">
        <f t="shared" si="54"/>
        <v>0</v>
      </c>
      <c r="AM494" s="2496">
        <f t="shared" si="54"/>
        <v>0</v>
      </c>
      <c r="AN494" s="2496">
        <f t="shared" si="54"/>
        <v>0</v>
      </c>
      <c r="AO494" s="2496">
        <f t="shared" si="54"/>
        <v>0</v>
      </c>
      <c r="AP494" s="2496">
        <f t="shared" si="54"/>
        <v>0</v>
      </c>
      <c r="AQ494" s="2496">
        <f t="shared" si="54"/>
        <v>0</v>
      </c>
      <c r="AR494" s="2496">
        <f t="shared" si="54"/>
        <v>0</v>
      </c>
      <c r="AS494" s="2496">
        <f t="shared" si="54"/>
        <v>0</v>
      </c>
    </row>
    <row r="495" spans="1:45" s="2490" customFormat="1" x14ac:dyDescent="0.2">
      <c r="B495" s="2488"/>
      <c r="C495" s="2495" t="s">
        <v>1369</v>
      </c>
      <c r="D495" s="2493" t="s">
        <v>1523</v>
      </c>
      <c r="G495" s="2496">
        <f t="shared" si="54"/>
        <v>18783.51180378507</v>
      </c>
      <c r="H495" s="2496">
        <f t="shared" si="54"/>
        <v>18721.88281203527</v>
      </c>
      <c r="I495" s="2496">
        <f t="shared" si="54"/>
        <v>18772.035764623102</v>
      </c>
      <c r="J495" s="2496">
        <f t="shared" si="54"/>
        <v>18766.54340721753</v>
      </c>
      <c r="K495" s="2496">
        <f t="shared" si="54"/>
        <v>18724.24747730387</v>
      </c>
      <c r="L495" s="2496">
        <f t="shared" si="54"/>
        <v>18642.441633890678</v>
      </c>
      <c r="M495" s="2496">
        <f t="shared" si="54"/>
        <v>18508.893153319408</v>
      </c>
      <c r="N495" s="2496">
        <f t="shared" si="54"/>
        <v>18380.765025005479</v>
      </c>
      <c r="O495" s="2496">
        <f t="shared" si="54"/>
        <v>18257.989626563663</v>
      </c>
      <c r="P495" s="2496">
        <f t="shared" si="54"/>
        <v>18136.185826876506</v>
      </c>
      <c r="Q495" s="2496">
        <f t="shared" si="54"/>
        <v>18009.479347136548</v>
      </c>
      <c r="R495" s="2496">
        <f t="shared" si="54"/>
        <v>17908.72036801144</v>
      </c>
      <c r="S495" s="2496">
        <f t="shared" si="54"/>
        <v>17828.494160827857</v>
      </c>
      <c r="T495" s="2496">
        <f t="shared" si="54"/>
        <v>17764.552054762484</v>
      </c>
      <c r="U495" s="2496">
        <f t="shared" si="54"/>
        <v>17713.547583559757</v>
      </c>
      <c r="V495" s="2496">
        <f t="shared" si="54"/>
        <v>17672.836735264715</v>
      </c>
      <c r="W495" s="2496">
        <f t="shared" si="54"/>
        <v>17640.325266361309</v>
      </c>
      <c r="X495" s="2496">
        <f t="shared" si="54"/>
        <v>17614.351034391664</v>
      </c>
      <c r="Y495" s="2496">
        <f t="shared" si="54"/>
        <v>17593.592694093506</v>
      </c>
      <c r="Z495" s="2496">
        <f t="shared" si="54"/>
        <v>17576.998444961857</v>
      </c>
      <c r="AA495" s="2496">
        <f t="shared" si="54"/>
        <v>17563.730163805114</v>
      </c>
      <c r="AB495" s="2496">
        <f t="shared" si="54"/>
        <v>17553.119430158913</v>
      </c>
      <c r="AC495" s="2496">
        <f t="shared" si="54"/>
        <v>17544.632802897071</v>
      </c>
      <c r="AD495" s="2496">
        <f t="shared" si="54"/>
        <v>17537.844330877149</v>
      </c>
      <c r="AE495" s="2496">
        <f t="shared" si="54"/>
        <v>17532.41374483061</v>
      </c>
      <c r="AF495" s="2496">
        <f t="shared" si="54"/>
        <v>17528.069126940845</v>
      </c>
      <c r="AG495" s="2496">
        <f t="shared" si="54"/>
        <v>17524.593119830319</v>
      </c>
      <c r="AH495" s="2496">
        <f t="shared" si="54"/>
        <v>17521.811939950807</v>
      </c>
      <c r="AI495" s="2496">
        <f t="shared" si="54"/>
        <v>17519.586617300592</v>
      </c>
      <c r="AJ495" s="2496">
        <f t="shared" si="54"/>
        <v>17517.806005319133</v>
      </c>
      <c r="AK495" s="2496">
        <f t="shared" si="54"/>
        <v>17516.381200051368</v>
      </c>
      <c r="AL495" s="2496">
        <f t="shared" si="54"/>
        <v>17515.241082399607</v>
      </c>
      <c r="AM495" s="2496">
        <f t="shared" si="54"/>
        <v>17514.328756133425</v>
      </c>
      <c r="AN495" s="2496">
        <f t="shared" si="54"/>
        <v>17513.598700813338</v>
      </c>
      <c r="AO495" s="2496">
        <f t="shared" si="54"/>
        <v>17513.014495598822</v>
      </c>
      <c r="AP495" s="2496">
        <f t="shared" si="54"/>
        <v>17512.546999121154</v>
      </c>
      <c r="AQ495" s="2496">
        <f t="shared" si="54"/>
        <v>17512.1728938204</v>
      </c>
      <c r="AR495" s="2496">
        <f t="shared" si="54"/>
        <v>17511.873521623089</v>
      </c>
      <c r="AS495" s="2496">
        <f t="shared" si="54"/>
        <v>17511.633952558925</v>
      </c>
    </row>
    <row r="496" spans="1:45" s="2490" customFormat="1" x14ac:dyDescent="0.2">
      <c r="B496" s="2488"/>
      <c r="C496" s="2495" t="s">
        <v>1370</v>
      </c>
      <c r="D496" s="2493" t="s">
        <v>1523</v>
      </c>
      <c r="G496" s="2496">
        <f t="shared" si="54"/>
        <v>0</v>
      </c>
      <c r="H496" s="2496">
        <f t="shared" si="54"/>
        <v>0</v>
      </c>
      <c r="I496" s="2496">
        <f t="shared" si="54"/>
        <v>0</v>
      </c>
      <c r="J496" s="2496">
        <f t="shared" si="54"/>
        <v>0</v>
      </c>
      <c r="K496" s="2496">
        <f t="shared" si="54"/>
        <v>0</v>
      </c>
      <c r="L496" s="2496">
        <f t="shared" si="54"/>
        <v>0</v>
      </c>
      <c r="M496" s="2496">
        <f t="shared" si="54"/>
        <v>0</v>
      </c>
      <c r="N496" s="2496">
        <f t="shared" si="54"/>
        <v>0</v>
      </c>
      <c r="O496" s="2496">
        <f t="shared" si="54"/>
        <v>0</v>
      </c>
      <c r="P496" s="2496">
        <f t="shared" si="54"/>
        <v>0</v>
      </c>
      <c r="Q496" s="2496">
        <f t="shared" si="54"/>
        <v>0</v>
      </c>
      <c r="R496" s="2496">
        <f t="shared" si="54"/>
        <v>0</v>
      </c>
      <c r="S496" s="2496">
        <f t="shared" si="54"/>
        <v>0</v>
      </c>
      <c r="T496" s="2496">
        <f t="shared" si="54"/>
        <v>0</v>
      </c>
      <c r="U496" s="2496">
        <f t="shared" si="54"/>
        <v>0</v>
      </c>
      <c r="V496" s="2496">
        <f t="shared" si="54"/>
        <v>0</v>
      </c>
      <c r="W496" s="2496">
        <f t="shared" si="54"/>
        <v>0</v>
      </c>
      <c r="X496" s="2496">
        <f t="shared" si="54"/>
        <v>0</v>
      </c>
      <c r="Y496" s="2496">
        <f t="shared" si="54"/>
        <v>0</v>
      </c>
      <c r="Z496" s="2496">
        <f t="shared" si="54"/>
        <v>0</v>
      </c>
      <c r="AA496" s="2496">
        <f t="shared" si="54"/>
        <v>0</v>
      </c>
      <c r="AB496" s="2496">
        <f t="shared" si="54"/>
        <v>0</v>
      </c>
      <c r="AC496" s="2496">
        <f t="shared" si="54"/>
        <v>0</v>
      </c>
      <c r="AD496" s="2496">
        <f t="shared" si="54"/>
        <v>0</v>
      </c>
      <c r="AE496" s="2496">
        <f t="shared" si="54"/>
        <v>0</v>
      </c>
      <c r="AF496" s="2496">
        <f t="shared" si="54"/>
        <v>0</v>
      </c>
      <c r="AG496" s="2496">
        <f t="shared" si="54"/>
        <v>0</v>
      </c>
      <c r="AH496" s="2496">
        <f t="shared" si="54"/>
        <v>0</v>
      </c>
      <c r="AI496" s="2496">
        <f t="shared" si="54"/>
        <v>0</v>
      </c>
      <c r="AJ496" s="2496">
        <f t="shared" si="54"/>
        <v>0</v>
      </c>
      <c r="AK496" s="2496">
        <f t="shared" si="54"/>
        <v>0</v>
      </c>
      <c r="AL496" s="2496">
        <f t="shared" si="54"/>
        <v>0</v>
      </c>
      <c r="AM496" s="2496">
        <f t="shared" si="54"/>
        <v>0</v>
      </c>
      <c r="AN496" s="2496">
        <f t="shared" si="54"/>
        <v>0</v>
      </c>
      <c r="AO496" s="2496">
        <f t="shared" si="54"/>
        <v>0</v>
      </c>
      <c r="AP496" s="2496">
        <f t="shared" si="54"/>
        <v>0</v>
      </c>
      <c r="AQ496" s="2496">
        <f t="shared" si="54"/>
        <v>0</v>
      </c>
      <c r="AR496" s="2496">
        <f t="shared" si="54"/>
        <v>0</v>
      </c>
      <c r="AS496" s="2496">
        <f t="shared" si="54"/>
        <v>0</v>
      </c>
    </row>
    <row r="497" spans="1:45" s="2490" customFormat="1" x14ac:dyDescent="0.2">
      <c r="B497" s="2488"/>
      <c r="C497" s="2495" t="s">
        <v>1371</v>
      </c>
      <c r="D497" s="2493" t="s">
        <v>1523</v>
      </c>
      <c r="G497" s="2496">
        <f t="shared" si="54"/>
        <v>0</v>
      </c>
      <c r="H497" s="2496">
        <f t="shared" si="54"/>
        <v>0</v>
      </c>
      <c r="I497" s="2496">
        <f t="shared" si="54"/>
        <v>0</v>
      </c>
      <c r="J497" s="2496">
        <f t="shared" si="54"/>
        <v>0</v>
      </c>
      <c r="K497" s="2496">
        <f t="shared" si="54"/>
        <v>0</v>
      </c>
      <c r="L497" s="2496">
        <f t="shared" si="54"/>
        <v>0</v>
      </c>
      <c r="M497" s="2496">
        <f t="shared" si="54"/>
        <v>0</v>
      </c>
      <c r="N497" s="2496">
        <f t="shared" si="54"/>
        <v>0</v>
      </c>
      <c r="O497" s="2496">
        <f t="shared" si="54"/>
        <v>0</v>
      </c>
      <c r="P497" s="2496">
        <f t="shared" si="54"/>
        <v>0</v>
      </c>
      <c r="Q497" s="2496">
        <f t="shared" si="54"/>
        <v>0</v>
      </c>
      <c r="R497" s="2496">
        <f t="shared" si="54"/>
        <v>0</v>
      </c>
      <c r="S497" s="2496">
        <f t="shared" si="54"/>
        <v>0</v>
      </c>
      <c r="T497" s="2496">
        <f t="shared" si="54"/>
        <v>0</v>
      </c>
      <c r="U497" s="2496">
        <f t="shared" si="54"/>
        <v>0</v>
      </c>
      <c r="V497" s="2496">
        <f t="shared" si="54"/>
        <v>0</v>
      </c>
      <c r="W497" s="2496">
        <f t="shared" si="54"/>
        <v>0</v>
      </c>
      <c r="X497" s="2496">
        <f t="shared" si="54"/>
        <v>0</v>
      </c>
      <c r="Y497" s="2496">
        <f t="shared" si="54"/>
        <v>0</v>
      </c>
      <c r="Z497" s="2496">
        <f t="shared" si="54"/>
        <v>0</v>
      </c>
      <c r="AA497" s="2496">
        <f t="shared" si="54"/>
        <v>0</v>
      </c>
      <c r="AB497" s="2496">
        <f t="shared" si="54"/>
        <v>0</v>
      </c>
      <c r="AC497" s="2496">
        <f t="shared" si="54"/>
        <v>0</v>
      </c>
      <c r="AD497" s="2496">
        <f t="shared" si="54"/>
        <v>0</v>
      </c>
      <c r="AE497" s="2496">
        <f t="shared" si="54"/>
        <v>0</v>
      </c>
      <c r="AF497" s="2496">
        <f t="shared" si="54"/>
        <v>0</v>
      </c>
      <c r="AG497" s="2496">
        <f t="shared" si="54"/>
        <v>0</v>
      </c>
      <c r="AH497" s="2496">
        <f t="shared" si="54"/>
        <v>0</v>
      </c>
      <c r="AI497" s="2496">
        <f t="shared" si="54"/>
        <v>0</v>
      </c>
      <c r="AJ497" s="2496">
        <f t="shared" si="54"/>
        <v>0</v>
      </c>
      <c r="AK497" s="2496">
        <f t="shared" si="54"/>
        <v>0</v>
      </c>
      <c r="AL497" s="2496">
        <f t="shared" si="54"/>
        <v>0</v>
      </c>
      <c r="AM497" s="2496">
        <f t="shared" si="54"/>
        <v>0</v>
      </c>
      <c r="AN497" s="2496">
        <f t="shared" si="54"/>
        <v>0</v>
      </c>
      <c r="AO497" s="2496">
        <f t="shared" si="54"/>
        <v>0</v>
      </c>
      <c r="AP497" s="2496">
        <f t="shared" si="54"/>
        <v>0</v>
      </c>
      <c r="AQ497" s="2496">
        <f t="shared" si="54"/>
        <v>0</v>
      </c>
      <c r="AR497" s="2496">
        <f t="shared" si="54"/>
        <v>0</v>
      </c>
      <c r="AS497" s="2496">
        <f t="shared" si="54"/>
        <v>0</v>
      </c>
    </row>
    <row r="498" spans="1:45" s="2490" customFormat="1" x14ac:dyDescent="0.2">
      <c r="B498" s="2488"/>
      <c r="C498" s="2489" t="s">
        <v>1372</v>
      </c>
      <c r="D498" s="2493" t="s">
        <v>1523</v>
      </c>
      <c r="G498" s="2496">
        <f t="shared" si="54"/>
        <v>0</v>
      </c>
      <c r="H498" s="2496">
        <f t="shared" si="54"/>
        <v>0</v>
      </c>
      <c r="I498" s="2496">
        <f t="shared" si="54"/>
        <v>0</v>
      </c>
      <c r="J498" s="2496">
        <f t="shared" si="54"/>
        <v>0</v>
      </c>
      <c r="K498" s="2496">
        <f t="shared" si="54"/>
        <v>0</v>
      </c>
      <c r="L498" s="2496">
        <f t="shared" si="54"/>
        <v>0</v>
      </c>
      <c r="M498" s="2496">
        <f t="shared" si="54"/>
        <v>0</v>
      </c>
      <c r="N498" s="2496">
        <f t="shared" si="54"/>
        <v>0</v>
      </c>
      <c r="O498" s="2496">
        <f t="shared" si="54"/>
        <v>0</v>
      </c>
      <c r="P498" s="2496">
        <f t="shared" si="54"/>
        <v>0</v>
      </c>
      <c r="Q498" s="2496">
        <f t="shared" si="54"/>
        <v>0</v>
      </c>
      <c r="R498" s="2496">
        <f t="shared" si="54"/>
        <v>0</v>
      </c>
      <c r="S498" s="2496">
        <f t="shared" si="54"/>
        <v>0</v>
      </c>
      <c r="T498" s="2496">
        <f t="shared" si="54"/>
        <v>0</v>
      </c>
      <c r="U498" s="2496">
        <f t="shared" si="54"/>
        <v>0</v>
      </c>
      <c r="V498" s="2496">
        <f t="shared" si="54"/>
        <v>0</v>
      </c>
      <c r="W498" s="2496">
        <f t="shared" si="54"/>
        <v>0</v>
      </c>
      <c r="X498" s="2496">
        <f t="shared" si="54"/>
        <v>0</v>
      </c>
      <c r="Y498" s="2496">
        <f t="shared" si="54"/>
        <v>0</v>
      </c>
      <c r="Z498" s="2496">
        <f t="shared" si="54"/>
        <v>0</v>
      </c>
      <c r="AA498" s="2496">
        <f t="shared" si="54"/>
        <v>0</v>
      </c>
      <c r="AB498" s="2496">
        <f t="shared" ref="AB498:AS498" si="55">AB80*AB164*AB183*$E$206*$E$203*$D$217</f>
        <v>0</v>
      </c>
      <c r="AC498" s="2496">
        <f t="shared" si="55"/>
        <v>0</v>
      </c>
      <c r="AD498" s="2496">
        <f t="shared" si="55"/>
        <v>0</v>
      </c>
      <c r="AE498" s="2496">
        <f t="shared" si="55"/>
        <v>0</v>
      </c>
      <c r="AF498" s="2496">
        <f t="shared" si="55"/>
        <v>0</v>
      </c>
      <c r="AG498" s="2496">
        <f t="shared" si="55"/>
        <v>0</v>
      </c>
      <c r="AH498" s="2496">
        <f t="shared" si="55"/>
        <v>0</v>
      </c>
      <c r="AI498" s="2496">
        <f t="shared" si="55"/>
        <v>0</v>
      </c>
      <c r="AJ498" s="2496">
        <f t="shared" si="55"/>
        <v>0</v>
      </c>
      <c r="AK498" s="2496">
        <f t="shared" si="55"/>
        <v>0</v>
      </c>
      <c r="AL498" s="2496">
        <f t="shared" si="55"/>
        <v>0</v>
      </c>
      <c r="AM498" s="2496">
        <f t="shared" si="55"/>
        <v>0</v>
      </c>
      <c r="AN498" s="2496">
        <f t="shared" si="55"/>
        <v>0</v>
      </c>
      <c r="AO498" s="2496">
        <f t="shared" si="55"/>
        <v>0</v>
      </c>
      <c r="AP498" s="2496">
        <f t="shared" si="55"/>
        <v>0</v>
      </c>
      <c r="AQ498" s="2496">
        <f t="shared" si="55"/>
        <v>0</v>
      </c>
      <c r="AR498" s="2496">
        <f t="shared" si="55"/>
        <v>0</v>
      </c>
      <c r="AS498" s="2496">
        <f t="shared" si="55"/>
        <v>0</v>
      </c>
    </row>
    <row r="499" spans="1:45" s="2490" customFormat="1" x14ac:dyDescent="0.2">
      <c r="B499" s="2488"/>
      <c r="C499" s="2489" t="s">
        <v>1373</v>
      </c>
      <c r="D499" s="2493" t="s">
        <v>1523</v>
      </c>
      <c r="G499" s="2496">
        <f t="shared" ref="G499:AS505" si="56">G81*G165*G184*$E$206*$E$203*$D$217</f>
        <v>0</v>
      </c>
      <c r="H499" s="2496">
        <f t="shared" si="56"/>
        <v>0</v>
      </c>
      <c r="I499" s="2496">
        <f t="shared" si="56"/>
        <v>0</v>
      </c>
      <c r="J499" s="2496">
        <f t="shared" si="56"/>
        <v>0</v>
      </c>
      <c r="K499" s="2496">
        <f t="shared" si="56"/>
        <v>0</v>
      </c>
      <c r="L499" s="2496">
        <f t="shared" si="56"/>
        <v>0</v>
      </c>
      <c r="M499" s="2496">
        <f t="shared" si="56"/>
        <v>0</v>
      </c>
      <c r="N499" s="2496">
        <f t="shared" si="56"/>
        <v>0</v>
      </c>
      <c r="O499" s="2496">
        <f t="shared" si="56"/>
        <v>0</v>
      </c>
      <c r="P499" s="2496">
        <f t="shared" si="56"/>
        <v>0</v>
      </c>
      <c r="Q499" s="2496">
        <f t="shared" si="56"/>
        <v>0</v>
      </c>
      <c r="R499" s="2496">
        <f t="shared" si="56"/>
        <v>0</v>
      </c>
      <c r="S499" s="2496">
        <f t="shared" si="56"/>
        <v>0</v>
      </c>
      <c r="T499" s="2496">
        <f t="shared" si="56"/>
        <v>0</v>
      </c>
      <c r="U499" s="2496">
        <f t="shared" si="56"/>
        <v>0</v>
      </c>
      <c r="V499" s="2496">
        <f t="shared" si="56"/>
        <v>0</v>
      </c>
      <c r="W499" s="2496">
        <f t="shared" si="56"/>
        <v>0</v>
      </c>
      <c r="X499" s="2496">
        <f t="shared" si="56"/>
        <v>0</v>
      </c>
      <c r="Y499" s="2496">
        <f t="shared" si="56"/>
        <v>0</v>
      </c>
      <c r="Z499" s="2496">
        <f t="shared" si="56"/>
        <v>0</v>
      </c>
      <c r="AA499" s="2496">
        <f t="shared" si="56"/>
        <v>0</v>
      </c>
      <c r="AB499" s="2496">
        <f t="shared" si="56"/>
        <v>0</v>
      </c>
      <c r="AC499" s="2496">
        <f t="shared" si="56"/>
        <v>0</v>
      </c>
      <c r="AD499" s="2496">
        <f t="shared" si="56"/>
        <v>0</v>
      </c>
      <c r="AE499" s="2496">
        <f t="shared" si="56"/>
        <v>0</v>
      </c>
      <c r="AF499" s="2496">
        <f t="shared" si="56"/>
        <v>0</v>
      </c>
      <c r="AG499" s="2496">
        <f t="shared" si="56"/>
        <v>0</v>
      </c>
      <c r="AH499" s="2496">
        <f t="shared" si="56"/>
        <v>0</v>
      </c>
      <c r="AI499" s="2496">
        <f t="shared" si="56"/>
        <v>0</v>
      </c>
      <c r="AJ499" s="2496">
        <f t="shared" si="56"/>
        <v>0</v>
      </c>
      <c r="AK499" s="2496">
        <f t="shared" si="56"/>
        <v>0</v>
      </c>
      <c r="AL499" s="2496">
        <f t="shared" si="56"/>
        <v>0</v>
      </c>
      <c r="AM499" s="2496">
        <f t="shared" si="56"/>
        <v>0</v>
      </c>
      <c r="AN499" s="2496">
        <f t="shared" si="56"/>
        <v>0</v>
      </c>
      <c r="AO499" s="2496">
        <f t="shared" si="56"/>
        <v>0</v>
      </c>
      <c r="AP499" s="2496">
        <f t="shared" si="56"/>
        <v>0</v>
      </c>
      <c r="AQ499" s="2496">
        <f t="shared" si="56"/>
        <v>0</v>
      </c>
      <c r="AR499" s="2496">
        <f t="shared" si="56"/>
        <v>0</v>
      </c>
      <c r="AS499" s="2496">
        <f t="shared" si="56"/>
        <v>0</v>
      </c>
    </row>
    <row r="500" spans="1:45" s="2490" customFormat="1" x14ac:dyDescent="0.2">
      <c r="B500" s="2488"/>
      <c r="C500" s="2489" t="s">
        <v>1374</v>
      </c>
      <c r="D500" s="2493" t="s">
        <v>1523</v>
      </c>
      <c r="G500" s="2496">
        <f t="shared" si="56"/>
        <v>0</v>
      </c>
      <c r="H500" s="2496">
        <f t="shared" si="56"/>
        <v>0</v>
      </c>
      <c r="I500" s="2496">
        <f t="shared" si="56"/>
        <v>0</v>
      </c>
      <c r="J500" s="2496">
        <f t="shared" si="56"/>
        <v>0</v>
      </c>
      <c r="K500" s="2496">
        <f t="shared" si="56"/>
        <v>0</v>
      </c>
      <c r="L500" s="2496">
        <f t="shared" si="56"/>
        <v>0</v>
      </c>
      <c r="M500" s="2496">
        <f t="shared" si="56"/>
        <v>0</v>
      </c>
      <c r="N500" s="2496">
        <f t="shared" si="56"/>
        <v>0</v>
      </c>
      <c r="O500" s="2496">
        <f t="shared" si="56"/>
        <v>0</v>
      </c>
      <c r="P500" s="2496">
        <f t="shared" si="56"/>
        <v>0</v>
      </c>
      <c r="Q500" s="2496">
        <f t="shared" si="56"/>
        <v>0</v>
      </c>
      <c r="R500" s="2496">
        <f t="shared" si="56"/>
        <v>0</v>
      </c>
      <c r="S500" s="2496">
        <f t="shared" si="56"/>
        <v>0</v>
      </c>
      <c r="T500" s="2496">
        <f t="shared" si="56"/>
        <v>0</v>
      </c>
      <c r="U500" s="2496">
        <f t="shared" si="56"/>
        <v>0</v>
      </c>
      <c r="V500" s="2496">
        <f t="shared" si="56"/>
        <v>0</v>
      </c>
      <c r="W500" s="2496">
        <f t="shared" si="56"/>
        <v>0</v>
      </c>
      <c r="X500" s="2496">
        <f t="shared" si="56"/>
        <v>0</v>
      </c>
      <c r="Y500" s="2496">
        <f t="shared" si="56"/>
        <v>0</v>
      </c>
      <c r="Z500" s="2496">
        <f t="shared" si="56"/>
        <v>0</v>
      </c>
      <c r="AA500" s="2496">
        <f t="shared" si="56"/>
        <v>0</v>
      </c>
      <c r="AB500" s="2496">
        <f t="shared" si="56"/>
        <v>0</v>
      </c>
      <c r="AC500" s="2496">
        <f t="shared" si="56"/>
        <v>0</v>
      </c>
      <c r="AD500" s="2496">
        <f t="shared" si="56"/>
        <v>0</v>
      </c>
      <c r="AE500" s="2496">
        <f t="shared" si="56"/>
        <v>0</v>
      </c>
      <c r="AF500" s="2496">
        <f t="shared" si="56"/>
        <v>0</v>
      </c>
      <c r="AG500" s="2496">
        <f t="shared" si="56"/>
        <v>0</v>
      </c>
      <c r="AH500" s="2496">
        <f t="shared" si="56"/>
        <v>0</v>
      </c>
      <c r="AI500" s="2496">
        <f t="shared" si="56"/>
        <v>0</v>
      </c>
      <c r="AJ500" s="2496">
        <f t="shared" si="56"/>
        <v>0</v>
      </c>
      <c r="AK500" s="2496">
        <f t="shared" si="56"/>
        <v>0</v>
      </c>
      <c r="AL500" s="2496">
        <f t="shared" si="56"/>
        <v>0</v>
      </c>
      <c r="AM500" s="2496">
        <f t="shared" si="56"/>
        <v>0</v>
      </c>
      <c r="AN500" s="2496">
        <f t="shared" si="56"/>
        <v>0</v>
      </c>
      <c r="AO500" s="2496">
        <f t="shared" si="56"/>
        <v>0</v>
      </c>
      <c r="AP500" s="2496">
        <f t="shared" si="56"/>
        <v>0</v>
      </c>
      <c r="AQ500" s="2496">
        <f t="shared" si="56"/>
        <v>0</v>
      </c>
      <c r="AR500" s="2496">
        <f t="shared" si="56"/>
        <v>0</v>
      </c>
      <c r="AS500" s="2496">
        <f t="shared" si="56"/>
        <v>0</v>
      </c>
    </row>
    <row r="501" spans="1:45" s="2490" customFormat="1" x14ac:dyDescent="0.2">
      <c r="B501" s="2488"/>
      <c r="C501" s="2489" t="s">
        <v>1375</v>
      </c>
      <c r="D501" s="2493" t="s">
        <v>1523</v>
      </c>
      <c r="G501" s="2496">
        <f t="shared" si="56"/>
        <v>0</v>
      </c>
      <c r="H501" s="2496">
        <f t="shared" si="56"/>
        <v>0</v>
      </c>
      <c r="I501" s="2496">
        <f t="shared" si="56"/>
        <v>0</v>
      </c>
      <c r="J501" s="2496">
        <f t="shared" si="56"/>
        <v>0</v>
      </c>
      <c r="K501" s="2496">
        <f t="shared" si="56"/>
        <v>0</v>
      </c>
      <c r="L501" s="2496">
        <f t="shared" si="56"/>
        <v>0</v>
      </c>
      <c r="M501" s="2496">
        <f t="shared" si="56"/>
        <v>0</v>
      </c>
      <c r="N501" s="2496">
        <f t="shared" si="56"/>
        <v>0</v>
      </c>
      <c r="O501" s="2496">
        <f t="shared" si="56"/>
        <v>0</v>
      </c>
      <c r="P501" s="2496">
        <f t="shared" si="56"/>
        <v>0</v>
      </c>
      <c r="Q501" s="2496">
        <f t="shared" si="56"/>
        <v>0</v>
      </c>
      <c r="R501" s="2496">
        <f t="shared" si="56"/>
        <v>0</v>
      </c>
      <c r="S501" s="2496">
        <f t="shared" si="56"/>
        <v>0</v>
      </c>
      <c r="T501" s="2496">
        <f t="shared" si="56"/>
        <v>0</v>
      </c>
      <c r="U501" s="2496">
        <f t="shared" si="56"/>
        <v>0</v>
      </c>
      <c r="V501" s="2496">
        <f t="shared" si="56"/>
        <v>0</v>
      </c>
      <c r="W501" s="2496">
        <f t="shared" si="56"/>
        <v>0</v>
      </c>
      <c r="X501" s="2496">
        <f t="shared" si="56"/>
        <v>0</v>
      </c>
      <c r="Y501" s="2496">
        <f t="shared" si="56"/>
        <v>0</v>
      </c>
      <c r="Z501" s="2496">
        <f t="shared" si="56"/>
        <v>0</v>
      </c>
      <c r="AA501" s="2496">
        <f t="shared" si="56"/>
        <v>0</v>
      </c>
      <c r="AB501" s="2496">
        <f t="shared" si="56"/>
        <v>0</v>
      </c>
      <c r="AC501" s="2496">
        <f t="shared" si="56"/>
        <v>0</v>
      </c>
      <c r="AD501" s="2496">
        <f t="shared" si="56"/>
        <v>0</v>
      </c>
      <c r="AE501" s="2496">
        <f t="shared" si="56"/>
        <v>0</v>
      </c>
      <c r="AF501" s="2496">
        <f t="shared" si="56"/>
        <v>0</v>
      </c>
      <c r="AG501" s="2496">
        <f t="shared" si="56"/>
        <v>0</v>
      </c>
      <c r="AH501" s="2496">
        <f t="shared" si="56"/>
        <v>0</v>
      </c>
      <c r="AI501" s="2496">
        <f t="shared" si="56"/>
        <v>0</v>
      </c>
      <c r="AJ501" s="2496">
        <f t="shared" si="56"/>
        <v>0</v>
      </c>
      <c r="AK501" s="2496">
        <f t="shared" si="56"/>
        <v>0</v>
      </c>
      <c r="AL501" s="2496">
        <f t="shared" si="56"/>
        <v>0</v>
      </c>
      <c r="AM501" s="2496">
        <f t="shared" si="56"/>
        <v>0</v>
      </c>
      <c r="AN501" s="2496">
        <f t="shared" si="56"/>
        <v>0</v>
      </c>
      <c r="AO501" s="2496">
        <f t="shared" si="56"/>
        <v>0</v>
      </c>
      <c r="AP501" s="2496">
        <f t="shared" si="56"/>
        <v>0</v>
      </c>
      <c r="AQ501" s="2496">
        <f t="shared" si="56"/>
        <v>0</v>
      </c>
      <c r="AR501" s="2496">
        <f t="shared" si="56"/>
        <v>0</v>
      </c>
      <c r="AS501" s="2496">
        <f t="shared" si="56"/>
        <v>0</v>
      </c>
    </row>
    <row r="502" spans="1:45" s="2490" customFormat="1" x14ac:dyDescent="0.2">
      <c r="B502" s="2488"/>
      <c r="C502" s="2489" t="s">
        <v>1376</v>
      </c>
      <c r="D502" s="2493" t="s">
        <v>1523</v>
      </c>
      <c r="G502" s="2496">
        <f t="shared" si="56"/>
        <v>0</v>
      </c>
      <c r="H502" s="2496">
        <f t="shared" si="56"/>
        <v>0</v>
      </c>
      <c r="I502" s="2496">
        <f t="shared" si="56"/>
        <v>0</v>
      </c>
      <c r="J502" s="2496">
        <f t="shared" si="56"/>
        <v>0</v>
      </c>
      <c r="K502" s="2496">
        <f t="shared" si="56"/>
        <v>0</v>
      </c>
      <c r="L502" s="2496">
        <f t="shared" si="56"/>
        <v>0</v>
      </c>
      <c r="M502" s="2496">
        <f t="shared" si="56"/>
        <v>0</v>
      </c>
      <c r="N502" s="2496">
        <f t="shared" si="56"/>
        <v>0</v>
      </c>
      <c r="O502" s="2496">
        <f t="shared" si="56"/>
        <v>0</v>
      </c>
      <c r="P502" s="2496">
        <f t="shared" si="56"/>
        <v>0</v>
      </c>
      <c r="Q502" s="2496">
        <f t="shared" si="56"/>
        <v>0</v>
      </c>
      <c r="R502" s="2496">
        <f t="shared" si="56"/>
        <v>0</v>
      </c>
      <c r="S502" s="2496">
        <f t="shared" si="56"/>
        <v>0</v>
      </c>
      <c r="T502" s="2496">
        <f t="shared" si="56"/>
        <v>0</v>
      </c>
      <c r="U502" s="2496">
        <f t="shared" si="56"/>
        <v>0</v>
      </c>
      <c r="V502" s="2496">
        <f t="shared" si="56"/>
        <v>0</v>
      </c>
      <c r="W502" s="2496">
        <f t="shared" si="56"/>
        <v>0</v>
      </c>
      <c r="X502" s="2496">
        <f t="shared" si="56"/>
        <v>0</v>
      </c>
      <c r="Y502" s="2496">
        <f t="shared" si="56"/>
        <v>0</v>
      </c>
      <c r="Z502" s="2496">
        <f t="shared" si="56"/>
        <v>0</v>
      </c>
      <c r="AA502" s="2496">
        <f t="shared" si="56"/>
        <v>0</v>
      </c>
      <c r="AB502" s="2496">
        <f t="shared" si="56"/>
        <v>0</v>
      </c>
      <c r="AC502" s="2496">
        <f t="shared" si="56"/>
        <v>0</v>
      </c>
      <c r="AD502" s="2496">
        <f t="shared" si="56"/>
        <v>0</v>
      </c>
      <c r="AE502" s="2496">
        <f t="shared" si="56"/>
        <v>0</v>
      </c>
      <c r="AF502" s="2496">
        <f t="shared" si="56"/>
        <v>0</v>
      </c>
      <c r="AG502" s="2496">
        <f t="shared" si="56"/>
        <v>0</v>
      </c>
      <c r="AH502" s="2496">
        <f t="shared" si="56"/>
        <v>0</v>
      </c>
      <c r="AI502" s="2496">
        <f t="shared" si="56"/>
        <v>0</v>
      </c>
      <c r="AJ502" s="2496">
        <f t="shared" si="56"/>
        <v>0</v>
      </c>
      <c r="AK502" s="2496">
        <f t="shared" si="56"/>
        <v>0</v>
      </c>
      <c r="AL502" s="2496">
        <f t="shared" si="56"/>
        <v>0</v>
      </c>
      <c r="AM502" s="2496">
        <f t="shared" si="56"/>
        <v>0</v>
      </c>
      <c r="AN502" s="2496">
        <f t="shared" si="56"/>
        <v>0</v>
      </c>
      <c r="AO502" s="2496">
        <f t="shared" si="56"/>
        <v>0</v>
      </c>
      <c r="AP502" s="2496">
        <f t="shared" si="56"/>
        <v>0</v>
      </c>
      <c r="AQ502" s="2496">
        <f t="shared" si="56"/>
        <v>0</v>
      </c>
      <c r="AR502" s="2496">
        <f t="shared" si="56"/>
        <v>0</v>
      </c>
      <c r="AS502" s="2496">
        <f t="shared" si="56"/>
        <v>0</v>
      </c>
    </row>
    <row r="503" spans="1:45" s="2490" customFormat="1" x14ac:dyDescent="0.2">
      <c r="B503" s="2488"/>
      <c r="C503" s="2489" t="s">
        <v>1377</v>
      </c>
      <c r="D503" s="2493" t="s">
        <v>1523</v>
      </c>
      <c r="G503" s="2496">
        <f t="shared" si="56"/>
        <v>0</v>
      </c>
      <c r="H503" s="2496">
        <f t="shared" si="56"/>
        <v>0</v>
      </c>
      <c r="I503" s="2496">
        <f t="shared" si="56"/>
        <v>0</v>
      </c>
      <c r="J503" s="2496">
        <f t="shared" si="56"/>
        <v>0</v>
      </c>
      <c r="K503" s="2496">
        <f t="shared" si="56"/>
        <v>0</v>
      </c>
      <c r="L503" s="2496">
        <f t="shared" si="56"/>
        <v>0</v>
      </c>
      <c r="M503" s="2496">
        <f t="shared" si="56"/>
        <v>0</v>
      </c>
      <c r="N503" s="2496">
        <f t="shared" si="56"/>
        <v>0</v>
      </c>
      <c r="O503" s="2496">
        <f t="shared" si="56"/>
        <v>0</v>
      </c>
      <c r="P503" s="2496">
        <f t="shared" si="56"/>
        <v>0</v>
      </c>
      <c r="Q503" s="2496">
        <f t="shared" si="56"/>
        <v>0</v>
      </c>
      <c r="R503" s="2496">
        <f t="shared" si="56"/>
        <v>0</v>
      </c>
      <c r="S503" s="2496">
        <f t="shared" si="56"/>
        <v>0</v>
      </c>
      <c r="T503" s="2496">
        <f t="shared" si="56"/>
        <v>0</v>
      </c>
      <c r="U503" s="2496">
        <f t="shared" si="56"/>
        <v>0</v>
      </c>
      <c r="V503" s="2496">
        <f t="shared" si="56"/>
        <v>0</v>
      </c>
      <c r="W503" s="2496">
        <f t="shared" si="56"/>
        <v>0</v>
      </c>
      <c r="X503" s="2496">
        <f t="shared" si="56"/>
        <v>0</v>
      </c>
      <c r="Y503" s="2496">
        <f t="shared" si="56"/>
        <v>0</v>
      </c>
      <c r="Z503" s="2496">
        <f t="shared" si="56"/>
        <v>0</v>
      </c>
      <c r="AA503" s="2496">
        <f t="shared" si="56"/>
        <v>0</v>
      </c>
      <c r="AB503" s="2496">
        <f t="shared" si="56"/>
        <v>0</v>
      </c>
      <c r="AC503" s="2496">
        <f t="shared" si="56"/>
        <v>0</v>
      </c>
      <c r="AD503" s="2496">
        <f t="shared" si="56"/>
        <v>0</v>
      </c>
      <c r="AE503" s="2496">
        <f t="shared" si="56"/>
        <v>0</v>
      </c>
      <c r="AF503" s="2496">
        <f t="shared" si="56"/>
        <v>0</v>
      </c>
      <c r="AG503" s="2496">
        <f t="shared" si="56"/>
        <v>0</v>
      </c>
      <c r="AH503" s="2496">
        <f t="shared" si="56"/>
        <v>0</v>
      </c>
      <c r="AI503" s="2496">
        <f t="shared" si="56"/>
        <v>0</v>
      </c>
      <c r="AJ503" s="2496">
        <f t="shared" si="56"/>
        <v>0</v>
      </c>
      <c r="AK503" s="2496">
        <f t="shared" si="56"/>
        <v>0</v>
      </c>
      <c r="AL503" s="2496">
        <f t="shared" si="56"/>
        <v>0</v>
      </c>
      <c r="AM503" s="2496">
        <f t="shared" si="56"/>
        <v>0</v>
      </c>
      <c r="AN503" s="2496">
        <f t="shared" si="56"/>
        <v>0</v>
      </c>
      <c r="AO503" s="2496">
        <f t="shared" si="56"/>
        <v>0</v>
      </c>
      <c r="AP503" s="2496">
        <f t="shared" si="56"/>
        <v>0</v>
      </c>
      <c r="AQ503" s="2496">
        <f t="shared" si="56"/>
        <v>0</v>
      </c>
      <c r="AR503" s="2496">
        <f t="shared" si="56"/>
        <v>0</v>
      </c>
      <c r="AS503" s="2496">
        <f t="shared" si="56"/>
        <v>0</v>
      </c>
    </row>
    <row r="504" spans="1:45" s="2490" customFormat="1" x14ac:dyDescent="0.2">
      <c r="B504" s="2488"/>
      <c r="C504" s="2495" t="s">
        <v>1378</v>
      </c>
      <c r="D504" s="2493" t="s">
        <v>1523</v>
      </c>
      <c r="G504" s="2496">
        <f t="shared" si="56"/>
        <v>27806.888095471004</v>
      </c>
      <c r="H504" s="2496">
        <f t="shared" si="56"/>
        <v>28800.684032837515</v>
      </c>
      <c r="I504" s="2496">
        <f t="shared" si="56"/>
        <v>29896.376612052332</v>
      </c>
      <c r="J504" s="2496">
        <f t="shared" si="56"/>
        <v>31029.685119193797</v>
      </c>
      <c r="K504" s="2496">
        <f t="shared" si="56"/>
        <v>32173.195911697832</v>
      </c>
      <c r="L504" s="2496">
        <f t="shared" si="56"/>
        <v>33316.270347563106</v>
      </c>
      <c r="M504" s="2496">
        <f t="shared" si="56"/>
        <v>34528.345175983261</v>
      </c>
      <c r="N504" s="2496">
        <f t="shared" si="56"/>
        <v>35786.0907541665</v>
      </c>
      <c r="O504" s="2496">
        <f t="shared" si="56"/>
        <v>37023.065084669906</v>
      </c>
      <c r="P504" s="2496">
        <f t="shared" si="56"/>
        <v>38268.964628665628</v>
      </c>
      <c r="Q504" s="2496">
        <f t="shared" si="56"/>
        <v>39524.678457849928</v>
      </c>
      <c r="R504" s="2496">
        <f t="shared" si="56"/>
        <v>40735.527233442161</v>
      </c>
      <c r="S504" s="2496">
        <f t="shared" si="56"/>
        <v>41913.866319634239</v>
      </c>
      <c r="T504" s="2496">
        <f t="shared" si="56"/>
        <v>43067.700485116162</v>
      </c>
      <c r="U504" s="2496">
        <f t="shared" si="56"/>
        <v>44202.051769847305</v>
      </c>
      <c r="V504" s="2496">
        <f t="shared" si="56"/>
        <v>45319.724545766432</v>
      </c>
      <c r="W504" s="2496">
        <f t="shared" si="56"/>
        <v>46422.31422056166</v>
      </c>
      <c r="X504" s="2496">
        <f t="shared" si="56"/>
        <v>47516.057932505501</v>
      </c>
      <c r="Y504" s="2496">
        <f t="shared" si="56"/>
        <v>48605.163074150871</v>
      </c>
      <c r="Z504" s="2496">
        <f t="shared" si="56"/>
        <v>49692.179854027083</v>
      </c>
      <c r="AA504" s="2496">
        <f t="shared" si="56"/>
        <v>50778.626697375934</v>
      </c>
      <c r="AB504" s="2496">
        <f t="shared" si="56"/>
        <v>51864.110801280098</v>
      </c>
      <c r="AC504" s="2496">
        <f t="shared" si="56"/>
        <v>52949.260655811479</v>
      </c>
      <c r="AD504" s="2496">
        <f t="shared" si="56"/>
        <v>54034.252914869758</v>
      </c>
      <c r="AE504" s="2496">
        <f t="shared" si="56"/>
        <v>55118.948517272918</v>
      </c>
      <c r="AF504" s="2496">
        <f t="shared" si="56"/>
        <v>56203.130455181119</v>
      </c>
      <c r="AG504" s="2496">
        <f t="shared" si="56"/>
        <v>57286.241253878135</v>
      </c>
      <c r="AH504" s="2496">
        <f t="shared" si="56"/>
        <v>58367.624356364366</v>
      </c>
      <c r="AI504" s="2496">
        <f t="shared" si="56"/>
        <v>59446.551406741986</v>
      </c>
      <c r="AJ504" s="2496">
        <f t="shared" si="56"/>
        <v>60523.789107199584</v>
      </c>
      <c r="AK504" s="2496">
        <f t="shared" si="56"/>
        <v>61598.079360211748</v>
      </c>
      <c r="AL504" s="2496">
        <f t="shared" si="56"/>
        <v>62668.432603287161</v>
      </c>
      <c r="AM504" s="2496">
        <f t="shared" si="56"/>
        <v>63733.562006791442</v>
      </c>
      <c r="AN504" s="2496">
        <f t="shared" si="56"/>
        <v>64792.451643654938</v>
      </c>
      <c r="AO504" s="2496">
        <f t="shared" si="56"/>
        <v>65844.279568145037</v>
      </c>
      <c r="AP504" s="2496">
        <f t="shared" si="56"/>
        <v>66887.852203811417</v>
      </c>
      <c r="AQ504" s="2496">
        <f t="shared" si="56"/>
        <v>67922.222085287809</v>
      </c>
      <c r="AR504" s="2496">
        <f t="shared" si="56"/>
        <v>68946.443309401191</v>
      </c>
      <c r="AS504" s="2496">
        <f t="shared" si="56"/>
        <v>69959.571151001161</v>
      </c>
    </row>
    <row r="505" spans="1:45" s="2490" customFormat="1" x14ac:dyDescent="0.2">
      <c r="B505" s="2488"/>
      <c r="C505" s="2495" t="s">
        <v>1379</v>
      </c>
      <c r="D505" s="2493" t="s">
        <v>1523</v>
      </c>
      <c r="G505" s="2496">
        <f t="shared" si="56"/>
        <v>463.91673768985993</v>
      </c>
      <c r="H505" s="2496">
        <f t="shared" si="56"/>
        <v>480.49675080062588</v>
      </c>
      <c r="I505" s="2496">
        <f t="shared" si="56"/>
        <v>498.77675844172245</v>
      </c>
      <c r="J505" s="2496">
        <f t="shared" si="56"/>
        <v>517.68433212001798</v>
      </c>
      <c r="K505" s="2496">
        <f t="shared" si="56"/>
        <v>536.76211581700113</v>
      </c>
      <c r="L505" s="2496">
        <f t="shared" si="56"/>
        <v>555.83261954983948</v>
      </c>
      <c r="M505" s="2496">
        <f t="shared" si="56"/>
        <v>576.05429262257223</v>
      </c>
      <c r="N505" s="2496">
        <f t="shared" si="56"/>
        <v>597.03791450328345</v>
      </c>
      <c r="O505" s="2496">
        <f t="shared" si="56"/>
        <v>617.67499888478619</v>
      </c>
      <c r="P505" s="2496">
        <f t="shared" si="56"/>
        <v>638.46098723254102</v>
      </c>
      <c r="Q505" s="2496">
        <f t="shared" si="56"/>
        <v>659.41071239082271</v>
      </c>
      <c r="R505" s="2496">
        <f t="shared" si="56"/>
        <v>679.61193058826655</v>
      </c>
      <c r="S505" s="2496">
        <f t="shared" si="56"/>
        <v>699.27077277448427</v>
      </c>
      <c r="T505" s="2496">
        <f t="shared" si="56"/>
        <v>718.52078665765077</v>
      </c>
      <c r="U505" s="2496">
        <f t="shared" si="56"/>
        <v>737.44575753536958</v>
      </c>
      <c r="V505" s="2496">
        <f t="shared" si="56"/>
        <v>756.092472199339</v>
      </c>
      <c r="W505" s="2496">
        <f t="shared" si="56"/>
        <v>774.48754766356672</v>
      </c>
      <c r="X505" s="2496">
        <f t="shared" si="56"/>
        <v>792.73504134109282</v>
      </c>
      <c r="Y505" s="2496">
        <f t="shared" si="56"/>
        <v>810.90514734427632</v>
      </c>
      <c r="Z505" s="2496">
        <f t="shared" si="56"/>
        <v>829.04041212481991</v>
      </c>
      <c r="AA505" s="2496">
        <f t="shared" si="56"/>
        <v>847.16616835864818</v>
      </c>
      <c r="AB505" s="2496">
        <f t="shared" ref="AB505:AS505" si="57">AB87*AB171*AB190*$E$206*$E$203*$D$217</f>
        <v>865.27586271094208</v>
      </c>
      <c r="AC505" s="2496">
        <f t="shared" si="57"/>
        <v>883.37998060757252</v>
      </c>
      <c r="AD505" s="2496">
        <f t="shared" si="57"/>
        <v>901.48146925718015</v>
      </c>
      <c r="AE505" s="2496">
        <f t="shared" si="57"/>
        <v>919.57800862993258</v>
      </c>
      <c r="AF505" s="2496">
        <f t="shared" si="57"/>
        <v>937.66597827147473</v>
      </c>
      <c r="AG505" s="2496">
        <f t="shared" si="57"/>
        <v>955.73607754195064</v>
      </c>
      <c r="AH505" s="2496">
        <f t="shared" si="57"/>
        <v>973.77735276037629</v>
      </c>
      <c r="AI505" s="2496">
        <f t="shared" si="57"/>
        <v>991.77765238750533</v>
      </c>
      <c r="AJ505" s="2496">
        <f t="shared" si="57"/>
        <v>1009.7497677136433</v>
      </c>
      <c r="AK505" s="2496">
        <f t="shared" si="57"/>
        <v>1027.6727092451908</v>
      </c>
      <c r="AL505" s="2496">
        <f t="shared" si="57"/>
        <v>1045.529967597814</v>
      </c>
      <c r="AM505" s="2496">
        <f t="shared" si="57"/>
        <v>1063.3000739252363</v>
      </c>
      <c r="AN505" s="2496">
        <f t="shared" si="57"/>
        <v>1080.9660789891877</v>
      </c>
      <c r="AO505" s="2496">
        <f t="shared" si="57"/>
        <v>1098.5142698426623</v>
      </c>
      <c r="AP505" s="2496">
        <f t="shared" si="57"/>
        <v>1115.9247334306253</v>
      </c>
      <c r="AQ505" s="2496">
        <f t="shared" si="57"/>
        <v>1133.1816626969148</v>
      </c>
      <c r="AR505" s="2496">
        <f t="shared" si="57"/>
        <v>1150.2692766482503</v>
      </c>
      <c r="AS505" s="2496">
        <f t="shared" si="57"/>
        <v>1167.1718139449131</v>
      </c>
    </row>
    <row r="506" spans="1:45" s="2490" customFormat="1" x14ac:dyDescent="0.2">
      <c r="B506" s="2488"/>
      <c r="C506" s="2495" t="s">
        <v>1380</v>
      </c>
      <c r="D506" s="2493" t="s">
        <v>1523</v>
      </c>
      <c r="G506" s="2496">
        <f t="shared" ref="G506:AS507" si="58">G88*G172*G191*$E$206*$E$203*$D$217</f>
        <v>80938.569158942642</v>
      </c>
      <c r="H506" s="2496">
        <f t="shared" si="58"/>
        <v>83831.24887665319</v>
      </c>
      <c r="I506" s="2496">
        <f t="shared" si="58"/>
        <v>87020.523034021535</v>
      </c>
      <c r="J506" s="2496">
        <f t="shared" si="58"/>
        <v>90319.287306699276</v>
      </c>
      <c r="K506" s="2496">
        <f t="shared" si="58"/>
        <v>93647.747760285929</v>
      </c>
      <c r="L506" s="2496">
        <f t="shared" si="58"/>
        <v>96974.938093970515</v>
      </c>
      <c r="M506" s="2496">
        <f t="shared" si="58"/>
        <v>100502.97050051218</v>
      </c>
      <c r="N506" s="2496">
        <f t="shared" si="58"/>
        <v>104163.93849932676</v>
      </c>
      <c r="O506" s="2496">
        <f t="shared" si="58"/>
        <v>107764.44683573402</v>
      </c>
      <c r="P506" s="2496">
        <f t="shared" si="58"/>
        <v>111390.93413127637</v>
      </c>
      <c r="Q506" s="2496">
        <f t="shared" si="58"/>
        <v>115045.98824083083</v>
      </c>
      <c r="R506" s="2496">
        <f t="shared" si="58"/>
        <v>118570.45192866992</v>
      </c>
      <c r="S506" s="2496">
        <f t="shared" si="58"/>
        <v>122000.28842432504</v>
      </c>
      <c r="T506" s="2496">
        <f t="shared" si="58"/>
        <v>125358.79751315832</v>
      </c>
      <c r="U506" s="2496">
        <f t="shared" si="58"/>
        <v>128660.59703831631</v>
      </c>
      <c r="V506" s="2496">
        <f t="shared" si="58"/>
        <v>131913.84979210189</v>
      </c>
      <c r="W506" s="2496">
        <f t="shared" si="58"/>
        <v>135123.19958848864</v>
      </c>
      <c r="X506" s="2496">
        <f t="shared" si="58"/>
        <v>138306.80110360184</v>
      </c>
      <c r="Y506" s="2496">
        <f t="shared" si="58"/>
        <v>141476.90095532822</v>
      </c>
      <c r="Z506" s="2496">
        <f t="shared" si="58"/>
        <v>144640.92213284614</v>
      </c>
      <c r="AA506" s="2496">
        <f t="shared" si="58"/>
        <v>147803.28437438828</v>
      </c>
      <c r="AB506" s="2496">
        <f t="shared" si="58"/>
        <v>150962.84433352988</v>
      </c>
      <c r="AC506" s="2496">
        <f t="shared" si="58"/>
        <v>154121.4313802807</v>
      </c>
      <c r="AD506" s="2496">
        <f t="shared" si="58"/>
        <v>157279.55970788054</v>
      </c>
      <c r="AE506" s="2496">
        <f t="shared" si="58"/>
        <v>160436.82454564606</v>
      </c>
      <c r="AF506" s="2496">
        <f t="shared" si="58"/>
        <v>163592.5942405854</v>
      </c>
      <c r="AG506" s="2496">
        <f t="shared" si="58"/>
        <v>166745.24612979175</v>
      </c>
      <c r="AH506" s="2496">
        <f t="shared" si="58"/>
        <v>169892.86914777878</v>
      </c>
      <c r="AI506" s="2496">
        <f t="shared" si="58"/>
        <v>173033.34324127025</v>
      </c>
      <c r="AJ506" s="2496">
        <f t="shared" si="58"/>
        <v>176168.9000795527</v>
      </c>
      <c r="AK506" s="2496">
        <f t="shared" si="58"/>
        <v>179295.87767020095</v>
      </c>
      <c r="AL506" s="2496">
        <f t="shared" si="58"/>
        <v>182411.39565595021</v>
      </c>
      <c r="AM506" s="2496">
        <f t="shared" si="58"/>
        <v>185511.70841273072</v>
      </c>
      <c r="AN506" s="2496">
        <f t="shared" si="58"/>
        <v>188593.85884289417</v>
      </c>
      <c r="AO506" s="2496">
        <f t="shared" si="58"/>
        <v>191655.45447766478</v>
      </c>
      <c r="AP506" s="2496">
        <f t="shared" si="58"/>
        <v>194693.02112857025</v>
      </c>
      <c r="AQ506" s="2496">
        <f t="shared" si="58"/>
        <v>197703.80097205227</v>
      </c>
      <c r="AR506" s="2496">
        <f t="shared" si="58"/>
        <v>200685.04073168794</v>
      </c>
      <c r="AS506" s="2496">
        <f t="shared" si="58"/>
        <v>203633.99055996971</v>
      </c>
    </row>
    <row r="507" spans="1:45" s="2490" customFormat="1" x14ac:dyDescent="0.2">
      <c r="B507" s="2488"/>
      <c r="C507" s="2489" t="s">
        <v>1381</v>
      </c>
      <c r="D507" s="2493" t="s">
        <v>1523</v>
      </c>
      <c r="G507" s="2496">
        <f t="shared" si="58"/>
        <v>112442.47077326461</v>
      </c>
      <c r="H507" s="2496">
        <f t="shared" si="58"/>
        <v>114292.09078388828</v>
      </c>
      <c r="I507" s="2496">
        <f t="shared" si="58"/>
        <v>116695.40170413193</v>
      </c>
      <c r="J507" s="2496">
        <f t="shared" si="58"/>
        <v>119041.15970050784</v>
      </c>
      <c r="K507" s="2496">
        <f t="shared" si="58"/>
        <v>121384.25418408612</v>
      </c>
      <c r="L507" s="2496">
        <f t="shared" si="58"/>
        <v>123704.59496470205</v>
      </c>
      <c r="M507" s="2496">
        <f t="shared" si="58"/>
        <v>125975.48612969101</v>
      </c>
      <c r="N507" s="2496">
        <f t="shared" si="58"/>
        <v>128234.62758806201</v>
      </c>
      <c r="O507" s="2496">
        <f t="shared" si="58"/>
        <v>130479.06746252022</v>
      </c>
      <c r="P507" s="2496">
        <f t="shared" si="58"/>
        <v>132691.99041458347</v>
      </c>
      <c r="Q507" s="2496">
        <f t="shared" si="58"/>
        <v>134850.91602939056</v>
      </c>
      <c r="R507" s="2496">
        <f t="shared" si="58"/>
        <v>137144.99138032546</v>
      </c>
      <c r="S507" s="2496">
        <f t="shared" si="58"/>
        <v>139514.22016052791</v>
      </c>
      <c r="T507" s="2496">
        <f t="shared" si="58"/>
        <v>141919.22680084911</v>
      </c>
      <c r="U507" s="2496">
        <f t="shared" si="58"/>
        <v>144333.8937612884</v>
      </c>
      <c r="V507" s="2496">
        <f t="shared" si="58"/>
        <v>146740.18978748686</v>
      </c>
      <c r="W507" s="2496">
        <f t="shared" si="58"/>
        <v>149126.10569177585</v>
      </c>
      <c r="X507" s="2496">
        <f t="shared" si="58"/>
        <v>151497.39073419748</v>
      </c>
      <c r="Y507" s="2496">
        <f t="shared" si="58"/>
        <v>153857.52305189025</v>
      </c>
      <c r="Z507" s="2496">
        <f t="shared" si="58"/>
        <v>156207.91401660701</v>
      </c>
      <c r="AA507" s="2496">
        <f t="shared" si="58"/>
        <v>158548.96252888517</v>
      </c>
      <c r="AB507" s="2496">
        <f t="shared" si="58"/>
        <v>160877.46986484755</v>
      </c>
      <c r="AC507" s="2496">
        <f t="shared" si="58"/>
        <v>163193.77384956909</v>
      </c>
      <c r="AD507" s="2496">
        <f t="shared" si="58"/>
        <v>165497.57965896011</v>
      </c>
      <c r="AE507" s="2496">
        <f t="shared" si="58"/>
        <v>167788.18834571025</v>
      </c>
      <c r="AF507" s="2496">
        <f t="shared" si="58"/>
        <v>170064.988825295</v>
      </c>
      <c r="AG507" s="2496">
        <f t="shared" si="58"/>
        <v>172326.73891476894</v>
      </c>
      <c r="AH507" s="2496">
        <f t="shared" si="58"/>
        <v>174572.13311618939</v>
      </c>
      <c r="AI507" s="2496">
        <f t="shared" si="58"/>
        <v>176799.82472561233</v>
      </c>
      <c r="AJ507" s="2496">
        <f t="shared" si="58"/>
        <v>179012.08828551983</v>
      </c>
      <c r="AK507" s="2496">
        <f t="shared" si="58"/>
        <v>181206.2757505487</v>
      </c>
      <c r="AL507" s="2496">
        <f t="shared" si="58"/>
        <v>183380.56415769772</v>
      </c>
      <c r="AM507" s="2496">
        <f t="shared" si="58"/>
        <v>185532.53570791945</v>
      </c>
      <c r="AN507" s="2496">
        <f t="shared" si="58"/>
        <v>187660.51175738894</v>
      </c>
      <c r="AO507" s="2496">
        <f t="shared" si="58"/>
        <v>189763.29958692688</v>
      </c>
      <c r="AP507" s="2496">
        <f t="shared" si="58"/>
        <v>191838.85954274406</v>
      </c>
      <c r="AQ507" s="2496">
        <f t="shared" si="58"/>
        <v>193885.77332432783</v>
      </c>
      <c r="AR507" s="2496">
        <f t="shared" si="58"/>
        <v>195902.63567685059</v>
      </c>
      <c r="AS507" s="2496">
        <f t="shared" si="58"/>
        <v>197888.05400427236</v>
      </c>
    </row>
    <row r="508" spans="1:45" s="2490" customFormat="1" x14ac:dyDescent="0.2">
      <c r="B508" s="2488"/>
      <c r="C508" s="2514" t="s">
        <v>118</v>
      </c>
      <c r="D508" s="2498" t="s">
        <v>1537</v>
      </c>
      <c r="E508" s="2507"/>
      <c r="F508" s="2507"/>
      <c r="G508" s="2500">
        <f>SUM(G492:G507)</f>
        <v>347737.04207146441</v>
      </c>
      <c r="H508" s="2500">
        <f t="shared" ref="H508:AS508" si="59">SUM(H492:H507)</f>
        <v>353076.03027448757</v>
      </c>
      <c r="I508" s="2500">
        <f t="shared" si="59"/>
        <v>360119.2419676896</v>
      </c>
      <c r="J508" s="2500">
        <f t="shared" si="59"/>
        <v>366879.11261282326</v>
      </c>
      <c r="K508" s="2500">
        <f t="shared" si="59"/>
        <v>373429.34272787924</v>
      </c>
      <c r="L508" s="2500">
        <f t="shared" si="59"/>
        <v>379689.89325001941</v>
      </c>
      <c r="M508" s="2500">
        <f t="shared" si="59"/>
        <v>385824.66293087695</v>
      </c>
      <c r="N508" s="2500">
        <f t="shared" si="59"/>
        <v>392163.43556279107</v>
      </c>
      <c r="O508" s="2500">
        <f t="shared" si="59"/>
        <v>398441.85961162811</v>
      </c>
      <c r="P508" s="2500">
        <f t="shared" si="59"/>
        <v>404730.34171652986</v>
      </c>
      <c r="Q508" s="2500">
        <f t="shared" si="59"/>
        <v>410970.46185212536</v>
      </c>
      <c r="R508" s="2500">
        <f t="shared" si="59"/>
        <v>417343.70154724561</v>
      </c>
      <c r="S508" s="2500">
        <f t="shared" si="59"/>
        <v>423802.24260144221</v>
      </c>
      <c r="T508" s="2500">
        <f t="shared" si="59"/>
        <v>430309.62814666075</v>
      </c>
      <c r="U508" s="2500">
        <f t="shared" si="59"/>
        <v>436837.00100079423</v>
      </c>
      <c r="V508" s="2500">
        <f t="shared" si="59"/>
        <v>443359.59580719774</v>
      </c>
      <c r="W508" s="2500">
        <f t="shared" si="59"/>
        <v>449857.61150979524</v>
      </c>
      <c r="X508" s="2500">
        <f t="shared" si="59"/>
        <v>456350.13603182288</v>
      </c>
      <c r="Y508" s="2500">
        <f t="shared" si="59"/>
        <v>462848.30212339287</v>
      </c>
      <c r="Z508" s="2500">
        <f t="shared" si="59"/>
        <v>469356.4766405694</v>
      </c>
      <c r="AA508" s="2500">
        <f t="shared" si="59"/>
        <v>475875.39603910415</v>
      </c>
      <c r="AB508" s="2500">
        <f t="shared" si="59"/>
        <v>482395.83208896255</v>
      </c>
      <c r="AC508" s="2500">
        <f t="shared" si="59"/>
        <v>488917.01021233754</v>
      </c>
      <c r="AD508" s="2500">
        <f t="shared" si="59"/>
        <v>495436.4701626171</v>
      </c>
      <c r="AE508" s="2500">
        <f t="shared" si="59"/>
        <v>501950.68276729179</v>
      </c>
      <c r="AF508" s="2500">
        <f t="shared" si="59"/>
        <v>508456.35939955001</v>
      </c>
      <c r="AG508" s="2500">
        <f t="shared" si="59"/>
        <v>514948.60941666923</v>
      </c>
      <c r="AH508" s="2500">
        <f t="shared" si="59"/>
        <v>521422.38221438357</v>
      </c>
      <c r="AI508" s="2500">
        <f t="shared" si="59"/>
        <v>527872.53768543026</v>
      </c>
      <c r="AJ508" s="2500">
        <f t="shared" si="59"/>
        <v>534303.61545859568</v>
      </c>
      <c r="AK508" s="2500">
        <f t="shared" si="59"/>
        <v>540707.42963713559</v>
      </c>
      <c r="AL508" s="2500">
        <f t="shared" si="59"/>
        <v>547077.79343865498</v>
      </c>
      <c r="AM508" s="2500">
        <f t="shared" si="59"/>
        <v>553406.85322296084</v>
      </c>
      <c r="AN508" s="2500">
        <f t="shared" si="59"/>
        <v>559688.6348142029</v>
      </c>
      <c r="AO508" s="2500">
        <f t="shared" si="59"/>
        <v>565918.47288915934</v>
      </c>
      <c r="AP508" s="2500">
        <f t="shared" si="59"/>
        <v>572089.44450326927</v>
      </c>
      <c r="AQ508" s="2500">
        <f t="shared" si="59"/>
        <v>578196.2537398329</v>
      </c>
      <c r="AR508" s="2500">
        <f t="shared" si="59"/>
        <v>584233.6551402465</v>
      </c>
      <c r="AS508" s="2500">
        <f t="shared" si="59"/>
        <v>590196.44555635226</v>
      </c>
    </row>
    <row r="509" spans="1:45" s="2490" customFormat="1" x14ac:dyDescent="0.2">
      <c r="B509" s="2488"/>
      <c r="C509" s="2501"/>
      <c r="D509" s="2516"/>
      <c r="E509" s="2517"/>
      <c r="F509" s="2517"/>
      <c r="G509" s="2517"/>
      <c r="H509" s="2517"/>
      <c r="I509" s="2517"/>
      <c r="J509" s="2517"/>
      <c r="K509" s="2517"/>
      <c r="L509" s="2517"/>
      <c r="M509" s="2517"/>
      <c r="N509" s="2517"/>
      <c r="O509" s="2517"/>
      <c r="P509" s="2517"/>
      <c r="Q509" s="2517"/>
      <c r="R509" s="2517"/>
      <c r="S509" s="2517"/>
      <c r="T509" s="2517"/>
      <c r="U509" s="2517"/>
      <c r="V509" s="2517"/>
      <c r="W509" s="2517"/>
      <c r="X509" s="2517"/>
      <c r="Y509" s="2517"/>
      <c r="Z509" s="2517"/>
      <c r="AA509" s="2517"/>
      <c r="AB509" s="2517"/>
      <c r="AC509" s="2517"/>
      <c r="AD509" s="2517"/>
      <c r="AE509" s="2517"/>
      <c r="AF509" s="2517"/>
      <c r="AG509" s="2517"/>
      <c r="AH509" s="2517"/>
      <c r="AI509" s="2517"/>
      <c r="AJ509" s="2517"/>
      <c r="AK509" s="2517"/>
      <c r="AL509" s="2517"/>
      <c r="AM509" s="2517"/>
      <c r="AN509" s="2517"/>
      <c r="AO509" s="2517"/>
      <c r="AP509" s="2517"/>
      <c r="AQ509" s="2517"/>
    </row>
    <row r="510" spans="1:45" s="2490" customFormat="1" x14ac:dyDescent="0.2">
      <c r="B510" s="2488"/>
      <c r="C510" s="2489"/>
      <c r="D510" s="2516"/>
      <c r="E510" s="2517"/>
      <c r="F510" s="2517"/>
      <c r="G510" s="2517"/>
      <c r="H510" s="2517"/>
      <c r="I510" s="2517"/>
      <c r="J510" s="2517"/>
      <c r="K510" s="2517"/>
      <c r="L510" s="2517"/>
      <c r="M510" s="2517"/>
      <c r="N510" s="2517"/>
      <c r="O510" s="2517"/>
      <c r="P510" s="2517"/>
      <c r="Q510" s="2517"/>
      <c r="R510" s="2517"/>
      <c r="S510" s="2517"/>
      <c r="T510" s="2517"/>
      <c r="U510" s="2517"/>
      <c r="V510" s="2517"/>
      <c r="W510" s="2517"/>
      <c r="X510" s="2517"/>
      <c r="Y510" s="2517"/>
      <c r="Z510" s="2517"/>
      <c r="AA510" s="2517"/>
      <c r="AB510" s="2517"/>
      <c r="AC510" s="2517"/>
      <c r="AD510" s="2517"/>
      <c r="AE510" s="2517"/>
      <c r="AF510" s="2517"/>
      <c r="AG510" s="2517"/>
      <c r="AH510" s="2517"/>
      <c r="AI510" s="2517"/>
      <c r="AJ510" s="2517"/>
      <c r="AK510" s="2517"/>
      <c r="AL510" s="2517"/>
      <c r="AM510" s="2517"/>
      <c r="AN510" s="2517"/>
      <c r="AO510" s="2517"/>
      <c r="AP510" s="2517"/>
      <c r="AQ510" s="2517"/>
    </row>
    <row r="511" spans="1:45" s="2490" customFormat="1" x14ac:dyDescent="0.2">
      <c r="A511" s="2488"/>
      <c r="B511" s="2488" t="s">
        <v>1538</v>
      </c>
      <c r="C511" s="2489" t="s">
        <v>1539</v>
      </c>
      <c r="D511" s="2516"/>
      <c r="E511" s="2517"/>
      <c r="F511" s="2517"/>
      <c r="G511" s="2517"/>
      <c r="H511" s="2517"/>
      <c r="I511" s="2517"/>
      <c r="J511" s="2517"/>
      <c r="K511" s="2517"/>
      <c r="L511" s="2517"/>
      <c r="M511" s="2517"/>
      <c r="N511" s="2517"/>
      <c r="O511" s="2517"/>
      <c r="P511" s="2517"/>
      <c r="Q511" s="2517"/>
      <c r="R511" s="2517"/>
      <c r="S511" s="2517"/>
      <c r="T511" s="2517"/>
      <c r="U511" s="2517"/>
      <c r="V511" s="2517"/>
      <c r="W511" s="2517"/>
      <c r="X511" s="2517"/>
      <c r="Y511" s="2517"/>
      <c r="Z511" s="2517"/>
      <c r="AA511" s="2517"/>
      <c r="AB511" s="2517"/>
      <c r="AC511" s="2517"/>
      <c r="AD511" s="2517"/>
      <c r="AE511" s="2517"/>
      <c r="AF511" s="2517"/>
      <c r="AG511" s="2517"/>
      <c r="AH511" s="2517"/>
      <c r="AI511" s="2517"/>
      <c r="AJ511" s="2517"/>
      <c r="AK511" s="2517"/>
      <c r="AL511" s="2517"/>
      <c r="AM511" s="2517"/>
      <c r="AN511" s="2517"/>
      <c r="AO511" s="2517"/>
      <c r="AP511" s="2517"/>
      <c r="AQ511" s="2517"/>
    </row>
    <row r="512" spans="1:45" s="2490" customFormat="1" x14ac:dyDescent="0.2">
      <c r="C512" s="2513"/>
      <c r="D512" s="2513" t="s">
        <v>1029</v>
      </c>
      <c r="E512" s="2492" t="s">
        <v>8</v>
      </c>
      <c r="F512" s="2492"/>
      <c r="G512" s="2492">
        <v>2012</v>
      </c>
      <c r="H512" s="2492">
        <v>2013</v>
      </c>
      <c r="I512" s="2492">
        <v>2014</v>
      </c>
      <c r="J512" s="2492">
        <v>2015</v>
      </c>
      <c r="K512" s="2492">
        <v>2016</v>
      </c>
      <c r="L512" s="2492">
        <v>2017</v>
      </c>
      <c r="M512" s="2492">
        <v>2018</v>
      </c>
      <c r="N512" s="2492">
        <v>2019</v>
      </c>
      <c r="O512" s="2492">
        <v>2020</v>
      </c>
      <c r="P512" s="2492">
        <v>2021</v>
      </c>
      <c r="Q512" s="2492">
        <v>2022</v>
      </c>
      <c r="R512" s="2492">
        <v>2023</v>
      </c>
      <c r="S512" s="2492">
        <v>2024</v>
      </c>
      <c r="T512" s="2492">
        <v>2025</v>
      </c>
      <c r="U512" s="2492">
        <v>2026</v>
      </c>
      <c r="V512" s="2492">
        <v>2027</v>
      </c>
      <c r="W512" s="2492">
        <v>2028</v>
      </c>
      <c r="X512" s="2492">
        <v>2029</v>
      </c>
      <c r="Y512" s="2492">
        <v>2030</v>
      </c>
      <c r="Z512" s="2492">
        <v>2031</v>
      </c>
      <c r="AA512" s="2492">
        <v>2032</v>
      </c>
      <c r="AB512" s="2492">
        <v>2033</v>
      </c>
      <c r="AC512" s="2492">
        <v>2034</v>
      </c>
      <c r="AD512" s="2492">
        <v>2035</v>
      </c>
      <c r="AE512" s="2492">
        <v>2036</v>
      </c>
      <c r="AF512" s="2492">
        <v>2037</v>
      </c>
      <c r="AG512" s="2492">
        <v>2038</v>
      </c>
      <c r="AH512" s="2492">
        <v>2039</v>
      </c>
      <c r="AI512" s="2492">
        <v>2040</v>
      </c>
      <c r="AJ512" s="2492">
        <v>2041</v>
      </c>
      <c r="AK512" s="2492">
        <v>2042</v>
      </c>
      <c r="AL512" s="2492">
        <v>2043</v>
      </c>
      <c r="AM512" s="2492">
        <v>2044</v>
      </c>
      <c r="AN512" s="2492">
        <v>2045</v>
      </c>
      <c r="AO512" s="2492">
        <v>2046</v>
      </c>
      <c r="AP512" s="2492">
        <v>2047</v>
      </c>
      <c r="AQ512" s="2492">
        <v>2048</v>
      </c>
      <c r="AR512" s="2492">
        <v>2049</v>
      </c>
      <c r="AS512" s="2492">
        <v>2050</v>
      </c>
    </row>
    <row r="513" spans="2:45" s="2490" customFormat="1" x14ac:dyDescent="0.2">
      <c r="B513" s="3606" t="s">
        <v>1540</v>
      </c>
      <c r="C513" s="2489" t="s">
        <v>1364</v>
      </c>
      <c r="D513" s="2493"/>
      <c r="G513" s="2517"/>
      <c r="H513" s="2517"/>
      <c r="I513" s="2517"/>
      <c r="J513" s="2517"/>
      <c r="K513" s="2517"/>
      <c r="L513" s="2517"/>
      <c r="M513" s="2517"/>
      <c r="N513" s="2517"/>
      <c r="O513" s="2517"/>
      <c r="P513" s="2517"/>
      <c r="Q513" s="2517"/>
      <c r="R513" s="2517"/>
      <c r="S513" s="2517"/>
      <c r="T513" s="2517"/>
      <c r="U513" s="2517"/>
      <c r="V513" s="2517"/>
      <c r="W513" s="2517"/>
      <c r="X513" s="2517"/>
      <c r="Y513" s="2517"/>
      <c r="Z513" s="2517"/>
      <c r="AA513" s="2517"/>
      <c r="AB513" s="2517"/>
      <c r="AC513" s="2517"/>
      <c r="AD513" s="2517"/>
      <c r="AE513" s="2517"/>
      <c r="AF513" s="2517"/>
      <c r="AG513" s="2517"/>
      <c r="AH513" s="2517"/>
      <c r="AI513" s="2517"/>
      <c r="AJ513" s="2517"/>
      <c r="AK513" s="2517"/>
      <c r="AL513" s="2517"/>
      <c r="AM513" s="2517"/>
      <c r="AN513" s="2517"/>
      <c r="AO513" s="2517"/>
      <c r="AP513" s="2517"/>
      <c r="AQ513" s="2517"/>
      <c r="AR513" s="2517"/>
      <c r="AS513" s="2517"/>
    </row>
    <row r="514" spans="2:45" s="2490" customFormat="1" x14ac:dyDescent="0.2">
      <c r="B514" s="3606"/>
      <c r="C514" s="2495" t="s">
        <v>1366</v>
      </c>
      <c r="D514" s="2493" t="s">
        <v>1537</v>
      </c>
      <c r="E514" s="2518"/>
      <c r="F514" s="2518"/>
      <c r="G514" s="2496">
        <f t="shared" ref="G514:AS520" si="60">G74*G158*G177*$E$207*$E$204*$D$217</f>
        <v>117618.66993549242</v>
      </c>
      <c r="H514" s="2496">
        <f t="shared" si="60"/>
        <v>117232.7612665067</v>
      </c>
      <c r="I514" s="2496">
        <f t="shared" si="60"/>
        <v>117546.80922720433</v>
      </c>
      <c r="J514" s="2496">
        <f t="shared" si="60"/>
        <v>117512.41716146062</v>
      </c>
      <c r="K514" s="2496">
        <f t="shared" si="60"/>
        <v>117247.5683370184</v>
      </c>
      <c r="L514" s="2496">
        <f t="shared" si="60"/>
        <v>116735.31617694722</v>
      </c>
      <c r="M514" s="2496">
        <f t="shared" si="60"/>
        <v>115899.06176292791</v>
      </c>
      <c r="N514" s="2496">
        <f t="shared" si="60"/>
        <v>115096.74853252487</v>
      </c>
      <c r="O514" s="2496">
        <f t="shared" si="60"/>
        <v>114327.95304761364</v>
      </c>
      <c r="P514" s="2496">
        <f t="shared" si="60"/>
        <v>113565.24152370122</v>
      </c>
      <c r="Q514" s="2496">
        <f t="shared" si="60"/>
        <v>112771.83037806982</v>
      </c>
      <c r="R514" s="2496">
        <f t="shared" si="60"/>
        <v>112140.89739639139</v>
      </c>
      <c r="S514" s="2496">
        <f t="shared" si="60"/>
        <v>111638.53660883082</v>
      </c>
      <c r="T514" s="2496">
        <f t="shared" si="60"/>
        <v>111238.14367129889</v>
      </c>
      <c r="U514" s="2496">
        <f t="shared" si="60"/>
        <v>110918.76366790578</v>
      </c>
      <c r="V514" s="2496">
        <f t="shared" si="60"/>
        <v>110663.84031393297</v>
      </c>
      <c r="W514" s="2496">
        <f t="shared" si="60"/>
        <v>110460.25986688916</v>
      </c>
      <c r="X514" s="2496">
        <f t="shared" si="60"/>
        <v>110297.61431643092</v>
      </c>
      <c r="Y514" s="2496">
        <f t="shared" si="60"/>
        <v>110167.62965746816</v>
      </c>
      <c r="Z514" s="2496">
        <f t="shared" si="60"/>
        <v>110063.71972135871</v>
      </c>
      <c r="AA514" s="2496">
        <f t="shared" si="60"/>
        <v>109980.63634492259</v>
      </c>
      <c r="AB514" s="2496">
        <f t="shared" si="60"/>
        <v>109914.19401020141</v>
      </c>
      <c r="AC514" s="2496">
        <f t="shared" si="60"/>
        <v>109861.05241340079</v>
      </c>
      <c r="AD514" s="2496">
        <f t="shared" si="60"/>
        <v>109818.54433193991</v>
      </c>
      <c r="AE514" s="2496">
        <f t="shared" si="60"/>
        <v>109784.5390663412</v>
      </c>
      <c r="AF514" s="2496">
        <f t="shared" si="60"/>
        <v>109757.33392052448</v>
      </c>
      <c r="AG514" s="2496">
        <f t="shared" si="60"/>
        <v>109735.56784518679</v>
      </c>
      <c r="AH514" s="2496">
        <f t="shared" si="60"/>
        <v>109718.15264180546</v>
      </c>
      <c r="AI514" s="2496">
        <f t="shared" si="60"/>
        <v>109704.21810746331</v>
      </c>
      <c r="AJ514" s="2496">
        <f t="shared" si="60"/>
        <v>109693.06826417962</v>
      </c>
      <c r="AK514" s="2496">
        <f t="shared" si="60"/>
        <v>109684.14641281005</v>
      </c>
      <c r="AL514" s="2496">
        <f t="shared" si="60"/>
        <v>109677.00721950205</v>
      </c>
      <c r="AM514" s="2496">
        <f t="shared" si="60"/>
        <v>109671.29441121058</v>
      </c>
      <c r="AN514" s="2496">
        <f t="shared" si="60"/>
        <v>109666.72294786417</v>
      </c>
      <c r="AO514" s="2496">
        <f t="shared" si="60"/>
        <v>109663.06476929678</v>
      </c>
      <c r="AP514" s="2496">
        <f t="shared" si="60"/>
        <v>109660.13739796827</v>
      </c>
      <c r="AQ514" s="2496">
        <f t="shared" si="60"/>
        <v>109657.79482388789</v>
      </c>
      <c r="AR514" s="2496">
        <f t="shared" si="60"/>
        <v>109655.92021385588</v>
      </c>
      <c r="AS514" s="2496">
        <f t="shared" si="60"/>
        <v>109654.42007932412</v>
      </c>
    </row>
    <row r="515" spans="2:45" s="2490" customFormat="1" x14ac:dyDescent="0.2">
      <c r="B515" s="3606"/>
      <c r="C515" s="2495" t="s">
        <v>1367</v>
      </c>
      <c r="D515" s="2493" t="s">
        <v>1537</v>
      </c>
      <c r="E515" s="2518"/>
      <c r="F515" s="2518"/>
      <c r="G515" s="2496">
        <f t="shared" si="60"/>
        <v>3095.7262546076681</v>
      </c>
      <c r="H515" s="2496">
        <f t="shared" si="60"/>
        <v>3085.5691290500076</v>
      </c>
      <c r="I515" s="2496">
        <f t="shared" si="60"/>
        <v>3093.8348790170062</v>
      </c>
      <c r="J515" s="2496">
        <f t="shared" si="60"/>
        <v>3092.9296790098006</v>
      </c>
      <c r="K515" s="2496">
        <f t="shared" si="60"/>
        <v>3085.9588515061614</v>
      </c>
      <c r="L515" s="2496">
        <f t="shared" si="60"/>
        <v>3072.4763621889329</v>
      </c>
      <c r="M515" s="2496">
        <f t="shared" si="60"/>
        <v>3050.4661256641466</v>
      </c>
      <c r="N515" s="2496">
        <f t="shared" si="60"/>
        <v>3029.3492219179989</v>
      </c>
      <c r="O515" s="2496">
        <f t="shared" si="60"/>
        <v>3009.1145060487506</v>
      </c>
      <c r="P515" s="2496">
        <f t="shared" si="60"/>
        <v>2989.0399201810269</v>
      </c>
      <c r="Q515" s="2496">
        <f t="shared" si="60"/>
        <v>2968.1573195226729</v>
      </c>
      <c r="R515" s="2496">
        <f t="shared" si="60"/>
        <v>2951.5511480929927</v>
      </c>
      <c r="S515" s="2496">
        <f t="shared" si="60"/>
        <v>2938.3289999409226</v>
      </c>
      <c r="T515" s="2496">
        <f t="shared" si="60"/>
        <v>2927.7906480826937</v>
      </c>
      <c r="U515" s="2496">
        <f t="shared" si="60"/>
        <v>2919.3845586222101</v>
      </c>
      <c r="V515" s="2496">
        <f t="shared" si="60"/>
        <v>2912.674969742834</v>
      </c>
      <c r="W515" s="2496">
        <f t="shared" si="60"/>
        <v>2907.3167274231073</v>
      </c>
      <c r="X515" s="2496">
        <f t="shared" si="60"/>
        <v>2903.0358925775436</v>
      </c>
      <c r="Y515" s="2496">
        <f t="shared" si="60"/>
        <v>2899.6146931908484</v>
      </c>
      <c r="Z515" s="2496">
        <f t="shared" si="60"/>
        <v>2896.8797811441041</v>
      </c>
      <c r="AA515" s="2496">
        <f t="shared" si="60"/>
        <v>2894.6930246547149</v>
      </c>
      <c r="AB515" s="2496">
        <f t="shared" si="60"/>
        <v>2892.9442607881729</v>
      </c>
      <c r="AC515" s="2496">
        <f t="shared" si="60"/>
        <v>2891.5455726673363</v>
      </c>
      <c r="AD515" s="2496">
        <f t="shared" si="60"/>
        <v>2890.4267589289766</v>
      </c>
      <c r="AE515" s="2496">
        <f t="shared" si="60"/>
        <v>2889.5317395109996</v>
      </c>
      <c r="AF515" s="2496">
        <f t="shared" si="60"/>
        <v>2888.8156994111464</v>
      </c>
      <c r="AG515" s="2496">
        <f t="shared" si="60"/>
        <v>2888.2428157786458</v>
      </c>
      <c r="AH515" s="2496">
        <f t="shared" si="60"/>
        <v>2887.7844472018996</v>
      </c>
      <c r="AI515" s="2496">
        <f t="shared" si="60"/>
        <v>2887.4176899189592</v>
      </c>
      <c r="AJ515" s="2496">
        <f t="shared" si="60"/>
        <v>2887.1242257724334</v>
      </c>
      <c r="AK515" s="2496">
        <f t="shared" si="60"/>
        <v>2886.8894024272986</v>
      </c>
      <c r="AL515" s="2496">
        <f t="shared" si="60"/>
        <v>2886.7014986857216</v>
      </c>
      <c r="AM515" s="2496">
        <f t="shared" si="60"/>
        <v>2886.5511374324851</v>
      </c>
      <c r="AN515" s="2496">
        <f t="shared" si="60"/>
        <v>2886.4308164059748</v>
      </c>
      <c r="AO515" s="2496">
        <f t="shared" si="60"/>
        <v>2886.3345330570705</v>
      </c>
      <c r="AP515" s="2496">
        <f t="shared" si="60"/>
        <v>2886.2574845724748</v>
      </c>
      <c r="AQ515" s="2496">
        <f t="shared" si="60"/>
        <v>2886.1958279656792</v>
      </c>
      <c r="AR515" s="2496">
        <f t="shared" si="60"/>
        <v>2886.1464881840238</v>
      </c>
      <c r="AS515" s="2496">
        <f t="shared" si="60"/>
        <v>2886.107004606647</v>
      </c>
    </row>
    <row r="516" spans="2:45" s="2490" customFormat="1" x14ac:dyDescent="0.2">
      <c r="B516" s="3606"/>
      <c r="C516" s="2495" t="s">
        <v>1368</v>
      </c>
      <c r="D516" s="2493" t="s">
        <v>1537</v>
      </c>
      <c r="E516" s="2518"/>
      <c r="F516" s="2518"/>
      <c r="G516" s="2496">
        <f t="shared" si="60"/>
        <v>0</v>
      </c>
      <c r="H516" s="2496">
        <f t="shared" si="60"/>
        <v>0</v>
      </c>
      <c r="I516" s="2496">
        <f t="shared" si="60"/>
        <v>0</v>
      </c>
      <c r="J516" s="2496">
        <f t="shared" si="60"/>
        <v>0</v>
      </c>
      <c r="K516" s="2496">
        <f t="shared" si="60"/>
        <v>0</v>
      </c>
      <c r="L516" s="2496">
        <f t="shared" si="60"/>
        <v>0</v>
      </c>
      <c r="M516" s="2496">
        <f t="shared" si="60"/>
        <v>0</v>
      </c>
      <c r="N516" s="2496">
        <f t="shared" si="60"/>
        <v>0</v>
      </c>
      <c r="O516" s="2496">
        <f t="shared" si="60"/>
        <v>0</v>
      </c>
      <c r="P516" s="2496">
        <f t="shared" si="60"/>
        <v>0</v>
      </c>
      <c r="Q516" s="2496">
        <f t="shared" si="60"/>
        <v>0</v>
      </c>
      <c r="R516" s="2496">
        <f t="shared" si="60"/>
        <v>0</v>
      </c>
      <c r="S516" s="2496">
        <f t="shared" si="60"/>
        <v>0</v>
      </c>
      <c r="T516" s="2496">
        <f t="shared" si="60"/>
        <v>0</v>
      </c>
      <c r="U516" s="2496">
        <f t="shared" si="60"/>
        <v>0</v>
      </c>
      <c r="V516" s="2496">
        <f t="shared" si="60"/>
        <v>0</v>
      </c>
      <c r="W516" s="2496">
        <f t="shared" si="60"/>
        <v>0</v>
      </c>
      <c r="X516" s="2496">
        <f t="shared" si="60"/>
        <v>0</v>
      </c>
      <c r="Y516" s="2496">
        <f t="shared" si="60"/>
        <v>0</v>
      </c>
      <c r="Z516" s="2496">
        <f t="shared" si="60"/>
        <v>0</v>
      </c>
      <c r="AA516" s="2496">
        <f t="shared" si="60"/>
        <v>0</v>
      </c>
      <c r="AB516" s="2496">
        <f t="shared" si="60"/>
        <v>0</v>
      </c>
      <c r="AC516" s="2496">
        <f t="shared" si="60"/>
        <v>0</v>
      </c>
      <c r="AD516" s="2496">
        <f t="shared" si="60"/>
        <v>0</v>
      </c>
      <c r="AE516" s="2496">
        <f t="shared" si="60"/>
        <v>0</v>
      </c>
      <c r="AF516" s="2496">
        <f t="shared" si="60"/>
        <v>0</v>
      </c>
      <c r="AG516" s="2496">
        <f t="shared" si="60"/>
        <v>0</v>
      </c>
      <c r="AH516" s="2496">
        <f t="shared" si="60"/>
        <v>0</v>
      </c>
      <c r="AI516" s="2496">
        <f t="shared" si="60"/>
        <v>0</v>
      </c>
      <c r="AJ516" s="2496">
        <f t="shared" si="60"/>
        <v>0</v>
      </c>
      <c r="AK516" s="2496">
        <f t="shared" si="60"/>
        <v>0</v>
      </c>
      <c r="AL516" s="2496">
        <f t="shared" si="60"/>
        <v>0</v>
      </c>
      <c r="AM516" s="2496">
        <f t="shared" si="60"/>
        <v>0</v>
      </c>
      <c r="AN516" s="2496">
        <f t="shared" si="60"/>
        <v>0</v>
      </c>
      <c r="AO516" s="2496">
        <f t="shared" si="60"/>
        <v>0</v>
      </c>
      <c r="AP516" s="2496">
        <f t="shared" si="60"/>
        <v>0</v>
      </c>
      <c r="AQ516" s="2496">
        <f t="shared" si="60"/>
        <v>0</v>
      </c>
      <c r="AR516" s="2496">
        <f t="shared" si="60"/>
        <v>0</v>
      </c>
      <c r="AS516" s="2496">
        <f t="shared" si="60"/>
        <v>0</v>
      </c>
    </row>
    <row r="517" spans="2:45" s="2490" customFormat="1" x14ac:dyDescent="0.2">
      <c r="B517" s="2488"/>
      <c r="C517" s="2495" t="s">
        <v>1369</v>
      </c>
      <c r="D517" s="2493" t="s">
        <v>1537</v>
      </c>
      <c r="E517" s="2518"/>
      <c r="F517" s="2518"/>
      <c r="G517" s="2496">
        <f t="shared" si="60"/>
        <v>21131.450779258204</v>
      </c>
      <c r="H517" s="2496">
        <f t="shared" si="60"/>
        <v>21062.118163539679</v>
      </c>
      <c r="I517" s="2496">
        <f t="shared" si="60"/>
        <v>21118.540235200988</v>
      </c>
      <c r="J517" s="2496">
        <f t="shared" si="60"/>
        <v>21112.361333119723</v>
      </c>
      <c r="K517" s="2496">
        <f t="shared" si="60"/>
        <v>21064.778411966854</v>
      </c>
      <c r="L517" s="2496">
        <f t="shared" si="60"/>
        <v>20972.746838127008</v>
      </c>
      <c r="M517" s="2496">
        <f t="shared" si="60"/>
        <v>20822.504797484326</v>
      </c>
      <c r="N517" s="2496">
        <f t="shared" si="60"/>
        <v>20678.36065313116</v>
      </c>
      <c r="O517" s="2496">
        <f t="shared" si="60"/>
        <v>20540.238329884116</v>
      </c>
      <c r="P517" s="2496">
        <f t="shared" si="60"/>
        <v>20403.209055236071</v>
      </c>
      <c r="Q517" s="2496">
        <f t="shared" si="60"/>
        <v>20260.664265528612</v>
      </c>
      <c r="R517" s="2496">
        <f t="shared" si="60"/>
        <v>20147.310414012863</v>
      </c>
      <c r="S517" s="2496">
        <f t="shared" si="60"/>
        <v>20057.055930931336</v>
      </c>
      <c r="T517" s="2496">
        <f t="shared" si="60"/>
        <v>19985.121061607791</v>
      </c>
      <c r="U517" s="2496">
        <f t="shared" si="60"/>
        <v>19927.741031504724</v>
      </c>
      <c r="V517" s="2496">
        <f t="shared" si="60"/>
        <v>19881.941327172797</v>
      </c>
      <c r="W517" s="2496">
        <f t="shared" si="60"/>
        <v>19845.365924656471</v>
      </c>
      <c r="X517" s="2496">
        <f t="shared" si="60"/>
        <v>19816.144913690619</v>
      </c>
      <c r="Y517" s="2496">
        <f t="shared" si="60"/>
        <v>19792.791780855194</v>
      </c>
      <c r="Z517" s="2496">
        <f t="shared" si="60"/>
        <v>19774.123250582088</v>
      </c>
      <c r="AA517" s="2496">
        <f t="shared" si="60"/>
        <v>19759.196434280755</v>
      </c>
      <c r="AB517" s="2496">
        <f t="shared" si="60"/>
        <v>19747.259358928772</v>
      </c>
      <c r="AC517" s="2496">
        <f t="shared" si="60"/>
        <v>19737.711903259202</v>
      </c>
      <c r="AD517" s="2496">
        <f t="shared" si="60"/>
        <v>19730.07487223679</v>
      </c>
      <c r="AE517" s="2496">
        <f t="shared" si="60"/>
        <v>19723.96546293443</v>
      </c>
      <c r="AF517" s="2496">
        <f t="shared" si="60"/>
        <v>19719.077767808445</v>
      </c>
      <c r="AG517" s="2496">
        <f t="shared" si="60"/>
        <v>19715.167259809103</v>
      </c>
      <c r="AH517" s="2496">
        <f t="shared" si="60"/>
        <v>19712.038432444657</v>
      </c>
      <c r="AI517" s="2496">
        <f t="shared" si="60"/>
        <v>19709.534944463165</v>
      </c>
      <c r="AJ517" s="2496">
        <f t="shared" si="60"/>
        <v>19707.531755984022</v>
      </c>
      <c r="AK517" s="2496">
        <f t="shared" si="60"/>
        <v>19705.928850057786</v>
      </c>
      <c r="AL517" s="2496">
        <f t="shared" si="60"/>
        <v>19704.646217699556</v>
      </c>
      <c r="AM517" s="2496">
        <f t="shared" si="60"/>
        <v>19703.619850650099</v>
      </c>
      <c r="AN517" s="2496">
        <f t="shared" si="60"/>
        <v>19702.798538415005</v>
      </c>
      <c r="AO517" s="2496">
        <f t="shared" si="60"/>
        <v>19702.141307548671</v>
      </c>
      <c r="AP517" s="2496">
        <f t="shared" si="60"/>
        <v>19701.615374011293</v>
      </c>
      <c r="AQ517" s="2496">
        <f t="shared" si="60"/>
        <v>19701.194505547952</v>
      </c>
      <c r="AR517" s="2496">
        <f t="shared" si="60"/>
        <v>19700.857711825967</v>
      </c>
      <c r="AS517" s="2496">
        <f t="shared" si="60"/>
        <v>19700.588196628793</v>
      </c>
    </row>
    <row r="518" spans="2:45" s="2490" customFormat="1" x14ac:dyDescent="0.2">
      <c r="B518" s="2488"/>
      <c r="C518" s="2495" t="s">
        <v>1370</v>
      </c>
      <c r="D518" s="2493" t="s">
        <v>1537</v>
      </c>
      <c r="E518" s="2518"/>
      <c r="F518" s="2518"/>
      <c r="G518" s="2496">
        <f t="shared" si="60"/>
        <v>0</v>
      </c>
      <c r="H518" s="2496">
        <f t="shared" si="60"/>
        <v>0</v>
      </c>
      <c r="I518" s="2496">
        <f t="shared" si="60"/>
        <v>0</v>
      </c>
      <c r="J518" s="2496">
        <f t="shared" si="60"/>
        <v>0</v>
      </c>
      <c r="K518" s="2496">
        <f t="shared" si="60"/>
        <v>0</v>
      </c>
      <c r="L518" s="2496">
        <f t="shared" si="60"/>
        <v>0</v>
      </c>
      <c r="M518" s="2496">
        <f t="shared" si="60"/>
        <v>0</v>
      </c>
      <c r="N518" s="2496">
        <f t="shared" si="60"/>
        <v>0</v>
      </c>
      <c r="O518" s="2496">
        <f t="shared" si="60"/>
        <v>0</v>
      </c>
      <c r="P518" s="2496">
        <f t="shared" si="60"/>
        <v>0</v>
      </c>
      <c r="Q518" s="2496">
        <f t="shared" si="60"/>
        <v>0</v>
      </c>
      <c r="R518" s="2496">
        <f t="shared" si="60"/>
        <v>0</v>
      </c>
      <c r="S518" s="2496">
        <f t="shared" si="60"/>
        <v>0</v>
      </c>
      <c r="T518" s="2496">
        <f t="shared" si="60"/>
        <v>0</v>
      </c>
      <c r="U518" s="2496">
        <f t="shared" si="60"/>
        <v>0</v>
      </c>
      <c r="V518" s="2496">
        <f t="shared" si="60"/>
        <v>0</v>
      </c>
      <c r="W518" s="2496">
        <f t="shared" si="60"/>
        <v>0</v>
      </c>
      <c r="X518" s="2496">
        <f t="shared" si="60"/>
        <v>0</v>
      </c>
      <c r="Y518" s="2496">
        <f t="shared" si="60"/>
        <v>0</v>
      </c>
      <c r="Z518" s="2496">
        <f t="shared" si="60"/>
        <v>0</v>
      </c>
      <c r="AA518" s="2496">
        <f t="shared" si="60"/>
        <v>0</v>
      </c>
      <c r="AB518" s="2496">
        <f t="shared" si="60"/>
        <v>0</v>
      </c>
      <c r="AC518" s="2496">
        <f t="shared" si="60"/>
        <v>0</v>
      </c>
      <c r="AD518" s="2496">
        <f t="shared" si="60"/>
        <v>0</v>
      </c>
      <c r="AE518" s="2496">
        <f t="shared" si="60"/>
        <v>0</v>
      </c>
      <c r="AF518" s="2496">
        <f t="shared" si="60"/>
        <v>0</v>
      </c>
      <c r="AG518" s="2496">
        <f t="shared" si="60"/>
        <v>0</v>
      </c>
      <c r="AH518" s="2496">
        <f t="shared" si="60"/>
        <v>0</v>
      </c>
      <c r="AI518" s="2496">
        <f t="shared" si="60"/>
        <v>0</v>
      </c>
      <c r="AJ518" s="2496">
        <f t="shared" si="60"/>
        <v>0</v>
      </c>
      <c r="AK518" s="2496">
        <f t="shared" si="60"/>
        <v>0</v>
      </c>
      <c r="AL518" s="2496">
        <f t="shared" si="60"/>
        <v>0</v>
      </c>
      <c r="AM518" s="2496">
        <f t="shared" si="60"/>
        <v>0</v>
      </c>
      <c r="AN518" s="2496">
        <f t="shared" si="60"/>
        <v>0</v>
      </c>
      <c r="AO518" s="2496">
        <f t="shared" si="60"/>
        <v>0</v>
      </c>
      <c r="AP518" s="2496">
        <f t="shared" si="60"/>
        <v>0</v>
      </c>
      <c r="AQ518" s="2496">
        <f t="shared" si="60"/>
        <v>0</v>
      </c>
      <c r="AR518" s="2496">
        <f t="shared" si="60"/>
        <v>0</v>
      </c>
      <c r="AS518" s="2496">
        <f t="shared" si="60"/>
        <v>0</v>
      </c>
    </row>
    <row r="519" spans="2:45" s="2490" customFormat="1" x14ac:dyDescent="0.2">
      <c r="B519" s="2488"/>
      <c r="C519" s="2495" t="s">
        <v>1371</v>
      </c>
      <c r="D519" s="2493" t="s">
        <v>1537</v>
      </c>
      <c r="E519" s="2518"/>
      <c r="F519" s="2518"/>
      <c r="G519" s="2496">
        <f t="shared" si="60"/>
        <v>0</v>
      </c>
      <c r="H519" s="2496">
        <f t="shared" si="60"/>
        <v>0</v>
      </c>
      <c r="I519" s="2496">
        <f t="shared" si="60"/>
        <v>0</v>
      </c>
      <c r="J519" s="2496">
        <f t="shared" si="60"/>
        <v>0</v>
      </c>
      <c r="K519" s="2496">
        <f t="shared" si="60"/>
        <v>0</v>
      </c>
      <c r="L519" s="2496">
        <f t="shared" si="60"/>
        <v>0</v>
      </c>
      <c r="M519" s="2496">
        <f t="shared" si="60"/>
        <v>0</v>
      </c>
      <c r="N519" s="2496">
        <f t="shared" si="60"/>
        <v>0</v>
      </c>
      <c r="O519" s="2496">
        <f t="shared" si="60"/>
        <v>0</v>
      </c>
      <c r="P519" s="2496">
        <f t="shared" si="60"/>
        <v>0</v>
      </c>
      <c r="Q519" s="2496">
        <f t="shared" si="60"/>
        <v>0</v>
      </c>
      <c r="R519" s="2496">
        <f t="shared" si="60"/>
        <v>0</v>
      </c>
      <c r="S519" s="2496">
        <f t="shared" si="60"/>
        <v>0</v>
      </c>
      <c r="T519" s="2496">
        <f t="shared" si="60"/>
        <v>0</v>
      </c>
      <c r="U519" s="2496">
        <f t="shared" si="60"/>
        <v>0</v>
      </c>
      <c r="V519" s="2496">
        <f t="shared" si="60"/>
        <v>0</v>
      </c>
      <c r="W519" s="2496">
        <f t="shared" si="60"/>
        <v>0</v>
      </c>
      <c r="X519" s="2496">
        <f t="shared" si="60"/>
        <v>0</v>
      </c>
      <c r="Y519" s="2496">
        <f t="shared" si="60"/>
        <v>0</v>
      </c>
      <c r="Z519" s="2496">
        <f t="shared" si="60"/>
        <v>0</v>
      </c>
      <c r="AA519" s="2496">
        <f t="shared" si="60"/>
        <v>0</v>
      </c>
      <c r="AB519" s="2496">
        <f t="shared" si="60"/>
        <v>0</v>
      </c>
      <c r="AC519" s="2496">
        <f t="shared" si="60"/>
        <v>0</v>
      </c>
      <c r="AD519" s="2496">
        <f t="shared" si="60"/>
        <v>0</v>
      </c>
      <c r="AE519" s="2496">
        <f t="shared" si="60"/>
        <v>0</v>
      </c>
      <c r="AF519" s="2496">
        <f t="shared" si="60"/>
        <v>0</v>
      </c>
      <c r="AG519" s="2496">
        <f t="shared" si="60"/>
        <v>0</v>
      </c>
      <c r="AH519" s="2496">
        <f t="shared" si="60"/>
        <v>0</v>
      </c>
      <c r="AI519" s="2496">
        <f t="shared" si="60"/>
        <v>0</v>
      </c>
      <c r="AJ519" s="2496">
        <f t="shared" si="60"/>
        <v>0</v>
      </c>
      <c r="AK519" s="2496">
        <f t="shared" si="60"/>
        <v>0</v>
      </c>
      <c r="AL519" s="2496">
        <f t="shared" si="60"/>
        <v>0</v>
      </c>
      <c r="AM519" s="2496">
        <f t="shared" si="60"/>
        <v>0</v>
      </c>
      <c r="AN519" s="2496">
        <f t="shared" si="60"/>
        <v>0</v>
      </c>
      <c r="AO519" s="2496">
        <f t="shared" si="60"/>
        <v>0</v>
      </c>
      <c r="AP519" s="2496">
        <f t="shared" si="60"/>
        <v>0</v>
      </c>
      <c r="AQ519" s="2496">
        <f t="shared" si="60"/>
        <v>0</v>
      </c>
      <c r="AR519" s="2496">
        <f t="shared" si="60"/>
        <v>0</v>
      </c>
      <c r="AS519" s="2496">
        <f t="shared" si="60"/>
        <v>0</v>
      </c>
    </row>
    <row r="520" spans="2:45" s="2490" customFormat="1" x14ac:dyDescent="0.2">
      <c r="B520" s="2488"/>
      <c r="C520" s="2489" t="s">
        <v>1372</v>
      </c>
      <c r="D520" s="2493" t="s">
        <v>1537</v>
      </c>
      <c r="E520" s="2518"/>
      <c r="F520" s="2518"/>
      <c r="G520" s="2496">
        <f t="shared" si="60"/>
        <v>0</v>
      </c>
      <c r="H520" s="2496">
        <f t="shared" si="60"/>
        <v>0</v>
      </c>
      <c r="I520" s="2496">
        <f t="shared" si="60"/>
        <v>0</v>
      </c>
      <c r="J520" s="2496">
        <f t="shared" si="60"/>
        <v>0</v>
      </c>
      <c r="K520" s="2496">
        <f t="shared" si="60"/>
        <v>0</v>
      </c>
      <c r="L520" s="2496">
        <f t="shared" si="60"/>
        <v>0</v>
      </c>
      <c r="M520" s="2496">
        <f t="shared" si="60"/>
        <v>0</v>
      </c>
      <c r="N520" s="2496">
        <f t="shared" si="60"/>
        <v>0</v>
      </c>
      <c r="O520" s="2496">
        <f t="shared" si="60"/>
        <v>0</v>
      </c>
      <c r="P520" s="2496">
        <f t="shared" si="60"/>
        <v>0</v>
      </c>
      <c r="Q520" s="2496">
        <f t="shared" si="60"/>
        <v>0</v>
      </c>
      <c r="R520" s="2496">
        <f t="shared" si="60"/>
        <v>0</v>
      </c>
      <c r="S520" s="2496">
        <f t="shared" si="60"/>
        <v>0</v>
      </c>
      <c r="T520" s="2496">
        <f t="shared" si="60"/>
        <v>0</v>
      </c>
      <c r="U520" s="2496">
        <f t="shared" si="60"/>
        <v>0</v>
      </c>
      <c r="V520" s="2496">
        <f t="shared" si="60"/>
        <v>0</v>
      </c>
      <c r="W520" s="2496">
        <f t="shared" si="60"/>
        <v>0</v>
      </c>
      <c r="X520" s="2496">
        <f t="shared" si="60"/>
        <v>0</v>
      </c>
      <c r="Y520" s="2496">
        <f t="shared" si="60"/>
        <v>0</v>
      </c>
      <c r="Z520" s="2496">
        <f t="shared" si="60"/>
        <v>0</v>
      </c>
      <c r="AA520" s="2496">
        <f t="shared" si="60"/>
        <v>0</v>
      </c>
      <c r="AB520" s="2496">
        <f t="shared" ref="AB520:AS520" si="61">AB80*AB164*AB183*$E$207*$E$204*$D$217</f>
        <v>0</v>
      </c>
      <c r="AC520" s="2496">
        <f t="shared" si="61"/>
        <v>0</v>
      </c>
      <c r="AD520" s="2496">
        <f t="shared" si="61"/>
        <v>0</v>
      </c>
      <c r="AE520" s="2496">
        <f t="shared" si="61"/>
        <v>0</v>
      </c>
      <c r="AF520" s="2496">
        <f t="shared" si="61"/>
        <v>0</v>
      </c>
      <c r="AG520" s="2496">
        <f t="shared" si="61"/>
        <v>0</v>
      </c>
      <c r="AH520" s="2496">
        <f t="shared" si="61"/>
        <v>0</v>
      </c>
      <c r="AI520" s="2496">
        <f t="shared" si="61"/>
        <v>0</v>
      </c>
      <c r="AJ520" s="2496">
        <f t="shared" si="61"/>
        <v>0</v>
      </c>
      <c r="AK520" s="2496">
        <f t="shared" si="61"/>
        <v>0</v>
      </c>
      <c r="AL520" s="2496">
        <f t="shared" si="61"/>
        <v>0</v>
      </c>
      <c r="AM520" s="2496">
        <f t="shared" si="61"/>
        <v>0</v>
      </c>
      <c r="AN520" s="2496">
        <f t="shared" si="61"/>
        <v>0</v>
      </c>
      <c r="AO520" s="2496">
        <f t="shared" si="61"/>
        <v>0</v>
      </c>
      <c r="AP520" s="2496">
        <f t="shared" si="61"/>
        <v>0</v>
      </c>
      <c r="AQ520" s="2496">
        <f t="shared" si="61"/>
        <v>0</v>
      </c>
      <c r="AR520" s="2496">
        <f t="shared" si="61"/>
        <v>0</v>
      </c>
      <c r="AS520" s="2496">
        <f t="shared" si="61"/>
        <v>0</v>
      </c>
    </row>
    <row r="521" spans="2:45" s="2490" customFormat="1" x14ac:dyDescent="0.2">
      <c r="B521" s="2488"/>
      <c r="C521" s="2489" t="s">
        <v>1373</v>
      </c>
      <c r="D521" s="2493" t="s">
        <v>1537</v>
      </c>
      <c r="E521" s="2518"/>
      <c r="F521" s="2518"/>
      <c r="G521" s="2496">
        <f t="shared" ref="G521:AS527" si="62">G81*G165*G184*$E$207*$E$204*$D$217</f>
        <v>0</v>
      </c>
      <c r="H521" s="2496">
        <f t="shared" si="62"/>
        <v>0</v>
      </c>
      <c r="I521" s="2496">
        <f t="shared" si="62"/>
        <v>0</v>
      </c>
      <c r="J521" s="2496">
        <f t="shared" si="62"/>
        <v>0</v>
      </c>
      <c r="K521" s="2496">
        <f t="shared" si="62"/>
        <v>0</v>
      </c>
      <c r="L521" s="2496">
        <f t="shared" si="62"/>
        <v>0</v>
      </c>
      <c r="M521" s="2496">
        <f t="shared" si="62"/>
        <v>0</v>
      </c>
      <c r="N521" s="2496">
        <f t="shared" si="62"/>
        <v>0</v>
      </c>
      <c r="O521" s="2496">
        <f t="shared" si="62"/>
        <v>0</v>
      </c>
      <c r="P521" s="2496">
        <f t="shared" si="62"/>
        <v>0</v>
      </c>
      <c r="Q521" s="2496">
        <f t="shared" si="62"/>
        <v>0</v>
      </c>
      <c r="R521" s="2496">
        <f t="shared" si="62"/>
        <v>0</v>
      </c>
      <c r="S521" s="2496">
        <f t="shared" si="62"/>
        <v>0</v>
      </c>
      <c r="T521" s="2496">
        <f t="shared" si="62"/>
        <v>0</v>
      </c>
      <c r="U521" s="2496">
        <f t="shared" si="62"/>
        <v>0</v>
      </c>
      <c r="V521" s="2496">
        <f t="shared" si="62"/>
        <v>0</v>
      </c>
      <c r="W521" s="2496">
        <f t="shared" si="62"/>
        <v>0</v>
      </c>
      <c r="X521" s="2496">
        <f t="shared" si="62"/>
        <v>0</v>
      </c>
      <c r="Y521" s="2496">
        <f t="shared" si="62"/>
        <v>0</v>
      </c>
      <c r="Z521" s="2496">
        <f t="shared" si="62"/>
        <v>0</v>
      </c>
      <c r="AA521" s="2496">
        <f t="shared" si="62"/>
        <v>0</v>
      </c>
      <c r="AB521" s="2496">
        <f t="shared" si="62"/>
        <v>0</v>
      </c>
      <c r="AC521" s="2496">
        <f t="shared" si="62"/>
        <v>0</v>
      </c>
      <c r="AD521" s="2496">
        <f t="shared" si="62"/>
        <v>0</v>
      </c>
      <c r="AE521" s="2496">
        <f t="shared" si="62"/>
        <v>0</v>
      </c>
      <c r="AF521" s="2496">
        <f t="shared" si="62"/>
        <v>0</v>
      </c>
      <c r="AG521" s="2496">
        <f t="shared" si="62"/>
        <v>0</v>
      </c>
      <c r="AH521" s="2496">
        <f t="shared" si="62"/>
        <v>0</v>
      </c>
      <c r="AI521" s="2496">
        <f t="shared" si="62"/>
        <v>0</v>
      </c>
      <c r="AJ521" s="2496">
        <f t="shared" si="62"/>
        <v>0</v>
      </c>
      <c r="AK521" s="2496">
        <f t="shared" si="62"/>
        <v>0</v>
      </c>
      <c r="AL521" s="2496">
        <f t="shared" si="62"/>
        <v>0</v>
      </c>
      <c r="AM521" s="2496">
        <f t="shared" si="62"/>
        <v>0</v>
      </c>
      <c r="AN521" s="2496">
        <f t="shared" si="62"/>
        <v>0</v>
      </c>
      <c r="AO521" s="2496">
        <f t="shared" si="62"/>
        <v>0</v>
      </c>
      <c r="AP521" s="2496">
        <f t="shared" si="62"/>
        <v>0</v>
      </c>
      <c r="AQ521" s="2496">
        <f t="shared" si="62"/>
        <v>0</v>
      </c>
      <c r="AR521" s="2496">
        <f t="shared" si="62"/>
        <v>0</v>
      </c>
      <c r="AS521" s="2496">
        <f t="shared" si="62"/>
        <v>0</v>
      </c>
    </row>
    <row r="522" spans="2:45" s="2490" customFormat="1" x14ac:dyDescent="0.2">
      <c r="B522" s="2488"/>
      <c r="C522" s="2489" t="s">
        <v>1374</v>
      </c>
      <c r="D522" s="2493" t="s">
        <v>1537</v>
      </c>
      <c r="E522" s="2518"/>
      <c r="F522" s="2518"/>
      <c r="G522" s="2496">
        <f t="shared" si="62"/>
        <v>0</v>
      </c>
      <c r="H522" s="2496">
        <f t="shared" si="62"/>
        <v>0</v>
      </c>
      <c r="I522" s="2496">
        <f t="shared" si="62"/>
        <v>0</v>
      </c>
      <c r="J522" s="2496">
        <f t="shared" si="62"/>
        <v>0</v>
      </c>
      <c r="K522" s="2496">
        <f t="shared" si="62"/>
        <v>0</v>
      </c>
      <c r="L522" s="2496">
        <f t="shared" si="62"/>
        <v>0</v>
      </c>
      <c r="M522" s="2496">
        <f t="shared" si="62"/>
        <v>0</v>
      </c>
      <c r="N522" s="2496">
        <f t="shared" si="62"/>
        <v>0</v>
      </c>
      <c r="O522" s="2496">
        <f t="shared" si="62"/>
        <v>0</v>
      </c>
      <c r="P522" s="2496">
        <f t="shared" si="62"/>
        <v>0</v>
      </c>
      <c r="Q522" s="2496">
        <f t="shared" si="62"/>
        <v>0</v>
      </c>
      <c r="R522" s="2496">
        <f t="shared" si="62"/>
        <v>0</v>
      </c>
      <c r="S522" s="2496">
        <f t="shared" si="62"/>
        <v>0</v>
      </c>
      <c r="T522" s="2496">
        <f t="shared" si="62"/>
        <v>0</v>
      </c>
      <c r="U522" s="2496">
        <f t="shared" si="62"/>
        <v>0</v>
      </c>
      <c r="V522" s="2496">
        <f t="shared" si="62"/>
        <v>0</v>
      </c>
      <c r="W522" s="2496">
        <f t="shared" si="62"/>
        <v>0</v>
      </c>
      <c r="X522" s="2496">
        <f t="shared" si="62"/>
        <v>0</v>
      </c>
      <c r="Y522" s="2496">
        <f t="shared" si="62"/>
        <v>0</v>
      </c>
      <c r="Z522" s="2496">
        <f t="shared" si="62"/>
        <v>0</v>
      </c>
      <c r="AA522" s="2496">
        <f t="shared" si="62"/>
        <v>0</v>
      </c>
      <c r="AB522" s="2496">
        <f t="shared" si="62"/>
        <v>0</v>
      </c>
      <c r="AC522" s="2496">
        <f t="shared" si="62"/>
        <v>0</v>
      </c>
      <c r="AD522" s="2496">
        <f t="shared" si="62"/>
        <v>0</v>
      </c>
      <c r="AE522" s="2496">
        <f t="shared" si="62"/>
        <v>0</v>
      </c>
      <c r="AF522" s="2496">
        <f t="shared" si="62"/>
        <v>0</v>
      </c>
      <c r="AG522" s="2496">
        <f t="shared" si="62"/>
        <v>0</v>
      </c>
      <c r="AH522" s="2496">
        <f t="shared" si="62"/>
        <v>0</v>
      </c>
      <c r="AI522" s="2496">
        <f t="shared" si="62"/>
        <v>0</v>
      </c>
      <c r="AJ522" s="2496">
        <f t="shared" si="62"/>
        <v>0</v>
      </c>
      <c r="AK522" s="2496">
        <f t="shared" si="62"/>
        <v>0</v>
      </c>
      <c r="AL522" s="2496">
        <f t="shared" si="62"/>
        <v>0</v>
      </c>
      <c r="AM522" s="2496">
        <f t="shared" si="62"/>
        <v>0</v>
      </c>
      <c r="AN522" s="2496">
        <f t="shared" si="62"/>
        <v>0</v>
      </c>
      <c r="AO522" s="2496">
        <f t="shared" si="62"/>
        <v>0</v>
      </c>
      <c r="AP522" s="2496">
        <f t="shared" si="62"/>
        <v>0</v>
      </c>
      <c r="AQ522" s="2496">
        <f t="shared" si="62"/>
        <v>0</v>
      </c>
      <c r="AR522" s="2496">
        <f t="shared" si="62"/>
        <v>0</v>
      </c>
      <c r="AS522" s="2496">
        <f t="shared" si="62"/>
        <v>0</v>
      </c>
    </row>
    <row r="523" spans="2:45" s="2490" customFormat="1" x14ac:dyDescent="0.2">
      <c r="B523" s="2488"/>
      <c r="C523" s="2489" t="s">
        <v>1375</v>
      </c>
      <c r="D523" s="2493" t="s">
        <v>1537</v>
      </c>
      <c r="E523" s="2518"/>
      <c r="F523" s="2518"/>
      <c r="G523" s="2496">
        <f t="shared" si="62"/>
        <v>0</v>
      </c>
      <c r="H523" s="2496">
        <f t="shared" si="62"/>
        <v>0</v>
      </c>
      <c r="I523" s="2496">
        <f t="shared" si="62"/>
        <v>0</v>
      </c>
      <c r="J523" s="2496">
        <f t="shared" si="62"/>
        <v>0</v>
      </c>
      <c r="K523" s="2496">
        <f t="shared" si="62"/>
        <v>0</v>
      </c>
      <c r="L523" s="2496">
        <f t="shared" si="62"/>
        <v>0</v>
      </c>
      <c r="M523" s="2496">
        <f t="shared" si="62"/>
        <v>0</v>
      </c>
      <c r="N523" s="2496">
        <f t="shared" si="62"/>
        <v>0</v>
      </c>
      <c r="O523" s="2496">
        <f t="shared" si="62"/>
        <v>0</v>
      </c>
      <c r="P523" s="2496">
        <f t="shared" si="62"/>
        <v>0</v>
      </c>
      <c r="Q523" s="2496">
        <f t="shared" si="62"/>
        <v>0</v>
      </c>
      <c r="R523" s="2496">
        <f t="shared" si="62"/>
        <v>0</v>
      </c>
      <c r="S523" s="2496">
        <f t="shared" si="62"/>
        <v>0</v>
      </c>
      <c r="T523" s="2496">
        <f t="shared" si="62"/>
        <v>0</v>
      </c>
      <c r="U523" s="2496">
        <f t="shared" si="62"/>
        <v>0</v>
      </c>
      <c r="V523" s="2496">
        <f t="shared" si="62"/>
        <v>0</v>
      </c>
      <c r="W523" s="2496">
        <f t="shared" si="62"/>
        <v>0</v>
      </c>
      <c r="X523" s="2496">
        <f t="shared" si="62"/>
        <v>0</v>
      </c>
      <c r="Y523" s="2496">
        <f t="shared" si="62"/>
        <v>0</v>
      </c>
      <c r="Z523" s="2496">
        <f t="shared" si="62"/>
        <v>0</v>
      </c>
      <c r="AA523" s="2496">
        <f t="shared" si="62"/>
        <v>0</v>
      </c>
      <c r="AB523" s="2496">
        <f t="shared" si="62"/>
        <v>0</v>
      </c>
      <c r="AC523" s="2496">
        <f t="shared" si="62"/>
        <v>0</v>
      </c>
      <c r="AD523" s="2496">
        <f t="shared" si="62"/>
        <v>0</v>
      </c>
      <c r="AE523" s="2496">
        <f t="shared" si="62"/>
        <v>0</v>
      </c>
      <c r="AF523" s="2496">
        <f t="shared" si="62"/>
        <v>0</v>
      </c>
      <c r="AG523" s="2496">
        <f t="shared" si="62"/>
        <v>0</v>
      </c>
      <c r="AH523" s="2496">
        <f t="shared" si="62"/>
        <v>0</v>
      </c>
      <c r="AI523" s="2496">
        <f t="shared" si="62"/>
        <v>0</v>
      </c>
      <c r="AJ523" s="2496">
        <f t="shared" si="62"/>
        <v>0</v>
      </c>
      <c r="AK523" s="2496">
        <f t="shared" si="62"/>
        <v>0</v>
      </c>
      <c r="AL523" s="2496">
        <f t="shared" si="62"/>
        <v>0</v>
      </c>
      <c r="AM523" s="2496">
        <f t="shared" si="62"/>
        <v>0</v>
      </c>
      <c r="AN523" s="2496">
        <f t="shared" si="62"/>
        <v>0</v>
      </c>
      <c r="AO523" s="2496">
        <f t="shared" si="62"/>
        <v>0</v>
      </c>
      <c r="AP523" s="2496">
        <f t="shared" si="62"/>
        <v>0</v>
      </c>
      <c r="AQ523" s="2496">
        <f t="shared" si="62"/>
        <v>0</v>
      </c>
      <c r="AR523" s="2496">
        <f t="shared" si="62"/>
        <v>0</v>
      </c>
      <c r="AS523" s="2496">
        <f t="shared" si="62"/>
        <v>0</v>
      </c>
    </row>
    <row r="524" spans="2:45" s="2490" customFormat="1" x14ac:dyDescent="0.2">
      <c r="B524" s="2488"/>
      <c r="C524" s="2489" t="s">
        <v>1376</v>
      </c>
      <c r="D524" s="2493" t="s">
        <v>1537</v>
      </c>
      <c r="E524" s="2518"/>
      <c r="F524" s="2518"/>
      <c r="G524" s="2496">
        <f t="shared" si="62"/>
        <v>0</v>
      </c>
      <c r="H524" s="2496">
        <f t="shared" si="62"/>
        <v>0</v>
      </c>
      <c r="I524" s="2496">
        <f t="shared" si="62"/>
        <v>0</v>
      </c>
      <c r="J524" s="2496">
        <f t="shared" si="62"/>
        <v>0</v>
      </c>
      <c r="K524" s="2496">
        <f t="shared" si="62"/>
        <v>0</v>
      </c>
      <c r="L524" s="2496">
        <f t="shared" si="62"/>
        <v>0</v>
      </c>
      <c r="M524" s="2496">
        <f t="shared" si="62"/>
        <v>0</v>
      </c>
      <c r="N524" s="2496">
        <f t="shared" si="62"/>
        <v>0</v>
      </c>
      <c r="O524" s="2496">
        <f t="shared" si="62"/>
        <v>0</v>
      </c>
      <c r="P524" s="2496">
        <f t="shared" si="62"/>
        <v>0</v>
      </c>
      <c r="Q524" s="2496">
        <f t="shared" si="62"/>
        <v>0</v>
      </c>
      <c r="R524" s="2496">
        <f t="shared" si="62"/>
        <v>0</v>
      </c>
      <c r="S524" s="2496">
        <f t="shared" si="62"/>
        <v>0</v>
      </c>
      <c r="T524" s="2496">
        <f t="shared" si="62"/>
        <v>0</v>
      </c>
      <c r="U524" s="2496">
        <f t="shared" si="62"/>
        <v>0</v>
      </c>
      <c r="V524" s="2496">
        <f t="shared" si="62"/>
        <v>0</v>
      </c>
      <c r="W524" s="2496">
        <f t="shared" si="62"/>
        <v>0</v>
      </c>
      <c r="X524" s="2496">
        <f t="shared" si="62"/>
        <v>0</v>
      </c>
      <c r="Y524" s="2496">
        <f t="shared" si="62"/>
        <v>0</v>
      </c>
      <c r="Z524" s="2496">
        <f t="shared" si="62"/>
        <v>0</v>
      </c>
      <c r="AA524" s="2496">
        <f t="shared" si="62"/>
        <v>0</v>
      </c>
      <c r="AB524" s="2496">
        <f t="shared" si="62"/>
        <v>0</v>
      </c>
      <c r="AC524" s="2496">
        <f t="shared" si="62"/>
        <v>0</v>
      </c>
      <c r="AD524" s="2496">
        <f t="shared" si="62"/>
        <v>0</v>
      </c>
      <c r="AE524" s="2496">
        <f t="shared" si="62"/>
        <v>0</v>
      </c>
      <c r="AF524" s="2496">
        <f t="shared" si="62"/>
        <v>0</v>
      </c>
      <c r="AG524" s="2496">
        <f t="shared" si="62"/>
        <v>0</v>
      </c>
      <c r="AH524" s="2496">
        <f t="shared" si="62"/>
        <v>0</v>
      </c>
      <c r="AI524" s="2496">
        <f t="shared" si="62"/>
        <v>0</v>
      </c>
      <c r="AJ524" s="2496">
        <f t="shared" si="62"/>
        <v>0</v>
      </c>
      <c r="AK524" s="2496">
        <f t="shared" si="62"/>
        <v>0</v>
      </c>
      <c r="AL524" s="2496">
        <f t="shared" si="62"/>
        <v>0</v>
      </c>
      <c r="AM524" s="2496">
        <f t="shared" si="62"/>
        <v>0</v>
      </c>
      <c r="AN524" s="2496">
        <f t="shared" si="62"/>
        <v>0</v>
      </c>
      <c r="AO524" s="2496">
        <f t="shared" si="62"/>
        <v>0</v>
      </c>
      <c r="AP524" s="2496">
        <f t="shared" si="62"/>
        <v>0</v>
      </c>
      <c r="AQ524" s="2496">
        <f t="shared" si="62"/>
        <v>0</v>
      </c>
      <c r="AR524" s="2496">
        <f t="shared" si="62"/>
        <v>0</v>
      </c>
      <c r="AS524" s="2496">
        <f t="shared" si="62"/>
        <v>0</v>
      </c>
    </row>
    <row r="525" spans="2:45" s="2490" customFormat="1" x14ac:dyDescent="0.2">
      <c r="B525" s="2488"/>
      <c r="C525" s="2489" t="s">
        <v>1377</v>
      </c>
      <c r="D525" s="2493" t="s">
        <v>1537</v>
      </c>
      <c r="E525" s="2518"/>
      <c r="F525" s="2518"/>
      <c r="G525" s="2496">
        <f t="shared" si="62"/>
        <v>0</v>
      </c>
      <c r="H525" s="2496">
        <f t="shared" si="62"/>
        <v>0</v>
      </c>
      <c r="I525" s="2496">
        <f t="shared" si="62"/>
        <v>0</v>
      </c>
      <c r="J525" s="2496">
        <f t="shared" si="62"/>
        <v>0</v>
      </c>
      <c r="K525" s="2496">
        <f t="shared" si="62"/>
        <v>0</v>
      </c>
      <c r="L525" s="2496">
        <f t="shared" si="62"/>
        <v>0</v>
      </c>
      <c r="M525" s="2496">
        <f t="shared" si="62"/>
        <v>0</v>
      </c>
      <c r="N525" s="2496">
        <f t="shared" si="62"/>
        <v>0</v>
      </c>
      <c r="O525" s="2496">
        <f t="shared" si="62"/>
        <v>0</v>
      </c>
      <c r="P525" s="2496">
        <f t="shared" si="62"/>
        <v>0</v>
      </c>
      <c r="Q525" s="2496">
        <f t="shared" si="62"/>
        <v>0</v>
      </c>
      <c r="R525" s="2496">
        <f t="shared" si="62"/>
        <v>0</v>
      </c>
      <c r="S525" s="2496">
        <f t="shared" si="62"/>
        <v>0</v>
      </c>
      <c r="T525" s="2496">
        <f t="shared" si="62"/>
        <v>0</v>
      </c>
      <c r="U525" s="2496">
        <f t="shared" si="62"/>
        <v>0</v>
      </c>
      <c r="V525" s="2496">
        <f t="shared" si="62"/>
        <v>0</v>
      </c>
      <c r="W525" s="2496">
        <f t="shared" si="62"/>
        <v>0</v>
      </c>
      <c r="X525" s="2496">
        <f t="shared" si="62"/>
        <v>0</v>
      </c>
      <c r="Y525" s="2496">
        <f t="shared" si="62"/>
        <v>0</v>
      </c>
      <c r="Z525" s="2496">
        <f t="shared" si="62"/>
        <v>0</v>
      </c>
      <c r="AA525" s="2496">
        <f t="shared" si="62"/>
        <v>0</v>
      </c>
      <c r="AB525" s="2496">
        <f t="shared" si="62"/>
        <v>0</v>
      </c>
      <c r="AC525" s="2496">
        <f t="shared" si="62"/>
        <v>0</v>
      </c>
      <c r="AD525" s="2496">
        <f t="shared" si="62"/>
        <v>0</v>
      </c>
      <c r="AE525" s="2496">
        <f t="shared" si="62"/>
        <v>0</v>
      </c>
      <c r="AF525" s="2496">
        <f t="shared" si="62"/>
        <v>0</v>
      </c>
      <c r="AG525" s="2496">
        <f t="shared" si="62"/>
        <v>0</v>
      </c>
      <c r="AH525" s="2496">
        <f t="shared" si="62"/>
        <v>0</v>
      </c>
      <c r="AI525" s="2496">
        <f t="shared" si="62"/>
        <v>0</v>
      </c>
      <c r="AJ525" s="2496">
        <f t="shared" si="62"/>
        <v>0</v>
      </c>
      <c r="AK525" s="2496">
        <f t="shared" si="62"/>
        <v>0</v>
      </c>
      <c r="AL525" s="2496">
        <f t="shared" si="62"/>
        <v>0</v>
      </c>
      <c r="AM525" s="2496">
        <f t="shared" si="62"/>
        <v>0</v>
      </c>
      <c r="AN525" s="2496">
        <f t="shared" si="62"/>
        <v>0</v>
      </c>
      <c r="AO525" s="2496">
        <f t="shared" si="62"/>
        <v>0</v>
      </c>
      <c r="AP525" s="2496">
        <f t="shared" si="62"/>
        <v>0</v>
      </c>
      <c r="AQ525" s="2496">
        <f t="shared" si="62"/>
        <v>0</v>
      </c>
      <c r="AR525" s="2496">
        <f t="shared" si="62"/>
        <v>0</v>
      </c>
      <c r="AS525" s="2496">
        <f t="shared" si="62"/>
        <v>0</v>
      </c>
    </row>
    <row r="526" spans="2:45" s="2490" customFormat="1" x14ac:dyDescent="0.2">
      <c r="B526" s="2488"/>
      <c r="C526" s="2495" t="s">
        <v>1378</v>
      </c>
      <c r="D526" s="2493" t="s">
        <v>1537</v>
      </c>
      <c r="E526" s="2518"/>
      <c r="F526" s="2518"/>
      <c r="G526" s="2496">
        <f t="shared" si="62"/>
        <v>31282.749107404874</v>
      </c>
      <c r="H526" s="2496">
        <f t="shared" si="62"/>
        <v>32400.769536942196</v>
      </c>
      <c r="I526" s="2496">
        <f t="shared" si="62"/>
        <v>33633.423688558862</v>
      </c>
      <c r="J526" s="2496">
        <f t="shared" si="62"/>
        <v>34908.395759093022</v>
      </c>
      <c r="K526" s="2496">
        <f t="shared" si="62"/>
        <v>36194.845400660059</v>
      </c>
      <c r="L526" s="2496">
        <f t="shared" si="62"/>
        <v>37480.804141008484</v>
      </c>
      <c r="M526" s="2496">
        <f t="shared" si="62"/>
        <v>38844.388322981162</v>
      </c>
      <c r="N526" s="2496">
        <f t="shared" si="62"/>
        <v>40259.352098437317</v>
      </c>
      <c r="O526" s="2496">
        <f t="shared" si="62"/>
        <v>41650.948220253638</v>
      </c>
      <c r="P526" s="2496">
        <f t="shared" si="62"/>
        <v>43052.585207248834</v>
      </c>
      <c r="Q526" s="2496">
        <f t="shared" si="62"/>
        <v>44465.26326508115</v>
      </c>
      <c r="R526" s="2496">
        <f t="shared" si="62"/>
        <v>45827.468137622418</v>
      </c>
      <c r="S526" s="2496">
        <f t="shared" si="62"/>
        <v>47153.099609588513</v>
      </c>
      <c r="T526" s="2496">
        <f t="shared" si="62"/>
        <v>48451.163045755675</v>
      </c>
      <c r="U526" s="2496">
        <f t="shared" si="62"/>
        <v>49727.308241078215</v>
      </c>
      <c r="V526" s="2496">
        <f t="shared" si="62"/>
        <v>50984.690113987228</v>
      </c>
      <c r="W526" s="2496">
        <f t="shared" si="62"/>
        <v>52225.103498131866</v>
      </c>
      <c r="X526" s="2496">
        <f t="shared" si="62"/>
        <v>53455.565174068688</v>
      </c>
      <c r="Y526" s="2496">
        <f t="shared" si="62"/>
        <v>54680.80845841972</v>
      </c>
      <c r="Z526" s="2496">
        <f t="shared" si="62"/>
        <v>55903.702335780457</v>
      </c>
      <c r="AA526" s="2496">
        <f t="shared" si="62"/>
        <v>57125.955034547907</v>
      </c>
      <c r="AB526" s="2496">
        <f t="shared" si="62"/>
        <v>58347.124651440099</v>
      </c>
      <c r="AC526" s="2496">
        <f t="shared" si="62"/>
        <v>59567.918237787911</v>
      </c>
      <c r="AD526" s="2496">
        <f t="shared" si="62"/>
        <v>60788.534529228476</v>
      </c>
      <c r="AE526" s="2496">
        <f t="shared" si="62"/>
        <v>62008.817081932022</v>
      </c>
      <c r="AF526" s="2496">
        <f t="shared" si="62"/>
        <v>63228.521762078752</v>
      </c>
      <c r="AG526" s="2496">
        <f t="shared" si="62"/>
        <v>64447.021410612891</v>
      </c>
      <c r="AH526" s="2496">
        <f t="shared" si="62"/>
        <v>65663.577400909911</v>
      </c>
      <c r="AI526" s="2496">
        <f t="shared" si="62"/>
        <v>66877.370332584731</v>
      </c>
      <c r="AJ526" s="2496">
        <f t="shared" si="62"/>
        <v>68089.262745599524</v>
      </c>
      <c r="AK526" s="2496">
        <f t="shared" si="62"/>
        <v>69297.8392802382</v>
      </c>
      <c r="AL526" s="2496">
        <f t="shared" si="62"/>
        <v>70501.986678698042</v>
      </c>
      <c r="AM526" s="2496">
        <f t="shared" si="62"/>
        <v>71700.257257640376</v>
      </c>
      <c r="AN526" s="2496">
        <f t="shared" si="62"/>
        <v>72891.508099111787</v>
      </c>
      <c r="AO526" s="2496">
        <f t="shared" si="62"/>
        <v>74074.814514163154</v>
      </c>
      <c r="AP526" s="2496">
        <f t="shared" si="62"/>
        <v>75248.833729287842</v>
      </c>
      <c r="AQ526" s="2496">
        <f t="shared" si="62"/>
        <v>76412.499845948769</v>
      </c>
      <c r="AR526" s="2496">
        <f t="shared" si="62"/>
        <v>77564.748723076322</v>
      </c>
      <c r="AS526" s="2496">
        <f t="shared" si="62"/>
        <v>78704.517544876318</v>
      </c>
    </row>
    <row r="527" spans="2:45" s="2490" customFormat="1" x14ac:dyDescent="0.2">
      <c r="B527" s="2488"/>
      <c r="C527" s="2495" t="s">
        <v>1379</v>
      </c>
      <c r="D527" s="2493" t="s">
        <v>1537</v>
      </c>
      <c r="E527" s="2518"/>
      <c r="F527" s="2518"/>
      <c r="G527" s="2496">
        <f t="shared" si="62"/>
        <v>521.90632990109236</v>
      </c>
      <c r="H527" s="2496">
        <f t="shared" si="62"/>
        <v>540.55884465070403</v>
      </c>
      <c r="I527" s="2496">
        <f t="shared" si="62"/>
        <v>561.12385324693764</v>
      </c>
      <c r="J527" s="2496">
        <f t="shared" si="62"/>
        <v>582.39487363502008</v>
      </c>
      <c r="K527" s="2496">
        <f t="shared" si="62"/>
        <v>603.8573802941263</v>
      </c>
      <c r="L527" s="2496">
        <f t="shared" si="62"/>
        <v>625.31169699356929</v>
      </c>
      <c r="M527" s="2496">
        <f t="shared" si="62"/>
        <v>648.06107920039369</v>
      </c>
      <c r="N527" s="2496">
        <f t="shared" si="62"/>
        <v>671.66765381619371</v>
      </c>
      <c r="O527" s="2496">
        <f t="shared" si="62"/>
        <v>694.88437374538432</v>
      </c>
      <c r="P527" s="2496">
        <f t="shared" si="62"/>
        <v>718.26861063660851</v>
      </c>
      <c r="Q527" s="2496">
        <f t="shared" si="62"/>
        <v>741.83705143967552</v>
      </c>
      <c r="R527" s="2496">
        <f t="shared" si="62"/>
        <v>764.56342191179965</v>
      </c>
      <c r="S527" s="2496">
        <f t="shared" si="62"/>
        <v>786.67961937129462</v>
      </c>
      <c r="T527" s="2496">
        <f t="shared" si="62"/>
        <v>808.33588498985682</v>
      </c>
      <c r="U527" s="2496">
        <f t="shared" si="62"/>
        <v>829.62647722729059</v>
      </c>
      <c r="V527" s="2496">
        <f t="shared" si="62"/>
        <v>850.604031224256</v>
      </c>
      <c r="W527" s="2496">
        <f t="shared" si="62"/>
        <v>871.29849112151248</v>
      </c>
      <c r="X527" s="2496">
        <f t="shared" si="62"/>
        <v>891.82692150872913</v>
      </c>
      <c r="Y527" s="2496">
        <f t="shared" si="62"/>
        <v>912.26829076231081</v>
      </c>
      <c r="Z527" s="2496">
        <f t="shared" si="62"/>
        <v>932.6704636404221</v>
      </c>
      <c r="AA527" s="2496">
        <f t="shared" si="62"/>
        <v>953.06193940347885</v>
      </c>
      <c r="AB527" s="2496">
        <f t="shared" ref="AB527:AS527" si="63">AB87*AB171*AB190*$E$207*$E$204*$D$217</f>
        <v>973.43534554980977</v>
      </c>
      <c r="AC527" s="2496">
        <f t="shared" si="63"/>
        <v>993.80247818351904</v>
      </c>
      <c r="AD527" s="2496">
        <f t="shared" si="63"/>
        <v>1014.1666529143275</v>
      </c>
      <c r="AE527" s="2496">
        <f t="shared" si="63"/>
        <v>1034.525259708674</v>
      </c>
      <c r="AF527" s="2496">
        <f t="shared" si="63"/>
        <v>1054.8742255554089</v>
      </c>
      <c r="AG527" s="2496">
        <f t="shared" si="63"/>
        <v>1075.2030872346943</v>
      </c>
      <c r="AH527" s="2496">
        <f t="shared" si="63"/>
        <v>1095.4995218554232</v>
      </c>
      <c r="AI527" s="2496">
        <f t="shared" si="63"/>
        <v>1115.7498589359434</v>
      </c>
      <c r="AJ527" s="2496">
        <f t="shared" si="63"/>
        <v>1135.9684886778487</v>
      </c>
      <c r="AK527" s="2496">
        <f t="shared" si="63"/>
        <v>1156.1317979008395</v>
      </c>
      <c r="AL527" s="2496">
        <f t="shared" si="63"/>
        <v>1176.2212135475404</v>
      </c>
      <c r="AM527" s="2496">
        <f t="shared" si="63"/>
        <v>1196.2125831658907</v>
      </c>
      <c r="AN527" s="2496">
        <f t="shared" si="63"/>
        <v>1216.0868388628357</v>
      </c>
      <c r="AO527" s="2496">
        <f t="shared" si="63"/>
        <v>1235.8285535729947</v>
      </c>
      <c r="AP527" s="2496">
        <f t="shared" si="63"/>
        <v>1255.4153251094531</v>
      </c>
      <c r="AQ527" s="2496">
        <f t="shared" si="63"/>
        <v>1274.8293705340288</v>
      </c>
      <c r="AR527" s="2496">
        <f t="shared" si="63"/>
        <v>1294.0529362292814</v>
      </c>
      <c r="AS527" s="2496">
        <f t="shared" si="63"/>
        <v>1313.068290688027</v>
      </c>
    </row>
    <row r="528" spans="2:45" s="2490" customFormat="1" x14ac:dyDescent="0.2">
      <c r="B528" s="2488"/>
      <c r="C528" s="2495" t="s">
        <v>1380</v>
      </c>
      <c r="D528" s="2493" t="s">
        <v>1537</v>
      </c>
      <c r="E528" s="2518"/>
      <c r="F528" s="2518"/>
      <c r="G528" s="2496">
        <f t="shared" ref="G528:AS529" si="64">G88*G172*G191*$E$207*$E$204*$D$217</f>
        <v>91055.890303810462</v>
      </c>
      <c r="H528" s="2496">
        <f t="shared" si="64"/>
        <v>94310.154986234818</v>
      </c>
      <c r="I528" s="2496">
        <f t="shared" si="64"/>
        <v>97898.088413274192</v>
      </c>
      <c r="J528" s="2496">
        <f t="shared" si="64"/>
        <v>101609.19822003666</v>
      </c>
      <c r="K528" s="2496">
        <f t="shared" si="64"/>
        <v>105353.71623032165</v>
      </c>
      <c r="L528" s="2496">
        <f t="shared" si="64"/>
        <v>109096.80535571682</v>
      </c>
      <c r="M528" s="2496">
        <f t="shared" si="64"/>
        <v>113065.84181307619</v>
      </c>
      <c r="N528" s="2496">
        <f t="shared" si="64"/>
        <v>117184.4308117426</v>
      </c>
      <c r="O528" s="2496">
        <f t="shared" si="64"/>
        <v>121235.00269020075</v>
      </c>
      <c r="P528" s="2496">
        <f t="shared" si="64"/>
        <v>125314.8008976859</v>
      </c>
      <c r="Q528" s="2496">
        <f t="shared" si="64"/>
        <v>129426.73677093469</v>
      </c>
      <c r="R528" s="2496">
        <f t="shared" si="64"/>
        <v>133391.75841975366</v>
      </c>
      <c r="S528" s="2496">
        <f t="shared" si="64"/>
        <v>137250.32447736568</v>
      </c>
      <c r="T528" s="2496">
        <f t="shared" si="64"/>
        <v>141028.64720230311</v>
      </c>
      <c r="U528" s="2496">
        <f t="shared" si="64"/>
        <v>144743.17166810585</v>
      </c>
      <c r="V528" s="2496">
        <f t="shared" si="64"/>
        <v>148403.08101611459</v>
      </c>
      <c r="W528" s="2496">
        <f t="shared" si="64"/>
        <v>152013.59953704971</v>
      </c>
      <c r="X528" s="2496">
        <f t="shared" si="64"/>
        <v>155595.15124155206</v>
      </c>
      <c r="Y528" s="2496">
        <f t="shared" si="64"/>
        <v>159161.5135747442</v>
      </c>
      <c r="Z528" s="2496">
        <f t="shared" si="64"/>
        <v>162721.03739945186</v>
      </c>
      <c r="AA528" s="2496">
        <f t="shared" si="64"/>
        <v>166278.69492118681</v>
      </c>
      <c r="AB528" s="2496">
        <f t="shared" si="64"/>
        <v>169833.19987522109</v>
      </c>
      <c r="AC528" s="2496">
        <f t="shared" si="64"/>
        <v>173386.61030281577</v>
      </c>
      <c r="AD528" s="2496">
        <f t="shared" si="64"/>
        <v>176939.5046713656</v>
      </c>
      <c r="AE528" s="2496">
        <f t="shared" si="64"/>
        <v>180491.42761385173</v>
      </c>
      <c r="AF528" s="2496">
        <f t="shared" si="64"/>
        <v>184041.66852065857</v>
      </c>
      <c r="AG528" s="2496">
        <f t="shared" si="64"/>
        <v>187588.40189601565</v>
      </c>
      <c r="AH528" s="2496">
        <f t="shared" si="64"/>
        <v>191129.47779125109</v>
      </c>
      <c r="AI528" s="2496">
        <f t="shared" si="64"/>
        <v>194662.51114642902</v>
      </c>
      <c r="AJ528" s="2496">
        <f t="shared" si="64"/>
        <v>198190.01258949676</v>
      </c>
      <c r="AK528" s="2496">
        <f t="shared" si="64"/>
        <v>201707.86237897605</v>
      </c>
      <c r="AL528" s="2496">
        <f t="shared" si="64"/>
        <v>205212.82011294397</v>
      </c>
      <c r="AM528" s="2496">
        <f t="shared" si="64"/>
        <v>208700.67196432198</v>
      </c>
      <c r="AN528" s="2496">
        <f t="shared" si="64"/>
        <v>212168.09119825595</v>
      </c>
      <c r="AO528" s="2496">
        <f t="shared" si="64"/>
        <v>215612.38628737282</v>
      </c>
      <c r="AP528" s="2496">
        <f t="shared" si="64"/>
        <v>219029.6487696415</v>
      </c>
      <c r="AQ528" s="2496">
        <f t="shared" si="64"/>
        <v>222416.77609355879</v>
      </c>
      <c r="AR528" s="2496">
        <f t="shared" si="64"/>
        <v>225770.67082314889</v>
      </c>
      <c r="AS528" s="2496">
        <f t="shared" si="64"/>
        <v>229088.2393799659</v>
      </c>
    </row>
    <row r="529" spans="1:45" s="2490" customFormat="1" x14ac:dyDescent="0.2">
      <c r="B529" s="2488"/>
      <c r="C529" s="2489" t="s">
        <v>1381</v>
      </c>
      <c r="D529" s="2493" t="s">
        <v>1537</v>
      </c>
      <c r="E529" s="2518"/>
      <c r="F529" s="2518"/>
      <c r="G529" s="2496">
        <f t="shared" si="64"/>
        <v>126497.77961992267</v>
      </c>
      <c r="H529" s="2496">
        <f t="shared" si="64"/>
        <v>128578.60213187429</v>
      </c>
      <c r="I529" s="2496">
        <f t="shared" si="64"/>
        <v>131282.32691714837</v>
      </c>
      <c r="J529" s="2496">
        <f t="shared" si="64"/>
        <v>133921.30466307129</v>
      </c>
      <c r="K529" s="2496">
        <f t="shared" si="64"/>
        <v>136557.28595709684</v>
      </c>
      <c r="L529" s="2496">
        <f t="shared" si="64"/>
        <v>139167.66933528977</v>
      </c>
      <c r="M529" s="2496">
        <f t="shared" si="64"/>
        <v>141722.42189590237</v>
      </c>
      <c r="N529" s="2496">
        <f t="shared" si="64"/>
        <v>144263.95603656973</v>
      </c>
      <c r="O529" s="2496">
        <f t="shared" si="64"/>
        <v>146788.95089533526</v>
      </c>
      <c r="P529" s="2496">
        <f t="shared" si="64"/>
        <v>149278.48921640639</v>
      </c>
      <c r="Q529" s="2496">
        <f t="shared" si="64"/>
        <v>151707.28053306436</v>
      </c>
      <c r="R529" s="2496">
        <f t="shared" si="64"/>
        <v>154288.11530286615</v>
      </c>
      <c r="S529" s="2496">
        <f t="shared" si="64"/>
        <v>156953.49768059389</v>
      </c>
      <c r="T529" s="2496">
        <f t="shared" si="64"/>
        <v>159659.13015095523</v>
      </c>
      <c r="U529" s="2496">
        <f t="shared" si="64"/>
        <v>162375.63048144942</v>
      </c>
      <c r="V529" s="2496">
        <f t="shared" si="64"/>
        <v>165082.71351092268</v>
      </c>
      <c r="W529" s="2496">
        <f t="shared" si="64"/>
        <v>167766.86890324781</v>
      </c>
      <c r="X529" s="2496">
        <f t="shared" si="64"/>
        <v>170434.56457597212</v>
      </c>
      <c r="Y529" s="2496">
        <f t="shared" si="64"/>
        <v>173089.71343337651</v>
      </c>
      <c r="Z529" s="2496">
        <f t="shared" si="64"/>
        <v>175733.90326868283</v>
      </c>
      <c r="AA529" s="2496">
        <f t="shared" si="64"/>
        <v>178367.58284499575</v>
      </c>
      <c r="AB529" s="2496">
        <f t="shared" si="64"/>
        <v>180987.15359795344</v>
      </c>
      <c r="AC529" s="2496">
        <f t="shared" si="64"/>
        <v>183592.99558076519</v>
      </c>
      <c r="AD529" s="2496">
        <f t="shared" si="64"/>
        <v>186184.77711633008</v>
      </c>
      <c r="AE529" s="2496">
        <f t="shared" si="64"/>
        <v>188761.71188892404</v>
      </c>
      <c r="AF529" s="2496">
        <f t="shared" si="64"/>
        <v>191323.11242845681</v>
      </c>
      <c r="AG529" s="2496">
        <f t="shared" si="64"/>
        <v>193867.58127911499</v>
      </c>
      <c r="AH529" s="2496">
        <f t="shared" si="64"/>
        <v>196393.64975571301</v>
      </c>
      <c r="AI529" s="2496">
        <f t="shared" si="64"/>
        <v>198899.80281631384</v>
      </c>
      <c r="AJ529" s="2496">
        <f t="shared" si="64"/>
        <v>201388.59932120974</v>
      </c>
      <c r="AK529" s="2496">
        <f t="shared" si="64"/>
        <v>203857.06021936724</v>
      </c>
      <c r="AL529" s="2496">
        <f t="shared" si="64"/>
        <v>206303.13467740989</v>
      </c>
      <c r="AM529" s="2496">
        <f t="shared" si="64"/>
        <v>208724.10267140935</v>
      </c>
      <c r="AN529" s="2496">
        <f t="shared" si="64"/>
        <v>211118.0757270625</v>
      </c>
      <c r="AO529" s="2496">
        <f t="shared" si="64"/>
        <v>213483.71203529267</v>
      </c>
      <c r="AP529" s="2496">
        <f t="shared" si="64"/>
        <v>215818.71698558703</v>
      </c>
      <c r="AQ529" s="2496">
        <f t="shared" si="64"/>
        <v>218121.49498986875</v>
      </c>
      <c r="AR529" s="2496">
        <f t="shared" si="64"/>
        <v>220390.46513645686</v>
      </c>
      <c r="AS529" s="2496">
        <f t="shared" si="64"/>
        <v>222624.06075480636</v>
      </c>
    </row>
    <row r="530" spans="1:45" s="2490" customFormat="1" x14ac:dyDescent="0.2">
      <c r="B530" s="2488"/>
      <c r="C530" s="2497" t="s">
        <v>118</v>
      </c>
      <c r="D530" s="2498" t="s">
        <v>1537</v>
      </c>
      <c r="E530" s="2507"/>
      <c r="F530" s="2507"/>
      <c r="G530" s="2500">
        <f>SUM(G514:G529)</f>
        <v>391204.17233039741</v>
      </c>
      <c r="H530" s="2500">
        <f t="shared" ref="H530:AS530" si="65">SUM(H514:H529)</f>
        <v>397210.5340587984</v>
      </c>
      <c r="I530" s="2500">
        <f t="shared" si="65"/>
        <v>405134.14721365069</v>
      </c>
      <c r="J530" s="2500">
        <f t="shared" si="65"/>
        <v>412739.00168942614</v>
      </c>
      <c r="K530" s="2500">
        <f t="shared" si="65"/>
        <v>420108.01056886406</v>
      </c>
      <c r="L530" s="2500">
        <f t="shared" si="65"/>
        <v>427151.12990627182</v>
      </c>
      <c r="M530" s="2500">
        <f t="shared" si="65"/>
        <v>434052.74579723651</v>
      </c>
      <c r="N530" s="2500">
        <f t="shared" si="65"/>
        <v>441183.86500813987</v>
      </c>
      <c r="O530" s="2500">
        <f t="shared" si="65"/>
        <v>448247.09206308157</v>
      </c>
      <c r="P530" s="2500">
        <f t="shared" si="65"/>
        <v>455321.63443109603</v>
      </c>
      <c r="Q530" s="2500">
        <f t="shared" si="65"/>
        <v>462341.76958364097</v>
      </c>
      <c r="R530" s="2500">
        <f t="shared" si="65"/>
        <v>469511.66424065124</v>
      </c>
      <c r="S530" s="2500">
        <f t="shared" si="65"/>
        <v>476777.52292662242</v>
      </c>
      <c r="T530" s="2500">
        <f t="shared" si="65"/>
        <v>484098.33166499325</v>
      </c>
      <c r="U530" s="2500">
        <f t="shared" si="65"/>
        <v>491441.6261258935</v>
      </c>
      <c r="V530" s="2500">
        <f t="shared" si="65"/>
        <v>498779.54528309737</v>
      </c>
      <c r="W530" s="2500">
        <f t="shared" si="65"/>
        <v>506089.81294851966</v>
      </c>
      <c r="X530" s="2500">
        <f t="shared" si="65"/>
        <v>513393.90303580067</v>
      </c>
      <c r="Y530" s="2500">
        <f t="shared" si="65"/>
        <v>520704.33988881693</v>
      </c>
      <c r="Z530" s="2500">
        <f t="shared" si="65"/>
        <v>528026.03622064041</v>
      </c>
      <c r="AA530" s="2500">
        <f t="shared" si="65"/>
        <v>535359.82054399198</v>
      </c>
      <c r="AB530" s="2500">
        <f t="shared" si="65"/>
        <v>542695.3111000827</v>
      </c>
      <c r="AC530" s="2500">
        <f t="shared" si="65"/>
        <v>550031.63648887968</v>
      </c>
      <c r="AD530" s="2500">
        <f t="shared" si="65"/>
        <v>557366.02893294417</v>
      </c>
      <c r="AE530" s="2500">
        <f t="shared" si="65"/>
        <v>564694.51811320311</v>
      </c>
      <c r="AF530" s="2500">
        <f t="shared" si="65"/>
        <v>572013.4043244936</v>
      </c>
      <c r="AG530" s="2500">
        <f t="shared" si="65"/>
        <v>579317.18559375277</v>
      </c>
      <c r="AH530" s="2500">
        <f t="shared" si="65"/>
        <v>586600.17999118147</v>
      </c>
      <c r="AI530" s="2500">
        <f t="shared" si="65"/>
        <v>593856.60489610897</v>
      </c>
      <c r="AJ530" s="2500">
        <f t="shared" si="65"/>
        <v>601091.5673909199</v>
      </c>
      <c r="AK530" s="2500">
        <f t="shared" si="65"/>
        <v>608295.85834177746</v>
      </c>
      <c r="AL530" s="2500">
        <f t="shared" si="65"/>
        <v>615462.51761848677</v>
      </c>
      <c r="AM530" s="2500">
        <f t="shared" si="65"/>
        <v>622582.7098758308</v>
      </c>
      <c r="AN530" s="2500">
        <f t="shared" si="65"/>
        <v>629649.71416597825</v>
      </c>
      <c r="AO530" s="2500">
        <f t="shared" si="65"/>
        <v>636658.2820003042</v>
      </c>
      <c r="AP530" s="2500">
        <f t="shared" si="65"/>
        <v>643600.6250661778</v>
      </c>
      <c r="AQ530" s="2500">
        <f t="shared" si="65"/>
        <v>650470.78545731178</v>
      </c>
      <c r="AR530" s="2500">
        <f t="shared" si="65"/>
        <v>657262.86203277728</v>
      </c>
      <c r="AS530" s="2500">
        <f t="shared" si="65"/>
        <v>663971.00125089614</v>
      </c>
    </row>
    <row r="531" spans="1:45" s="2490" customFormat="1" ht="15" x14ac:dyDescent="0.25">
      <c r="B531" s="2488"/>
      <c r="C531" s="2510"/>
      <c r="D531" s="2516"/>
      <c r="E531" s="2519"/>
      <c r="F531" s="2519"/>
      <c r="G531" s="2519"/>
      <c r="H531" s="2519"/>
      <c r="I531" s="2519"/>
      <c r="J531" s="2519"/>
      <c r="K531" s="2519"/>
      <c r="L531" s="2519"/>
      <c r="M531" s="2519"/>
      <c r="N531" s="2519"/>
      <c r="O531" s="2519"/>
      <c r="P531" s="2519"/>
      <c r="Q531" s="2519"/>
      <c r="R531" s="2519"/>
      <c r="S531" s="2519"/>
      <c r="T531" s="2519"/>
      <c r="U531" s="2519"/>
      <c r="V531" s="2519"/>
      <c r="W531" s="2519"/>
      <c r="X531" s="2519"/>
      <c r="Y531" s="2519"/>
      <c r="Z531" s="2519"/>
      <c r="AA531" s="2519"/>
      <c r="AB531" s="2519"/>
      <c r="AC531" s="2519"/>
      <c r="AD531" s="2519"/>
      <c r="AE531" s="2519"/>
      <c r="AF531" s="2519"/>
      <c r="AG531" s="2519"/>
      <c r="AH531" s="2519"/>
      <c r="AI531" s="2519"/>
      <c r="AJ531" s="2519"/>
      <c r="AK531" s="2519"/>
      <c r="AL531" s="2519"/>
      <c r="AM531" s="2519"/>
      <c r="AN531" s="2519"/>
      <c r="AO531" s="2519"/>
      <c r="AP531" s="2519"/>
      <c r="AQ531" s="2519"/>
    </row>
    <row r="532" spans="1:45" s="2490" customFormat="1" ht="15" x14ac:dyDescent="0.25">
      <c r="B532" s="2488"/>
      <c r="C532" s="2510"/>
      <c r="D532" s="2516"/>
      <c r="E532" s="2519"/>
      <c r="F532" s="2519"/>
      <c r="G532" s="2519"/>
      <c r="H532" s="2519"/>
      <c r="I532" s="2519"/>
      <c r="J532" s="2519"/>
      <c r="K532" s="2519"/>
      <c r="L532" s="2519"/>
      <c r="M532" s="2519"/>
      <c r="N532" s="2519"/>
      <c r="O532" s="2519"/>
      <c r="P532" s="2519"/>
      <c r="Q532" s="2519"/>
      <c r="R532" s="2519"/>
      <c r="S532" s="2519"/>
      <c r="T532" s="2519"/>
      <c r="U532" s="2519"/>
      <c r="V532" s="2519"/>
      <c r="W532" s="2519"/>
      <c r="X532" s="2519"/>
      <c r="Y532" s="2519"/>
      <c r="Z532" s="2519"/>
      <c r="AA532" s="2519"/>
      <c r="AB532" s="2519"/>
      <c r="AC532" s="2519"/>
      <c r="AD532" s="2519"/>
      <c r="AE532" s="2519"/>
      <c r="AF532" s="2519"/>
      <c r="AG532" s="2519"/>
      <c r="AH532" s="2519"/>
      <c r="AI532" s="2519"/>
      <c r="AJ532" s="2519"/>
      <c r="AK532" s="2519"/>
      <c r="AL532" s="2519"/>
      <c r="AM532" s="2519"/>
      <c r="AN532" s="2519"/>
      <c r="AO532" s="2519"/>
      <c r="AP532" s="2519"/>
      <c r="AQ532" s="2519"/>
    </row>
    <row r="533" spans="1:45" s="2490" customFormat="1" ht="15" x14ac:dyDescent="0.25">
      <c r="B533" s="2488">
        <v>4</v>
      </c>
      <c r="C533" s="2489" t="s">
        <v>1541</v>
      </c>
      <c r="D533" s="2516"/>
      <c r="E533" s="2519"/>
      <c r="F533" s="2519"/>
      <c r="G533" s="2519"/>
      <c r="H533" s="2519"/>
      <c r="I533" s="2519"/>
      <c r="J533" s="2519"/>
      <c r="K533" s="2519"/>
      <c r="L533" s="2519"/>
      <c r="M533" s="2519"/>
      <c r="N533" s="2519"/>
      <c r="O533" s="2519"/>
      <c r="P533" s="2519"/>
      <c r="Q533" s="2519"/>
      <c r="R533" s="2519"/>
      <c r="S533" s="2519"/>
      <c r="T533" s="2519"/>
      <c r="U533" s="2519"/>
      <c r="V533" s="2519"/>
      <c r="W533" s="2519"/>
      <c r="X533" s="2519"/>
      <c r="Y533" s="2519"/>
      <c r="Z533" s="2519"/>
      <c r="AA533" s="2519"/>
      <c r="AB533" s="2519"/>
      <c r="AC533" s="2519"/>
      <c r="AD533" s="2519"/>
      <c r="AE533" s="2519"/>
      <c r="AF533" s="2519"/>
      <c r="AG533" s="2519"/>
      <c r="AH533" s="2519"/>
      <c r="AI533" s="2519"/>
      <c r="AJ533" s="2519"/>
      <c r="AK533" s="2519"/>
      <c r="AL533" s="2519"/>
      <c r="AM533" s="2519"/>
      <c r="AN533" s="2519"/>
      <c r="AO533" s="2519"/>
      <c r="AP533" s="2519"/>
      <c r="AQ533" s="2519"/>
    </row>
    <row r="534" spans="1:45" s="2490" customFormat="1" ht="15" x14ac:dyDescent="0.25">
      <c r="B534" s="2488"/>
      <c r="C534" s="2510"/>
      <c r="D534" s="2516"/>
      <c r="E534" s="2519"/>
      <c r="F534" s="2519"/>
      <c r="G534" s="2519"/>
      <c r="H534" s="2519"/>
      <c r="I534" s="2519"/>
      <c r="J534" s="2519"/>
      <c r="K534" s="2519"/>
      <c r="L534" s="2519"/>
      <c r="M534" s="2519"/>
      <c r="N534" s="2519"/>
      <c r="O534" s="2519"/>
      <c r="P534" s="2519"/>
      <c r="Q534" s="2519"/>
      <c r="R534" s="2519"/>
      <c r="S534" s="2519"/>
      <c r="T534" s="2519"/>
      <c r="U534" s="2519"/>
      <c r="V534" s="2519"/>
      <c r="W534" s="2519"/>
      <c r="X534" s="2519"/>
      <c r="Y534" s="2519"/>
      <c r="Z534" s="2519"/>
      <c r="AA534" s="2519"/>
      <c r="AB534" s="2519"/>
      <c r="AC534" s="2519"/>
      <c r="AD534" s="2519"/>
      <c r="AE534" s="2519"/>
      <c r="AF534" s="2519"/>
      <c r="AG534" s="2519"/>
      <c r="AH534" s="2519"/>
      <c r="AI534" s="2519"/>
      <c r="AJ534" s="2519"/>
      <c r="AK534" s="2519"/>
      <c r="AL534" s="2519"/>
      <c r="AM534" s="2519"/>
      <c r="AN534" s="2519"/>
      <c r="AO534" s="2519"/>
      <c r="AP534" s="2519"/>
      <c r="AQ534" s="2519"/>
    </row>
    <row r="535" spans="1:45" s="2490" customFormat="1" ht="15" x14ac:dyDescent="0.25">
      <c r="A535" s="2488"/>
      <c r="B535" s="2488" t="s">
        <v>627</v>
      </c>
      <c r="C535" s="2489" t="s">
        <v>1542</v>
      </c>
      <c r="D535" s="2516"/>
      <c r="E535" s="2519"/>
      <c r="F535" s="2519"/>
      <c r="G535" s="2519"/>
      <c r="H535" s="2519"/>
      <c r="I535" s="2519"/>
      <c r="J535" s="2519"/>
      <c r="K535" s="2519"/>
      <c r="L535" s="2519"/>
      <c r="M535" s="2519"/>
      <c r="N535" s="2519"/>
      <c r="O535" s="2519"/>
      <c r="P535" s="2519"/>
      <c r="Q535" s="2519"/>
      <c r="R535" s="2519"/>
      <c r="S535" s="2519"/>
      <c r="T535" s="2519"/>
      <c r="U535" s="2519"/>
      <c r="V535" s="2519"/>
      <c r="W535" s="2519"/>
      <c r="X535" s="2519"/>
      <c r="Y535" s="2519"/>
      <c r="Z535" s="2519"/>
      <c r="AA535" s="2519"/>
      <c r="AB535" s="2519"/>
      <c r="AC535" s="2519"/>
      <c r="AD535" s="2519"/>
      <c r="AE535" s="2519"/>
      <c r="AF535" s="2519"/>
      <c r="AG535" s="2519"/>
      <c r="AH535" s="2519"/>
      <c r="AI535" s="2519"/>
      <c r="AJ535" s="2519"/>
      <c r="AK535" s="2519"/>
      <c r="AL535" s="2519"/>
      <c r="AM535" s="2519"/>
      <c r="AN535" s="2519"/>
      <c r="AO535" s="2519"/>
      <c r="AP535" s="2519"/>
      <c r="AQ535" s="2519"/>
    </row>
    <row r="536" spans="1:45" s="2490" customFormat="1" x14ac:dyDescent="0.2">
      <c r="B536" s="2488"/>
      <c r="C536" s="2513"/>
      <c r="D536" s="2513" t="s">
        <v>1029</v>
      </c>
      <c r="E536" s="2492" t="s">
        <v>8</v>
      </c>
      <c r="F536" s="2492"/>
      <c r="G536" s="2492">
        <v>2012</v>
      </c>
      <c r="H536" s="2492">
        <v>2013</v>
      </c>
      <c r="I536" s="2492">
        <v>2014</v>
      </c>
      <c r="J536" s="2492">
        <v>2015</v>
      </c>
      <c r="K536" s="2492">
        <v>2016</v>
      </c>
      <c r="L536" s="2492">
        <v>2017</v>
      </c>
      <c r="M536" s="2492">
        <v>2018</v>
      </c>
      <c r="N536" s="2492">
        <v>2019</v>
      </c>
      <c r="O536" s="2492">
        <v>2020</v>
      </c>
      <c r="P536" s="2492">
        <v>2021</v>
      </c>
      <c r="Q536" s="2492">
        <v>2022</v>
      </c>
      <c r="R536" s="2492">
        <v>2023</v>
      </c>
      <c r="S536" s="2492">
        <v>2024</v>
      </c>
      <c r="T536" s="2492">
        <v>2025</v>
      </c>
      <c r="U536" s="2492">
        <v>2026</v>
      </c>
      <c r="V536" s="2492">
        <v>2027</v>
      </c>
      <c r="W536" s="2492">
        <v>2028</v>
      </c>
      <c r="X536" s="2492">
        <v>2029</v>
      </c>
      <c r="Y536" s="2492">
        <v>2030</v>
      </c>
      <c r="Z536" s="2492">
        <v>2031</v>
      </c>
      <c r="AA536" s="2492">
        <v>2032</v>
      </c>
      <c r="AB536" s="2492">
        <v>2033</v>
      </c>
      <c r="AC536" s="2492">
        <v>2034</v>
      </c>
      <c r="AD536" s="2492">
        <v>2035</v>
      </c>
      <c r="AE536" s="2492">
        <v>2036</v>
      </c>
      <c r="AF536" s="2492">
        <v>2037</v>
      </c>
      <c r="AG536" s="2492">
        <v>2038</v>
      </c>
      <c r="AH536" s="2492">
        <v>2039</v>
      </c>
      <c r="AI536" s="2492">
        <v>2040</v>
      </c>
      <c r="AJ536" s="2492">
        <v>2041</v>
      </c>
      <c r="AK536" s="2492">
        <v>2042</v>
      </c>
      <c r="AL536" s="2492">
        <v>2043</v>
      </c>
      <c r="AM536" s="2492">
        <v>2044</v>
      </c>
      <c r="AN536" s="2492">
        <v>2045</v>
      </c>
      <c r="AO536" s="2492">
        <v>2046</v>
      </c>
      <c r="AP536" s="2492">
        <v>2047</v>
      </c>
      <c r="AQ536" s="2492">
        <v>2048</v>
      </c>
      <c r="AR536" s="2492">
        <v>2049</v>
      </c>
      <c r="AS536" s="2492">
        <v>2050</v>
      </c>
    </row>
    <row r="537" spans="1:45" s="2490" customFormat="1" ht="15" x14ac:dyDescent="0.25">
      <c r="B537" s="2488"/>
      <c r="C537" s="2489" t="s">
        <v>1364</v>
      </c>
      <c r="D537" s="2516"/>
      <c r="H537" s="2519"/>
      <c r="I537" s="2519"/>
      <c r="J537" s="2519"/>
      <c r="K537" s="2519"/>
      <c r="L537" s="2519"/>
      <c r="M537" s="2519"/>
      <c r="N537" s="2519"/>
      <c r="O537" s="2519"/>
      <c r="P537" s="2519"/>
      <c r="Q537" s="2519"/>
      <c r="R537" s="2519"/>
      <c r="S537" s="2519"/>
      <c r="T537" s="2519"/>
      <c r="U537" s="2519"/>
      <c r="V537" s="2519"/>
      <c r="W537" s="2519"/>
      <c r="X537" s="2519"/>
      <c r="Y537" s="2519"/>
      <c r="Z537" s="2519"/>
      <c r="AA537" s="2519"/>
      <c r="AB537" s="2519"/>
      <c r="AC537" s="2519"/>
      <c r="AD537" s="2519"/>
      <c r="AE537" s="2519"/>
      <c r="AF537" s="2519"/>
      <c r="AG537" s="2519"/>
      <c r="AH537" s="2519"/>
      <c r="AI537" s="2519"/>
      <c r="AJ537" s="2519"/>
      <c r="AK537" s="2519"/>
      <c r="AL537" s="2519"/>
      <c r="AM537" s="2519"/>
      <c r="AN537" s="2519"/>
      <c r="AO537" s="2519"/>
      <c r="AP537" s="2519"/>
      <c r="AQ537" s="2519"/>
      <c r="AR537" s="2519"/>
      <c r="AS537" s="2519"/>
    </row>
    <row r="538" spans="1:45" s="2490" customFormat="1" x14ac:dyDescent="0.2">
      <c r="B538" s="2488"/>
      <c r="C538" s="2495" t="s">
        <v>1366</v>
      </c>
      <c r="D538" s="2493" t="s">
        <v>1543</v>
      </c>
      <c r="G538" s="2496">
        <f t="shared" ref="G538:AS538" si="66">G351*G231/1000</f>
        <v>12316105.012961999</v>
      </c>
      <c r="H538" s="2496">
        <f t="shared" si="66"/>
        <v>12275695.682578929</v>
      </c>
      <c r="I538" s="2496">
        <f t="shared" si="66"/>
        <v>12308580.322961105</v>
      </c>
      <c r="J538" s="2496">
        <f t="shared" si="66"/>
        <v>12304979.055462122</v>
      </c>
      <c r="K538" s="2496">
        <f t="shared" si="66"/>
        <v>12277246.162918964</v>
      </c>
      <c r="L538" s="2496">
        <f t="shared" si="66"/>
        <v>12223607.132652652</v>
      </c>
      <c r="M538" s="2496">
        <f t="shared" si="66"/>
        <v>12136041.126454288</v>
      </c>
      <c r="N538" s="2496">
        <f t="shared" si="66"/>
        <v>12052029.174913332</v>
      </c>
      <c r="O538" s="2496">
        <f t="shared" si="66"/>
        <v>11971526.938909043</v>
      </c>
      <c r="P538" s="2496">
        <f t="shared" si="66"/>
        <v>11891661.767603721</v>
      </c>
      <c r="Q538" s="2496">
        <f t="shared" si="66"/>
        <v>11808581.972589798</v>
      </c>
      <c r="R538" s="2496">
        <f t="shared" si="66"/>
        <v>11742515.617114479</v>
      </c>
      <c r="S538" s="2496">
        <f t="shared" si="66"/>
        <v>11689912.333831448</v>
      </c>
      <c r="T538" s="2496">
        <f t="shared" si="66"/>
        <v>11647986.324399475</v>
      </c>
      <c r="U538" s="2496">
        <f t="shared" si="66"/>
        <v>11614543.354308184</v>
      </c>
      <c r="V538" s="2496">
        <f t="shared" si="66"/>
        <v>11587849.779219234</v>
      </c>
      <c r="W538" s="2496">
        <f t="shared" si="66"/>
        <v>11566532.430827586</v>
      </c>
      <c r="X538" s="2496">
        <f t="shared" si="66"/>
        <v>11549501.463886425</v>
      </c>
      <c r="Y538" s="2496">
        <f t="shared" si="66"/>
        <v>11535890.489448968</v>
      </c>
      <c r="Z538" s="2496">
        <f t="shared" si="66"/>
        <v>11525009.855569026</v>
      </c>
      <c r="AA538" s="2496">
        <f t="shared" si="66"/>
        <v>11516310.015742747</v>
      </c>
      <c r="AB538" s="2496">
        <f t="shared" si="66"/>
        <v>11509352.695343005</v>
      </c>
      <c r="AC538" s="2496">
        <f t="shared" si="66"/>
        <v>11503788.123943655</v>
      </c>
      <c r="AD538" s="2496">
        <f t="shared" si="66"/>
        <v>11499337.010906423</v>
      </c>
      <c r="AE538" s="2496">
        <f t="shared" si="66"/>
        <v>11495776.246086199</v>
      </c>
      <c r="AF538" s="2496">
        <f t="shared" si="66"/>
        <v>11492927.536498211</v>
      </c>
      <c r="AG538" s="2496">
        <f t="shared" si="66"/>
        <v>11490648.36372976</v>
      </c>
      <c r="AH538" s="2496">
        <f t="shared" si="66"/>
        <v>11488824.780162757</v>
      </c>
      <c r="AI538" s="2496">
        <f t="shared" si="66"/>
        <v>11487365.664969917</v>
      </c>
      <c r="AJ538" s="2496">
        <f t="shared" si="66"/>
        <v>11486198.140793394</v>
      </c>
      <c r="AK538" s="2496">
        <f t="shared" si="66"/>
        <v>11485263.914463187</v>
      </c>
      <c r="AL538" s="2496">
        <f t="shared" si="66"/>
        <v>11484516.35410957</v>
      </c>
      <c r="AM538" s="2496">
        <f t="shared" si="66"/>
        <v>11483918.153612358</v>
      </c>
      <c r="AN538" s="2496">
        <f t="shared" si="66"/>
        <v>11483439.465809921</v>
      </c>
      <c r="AO538" s="2496">
        <f t="shared" si="66"/>
        <v>11483056.410029601</v>
      </c>
      <c r="AP538" s="2496">
        <f t="shared" si="66"/>
        <v>11482749.878653983</v>
      </c>
      <c r="AQ538" s="2496">
        <f t="shared" si="66"/>
        <v>11482504.582661515</v>
      </c>
      <c r="AR538" s="2496">
        <f t="shared" si="66"/>
        <v>11482308.288195463</v>
      </c>
      <c r="AS538" s="2496">
        <f t="shared" si="66"/>
        <v>11482151.205868002</v>
      </c>
    </row>
    <row r="539" spans="1:45" s="2490" customFormat="1" x14ac:dyDescent="0.2">
      <c r="B539" s="2488"/>
      <c r="C539" s="2495" t="s">
        <v>1367</v>
      </c>
      <c r="D539" s="2493" t="s">
        <v>1543</v>
      </c>
      <c r="G539" s="2496">
        <f t="shared" ref="G539:AS545" si="67">G75*G232/1000</f>
        <v>13889067.397268079</v>
      </c>
      <c r="H539" s="2496">
        <f t="shared" si="67"/>
        <v>13843497.153057083</v>
      </c>
      <c r="I539" s="2496">
        <f t="shared" si="67"/>
        <v>13880581.684743222</v>
      </c>
      <c r="J539" s="2496">
        <f t="shared" si="67"/>
        <v>13876520.478139644</v>
      </c>
      <c r="K539" s="2496">
        <f t="shared" si="67"/>
        <v>13845245.654382642</v>
      </c>
      <c r="L539" s="2496">
        <f t="shared" si="67"/>
        <v>13784756.067316856</v>
      </c>
      <c r="M539" s="2496">
        <f t="shared" si="67"/>
        <v>13686006.490196604</v>
      </c>
      <c r="N539" s="2496">
        <f t="shared" si="67"/>
        <v>13591264.877007991</v>
      </c>
      <c r="O539" s="2496">
        <f t="shared" si="67"/>
        <v>13500481.225819759</v>
      </c>
      <c r="P539" s="2496">
        <f t="shared" si="67"/>
        <v>13410416.002619199</v>
      </c>
      <c r="Q539" s="2496">
        <f t="shared" si="67"/>
        <v>13316725.597163482</v>
      </c>
      <c r="R539" s="2496">
        <f t="shared" si="67"/>
        <v>13242221.517917417</v>
      </c>
      <c r="S539" s="2496">
        <f t="shared" si="67"/>
        <v>13182899.959188692</v>
      </c>
      <c r="T539" s="2496">
        <f t="shared" si="67"/>
        <v>13135619.331905445</v>
      </c>
      <c r="U539" s="2496">
        <f t="shared" si="67"/>
        <v>13097905.162931252</v>
      </c>
      <c r="V539" s="2496">
        <f t="shared" si="67"/>
        <v>13067802.393988129</v>
      </c>
      <c r="W539" s="2496">
        <f t="shared" si="67"/>
        <v>13043762.481350889</v>
      </c>
      <c r="X539" s="2496">
        <f t="shared" si="67"/>
        <v>13024556.389210761</v>
      </c>
      <c r="Y539" s="2496">
        <f t="shared" si="67"/>
        <v>13009207.076980527</v>
      </c>
      <c r="Z539" s="2496">
        <f t="shared" si="67"/>
        <v>12996936.813197903</v>
      </c>
      <c r="AA539" s="2496">
        <f t="shared" si="67"/>
        <v>12987125.865535028</v>
      </c>
      <c r="AB539" s="2496">
        <f t="shared" si="67"/>
        <v>12979279.984728174</v>
      </c>
      <c r="AC539" s="2496">
        <f t="shared" si="67"/>
        <v>12973004.729107901</v>
      </c>
      <c r="AD539" s="2496">
        <f t="shared" si="67"/>
        <v>12967985.138181876</v>
      </c>
      <c r="AE539" s="2496">
        <f t="shared" si="67"/>
        <v>12963969.607092962</v>
      </c>
      <c r="AF539" s="2496">
        <f t="shared" si="67"/>
        <v>12960757.072008118</v>
      </c>
      <c r="AG539" s="2496">
        <f t="shared" si="67"/>
        <v>12958186.812647894</v>
      </c>
      <c r="AH539" s="2496">
        <f t="shared" si="67"/>
        <v>12956130.328472093</v>
      </c>
      <c r="AI539" s="2496">
        <f t="shared" si="67"/>
        <v>12954484.861075349</v>
      </c>
      <c r="AJ539" s="2496">
        <f t="shared" si="67"/>
        <v>12953168.225502772</v>
      </c>
      <c r="AK539" s="2496">
        <f t="shared" si="67"/>
        <v>12952114.683619935</v>
      </c>
      <c r="AL539" s="2496">
        <f t="shared" si="67"/>
        <v>12951271.647926101</v>
      </c>
      <c r="AM539" s="2496">
        <f t="shared" si="67"/>
        <v>12950597.047716532</v>
      </c>
      <c r="AN539" s="2496">
        <f t="shared" si="67"/>
        <v>12950057.223872604</v>
      </c>
      <c r="AO539" s="2496">
        <f t="shared" si="67"/>
        <v>12949625.245780166</v>
      </c>
      <c r="AP539" s="2496">
        <f t="shared" si="67"/>
        <v>12949279.565475322</v>
      </c>
      <c r="AQ539" s="2496">
        <f t="shared" si="67"/>
        <v>12949002.941285444</v>
      </c>
      <c r="AR539" s="2496">
        <f t="shared" si="67"/>
        <v>12948781.576895824</v>
      </c>
      <c r="AS539" s="2496">
        <f t="shared" si="67"/>
        <v>12948604.432658199</v>
      </c>
    </row>
    <row r="540" spans="1:45" s="2490" customFormat="1" x14ac:dyDescent="0.2">
      <c r="B540" s="2488"/>
      <c r="C540" s="2495" t="s">
        <v>1368</v>
      </c>
      <c r="D540" s="2493" t="s">
        <v>1543</v>
      </c>
      <c r="G540" s="2496">
        <f t="shared" si="67"/>
        <v>484838.44222056837</v>
      </c>
      <c r="H540" s="2496">
        <f t="shared" si="67"/>
        <v>483247.67981853581</v>
      </c>
      <c r="I540" s="2496">
        <f t="shared" si="67"/>
        <v>484542.22365354683</v>
      </c>
      <c r="J540" s="2496">
        <f t="shared" si="67"/>
        <v>484400.45538164681</v>
      </c>
      <c r="K540" s="2496">
        <f t="shared" si="67"/>
        <v>483308.71636149852</v>
      </c>
      <c r="L540" s="2496">
        <f t="shared" si="67"/>
        <v>481197.1507448387</v>
      </c>
      <c r="M540" s="2496">
        <f t="shared" si="67"/>
        <v>477750.00848744414</v>
      </c>
      <c r="N540" s="2496">
        <f t="shared" si="67"/>
        <v>474442.77591106069</v>
      </c>
      <c r="O540" s="2496">
        <f t="shared" si="67"/>
        <v>471273.70755231299</v>
      </c>
      <c r="P540" s="2496">
        <f t="shared" si="67"/>
        <v>468129.71801969706</v>
      </c>
      <c r="Q540" s="2496">
        <f t="shared" si="67"/>
        <v>464859.1809178972</v>
      </c>
      <c r="R540" s="2496">
        <f t="shared" si="67"/>
        <v>462258.39854082814</v>
      </c>
      <c r="S540" s="2496">
        <f t="shared" si="67"/>
        <v>460187.60636296106</v>
      </c>
      <c r="T540" s="2496">
        <f t="shared" si="67"/>
        <v>458537.1380468717</v>
      </c>
      <c r="U540" s="2496">
        <f t="shared" si="67"/>
        <v>457220.61488429515</v>
      </c>
      <c r="V540" s="2496">
        <f t="shared" si="67"/>
        <v>456169.78985886677</v>
      </c>
      <c r="W540" s="2496">
        <f t="shared" si="67"/>
        <v>455330.60653137782</v>
      </c>
      <c r="X540" s="2496">
        <f t="shared" si="67"/>
        <v>454660.16181914351</v>
      </c>
      <c r="Y540" s="2496">
        <f t="shared" si="67"/>
        <v>454124.3492683075</v>
      </c>
      <c r="Z540" s="2496">
        <f t="shared" si="67"/>
        <v>453696.01989183889</v>
      </c>
      <c r="AA540" s="2496">
        <f t="shared" si="67"/>
        <v>453353.54012372199</v>
      </c>
      <c r="AB540" s="2496">
        <f t="shared" si="67"/>
        <v>453079.65675060282</v>
      </c>
      <c r="AC540" s="2496">
        <f t="shared" si="67"/>
        <v>452860.60063456238</v>
      </c>
      <c r="AD540" s="2496">
        <f t="shared" si="67"/>
        <v>452685.37716018886</v>
      </c>
      <c r="AE540" s="2496">
        <f t="shared" si="67"/>
        <v>452545.20332546328</v>
      </c>
      <c r="AF540" s="2496">
        <f t="shared" si="67"/>
        <v>452433.06041035132</v>
      </c>
      <c r="AG540" s="2496">
        <f t="shared" si="67"/>
        <v>452343.33800432726</v>
      </c>
      <c r="AH540" s="2496">
        <f t="shared" si="67"/>
        <v>452271.55042091891</v>
      </c>
      <c r="AI540" s="2496">
        <f t="shared" si="67"/>
        <v>452214.11057801632</v>
      </c>
      <c r="AJ540" s="2496">
        <f t="shared" si="67"/>
        <v>452168.14956985624</v>
      </c>
      <c r="AK540" s="2496">
        <f t="shared" si="67"/>
        <v>452131.37261495512</v>
      </c>
      <c r="AL540" s="2496">
        <f t="shared" si="67"/>
        <v>452101.94399308704</v>
      </c>
      <c r="AM540" s="2496">
        <f t="shared" si="67"/>
        <v>452078.39510349103</v>
      </c>
      <c r="AN540" s="2496">
        <f t="shared" si="67"/>
        <v>452059.55097637459</v>
      </c>
      <c r="AO540" s="2496">
        <f t="shared" si="67"/>
        <v>452044.47152003518</v>
      </c>
      <c r="AP540" s="2496">
        <f t="shared" si="67"/>
        <v>452032.40453989082</v>
      </c>
      <c r="AQ540" s="2496">
        <f t="shared" si="67"/>
        <v>452022.74816502671</v>
      </c>
      <c r="AR540" s="2496">
        <f t="shared" si="67"/>
        <v>452015.02079480403</v>
      </c>
      <c r="AS540" s="2496">
        <f t="shared" si="67"/>
        <v>452008.83705807338</v>
      </c>
    </row>
    <row r="541" spans="1:45" s="2490" customFormat="1" x14ac:dyDescent="0.2">
      <c r="B541" s="2488"/>
      <c r="C541" s="2495" t="s">
        <v>1369</v>
      </c>
      <c r="D541" s="2493" t="s">
        <v>1543</v>
      </c>
      <c r="G541" s="2496">
        <f t="shared" si="67"/>
        <v>3614262.6934280312</v>
      </c>
      <c r="H541" s="2496">
        <f t="shared" si="67"/>
        <v>3602404.2418220863</v>
      </c>
      <c r="I541" s="2496">
        <f t="shared" si="67"/>
        <v>3612054.5110261091</v>
      </c>
      <c r="J541" s="2496">
        <f t="shared" si="67"/>
        <v>3610997.689347751</v>
      </c>
      <c r="K541" s="2496">
        <f t="shared" si="67"/>
        <v>3602859.2430780833</v>
      </c>
      <c r="L541" s="2496">
        <f t="shared" si="67"/>
        <v>3587118.4268217129</v>
      </c>
      <c r="M541" s="2496">
        <f t="shared" si="67"/>
        <v>3561421.4593890589</v>
      </c>
      <c r="N541" s="2496">
        <f t="shared" si="67"/>
        <v>3536767.4586366294</v>
      </c>
      <c r="O541" s="2496">
        <f t="shared" si="67"/>
        <v>3513143.4128833963</v>
      </c>
      <c r="P541" s="2496">
        <f t="shared" si="67"/>
        <v>3489706.3190254546</v>
      </c>
      <c r="Q541" s="2496">
        <f t="shared" si="67"/>
        <v>3465325.8673014352</v>
      </c>
      <c r="R541" s="2496">
        <f t="shared" si="67"/>
        <v>3445938.1498669139</v>
      </c>
      <c r="S541" s="2496">
        <f t="shared" si="67"/>
        <v>3430501.282113546</v>
      </c>
      <c r="T541" s="2496">
        <f t="shared" si="67"/>
        <v>3418197.7485195394</v>
      </c>
      <c r="U541" s="2496">
        <f t="shared" si="67"/>
        <v>3408383.632853006</v>
      </c>
      <c r="V541" s="2496">
        <f t="shared" si="67"/>
        <v>3400550.1828705091</v>
      </c>
      <c r="W541" s="2496">
        <f t="shared" si="67"/>
        <v>3394294.4309965475</v>
      </c>
      <c r="X541" s="2496">
        <f t="shared" si="67"/>
        <v>3389296.5531460689</v>
      </c>
      <c r="Y541" s="2496">
        <f t="shared" si="67"/>
        <v>3385302.3003300438</v>
      </c>
      <c r="Z541" s="2496">
        <f t="shared" si="67"/>
        <v>3382109.2884913376</v>
      </c>
      <c r="AA541" s="2496">
        <f t="shared" si="67"/>
        <v>3379556.2486715382</v>
      </c>
      <c r="AB541" s="2496">
        <f t="shared" si="67"/>
        <v>3377514.5655630766</v>
      </c>
      <c r="AC541" s="2496">
        <f t="shared" si="67"/>
        <v>3375881.5961468187</v>
      </c>
      <c r="AD541" s="2496">
        <f t="shared" si="67"/>
        <v>3374575.3802792388</v>
      </c>
      <c r="AE541" s="2496">
        <f t="shared" si="67"/>
        <v>3373530.4444463397</v>
      </c>
      <c r="AF541" s="2496">
        <f t="shared" si="67"/>
        <v>3372694.4670998128</v>
      </c>
      <c r="AG541" s="2496">
        <f t="shared" si="67"/>
        <v>3372025.6250348729</v>
      </c>
      <c r="AH541" s="2496">
        <f t="shared" si="67"/>
        <v>3371490.4793822798</v>
      </c>
      <c r="AI541" s="2496">
        <f t="shared" si="67"/>
        <v>3371062.2899830062</v>
      </c>
      <c r="AJ541" s="2496">
        <f t="shared" si="67"/>
        <v>3370719.6703747408</v>
      </c>
      <c r="AK541" s="2496">
        <f t="shared" si="67"/>
        <v>3370445.5139455027</v>
      </c>
      <c r="AL541" s="2496">
        <f t="shared" si="67"/>
        <v>3370226.136188142</v>
      </c>
      <c r="AM541" s="2496">
        <f t="shared" si="67"/>
        <v>3370050.5893137045</v>
      </c>
      <c r="AN541" s="2496">
        <f t="shared" si="67"/>
        <v>3369910.1144262035</v>
      </c>
      <c r="AO541" s="2496">
        <f t="shared" si="67"/>
        <v>3369797.7035450968</v>
      </c>
      <c r="AP541" s="2496">
        <f t="shared" si="67"/>
        <v>3369707.7493823078</v>
      </c>
      <c r="AQ541" s="2496">
        <f t="shared" si="67"/>
        <v>3369635.7652482418</v>
      </c>
      <c r="AR541" s="2496">
        <f t="shared" si="67"/>
        <v>3369578.1610166417</v>
      </c>
      <c r="AS541" s="2496">
        <f t="shared" si="67"/>
        <v>3369532.0639108317</v>
      </c>
    </row>
    <row r="542" spans="1:45" s="2490" customFormat="1" x14ac:dyDescent="0.2">
      <c r="B542" s="2488"/>
      <c r="C542" s="2495" t="s">
        <v>1370</v>
      </c>
      <c r="D542" s="2493" t="s">
        <v>1543</v>
      </c>
      <c r="G542" s="2496">
        <f t="shared" si="67"/>
        <v>7806047.9369841227</v>
      </c>
      <c r="H542" s="2496">
        <f t="shared" si="67"/>
        <v>7780436.173383561</v>
      </c>
      <c r="I542" s="2496">
        <f t="shared" si="67"/>
        <v>7801278.7270109951</v>
      </c>
      <c r="J542" s="2496">
        <f t="shared" si="67"/>
        <v>7798996.2142603006</v>
      </c>
      <c r="K542" s="2496">
        <f t="shared" si="67"/>
        <v>7781418.88048511</v>
      </c>
      <c r="L542" s="2496">
        <f t="shared" si="67"/>
        <v>7747422.0250578849</v>
      </c>
      <c r="M542" s="2496">
        <f t="shared" si="67"/>
        <v>7691921.9752194621</v>
      </c>
      <c r="N542" s="2496">
        <f t="shared" si="67"/>
        <v>7638674.5142471734</v>
      </c>
      <c r="O542" s="2496">
        <f t="shared" si="67"/>
        <v>7587651.5396442013</v>
      </c>
      <c r="P542" s="2496">
        <f t="shared" si="67"/>
        <v>7537032.3418500405</v>
      </c>
      <c r="Q542" s="2496">
        <f t="shared" si="67"/>
        <v>7484375.6892970651</v>
      </c>
      <c r="R542" s="2496">
        <f t="shared" si="67"/>
        <v>7442502.2936643222</v>
      </c>
      <c r="S542" s="2496">
        <f t="shared" si="67"/>
        <v>7409161.9031335544</v>
      </c>
      <c r="T542" s="2496">
        <f t="shared" si="67"/>
        <v>7382588.8559658015</v>
      </c>
      <c r="U542" s="2496">
        <f t="shared" si="67"/>
        <v>7361392.4284091201</v>
      </c>
      <c r="V542" s="2496">
        <f t="shared" si="67"/>
        <v>7344473.8225240195</v>
      </c>
      <c r="W542" s="2496">
        <f t="shared" si="67"/>
        <v>7330962.7130247494</v>
      </c>
      <c r="X542" s="2496">
        <f t="shared" si="67"/>
        <v>7320168.347093639</v>
      </c>
      <c r="Y542" s="2496">
        <f t="shared" si="67"/>
        <v>7311541.6003408302</v>
      </c>
      <c r="Z542" s="2496">
        <f t="shared" si="67"/>
        <v>7304645.3657307625</v>
      </c>
      <c r="AA542" s="2496">
        <f t="shared" si="67"/>
        <v>7299131.3362014154</v>
      </c>
      <c r="AB542" s="2496">
        <f t="shared" si="67"/>
        <v>7294721.7297149338</v>
      </c>
      <c r="AC542" s="2496">
        <f t="shared" si="67"/>
        <v>7291194.8589188186</v>
      </c>
      <c r="AD542" s="2496">
        <f t="shared" si="67"/>
        <v>7288373.7071256982</v>
      </c>
      <c r="AE542" s="2496">
        <f t="shared" si="67"/>
        <v>7286116.8653035685</v>
      </c>
      <c r="AF542" s="2496">
        <f t="shared" si="67"/>
        <v>7284311.329902648</v>
      </c>
      <c r="AG542" s="2496">
        <f t="shared" si="67"/>
        <v>7282866.7715890827</v>
      </c>
      <c r="AH542" s="2496">
        <f t="shared" si="67"/>
        <v>7281710.9694319777</v>
      </c>
      <c r="AI542" s="2496">
        <f t="shared" si="67"/>
        <v>7280786.1703068577</v>
      </c>
      <c r="AJ542" s="2496">
        <f t="shared" si="67"/>
        <v>7280046.1839491613</v>
      </c>
      <c r="AK542" s="2496">
        <f t="shared" si="67"/>
        <v>7279454.0636716951</v>
      </c>
      <c r="AL542" s="2496">
        <f t="shared" si="67"/>
        <v>7278980.2538146023</v>
      </c>
      <c r="AM542" s="2496">
        <f t="shared" si="67"/>
        <v>7278601.10945425</v>
      </c>
      <c r="AN542" s="2496">
        <f t="shared" si="67"/>
        <v>7278297.7132158512</v>
      </c>
      <c r="AO542" s="2496">
        <f t="shared" si="67"/>
        <v>7278054.9293340491</v>
      </c>
      <c r="AP542" s="2496">
        <f t="shared" si="67"/>
        <v>7277860.6472448856</v>
      </c>
      <c r="AQ542" s="2496">
        <f t="shared" si="67"/>
        <v>7277705.1766416449</v>
      </c>
      <c r="AR542" s="2496">
        <f t="shared" si="67"/>
        <v>7277580.7636060184</v>
      </c>
      <c r="AS542" s="2496">
        <f t="shared" si="67"/>
        <v>7277481.203544056</v>
      </c>
    </row>
    <row r="543" spans="1:45" s="2490" customFormat="1" x14ac:dyDescent="0.2">
      <c r="B543" s="2488"/>
      <c r="C543" s="2495" t="s">
        <v>1371</v>
      </c>
      <c r="D543" s="2493" t="s">
        <v>1543</v>
      </c>
      <c r="G543" s="2496">
        <f t="shared" si="67"/>
        <v>1927530.9307806762</v>
      </c>
      <c r="H543" s="2496">
        <f t="shared" si="67"/>
        <v>1921206.67208659</v>
      </c>
      <c r="I543" s="2496">
        <f t="shared" si="67"/>
        <v>1926353.2798345378</v>
      </c>
      <c r="J543" s="2496">
        <f t="shared" si="67"/>
        <v>1925789.6637816539</v>
      </c>
      <c r="K543" s="2496">
        <f t="shared" si="67"/>
        <v>1921449.3298757079</v>
      </c>
      <c r="L543" s="2496">
        <f t="shared" si="67"/>
        <v>1913054.5581660976</v>
      </c>
      <c r="M543" s="2496">
        <f t="shared" si="67"/>
        <v>1899350.0480750713</v>
      </c>
      <c r="N543" s="2496">
        <f t="shared" si="67"/>
        <v>1886201.7649953144</v>
      </c>
      <c r="O543" s="2496">
        <f t="shared" si="67"/>
        <v>1873602.7696366382</v>
      </c>
      <c r="P543" s="2496">
        <f t="shared" si="67"/>
        <v>1861103.4780325892</v>
      </c>
      <c r="Q543" s="2496">
        <f t="shared" si="67"/>
        <v>1848101.0820280309</v>
      </c>
      <c r="R543" s="2496">
        <f t="shared" si="67"/>
        <v>1837761.3728806498</v>
      </c>
      <c r="S543" s="2496">
        <f t="shared" si="67"/>
        <v>1829528.7006614744</v>
      </c>
      <c r="T543" s="2496">
        <f t="shared" si="67"/>
        <v>1822967.0742463637</v>
      </c>
      <c r="U543" s="2496">
        <f t="shared" si="67"/>
        <v>1817733.0851564449</v>
      </c>
      <c r="V543" s="2496">
        <f t="shared" si="67"/>
        <v>1813555.4095371715</v>
      </c>
      <c r="W543" s="2496">
        <f t="shared" si="67"/>
        <v>1810219.1398038513</v>
      </c>
      <c r="X543" s="2496">
        <f t="shared" si="67"/>
        <v>1807553.7098220801</v>
      </c>
      <c r="Y543" s="2496">
        <f t="shared" si="67"/>
        <v>1805423.525466016</v>
      </c>
      <c r="Z543" s="2496">
        <f t="shared" si="67"/>
        <v>1803720.6528185336</v>
      </c>
      <c r="AA543" s="2496">
        <f t="shared" si="67"/>
        <v>1802359.0851524293</v>
      </c>
      <c r="AB543" s="2496">
        <f t="shared" si="67"/>
        <v>1801270.2303357697</v>
      </c>
      <c r="AC543" s="2496">
        <f t="shared" si="67"/>
        <v>1800399.3475788026</v>
      </c>
      <c r="AD543" s="2496">
        <f t="shared" si="67"/>
        <v>1799702.7265247726</v>
      </c>
      <c r="AE543" s="2496">
        <f t="shared" si="67"/>
        <v>1799145.4493400631</v>
      </c>
      <c r="AF543" s="2496">
        <f t="shared" si="67"/>
        <v>1798699.6122967871</v>
      </c>
      <c r="AG543" s="2496">
        <f t="shared" si="67"/>
        <v>1798342.9105633118</v>
      </c>
      <c r="AH543" s="2496">
        <f t="shared" si="67"/>
        <v>1798057.5107777009</v>
      </c>
      <c r="AI543" s="2496">
        <f t="shared" si="67"/>
        <v>1797829.1520829019</v>
      </c>
      <c r="AJ543" s="2496">
        <f t="shared" si="67"/>
        <v>1797646.4288144403</v>
      </c>
      <c r="AK543" s="2496">
        <f t="shared" si="67"/>
        <v>1797500.2178048778</v>
      </c>
      <c r="AL543" s="2496">
        <f t="shared" si="67"/>
        <v>1797383.2209375477</v>
      </c>
      <c r="AM543" s="2496">
        <f t="shared" si="67"/>
        <v>1797289.5996213953</v>
      </c>
      <c r="AN543" s="2496">
        <f t="shared" si="67"/>
        <v>1797214.6826290172</v>
      </c>
      <c r="AO543" s="2496">
        <f t="shared" si="67"/>
        <v>1797154.7325178413</v>
      </c>
      <c r="AP543" s="2496">
        <f t="shared" si="67"/>
        <v>1797106.758851886</v>
      </c>
      <c r="AQ543" s="2496">
        <f t="shared" si="67"/>
        <v>1797068.3688241802</v>
      </c>
      <c r="AR543" s="2496">
        <f t="shared" si="67"/>
        <v>1797037.6477760519</v>
      </c>
      <c r="AS543" s="2496">
        <f t="shared" si="67"/>
        <v>1797013.0636202216</v>
      </c>
    </row>
    <row r="544" spans="1:45" s="2490" customFormat="1" x14ac:dyDescent="0.2">
      <c r="B544" s="2488"/>
      <c r="C544" s="2489" t="s">
        <v>1372</v>
      </c>
      <c r="D544" s="2493" t="s">
        <v>1543</v>
      </c>
      <c r="G544" s="2496">
        <f t="shared" si="67"/>
        <v>96356.559957901176</v>
      </c>
      <c r="H544" s="2496">
        <f t="shared" si="67"/>
        <v>96040.412599477655</v>
      </c>
      <c r="I544" s="2496">
        <f t="shared" si="67"/>
        <v>96297.689621664787</v>
      </c>
      <c r="J544" s="2496">
        <f t="shared" si="67"/>
        <v>96269.514663159236</v>
      </c>
      <c r="K544" s="2496">
        <f t="shared" si="67"/>
        <v>96052.542972813273</v>
      </c>
      <c r="L544" s="2496">
        <f t="shared" si="67"/>
        <v>95632.891432776858</v>
      </c>
      <c r="M544" s="2496">
        <f t="shared" si="67"/>
        <v>94947.808030382483</v>
      </c>
      <c r="N544" s="2496">
        <f t="shared" si="67"/>
        <v>94290.530211029953</v>
      </c>
      <c r="O544" s="2496">
        <f t="shared" si="67"/>
        <v>93660.711082163427</v>
      </c>
      <c r="P544" s="2496">
        <f t="shared" si="67"/>
        <v>93035.876107199321</v>
      </c>
      <c r="Q544" s="2496">
        <f t="shared" si="67"/>
        <v>92385.891128902687</v>
      </c>
      <c r="R544" s="2496">
        <f t="shared" si="67"/>
        <v>91869.012884047028</v>
      </c>
      <c r="S544" s="2496">
        <f t="shared" si="67"/>
        <v>91457.464637721656</v>
      </c>
      <c r="T544" s="2496">
        <f t="shared" si="67"/>
        <v>91129.451354514356</v>
      </c>
      <c r="U544" s="2496">
        <f t="shared" si="67"/>
        <v>90867.806171286356</v>
      </c>
      <c r="V544" s="2496">
        <f t="shared" si="67"/>
        <v>90658.965708669159</v>
      </c>
      <c r="W544" s="2496">
        <f t="shared" si="67"/>
        <v>90492.186815806373</v>
      </c>
      <c r="X544" s="2496">
        <f t="shared" si="67"/>
        <v>90358.942954579165</v>
      </c>
      <c r="Y544" s="2496">
        <f t="shared" si="67"/>
        <v>90252.455824671808</v>
      </c>
      <c r="Z544" s="2496">
        <f t="shared" si="67"/>
        <v>90167.329849395566</v>
      </c>
      <c r="AA544" s="2496">
        <f t="shared" si="67"/>
        <v>90099.265584194596</v>
      </c>
      <c r="AB544" s="2496">
        <f t="shared" si="67"/>
        <v>90044.834133704499</v>
      </c>
      <c r="AC544" s="2496">
        <f t="shared" si="67"/>
        <v>90001.299026045293</v>
      </c>
      <c r="AD544" s="2496">
        <f t="shared" si="67"/>
        <v>89966.475196612184</v>
      </c>
      <c r="AE544" s="2496">
        <f t="shared" si="67"/>
        <v>89938.617115787565</v>
      </c>
      <c r="AF544" s="2496">
        <f t="shared" si="67"/>
        <v>89916.329886511041</v>
      </c>
      <c r="AG544" s="2496">
        <f t="shared" si="67"/>
        <v>89898.498498479952</v>
      </c>
      <c r="AH544" s="2496">
        <f t="shared" si="67"/>
        <v>89884.231468511687</v>
      </c>
      <c r="AI544" s="2496">
        <f t="shared" si="67"/>
        <v>89872.815901624592</v>
      </c>
      <c r="AJ544" s="2496">
        <f t="shared" si="67"/>
        <v>89863.681632860287</v>
      </c>
      <c r="AK544" s="2496">
        <f t="shared" si="67"/>
        <v>89856.372598445101</v>
      </c>
      <c r="AL544" s="2496">
        <f t="shared" si="67"/>
        <v>89850.523968219888</v>
      </c>
      <c r="AM544" s="2496">
        <f t="shared" si="67"/>
        <v>89845.843873172329</v>
      </c>
      <c r="AN544" s="2496">
        <f t="shared" si="67"/>
        <v>89842.098800368214</v>
      </c>
      <c r="AO544" s="2496">
        <f t="shared" si="67"/>
        <v>89839.101916432541</v>
      </c>
      <c r="AP544" s="2496">
        <f t="shared" si="67"/>
        <v>89836.703730574023</v>
      </c>
      <c r="AQ544" s="2496">
        <f t="shared" si="67"/>
        <v>89834.784627255183</v>
      </c>
      <c r="AR544" s="2496">
        <f t="shared" si="67"/>
        <v>89833.248893395546</v>
      </c>
      <c r="AS544" s="2496">
        <f t="shared" si="67"/>
        <v>89832.01994051729</v>
      </c>
    </row>
    <row r="545" spans="2:45" s="2490" customFormat="1" x14ac:dyDescent="0.2">
      <c r="B545" s="2488"/>
      <c r="C545" s="2489" t="s">
        <v>1373</v>
      </c>
      <c r="D545" s="2493" t="s">
        <v>1543</v>
      </c>
      <c r="G545" s="2496">
        <f t="shared" si="67"/>
        <v>427905.45519169339</v>
      </c>
      <c r="H545" s="2496">
        <f t="shared" si="67"/>
        <v>427904.93248321814</v>
      </c>
      <c r="I545" s="2496">
        <f t="shared" si="67"/>
        <v>427904.40977474296</v>
      </c>
      <c r="J545" s="2496">
        <f t="shared" si="67"/>
        <v>427903.88706626778</v>
      </c>
      <c r="K545" s="2496">
        <f t="shared" si="67"/>
        <v>427903.36435779254</v>
      </c>
      <c r="L545" s="2496">
        <f t="shared" si="67"/>
        <v>427902.8416493173</v>
      </c>
      <c r="M545" s="2496">
        <f t="shared" si="67"/>
        <v>427902.31894084217</v>
      </c>
      <c r="N545" s="2496">
        <f t="shared" si="67"/>
        <v>427901.79623236699</v>
      </c>
      <c r="O545" s="2496">
        <f t="shared" si="67"/>
        <v>427901.27352389175</v>
      </c>
      <c r="P545" s="2496">
        <f t="shared" si="67"/>
        <v>427900.75081541651</v>
      </c>
      <c r="Q545" s="2496">
        <f t="shared" si="67"/>
        <v>427900.22810694133</v>
      </c>
      <c r="R545" s="2496">
        <f t="shared" si="67"/>
        <v>427899.70539846615</v>
      </c>
      <c r="S545" s="2496">
        <f t="shared" si="67"/>
        <v>427899.18268999102</v>
      </c>
      <c r="T545" s="2496">
        <f t="shared" si="67"/>
        <v>427898.65998151578</v>
      </c>
      <c r="U545" s="2496">
        <f t="shared" si="67"/>
        <v>427898.13727304054</v>
      </c>
      <c r="V545" s="2496">
        <f t="shared" si="67"/>
        <v>427897.61456456536</v>
      </c>
      <c r="W545" s="2496">
        <f t="shared" si="67"/>
        <v>427897.09185609018</v>
      </c>
      <c r="X545" s="2496">
        <f t="shared" si="67"/>
        <v>427896.56914761494</v>
      </c>
      <c r="Y545" s="2496">
        <f t="shared" si="67"/>
        <v>427896.0464391397</v>
      </c>
      <c r="Z545" s="2496">
        <f t="shared" si="67"/>
        <v>427895.52373066457</v>
      </c>
      <c r="AA545" s="2496">
        <f t="shared" si="67"/>
        <v>427895.00102218939</v>
      </c>
      <c r="AB545" s="2496">
        <f t="shared" ref="AB545:AS545" si="68">AB81*AB238/1000</f>
        <v>427894.47831371421</v>
      </c>
      <c r="AC545" s="2496">
        <f t="shared" si="68"/>
        <v>427893.95560523891</v>
      </c>
      <c r="AD545" s="2496">
        <f t="shared" si="68"/>
        <v>427893.43289676373</v>
      </c>
      <c r="AE545" s="2496">
        <f t="shared" si="68"/>
        <v>427892.91018828854</v>
      </c>
      <c r="AF545" s="2496">
        <f t="shared" si="68"/>
        <v>427892.38747981342</v>
      </c>
      <c r="AG545" s="2496">
        <f t="shared" si="68"/>
        <v>427891.86477133818</v>
      </c>
      <c r="AH545" s="2496">
        <f t="shared" si="68"/>
        <v>427891.34206286294</v>
      </c>
      <c r="AI545" s="2496">
        <f t="shared" si="68"/>
        <v>427890.81935438776</v>
      </c>
      <c r="AJ545" s="2496">
        <f t="shared" si="68"/>
        <v>427890.29664591257</v>
      </c>
      <c r="AK545" s="2496">
        <f t="shared" si="68"/>
        <v>427889.77393743733</v>
      </c>
      <c r="AL545" s="2496">
        <f t="shared" si="68"/>
        <v>427889.25122896215</v>
      </c>
      <c r="AM545" s="2496">
        <f t="shared" si="68"/>
        <v>427888.72852048697</v>
      </c>
      <c r="AN545" s="2496">
        <f t="shared" si="68"/>
        <v>427888.20581201179</v>
      </c>
      <c r="AO545" s="2496">
        <f t="shared" si="68"/>
        <v>427887.68310353655</v>
      </c>
      <c r="AP545" s="2496">
        <f t="shared" si="68"/>
        <v>427887.16039506131</v>
      </c>
      <c r="AQ545" s="2496">
        <f t="shared" si="68"/>
        <v>427886.63768658612</v>
      </c>
      <c r="AR545" s="2496">
        <f t="shared" si="68"/>
        <v>427886.11497811094</v>
      </c>
      <c r="AS545" s="2496">
        <f t="shared" si="68"/>
        <v>427885.59226963582</v>
      </c>
    </row>
    <row r="546" spans="2:45" s="2490" customFormat="1" x14ac:dyDescent="0.2">
      <c r="B546" s="2488"/>
      <c r="C546" s="2489" t="s">
        <v>1374</v>
      </c>
      <c r="D546" s="2493" t="s">
        <v>1543</v>
      </c>
      <c r="G546" s="2496">
        <f t="shared" ref="G546:AS549" si="69">G82*G239/1000</f>
        <v>23535.487941859614</v>
      </c>
      <c r="H546" s="2496">
        <f t="shared" si="69"/>
        <v>23535.201089647613</v>
      </c>
      <c r="I546" s="2496">
        <f t="shared" si="69"/>
        <v>23534.914237435612</v>
      </c>
      <c r="J546" s="2496">
        <f t="shared" si="69"/>
        <v>23534.627385223615</v>
      </c>
      <c r="K546" s="2496">
        <f t="shared" si="69"/>
        <v>23534.340533011615</v>
      </c>
      <c r="L546" s="2496">
        <f t="shared" si="69"/>
        <v>23534.053680799614</v>
      </c>
      <c r="M546" s="2496">
        <f t="shared" si="69"/>
        <v>23533.766828587613</v>
      </c>
      <c r="N546" s="2496">
        <f t="shared" si="69"/>
        <v>23533.479976375613</v>
      </c>
      <c r="O546" s="2496">
        <f t="shared" si="69"/>
        <v>23533.193124163612</v>
      </c>
      <c r="P546" s="2496">
        <f t="shared" si="69"/>
        <v>23532.906271951611</v>
      </c>
      <c r="Q546" s="2496">
        <f t="shared" si="69"/>
        <v>23532.619419739611</v>
      </c>
      <c r="R546" s="2496">
        <f t="shared" si="69"/>
        <v>23532.33256752761</v>
      </c>
      <c r="S546" s="2496">
        <f t="shared" si="69"/>
        <v>23532.045715315613</v>
      </c>
      <c r="T546" s="2496">
        <f t="shared" si="69"/>
        <v>23531.758863103612</v>
      </c>
      <c r="U546" s="2496">
        <f t="shared" si="69"/>
        <v>23531.472010891612</v>
      </c>
      <c r="V546" s="2496">
        <f t="shared" si="69"/>
        <v>23531.185158679611</v>
      </c>
      <c r="W546" s="2496">
        <f t="shared" si="69"/>
        <v>23530.89830646761</v>
      </c>
      <c r="X546" s="2496">
        <f t="shared" si="69"/>
        <v>23530.611454255613</v>
      </c>
      <c r="Y546" s="2496">
        <f t="shared" si="69"/>
        <v>23530.324602043613</v>
      </c>
      <c r="Z546" s="2496">
        <f t="shared" si="69"/>
        <v>23530.037749831612</v>
      </c>
      <c r="AA546" s="2496">
        <f t="shared" si="69"/>
        <v>23529.750897619611</v>
      </c>
      <c r="AB546" s="2496">
        <f t="shared" si="69"/>
        <v>23529.464045407611</v>
      </c>
      <c r="AC546" s="2496">
        <f t="shared" si="69"/>
        <v>23529.177193195614</v>
      </c>
      <c r="AD546" s="2496">
        <f t="shared" si="69"/>
        <v>23528.890340983613</v>
      </c>
      <c r="AE546" s="2496">
        <f t="shared" si="69"/>
        <v>23528.603488771612</v>
      </c>
      <c r="AF546" s="2496">
        <f t="shared" si="69"/>
        <v>23528.316636559612</v>
      </c>
      <c r="AG546" s="2496">
        <f t="shared" si="69"/>
        <v>23528.029784347611</v>
      </c>
      <c r="AH546" s="2496">
        <f t="shared" si="69"/>
        <v>23527.742932135614</v>
      </c>
      <c r="AI546" s="2496">
        <f t="shared" si="69"/>
        <v>23527.456079923613</v>
      </c>
      <c r="AJ546" s="2496">
        <f t="shared" si="69"/>
        <v>23527.169227711613</v>
      </c>
      <c r="AK546" s="2496">
        <f t="shared" si="69"/>
        <v>23526.882375499612</v>
      </c>
      <c r="AL546" s="2496">
        <f t="shared" si="69"/>
        <v>23526.595523287611</v>
      </c>
      <c r="AM546" s="2496">
        <f t="shared" si="69"/>
        <v>23526.308671075614</v>
      </c>
      <c r="AN546" s="2496">
        <f t="shared" si="69"/>
        <v>23526.021818863614</v>
      </c>
      <c r="AO546" s="2496">
        <f t="shared" si="69"/>
        <v>23525.734966651617</v>
      </c>
      <c r="AP546" s="2496">
        <f t="shared" si="69"/>
        <v>23525.448114439616</v>
      </c>
      <c r="AQ546" s="2496">
        <f t="shared" si="69"/>
        <v>23525.161262227615</v>
      </c>
      <c r="AR546" s="2496">
        <f t="shared" si="69"/>
        <v>23524.874410015615</v>
      </c>
      <c r="AS546" s="2496">
        <f t="shared" si="69"/>
        <v>23524.587557803614</v>
      </c>
    </row>
    <row r="547" spans="2:45" s="2490" customFormat="1" x14ac:dyDescent="0.2">
      <c r="B547" s="2488"/>
      <c r="C547" s="2489" t="s">
        <v>1375</v>
      </c>
      <c r="D547" s="2493" t="s">
        <v>1543</v>
      </c>
      <c r="G547" s="2496">
        <f t="shared" si="69"/>
        <v>106251.01439999997</v>
      </c>
      <c r="H547" s="2496">
        <f t="shared" si="69"/>
        <v>106251.01439999997</v>
      </c>
      <c r="I547" s="2496">
        <f t="shared" si="69"/>
        <v>106251.01439999997</v>
      </c>
      <c r="J547" s="2496">
        <f t="shared" si="69"/>
        <v>106251.01439999997</v>
      </c>
      <c r="K547" s="2496">
        <f t="shared" si="69"/>
        <v>106251.01439999997</v>
      </c>
      <c r="L547" s="2496">
        <f t="shared" si="69"/>
        <v>106251.01439999997</v>
      </c>
      <c r="M547" s="2496">
        <f t="shared" si="69"/>
        <v>106251.01439999997</v>
      </c>
      <c r="N547" s="2496">
        <f t="shared" si="69"/>
        <v>106251.01439999997</v>
      </c>
      <c r="O547" s="2496">
        <f t="shared" si="69"/>
        <v>106251.01439999997</v>
      </c>
      <c r="P547" s="2496">
        <f t="shared" si="69"/>
        <v>106251.01439999997</v>
      </c>
      <c r="Q547" s="2496">
        <f t="shared" si="69"/>
        <v>106251.01439999997</v>
      </c>
      <c r="R547" s="2496">
        <f t="shared" si="69"/>
        <v>106251.01439999997</v>
      </c>
      <c r="S547" s="2496">
        <f t="shared" si="69"/>
        <v>106251.01439999997</v>
      </c>
      <c r="T547" s="2496">
        <f t="shared" si="69"/>
        <v>106251.01439999997</v>
      </c>
      <c r="U547" s="2496">
        <f t="shared" si="69"/>
        <v>106251.01439999997</v>
      </c>
      <c r="V547" s="2496">
        <f t="shared" si="69"/>
        <v>106251.01439999997</v>
      </c>
      <c r="W547" s="2496">
        <f t="shared" si="69"/>
        <v>106251.01439999997</v>
      </c>
      <c r="X547" s="2496">
        <f t="shared" si="69"/>
        <v>106251.01439999997</v>
      </c>
      <c r="Y547" s="2496">
        <f t="shared" si="69"/>
        <v>106251.01439999997</v>
      </c>
      <c r="Z547" s="2496">
        <f t="shared" si="69"/>
        <v>106251.01439999997</v>
      </c>
      <c r="AA547" s="2496">
        <f t="shared" si="69"/>
        <v>106251.01439999997</v>
      </c>
      <c r="AB547" s="2496">
        <f t="shared" si="69"/>
        <v>106251.01439999997</v>
      </c>
      <c r="AC547" s="2496">
        <f t="shared" si="69"/>
        <v>106251.01439999997</v>
      </c>
      <c r="AD547" s="2496">
        <f t="shared" si="69"/>
        <v>106251.01439999997</v>
      </c>
      <c r="AE547" s="2496">
        <f t="shared" si="69"/>
        <v>106251.01439999997</v>
      </c>
      <c r="AF547" s="2496">
        <f t="shared" si="69"/>
        <v>106251.01439999997</v>
      </c>
      <c r="AG547" s="2496">
        <f t="shared" si="69"/>
        <v>106251.01439999997</v>
      </c>
      <c r="AH547" s="2496">
        <f t="shared" si="69"/>
        <v>106251.01439999997</v>
      </c>
      <c r="AI547" s="2496">
        <f t="shared" si="69"/>
        <v>106251.01439999997</v>
      </c>
      <c r="AJ547" s="2496">
        <f t="shared" si="69"/>
        <v>106251.01439999997</v>
      </c>
      <c r="AK547" s="2496">
        <f t="shared" si="69"/>
        <v>106251.01439999997</v>
      </c>
      <c r="AL547" s="2496">
        <f t="shared" si="69"/>
        <v>106251.01439999997</v>
      </c>
      <c r="AM547" s="2496">
        <f t="shared" si="69"/>
        <v>106251.01439999997</v>
      </c>
      <c r="AN547" s="2496">
        <f t="shared" si="69"/>
        <v>106251.01439999997</v>
      </c>
      <c r="AO547" s="2496">
        <f t="shared" si="69"/>
        <v>106251.01439999997</v>
      </c>
      <c r="AP547" s="2496">
        <f t="shared" si="69"/>
        <v>106251.01439999997</v>
      </c>
      <c r="AQ547" s="2496">
        <f t="shared" si="69"/>
        <v>106251.01439999997</v>
      </c>
      <c r="AR547" s="2496">
        <f t="shared" si="69"/>
        <v>106251.01439999997</v>
      </c>
      <c r="AS547" s="2496">
        <f t="shared" si="69"/>
        <v>106251.01439999997</v>
      </c>
    </row>
    <row r="548" spans="2:45" s="2490" customFormat="1" x14ac:dyDescent="0.2">
      <c r="B548" s="2488"/>
      <c r="C548" s="2489" t="s">
        <v>1376</v>
      </c>
      <c r="D548" s="2493" t="s">
        <v>1543</v>
      </c>
      <c r="G548" s="2496">
        <f t="shared" si="69"/>
        <v>520508.10209696001</v>
      </c>
      <c r="H548" s="2496">
        <f t="shared" si="69"/>
        <v>518800.30699107511</v>
      </c>
      <c r="I548" s="2496">
        <f t="shared" si="69"/>
        <v>520190.09067150444</v>
      </c>
      <c r="J548" s="2496">
        <f t="shared" si="69"/>
        <v>520037.8924798629</v>
      </c>
      <c r="K548" s="2496">
        <f t="shared" si="69"/>
        <v>518865.83400454908</v>
      </c>
      <c r="L548" s="2496">
        <f t="shared" si="69"/>
        <v>516598.92008875689</v>
      </c>
      <c r="M548" s="2496">
        <f t="shared" si="69"/>
        <v>512898.1708951969</v>
      </c>
      <c r="N548" s="2496">
        <f t="shared" si="69"/>
        <v>509347.62456549093</v>
      </c>
      <c r="O548" s="2496">
        <f t="shared" si="69"/>
        <v>505945.40722217871</v>
      </c>
      <c r="P548" s="2496">
        <f t="shared" si="69"/>
        <v>502570.11375918606</v>
      </c>
      <c r="Q548" s="2496">
        <f t="shared" si="69"/>
        <v>499058.96259737067</v>
      </c>
      <c r="R548" s="2496">
        <f t="shared" si="69"/>
        <v>496266.84014755965</v>
      </c>
      <c r="S548" s="2496">
        <f t="shared" si="69"/>
        <v>494043.69938049879</v>
      </c>
      <c r="T548" s="2496">
        <f t="shared" si="69"/>
        <v>492271.80578467698</v>
      </c>
      <c r="U548" s="2496">
        <f t="shared" si="69"/>
        <v>490858.42575321556</v>
      </c>
      <c r="V548" s="2496">
        <f t="shared" si="69"/>
        <v>489730.29132328747</v>
      </c>
      <c r="W548" s="2496">
        <f t="shared" si="69"/>
        <v>488829.36911278346</v>
      </c>
      <c r="X548" s="2496">
        <f t="shared" si="69"/>
        <v>488109.59965075873</v>
      </c>
      <c r="Y548" s="2496">
        <f t="shared" si="69"/>
        <v>487534.36726481584</v>
      </c>
      <c r="Z548" s="2496">
        <f t="shared" si="69"/>
        <v>487074.52561159013</v>
      </c>
      <c r="AA548" s="2496">
        <f t="shared" si="69"/>
        <v>486706.84953934496</v>
      </c>
      <c r="AB548" s="2496">
        <f t="shared" si="69"/>
        <v>486412.81651241495</v>
      </c>
      <c r="AC548" s="2496">
        <f t="shared" si="69"/>
        <v>486177.64439468691</v>
      </c>
      <c r="AD548" s="2496">
        <f t="shared" si="69"/>
        <v>485989.52969472361</v>
      </c>
      <c r="AE548" s="2496">
        <f t="shared" si="69"/>
        <v>485839.04324331414</v>
      </c>
      <c r="AF548" s="2496">
        <f t="shared" si="69"/>
        <v>485718.64995180618</v>
      </c>
      <c r="AG548" s="2496">
        <f t="shared" si="69"/>
        <v>485622.32665066427</v>
      </c>
      <c r="AH548" s="2496">
        <f t="shared" si="69"/>
        <v>485545.25764057739</v>
      </c>
      <c r="AI548" s="2496">
        <f t="shared" si="69"/>
        <v>485483.59193709679</v>
      </c>
      <c r="AJ548" s="2496">
        <f t="shared" si="69"/>
        <v>485434.24956849607</v>
      </c>
      <c r="AK548" s="2496">
        <f t="shared" si="69"/>
        <v>485394.76692576503</v>
      </c>
      <c r="AL548" s="2496">
        <f t="shared" si="69"/>
        <v>485363.1732343784</v>
      </c>
      <c r="AM548" s="2496">
        <f t="shared" si="69"/>
        <v>485337.89184832748</v>
      </c>
      <c r="AN548" s="2496">
        <f t="shared" si="69"/>
        <v>485317.66135506012</v>
      </c>
      <c r="AO548" s="2496">
        <f t="shared" si="69"/>
        <v>485301.472500142</v>
      </c>
      <c r="AP548" s="2496">
        <f t="shared" si="69"/>
        <v>485288.51774988708</v>
      </c>
      <c r="AQ548" s="2496">
        <f t="shared" si="69"/>
        <v>485278.15095361852</v>
      </c>
      <c r="AR548" s="2496">
        <f t="shared" si="69"/>
        <v>485269.85507924354</v>
      </c>
      <c r="AS548" s="2496">
        <f t="shared" si="69"/>
        <v>485263.21640378126</v>
      </c>
    </row>
    <row r="549" spans="2:45" s="2490" customFormat="1" x14ac:dyDescent="0.2">
      <c r="B549" s="2488"/>
      <c r="C549" s="2489" t="s">
        <v>1377</v>
      </c>
      <c r="D549" s="2493" t="s">
        <v>1543</v>
      </c>
      <c r="G549" s="2496">
        <f t="shared" si="69"/>
        <v>0</v>
      </c>
      <c r="H549" s="2496">
        <f t="shared" si="69"/>
        <v>0</v>
      </c>
      <c r="I549" s="2496">
        <f t="shared" si="69"/>
        <v>0</v>
      </c>
      <c r="J549" s="2496">
        <f t="shared" si="69"/>
        <v>0</v>
      </c>
      <c r="K549" s="2496">
        <f t="shared" si="69"/>
        <v>0</v>
      </c>
      <c r="L549" s="2496">
        <f t="shared" si="69"/>
        <v>0</v>
      </c>
      <c r="M549" s="2496">
        <f t="shared" si="69"/>
        <v>0</v>
      </c>
      <c r="N549" s="2496">
        <f t="shared" si="69"/>
        <v>0</v>
      </c>
      <c r="O549" s="2496">
        <f t="shared" si="69"/>
        <v>0</v>
      </c>
      <c r="P549" s="2496">
        <f t="shared" si="69"/>
        <v>0</v>
      </c>
      <c r="Q549" s="2496">
        <f t="shared" si="69"/>
        <v>0</v>
      </c>
      <c r="R549" s="2496">
        <f t="shared" si="69"/>
        <v>0</v>
      </c>
      <c r="S549" s="2496">
        <f t="shared" si="69"/>
        <v>0</v>
      </c>
      <c r="T549" s="2496">
        <f t="shared" si="69"/>
        <v>0</v>
      </c>
      <c r="U549" s="2496">
        <f t="shared" si="69"/>
        <v>0</v>
      </c>
      <c r="V549" s="2496">
        <f t="shared" si="69"/>
        <v>0</v>
      </c>
      <c r="W549" s="2496">
        <f t="shared" si="69"/>
        <v>0</v>
      </c>
      <c r="X549" s="2496">
        <f t="shared" si="69"/>
        <v>0</v>
      </c>
      <c r="Y549" s="2496">
        <f t="shared" si="69"/>
        <v>0</v>
      </c>
      <c r="Z549" s="2496">
        <f t="shared" si="69"/>
        <v>0</v>
      </c>
      <c r="AA549" s="2496">
        <f t="shared" si="69"/>
        <v>0</v>
      </c>
      <c r="AB549" s="2496">
        <f t="shared" si="69"/>
        <v>0</v>
      </c>
      <c r="AC549" s="2496">
        <f t="shared" si="69"/>
        <v>0</v>
      </c>
      <c r="AD549" s="2496">
        <f t="shared" si="69"/>
        <v>0</v>
      </c>
      <c r="AE549" s="2496">
        <f t="shared" si="69"/>
        <v>0</v>
      </c>
      <c r="AF549" s="2496">
        <f t="shared" si="69"/>
        <v>0</v>
      </c>
      <c r="AG549" s="2496">
        <f t="shared" si="69"/>
        <v>0</v>
      </c>
      <c r="AH549" s="2496">
        <f t="shared" si="69"/>
        <v>0</v>
      </c>
      <c r="AI549" s="2496">
        <f t="shared" si="69"/>
        <v>0</v>
      </c>
      <c r="AJ549" s="2496">
        <f t="shared" si="69"/>
        <v>0</v>
      </c>
      <c r="AK549" s="2496">
        <f t="shared" si="69"/>
        <v>0</v>
      </c>
      <c r="AL549" s="2496">
        <f t="shared" si="69"/>
        <v>0</v>
      </c>
      <c r="AM549" s="2496">
        <f t="shared" si="69"/>
        <v>0</v>
      </c>
      <c r="AN549" s="2496">
        <f t="shared" si="69"/>
        <v>0</v>
      </c>
      <c r="AO549" s="2496">
        <f t="shared" si="69"/>
        <v>0</v>
      </c>
      <c r="AP549" s="2496">
        <f t="shared" si="69"/>
        <v>0</v>
      </c>
      <c r="AQ549" s="2496">
        <f t="shared" si="69"/>
        <v>0</v>
      </c>
      <c r="AR549" s="2496">
        <f t="shared" si="69"/>
        <v>0</v>
      </c>
      <c r="AS549" s="2496">
        <f t="shared" si="69"/>
        <v>0</v>
      </c>
    </row>
    <row r="550" spans="2:45" s="2490" customFormat="1" x14ac:dyDescent="0.2">
      <c r="B550" s="2488"/>
      <c r="C550" s="2495" t="s">
        <v>1378</v>
      </c>
      <c r="D550" s="2493" t="s">
        <v>1543</v>
      </c>
      <c r="G550" s="2496">
        <f t="shared" ref="G550:AS550" si="70">G345*G243/1000</f>
        <v>5332421.4741242006</v>
      </c>
      <c r="H550" s="2496">
        <f t="shared" si="70"/>
        <v>5522997.9521218846</v>
      </c>
      <c r="I550" s="2496">
        <f t="shared" si="70"/>
        <v>5733114.7626899555</v>
      </c>
      <c r="J550" s="2496">
        <f t="shared" si="70"/>
        <v>5950445.037100384</v>
      </c>
      <c r="K550" s="2496">
        <f t="shared" si="70"/>
        <v>6169731.7650832413</v>
      </c>
      <c r="L550" s="2496">
        <f t="shared" si="70"/>
        <v>6388934.8146083374</v>
      </c>
      <c r="M550" s="2496">
        <f t="shared" si="70"/>
        <v>6621369.8077338645</v>
      </c>
      <c r="N550" s="2496">
        <f t="shared" si="70"/>
        <v>6862562.9073378947</v>
      </c>
      <c r="O550" s="2496">
        <f t="shared" si="70"/>
        <v>7099772.7835480664</v>
      </c>
      <c r="P550" s="2496">
        <f t="shared" si="70"/>
        <v>7338694.2141013267</v>
      </c>
      <c r="Q550" s="2496">
        <f t="shared" si="70"/>
        <v>7579497.6929051122</v>
      </c>
      <c r="R550" s="2496">
        <f t="shared" si="70"/>
        <v>7811697.5705295568</v>
      </c>
      <c r="S550" s="2496">
        <f t="shared" si="70"/>
        <v>8037663.1883087717</v>
      </c>
      <c r="T550" s="2496">
        <f t="shared" si="70"/>
        <v>8258929.5903768288</v>
      </c>
      <c r="U550" s="2496">
        <f t="shared" si="70"/>
        <v>8476459.8342909608</v>
      </c>
      <c r="V550" s="2496">
        <f t="shared" si="70"/>
        <v>8690791.7038224488</v>
      </c>
      <c r="W550" s="2496">
        <f t="shared" si="70"/>
        <v>8902231.1442531552</v>
      </c>
      <c r="X550" s="2496">
        <f t="shared" si="70"/>
        <v>9111974.2279356327</v>
      </c>
      <c r="Y550" s="2496">
        <f t="shared" si="70"/>
        <v>9320827.790583469</v>
      </c>
      <c r="Z550" s="2496">
        <f t="shared" si="70"/>
        <v>9529280.8760148212</v>
      </c>
      <c r="AA550" s="2496">
        <f t="shared" si="70"/>
        <v>9737624.6668797676</v>
      </c>
      <c r="AB550" s="2496">
        <f t="shared" si="70"/>
        <v>9945783.8368525449</v>
      </c>
      <c r="AC550" s="2496">
        <f t="shared" si="70"/>
        <v>10153878.90909072</v>
      </c>
      <c r="AD550" s="2496">
        <f t="shared" si="70"/>
        <v>10361943.75984269</v>
      </c>
      <c r="AE550" s="2496">
        <f t="shared" si="70"/>
        <v>10569951.721872959</v>
      </c>
      <c r="AF550" s="2496">
        <f t="shared" si="70"/>
        <v>10777861.180411072</v>
      </c>
      <c r="AG550" s="2496">
        <f t="shared" si="70"/>
        <v>10985565.230644884</v>
      </c>
      <c r="AH550" s="2496">
        <f t="shared" si="70"/>
        <v>11192937.967128543</v>
      </c>
      <c r="AI550" s="2496">
        <f t="shared" si="70"/>
        <v>11399839.715813762</v>
      </c>
      <c r="AJ550" s="2496">
        <f t="shared" si="70"/>
        <v>11606417.504271572</v>
      </c>
      <c r="AK550" s="2496">
        <f t="shared" si="70"/>
        <v>11812430.071910789</v>
      </c>
      <c r="AL550" s="2496">
        <f t="shared" si="70"/>
        <v>12017687.654085308</v>
      </c>
      <c r="AM550" s="2496">
        <f t="shared" si="70"/>
        <v>12221943.480356371</v>
      </c>
      <c r="AN550" s="2496">
        <f t="shared" si="70"/>
        <v>12425002.730242666</v>
      </c>
      <c r="AO550" s="2496">
        <f t="shared" si="70"/>
        <v>12626707.782328229</v>
      </c>
      <c r="AP550" s="2496">
        <f t="shared" si="70"/>
        <v>12826829.748983758</v>
      </c>
      <c r="AQ550" s="2496">
        <f t="shared" si="70"/>
        <v>13025186.938369161</v>
      </c>
      <c r="AR550" s="2496">
        <f t="shared" si="70"/>
        <v>13221597.958220227</v>
      </c>
      <c r="AS550" s="2496">
        <f t="shared" si="70"/>
        <v>13415881.642177681</v>
      </c>
    </row>
    <row r="551" spans="2:45" s="2490" customFormat="1" x14ac:dyDescent="0.2">
      <c r="B551" s="2488"/>
      <c r="C551" s="2495" t="s">
        <v>1379</v>
      </c>
      <c r="D551" s="2493" t="s">
        <v>1543</v>
      </c>
      <c r="G551" s="2496">
        <f t="shared" ref="G551:AS551" si="71">G325*G244/1000</f>
        <v>1118.9349175841032</v>
      </c>
      <c r="H551" s="2496">
        <f t="shared" si="71"/>
        <v>1158.9247564849809</v>
      </c>
      <c r="I551" s="2496">
        <f t="shared" si="71"/>
        <v>1203.0148640012167</v>
      </c>
      <c r="J551" s="2496">
        <f t="shared" si="71"/>
        <v>1248.6186171677653</v>
      </c>
      <c r="K551" s="2496">
        <f t="shared" si="71"/>
        <v>1294.6329050655695</v>
      </c>
      <c r="L551" s="2496">
        <f t="shared" si="71"/>
        <v>1340.6296341959942</v>
      </c>
      <c r="M551" s="2496">
        <f t="shared" si="71"/>
        <v>1389.4029037394125</v>
      </c>
      <c r="N551" s="2496">
        <f t="shared" si="71"/>
        <v>1440.0139408333275</v>
      </c>
      <c r="O551" s="2496">
        <f t="shared" si="71"/>
        <v>1489.7891535721062</v>
      </c>
      <c r="P551" s="2496">
        <f t="shared" si="71"/>
        <v>1539.9235123249648</v>
      </c>
      <c r="Q551" s="2496">
        <f t="shared" si="71"/>
        <v>1590.4527928810433</v>
      </c>
      <c r="R551" s="2496">
        <f t="shared" si="71"/>
        <v>1639.176726687386</v>
      </c>
      <c r="S551" s="2496">
        <f t="shared" si="71"/>
        <v>1686.5924872632418</v>
      </c>
      <c r="T551" s="2496">
        <f t="shared" si="71"/>
        <v>1733.0221823958486</v>
      </c>
      <c r="U551" s="2496">
        <f t="shared" si="71"/>
        <v>1778.6678963978695</v>
      </c>
      <c r="V551" s="2496">
        <f t="shared" si="71"/>
        <v>1823.6424757580373</v>
      </c>
      <c r="W551" s="2496">
        <f t="shared" si="71"/>
        <v>1868.0101188635967</v>
      </c>
      <c r="X551" s="2496">
        <f t="shared" si="71"/>
        <v>1912.0218049602277</v>
      </c>
      <c r="Y551" s="2496">
        <f t="shared" si="71"/>
        <v>1955.8468373667076</v>
      </c>
      <c r="Z551" s="2496">
        <f t="shared" si="71"/>
        <v>1999.5878351665094</v>
      </c>
      <c r="AA551" s="2496">
        <f t="shared" si="71"/>
        <v>2043.3058990127133</v>
      </c>
      <c r="AB551" s="2496">
        <f t="shared" si="71"/>
        <v>2086.9852227173569</v>
      </c>
      <c r="AC551" s="2496">
        <f t="shared" si="71"/>
        <v>2130.6510963986411</v>
      </c>
      <c r="AD551" s="2496">
        <f t="shared" si="71"/>
        <v>2174.3106285189051</v>
      </c>
      <c r="AE551" s="2496">
        <f t="shared" si="71"/>
        <v>2217.9582233274909</v>
      </c>
      <c r="AF551" s="2496">
        <f t="shared" si="71"/>
        <v>2261.5851485402072</v>
      </c>
      <c r="AG551" s="2496">
        <f t="shared" si="71"/>
        <v>2305.168971660346</v>
      </c>
      <c r="AH551" s="2496">
        <f t="shared" si="71"/>
        <v>2348.6832731709251</v>
      </c>
      <c r="AI551" s="2496">
        <f t="shared" si="71"/>
        <v>2392.0987444041184</v>
      </c>
      <c r="AJ551" s="2496">
        <f t="shared" si="71"/>
        <v>2435.4462370628289</v>
      </c>
      <c r="AK551" s="2496">
        <f t="shared" si="71"/>
        <v>2478.6751259477865</v>
      </c>
      <c r="AL551" s="2496">
        <f t="shared" si="71"/>
        <v>2521.7455915717887</v>
      </c>
      <c r="AM551" s="2496">
        <f t="shared" si="71"/>
        <v>2564.6058525702351</v>
      </c>
      <c r="AN551" s="2496">
        <f t="shared" si="71"/>
        <v>2607.2150285588095</v>
      </c>
      <c r="AO551" s="2496">
        <f t="shared" si="71"/>
        <v>2649.5400448627252</v>
      </c>
      <c r="AP551" s="2496">
        <f t="shared" si="71"/>
        <v>2691.532872577689</v>
      </c>
      <c r="AQ551" s="2496">
        <f t="shared" si="71"/>
        <v>2733.1553861832213</v>
      </c>
      <c r="AR551" s="2496">
        <f t="shared" si="71"/>
        <v>2774.3695230207004</v>
      </c>
      <c r="AS551" s="2496">
        <f t="shared" si="71"/>
        <v>2815.1372678345283</v>
      </c>
    </row>
    <row r="552" spans="2:45" s="2490" customFormat="1" x14ac:dyDescent="0.2">
      <c r="B552" s="2488"/>
      <c r="C552" s="2495" t="s">
        <v>1380</v>
      </c>
      <c r="D552" s="2493" t="s">
        <v>1543</v>
      </c>
      <c r="G552" s="2496">
        <f t="shared" ref="G552:AS552" si="72">G347*G245/1000</f>
        <v>12934402.044144601</v>
      </c>
      <c r="H552" s="2496">
        <f t="shared" si="72"/>
        <v>13396667.226771405</v>
      </c>
      <c r="I552" s="2496">
        <f t="shared" si="72"/>
        <v>13906329.73512877</v>
      </c>
      <c r="J552" s="2496">
        <f t="shared" si="72"/>
        <v>14433489.330301328</v>
      </c>
      <c r="K552" s="2496">
        <f t="shared" si="72"/>
        <v>14965394.528800489</v>
      </c>
      <c r="L552" s="2496">
        <f t="shared" si="72"/>
        <v>15497096.755569017</v>
      </c>
      <c r="M552" s="2496">
        <f t="shared" si="72"/>
        <v>16060894.584529512</v>
      </c>
      <c r="N552" s="2496">
        <f t="shared" si="72"/>
        <v>16645936.208806651</v>
      </c>
      <c r="O552" s="2496">
        <f t="shared" si="72"/>
        <v>17221316.066275261</v>
      </c>
      <c r="P552" s="2496">
        <f t="shared" si="72"/>
        <v>17800847.495801959</v>
      </c>
      <c r="Q552" s="2496">
        <f t="shared" si="72"/>
        <v>18384944.04998298</v>
      </c>
      <c r="R552" s="2496">
        <f t="shared" si="72"/>
        <v>18948171.579233941</v>
      </c>
      <c r="S552" s="2496">
        <f t="shared" si="72"/>
        <v>19496277.19367056</v>
      </c>
      <c r="T552" s="2496">
        <f t="shared" si="72"/>
        <v>20032984.319522731</v>
      </c>
      <c r="U552" s="2496">
        <f t="shared" si="72"/>
        <v>20560628.963742893</v>
      </c>
      <c r="V552" s="2496">
        <f t="shared" si="72"/>
        <v>21080515.582766891</v>
      </c>
      <c r="W552" s="2496">
        <f t="shared" si="72"/>
        <v>21593386.282090023</v>
      </c>
      <c r="X552" s="2496">
        <f t="shared" si="72"/>
        <v>22102142.272870623</v>
      </c>
      <c r="Y552" s="2496">
        <f t="shared" si="72"/>
        <v>22608740.627998345</v>
      </c>
      <c r="Z552" s="2496">
        <f t="shared" si="72"/>
        <v>23114367.579542782</v>
      </c>
      <c r="AA552" s="2496">
        <f t="shared" si="72"/>
        <v>23619729.424536668</v>
      </c>
      <c r="AB552" s="2496">
        <f t="shared" si="72"/>
        <v>24124643.450306829</v>
      </c>
      <c r="AC552" s="2496">
        <f t="shared" si="72"/>
        <v>24629401.999644101</v>
      </c>
      <c r="AD552" s="2496">
        <f t="shared" si="72"/>
        <v>25134087.243288115</v>
      </c>
      <c r="AE552" s="2496">
        <f t="shared" si="72"/>
        <v>25638634.496789783</v>
      </c>
      <c r="AF552" s="2496">
        <f t="shared" si="72"/>
        <v>26142942.818733525</v>
      </c>
      <c r="AG552" s="2496">
        <f t="shared" si="72"/>
        <v>26646752.899192818</v>
      </c>
      <c r="AH552" s="2496">
        <f t="shared" si="72"/>
        <v>27149759.340017073</v>
      </c>
      <c r="AI552" s="2496">
        <f t="shared" si="72"/>
        <v>27651623.345725801</v>
      </c>
      <c r="AJ552" s="2496">
        <f t="shared" si="72"/>
        <v>28152701.548615314</v>
      </c>
      <c r="AK552" s="2496">
        <f t="shared" si="72"/>
        <v>28652408.74335273</v>
      </c>
      <c r="AL552" s="2496">
        <f t="shared" si="72"/>
        <v>29150284.633947123</v>
      </c>
      <c r="AM552" s="2496">
        <f t="shared" si="72"/>
        <v>29645730.650296155</v>
      </c>
      <c r="AN552" s="2496">
        <f t="shared" si="72"/>
        <v>30138274.232898679</v>
      </c>
      <c r="AO552" s="2496">
        <f t="shared" si="72"/>
        <v>30627533.052868143</v>
      </c>
      <c r="AP552" s="2496">
        <f t="shared" si="72"/>
        <v>31112951.916914813</v>
      </c>
      <c r="AQ552" s="2496">
        <f t="shared" si="72"/>
        <v>31594090.110567953</v>
      </c>
      <c r="AR552" s="2496">
        <f t="shared" si="72"/>
        <v>32070507.646012571</v>
      </c>
      <c r="AS552" s="2496">
        <f t="shared" si="72"/>
        <v>32541765.08339208</v>
      </c>
    </row>
    <row r="553" spans="2:45" s="2490" customFormat="1" x14ac:dyDescent="0.2">
      <c r="B553" s="2488"/>
      <c r="C553" s="2489" t="s">
        <v>1381</v>
      </c>
      <c r="D553" s="2493" t="s">
        <v>1543</v>
      </c>
      <c r="G553" s="2496">
        <f>G355*G246/1000</f>
        <v>860659.8011986356</v>
      </c>
      <c r="H553" s="2496">
        <f t="shared" ref="H553:AS553" si="73">H89*H246/1000</f>
        <v>874817.20613370126</v>
      </c>
      <c r="I553" s="2496">
        <f t="shared" si="73"/>
        <v>893212.68503603071</v>
      </c>
      <c r="J553" s="2496">
        <f t="shared" si="73"/>
        <v>911167.6409965062</v>
      </c>
      <c r="K553" s="2496">
        <f t="shared" si="73"/>
        <v>929102.2098347568</v>
      </c>
      <c r="L553" s="2496">
        <f t="shared" si="73"/>
        <v>946862.61674528185</v>
      </c>
      <c r="M553" s="2496">
        <f t="shared" si="73"/>
        <v>964244.52524624544</v>
      </c>
      <c r="N553" s="2496">
        <f t="shared" si="73"/>
        <v>981536.49886679882</v>
      </c>
      <c r="O553" s="2496">
        <f t="shared" si="73"/>
        <v>998715.94327841024</v>
      </c>
      <c r="P553" s="2496">
        <f t="shared" si="73"/>
        <v>1015654.1501222559</v>
      </c>
      <c r="Q553" s="2496">
        <f t="shared" si="73"/>
        <v>1032179.0492788148</v>
      </c>
      <c r="R553" s="2496">
        <f t="shared" si="73"/>
        <v>1049738.4147204696</v>
      </c>
      <c r="S553" s="2496">
        <f t="shared" si="73"/>
        <v>1067873.0213058663</v>
      </c>
      <c r="T553" s="2496">
        <f t="shared" si="73"/>
        <v>1086281.4796286481</v>
      </c>
      <c r="U553" s="2496">
        <f t="shared" si="73"/>
        <v>1104763.8802006098</v>
      </c>
      <c r="V553" s="2496">
        <f t="shared" si="73"/>
        <v>1123182.2077710624</v>
      </c>
      <c r="W553" s="2496">
        <f t="shared" si="73"/>
        <v>1141444.5413336426</v>
      </c>
      <c r="X553" s="2496">
        <f t="shared" si="73"/>
        <v>1159594.8870096211</v>
      </c>
      <c r="Y553" s="2496">
        <f t="shared" si="73"/>
        <v>1177659.8672379896</v>
      </c>
      <c r="Z553" s="2496">
        <f t="shared" si="73"/>
        <v>1195650.2849735736</v>
      </c>
      <c r="AA553" s="2496">
        <f t="shared" si="73"/>
        <v>1213569.1934902363</v>
      </c>
      <c r="AB553" s="2496">
        <f t="shared" si="73"/>
        <v>1231392.1090405362</v>
      </c>
      <c r="AC553" s="2496">
        <f t="shared" si="73"/>
        <v>1249121.6174130973</v>
      </c>
      <c r="AD553" s="2496">
        <f t="shared" si="73"/>
        <v>1266755.4619584468</v>
      </c>
      <c r="AE553" s="2496">
        <f t="shared" si="73"/>
        <v>1284288.2927776626</v>
      </c>
      <c r="AF553" s="2496">
        <f t="shared" si="73"/>
        <v>1301715.4324932215</v>
      </c>
      <c r="AG553" s="2496">
        <f t="shared" si="73"/>
        <v>1319027.3731592433</v>
      </c>
      <c r="AH553" s="2496">
        <f t="shared" si="73"/>
        <v>1336214.122202707</v>
      </c>
      <c r="AI553" s="2496">
        <f t="shared" si="73"/>
        <v>1353265.3716506485</v>
      </c>
      <c r="AJ553" s="2496">
        <f t="shared" si="73"/>
        <v>1370198.5313595659</v>
      </c>
      <c r="AK553" s="2496">
        <f t="shared" si="73"/>
        <v>1386993.3325984348</v>
      </c>
      <c r="AL553" s="2496">
        <f t="shared" si="73"/>
        <v>1403635.8220010274</v>
      </c>
      <c r="AM553" s="2496">
        <f t="shared" si="73"/>
        <v>1420107.4931930779</v>
      </c>
      <c r="AN553" s="2496">
        <f t="shared" si="73"/>
        <v>1436395.4974595879</v>
      </c>
      <c r="AO553" s="2496">
        <f t="shared" si="73"/>
        <v>1452490.7054613966</v>
      </c>
      <c r="AP553" s="2496">
        <f t="shared" si="73"/>
        <v>1468377.5052325574</v>
      </c>
      <c r="AQ553" s="2496">
        <f t="shared" si="73"/>
        <v>1484045.040783969</v>
      </c>
      <c r="AR553" s="2496">
        <f t="shared" si="73"/>
        <v>1499482.5559811178</v>
      </c>
      <c r="AS553" s="2496">
        <f t="shared" si="73"/>
        <v>1514679.3915826816</v>
      </c>
    </row>
    <row r="554" spans="2:45" s="2490" customFormat="1" x14ac:dyDescent="0.2">
      <c r="B554" s="2488"/>
      <c r="C554" s="2497" t="s">
        <v>118</v>
      </c>
      <c r="D554" s="2498" t="s">
        <v>1543</v>
      </c>
      <c r="E554" s="2507"/>
      <c r="F554" s="2507"/>
      <c r="G554" s="2500">
        <f>SUM(G538:G553)</f>
        <v>60341011.287616916</v>
      </c>
      <c r="H554" s="2500">
        <f t="shared" ref="H554:AS554" si="74">SUM(H538:H553)</f>
        <v>60874660.780093677</v>
      </c>
      <c r="I554" s="2500">
        <f t="shared" si="74"/>
        <v>61721429.065653615</v>
      </c>
      <c r="J554" s="2500">
        <f t="shared" si="74"/>
        <v>62472031.119383015</v>
      </c>
      <c r="K554" s="2500">
        <f t="shared" si="74"/>
        <v>63149658.219993718</v>
      </c>
      <c r="L554" s="2500">
        <f t="shared" si="74"/>
        <v>63741309.898568518</v>
      </c>
      <c r="M554" s="2500">
        <f t="shared" si="74"/>
        <v>64265922.507330306</v>
      </c>
      <c r="N554" s="2500">
        <f t="shared" si="74"/>
        <v>64832180.640048936</v>
      </c>
      <c r="O554" s="2500">
        <f t="shared" si="74"/>
        <v>65396265.776053049</v>
      </c>
      <c r="P554" s="2500">
        <f t="shared" si="74"/>
        <v>65968076.072042316</v>
      </c>
      <c r="Q554" s="2500">
        <f t="shared" si="74"/>
        <v>66535309.349910453</v>
      </c>
      <c r="R554" s="2500">
        <f t="shared" si="74"/>
        <v>67130262.996592864</v>
      </c>
      <c r="S554" s="2500">
        <f t="shared" si="74"/>
        <v>67748875.187887654</v>
      </c>
      <c r="T554" s="2500">
        <f t="shared" si="74"/>
        <v>68386907.575177923</v>
      </c>
      <c r="U554" s="2500">
        <f t="shared" si="74"/>
        <v>69040216.480281591</v>
      </c>
      <c r="V554" s="2500">
        <f t="shared" si="74"/>
        <v>69704783.585989296</v>
      </c>
      <c r="W554" s="2500">
        <f t="shared" si="74"/>
        <v>70377032.340821832</v>
      </c>
      <c r="X554" s="2500">
        <f t="shared" si="74"/>
        <v>71057506.772206157</v>
      </c>
      <c r="Y554" s="2500">
        <f t="shared" si="74"/>
        <v>71746137.683022529</v>
      </c>
      <c r="Z554" s="2500">
        <f t="shared" si="74"/>
        <v>72442334.755407229</v>
      </c>
      <c r="AA554" s="2500">
        <f t="shared" si="74"/>
        <v>73145284.56367591</v>
      </c>
      <c r="AB554" s="2500">
        <f t="shared" si="74"/>
        <v>73853257.851263434</v>
      </c>
      <c r="AC554" s="2500">
        <f t="shared" si="74"/>
        <v>74565515.524194032</v>
      </c>
      <c r="AD554" s="2500">
        <f t="shared" si="74"/>
        <v>75281249.45842506</v>
      </c>
      <c r="AE554" s="2500">
        <f t="shared" si="74"/>
        <v>75999626.473694474</v>
      </c>
      <c r="AF554" s="2500">
        <f t="shared" si="74"/>
        <v>76719910.793356985</v>
      </c>
      <c r="AG554" s="2500">
        <f t="shared" si="74"/>
        <v>77441256.22764267</v>
      </c>
      <c r="AH554" s="2500">
        <f t="shared" si="74"/>
        <v>78162845.319773316</v>
      </c>
      <c r="AI554" s="2500">
        <f t="shared" si="74"/>
        <v>78883888.478603691</v>
      </c>
      <c r="AJ554" s="2500">
        <f t="shared" si="74"/>
        <v>79604666.240962863</v>
      </c>
      <c r="AK554" s="2500">
        <f t="shared" si="74"/>
        <v>80324139.399345204</v>
      </c>
      <c r="AL554" s="2500">
        <f t="shared" si="74"/>
        <v>81041489.970948935</v>
      </c>
      <c r="AM554" s="2500">
        <f t="shared" si="74"/>
        <v>81755730.911832958</v>
      </c>
      <c r="AN554" s="2500">
        <f t="shared" si="74"/>
        <v>82466083.428745776</v>
      </c>
      <c r="AO554" s="2500">
        <f t="shared" si="74"/>
        <v>83171919.580316186</v>
      </c>
      <c r="AP554" s="2500">
        <f t="shared" si="74"/>
        <v>83872376.552541956</v>
      </c>
      <c r="AQ554" s="2500">
        <f t="shared" si="74"/>
        <v>84566770.576863006</v>
      </c>
      <c r="AR554" s="2500">
        <f t="shared" si="74"/>
        <v>85254429.095782503</v>
      </c>
      <c r="AS554" s="2500">
        <f t="shared" si="74"/>
        <v>85934688.491651401</v>
      </c>
    </row>
    <row r="555" spans="2:45" s="2490" customFormat="1" ht="15" x14ac:dyDescent="0.25">
      <c r="B555" s="2488"/>
      <c r="C555" s="2510"/>
      <c r="D555" s="2516"/>
      <c r="E555" s="2519"/>
      <c r="F555" s="2519"/>
      <c r="G555" s="2519"/>
      <c r="H555" s="2519"/>
      <c r="I555" s="2519"/>
      <c r="J555" s="2519"/>
      <c r="K555" s="2519"/>
      <c r="L555" s="2519"/>
      <c r="M555" s="2519"/>
      <c r="N555" s="2519"/>
      <c r="O555" s="2519"/>
      <c r="P555" s="2519"/>
      <c r="Q555" s="2519"/>
      <c r="R555" s="2519"/>
      <c r="S555" s="2519"/>
      <c r="T555" s="2519"/>
      <c r="U555" s="2519"/>
      <c r="V555" s="2519"/>
      <c r="W555" s="2519"/>
      <c r="X555" s="2519"/>
      <c r="Y555" s="2519"/>
      <c r="Z555" s="2519"/>
      <c r="AA555" s="2519"/>
      <c r="AB555" s="2519"/>
      <c r="AC555" s="2519"/>
      <c r="AD555" s="2519"/>
      <c r="AE555" s="2519"/>
      <c r="AF555" s="2519"/>
      <c r="AG555" s="2519"/>
      <c r="AH555" s="2519"/>
      <c r="AI555" s="2519"/>
      <c r="AJ555" s="2519"/>
      <c r="AK555" s="2519"/>
      <c r="AL555" s="2519"/>
      <c r="AM555" s="2519"/>
      <c r="AN555" s="2519"/>
      <c r="AO555" s="2519"/>
      <c r="AP555" s="2519"/>
      <c r="AQ555" s="2519"/>
    </row>
    <row r="556" spans="2:45" s="2490" customFormat="1" ht="15" x14ac:dyDescent="0.25">
      <c r="B556" s="2511" t="s">
        <v>628</v>
      </c>
      <c r="C556" s="2489" t="s">
        <v>1544</v>
      </c>
      <c r="D556" s="2516"/>
      <c r="E556" s="2519"/>
      <c r="F556" s="2519"/>
      <c r="G556" s="2519"/>
      <c r="H556" s="2519"/>
      <c r="I556" s="2519"/>
      <c r="J556" s="2519"/>
      <c r="K556" s="2519"/>
      <c r="L556" s="2519"/>
      <c r="M556" s="2519"/>
      <c r="N556" s="2519"/>
      <c r="O556" s="2519"/>
      <c r="P556" s="2519"/>
      <c r="Q556" s="2519"/>
      <c r="R556" s="2519"/>
      <c r="S556" s="2519"/>
      <c r="T556" s="2519"/>
      <c r="U556" s="2519"/>
      <c r="V556" s="2519"/>
      <c r="W556" s="2519"/>
      <c r="X556" s="2519"/>
      <c r="Y556" s="2519"/>
      <c r="Z556" s="2519"/>
      <c r="AA556" s="2519"/>
      <c r="AB556" s="2519"/>
      <c r="AC556" s="2519"/>
      <c r="AD556" s="2519"/>
      <c r="AE556" s="2519"/>
      <c r="AF556" s="2519"/>
      <c r="AG556" s="2519"/>
      <c r="AH556" s="2519"/>
      <c r="AI556" s="2519"/>
      <c r="AJ556" s="2519"/>
      <c r="AK556" s="2519"/>
      <c r="AL556" s="2519"/>
      <c r="AM556" s="2519"/>
      <c r="AN556" s="2519"/>
      <c r="AO556" s="2519"/>
      <c r="AP556" s="2519"/>
      <c r="AQ556" s="2519"/>
    </row>
    <row r="557" spans="2:45" s="2490" customFormat="1" ht="15" x14ac:dyDescent="0.25">
      <c r="B557" s="2511" t="s">
        <v>1545</v>
      </c>
      <c r="C557" s="2489" t="s">
        <v>1546</v>
      </c>
      <c r="D557" s="2516"/>
      <c r="E557" s="2519"/>
      <c r="F557" s="2519"/>
      <c r="G557" s="2519"/>
      <c r="H557" s="2519"/>
      <c r="I557" s="2519"/>
      <c r="J557" s="2519"/>
      <c r="K557" s="2519"/>
      <c r="L557" s="2519"/>
      <c r="M557" s="2519"/>
      <c r="N557" s="2519"/>
      <c r="O557" s="2519"/>
      <c r="P557" s="2519"/>
      <c r="Q557" s="2519"/>
      <c r="R557" s="2519"/>
      <c r="S557" s="2519"/>
      <c r="T557" s="2519"/>
      <c r="U557" s="2519"/>
      <c r="V557" s="2519"/>
      <c r="W557" s="2519"/>
      <c r="X557" s="2519"/>
      <c r="Y557" s="2519"/>
      <c r="Z557" s="2519"/>
      <c r="AA557" s="2519"/>
      <c r="AB557" s="2519"/>
      <c r="AC557" s="2519"/>
      <c r="AD557" s="2519"/>
      <c r="AE557" s="2519"/>
      <c r="AF557" s="2519"/>
      <c r="AG557" s="2519"/>
      <c r="AH557" s="2519"/>
      <c r="AI557" s="2519"/>
      <c r="AJ557" s="2519"/>
      <c r="AK557" s="2519"/>
      <c r="AL557" s="2519"/>
      <c r="AM557" s="2519"/>
      <c r="AN557" s="2519"/>
      <c r="AO557" s="2519"/>
      <c r="AP557" s="2519"/>
      <c r="AQ557" s="2519"/>
    </row>
    <row r="558" spans="2:45" s="2490" customFormat="1" x14ac:dyDescent="0.2">
      <c r="C558" s="2513"/>
      <c r="D558" s="2513" t="s">
        <v>1029</v>
      </c>
      <c r="E558" s="2492" t="s">
        <v>8</v>
      </c>
      <c r="F558" s="2492"/>
      <c r="G558" s="2492">
        <v>2012</v>
      </c>
      <c r="H558" s="2492">
        <v>2013</v>
      </c>
      <c r="I558" s="2492">
        <v>2014</v>
      </c>
      <c r="J558" s="2492">
        <v>2015</v>
      </c>
      <c r="K558" s="2492">
        <v>2016</v>
      </c>
      <c r="L558" s="2492">
        <v>2017</v>
      </c>
      <c r="M558" s="2492">
        <v>2018</v>
      </c>
      <c r="N558" s="2492">
        <v>2019</v>
      </c>
      <c r="O558" s="2492">
        <v>2020</v>
      </c>
      <c r="P558" s="2492">
        <v>2021</v>
      </c>
      <c r="Q558" s="2492">
        <v>2022</v>
      </c>
      <c r="R558" s="2492">
        <v>2023</v>
      </c>
      <c r="S558" s="2492">
        <v>2024</v>
      </c>
      <c r="T558" s="2492">
        <v>2025</v>
      </c>
      <c r="U558" s="2492">
        <v>2026</v>
      </c>
      <c r="V558" s="2492">
        <v>2027</v>
      </c>
      <c r="W558" s="2492">
        <v>2028</v>
      </c>
      <c r="X558" s="2492">
        <v>2029</v>
      </c>
      <c r="Y558" s="2492">
        <v>2030</v>
      </c>
      <c r="Z558" s="2492">
        <v>2031</v>
      </c>
      <c r="AA558" s="2492">
        <v>2032</v>
      </c>
      <c r="AB558" s="2492">
        <v>2033</v>
      </c>
      <c r="AC558" s="2492">
        <v>2034</v>
      </c>
      <c r="AD558" s="2492">
        <v>2035</v>
      </c>
      <c r="AE558" s="2492">
        <v>2036</v>
      </c>
      <c r="AF558" s="2492">
        <v>2037</v>
      </c>
      <c r="AG558" s="2492">
        <v>2038</v>
      </c>
      <c r="AH558" s="2492">
        <v>2039</v>
      </c>
      <c r="AI558" s="2492">
        <v>2040</v>
      </c>
      <c r="AJ558" s="2492">
        <v>2041</v>
      </c>
      <c r="AK558" s="2492">
        <v>2042</v>
      </c>
      <c r="AL558" s="2492">
        <v>2043</v>
      </c>
      <c r="AM558" s="2492">
        <v>2044</v>
      </c>
      <c r="AN558" s="2492">
        <v>2045</v>
      </c>
      <c r="AO558" s="2492">
        <v>2046</v>
      </c>
      <c r="AP558" s="2492">
        <v>2047</v>
      </c>
      <c r="AQ558" s="2492">
        <v>2048</v>
      </c>
      <c r="AR558" s="2492">
        <v>2049</v>
      </c>
      <c r="AS558" s="2492">
        <v>2050</v>
      </c>
    </row>
    <row r="559" spans="2:45" s="2490" customFormat="1" ht="15" x14ac:dyDescent="0.25">
      <c r="B559" s="3606"/>
      <c r="C559" s="2489" t="s">
        <v>1364</v>
      </c>
      <c r="D559" s="2516"/>
      <c r="G559" s="2519"/>
      <c r="H559" s="2519"/>
      <c r="I559" s="2519"/>
      <c r="J559" s="2519"/>
      <c r="K559" s="2519"/>
      <c r="L559" s="2519"/>
      <c r="M559" s="2519"/>
      <c r="N559" s="2519"/>
      <c r="O559" s="2519"/>
      <c r="P559" s="2519"/>
      <c r="Q559" s="2519"/>
      <c r="R559" s="2519"/>
      <c r="S559" s="2519"/>
      <c r="T559" s="2519"/>
      <c r="U559" s="2519"/>
      <c r="V559" s="2519"/>
      <c r="W559" s="2519"/>
      <c r="X559" s="2519"/>
      <c r="Y559" s="2519"/>
      <c r="Z559" s="2519"/>
      <c r="AA559" s="2519"/>
      <c r="AB559" s="2519"/>
      <c r="AC559" s="2519"/>
      <c r="AD559" s="2519"/>
      <c r="AE559" s="2519"/>
      <c r="AF559" s="2519"/>
      <c r="AG559" s="2519"/>
      <c r="AH559" s="2519"/>
      <c r="AI559" s="2519"/>
      <c r="AJ559" s="2519"/>
      <c r="AK559" s="2519"/>
      <c r="AL559" s="2519"/>
      <c r="AM559" s="2519"/>
      <c r="AN559" s="2519"/>
      <c r="AO559" s="2519"/>
      <c r="AP559" s="2519"/>
      <c r="AQ559" s="2519"/>
      <c r="AR559" s="2519"/>
      <c r="AS559" s="2519"/>
    </row>
    <row r="560" spans="2:45" s="2490" customFormat="1" x14ac:dyDescent="0.2">
      <c r="B560" s="3606"/>
      <c r="C560" s="2495" t="s">
        <v>1366</v>
      </c>
      <c r="D560" s="2493" t="s">
        <v>1537</v>
      </c>
      <c r="G560" s="2496">
        <f t="shared" ref="G560:AS560" si="75">G74*G158*G177*$F$251*$D$217</f>
        <v>261374.82207887209</v>
      </c>
      <c r="H560" s="2496">
        <f t="shared" si="75"/>
        <v>260517.24725890381</v>
      </c>
      <c r="I560" s="2496">
        <f t="shared" si="75"/>
        <v>261215.13161600966</v>
      </c>
      <c r="J560" s="2496">
        <f t="shared" si="75"/>
        <v>261138.70480324584</v>
      </c>
      <c r="K560" s="2496">
        <f t="shared" si="75"/>
        <v>260550.15186004087</v>
      </c>
      <c r="L560" s="2496">
        <f t="shared" si="75"/>
        <v>259411.81372654936</v>
      </c>
      <c r="M560" s="2496">
        <f t="shared" si="75"/>
        <v>257553.47058428425</v>
      </c>
      <c r="N560" s="2496">
        <f t="shared" si="75"/>
        <v>255770.55229449974</v>
      </c>
      <c r="O560" s="2496">
        <f t="shared" si="75"/>
        <v>254062.11788358598</v>
      </c>
      <c r="P560" s="2496">
        <f t="shared" si="75"/>
        <v>252367.20338600271</v>
      </c>
      <c r="Q560" s="2496">
        <f t="shared" si="75"/>
        <v>250604.0675068218</v>
      </c>
      <c r="R560" s="2496">
        <f t="shared" si="75"/>
        <v>249201.99421420309</v>
      </c>
      <c r="S560" s="2496">
        <f t="shared" si="75"/>
        <v>248085.63690851297</v>
      </c>
      <c r="T560" s="2496">
        <f t="shared" si="75"/>
        <v>247195.87482510874</v>
      </c>
      <c r="U560" s="2496">
        <f t="shared" si="75"/>
        <v>246486.14148423506</v>
      </c>
      <c r="V560" s="2496">
        <f t="shared" si="75"/>
        <v>245919.64514207328</v>
      </c>
      <c r="W560" s="2496">
        <f t="shared" si="75"/>
        <v>245467.24414864261</v>
      </c>
      <c r="X560" s="2496">
        <f t="shared" si="75"/>
        <v>245105.80959206875</v>
      </c>
      <c r="Y560" s="2496">
        <f t="shared" si="75"/>
        <v>244816.95479437371</v>
      </c>
      <c r="Z560" s="2496">
        <f t="shared" si="75"/>
        <v>244586.04382524165</v>
      </c>
      <c r="AA560" s="2496">
        <f t="shared" si="75"/>
        <v>244401.41409982805</v>
      </c>
      <c r="AB560" s="2496">
        <f t="shared" si="75"/>
        <v>244253.7644671142</v>
      </c>
      <c r="AC560" s="2496">
        <f t="shared" si="75"/>
        <v>244135.67202977955</v>
      </c>
      <c r="AD560" s="2496">
        <f t="shared" si="75"/>
        <v>244041.20962653315</v>
      </c>
      <c r="AE560" s="2496">
        <f t="shared" si="75"/>
        <v>243965.64236964707</v>
      </c>
      <c r="AF560" s="2496">
        <f t="shared" si="75"/>
        <v>243905.18649005439</v>
      </c>
      <c r="AG560" s="2496">
        <f t="shared" si="75"/>
        <v>243856.81743374848</v>
      </c>
      <c r="AH560" s="2496">
        <f t="shared" si="75"/>
        <v>243818.11698178994</v>
      </c>
      <c r="AI560" s="2496">
        <f t="shared" si="75"/>
        <v>243787.15134991851</v>
      </c>
      <c r="AJ560" s="2496">
        <f t="shared" si="75"/>
        <v>243762.37392039914</v>
      </c>
      <c r="AK560" s="2496">
        <f t="shared" si="75"/>
        <v>243742.54758402234</v>
      </c>
      <c r="AL560" s="2496">
        <f t="shared" si="75"/>
        <v>243726.68271000456</v>
      </c>
      <c r="AM560" s="2496">
        <f t="shared" si="75"/>
        <v>243713.98758046798</v>
      </c>
      <c r="AN560" s="2496">
        <f t="shared" si="75"/>
        <v>243703.82877303151</v>
      </c>
      <c r="AO560" s="2496">
        <f t="shared" si="75"/>
        <v>243695.69948732617</v>
      </c>
      <c r="AP560" s="2496">
        <f t="shared" si="75"/>
        <v>243689.19421770729</v>
      </c>
      <c r="AQ560" s="2496">
        <f t="shared" si="75"/>
        <v>243683.98849752868</v>
      </c>
      <c r="AR560" s="2496">
        <f t="shared" si="75"/>
        <v>243679.82269745751</v>
      </c>
      <c r="AS560" s="2496">
        <f t="shared" si="75"/>
        <v>243676.48906516473</v>
      </c>
    </row>
    <row r="561" spans="2:45" s="2490" customFormat="1" x14ac:dyDescent="0.2">
      <c r="B561" s="2511"/>
      <c r="C561" s="2495" t="s">
        <v>1367</v>
      </c>
      <c r="D561" s="2493" t="s">
        <v>1537</v>
      </c>
      <c r="G561" s="2496">
        <f t="shared" ref="G561:V571" si="76">G75*G159*G178*$D$217*$F$255</f>
        <v>27517.566707623719</v>
      </c>
      <c r="H561" s="2496">
        <f t="shared" si="76"/>
        <v>27427.281147111178</v>
      </c>
      <c r="I561" s="2496">
        <f t="shared" ref="I561:AS561" si="77">I75*I159*$G$178*$D$217*$F$255</f>
        <v>27500.754480151169</v>
      </c>
      <c r="J561" s="2496">
        <f t="shared" si="77"/>
        <v>27492.708257864899</v>
      </c>
      <c r="K561" s="2496">
        <f t="shared" si="77"/>
        <v>27430.745346721436</v>
      </c>
      <c r="L561" s="2496">
        <f t="shared" si="77"/>
        <v>27310.90099723496</v>
      </c>
      <c r="M561" s="2496">
        <f t="shared" si="77"/>
        <v>27115.254450347973</v>
      </c>
      <c r="N561" s="2496">
        <f t="shared" si="77"/>
        <v>26927.548639271103</v>
      </c>
      <c r="O561" s="2496">
        <f t="shared" si="77"/>
        <v>26747.684498211118</v>
      </c>
      <c r="P561" s="2496">
        <f t="shared" si="77"/>
        <v>26569.243734942462</v>
      </c>
      <c r="Q561" s="2496">
        <f t="shared" si="77"/>
        <v>26383.620617979315</v>
      </c>
      <c r="R561" s="2496">
        <f t="shared" si="77"/>
        <v>26236.01020527105</v>
      </c>
      <c r="S561" s="2496">
        <f t="shared" si="77"/>
        <v>26118.479999474865</v>
      </c>
      <c r="T561" s="2496">
        <f t="shared" si="77"/>
        <v>26024.805760735057</v>
      </c>
      <c r="U561" s="2496">
        <f t="shared" si="77"/>
        <v>25950.084965530761</v>
      </c>
      <c r="V561" s="2496">
        <f t="shared" si="77"/>
        <v>25890.444175491859</v>
      </c>
      <c r="W561" s="2496">
        <f t="shared" si="77"/>
        <v>25842.815354872066</v>
      </c>
      <c r="X561" s="2496">
        <f t="shared" si="77"/>
        <v>25804.763489578167</v>
      </c>
      <c r="Y561" s="2496">
        <f t="shared" si="77"/>
        <v>25774.352828363099</v>
      </c>
      <c r="Z561" s="2496">
        <f t="shared" si="77"/>
        <v>25750.042499058705</v>
      </c>
      <c r="AA561" s="2496">
        <f t="shared" si="77"/>
        <v>25730.604663597467</v>
      </c>
      <c r="AB561" s="2496">
        <f t="shared" si="77"/>
        <v>25715.060095894878</v>
      </c>
      <c r="AC561" s="2496">
        <f t="shared" si="77"/>
        <v>25702.62731259855</v>
      </c>
      <c r="AD561" s="2496">
        <f t="shared" si="77"/>
        <v>25692.682301590903</v>
      </c>
      <c r="AE561" s="2496">
        <f t="shared" si="77"/>
        <v>25684.726573431108</v>
      </c>
      <c r="AF561" s="2496">
        <f t="shared" si="77"/>
        <v>25678.361772543522</v>
      </c>
      <c r="AG561" s="2496">
        <f t="shared" si="77"/>
        <v>25673.269473587963</v>
      </c>
      <c r="AH561" s="2496">
        <f t="shared" si="77"/>
        <v>25669.19508623911</v>
      </c>
      <c r="AI561" s="2496">
        <f t="shared" si="77"/>
        <v>25665.93502150186</v>
      </c>
      <c r="AJ561" s="2496">
        <f t="shared" si="77"/>
        <v>25663.32645131052</v>
      </c>
      <c r="AK561" s="2496">
        <f t="shared" si="77"/>
        <v>25661.239132687104</v>
      </c>
      <c r="AL561" s="2496">
        <f t="shared" si="77"/>
        <v>25659.568877206413</v>
      </c>
      <c r="AM561" s="2496">
        <f t="shared" si="77"/>
        <v>25658.232332733205</v>
      </c>
      <c r="AN561" s="2496">
        <f t="shared" si="77"/>
        <v>25657.162812497554</v>
      </c>
      <c r="AO561" s="2496">
        <f t="shared" si="77"/>
        <v>25656.306960507296</v>
      </c>
      <c r="AP561" s="2496">
        <f t="shared" si="77"/>
        <v>25655.622085088668</v>
      </c>
      <c r="AQ561" s="2496">
        <f t="shared" si="77"/>
        <v>25655.074026361599</v>
      </c>
      <c r="AR561" s="2496">
        <f t="shared" si="77"/>
        <v>25654.63545052466</v>
      </c>
      <c r="AS561" s="2496">
        <f t="shared" si="77"/>
        <v>25654.284485392422</v>
      </c>
    </row>
    <row r="562" spans="2:45" s="2490" customFormat="1" x14ac:dyDescent="0.2">
      <c r="B562" s="3606" t="s">
        <v>1547</v>
      </c>
      <c r="C562" s="2495" t="s">
        <v>1368</v>
      </c>
      <c r="D562" s="2493" t="s">
        <v>1537</v>
      </c>
      <c r="G562" s="2496">
        <f t="shared" si="76"/>
        <v>0</v>
      </c>
      <c r="H562" s="2496">
        <f t="shared" si="76"/>
        <v>0</v>
      </c>
      <c r="I562" s="2496">
        <f t="shared" si="76"/>
        <v>0</v>
      </c>
      <c r="J562" s="2496">
        <f t="shared" si="76"/>
        <v>0</v>
      </c>
      <c r="K562" s="2496">
        <f t="shared" si="76"/>
        <v>0</v>
      </c>
      <c r="L562" s="2496">
        <f t="shared" si="76"/>
        <v>0</v>
      </c>
      <c r="M562" s="2496">
        <f t="shared" si="76"/>
        <v>0</v>
      </c>
      <c r="N562" s="2496">
        <f t="shared" si="76"/>
        <v>0</v>
      </c>
      <c r="O562" s="2496">
        <f t="shared" si="76"/>
        <v>0</v>
      </c>
      <c r="P562" s="2496">
        <f t="shared" si="76"/>
        <v>0</v>
      </c>
      <c r="Q562" s="2496">
        <f t="shared" si="76"/>
        <v>0</v>
      </c>
      <c r="R562" s="2496">
        <f t="shared" si="76"/>
        <v>0</v>
      </c>
      <c r="S562" s="2496">
        <f t="shared" si="76"/>
        <v>0</v>
      </c>
      <c r="T562" s="2496">
        <f t="shared" si="76"/>
        <v>0</v>
      </c>
      <c r="U562" s="2496">
        <f t="shared" si="76"/>
        <v>0</v>
      </c>
      <c r="V562" s="2496">
        <f t="shared" si="76"/>
        <v>0</v>
      </c>
      <c r="W562" s="2496">
        <f t="shared" ref="W562:AS571" si="78">W76*W160*W179*$D$217*$F$255</f>
        <v>0</v>
      </c>
      <c r="X562" s="2496">
        <f t="shared" si="78"/>
        <v>0</v>
      </c>
      <c r="Y562" s="2496">
        <f t="shared" si="78"/>
        <v>0</v>
      </c>
      <c r="Z562" s="2496">
        <f t="shared" si="78"/>
        <v>0</v>
      </c>
      <c r="AA562" s="2496">
        <f t="shared" si="78"/>
        <v>0</v>
      </c>
      <c r="AB562" s="2496">
        <f t="shared" si="78"/>
        <v>0</v>
      </c>
      <c r="AC562" s="2496">
        <f t="shared" si="78"/>
        <v>0</v>
      </c>
      <c r="AD562" s="2496">
        <f t="shared" si="78"/>
        <v>0</v>
      </c>
      <c r="AE562" s="2496">
        <f t="shared" si="78"/>
        <v>0</v>
      </c>
      <c r="AF562" s="2496">
        <f t="shared" si="78"/>
        <v>0</v>
      </c>
      <c r="AG562" s="2496">
        <f t="shared" si="78"/>
        <v>0</v>
      </c>
      <c r="AH562" s="2496">
        <f t="shared" si="78"/>
        <v>0</v>
      </c>
      <c r="AI562" s="2496">
        <f t="shared" si="78"/>
        <v>0</v>
      </c>
      <c r="AJ562" s="2496">
        <f t="shared" si="78"/>
        <v>0</v>
      </c>
      <c r="AK562" s="2496">
        <f t="shared" si="78"/>
        <v>0</v>
      </c>
      <c r="AL562" s="2496">
        <f t="shared" si="78"/>
        <v>0</v>
      </c>
      <c r="AM562" s="2496">
        <f t="shared" si="78"/>
        <v>0</v>
      </c>
      <c r="AN562" s="2496">
        <f t="shared" si="78"/>
        <v>0</v>
      </c>
      <c r="AO562" s="2496">
        <f t="shared" si="78"/>
        <v>0</v>
      </c>
      <c r="AP562" s="2496">
        <f t="shared" si="78"/>
        <v>0</v>
      </c>
      <c r="AQ562" s="2496">
        <f t="shared" si="78"/>
        <v>0</v>
      </c>
      <c r="AR562" s="2496">
        <f t="shared" si="78"/>
        <v>0</v>
      </c>
      <c r="AS562" s="2496">
        <f t="shared" si="78"/>
        <v>0</v>
      </c>
    </row>
    <row r="563" spans="2:45" s="2490" customFormat="1" x14ac:dyDescent="0.2">
      <c r="B563" s="3606"/>
      <c r="C563" s="2495" t="s">
        <v>1369</v>
      </c>
      <c r="D563" s="2493" t="s">
        <v>1537</v>
      </c>
      <c r="G563" s="2496">
        <f t="shared" si="76"/>
        <v>187835.11803785071</v>
      </c>
      <c r="H563" s="2496">
        <f t="shared" si="76"/>
        <v>187218.8281203527</v>
      </c>
      <c r="I563" s="2496">
        <f t="shared" si="76"/>
        <v>187720.35764623102</v>
      </c>
      <c r="J563" s="2496">
        <f t="shared" si="76"/>
        <v>187665.43407217533</v>
      </c>
      <c r="K563" s="2496">
        <f t="shared" si="76"/>
        <v>187242.47477303873</v>
      </c>
      <c r="L563" s="2496">
        <f t="shared" si="76"/>
        <v>186424.41633890677</v>
      </c>
      <c r="M563" s="2496">
        <f t="shared" si="76"/>
        <v>185088.93153319403</v>
      </c>
      <c r="N563" s="2496">
        <f t="shared" si="76"/>
        <v>183807.65025005475</v>
      </c>
      <c r="O563" s="2496">
        <f t="shared" si="76"/>
        <v>182579.89626563661</v>
      </c>
      <c r="P563" s="2496">
        <f t="shared" si="76"/>
        <v>181361.85826876506</v>
      </c>
      <c r="Q563" s="2496">
        <f t="shared" si="76"/>
        <v>180094.79347136547</v>
      </c>
      <c r="R563" s="2496">
        <f t="shared" si="76"/>
        <v>179087.20368011438</v>
      </c>
      <c r="S563" s="2496">
        <f t="shared" si="76"/>
        <v>178284.94160827852</v>
      </c>
      <c r="T563" s="2496">
        <f t="shared" si="76"/>
        <v>177645.52054762482</v>
      </c>
      <c r="U563" s="2496">
        <f t="shared" si="76"/>
        <v>177135.47583559755</v>
      </c>
      <c r="V563" s="2496">
        <f t="shared" si="76"/>
        <v>176728.36735264712</v>
      </c>
      <c r="W563" s="2496">
        <f t="shared" si="78"/>
        <v>176403.25266361306</v>
      </c>
      <c r="X563" s="2496">
        <f t="shared" si="78"/>
        <v>176143.51034391666</v>
      </c>
      <c r="Y563" s="2496">
        <f t="shared" si="78"/>
        <v>175935.92694093502</v>
      </c>
      <c r="Z563" s="2496">
        <f t="shared" si="78"/>
        <v>175769.98444961858</v>
      </c>
      <c r="AA563" s="2496">
        <f t="shared" si="78"/>
        <v>175637.30163805117</v>
      </c>
      <c r="AB563" s="2496">
        <f t="shared" si="78"/>
        <v>175531.1943015891</v>
      </c>
      <c r="AC563" s="2496">
        <f t="shared" si="78"/>
        <v>175446.32802897069</v>
      </c>
      <c r="AD563" s="2496">
        <f t="shared" si="78"/>
        <v>175378.44330877147</v>
      </c>
      <c r="AE563" s="2496">
        <f t="shared" si="78"/>
        <v>175324.13744830608</v>
      </c>
      <c r="AF563" s="2496">
        <f t="shared" si="78"/>
        <v>175280.69126940842</v>
      </c>
      <c r="AG563" s="2496">
        <f t="shared" si="78"/>
        <v>175245.93119830318</v>
      </c>
      <c r="AH563" s="2496">
        <f t="shared" si="78"/>
        <v>175218.11939950805</v>
      </c>
      <c r="AI563" s="2496">
        <f t="shared" si="78"/>
        <v>175195.86617300592</v>
      </c>
      <c r="AJ563" s="2496">
        <f t="shared" si="78"/>
        <v>175178.06005319135</v>
      </c>
      <c r="AK563" s="2496">
        <f t="shared" si="78"/>
        <v>175163.81200051369</v>
      </c>
      <c r="AL563" s="2496">
        <f t="shared" si="78"/>
        <v>175152.41082399606</v>
      </c>
      <c r="AM563" s="2496">
        <f t="shared" si="78"/>
        <v>175143.28756133423</v>
      </c>
      <c r="AN563" s="2496">
        <f t="shared" si="78"/>
        <v>175135.98700813338</v>
      </c>
      <c r="AO563" s="2496">
        <f t="shared" si="78"/>
        <v>175130.14495598819</v>
      </c>
      <c r="AP563" s="2496">
        <f t="shared" si="78"/>
        <v>175125.46999121152</v>
      </c>
      <c r="AQ563" s="2496">
        <f t="shared" si="78"/>
        <v>175121.728938204</v>
      </c>
      <c r="AR563" s="2496">
        <f t="shared" si="78"/>
        <v>175118.73521623085</v>
      </c>
      <c r="AS563" s="2496">
        <f t="shared" si="78"/>
        <v>175116.33952558928</v>
      </c>
    </row>
    <row r="564" spans="2:45" s="2490" customFormat="1" x14ac:dyDescent="0.2">
      <c r="B564" s="3606"/>
      <c r="C564" s="2495" t="s">
        <v>1370</v>
      </c>
      <c r="D564" s="2493" t="s">
        <v>1537</v>
      </c>
      <c r="G564" s="2496">
        <f t="shared" si="76"/>
        <v>0</v>
      </c>
      <c r="H564" s="2496">
        <f t="shared" si="76"/>
        <v>0</v>
      </c>
      <c r="I564" s="2496">
        <f t="shared" si="76"/>
        <v>0</v>
      </c>
      <c r="J564" s="2496">
        <f t="shared" si="76"/>
        <v>0</v>
      </c>
      <c r="K564" s="2496">
        <f t="shared" si="76"/>
        <v>0</v>
      </c>
      <c r="L564" s="2496">
        <f t="shared" si="76"/>
        <v>0</v>
      </c>
      <c r="M564" s="2496">
        <f t="shared" si="76"/>
        <v>0</v>
      </c>
      <c r="N564" s="2496">
        <f t="shared" si="76"/>
        <v>0</v>
      </c>
      <c r="O564" s="2496">
        <f t="shared" si="76"/>
        <v>0</v>
      </c>
      <c r="P564" s="2496">
        <f t="shared" si="76"/>
        <v>0</v>
      </c>
      <c r="Q564" s="2496">
        <f t="shared" si="76"/>
        <v>0</v>
      </c>
      <c r="R564" s="2496">
        <f t="shared" si="76"/>
        <v>0</v>
      </c>
      <c r="S564" s="2496">
        <f t="shared" si="76"/>
        <v>0</v>
      </c>
      <c r="T564" s="2496">
        <f t="shared" si="76"/>
        <v>0</v>
      </c>
      <c r="U564" s="2496">
        <f t="shared" si="76"/>
        <v>0</v>
      </c>
      <c r="V564" s="2496">
        <f t="shared" si="76"/>
        <v>0</v>
      </c>
      <c r="W564" s="2496">
        <f t="shared" si="78"/>
        <v>0</v>
      </c>
      <c r="X564" s="2496">
        <f t="shared" si="78"/>
        <v>0</v>
      </c>
      <c r="Y564" s="2496">
        <f t="shared" si="78"/>
        <v>0</v>
      </c>
      <c r="Z564" s="2496">
        <f t="shared" si="78"/>
        <v>0</v>
      </c>
      <c r="AA564" s="2496">
        <f t="shared" si="78"/>
        <v>0</v>
      </c>
      <c r="AB564" s="2496">
        <f t="shared" si="78"/>
        <v>0</v>
      </c>
      <c r="AC564" s="2496">
        <f t="shared" si="78"/>
        <v>0</v>
      </c>
      <c r="AD564" s="2496">
        <f t="shared" si="78"/>
        <v>0</v>
      </c>
      <c r="AE564" s="2496">
        <f t="shared" si="78"/>
        <v>0</v>
      </c>
      <c r="AF564" s="2496">
        <f t="shared" si="78"/>
        <v>0</v>
      </c>
      <c r="AG564" s="2496">
        <f t="shared" si="78"/>
        <v>0</v>
      </c>
      <c r="AH564" s="2496">
        <f t="shared" si="78"/>
        <v>0</v>
      </c>
      <c r="AI564" s="2496">
        <f t="shared" si="78"/>
        <v>0</v>
      </c>
      <c r="AJ564" s="2496">
        <f t="shared" si="78"/>
        <v>0</v>
      </c>
      <c r="AK564" s="2496">
        <f t="shared" si="78"/>
        <v>0</v>
      </c>
      <c r="AL564" s="2496">
        <f t="shared" si="78"/>
        <v>0</v>
      </c>
      <c r="AM564" s="2496">
        <f t="shared" si="78"/>
        <v>0</v>
      </c>
      <c r="AN564" s="2496">
        <f t="shared" si="78"/>
        <v>0</v>
      </c>
      <c r="AO564" s="2496">
        <f t="shared" si="78"/>
        <v>0</v>
      </c>
      <c r="AP564" s="2496">
        <f t="shared" si="78"/>
        <v>0</v>
      </c>
      <c r="AQ564" s="2496">
        <f t="shared" si="78"/>
        <v>0</v>
      </c>
      <c r="AR564" s="2496">
        <f t="shared" si="78"/>
        <v>0</v>
      </c>
      <c r="AS564" s="2496">
        <f t="shared" si="78"/>
        <v>0</v>
      </c>
    </row>
    <row r="565" spans="2:45" s="2490" customFormat="1" x14ac:dyDescent="0.2">
      <c r="B565" s="2511"/>
      <c r="C565" s="2495" t="s">
        <v>1371</v>
      </c>
      <c r="D565" s="2493" t="s">
        <v>1537</v>
      </c>
      <c r="G565" s="2496">
        <f t="shared" si="76"/>
        <v>0</v>
      </c>
      <c r="H565" s="2496">
        <f t="shared" si="76"/>
        <v>0</v>
      </c>
      <c r="I565" s="2496">
        <f t="shared" si="76"/>
        <v>0</v>
      </c>
      <c r="J565" s="2496">
        <f t="shared" si="76"/>
        <v>0</v>
      </c>
      <c r="K565" s="2496">
        <f t="shared" si="76"/>
        <v>0</v>
      </c>
      <c r="L565" s="2496">
        <f t="shared" si="76"/>
        <v>0</v>
      </c>
      <c r="M565" s="2496">
        <f t="shared" si="76"/>
        <v>0</v>
      </c>
      <c r="N565" s="2496">
        <f t="shared" si="76"/>
        <v>0</v>
      </c>
      <c r="O565" s="2496">
        <f t="shared" si="76"/>
        <v>0</v>
      </c>
      <c r="P565" s="2496">
        <f t="shared" si="76"/>
        <v>0</v>
      </c>
      <c r="Q565" s="2496">
        <f t="shared" si="76"/>
        <v>0</v>
      </c>
      <c r="R565" s="2496">
        <f t="shared" si="76"/>
        <v>0</v>
      </c>
      <c r="S565" s="2496">
        <f t="shared" si="76"/>
        <v>0</v>
      </c>
      <c r="T565" s="2496">
        <f t="shared" si="76"/>
        <v>0</v>
      </c>
      <c r="U565" s="2496">
        <f t="shared" si="76"/>
        <v>0</v>
      </c>
      <c r="V565" s="2496">
        <f t="shared" si="76"/>
        <v>0</v>
      </c>
      <c r="W565" s="2496">
        <f t="shared" si="78"/>
        <v>0</v>
      </c>
      <c r="X565" s="2496">
        <f t="shared" si="78"/>
        <v>0</v>
      </c>
      <c r="Y565" s="2496">
        <f t="shared" si="78"/>
        <v>0</v>
      </c>
      <c r="Z565" s="2496">
        <f t="shared" si="78"/>
        <v>0</v>
      </c>
      <c r="AA565" s="2496">
        <f t="shared" si="78"/>
        <v>0</v>
      </c>
      <c r="AB565" s="2496">
        <f t="shared" si="78"/>
        <v>0</v>
      </c>
      <c r="AC565" s="2496">
        <f t="shared" si="78"/>
        <v>0</v>
      </c>
      <c r="AD565" s="2496">
        <f t="shared" si="78"/>
        <v>0</v>
      </c>
      <c r="AE565" s="2496">
        <f t="shared" si="78"/>
        <v>0</v>
      </c>
      <c r="AF565" s="2496">
        <f t="shared" si="78"/>
        <v>0</v>
      </c>
      <c r="AG565" s="2496">
        <f t="shared" si="78"/>
        <v>0</v>
      </c>
      <c r="AH565" s="2496">
        <f t="shared" si="78"/>
        <v>0</v>
      </c>
      <c r="AI565" s="2496">
        <f t="shared" si="78"/>
        <v>0</v>
      </c>
      <c r="AJ565" s="2496">
        <f t="shared" si="78"/>
        <v>0</v>
      </c>
      <c r="AK565" s="2496">
        <f t="shared" si="78"/>
        <v>0</v>
      </c>
      <c r="AL565" s="2496">
        <f t="shared" si="78"/>
        <v>0</v>
      </c>
      <c r="AM565" s="2496">
        <f t="shared" si="78"/>
        <v>0</v>
      </c>
      <c r="AN565" s="2496">
        <f t="shared" si="78"/>
        <v>0</v>
      </c>
      <c r="AO565" s="2496">
        <f t="shared" si="78"/>
        <v>0</v>
      </c>
      <c r="AP565" s="2496">
        <f t="shared" si="78"/>
        <v>0</v>
      </c>
      <c r="AQ565" s="2496">
        <f t="shared" si="78"/>
        <v>0</v>
      </c>
      <c r="AR565" s="2496">
        <f t="shared" si="78"/>
        <v>0</v>
      </c>
      <c r="AS565" s="2496">
        <f t="shared" si="78"/>
        <v>0</v>
      </c>
    </row>
    <row r="566" spans="2:45" s="2490" customFormat="1" x14ac:dyDescent="0.2">
      <c r="B566" s="2511"/>
      <c r="C566" s="2489" t="s">
        <v>1372</v>
      </c>
      <c r="D566" s="2493" t="s">
        <v>1537</v>
      </c>
      <c r="G566" s="2496">
        <f t="shared" si="76"/>
        <v>0</v>
      </c>
      <c r="H566" s="2496">
        <f t="shared" si="76"/>
        <v>0</v>
      </c>
      <c r="I566" s="2496">
        <f t="shared" si="76"/>
        <v>0</v>
      </c>
      <c r="J566" s="2496">
        <f t="shared" si="76"/>
        <v>0</v>
      </c>
      <c r="K566" s="2496">
        <f t="shared" si="76"/>
        <v>0</v>
      </c>
      <c r="L566" s="2496">
        <f t="shared" si="76"/>
        <v>0</v>
      </c>
      <c r="M566" s="2496">
        <f t="shared" si="76"/>
        <v>0</v>
      </c>
      <c r="N566" s="2496">
        <f t="shared" si="76"/>
        <v>0</v>
      </c>
      <c r="O566" s="2496">
        <f t="shared" si="76"/>
        <v>0</v>
      </c>
      <c r="P566" s="2496">
        <f t="shared" si="76"/>
        <v>0</v>
      </c>
      <c r="Q566" s="2496">
        <f t="shared" si="76"/>
        <v>0</v>
      </c>
      <c r="R566" s="2496">
        <f t="shared" si="76"/>
        <v>0</v>
      </c>
      <c r="S566" s="2496">
        <f t="shared" si="76"/>
        <v>0</v>
      </c>
      <c r="T566" s="2496">
        <f t="shared" si="76"/>
        <v>0</v>
      </c>
      <c r="U566" s="2496">
        <f t="shared" si="76"/>
        <v>0</v>
      </c>
      <c r="V566" s="2496">
        <f t="shared" si="76"/>
        <v>0</v>
      </c>
      <c r="W566" s="2496">
        <f t="shared" si="78"/>
        <v>0</v>
      </c>
      <c r="X566" s="2496">
        <f t="shared" si="78"/>
        <v>0</v>
      </c>
      <c r="Y566" s="2496">
        <f t="shared" si="78"/>
        <v>0</v>
      </c>
      <c r="Z566" s="2496">
        <f t="shared" si="78"/>
        <v>0</v>
      </c>
      <c r="AA566" s="2496">
        <f t="shared" si="78"/>
        <v>0</v>
      </c>
      <c r="AB566" s="2496">
        <f t="shared" si="78"/>
        <v>0</v>
      </c>
      <c r="AC566" s="2496">
        <f t="shared" si="78"/>
        <v>0</v>
      </c>
      <c r="AD566" s="2496">
        <f t="shared" si="78"/>
        <v>0</v>
      </c>
      <c r="AE566" s="2496">
        <f t="shared" si="78"/>
        <v>0</v>
      </c>
      <c r="AF566" s="2496">
        <f t="shared" si="78"/>
        <v>0</v>
      </c>
      <c r="AG566" s="2496">
        <f t="shared" si="78"/>
        <v>0</v>
      </c>
      <c r="AH566" s="2496">
        <f t="shared" si="78"/>
        <v>0</v>
      </c>
      <c r="AI566" s="2496">
        <f t="shared" si="78"/>
        <v>0</v>
      </c>
      <c r="AJ566" s="2496">
        <f t="shared" si="78"/>
        <v>0</v>
      </c>
      <c r="AK566" s="2496">
        <f t="shared" si="78"/>
        <v>0</v>
      </c>
      <c r="AL566" s="2496">
        <f t="shared" si="78"/>
        <v>0</v>
      </c>
      <c r="AM566" s="2496">
        <f t="shared" si="78"/>
        <v>0</v>
      </c>
      <c r="AN566" s="2496">
        <f t="shared" si="78"/>
        <v>0</v>
      </c>
      <c r="AO566" s="2496">
        <f t="shared" si="78"/>
        <v>0</v>
      </c>
      <c r="AP566" s="2496">
        <f t="shared" si="78"/>
        <v>0</v>
      </c>
      <c r="AQ566" s="2496">
        <f t="shared" si="78"/>
        <v>0</v>
      </c>
      <c r="AR566" s="2496">
        <f t="shared" si="78"/>
        <v>0</v>
      </c>
      <c r="AS566" s="2496">
        <f t="shared" si="78"/>
        <v>0</v>
      </c>
    </row>
    <row r="567" spans="2:45" s="2490" customFormat="1" x14ac:dyDescent="0.2">
      <c r="B567" s="2511"/>
      <c r="C567" s="2489" t="s">
        <v>1373</v>
      </c>
      <c r="D567" s="2493" t="s">
        <v>1537</v>
      </c>
      <c r="G567" s="2496">
        <f t="shared" si="76"/>
        <v>0</v>
      </c>
      <c r="H567" s="2496">
        <f t="shared" si="76"/>
        <v>0</v>
      </c>
      <c r="I567" s="2496">
        <f t="shared" si="76"/>
        <v>0</v>
      </c>
      <c r="J567" s="2496">
        <f t="shared" si="76"/>
        <v>0</v>
      </c>
      <c r="K567" s="2496">
        <f t="shared" si="76"/>
        <v>0</v>
      </c>
      <c r="L567" s="2496">
        <f t="shared" si="76"/>
        <v>0</v>
      </c>
      <c r="M567" s="2496">
        <f t="shared" si="76"/>
        <v>0</v>
      </c>
      <c r="N567" s="2496">
        <f t="shared" si="76"/>
        <v>0</v>
      </c>
      <c r="O567" s="2496">
        <f t="shared" si="76"/>
        <v>0</v>
      </c>
      <c r="P567" s="2496">
        <f t="shared" si="76"/>
        <v>0</v>
      </c>
      <c r="Q567" s="2496">
        <f t="shared" si="76"/>
        <v>0</v>
      </c>
      <c r="R567" s="2496">
        <f t="shared" si="76"/>
        <v>0</v>
      </c>
      <c r="S567" s="2496">
        <f t="shared" si="76"/>
        <v>0</v>
      </c>
      <c r="T567" s="2496">
        <f t="shared" si="76"/>
        <v>0</v>
      </c>
      <c r="U567" s="2496">
        <f t="shared" si="76"/>
        <v>0</v>
      </c>
      <c r="V567" s="2496">
        <f t="shared" si="76"/>
        <v>0</v>
      </c>
      <c r="W567" s="2496">
        <f t="shared" si="78"/>
        <v>0</v>
      </c>
      <c r="X567" s="2496">
        <f t="shared" si="78"/>
        <v>0</v>
      </c>
      <c r="Y567" s="2496">
        <f t="shared" si="78"/>
        <v>0</v>
      </c>
      <c r="Z567" s="2496">
        <f t="shared" si="78"/>
        <v>0</v>
      </c>
      <c r="AA567" s="2496">
        <f t="shared" si="78"/>
        <v>0</v>
      </c>
      <c r="AB567" s="2496">
        <f t="shared" si="78"/>
        <v>0</v>
      </c>
      <c r="AC567" s="2496">
        <f t="shared" si="78"/>
        <v>0</v>
      </c>
      <c r="AD567" s="2496">
        <f t="shared" si="78"/>
        <v>0</v>
      </c>
      <c r="AE567" s="2496">
        <f t="shared" si="78"/>
        <v>0</v>
      </c>
      <c r="AF567" s="2496">
        <f t="shared" si="78"/>
        <v>0</v>
      </c>
      <c r="AG567" s="2496">
        <f t="shared" si="78"/>
        <v>0</v>
      </c>
      <c r="AH567" s="2496">
        <f t="shared" si="78"/>
        <v>0</v>
      </c>
      <c r="AI567" s="2496">
        <f t="shared" si="78"/>
        <v>0</v>
      </c>
      <c r="AJ567" s="2496">
        <f t="shared" si="78"/>
        <v>0</v>
      </c>
      <c r="AK567" s="2496">
        <f t="shared" si="78"/>
        <v>0</v>
      </c>
      <c r="AL567" s="2496">
        <f t="shared" si="78"/>
        <v>0</v>
      </c>
      <c r="AM567" s="2496">
        <f t="shared" si="78"/>
        <v>0</v>
      </c>
      <c r="AN567" s="2496">
        <f t="shared" si="78"/>
        <v>0</v>
      </c>
      <c r="AO567" s="2496">
        <f t="shared" si="78"/>
        <v>0</v>
      </c>
      <c r="AP567" s="2496">
        <f t="shared" si="78"/>
        <v>0</v>
      </c>
      <c r="AQ567" s="2496">
        <f t="shared" si="78"/>
        <v>0</v>
      </c>
      <c r="AR567" s="2496">
        <f t="shared" si="78"/>
        <v>0</v>
      </c>
      <c r="AS567" s="2496">
        <f t="shared" si="78"/>
        <v>0</v>
      </c>
    </row>
    <row r="568" spans="2:45" s="2490" customFormat="1" x14ac:dyDescent="0.2">
      <c r="B568" s="2511"/>
      <c r="C568" s="2489" t="s">
        <v>1374</v>
      </c>
      <c r="D568" s="2493" t="s">
        <v>1537</v>
      </c>
      <c r="G568" s="2496">
        <f t="shared" si="76"/>
        <v>0</v>
      </c>
      <c r="H568" s="2496">
        <f t="shared" si="76"/>
        <v>0</v>
      </c>
      <c r="I568" s="2496">
        <f t="shared" si="76"/>
        <v>0</v>
      </c>
      <c r="J568" s="2496">
        <f t="shared" si="76"/>
        <v>0</v>
      </c>
      <c r="K568" s="2496">
        <f t="shared" si="76"/>
        <v>0</v>
      </c>
      <c r="L568" s="2496">
        <f t="shared" si="76"/>
        <v>0</v>
      </c>
      <c r="M568" s="2496">
        <f t="shared" si="76"/>
        <v>0</v>
      </c>
      <c r="N568" s="2496">
        <f t="shared" si="76"/>
        <v>0</v>
      </c>
      <c r="O568" s="2496">
        <f t="shared" si="76"/>
        <v>0</v>
      </c>
      <c r="P568" s="2496">
        <f t="shared" si="76"/>
        <v>0</v>
      </c>
      <c r="Q568" s="2496">
        <f t="shared" si="76"/>
        <v>0</v>
      </c>
      <c r="R568" s="2496">
        <f t="shared" si="76"/>
        <v>0</v>
      </c>
      <c r="S568" s="2496">
        <f t="shared" si="76"/>
        <v>0</v>
      </c>
      <c r="T568" s="2496">
        <f t="shared" si="76"/>
        <v>0</v>
      </c>
      <c r="U568" s="2496">
        <f t="shared" si="76"/>
        <v>0</v>
      </c>
      <c r="V568" s="2496">
        <f t="shared" si="76"/>
        <v>0</v>
      </c>
      <c r="W568" s="2496">
        <f t="shared" si="78"/>
        <v>0</v>
      </c>
      <c r="X568" s="2496">
        <f t="shared" si="78"/>
        <v>0</v>
      </c>
      <c r="Y568" s="2496">
        <f t="shared" si="78"/>
        <v>0</v>
      </c>
      <c r="Z568" s="2496">
        <f t="shared" si="78"/>
        <v>0</v>
      </c>
      <c r="AA568" s="2496">
        <f t="shared" si="78"/>
        <v>0</v>
      </c>
      <c r="AB568" s="2496">
        <f t="shared" si="78"/>
        <v>0</v>
      </c>
      <c r="AC568" s="2496">
        <f t="shared" si="78"/>
        <v>0</v>
      </c>
      <c r="AD568" s="2496">
        <f t="shared" si="78"/>
        <v>0</v>
      </c>
      <c r="AE568" s="2496">
        <f t="shared" si="78"/>
        <v>0</v>
      </c>
      <c r="AF568" s="2496">
        <f t="shared" si="78"/>
        <v>0</v>
      </c>
      <c r="AG568" s="2496">
        <f t="shared" si="78"/>
        <v>0</v>
      </c>
      <c r="AH568" s="2496">
        <f t="shared" si="78"/>
        <v>0</v>
      </c>
      <c r="AI568" s="2496">
        <f t="shared" si="78"/>
        <v>0</v>
      </c>
      <c r="AJ568" s="2496">
        <f t="shared" si="78"/>
        <v>0</v>
      </c>
      <c r="AK568" s="2496">
        <f t="shared" si="78"/>
        <v>0</v>
      </c>
      <c r="AL568" s="2496">
        <f t="shared" si="78"/>
        <v>0</v>
      </c>
      <c r="AM568" s="2496">
        <f t="shared" si="78"/>
        <v>0</v>
      </c>
      <c r="AN568" s="2496">
        <f t="shared" si="78"/>
        <v>0</v>
      </c>
      <c r="AO568" s="2496">
        <f t="shared" si="78"/>
        <v>0</v>
      </c>
      <c r="AP568" s="2496">
        <f t="shared" si="78"/>
        <v>0</v>
      </c>
      <c r="AQ568" s="2496">
        <f t="shared" si="78"/>
        <v>0</v>
      </c>
      <c r="AR568" s="2496">
        <f t="shared" si="78"/>
        <v>0</v>
      </c>
      <c r="AS568" s="2496">
        <f t="shared" si="78"/>
        <v>0</v>
      </c>
    </row>
    <row r="569" spans="2:45" s="2490" customFormat="1" x14ac:dyDescent="0.2">
      <c r="B569" s="2511"/>
      <c r="C569" s="2489" t="s">
        <v>1375</v>
      </c>
      <c r="D569" s="2493" t="s">
        <v>1537</v>
      </c>
      <c r="G569" s="2496">
        <f t="shared" si="76"/>
        <v>0</v>
      </c>
      <c r="H569" s="2496">
        <f t="shared" si="76"/>
        <v>0</v>
      </c>
      <c r="I569" s="2496">
        <f t="shared" si="76"/>
        <v>0</v>
      </c>
      <c r="J569" s="2496">
        <f t="shared" si="76"/>
        <v>0</v>
      </c>
      <c r="K569" s="2496">
        <f t="shared" si="76"/>
        <v>0</v>
      </c>
      <c r="L569" s="2496">
        <f t="shared" si="76"/>
        <v>0</v>
      </c>
      <c r="M569" s="2496">
        <f t="shared" si="76"/>
        <v>0</v>
      </c>
      <c r="N569" s="2496">
        <f t="shared" si="76"/>
        <v>0</v>
      </c>
      <c r="O569" s="2496">
        <f t="shared" si="76"/>
        <v>0</v>
      </c>
      <c r="P569" s="2496">
        <f t="shared" si="76"/>
        <v>0</v>
      </c>
      <c r="Q569" s="2496">
        <f t="shared" si="76"/>
        <v>0</v>
      </c>
      <c r="R569" s="2496">
        <f t="shared" si="76"/>
        <v>0</v>
      </c>
      <c r="S569" s="2496">
        <f t="shared" si="76"/>
        <v>0</v>
      </c>
      <c r="T569" s="2496">
        <f t="shared" si="76"/>
        <v>0</v>
      </c>
      <c r="U569" s="2496">
        <f t="shared" si="76"/>
        <v>0</v>
      </c>
      <c r="V569" s="2496">
        <f t="shared" si="76"/>
        <v>0</v>
      </c>
      <c r="W569" s="2496">
        <f t="shared" si="78"/>
        <v>0</v>
      </c>
      <c r="X569" s="2496">
        <f t="shared" si="78"/>
        <v>0</v>
      </c>
      <c r="Y569" s="2496">
        <f t="shared" si="78"/>
        <v>0</v>
      </c>
      <c r="Z569" s="2496">
        <f t="shared" si="78"/>
        <v>0</v>
      </c>
      <c r="AA569" s="2496">
        <f t="shared" si="78"/>
        <v>0</v>
      </c>
      <c r="AB569" s="2496">
        <f t="shared" si="78"/>
        <v>0</v>
      </c>
      <c r="AC569" s="2496">
        <f t="shared" si="78"/>
        <v>0</v>
      </c>
      <c r="AD569" s="2496">
        <f t="shared" si="78"/>
        <v>0</v>
      </c>
      <c r="AE569" s="2496">
        <f t="shared" si="78"/>
        <v>0</v>
      </c>
      <c r="AF569" s="2496">
        <f t="shared" si="78"/>
        <v>0</v>
      </c>
      <c r="AG569" s="2496">
        <f t="shared" si="78"/>
        <v>0</v>
      </c>
      <c r="AH569" s="2496">
        <f t="shared" si="78"/>
        <v>0</v>
      </c>
      <c r="AI569" s="2496">
        <f t="shared" si="78"/>
        <v>0</v>
      </c>
      <c r="AJ569" s="2496">
        <f t="shared" si="78"/>
        <v>0</v>
      </c>
      <c r="AK569" s="2496">
        <f t="shared" si="78"/>
        <v>0</v>
      </c>
      <c r="AL569" s="2496">
        <f t="shared" si="78"/>
        <v>0</v>
      </c>
      <c r="AM569" s="2496">
        <f t="shared" si="78"/>
        <v>0</v>
      </c>
      <c r="AN569" s="2496">
        <f t="shared" si="78"/>
        <v>0</v>
      </c>
      <c r="AO569" s="2496">
        <f t="shared" si="78"/>
        <v>0</v>
      </c>
      <c r="AP569" s="2496">
        <f t="shared" si="78"/>
        <v>0</v>
      </c>
      <c r="AQ569" s="2496">
        <f t="shared" si="78"/>
        <v>0</v>
      </c>
      <c r="AR569" s="2496">
        <f t="shared" si="78"/>
        <v>0</v>
      </c>
      <c r="AS569" s="2496">
        <f t="shared" si="78"/>
        <v>0</v>
      </c>
    </row>
    <row r="570" spans="2:45" s="2490" customFormat="1" x14ac:dyDescent="0.2">
      <c r="B570" s="2511"/>
      <c r="C570" s="2489" t="s">
        <v>1376</v>
      </c>
      <c r="D570" s="2493" t="s">
        <v>1537</v>
      </c>
      <c r="G570" s="2496">
        <f t="shared" si="76"/>
        <v>0</v>
      </c>
      <c r="H570" s="2496">
        <f t="shared" si="76"/>
        <v>0</v>
      </c>
      <c r="I570" s="2496">
        <f t="shared" si="76"/>
        <v>0</v>
      </c>
      <c r="J570" s="2496">
        <f t="shared" si="76"/>
        <v>0</v>
      </c>
      <c r="K570" s="2496">
        <f t="shared" si="76"/>
        <v>0</v>
      </c>
      <c r="L570" s="2496">
        <f t="shared" si="76"/>
        <v>0</v>
      </c>
      <c r="M570" s="2496">
        <f t="shared" si="76"/>
        <v>0</v>
      </c>
      <c r="N570" s="2496">
        <f t="shared" si="76"/>
        <v>0</v>
      </c>
      <c r="O570" s="2496">
        <f t="shared" si="76"/>
        <v>0</v>
      </c>
      <c r="P570" s="2496">
        <f t="shared" si="76"/>
        <v>0</v>
      </c>
      <c r="Q570" s="2496">
        <f t="shared" si="76"/>
        <v>0</v>
      </c>
      <c r="R570" s="2496">
        <f t="shared" si="76"/>
        <v>0</v>
      </c>
      <c r="S570" s="2496">
        <f t="shared" si="76"/>
        <v>0</v>
      </c>
      <c r="T570" s="2496">
        <f t="shared" si="76"/>
        <v>0</v>
      </c>
      <c r="U570" s="2496">
        <f t="shared" si="76"/>
        <v>0</v>
      </c>
      <c r="V570" s="2496">
        <f t="shared" si="76"/>
        <v>0</v>
      </c>
      <c r="W570" s="2496">
        <f t="shared" si="78"/>
        <v>0</v>
      </c>
      <c r="X570" s="2496">
        <f t="shared" si="78"/>
        <v>0</v>
      </c>
      <c r="Y570" s="2496">
        <f t="shared" si="78"/>
        <v>0</v>
      </c>
      <c r="Z570" s="2496">
        <f t="shared" si="78"/>
        <v>0</v>
      </c>
      <c r="AA570" s="2496">
        <f t="shared" si="78"/>
        <v>0</v>
      </c>
      <c r="AB570" s="2496">
        <f t="shared" si="78"/>
        <v>0</v>
      </c>
      <c r="AC570" s="2496">
        <f t="shared" si="78"/>
        <v>0</v>
      </c>
      <c r="AD570" s="2496">
        <f t="shared" si="78"/>
        <v>0</v>
      </c>
      <c r="AE570" s="2496">
        <f t="shared" si="78"/>
        <v>0</v>
      </c>
      <c r="AF570" s="2496">
        <f t="shared" si="78"/>
        <v>0</v>
      </c>
      <c r="AG570" s="2496">
        <f t="shared" si="78"/>
        <v>0</v>
      </c>
      <c r="AH570" s="2496">
        <f t="shared" si="78"/>
        <v>0</v>
      </c>
      <c r="AI570" s="2496">
        <f t="shared" si="78"/>
        <v>0</v>
      </c>
      <c r="AJ570" s="2496">
        <f t="shared" si="78"/>
        <v>0</v>
      </c>
      <c r="AK570" s="2496">
        <f t="shared" si="78"/>
        <v>0</v>
      </c>
      <c r="AL570" s="2496">
        <f t="shared" si="78"/>
        <v>0</v>
      </c>
      <c r="AM570" s="2496">
        <f t="shared" si="78"/>
        <v>0</v>
      </c>
      <c r="AN570" s="2496">
        <f t="shared" si="78"/>
        <v>0</v>
      </c>
      <c r="AO570" s="2496">
        <f t="shared" si="78"/>
        <v>0</v>
      </c>
      <c r="AP570" s="2496">
        <f t="shared" si="78"/>
        <v>0</v>
      </c>
      <c r="AQ570" s="2496">
        <f t="shared" si="78"/>
        <v>0</v>
      </c>
      <c r="AR570" s="2496">
        <f t="shared" si="78"/>
        <v>0</v>
      </c>
      <c r="AS570" s="2496">
        <f t="shared" si="78"/>
        <v>0</v>
      </c>
    </row>
    <row r="571" spans="2:45" s="2490" customFormat="1" x14ac:dyDescent="0.2">
      <c r="B571" s="2511"/>
      <c r="C571" s="2489" t="s">
        <v>1377</v>
      </c>
      <c r="D571" s="2493" t="s">
        <v>1537</v>
      </c>
      <c r="G571" s="2496">
        <f t="shared" si="76"/>
        <v>0</v>
      </c>
      <c r="H571" s="2496">
        <f t="shared" si="76"/>
        <v>0</v>
      </c>
      <c r="I571" s="2496">
        <f t="shared" si="76"/>
        <v>0</v>
      </c>
      <c r="J571" s="2496">
        <f t="shared" si="76"/>
        <v>0</v>
      </c>
      <c r="K571" s="2496">
        <f t="shared" si="76"/>
        <v>0</v>
      </c>
      <c r="L571" s="2496">
        <f t="shared" si="76"/>
        <v>0</v>
      </c>
      <c r="M571" s="2496">
        <f t="shared" si="76"/>
        <v>0</v>
      </c>
      <c r="N571" s="2496">
        <f t="shared" si="76"/>
        <v>0</v>
      </c>
      <c r="O571" s="2496">
        <f t="shared" si="76"/>
        <v>0</v>
      </c>
      <c r="P571" s="2496">
        <f t="shared" si="76"/>
        <v>0</v>
      </c>
      <c r="Q571" s="2496">
        <f t="shared" si="76"/>
        <v>0</v>
      </c>
      <c r="R571" s="2496">
        <f t="shared" si="76"/>
        <v>0</v>
      </c>
      <c r="S571" s="2496">
        <f t="shared" si="76"/>
        <v>0</v>
      </c>
      <c r="T571" s="2496">
        <f t="shared" si="76"/>
        <v>0</v>
      </c>
      <c r="U571" s="2496">
        <f t="shared" si="76"/>
        <v>0</v>
      </c>
      <c r="V571" s="2496">
        <f t="shared" si="76"/>
        <v>0</v>
      </c>
      <c r="W571" s="2496">
        <f t="shared" si="78"/>
        <v>0</v>
      </c>
      <c r="X571" s="2496">
        <f t="shared" si="78"/>
        <v>0</v>
      </c>
      <c r="Y571" s="2496">
        <f t="shared" si="78"/>
        <v>0</v>
      </c>
      <c r="Z571" s="2496">
        <f t="shared" si="78"/>
        <v>0</v>
      </c>
      <c r="AA571" s="2496">
        <f t="shared" si="78"/>
        <v>0</v>
      </c>
      <c r="AB571" s="2496">
        <f t="shared" si="78"/>
        <v>0</v>
      </c>
      <c r="AC571" s="2496">
        <f t="shared" si="78"/>
        <v>0</v>
      </c>
      <c r="AD571" s="2496">
        <f t="shared" si="78"/>
        <v>0</v>
      </c>
      <c r="AE571" s="2496">
        <f t="shared" si="78"/>
        <v>0</v>
      </c>
      <c r="AF571" s="2496">
        <f t="shared" si="78"/>
        <v>0</v>
      </c>
      <c r="AG571" s="2496">
        <f t="shared" si="78"/>
        <v>0</v>
      </c>
      <c r="AH571" s="2496">
        <f t="shared" si="78"/>
        <v>0</v>
      </c>
      <c r="AI571" s="2496">
        <f t="shared" si="78"/>
        <v>0</v>
      </c>
      <c r="AJ571" s="2496">
        <f t="shared" si="78"/>
        <v>0</v>
      </c>
      <c r="AK571" s="2496">
        <f t="shared" si="78"/>
        <v>0</v>
      </c>
      <c r="AL571" s="2496">
        <f t="shared" si="78"/>
        <v>0</v>
      </c>
      <c r="AM571" s="2496">
        <f t="shared" si="78"/>
        <v>0</v>
      </c>
      <c r="AN571" s="2496">
        <f t="shared" si="78"/>
        <v>0</v>
      </c>
      <c r="AO571" s="2496">
        <f t="shared" si="78"/>
        <v>0</v>
      </c>
      <c r="AP571" s="2496">
        <f t="shared" si="78"/>
        <v>0</v>
      </c>
      <c r="AQ571" s="2496">
        <f t="shared" si="78"/>
        <v>0</v>
      </c>
      <c r="AR571" s="2496">
        <f t="shared" si="78"/>
        <v>0</v>
      </c>
      <c r="AS571" s="2496">
        <f t="shared" si="78"/>
        <v>0</v>
      </c>
    </row>
    <row r="572" spans="2:45" s="2490" customFormat="1" x14ac:dyDescent="0.2">
      <c r="B572" s="2511"/>
      <c r="C572" s="2495" t="s">
        <v>1378</v>
      </c>
      <c r="D572" s="2493" t="s">
        <v>1537</v>
      </c>
      <c r="G572" s="2496">
        <f t="shared" ref="G572:AS574" si="79">G86*G170*G189*$D$217*$F$257</f>
        <v>729930.81250611378</v>
      </c>
      <c r="H572" s="2496">
        <f t="shared" si="79"/>
        <v>756017.95586198475</v>
      </c>
      <c r="I572" s="2496">
        <f t="shared" si="79"/>
        <v>784779.88606637367</v>
      </c>
      <c r="J572" s="2496">
        <f t="shared" si="79"/>
        <v>814529.23437883728</v>
      </c>
      <c r="K572" s="2496">
        <f t="shared" si="79"/>
        <v>844546.39268206828</v>
      </c>
      <c r="L572" s="2496">
        <f t="shared" si="79"/>
        <v>874552.09662353154</v>
      </c>
      <c r="M572" s="2496">
        <f t="shared" si="79"/>
        <v>906369.06086956058</v>
      </c>
      <c r="N572" s="2496">
        <f t="shared" si="79"/>
        <v>939384.8822968707</v>
      </c>
      <c r="O572" s="2496">
        <f t="shared" si="79"/>
        <v>971855.45847258507</v>
      </c>
      <c r="P572" s="2496">
        <f t="shared" si="79"/>
        <v>1004560.321502473</v>
      </c>
      <c r="Q572" s="2496">
        <f t="shared" si="79"/>
        <v>1037522.8095185605</v>
      </c>
      <c r="R572" s="2496">
        <f t="shared" si="79"/>
        <v>1069307.5898778564</v>
      </c>
      <c r="S572" s="2496">
        <f t="shared" si="79"/>
        <v>1100238.9908903989</v>
      </c>
      <c r="T572" s="2496">
        <f t="shared" si="79"/>
        <v>1130527.1377342991</v>
      </c>
      <c r="U572" s="2496">
        <f t="shared" si="79"/>
        <v>1160303.8589584921</v>
      </c>
      <c r="V572" s="2496">
        <f t="shared" si="79"/>
        <v>1189642.7693263688</v>
      </c>
      <c r="W572" s="2496">
        <f t="shared" si="79"/>
        <v>1218585.7482897437</v>
      </c>
      <c r="X572" s="2496">
        <f t="shared" si="79"/>
        <v>1247296.5207282696</v>
      </c>
      <c r="Y572" s="2496">
        <f t="shared" si="79"/>
        <v>1275885.5306964605</v>
      </c>
      <c r="Z572" s="2496">
        <f t="shared" si="79"/>
        <v>1304419.721168211</v>
      </c>
      <c r="AA572" s="2496">
        <f t="shared" si="79"/>
        <v>1332938.9508061181</v>
      </c>
      <c r="AB572" s="2496">
        <f t="shared" si="79"/>
        <v>1361432.9085336027</v>
      </c>
      <c r="AC572" s="2496">
        <f t="shared" si="79"/>
        <v>1389918.0922150514</v>
      </c>
      <c r="AD572" s="2496">
        <f t="shared" si="79"/>
        <v>1418399.1390153312</v>
      </c>
      <c r="AE572" s="2496">
        <f t="shared" si="79"/>
        <v>1446872.3985784142</v>
      </c>
      <c r="AF572" s="2496">
        <f t="shared" si="79"/>
        <v>1475332.1744485046</v>
      </c>
      <c r="AG572" s="2496">
        <f t="shared" si="79"/>
        <v>1503763.8329143012</v>
      </c>
      <c r="AH572" s="2496">
        <f t="shared" si="79"/>
        <v>1532150.1393545647</v>
      </c>
      <c r="AI572" s="2496">
        <f t="shared" si="79"/>
        <v>1560471.9744269773</v>
      </c>
      <c r="AJ572" s="2496">
        <f t="shared" si="79"/>
        <v>1588749.464063989</v>
      </c>
      <c r="AK572" s="2496">
        <f t="shared" si="79"/>
        <v>1616949.5832055584</v>
      </c>
      <c r="AL572" s="2496">
        <f t="shared" si="79"/>
        <v>1645046.3558362878</v>
      </c>
      <c r="AM572" s="2496">
        <f t="shared" si="79"/>
        <v>1673006.0026782756</v>
      </c>
      <c r="AN572" s="2496">
        <f t="shared" si="79"/>
        <v>1700801.8556459423</v>
      </c>
      <c r="AO572" s="2496">
        <f t="shared" si="79"/>
        <v>1728412.3386638071</v>
      </c>
      <c r="AP572" s="2496">
        <f t="shared" si="79"/>
        <v>1755806.1203500498</v>
      </c>
      <c r="AQ572" s="2496">
        <f t="shared" si="79"/>
        <v>1782958.3297388051</v>
      </c>
      <c r="AR572" s="2496">
        <f t="shared" si="79"/>
        <v>1809844.1368717812</v>
      </c>
      <c r="AS572" s="2496">
        <f t="shared" si="79"/>
        <v>1836438.7427137808</v>
      </c>
    </row>
    <row r="573" spans="2:45" s="2490" customFormat="1" x14ac:dyDescent="0.2">
      <c r="B573" s="2511"/>
      <c r="C573" s="2495" t="s">
        <v>1379</v>
      </c>
      <c r="D573" s="2493" t="s">
        <v>1537</v>
      </c>
      <c r="G573" s="2496">
        <f t="shared" si="79"/>
        <v>12177.814364358825</v>
      </c>
      <c r="H573" s="2496">
        <f t="shared" si="79"/>
        <v>12613.03970851643</v>
      </c>
      <c r="I573" s="2496">
        <f t="shared" si="79"/>
        <v>13092.889909095213</v>
      </c>
      <c r="J573" s="2496">
        <f t="shared" si="79"/>
        <v>13589.213718150471</v>
      </c>
      <c r="K573" s="2496">
        <f t="shared" si="79"/>
        <v>14090.005540196284</v>
      </c>
      <c r="L573" s="2496">
        <f t="shared" si="79"/>
        <v>14590.606263183287</v>
      </c>
      <c r="M573" s="2496">
        <f t="shared" si="79"/>
        <v>15121.42518134252</v>
      </c>
      <c r="N573" s="2496">
        <f t="shared" si="79"/>
        <v>15672.245255711188</v>
      </c>
      <c r="O573" s="2496">
        <f t="shared" si="79"/>
        <v>16213.968720725636</v>
      </c>
      <c r="P573" s="2496">
        <f t="shared" si="79"/>
        <v>16759.600914854203</v>
      </c>
      <c r="Q573" s="2496">
        <f t="shared" si="79"/>
        <v>17309.531200259098</v>
      </c>
      <c r="R573" s="2496">
        <f t="shared" si="79"/>
        <v>17839.813177941996</v>
      </c>
      <c r="S573" s="2496">
        <f t="shared" si="79"/>
        <v>18355.857785330209</v>
      </c>
      <c r="T573" s="2496">
        <f t="shared" si="79"/>
        <v>18861.170649763335</v>
      </c>
      <c r="U573" s="2496">
        <f t="shared" si="79"/>
        <v>19357.95113530345</v>
      </c>
      <c r="V573" s="2496">
        <f t="shared" si="79"/>
        <v>19847.427395232648</v>
      </c>
      <c r="W573" s="2496">
        <f t="shared" si="79"/>
        <v>20330.298126168625</v>
      </c>
      <c r="X573" s="2496">
        <f t="shared" si="79"/>
        <v>20809.294835203684</v>
      </c>
      <c r="Y573" s="2496">
        <f t="shared" si="79"/>
        <v>21286.260117787257</v>
      </c>
      <c r="Z573" s="2496">
        <f t="shared" si="79"/>
        <v>21762.310818276521</v>
      </c>
      <c r="AA573" s="2496">
        <f t="shared" si="79"/>
        <v>22238.111919414514</v>
      </c>
      <c r="AB573" s="2496">
        <f t="shared" si="79"/>
        <v>22713.49139616223</v>
      </c>
      <c r="AC573" s="2496">
        <f t="shared" si="79"/>
        <v>23188.724490948778</v>
      </c>
      <c r="AD573" s="2496">
        <f t="shared" si="79"/>
        <v>23663.888568000977</v>
      </c>
      <c r="AE573" s="2496">
        <f t="shared" si="79"/>
        <v>24138.922726535733</v>
      </c>
      <c r="AF573" s="2496">
        <f t="shared" si="79"/>
        <v>24613.73192962621</v>
      </c>
      <c r="AG573" s="2496">
        <f t="shared" si="79"/>
        <v>25088.072035476202</v>
      </c>
      <c r="AH573" s="2496">
        <f t="shared" si="79"/>
        <v>25561.655509959877</v>
      </c>
      <c r="AI573" s="2496">
        <f t="shared" si="79"/>
        <v>26034.163375172015</v>
      </c>
      <c r="AJ573" s="2496">
        <f t="shared" si="79"/>
        <v>26505.931402483136</v>
      </c>
      <c r="AK573" s="2496">
        <f t="shared" si="79"/>
        <v>26976.408617686262</v>
      </c>
      <c r="AL573" s="2496">
        <f t="shared" si="79"/>
        <v>27445.16164944262</v>
      </c>
      <c r="AM573" s="2496">
        <f t="shared" si="79"/>
        <v>27911.626940537455</v>
      </c>
      <c r="AN573" s="2496">
        <f t="shared" si="79"/>
        <v>28375.359573466176</v>
      </c>
      <c r="AO573" s="2496">
        <f t="shared" si="79"/>
        <v>28835.999583369885</v>
      </c>
      <c r="AP573" s="2496">
        <f t="shared" si="79"/>
        <v>29293.024252553914</v>
      </c>
      <c r="AQ573" s="2496">
        <f t="shared" si="79"/>
        <v>29746.018645794007</v>
      </c>
      <c r="AR573" s="2496">
        <f t="shared" si="79"/>
        <v>30194.568512016569</v>
      </c>
      <c r="AS573" s="2496">
        <f t="shared" si="79"/>
        <v>30638.260116053967</v>
      </c>
    </row>
    <row r="574" spans="2:45" s="2490" customFormat="1" x14ac:dyDescent="0.2">
      <c r="B574" s="2511"/>
      <c r="C574" s="2495" t="s">
        <v>1380</v>
      </c>
      <c r="D574" s="2493" t="s">
        <v>1537</v>
      </c>
      <c r="G574" s="2496">
        <f t="shared" si="79"/>
        <v>2124637.4404222444</v>
      </c>
      <c r="H574" s="2496">
        <f t="shared" si="79"/>
        <v>2200570.2830121461</v>
      </c>
      <c r="I574" s="2496">
        <f t="shared" si="79"/>
        <v>2284288.7296430655</v>
      </c>
      <c r="J574" s="2496">
        <f t="shared" si="79"/>
        <v>2370881.2918008557</v>
      </c>
      <c r="K574" s="2496">
        <f t="shared" si="79"/>
        <v>2458253.3787075058</v>
      </c>
      <c r="L574" s="2496">
        <f t="shared" si="79"/>
        <v>2545592.1249667262</v>
      </c>
      <c r="M574" s="2496">
        <f t="shared" si="79"/>
        <v>2638202.9756384445</v>
      </c>
      <c r="N574" s="2496">
        <f t="shared" si="79"/>
        <v>2734303.3856073278</v>
      </c>
      <c r="O574" s="2496">
        <f t="shared" si="79"/>
        <v>2828816.7294380181</v>
      </c>
      <c r="P574" s="2496">
        <f t="shared" si="79"/>
        <v>2924012.0209460049</v>
      </c>
      <c r="Q574" s="2496">
        <f t="shared" si="79"/>
        <v>3019957.1913218098</v>
      </c>
      <c r="R574" s="2496">
        <f t="shared" si="79"/>
        <v>3112474.363127586</v>
      </c>
      <c r="S574" s="2496">
        <f t="shared" si="79"/>
        <v>3202507.5711385324</v>
      </c>
      <c r="T574" s="2496">
        <f t="shared" si="79"/>
        <v>3290668.4347204063</v>
      </c>
      <c r="U574" s="2496">
        <f t="shared" si="79"/>
        <v>3377340.6722558034</v>
      </c>
      <c r="V574" s="2496">
        <f t="shared" si="79"/>
        <v>3462738.5570426742</v>
      </c>
      <c r="W574" s="2496">
        <f t="shared" si="79"/>
        <v>3546983.9891978269</v>
      </c>
      <c r="X574" s="2496">
        <f t="shared" si="79"/>
        <v>3630553.5289695486</v>
      </c>
      <c r="Y574" s="2496">
        <f t="shared" si="79"/>
        <v>3713768.6500773649</v>
      </c>
      <c r="Z574" s="2496">
        <f t="shared" si="79"/>
        <v>3796824.2059872109</v>
      </c>
      <c r="AA574" s="2496">
        <f t="shared" si="79"/>
        <v>3879836.2148276926</v>
      </c>
      <c r="AB574" s="2496">
        <f t="shared" si="79"/>
        <v>3962774.6637551594</v>
      </c>
      <c r="AC574" s="2496">
        <f t="shared" si="79"/>
        <v>4045687.5737323682</v>
      </c>
      <c r="AD574" s="2496">
        <f t="shared" si="79"/>
        <v>4128588.442331864</v>
      </c>
      <c r="AE574" s="2496">
        <f t="shared" si="79"/>
        <v>4211466.6443232084</v>
      </c>
      <c r="AF574" s="2496">
        <f t="shared" si="79"/>
        <v>4294305.5988153676</v>
      </c>
      <c r="AG574" s="2496">
        <f t="shared" si="79"/>
        <v>4377062.7109070336</v>
      </c>
      <c r="AH574" s="2496">
        <f t="shared" si="79"/>
        <v>4459687.8151291925</v>
      </c>
      <c r="AI574" s="2496">
        <f t="shared" si="79"/>
        <v>4542125.2600833448</v>
      </c>
      <c r="AJ574" s="2496">
        <f t="shared" si="79"/>
        <v>4624433.627088258</v>
      </c>
      <c r="AK574" s="2496">
        <f t="shared" si="79"/>
        <v>4706516.7888427749</v>
      </c>
      <c r="AL574" s="2496">
        <f t="shared" si="79"/>
        <v>4788299.1359686935</v>
      </c>
      <c r="AM574" s="2496">
        <f t="shared" si="79"/>
        <v>4869682.3458341807</v>
      </c>
      <c r="AN574" s="2496">
        <f t="shared" si="79"/>
        <v>4950588.7946259724</v>
      </c>
      <c r="AO574" s="2496">
        <f t="shared" si="79"/>
        <v>5030955.6800386999</v>
      </c>
      <c r="AP574" s="2496">
        <f t="shared" si="79"/>
        <v>5110691.8046249691</v>
      </c>
      <c r="AQ574" s="2496">
        <f t="shared" si="79"/>
        <v>5189724.7755163731</v>
      </c>
      <c r="AR574" s="2496">
        <f t="shared" si="79"/>
        <v>5267982.3192068087</v>
      </c>
      <c r="AS574" s="2496">
        <f t="shared" si="79"/>
        <v>5345392.2521992046</v>
      </c>
    </row>
    <row r="575" spans="2:45" s="2490" customFormat="1" x14ac:dyDescent="0.2">
      <c r="B575" s="2511"/>
      <c r="C575" s="2489" t="s">
        <v>1381</v>
      </c>
      <c r="D575" s="2493" t="s">
        <v>1537</v>
      </c>
      <c r="G575" s="2496">
        <f t="shared" ref="G575:AS575" si="80">G89*G173*G192*$D$217*$F$254</f>
        <v>1124424.707732646</v>
      </c>
      <c r="H575" s="2496">
        <f t="shared" si="80"/>
        <v>1142920.9078388826</v>
      </c>
      <c r="I575" s="2496">
        <f t="shared" si="80"/>
        <v>1166954.0170413193</v>
      </c>
      <c r="J575" s="2496">
        <f t="shared" si="80"/>
        <v>1190411.5970050783</v>
      </c>
      <c r="K575" s="2496">
        <f t="shared" si="80"/>
        <v>1213842.5418408611</v>
      </c>
      <c r="L575" s="2496">
        <f t="shared" si="80"/>
        <v>1237045.9496470203</v>
      </c>
      <c r="M575" s="2496">
        <f t="shared" si="80"/>
        <v>1259754.8612969101</v>
      </c>
      <c r="N575" s="2496">
        <f t="shared" si="80"/>
        <v>1282346.2758806199</v>
      </c>
      <c r="O575" s="2496">
        <f t="shared" si="80"/>
        <v>1304790.6746252025</v>
      </c>
      <c r="P575" s="2496">
        <f t="shared" si="80"/>
        <v>1326919.9041458347</v>
      </c>
      <c r="Q575" s="2496">
        <f t="shared" si="80"/>
        <v>1348509.1602939055</v>
      </c>
      <c r="R575" s="2496">
        <f t="shared" si="80"/>
        <v>1371449.9138032547</v>
      </c>
      <c r="S575" s="2496">
        <f t="shared" si="80"/>
        <v>1395142.2016052792</v>
      </c>
      <c r="T575" s="2496">
        <f t="shared" si="80"/>
        <v>1419192.268008491</v>
      </c>
      <c r="U575" s="2496">
        <f t="shared" si="80"/>
        <v>1443338.9376128837</v>
      </c>
      <c r="V575" s="2496">
        <f t="shared" si="80"/>
        <v>1467401.8978748685</v>
      </c>
      <c r="W575" s="2496">
        <f t="shared" si="80"/>
        <v>1491261.0569177587</v>
      </c>
      <c r="X575" s="2496">
        <f t="shared" si="80"/>
        <v>1514973.9073419748</v>
      </c>
      <c r="Y575" s="2496">
        <f t="shared" si="80"/>
        <v>1538575.2305189022</v>
      </c>
      <c r="Z575" s="2496">
        <f t="shared" si="80"/>
        <v>1562079.1401660698</v>
      </c>
      <c r="AA575" s="2496">
        <f t="shared" si="80"/>
        <v>1585489.6252888513</v>
      </c>
      <c r="AB575" s="2496">
        <f t="shared" si="80"/>
        <v>1608774.6986484751</v>
      </c>
      <c r="AC575" s="2496">
        <f t="shared" si="80"/>
        <v>1631937.7384956907</v>
      </c>
      <c r="AD575" s="2496">
        <f t="shared" si="80"/>
        <v>1654975.7965896011</v>
      </c>
      <c r="AE575" s="2496">
        <f t="shared" si="80"/>
        <v>1677881.8834571026</v>
      </c>
      <c r="AF575" s="2496">
        <f t="shared" si="80"/>
        <v>1700649.8882529498</v>
      </c>
      <c r="AG575" s="2496">
        <f t="shared" si="80"/>
        <v>1723267.3891476891</v>
      </c>
      <c r="AH575" s="2496">
        <f t="shared" si="80"/>
        <v>1745721.3311618937</v>
      </c>
      <c r="AI575" s="2496">
        <f t="shared" si="80"/>
        <v>1767998.2472561232</v>
      </c>
      <c r="AJ575" s="2496">
        <f t="shared" si="80"/>
        <v>1790120.8828551981</v>
      </c>
      <c r="AK575" s="2496">
        <f t="shared" si="80"/>
        <v>1812062.7575054867</v>
      </c>
      <c r="AL575" s="2496">
        <f t="shared" si="80"/>
        <v>1833805.6415769772</v>
      </c>
      <c r="AM575" s="2496">
        <f t="shared" si="80"/>
        <v>1855325.3570791946</v>
      </c>
      <c r="AN575" s="2496">
        <f t="shared" si="80"/>
        <v>1876605.1175738892</v>
      </c>
      <c r="AO575" s="2496">
        <f t="shared" si="80"/>
        <v>1897632.9958692684</v>
      </c>
      <c r="AP575" s="2496">
        <f t="shared" si="80"/>
        <v>1918388.5954274405</v>
      </c>
      <c r="AQ575" s="2496">
        <f t="shared" si="80"/>
        <v>1938857.733243278</v>
      </c>
      <c r="AR575" s="2496">
        <f t="shared" si="80"/>
        <v>1959026.3567685056</v>
      </c>
      <c r="AS575" s="2496">
        <f t="shared" si="80"/>
        <v>1978880.5400427235</v>
      </c>
    </row>
    <row r="576" spans="2:45" s="2490" customFormat="1" x14ac:dyDescent="0.2">
      <c r="B576" s="2511"/>
      <c r="C576" s="2497" t="s">
        <v>118</v>
      </c>
      <c r="D576" s="2498" t="s">
        <v>1537</v>
      </c>
      <c r="E576" s="2507"/>
      <c r="F576" s="2507"/>
      <c r="G576" s="2500">
        <f>SUM(G560:G575)</f>
        <v>4467898.2818497093</v>
      </c>
      <c r="H576" s="2500">
        <f t="shared" ref="H576:AS576" si="81">SUM(H560:H575)</f>
        <v>4587285.5429478977</v>
      </c>
      <c r="I576" s="2500">
        <f t="shared" si="81"/>
        <v>4725551.7664022455</v>
      </c>
      <c r="J576" s="2500">
        <f t="shared" si="81"/>
        <v>4865708.1840362083</v>
      </c>
      <c r="K576" s="2500">
        <f t="shared" si="81"/>
        <v>5005955.6907504331</v>
      </c>
      <c r="L576" s="2500">
        <f t="shared" si="81"/>
        <v>5144927.9085631529</v>
      </c>
      <c r="M576" s="2500">
        <f t="shared" si="81"/>
        <v>5289205.9795540841</v>
      </c>
      <c r="N576" s="2500">
        <f t="shared" si="81"/>
        <v>5438212.5402243547</v>
      </c>
      <c r="O576" s="2500">
        <f t="shared" si="81"/>
        <v>5585066.5299039651</v>
      </c>
      <c r="P576" s="2500">
        <f t="shared" si="81"/>
        <v>5732550.1528988769</v>
      </c>
      <c r="Q576" s="2500">
        <f t="shared" si="81"/>
        <v>5880381.1739307009</v>
      </c>
      <c r="R576" s="2500">
        <f t="shared" si="81"/>
        <v>6025596.8880862277</v>
      </c>
      <c r="S576" s="2500">
        <f t="shared" si="81"/>
        <v>6168733.6799358074</v>
      </c>
      <c r="T576" s="2500">
        <f t="shared" si="81"/>
        <v>6310115.2122464282</v>
      </c>
      <c r="U576" s="2500">
        <f t="shared" si="81"/>
        <v>6449913.1222478459</v>
      </c>
      <c r="V576" s="2500">
        <f t="shared" si="81"/>
        <v>6588169.1083093565</v>
      </c>
      <c r="W576" s="2500">
        <f t="shared" si="81"/>
        <v>6724874.4046986252</v>
      </c>
      <c r="X576" s="2500">
        <f t="shared" si="81"/>
        <v>6860687.3353005601</v>
      </c>
      <c r="Y576" s="2500">
        <f t="shared" si="81"/>
        <v>6996042.905974187</v>
      </c>
      <c r="Z576" s="2500">
        <f t="shared" si="81"/>
        <v>7131191.4489136878</v>
      </c>
      <c r="AA576" s="2500">
        <f t="shared" si="81"/>
        <v>7266272.2232435532</v>
      </c>
      <c r="AB576" s="2500">
        <f t="shared" si="81"/>
        <v>7401195.7811979977</v>
      </c>
      <c r="AC576" s="2500">
        <f t="shared" si="81"/>
        <v>7536016.7563054077</v>
      </c>
      <c r="AD576" s="2500">
        <f t="shared" si="81"/>
        <v>7670739.601741693</v>
      </c>
      <c r="AE576" s="2500">
        <f t="shared" si="81"/>
        <v>7805334.3554766448</v>
      </c>
      <c r="AF576" s="2500">
        <f t="shared" si="81"/>
        <v>7939765.6329784542</v>
      </c>
      <c r="AG576" s="2500">
        <f t="shared" si="81"/>
        <v>8073958.0231101401</v>
      </c>
      <c r="AH576" s="2500">
        <f t="shared" si="81"/>
        <v>8207826.3726231484</v>
      </c>
      <c r="AI576" s="2500">
        <f t="shared" si="81"/>
        <v>8341278.5976860439</v>
      </c>
      <c r="AJ576" s="2500">
        <f t="shared" si="81"/>
        <v>8474413.6658348292</v>
      </c>
      <c r="AK576" s="2500">
        <f t="shared" si="81"/>
        <v>8607073.1368887294</v>
      </c>
      <c r="AL576" s="2500">
        <f t="shared" si="81"/>
        <v>8739134.9574426077</v>
      </c>
      <c r="AM576" s="2500">
        <f t="shared" si="81"/>
        <v>8870440.840006724</v>
      </c>
      <c r="AN576" s="2500">
        <f t="shared" si="81"/>
        <v>9000868.106012933</v>
      </c>
      <c r="AO576" s="2500">
        <f t="shared" si="81"/>
        <v>9130319.1655589659</v>
      </c>
      <c r="AP576" s="2500">
        <f t="shared" si="81"/>
        <v>9258649.8309490215</v>
      </c>
      <c r="AQ576" s="2500">
        <f t="shared" si="81"/>
        <v>9385747.6486063451</v>
      </c>
      <c r="AR576" s="2500">
        <f t="shared" si="81"/>
        <v>9511500.5747233257</v>
      </c>
      <c r="AS576" s="2500">
        <f t="shared" si="81"/>
        <v>9635796.9081479087</v>
      </c>
    </row>
    <row r="577" spans="2:45" s="2490" customFormat="1" ht="15" x14ac:dyDescent="0.25">
      <c r="B577" s="2511"/>
      <c r="C577" s="2510"/>
      <c r="D577" s="2516"/>
      <c r="E577" s="2519"/>
      <c r="F577" s="2519"/>
      <c r="G577" s="2519"/>
      <c r="H577" s="2519"/>
      <c r="I577" s="2519"/>
      <c r="J577" s="2519"/>
      <c r="K577" s="2519"/>
      <c r="L577" s="2519"/>
      <c r="M577" s="2519"/>
      <c r="N577" s="2519"/>
      <c r="O577" s="2519"/>
      <c r="P577" s="2519"/>
      <c r="Q577" s="2519"/>
      <c r="R577" s="2519"/>
      <c r="S577" s="2519"/>
      <c r="T577" s="2519"/>
      <c r="U577" s="2519"/>
      <c r="V577" s="2519"/>
      <c r="W577" s="2519"/>
      <c r="X577" s="2519"/>
      <c r="Y577" s="2519"/>
      <c r="Z577" s="2519"/>
      <c r="AA577" s="2519"/>
      <c r="AB577" s="2519"/>
      <c r="AC577" s="2519"/>
      <c r="AD577" s="2519"/>
      <c r="AE577" s="2519"/>
      <c r="AF577" s="2519"/>
      <c r="AG577" s="2519"/>
      <c r="AH577" s="2519"/>
      <c r="AI577" s="2519"/>
      <c r="AJ577" s="2519"/>
      <c r="AK577" s="2519"/>
      <c r="AL577" s="2519"/>
      <c r="AM577" s="2519"/>
      <c r="AN577" s="2519"/>
      <c r="AO577" s="2519"/>
      <c r="AP577" s="2519"/>
      <c r="AQ577" s="2519"/>
    </row>
    <row r="578" spans="2:45" s="2490" customFormat="1" ht="15" x14ac:dyDescent="0.25">
      <c r="B578" s="2511"/>
      <c r="C578" s="2489" t="s">
        <v>1548</v>
      </c>
      <c r="D578" s="2516"/>
      <c r="E578" s="2519"/>
      <c r="F578" s="2519"/>
      <c r="G578" s="2519"/>
      <c r="H578" s="2519"/>
      <c r="I578" s="2519"/>
      <c r="J578" s="2519"/>
      <c r="K578" s="2519"/>
      <c r="L578" s="2519"/>
      <c r="M578" s="2519"/>
      <c r="N578" s="2519"/>
      <c r="O578" s="2519"/>
      <c r="P578" s="2519"/>
      <c r="Q578" s="2519"/>
      <c r="R578" s="2519"/>
      <c r="S578" s="2519"/>
      <c r="T578" s="2519"/>
      <c r="U578" s="2519"/>
      <c r="V578" s="2519"/>
      <c r="W578" s="2519"/>
      <c r="X578" s="2519"/>
      <c r="Y578" s="2519"/>
      <c r="Z578" s="2519"/>
      <c r="AA578" s="2519"/>
      <c r="AB578" s="2519"/>
      <c r="AC578" s="2519"/>
      <c r="AD578" s="2519"/>
      <c r="AE578" s="2519"/>
      <c r="AF578" s="2519"/>
      <c r="AG578" s="2519"/>
      <c r="AH578" s="2519"/>
      <c r="AI578" s="2519"/>
      <c r="AJ578" s="2519"/>
      <c r="AK578" s="2519"/>
      <c r="AL578" s="2519"/>
      <c r="AM578" s="2519"/>
      <c r="AN578" s="2519"/>
      <c r="AO578" s="2519"/>
      <c r="AP578" s="2519"/>
      <c r="AQ578" s="2519"/>
    </row>
    <row r="579" spans="2:45" s="2490" customFormat="1" x14ac:dyDescent="0.2">
      <c r="B579" s="2511" t="s">
        <v>1549</v>
      </c>
      <c r="C579" s="2513"/>
      <c r="D579" s="2513" t="s">
        <v>1029</v>
      </c>
      <c r="E579" s="2492" t="s">
        <v>8</v>
      </c>
      <c r="F579" s="2492"/>
      <c r="G579" s="2492">
        <v>2012</v>
      </c>
      <c r="H579" s="2492">
        <v>2013</v>
      </c>
      <c r="I579" s="2492">
        <v>2014</v>
      </c>
      <c r="J579" s="2492">
        <v>2015</v>
      </c>
      <c r="K579" s="2492">
        <v>2016</v>
      </c>
      <c r="L579" s="2492">
        <v>2017</v>
      </c>
      <c r="M579" s="2492">
        <v>2018</v>
      </c>
      <c r="N579" s="2492">
        <v>2019</v>
      </c>
      <c r="O579" s="2492">
        <v>2020</v>
      </c>
      <c r="P579" s="2492">
        <v>2021</v>
      </c>
      <c r="Q579" s="2492">
        <v>2022</v>
      </c>
      <c r="R579" s="2492">
        <v>2023</v>
      </c>
      <c r="S579" s="2492">
        <v>2024</v>
      </c>
      <c r="T579" s="2492">
        <v>2025</v>
      </c>
      <c r="U579" s="2492">
        <v>2026</v>
      </c>
      <c r="V579" s="2492">
        <v>2027</v>
      </c>
      <c r="W579" s="2492">
        <v>2028</v>
      </c>
      <c r="X579" s="2492">
        <v>2029</v>
      </c>
      <c r="Y579" s="2492">
        <v>2030</v>
      </c>
      <c r="Z579" s="2492">
        <v>2031</v>
      </c>
      <c r="AA579" s="2492">
        <v>2032</v>
      </c>
      <c r="AB579" s="2492">
        <v>2033</v>
      </c>
      <c r="AC579" s="2492">
        <v>2034</v>
      </c>
      <c r="AD579" s="2492">
        <v>2035</v>
      </c>
      <c r="AE579" s="2492">
        <v>2036</v>
      </c>
      <c r="AF579" s="2492">
        <v>2037</v>
      </c>
      <c r="AG579" s="2492">
        <v>2038</v>
      </c>
      <c r="AH579" s="2492">
        <v>2039</v>
      </c>
      <c r="AI579" s="2492">
        <v>2040</v>
      </c>
      <c r="AJ579" s="2492">
        <v>2041</v>
      </c>
      <c r="AK579" s="2492">
        <v>2042</v>
      </c>
      <c r="AL579" s="2492">
        <v>2043</v>
      </c>
      <c r="AM579" s="2492">
        <v>2044</v>
      </c>
      <c r="AN579" s="2492">
        <v>2045</v>
      </c>
      <c r="AO579" s="2492">
        <v>2046</v>
      </c>
      <c r="AP579" s="2492">
        <v>2047</v>
      </c>
      <c r="AQ579" s="2492">
        <v>2048</v>
      </c>
      <c r="AR579" s="2492">
        <v>2049</v>
      </c>
      <c r="AS579" s="2492">
        <v>2050</v>
      </c>
    </row>
    <row r="580" spans="2:45" s="2490" customFormat="1" ht="15" x14ac:dyDescent="0.25">
      <c r="B580" s="3606"/>
      <c r="C580" s="2489" t="s">
        <v>1364</v>
      </c>
      <c r="D580" s="2516"/>
      <c r="G580" s="2519"/>
      <c r="H580" s="2519"/>
      <c r="I580" s="2519"/>
      <c r="J580" s="2519"/>
      <c r="K580" s="2519"/>
      <c r="L580" s="2519"/>
      <c r="M580" s="2519"/>
      <c r="N580" s="2519"/>
      <c r="O580" s="2519"/>
      <c r="P580" s="2519"/>
      <c r="Q580" s="2519"/>
      <c r="R580" s="2519"/>
      <c r="S580" s="2519"/>
      <c r="T580" s="2519"/>
      <c r="U580" s="2519"/>
      <c r="V580" s="2519"/>
      <c r="W580" s="2519"/>
      <c r="X580" s="2519"/>
      <c r="Y580" s="2519"/>
      <c r="Z580" s="2519"/>
      <c r="AA580" s="2519"/>
      <c r="AB580" s="2519"/>
      <c r="AC580" s="2519"/>
      <c r="AD580" s="2519"/>
      <c r="AE580" s="2519"/>
      <c r="AF580" s="2519"/>
      <c r="AG580" s="2519"/>
      <c r="AH580" s="2519"/>
      <c r="AI580" s="2519"/>
      <c r="AJ580" s="2519"/>
      <c r="AK580" s="2519"/>
      <c r="AL580" s="2519"/>
      <c r="AM580" s="2519"/>
      <c r="AN580" s="2519"/>
      <c r="AO580" s="2519"/>
      <c r="AP580" s="2519"/>
      <c r="AQ580" s="2519"/>
      <c r="AR580" s="2519"/>
      <c r="AS580" s="2519"/>
    </row>
    <row r="581" spans="2:45" s="2490" customFormat="1" x14ac:dyDescent="0.2">
      <c r="B581" s="3606"/>
      <c r="C581" s="2495" t="s">
        <v>1366</v>
      </c>
      <c r="D581" s="2493" t="s">
        <v>1537</v>
      </c>
      <c r="G581" s="2496">
        <f t="shared" ref="G581:AS581" si="82">G74*G158*G177*$E$203*$D$217*$F$262</f>
        <v>182962.37545521045</v>
      </c>
      <c r="H581" s="2496">
        <f t="shared" si="82"/>
        <v>182362.07308123267</v>
      </c>
      <c r="I581" s="2496">
        <f t="shared" si="82"/>
        <v>182850.59213120677</v>
      </c>
      <c r="J581" s="2496">
        <f t="shared" si="82"/>
        <v>182797.09336227208</v>
      </c>
      <c r="K581" s="2496">
        <f t="shared" si="82"/>
        <v>182385.10630202861</v>
      </c>
      <c r="L581" s="2496">
        <f t="shared" si="82"/>
        <v>181588.26960858455</v>
      </c>
      <c r="M581" s="2496">
        <f t="shared" si="82"/>
        <v>180287.42940899896</v>
      </c>
      <c r="N581" s="2496">
        <f t="shared" si="82"/>
        <v>179039.38660614981</v>
      </c>
      <c r="O581" s="2496">
        <f t="shared" si="82"/>
        <v>177843.48251851017</v>
      </c>
      <c r="P581" s="2496">
        <f t="shared" si="82"/>
        <v>176657.0423702019</v>
      </c>
      <c r="Q581" s="2496">
        <f t="shared" si="82"/>
        <v>175422.84725477526</v>
      </c>
      <c r="R581" s="2496">
        <f t="shared" si="82"/>
        <v>174441.39594994215</v>
      </c>
      <c r="S581" s="2496">
        <f t="shared" si="82"/>
        <v>173659.94583595908</v>
      </c>
      <c r="T581" s="2496">
        <f t="shared" si="82"/>
        <v>173037.11237757609</v>
      </c>
      <c r="U581" s="2496">
        <f t="shared" si="82"/>
        <v>172540.29903896453</v>
      </c>
      <c r="V581" s="2496">
        <f t="shared" si="82"/>
        <v>172143.75159945129</v>
      </c>
      <c r="W581" s="2496">
        <f t="shared" si="82"/>
        <v>171827.07090404982</v>
      </c>
      <c r="X581" s="2496">
        <f t="shared" si="82"/>
        <v>171574.06671444813</v>
      </c>
      <c r="Y581" s="2496">
        <f t="shared" si="82"/>
        <v>171371.86835606158</v>
      </c>
      <c r="Z581" s="2496">
        <f t="shared" si="82"/>
        <v>171210.23067766914</v>
      </c>
      <c r="AA581" s="2496">
        <f t="shared" si="82"/>
        <v>171080.98986987962</v>
      </c>
      <c r="AB581" s="2496">
        <f t="shared" si="82"/>
        <v>170977.63512697993</v>
      </c>
      <c r="AC581" s="2496">
        <f t="shared" si="82"/>
        <v>170894.97042084567</v>
      </c>
      <c r="AD581" s="2496">
        <f t="shared" si="82"/>
        <v>170828.84673857319</v>
      </c>
      <c r="AE581" s="2496">
        <f t="shared" si="82"/>
        <v>170775.94965875294</v>
      </c>
      <c r="AF581" s="2496">
        <f t="shared" si="82"/>
        <v>170733.63054303807</v>
      </c>
      <c r="AG581" s="2496">
        <f t="shared" si="82"/>
        <v>170699.77220362393</v>
      </c>
      <c r="AH581" s="2496">
        <f t="shared" si="82"/>
        <v>170672.68188725295</v>
      </c>
      <c r="AI581" s="2496">
        <f t="shared" si="82"/>
        <v>170651.00594494294</v>
      </c>
      <c r="AJ581" s="2496">
        <f t="shared" si="82"/>
        <v>170633.66174427938</v>
      </c>
      <c r="AK581" s="2496">
        <f t="shared" si="82"/>
        <v>170619.78330881562</v>
      </c>
      <c r="AL581" s="2496">
        <f t="shared" si="82"/>
        <v>170608.67789700319</v>
      </c>
      <c r="AM581" s="2496">
        <f t="shared" si="82"/>
        <v>170599.79130632756</v>
      </c>
      <c r="AN581" s="2496">
        <f t="shared" si="82"/>
        <v>170592.68014112205</v>
      </c>
      <c r="AO581" s="2496">
        <f t="shared" si="82"/>
        <v>170586.98964112831</v>
      </c>
      <c r="AP581" s="2496">
        <f t="shared" si="82"/>
        <v>170582.43595239508</v>
      </c>
      <c r="AQ581" s="2496">
        <f t="shared" si="82"/>
        <v>170578.79194827008</v>
      </c>
      <c r="AR581" s="2496">
        <f t="shared" si="82"/>
        <v>170575.87588822024</v>
      </c>
      <c r="AS581" s="2496">
        <f t="shared" si="82"/>
        <v>170573.54234561531</v>
      </c>
    </row>
    <row r="582" spans="2:45" s="2490" customFormat="1" x14ac:dyDescent="0.2">
      <c r="B582" s="3606" t="s">
        <v>1550</v>
      </c>
      <c r="C582" s="2495" t="s">
        <v>1367</v>
      </c>
      <c r="D582" s="2493" t="s">
        <v>1537</v>
      </c>
      <c r="G582" s="2496">
        <f t="shared" ref="G582:AS582" si="83">G75*G159*G178*$E$203*$D$217*$F$263</f>
        <v>4127.6350061435578</v>
      </c>
      <c r="H582" s="2496">
        <f t="shared" si="83"/>
        <v>4114.0921720666765</v>
      </c>
      <c r="I582" s="2496">
        <f t="shared" si="83"/>
        <v>4125.1131720226749</v>
      </c>
      <c r="J582" s="2496">
        <f t="shared" si="83"/>
        <v>4123.906238679735</v>
      </c>
      <c r="K582" s="2496">
        <f t="shared" si="83"/>
        <v>4114.6118020082149</v>
      </c>
      <c r="L582" s="2496">
        <f t="shared" si="83"/>
        <v>4096.6351495852441</v>
      </c>
      <c r="M582" s="2496">
        <f t="shared" si="83"/>
        <v>4067.2881675521958</v>
      </c>
      <c r="N582" s="2496">
        <f t="shared" si="83"/>
        <v>4039.1322958906653</v>
      </c>
      <c r="O582" s="2496">
        <f t="shared" si="83"/>
        <v>4012.1526747316675</v>
      </c>
      <c r="P582" s="2496">
        <f t="shared" si="83"/>
        <v>3985.3865602413684</v>
      </c>
      <c r="Q582" s="2496">
        <f t="shared" si="83"/>
        <v>3957.543092696897</v>
      </c>
      <c r="R582" s="2496">
        <f t="shared" si="83"/>
        <v>3935.4015307906575</v>
      </c>
      <c r="S582" s="2496">
        <f t="shared" si="83"/>
        <v>3917.7719999212295</v>
      </c>
      <c r="T582" s="2496">
        <f t="shared" si="83"/>
        <v>3903.7208641102588</v>
      </c>
      <c r="U582" s="2496">
        <f t="shared" si="83"/>
        <v>3892.5127448296139</v>
      </c>
      <c r="V582" s="2496">
        <f t="shared" si="83"/>
        <v>3883.5666263237786</v>
      </c>
      <c r="W582" s="2496">
        <f t="shared" si="83"/>
        <v>3876.4223032308096</v>
      </c>
      <c r="X582" s="2496">
        <f t="shared" si="83"/>
        <v>3870.7145234367249</v>
      </c>
      <c r="Y582" s="2496">
        <f t="shared" si="83"/>
        <v>3866.1529242544652</v>
      </c>
      <c r="Z582" s="2496">
        <f t="shared" si="83"/>
        <v>3862.506374858805</v>
      </c>
      <c r="AA582" s="2496">
        <f t="shared" si="83"/>
        <v>3859.5906995396199</v>
      </c>
      <c r="AB582" s="2496">
        <f t="shared" si="83"/>
        <v>3857.2590143842308</v>
      </c>
      <c r="AC582" s="2496">
        <f t="shared" si="83"/>
        <v>3855.3940968897818</v>
      </c>
      <c r="AD582" s="2496">
        <f t="shared" si="83"/>
        <v>3853.9023452386355</v>
      </c>
      <c r="AE582" s="2496">
        <f t="shared" si="83"/>
        <v>3852.7089860146662</v>
      </c>
      <c r="AF582" s="2496">
        <f t="shared" si="83"/>
        <v>3851.7542658815287</v>
      </c>
      <c r="AG582" s="2496">
        <f t="shared" si="83"/>
        <v>3850.9904210381942</v>
      </c>
      <c r="AH582" s="2496">
        <f t="shared" si="83"/>
        <v>3850.3792629358668</v>
      </c>
      <c r="AI582" s="2496">
        <f t="shared" si="83"/>
        <v>3849.8902532252787</v>
      </c>
      <c r="AJ582" s="2496">
        <f t="shared" si="83"/>
        <v>3849.4989676965779</v>
      </c>
      <c r="AK582" s="2496">
        <f t="shared" si="83"/>
        <v>3849.1858699030654</v>
      </c>
      <c r="AL582" s="2496">
        <f t="shared" si="83"/>
        <v>3848.9353315809617</v>
      </c>
      <c r="AM582" s="2496">
        <f t="shared" si="83"/>
        <v>3848.7348499099808</v>
      </c>
      <c r="AN582" s="2496">
        <f t="shared" si="83"/>
        <v>3848.5744218746336</v>
      </c>
      <c r="AO582" s="2496">
        <f t="shared" si="83"/>
        <v>3848.446044076094</v>
      </c>
      <c r="AP582" s="2496">
        <f t="shared" si="83"/>
        <v>3848.3433127633007</v>
      </c>
      <c r="AQ582" s="2496">
        <f t="shared" si="83"/>
        <v>3848.2611039542389</v>
      </c>
      <c r="AR582" s="2496">
        <f t="shared" si="83"/>
        <v>3848.1953175786989</v>
      </c>
      <c r="AS582" s="2496">
        <f t="shared" si="83"/>
        <v>3848.1426728088632</v>
      </c>
    </row>
    <row r="583" spans="2:45" s="2490" customFormat="1" x14ac:dyDescent="0.2">
      <c r="B583" s="3606"/>
      <c r="C583" s="2495" t="s">
        <v>1368</v>
      </c>
      <c r="D583" s="2493" t="s">
        <v>1537</v>
      </c>
      <c r="G583" s="2496">
        <f>G76*G160*G179*$E$203*$D$217*$F$262</f>
        <v>0</v>
      </c>
      <c r="H583" s="2496"/>
      <c r="I583" s="2496"/>
      <c r="J583" s="2496"/>
      <c r="K583" s="2496"/>
      <c r="L583" s="2496"/>
      <c r="M583" s="2496"/>
      <c r="N583" s="2496"/>
      <c r="O583" s="2496"/>
      <c r="P583" s="2496"/>
      <c r="Q583" s="2496"/>
      <c r="R583" s="2496"/>
      <c r="S583" s="2496"/>
      <c r="T583" s="2496"/>
      <c r="U583" s="2496"/>
      <c r="V583" s="2496"/>
      <c r="W583" s="2496"/>
      <c r="X583" s="2496"/>
      <c r="Y583" s="2496"/>
      <c r="Z583" s="2496"/>
      <c r="AA583" s="2496"/>
      <c r="AB583" s="2496"/>
      <c r="AC583" s="2496"/>
      <c r="AD583" s="2496"/>
      <c r="AE583" s="2496"/>
      <c r="AF583" s="2496"/>
      <c r="AG583" s="2496"/>
      <c r="AH583" s="2496"/>
      <c r="AI583" s="2496"/>
      <c r="AJ583" s="2496"/>
      <c r="AK583" s="2496"/>
      <c r="AL583" s="2496"/>
      <c r="AM583" s="2496"/>
      <c r="AN583" s="2496"/>
      <c r="AO583" s="2496"/>
      <c r="AP583" s="2496"/>
      <c r="AQ583" s="2496"/>
      <c r="AR583" s="2496"/>
      <c r="AS583" s="2496"/>
    </row>
    <row r="584" spans="2:45" s="2490" customFormat="1" x14ac:dyDescent="0.2">
      <c r="B584" s="2511"/>
      <c r="C584" s="2495" t="s">
        <v>1369</v>
      </c>
      <c r="D584" s="2493" t="s">
        <v>1537</v>
      </c>
      <c r="G584" s="2496">
        <f t="shared" ref="G584:AS584" si="84">G77*G161*G180*$E$203*$D$217*$F$263</f>
        <v>28175.267705677605</v>
      </c>
      <c r="H584" s="2496">
        <f t="shared" si="84"/>
        <v>28082.824218052909</v>
      </c>
      <c r="I584" s="2496">
        <f t="shared" si="84"/>
        <v>28158.053646934652</v>
      </c>
      <c r="J584" s="2496">
        <f t="shared" si="84"/>
        <v>28149.815110826294</v>
      </c>
      <c r="K584" s="2496">
        <f t="shared" si="84"/>
        <v>28086.371215955809</v>
      </c>
      <c r="L584" s="2496">
        <f t="shared" si="84"/>
        <v>27963.662450836015</v>
      </c>
      <c r="M584" s="2496">
        <f t="shared" si="84"/>
        <v>27763.339729979107</v>
      </c>
      <c r="N584" s="2496">
        <f t="shared" si="84"/>
        <v>27571.147537508215</v>
      </c>
      <c r="O584" s="2496">
        <f t="shared" si="84"/>
        <v>27386.984439845492</v>
      </c>
      <c r="P584" s="2496">
        <f t="shared" si="84"/>
        <v>27204.278740314759</v>
      </c>
      <c r="Q584" s="2496">
        <f t="shared" si="84"/>
        <v>27014.219020704819</v>
      </c>
      <c r="R584" s="2496">
        <f t="shared" si="84"/>
        <v>26863.080552017156</v>
      </c>
      <c r="S584" s="2496">
        <f t="shared" si="84"/>
        <v>26742.74124124178</v>
      </c>
      <c r="T584" s="2496">
        <f t="shared" si="84"/>
        <v>26646.828082143722</v>
      </c>
      <c r="U584" s="2496">
        <f t="shared" si="84"/>
        <v>26570.32137533963</v>
      </c>
      <c r="V584" s="2496">
        <f t="shared" si="84"/>
        <v>26509.255102897067</v>
      </c>
      <c r="W584" s="2496">
        <f t="shared" si="84"/>
        <v>26460.487899541964</v>
      </c>
      <c r="X584" s="2496">
        <f t="shared" si="84"/>
        <v>26421.526551587493</v>
      </c>
      <c r="Y584" s="2496">
        <f t="shared" si="84"/>
        <v>26390.389041140257</v>
      </c>
      <c r="Z584" s="2496">
        <f t="shared" si="84"/>
        <v>26365.497667442785</v>
      </c>
      <c r="AA584" s="2496">
        <f t="shared" si="84"/>
        <v>26345.595245707671</v>
      </c>
      <c r="AB584" s="2496">
        <f t="shared" si="84"/>
        <v>26329.679145238366</v>
      </c>
      <c r="AC584" s="2496">
        <f t="shared" si="84"/>
        <v>26316.949204345601</v>
      </c>
      <c r="AD584" s="2496">
        <f t="shared" si="84"/>
        <v>26306.766496315719</v>
      </c>
      <c r="AE584" s="2496">
        <f t="shared" si="84"/>
        <v>26298.62061724591</v>
      </c>
      <c r="AF584" s="2496">
        <f t="shared" si="84"/>
        <v>26292.103690411266</v>
      </c>
      <c r="AG584" s="2496">
        <f t="shared" si="84"/>
        <v>26286.889679745473</v>
      </c>
      <c r="AH584" s="2496">
        <f t="shared" si="84"/>
        <v>26282.71790992621</v>
      </c>
      <c r="AI584" s="2496">
        <f t="shared" si="84"/>
        <v>26279.379925950889</v>
      </c>
      <c r="AJ584" s="2496">
        <f t="shared" si="84"/>
        <v>26276.709007978698</v>
      </c>
      <c r="AK584" s="2496">
        <f t="shared" si="84"/>
        <v>26274.571800077054</v>
      </c>
      <c r="AL584" s="2496">
        <f t="shared" si="84"/>
        <v>26272.861623599409</v>
      </c>
      <c r="AM584" s="2496">
        <f t="shared" si="84"/>
        <v>26271.493134200133</v>
      </c>
      <c r="AN584" s="2496">
        <f t="shared" si="84"/>
        <v>26270.398051220007</v>
      </c>
      <c r="AO584" s="2496">
        <f t="shared" si="84"/>
        <v>26269.521743398229</v>
      </c>
      <c r="AP584" s="2496">
        <f t="shared" si="84"/>
        <v>26268.820498681725</v>
      </c>
      <c r="AQ584" s="2496">
        <f t="shared" si="84"/>
        <v>26268.259340730601</v>
      </c>
      <c r="AR584" s="2496">
        <f t="shared" si="84"/>
        <v>26267.810282434628</v>
      </c>
      <c r="AS584" s="2496">
        <f t="shared" si="84"/>
        <v>26267.450928838389</v>
      </c>
    </row>
    <row r="585" spans="2:45" s="2490" customFormat="1" x14ac:dyDescent="0.2">
      <c r="B585" s="2511"/>
      <c r="C585" s="2495" t="s">
        <v>1370</v>
      </c>
      <c r="D585" s="2493" t="s">
        <v>1537</v>
      </c>
      <c r="G585" s="2496">
        <v>0</v>
      </c>
      <c r="H585" s="2496"/>
      <c r="I585" s="2496"/>
      <c r="J585" s="2496"/>
      <c r="K585" s="2496"/>
      <c r="L585" s="2496"/>
      <c r="M585" s="2496"/>
      <c r="N585" s="2496"/>
      <c r="O585" s="2496"/>
      <c r="P585" s="2496"/>
      <c r="Q585" s="2496"/>
      <c r="R585" s="2496"/>
      <c r="S585" s="2496"/>
      <c r="T585" s="2496"/>
      <c r="U585" s="2496"/>
      <c r="V585" s="2496"/>
      <c r="W585" s="2496"/>
      <c r="X585" s="2496"/>
      <c r="Y585" s="2496"/>
      <c r="Z585" s="2496"/>
      <c r="AA585" s="2496"/>
      <c r="AB585" s="2496"/>
      <c r="AC585" s="2496"/>
      <c r="AD585" s="2496"/>
      <c r="AE585" s="2496"/>
      <c r="AF585" s="2496"/>
      <c r="AG585" s="2496"/>
      <c r="AH585" s="2496"/>
      <c r="AI585" s="2496"/>
      <c r="AJ585" s="2496"/>
      <c r="AK585" s="2496"/>
      <c r="AL585" s="2496"/>
      <c r="AM585" s="2496"/>
      <c r="AN585" s="2496"/>
      <c r="AO585" s="2496"/>
      <c r="AP585" s="2496"/>
      <c r="AQ585" s="2496"/>
      <c r="AR585" s="2496"/>
      <c r="AS585" s="2496"/>
    </row>
    <row r="586" spans="2:45" s="2490" customFormat="1" x14ac:dyDescent="0.2">
      <c r="B586" s="2511"/>
      <c r="C586" s="2495" t="s">
        <v>1371</v>
      </c>
      <c r="D586" s="2493" t="s">
        <v>1537</v>
      </c>
      <c r="G586" s="2496">
        <v>0</v>
      </c>
      <c r="H586" s="2496"/>
      <c r="I586" s="2496"/>
      <c r="J586" s="2496"/>
      <c r="K586" s="2496"/>
      <c r="L586" s="2496"/>
      <c r="M586" s="2496"/>
      <c r="N586" s="2496"/>
      <c r="O586" s="2496"/>
      <c r="P586" s="2496"/>
      <c r="Q586" s="2496"/>
      <c r="R586" s="2496"/>
      <c r="S586" s="2496"/>
      <c r="T586" s="2496"/>
      <c r="U586" s="2496"/>
      <c r="V586" s="2496"/>
      <c r="W586" s="2496"/>
      <c r="X586" s="2496"/>
      <c r="Y586" s="2496"/>
      <c r="Z586" s="2496"/>
      <c r="AA586" s="2496"/>
      <c r="AB586" s="2496"/>
      <c r="AC586" s="2496"/>
      <c r="AD586" s="2496"/>
      <c r="AE586" s="2496"/>
      <c r="AF586" s="2496"/>
      <c r="AG586" s="2496"/>
      <c r="AH586" s="2496"/>
      <c r="AI586" s="2496"/>
      <c r="AJ586" s="2496"/>
      <c r="AK586" s="2496"/>
      <c r="AL586" s="2496"/>
      <c r="AM586" s="2496"/>
      <c r="AN586" s="2496"/>
      <c r="AO586" s="2496"/>
      <c r="AP586" s="2496"/>
      <c r="AQ586" s="2496"/>
      <c r="AR586" s="2496"/>
      <c r="AS586" s="2496"/>
    </row>
    <row r="587" spans="2:45" s="2490" customFormat="1" x14ac:dyDescent="0.2">
      <c r="B587" s="2511"/>
      <c r="C587" s="2489" t="s">
        <v>1372</v>
      </c>
      <c r="D587" s="2493" t="s">
        <v>1537</v>
      </c>
      <c r="G587" s="2496">
        <v>0</v>
      </c>
      <c r="H587" s="2496"/>
      <c r="I587" s="2496"/>
      <c r="J587" s="2496"/>
      <c r="K587" s="2496"/>
      <c r="L587" s="2496"/>
      <c r="M587" s="2496"/>
      <c r="N587" s="2496"/>
      <c r="O587" s="2496"/>
      <c r="P587" s="2496"/>
      <c r="Q587" s="2496"/>
      <c r="R587" s="2496"/>
      <c r="S587" s="2496"/>
      <c r="T587" s="2496"/>
      <c r="U587" s="2496"/>
      <c r="V587" s="2496"/>
      <c r="W587" s="2496"/>
      <c r="X587" s="2496"/>
      <c r="Y587" s="2496"/>
      <c r="Z587" s="2496"/>
      <c r="AA587" s="2496"/>
      <c r="AB587" s="2496"/>
      <c r="AC587" s="2496"/>
      <c r="AD587" s="2496"/>
      <c r="AE587" s="2496"/>
      <c r="AF587" s="2496"/>
      <c r="AG587" s="2496"/>
      <c r="AH587" s="2496"/>
      <c r="AI587" s="2496"/>
      <c r="AJ587" s="2496"/>
      <c r="AK587" s="2496"/>
      <c r="AL587" s="2496"/>
      <c r="AM587" s="2496"/>
      <c r="AN587" s="2496"/>
      <c r="AO587" s="2496"/>
      <c r="AP587" s="2496"/>
      <c r="AQ587" s="2496"/>
      <c r="AR587" s="2496"/>
      <c r="AS587" s="2496"/>
    </row>
    <row r="588" spans="2:45" s="2490" customFormat="1" x14ac:dyDescent="0.2">
      <c r="B588" s="2511"/>
      <c r="C588" s="2489" t="s">
        <v>1373</v>
      </c>
      <c r="D588" s="2493" t="s">
        <v>1537</v>
      </c>
      <c r="G588" s="2496">
        <v>0</v>
      </c>
      <c r="H588" s="2496"/>
      <c r="I588" s="2496"/>
      <c r="J588" s="2496"/>
      <c r="K588" s="2496"/>
      <c r="L588" s="2496"/>
      <c r="M588" s="2496"/>
      <c r="N588" s="2496"/>
      <c r="O588" s="2496"/>
      <c r="P588" s="2496"/>
      <c r="Q588" s="2496"/>
      <c r="R588" s="2496"/>
      <c r="S588" s="2496"/>
      <c r="T588" s="2496"/>
      <c r="U588" s="2496"/>
      <c r="V588" s="2496"/>
      <c r="W588" s="2496"/>
      <c r="X588" s="2496"/>
      <c r="Y588" s="2496"/>
      <c r="Z588" s="2496"/>
      <c r="AA588" s="2496"/>
      <c r="AB588" s="2496"/>
      <c r="AC588" s="2496"/>
      <c r="AD588" s="2496"/>
      <c r="AE588" s="2496"/>
      <c r="AF588" s="2496"/>
      <c r="AG588" s="2496"/>
      <c r="AH588" s="2496"/>
      <c r="AI588" s="2496"/>
      <c r="AJ588" s="2496"/>
      <c r="AK588" s="2496"/>
      <c r="AL588" s="2496"/>
      <c r="AM588" s="2496"/>
      <c r="AN588" s="2496"/>
      <c r="AO588" s="2496"/>
      <c r="AP588" s="2496"/>
      <c r="AQ588" s="2496"/>
      <c r="AR588" s="2496"/>
      <c r="AS588" s="2496"/>
    </row>
    <row r="589" spans="2:45" s="2490" customFormat="1" x14ac:dyDescent="0.2">
      <c r="B589" s="2511"/>
      <c r="C589" s="2489" t="s">
        <v>1374</v>
      </c>
      <c r="D589" s="2493" t="s">
        <v>1537</v>
      </c>
      <c r="G589" s="2496">
        <v>0</v>
      </c>
      <c r="H589" s="2496"/>
      <c r="I589" s="2496"/>
      <c r="J589" s="2496"/>
      <c r="K589" s="2496"/>
      <c r="L589" s="2496"/>
      <c r="M589" s="2496"/>
      <c r="N589" s="2496"/>
      <c r="O589" s="2496"/>
      <c r="P589" s="2496"/>
      <c r="Q589" s="2496"/>
      <c r="R589" s="2496"/>
      <c r="S589" s="2496"/>
      <c r="T589" s="2496"/>
      <c r="U589" s="2496"/>
      <c r="V589" s="2496"/>
      <c r="W589" s="2496"/>
      <c r="X589" s="2496"/>
      <c r="Y589" s="2496"/>
      <c r="Z589" s="2496"/>
      <c r="AA589" s="2496"/>
      <c r="AB589" s="2496"/>
      <c r="AC589" s="2496"/>
      <c r="AD589" s="2496"/>
      <c r="AE589" s="2496"/>
      <c r="AF589" s="2496"/>
      <c r="AG589" s="2496"/>
      <c r="AH589" s="2496"/>
      <c r="AI589" s="2496"/>
      <c r="AJ589" s="2496"/>
      <c r="AK589" s="2496"/>
      <c r="AL589" s="2496"/>
      <c r="AM589" s="2496"/>
      <c r="AN589" s="2496"/>
      <c r="AO589" s="2496"/>
      <c r="AP589" s="2496"/>
      <c r="AQ589" s="2496"/>
      <c r="AR589" s="2496"/>
      <c r="AS589" s="2496"/>
    </row>
    <row r="590" spans="2:45" s="2490" customFormat="1" x14ac:dyDescent="0.2">
      <c r="B590" s="2511"/>
      <c r="C590" s="2489" t="s">
        <v>1375</v>
      </c>
      <c r="D590" s="2493" t="s">
        <v>1537</v>
      </c>
      <c r="G590" s="2496"/>
      <c r="H590" s="2496"/>
      <c r="I590" s="2496"/>
      <c r="J590" s="2496"/>
      <c r="K590" s="2496"/>
      <c r="L590" s="2496"/>
      <c r="M590" s="2496"/>
      <c r="N590" s="2496"/>
      <c r="O590" s="2496"/>
      <c r="P590" s="2496"/>
      <c r="Q590" s="2496"/>
      <c r="R590" s="2496"/>
      <c r="S590" s="2496"/>
      <c r="T590" s="2496"/>
      <c r="U590" s="2496"/>
      <c r="V590" s="2496"/>
      <c r="W590" s="2496"/>
      <c r="X590" s="2496"/>
      <c r="Y590" s="2496"/>
      <c r="Z590" s="2496"/>
      <c r="AA590" s="2496"/>
      <c r="AB590" s="2496"/>
      <c r="AC590" s="2496"/>
      <c r="AD590" s="2496"/>
      <c r="AE590" s="2496"/>
      <c r="AF590" s="2496"/>
      <c r="AG590" s="2496"/>
      <c r="AH590" s="2496"/>
      <c r="AI590" s="2496"/>
      <c r="AJ590" s="2496"/>
      <c r="AK590" s="2496"/>
      <c r="AL590" s="2496"/>
      <c r="AM590" s="2496"/>
      <c r="AN590" s="2496"/>
      <c r="AO590" s="2496"/>
      <c r="AP590" s="2496"/>
      <c r="AQ590" s="2496"/>
      <c r="AR590" s="2496"/>
      <c r="AS590" s="2496"/>
    </row>
    <row r="591" spans="2:45" s="2490" customFormat="1" x14ac:dyDescent="0.2">
      <c r="B591" s="2511"/>
      <c r="C591" s="2489" t="s">
        <v>1376</v>
      </c>
      <c r="D591" s="2493" t="s">
        <v>1537</v>
      </c>
      <c r="G591" s="2496">
        <v>0</v>
      </c>
      <c r="H591" s="2496"/>
      <c r="I591" s="2496"/>
      <c r="J591" s="2496"/>
      <c r="K591" s="2496"/>
      <c r="L591" s="2496"/>
      <c r="M591" s="2496"/>
      <c r="N591" s="2496"/>
      <c r="O591" s="2496"/>
      <c r="P591" s="2496"/>
      <c r="Q591" s="2496"/>
      <c r="R591" s="2496"/>
      <c r="S591" s="2496"/>
      <c r="T591" s="2496"/>
      <c r="U591" s="2496"/>
      <c r="V591" s="2496"/>
      <c r="W591" s="2496"/>
      <c r="X591" s="2496"/>
      <c r="Y591" s="2496"/>
      <c r="Z591" s="2496"/>
      <c r="AA591" s="2496"/>
      <c r="AB591" s="2496"/>
      <c r="AC591" s="2496"/>
      <c r="AD591" s="2496"/>
      <c r="AE591" s="2496"/>
      <c r="AF591" s="2496"/>
      <c r="AG591" s="2496"/>
      <c r="AH591" s="2496"/>
      <c r="AI591" s="2496"/>
      <c r="AJ591" s="2496"/>
      <c r="AK591" s="2496"/>
      <c r="AL591" s="2496"/>
      <c r="AM591" s="2496"/>
      <c r="AN591" s="2496"/>
      <c r="AO591" s="2496"/>
      <c r="AP591" s="2496"/>
      <c r="AQ591" s="2496"/>
      <c r="AR591" s="2496"/>
      <c r="AS591" s="2496"/>
    </row>
    <row r="592" spans="2:45" s="2490" customFormat="1" x14ac:dyDescent="0.2">
      <c r="B592" s="2511"/>
      <c r="C592" s="2489" t="s">
        <v>1377</v>
      </c>
      <c r="D592" s="2493" t="s">
        <v>1537</v>
      </c>
      <c r="G592" s="2496">
        <v>0</v>
      </c>
      <c r="H592" s="2496"/>
      <c r="I592" s="2496"/>
      <c r="J592" s="2496"/>
      <c r="K592" s="2496"/>
      <c r="L592" s="2496"/>
      <c r="M592" s="2496"/>
      <c r="N592" s="2496"/>
      <c r="O592" s="2496"/>
      <c r="P592" s="2496"/>
      <c r="Q592" s="2496"/>
      <c r="R592" s="2496"/>
      <c r="S592" s="2496"/>
      <c r="T592" s="2496"/>
      <c r="U592" s="2496"/>
      <c r="V592" s="2496"/>
      <c r="W592" s="2496"/>
      <c r="X592" s="2496"/>
      <c r="Y592" s="2496"/>
      <c r="Z592" s="2496"/>
      <c r="AA592" s="2496"/>
      <c r="AB592" s="2496"/>
      <c r="AC592" s="2496"/>
      <c r="AD592" s="2496"/>
      <c r="AE592" s="2496"/>
      <c r="AF592" s="2496"/>
      <c r="AG592" s="2496"/>
      <c r="AH592" s="2496"/>
      <c r="AI592" s="2496"/>
      <c r="AJ592" s="2496"/>
      <c r="AK592" s="2496"/>
      <c r="AL592" s="2496"/>
      <c r="AM592" s="2496"/>
      <c r="AN592" s="2496"/>
      <c r="AO592" s="2496"/>
      <c r="AP592" s="2496"/>
      <c r="AQ592" s="2496"/>
      <c r="AR592" s="2496"/>
      <c r="AS592" s="2496"/>
    </row>
    <row r="593" spans="2:45" s="2490" customFormat="1" x14ac:dyDescent="0.2">
      <c r="B593" s="2511"/>
      <c r="C593" s="2495" t="s">
        <v>1378</v>
      </c>
      <c r="D593" s="2493" t="s">
        <v>1537</v>
      </c>
      <c r="G593" s="2496">
        <f t="shared" ref="G593:AS595" si="85">G86*G170*G189*$E$203*$D$217*$F$264</f>
        <v>62565.498214809755</v>
      </c>
      <c r="H593" s="2496">
        <f t="shared" si="85"/>
        <v>64801.5390738844</v>
      </c>
      <c r="I593" s="2496">
        <f t="shared" si="85"/>
        <v>67266.847377117738</v>
      </c>
      <c r="J593" s="2496">
        <f t="shared" si="85"/>
        <v>69816.791518186044</v>
      </c>
      <c r="K593" s="2496">
        <f t="shared" si="85"/>
        <v>72389.690801320132</v>
      </c>
      <c r="L593" s="2496">
        <f t="shared" si="85"/>
        <v>74961.608282016983</v>
      </c>
      <c r="M593" s="2496">
        <f t="shared" si="85"/>
        <v>77688.776645962338</v>
      </c>
      <c r="N593" s="2496">
        <f t="shared" si="85"/>
        <v>80518.704196874634</v>
      </c>
      <c r="O593" s="2496">
        <f t="shared" si="85"/>
        <v>83301.896440507291</v>
      </c>
      <c r="P593" s="2496">
        <f t="shared" si="85"/>
        <v>86105.170414497668</v>
      </c>
      <c r="Q593" s="2496">
        <f t="shared" si="85"/>
        <v>88930.526530162315</v>
      </c>
      <c r="R593" s="2496">
        <f t="shared" si="85"/>
        <v>91654.936275244851</v>
      </c>
      <c r="S593" s="2496">
        <f t="shared" si="85"/>
        <v>94306.199219177041</v>
      </c>
      <c r="T593" s="2496">
        <f t="shared" si="85"/>
        <v>96902.326091511364</v>
      </c>
      <c r="U593" s="2496">
        <f t="shared" si="85"/>
        <v>99454.61648215646</v>
      </c>
      <c r="V593" s="2496">
        <f t="shared" si="85"/>
        <v>101969.38022797447</v>
      </c>
      <c r="W593" s="2496">
        <f t="shared" si="85"/>
        <v>104450.20699626373</v>
      </c>
      <c r="X593" s="2496">
        <f t="shared" si="85"/>
        <v>106911.13034813739</v>
      </c>
      <c r="Y593" s="2496">
        <f t="shared" si="85"/>
        <v>109361.61691683946</v>
      </c>
      <c r="Z593" s="2496">
        <f t="shared" si="85"/>
        <v>111807.40467156094</v>
      </c>
      <c r="AA593" s="2496">
        <f t="shared" si="85"/>
        <v>114251.91006909583</v>
      </c>
      <c r="AB593" s="2496">
        <f t="shared" si="85"/>
        <v>116694.24930288023</v>
      </c>
      <c r="AC593" s="2496">
        <f t="shared" si="85"/>
        <v>119135.83647557582</v>
      </c>
      <c r="AD593" s="2496">
        <f t="shared" si="85"/>
        <v>121577.06905845697</v>
      </c>
      <c r="AE593" s="2496">
        <f t="shared" si="85"/>
        <v>124017.63416386409</v>
      </c>
      <c r="AF593" s="2496">
        <f t="shared" si="85"/>
        <v>126457.04352415752</v>
      </c>
      <c r="AG593" s="2496">
        <f t="shared" si="85"/>
        <v>128894.0428212258</v>
      </c>
      <c r="AH593" s="2496">
        <f t="shared" si="85"/>
        <v>131327.15480181979</v>
      </c>
      <c r="AI593" s="2496">
        <f t="shared" si="85"/>
        <v>133754.74066516949</v>
      </c>
      <c r="AJ593" s="2496">
        <f t="shared" si="85"/>
        <v>136178.52549119908</v>
      </c>
      <c r="AK593" s="2496">
        <f t="shared" si="85"/>
        <v>138595.6785604764</v>
      </c>
      <c r="AL593" s="2496">
        <f t="shared" si="85"/>
        <v>141003.97335739608</v>
      </c>
      <c r="AM593" s="2496">
        <f t="shared" si="85"/>
        <v>143400.51451528075</v>
      </c>
      <c r="AN593" s="2496">
        <f t="shared" si="85"/>
        <v>145783.0161982236</v>
      </c>
      <c r="AO593" s="2496">
        <f t="shared" si="85"/>
        <v>148149.62902832634</v>
      </c>
      <c r="AP593" s="2496">
        <f t="shared" si="85"/>
        <v>150497.66745857568</v>
      </c>
      <c r="AQ593" s="2496">
        <f t="shared" si="85"/>
        <v>152824.99969189757</v>
      </c>
      <c r="AR593" s="2496">
        <f t="shared" si="85"/>
        <v>155129.49744615267</v>
      </c>
      <c r="AS593" s="2496">
        <f t="shared" si="85"/>
        <v>157409.03508975264</v>
      </c>
    </row>
    <row r="594" spans="2:45" s="2490" customFormat="1" x14ac:dyDescent="0.2">
      <c r="B594" s="2511"/>
      <c r="C594" s="2495" t="s">
        <v>1379</v>
      </c>
      <c r="D594" s="2493" t="s">
        <v>1537</v>
      </c>
      <c r="G594" s="2496">
        <f t="shared" si="85"/>
        <v>1043.8126598021852</v>
      </c>
      <c r="H594" s="2496">
        <f t="shared" si="85"/>
        <v>1081.1176893014081</v>
      </c>
      <c r="I594" s="2496">
        <f t="shared" si="85"/>
        <v>1122.2477064938753</v>
      </c>
      <c r="J594" s="2496">
        <f t="shared" si="85"/>
        <v>1164.7897472700404</v>
      </c>
      <c r="K594" s="2496">
        <f t="shared" si="85"/>
        <v>1207.7147605882526</v>
      </c>
      <c r="L594" s="2496">
        <f t="shared" si="85"/>
        <v>1250.6233939871386</v>
      </c>
      <c r="M594" s="2496">
        <f t="shared" si="85"/>
        <v>1296.1221584007876</v>
      </c>
      <c r="N594" s="2496">
        <f t="shared" si="85"/>
        <v>1343.3353076323876</v>
      </c>
      <c r="O594" s="2496">
        <f t="shared" si="85"/>
        <v>1389.7687474907686</v>
      </c>
      <c r="P594" s="2496">
        <f t="shared" si="85"/>
        <v>1436.5372212732173</v>
      </c>
      <c r="Q594" s="2496">
        <f t="shared" si="85"/>
        <v>1483.674102879351</v>
      </c>
      <c r="R594" s="2496">
        <f t="shared" si="85"/>
        <v>1529.1268438235998</v>
      </c>
      <c r="S594" s="2496">
        <f t="shared" si="85"/>
        <v>1573.3592387425895</v>
      </c>
      <c r="T594" s="2496">
        <f t="shared" si="85"/>
        <v>1616.6717699797143</v>
      </c>
      <c r="U594" s="2496">
        <f t="shared" si="85"/>
        <v>1659.2529544545814</v>
      </c>
      <c r="V594" s="2496">
        <f t="shared" si="85"/>
        <v>1701.2080624485122</v>
      </c>
      <c r="W594" s="2496">
        <f t="shared" si="85"/>
        <v>1742.5969822430252</v>
      </c>
      <c r="X594" s="2496">
        <f t="shared" si="85"/>
        <v>1783.6538430174587</v>
      </c>
      <c r="Y594" s="2496">
        <f t="shared" si="85"/>
        <v>1824.5365815246221</v>
      </c>
      <c r="Z594" s="2496">
        <f t="shared" si="85"/>
        <v>1865.3409272808444</v>
      </c>
      <c r="AA594" s="2496">
        <f t="shared" si="85"/>
        <v>1906.1238788069581</v>
      </c>
      <c r="AB594" s="2496">
        <f t="shared" si="85"/>
        <v>1946.8706910996198</v>
      </c>
      <c r="AC594" s="2496">
        <f t="shared" si="85"/>
        <v>1987.6049563670379</v>
      </c>
      <c r="AD594" s="2496">
        <f t="shared" si="85"/>
        <v>2028.3333058286553</v>
      </c>
      <c r="AE594" s="2496">
        <f t="shared" si="85"/>
        <v>2069.0505194173484</v>
      </c>
      <c r="AF594" s="2496">
        <f t="shared" si="85"/>
        <v>2109.7484511108182</v>
      </c>
      <c r="AG594" s="2496">
        <f t="shared" si="85"/>
        <v>2150.4061744693886</v>
      </c>
      <c r="AH594" s="2496">
        <f t="shared" si="85"/>
        <v>2190.9990437108463</v>
      </c>
      <c r="AI594" s="2496">
        <f t="shared" si="85"/>
        <v>2231.4997178718868</v>
      </c>
      <c r="AJ594" s="2496">
        <f t="shared" si="85"/>
        <v>2271.9369773556973</v>
      </c>
      <c r="AK594" s="2496">
        <f t="shared" si="85"/>
        <v>2312.2635958016795</v>
      </c>
      <c r="AL594" s="2496">
        <f t="shared" si="85"/>
        <v>2352.4424270950817</v>
      </c>
      <c r="AM594" s="2496">
        <f t="shared" si="85"/>
        <v>2392.4251663317814</v>
      </c>
      <c r="AN594" s="2496">
        <f t="shared" si="85"/>
        <v>2432.173677725672</v>
      </c>
      <c r="AO594" s="2496">
        <f t="shared" si="85"/>
        <v>2471.6571071459898</v>
      </c>
      <c r="AP594" s="2496">
        <f t="shared" si="85"/>
        <v>2510.8306502189066</v>
      </c>
      <c r="AQ594" s="2496">
        <f t="shared" si="85"/>
        <v>2549.6587410680581</v>
      </c>
      <c r="AR594" s="2496">
        <f t="shared" si="85"/>
        <v>2588.1058724585632</v>
      </c>
      <c r="AS594" s="2496">
        <f t="shared" si="85"/>
        <v>2626.1365813760544</v>
      </c>
    </row>
    <row r="595" spans="2:45" s="2490" customFormat="1" x14ac:dyDescent="0.2">
      <c r="B595" s="2511"/>
      <c r="C595" s="2495" t="s">
        <v>1380</v>
      </c>
      <c r="D595" s="2493" t="s">
        <v>1537</v>
      </c>
      <c r="G595" s="2496">
        <f t="shared" si="85"/>
        <v>182111.78060762092</v>
      </c>
      <c r="H595" s="2496">
        <f t="shared" si="85"/>
        <v>188620.30997246964</v>
      </c>
      <c r="I595" s="2496">
        <f t="shared" si="85"/>
        <v>195796.17682654844</v>
      </c>
      <c r="J595" s="2496">
        <f t="shared" si="85"/>
        <v>203218.39644007338</v>
      </c>
      <c r="K595" s="2496">
        <f t="shared" si="85"/>
        <v>210707.43246064335</v>
      </c>
      <c r="L595" s="2496">
        <f t="shared" si="85"/>
        <v>218193.61071143366</v>
      </c>
      <c r="M595" s="2496">
        <f t="shared" si="85"/>
        <v>226131.68362615237</v>
      </c>
      <c r="N595" s="2496">
        <f t="shared" si="85"/>
        <v>234368.86162348522</v>
      </c>
      <c r="O595" s="2496">
        <f t="shared" si="85"/>
        <v>242470.00538040156</v>
      </c>
      <c r="P595" s="2496">
        <f t="shared" si="85"/>
        <v>250629.60179537185</v>
      </c>
      <c r="Q595" s="2496">
        <f t="shared" si="85"/>
        <v>258853.47354186937</v>
      </c>
      <c r="R595" s="2496">
        <f t="shared" si="85"/>
        <v>266783.51683950739</v>
      </c>
      <c r="S595" s="2496">
        <f t="shared" si="85"/>
        <v>274500.64895473135</v>
      </c>
      <c r="T595" s="2496">
        <f t="shared" si="85"/>
        <v>282057.29440460622</v>
      </c>
      <c r="U595" s="2496">
        <f t="shared" si="85"/>
        <v>289486.34333621169</v>
      </c>
      <c r="V595" s="2496">
        <f t="shared" si="85"/>
        <v>296806.16203222913</v>
      </c>
      <c r="W595" s="2496">
        <f t="shared" si="85"/>
        <v>304027.19907409948</v>
      </c>
      <c r="X595" s="2496">
        <f t="shared" si="85"/>
        <v>311190.30248310417</v>
      </c>
      <c r="Y595" s="2496">
        <f t="shared" si="85"/>
        <v>318323.02714948839</v>
      </c>
      <c r="Z595" s="2496">
        <f t="shared" si="85"/>
        <v>325442.07479890378</v>
      </c>
      <c r="AA595" s="2496">
        <f t="shared" si="85"/>
        <v>332557.38984237367</v>
      </c>
      <c r="AB595" s="2496">
        <f t="shared" si="85"/>
        <v>339666.39975044219</v>
      </c>
      <c r="AC595" s="2496">
        <f t="shared" si="85"/>
        <v>346773.22060563153</v>
      </c>
      <c r="AD595" s="2496">
        <f t="shared" si="85"/>
        <v>353879.00934273121</v>
      </c>
      <c r="AE595" s="2496">
        <f t="shared" si="85"/>
        <v>360982.85522770352</v>
      </c>
      <c r="AF595" s="2496">
        <f t="shared" si="85"/>
        <v>368083.33704131719</v>
      </c>
      <c r="AG595" s="2496">
        <f t="shared" si="85"/>
        <v>375176.80379203137</v>
      </c>
      <c r="AH595" s="2496">
        <f t="shared" si="85"/>
        <v>382258.95558250224</v>
      </c>
      <c r="AI595" s="2496">
        <f t="shared" si="85"/>
        <v>389325.02229285805</v>
      </c>
      <c r="AJ595" s="2496">
        <f t="shared" si="85"/>
        <v>396380.02517899353</v>
      </c>
      <c r="AK595" s="2496">
        <f t="shared" si="85"/>
        <v>403415.72475795209</v>
      </c>
      <c r="AL595" s="2496">
        <f t="shared" si="85"/>
        <v>410425.640225888</v>
      </c>
      <c r="AM595" s="2496">
        <f t="shared" si="85"/>
        <v>417401.34392864408</v>
      </c>
      <c r="AN595" s="2496">
        <f t="shared" si="85"/>
        <v>424336.18239651184</v>
      </c>
      <c r="AO595" s="2496">
        <f t="shared" si="85"/>
        <v>431224.77257474564</v>
      </c>
      <c r="AP595" s="2496">
        <f t="shared" si="85"/>
        <v>438059.29753928306</v>
      </c>
      <c r="AQ595" s="2496">
        <f t="shared" si="85"/>
        <v>444833.55218711763</v>
      </c>
      <c r="AR595" s="2496">
        <f t="shared" si="85"/>
        <v>451541.34164629783</v>
      </c>
      <c r="AS595" s="2496">
        <f t="shared" si="85"/>
        <v>458176.47875993187</v>
      </c>
    </row>
    <row r="596" spans="2:45" s="2490" customFormat="1" x14ac:dyDescent="0.2">
      <c r="B596" s="2511"/>
      <c r="C596" s="2489" t="s">
        <v>1381</v>
      </c>
      <c r="D596" s="2493" t="s">
        <v>1537</v>
      </c>
      <c r="G596" s="2496">
        <f t="shared" ref="G596:AS596" si="86">G89*G173*$G$192*$D$217*$E$203</f>
        <v>562212.35386632301</v>
      </c>
      <c r="H596" s="2496">
        <f t="shared" si="86"/>
        <v>571460.45391944132</v>
      </c>
      <c r="I596" s="2496">
        <f t="shared" si="86"/>
        <v>583477.00852065964</v>
      </c>
      <c r="J596" s="2496">
        <f t="shared" si="86"/>
        <v>595205.79850253917</v>
      </c>
      <c r="K596" s="2496">
        <f t="shared" si="86"/>
        <v>606921.27092043054</v>
      </c>
      <c r="L596" s="2496">
        <f t="shared" si="86"/>
        <v>618522.97482351016</v>
      </c>
      <c r="M596" s="2496">
        <f t="shared" si="86"/>
        <v>629877.43064845505</v>
      </c>
      <c r="N596" s="2496">
        <f t="shared" si="86"/>
        <v>641173.13794030994</v>
      </c>
      <c r="O596" s="2496">
        <f t="shared" si="86"/>
        <v>652395.33731260127</v>
      </c>
      <c r="P596" s="2496">
        <f t="shared" si="86"/>
        <v>663459.95207291737</v>
      </c>
      <c r="Q596" s="2496">
        <f t="shared" si="86"/>
        <v>674254.58014695277</v>
      </c>
      <c r="R596" s="2496">
        <f t="shared" si="86"/>
        <v>685724.95690162736</v>
      </c>
      <c r="S596" s="2496">
        <f t="shared" si="86"/>
        <v>697571.10080263962</v>
      </c>
      <c r="T596" s="2496">
        <f t="shared" si="86"/>
        <v>709596.13400424551</v>
      </c>
      <c r="U596" s="2496">
        <f t="shared" si="86"/>
        <v>721669.46880644187</v>
      </c>
      <c r="V596" s="2496">
        <f t="shared" si="86"/>
        <v>733700.94893743424</v>
      </c>
      <c r="W596" s="2496">
        <f t="shared" si="86"/>
        <v>745630.52845887933</v>
      </c>
      <c r="X596" s="2496">
        <f t="shared" si="86"/>
        <v>757486.95367098739</v>
      </c>
      <c r="Y596" s="2496">
        <f t="shared" si="86"/>
        <v>769287.61525945109</v>
      </c>
      <c r="Z596" s="2496">
        <f t="shared" si="86"/>
        <v>781039.57008303492</v>
      </c>
      <c r="AA596" s="2496">
        <f t="shared" si="86"/>
        <v>792744.81264442566</v>
      </c>
      <c r="AB596" s="2496">
        <f t="shared" si="86"/>
        <v>804387.34932423756</v>
      </c>
      <c r="AC596" s="2496">
        <f t="shared" si="86"/>
        <v>815968.86924784537</v>
      </c>
      <c r="AD596" s="2496">
        <f t="shared" si="86"/>
        <v>827487.89829480054</v>
      </c>
      <c r="AE596" s="2496">
        <f t="shared" si="86"/>
        <v>838940.94172855129</v>
      </c>
      <c r="AF596" s="2496">
        <f t="shared" si="86"/>
        <v>850324.9441264749</v>
      </c>
      <c r="AG596" s="2496">
        <f t="shared" si="86"/>
        <v>861633.69457384455</v>
      </c>
      <c r="AH596" s="2496">
        <f t="shared" si="86"/>
        <v>872860.66558094684</v>
      </c>
      <c r="AI596" s="2496">
        <f t="shared" si="86"/>
        <v>883999.12362806161</v>
      </c>
      <c r="AJ596" s="2496">
        <f t="shared" si="86"/>
        <v>895060.44142759906</v>
      </c>
      <c r="AK596" s="2496">
        <f t="shared" si="86"/>
        <v>906031.37875274336</v>
      </c>
      <c r="AL596" s="2496">
        <f t="shared" si="86"/>
        <v>916902.82078848861</v>
      </c>
      <c r="AM596" s="2496">
        <f t="shared" si="86"/>
        <v>927662.67853959731</v>
      </c>
      <c r="AN596" s="2496">
        <f t="shared" si="86"/>
        <v>938302.5587869446</v>
      </c>
      <c r="AO596" s="2496">
        <f t="shared" si="86"/>
        <v>948816.49793463422</v>
      </c>
      <c r="AP596" s="2496">
        <f t="shared" si="86"/>
        <v>959194.29771372024</v>
      </c>
      <c r="AQ596" s="2496">
        <f t="shared" si="86"/>
        <v>969428.866621639</v>
      </c>
      <c r="AR596" s="2496">
        <f t="shared" si="86"/>
        <v>979513.17838425282</v>
      </c>
      <c r="AS596" s="2496">
        <f t="shared" si="86"/>
        <v>989440.27002136176</v>
      </c>
    </row>
    <row r="597" spans="2:45" s="2490" customFormat="1" x14ac:dyDescent="0.2">
      <c r="B597" s="2511"/>
      <c r="C597" s="2497" t="s">
        <v>118</v>
      </c>
      <c r="D597" s="2498" t="s">
        <v>1537</v>
      </c>
      <c r="E597" s="2507"/>
      <c r="F597" s="2507"/>
      <c r="G597" s="2500">
        <f>SUM(G581:G596)</f>
        <v>1023198.7235155875</v>
      </c>
      <c r="H597" s="2500">
        <f t="shared" ref="H597:AS597" si="87">SUM(H581:H596)</f>
        <v>1040522.4101264491</v>
      </c>
      <c r="I597" s="2500">
        <f t="shared" si="87"/>
        <v>1062796.0393809839</v>
      </c>
      <c r="J597" s="2500">
        <f t="shared" si="87"/>
        <v>1084476.5909198467</v>
      </c>
      <c r="K597" s="2500">
        <f t="shared" si="87"/>
        <v>1105812.1982629749</v>
      </c>
      <c r="L597" s="2500">
        <f t="shared" si="87"/>
        <v>1126577.3844199539</v>
      </c>
      <c r="M597" s="2500">
        <f t="shared" si="87"/>
        <v>1147112.0703855008</v>
      </c>
      <c r="N597" s="2500">
        <f t="shared" si="87"/>
        <v>1168053.705507851</v>
      </c>
      <c r="O597" s="2500">
        <f t="shared" si="87"/>
        <v>1188799.6275140881</v>
      </c>
      <c r="P597" s="2500">
        <f t="shared" si="87"/>
        <v>1209477.9691748181</v>
      </c>
      <c r="Q597" s="2500">
        <f t="shared" si="87"/>
        <v>1229916.8636900408</v>
      </c>
      <c r="R597" s="2500">
        <f t="shared" si="87"/>
        <v>1250932.4148929531</v>
      </c>
      <c r="S597" s="2500">
        <f t="shared" si="87"/>
        <v>1272271.7672924129</v>
      </c>
      <c r="T597" s="2500">
        <f t="shared" si="87"/>
        <v>1293760.0875941729</v>
      </c>
      <c r="U597" s="2500">
        <f t="shared" si="87"/>
        <v>1315272.8147383984</v>
      </c>
      <c r="V597" s="2500">
        <f t="shared" si="87"/>
        <v>1336714.2725887585</v>
      </c>
      <c r="W597" s="2500">
        <f t="shared" si="87"/>
        <v>1358014.5126183082</v>
      </c>
      <c r="X597" s="2500">
        <f t="shared" si="87"/>
        <v>1379238.3481347188</v>
      </c>
      <c r="Y597" s="2500">
        <f t="shared" si="87"/>
        <v>1400425.2062287598</v>
      </c>
      <c r="Z597" s="2500">
        <f t="shared" si="87"/>
        <v>1421592.6252007512</v>
      </c>
      <c r="AA597" s="2500">
        <f t="shared" si="87"/>
        <v>1442746.4122498292</v>
      </c>
      <c r="AB597" s="2500">
        <f t="shared" si="87"/>
        <v>1463859.4423552621</v>
      </c>
      <c r="AC597" s="2500">
        <f t="shared" si="87"/>
        <v>1484932.8450075008</v>
      </c>
      <c r="AD597" s="2500">
        <f t="shared" si="87"/>
        <v>1505961.825581945</v>
      </c>
      <c r="AE597" s="2500">
        <f t="shared" si="87"/>
        <v>1526937.7609015498</v>
      </c>
      <c r="AF597" s="2500">
        <f t="shared" si="87"/>
        <v>1547852.5616423911</v>
      </c>
      <c r="AG597" s="2500">
        <f t="shared" si="87"/>
        <v>1568692.5996659787</v>
      </c>
      <c r="AH597" s="2500">
        <f t="shared" si="87"/>
        <v>1589443.5540690948</v>
      </c>
      <c r="AI597" s="2500">
        <f t="shared" si="87"/>
        <v>1610090.6624280801</v>
      </c>
      <c r="AJ597" s="2500">
        <f t="shared" si="87"/>
        <v>1630650.7987951022</v>
      </c>
      <c r="AK597" s="2500">
        <f t="shared" si="87"/>
        <v>1651098.5866457692</v>
      </c>
      <c r="AL597" s="2500">
        <f t="shared" si="87"/>
        <v>1671415.3516510513</v>
      </c>
      <c r="AM597" s="2500">
        <f t="shared" si="87"/>
        <v>1691576.9814402917</v>
      </c>
      <c r="AN597" s="2500">
        <f t="shared" si="87"/>
        <v>1711565.5836736225</v>
      </c>
      <c r="AO597" s="2500">
        <f t="shared" si="87"/>
        <v>1731367.5140734548</v>
      </c>
      <c r="AP597" s="2500">
        <f t="shared" si="87"/>
        <v>1750961.6931256379</v>
      </c>
      <c r="AQ597" s="2500">
        <f t="shared" si="87"/>
        <v>1770332.3896346772</v>
      </c>
      <c r="AR597" s="2500">
        <f t="shared" si="87"/>
        <v>1789464.0048373954</v>
      </c>
      <c r="AS597" s="2500">
        <f t="shared" si="87"/>
        <v>1808341.0563996849</v>
      </c>
    </row>
    <row r="598" spans="2:45" s="2490" customFormat="1" ht="15" x14ac:dyDescent="0.25">
      <c r="B598" s="2511"/>
      <c r="C598" s="2510"/>
      <c r="D598" s="2516"/>
      <c r="E598" s="2519"/>
      <c r="F598" s="2519"/>
      <c r="G598" s="2519"/>
      <c r="H598" s="2519"/>
      <c r="I598" s="2519"/>
      <c r="J598" s="2519"/>
      <c r="K598" s="2519"/>
      <c r="L598" s="2519"/>
      <c r="M598" s="2519"/>
      <c r="N598" s="2519"/>
      <c r="O598" s="2519"/>
      <c r="P598" s="2519"/>
      <c r="Q598" s="2519"/>
      <c r="R598" s="2519"/>
      <c r="S598" s="2519"/>
      <c r="T598" s="2519"/>
      <c r="U598" s="2519"/>
      <c r="V598" s="2519"/>
      <c r="W598" s="2519"/>
      <c r="X598" s="2519"/>
      <c r="Y598" s="2519"/>
      <c r="Z598" s="2519"/>
      <c r="AA598" s="2519"/>
      <c r="AB598" s="2519"/>
      <c r="AC598" s="2519"/>
      <c r="AD598" s="2519"/>
      <c r="AE598" s="2519"/>
      <c r="AF598" s="2519"/>
      <c r="AG598" s="2519"/>
      <c r="AH598" s="2519"/>
      <c r="AI598" s="2519"/>
      <c r="AJ598" s="2519"/>
      <c r="AK598" s="2519"/>
      <c r="AL598" s="2519"/>
      <c r="AM598" s="2519"/>
      <c r="AN598" s="2519"/>
      <c r="AO598" s="2519"/>
      <c r="AP598" s="2519"/>
      <c r="AQ598" s="2519"/>
    </row>
    <row r="599" spans="2:45" x14ac:dyDescent="0.2">
      <c r="B599" s="2098"/>
      <c r="C599" s="2520"/>
      <c r="E599" s="2521"/>
      <c r="F599" s="2407"/>
      <c r="G599" s="2407"/>
      <c r="H599" s="2407"/>
      <c r="I599" s="2407"/>
      <c r="J599" s="2407"/>
      <c r="K599" s="2407"/>
      <c r="L599" s="2407"/>
      <c r="M599" s="2407"/>
      <c r="N599" s="2407"/>
      <c r="O599" s="2407"/>
    </row>
    <row r="600" spans="2:45" x14ac:dyDescent="0.2">
      <c r="B600" s="2098">
        <v>5</v>
      </c>
      <c r="C600" s="2522" t="s">
        <v>1551</v>
      </c>
      <c r="E600" s="2521"/>
      <c r="F600" s="2407"/>
      <c r="G600" s="2407"/>
      <c r="H600" s="2407"/>
      <c r="I600" s="2407"/>
      <c r="J600" s="2407"/>
      <c r="K600" s="2407"/>
      <c r="L600" s="2407"/>
      <c r="M600" s="2407"/>
      <c r="N600" s="2407"/>
      <c r="O600" s="2407"/>
    </row>
    <row r="601" spans="2:45" x14ac:dyDescent="0.2">
      <c r="B601" s="2098"/>
      <c r="C601" s="2513"/>
      <c r="D601" s="2513" t="s">
        <v>1029</v>
      </c>
      <c r="E601" s="2492" t="s">
        <v>8</v>
      </c>
      <c r="F601" s="2492"/>
      <c r="G601" s="2492">
        <v>2012</v>
      </c>
      <c r="H601" s="2492">
        <v>2013</v>
      </c>
      <c r="I601" s="2492">
        <v>2014</v>
      </c>
      <c r="J601" s="2492">
        <v>2015</v>
      </c>
      <c r="K601" s="2492">
        <v>2016</v>
      </c>
      <c r="L601" s="2492">
        <v>2017</v>
      </c>
      <c r="M601" s="2492">
        <v>2018</v>
      </c>
      <c r="N601" s="2492">
        <v>2019</v>
      </c>
      <c r="O601" s="2492">
        <v>2020</v>
      </c>
      <c r="P601" s="2492">
        <v>2021</v>
      </c>
      <c r="Q601" s="2492">
        <v>2022</v>
      </c>
      <c r="R601" s="2492">
        <v>2023</v>
      </c>
      <c r="S601" s="2492">
        <v>2024</v>
      </c>
      <c r="T601" s="2492">
        <v>2025</v>
      </c>
      <c r="U601" s="2492">
        <v>2026</v>
      </c>
      <c r="V601" s="2492">
        <v>2027</v>
      </c>
      <c r="W601" s="2492">
        <v>2028</v>
      </c>
      <c r="X601" s="2492">
        <v>2029</v>
      </c>
      <c r="Y601" s="2492">
        <v>2030</v>
      </c>
      <c r="Z601" s="2492">
        <v>2031</v>
      </c>
      <c r="AA601" s="2492">
        <v>2032</v>
      </c>
      <c r="AB601" s="2492">
        <v>2033</v>
      </c>
      <c r="AC601" s="2492">
        <v>2034</v>
      </c>
      <c r="AD601" s="2492">
        <v>2035</v>
      </c>
      <c r="AE601" s="2492">
        <v>2036</v>
      </c>
      <c r="AF601" s="2492">
        <v>2037</v>
      </c>
      <c r="AG601" s="2492">
        <v>2038</v>
      </c>
      <c r="AH601" s="2492">
        <v>2039</v>
      </c>
      <c r="AI601" s="2492">
        <v>2040</v>
      </c>
      <c r="AJ601" s="2492">
        <v>2041</v>
      </c>
      <c r="AK601" s="2492">
        <v>2042</v>
      </c>
      <c r="AL601" s="2492">
        <v>2043</v>
      </c>
      <c r="AM601" s="2492">
        <v>2044</v>
      </c>
      <c r="AN601" s="2492">
        <v>2045</v>
      </c>
      <c r="AO601" s="2492">
        <v>2046</v>
      </c>
      <c r="AP601" s="2492">
        <v>2047</v>
      </c>
      <c r="AQ601" s="2492">
        <v>2048</v>
      </c>
      <c r="AR601" s="2492">
        <v>2049</v>
      </c>
      <c r="AS601" s="2492">
        <v>2050</v>
      </c>
    </row>
    <row r="602" spans="2:45" x14ac:dyDescent="0.2">
      <c r="B602" s="2523" t="s">
        <v>1552</v>
      </c>
      <c r="C602" s="2489" t="s">
        <v>1553</v>
      </c>
      <c r="D602" s="2493" t="s">
        <v>1243</v>
      </c>
      <c r="G602" s="2496">
        <f t="shared" ref="G602:AS602" si="88">G323*G275*365</f>
        <v>2415434.2540877005</v>
      </c>
      <c r="H602" s="2496">
        <f t="shared" si="88"/>
        <v>2501759.9421850764</v>
      </c>
      <c r="I602" s="2496">
        <f t="shared" si="88"/>
        <v>2596936.8414734309</v>
      </c>
      <c r="J602" s="2496">
        <f t="shared" si="88"/>
        <v>2695381.2333521596</v>
      </c>
      <c r="K602" s="2496">
        <f t="shared" si="88"/>
        <v>2794711.8426835607</v>
      </c>
      <c r="L602" s="2496">
        <f t="shared" si="88"/>
        <v>2894004.5480694119</v>
      </c>
      <c r="M602" s="2496">
        <f t="shared" si="88"/>
        <v>2999290.9450596739</v>
      </c>
      <c r="N602" s="2496">
        <f t="shared" si="88"/>
        <v>3108544.5135294911</v>
      </c>
      <c r="O602" s="2496">
        <f t="shared" si="88"/>
        <v>3215993.7958464068</v>
      </c>
      <c r="P602" s="2496">
        <f t="shared" si="88"/>
        <v>3324218.3632768667</v>
      </c>
      <c r="Q602" s="2496">
        <f t="shared" si="88"/>
        <v>3433295.4446794898</v>
      </c>
      <c r="R602" s="2496">
        <f t="shared" si="88"/>
        <v>3538475.3410794036</v>
      </c>
      <c r="S602" s="2496">
        <f t="shared" si="88"/>
        <v>3640831.2962638433</v>
      </c>
      <c r="T602" s="2496">
        <f t="shared" si="88"/>
        <v>3741058.6412753714</v>
      </c>
      <c r="U602" s="2496">
        <f t="shared" si="88"/>
        <v>3839593.6136139082</v>
      </c>
      <c r="V602" s="2496">
        <f t="shared" si="88"/>
        <v>3936679.8139304416</v>
      </c>
      <c r="W602" s="2496">
        <f t="shared" si="88"/>
        <v>4032455.8266780754</v>
      </c>
      <c r="X602" s="2496">
        <f t="shared" si="88"/>
        <v>4127463.4383875085</v>
      </c>
      <c r="Y602" s="2496">
        <f t="shared" si="88"/>
        <v>4222068.1225363147</v>
      </c>
      <c r="Z602" s="2496">
        <f t="shared" si="88"/>
        <v>4316491.4019722026</v>
      </c>
      <c r="AA602" s="2496">
        <f t="shared" si="88"/>
        <v>4410865.174098745</v>
      </c>
      <c r="AB602" s="2496">
        <f t="shared" si="88"/>
        <v>4505155.3182470538</v>
      </c>
      <c r="AC602" s="2496">
        <f t="shared" si="88"/>
        <v>4599416.4279567832</v>
      </c>
      <c r="AD602" s="2496">
        <f t="shared" si="88"/>
        <v>4693663.8481985405</v>
      </c>
      <c r="AE602" s="2496">
        <f t="shared" si="88"/>
        <v>4787885.4994781613</v>
      </c>
      <c r="AF602" s="2496">
        <f t="shared" si="88"/>
        <v>4882062.5314961076</v>
      </c>
      <c r="AG602" s="2496">
        <f t="shared" si="88"/>
        <v>4976146.5194332963</v>
      </c>
      <c r="AH602" s="2496">
        <f t="shared" si="88"/>
        <v>5070080.4317275779</v>
      </c>
      <c r="AI602" s="2496">
        <f t="shared" si="88"/>
        <v>5163801.000034119</v>
      </c>
      <c r="AJ602" s="2496">
        <f t="shared" si="88"/>
        <v>5257374.8236330189</v>
      </c>
      <c r="AK602" s="2496">
        <f t="shared" si="88"/>
        <v>5350692.6183840511</v>
      </c>
      <c r="AL602" s="2496">
        <f t="shared" si="88"/>
        <v>5443668.4263357259</v>
      </c>
      <c r="AM602" s="2496">
        <f t="shared" si="88"/>
        <v>5536190.467544619</v>
      </c>
      <c r="AN602" s="2496">
        <f t="shared" si="88"/>
        <v>5628170.493910647</v>
      </c>
      <c r="AO602" s="2496">
        <f t="shared" si="88"/>
        <v>5719537.107445267</v>
      </c>
      <c r="AP602" s="2496">
        <f t="shared" si="88"/>
        <v>5810186.6286057336</v>
      </c>
      <c r="AQ602" s="2496">
        <f t="shared" si="88"/>
        <v>5900036.7561905487</v>
      </c>
      <c r="AR602" s="2496">
        <f t="shared" si="88"/>
        <v>5989005.324697502</v>
      </c>
      <c r="AS602" s="2496">
        <f t="shared" si="88"/>
        <v>6077010.2709528534</v>
      </c>
    </row>
    <row r="603" spans="2:45" x14ac:dyDescent="0.2">
      <c r="B603" s="3607" t="s">
        <v>1554</v>
      </c>
      <c r="C603" s="2489" t="s">
        <v>1555</v>
      </c>
      <c r="D603" s="2493" t="s">
        <v>1243</v>
      </c>
      <c r="G603" s="2496">
        <f t="shared" ref="G603:AS603" si="89">G276*G331*365</f>
        <v>0</v>
      </c>
      <c r="H603" s="2496">
        <f t="shared" si="89"/>
        <v>0</v>
      </c>
      <c r="I603" s="2496">
        <f t="shared" si="89"/>
        <v>0</v>
      </c>
      <c r="J603" s="2496">
        <f t="shared" si="89"/>
        <v>0</v>
      </c>
      <c r="K603" s="2496">
        <f t="shared" si="89"/>
        <v>0</v>
      </c>
      <c r="L603" s="2496">
        <f t="shared" si="89"/>
        <v>0</v>
      </c>
      <c r="M603" s="2496">
        <f t="shared" si="89"/>
        <v>0</v>
      </c>
      <c r="N603" s="2496">
        <f t="shared" si="89"/>
        <v>0</v>
      </c>
      <c r="O603" s="2496">
        <f t="shared" si="89"/>
        <v>0</v>
      </c>
      <c r="P603" s="2496">
        <f t="shared" si="89"/>
        <v>0</v>
      </c>
      <c r="Q603" s="2496">
        <f t="shared" si="89"/>
        <v>0</v>
      </c>
      <c r="R603" s="2496">
        <f t="shared" si="89"/>
        <v>0</v>
      </c>
      <c r="S603" s="2496">
        <f t="shared" si="89"/>
        <v>0</v>
      </c>
      <c r="T603" s="2496">
        <f t="shared" si="89"/>
        <v>0</v>
      </c>
      <c r="U603" s="2496">
        <f t="shared" si="89"/>
        <v>0</v>
      </c>
      <c r="V603" s="2496">
        <f t="shared" si="89"/>
        <v>0</v>
      </c>
      <c r="W603" s="2496">
        <f t="shared" si="89"/>
        <v>0</v>
      </c>
      <c r="X603" s="2496">
        <f t="shared" si="89"/>
        <v>0</v>
      </c>
      <c r="Y603" s="2496">
        <f t="shared" si="89"/>
        <v>0</v>
      </c>
      <c r="Z603" s="2496">
        <f t="shared" si="89"/>
        <v>0</v>
      </c>
      <c r="AA603" s="2496">
        <f t="shared" si="89"/>
        <v>0</v>
      </c>
      <c r="AB603" s="2496">
        <f t="shared" si="89"/>
        <v>0</v>
      </c>
      <c r="AC603" s="2496">
        <f t="shared" si="89"/>
        <v>0</v>
      </c>
      <c r="AD603" s="2496">
        <f t="shared" si="89"/>
        <v>0</v>
      </c>
      <c r="AE603" s="2496">
        <f t="shared" si="89"/>
        <v>0</v>
      </c>
      <c r="AF603" s="2496">
        <f t="shared" si="89"/>
        <v>0</v>
      </c>
      <c r="AG603" s="2496">
        <f t="shared" si="89"/>
        <v>0</v>
      </c>
      <c r="AH603" s="2496">
        <f t="shared" si="89"/>
        <v>0</v>
      </c>
      <c r="AI603" s="2496">
        <f t="shared" si="89"/>
        <v>0</v>
      </c>
      <c r="AJ603" s="2496">
        <f t="shared" si="89"/>
        <v>0</v>
      </c>
      <c r="AK603" s="2496">
        <f t="shared" si="89"/>
        <v>0</v>
      </c>
      <c r="AL603" s="2496">
        <f t="shared" si="89"/>
        <v>0</v>
      </c>
      <c r="AM603" s="2496">
        <f t="shared" si="89"/>
        <v>0</v>
      </c>
      <c r="AN603" s="2496">
        <f t="shared" si="89"/>
        <v>0</v>
      </c>
      <c r="AO603" s="2496">
        <f t="shared" si="89"/>
        <v>0</v>
      </c>
      <c r="AP603" s="2496">
        <f t="shared" si="89"/>
        <v>0</v>
      </c>
      <c r="AQ603" s="2496">
        <f t="shared" si="89"/>
        <v>0</v>
      </c>
      <c r="AR603" s="2496">
        <f t="shared" si="89"/>
        <v>0</v>
      </c>
      <c r="AS603" s="2496">
        <f t="shared" si="89"/>
        <v>0</v>
      </c>
    </row>
    <row r="604" spans="2:45" x14ac:dyDescent="0.2">
      <c r="B604" s="3608"/>
      <c r="C604" s="2489" t="s">
        <v>1556</v>
      </c>
      <c r="D604" s="2493" t="s">
        <v>1243</v>
      </c>
      <c r="G604" s="2496">
        <f t="shared" ref="G604:AS604" si="90">G340*G277*365</f>
        <v>0</v>
      </c>
      <c r="H604" s="2496">
        <f t="shared" si="90"/>
        <v>0</v>
      </c>
      <c r="I604" s="2496">
        <f t="shared" si="90"/>
        <v>0</v>
      </c>
      <c r="J604" s="2496">
        <f t="shared" si="90"/>
        <v>0</v>
      </c>
      <c r="K604" s="2496">
        <f t="shared" si="90"/>
        <v>0</v>
      </c>
      <c r="L604" s="2496">
        <f t="shared" si="90"/>
        <v>0</v>
      </c>
      <c r="M604" s="2496">
        <f t="shared" si="90"/>
        <v>0</v>
      </c>
      <c r="N604" s="2496">
        <f t="shared" si="90"/>
        <v>0</v>
      </c>
      <c r="O604" s="2496">
        <f t="shared" si="90"/>
        <v>0</v>
      </c>
      <c r="P604" s="2496">
        <f t="shared" si="90"/>
        <v>0</v>
      </c>
      <c r="Q604" s="2496">
        <f t="shared" si="90"/>
        <v>0</v>
      </c>
      <c r="R604" s="2496">
        <f t="shared" si="90"/>
        <v>0</v>
      </c>
      <c r="S604" s="2496">
        <f t="shared" si="90"/>
        <v>0</v>
      </c>
      <c r="T604" s="2496">
        <f t="shared" si="90"/>
        <v>0</v>
      </c>
      <c r="U604" s="2496">
        <f t="shared" si="90"/>
        <v>0</v>
      </c>
      <c r="V604" s="2496">
        <f t="shared" si="90"/>
        <v>0</v>
      </c>
      <c r="W604" s="2496">
        <f t="shared" si="90"/>
        <v>0</v>
      </c>
      <c r="X604" s="2496">
        <f t="shared" si="90"/>
        <v>0</v>
      </c>
      <c r="Y604" s="2496">
        <f t="shared" si="90"/>
        <v>0</v>
      </c>
      <c r="Z604" s="2496">
        <f t="shared" si="90"/>
        <v>0</v>
      </c>
      <c r="AA604" s="2496">
        <f t="shared" si="90"/>
        <v>0</v>
      </c>
      <c r="AB604" s="2496">
        <f t="shared" si="90"/>
        <v>0</v>
      </c>
      <c r="AC604" s="2496">
        <f t="shared" si="90"/>
        <v>0</v>
      </c>
      <c r="AD604" s="2496">
        <f t="shared" si="90"/>
        <v>0</v>
      </c>
      <c r="AE604" s="2496">
        <f t="shared" si="90"/>
        <v>0</v>
      </c>
      <c r="AF604" s="2496">
        <f t="shared" si="90"/>
        <v>0</v>
      </c>
      <c r="AG604" s="2496">
        <f t="shared" si="90"/>
        <v>0</v>
      </c>
      <c r="AH604" s="2496">
        <f t="shared" si="90"/>
        <v>0</v>
      </c>
      <c r="AI604" s="2496">
        <f t="shared" si="90"/>
        <v>0</v>
      </c>
      <c r="AJ604" s="2496">
        <f t="shared" si="90"/>
        <v>0</v>
      </c>
      <c r="AK604" s="2496">
        <f t="shared" si="90"/>
        <v>0</v>
      </c>
      <c r="AL604" s="2496">
        <f t="shared" si="90"/>
        <v>0</v>
      </c>
      <c r="AM604" s="2496">
        <f t="shared" si="90"/>
        <v>0</v>
      </c>
      <c r="AN604" s="2496">
        <f t="shared" si="90"/>
        <v>0</v>
      </c>
      <c r="AO604" s="2496">
        <f t="shared" si="90"/>
        <v>0</v>
      </c>
      <c r="AP604" s="2496">
        <f t="shared" si="90"/>
        <v>0</v>
      </c>
      <c r="AQ604" s="2496">
        <f t="shared" si="90"/>
        <v>0</v>
      </c>
      <c r="AR604" s="2496">
        <f t="shared" si="90"/>
        <v>0</v>
      </c>
      <c r="AS604" s="2496">
        <f t="shared" si="90"/>
        <v>0</v>
      </c>
    </row>
    <row r="605" spans="2:45" x14ac:dyDescent="0.2">
      <c r="B605" s="2524" t="s">
        <v>1557</v>
      </c>
      <c r="C605" s="2489" t="s">
        <v>1558</v>
      </c>
      <c r="D605" s="2493" t="s">
        <v>1243</v>
      </c>
      <c r="G605" s="2525">
        <f t="shared" ref="G605:AS605" si="91">G602*G278+G603*G279+G604*G280</f>
        <v>1497569.2375343742</v>
      </c>
      <c r="H605" s="2525">
        <f t="shared" si="91"/>
        <v>1551091.1641547473</v>
      </c>
      <c r="I605" s="2525">
        <f t="shared" si="91"/>
        <v>1610100.8417135272</v>
      </c>
      <c r="J605" s="2525">
        <f t="shared" si="91"/>
        <v>1671136.3646783389</v>
      </c>
      <c r="K605" s="2525">
        <f t="shared" si="91"/>
        <v>1732721.3424638077</v>
      </c>
      <c r="L605" s="2525">
        <f t="shared" si="91"/>
        <v>1794282.8198030354</v>
      </c>
      <c r="M605" s="2525">
        <f t="shared" si="91"/>
        <v>1859560.3859369978</v>
      </c>
      <c r="N605" s="2525">
        <f t="shared" si="91"/>
        <v>1927297.5983882844</v>
      </c>
      <c r="O605" s="2525">
        <f t="shared" si="91"/>
        <v>1993916.1534247722</v>
      </c>
      <c r="P605" s="2525">
        <f t="shared" si="91"/>
        <v>2061015.3852316574</v>
      </c>
      <c r="Q605" s="2525">
        <f t="shared" si="91"/>
        <v>2128643.1757012838</v>
      </c>
      <c r="R605" s="2525">
        <f t="shared" si="91"/>
        <v>2193854.7114692302</v>
      </c>
      <c r="S605" s="2525">
        <f t="shared" si="91"/>
        <v>2257315.4036835828</v>
      </c>
      <c r="T605" s="2525">
        <f t="shared" si="91"/>
        <v>2319456.3575907303</v>
      </c>
      <c r="U605" s="2525">
        <f t="shared" si="91"/>
        <v>2380548.0404406232</v>
      </c>
      <c r="V605" s="2525">
        <f t="shared" si="91"/>
        <v>2440741.4846368739</v>
      </c>
      <c r="W605" s="2525">
        <f t="shared" si="91"/>
        <v>2500122.6125404066</v>
      </c>
      <c r="X605" s="2525">
        <f t="shared" si="91"/>
        <v>2559027.3318002555</v>
      </c>
      <c r="Y605" s="2525">
        <f t="shared" si="91"/>
        <v>2617682.2359725148</v>
      </c>
      <c r="Z605" s="2525">
        <f t="shared" si="91"/>
        <v>2676224.6692227656</v>
      </c>
      <c r="AA605" s="2525">
        <f t="shared" si="91"/>
        <v>2734736.4079412217</v>
      </c>
      <c r="AB605" s="2525">
        <f t="shared" si="91"/>
        <v>2793196.2973131733</v>
      </c>
      <c r="AC605" s="2525">
        <f t="shared" si="91"/>
        <v>2851638.1853332054</v>
      </c>
      <c r="AD605" s="2525">
        <f t="shared" si="91"/>
        <v>2910071.5858830949</v>
      </c>
      <c r="AE605" s="2525">
        <f t="shared" si="91"/>
        <v>2968489.0096764602</v>
      </c>
      <c r="AF605" s="2525">
        <f t="shared" si="91"/>
        <v>3026878.7695275866</v>
      </c>
      <c r="AG605" s="2525">
        <f t="shared" si="91"/>
        <v>3085210.8420486436</v>
      </c>
      <c r="AH605" s="2525">
        <f t="shared" si="91"/>
        <v>3143449.8676710981</v>
      </c>
      <c r="AI605" s="2525">
        <f t="shared" si="91"/>
        <v>3201556.6200211537</v>
      </c>
      <c r="AJ605" s="2525">
        <f t="shared" si="91"/>
        <v>3259572.3906524717</v>
      </c>
      <c r="AK605" s="2525">
        <f t="shared" si="91"/>
        <v>3317429.4233981115</v>
      </c>
      <c r="AL605" s="2525">
        <f t="shared" si="91"/>
        <v>3375074.4243281502</v>
      </c>
      <c r="AM605" s="2525">
        <f t="shared" si="91"/>
        <v>3432438.0898776636</v>
      </c>
      <c r="AN605" s="2525">
        <f t="shared" si="91"/>
        <v>3489465.7062246013</v>
      </c>
      <c r="AO605" s="2525">
        <f t="shared" si="91"/>
        <v>3546113.0066160657</v>
      </c>
      <c r="AP605" s="2525">
        <f t="shared" si="91"/>
        <v>3602315.7097355546</v>
      </c>
      <c r="AQ605" s="2525">
        <f t="shared" si="91"/>
        <v>3658022.7888381402</v>
      </c>
      <c r="AR605" s="2525">
        <f t="shared" si="91"/>
        <v>3713183.3013124513</v>
      </c>
      <c r="AS605" s="2525">
        <f t="shared" si="91"/>
        <v>3767746.367990769</v>
      </c>
    </row>
    <row r="606" spans="2:45" x14ac:dyDescent="0.2">
      <c r="B606" s="2523"/>
      <c r="C606" s="2489" t="s">
        <v>1559</v>
      </c>
      <c r="D606" s="2493" t="s">
        <v>1066</v>
      </c>
      <c r="E606" s="2490"/>
      <c r="F606" s="2490"/>
      <c r="G606" s="2526">
        <v>0.65600000000000003</v>
      </c>
      <c r="H606" s="2525">
        <v>0.65600000000000003</v>
      </c>
      <c r="I606" s="2525">
        <v>0.65600000000000003</v>
      </c>
      <c r="J606" s="2525">
        <v>0.65600000000000003</v>
      </c>
      <c r="K606" s="2525">
        <v>0.65600000000000003</v>
      </c>
      <c r="L606" s="2525">
        <v>0.65600000000000003</v>
      </c>
      <c r="M606" s="2525">
        <v>0.65600000000000003</v>
      </c>
      <c r="N606" s="2525">
        <v>0.65600000000000003</v>
      </c>
      <c r="O606" s="2525">
        <v>0.65600000000000003</v>
      </c>
      <c r="P606" s="2525">
        <v>0.65600000000000003</v>
      </c>
      <c r="Q606" s="2525">
        <v>0.65600000000000003</v>
      </c>
      <c r="R606" s="2525">
        <v>0.65600000000000003</v>
      </c>
      <c r="S606" s="2525">
        <v>0.65600000000000003</v>
      </c>
      <c r="T606" s="2525">
        <v>0.65600000000000003</v>
      </c>
      <c r="U606" s="2525">
        <v>0.65600000000000003</v>
      </c>
      <c r="V606" s="2525">
        <v>0.65600000000000003</v>
      </c>
      <c r="W606" s="2525">
        <v>0.65600000000000003</v>
      </c>
      <c r="X606" s="2525">
        <v>0.65600000000000003</v>
      </c>
      <c r="Y606" s="2525">
        <v>0.65600000000000003</v>
      </c>
      <c r="Z606" s="2525">
        <v>0.65600000000000003</v>
      </c>
      <c r="AA606" s="2525">
        <v>0.65600000000000003</v>
      </c>
      <c r="AB606" s="2525">
        <v>0.65600000000000003</v>
      </c>
      <c r="AC606" s="2525">
        <v>0.65600000000000003</v>
      </c>
      <c r="AD606" s="2525">
        <v>0.65600000000000003</v>
      </c>
      <c r="AE606" s="2525">
        <v>0.65600000000000003</v>
      </c>
      <c r="AF606" s="2525">
        <v>0.65600000000000003</v>
      </c>
      <c r="AG606" s="2525">
        <v>0.65600000000000003</v>
      </c>
      <c r="AH606" s="2525">
        <v>0.65600000000000003</v>
      </c>
      <c r="AI606" s="2525">
        <v>0.65600000000000003</v>
      </c>
      <c r="AJ606" s="2525">
        <v>0.65600000000000003</v>
      </c>
      <c r="AK606" s="2525">
        <v>0.65600000000000003</v>
      </c>
      <c r="AL606" s="2525">
        <v>0.65600000000000003</v>
      </c>
      <c r="AM606" s="2525">
        <v>0.65600000000000003</v>
      </c>
      <c r="AN606" s="2525">
        <v>0.65600000000000003</v>
      </c>
      <c r="AO606" s="2525">
        <v>0.65600000000000003</v>
      </c>
      <c r="AP606" s="2525">
        <v>0.65600000000000003</v>
      </c>
      <c r="AQ606" s="2525">
        <v>0.65600000000000003</v>
      </c>
      <c r="AR606" s="2525">
        <v>0.65600000000000003</v>
      </c>
      <c r="AS606" s="2525">
        <v>0.65600000000000003</v>
      </c>
    </row>
    <row r="607" spans="2:45" x14ac:dyDescent="0.2">
      <c r="B607" s="2523"/>
      <c r="C607" s="2489" t="s">
        <v>1558</v>
      </c>
      <c r="D607" s="2493" t="s">
        <v>1560</v>
      </c>
      <c r="E607" s="2490"/>
      <c r="F607" s="2490"/>
      <c r="G607" s="2525">
        <f t="shared" ref="G607:AS607" si="92">G605*G606/10^6</f>
        <v>0.98240541982254959</v>
      </c>
      <c r="H607" s="2525">
        <f t="shared" si="92"/>
        <v>1.0175158036855143</v>
      </c>
      <c r="I607" s="2525">
        <f t="shared" si="92"/>
        <v>1.0562261521640739</v>
      </c>
      <c r="J607" s="2525">
        <f t="shared" si="92"/>
        <v>1.0962654552289903</v>
      </c>
      <c r="K607" s="2525">
        <f t="shared" si="92"/>
        <v>1.1366652006562579</v>
      </c>
      <c r="L607" s="2525">
        <f t="shared" si="92"/>
        <v>1.1770495297907912</v>
      </c>
      <c r="M607" s="2525">
        <f t="shared" si="92"/>
        <v>1.2198716131746705</v>
      </c>
      <c r="N607" s="2525">
        <f t="shared" si="92"/>
        <v>1.2643072245427147</v>
      </c>
      <c r="O607" s="2525">
        <f t="shared" si="92"/>
        <v>1.3080089966466506</v>
      </c>
      <c r="P607" s="2525">
        <f t="shared" si="92"/>
        <v>1.3520260927119674</v>
      </c>
      <c r="Q607" s="2525">
        <f t="shared" si="92"/>
        <v>1.3963899232600423</v>
      </c>
      <c r="R607" s="2525">
        <f t="shared" si="92"/>
        <v>1.439168690723815</v>
      </c>
      <c r="S607" s="2525">
        <f t="shared" si="92"/>
        <v>1.4807989048164303</v>
      </c>
      <c r="T607" s="2525">
        <f t="shared" si="92"/>
        <v>1.5215633705795191</v>
      </c>
      <c r="U607" s="2525">
        <f t="shared" si="92"/>
        <v>1.5616395145290489</v>
      </c>
      <c r="V607" s="2525">
        <f t="shared" si="92"/>
        <v>1.6011264139217893</v>
      </c>
      <c r="W607" s="2525">
        <f t="shared" si="92"/>
        <v>1.6400804338265069</v>
      </c>
      <c r="X607" s="2525">
        <f t="shared" si="92"/>
        <v>1.6787219296609674</v>
      </c>
      <c r="Y607" s="2525">
        <f t="shared" si="92"/>
        <v>1.7171995467979699</v>
      </c>
      <c r="Z607" s="2525">
        <f t="shared" si="92"/>
        <v>1.7556033830101343</v>
      </c>
      <c r="AA607" s="2525">
        <f t="shared" si="92"/>
        <v>1.7939870836094416</v>
      </c>
      <c r="AB607" s="2525">
        <f t="shared" si="92"/>
        <v>1.8323367710374416</v>
      </c>
      <c r="AC607" s="2525">
        <f t="shared" si="92"/>
        <v>1.8706746495785826</v>
      </c>
      <c r="AD607" s="2525">
        <f t="shared" si="92"/>
        <v>1.9090069603393103</v>
      </c>
      <c r="AE607" s="2525">
        <f t="shared" si="92"/>
        <v>1.9473287903477581</v>
      </c>
      <c r="AF607" s="2525">
        <f t="shared" si="92"/>
        <v>1.9856324728100969</v>
      </c>
      <c r="AG607" s="2525">
        <f t="shared" si="92"/>
        <v>2.0238983123839103</v>
      </c>
      <c r="AH607" s="2525">
        <f t="shared" si="92"/>
        <v>2.0621031131922405</v>
      </c>
      <c r="AI607" s="2525">
        <f t="shared" si="92"/>
        <v>2.1002211427338771</v>
      </c>
      <c r="AJ607" s="2525">
        <f t="shared" si="92"/>
        <v>2.1382794882680214</v>
      </c>
      <c r="AK607" s="2525">
        <f t="shared" si="92"/>
        <v>2.1762337017491613</v>
      </c>
      <c r="AL607" s="2525">
        <f t="shared" si="92"/>
        <v>2.2140488223592665</v>
      </c>
      <c r="AM607" s="2525">
        <f t="shared" si="92"/>
        <v>2.2516793869597476</v>
      </c>
      <c r="AN607" s="2525">
        <f t="shared" si="92"/>
        <v>2.2890895032833387</v>
      </c>
      <c r="AO607" s="2525">
        <f t="shared" si="92"/>
        <v>2.3262501323401392</v>
      </c>
      <c r="AP607" s="2525">
        <f t="shared" si="92"/>
        <v>2.3631191055865242</v>
      </c>
      <c r="AQ607" s="2525">
        <f t="shared" si="92"/>
        <v>2.3996629494778201</v>
      </c>
      <c r="AR607" s="2525">
        <f t="shared" si="92"/>
        <v>2.435848245660968</v>
      </c>
      <c r="AS607" s="2525">
        <f t="shared" si="92"/>
        <v>2.4716416174019447</v>
      </c>
    </row>
    <row r="608" spans="2:45" x14ac:dyDescent="0.2">
      <c r="B608" s="2523"/>
      <c r="C608" s="2489" t="s">
        <v>1561</v>
      </c>
      <c r="D608" s="2493" t="s">
        <v>1562</v>
      </c>
      <c r="E608" s="2490"/>
      <c r="F608" s="2490"/>
      <c r="G608" s="2496">
        <v>9341</v>
      </c>
      <c r="H608" s="2496"/>
      <c r="I608" s="2496"/>
      <c r="J608" s="2496"/>
      <c r="K608" s="2496"/>
      <c r="L608" s="2496"/>
      <c r="M608" s="2496"/>
      <c r="N608" s="2496"/>
      <c r="O608" s="2496"/>
      <c r="P608" s="2496"/>
      <c r="Q608" s="2496"/>
      <c r="R608" s="2496"/>
      <c r="S608" s="2496"/>
      <c r="T608" s="2496"/>
      <c r="U608" s="2496"/>
      <c r="V608" s="2496"/>
      <c r="W608" s="2496"/>
      <c r="X608" s="2496"/>
      <c r="Y608" s="2496"/>
      <c r="Z608" s="2496"/>
      <c r="AA608" s="2496"/>
      <c r="AB608" s="2496"/>
      <c r="AC608" s="2496"/>
      <c r="AD608" s="2496"/>
      <c r="AE608" s="2496"/>
      <c r="AF608" s="2496"/>
      <c r="AG608" s="2496"/>
      <c r="AH608" s="2496"/>
      <c r="AI608" s="2496"/>
      <c r="AJ608" s="2496"/>
      <c r="AK608" s="2496"/>
      <c r="AL608" s="2496"/>
      <c r="AM608" s="2496"/>
      <c r="AN608" s="2496"/>
      <c r="AO608" s="2496"/>
      <c r="AP608" s="2496"/>
      <c r="AQ608" s="2496"/>
      <c r="AR608" s="2496"/>
      <c r="AS608" s="2496"/>
    </row>
    <row r="609" spans="2:45" x14ac:dyDescent="0.2">
      <c r="B609" s="2523"/>
      <c r="C609" s="2489" t="s">
        <v>1563</v>
      </c>
      <c r="D609" s="2493" t="s">
        <v>1564</v>
      </c>
      <c r="E609" s="2490"/>
      <c r="F609" s="2490"/>
      <c r="G609" s="2496">
        <f>G605*$G$608/10^9</f>
        <v>13.98879424780859</v>
      </c>
      <c r="H609" s="2496">
        <f t="shared" ref="H609:AS609" si="93">H605*$G$608/10^9</f>
        <v>14.488742564369494</v>
      </c>
      <c r="I609" s="2496">
        <f t="shared" si="93"/>
        <v>15.039951962446059</v>
      </c>
      <c r="J609" s="2496">
        <f t="shared" si="93"/>
        <v>15.610084782460364</v>
      </c>
      <c r="K609" s="2496">
        <f t="shared" si="93"/>
        <v>16.185350059954427</v>
      </c>
      <c r="L609" s="2496">
        <f t="shared" si="93"/>
        <v>16.760395819780154</v>
      </c>
      <c r="M609" s="2496">
        <f t="shared" si="93"/>
        <v>17.370153565037498</v>
      </c>
      <c r="N609" s="2496">
        <f t="shared" si="93"/>
        <v>18.002886866544962</v>
      </c>
      <c r="O609" s="2496">
        <f t="shared" si="93"/>
        <v>18.625170789140796</v>
      </c>
      <c r="P609" s="2496">
        <f t="shared" si="93"/>
        <v>19.251944713448914</v>
      </c>
      <c r="Q609" s="2496">
        <f t="shared" si="93"/>
        <v>19.883655904225694</v>
      </c>
      <c r="R609" s="2496">
        <f t="shared" si="93"/>
        <v>20.49279685983408</v>
      </c>
      <c r="S609" s="2496">
        <f t="shared" si="93"/>
        <v>21.085583185808346</v>
      </c>
      <c r="T609" s="2496">
        <f t="shared" si="93"/>
        <v>21.666041836255012</v>
      </c>
      <c r="U609" s="2496">
        <f t="shared" si="93"/>
        <v>22.236699245755858</v>
      </c>
      <c r="V609" s="2496">
        <f t="shared" si="93"/>
        <v>22.79896620799304</v>
      </c>
      <c r="W609" s="2496">
        <f t="shared" si="93"/>
        <v>23.353645323739936</v>
      </c>
      <c r="X609" s="2496">
        <f t="shared" si="93"/>
        <v>23.903874306346186</v>
      </c>
      <c r="Y609" s="2496">
        <f t="shared" si="93"/>
        <v>24.451769766219261</v>
      </c>
      <c r="Z609" s="2496">
        <f t="shared" si="93"/>
        <v>24.998614635209854</v>
      </c>
      <c r="AA609" s="2496">
        <f t="shared" si="93"/>
        <v>25.545172786578952</v>
      </c>
      <c r="AB609" s="2496">
        <f t="shared" si="93"/>
        <v>26.091246613202351</v>
      </c>
      <c r="AC609" s="2496">
        <f t="shared" si="93"/>
        <v>26.63715228919747</v>
      </c>
      <c r="AD609" s="2496">
        <f t="shared" si="93"/>
        <v>27.182978683733989</v>
      </c>
      <c r="AE609" s="2496">
        <f t="shared" si="93"/>
        <v>27.728655839387812</v>
      </c>
      <c r="AF609" s="2496">
        <f t="shared" si="93"/>
        <v>28.274074586157187</v>
      </c>
      <c r="AG609" s="2496">
        <f t="shared" si="93"/>
        <v>28.818954475576383</v>
      </c>
      <c r="AH609" s="2496">
        <f t="shared" si="93"/>
        <v>29.362965213915725</v>
      </c>
      <c r="AI609" s="2496">
        <f t="shared" si="93"/>
        <v>29.905740387617595</v>
      </c>
      <c r="AJ609" s="2496">
        <f t="shared" si="93"/>
        <v>30.447665701084741</v>
      </c>
      <c r="AK609" s="2496">
        <f t="shared" si="93"/>
        <v>30.988108243961758</v>
      </c>
      <c r="AL609" s="2496">
        <f t="shared" si="93"/>
        <v>31.526570197649249</v>
      </c>
      <c r="AM609" s="2496">
        <f t="shared" si="93"/>
        <v>32.062404197547259</v>
      </c>
      <c r="AN609" s="2496">
        <f t="shared" si="93"/>
        <v>32.595099161844004</v>
      </c>
      <c r="AO609" s="2496">
        <f t="shared" si="93"/>
        <v>33.124241594800672</v>
      </c>
      <c r="AP609" s="2496">
        <f t="shared" si="93"/>
        <v>33.649231044639819</v>
      </c>
      <c r="AQ609" s="2496">
        <f t="shared" si="93"/>
        <v>34.169590870537064</v>
      </c>
      <c r="AR609" s="2496">
        <f t="shared" si="93"/>
        <v>34.684845217559605</v>
      </c>
      <c r="AS609" s="2496">
        <f t="shared" si="93"/>
        <v>35.194518823401772</v>
      </c>
    </row>
    <row r="610" spans="2:45" x14ac:dyDescent="0.2">
      <c r="B610" s="2523"/>
      <c r="C610" s="2489" t="s">
        <v>1563</v>
      </c>
      <c r="D610" s="2493" t="s">
        <v>1565</v>
      </c>
      <c r="E610" s="2490"/>
      <c r="F610" s="2490"/>
      <c r="G610" s="2496">
        <f>G609*4.184</f>
        <v>58.529115132831144</v>
      </c>
      <c r="H610" s="2496">
        <f t="shared" ref="H610:AS610" si="94">H609*4.184</f>
        <v>60.620898889321964</v>
      </c>
      <c r="I610" s="2496">
        <f t="shared" si="94"/>
        <v>62.927159010874313</v>
      </c>
      <c r="J610" s="2496">
        <f t="shared" si="94"/>
        <v>65.312594729814165</v>
      </c>
      <c r="K610" s="2496">
        <f t="shared" si="94"/>
        <v>67.719504650849331</v>
      </c>
      <c r="L610" s="2496">
        <f t="shared" si="94"/>
        <v>70.125496109960167</v>
      </c>
      <c r="M610" s="2496">
        <f t="shared" si="94"/>
        <v>72.676722516116897</v>
      </c>
      <c r="N610" s="2496">
        <f t="shared" si="94"/>
        <v>75.324078649624127</v>
      </c>
      <c r="O610" s="2496">
        <f t="shared" si="94"/>
        <v>77.927714581765088</v>
      </c>
      <c r="P610" s="2496">
        <f t="shared" si="94"/>
        <v>80.550136681070256</v>
      </c>
      <c r="Q610" s="2496">
        <f t="shared" si="94"/>
        <v>83.193216303280309</v>
      </c>
      <c r="R610" s="2496">
        <f t="shared" si="94"/>
        <v>85.741862061545788</v>
      </c>
      <c r="S610" s="2496">
        <f t="shared" si="94"/>
        <v>88.222080049422118</v>
      </c>
      <c r="T610" s="2496">
        <f t="shared" si="94"/>
        <v>90.650719042890969</v>
      </c>
      <c r="U610" s="2496">
        <f t="shared" si="94"/>
        <v>93.038349644242516</v>
      </c>
      <c r="V610" s="2496">
        <f t="shared" si="94"/>
        <v>95.390874614242875</v>
      </c>
      <c r="W610" s="2496">
        <f t="shared" si="94"/>
        <v>97.711652034527901</v>
      </c>
      <c r="X610" s="2496">
        <f t="shared" si="94"/>
        <v>100.01381009775244</v>
      </c>
      <c r="Y610" s="2496">
        <f t="shared" si="94"/>
        <v>102.30620470186139</v>
      </c>
      <c r="Z610" s="2496">
        <f t="shared" si="94"/>
        <v>104.59420363371804</v>
      </c>
      <c r="AA610" s="2496">
        <f t="shared" si="94"/>
        <v>106.88100293904634</v>
      </c>
      <c r="AB610" s="2496">
        <f t="shared" si="94"/>
        <v>109.16577582963865</v>
      </c>
      <c r="AC610" s="2496">
        <f t="shared" si="94"/>
        <v>111.44984517800222</v>
      </c>
      <c r="AD610" s="2496">
        <f t="shared" si="94"/>
        <v>113.73358281274301</v>
      </c>
      <c r="AE610" s="2496">
        <f t="shared" si="94"/>
        <v>116.01669603199861</v>
      </c>
      <c r="AF610" s="2496">
        <f t="shared" si="94"/>
        <v>118.29872806848168</v>
      </c>
      <c r="AG610" s="2496">
        <f t="shared" si="94"/>
        <v>120.57850552581159</v>
      </c>
      <c r="AH610" s="2496">
        <f t="shared" si="94"/>
        <v>122.8546464550234</v>
      </c>
      <c r="AI610" s="2496">
        <f t="shared" si="94"/>
        <v>125.12561778179202</v>
      </c>
      <c r="AJ610" s="2496">
        <f t="shared" si="94"/>
        <v>127.39303329333856</v>
      </c>
      <c r="AK610" s="2496">
        <f t="shared" si="94"/>
        <v>129.65424489273599</v>
      </c>
      <c r="AL610" s="2496">
        <f t="shared" si="94"/>
        <v>131.90716970696445</v>
      </c>
      <c r="AM610" s="2496">
        <f t="shared" si="94"/>
        <v>134.14909916253774</v>
      </c>
      <c r="AN610" s="2496">
        <f t="shared" si="94"/>
        <v>136.37789489315531</v>
      </c>
      <c r="AO610" s="2496">
        <f t="shared" si="94"/>
        <v>138.59182683264601</v>
      </c>
      <c r="AP610" s="2496">
        <f t="shared" si="94"/>
        <v>140.78838269077301</v>
      </c>
      <c r="AQ610" s="2496">
        <f t="shared" si="94"/>
        <v>142.96556820232709</v>
      </c>
      <c r="AR610" s="2496">
        <f t="shared" si="94"/>
        <v>145.12139239026939</v>
      </c>
      <c r="AS610" s="2496">
        <f t="shared" si="94"/>
        <v>147.25386675711303</v>
      </c>
    </row>
    <row r="611" spans="2:45" x14ac:dyDescent="0.2">
      <c r="B611" s="2523"/>
      <c r="C611" s="2489" t="s">
        <v>1566</v>
      </c>
      <c r="D611" s="2493" t="s">
        <v>1567</v>
      </c>
      <c r="E611" s="2490"/>
      <c r="F611" s="2490"/>
      <c r="G611" s="2496">
        <v>56100</v>
      </c>
      <c r="H611" s="2496"/>
      <c r="I611" s="2496"/>
      <c r="J611" s="2496"/>
      <c r="K611" s="2496"/>
      <c r="L611" s="2496"/>
      <c r="M611" s="2496"/>
      <c r="N611" s="2496"/>
      <c r="O611" s="2496"/>
      <c r="P611" s="2496"/>
      <c r="Q611" s="2496"/>
      <c r="R611" s="2496"/>
      <c r="S611" s="2496"/>
      <c r="T611" s="2496"/>
      <c r="U611" s="2496"/>
      <c r="V611" s="2496"/>
      <c r="W611" s="2496"/>
      <c r="X611" s="2496"/>
      <c r="Y611" s="2496"/>
      <c r="Z611" s="2496"/>
      <c r="AA611" s="2496"/>
      <c r="AB611" s="2496"/>
      <c r="AC611" s="2496"/>
      <c r="AD611" s="2496"/>
      <c r="AE611" s="2496"/>
      <c r="AF611" s="2496"/>
      <c r="AG611" s="2496"/>
      <c r="AH611" s="2496"/>
      <c r="AI611" s="2496"/>
      <c r="AJ611" s="2496"/>
      <c r="AK611" s="2496"/>
      <c r="AL611" s="2496"/>
      <c r="AM611" s="2496"/>
      <c r="AN611" s="2496"/>
      <c r="AO611" s="2496"/>
      <c r="AP611" s="2496"/>
      <c r="AQ611" s="2496"/>
      <c r="AR611" s="2496"/>
      <c r="AS611" s="2496"/>
    </row>
    <row r="612" spans="2:45" x14ac:dyDescent="0.2">
      <c r="B612" s="2523"/>
      <c r="C612" s="2489" t="s">
        <v>1568</v>
      </c>
      <c r="D612" s="2493"/>
      <c r="E612" s="2490"/>
      <c r="F612" s="2490"/>
      <c r="G612" s="2496">
        <f>G610*$G$611/10^6</f>
        <v>3.2834833589518269</v>
      </c>
      <c r="H612" s="2496">
        <f t="shared" ref="H612:AS612" si="95">H610*$G$611/10^6</f>
        <v>3.4008324276909625</v>
      </c>
      <c r="I612" s="2496">
        <f t="shared" si="95"/>
        <v>3.5302136205100489</v>
      </c>
      <c r="J612" s="2496">
        <f t="shared" si="95"/>
        <v>3.6640365643425747</v>
      </c>
      <c r="K612" s="2496">
        <f t="shared" si="95"/>
        <v>3.7990642109126478</v>
      </c>
      <c r="L612" s="2496">
        <f t="shared" si="95"/>
        <v>3.9340403317687658</v>
      </c>
      <c r="M612" s="2496">
        <f t="shared" si="95"/>
        <v>4.0771641331541577</v>
      </c>
      <c r="N612" s="2496">
        <f t="shared" si="95"/>
        <v>4.2256808122439136</v>
      </c>
      <c r="O612" s="2496">
        <f t="shared" si="95"/>
        <v>4.3717447880370219</v>
      </c>
      <c r="P612" s="2496">
        <f t="shared" si="95"/>
        <v>4.5188626678080412</v>
      </c>
      <c r="Q612" s="2496">
        <f t="shared" si="95"/>
        <v>4.6671394346140254</v>
      </c>
      <c r="R612" s="2496">
        <f t="shared" si="95"/>
        <v>4.8101184616527188</v>
      </c>
      <c r="S612" s="2496">
        <f t="shared" si="95"/>
        <v>4.9492586907725808</v>
      </c>
      <c r="T612" s="2496">
        <f t="shared" si="95"/>
        <v>5.0855053383061826</v>
      </c>
      <c r="U612" s="2496">
        <f t="shared" si="95"/>
        <v>5.2194514150420055</v>
      </c>
      <c r="V612" s="2496">
        <f t="shared" si="95"/>
        <v>5.3514280658590252</v>
      </c>
      <c r="W612" s="2496">
        <f t="shared" si="95"/>
        <v>5.4816236791370159</v>
      </c>
      <c r="X612" s="2496">
        <f t="shared" si="95"/>
        <v>5.6107747464839122</v>
      </c>
      <c r="Y612" s="2496">
        <f t="shared" si="95"/>
        <v>5.7393780837744242</v>
      </c>
      <c r="Z612" s="2496">
        <f t="shared" si="95"/>
        <v>5.8677348238515821</v>
      </c>
      <c r="AA612" s="2496">
        <f t="shared" si="95"/>
        <v>5.9960242648805</v>
      </c>
      <c r="AB612" s="2496">
        <f t="shared" si="95"/>
        <v>6.1242000240427288</v>
      </c>
      <c r="AC612" s="2496">
        <f t="shared" si="95"/>
        <v>6.2523363144859241</v>
      </c>
      <c r="AD612" s="2496">
        <f t="shared" si="95"/>
        <v>6.3804539957948831</v>
      </c>
      <c r="AE612" s="2496">
        <f t="shared" si="95"/>
        <v>6.5085366473951218</v>
      </c>
      <c r="AF612" s="2496">
        <f t="shared" si="95"/>
        <v>6.6365586446418225</v>
      </c>
      <c r="AG612" s="2496">
        <f t="shared" si="95"/>
        <v>6.7644541599980306</v>
      </c>
      <c r="AH612" s="2496">
        <f t="shared" si="95"/>
        <v>6.8921456661268126</v>
      </c>
      <c r="AI612" s="2496">
        <f t="shared" si="95"/>
        <v>7.0195471575585326</v>
      </c>
      <c r="AJ612" s="2496">
        <f t="shared" si="95"/>
        <v>7.1467491677562931</v>
      </c>
      <c r="AK612" s="2496">
        <f t="shared" si="95"/>
        <v>7.2736031384824891</v>
      </c>
      <c r="AL612" s="2496">
        <f t="shared" si="95"/>
        <v>7.3999922205607058</v>
      </c>
      <c r="AM612" s="2496">
        <f t="shared" si="95"/>
        <v>7.5257644630183673</v>
      </c>
      <c r="AN612" s="2496">
        <f t="shared" si="95"/>
        <v>7.6507999035060132</v>
      </c>
      <c r="AO612" s="2496">
        <f t="shared" si="95"/>
        <v>7.7750014853114413</v>
      </c>
      <c r="AP612" s="2496">
        <f t="shared" si="95"/>
        <v>7.8982282689523657</v>
      </c>
      <c r="AQ612" s="2496">
        <f t="shared" si="95"/>
        <v>8.0203683761505502</v>
      </c>
      <c r="AR612" s="2496">
        <f t="shared" si="95"/>
        <v>8.1413101130941126</v>
      </c>
      <c r="AS612" s="2496">
        <f t="shared" si="95"/>
        <v>8.2609419250740412</v>
      </c>
    </row>
    <row r="613" spans="2:45" x14ac:dyDescent="0.2">
      <c r="B613" s="2527"/>
      <c r="C613" s="2489" t="s">
        <v>1569</v>
      </c>
      <c r="D613" s="2493" t="s">
        <v>1144</v>
      </c>
      <c r="G613" s="2496">
        <f t="shared" ref="G613:AS613" si="96">G605*G281/1000</f>
        <v>2995.1384750687484</v>
      </c>
      <c r="H613" s="2496">
        <f t="shared" si="96"/>
        <v>3102.1823283094946</v>
      </c>
      <c r="I613" s="2496">
        <f t="shared" si="96"/>
        <v>3220.2016834270544</v>
      </c>
      <c r="J613" s="2496">
        <f t="shared" si="96"/>
        <v>3342.2727293566777</v>
      </c>
      <c r="K613" s="2496">
        <f t="shared" si="96"/>
        <v>3465.4426849276151</v>
      </c>
      <c r="L613" s="2496">
        <f t="shared" si="96"/>
        <v>3588.5656396060708</v>
      </c>
      <c r="M613" s="2496">
        <f t="shared" si="96"/>
        <v>3719.1207718739956</v>
      </c>
      <c r="N613" s="2496">
        <f t="shared" si="96"/>
        <v>3854.5951967765691</v>
      </c>
      <c r="O613" s="2496">
        <f t="shared" si="96"/>
        <v>3987.8323068495442</v>
      </c>
      <c r="P613" s="2496">
        <f t="shared" si="96"/>
        <v>4122.0307704633151</v>
      </c>
      <c r="Q613" s="2496">
        <f t="shared" si="96"/>
        <v>4257.2863514025676</v>
      </c>
      <c r="R613" s="2496">
        <f t="shared" si="96"/>
        <v>4387.7094229384602</v>
      </c>
      <c r="S613" s="2496">
        <f t="shared" si="96"/>
        <v>4514.6308073671653</v>
      </c>
      <c r="T613" s="2496">
        <f t="shared" si="96"/>
        <v>4638.912715181461</v>
      </c>
      <c r="U613" s="2496">
        <f t="shared" si="96"/>
        <v>4761.0960808812461</v>
      </c>
      <c r="V613" s="2496">
        <f t="shared" si="96"/>
        <v>4881.4829692737476</v>
      </c>
      <c r="W613" s="2496">
        <f t="shared" si="96"/>
        <v>5000.2452250808137</v>
      </c>
      <c r="X613" s="2496">
        <f t="shared" si="96"/>
        <v>5118.054663600511</v>
      </c>
      <c r="Y613" s="2496">
        <f t="shared" si="96"/>
        <v>5235.3644719450294</v>
      </c>
      <c r="Z613" s="2496">
        <f t="shared" si="96"/>
        <v>5352.4493384455309</v>
      </c>
      <c r="AA613" s="2496">
        <f t="shared" si="96"/>
        <v>5469.4728158824437</v>
      </c>
      <c r="AB613" s="2496">
        <f t="shared" si="96"/>
        <v>5586.3925946263462</v>
      </c>
      <c r="AC613" s="2496">
        <f t="shared" si="96"/>
        <v>5703.2763706664109</v>
      </c>
      <c r="AD613" s="2496">
        <f t="shared" si="96"/>
        <v>5820.1431717661899</v>
      </c>
      <c r="AE613" s="2496">
        <f t="shared" si="96"/>
        <v>5936.9780193529205</v>
      </c>
      <c r="AF613" s="2496">
        <f t="shared" si="96"/>
        <v>6053.7575390551729</v>
      </c>
      <c r="AG613" s="2496">
        <f t="shared" si="96"/>
        <v>6170.4216840972877</v>
      </c>
      <c r="AH613" s="2496">
        <f t="shared" si="96"/>
        <v>6286.8997353421964</v>
      </c>
      <c r="AI613" s="2496">
        <f t="shared" si="96"/>
        <v>6403.1132400423076</v>
      </c>
      <c r="AJ613" s="2496">
        <f t="shared" si="96"/>
        <v>6519.1447813049435</v>
      </c>
      <c r="AK613" s="2496">
        <f t="shared" si="96"/>
        <v>6634.8588467962227</v>
      </c>
      <c r="AL613" s="2496">
        <f t="shared" si="96"/>
        <v>6750.1488486563003</v>
      </c>
      <c r="AM613" s="2496">
        <f t="shared" si="96"/>
        <v>6864.876179755327</v>
      </c>
      <c r="AN613" s="2496">
        <f t="shared" si="96"/>
        <v>6978.9314124492021</v>
      </c>
      <c r="AO613" s="2496">
        <f t="shared" si="96"/>
        <v>7092.2260132321317</v>
      </c>
      <c r="AP613" s="2496">
        <f t="shared" si="96"/>
        <v>7204.6314194711094</v>
      </c>
      <c r="AQ613" s="2496">
        <f t="shared" si="96"/>
        <v>7316.0455776762801</v>
      </c>
      <c r="AR613" s="2496">
        <f t="shared" si="96"/>
        <v>7426.366602624903</v>
      </c>
      <c r="AS613" s="2496">
        <f t="shared" si="96"/>
        <v>7535.4927359815383</v>
      </c>
    </row>
    <row r="614" spans="2:45" x14ac:dyDescent="0.2">
      <c r="B614" s="2121"/>
      <c r="C614" s="2489" t="s">
        <v>160</v>
      </c>
      <c r="D614" s="2493" t="s">
        <v>1031</v>
      </c>
      <c r="G614" s="2496">
        <v>0.95</v>
      </c>
      <c r="H614" s="2496">
        <v>0.95</v>
      </c>
      <c r="I614" s="2496">
        <v>0.95</v>
      </c>
      <c r="J614" s="2496">
        <v>0.95</v>
      </c>
      <c r="K614" s="2496">
        <v>0.95</v>
      </c>
      <c r="L614" s="2496">
        <v>0.95</v>
      </c>
      <c r="M614" s="2496">
        <v>0.95</v>
      </c>
      <c r="N614" s="2496">
        <v>0.95</v>
      </c>
      <c r="O614" s="2496">
        <v>0.95</v>
      </c>
      <c r="P614" s="2496">
        <v>0.95</v>
      </c>
      <c r="Q614" s="2496">
        <v>0.95</v>
      </c>
      <c r="R614" s="2496">
        <v>0.95</v>
      </c>
      <c r="S614" s="2496">
        <v>0.95</v>
      </c>
      <c r="T614" s="2496">
        <v>0.95</v>
      </c>
      <c r="U614" s="2496">
        <v>0.95</v>
      </c>
      <c r="V614" s="2496">
        <v>0.95</v>
      </c>
      <c r="W614" s="2496">
        <v>0.95</v>
      </c>
      <c r="X614" s="2496">
        <v>0.95</v>
      </c>
      <c r="Y614" s="2496">
        <v>0.95</v>
      </c>
      <c r="Z614" s="2496">
        <v>0.95</v>
      </c>
      <c r="AA614" s="2496">
        <v>0.95</v>
      </c>
      <c r="AB614" s="2496">
        <v>0.95</v>
      </c>
      <c r="AC614" s="2496">
        <v>0.95</v>
      </c>
      <c r="AD614" s="2496">
        <v>0.95</v>
      </c>
      <c r="AE614" s="2496">
        <v>0.95</v>
      </c>
      <c r="AF614" s="2496">
        <v>0.95</v>
      </c>
      <c r="AG614" s="2496">
        <v>0.95</v>
      </c>
      <c r="AH614" s="2496">
        <v>0.95</v>
      </c>
      <c r="AI614" s="2496">
        <v>0.95</v>
      </c>
      <c r="AJ614" s="2496">
        <v>0.95</v>
      </c>
      <c r="AK614" s="2496">
        <v>0.95</v>
      </c>
      <c r="AL614" s="2496">
        <v>0.95</v>
      </c>
      <c r="AM614" s="2496">
        <v>0.95</v>
      </c>
      <c r="AN614" s="2496">
        <v>0.95</v>
      </c>
      <c r="AO614" s="2496">
        <v>0.95</v>
      </c>
      <c r="AP614" s="2496">
        <v>0.95</v>
      </c>
      <c r="AQ614" s="2496">
        <v>0.95</v>
      </c>
      <c r="AR614" s="2496">
        <v>0.95</v>
      </c>
      <c r="AS614" s="2496">
        <v>0.95</v>
      </c>
    </row>
    <row r="615" spans="2:45" x14ac:dyDescent="0.2">
      <c r="B615" s="2527"/>
      <c r="C615" s="2489" t="s">
        <v>1570</v>
      </c>
      <c r="D615" s="2493" t="s">
        <v>1146</v>
      </c>
      <c r="G615" s="2496">
        <f>+G613/(G614*8760)</f>
        <v>0.35990608928968376</v>
      </c>
      <c r="H615" s="2496">
        <f>+H613/(H614*8760)</f>
        <v>0.3727688450263752</v>
      </c>
      <c r="I615" s="2496">
        <f>+I613/(I614*8760)</f>
        <v>0.38695045462954269</v>
      </c>
      <c r="J615" s="2496">
        <f t="shared" ref="J615:AS615" si="97">+J613/(J614*8760)</f>
        <v>0.40161892926660392</v>
      </c>
      <c r="K615" s="2496">
        <f t="shared" si="97"/>
        <v>0.4164194526469136</v>
      </c>
      <c r="L615" s="2496">
        <f t="shared" si="97"/>
        <v>0.43121432823913369</v>
      </c>
      <c r="M615" s="2496">
        <f t="shared" si="97"/>
        <v>0.44690227972530588</v>
      </c>
      <c r="N615" s="2496">
        <f t="shared" si="97"/>
        <v>0.46318135024952767</v>
      </c>
      <c r="O615" s="2496">
        <f t="shared" si="97"/>
        <v>0.47919157736716467</v>
      </c>
      <c r="P615" s="2496">
        <f t="shared" si="97"/>
        <v>0.49531732401625994</v>
      </c>
      <c r="Q615" s="2496">
        <f t="shared" si="97"/>
        <v>0.51157009750090932</v>
      </c>
      <c r="R615" s="2496">
        <f t="shared" si="97"/>
        <v>0.52724218011757518</v>
      </c>
      <c r="S615" s="2496">
        <f t="shared" si="97"/>
        <v>0.54249348802777764</v>
      </c>
      <c r="T615" s="2496">
        <f t="shared" si="97"/>
        <v>0.5574276273950326</v>
      </c>
      <c r="U615" s="2496">
        <f t="shared" si="97"/>
        <v>0.57210959876006318</v>
      </c>
      <c r="V615" s="2496">
        <f t="shared" si="97"/>
        <v>0.58657569926384856</v>
      </c>
      <c r="W615" s="2496">
        <f t="shared" si="97"/>
        <v>0.60084657835626221</v>
      </c>
      <c r="X615" s="2496">
        <f t="shared" si="97"/>
        <v>0.61500296366264251</v>
      </c>
      <c r="Y615" s="2496">
        <f t="shared" si="97"/>
        <v>0.62909931169731192</v>
      </c>
      <c r="Z615" s="2496">
        <f t="shared" si="97"/>
        <v>0.64316862995019597</v>
      </c>
      <c r="AA615" s="2496">
        <f t="shared" si="97"/>
        <v>0.65723057148311026</v>
      </c>
      <c r="AB615" s="2496">
        <f t="shared" si="97"/>
        <v>0.67128005222618914</v>
      </c>
      <c r="AC615" s="2496">
        <f t="shared" si="97"/>
        <v>0.68532520676116448</v>
      </c>
      <c r="AD615" s="2496">
        <f t="shared" si="97"/>
        <v>0.69936832152922257</v>
      </c>
      <c r="AE615" s="2496">
        <f t="shared" si="97"/>
        <v>0.7134075966537996</v>
      </c>
      <c r="AF615" s="2496">
        <f t="shared" si="97"/>
        <v>0.72744022339043168</v>
      </c>
      <c r="AG615" s="2496">
        <f t="shared" si="97"/>
        <v>0.74145898631306029</v>
      </c>
      <c r="AH615" s="2496">
        <f t="shared" si="97"/>
        <v>0.75545538756815622</v>
      </c>
      <c r="AI615" s="2496">
        <f t="shared" si="97"/>
        <v>0.76942000000508382</v>
      </c>
      <c r="AJ615" s="2496">
        <f t="shared" si="97"/>
        <v>0.7833627470926392</v>
      </c>
      <c r="AK615" s="2496">
        <f t="shared" si="97"/>
        <v>0.79726734520502551</v>
      </c>
      <c r="AL615" s="2496">
        <f t="shared" si="97"/>
        <v>0.81112098638023311</v>
      </c>
      <c r="AM615" s="2496">
        <f t="shared" si="97"/>
        <v>0.82490701511119047</v>
      </c>
      <c r="AN615" s="2496">
        <f t="shared" si="97"/>
        <v>0.83861228219769313</v>
      </c>
      <c r="AO615" s="2496">
        <f t="shared" si="97"/>
        <v>0.85222614915070072</v>
      </c>
      <c r="AP615" s="2496">
        <f t="shared" si="97"/>
        <v>0.86573316744425732</v>
      </c>
      <c r="AQ615" s="2496">
        <f t="shared" si="97"/>
        <v>0.87912107398176886</v>
      </c>
      <c r="AR615" s="2496">
        <f t="shared" si="97"/>
        <v>0.89237762588619363</v>
      </c>
      <c r="AS615" s="2496">
        <f t="shared" si="97"/>
        <v>0.90549059552770228</v>
      </c>
    </row>
    <row r="616" spans="2:45" x14ac:dyDescent="0.2">
      <c r="B616" s="2121"/>
      <c r="C616" s="2102"/>
      <c r="D616" s="2528"/>
      <c r="G616" s="2521"/>
      <c r="H616" s="2407"/>
      <c r="I616" s="2407"/>
      <c r="J616" s="2407"/>
      <c r="K616" s="2407"/>
      <c r="L616" s="2407"/>
      <c r="M616" s="2407"/>
      <c r="N616" s="2407"/>
      <c r="O616" s="2407"/>
      <c r="P616" s="2407"/>
      <c r="Q616" s="2407"/>
    </row>
    <row r="617" spans="2:45" x14ac:dyDescent="0.2">
      <c r="B617" s="2527"/>
    </row>
    <row r="618" spans="2:45" x14ac:dyDescent="0.2">
      <c r="B618" s="2527"/>
      <c r="C618" s="2489" t="s">
        <v>1571</v>
      </c>
      <c r="D618" s="2528" t="s">
        <v>1572</v>
      </c>
      <c r="G618" s="2529">
        <f t="shared" ref="G618:AS618" si="98">+G213*G613/1000</f>
        <v>1.4975692375343743</v>
      </c>
      <c r="H618" s="2529">
        <f t="shared" si="98"/>
        <v>1.5510911641547473</v>
      </c>
      <c r="I618" s="2529">
        <f t="shared" si="98"/>
        <v>1.6101008417135272</v>
      </c>
      <c r="J618" s="2529">
        <f t="shared" si="98"/>
        <v>1.6711363646783388</v>
      </c>
      <c r="K618" s="2529">
        <f t="shared" si="98"/>
        <v>1.7327213424638075</v>
      </c>
      <c r="L618" s="2529">
        <f t="shared" si="98"/>
        <v>1.7942828198030354</v>
      </c>
      <c r="M618" s="2529">
        <f t="shared" si="98"/>
        <v>1.8595603859369978</v>
      </c>
      <c r="N618" s="2529">
        <f t="shared" si="98"/>
        <v>1.9272975983882845</v>
      </c>
      <c r="O618" s="2529">
        <f t="shared" si="98"/>
        <v>1.993916153424772</v>
      </c>
      <c r="P618" s="2529">
        <f t="shared" si="98"/>
        <v>2.0610153852316575</v>
      </c>
      <c r="Q618" s="2529">
        <f t="shared" si="98"/>
        <v>2.1286431757012836</v>
      </c>
      <c r="R618" s="2529">
        <f t="shared" si="98"/>
        <v>2.1938547114692302</v>
      </c>
      <c r="S618" s="2529">
        <f t="shared" si="98"/>
        <v>2.2573154036835827</v>
      </c>
      <c r="T618" s="2529">
        <f t="shared" si="98"/>
        <v>2.3194563575907305</v>
      </c>
      <c r="U618" s="2529">
        <f t="shared" si="98"/>
        <v>2.380548040440623</v>
      </c>
      <c r="V618" s="2529">
        <f t="shared" si="98"/>
        <v>2.4407414846368738</v>
      </c>
      <c r="W618" s="2529">
        <f t="shared" si="98"/>
        <v>2.500122612540407</v>
      </c>
      <c r="X618" s="2529">
        <f t="shared" si="98"/>
        <v>2.5590273318002557</v>
      </c>
      <c r="Y618" s="2529">
        <f t="shared" si="98"/>
        <v>2.6176822359725147</v>
      </c>
      <c r="Z618" s="2529">
        <f t="shared" si="98"/>
        <v>2.6762246692227656</v>
      </c>
      <c r="AA618" s="2529">
        <f t="shared" si="98"/>
        <v>2.734736407941222</v>
      </c>
      <c r="AB618" s="2529">
        <f t="shared" si="98"/>
        <v>2.7931962973131732</v>
      </c>
      <c r="AC618" s="2529">
        <f t="shared" si="98"/>
        <v>2.8516381853332056</v>
      </c>
      <c r="AD618" s="2529">
        <f t="shared" si="98"/>
        <v>2.9100715858830948</v>
      </c>
      <c r="AE618" s="2529">
        <f t="shared" si="98"/>
        <v>2.96848900967646</v>
      </c>
      <c r="AF618" s="2529">
        <f t="shared" si="98"/>
        <v>3.0268787695275865</v>
      </c>
      <c r="AG618" s="2529">
        <f t="shared" si="98"/>
        <v>3.0852108420486437</v>
      </c>
      <c r="AH618" s="2529">
        <f t="shared" si="98"/>
        <v>3.143449867671098</v>
      </c>
      <c r="AI618" s="2529">
        <f t="shared" si="98"/>
        <v>3.2015566200211536</v>
      </c>
      <c r="AJ618" s="2529">
        <f t="shared" si="98"/>
        <v>3.2595723906524716</v>
      </c>
      <c r="AK618" s="2529">
        <f t="shared" si="98"/>
        <v>3.3174294233981114</v>
      </c>
      <c r="AL618" s="2529">
        <f t="shared" si="98"/>
        <v>3.3750744243281501</v>
      </c>
      <c r="AM618" s="2529">
        <f t="shared" si="98"/>
        <v>3.4324380898776634</v>
      </c>
      <c r="AN618" s="2529">
        <f t="shared" si="98"/>
        <v>3.4894657062246011</v>
      </c>
      <c r="AO618" s="2529">
        <f t="shared" si="98"/>
        <v>3.546113006616066</v>
      </c>
      <c r="AP618" s="2529">
        <f t="shared" si="98"/>
        <v>3.6023157097355547</v>
      </c>
      <c r="AQ618" s="2529">
        <f t="shared" si="98"/>
        <v>3.65802278883814</v>
      </c>
      <c r="AR618" s="2529">
        <f t="shared" si="98"/>
        <v>3.7131833013124513</v>
      </c>
      <c r="AS618" s="2529">
        <f t="shared" si="98"/>
        <v>3.7677463679907692</v>
      </c>
    </row>
    <row r="619" spans="2:45" x14ac:dyDescent="0.2">
      <c r="B619" s="2527"/>
      <c r="D619" s="2528"/>
      <c r="E619" s="2521"/>
      <c r="F619" s="2407"/>
      <c r="G619" s="2407"/>
      <c r="H619" s="2407"/>
      <c r="I619" s="2407"/>
      <c r="J619" s="2407"/>
      <c r="K619" s="2407"/>
      <c r="L619" s="2407"/>
      <c r="M619" s="2407"/>
      <c r="N619" s="2407"/>
      <c r="O619" s="2407"/>
    </row>
    <row r="620" spans="2:45" x14ac:dyDescent="0.2">
      <c r="B620" s="2121"/>
      <c r="C620" s="2101"/>
      <c r="F620" s="2407"/>
    </row>
    <row r="621" spans="2:45" x14ac:dyDescent="0.2">
      <c r="B621" s="2121">
        <v>6</v>
      </c>
      <c r="C621" s="2522" t="s">
        <v>1573</v>
      </c>
      <c r="E621" s="2521"/>
      <c r="G621" s="2407"/>
      <c r="H621" s="2407"/>
      <c r="I621" s="2407"/>
      <c r="J621" s="2407"/>
      <c r="K621" s="2407"/>
      <c r="L621" s="2407"/>
      <c r="M621" s="2407"/>
      <c r="N621" s="2407"/>
      <c r="O621" s="2407"/>
    </row>
    <row r="622" spans="2:45" x14ac:dyDescent="0.2">
      <c r="B622" s="2121"/>
      <c r="C622" s="2522"/>
      <c r="E622" s="2521"/>
      <c r="G622" s="2407"/>
      <c r="H622" s="2407"/>
      <c r="I622" s="2407"/>
      <c r="J622" s="2407"/>
      <c r="K622" s="2407"/>
      <c r="L622" s="2407"/>
      <c r="M622" s="2407"/>
      <c r="N622" s="2407"/>
      <c r="O622" s="2407"/>
    </row>
    <row r="623" spans="2:45" x14ac:dyDescent="0.2">
      <c r="B623" s="2121"/>
      <c r="C623" s="2489" t="s">
        <v>1574</v>
      </c>
      <c r="E623" s="2521"/>
      <c r="G623" s="2407"/>
      <c r="H623" s="2407"/>
      <c r="I623" s="2407"/>
      <c r="J623" s="2407"/>
      <c r="K623" s="2407"/>
      <c r="L623" s="2407"/>
      <c r="M623" s="2407"/>
      <c r="N623" s="2407"/>
      <c r="O623" s="2407"/>
    </row>
    <row r="624" spans="2:45" x14ac:dyDescent="0.2">
      <c r="B624" s="2530" t="s">
        <v>1575</v>
      </c>
      <c r="C624" s="2513"/>
      <c r="D624" s="2513" t="s">
        <v>1029</v>
      </c>
      <c r="E624" s="2492" t="s">
        <v>8</v>
      </c>
      <c r="F624" s="2492"/>
      <c r="G624" s="2492">
        <v>2012</v>
      </c>
      <c r="H624" s="2492">
        <v>2013</v>
      </c>
      <c r="I624" s="2492">
        <v>2014</v>
      </c>
      <c r="J624" s="2492">
        <v>2015</v>
      </c>
      <c r="K624" s="2492">
        <v>2016</v>
      </c>
      <c r="L624" s="2492">
        <v>2017</v>
      </c>
      <c r="M624" s="2492">
        <v>2018</v>
      </c>
      <c r="N624" s="2492">
        <v>2019</v>
      </c>
      <c r="O624" s="2492">
        <v>2020</v>
      </c>
      <c r="P624" s="2492">
        <v>2021</v>
      </c>
      <c r="Q624" s="2492">
        <v>2022</v>
      </c>
      <c r="R624" s="2492">
        <v>2023</v>
      </c>
      <c r="S624" s="2492">
        <v>2024</v>
      </c>
      <c r="T624" s="2492">
        <v>2025</v>
      </c>
      <c r="U624" s="2492">
        <v>2026</v>
      </c>
      <c r="V624" s="2492">
        <v>2027</v>
      </c>
      <c r="W624" s="2492">
        <v>2028</v>
      </c>
      <c r="X624" s="2492">
        <v>2029</v>
      </c>
      <c r="Y624" s="2492">
        <v>2030</v>
      </c>
      <c r="Z624" s="2492">
        <v>2031</v>
      </c>
      <c r="AA624" s="2492">
        <v>2032</v>
      </c>
      <c r="AB624" s="2492">
        <v>2033</v>
      </c>
      <c r="AC624" s="2492">
        <v>2034</v>
      </c>
      <c r="AD624" s="2492">
        <v>2035</v>
      </c>
      <c r="AE624" s="2492">
        <v>2036</v>
      </c>
      <c r="AF624" s="2492">
        <v>2037</v>
      </c>
      <c r="AG624" s="2492">
        <v>2038</v>
      </c>
      <c r="AH624" s="2492">
        <v>2039</v>
      </c>
      <c r="AI624" s="2492">
        <v>2040</v>
      </c>
      <c r="AJ624" s="2492">
        <v>2041</v>
      </c>
      <c r="AK624" s="2492">
        <v>2042</v>
      </c>
      <c r="AL624" s="2492">
        <v>2043</v>
      </c>
      <c r="AM624" s="2492">
        <v>2044</v>
      </c>
      <c r="AN624" s="2492">
        <v>2045</v>
      </c>
      <c r="AO624" s="2492">
        <v>2046</v>
      </c>
      <c r="AP624" s="2492">
        <v>2047</v>
      </c>
      <c r="AQ624" s="2492">
        <v>2048</v>
      </c>
      <c r="AR624" s="2492">
        <v>2049</v>
      </c>
      <c r="AS624" s="2492">
        <v>2050</v>
      </c>
    </row>
    <row r="625" spans="2:45" x14ac:dyDescent="0.2">
      <c r="B625" s="2524" t="s">
        <v>1576</v>
      </c>
      <c r="C625" s="2531"/>
      <c r="D625" s="2490"/>
      <c r="E625" s="2490"/>
      <c r="F625" s="2490"/>
      <c r="G625" s="2494"/>
      <c r="H625" s="2490"/>
      <c r="I625" s="2491"/>
      <c r="J625" s="2491"/>
      <c r="K625" s="2491"/>
      <c r="L625" s="2491"/>
      <c r="M625" s="2491"/>
      <c r="N625" s="2491"/>
      <c r="O625" s="2491"/>
      <c r="P625" s="2491"/>
      <c r="Q625" s="2491"/>
      <c r="R625" s="2490"/>
      <c r="S625" s="2490"/>
      <c r="T625" s="2490"/>
      <c r="U625" s="2490"/>
      <c r="V625" s="2490"/>
      <c r="W625" s="2490"/>
      <c r="X625" s="2490"/>
      <c r="Y625" s="2490"/>
      <c r="Z625" s="2490"/>
      <c r="AA625" s="2490"/>
      <c r="AB625" s="2490"/>
      <c r="AC625" s="2490"/>
      <c r="AD625" s="2490"/>
      <c r="AE625" s="2490"/>
      <c r="AF625" s="2490"/>
      <c r="AG625" s="2490"/>
      <c r="AH625" s="2490"/>
      <c r="AI625" s="2490"/>
      <c r="AJ625" s="2490"/>
      <c r="AK625" s="2490"/>
      <c r="AL625" s="2490"/>
      <c r="AM625" s="2490"/>
      <c r="AN625" s="2490"/>
      <c r="AO625" s="2490"/>
      <c r="AP625" s="2490"/>
      <c r="AQ625" s="2490"/>
      <c r="AR625" s="2490"/>
      <c r="AS625" s="2490"/>
    </row>
    <row r="626" spans="2:45" x14ac:dyDescent="0.2">
      <c r="B626" s="2121"/>
      <c r="C626" s="2489" t="s">
        <v>1577</v>
      </c>
      <c r="D626" s="2532" t="s">
        <v>1578</v>
      </c>
      <c r="E626" s="2490"/>
      <c r="F626" s="2490"/>
      <c r="G626" s="2529">
        <f t="shared" ref="G626:AS626" si="99">G359*G44</f>
        <v>1.7117848440000001</v>
      </c>
      <c r="H626" s="2529">
        <f t="shared" si="99"/>
        <v>18.911366087400001</v>
      </c>
      <c r="I626" s="2529">
        <f t="shared" si="99"/>
        <v>36.027563669624989</v>
      </c>
      <c r="J626" s="2529">
        <f t="shared" si="99"/>
        <v>53.092471085625007</v>
      </c>
      <c r="K626" s="2529">
        <f t="shared" si="99"/>
        <v>70.128836780849994</v>
      </c>
      <c r="L626" s="2529">
        <f t="shared" si="99"/>
        <v>87.136544414399992</v>
      </c>
      <c r="M626" s="2529">
        <f t="shared" si="99"/>
        <v>104.12019363735</v>
      </c>
      <c r="N626" s="2529">
        <f t="shared" si="99"/>
        <v>121.12920541237499</v>
      </c>
      <c r="O626" s="2529">
        <f t="shared" si="99"/>
        <v>138.13368</v>
      </c>
      <c r="P626" s="2529">
        <f t="shared" si="99"/>
        <v>144.99750509999998</v>
      </c>
      <c r="Q626" s="2529">
        <f t="shared" si="99"/>
        <v>151.87264619999999</v>
      </c>
      <c r="R626" s="2529">
        <f t="shared" si="99"/>
        <v>158.7460437</v>
      </c>
      <c r="S626" s="2529">
        <f t="shared" si="99"/>
        <v>165.63095999999999</v>
      </c>
      <c r="T626" s="2529">
        <f t="shared" si="99"/>
        <v>172.52766749999998</v>
      </c>
      <c r="U626" s="2529">
        <f t="shared" si="99"/>
        <v>179.42075580000002</v>
      </c>
      <c r="V626" s="2529">
        <f t="shared" si="99"/>
        <v>186.31501740000002</v>
      </c>
      <c r="W626" s="2529">
        <f t="shared" si="99"/>
        <v>193.2216636</v>
      </c>
      <c r="X626" s="2529">
        <f t="shared" si="99"/>
        <v>200.12477759999996</v>
      </c>
      <c r="Y626" s="2529">
        <f t="shared" si="99"/>
        <v>207.04254299999999</v>
      </c>
      <c r="Z626" s="2529">
        <f t="shared" si="99"/>
        <v>213.95769719999998</v>
      </c>
      <c r="AA626" s="2529">
        <f t="shared" si="99"/>
        <v>220.88899200000003</v>
      </c>
      <c r="AB626" s="2529">
        <f t="shared" si="99"/>
        <v>227.81800799999999</v>
      </c>
      <c r="AC626" s="2529">
        <f t="shared" si="99"/>
        <v>234.76524000000001</v>
      </c>
      <c r="AD626" s="2529">
        <f t="shared" si="99"/>
        <v>241.72151849999995</v>
      </c>
      <c r="AE626" s="2529">
        <f t="shared" si="99"/>
        <v>248.67703080000001</v>
      </c>
      <c r="AF626" s="2529">
        <f t="shared" si="99"/>
        <v>255.65343510000005</v>
      </c>
      <c r="AG626" s="2529">
        <f t="shared" si="99"/>
        <v>262.64136239999999</v>
      </c>
      <c r="AH626" s="2529">
        <f t="shared" si="99"/>
        <v>269.64050490000005</v>
      </c>
      <c r="AI626" s="2529">
        <f t="shared" si="99"/>
        <v>276.64098000000001</v>
      </c>
      <c r="AJ626" s="2529">
        <f t="shared" si="99"/>
        <v>276.74720400000001</v>
      </c>
      <c r="AK626" s="2529">
        <f t="shared" si="99"/>
        <v>276.862236</v>
      </c>
      <c r="AL626" s="2529">
        <f t="shared" si="99"/>
        <v>276.98563200000001</v>
      </c>
      <c r="AM626" s="2529">
        <f t="shared" si="99"/>
        <v>277.11758400000002</v>
      </c>
      <c r="AN626" s="2529">
        <f t="shared" si="99"/>
        <v>277.25866800000006</v>
      </c>
      <c r="AO626" s="2529">
        <f t="shared" si="99"/>
        <v>277.40810399999998</v>
      </c>
      <c r="AP626" s="2529">
        <f t="shared" si="99"/>
        <v>277.56735600000002</v>
      </c>
      <c r="AQ626" s="2529">
        <f t="shared" si="99"/>
        <v>277.73541599999999</v>
      </c>
      <c r="AR626" s="2529">
        <f t="shared" si="99"/>
        <v>277.91263200000003</v>
      </c>
      <c r="AS626" s="2529">
        <f t="shared" si="99"/>
        <v>278.11166400000002</v>
      </c>
    </row>
    <row r="627" spans="2:45" x14ac:dyDescent="0.2">
      <c r="B627" s="2121"/>
      <c r="C627" s="2489" t="s">
        <v>1579</v>
      </c>
      <c r="D627" s="2532" t="s">
        <v>1578</v>
      </c>
      <c r="E627" s="2490"/>
      <c r="F627" s="2490"/>
      <c r="G627" s="2533">
        <f t="shared" ref="G627:AS627" si="100">G360*G52</f>
        <v>0</v>
      </c>
      <c r="H627" s="2533">
        <f t="shared" si="100"/>
        <v>0</v>
      </c>
      <c r="I627" s="2533">
        <f t="shared" si="100"/>
        <v>0</v>
      </c>
      <c r="J627" s="2533">
        <f t="shared" si="100"/>
        <v>0</v>
      </c>
      <c r="K627" s="2533">
        <f t="shared" si="100"/>
        <v>0</v>
      </c>
      <c r="L627" s="2533">
        <f t="shared" si="100"/>
        <v>0</v>
      </c>
      <c r="M627" s="2533">
        <f t="shared" si="100"/>
        <v>0</v>
      </c>
      <c r="N627" s="2533">
        <f t="shared" si="100"/>
        <v>0</v>
      </c>
      <c r="O627" s="2533">
        <f t="shared" si="100"/>
        <v>0</v>
      </c>
      <c r="P627" s="2533">
        <f t="shared" si="100"/>
        <v>0</v>
      </c>
      <c r="Q627" s="2533">
        <f t="shared" si="100"/>
        <v>0</v>
      </c>
      <c r="R627" s="2533">
        <f t="shared" si="100"/>
        <v>0</v>
      </c>
      <c r="S627" s="2533">
        <f t="shared" si="100"/>
        <v>0</v>
      </c>
      <c r="T627" s="2533">
        <f t="shared" si="100"/>
        <v>0</v>
      </c>
      <c r="U627" s="2533">
        <f t="shared" si="100"/>
        <v>0</v>
      </c>
      <c r="V627" s="2533">
        <f t="shared" si="100"/>
        <v>0</v>
      </c>
      <c r="W627" s="2533">
        <f t="shared" si="100"/>
        <v>0</v>
      </c>
      <c r="X627" s="2533">
        <f t="shared" si="100"/>
        <v>0</v>
      </c>
      <c r="Y627" s="2533">
        <f t="shared" si="100"/>
        <v>0</v>
      </c>
      <c r="Z627" s="2533">
        <f t="shared" si="100"/>
        <v>0</v>
      </c>
      <c r="AA627" s="2533">
        <f t="shared" si="100"/>
        <v>0</v>
      </c>
      <c r="AB627" s="2533">
        <f t="shared" si="100"/>
        <v>0</v>
      </c>
      <c r="AC627" s="2533">
        <f t="shared" si="100"/>
        <v>0</v>
      </c>
      <c r="AD627" s="2533">
        <f t="shared" si="100"/>
        <v>0</v>
      </c>
      <c r="AE627" s="2533">
        <f t="shared" si="100"/>
        <v>0</v>
      </c>
      <c r="AF627" s="2533">
        <f t="shared" si="100"/>
        <v>0</v>
      </c>
      <c r="AG627" s="2533">
        <f t="shared" si="100"/>
        <v>0</v>
      </c>
      <c r="AH627" s="2533">
        <f t="shared" si="100"/>
        <v>0</v>
      </c>
      <c r="AI627" s="2533">
        <f t="shared" si="100"/>
        <v>0</v>
      </c>
      <c r="AJ627" s="2533">
        <f t="shared" si="100"/>
        <v>0</v>
      </c>
      <c r="AK627" s="2533">
        <f t="shared" si="100"/>
        <v>0</v>
      </c>
      <c r="AL627" s="2533">
        <f t="shared" si="100"/>
        <v>0</v>
      </c>
      <c r="AM627" s="2533">
        <f t="shared" si="100"/>
        <v>0</v>
      </c>
      <c r="AN627" s="2533">
        <f t="shared" si="100"/>
        <v>0</v>
      </c>
      <c r="AO627" s="2533">
        <f t="shared" si="100"/>
        <v>0</v>
      </c>
      <c r="AP627" s="2533">
        <f t="shared" si="100"/>
        <v>0</v>
      </c>
      <c r="AQ627" s="2533">
        <f t="shared" si="100"/>
        <v>0</v>
      </c>
      <c r="AR627" s="2533">
        <f t="shared" si="100"/>
        <v>0</v>
      </c>
      <c r="AS627" s="2533">
        <f t="shared" si="100"/>
        <v>0</v>
      </c>
    </row>
    <row r="628" spans="2:45" x14ac:dyDescent="0.2">
      <c r="B628" s="2121"/>
      <c r="C628" s="2489" t="s">
        <v>1580</v>
      </c>
      <c r="D628" s="2532" t="s">
        <v>1578</v>
      </c>
      <c r="E628" s="2490"/>
      <c r="F628" s="2490"/>
      <c r="G628" s="2533">
        <f t="shared" ref="G628:AS628" si="101">G361*G60</f>
        <v>0</v>
      </c>
      <c r="H628" s="2533">
        <f t="shared" si="101"/>
        <v>0</v>
      </c>
      <c r="I628" s="2533">
        <f t="shared" si="101"/>
        <v>0</v>
      </c>
      <c r="J628" s="2533">
        <f t="shared" si="101"/>
        <v>0</v>
      </c>
      <c r="K628" s="2533">
        <f t="shared" si="101"/>
        <v>0</v>
      </c>
      <c r="L628" s="2533">
        <f t="shared" si="101"/>
        <v>0</v>
      </c>
      <c r="M628" s="2533">
        <f t="shared" si="101"/>
        <v>0</v>
      </c>
      <c r="N628" s="2533">
        <f t="shared" si="101"/>
        <v>0</v>
      </c>
      <c r="O628" s="2533">
        <f t="shared" si="101"/>
        <v>0</v>
      </c>
      <c r="P628" s="2533">
        <f t="shared" si="101"/>
        <v>0</v>
      </c>
      <c r="Q628" s="2533">
        <f t="shared" si="101"/>
        <v>0</v>
      </c>
      <c r="R628" s="2533">
        <f t="shared" si="101"/>
        <v>0</v>
      </c>
      <c r="S628" s="2533">
        <f t="shared" si="101"/>
        <v>0</v>
      </c>
      <c r="T628" s="2533">
        <f t="shared" si="101"/>
        <v>0</v>
      </c>
      <c r="U628" s="2533">
        <f t="shared" si="101"/>
        <v>0</v>
      </c>
      <c r="V628" s="2533">
        <f t="shared" si="101"/>
        <v>0</v>
      </c>
      <c r="W628" s="2533">
        <f t="shared" si="101"/>
        <v>0</v>
      </c>
      <c r="X628" s="2533">
        <f t="shared" si="101"/>
        <v>0</v>
      </c>
      <c r="Y628" s="2533">
        <f t="shared" si="101"/>
        <v>0</v>
      </c>
      <c r="Z628" s="2533">
        <f t="shared" si="101"/>
        <v>0</v>
      </c>
      <c r="AA628" s="2533">
        <f t="shared" si="101"/>
        <v>0</v>
      </c>
      <c r="AB628" s="2533">
        <f t="shared" si="101"/>
        <v>0</v>
      </c>
      <c r="AC628" s="2533">
        <f t="shared" si="101"/>
        <v>0</v>
      </c>
      <c r="AD628" s="2533">
        <f t="shared" si="101"/>
        <v>0</v>
      </c>
      <c r="AE628" s="2533">
        <f t="shared" si="101"/>
        <v>0</v>
      </c>
      <c r="AF628" s="2533">
        <f t="shared" si="101"/>
        <v>0</v>
      </c>
      <c r="AG628" s="2533">
        <f t="shared" si="101"/>
        <v>0</v>
      </c>
      <c r="AH628" s="2533">
        <f t="shared" si="101"/>
        <v>0</v>
      </c>
      <c r="AI628" s="2533">
        <f t="shared" si="101"/>
        <v>0</v>
      </c>
      <c r="AJ628" s="2533">
        <f t="shared" si="101"/>
        <v>0</v>
      </c>
      <c r="AK628" s="2533">
        <f t="shared" si="101"/>
        <v>0</v>
      </c>
      <c r="AL628" s="2533">
        <f t="shared" si="101"/>
        <v>0</v>
      </c>
      <c r="AM628" s="2533">
        <f t="shared" si="101"/>
        <v>0</v>
      </c>
      <c r="AN628" s="2533">
        <f t="shared" si="101"/>
        <v>0</v>
      </c>
      <c r="AO628" s="2533">
        <f t="shared" si="101"/>
        <v>0</v>
      </c>
      <c r="AP628" s="2533">
        <f t="shared" si="101"/>
        <v>0</v>
      </c>
      <c r="AQ628" s="2533">
        <f t="shared" si="101"/>
        <v>0</v>
      </c>
      <c r="AR628" s="2533">
        <f t="shared" si="101"/>
        <v>0</v>
      </c>
      <c r="AS628" s="2533">
        <f t="shared" si="101"/>
        <v>0</v>
      </c>
    </row>
    <row r="629" spans="2:45" x14ac:dyDescent="0.2">
      <c r="B629" s="2121"/>
      <c r="C629" s="2534" t="s">
        <v>118</v>
      </c>
      <c r="D629" s="2535" t="s">
        <v>1578</v>
      </c>
      <c r="E629" s="2536"/>
      <c r="F629" s="2536"/>
      <c r="G629" s="2537">
        <f>SUM(G626:G628)</f>
        <v>1.7117848440000001</v>
      </c>
      <c r="H629" s="2537">
        <f t="shared" ref="H629:AS629" si="102">SUM(H626:H628)</f>
        <v>18.911366087400001</v>
      </c>
      <c r="I629" s="2537">
        <f t="shared" si="102"/>
        <v>36.027563669624989</v>
      </c>
      <c r="J629" s="2537">
        <f t="shared" si="102"/>
        <v>53.092471085625007</v>
      </c>
      <c r="K629" s="2537">
        <f t="shared" si="102"/>
        <v>70.128836780849994</v>
      </c>
      <c r="L629" s="2537">
        <f t="shared" si="102"/>
        <v>87.136544414399992</v>
      </c>
      <c r="M629" s="2537">
        <f t="shared" si="102"/>
        <v>104.12019363735</v>
      </c>
      <c r="N629" s="2537">
        <f t="shared" si="102"/>
        <v>121.12920541237499</v>
      </c>
      <c r="O629" s="2537">
        <f t="shared" si="102"/>
        <v>138.13368</v>
      </c>
      <c r="P629" s="2537">
        <f t="shared" si="102"/>
        <v>144.99750509999998</v>
      </c>
      <c r="Q629" s="2537">
        <f t="shared" si="102"/>
        <v>151.87264619999999</v>
      </c>
      <c r="R629" s="2537">
        <f t="shared" si="102"/>
        <v>158.7460437</v>
      </c>
      <c r="S629" s="2537">
        <f t="shared" si="102"/>
        <v>165.63095999999999</v>
      </c>
      <c r="T629" s="2537">
        <f t="shared" si="102"/>
        <v>172.52766749999998</v>
      </c>
      <c r="U629" s="2537">
        <f t="shared" si="102"/>
        <v>179.42075580000002</v>
      </c>
      <c r="V629" s="2537">
        <f t="shared" si="102"/>
        <v>186.31501740000002</v>
      </c>
      <c r="W629" s="2537">
        <f t="shared" si="102"/>
        <v>193.2216636</v>
      </c>
      <c r="X629" s="2537">
        <f t="shared" si="102"/>
        <v>200.12477759999996</v>
      </c>
      <c r="Y629" s="2537">
        <f t="shared" si="102"/>
        <v>207.04254299999999</v>
      </c>
      <c r="Z629" s="2537">
        <f t="shared" si="102"/>
        <v>213.95769719999998</v>
      </c>
      <c r="AA629" s="2537">
        <f t="shared" si="102"/>
        <v>220.88899200000003</v>
      </c>
      <c r="AB629" s="2537">
        <f t="shared" si="102"/>
        <v>227.81800799999999</v>
      </c>
      <c r="AC629" s="2537">
        <f t="shared" si="102"/>
        <v>234.76524000000001</v>
      </c>
      <c r="AD629" s="2537">
        <f t="shared" si="102"/>
        <v>241.72151849999995</v>
      </c>
      <c r="AE629" s="2537">
        <f t="shared" si="102"/>
        <v>248.67703080000001</v>
      </c>
      <c r="AF629" s="2537">
        <f t="shared" si="102"/>
        <v>255.65343510000005</v>
      </c>
      <c r="AG629" s="2537">
        <f t="shared" si="102"/>
        <v>262.64136239999999</v>
      </c>
      <c r="AH629" s="2537">
        <f t="shared" si="102"/>
        <v>269.64050490000005</v>
      </c>
      <c r="AI629" s="2537">
        <f t="shared" si="102"/>
        <v>276.64098000000001</v>
      </c>
      <c r="AJ629" s="2537">
        <f t="shared" si="102"/>
        <v>276.74720400000001</v>
      </c>
      <c r="AK629" s="2537">
        <f t="shared" si="102"/>
        <v>276.862236</v>
      </c>
      <c r="AL629" s="2537">
        <f t="shared" si="102"/>
        <v>276.98563200000001</v>
      </c>
      <c r="AM629" s="2537">
        <f t="shared" si="102"/>
        <v>277.11758400000002</v>
      </c>
      <c r="AN629" s="2537">
        <f t="shared" si="102"/>
        <v>277.25866800000006</v>
      </c>
      <c r="AO629" s="2537">
        <f t="shared" si="102"/>
        <v>277.40810399999998</v>
      </c>
      <c r="AP629" s="2537">
        <f t="shared" si="102"/>
        <v>277.56735600000002</v>
      </c>
      <c r="AQ629" s="2537">
        <f t="shared" si="102"/>
        <v>277.73541599999999</v>
      </c>
      <c r="AR629" s="2537">
        <f t="shared" si="102"/>
        <v>277.91263200000003</v>
      </c>
      <c r="AS629" s="2537">
        <f t="shared" si="102"/>
        <v>278.11166400000002</v>
      </c>
    </row>
    <row r="630" spans="2:45" x14ac:dyDescent="0.2">
      <c r="B630" s="2121"/>
      <c r="C630" s="2538"/>
      <c r="G630" s="2521"/>
      <c r="I630" s="2407"/>
      <c r="J630" s="2407"/>
      <c r="K630" s="2407"/>
      <c r="L630" s="2407"/>
      <c r="M630" s="2407"/>
      <c r="N630" s="2407"/>
      <c r="O630" s="2407"/>
      <c r="P630" s="2407"/>
      <c r="Q630" s="2407"/>
    </row>
    <row r="631" spans="2:45" x14ac:dyDescent="0.2">
      <c r="B631" s="2539" t="s">
        <v>1581</v>
      </c>
      <c r="C631" s="2489" t="s">
        <v>1582</v>
      </c>
      <c r="D631" s="2540" t="s">
        <v>1583</v>
      </c>
      <c r="E631" s="2528" t="s">
        <v>12</v>
      </c>
      <c r="G631" s="2529">
        <v>260</v>
      </c>
      <c r="H631" s="2529">
        <v>260</v>
      </c>
      <c r="I631" s="2529">
        <v>260</v>
      </c>
      <c r="J631" s="2529">
        <v>260</v>
      </c>
      <c r="K631" s="2529">
        <v>260</v>
      </c>
      <c r="L631" s="2529">
        <v>260</v>
      </c>
      <c r="M631" s="2529">
        <v>260</v>
      </c>
      <c r="N631" s="2529">
        <v>260</v>
      </c>
      <c r="O631" s="2529">
        <v>260</v>
      </c>
      <c r="P631" s="2529">
        <v>260</v>
      </c>
      <c r="Q631" s="2529">
        <v>260</v>
      </c>
      <c r="R631" s="2529">
        <v>260</v>
      </c>
      <c r="S631" s="2529">
        <v>260</v>
      </c>
      <c r="T631" s="2529">
        <v>260</v>
      </c>
      <c r="U631" s="2529">
        <v>260</v>
      </c>
      <c r="V631" s="2529">
        <v>260</v>
      </c>
      <c r="W631" s="2529">
        <v>260</v>
      </c>
      <c r="X631" s="2529">
        <v>260</v>
      </c>
      <c r="Y631" s="2529">
        <v>260</v>
      </c>
      <c r="Z631" s="2529">
        <v>260</v>
      </c>
      <c r="AA631" s="2529">
        <v>260</v>
      </c>
      <c r="AB631" s="2529">
        <v>260</v>
      </c>
      <c r="AC631" s="2529">
        <v>260</v>
      </c>
      <c r="AD631" s="2529">
        <v>260</v>
      </c>
      <c r="AE631" s="2529">
        <v>260</v>
      </c>
      <c r="AF631" s="2529">
        <v>260</v>
      </c>
      <c r="AG631" s="2529">
        <v>260</v>
      </c>
      <c r="AH631" s="2529">
        <v>260</v>
      </c>
      <c r="AI631" s="2529">
        <v>260</v>
      </c>
      <c r="AJ631" s="2529">
        <v>260</v>
      </c>
      <c r="AK631" s="2529">
        <v>260</v>
      </c>
      <c r="AL631" s="2529">
        <v>260</v>
      </c>
      <c r="AM631" s="2529">
        <v>260</v>
      </c>
      <c r="AN631" s="2529">
        <v>260</v>
      </c>
      <c r="AO631" s="2529">
        <v>260</v>
      </c>
      <c r="AP631" s="2529">
        <v>260</v>
      </c>
      <c r="AQ631" s="2529">
        <v>260</v>
      </c>
      <c r="AR631" s="2529">
        <v>260</v>
      </c>
      <c r="AS631" s="2529">
        <v>260</v>
      </c>
    </row>
    <row r="632" spans="2:45" x14ac:dyDescent="0.2">
      <c r="B632" s="2121"/>
      <c r="C632" s="2489" t="s">
        <v>1584</v>
      </c>
      <c r="D632" s="2540" t="s">
        <v>1585</v>
      </c>
      <c r="E632" s="2528" t="s">
        <v>133</v>
      </c>
      <c r="G632" s="2529">
        <v>0.6</v>
      </c>
      <c r="H632" s="2529">
        <v>0.6</v>
      </c>
      <c r="I632" s="2529">
        <v>0.6</v>
      </c>
      <c r="J632" s="2529">
        <v>0.6</v>
      </c>
      <c r="K632" s="2529">
        <v>0.6</v>
      </c>
      <c r="L632" s="2529">
        <v>0.6</v>
      </c>
      <c r="M632" s="2529">
        <v>0.6</v>
      </c>
      <c r="N632" s="2529">
        <v>0.6</v>
      </c>
      <c r="O632" s="2529">
        <v>0.6</v>
      </c>
      <c r="P632" s="2529">
        <v>0.6</v>
      </c>
      <c r="Q632" s="2529">
        <v>0.6</v>
      </c>
      <c r="R632" s="2529">
        <v>0.6</v>
      </c>
      <c r="S632" s="2529">
        <v>0.6</v>
      </c>
      <c r="T632" s="2529">
        <v>0.6</v>
      </c>
      <c r="U632" s="2529">
        <v>0.6</v>
      </c>
      <c r="V632" s="2529">
        <v>0.6</v>
      </c>
      <c r="W632" s="2529">
        <v>0.6</v>
      </c>
      <c r="X632" s="2529">
        <v>0.6</v>
      </c>
      <c r="Y632" s="2529">
        <v>0.6</v>
      </c>
      <c r="Z632" s="2529">
        <v>0.6</v>
      </c>
      <c r="AA632" s="2529">
        <v>0.6</v>
      </c>
      <c r="AB632" s="2529">
        <v>0.6</v>
      </c>
      <c r="AC632" s="2529">
        <v>0.6</v>
      </c>
      <c r="AD632" s="2529">
        <v>0.6</v>
      </c>
      <c r="AE632" s="2529">
        <v>0.6</v>
      </c>
      <c r="AF632" s="2529">
        <v>0.6</v>
      </c>
      <c r="AG632" s="2529">
        <v>0.6</v>
      </c>
      <c r="AH632" s="2529">
        <v>0.6</v>
      </c>
      <c r="AI632" s="2529">
        <v>0.6</v>
      </c>
      <c r="AJ632" s="2529">
        <v>0.6</v>
      </c>
      <c r="AK632" s="2529">
        <v>0.6</v>
      </c>
      <c r="AL632" s="2529">
        <v>0.6</v>
      </c>
      <c r="AM632" s="2529">
        <v>0.6</v>
      </c>
      <c r="AN632" s="2529">
        <v>0.6</v>
      </c>
      <c r="AO632" s="2529">
        <v>0.6</v>
      </c>
      <c r="AP632" s="2529">
        <v>0.6</v>
      </c>
      <c r="AQ632" s="2529">
        <v>0.6</v>
      </c>
      <c r="AR632" s="2529">
        <v>0.6</v>
      </c>
      <c r="AS632" s="2529">
        <v>0.6</v>
      </c>
    </row>
    <row r="633" spans="2:45" x14ac:dyDescent="0.2">
      <c r="B633" s="2121"/>
      <c r="C633" s="2489" t="s">
        <v>1586</v>
      </c>
      <c r="D633" s="2540" t="s">
        <v>1587</v>
      </c>
      <c r="E633" s="2528" t="s">
        <v>136</v>
      </c>
      <c r="G633" s="2529">
        <v>7</v>
      </c>
      <c r="H633" s="2529">
        <v>7</v>
      </c>
      <c r="I633" s="2529">
        <v>7</v>
      </c>
      <c r="J633" s="2529">
        <v>7</v>
      </c>
      <c r="K633" s="2529">
        <v>7</v>
      </c>
      <c r="L633" s="2529">
        <v>7</v>
      </c>
      <c r="M633" s="2529">
        <v>7</v>
      </c>
      <c r="N633" s="2529">
        <v>7</v>
      </c>
      <c r="O633" s="2529">
        <v>7</v>
      </c>
      <c r="P633" s="2529">
        <v>7</v>
      </c>
      <c r="Q633" s="2529">
        <v>7</v>
      </c>
      <c r="R633" s="2529">
        <v>7</v>
      </c>
      <c r="S633" s="2529">
        <v>7</v>
      </c>
      <c r="T633" s="2529">
        <v>7</v>
      </c>
      <c r="U633" s="2529">
        <v>7</v>
      </c>
      <c r="V633" s="2529">
        <v>7</v>
      </c>
      <c r="W633" s="2529">
        <v>7</v>
      </c>
      <c r="X633" s="2529">
        <v>7</v>
      </c>
      <c r="Y633" s="2529">
        <v>7</v>
      </c>
      <c r="Z633" s="2529">
        <v>7</v>
      </c>
      <c r="AA633" s="2529">
        <v>7</v>
      </c>
      <c r="AB633" s="2529">
        <v>7</v>
      </c>
      <c r="AC633" s="2529">
        <v>7</v>
      </c>
      <c r="AD633" s="2529">
        <v>7</v>
      </c>
      <c r="AE633" s="2529">
        <v>7</v>
      </c>
      <c r="AF633" s="2529">
        <v>7</v>
      </c>
      <c r="AG633" s="2529">
        <v>7</v>
      </c>
      <c r="AH633" s="2529">
        <v>7</v>
      </c>
      <c r="AI633" s="2529">
        <v>7</v>
      </c>
      <c r="AJ633" s="2529">
        <v>7</v>
      </c>
      <c r="AK633" s="2529">
        <v>7</v>
      </c>
      <c r="AL633" s="2529">
        <v>7</v>
      </c>
      <c r="AM633" s="2529">
        <v>7</v>
      </c>
      <c r="AN633" s="2529">
        <v>7</v>
      </c>
      <c r="AO633" s="2529">
        <v>7</v>
      </c>
      <c r="AP633" s="2529">
        <v>7</v>
      </c>
      <c r="AQ633" s="2529">
        <v>7</v>
      </c>
      <c r="AR633" s="2529">
        <v>7</v>
      </c>
      <c r="AS633" s="2529">
        <v>7</v>
      </c>
    </row>
    <row r="634" spans="2:45" x14ac:dyDescent="0.2">
      <c r="B634" s="2121"/>
      <c r="C634" s="2489" t="s">
        <v>1334</v>
      </c>
      <c r="D634" s="2540" t="s">
        <v>841</v>
      </c>
      <c r="E634" s="2528"/>
      <c r="G634" s="2529">
        <f>G629*G631/G632</f>
        <v>741.77343240000005</v>
      </c>
      <c r="H634" s="2529">
        <f t="shared" ref="H634:AS634" si="103">H629*H631/H632</f>
        <v>8194.9253045400001</v>
      </c>
      <c r="I634" s="2529">
        <f t="shared" si="103"/>
        <v>15611.944256837496</v>
      </c>
      <c r="J634" s="2529">
        <f t="shared" si="103"/>
        <v>23006.737470437507</v>
      </c>
      <c r="K634" s="2529">
        <f t="shared" si="103"/>
        <v>30389.162605034999</v>
      </c>
      <c r="L634" s="2529">
        <f t="shared" si="103"/>
        <v>37759.169246240002</v>
      </c>
      <c r="M634" s="2529">
        <f t="shared" si="103"/>
        <v>45118.750576185004</v>
      </c>
      <c r="N634" s="2529">
        <f t="shared" si="103"/>
        <v>52489.322345362496</v>
      </c>
      <c r="O634" s="2529">
        <f t="shared" si="103"/>
        <v>59857.928000000007</v>
      </c>
      <c r="P634" s="2529">
        <f t="shared" si="103"/>
        <v>62832.252209999999</v>
      </c>
      <c r="Q634" s="2529">
        <f t="shared" si="103"/>
        <v>65811.480020000003</v>
      </c>
      <c r="R634" s="2529">
        <f t="shared" si="103"/>
        <v>68789.952270000009</v>
      </c>
      <c r="S634" s="2529">
        <f t="shared" si="103"/>
        <v>71773.415999999997</v>
      </c>
      <c r="T634" s="2529">
        <f t="shared" si="103"/>
        <v>74761.989249999999</v>
      </c>
      <c r="U634" s="2529">
        <f t="shared" si="103"/>
        <v>77748.994180000009</v>
      </c>
      <c r="V634" s="2529">
        <f t="shared" si="103"/>
        <v>80736.507540000006</v>
      </c>
      <c r="W634" s="2529">
        <f t="shared" si="103"/>
        <v>83729.387560000003</v>
      </c>
      <c r="X634" s="2529">
        <f t="shared" si="103"/>
        <v>86720.73695999998</v>
      </c>
      <c r="Y634" s="2529">
        <f t="shared" si="103"/>
        <v>89718.435299999997</v>
      </c>
      <c r="Z634" s="2529">
        <f t="shared" si="103"/>
        <v>92715.00211999999</v>
      </c>
      <c r="AA634" s="2529">
        <f t="shared" si="103"/>
        <v>95718.563200000019</v>
      </c>
      <c r="AB634" s="2529">
        <f t="shared" si="103"/>
        <v>98721.136800000007</v>
      </c>
      <c r="AC634" s="2529">
        <f t="shared" si="103"/>
        <v>101731.60400000001</v>
      </c>
      <c r="AD634" s="2529">
        <f t="shared" si="103"/>
        <v>104745.99134999998</v>
      </c>
      <c r="AE634" s="2529">
        <f t="shared" si="103"/>
        <v>107760.04668</v>
      </c>
      <c r="AF634" s="2529">
        <f t="shared" si="103"/>
        <v>110783.15521000003</v>
      </c>
      <c r="AG634" s="2529">
        <f t="shared" si="103"/>
        <v>113811.25704000001</v>
      </c>
      <c r="AH634" s="2529">
        <f t="shared" si="103"/>
        <v>116844.21879000001</v>
      </c>
      <c r="AI634" s="2529">
        <f t="shared" si="103"/>
        <v>119877.75800000002</v>
      </c>
      <c r="AJ634" s="2529">
        <f t="shared" si="103"/>
        <v>119923.7884</v>
      </c>
      <c r="AK634" s="2529">
        <f t="shared" si="103"/>
        <v>119973.63560000001</v>
      </c>
      <c r="AL634" s="2529">
        <f t="shared" si="103"/>
        <v>120027.10720000001</v>
      </c>
      <c r="AM634" s="2529">
        <f t="shared" si="103"/>
        <v>120084.28640000001</v>
      </c>
      <c r="AN634" s="2529">
        <f t="shared" si="103"/>
        <v>120145.42280000001</v>
      </c>
      <c r="AO634" s="2529">
        <f t="shared" si="103"/>
        <v>120210.17839999999</v>
      </c>
      <c r="AP634" s="2529">
        <f t="shared" si="103"/>
        <v>120279.1876</v>
      </c>
      <c r="AQ634" s="2529">
        <f t="shared" si="103"/>
        <v>120352.01359999999</v>
      </c>
      <c r="AR634" s="2529">
        <f t="shared" si="103"/>
        <v>120428.80720000001</v>
      </c>
      <c r="AS634" s="2529">
        <f t="shared" si="103"/>
        <v>120515.05440000001</v>
      </c>
    </row>
    <row r="635" spans="2:45" x14ac:dyDescent="0.2">
      <c r="B635" s="2121"/>
      <c r="C635" s="2489" t="s">
        <v>1588</v>
      </c>
      <c r="D635" s="2540" t="s">
        <v>190</v>
      </c>
      <c r="E635" s="2528"/>
      <c r="G635" s="2541">
        <f>0.6</f>
        <v>0.6</v>
      </c>
      <c r="H635" s="2541">
        <f t="shared" ref="H635:AS635" si="104">0.6</f>
        <v>0.6</v>
      </c>
      <c r="I635" s="2541">
        <f t="shared" si="104"/>
        <v>0.6</v>
      </c>
      <c r="J635" s="2541">
        <f t="shared" si="104"/>
        <v>0.6</v>
      </c>
      <c r="K635" s="2541">
        <f t="shared" si="104"/>
        <v>0.6</v>
      </c>
      <c r="L635" s="2541">
        <f t="shared" si="104"/>
        <v>0.6</v>
      </c>
      <c r="M635" s="2541">
        <f t="shared" si="104"/>
        <v>0.6</v>
      </c>
      <c r="N635" s="2541">
        <f t="shared" si="104"/>
        <v>0.6</v>
      </c>
      <c r="O635" s="2541">
        <f t="shared" si="104"/>
        <v>0.6</v>
      </c>
      <c r="P635" s="2541">
        <f t="shared" si="104"/>
        <v>0.6</v>
      </c>
      <c r="Q635" s="2541">
        <f t="shared" si="104"/>
        <v>0.6</v>
      </c>
      <c r="R635" s="2541">
        <f t="shared" si="104"/>
        <v>0.6</v>
      </c>
      <c r="S635" s="2541">
        <f t="shared" si="104"/>
        <v>0.6</v>
      </c>
      <c r="T635" s="2541">
        <f t="shared" si="104"/>
        <v>0.6</v>
      </c>
      <c r="U635" s="2541">
        <f t="shared" si="104"/>
        <v>0.6</v>
      </c>
      <c r="V635" s="2541">
        <f t="shared" si="104"/>
        <v>0.6</v>
      </c>
      <c r="W635" s="2541">
        <f t="shared" si="104"/>
        <v>0.6</v>
      </c>
      <c r="X635" s="2541">
        <f t="shared" si="104"/>
        <v>0.6</v>
      </c>
      <c r="Y635" s="2541">
        <f t="shared" si="104"/>
        <v>0.6</v>
      </c>
      <c r="Z635" s="2541">
        <f t="shared" si="104"/>
        <v>0.6</v>
      </c>
      <c r="AA635" s="2541">
        <f t="shared" si="104"/>
        <v>0.6</v>
      </c>
      <c r="AB635" s="2541">
        <f t="shared" si="104"/>
        <v>0.6</v>
      </c>
      <c r="AC635" s="2541">
        <f t="shared" si="104"/>
        <v>0.6</v>
      </c>
      <c r="AD635" s="2541">
        <f t="shared" si="104"/>
        <v>0.6</v>
      </c>
      <c r="AE635" s="2541">
        <f t="shared" si="104"/>
        <v>0.6</v>
      </c>
      <c r="AF635" s="2541">
        <f t="shared" si="104"/>
        <v>0.6</v>
      </c>
      <c r="AG635" s="2541">
        <f t="shared" si="104"/>
        <v>0.6</v>
      </c>
      <c r="AH635" s="2541">
        <f t="shared" si="104"/>
        <v>0.6</v>
      </c>
      <c r="AI635" s="2541">
        <f t="shared" si="104"/>
        <v>0.6</v>
      </c>
      <c r="AJ635" s="2541">
        <f t="shared" si="104"/>
        <v>0.6</v>
      </c>
      <c r="AK635" s="2541">
        <f t="shared" si="104"/>
        <v>0.6</v>
      </c>
      <c r="AL635" s="2541">
        <f t="shared" si="104"/>
        <v>0.6</v>
      </c>
      <c r="AM635" s="2541">
        <f t="shared" si="104"/>
        <v>0.6</v>
      </c>
      <c r="AN635" s="2541">
        <f t="shared" si="104"/>
        <v>0.6</v>
      </c>
      <c r="AO635" s="2541">
        <f t="shared" si="104"/>
        <v>0.6</v>
      </c>
      <c r="AP635" s="2541">
        <f t="shared" si="104"/>
        <v>0.6</v>
      </c>
      <c r="AQ635" s="2541">
        <f t="shared" si="104"/>
        <v>0.6</v>
      </c>
      <c r="AR635" s="2541">
        <f t="shared" si="104"/>
        <v>0.6</v>
      </c>
      <c r="AS635" s="2541">
        <f t="shared" si="104"/>
        <v>0.6</v>
      </c>
    </row>
    <row r="636" spans="2:45" x14ac:dyDescent="0.2">
      <c r="B636" s="2121"/>
      <c r="C636" s="2506" t="s">
        <v>1589</v>
      </c>
      <c r="D636" s="2542" t="s">
        <v>1590</v>
      </c>
      <c r="E636" s="2536"/>
      <c r="F636" s="2536"/>
      <c r="G636" s="2537">
        <f>G634*G633*G635/10^3</f>
        <v>3.11544841608</v>
      </c>
      <c r="H636" s="2537">
        <f t="shared" ref="H636:AS636" si="105">H634*H633*H635/10^3</f>
        <v>34.418686279068005</v>
      </c>
      <c r="I636" s="2537">
        <f t="shared" si="105"/>
        <v>65.570165878717475</v>
      </c>
      <c r="J636" s="2537">
        <f t="shared" si="105"/>
        <v>96.628297375837533</v>
      </c>
      <c r="K636" s="2537">
        <f t="shared" si="105"/>
        <v>127.63448294114698</v>
      </c>
      <c r="L636" s="2537">
        <f t="shared" si="105"/>
        <v>158.58851083420802</v>
      </c>
      <c r="M636" s="2537">
        <f t="shared" si="105"/>
        <v>189.49875241997702</v>
      </c>
      <c r="N636" s="2537">
        <f t="shared" si="105"/>
        <v>220.45515385052246</v>
      </c>
      <c r="O636" s="2537">
        <f t="shared" si="105"/>
        <v>251.40329760000003</v>
      </c>
      <c r="P636" s="2537">
        <f t="shared" si="105"/>
        <v>263.89545928199999</v>
      </c>
      <c r="Q636" s="2537">
        <f t="shared" si="105"/>
        <v>276.408216084</v>
      </c>
      <c r="R636" s="2537">
        <f t="shared" si="105"/>
        <v>288.91779953400004</v>
      </c>
      <c r="S636" s="2537">
        <f t="shared" si="105"/>
        <v>301.4483472</v>
      </c>
      <c r="T636" s="2537">
        <f t="shared" si="105"/>
        <v>314.00035485000001</v>
      </c>
      <c r="U636" s="2537">
        <f t="shared" si="105"/>
        <v>326.54577555600002</v>
      </c>
      <c r="V636" s="2537">
        <f t="shared" si="105"/>
        <v>339.09333166800002</v>
      </c>
      <c r="W636" s="2537">
        <f t="shared" si="105"/>
        <v>351.66342775200008</v>
      </c>
      <c r="X636" s="2537">
        <f t="shared" si="105"/>
        <v>364.2270952319999</v>
      </c>
      <c r="Y636" s="2537">
        <f t="shared" si="105"/>
        <v>376.81742825999993</v>
      </c>
      <c r="Z636" s="2537">
        <f t="shared" si="105"/>
        <v>389.40300890399999</v>
      </c>
      <c r="AA636" s="2537">
        <f t="shared" si="105"/>
        <v>402.01796544000013</v>
      </c>
      <c r="AB636" s="2537">
        <f t="shared" si="105"/>
        <v>414.62877456000007</v>
      </c>
      <c r="AC636" s="2537">
        <f t="shared" si="105"/>
        <v>427.27273680000002</v>
      </c>
      <c r="AD636" s="2537">
        <f t="shared" si="105"/>
        <v>439.93316366999989</v>
      </c>
      <c r="AE636" s="2537">
        <f t="shared" si="105"/>
        <v>452.59219605599998</v>
      </c>
      <c r="AF636" s="2537">
        <f t="shared" si="105"/>
        <v>465.28925188200014</v>
      </c>
      <c r="AG636" s="2537">
        <f t="shared" si="105"/>
        <v>478.007279568</v>
      </c>
      <c r="AH636" s="2537">
        <f t="shared" si="105"/>
        <v>490.74571891800002</v>
      </c>
      <c r="AI636" s="2537">
        <f t="shared" si="105"/>
        <v>503.48658360000002</v>
      </c>
      <c r="AJ636" s="2537">
        <f t="shared" si="105"/>
        <v>503.67991128</v>
      </c>
      <c r="AK636" s="2537">
        <f t="shared" si="105"/>
        <v>503.88926951999997</v>
      </c>
      <c r="AL636" s="2537">
        <f t="shared" si="105"/>
        <v>504.11385024000003</v>
      </c>
      <c r="AM636" s="2537">
        <f t="shared" si="105"/>
        <v>504.35400288000005</v>
      </c>
      <c r="AN636" s="2537">
        <f t="shared" si="105"/>
        <v>504.61077575999997</v>
      </c>
      <c r="AO636" s="2537">
        <f t="shared" si="105"/>
        <v>504.88274927999993</v>
      </c>
      <c r="AP636" s="2537">
        <f t="shared" si="105"/>
        <v>505.17258791999996</v>
      </c>
      <c r="AQ636" s="2537">
        <f t="shared" si="105"/>
        <v>505.47845711999997</v>
      </c>
      <c r="AR636" s="2537">
        <f t="shared" si="105"/>
        <v>505.80099024000003</v>
      </c>
      <c r="AS636" s="2537">
        <f t="shared" si="105"/>
        <v>506.16322847999999</v>
      </c>
    </row>
    <row r="637" spans="2:45" ht="15" x14ac:dyDescent="0.25">
      <c r="B637" s="2121"/>
      <c r="C637" s="2538"/>
      <c r="D637" s="2528"/>
      <c r="G637" s="2543"/>
      <c r="H637" s="2543"/>
      <c r="I637" s="2543"/>
      <c r="J637" s="2543"/>
      <c r="K637" s="2543"/>
      <c r="L637" s="2543"/>
      <c r="M637" s="2543"/>
      <c r="N637" s="2543"/>
      <c r="O637" s="2543"/>
      <c r="P637" s="2543"/>
      <c r="Q637" s="2543"/>
      <c r="R637" s="2543"/>
      <c r="S637" s="2543"/>
      <c r="T637" s="2543"/>
      <c r="U637" s="2543"/>
      <c r="V637" s="2543"/>
      <c r="W637" s="2543"/>
      <c r="X637" s="2543"/>
      <c r="Y637" s="2543"/>
      <c r="Z637" s="2543"/>
      <c r="AA637" s="2543"/>
      <c r="AB637" s="2543"/>
      <c r="AC637" s="2543"/>
      <c r="AD637" s="2543"/>
      <c r="AE637" s="2543"/>
      <c r="AF637" s="2543"/>
      <c r="AG637" s="2543"/>
      <c r="AH637" s="2543"/>
      <c r="AI637" s="2543"/>
      <c r="AJ637" s="2543"/>
      <c r="AK637" s="2543"/>
      <c r="AL637" s="2543"/>
      <c r="AM637" s="2543"/>
      <c r="AN637" s="2543"/>
      <c r="AO637" s="2543"/>
      <c r="AP637" s="2543"/>
      <c r="AQ637" s="2543"/>
      <c r="AR637" s="2543"/>
      <c r="AS637" s="2543"/>
    </row>
    <row r="638" spans="2:45" ht="15" x14ac:dyDescent="0.25">
      <c r="B638" s="2121"/>
      <c r="C638" s="2538"/>
      <c r="D638" s="2528"/>
      <c r="G638" s="2543"/>
      <c r="H638" s="2543"/>
      <c r="I638" s="2543"/>
      <c r="J638" s="2543"/>
      <c r="K638" s="2543"/>
      <c r="L638" s="2543"/>
      <c r="M638" s="2543"/>
      <c r="N638" s="2543"/>
      <c r="O638" s="2543"/>
      <c r="P638" s="2543"/>
      <c r="Q638" s="2543"/>
      <c r="R638" s="2543"/>
      <c r="S638" s="2543"/>
      <c r="T638" s="2543"/>
      <c r="U638" s="2543"/>
      <c r="V638" s="2543"/>
      <c r="W638" s="2543"/>
      <c r="X638" s="2543"/>
      <c r="Y638" s="2543"/>
      <c r="Z638" s="2543"/>
      <c r="AA638" s="2543"/>
      <c r="AB638" s="2543"/>
      <c r="AC638" s="2543"/>
      <c r="AD638" s="2543"/>
      <c r="AE638" s="2543"/>
      <c r="AF638" s="2543"/>
      <c r="AG638" s="2543"/>
      <c r="AH638" s="2543"/>
      <c r="AI638" s="2543"/>
      <c r="AJ638" s="2543"/>
      <c r="AK638" s="2543"/>
      <c r="AL638" s="2543"/>
      <c r="AM638" s="2543"/>
      <c r="AN638" s="2543"/>
      <c r="AO638" s="2543"/>
      <c r="AP638" s="2543"/>
      <c r="AQ638" s="2543"/>
      <c r="AR638" s="2543"/>
      <c r="AS638" s="2543"/>
    </row>
    <row r="639" spans="2:45" ht="15" x14ac:dyDescent="0.25">
      <c r="B639" s="2539" t="s">
        <v>1591</v>
      </c>
      <c r="C639" s="2544" t="s">
        <v>1592</v>
      </c>
      <c r="D639" s="2528"/>
      <c r="G639" s="2543"/>
      <c r="H639" s="2543"/>
      <c r="I639" s="2543"/>
      <c r="J639" s="2543"/>
      <c r="K639" s="2543"/>
      <c r="L639" s="2543"/>
      <c r="M639" s="2543"/>
      <c r="N639" s="2543"/>
      <c r="O639" s="2543"/>
      <c r="P639" s="2543"/>
      <c r="Q639" s="2543"/>
      <c r="R639" s="2543"/>
      <c r="S639" s="2543"/>
      <c r="T639" s="2543"/>
      <c r="U639" s="2543"/>
      <c r="V639" s="2543"/>
      <c r="W639" s="2543"/>
      <c r="X639" s="2543"/>
      <c r="Y639" s="2543"/>
      <c r="Z639" s="2543"/>
      <c r="AA639" s="2543"/>
      <c r="AB639" s="2543"/>
      <c r="AC639" s="2543"/>
      <c r="AD639" s="2543"/>
      <c r="AE639" s="2543"/>
      <c r="AF639" s="2543"/>
      <c r="AG639" s="2543"/>
      <c r="AH639" s="2543"/>
      <c r="AI639" s="2543"/>
      <c r="AJ639" s="2543"/>
      <c r="AK639" s="2543"/>
      <c r="AL639" s="2543"/>
      <c r="AM639" s="2543"/>
      <c r="AN639" s="2543"/>
      <c r="AO639" s="2543"/>
      <c r="AP639" s="2543"/>
      <c r="AQ639" s="2543"/>
      <c r="AR639" s="2543"/>
      <c r="AS639" s="2543"/>
    </row>
    <row r="640" spans="2:45" x14ac:dyDescent="0.2">
      <c r="B640" s="2121"/>
      <c r="C640" s="2489" t="s">
        <v>1571</v>
      </c>
      <c r="D640" s="2532" t="s">
        <v>1572</v>
      </c>
      <c r="E640" s="2490"/>
      <c r="F640" s="2490"/>
      <c r="G640" s="2545">
        <f t="shared" ref="G640:AS640" si="106">G636*G213/1000</f>
        <v>1.5577242080400001E-3</v>
      </c>
      <c r="H640" s="2545">
        <f t="shared" si="106"/>
        <v>1.7209343139534004E-2</v>
      </c>
      <c r="I640" s="2545">
        <f t="shared" si="106"/>
        <v>3.2785082939358737E-2</v>
      </c>
      <c r="J640" s="2545">
        <f t="shared" si="106"/>
        <v>4.8314148687918765E-2</v>
      </c>
      <c r="K640" s="2545">
        <f t="shared" si="106"/>
        <v>6.3817241470573494E-2</v>
      </c>
      <c r="L640" s="2545">
        <f t="shared" si="106"/>
        <v>7.9294255417104012E-2</v>
      </c>
      <c r="M640" s="2545">
        <f t="shared" si="106"/>
        <v>9.4749376209988509E-2</v>
      </c>
      <c r="N640" s="2545">
        <f t="shared" si="106"/>
        <v>0.11022757692526124</v>
      </c>
      <c r="O640" s="2545">
        <f t="shared" si="106"/>
        <v>0.12570164880000001</v>
      </c>
      <c r="P640" s="2545">
        <f t="shared" si="106"/>
        <v>0.13194772964099999</v>
      </c>
      <c r="Q640" s="2545">
        <f t="shared" si="106"/>
        <v>0.13820410804200001</v>
      </c>
      <c r="R640" s="2545">
        <f t="shared" si="106"/>
        <v>0.14445889976700002</v>
      </c>
      <c r="S640" s="2545">
        <f t="shared" si="106"/>
        <v>0.15072417360000001</v>
      </c>
      <c r="T640" s="2545">
        <f t="shared" si="106"/>
        <v>0.157000177425</v>
      </c>
      <c r="U640" s="2545">
        <f t="shared" si="106"/>
        <v>0.163272887778</v>
      </c>
      <c r="V640" s="2545">
        <f t="shared" si="106"/>
        <v>0.16954666583400002</v>
      </c>
      <c r="W640" s="2545">
        <f t="shared" si="106"/>
        <v>0.17583171387600005</v>
      </c>
      <c r="X640" s="2545">
        <f t="shared" si="106"/>
        <v>0.18211354761599996</v>
      </c>
      <c r="Y640" s="2545">
        <f t="shared" si="106"/>
        <v>0.18840871412999996</v>
      </c>
      <c r="Z640" s="2545">
        <f t="shared" si="106"/>
        <v>0.19470150445199999</v>
      </c>
      <c r="AA640" s="2545">
        <f t="shared" si="106"/>
        <v>0.20100898272000006</v>
      </c>
      <c r="AB640" s="2545">
        <f t="shared" si="106"/>
        <v>0.20731438728000004</v>
      </c>
      <c r="AC640" s="2545">
        <f t="shared" si="106"/>
        <v>0.2136363684</v>
      </c>
      <c r="AD640" s="2545">
        <f t="shared" si="106"/>
        <v>0.21996658183499995</v>
      </c>
      <c r="AE640" s="2545">
        <f t="shared" si="106"/>
        <v>0.22629609802799999</v>
      </c>
      <c r="AF640" s="2545">
        <f t="shared" si="106"/>
        <v>0.23264462594100008</v>
      </c>
      <c r="AG640" s="2545">
        <f t="shared" si="106"/>
        <v>0.23900363978399999</v>
      </c>
      <c r="AH640" s="2545">
        <f t="shared" si="106"/>
        <v>0.245372859459</v>
      </c>
      <c r="AI640" s="2545">
        <f t="shared" si="106"/>
        <v>0.25174329179999999</v>
      </c>
      <c r="AJ640" s="2545">
        <f t="shared" si="106"/>
        <v>0.25183995564</v>
      </c>
      <c r="AK640" s="2545">
        <f t="shared" si="106"/>
        <v>0.25194463476000001</v>
      </c>
      <c r="AL640" s="2545">
        <f t="shared" si="106"/>
        <v>0.25205692512</v>
      </c>
      <c r="AM640" s="2545">
        <f t="shared" si="106"/>
        <v>0.25217700144000005</v>
      </c>
      <c r="AN640" s="2545">
        <f t="shared" si="106"/>
        <v>0.25230538788000001</v>
      </c>
      <c r="AO640" s="2545">
        <f t="shared" si="106"/>
        <v>0.25244137463999994</v>
      </c>
      <c r="AP640" s="2545">
        <f t="shared" si="106"/>
        <v>0.25258629395999999</v>
      </c>
      <c r="AQ640" s="2545">
        <f t="shared" si="106"/>
        <v>0.25273922855999997</v>
      </c>
      <c r="AR640" s="2545">
        <f t="shared" si="106"/>
        <v>0.25290049512000001</v>
      </c>
      <c r="AS640" s="2545">
        <f t="shared" si="106"/>
        <v>0.25308161423999997</v>
      </c>
    </row>
    <row r="641" spans="2:45" ht="15" x14ac:dyDescent="0.25">
      <c r="B641" s="2121"/>
      <c r="C641" s="2538"/>
      <c r="D641" s="2528"/>
      <c r="G641" s="2543"/>
      <c r="H641" s="2543"/>
      <c r="I641" s="2543"/>
      <c r="J641" s="2543"/>
      <c r="K641" s="2543"/>
      <c r="L641" s="2543"/>
      <c r="M641" s="2543"/>
      <c r="N641" s="2543"/>
      <c r="O641" s="2543"/>
      <c r="P641" s="2543"/>
      <c r="Q641" s="2543"/>
      <c r="R641" s="2543"/>
      <c r="S641" s="2543"/>
      <c r="T641" s="2543"/>
      <c r="U641" s="2543"/>
      <c r="V641" s="2543"/>
      <c r="W641" s="2543"/>
      <c r="X641" s="2543"/>
      <c r="Y641" s="2543"/>
      <c r="Z641" s="2543"/>
      <c r="AA641" s="2543"/>
      <c r="AB641" s="2543"/>
      <c r="AC641" s="2543"/>
      <c r="AD641" s="2543"/>
      <c r="AE641" s="2543"/>
      <c r="AF641" s="2543"/>
      <c r="AG641" s="2543"/>
      <c r="AH641" s="2543"/>
      <c r="AI641" s="2543"/>
      <c r="AJ641" s="2543"/>
      <c r="AK641" s="2543"/>
      <c r="AL641" s="2543"/>
      <c r="AM641" s="2543"/>
      <c r="AN641" s="2543"/>
      <c r="AO641" s="2543"/>
      <c r="AP641" s="2543"/>
      <c r="AQ641" s="2543"/>
      <c r="AR641" s="2543"/>
      <c r="AS641" s="2543"/>
    </row>
    <row r="642" spans="2:45" ht="15" x14ac:dyDescent="0.25">
      <c r="B642" s="2121"/>
      <c r="C642" s="2538"/>
      <c r="D642" s="2528"/>
      <c r="G642" s="2543"/>
      <c r="H642" s="2543"/>
      <c r="I642" s="2543"/>
      <c r="J642" s="2543"/>
      <c r="K642" s="2543"/>
      <c r="L642" s="2543"/>
      <c r="M642" s="2543"/>
      <c r="N642" s="2543"/>
      <c r="O642" s="2543"/>
      <c r="P642" s="2543"/>
      <c r="Q642" s="2543"/>
      <c r="R642" s="2543"/>
      <c r="S642" s="2543"/>
      <c r="T642" s="2543"/>
      <c r="U642" s="2543"/>
      <c r="V642" s="2543"/>
      <c r="W642" s="2543"/>
      <c r="X642" s="2543"/>
      <c r="Y642" s="2543"/>
      <c r="Z642" s="2543"/>
      <c r="AA642" s="2543"/>
      <c r="AB642" s="2543"/>
      <c r="AC642" s="2543"/>
      <c r="AD642" s="2543"/>
      <c r="AE642" s="2543"/>
      <c r="AF642" s="2543"/>
      <c r="AG642" s="2543"/>
      <c r="AH642" s="2543"/>
      <c r="AI642" s="2543"/>
      <c r="AJ642" s="2543"/>
      <c r="AK642" s="2543"/>
      <c r="AL642" s="2543"/>
      <c r="AM642" s="2543"/>
      <c r="AN642" s="2543"/>
      <c r="AO642" s="2543"/>
      <c r="AP642" s="2543"/>
      <c r="AQ642" s="2543"/>
      <c r="AR642" s="2543"/>
      <c r="AS642" s="2543"/>
    </row>
    <row r="643" spans="2:45" ht="15" x14ac:dyDescent="0.25">
      <c r="B643" s="2121"/>
      <c r="C643" s="2489" t="s">
        <v>1593</v>
      </c>
      <c r="D643" s="2528"/>
      <c r="G643" s="2543"/>
      <c r="H643" s="2543"/>
      <c r="I643" s="2543"/>
      <c r="J643" s="2543"/>
      <c r="K643" s="2543"/>
      <c r="L643" s="2543"/>
      <c r="M643" s="2543"/>
      <c r="N643" s="2543"/>
      <c r="O643" s="2543"/>
      <c r="P643" s="2543"/>
      <c r="Q643" s="2543"/>
      <c r="R643" s="2543"/>
      <c r="S643" s="2543"/>
      <c r="T643" s="2543"/>
      <c r="U643" s="2543"/>
      <c r="V643" s="2543"/>
      <c r="W643" s="2543"/>
      <c r="X643" s="2543"/>
      <c r="Y643" s="2543"/>
      <c r="Z643" s="2543"/>
      <c r="AA643" s="2543"/>
      <c r="AB643" s="2543"/>
      <c r="AC643" s="2543"/>
      <c r="AD643" s="2543"/>
      <c r="AE643" s="2543"/>
      <c r="AF643" s="2543"/>
      <c r="AG643" s="2543"/>
      <c r="AH643" s="2543"/>
      <c r="AI643" s="2543"/>
      <c r="AJ643" s="2543"/>
      <c r="AK643" s="2543"/>
      <c r="AL643" s="2543"/>
      <c r="AM643" s="2543"/>
      <c r="AN643" s="2543"/>
      <c r="AO643" s="2543"/>
      <c r="AP643" s="2543"/>
      <c r="AQ643" s="2543"/>
      <c r="AR643" s="2543"/>
      <c r="AS643" s="2543"/>
    </row>
    <row r="644" spans="2:45" ht="15" x14ac:dyDescent="0.25">
      <c r="B644" s="2121"/>
      <c r="C644" s="2489" t="s">
        <v>1594</v>
      </c>
      <c r="D644" s="2528"/>
      <c r="G644" s="2543"/>
      <c r="H644" s="2543"/>
      <c r="I644" s="2543"/>
      <c r="J644" s="2543"/>
      <c r="K644" s="2543"/>
      <c r="L644" s="2543"/>
      <c r="M644" s="2543"/>
      <c r="N644" s="2543"/>
      <c r="O644" s="2543"/>
      <c r="P644" s="2543"/>
      <c r="Q644" s="2543"/>
      <c r="R644" s="2543"/>
      <c r="S644" s="2543"/>
      <c r="T644" s="2543"/>
      <c r="U644" s="2543"/>
      <c r="V644" s="2543"/>
      <c r="W644" s="2543"/>
      <c r="X644" s="2543"/>
      <c r="Y644" s="2543"/>
      <c r="Z644" s="2543"/>
      <c r="AA644" s="2543"/>
      <c r="AB644" s="2543"/>
      <c r="AC644" s="2543"/>
      <c r="AD644" s="2543"/>
      <c r="AE644" s="2543"/>
      <c r="AF644" s="2543"/>
      <c r="AG644" s="2543"/>
      <c r="AH644" s="2543"/>
      <c r="AI644" s="2543"/>
      <c r="AJ644" s="2543"/>
      <c r="AK644" s="2543"/>
      <c r="AL644" s="2543"/>
      <c r="AM644" s="2543"/>
      <c r="AN644" s="2543"/>
      <c r="AO644" s="2543"/>
      <c r="AP644" s="2543"/>
      <c r="AQ644" s="2543"/>
      <c r="AR644" s="2543"/>
      <c r="AS644" s="2543"/>
    </row>
    <row r="645" spans="2:45" ht="15" x14ac:dyDescent="0.25">
      <c r="B645" s="2121"/>
      <c r="C645" s="2489" t="s">
        <v>1595</v>
      </c>
      <c r="D645" s="2528"/>
      <c r="G645" s="2543"/>
      <c r="H645" s="2543"/>
      <c r="I645" s="2543"/>
      <c r="J645" s="2543"/>
      <c r="K645" s="2543"/>
      <c r="L645" s="2543"/>
      <c r="M645" s="2543"/>
      <c r="N645" s="2543"/>
      <c r="O645" s="2543"/>
      <c r="P645" s="2543"/>
      <c r="Q645" s="2543"/>
      <c r="R645" s="2543"/>
      <c r="S645" s="2543"/>
      <c r="T645" s="2543"/>
      <c r="U645" s="2543"/>
      <c r="V645" s="2543"/>
      <c r="W645" s="2543"/>
      <c r="X645" s="2543"/>
      <c r="Y645" s="2543"/>
      <c r="Z645" s="2543"/>
      <c r="AA645" s="2543"/>
      <c r="AB645" s="2543"/>
      <c r="AC645" s="2543"/>
      <c r="AD645" s="2543"/>
      <c r="AE645" s="2543"/>
      <c r="AF645" s="2543"/>
      <c r="AG645" s="2543"/>
      <c r="AH645" s="2543"/>
      <c r="AI645" s="2543"/>
      <c r="AJ645" s="2543"/>
      <c r="AK645" s="2543"/>
      <c r="AL645" s="2543"/>
      <c r="AM645" s="2543"/>
      <c r="AN645" s="2543"/>
      <c r="AO645" s="2543"/>
      <c r="AP645" s="2543"/>
      <c r="AQ645" s="2543"/>
      <c r="AR645" s="2543"/>
      <c r="AS645" s="2543"/>
    </row>
    <row r="647" spans="2:45" ht="15.75" x14ac:dyDescent="0.2">
      <c r="B647" s="2394" t="s">
        <v>181</v>
      </c>
      <c r="C647" s="2331"/>
      <c r="D647" s="2395"/>
      <c r="E647" s="2396"/>
      <c r="F647" s="2396"/>
      <c r="G647" s="2396"/>
      <c r="H647" s="2396"/>
      <c r="I647" s="2396"/>
      <c r="J647" s="2396"/>
      <c r="K647" s="2396"/>
      <c r="L647" s="2396"/>
      <c r="M647" s="2396"/>
      <c r="N647" s="2396"/>
      <c r="O647" s="2396"/>
      <c r="P647" s="2396"/>
      <c r="Q647" s="2396"/>
      <c r="R647" s="2396"/>
      <c r="S647" s="2396"/>
      <c r="T647" s="2396"/>
      <c r="U647" s="2396"/>
      <c r="V647" s="2396"/>
      <c r="W647" s="2396"/>
      <c r="X647" s="2396"/>
      <c r="Y647" s="2396"/>
      <c r="Z647" s="2396"/>
      <c r="AA647" s="2396"/>
      <c r="AB647" s="2396"/>
      <c r="AC647" s="2396"/>
      <c r="AD647" s="2396"/>
      <c r="AE647" s="2396"/>
      <c r="AF647" s="2396"/>
      <c r="AG647" s="2396"/>
      <c r="AH647" s="2396"/>
      <c r="AI647" s="2396"/>
      <c r="AJ647" s="2396"/>
      <c r="AK647" s="2396"/>
      <c r="AL647" s="2396"/>
      <c r="AM647" s="2396"/>
      <c r="AN647" s="2396"/>
      <c r="AO647" s="2396"/>
      <c r="AP647" s="2396"/>
      <c r="AQ647" s="2396"/>
      <c r="AR647" s="2396"/>
      <c r="AS647" s="2396"/>
    </row>
    <row r="648" spans="2:45" x14ac:dyDescent="0.2">
      <c r="B648" s="2397"/>
      <c r="C648" s="2398"/>
      <c r="D648" s="2399"/>
      <c r="E648" s="2400"/>
      <c r="F648" s="2400"/>
      <c r="G648" s="2400"/>
      <c r="H648" s="2400"/>
      <c r="I648" s="2400"/>
      <c r="J648" s="2400"/>
      <c r="K648" s="2400"/>
      <c r="L648" s="2400"/>
      <c r="M648" s="2400"/>
      <c r="N648" s="2400"/>
      <c r="O648" s="2400"/>
      <c r="P648" s="2400"/>
      <c r="Q648" s="2400"/>
      <c r="R648" s="2400"/>
      <c r="S648" s="2400"/>
      <c r="T648" s="2400"/>
      <c r="U648" s="2400"/>
      <c r="V648" s="2400"/>
      <c r="W648" s="2400"/>
      <c r="X648" s="2400"/>
      <c r="Y648" s="2400"/>
      <c r="Z648" s="2400"/>
      <c r="AA648" s="2400"/>
      <c r="AB648" s="2400"/>
      <c r="AC648" s="2400"/>
      <c r="AD648" s="2400"/>
      <c r="AE648" s="2400"/>
      <c r="AF648" s="2400"/>
      <c r="AG648" s="2400"/>
      <c r="AH648" s="2400"/>
      <c r="AI648" s="2400"/>
      <c r="AJ648" s="2400"/>
      <c r="AK648" s="2400"/>
      <c r="AL648" s="2400"/>
      <c r="AM648" s="2400"/>
      <c r="AN648" s="2400"/>
      <c r="AO648" s="2400"/>
      <c r="AP648" s="2400"/>
      <c r="AQ648" s="2400"/>
      <c r="AR648" s="2400"/>
      <c r="AS648" s="2400"/>
    </row>
    <row r="649" spans="2:45" x14ac:dyDescent="0.2">
      <c r="B649" s="2397"/>
      <c r="C649" s="2187" t="s">
        <v>1185</v>
      </c>
      <c r="D649" s="2399"/>
      <c r="E649" s="2400"/>
      <c r="F649" s="2400"/>
      <c r="G649" s="2400"/>
      <c r="H649" s="2400"/>
      <c r="I649" s="2400"/>
      <c r="J649" s="2400"/>
      <c r="K649" s="2400"/>
      <c r="L649" s="2400"/>
      <c r="M649" s="2400"/>
      <c r="N649" s="2400"/>
      <c r="O649" s="2400"/>
      <c r="P649" s="2400"/>
      <c r="Q649" s="2400"/>
      <c r="R649" s="2400"/>
      <c r="S649" s="2400"/>
      <c r="T649" s="2400"/>
      <c r="U649" s="2400"/>
      <c r="V649" s="2400"/>
      <c r="W649" s="2400"/>
      <c r="X649" s="2400"/>
      <c r="Y649" s="2400"/>
      <c r="Z649" s="2400"/>
      <c r="AA649" s="2400"/>
      <c r="AB649" s="2400"/>
      <c r="AC649" s="2400"/>
      <c r="AD649" s="2400"/>
      <c r="AE649" s="2400"/>
      <c r="AF649" s="2400"/>
      <c r="AG649" s="2400"/>
      <c r="AH649" s="2400"/>
      <c r="AI649" s="2400"/>
      <c r="AJ649" s="2400"/>
      <c r="AK649" s="2400"/>
      <c r="AL649" s="2400"/>
      <c r="AM649" s="2400"/>
      <c r="AN649" s="2400"/>
      <c r="AO649" s="2400"/>
      <c r="AP649" s="2400"/>
      <c r="AQ649" s="2400"/>
      <c r="AR649" s="2400"/>
      <c r="AS649" s="2400"/>
    </row>
    <row r="650" spans="2:45" x14ac:dyDescent="0.2">
      <c r="B650" s="2397"/>
      <c r="C650" s="2130" t="s">
        <v>242</v>
      </c>
      <c r="D650" s="2131" t="s">
        <v>1029</v>
      </c>
      <c r="E650" s="2131" t="s">
        <v>8</v>
      </c>
      <c r="F650" s="2132"/>
      <c r="G650" s="2546">
        <v>2012</v>
      </c>
      <c r="H650" s="2546">
        <v>2013</v>
      </c>
      <c r="I650" s="2546">
        <v>2014</v>
      </c>
      <c r="J650" s="2546">
        <v>2015</v>
      </c>
      <c r="K650" s="2546">
        <v>2016</v>
      </c>
      <c r="L650" s="2546">
        <v>2017</v>
      </c>
      <c r="M650" s="2546">
        <v>2018</v>
      </c>
      <c r="N650" s="2546">
        <v>2019</v>
      </c>
      <c r="O650" s="2546">
        <v>2020</v>
      </c>
      <c r="P650" s="2546">
        <v>2021</v>
      </c>
      <c r="Q650" s="2546">
        <v>2022</v>
      </c>
      <c r="R650" s="2546">
        <v>2023</v>
      </c>
      <c r="S650" s="2546">
        <v>2024</v>
      </c>
      <c r="T650" s="2546">
        <v>2025</v>
      </c>
      <c r="U650" s="2546">
        <v>2026</v>
      </c>
      <c r="V650" s="2546">
        <v>2027</v>
      </c>
      <c r="W650" s="2546">
        <v>2028</v>
      </c>
      <c r="X650" s="2546">
        <v>2029</v>
      </c>
      <c r="Y650" s="2546">
        <v>2030</v>
      </c>
      <c r="Z650" s="2546">
        <v>2031</v>
      </c>
      <c r="AA650" s="2546">
        <v>2032</v>
      </c>
      <c r="AB650" s="2546">
        <v>2033</v>
      </c>
      <c r="AC650" s="2546">
        <v>2034</v>
      </c>
      <c r="AD650" s="2546">
        <v>2035</v>
      </c>
      <c r="AE650" s="2546">
        <v>2036</v>
      </c>
      <c r="AF650" s="2546">
        <v>2037</v>
      </c>
      <c r="AG650" s="2546">
        <v>2038</v>
      </c>
      <c r="AH650" s="2546">
        <v>2039</v>
      </c>
      <c r="AI650" s="2546">
        <v>2040</v>
      </c>
      <c r="AJ650" s="2546">
        <v>2041</v>
      </c>
      <c r="AK650" s="2546">
        <v>2042</v>
      </c>
      <c r="AL650" s="2546">
        <v>2043</v>
      </c>
      <c r="AM650" s="2546">
        <v>2044</v>
      </c>
      <c r="AN650" s="2546">
        <v>2045</v>
      </c>
      <c r="AO650" s="2546">
        <v>2046</v>
      </c>
      <c r="AP650" s="2546">
        <v>2047</v>
      </c>
      <c r="AQ650" s="2546">
        <v>2048</v>
      </c>
      <c r="AR650" s="2546">
        <v>2049</v>
      </c>
      <c r="AS650" s="2546">
        <v>2050</v>
      </c>
    </row>
    <row r="651" spans="2:45" x14ac:dyDescent="0.2">
      <c r="B651" s="2397"/>
      <c r="C651" s="2397" t="s">
        <v>236</v>
      </c>
      <c r="D651" s="2547" t="s">
        <v>1596</v>
      </c>
      <c r="E651" s="2547" t="s">
        <v>1597</v>
      </c>
      <c r="F651" s="2548"/>
      <c r="G651" s="2549">
        <f>(G613+G636)/1000</f>
        <v>2.9982539234848287</v>
      </c>
      <c r="H651" s="2549">
        <f t="shared" ref="H651:AS651" si="107">(H613+H636)/1000</f>
        <v>3.1366010145885626</v>
      </c>
      <c r="I651" s="2549">
        <f t="shared" si="107"/>
        <v>3.2857718493057719</v>
      </c>
      <c r="J651" s="2549">
        <f t="shared" si="107"/>
        <v>3.4389010267325153</v>
      </c>
      <c r="K651" s="2549">
        <f t="shared" si="107"/>
        <v>3.5930771678687621</v>
      </c>
      <c r="L651" s="2549">
        <f t="shared" si="107"/>
        <v>3.747154150440279</v>
      </c>
      <c r="M651" s="2549">
        <f t="shared" si="107"/>
        <v>3.9086195242939725</v>
      </c>
      <c r="N651" s="2549">
        <f t="shared" si="107"/>
        <v>4.0750503506270919</v>
      </c>
      <c r="O651" s="2549">
        <f t="shared" si="107"/>
        <v>4.2392356044495445</v>
      </c>
      <c r="P651" s="2549">
        <f t="shared" si="107"/>
        <v>4.3859262297453148</v>
      </c>
      <c r="Q651" s="2549">
        <f t="shared" si="107"/>
        <v>4.5336945674865676</v>
      </c>
      <c r="R651" s="2549">
        <f t="shared" si="107"/>
        <v>4.6766272224724599</v>
      </c>
      <c r="S651" s="2549">
        <f t="shared" si="107"/>
        <v>4.8160791545671655</v>
      </c>
      <c r="T651" s="2549">
        <f t="shared" si="107"/>
        <v>4.9529130700314612</v>
      </c>
      <c r="U651" s="2549">
        <f t="shared" si="107"/>
        <v>5.0876418564372461</v>
      </c>
      <c r="V651" s="2549">
        <f t="shared" si="107"/>
        <v>5.2205763009417474</v>
      </c>
      <c r="W651" s="2549">
        <f t="shared" si="107"/>
        <v>5.3519086528328135</v>
      </c>
      <c r="X651" s="2549">
        <f t="shared" si="107"/>
        <v>5.482281758832511</v>
      </c>
      <c r="Y651" s="2549">
        <f t="shared" si="107"/>
        <v>5.6121819002050293</v>
      </c>
      <c r="Z651" s="2549">
        <f t="shared" si="107"/>
        <v>5.7418523473495302</v>
      </c>
      <c r="AA651" s="2549">
        <f t="shared" si="107"/>
        <v>5.8714907813224437</v>
      </c>
      <c r="AB651" s="2549">
        <f t="shared" si="107"/>
        <v>6.0010213691863461</v>
      </c>
      <c r="AC651" s="2549">
        <f t="shared" si="107"/>
        <v>6.1305491074664102</v>
      </c>
      <c r="AD651" s="2549">
        <f t="shared" si="107"/>
        <v>6.2600763354361897</v>
      </c>
      <c r="AE651" s="2549">
        <f t="shared" si="107"/>
        <v>6.38957021540892</v>
      </c>
      <c r="AF651" s="2549">
        <f t="shared" si="107"/>
        <v>6.519046790937173</v>
      </c>
      <c r="AG651" s="2549">
        <f t="shared" si="107"/>
        <v>6.6484289636652871</v>
      </c>
      <c r="AH651" s="2549">
        <f t="shared" si="107"/>
        <v>6.7776454542601972</v>
      </c>
      <c r="AI651" s="2549">
        <f t="shared" si="107"/>
        <v>6.9065998236423072</v>
      </c>
      <c r="AJ651" s="2549">
        <f t="shared" si="107"/>
        <v>7.0228246925849431</v>
      </c>
      <c r="AK651" s="2549">
        <f t="shared" si="107"/>
        <v>7.138748116316223</v>
      </c>
      <c r="AL651" s="2549">
        <f t="shared" si="107"/>
        <v>7.2542626988963006</v>
      </c>
      <c r="AM651" s="2549">
        <f t="shared" si="107"/>
        <v>7.3692301826353273</v>
      </c>
      <c r="AN651" s="2549">
        <f t="shared" si="107"/>
        <v>7.4835421882092019</v>
      </c>
      <c r="AO651" s="2549">
        <f t="shared" si="107"/>
        <v>7.5971087625121321</v>
      </c>
      <c r="AP651" s="2549">
        <f t="shared" si="107"/>
        <v>7.70980400739111</v>
      </c>
      <c r="AQ651" s="2549">
        <f t="shared" si="107"/>
        <v>7.8215240347962798</v>
      </c>
      <c r="AR651" s="2549">
        <f t="shared" si="107"/>
        <v>7.9321675928649027</v>
      </c>
      <c r="AS651" s="2549">
        <f t="shared" si="107"/>
        <v>8.0416559644615386</v>
      </c>
    </row>
    <row r="652" spans="2:45" x14ac:dyDescent="0.2">
      <c r="B652" s="2397"/>
      <c r="C652" s="2550" t="s">
        <v>1334</v>
      </c>
      <c r="D652" s="2551" t="s">
        <v>1598</v>
      </c>
      <c r="E652" s="2551"/>
      <c r="F652" s="2552"/>
      <c r="G652" s="2553">
        <f t="shared" ref="G652:AS652" si="108">G634/1000</f>
        <v>0.74177343240000004</v>
      </c>
      <c r="H652" s="2553">
        <f t="shared" si="108"/>
        <v>8.1949253045399999</v>
      </c>
      <c r="I652" s="2553">
        <f t="shared" si="108"/>
        <v>15.611944256837496</v>
      </c>
      <c r="J652" s="2553">
        <f t="shared" si="108"/>
        <v>23.006737470437507</v>
      </c>
      <c r="K652" s="2553">
        <f t="shared" si="108"/>
        <v>30.389162605034997</v>
      </c>
      <c r="L652" s="2553">
        <f t="shared" si="108"/>
        <v>37.759169246239999</v>
      </c>
      <c r="M652" s="2553">
        <f t="shared" si="108"/>
        <v>45.118750576185008</v>
      </c>
      <c r="N652" s="2553">
        <f t="shared" si="108"/>
        <v>52.489322345362496</v>
      </c>
      <c r="O652" s="2553">
        <f t="shared" si="108"/>
        <v>59.857928000000008</v>
      </c>
      <c r="P652" s="2553">
        <f t="shared" si="108"/>
        <v>62.83225221</v>
      </c>
      <c r="Q652" s="2553">
        <f t="shared" si="108"/>
        <v>65.811480020000005</v>
      </c>
      <c r="R652" s="2553">
        <f t="shared" si="108"/>
        <v>68.789952270000015</v>
      </c>
      <c r="S652" s="2553">
        <f t="shared" si="108"/>
        <v>71.773415999999997</v>
      </c>
      <c r="T652" s="2553">
        <f t="shared" si="108"/>
        <v>74.761989249999999</v>
      </c>
      <c r="U652" s="2553">
        <f t="shared" si="108"/>
        <v>77.748994180000011</v>
      </c>
      <c r="V652" s="2553">
        <f t="shared" si="108"/>
        <v>80.736507540000005</v>
      </c>
      <c r="W652" s="2553">
        <f t="shared" si="108"/>
        <v>83.729387560000006</v>
      </c>
      <c r="X652" s="2553">
        <f t="shared" si="108"/>
        <v>86.720736959999982</v>
      </c>
      <c r="Y652" s="2553">
        <f t="shared" si="108"/>
        <v>89.718435299999996</v>
      </c>
      <c r="Z652" s="2553">
        <f t="shared" si="108"/>
        <v>92.715002119999994</v>
      </c>
      <c r="AA652" s="2553">
        <f t="shared" si="108"/>
        <v>95.71856320000002</v>
      </c>
      <c r="AB652" s="2553">
        <f t="shared" si="108"/>
        <v>98.721136800000011</v>
      </c>
      <c r="AC652" s="2553">
        <f t="shared" si="108"/>
        <v>101.731604</v>
      </c>
      <c r="AD652" s="2553">
        <f t="shared" si="108"/>
        <v>104.74599134999998</v>
      </c>
      <c r="AE652" s="2553">
        <f t="shared" si="108"/>
        <v>107.76004668</v>
      </c>
      <c r="AF652" s="2553">
        <f t="shared" si="108"/>
        <v>110.78315521000003</v>
      </c>
      <c r="AG652" s="2553">
        <f t="shared" si="108"/>
        <v>113.81125704000002</v>
      </c>
      <c r="AH652" s="2553">
        <f t="shared" si="108"/>
        <v>116.84421879000001</v>
      </c>
      <c r="AI652" s="2553">
        <f t="shared" si="108"/>
        <v>119.87775800000001</v>
      </c>
      <c r="AJ652" s="2553">
        <f t="shared" si="108"/>
        <v>119.92378840000001</v>
      </c>
      <c r="AK652" s="2553">
        <f t="shared" si="108"/>
        <v>119.97363560000001</v>
      </c>
      <c r="AL652" s="2553">
        <f t="shared" si="108"/>
        <v>120.02710720000002</v>
      </c>
      <c r="AM652" s="2553">
        <f t="shared" si="108"/>
        <v>120.08428640000001</v>
      </c>
      <c r="AN652" s="2553">
        <f t="shared" si="108"/>
        <v>120.14542280000002</v>
      </c>
      <c r="AO652" s="2553">
        <f t="shared" si="108"/>
        <v>120.21017839999999</v>
      </c>
      <c r="AP652" s="2553">
        <f t="shared" si="108"/>
        <v>120.2791876</v>
      </c>
      <c r="AQ652" s="2553">
        <f t="shared" si="108"/>
        <v>120.35201359999999</v>
      </c>
      <c r="AR652" s="2553">
        <f t="shared" si="108"/>
        <v>120.42880720000001</v>
      </c>
      <c r="AS652" s="2553">
        <f t="shared" si="108"/>
        <v>120.51505440000001</v>
      </c>
    </row>
    <row r="653" spans="2:45" x14ac:dyDescent="0.2">
      <c r="B653" s="2554"/>
      <c r="C653" s="2554"/>
      <c r="D653" s="2554"/>
      <c r="E653" s="2554"/>
      <c r="F653" s="2554"/>
      <c r="G653" s="2554"/>
      <c r="H653" s="2554"/>
      <c r="I653" s="2554"/>
      <c r="J653" s="2554"/>
      <c r="K653" s="2554"/>
      <c r="L653" s="2554"/>
      <c r="M653" s="2554"/>
      <c r="N653" s="2554"/>
      <c r="O653" s="2554"/>
      <c r="P653" s="2554"/>
      <c r="Q653" s="2554"/>
      <c r="R653" s="2554"/>
      <c r="S653" s="2554"/>
      <c r="T653" s="2554"/>
      <c r="U653" s="2554"/>
      <c r="V653" s="2554"/>
      <c r="W653" s="2554"/>
      <c r="X653" s="2554"/>
      <c r="Y653" s="2554"/>
      <c r="Z653" s="2554"/>
      <c r="AA653" s="2554"/>
      <c r="AB653" s="2554"/>
      <c r="AC653" s="2554"/>
      <c r="AD653" s="2554"/>
      <c r="AE653" s="2554"/>
      <c r="AF653" s="2554"/>
      <c r="AG653" s="2554"/>
      <c r="AH653" s="2554"/>
      <c r="AI653" s="2554"/>
      <c r="AJ653" s="2554"/>
      <c r="AK653" s="2554"/>
      <c r="AL653" s="2554"/>
      <c r="AM653" s="2554"/>
      <c r="AN653" s="2554"/>
      <c r="AO653" s="2554"/>
      <c r="AP653" s="2554"/>
      <c r="AQ653" s="2554"/>
      <c r="AR653" s="2554"/>
      <c r="AS653" s="2554"/>
    </row>
    <row r="654" spans="2:45" x14ac:dyDescent="0.2">
      <c r="B654" s="2554"/>
      <c r="C654" s="2554"/>
      <c r="D654" s="2554"/>
      <c r="E654" s="2554"/>
      <c r="F654" s="2554"/>
      <c r="G654" s="2554"/>
      <c r="H654" s="2554"/>
      <c r="I654" s="2554"/>
      <c r="J654" s="2554"/>
      <c r="K654" s="2554"/>
      <c r="L654" s="2554"/>
      <c r="M654" s="2554"/>
      <c r="N654" s="2554"/>
      <c r="O654" s="2554"/>
      <c r="P654" s="2554"/>
      <c r="Q654" s="2554"/>
      <c r="R654" s="2554"/>
      <c r="S654" s="2554"/>
      <c r="T654" s="2554"/>
      <c r="U654" s="2554"/>
      <c r="V654" s="2554"/>
      <c r="W654" s="2554"/>
      <c r="X654" s="2554"/>
      <c r="Y654" s="2554"/>
      <c r="Z654" s="2554"/>
      <c r="AA654" s="2554"/>
      <c r="AB654" s="2554"/>
      <c r="AC654" s="2554"/>
      <c r="AD654" s="2554"/>
      <c r="AE654" s="2554"/>
      <c r="AF654" s="2554"/>
      <c r="AG654" s="2554"/>
      <c r="AH654" s="2554"/>
      <c r="AI654" s="2554"/>
      <c r="AJ654" s="2554"/>
      <c r="AK654" s="2554"/>
      <c r="AL654" s="2554"/>
      <c r="AM654" s="2554"/>
      <c r="AN654" s="2554"/>
      <c r="AO654" s="2554"/>
      <c r="AP654" s="2554"/>
      <c r="AQ654" s="2554"/>
      <c r="AR654" s="2554"/>
      <c r="AS654" s="2554"/>
    </row>
    <row r="655" spans="2:45" x14ac:dyDescent="0.2">
      <c r="B655" s="2397"/>
      <c r="C655" s="2187" t="s">
        <v>1599</v>
      </c>
      <c r="D655" s="2399"/>
      <c r="E655" s="2400"/>
      <c r="F655" s="2400"/>
      <c r="G655" s="2400"/>
      <c r="H655" s="2400"/>
      <c r="I655" s="2400"/>
      <c r="J655" s="2400"/>
      <c r="K655" s="2400"/>
      <c r="L655" s="2400"/>
      <c r="M655" s="2400"/>
      <c r="N655" s="2400"/>
      <c r="O655" s="2400"/>
      <c r="P655" s="2400"/>
      <c r="Q655" s="2400"/>
      <c r="R655" s="2400"/>
      <c r="S655" s="2400"/>
      <c r="T655" s="2400"/>
      <c r="U655" s="2400"/>
      <c r="V655" s="2400"/>
      <c r="W655" s="2400"/>
      <c r="X655" s="2400"/>
      <c r="Y655" s="2400"/>
      <c r="Z655" s="2400"/>
      <c r="AA655" s="2400"/>
      <c r="AB655" s="2400"/>
      <c r="AC655" s="2400"/>
      <c r="AD655" s="2400"/>
      <c r="AE655" s="2400"/>
      <c r="AF655" s="2400"/>
      <c r="AG655" s="2400"/>
      <c r="AH655" s="2400"/>
      <c r="AI655" s="2400"/>
      <c r="AJ655" s="2400"/>
      <c r="AK655" s="2400"/>
      <c r="AL655" s="2400"/>
      <c r="AM655" s="2400"/>
      <c r="AN655" s="2400"/>
      <c r="AO655" s="2400"/>
      <c r="AP655" s="2400"/>
      <c r="AQ655" s="2400"/>
      <c r="AR655" s="2400"/>
      <c r="AS655" s="2400"/>
    </row>
    <row r="656" spans="2:45" x14ac:dyDescent="0.2">
      <c r="B656" s="2397"/>
      <c r="C656" s="2555" t="s">
        <v>146</v>
      </c>
      <c r="D656" s="2555" t="s">
        <v>242</v>
      </c>
      <c r="E656" s="2546" t="s">
        <v>8</v>
      </c>
      <c r="F656" s="2556"/>
      <c r="G656" s="2546">
        <v>2012</v>
      </c>
      <c r="H656" s="2546">
        <v>2013</v>
      </c>
      <c r="I656" s="2546">
        <v>2014</v>
      </c>
      <c r="J656" s="2546">
        <v>2015</v>
      </c>
      <c r="K656" s="2546">
        <v>2016</v>
      </c>
      <c r="L656" s="2546">
        <v>2017</v>
      </c>
      <c r="M656" s="2546">
        <v>2018</v>
      </c>
      <c r="N656" s="2546">
        <v>2019</v>
      </c>
      <c r="O656" s="2546">
        <v>2020</v>
      </c>
      <c r="P656" s="2546">
        <v>2021</v>
      </c>
      <c r="Q656" s="2546">
        <v>2022</v>
      </c>
      <c r="R656" s="2546">
        <v>2023</v>
      </c>
      <c r="S656" s="2546">
        <v>2024</v>
      </c>
      <c r="T656" s="2546">
        <v>2025</v>
      </c>
      <c r="U656" s="2546">
        <v>2026</v>
      </c>
      <c r="V656" s="2546">
        <v>2027</v>
      </c>
      <c r="W656" s="2546">
        <v>2028</v>
      </c>
      <c r="X656" s="2546">
        <v>2029</v>
      </c>
      <c r="Y656" s="2546">
        <v>2030</v>
      </c>
      <c r="Z656" s="2546">
        <v>2031</v>
      </c>
      <c r="AA656" s="2546">
        <v>2032</v>
      </c>
      <c r="AB656" s="2546">
        <v>2033</v>
      </c>
      <c r="AC656" s="2546">
        <v>2034</v>
      </c>
      <c r="AD656" s="2546">
        <v>2035</v>
      </c>
      <c r="AE656" s="2546">
        <v>2036</v>
      </c>
      <c r="AF656" s="2546">
        <v>2037</v>
      </c>
      <c r="AG656" s="2546">
        <v>2038</v>
      </c>
      <c r="AH656" s="2546">
        <v>2039</v>
      </c>
      <c r="AI656" s="2546">
        <v>2040</v>
      </c>
      <c r="AJ656" s="2546">
        <v>2041</v>
      </c>
      <c r="AK656" s="2546">
        <v>2042</v>
      </c>
      <c r="AL656" s="2546">
        <v>2043</v>
      </c>
      <c r="AM656" s="2546">
        <v>2044</v>
      </c>
      <c r="AN656" s="2546">
        <v>2045</v>
      </c>
      <c r="AO656" s="2546">
        <v>2046</v>
      </c>
      <c r="AP656" s="2546">
        <v>2047</v>
      </c>
      <c r="AQ656" s="2546">
        <v>2048</v>
      </c>
      <c r="AR656" s="2546">
        <v>2049</v>
      </c>
      <c r="AS656" s="2546">
        <v>2050</v>
      </c>
    </row>
    <row r="657" spans="2:45" x14ac:dyDescent="0.2">
      <c r="B657" s="2397"/>
      <c r="C657" s="2397"/>
      <c r="D657" s="2547" t="s">
        <v>1600</v>
      </c>
      <c r="E657" s="2399"/>
      <c r="F657" s="2548" t="s">
        <v>1601</v>
      </c>
      <c r="G657" s="2557">
        <f t="shared" ref="G657:AS657" si="109">+G384/10^6</f>
        <v>234.98445545442337</v>
      </c>
      <c r="H657" s="2554">
        <f t="shared" si="109"/>
        <v>234.39995089988096</v>
      </c>
      <c r="I657" s="2554">
        <f t="shared" si="109"/>
        <v>235.17182426398568</v>
      </c>
      <c r="J657" s="2554">
        <f t="shared" si="109"/>
        <v>235.28223054060004</v>
      </c>
      <c r="K657" s="2554">
        <f t="shared" si="109"/>
        <v>234.95286238020549</v>
      </c>
      <c r="L657" s="2554">
        <f t="shared" si="109"/>
        <v>234.14960959461064</v>
      </c>
      <c r="M657" s="2554">
        <f t="shared" si="109"/>
        <v>232.73657366854971</v>
      </c>
      <c r="N657" s="2554">
        <f t="shared" si="109"/>
        <v>231.39564440680485</v>
      </c>
      <c r="O657" s="2554">
        <f t="shared" si="109"/>
        <v>230.11567607845811</v>
      </c>
      <c r="P657" s="2554">
        <f t="shared" si="109"/>
        <v>228.84874778369866</v>
      </c>
      <c r="Q657" s="2554">
        <f t="shared" si="109"/>
        <v>227.52455140048576</v>
      </c>
      <c r="R657" s="2554">
        <f t="shared" si="109"/>
        <v>226.50454797827945</v>
      </c>
      <c r="S657" s="2554">
        <f t="shared" si="109"/>
        <v>225.72572401621812</v>
      </c>
      <c r="T657" s="2554">
        <f t="shared" si="109"/>
        <v>225.13837307125138</v>
      </c>
      <c r="U657" s="2554">
        <f t="shared" si="109"/>
        <v>224.70314430301204</v>
      </c>
      <c r="V657" s="2554">
        <f t="shared" si="109"/>
        <v>224.3887660005428</v>
      </c>
      <c r="W657" s="2554">
        <f t="shared" si="109"/>
        <v>224.17037141957067</v>
      </c>
      <c r="X657" s="2554">
        <f t="shared" si="109"/>
        <v>224.02899772549972</v>
      </c>
      <c r="Y657" s="2554">
        <f t="shared" si="109"/>
        <v>223.94945332473102</v>
      </c>
      <c r="Z657" s="2554">
        <f t="shared" si="109"/>
        <v>223.91952133085096</v>
      </c>
      <c r="AA657" s="2554">
        <f t="shared" si="109"/>
        <v>223.92938686114567</v>
      </c>
      <c r="AB657" s="2554">
        <f t="shared" si="109"/>
        <v>223.97097288389423</v>
      </c>
      <c r="AC657" s="2554">
        <f t="shared" si="109"/>
        <v>224.03797994490631</v>
      </c>
      <c r="AD657" s="2554">
        <f t="shared" si="109"/>
        <v>224.12532736634944</v>
      </c>
      <c r="AE657" s="2554">
        <f t="shared" si="109"/>
        <v>224.22891288931638</v>
      </c>
      <c r="AF657" s="2554">
        <f t="shared" si="109"/>
        <v>224.34544182522285</v>
      </c>
      <c r="AG657" s="2554">
        <f t="shared" si="109"/>
        <v>224.47222083519893</v>
      </c>
      <c r="AH657" s="2554">
        <f t="shared" si="109"/>
        <v>224.60706372118989</v>
      </c>
      <c r="AI657" s="2554">
        <f t="shared" si="109"/>
        <v>224.74819061338735</v>
      </c>
      <c r="AJ657" s="2554">
        <f t="shared" si="109"/>
        <v>224.89438786059526</v>
      </c>
      <c r="AK657" s="2554">
        <f t="shared" si="109"/>
        <v>225.04439360347916</v>
      </c>
      <c r="AL657" s="2554">
        <f t="shared" si="109"/>
        <v>225.19720103447793</v>
      </c>
      <c r="AM657" s="2554">
        <f t="shared" si="109"/>
        <v>225.35192767296499</v>
      </c>
      <c r="AN657" s="2554">
        <f t="shared" si="109"/>
        <v>225.50786959857251</v>
      </c>
      <c r="AO657" s="2554">
        <f t="shared" si="109"/>
        <v>225.66446218951651</v>
      </c>
      <c r="AP657" s="2554">
        <f t="shared" si="109"/>
        <v>225.82117031636443</v>
      </c>
      <c r="AQ657" s="2554">
        <f t="shared" si="109"/>
        <v>225.97756697241002</v>
      </c>
      <c r="AR657" s="2554">
        <f t="shared" si="109"/>
        <v>226.13328127213717</v>
      </c>
      <c r="AS657" s="2554">
        <f t="shared" si="109"/>
        <v>226.28798722198815</v>
      </c>
    </row>
    <row r="658" spans="2:45" x14ac:dyDescent="0.2">
      <c r="B658" s="2397"/>
      <c r="C658" s="2399"/>
      <c r="D658" s="2547" t="s">
        <v>1602</v>
      </c>
      <c r="E658" s="2399"/>
      <c r="F658" s="2548" t="s">
        <v>1601</v>
      </c>
      <c r="G658" s="2558">
        <f>G392/1000000</f>
        <v>4.0544789999999997</v>
      </c>
      <c r="H658" s="2559">
        <f t="shared" ref="H658:AS658" si="110">H392/10^6</f>
        <v>4.0301429999999998</v>
      </c>
      <c r="I658" s="2554">
        <f t="shared" si="110"/>
        <v>3.9358410000000004</v>
      </c>
      <c r="J658" s="2554">
        <f t="shared" si="110"/>
        <v>3.8158509999999999</v>
      </c>
      <c r="K658" s="2554">
        <f t="shared" si="110"/>
        <v>3.6869040000000002</v>
      </c>
      <c r="L658" s="2554">
        <f t="shared" si="110"/>
        <v>3.5557599999999994</v>
      </c>
      <c r="M658" s="2554">
        <f t="shared" si="110"/>
        <v>3.4249539999999996</v>
      </c>
      <c r="N658" s="2554">
        <f t="shared" si="110"/>
        <v>3.4249539999999996</v>
      </c>
      <c r="O658" s="2554">
        <f t="shared" si="110"/>
        <v>3.4249539999999996</v>
      </c>
      <c r="P658" s="2554">
        <f t="shared" si="110"/>
        <v>3.4249539999999996</v>
      </c>
      <c r="Q658" s="2554">
        <f t="shared" si="110"/>
        <v>3.4249539999999996</v>
      </c>
      <c r="R658" s="2554">
        <f t="shared" si="110"/>
        <v>3.4249539999999996</v>
      </c>
      <c r="S658" s="2554">
        <f t="shared" si="110"/>
        <v>3.4249539999999996</v>
      </c>
      <c r="T658" s="2554">
        <f t="shared" si="110"/>
        <v>3.4249539999999996</v>
      </c>
      <c r="U658" s="2554">
        <f t="shared" si="110"/>
        <v>3.4249539999999996</v>
      </c>
      <c r="V658" s="2554">
        <f t="shared" si="110"/>
        <v>3.4249539999999996</v>
      </c>
      <c r="W658" s="2554">
        <f t="shared" si="110"/>
        <v>3.4249539999999996</v>
      </c>
      <c r="X658" s="2554">
        <f t="shared" si="110"/>
        <v>3.4249539999999996</v>
      </c>
      <c r="Y658" s="2554">
        <f t="shared" si="110"/>
        <v>3.4249539999999996</v>
      </c>
      <c r="Z658" s="2554">
        <f t="shared" si="110"/>
        <v>3.4249539999999996</v>
      </c>
      <c r="AA658" s="2554">
        <f t="shared" si="110"/>
        <v>3.4249539999999996</v>
      </c>
      <c r="AB658" s="2554">
        <f t="shared" si="110"/>
        <v>3.4249539999999996</v>
      </c>
      <c r="AC658" s="2554">
        <f t="shared" si="110"/>
        <v>3.4249539999999996</v>
      </c>
      <c r="AD658" s="2554">
        <f t="shared" si="110"/>
        <v>3.4249539999999996</v>
      </c>
      <c r="AE658" s="2554">
        <f t="shared" si="110"/>
        <v>3.4249539999999996</v>
      </c>
      <c r="AF658" s="2554">
        <f t="shared" si="110"/>
        <v>3.4249539999999996</v>
      </c>
      <c r="AG658" s="2554">
        <f t="shared" si="110"/>
        <v>3.4249539999999996</v>
      </c>
      <c r="AH658" s="2554">
        <f t="shared" si="110"/>
        <v>3.4249539999999996</v>
      </c>
      <c r="AI658" s="2554">
        <f t="shared" si="110"/>
        <v>3.4249539999999996</v>
      </c>
      <c r="AJ658" s="2554">
        <f t="shared" si="110"/>
        <v>3.4249539999999996</v>
      </c>
      <c r="AK658" s="2554">
        <f t="shared" si="110"/>
        <v>3.4249539999999996</v>
      </c>
      <c r="AL658" s="2554">
        <f t="shared" si="110"/>
        <v>3.4249539999999996</v>
      </c>
      <c r="AM658" s="2554">
        <f t="shared" si="110"/>
        <v>3.4249539999999996</v>
      </c>
      <c r="AN658" s="2554">
        <f t="shared" si="110"/>
        <v>3.4249539999999996</v>
      </c>
      <c r="AO658" s="2554">
        <f t="shared" si="110"/>
        <v>3.4249539999999996</v>
      </c>
      <c r="AP658" s="2554">
        <f t="shared" si="110"/>
        <v>3.4249539999999996</v>
      </c>
      <c r="AQ658" s="2554">
        <f t="shared" si="110"/>
        <v>3.4249539999999996</v>
      </c>
      <c r="AR658" s="2554">
        <f t="shared" si="110"/>
        <v>3.4249539999999996</v>
      </c>
      <c r="AS658" s="2554">
        <f t="shared" si="110"/>
        <v>3.4249539999999996</v>
      </c>
    </row>
    <row r="659" spans="2:45" x14ac:dyDescent="0.2">
      <c r="B659" s="2397"/>
      <c r="C659" s="2399"/>
      <c r="D659" s="2547" t="s">
        <v>1603</v>
      </c>
      <c r="E659" s="2399"/>
      <c r="F659" s="2548" t="s">
        <v>1601</v>
      </c>
      <c r="G659" s="2554">
        <f>G660+G665</f>
        <v>0</v>
      </c>
      <c r="H659" s="2554">
        <f t="shared" ref="H659:AS659" si="111">H660+H665</f>
        <v>0</v>
      </c>
      <c r="I659" s="2554">
        <f t="shared" si="111"/>
        <v>0</v>
      </c>
      <c r="J659" s="2554">
        <f t="shared" si="111"/>
        <v>0</v>
      </c>
      <c r="K659" s="2554">
        <f t="shared" si="111"/>
        <v>0</v>
      </c>
      <c r="L659" s="2554">
        <f t="shared" si="111"/>
        <v>0</v>
      </c>
      <c r="M659" s="2554">
        <f t="shared" si="111"/>
        <v>0</v>
      </c>
      <c r="N659" s="2554">
        <f t="shared" si="111"/>
        <v>0</v>
      </c>
      <c r="O659" s="2554">
        <f t="shared" si="111"/>
        <v>0</v>
      </c>
      <c r="P659" s="2554">
        <f t="shared" si="111"/>
        <v>0</v>
      </c>
      <c r="Q659" s="2554">
        <f t="shared" si="111"/>
        <v>0</v>
      </c>
      <c r="R659" s="2554">
        <f t="shared" si="111"/>
        <v>0</v>
      </c>
      <c r="S659" s="2554">
        <f t="shared" si="111"/>
        <v>0</v>
      </c>
      <c r="T659" s="2554">
        <f t="shared" si="111"/>
        <v>0</v>
      </c>
      <c r="U659" s="2554">
        <f t="shared" si="111"/>
        <v>0</v>
      </c>
      <c r="V659" s="2554">
        <f t="shared" si="111"/>
        <v>0</v>
      </c>
      <c r="W659" s="2554">
        <f t="shared" si="111"/>
        <v>0</v>
      </c>
      <c r="X659" s="2554">
        <f t="shared" si="111"/>
        <v>0</v>
      </c>
      <c r="Y659" s="2554">
        <f t="shared" si="111"/>
        <v>0</v>
      </c>
      <c r="Z659" s="2554">
        <f t="shared" si="111"/>
        <v>0</v>
      </c>
      <c r="AA659" s="2554">
        <f t="shared" si="111"/>
        <v>0</v>
      </c>
      <c r="AB659" s="2554">
        <f t="shared" si="111"/>
        <v>0</v>
      </c>
      <c r="AC659" s="2554">
        <f t="shared" si="111"/>
        <v>0</v>
      </c>
      <c r="AD659" s="2554">
        <f t="shared" si="111"/>
        <v>0</v>
      </c>
      <c r="AE659" s="2554">
        <f t="shared" si="111"/>
        <v>0</v>
      </c>
      <c r="AF659" s="2554">
        <f t="shared" si="111"/>
        <v>0</v>
      </c>
      <c r="AG659" s="2554">
        <f t="shared" si="111"/>
        <v>0</v>
      </c>
      <c r="AH659" s="2554">
        <f t="shared" si="111"/>
        <v>0</v>
      </c>
      <c r="AI659" s="2554">
        <f t="shared" si="111"/>
        <v>0</v>
      </c>
      <c r="AJ659" s="2554">
        <f t="shared" si="111"/>
        <v>0</v>
      </c>
      <c r="AK659" s="2554">
        <f t="shared" si="111"/>
        <v>0</v>
      </c>
      <c r="AL659" s="2554">
        <f t="shared" si="111"/>
        <v>0</v>
      </c>
      <c r="AM659" s="2554">
        <f t="shared" si="111"/>
        <v>0</v>
      </c>
      <c r="AN659" s="2554">
        <f t="shared" si="111"/>
        <v>0</v>
      </c>
      <c r="AO659" s="2554">
        <f t="shared" si="111"/>
        <v>0</v>
      </c>
      <c r="AP659" s="2554">
        <f t="shared" si="111"/>
        <v>0</v>
      </c>
      <c r="AQ659" s="2554">
        <f t="shared" si="111"/>
        <v>0</v>
      </c>
      <c r="AR659" s="2554">
        <f t="shared" si="111"/>
        <v>0</v>
      </c>
      <c r="AS659" s="2554">
        <f t="shared" si="111"/>
        <v>0</v>
      </c>
    </row>
    <row r="660" spans="2:45" x14ac:dyDescent="0.2">
      <c r="B660" s="2397"/>
      <c r="C660" s="2399"/>
      <c r="D660" s="2560" t="s">
        <v>1398</v>
      </c>
      <c r="E660" s="2399"/>
      <c r="F660" s="2548" t="s">
        <v>1601</v>
      </c>
      <c r="G660" s="2554">
        <f>G661+G662+G663+G664</f>
        <v>0</v>
      </c>
      <c r="H660" s="2554">
        <f t="shared" ref="H660:AS660" si="112">H661+H662+H663+H664</f>
        <v>0</v>
      </c>
      <c r="I660" s="2554">
        <f t="shared" si="112"/>
        <v>0</v>
      </c>
      <c r="J660" s="2554">
        <f t="shared" si="112"/>
        <v>0</v>
      </c>
      <c r="K660" s="2554">
        <f t="shared" si="112"/>
        <v>0</v>
      </c>
      <c r="L660" s="2554">
        <f t="shared" si="112"/>
        <v>0</v>
      </c>
      <c r="M660" s="2554">
        <f t="shared" si="112"/>
        <v>0</v>
      </c>
      <c r="N660" s="2554">
        <f t="shared" si="112"/>
        <v>0</v>
      </c>
      <c r="O660" s="2554">
        <f t="shared" si="112"/>
        <v>0</v>
      </c>
      <c r="P660" s="2554">
        <f t="shared" si="112"/>
        <v>0</v>
      </c>
      <c r="Q660" s="2554">
        <f t="shared" si="112"/>
        <v>0</v>
      </c>
      <c r="R660" s="2554">
        <f t="shared" si="112"/>
        <v>0</v>
      </c>
      <c r="S660" s="2554">
        <f t="shared" si="112"/>
        <v>0</v>
      </c>
      <c r="T660" s="2554">
        <f t="shared" si="112"/>
        <v>0</v>
      </c>
      <c r="U660" s="2554">
        <f t="shared" si="112"/>
        <v>0</v>
      </c>
      <c r="V660" s="2554">
        <f t="shared" si="112"/>
        <v>0</v>
      </c>
      <c r="W660" s="2554">
        <f t="shared" si="112"/>
        <v>0</v>
      </c>
      <c r="X660" s="2554">
        <f t="shared" si="112"/>
        <v>0</v>
      </c>
      <c r="Y660" s="2554">
        <f t="shared" si="112"/>
        <v>0</v>
      </c>
      <c r="Z660" s="2554">
        <f t="shared" si="112"/>
        <v>0</v>
      </c>
      <c r="AA660" s="2554">
        <f t="shared" si="112"/>
        <v>0</v>
      </c>
      <c r="AB660" s="2554">
        <f t="shared" si="112"/>
        <v>0</v>
      </c>
      <c r="AC660" s="2554">
        <f t="shared" si="112"/>
        <v>0</v>
      </c>
      <c r="AD660" s="2554">
        <f t="shared" si="112"/>
        <v>0</v>
      </c>
      <c r="AE660" s="2554">
        <f t="shared" si="112"/>
        <v>0</v>
      </c>
      <c r="AF660" s="2554">
        <f t="shared" si="112"/>
        <v>0</v>
      </c>
      <c r="AG660" s="2554">
        <f t="shared" si="112"/>
        <v>0</v>
      </c>
      <c r="AH660" s="2554">
        <f t="shared" si="112"/>
        <v>0</v>
      </c>
      <c r="AI660" s="2554">
        <f t="shared" si="112"/>
        <v>0</v>
      </c>
      <c r="AJ660" s="2554">
        <f t="shared" si="112"/>
        <v>0</v>
      </c>
      <c r="AK660" s="2554">
        <f t="shared" si="112"/>
        <v>0</v>
      </c>
      <c r="AL660" s="2554">
        <f t="shared" si="112"/>
        <v>0</v>
      </c>
      <c r="AM660" s="2554">
        <f t="shared" si="112"/>
        <v>0</v>
      </c>
      <c r="AN660" s="2554">
        <f t="shared" si="112"/>
        <v>0</v>
      </c>
      <c r="AO660" s="2554">
        <f t="shared" si="112"/>
        <v>0</v>
      </c>
      <c r="AP660" s="2554">
        <f t="shared" si="112"/>
        <v>0</v>
      </c>
      <c r="AQ660" s="2554">
        <f t="shared" si="112"/>
        <v>0</v>
      </c>
      <c r="AR660" s="2554">
        <f t="shared" si="112"/>
        <v>0</v>
      </c>
      <c r="AS660" s="2554">
        <f t="shared" si="112"/>
        <v>0</v>
      </c>
    </row>
    <row r="661" spans="2:45" x14ac:dyDescent="0.2">
      <c r="B661" s="2397"/>
      <c r="C661" s="2399"/>
      <c r="D661" s="2561" t="s">
        <v>1604</v>
      </c>
      <c r="E661" s="2399"/>
      <c r="F661" s="2548" t="s">
        <v>1601</v>
      </c>
      <c r="G661" s="2554">
        <v>0</v>
      </c>
      <c r="H661" s="2554">
        <v>0</v>
      </c>
      <c r="I661" s="2554">
        <v>0</v>
      </c>
      <c r="J661" s="2554">
        <v>0</v>
      </c>
      <c r="K661" s="2554">
        <v>0</v>
      </c>
      <c r="L661" s="2554">
        <v>0</v>
      </c>
      <c r="M661" s="2554">
        <v>0</v>
      </c>
      <c r="N661" s="2554">
        <v>0</v>
      </c>
      <c r="O661" s="2554">
        <v>0</v>
      </c>
      <c r="P661" s="2554">
        <v>0</v>
      </c>
      <c r="Q661" s="2554">
        <v>0</v>
      </c>
      <c r="R661" s="2554">
        <v>0</v>
      </c>
      <c r="S661" s="2554">
        <v>0</v>
      </c>
      <c r="T661" s="2554">
        <v>0</v>
      </c>
      <c r="U661" s="2554">
        <v>0</v>
      </c>
      <c r="V661" s="2554">
        <v>0</v>
      </c>
      <c r="W661" s="2554">
        <v>0</v>
      </c>
      <c r="X661" s="2554">
        <v>0</v>
      </c>
      <c r="Y661" s="2554">
        <v>0</v>
      </c>
      <c r="Z661" s="2554">
        <v>0</v>
      </c>
      <c r="AA661" s="2554">
        <v>0</v>
      </c>
      <c r="AB661" s="2554">
        <v>0</v>
      </c>
      <c r="AC661" s="2554">
        <v>0</v>
      </c>
      <c r="AD661" s="2554">
        <v>0</v>
      </c>
      <c r="AE661" s="2554">
        <v>0</v>
      </c>
      <c r="AF661" s="2554">
        <v>0</v>
      </c>
      <c r="AG661" s="2554">
        <v>0</v>
      </c>
      <c r="AH661" s="2554">
        <v>0</v>
      </c>
      <c r="AI661" s="2554">
        <v>0</v>
      </c>
      <c r="AJ661" s="2554">
        <v>0</v>
      </c>
      <c r="AK661" s="2554">
        <v>0</v>
      </c>
      <c r="AL661" s="2554">
        <v>0</v>
      </c>
      <c r="AM661" s="2554">
        <v>0</v>
      </c>
      <c r="AN661" s="2554">
        <v>0</v>
      </c>
      <c r="AO661" s="2554">
        <v>0</v>
      </c>
      <c r="AP661" s="2554">
        <v>0</v>
      </c>
      <c r="AQ661" s="2554">
        <v>0</v>
      </c>
      <c r="AR661" s="2554">
        <v>0</v>
      </c>
      <c r="AS661" s="2554">
        <v>0</v>
      </c>
    </row>
    <row r="662" spans="2:45" x14ac:dyDescent="0.2">
      <c r="B662" s="2397"/>
      <c r="C662" s="2399"/>
      <c r="D662" s="2561" t="s">
        <v>1605</v>
      </c>
      <c r="E662" s="2399"/>
      <c r="F662" s="2548" t="s">
        <v>1601</v>
      </c>
      <c r="G662" s="2554">
        <v>0</v>
      </c>
      <c r="H662" s="2554">
        <v>0</v>
      </c>
      <c r="I662" s="2554">
        <v>0</v>
      </c>
      <c r="J662" s="2554">
        <v>0</v>
      </c>
      <c r="K662" s="2554">
        <v>0</v>
      </c>
      <c r="L662" s="2554">
        <v>0</v>
      </c>
      <c r="M662" s="2554">
        <v>0</v>
      </c>
      <c r="N662" s="2554">
        <v>0</v>
      </c>
      <c r="O662" s="2554">
        <v>0</v>
      </c>
      <c r="P662" s="2554">
        <v>0</v>
      </c>
      <c r="Q662" s="2554">
        <v>0</v>
      </c>
      <c r="R662" s="2554">
        <v>0</v>
      </c>
      <c r="S662" s="2554">
        <v>0</v>
      </c>
      <c r="T662" s="2554">
        <v>0</v>
      </c>
      <c r="U662" s="2554">
        <v>0</v>
      </c>
      <c r="V662" s="2554">
        <v>0</v>
      </c>
      <c r="W662" s="2554">
        <v>0</v>
      </c>
      <c r="X662" s="2554">
        <v>0</v>
      </c>
      <c r="Y662" s="2554">
        <v>0</v>
      </c>
      <c r="Z662" s="2554">
        <v>0</v>
      </c>
      <c r="AA662" s="2554">
        <v>0</v>
      </c>
      <c r="AB662" s="2554">
        <v>0</v>
      </c>
      <c r="AC662" s="2554">
        <v>0</v>
      </c>
      <c r="AD662" s="2554">
        <v>0</v>
      </c>
      <c r="AE662" s="2554">
        <v>0</v>
      </c>
      <c r="AF662" s="2554">
        <v>0</v>
      </c>
      <c r="AG662" s="2554">
        <v>0</v>
      </c>
      <c r="AH662" s="2554">
        <v>0</v>
      </c>
      <c r="AI662" s="2554">
        <v>0</v>
      </c>
      <c r="AJ662" s="2554">
        <v>0</v>
      </c>
      <c r="AK662" s="2554">
        <v>0</v>
      </c>
      <c r="AL662" s="2554">
        <v>0</v>
      </c>
      <c r="AM662" s="2554">
        <v>0</v>
      </c>
      <c r="AN662" s="2554">
        <v>0</v>
      </c>
      <c r="AO662" s="2554">
        <v>0</v>
      </c>
      <c r="AP662" s="2554">
        <v>0</v>
      </c>
      <c r="AQ662" s="2554">
        <v>0</v>
      </c>
      <c r="AR662" s="2554">
        <v>0</v>
      </c>
      <c r="AS662" s="2554">
        <v>0</v>
      </c>
    </row>
    <row r="663" spans="2:45" x14ac:dyDescent="0.2">
      <c r="B663" s="2397"/>
      <c r="C663" s="2399"/>
      <c r="D663" s="2561" t="s">
        <v>1606</v>
      </c>
      <c r="E663" s="2399"/>
      <c r="F663" s="2548" t="s">
        <v>1601</v>
      </c>
      <c r="G663" s="2554">
        <v>0</v>
      </c>
      <c r="H663" s="2554">
        <v>0</v>
      </c>
      <c r="I663" s="2554">
        <v>0</v>
      </c>
      <c r="J663" s="2554">
        <v>0</v>
      </c>
      <c r="K663" s="2554">
        <v>0</v>
      </c>
      <c r="L663" s="2554">
        <v>0</v>
      </c>
      <c r="M663" s="2554">
        <v>0</v>
      </c>
      <c r="N663" s="2554">
        <v>0</v>
      </c>
      <c r="O663" s="2554">
        <v>0</v>
      </c>
      <c r="P663" s="2554">
        <v>0</v>
      </c>
      <c r="Q663" s="2554">
        <v>0</v>
      </c>
      <c r="R663" s="2554">
        <v>0</v>
      </c>
      <c r="S663" s="2554">
        <v>0</v>
      </c>
      <c r="T663" s="2554">
        <v>0</v>
      </c>
      <c r="U663" s="2554">
        <v>0</v>
      </c>
      <c r="V663" s="2554">
        <v>0</v>
      </c>
      <c r="W663" s="2554">
        <v>0</v>
      </c>
      <c r="X663" s="2554">
        <v>0</v>
      </c>
      <c r="Y663" s="2554">
        <v>0</v>
      </c>
      <c r="Z663" s="2554">
        <v>0</v>
      </c>
      <c r="AA663" s="2554">
        <v>0</v>
      </c>
      <c r="AB663" s="2554">
        <v>0</v>
      </c>
      <c r="AC663" s="2554">
        <v>0</v>
      </c>
      <c r="AD663" s="2554">
        <v>0</v>
      </c>
      <c r="AE663" s="2554">
        <v>0</v>
      </c>
      <c r="AF663" s="2554">
        <v>0</v>
      </c>
      <c r="AG663" s="2554">
        <v>0</v>
      </c>
      <c r="AH663" s="2554">
        <v>0</v>
      </c>
      <c r="AI663" s="2554">
        <v>0</v>
      </c>
      <c r="AJ663" s="2554">
        <v>0</v>
      </c>
      <c r="AK663" s="2554">
        <v>0</v>
      </c>
      <c r="AL663" s="2554">
        <v>0</v>
      </c>
      <c r="AM663" s="2554">
        <v>0</v>
      </c>
      <c r="AN663" s="2554">
        <v>0</v>
      </c>
      <c r="AO663" s="2554">
        <v>0</v>
      </c>
      <c r="AP663" s="2554">
        <v>0</v>
      </c>
      <c r="AQ663" s="2554">
        <v>0</v>
      </c>
      <c r="AR663" s="2554">
        <v>0</v>
      </c>
      <c r="AS663" s="2554">
        <v>0</v>
      </c>
    </row>
    <row r="664" spans="2:45" x14ac:dyDescent="0.2">
      <c r="B664" s="2397"/>
      <c r="C664" s="2399"/>
      <c r="D664" s="2561" t="s">
        <v>1607</v>
      </c>
      <c r="E664" s="2399"/>
      <c r="F664" s="2548" t="s">
        <v>1601</v>
      </c>
      <c r="G664" s="2554">
        <v>0</v>
      </c>
      <c r="H664" s="2554">
        <v>0</v>
      </c>
      <c r="I664" s="2554">
        <v>0</v>
      </c>
      <c r="J664" s="2554">
        <v>0</v>
      </c>
      <c r="K664" s="2554">
        <v>0</v>
      </c>
      <c r="L664" s="2554">
        <v>0</v>
      </c>
      <c r="M664" s="2554">
        <v>0</v>
      </c>
      <c r="N664" s="2554">
        <v>0</v>
      </c>
      <c r="O664" s="2554">
        <v>0</v>
      </c>
      <c r="P664" s="2554">
        <v>0</v>
      </c>
      <c r="Q664" s="2554">
        <v>0</v>
      </c>
      <c r="R664" s="2554">
        <v>0</v>
      </c>
      <c r="S664" s="2554">
        <v>0</v>
      </c>
      <c r="T664" s="2554">
        <v>0</v>
      </c>
      <c r="U664" s="2554">
        <v>0</v>
      </c>
      <c r="V664" s="2554">
        <v>0</v>
      </c>
      <c r="W664" s="2554">
        <v>0</v>
      </c>
      <c r="X664" s="2554">
        <v>0</v>
      </c>
      <c r="Y664" s="2554">
        <v>0</v>
      </c>
      <c r="Z664" s="2554">
        <v>0</v>
      </c>
      <c r="AA664" s="2554">
        <v>0</v>
      </c>
      <c r="AB664" s="2554">
        <v>0</v>
      </c>
      <c r="AC664" s="2554">
        <v>0</v>
      </c>
      <c r="AD664" s="2554">
        <v>0</v>
      </c>
      <c r="AE664" s="2554">
        <v>0</v>
      </c>
      <c r="AF664" s="2554">
        <v>0</v>
      </c>
      <c r="AG664" s="2554">
        <v>0</v>
      </c>
      <c r="AH664" s="2554">
        <v>0</v>
      </c>
      <c r="AI664" s="2554">
        <v>0</v>
      </c>
      <c r="AJ664" s="2554">
        <v>0</v>
      </c>
      <c r="AK664" s="2554">
        <v>0</v>
      </c>
      <c r="AL664" s="2554">
        <v>0</v>
      </c>
      <c r="AM664" s="2554">
        <v>0</v>
      </c>
      <c r="AN664" s="2554">
        <v>0</v>
      </c>
      <c r="AO664" s="2554">
        <v>0</v>
      </c>
      <c r="AP664" s="2554">
        <v>0</v>
      </c>
      <c r="AQ664" s="2554">
        <v>0</v>
      </c>
      <c r="AR664" s="2554">
        <v>0</v>
      </c>
      <c r="AS664" s="2554">
        <v>0</v>
      </c>
    </row>
    <row r="665" spans="2:45" x14ac:dyDescent="0.2">
      <c r="B665" s="2397"/>
      <c r="C665" s="2399"/>
      <c r="D665" s="2560" t="s">
        <v>1608</v>
      </c>
      <c r="E665" s="2399"/>
      <c r="F665" s="2548" t="s">
        <v>1601</v>
      </c>
      <c r="G665" s="2554">
        <f>G666+G667</f>
        <v>0</v>
      </c>
      <c r="H665" s="2554">
        <f t="shared" ref="H665:AS665" si="113">H666+H667</f>
        <v>0</v>
      </c>
      <c r="I665" s="2554">
        <f t="shared" si="113"/>
        <v>0</v>
      </c>
      <c r="J665" s="2554">
        <f t="shared" si="113"/>
        <v>0</v>
      </c>
      <c r="K665" s="2554">
        <f t="shared" si="113"/>
        <v>0</v>
      </c>
      <c r="L665" s="2554">
        <f t="shared" si="113"/>
        <v>0</v>
      </c>
      <c r="M665" s="2554">
        <f t="shared" si="113"/>
        <v>0</v>
      </c>
      <c r="N665" s="2554">
        <f t="shared" si="113"/>
        <v>0</v>
      </c>
      <c r="O665" s="2554">
        <f t="shared" si="113"/>
        <v>0</v>
      </c>
      <c r="P665" s="2554">
        <f t="shared" si="113"/>
        <v>0</v>
      </c>
      <c r="Q665" s="2554">
        <f t="shared" si="113"/>
        <v>0</v>
      </c>
      <c r="R665" s="2554">
        <f t="shared" si="113"/>
        <v>0</v>
      </c>
      <c r="S665" s="2554">
        <f t="shared" si="113"/>
        <v>0</v>
      </c>
      <c r="T665" s="2554">
        <f t="shared" si="113"/>
        <v>0</v>
      </c>
      <c r="U665" s="2554">
        <f t="shared" si="113"/>
        <v>0</v>
      </c>
      <c r="V665" s="2554">
        <f t="shared" si="113"/>
        <v>0</v>
      </c>
      <c r="W665" s="2554">
        <f t="shared" si="113"/>
        <v>0</v>
      </c>
      <c r="X665" s="2554">
        <f t="shared" si="113"/>
        <v>0</v>
      </c>
      <c r="Y665" s="2554">
        <f t="shared" si="113"/>
        <v>0</v>
      </c>
      <c r="Z665" s="2554">
        <f t="shared" si="113"/>
        <v>0</v>
      </c>
      <c r="AA665" s="2554">
        <f t="shared" si="113"/>
        <v>0</v>
      </c>
      <c r="AB665" s="2554">
        <f t="shared" si="113"/>
        <v>0</v>
      </c>
      <c r="AC665" s="2554">
        <f t="shared" si="113"/>
        <v>0</v>
      </c>
      <c r="AD665" s="2554">
        <f t="shared" si="113"/>
        <v>0</v>
      </c>
      <c r="AE665" s="2554">
        <f t="shared" si="113"/>
        <v>0</v>
      </c>
      <c r="AF665" s="2554">
        <f t="shared" si="113"/>
        <v>0</v>
      </c>
      <c r="AG665" s="2554">
        <f t="shared" si="113"/>
        <v>0</v>
      </c>
      <c r="AH665" s="2554">
        <f t="shared" si="113"/>
        <v>0</v>
      </c>
      <c r="AI665" s="2554">
        <f t="shared" si="113"/>
        <v>0</v>
      </c>
      <c r="AJ665" s="2554">
        <f t="shared" si="113"/>
        <v>0</v>
      </c>
      <c r="AK665" s="2554">
        <f t="shared" si="113"/>
        <v>0</v>
      </c>
      <c r="AL665" s="2554">
        <f t="shared" si="113"/>
        <v>0</v>
      </c>
      <c r="AM665" s="2554">
        <f t="shared" si="113"/>
        <v>0</v>
      </c>
      <c r="AN665" s="2554">
        <f t="shared" si="113"/>
        <v>0</v>
      </c>
      <c r="AO665" s="2554">
        <f t="shared" si="113"/>
        <v>0</v>
      </c>
      <c r="AP665" s="2554">
        <f t="shared" si="113"/>
        <v>0</v>
      </c>
      <c r="AQ665" s="2554">
        <f t="shared" si="113"/>
        <v>0</v>
      </c>
      <c r="AR665" s="2554">
        <f t="shared" si="113"/>
        <v>0</v>
      </c>
      <c r="AS665" s="2554">
        <f t="shared" si="113"/>
        <v>0</v>
      </c>
    </row>
    <row r="666" spans="2:45" x14ac:dyDescent="0.2">
      <c r="B666" s="2397"/>
      <c r="C666" s="2399"/>
      <c r="D666" s="2561" t="s">
        <v>1609</v>
      </c>
      <c r="E666" s="2399"/>
      <c r="F666" s="2548" t="s">
        <v>1601</v>
      </c>
      <c r="G666" s="2554">
        <v>0</v>
      </c>
      <c r="H666" s="2554">
        <v>0</v>
      </c>
      <c r="I666" s="2554">
        <v>0</v>
      </c>
      <c r="J666" s="2554">
        <v>0</v>
      </c>
      <c r="K666" s="2554">
        <v>0</v>
      </c>
      <c r="L666" s="2554">
        <v>0</v>
      </c>
      <c r="M666" s="2554">
        <v>0</v>
      </c>
      <c r="N666" s="2554">
        <v>0</v>
      </c>
      <c r="O666" s="2554">
        <v>0</v>
      </c>
      <c r="P666" s="2554">
        <v>0</v>
      </c>
      <c r="Q666" s="2554">
        <v>0</v>
      </c>
      <c r="R666" s="2554">
        <v>0</v>
      </c>
      <c r="S666" s="2554">
        <v>0</v>
      </c>
      <c r="T666" s="2554">
        <v>0</v>
      </c>
      <c r="U666" s="2554">
        <v>0</v>
      </c>
      <c r="V666" s="2554">
        <v>0</v>
      </c>
      <c r="W666" s="2554">
        <v>0</v>
      </c>
      <c r="X666" s="2554">
        <v>0</v>
      </c>
      <c r="Y666" s="2554">
        <v>0</v>
      </c>
      <c r="Z666" s="2554">
        <v>0</v>
      </c>
      <c r="AA666" s="2554">
        <v>0</v>
      </c>
      <c r="AB666" s="2554">
        <v>0</v>
      </c>
      <c r="AC666" s="2554">
        <v>0</v>
      </c>
      <c r="AD666" s="2554">
        <v>0</v>
      </c>
      <c r="AE666" s="2554">
        <v>0</v>
      </c>
      <c r="AF666" s="2554">
        <v>0</v>
      </c>
      <c r="AG666" s="2554">
        <v>0</v>
      </c>
      <c r="AH666" s="2554">
        <v>0</v>
      </c>
      <c r="AI666" s="2554">
        <v>0</v>
      </c>
      <c r="AJ666" s="2554">
        <v>0</v>
      </c>
      <c r="AK666" s="2554">
        <v>0</v>
      </c>
      <c r="AL666" s="2554">
        <v>0</v>
      </c>
      <c r="AM666" s="2554">
        <v>0</v>
      </c>
      <c r="AN666" s="2554">
        <v>0</v>
      </c>
      <c r="AO666" s="2554">
        <v>0</v>
      </c>
      <c r="AP666" s="2554">
        <v>0</v>
      </c>
      <c r="AQ666" s="2554">
        <v>0</v>
      </c>
      <c r="AR666" s="2554">
        <v>0</v>
      </c>
      <c r="AS666" s="2554">
        <v>0</v>
      </c>
    </row>
    <row r="667" spans="2:45" x14ac:dyDescent="0.2">
      <c r="B667" s="2397"/>
      <c r="C667" s="2399"/>
      <c r="D667" s="2561" t="s">
        <v>1610</v>
      </c>
      <c r="E667" s="2399"/>
      <c r="F667" s="2548" t="s">
        <v>1601</v>
      </c>
      <c r="G667" s="2554">
        <v>0</v>
      </c>
      <c r="H667" s="2554">
        <v>0</v>
      </c>
      <c r="I667" s="2554">
        <v>0</v>
      </c>
      <c r="J667" s="2554">
        <v>0</v>
      </c>
      <c r="K667" s="2554">
        <v>0</v>
      </c>
      <c r="L667" s="2554">
        <v>0</v>
      </c>
      <c r="M667" s="2554">
        <v>0</v>
      </c>
      <c r="N667" s="2554">
        <v>0</v>
      </c>
      <c r="O667" s="2554">
        <v>0</v>
      </c>
      <c r="P667" s="2554">
        <v>0</v>
      </c>
      <c r="Q667" s="2554">
        <v>0</v>
      </c>
      <c r="R667" s="2554">
        <v>0</v>
      </c>
      <c r="S667" s="2554">
        <v>0</v>
      </c>
      <c r="T667" s="2554">
        <v>0</v>
      </c>
      <c r="U667" s="2554">
        <v>0</v>
      </c>
      <c r="V667" s="2554">
        <v>0</v>
      </c>
      <c r="W667" s="2554">
        <v>0</v>
      </c>
      <c r="X667" s="2554">
        <v>0</v>
      </c>
      <c r="Y667" s="2554">
        <v>0</v>
      </c>
      <c r="Z667" s="2554">
        <v>0</v>
      </c>
      <c r="AA667" s="2554">
        <v>0</v>
      </c>
      <c r="AB667" s="2554">
        <v>0</v>
      </c>
      <c r="AC667" s="2554">
        <v>0</v>
      </c>
      <c r="AD667" s="2554">
        <v>0</v>
      </c>
      <c r="AE667" s="2554">
        <v>0</v>
      </c>
      <c r="AF667" s="2554">
        <v>0</v>
      </c>
      <c r="AG667" s="2554">
        <v>0</v>
      </c>
      <c r="AH667" s="2554">
        <v>0</v>
      </c>
      <c r="AI667" s="2554">
        <v>0</v>
      </c>
      <c r="AJ667" s="2554">
        <v>0</v>
      </c>
      <c r="AK667" s="2554">
        <v>0</v>
      </c>
      <c r="AL667" s="2554">
        <v>0</v>
      </c>
      <c r="AM667" s="2554">
        <v>0</v>
      </c>
      <c r="AN667" s="2554">
        <v>0</v>
      </c>
      <c r="AO667" s="2554">
        <v>0</v>
      </c>
      <c r="AP667" s="2554">
        <v>0</v>
      </c>
      <c r="AQ667" s="2554">
        <v>0</v>
      </c>
      <c r="AR667" s="2554">
        <v>0</v>
      </c>
      <c r="AS667" s="2554">
        <v>0</v>
      </c>
    </row>
    <row r="668" spans="2:45" x14ac:dyDescent="0.2">
      <c r="B668" s="2397"/>
      <c r="C668" s="2399"/>
      <c r="D668" s="2547" t="s">
        <v>1611</v>
      </c>
      <c r="E668" s="2399"/>
      <c r="F668" s="2548" t="s">
        <v>1601</v>
      </c>
      <c r="G668" s="2554">
        <f t="shared" ref="G668:AS668" si="114">(+G554/10^6)</f>
        <v>60.341011287616915</v>
      </c>
      <c r="H668" s="2554">
        <f t="shared" si="114"/>
        <v>60.874660780093677</v>
      </c>
      <c r="I668" s="2554">
        <f t="shared" si="114"/>
        <v>61.721429065653616</v>
      </c>
      <c r="J668" s="2554">
        <f t="shared" si="114"/>
        <v>62.472031119383011</v>
      </c>
      <c r="K668" s="2554">
        <f t="shared" si="114"/>
        <v>63.149658219993718</v>
      </c>
      <c r="L668" s="2554">
        <f t="shared" si="114"/>
        <v>63.741309898568517</v>
      </c>
      <c r="M668" s="2554">
        <f t="shared" si="114"/>
        <v>64.265922507330302</v>
      </c>
      <c r="N668" s="2554">
        <f t="shared" si="114"/>
        <v>64.832180640048932</v>
      </c>
      <c r="O668" s="2554">
        <f t="shared" si="114"/>
        <v>65.396265776053042</v>
      </c>
      <c r="P668" s="2554">
        <f t="shared" si="114"/>
        <v>65.968076072042322</v>
      </c>
      <c r="Q668" s="2554">
        <f t="shared" si="114"/>
        <v>66.535309349910449</v>
      </c>
      <c r="R668" s="2554">
        <f t="shared" si="114"/>
        <v>67.130262996592862</v>
      </c>
      <c r="S668" s="2554">
        <f t="shared" si="114"/>
        <v>67.748875187887649</v>
      </c>
      <c r="T668" s="2554">
        <f t="shared" si="114"/>
        <v>68.386907575177929</v>
      </c>
      <c r="U668" s="2554">
        <f t="shared" si="114"/>
        <v>69.040216480281586</v>
      </c>
      <c r="V668" s="2554">
        <f t="shared" si="114"/>
        <v>69.70478358598929</v>
      </c>
      <c r="W668" s="2554">
        <f t="shared" si="114"/>
        <v>70.377032340821827</v>
      </c>
      <c r="X668" s="2554">
        <f t="shared" si="114"/>
        <v>71.057506772206153</v>
      </c>
      <c r="Y668" s="2554">
        <f t="shared" si="114"/>
        <v>71.746137683022525</v>
      </c>
      <c r="Z668" s="2554">
        <f t="shared" si="114"/>
        <v>72.442334755407231</v>
      </c>
      <c r="AA668" s="2554">
        <f t="shared" si="114"/>
        <v>73.145284563675915</v>
      </c>
      <c r="AB668" s="2554">
        <f t="shared" si="114"/>
        <v>73.853257851263436</v>
      </c>
      <c r="AC668" s="2554">
        <f t="shared" si="114"/>
        <v>74.565515524194026</v>
      </c>
      <c r="AD668" s="2554">
        <f t="shared" si="114"/>
        <v>75.281249458425066</v>
      </c>
      <c r="AE668" s="2554">
        <f t="shared" si="114"/>
        <v>75.999626473694477</v>
      </c>
      <c r="AF668" s="2554">
        <f t="shared" si="114"/>
        <v>76.719910793356988</v>
      </c>
      <c r="AG668" s="2554">
        <f t="shared" si="114"/>
        <v>77.441256227642668</v>
      </c>
      <c r="AH668" s="2554">
        <f t="shared" si="114"/>
        <v>78.162845319773311</v>
      </c>
      <c r="AI668" s="2554">
        <f t="shared" si="114"/>
        <v>78.883888478603694</v>
      </c>
      <c r="AJ668" s="2554">
        <f t="shared" si="114"/>
        <v>79.604666240962857</v>
      </c>
      <c r="AK668" s="2554">
        <f t="shared" si="114"/>
        <v>80.324139399345199</v>
      </c>
      <c r="AL668" s="2554">
        <f t="shared" si="114"/>
        <v>81.04148997094893</v>
      </c>
      <c r="AM668" s="2554">
        <f t="shared" si="114"/>
        <v>81.755730911832956</v>
      </c>
      <c r="AN668" s="2554">
        <f t="shared" si="114"/>
        <v>82.466083428745776</v>
      </c>
      <c r="AO668" s="2554">
        <f t="shared" si="114"/>
        <v>83.171919580316185</v>
      </c>
      <c r="AP668" s="2554">
        <f t="shared" si="114"/>
        <v>83.872376552541951</v>
      </c>
      <c r="AQ668" s="2554">
        <f t="shared" si="114"/>
        <v>84.566770576863007</v>
      </c>
      <c r="AR668" s="2554">
        <f t="shared" si="114"/>
        <v>85.254429095782498</v>
      </c>
      <c r="AS668" s="2554">
        <f t="shared" si="114"/>
        <v>85.9346884916514</v>
      </c>
    </row>
    <row r="669" spans="2:45" x14ac:dyDescent="0.2">
      <c r="B669" s="2397"/>
      <c r="C669" s="2399"/>
      <c r="D669" s="2551" t="s">
        <v>1612</v>
      </c>
      <c r="E669" s="2550"/>
      <c r="F669" s="2552" t="s">
        <v>1601</v>
      </c>
      <c r="G669" s="2562">
        <f t="shared" ref="G669:AS669" si="115">+G270/10^6</f>
        <v>0.52381</v>
      </c>
      <c r="H669" s="2562">
        <f t="shared" si="115"/>
        <v>0.52381</v>
      </c>
      <c r="I669" s="2562">
        <f t="shared" si="115"/>
        <v>0.14285700000000001</v>
      </c>
      <c r="J669" s="2563">
        <f t="shared" si="115"/>
        <v>0.14285700000000001</v>
      </c>
      <c r="K669" s="2562">
        <f t="shared" si="115"/>
        <v>0.14285700000000001</v>
      </c>
      <c r="L669" s="2562">
        <f t="shared" si="115"/>
        <v>0.14285700000000001</v>
      </c>
      <c r="M669" s="2562">
        <f t="shared" si="115"/>
        <v>0.14285700000000001</v>
      </c>
      <c r="N669" s="2562">
        <f t="shared" si="115"/>
        <v>0.14285700000000001</v>
      </c>
      <c r="O669" s="2562">
        <f t="shared" si="115"/>
        <v>0.14285700000000001</v>
      </c>
      <c r="P669" s="2562">
        <f t="shared" si="115"/>
        <v>0</v>
      </c>
      <c r="Q669" s="2562">
        <f t="shared" si="115"/>
        <v>0</v>
      </c>
      <c r="R669" s="2562">
        <f t="shared" si="115"/>
        <v>0</v>
      </c>
      <c r="S669" s="2562">
        <f t="shared" si="115"/>
        <v>0</v>
      </c>
      <c r="T669" s="2562">
        <f t="shared" si="115"/>
        <v>0</v>
      </c>
      <c r="U669" s="2562">
        <f t="shared" si="115"/>
        <v>0</v>
      </c>
      <c r="V669" s="2562">
        <f t="shared" si="115"/>
        <v>0</v>
      </c>
      <c r="W669" s="2562">
        <f t="shared" si="115"/>
        <v>0</v>
      </c>
      <c r="X669" s="2562">
        <f t="shared" si="115"/>
        <v>0</v>
      </c>
      <c r="Y669" s="2562">
        <f t="shared" si="115"/>
        <v>0</v>
      </c>
      <c r="Z669" s="2562">
        <f t="shared" si="115"/>
        <v>0</v>
      </c>
      <c r="AA669" s="2562">
        <f t="shared" si="115"/>
        <v>0</v>
      </c>
      <c r="AB669" s="2562">
        <f t="shared" si="115"/>
        <v>0</v>
      </c>
      <c r="AC669" s="2562">
        <f t="shared" si="115"/>
        <v>0</v>
      </c>
      <c r="AD669" s="2562">
        <f t="shared" si="115"/>
        <v>0</v>
      </c>
      <c r="AE669" s="2562">
        <f t="shared" si="115"/>
        <v>0</v>
      </c>
      <c r="AF669" s="2562">
        <f t="shared" si="115"/>
        <v>0</v>
      </c>
      <c r="AG669" s="2562">
        <f t="shared" si="115"/>
        <v>0</v>
      </c>
      <c r="AH669" s="2562">
        <f t="shared" si="115"/>
        <v>0</v>
      </c>
      <c r="AI669" s="2562">
        <f t="shared" si="115"/>
        <v>0</v>
      </c>
      <c r="AJ669" s="2562">
        <f t="shared" si="115"/>
        <v>0</v>
      </c>
      <c r="AK669" s="2562">
        <f t="shared" si="115"/>
        <v>0</v>
      </c>
      <c r="AL669" s="2562">
        <f t="shared" si="115"/>
        <v>0</v>
      </c>
      <c r="AM669" s="2562">
        <f t="shared" si="115"/>
        <v>0</v>
      </c>
      <c r="AN669" s="2562">
        <f t="shared" si="115"/>
        <v>0</v>
      </c>
      <c r="AO669" s="2562">
        <f t="shared" si="115"/>
        <v>0</v>
      </c>
      <c r="AP669" s="2562">
        <f t="shared" si="115"/>
        <v>0</v>
      </c>
      <c r="AQ669" s="2562">
        <f t="shared" si="115"/>
        <v>0</v>
      </c>
      <c r="AR669" s="2562">
        <f t="shared" si="115"/>
        <v>0</v>
      </c>
      <c r="AS669" s="2562">
        <f t="shared" si="115"/>
        <v>0</v>
      </c>
    </row>
    <row r="670" spans="2:45" x14ac:dyDescent="0.2">
      <c r="B670" s="2397"/>
      <c r="C670" s="2193"/>
      <c r="D670" s="2564" t="s">
        <v>118</v>
      </c>
      <c r="E670" s="2564"/>
      <c r="F670" s="2565" t="s">
        <v>1601</v>
      </c>
      <c r="G670" s="2566">
        <f>G669+G668+G659+G658+G657</f>
        <v>299.90375574204029</v>
      </c>
      <c r="H670" s="2566">
        <f t="shared" ref="H670:AS670" si="116">+SUM(H657:H669)</f>
        <v>299.82856467997465</v>
      </c>
      <c r="I670" s="2566">
        <f t="shared" si="116"/>
        <v>300.9719513296393</v>
      </c>
      <c r="J670" s="2566">
        <f t="shared" si="116"/>
        <v>301.71296965998306</v>
      </c>
      <c r="K670" s="2566">
        <f t="shared" si="116"/>
        <v>301.93228160019919</v>
      </c>
      <c r="L670" s="2566">
        <f t="shared" si="116"/>
        <v>301.58953649317914</v>
      </c>
      <c r="M670" s="2566">
        <f t="shared" si="116"/>
        <v>300.57030717587998</v>
      </c>
      <c r="N670" s="2566">
        <f t="shared" si="116"/>
        <v>299.79563604685376</v>
      </c>
      <c r="O670" s="2566">
        <f t="shared" si="116"/>
        <v>299.07975285451113</v>
      </c>
      <c r="P670" s="2566">
        <f t="shared" si="116"/>
        <v>298.24177785574096</v>
      </c>
      <c r="Q670" s="2566">
        <f t="shared" si="116"/>
        <v>297.4848147503962</v>
      </c>
      <c r="R670" s="2566">
        <f t="shared" si="116"/>
        <v>297.05976497487234</v>
      </c>
      <c r="S670" s="2566">
        <f t="shared" si="116"/>
        <v>296.89955320410581</v>
      </c>
      <c r="T670" s="2566">
        <f t="shared" si="116"/>
        <v>296.95023464642929</v>
      </c>
      <c r="U670" s="2566">
        <f t="shared" si="116"/>
        <v>297.16831478329362</v>
      </c>
      <c r="V670" s="2566">
        <f t="shared" si="116"/>
        <v>297.51850358653206</v>
      </c>
      <c r="W670" s="2566">
        <f t="shared" si="116"/>
        <v>297.97235776039247</v>
      </c>
      <c r="X670" s="2566">
        <f t="shared" si="116"/>
        <v>298.51145849770592</v>
      </c>
      <c r="Y670" s="2566">
        <f t="shared" si="116"/>
        <v>299.12054500775355</v>
      </c>
      <c r="Z670" s="2566">
        <f t="shared" si="116"/>
        <v>299.78681008625819</v>
      </c>
      <c r="AA670" s="2566">
        <f t="shared" si="116"/>
        <v>300.4996254248216</v>
      </c>
      <c r="AB670" s="2566">
        <f t="shared" si="116"/>
        <v>301.24918473515766</v>
      </c>
      <c r="AC670" s="2566">
        <f t="shared" si="116"/>
        <v>302.02844946910034</v>
      </c>
      <c r="AD670" s="2566">
        <f t="shared" si="116"/>
        <v>302.83153082477452</v>
      </c>
      <c r="AE670" s="2566">
        <f t="shared" si="116"/>
        <v>303.65349336301085</v>
      </c>
      <c r="AF670" s="2566">
        <f t="shared" si="116"/>
        <v>304.49030661857984</v>
      </c>
      <c r="AG670" s="2566">
        <f t="shared" si="116"/>
        <v>305.33843106284161</v>
      </c>
      <c r="AH670" s="2566">
        <f t="shared" si="116"/>
        <v>306.19486304096324</v>
      </c>
      <c r="AI670" s="2566">
        <f t="shared" si="116"/>
        <v>307.05703309199106</v>
      </c>
      <c r="AJ670" s="2566">
        <f t="shared" si="116"/>
        <v>307.92400810155812</v>
      </c>
      <c r="AK670" s="2566">
        <f t="shared" si="116"/>
        <v>308.79348700282435</v>
      </c>
      <c r="AL670" s="2566">
        <f t="shared" si="116"/>
        <v>309.66364500542687</v>
      </c>
      <c r="AM670" s="2566">
        <f t="shared" si="116"/>
        <v>310.5326125847979</v>
      </c>
      <c r="AN670" s="2566">
        <f t="shared" si="116"/>
        <v>311.39890702731827</v>
      </c>
      <c r="AO670" s="2566">
        <f t="shared" si="116"/>
        <v>312.26133576983267</v>
      </c>
      <c r="AP670" s="2566">
        <f t="shared" si="116"/>
        <v>313.11850086890638</v>
      </c>
      <c r="AQ670" s="2566">
        <f t="shared" si="116"/>
        <v>313.96929154927301</v>
      </c>
      <c r="AR670" s="2566">
        <f t="shared" si="116"/>
        <v>314.81266436791964</v>
      </c>
      <c r="AS670" s="2566">
        <f t="shared" si="116"/>
        <v>315.64762971363956</v>
      </c>
    </row>
    <row r="671" spans="2:45" x14ac:dyDescent="0.2">
      <c r="B671" s="2397"/>
      <c r="C671" s="2398"/>
      <c r="D671" s="2399"/>
      <c r="E671" s="2400"/>
      <c r="F671" s="2400"/>
      <c r="G671" s="2400"/>
      <c r="H671" s="2400"/>
      <c r="I671" s="2400"/>
      <c r="J671" s="2400"/>
      <c r="K671" s="2400"/>
      <c r="L671" s="2400"/>
      <c r="M671" s="2400"/>
      <c r="N671" s="2400"/>
      <c r="O671" s="2400"/>
      <c r="P671" s="2400"/>
      <c r="Q671" s="2400"/>
      <c r="R671" s="2400"/>
      <c r="S671" s="2400"/>
      <c r="T671" s="2400"/>
      <c r="U671" s="2400"/>
      <c r="V671" s="2400"/>
      <c r="W671" s="2400"/>
      <c r="X671" s="2400"/>
      <c r="Y671" s="2400"/>
      <c r="Z671" s="2400"/>
      <c r="AA671" s="2400"/>
      <c r="AB671" s="2400"/>
      <c r="AC671" s="2400"/>
      <c r="AD671" s="2400"/>
      <c r="AE671" s="2400"/>
      <c r="AF671" s="2400"/>
      <c r="AG671" s="2400"/>
      <c r="AH671" s="2400"/>
      <c r="AI671" s="2400"/>
      <c r="AJ671" s="2400"/>
      <c r="AK671" s="2400"/>
      <c r="AL671" s="2400"/>
      <c r="AM671" s="2400"/>
      <c r="AN671" s="2400"/>
      <c r="AO671" s="2400"/>
      <c r="AP671" s="2400"/>
      <c r="AQ671" s="2400"/>
      <c r="AR671" s="2400"/>
      <c r="AS671" s="2400"/>
    </row>
    <row r="672" spans="2:45" x14ac:dyDescent="0.2">
      <c r="B672" s="2397"/>
      <c r="C672" s="2187" t="s">
        <v>1613</v>
      </c>
      <c r="D672" s="2399"/>
      <c r="E672" s="2400"/>
      <c r="F672" s="2400"/>
      <c r="G672" s="2400"/>
      <c r="H672" s="2400"/>
      <c r="I672" s="2400"/>
      <c r="J672" s="2400"/>
      <c r="K672" s="2400"/>
      <c r="L672" s="2400"/>
      <c r="M672" s="2400"/>
      <c r="N672" s="2400"/>
      <c r="O672" s="2400"/>
      <c r="P672" s="2400"/>
      <c r="Q672" s="2400"/>
      <c r="R672" s="2400"/>
      <c r="S672" s="2400"/>
      <c r="T672" s="2400"/>
      <c r="U672" s="2400"/>
      <c r="V672" s="2400"/>
      <c r="W672" s="2400"/>
      <c r="X672" s="2400"/>
      <c r="Y672" s="2400"/>
      <c r="Z672" s="2400"/>
      <c r="AA672" s="2400"/>
      <c r="AB672" s="2400"/>
      <c r="AC672" s="2400"/>
      <c r="AD672" s="2400"/>
      <c r="AE672" s="2400"/>
      <c r="AF672" s="2400"/>
      <c r="AG672" s="2400"/>
      <c r="AH672" s="2400"/>
      <c r="AI672" s="2400"/>
      <c r="AJ672" s="2400"/>
      <c r="AK672" s="2400"/>
      <c r="AL672" s="2400"/>
      <c r="AM672" s="2400"/>
      <c r="AN672" s="2400"/>
      <c r="AO672" s="2400"/>
      <c r="AP672" s="2400"/>
      <c r="AQ672" s="2400"/>
      <c r="AR672" s="2400"/>
      <c r="AS672" s="2400"/>
    </row>
    <row r="673" spans="2:45" x14ac:dyDescent="0.2">
      <c r="B673" s="2397"/>
      <c r="C673" s="2555" t="s">
        <v>146</v>
      </c>
      <c r="D673" s="2555" t="s">
        <v>242</v>
      </c>
      <c r="E673" s="2546" t="s">
        <v>8</v>
      </c>
      <c r="F673" s="2556"/>
      <c r="G673" s="2546">
        <v>2012</v>
      </c>
      <c r="H673" s="2546">
        <v>2013</v>
      </c>
      <c r="I673" s="2546">
        <v>2014</v>
      </c>
      <c r="J673" s="2546">
        <v>2015</v>
      </c>
      <c r="K673" s="2546">
        <v>2016</v>
      </c>
      <c r="L673" s="2546">
        <v>2017</v>
      </c>
      <c r="M673" s="2546">
        <v>2018</v>
      </c>
      <c r="N673" s="2546">
        <v>2019</v>
      </c>
      <c r="O673" s="2546">
        <v>2020</v>
      </c>
      <c r="P673" s="2546">
        <v>2021</v>
      </c>
      <c r="Q673" s="2546">
        <v>2022</v>
      </c>
      <c r="R673" s="2546">
        <v>2023</v>
      </c>
      <c r="S673" s="2546">
        <v>2024</v>
      </c>
      <c r="T673" s="2546">
        <v>2025</v>
      </c>
      <c r="U673" s="2546">
        <v>2026</v>
      </c>
      <c r="V673" s="2546">
        <v>2027</v>
      </c>
      <c r="W673" s="2546">
        <v>2028</v>
      </c>
      <c r="X673" s="2546">
        <v>2029</v>
      </c>
      <c r="Y673" s="2546">
        <v>2030</v>
      </c>
      <c r="Z673" s="2546">
        <v>2031</v>
      </c>
      <c r="AA673" s="2546">
        <v>2032</v>
      </c>
      <c r="AB673" s="2546">
        <v>2033</v>
      </c>
      <c r="AC673" s="2546">
        <v>2034</v>
      </c>
      <c r="AD673" s="2546">
        <v>2035</v>
      </c>
      <c r="AE673" s="2546">
        <v>2036</v>
      </c>
      <c r="AF673" s="2546">
        <v>2037</v>
      </c>
      <c r="AG673" s="2546">
        <v>2038</v>
      </c>
      <c r="AH673" s="2546">
        <v>2039</v>
      </c>
      <c r="AI673" s="2546">
        <v>2040</v>
      </c>
      <c r="AJ673" s="2546">
        <v>2041</v>
      </c>
      <c r="AK673" s="2546">
        <v>2042</v>
      </c>
      <c r="AL673" s="2546">
        <v>2043</v>
      </c>
      <c r="AM673" s="2546">
        <v>2044</v>
      </c>
      <c r="AN673" s="2546">
        <v>2045</v>
      </c>
      <c r="AO673" s="2546">
        <v>2046</v>
      </c>
      <c r="AP673" s="2546">
        <v>2047</v>
      </c>
      <c r="AQ673" s="2546">
        <v>2048</v>
      </c>
      <c r="AR673" s="2546">
        <v>2049</v>
      </c>
      <c r="AS673" s="2546">
        <v>2050</v>
      </c>
    </row>
    <row r="674" spans="2:45" x14ac:dyDescent="0.2">
      <c r="B674" s="2397"/>
      <c r="C674" s="2399"/>
      <c r="D674" s="2547" t="s">
        <v>1600</v>
      </c>
      <c r="E674" s="2567"/>
      <c r="F674" s="2548" t="s">
        <v>1614</v>
      </c>
      <c r="G674" s="2554">
        <v>0</v>
      </c>
      <c r="H674" s="2554">
        <v>0</v>
      </c>
      <c r="I674" s="2554">
        <v>0</v>
      </c>
      <c r="J674" s="2554">
        <v>0</v>
      </c>
      <c r="K674" s="2554">
        <v>0</v>
      </c>
      <c r="L674" s="2554">
        <v>0</v>
      </c>
      <c r="M674" s="2554">
        <v>0</v>
      </c>
      <c r="N674" s="2554">
        <v>0</v>
      </c>
      <c r="O674" s="2554">
        <v>0</v>
      </c>
      <c r="P674" s="2554">
        <v>0</v>
      </c>
      <c r="Q674" s="2554">
        <v>0</v>
      </c>
      <c r="R674" s="2554">
        <v>0</v>
      </c>
      <c r="S674" s="2554">
        <v>0</v>
      </c>
      <c r="T674" s="2554">
        <v>0</v>
      </c>
      <c r="U674" s="2554">
        <v>0</v>
      </c>
      <c r="V674" s="2554">
        <v>0</v>
      </c>
      <c r="W674" s="2554">
        <v>0</v>
      </c>
      <c r="X674" s="2554">
        <v>0</v>
      </c>
      <c r="Y674" s="2554">
        <v>0</v>
      </c>
      <c r="Z674" s="2554">
        <v>0</v>
      </c>
      <c r="AA674" s="2554">
        <v>0</v>
      </c>
      <c r="AB674" s="2554">
        <v>0</v>
      </c>
      <c r="AC674" s="2554">
        <v>0</v>
      </c>
      <c r="AD674" s="2554">
        <v>0</v>
      </c>
      <c r="AE674" s="2554">
        <v>0</v>
      </c>
      <c r="AF674" s="2554">
        <v>0</v>
      </c>
      <c r="AG674" s="2554">
        <v>0</v>
      </c>
      <c r="AH674" s="2554">
        <v>0</v>
      </c>
      <c r="AI674" s="2554">
        <v>0</v>
      </c>
      <c r="AJ674" s="2554">
        <v>0</v>
      </c>
      <c r="AK674" s="2554">
        <v>0</v>
      </c>
      <c r="AL674" s="2554">
        <v>0</v>
      </c>
      <c r="AM674" s="2554">
        <v>0</v>
      </c>
      <c r="AN674" s="2554">
        <v>0</v>
      </c>
      <c r="AO674" s="2554">
        <v>0</v>
      </c>
      <c r="AP674" s="2554">
        <v>0</v>
      </c>
      <c r="AQ674" s="2554">
        <v>0</v>
      </c>
      <c r="AR674" s="2554">
        <v>0</v>
      </c>
      <c r="AS674" s="2554">
        <v>0</v>
      </c>
    </row>
    <row r="675" spans="2:45" x14ac:dyDescent="0.2">
      <c r="B675" s="2397"/>
      <c r="C675" s="2399"/>
      <c r="D675" s="2547" t="s">
        <v>1602</v>
      </c>
      <c r="E675" s="2567"/>
      <c r="F675" s="2548" t="s">
        <v>1614</v>
      </c>
      <c r="G675" s="2554">
        <v>0</v>
      </c>
      <c r="H675" s="2568">
        <v>0</v>
      </c>
      <c r="I675" s="2554">
        <v>0</v>
      </c>
      <c r="J675" s="2554">
        <v>0</v>
      </c>
      <c r="K675" s="2554">
        <v>0</v>
      </c>
      <c r="L675" s="2554">
        <v>0</v>
      </c>
      <c r="M675" s="2554">
        <v>0</v>
      </c>
      <c r="N675" s="2554">
        <v>0</v>
      </c>
      <c r="O675" s="2554">
        <v>0</v>
      </c>
      <c r="P675" s="2554">
        <v>0</v>
      </c>
      <c r="Q675" s="2554">
        <v>0</v>
      </c>
      <c r="R675" s="2554">
        <v>0</v>
      </c>
      <c r="S675" s="2554">
        <v>0</v>
      </c>
      <c r="T675" s="2554">
        <v>0</v>
      </c>
      <c r="U675" s="2554">
        <v>0</v>
      </c>
      <c r="V675" s="2554">
        <v>0</v>
      </c>
      <c r="W675" s="2554">
        <v>0</v>
      </c>
      <c r="X675" s="2554">
        <v>0</v>
      </c>
      <c r="Y675" s="2554">
        <v>0</v>
      </c>
      <c r="Z675" s="2554">
        <v>0</v>
      </c>
      <c r="AA675" s="2554">
        <v>0</v>
      </c>
      <c r="AB675" s="2554">
        <v>0</v>
      </c>
      <c r="AC675" s="2554">
        <v>0</v>
      </c>
      <c r="AD675" s="2554">
        <v>0</v>
      </c>
      <c r="AE675" s="2554">
        <v>0</v>
      </c>
      <c r="AF675" s="2554">
        <v>0</v>
      </c>
      <c r="AG675" s="2554">
        <v>0</v>
      </c>
      <c r="AH675" s="2554">
        <v>0</v>
      </c>
      <c r="AI675" s="2554">
        <v>0</v>
      </c>
      <c r="AJ675" s="2554">
        <v>0</v>
      </c>
      <c r="AK675" s="2554">
        <v>0</v>
      </c>
      <c r="AL675" s="2554">
        <v>0</v>
      </c>
      <c r="AM675" s="2554">
        <v>0</v>
      </c>
      <c r="AN675" s="2554">
        <v>0</v>
      </c>
      <c r="AO675" s="2554">
        <v>0</v>
      </c>
      <c r="AP675" s="2554">
        <v>0</v>
      </c>
      <c r="AQ675" s="2554">
        <v>0</v>
      </c>
      <c r="AR675" s="2554">
        <v>0</v>
      </c>
      <c r="AS675" s="2554">
        <v>0</v>
      </c>
    </row>
    <row r="676" spans="2:45" x14ac:dyDescent="0.2">
      <c r="B676" s="2397"/>
      <c r="C676" s="2399"/>
      <c r="D676" s="2547" t="s">
        <v>1603</v>
      </c>
      <c r="E676" s="2547"/>
      <c r="F676" s="2548" t="s">
        <v>1614</v>
      </c>
      <c r="G676" s="2554">
        <f>G677+G682</f>
        <v>19.086440608498091</v>
      </c>
      <c r="H676" s="2554">
        <f t="shared" ref="H676:AS676" si="117">H677+H682</f>
        <v>19.273539909238963</v>
      </c>
      <c r="I676" s="2554">
        <f t="shared" si="117"/>
        <v>19.351704729716051</v>
      </c>
      <c r="J676" s="2554">
        <f t="shared" si="117"/>
        <v>19.397936122381292</v>
      </c>
      <c r="K676" s="2554">
        <f t="shared" si="117"/>
        <v>19.425647296175395</v>
      </c>
      <c r="L676" s="2554">
        <f t="shared" si="117"/>
        <v>19.431866932950957</v>
      </c>
      <c r="M676" s="2554">
        <f t="shared" si="117"/>
        <v>19.412104670901357</v>
      </c>
      <c r="N676" s="2554">
        <f t="shared" si="117"/>
        <v>19.399932732992184</v>
      </c>
      <c r="O676" s="2554">
        <f t="shared" si="117"/>
        <v>19.390360799142801</v>
      </c>
      <c r="P676" s="2554">
        <f t="shared" si="117"/>
        <v>19.381858982536031</v>
      </c>
      <c r="Q676" s="2554">
        <f t="shared" si="117"/>
        <v>19.371262103836735</v>
      </c>
      <c r="R676" s="2554">
        <f t="shared" si="117"/>
        <v>19.374452965673676</v>
      </c>
      <c r="S676" s="2554">
        <f t="shared" si="117"/>
        <v>19.388958626737264</v>
      </c>
      <c r="T676" s="2554">
        <f t="shared" si="117"/>
        <v>19.412372783775449</v>
      </c>
      <c r="U676" s="2554">
        <f t="shared" si="117"/>
        <v>19.442218851659931</v>
      </c>
      <c r="V676" s="2554">
        <f t="shared" si="117"/>
        <v>19.477180786861524</v>
      </c>
      <c r="W676" s="2554">
        <f t="shared" si="117"/>
        <v>19.516436485338392</v>
      </c>
      <c r="X676" s="2554">
        <f t="shared" si="117"/>
        <v>19.558770387259937</v>
      </c>
      <c r="Y676" s="2554">
        <f t="shared" si="117"/>
        <v>19.604207882677233</v>
      </c>
      <c r="Z676" s="2554">
        <f t="shared" si="117"/>
        <v>19.651700757700574</v>
      </c>
      <c r="AA676" s="2554">
        <f t="shared" si="117"/>
        <v>19.701402026593222</v>
      </c>
      <c r="AB676" s="2554">
        <f t="shared" si="117"/>
        <v>19.752338557718502</v>
      </c>
      <c r="AC676" s="2554">
        <f t="shared" si="117"/>
        <v>19.804815347906729</v>
      </c>
      <c r="AD676" s="2554">
        <f t="shared" si="117"/>
        <v>19.858314763257773</v>
      </c>
      <c r="AE676" s="2554">
        <f t="shared" si="117"/>
        <v>19.912367340818591</v>
      </c>
      <c r="AF676" s="2554">
        <f t="shared" si="117"/>
        <v>19.967367012637876</v>
      </c>
      <c r="AG676" s="2554">
        <f t="shared" si="117"/>
        <v>20.022896056959212</v>
      </c>
      <c r="AH676" s="2554">
        <f t="shared" si="117"/>
        <v>20.078802464756716</v>
      </c>
      <c r="AI676" s="2554">
        <f t="shared" si="117"/>
        <v>20.134728202732635</v>
      </c>
      <c r="AJ676" s="2554">
        <f t="shared" si="117"/>
        <v>20.191189805796984</v>
      </c>
      <c r="AK676" s="2554">
        <f t="shared" si="117"/>
        <v>20.247819785211799</v>
      </c>
      <c r="AL676" s="2554">
        <f t="shared" si="117"/>
        <v>20.3045192057889</v>
      </c>
      <c r="AM676" s="2554">
        <f t="shared" si="117"/>
        <v>20.3611969060718</v>
      </c>
      <c r="AN676" s="2554">
        <f t="shared" si="117"/>
        <v>20.417792180962213</v>
      </c>
      <c r="AO676" s="2554">
        <f t="shared" si="117"/>
        <v>20.474228081689382</v>
      </c>
      <c r="AP676" s="2554">
        <f t="shared" si="117"/>
        <v>20.530464807156473</v>
      </c>
      <c r="AQ676" s="2554">
        <f t="shared" si="117"/>
        <v>20.58642116518665</v>
      </c>
      <c r="AR676" s="2554">
        <f t="shared" si="117"/>
        <v>20.64205052346437</v>
      </c>
      <c r="AS676" s="2554">
        <f t="shared" si="117"/>
        <v>20.697597376032164</v>
      </c>
    </row>
    <row r="677" spans="2:45" x14ac:dyDescent="0.2">
      <c r="B677" s="2397"/>
      <c r="C677" s="2399"/>
      <c r="D677" s="2560" t="s">
        <v>1398</v>
      </c>
      <c r="E677" s="2547"/>
      <c r="F677" s="2548" t="s">
        <v>1614</v>
      </c>
      <c r="G677" s="2554">
        <f>G678+G679+G680+G681</f>
        <v>16.221541675106852</v>
      </c>
      <c r="H677" s="2554">
        <f t="shared" ref="H677:AS677" si="118">H678+H679+H680+H681</f>
        <v>16.402198989381425</v>
      </c>
      <c r="I677" s="2554">
        <f t="shared" si="118"/>
        <v>16.458602315423043</v>
      </c>
      <c r="J677" s="2554">
        <f t="shared" si="118"/>
        <v>16.489367515124915</v>
      </c>
      <c r="K677" s="2554">
        <f t="shared" si="118"/>
        <v>16.505845057259762</v>
      </c>
      <c r="L677" s="2554">
        <f t="shared" si="118"/>
        <v>16.505528961589579</v>
      </c>
      <c r="M677" s="2554">
        <f t="shared" si="118"/>
        <v>16.484742053561149</v>
      </c>
      <c r="N677" s="2554">
        <f t="shared" si="118"/>
        <v>16.470484734915779</v>
      </c>
      <c r="O677" s="2554">
        <f t="shared" si="118"/>
        <v>16.458433273163486</v>
      </c>
      <c r="P677" s="2554">
        <f t="shared" si="118"/>
        <v>16.447317036523788</v>
      </c>
      <c r="Q677" s="2554">
        <f t="shared" si="118"/>
        <v>16.434700538395724</v>
      </c>
      <c r="R677" s="2554">
        <f t="shared" si="118"/>
        <v>16.432974395628641</v>
      </c>
      <c r="S677" s="2554">
        <f t="shared" si="118"/>
        <v>16.440308468233624</v>
      </c>
      <c r="T677" s="2554">
        <f t="shared" si="118"/>
        <v>16.454801055907584</v>
      </c>
      <c r="U677" s="2554">
        <f t="shared" si="118"/>
        <v>16.47437521516375</v>
      </c>
      <c r="V677" s="2554">
        <f t="shared" si="118"/>
        <v>16.498036546028935</v>
      </c>
      <c r="W677" s="2554">
        <f t="shared" si="118"/>
        <v>16.525219023980725</v>
      </c>
      <c r="X677" s="2554">
        <f t="shared" si="118"/>
        <v>16.554829053898164</v>
      </c>
      <c r="Y677" s="2554">
        <f t="shared" si="118"/>
        <v>16.586998677606893</v>
      </c>
      <c r="Z677" s="2554">
        <f t="shared" si="118"/>
        <v>16.620775305078055</v>
      </c>
      <c r="AA677" s="2554">
        <f t="shared" si="118"/>
        <v>16.656394734068286</v>
      </c>
      <c r="AB677" s="2554">
        <f t="shared" si="118"/>
        <v>16.692973074578486</v>
      </c>
      <c r="AC677" s="2554">
        <f t="shared" si="118"/>
        <v>16.730871152486326</v>
      </c>
      <c r="AD677" s="2554">
        <f t="shared" si="118"/>
        <v>16.769620305874106</v>
      </c>
      <c r="AE677" s="2554">
        <f t="shared" si="118"/>
        <v>16.808793928601464</v>
      </c>
      <c r="AF677" s="2554">
        <f t="shared" si="118"/>
        <v>16.848821351921597</v>
      </c>
      <c r="AG677" s="2554">
        <f t="shared" si="118"/>
        <v>16.889318522474198</v>
      </c>
      <c r="AH677" s="2554">
        <f t="shared" si="118"/>
        <v>16.930163083952333</v>
      </c>
      <c r="AI677" s="2554">
        <f t="shared" si="118"/>
        <v>16.971023355199801</v>
      </c>
      <c r="AJ677" s="2554">
        <f t="shared" si="118"/>
        <v>17.012416577550624</v>
      </c>
      <c r="AK677" s="2554">
        <f t="shared" si="118"/>
        <v>17.054003694685875</v>
      </c>
      <c r="AL677" s="2554">
        <f t="shared" si="118"/>
        <v>17.095707722907726</v>
      </c>
      <c r="AM677" s="2554">
        <f t="shared" si="118"/>
        <v>17.137461962797914</v>
      </c>
      <c r="AN677" s="2554">
        <f t="shared" si="118"/>
        <v>17.179224603244485</v>
      </c>
      <c r="AO677" s="2554">
        <f t="shared" si="118"/>
        <v>17.220933582398011</v>
      </c>
      <c r="AP677" s="2554">
        <f t="shared" si="118"/>
        <v>17.2625685788326</v>
      </c>
      <c r="AQ677" s="2554">
        <f t="shared" si="118"/>
        <v>17.304063458494269</v>
      </c>
      <c r="AR677" s="2554">
        <f t="shared" si="118"/>
        <v>17.3453860563042</v>
      </c>
      <c r="AS677" s="2554">
        <f t="shared" si="118"/>
        <v>17.386794856754346</v>
      </c>
    </row>
    <row r="678" spans="2:45" x14ac:dyDescent="0.2">
      <c r="B678" s="2397"/>
      <c r="C678" s="2399"/>
      <c r="D678" s="2561" t="s">
        <v>1604</v>
      </c>
      <c r="E678" s="2547"/>
      <c r="F678" s="2548" t="s">
        <v>1614</v>
      </c>
      <c r="G678" s="2554">
        <f t="shared" ref="G678:AS678" si="119">G399/10^6</f>
        <v>6.3509698559999999</v>
      </c>
      <c r="H678" s="2554">
        <f t="shared" si="119"/>
        <v>6.5229778944000003</v>
      </c>
      <c r="I678" s="2554">
        <f t="shared" si="119"/>
        <v>6.5162817279999992</v>
      </c>
      <c r="J678" s="2554">
        <f t="shared" si="119"/>
        <v>6.5076154880000008</v>
      </c>
      <c r="K678" s="2554">
        <f t="shared" si="119"/>
        <v>6.5005284608000009</v>
      </c>
      <c r="L678" s="2554">
        <f t="shared" si="119"/>
        <v>6.4940834815999997</v>
      </c>
      <c r="M678" s="2554">
        <f t="shared" si="119"/>
        <v>6.4882515456000007</v>
      </c>
      <c r="N678" s="2554">
        <f t="shared" si="119"/>
        <v>6.4854197760000005</v>
      </c>
      <c r="O678" s="2554">
        <f t="shared" si="119"/>
        <v>6.4830740480000006</v>
      </c>
      <c r="P678" s="2554">
        <f t="shared" si="119"/>
        <v>6.4811583232000007</v>
      </c>
      <c r="Q678" s="2554">
        <f t="shared" si="119"/>
        <v>6.4798995711999998</v>
      </c>
      <c r="R678" s="2554">
        <f t="shared" si="119"/>
        <v>6.4786791167999995</v>
      </c>
      <c r="S678" s="2554">
        <f t="shared" si="119"/>
        <v>6.4780108800000011</v>
      </c>
      <c r="T678" s="2554">
        <f t="shared" si="119"/>
        <v>6.4778388223999999</v>
      </c>
      <c r="U678" s="2554">
        <f t="shared" si="119"/>
        <v>6.4775493376000011</v>
      </c>
      <c r="V678" s="2554">
        <f t="shared" si="119"/>
        <v>6.4773220863999992</v>
      </c>
      <c r="W678" s="2554">
        <f t="shared" si="119"/>
        <v>6.477526246400001</v>
      </c>
      <c r="X678" s="2554">
        <f t="shared" si="119"/>
        <v>6.4776019967999998</v>
      </c>
      <c r="Y678" s="2554">
        <f t="shared" si="119"/>
        <v>6.4781311231999998</v>
      </c>
      <c r="Z678" s="2554">
        <f t="shared" si="119"/>
        <v>6.4785470464000001</v>
      </c>
      <c r="AA678" s="2554">
        <f t="shared" si="119"/>
        <v>6.4794104320000026</v>
      </c>
      <c r="AB678" s="2554">
        <f t="shared" si="119"/>
        <v>6.4801566720000006</v>
      </c>
      <c r="AC678" s="2554">
        <f t="shared" si="119"/>
        <v>6.4813619200000003</v>
      </c>
      <c r="AD678" s="2554">
        <f t="shared" si="119"/>
        <v>6.4827409152</v>
      </c>
      <c r="AE678" s="2554">
        <f t="shared" si="119"/>
        <v>6.4840233216000005</v>
      </c>
      <c r="AF678" s="2554">
        <f t="shared" si="119"/>
        <v>6.4857664256000014</v>
      </c>
      <c r="AG678" s="2554">
        <f t="shared" si="119"/>
        <v>6.4877024255999993</v>
      </c>
      <c r="AH678" s="2554">
        <f t="shared" si="119"/>
        <v>6.4898090752000011</v>
      </c>
      <c r="AI678" s="2554">
        <f t="shared" si="119"/>
        <v>6.4918416639999998</v>
      </c>
      <c r="AJ678" s="2554">
        <f t="shared" si="119"/>
        <v>6.4943343872000003</v>
      </c>
      <c r="AK678" s="2554">
        <f t="shared" si="119"/>
        <v>6.4970338048</v>
      </c>
      <c r="AL678" s="2554">
        <f t="shared" si="119"/>
        <v>6.4999294976000002</v>
      </c>
      <c r="AM678" s="2554">
        <f t="shared" si="119"/>
        <v>6.5030259712000005</v>
      </c>
      <c r="AN678" s="2554">
        <f t="shared" si="119"/>
        <v>6.5063367424000011</v>
      </c>
      <c r="AO678" s="2554">
        <f t="shared" si="119"/>
        <v>6.5098435072000003</v>
      </c>
      <c r="AP678" s="2554">
        <f t="shared" si="119"/>
        <v>6.5135806208000009</v>
      </c>
      <c r="AQ678" s="2554">
        <f t="shared" si="119"/>
        <v>6.5175244288000007</v>
      </c>
      <c r="AR678" s="2554">
        <f t="shared" si="119"/>
        <v>6.5216830976000013</v>
      </c>
      <c r="AS678" s="2554">
        <f t="shared" si="119"/>
        <v>6.5263537152000008</v>
      </c>
    </row>
    <row r="679" spans="2:45" x14ac:dyDescent="0.2">
      <c r="B679" s="2397"/>
      <c r="C679" s="2399"/>
      <c r="D679" s="2561" t="s">
        <v>1605</v>
      </c>
      <c r="E679" s="2547"/>
      <c r="F679" s="2548" t="s">
        <v>1614</v>
      </c>
      <c r="G679" s="2554">
        <f t="shared" ref="G679:AS679" si="120">G422/10^6</f>
        <v>8.1318866087495305</v>
      </c>
      <c r="H679" s="2554">
        <f t="shared" si="120"/>
        <v>8.113840943608988</v>
      </c>
      <c r="I679" s="2554">
        <f t="shared" si="120"/>
        <v>8.1417243775845947</v>
      </c>
      <c r="J679" s="2554">
        <f t="shared" si="120"/>
        <v>8.1473564640607972</v>
      </c>
      <c r="K679" s="2554">
        <f t="shared" si="120"/>
        <v>8.1381698828203657</v>
      </c>
      <c r="L679" s="2554">
        <f t="shared" si="120"/>
        <v>8.112996013739485</v>
      </c>
      <c r="M679" s="2554">
        <f t="shared" si="120"/>
        <v>8.0673671933067652</v>
      </c>
      <c r="N679" s="2554">
        <f t="shared" si="120"/>
        <v>8.024247781101824</v>
      </c>
      <c r="O679" s="2554">
        <f t="shared" si="120"/>
        <v>7.9831499271053445</v>
      </c>
      <c r="P679" s="2554">
        <f t="shared" si="120"/>
        <v>7.9425070047411381</v>
      </c>
      <c r="Q679" s="2554">
        <f t="shared" si="120"/>
        <v>7.8999486579350959</v>
      </c>
      <c r="R679" s="2554">
        <f t="shared" si="120"/>
        <v>7.8675767710924118</v>
      </c>
      <c r="S679" s="2554">
        <f t="shared" si="120"/>
        <v>7.8432863752264117</v>
      </c>
      <c r="T679" s="2554">
        <f t="shared" si="120"/>
        <v>7.8254140927742801</v>
      </c>
      <c r="U679" s="2554">
        <f t="shared" si="120"/>
        <v>7.8126408725597773</v>
      </c>
      <c r="V679" s="2554">
        <f t="shared" si="120"/>
        <v>7.803916480592946</v>
      </c>
      <c r="W679" s="2554">
        <f t="shared" si="120"/>
        <v>7.7984047200317468</v>
      </c>
      <c r="X679" s="2554">
        <f t="shared" si="120"/>
        <v>7.7954763769390514</v>
      </c>
      <c r="Y679" s="2554">
        <f t="shared" si="120"/>
        <v>7.79462604378993</v>
      </c>
      <c r="Z679" s="2554">
        <f t="shared" si="120"/>
        <v>7.7954458754752078</v>
      </c>
      <c r="AA679" s="2554">
        <f t="shared" si="120"/>
        <v>7.7976073218727624</v>
      </c>
      <c r="AB679" s="2554">
        <f t="shared" si="120"/>
        <v>7.8008372421336736</v>
      </c>
      <c r="AC679" s="2554">
        <f t="shared" si="120"/>
        <v>7.8049241814246395</v>
      </c>
      <c r="AD679" s="2554">
        <f t="shared" si="120"/>
        <v>7.809697039861021</v>
      </c>
      <c r="AE679" s="2554">
        <f t="shared" si="120"/>
        <v>7.8150171931650032</v>
      </c>
      <c r="AF679" s="2554">
        <f t="shared" si="120"/>
        <v>7.8207731293238467</v>
      </c>
      <c r="AG679" s="2554">
        <f t="shared" si="120"/>
        <v>7.8268730497908523</v>
      </c>
      <c r="AH679" s="2554">
        <f t="shared" si="120"/>
        <v>7.8332420976804134</v>
      </c>
      <c r="AI679" s="2554">
        <f t="shared" si="120"/>
        <v>7.8398190027726491</v>
      </c>
      <c r="AJ679" s="2554">
        <f t="shared" si="120"/>
        <v>7.8465641130576458</v>
      </c>
      <c r="AK679" s="2554">
        <f t="shared" si="120"/>
        <v>7.8534327417001988</v>
      </c>
      <c r="AL679" s="2554">
        <f t="shared" si="120"/>
        <v>7.860389258114453</v>
      </c>
      <c r="AM679" s="2554">
        <f t="shared" si="120"/>
        <v>7.8674017254831092</v>
      </c>
      <c r="AN679" s="2554">
        <f t="shared" si="120"/>
        <v>7.8744446867734679</v>
      </c>
      <c r="AO679" s="2554">
        <f t="shared" si="120"/>
        <v>7.8814977107522148</v>
      </c>
      <c r="AP679" s="2554">
        <f t="shared" si="120"/>
        <v>7.8885407355162522</v>
      </c>
      <c r="AQ679" s="2554">
        <f t="shared" si="120"/>
        <v>7.8955577609951062</v>
      </c>
      <c r="AR679" s="2554">
        <f t="shared" si="120"/>
        <v>7.9025346830029646</v>
      </c>
      <c r="AS679" s="2554">
        <f t="shared" si="120"/>
        <v>7.9094589137725846</v>
      </c>
    </row>
    <row r="680" spans="2:45" x14ac:dyDescent="0.2">
      <c r="B680" s="2397"/>
      <c r="C680" s="2399"/>
      <c r="D680" s="2561" t="s">
        <v>1606</v>
      </c>
      <c r="E680" s="2547"/>
      <c r="F680" s="2548" t="s">
        <v>1614</v>
      </c>
      <c r="G680" s="2554">
        <v>0</v>
      </c>
      <c r="H680" s="2554">
        <v>0</v>
      </c>
      <c r="I680" s="2554">
        <v>0</v>
      </c>
      <c r="J680" s="2554">
        <v>0</v>
      </c>
      <c r="K680" s="2554">
        <v>0</v>
      </c>
      <c r="L680" s="2554">
        <v>0</v>
      </c>
      <c r="M680" s="2554">
        <v>0</v>
      </c>
      <c r="N680" s="2554">
        <v>0</v>
      </c>
      <c r="O680" s="2554">
        <v>0</v>
      </c>
      <c r="P680" s="2554">
        <v>0</v>
      </c>
      <c r="Q680" s="2554">
        <v>0</v>
      </c>
      <c r="R680" s="2554">
        <v>0</v>
      </c>
      <c r="S680" s="2554">
        <v>0</v>
      </c>
      <c r="T680" s="2554">
        <v>0</v>
      </c>
      <c r="U680" s="2554">
        <v>0</v>
      </c>
      <c r="V680" s="2554">
        <v>0</v>
      </c>
      <c r="W680" s="2554">
        <v>0</v>
      </c>
      <c r="X680" s="2554">
        <v>0</v>
      </c>
      <c r="Y680" s="2554">
        <v>0</v>
      </c>
      <c r="Z680" s="2554">
        <v>0</v>
      </c>
      <c r="AA680" s="2554">
        <v>0</v>
      </c>
      <c r="AB680" s="2554">
        <v>0</v>
      </c>
      <c r="AC680" s="2554">
        <v>0</v>
      </c>
      <c r="AD680" s="2554">
        <v>0</v>
      </c>
      <c r="AE680" s="2554">
        <v>0</v>
      </c>
      <c r="AF680" s="2554">
        <v>0</v>
      </c>
      <c r="AG680" s="2554">
        <v>0</v>
      </c>
      <c r="AH680" s="2554">
        <v>0</v>
      </c>
      <c r="AI680" s="2554">
        <v>0</v>
      </c>
      <c r="AJ680" s="2554">
        <v>0</v>
      </c>
      <c r="AK680" s="2554">
        <v>0</v>
      </c>
      <c r="AL680" s="2554">
        <v>0</v>
      </c>
      <c r="AM680" s="2554">
        <v>0</v>
      </c>
      <c r="AN680" s="2554">
        <v>0</v>
      </c>
      <c r="AO680" s="2554">
        <v>0</v>
      </c>
      <c r="AP680" s="2554">
        <v>0</v>
      </c>
      <c r="AQ680" s="2554">
        <v>0</v>
      </c>
      <c r="AR680" s="2554">
        <v>0</v>
      </c>
      <c r="AS680" s="2554">
        <v>0</v>
      </c>
    </row>
    <row r="681" spans="2:45" x14ac:dyDescent="0.2">
      <c r="B681" s="2397"/>
      <c r="C681" s="2399"/>
      <c r="D681" s="2561" t="s">
        <v>1607</v>
      </c>
      <c r="E681" s="2547"/>
      <c r="F681" s="2548" t="s">
        <v>1614</v>
      </c>
      <c r="G681" s="2554">
        <f t="shared" ref="G681:AS681" si="121">G486/10^6</f>
        <v>1.7386852103573218</v>
      </c>
      <c r="H681" s="2554">
        <f t="shared" si="121"/>
        <v>1.7653801513724374</v>
      </c>
      <c r="I681" s="2554">
        <f t="shared" si="121"/>
        <v>1.800596209838448</v>
      </c>
      <c r="J681" s="2554">
        <f t="shared" si="121"/>
        <v>1.8343955630641164</v>
      </c>
      <c r="K681" s="2554">
        <f t="shared" si="121"/>
        <v>1.8671467136393962</v>
      </c>
      <c r="L681" s="2554">
        <f t="shared" si="121"/>
        <v>1.8984494662500968</v>
      </c>
      <c r="M681" s="2554">
        <f t="shared" si="121"/>
        <v>1.9291233146543847</v>
      </c>
      <c r="N681" s="2554">
        <f t="shared" si="121"/>
        <v>1.9608171778139549</v>
      </c>
      <c r="O681" s="2554">
        <f t="shared" si="121"/>
        <v>1.9922092980581405</v>
      </c>
      <c r="P681" s="2554">
        <f t="shared" si="121"/>
        <v>2.0236517085826495</v>
      </c>
      <c r="Q681" s="2554">
        <f t="shared" si="121"/>
        <v>2.0548523092606263</v>
      </c>
      <c r="R681" s="2554">
        <f t="shared" si="121"/>
        <v>2.0867185077362285</v>
      </c>
      <c r="S681" s="2554">
        <f t="shared" si="121"/>
        <v>2.1190112130072114</v>
      </c>
      <c r="T681" s="2554">
        <f t="shared" si="121"/>
        <v>2.1515481407333037</v>
      </c>
      <c r="U681" s="2554">
        <f t="shared" si="121"/>
        <v>2.1841850050039708</v>
      </c>
      <c r="V681" s="2554">
        <f t="shared" si="121"/>
        <v>2.2167979790359884</v>
      </c>
      <c r="W681" s="2554">
        <f t="shared" si="121"/>
        <v>2.2492880575489766</v>
      </c>
      <c r="X681" s="2554">
        <f t="shared" si="121"/>
        <v>2.2817506801591141</v>
      </c>
      <c r="Y681" s="2554">
        <f t="shared" si="121"/>
        <v>2.3142415106169643</v>
      </c>
      <c r="Z681" s="2554">
        <f t="shared" si="121"/>
        <v>2.3467823832028469</v>
      </c>
      <c r="AA681" s="2554">
        <f t="shared" si="121"/>
        <v>2.3793769801955205</v>
      </c>
      <c r="AB681" s="2554">
        <f t="shared" si="121"/>
        <v>2.4119791604448122</v>
      </c>
      <c r="AC681" s="2554">
        <f t="shared" si="121"/>
        <v>2.4445850510616878</v>
      </c>
      <c r="AD681" s="2554">
        <f t="shared" si="121"/>
        <v>2.4771823508130852</v>
      </c>
      <c r="AE681" s="2554">
        <f t="shared" si="121"/>
        <v>2.5097534138364588</v>
      </c>
      <c r="AF681" s="2554">
        <f t="shared" si="121"/>
        <v>2.5422817969977496</v>
      </c>
      <c r="AG681" s="2554">
        <f t="shared" si="121"/>
        <v>2.5747430470833459</v>
      </c>
      <c r="AH681" s="2554">
        <f t="shared" si="121"/>
        <v>2.6071119110719181</v>
      </c>
      <c r="AI681" s="2554">
        <f t="shared" si="121"/>
        <v>2.639362688427151</v>
      </c>
      <c r="AJ681" s="2554">
        <f t="shared" si="121"/>
        <v>2.6715180772929776</v>
      </c>
      <c r="AK681" s="2554">
        <f t="shared" si="121"/>
        <v>2.7035371481856778</v>
      </c>
      <c r="AL681" s="2554">
        <f t="shared" si="121"/>
        <v>2.7353889671932752</v>
      </c>
      <c r="AM681" s="2554">
        <f t="shared" si="121"/>
        <v>2.7670342661148037</v>
      </c>
      <c r="AN681" s="2554">
        <f t="shared" si="121"/>
        <v>2.7984431740710143</v>
      </c>
      <c r="AO681" s="2554">
        <f t="shared" si="121"/>
        <v>2.8295923644457965</v>
      </c>
      <c r="AP681" s="2554">
        <f t="shared" si="121"/>
        <v>2.8604472225163464</v>
      </c>
      <c r="AQ681" s="2554">
        <f t="shared" si="121"/>
        <v>2.8909812686991638</v>
      </c>
      <c r="AR681" s="2554">
        <f t="shared" si="121"/>
        <v>2.9211682757012323</v>
      </c>
      <c r="AS681" s="2554">
        <f t="shared" si="121"/>
        <v>2.9509822277817608</v>
      </c>
    </row>
    <row r="682" spans="2:45" x14ac:dyDescent="0.2">
      <c r="B682" s="2397"/>
      <c r="C682" s="2399"/>
      <c r="D682" s="2560" t="s">
        <v>1608</v>
      </c>
      <c r="E682" s="2547"/>
      <c r="F682" s="2548" t="s">
        <v>1614</v>
      </c>
      <c r="G682" s="2554">
        <f>G683+G684</f>
        <v>2.8648989333912382</v>
      </c>
      <c r="H682" s="2554">
        <f t="shared" ref="H682:AS682" si="122">H683+H684</f>
        <v>2.8713409198575377</v>
      </c>
      <c r="I682" s="2554">
        <f t="shared" si="122"/>
        <v>2.8931024142930082</v>
      </c>
      <c r="J682" s="2554">
        <f t="shared" si="122"/>
        <v>2.9085686072563774</v>
      </c>
      <c r="K682" s="2554">
        <f t="shared" si="122"/>
        <v>2.919802238915632</v>
      </c>
      <c r="L682" s="2554">
        <f t="shared" si="122"/>
        <v>2.9263379713613786</v>
      </c>
      <c r="M682" s="2554">
        <f t="shared" si="122"/>
        <v>2.9273626173402096</v>
      </c>
      <c r="N682" s="2554">
        <f t="shared" si="122"/>
        <v>2.929447998076407</v>
      </c>
      <c r="O682" s="2554">
        <f t="shared" si="122"/>
        <v>2.9319275259793143</v>
      </c>
      <c r="P682" s="2554">
        <f t="shared" si="122"/>
        <v>2.9345419460122431</v>
      </c>
      <c r="Q682" s="2554">
        <f t="shared" si="122"/>
        <v>2.9365615654410115</v>
      </c>
      <c r="R682" s="2554">
        <f t="shared" si="122"/>
        <v>2.9414785700450361</v>
      </c>
      <c r="S682" s="2554">
        <f t="shared" si="122"/>
        <v>2.948650158503638</v>
      </c>
      <c r="T682" s="2554">
        <f t="shared" si="122"/>
        <v>2.9575717278678662</v>
      </c>
      <c r="U682" s="2554">
        <f t="shared" si="122"/>
        <v>2.9678436364961809</v>
      </c>
      <c r="V682" s="2554">
        <f t="shared" si="122"/>
        <v>2.979144240832591</v>
      </c>
      <c r="W682" s="2554">
        <f t="shared" si="122"/>
        <v>2.9912174613576683</v>
      </c>
      <c r="X682" s="2554">
        <f t="shared" si="122"/>
        <v>3.0039413333617722</v>
      </c>
      <c r="Y682" s="2554">
        <f t="shared" si="122"/>
        <v>3.0172092050703405</v>
      </c>
      <c r="Z682" s="2554">
        <f t="shared" si="122"/>
        <v>3.030925452622518</v>
      </c>
      <c r="AA682" s="2554">
        <f t="shared" si="122"/>
        <v>3.0450072925249358</v>
      </c>
      <c r="AB682" s="2554">
        <f t="shared" si="122"/>
        <v>3.0593654831400174</v>
      </c>
      <c r="AC682" s="2554">
        <f t="shared" si="122"/>
        <v>3.073944195420403</v>
      </c>
      <c r="AD682" s="2554">
        <f t="shared" si="122"/>
        <v>3.0886944573836659</v>
      </c>
      <c r="AE682" s="2554">
        <f t="shared" si="122"/>
        <v>3.103573412217127</v>
      </c>
      <c r="AF682" s="2554">
        <f t="shared" si="122"/>
        <v>3.1185456607162783</v>
      </c>
      <c r="AG682" s="2554">
        <f t="shared" si="122"/>
        <v>3.1335775344850121</v>
      </c>
      <c r="AH682" s="2554">
        <f t="shared" si="122"/>
        <v>3.1486393808043833</v>
      </c>
      <c r="AI682" s="2554">
        <f t="shared" si="122"/>
        <v>3.1637048475328338</v>
      </c>
      <c r="AJ682" s="2554">
        <f t="shared" si="122"/>
        <v>3.1787732282463592</v>
      </c>
      <c r="AK682" s="2554">
        <f t="shared" si="122"/>
        <v>3.1938160905259245</v>
      </c>
      <c r="AL682" s="2554">
        <f t="shared" si="122"/>
        <v>3.2088114828811731</v>
      </c>
      <c r="AM682" s="2554">
        <f t="shared" si="122"/>
        <v>3.2237349432738869</v>
      </c>
      <c r="AN682" s="2554">
        <f t="shared" si="122"/>
        <v>3.238567577717729</v>
      </c>
      <c r="AO682" s="2554">
        <f t="shared" si="122"/>
        <v>3.2532944992913726</v>
      </c>
      <c r="AP682" s="2554">
        <f t="shared" si="122"/>
        <v>3.2678962283238739</v>
      </c>
      <c r="AQ682" s="2554">
        <f t="shared" si="122"/>
        <v>3.2823577066923812</v>
      </c>
      <c r="AR682" s="2554">
        <f t="shared" si="122"/>
        <v>3.2966644671601708</v>
      </c>
      <c r="AS682" s="2554">
        <f t="shared" si="122"/>
        <v>3.3108025192778165</v>
      </c>
    </row>
    <row r="683" spans="2:45" x14ac:dyDescent="0.2">
      <c r="B683" s="2397"/>
      <c r="C683" s="2399"/>
      <c r="D683" s="2561" t="s">
        <v>1609</v>
      </c>
      <c r="E683" s="2547"/>
      <c r="F683" s="2548" t="s">
        <v>1614</v>
      </c>
      <c r="G683" s="2558">
        <f t="shared" ref="G683:AS683" si="123">(G443+G508)/10^6</f>
        <v>1.348187733360583</v>
      </c>
      <c r="H683" s="2554">
        <f t="shared" si="123"/>
        <v>1.3512192564035472</v>
      </c>
      <c r="I683" s="2554">
        <f t="shared" si="123"/>
        <v>1.361459959667298</v>
      </c>
      <c r="J683" s="2554">
        <f t="shared" si="123"/>
        <v>1.3687381681206483</v>
      </c>
      <c r="K683" s="2554">
        <f t="shared" si="123"/>
        <v>1.3740245830191209</v>
      </c>
      <c r="L683" s="2554">
        <f t="shared" si="123"/>
        <v>1.3771002218171196</v>
      </c>
      <c r="M683" s="2554">
        <f t="shared" si="123"/>
        <v>1.3775824081600989</v>
      </c>
      <c r="N683" s="2554">
        <f t="shared" si="123"/>
        <v>1.378563763800662</v>
      </c>
      <c r="O683" s="2554">
        <f t="shared" si="123"/>
        <v>1.3797306004608538</v>
      </c>
      <c r="P683" s="2554">
        <f t="shared" si="123"/>
        <v>1.3809609157704674</v>
      </c>
      <c r="Q683" s="2554">
        <f t="shared" si="123"/>
        <v>1.3819113249134174</v>
      </c>
      <c r="R683" s="2554">
        <f t="shared" si="123"/>
        <v>1.3842252094329581</v>
      </c>
      <c r="S683" s="2554">
        <f t="shared" si="123"/>
        <v>1.3876000745899475</v>
      </c>
      <c r="T683" s="2554">
        <f t="shared" si="123"/>
        <v>1.3917984601731137</v>
      </c>
      <c r="U683" s="2554">
        <f t="shared" si="123"/>
        <v>1.3966322995276148</v>
      </c>
      <c r="V683" s="2554">
        <f t="shared" si="123"/>
        <v>1.4019502309800431</v>
      </c>
      <c r="W683" s="2554">
        <f t="shared" si="123"/>
        <v>1.4076317465212558</v>
      </c>
      <c r="X683" s="2554">
        <f t="shared" si="123"/>
        <v>1.4136194509937752</v>
      </c>
      <c r="Y683" s="2554">
        <f t="shared" si="123"/>
        <v>1.4198631553272192</v>
      </c>
      <c r="Z683" s="2554">
        <f t="shared" si="123"/>
        <v>1.4263178600576556</v>
      </c>
      <c r="AA683" s="2554">
        <f t="shared" si="123"/>
        <v>1.4329446082470287</v>
      </c>
      <c r="AB683" s="2554">
        <f t="shared" si="123"/>
        <v>1.4397014038305966</v>
      </c>
      <c r="AC683" s="2554">
        <f t="shared" si="123"/>
        <v>1.4465619743154841</v>
      </c>
      <c r="AD683" s="2554">
        <f t="shared" si="123"/>
        <v>1.4535032740629017</v>
      </c>
      <c r="AE683" s="2554">
        <f t="shared" si="123"/>
        <v>1.460505135161001</v>
      </c>
      <c r="AF683" s="2554">
        <f t="shared" si="123"/>
        <v>1.4675508991606017</v>
      </c>
      <c r="AG683" s="2554">
        <f t="shared" si="123"/>
        <v>1.4746247221105939</v>
      </c>
      <c r="AH683" s="2554">
        <f t="shared" si="123"/>
        <v>1.4817126497902982</v>
      </c>
      <c r="AI683" s="2554">
        <f t="shared" si="123"/>
        <v>1.4888022811919221</v>
      </c>
      <c r="AJ683" s="2554">
        <f t="shared" si="123"/>
        <v>1.4958932838806398</v>
      </c>
      <c r="AK683" s="2554">
        <f t="shared" si="123"/>
        <v>1.5029722778945529</v>
      </c>
      <c r="AL683" s="2554">
        <f t="shared" si="123"/>
        <v>1.5100289331205523</v>
      </c>
      <c r="AM683" s="2554">
        <f t="shared" si="123"/>
        <v>1.5170517380112409</v>
      </c>
      <c r="AN683" s="2554">
        <f t="shared" si="123"/>
        <v>1.5240318012789311</v>
      </c>
      <c r="AO683" s="2554">
        <f t="shared" si="123"/>
        <v>1.530962117313587</v>
      </c>
      <c r="AP683" s="2554">
        <f t="shared" si="123"/>
        <v>1.5378335192112349</v>
      </c>
      <c r="AQ683" s="2554">
        <f t="shared" si="123"/>
        <v>1.5446389207964151</v>
      </c>
      <c r="AR683" s="2554">
        <f t="shared" si="123"/>
        <v>1.5513715139577275</v>
      </c>
      <c r="AS683" s="2554">
        <f t="shared" si="123"/>
        <v>1.5580247149542668</v>
      </c>
    </row>
    <row r="684" spans="2:45" x14ac:dyDescent="0.2">
      <c r="B684" s="2397"/>
      <c r="C684" s="2399"/>
      <c r="D684" s="2561" t="s">
        <v>1610</v>
      </c>
      <c r="E684" s="2547"/>
      <c r="F684" s="2548" t="s">
        <v>1614</v>
      </c>
      <c r="G684" s="2558">
        <f t="shared" ref="G684:AS684" si="124">(G464+G530)/10^6</f>
        <v>1.5167112000306555</v>
      </c>
      <c r="H684" s="2554">
        <f t="shared" si="124"/>
        <v>1.5201216634539907</v>
      </c>
      <c r="I684" s="2554">
        <f t="shared" si="124"/>
        <v>1.5316424546257101</v>
      </c>
      <c r="J684" s="2554">
        <f t="shared" si="124"/>
        <v>1.5398304391357294</v>
      </c>
      <c r="K684" s="2554">
        <f t="shared" si="124"/>
        <v>1.5457776558965108</v>
      </c>
      <c r="L684" s="2554">
        <f t="shared" si="124"/>
        <v>1.5492377495442591</v>
      </c>
      <c r="M684" s="2554">
        <f t="shared" si="124"/>
        <v>1.5497802091801105</v>
      </c>
      <c r="N684" s="2554">
        <f t="shared" si="124"/>
        <v>1.5508842342757447</v>
      </c>
      <c r="O684" s="2554">
        <f t="shared" si="124"/>
        <v>1.5521969255184607</v>
      </c>
      <c r="P684" s="2554">
        <f t="shared" si="124"/>
        <v>1.5535810302417759</v>
      </c>
      <c r="Q684" s="2554">
        <f t="shared" si="124"/>
        <v>1.5546502405275944</v>
      </c>
      <c r="R684" s="2554">
        <f t="shared" si="124"/>
        <v>1.557253360612078</v>
      </c>
      <c r="S684" s="2554">
        <f t="shared" si="124"/>
        <v>1.5610500839136905</v>
      </c>
      <c r="T684" s="2554">
        <f t="shared" si="124"/>
        <v>1.5657732676947527</v>
      </c>
      <c r="U684" s="2554">
        <f t="shared" si="124"/>
        <v>1.5712113369685661</v>
      </c>
      <c r="V684" s="2554">
        <f t="shared" si="124"/>
        <v>1.5771940098525481</v>
      </c>
      <c r="W684" s="2554">
        <f t="shared" si="124"/>
        <v>1.5835857148364125</v>
      </c>
      <c r="X684" s="2554">
        <f t="shared" si="124"/>
        <v>1.5903218823679968</v>
      </c>
      <c r="Y684" s="2554">
        <f t="shared" si="124"/>
        <v>1.5973460497431216</v>
      </c>
      <c r="Z684" s="2554">
        <f t="shared" si="124"/>
        <v>1.6046075925648622</v>
      </c>
      <c r="AA684" s="2554">
        <f t="shared" si="124"/>
        <v>1.6120626842779071</v>
      </c>
      <c r="AB684" s="2554">
        <f t="shared" si="124"/>
        <v>1.6196640793094208</v>
      </c>
      <c r="AC684" s="2554">
        <f t="shared" si="124"/>
        <v>1.6273822211049189</v>
      </c>
      <c r="AD684" s="2554">
        <f t="shared" si="124"/>
        <v>1.6351911833207642</v>
      </c>
      <c r="AE684" s="2554">
        <f t="shared" si="124"/>
        <v>1.6430682770561258</v>
      </c>
      <c r="AF684" s="2554">
        <f t="shared" si="124"/>
        <v>1.6509947615556764</v>
      </c>
      <c r="AG684" s="2554">
        <f t="shared" si="124"/>
        <v>1.6589528123744182</v>
      </c>
      <c r="AH684" s="2554">
        <f t="shared" si="124"/>
        <v>1.6669267310140852</v>
      </c>
      <c r="AI684" s="2554">
        <f t="shared" si="124"/>
        <v>1.6749025663409116</v>
      </c>
      <c r="AJ684" s="2554">
        <f t="shared" si="124"/>
        <v>1.6828799443657192</v>
      </c>
      <c r="AK684" s="2554">
        <f t="shared" si="124"/>
        <v>1.6908438126313718</v>
      </c>
      <c r="AL684" s="2554">
        <f t="shared" si="124"/>
        <v>1.698782549760621</v>
      </c>
      <c r="AM684" s="2554">
        <f t="shared" si="124"/>
        <v>1.7066832052626462</v>
      </c>
      <c r="AN684" s="2554">
        <f t="shared" si="124"/>
        <v>1.7145357764387978</v>
      </c>
      <c r="AO684" s="2554">
        <f t="shared" si="124"/>
        <v>1.7223323819777856</v>
      </c>
      <c r="AP684" s="2554">
        <f t="shared" si="124"/>
        <v>1.730062709112639</v>
      </c>
      <c r="AQ684" s="2554">
        <f t="shared" si="124"/>
        <v>1.7377187858959664</v>
      </c>
      <c r="AR684" s="2554">
        <f t="shared" si="124"/>
        <v>1.7452929532024433</v>
      </c>
      <c r="AS684" s="2554">
        <f t="shared" si="124"/>
        <v>1.7527778043235498</v>
      </c>
    </row>
    <row r="685" spans="2:45" x14ac:dyDescent="0.2">
      <c r="B685" s="2397"/>
      <c r="C685" s="2399"/>
      <c r="D685" s="2547" t="s">
        <v>1611</v>
      </c>
      <c r="E685" s="2547"/>
      <c r="F685" s="2548" t="s">
        <v>1614</v>
      </c>
      <c r="G685" s="2557">
        <f t="shared" ref="G685:AS685" si="125">(G508+G530)/10^6</f>
        <v>0.73894121440186189</v>
      </c>
      <c r="H685" s="2554">
        <f t="shared" si="125"/>
        <v>0.75028656433328589</v>
      </c>
      <c r="I685" s="2554">
        <f t="shared" si="125"/>
        <v>0.76525338918134034</v>
      </c>
      <c r="J685" s="2554">
        <f t="shared" si="125"/>
        <v>0.77961811430224937</v>
      </c>
      <c r="K685" s="2554">
        <f t="shared" si="125"/>
        <v>0.79353735329674324</v>
      </c>
      <c r="L685" s="2554">
        <f t="shared" si="125"/>
        <v>0.80684102315629125</v>
      </c>
      <c r="M685" s="2554">
        <f t="shared" si="125"/>
        <v>0.81987740872811343</v>
      </c>
      <c r="N685" s="2554">
        <f t="shared" si="125"/>
        <v>0.83334730057093098</v>
      </c>
      <c r="O685" s="2554">
        <f t="shared" si="125"/>
        <v>0.8466889516747097</v>
      </c>
      <c r="P685" s="2554">
        <f t="shared" si="125"/>
        <v>0.86005197614762585</v>
      </c>
      <c r="Q685" s="2554">
        <f t="shared" si="125"/>
        <v>0.87331223143576631</v>
      </c>
      <c r="R685" s="2554">
        <f t="shared" si="125"/>
        <v>0.88685536578789681</v>
      </c>
      <c r="S685" s="2554">
        <f t="shared" si="125"/>
        <v>0.90057976552806474</v>
      </c>
      <c r="T685" s="2554">
        <f t="shared" si="125"/>
        <v>0.9144079598116539</v>
      </c>
      <c r="U685" s="2554">
        <f t="shared" si="125"/>
        <v>0.92827862712668763</v>
      </c>
      <c r="V685" s="2554">
        <f t="shared" si="125"/>
        <v>0.94213914109029506</v>
      </c>
      <c r="W685" s="2554">
        <f t="shared" si="125"/>
        <v>0.95594742445831493</v>
      </c>
      <c r="X685" s="2554">
        <f t="shared" si="125"/>
        <v>0.96974403906762352</v>
      </c>
      <c r="Y685" s="2554">
        <f t="shared" si="125"/>
        <v>0.98355264201220982</v>
      </c>
      <c r="Z685" s="2554">
        <f t="shared" si="125"/>
        <v>0.99738251286120982</v>
      </c>
      <c r="AA685" s="2554">
        <f t="shared" si="125"/>
        <v>1.0112352165830962</v>
      </c>
      <c r="AB685" s="2554">
        <f t="shared" si="125"/>
        <v>1.0250911431890453</v>
      </c>
      <c r="AC685" s="2554">
        <f t="shared" si="125"/>
        <v>1.0389486467012172</v>
      </c>
      <c r="AD685" s="2554">
        <f t="shared" si="125"/>
        <v>1.0528024990955611</v>
      </c>
      <c r="AE685" s="2554">
        <f t="shared" si="125"/>
        <v>1.066645200880495</v>
      </c>
      <c r="AF685" s="2554">
        <f t="shared" si="125"/>
        <v>1.0804697637240435</v>
      </c>
      <c r="AG685" s="2554">
        <f t="shared" si="125"/>
        <v>1.094265795010422</v>
      </c>
      <c r="AH685" s="2554">
        <f t="shared" si="125"/>
        <v>1.1080225622055651</v>
      </c>
      <c r="AI685" s="2554">
        <f t="shared" si="125"/>
        <v>1.1217291425815392</v>
      </c>
      <c r="AJ685" s="2554">
        <f t="shared" si="125"/>
        <v>1.1353951828495157</v>
      </c>
      <c r="AK685" s="2554">
        <f t="shared" si="125"/>
        <v>1.1490032879789132</v>
      </c>
      <c r="AL685" s="2554">
        <f t="shared" si="125"/>
        <v>1.1625403110571417</v>
      </c>
      <c r="AM685" s="2554">
        <f t="shared" si="125"/>
        <v>1.1759895630987915</v>
      </c>
      <c r="AN685" s="2554">
        <f t="shared" si="125"/>
        <v>1.1893383489801812</v>
      </c>
      <c r="AO685" s="2554">
        <f t="shared" si="125"/>
        <v>1.2025767548894635</v>
      </c>
      <c r="AP685" s="2554">
        <f t="shared" si="125"/>
        <v>1.215690069569447</v>
      </c>
      <c r="AQ685" s="2554">
        <f t="shared" si="125"/>
        <v>1.2286670391971446</v>
      </c>
      <c r="AR685" s="2554">
        <f t="shared" si="125"/>
        <v>1.2414965171730239</v>
      </c>
      <c r="AS685" s="2554">
        <f t="shared" si="125"/>
        <v>1.2541674468072486</v>
      </c>
    </row>
    <row r="686" spans="2:45" x14ac:dyDescent="0.2">
      <c r="B686" s="2397"/>
      <c r="C686" s="2399"/>
      <c r="D686" s="2551" t="s">
        <v>1612</v>
      </c>
      <c r="E686" s="2547"/>
      <c r="F686" s="2548" t="s">
        <v>1614</v>
      </c>
      <c r="G686" s="2554">
        <v>0</v>
      </c>
      <c r="H686" s="2554">
        <v>0</v>
      </c>
      <c r="I686" s="2554">
        <v>0</v>
      </c>
      <c r="J686" s="2554">
        <v>0</v>
      </c>
      <c r="K686" s="2554">
        <v>0</v>
      </c>
      <c r="L686" s="2554">
        <v>0</v>
      </c>
      <c r="M686" s="2554">
        <v>0</v>
      </c>
      <c r="N686" s="2554">
        <v>0</v>
      </c>
      <c r="O686" s="2554">
        <v>0</v>
      </c>
      <c r="P686" s="2554">
        <v>0</v>
      </c>
      <c r="Q686" s="2554">
        <v>0</v>
      </c>
      <c r="R686" s="2554">
        <v>0</v>
      </c>
      <c r="S686" s="2554">
        <v>0</v>
      </c>
      <c r="T686" s="2554">
        <v>0</v>
      </c>
      <c r="U686" s="2554">
        <v>0</v>
      </c>
      <c r="V686" s="2554">
        <v>0</v>
      </c>
      <c r="W686" s="2554">
        <v>0</v>
      </c>
      <c r="X686" s="2554">
        <v>0</v>
      </c>
      <c r="Y686" s="2554">
        <v>0</v>
      </c>
      <c r="Z686" s="2554">
        <v>0</v>
      </c>
      <c r="AA686" s="2554">
        <v>0</v>
      </c>
      <c r="AB686" s="2554">
        <v>0</v>
      </c>
      <c r="AC686" s="2554">
        <v>0</v>
      </c>
      <c r="AD686" s="2554">
        <v>0</v>
      </c>
      <c r="AE686" s="2554">
        <v>0</v>
      </c>
      <c r="AF686" s="2554">
        <v>0</v>
      </c>
      <c r="AG686" s="2554">
        <v>0</v>
      </c>
      <c r="AH686" s="2554">
        <v>0</v>
      </c>
      <c r="AI686" s="2554">
        <v>0</v>
      </c>
      <c r="AJ686" s="2554">
        <v>0</v>
      </c>
      <c r="AK686" s="2554">
        <v>0</v>
      </c>
      <c r="AL686" s="2554">
        <v>0</v>
      </c>
      <c r="AM686" s="2554">
        <v>0</v>
      </c>
      <c r="AN686" s="2554">
        <v>0</v>
      </c>
      <c r="AO686" s="2554">
        <v>0</v>
      </c>
      <c r="AP686" s="2554">
        <v>0</v>
      </c>
      <c r="AQ686" s="2554">
        <v>0</v>
      </c>
      <c r="AR686" s="2554">
        <v>0</v>
      </c>
      <c r="AS686" s="2554">
        <v>0</v>
      </c>
    </row>
    <row r="687" spans="2:45" x14ac:dyDescent="0.2">
      <c r="B687" s="2397"/>
      <c r="C687" s="2193"/>
      <c r="D687" s="2564" t="s">
        <v>118</v>
      </c>
      <c r="E687" s="2564"/>
      <c r="F687" s="2565" t="s">
        <v>1614</v>
      </c>
      <c r="G687" s="2566">
        <f>G686+G685+G676+G675+G674</f>
        <v>19.825381822899953</v>
      </c>
      <c r="H687" s="2566">
        <f t="shared" ref="H687:AS687" si="126">H686+H685+H676+H675+H674</f>
        <v>20.02382647357225</v>
      </c>
      <c r="I687" s="2566">
        <f t="shared" si="126"/>
        <v>20.11695811889739</v>
      </c>
      <c r="J687" s="2566">
        <f t="shared" si="126"/>
        <v>20.177554236683541</v>
      </c>
      <c r="K687" s="2566">
        <f t="shared" si="126"/>
        <v>20.219184649472137</v>
      </c>
      <c r="L687" s="2566">
        <f t="shared" si="126"/>
        <v>20.238707956107248</v>
      </c>
      <c r="M687" s="2566">
        <f t="shared" si="126"/>
        <v>20.231982079629471</v>
      </c>
      <c r="N687" s="2566">
        <f t="shared" si="126"/>
        <v>20.233280033563116</v>
      </c>
      <c r="O687" s="2566">
        <f t="shared" si="126"/>
        <v>20.237049750817512</v>
      </c>
      <c r="P687" s="2566">
        <f t="shared" si="126"/>
        <v>20.241910958683658</v>
      </c>
      <c r="Q687" s="2566">
        <f t="shared" si="126"/>
        <v>20.2445743352725</v>
      </c>
      <c r="R687" s="2566">
        <f t="shared" si="126"/>
        <v>20.261308331461574</v>
      </c>
      <c r="S687" s="2566">
        <f t="shared" si="126"/>
        <v>20.289538392265328</v>
      </c>
      <c r="T687" s="2566">
        <f t="shared" si="126"/>
        <v>20.326780743587104</v>
      </c>
      <c r="U687" s="2566">
        <f t="shared" si="126"/>
        <v>20.370497478786618</v>
      </c>
      <c r="V687" s="2566">
        <f t="shared" si="126"/>
        <v>20.419319927951818</v>
      </c>
      <c r="W687" s="2566">
        <f t="shared" si="126"/>
        <v>20.472383909796708</v>
      </c>
      <c r="X687" s="2566">
        <f t="shared" si="126"/>
        <v>20.528514426327561</v>
      </c>
      <c r="Y687" s="2566">
        <f t="shared" si="126"/>
        <v>20.587760524689443</v>
      </c>
      <c r="Z687" s="2566">
        <f t="shared" si="126"/>
        <v>20.649083270561785</v>
      </c>
      <c r="AA687" s="2566">
        <f t="shared" si="126"/>
        <v>20.712637243176317</v>
      </c>
      <c r="AB687" s="2566">
        <f t="shared" si="126"/>
        <v>20.777429700907547</v>
      </c>
      <c r="AC687" s="2566">
        <f t="shared" si="126"/>
        <v>20.843763994607947</v>
      </c>
      <c r="AD687" s="2566">
        <f t="shared" si="126"/>
        <v>20.911117262353336</v>
      </c>
      <c r="AE687" s="2566">
        <f t="shared" si="126"/>
        <v>20.979012541699085</v>
      </c>
      <c r="AF687" s="2566">
        <f t="shared" si="126"/>
        <v>21.047836776361919</v>
      </c>
      <c r="AG687" s="2566">
        <f t="shared" si="126"/>
        <v>21.117161851969634</v>
      </c>
      <c r="AH687" s="2566">
        <f t="shared" si="126"/>
        <v>21.186825026962282</v>
      </c>
      <c r="AI687" s="2566">
        <f t="shared" si="126"/>
        <v>21.256457345314175</v>
      </c>
      <c r="AJ687" s="2566">
        <f t="shared" si="126"/>
        <v>21.326584988646498</v>
      </c>
      <c r="AK687" s="2566">
        <f t="shared" si="126"/>
        <v>21.396823073190713</v>
      </c>
      <c r="AL687" s="2566">
        <f t="shared" si="126"/>
        <v>21.467059516846042</v>
      </c>
      <c r="AM687" s="2566">
        <f t="shared" si="126"/>
        <v>21.537186469170592</v>
      </c>
      <c r="AN687" s="2566">
        <f t="shared" si="126"/>
        <v>21.607130529942395</v>
      </c>
      <c r="AO687" s="2566">
        <f t="shared" si="126"/>
        <v>21.676804836578846</v>
      </c>
      <c r="AP687" s="2566">
        <f t="shared" si="126"/>
        <v>21.746154876725921</v>
      </c>
      <c r="AQ687" s="2566">
        <f t="shared" si="126"/>
        <v>21.815088204383795</v>
      </c>
      <c r="AR687" s="2566">
        <f t="shared" si="126"/>
        <v>21.883547040637392</v>
      </c>
      <c r="AS687" s="2566">
        <f t="shared" si="126"/>
        <v>21.951764822839412</v>
      </c>
    </row>
    <row r="688" spans="2:45" x14ac:dyDescent="0.2">
      <c r="B688" s="2397"/>
      <c r="C688" s="2569"/>
      <c r="D688" s="2569"/>
      <c r="E688" s="2569"/>
      <c r="F688" s="2570"/>
      <c r="G688" s="2571"/>
      <c r="H688" s="2571"/>
      <c r="I688" s="2571"/>
      <c r="J688" s="2571"/>
      <c r="K688" s="2571"/>
      <c r="L688" s="2571"/>
      <c r="M688" s="2571"/>
      <c r="N688" s="2571"/>
      <c r="O688" s="2571"/>
      <c r="P688" s="2571"/>
      <c r="Q688" s="2571"/>
      <c r="R688" s="2571"/>
      <c r="S688" s="2571"/>
      <c r="T688" s="2571"/>
      <c r="U688" s="2571"/>
      <c r="V688" s="2571"/>
      <c r="W688" s="2571"/>
      <c r="X688" s="2571"/>
      <c r="Y688" s="2571"/>
      <c r="Z688" s="2571"/>
      <c r="AA688" s="2571"/>
      <c r="AB688" s="2571"/>
      <c r="AC688" s="2571"/>
      <c r="AD688" s="2571"/>
      <c r="AE688" s="2571"/>
      <c r="AF688" s="2571"/>
      <c r="AG688" s="2571"/>
      <c r="AH688" s="2571"/>
      <c r="AI688" s="2571"/>
      <c r="AJ688" s="2571"/>
      <c r="AK688" s="2571"/>
      <c r="AL688" s="2571"/>
      <c r="AM688" s="2571"/>
      <c r="AN688" s="2571"/>
      <c r="AO688" s="2571"/>
      <c r="AP688" s="2571"/>
      <c r="AQ688" s="2571"/>
      <c r="AR688" s="2571"/>
      <c r="AS688" s="2571"/>
    </row>
    <row r="689" spans="2:45" x14ac:dyDescent="0.2">
      <c r="B689" s="2397"/>
      <c r="C689" s="2187" t="s">
        <v>1615</v>
      </c>
      <c r="D689" s="2399"/>
      <c r="E689" s="2400"/>
      <c r="F689" s="2400"/>
      <c r="G689" s="2400"/>
      <c r="H689" s="2400"/>
      <c r="I689" s="2400"/>
      <c r="J689" s="2400"/>
      <c r="K689" s="2400"/>
      <c r="L689" s="2400"/>
      <c r="M689" s="2400"/>
      <c r="N689" s="2400"/>
      <c r="O689" s="2571"/>
      <c r="P689" s="2571"/>
      <c r="Q689" s="2571"/>
      <c r="R689" s="2571"/>
      <c r="S689" s="2571"/>
      <c r="T689" s="2571"/>
      <c r="U689" s="2571"/>
      <c r="V689" s="2571"/>
      <c r="W689" s="2571"/>
      <c r="X689" s="2571"/>
      <c r="Y689" s="2571"/>
      <c r="Z689" s="2571"/>
      <c r="AA689" s="2571"/>
      <c r="AB689" s="2571"/>
      <c r="AC689" s="2571"/>
      <c r="AD689" s="2571"/>
      <c r="AE689" s="2571"/>
      <c r="AF689" s="2571"/>
      <c r="AG689" s="2571"/>
      <c r="AH689" s="2571"/>
      <c r="AI689" s="2571"/>
      <c r="AJ689" s="2571"/>
      <c r="AK689" s="2571"/>
      <c r="AL689" s="2571"/>
      <c r="AM689" s="2571"/>
      <c r="AN689" s="2571"/>
      <c r="AO689" s="2571"/>
      <c r="AP689" s="2571"/>
      <c r="AQ689" s="2571"/>
      <c r="AR689" s="2571"/>
      <c r="AS689" s="2571"/>
    </row>
    <row r="690" spans="2:45" x14ac:dyDescent="0.2">
      <c r="B690" s="2397"/>
      <c r="C690" s="2555" t="s">
        <v>146</v>
      </c>
      <c r="D690" s="2555" t="s">
        <v>242</v>
      </c>
      <c r="E690" s="2546" t="s">
        <v>8</v>
      </c>
      <c r="F690" s="2556"/>
      <c r="G690" s="2546">
        <v>2012</v>
      </c>
      <c r="H690" s="2546">
        <v>2013</v>
      </c>
      <c r="I690" s="2546">
        <v>2014</v>
      </c>
      <c r="J690" s="2546">
        <v>2015</v>
      </c>
      <c r="K690" s="2546">
        <v>2016</v>
      </c>
      <c r="L690" s="2546">
        <v>2017</v>
      </c>
      <c r="M690" s="2546">
        <v>2018</v>
      </c>
      <c r="N690" s="2546">
        <v>2019</v>
      </c>
      <c r="O690" s="2546">
        <v>2020</v>
      </c>
      <c r="P690" s="2546">
        <v>2021</v>
      </c>
      <c r="Q690" s="2546">
        <v>2022</v>
      </c>
      <c r="R690" s="2546">
        <v>2023</v>
      </c>
      <c r="S690" s="2546">
        <v>2024</v>
      </c>
      <c r="T690" s="2546">
        <v>2025</v>
      </c>
      <c r="U690" s="2546">
        <v>2026</v>
      </c>
      <c r="V690" s="2546">
        <v>2027</v>
      </c>
      <c r="W690" s="2546">
        <v>2028</v>
      </c>
      <c r="X690" s="2546">
        <v>2029</v>
      </c>
      <c r="Y690" s="2546">
        <v>2030</v>
      </c>
      <c r="Z690" s="2546">
        <v>2031</v>
      </c>
      <c r="AA690" s="2546">
        <v>2032</v>
      </c>
      <c r="AB690" s="2546">
        <v>2033</v>
      </c>
      <c r="AC690" s="2546">
        <v>2034</v>
      </c>
      <c r="AD690" s="2546">
        <v>2035</v>
      </c>
      <c r="AE690" s="2546">
        <v>2036</v>
      </c>
      <c r="AF690" s="2546">
        <v>2037</v>
      </c>
      <c r="AG690" s="2546">
        <v>2038</v>
      </c>
      <c r="AH690" s="2546">
        <v>2039</v>
      </c>
      <c r="AI690" s="2546">
        <v>2040</v>
      </c>
      <c r="AJ690" s="2546">
        <v>2041</v>
      </c>
      <c r="AK690" s="2546">
        <v>2042</v>
      </c>
      <c r="AL690" s="2546">
        <v>2043</v>
      </c>
      <c r="AM690" s="2546">
        <v>2044</v>
      </c>
      <c r="AN690" s="2546">
        <v>2045</v>
      </c>
      <c r="AO690" s="2546">
        <v>2046</v>
      </c>
      <c r="AP690" s="2546">
        <v>2047</v>
      </c>
      <c r="AQ690" s="2546">
        <v>2048</v>
      </c>
      <c r="AR690" s="2546">
        <v>2049</v>
      </c>
      <c r="AS690" s="2546">
        <v>2050</v>
      </c>
    </row>
    <row r="691" spans="2:45" x14ac:dyDescent="0.2">
      <c r="B691" s="2397"/>
      <c r="C691" s="2399"/>
      <c r="D691" s="2547" t="s">
        <v>1600</v>
      </c>
      <c r="E691" s="2567"/>
      <c r="F691" s="2548" t="s">
        <v>1572</v>
      </c>
      <c r="G691" s="2554">
        <v>0</v>
      </c>
      <c r="H691" s="2554">
        <v>0</v>
      </c>
      <c r="I691" s="2554">
        <v>0</v>
      </c>
      <c r="J691" s="2554">
        <v>0</v>
      </c>
      <c r="K691" s="2554">
        <v>0</v>
      </c>
      <c r="L691" s="2554">
        <v>0</v>
      </c>
      <c r="M691" s="2554">
        <v>0</v>
      </c>
      <c r="N691" s="2554">
        <v>0</v>
      </c>
      <c r="O691" s="2554">
        <v>0</v>
      </c>
      <c r="P691" s="2554">
        <v>0</v>
      </c>
      <c r="Q691" s="2554">
        <v>0</v>
      </c>
      <c r="R691" s="2554">
        <v>0</v>
      </c>
      <c r="S691" s="2554">
        <v>0</v>
      </c>
      <c r="T691" s="2554">
        <v>0</v>
      </c>
      <c r="U691" s="2554">
        <v>0</v>
      </c>
      <c r="V691" s="2554">
        <v>0</v>
      </c>
      <c r="W691" s="2554">
        <v>0</v>
      </c>
      <c r="X691" s="2554">
        <v>0</v>
      </c>
      <c r="Y691" s="2554">
        <v>0</v>
      </c>
      <c r="Z691" s="2554">
        <v>0</v>
      </c>
      <c r="AA691" s="2554">
        <v>0</v>
      </c>
      <c r="AB691" s="2554">
        <v>0</v>
      </c>
      <c r="AC691" s="2554">
        <v>0</v>
      </c>
      <c r="AD691" s="2554">
        <v>0</v>
      </c>
      <c r="AE691" s="2554">
        <v>0</v>
      </c>
      <c r="AF691" s="2554">
        <v>0</v>
      </c>
      <c r="AG691" s="2554">
        <v>0</v>
      </c>
      <c r="AH691" s="2554">
        <v>0</v>
      </c>
      <c r="AI691" s="2554">
        <v>0</v>
      </c>
      <c r="AJ691" s="2554">
        <v>0</v>
      </c>
      <c r="AK691" s="2554">
        <v>0</v>
      </c>
      <c r="AL691" s="2554">
        <v>0</v>
      </c>
      <c r="AM691" s="2554">
        <v>0</v>
      </c>
      <c r="AN691" s="2554">
        <v>0</v>
      </c>
      <c r="AO691" s="2554">
        <v>0</v>
      </c>
      <c r="AP691" s="2554">
        <v>0</v>
      </c>
      <c r="AQ691" s="2554">
        <v>0</v>
      </c>
      <c r="AR691" s="2554">
        <v>0</v>
      </c>
      <c r="AS691" s="2554">
        <v>0</v>
      </c>
    </row>
    <row r="692" spans="2:45" x14ac:dyDescent="0.2">
      <c r="B692" s="2397"/>
      <c r="C692" s="2399"/>
      <c r="D692" s="2547" t="s">
        <v>1602</v>
      </c>
      <c r="E692" s="2567"/>
      <c r="F692" s="2548" t="s">
        <v>1572</v>
      </c>
      <c r="G692" s="2554">
        <v>0</v>
      </c>
      <c r="H692" s="2554">
        <v>0</v>
      </c>
      <c r="I692" s="2554">
        <v>0</v>
      </c>
      <c r="J692" s="2554">
        <v>0</v>
      </c>
      <c r="K692" s="2554">
        <v>0</v>
      </c>
      <c r="L692" s="2554">
        <v>0</v>
      </c>
      <c r="M692" s="2554">
        <v>0</v>
      </c>
      <c r="N692" s="2554">
        <v>0</v>
      </c>
      <c r="O692" s="2554">
        <v>0</v>
      </c>
      <c r="P692" s="2554">
        <v>0</v>
      </c>
      <c r="Q692" s="2554">
        <v>0</v>
      </c>
      <c r="R692" s="2554">
        <v>0</v>
      </c>
      <c r="S692" s="2554">
        <v>0</v>
      </c>
      <c r="T692" s="2554">
        <v>0</v>
      </c>
      <c r="U692" s="2554">
        <v>0</v>
      </c>
      <c r="V692" s="2554">
        <v>0</v>
      </c>
      <c r="W692" s="2554">
        <v>0</v>
      </c>
      <c r="X692" s="2554">
        <v>0</v>
      </c>
      <c r="Y692" s="2554">
        <v>0</v>
      </c>
      <c r="Z692" s="2554">
        <v>0</v>
      </c>
      <c r="AA692" s="2554">
        <v>0</v>
      </c>
      <c r="AB692" s="2554">
        <v>0</v>
      </c>
      <c r="AC692" s="2554">
        <v>0</v>
      </c>
      <c r="AD692" s="2554">
        <v>0</v>
      </c>
      <c r="AE692" s="2554">
        <v>0</v>
      </c>
      <c r="AF692" s="2554">
        <v>0</v>
      </c>
      <c r="AG692" s="2554">
        <v>0</v>
      </c>
      <c r="AH692" s="2554">
        <v>0</v>
      </c>
      <c r="AI692" s="2554">
        <v>0</v>
      </c>
      <c r="AJ692" s="2554">
        <v>0</v>
      </c>
      <c r="AK692" s="2554">
        <v>0</v>
      </c>
      <c r="AL692" s="2554">
        <v>0</v>
      </c>
      <c r="AM692" s="2554">
        <v>0</v>
      </c>
      <c r="AN692" s="2554">
        <v>0</v>
      </c>
      <c r="AO692" s="2554">
        <v>0</v>
      </c>
      <c r="AP692" s="2554">
        <v>0</v>
      </c>
      <c r="AQ692" s="2554">
        <v>0</v>
      </c>
      <c r="AR692" s="2554">
        <v>0</v>
      </c>
      <c r="AS692" s="2554">
        <v>0</v>
      </c>
    </row>
    <row r="693" spans="2:45" x14ac:dyDescent="0.2">
      <c r="B693" s="2397"/>
      <c r="C693" s="2399"/>
      <c r="D693" s="2547" t="s">
        <v>1603</v>
      </c>
      <c r="E693" s="2547"/>
      <c r="F693" s="2548" t="s">
        <v>1572</v>
      </c>
      <c r="G693" s="2554">
        <f>G697</f>
        <v>219.75352842761231</v>
      </c>
      <c r="H693" s="2554">
        <f t="shared" ref="H693:AS693" si="127">H697</f>
        <v>220.879519189554</v>
      </c>
      <c r="I693" s="2554">
        <f t="shared" si="127"/>
        <v>222.24202446468479</v>
      </c>
      <c r="J693" s="2554">
        <f t="shared" si="127"/>
        <v>223.61402137524686</v>
      </c>
      <c r="K693" s="2554">
        <f t="shared" si="127"/>
        <v>225.0348941346131</v>
      </c>
      <c r="L693" s="2554">
        <f t="shared" si="127"/>
        <v>226.46631551528145</v>
      </c>
      <c r="M693" s="2554">
        <f t="shared" si="127"/>
        <v>227.94863578054819</v>
      </c>
      <c r="N693" s="2554">
        <f t="shared" si="127"/>
        <v>229.44269823880578</v>
      </c>
      <c r="O693" s="2554">
        <f t="shared" si="127"/>
        <v>230.94861676951524</v>
      </c>
      <c r="P693" s="2554">
        <f t="shared" si="127"/>
        <v>232.46650653290999</v>
      </c>
      <c r="Q693" s="2554">
        <f t="shared" si="127"/>
        <v>233.99648398561763</v>
      </c>
      <c r="R693" s="2554">
        <f t="shared" si="127"/>
        <v>235.53866689647955</v>
      </c>
      <c r="S693" s="2554">
        <f t="shared" si="127"/>
        <v>237.09317436257075</v>
      </c>
      <c r="T693" s="2554">
        <f t="shared" si="127"/>
        <v>238.66012682542282</v>
      </c>
      <c r="U693" s="2554">
        <f t="shared" si="127"/>
        <v>240.23964608745206</v>
      </c>
      <c r="V693" s="2554">
        <f t="shared" si="127"/>
        <v>241.83185532859619</v>
      </c>
      <c r="W693" s="2554">
        <f t="shared" si="127"/>
        <v>243.4368791231615</v>
      </c>
      <c r="X693" s="2554">
        <f t="shared" si="127"/>
        <v>245.05484345688393</v>
      </c>
      <c r="Y693" s="2554">
        <f t="shared" si="127"/>
        <v>246.59186304522035</v>
      </c>
      <c r="Z693" s="2554">
        <f t="shared" si="127"/>
        <v>248.10996287647035</v>
      </c>
      <c r="AA693" s="2554">
        <f t="shared" si="127"/>
        <v>249.83885353847927</v>
      </c>
      <c r="AB693" s="2554">
        <f t="shared" si="127"/>
        <v>251.58076008419255</v>
      </c>
      <c r="AC693" s="2554">
        <f t="shared" si="127"/>
        <v>253.5382614305033</v>
      </c>
      <c r="AD693" s="2554">
        <f t="shared" si="127"/>
        <v>255.61357061048582</v>
      </c>
      <c r="AE693" s="2554">
        <f t="shared" si="127"/>
        <v>257.70635610372995</v>
      </c>
      <c r="AF693" s="2554">
        <f t="shared" si="127"/>
        <v>260.12720829981544</v>
      </c>
      <c r="AG693" s="2554">
        <f t="shared" si="127"/>
        <v>262.57096461056835</v>
      </c>
      <c r="AH693" s="2554">
        <f t="shared" si="127"/>
        <v>265.14319389575712</v>
      </c>
      <c r="AI693" s="2554">
        <f t="shared" si="127"/>
        <v>267.74071521549058</v>
      </c>
      <c r="AJ693" s="2554">
        <f t="shared" si="127"/>
        <v>270.30545900963205</v>
      </c>
      <c r="AK693" s="2554">
        <f t="shared" si="127"/>
        <v>272.89477781911387</v>
      </c>
      <c r="AL693" s="2554">
        <f t="shared" si="127"/>
        <v>275.50890718507975</v>
      </c>
      <c r="AM693" s="2554">
        <f t="shared" si="127"/>
        <v>278.14808490689148</v>
      </c>
      <c r="AN693" s="2554">
        <f t="shared" si="127"/>
        <v>280.81255106378563</v>
      </c>
      <c r="AO693" s="2554">
        <f t="shared" si="127"/>
        <v>283.50254803673806</v>
      </c>
      <c r="AP693" s="2554">
        <f t="shared" si="127"/>
        <v>286.21832053053816</v>
      </c>
      <c r="AQ693" s="2554">
        <f t="shared" si="127"/>
        <v>288.96011559607518</v>
      </c>
      <c r="AR693" s="2554">
        <f t="shared" si="127"/>
        <v>291.72818265283763</v>
      </c>
      <c r="AS693" s="2554">
        <f t="shared" si="127"/>
        <v>294.52277351162951</v>
      </c>
    </row>
    <row r="694" spans="2:45" x14ac:dyDescent="0.2">
      <c r="B694" s="2397"/>
      <c r="C694" s="2399"/>
      <c r="D694" s="2560" t="s">
        <v>1398</v>
      </c>
      <c r="E694" s="2547"/>
      <c r="F694" s="2548" t="s">
        <v>1572</v>
      </c>
      <c r="G694" s="2554"/>
      <c r="H694" s="2554"/>
      <c r="I694" s="2554"/>
      <c r="J694" s="2554"/>
      <c r="K694" s="2554"/>
      <c r="L694" s="2554"/>
      <c r="M694" s="2554"/>
      <c r="N694" s="2554"/>
      <c r="O694" s="2554"/>
      <c r="P694" s="2554"/>
      <c r="Q694" s="2554"/>
      <c r="R694" s="2554"/>
      <c r="S694" s="2554"/>
      <c r="T694" s="2554"/>
      <c r="U694" s="2554"/>
      <c r="V694" s="2554"/>
      <c r="W694" s="2554"/>
      <c r="X694" s="2554"/>
      <c r="Y694" s="2554"/>
      <c r="Z694" s="2554"/>
      <c r="AA694" s="2554"/>
      <c r="AB694" s="2554"/>
      <c r="AC694" s="2554"/>
      <c r="AD694" s="2554"/>
      <c r="AE694" s="2554"/>
      <c r="AF694" s="2554"/>
      <c r="AG694" s="2554"/>
      <c r="AH694" s="2554"/>
      <c r="AI694" s="2554"/>
      <c r="AJ694" s="2554"/>
      <c r="AK694" s="2554"/>
      <c r="AL694" s="2554"/>
      <c r="AM694" s="2554"/>
      <c r="AN694" s="2554"/>
      <c r="AO694" s="2554"/>
      <c r="AP694" s="2554"/>
      <c r="AQ694" s="2554"/>
      <c r="AR694" s="2554"/>
      <c r="AS694" s="2554"/>
    </row>
    <row r="695" spans="2:45" x14ac:dyDescent="0.2">
      <c r="B695" s="2397"/>
      <c r="C695" s="2399"/>
      <c r="D695" s="2561" t="s">
        <v>1604</v>
      </c>
      <c r="E695" s="2547"/>
      <c r="F695" s="2548" t="s">
        <v>1572</v>
      </c>
      <c r="G695" s="2554"/>
      <c r="H695" s="2554"/>
      <c r="I695" s="2554"/>
      <c r="J695" s="2554"/>
      <c r="K695" s="2554"/>
      <c r="L695" s="2554"/>
      <c r="M695" s="2554"/>
      <c r="N695" s="2554"/>
      <c r="O695" s="2554"/>
      <c r="P695" s="2554"/>
      <c r="Q695" s="2554"/>
      <c r="R695" s="2554"/>
      <c r="S695" s="2554"/>
      <c r="T695" s="2554"/>
      <c r="U695" s="2554"/>
      <c r="V695" s="2554"/>
      <c r="W695" s="2554"/>
      <c r="X695" s="2554"/>
      <c r="Y695" s="2554"/>
      <c r="Z695" s="2554"/>
      <c r="AA695" s="2554"/>
      <c r="AB695" s="2554"/>
      <c r="AC695" s="2554"/>
      <c r="AD695" s="2554"/>
      <c r="AE695" s="2554"/>
      <c r="AF695" s="2554"/>
      <c r="AG695" s="2554"/>
      <c r="AH695" s="2554"/>
      <c r="AI695" s="2554"/>
      <c r="AJ695" s="2554"/>
      <c r="AK695" s="2554"/>
      <c r="AL695" s="2554"/>
      <c r="AM695" s="2554"/>
      <c r="AN695" s="2554"/>
      <c r="AO695" s="2554"/>
      <c r="AP695" s="2554"/>
      <c r="AQ695" s="2554"/>
      <c r="AR695" s="2554"/>
      <c r="AS695" s="2554"/>
    </row>
    <row r="696" spans="2:45" x14ac:dyDescent="0.2">
      <c r="B696" s="2397"/>
      <c r="C696" s="2399"/>
      <c r="D696" s="2561" t="s">
        <v>1605</v>
      </c>
      <c r="E696" s="2547"/>
      <c r="F696" s="2548" t="s">
        <v>1572</v>
      </c>
      <c r="G696" s="2554"/>
      <c r="H696" s="2554"/>
      <c r="I696" s="2554"/>
      <c r="J696" s="2554"/>
      <c r="K696" s="2554"/>
      <c r="L696" s="2554"/>
      <c r="M696" s="2554"/>
      <c r="N696" s="2554"/>
      <c r="O696" s="2554"/>
      <c r="P696" s="2554"/>
      <c r="Q696" s="2554"/>
      <c r="R696" s="2554"/>
      <c r="S696" s="2554"/>
      <c r="T696" s="2554"/>
      <c r="U696" s="2554"/>
      <c r="V696" s="2554"/>
      <c r="W696" s="2554"/>
      <c r="X696" s="2554"/>
      <c r="Y696" s="2554"/>
      <c r="Z696" s="2554"/>
      <c r="AA696" s="2554"/>
      <c r="AB696" s="2554"/>
      <c r="AC696" s="2554"/>
      <c r="AD696" s="2554"/>
      <c r="AE696" s="2554"/>
      <c r="AF696" s="2554"/>
      <c r="AG696" s="2554"/>
      <c r="AH696" s="2554"/>
      <c r="AI696" s="2554"/>
      <c r="AJ696" s="2554"/>
      <c r="AK696" s="2554"/>
      <c r="AL696" s="2554"/>
      <c r="AM696" s="2554"/>
      <c r="AN696" s="2554"/>
      <c r="AO696" s="2554"/>
      <c r="AP696" s="2554"/>
      <c r="AQ696" s="2554"/>
      <c r="AR696" s="2554"/>
      <c r="AS696" s="2554"/>
    </row>
    <row r="697" spans="2:45" x14ac:dyDescent="0.2">
      <c r="B697" s="2397"/>
      <c r="C697" s="2399"/>
      <c r="D697" s="2561" t="s">
        <v>1606</v>
      </c>
      <c r="E697" s="2547"/>
      <c r="F697" s="2548" t="s">
        <v>1572</v>
      </c>
      <c r="G697" s="2554">
        <f t="shared" ref="G697:AS697" si="128">G224</f>
        <v>219.75352842761231</v>
      </c>
      <c r="H697" s="2554">
        <f t="shared" si="128"/>
        <v>220.879519189554</v>
      </c>
      <c r="I697" s="2554">
        <f t="shared" si="128"/>
        <v>222.24202446468479</v>
      </c>
      <c r="J697" s="2554">
        <f t="shared" si="128"/>
        <v>223.61402137524686</v>
      </c>
      <c r="K697" s="2554">
        <f t="shared" si="128"/>
        <v>225.0348941346131</v>
      </c>
      <c r="L697" s="2554">
        <f t="shared" si="128"/>
        <v>226.46631551528145</v>
      </c>
      <c r="M697" s="2554">
        <f t="shared" si="128"/>
        <v>227.94863578054819</v>
      </c>
      <c r="N697" s="2554">
        <f t="shared" si="128"/>
        <v>229.44269823880578</v>
      </c>
      <c r="O697" s="2554">
        <f t="shared" si="128"/>
        <v>230.94861676951524</v>
      </c>
      <c r="P697" s="2554">
        <f t="shared" si="128"/>
        <v>232.46650653290999</v>
      </c>
      <c r="Q697" s="2554">
        <f t="shared" si="128"/>
        <v>233.99648398561763</v>
      </c>
      <c r="R697" s="2554">
        <f t="shared" si="128"/>
        <v>235.53866689647955</v>
      </c>
      <c r="S697" s="2554">
        <f t="shared" si="128"/>
        <v>237.09317436257075</v>
      </c>
      <c r="T697" s="2554">
        <f t="shared" si="128"/>
        <v>238.66012682542282</v>
      </c>
      <c r="U697" s="2554">
        <f t="shared" si="128"/>
        <v>240.23964608745206</v>
      </c>
      <c r="V697" s="2554">
        <f t="shared" si="128"/>
        <v>241.83185532859619</v>
      </c>
      <c r="W697" s="2554">
        <f t="shared" si="128"/>
        <v>243.4368791231615</v>
      </c>
      <c r="X697" s="2554">
        <f t="shared" si="128"/>
        <v>245.05484345688393</v>
      </c>
      <c r="Y697" s="2554">
        <f t="shared" si="128"/>
        <v>246.59186304522035</v>
      </c>
      <c r="Z697" s="2554">
        <f t="shared" si="128"/>
        <v>248.10996287647035</v>
      </c>
      <c r="AA697" s="2554">
        <f t="shared" si="128"/>
        <v>249.83885353847927</v>
      </c>
      <c r="AB697" s="2554">
        <f t="shared" si="128"/>
        <v>251.58076008419255</v>
      </c>
      <c r="AC697" s="2554">
        <f t="shared" si="128"/>
        <v>253.5382614305033</v>
      </c>
      <c r="AD697" s="2554">
        <f t="shared" si="128"/>
        <v>255.61357061048582</v>
      </c>
      <c r="AE697" s="2554">
        <f t="shared" si="128"/>
        <v>257.70635610372995</v>
      </c>
      <c r="AF697" s="2554">
        <f t="shared" si="128"/>
        <v>260.12720829981544</v>
      </c>
      <c r="AG697" s="2554">
        <f t="shared" si="128"/>
        <v>262.57096461056835</v>
      </c>
      <c r="AH697" s="2554">
        <f t="shared" si="128"/>
        <v>265.14319389575712</v>
      </c>
      <c r="AI697" s="2554">
        <f t="shared" si="128"/>
        <v>267.74071521549058</v>
      </c>
      <c r="AJ697" s="2554">
        <f t="shared" si="128"/>
        <v>270.30545900963205</v>
      </c>
      <c r="AK697" s="2554">
        <f t="shared" si="128"/>
        <v>272.89477781911387</v>
      </c>
      <c r="AL697" s="2554">
        <f t="shared" si="128"/>
        <v>275.50890718507975</v>
      </c>
      <c r="AM697" s="2554">
        <f t="shared" si="128"/>
        <v>278.14808490689148</v>
      </c>
      <c r="AN697" s="2554">
        <f t="shared" si="128"/>
        <v>280.81255106378563</v>
      </c>
      <c r="AO697" s="2554">
        <f t="shared" si="128"/>
        <v>283.50254803673806</v>
      </c>
      <c r="AP697" s="2554">
        <f t="shared" si="128"/>
        <v>286.21832053053816</v>
      </c>
      <c r="AQ697" s="2554">
        <f t="shared" si="128"/>
        <v>288.96011559607518</v>
      </c>
      <c r="AR697" s="2554">
        <f t="shared" si="128"/>
        <v>291.72818265283763</v>
      </c>
      <c r="AS697" s="2554">
        <f t="shared" si="128"/>
        <v>294.52277351162951</v>
      </c>
    </row>
    <row r="698" spans="2:45" x14ac:dyDescent="0.2">
      <c r="B698" s="2397"/>
      <c r="C698" s="2399"/>
      <c r="D698" s="2561" t="s">
        <v>1607</v>
      </c>
      <c r="E698" s="2547"/>
      <c r="F698" s="2548" t="s">
        <v>1572</v>
      </c>
      <c r="G698" s="2554"/>
      <c r="H698" s="2554"/>
      <c r="I698" s="2554"/>
      <c r="J698" s="2554"/>
      <c r="K698" s="2554"/>
      <c r="L698" s="2554"/>
      <c r="M698" s="2554"/>
      <c r="N698" s="2554"/>
      <c r="O698" s="2554"/>
      <c r="P698" s="2554"/>
      <c r="Q698" s="2554"/>
      <c r="R698" s="2554"/>
      <c r="S698" s="2554"/>
      <c r="T698" s="2554"/>
      <c r="U698" s="2554"/>
      <c r="V698" s="2554"/>
      <c r="W698" s="2554"/>
      <c r="X698" s="2554"/>
      <c r="Y698" s="2554"/>
      <c r="Z698" s="2554"/>
      <c r="AA698" s="2554"/>
      <c r="AB698" s="2554"/>
      <c r="AC698" s="2554"/>
      <c r="AD698" s="2554"/>
      <c r="AE698" s="2554"/>
      <c r="AF698" s="2554"/>
      <c r="AG698" s="2554"/>
      <c r="AH698" s="2554"/>
      <c r="AI698" s="2554"/>
      <c r="AJ698" s="2554"/>
      <c r="AK698" s="2554"/>
      <c r="AL698" s="2554"/>
      <c r="AM698" s="2554"/>
      <c r="AN698" s="2554"/>
      <c r="AO698" s="2554"/>
      <c r="AP698" s="2554"/>
      <c r="AQ698" s="2554"/>
      <c r="AR698" s="2554"/>
      <c r="AS698" s="2554"/>
    </row>
    <row r="699" spans="2:45" x14ac:dyDescent="0.2">
      <c r="B699" s="2397"/>
      <c r="C699" s="2399"/>
      <c r="D699" s="2560" t="s">
        <v>1608</v>
      </c>
      <c r="E699" s="2547"/>
      <c r="F699" s="2548" t="s">
        <v>1572</v>
      </c>
      <c r="G699" s="2554"/>
      <c r="H699" s="2554"/>
      <c r="I699" s="2554"/>
      <c r="J699" s="2554"/>
      <c r="K699" s="2554"/>
      <c r="L699" s="2554"/>
      <c r="M699" s="2554"/>
      <c r="N699" s="2554"/>
      <c r="O699" s="2554"/>
      <c r="P699" s="2554"/>
      <c r="Q699" s="2554"/>
      <c r="R699" s="2554"/>
      <c r="S699" s="2554"/>
      <c r="T699" s="2554"/>
      <c r="U699" s="2554"/>
      <c r="V699" s="2554"/>
      <c r="W699" s="2554"/>
      <c r="X699" s="2554"/>
      <c r="Y699" s="2554"/>
      <c r="Z699" s="2554"/>
      <c r="AA699" s="2554"/>
      <c r="AB699" s="2554"/>
      <c r="AC699" s="2554"/>
      <c r="AD699" s="2554"/>
      <c r="AE699" s="2554"/>
      <c r="AF699" s="2554"/>
      <c r="AG699" s="2554"/>
      <c r="AH699" s="2554"/>
      <c r="AI699" s="2554"/>
      <c r="AJ699" s="2554"/>
      <c r="AK699" s="2554"/>
      <c r="AL699" s="2554"/>
      <c r="AM699" s="2554"/>
      <c r="AN699" s="2554"/>
      <c r="AO699" s="2554"/>
      <c r="AP699" s="2554"/>
      <c r="AQ699" s="2554"/>
      <c r="AR699" s="2554"/>
      <c r="AS699" s="2554"/>
    </row>
    <row r="700" spans="2:45" x14ac:dyDescent="0.2">
      <c r="B700" s="2397"/>
      <c r="C700" s="2399"/>
      <c r="D700" s="2561" t="s">
        <v>1609</v>
      </c>
      <c r="E700" s="2547"/>
      <c r="F700" s="2548" t="s">
        <v>1572</v>
      </c>
      <c r="G700" s="2554"/>
      <c r="H700" s="2554"/>
      <c r="I700" s="2554"/>
      <c r="J700" s="2554"/>
      <c r="K700" s="2554"/>
      <c r="L700" s="2554"/>
      <c r="M700" s="2554"/>
      <c r="N700" s="2554"/>
      <c r="O700" s="2554"/>
      <c r="P700" s="2554"/>
      <c r="Q700" s="2554"/>
      <c r="R700" s="2554"/>
      <c r="S700" s="2554"/>
      <c r="T700" s="2554"/>
      <c r="U700" s="2554"/>
      <c r="V700" s="2554"/>
      <c r="W700" s="2554"/>
      <c r="X700" s="2554"/>
      <c r="Y700" s="2554"/>
      <c r="Z700" s="2554"/>
      <c r="AA700" s="2554"/>
      <c r="AB700" s="2554"/>
      <c r="AC700" s="2554"/>
      <c r="AD700" s="2554"/>
      <c r="AE700" s="2554"/>
      <c r="AF700" s="2554"/>
      <c r="AG700" s="2554"/>
      <c r="AH700" s="2554"/>
      <c r="AI700" s="2554"/>
      <c r="AJ700" s="2554"/>
      <c r="AK700" s="2554"/>
      <c r="AL700" s="2554"/>
      <c r="AM700" s="2554"/>
      <c r="AN700" s="2554"/>
      <c r="AO700" s="2554"/>
      <c r="AP700" s="2554"/>
      <c r="AQ700" s="2554"/>
      <c r="AR700" s="2554"/>
      <c r="AS700" s="2554"/>
    </row>
    <row r="701" spans="2:45" x14ac:dyDescent="0.2">
      <c r="B701" s="2397"/>
      <c r="C701" s="2399"/>
      <c r="D701" s="2561" t="s">
        <v>1610</v>
      </c>
      <c r="E701" s="2547"/>
      <c r="F701" s="2548" t="s">
        <v>1572</v>
      </c>
      <c r="G701" s="2554"/>
      <c r="H701" s="2554"/>
      <c r="I701" s="2554"/>
      <c r="J701" s="2554"/>
      <c r="K701" s="2554"/>
      <c r="L701" s="2554"/>
      <c r="M701" s="2554"/>
      <c r="N701" s="2554"/>
      <c r="O701" s="2554"/>
      <c r="P701" s="2554"/>
      <c r="Q701" s="2554"/>
      <c r="R701" s="2554"/>
      <c r="S701" s="2554"/>
      <c r="T701" s="2554"/>
      <c r="U701" s="2554"/>
      <c r="V701" s="2554"/>
      <c r="W701" s="2554"/>
      <c r="X701" s="2554"/>
      <c r="Y701" s="2554"/>
      <c r="Z701" s="2554"/>
      <c r="AA701" s="2554"/>
      <c r="AB701" s="2554"/>
      <c r="AC701" s="2554"/>
      <c r="AD701" s="2554"/>
      <c r="AE701" s="2554"/>
      <c r="AF701" s="2554"/>
      <c r="AG701" s="2554"/>
      <c r="AH701" s="2554"/>
      <c r="AI701" s="2554"/>
      <c r="AJ701" s="2554"/>
      <c r="AK701" s="2554"/>
      <c r="AL701" s="2554"/>
      <c r="AM701" s="2554"/>
      <c r="AN701" s="2554"/>
      <c r="AO701" s="2554"/>
      <c r="AP701" s="2554"/>
      <c r="AQ701" s="2554"/>
      <c r="AR701" s="2554"/>
      <c r="AS701" s="2554"/>
    </row>
    <row r="702" spans="2:45" x14ac:dyDescent="0.2">
      <c r="B702" s="2397"/>
      <c r="C702" s="2399"/>
      <c r="D702" s="2547" t="s">
        <v>1611</v>
      </c>
      <c r="E702" s="2547"/>
      <c r="F702" s="2548" t="s">
        <v>1572</v>
      </c>
      <c r="G702" s="2554"/>
      <c r="H702" s="2554"/>
      <c r="I702" s="2554"/>
      <c r="J702" s="2554"/>
      <c r="K702" s="2554"/>
      <c r="L702" s="2554"/>
      <c r="M702" s="2554"/>
      <c r="N702" s="2554"/>
      <c r="O702" s="2554"/>
      <c r="P702" s="2554"/>
      <c r="Q702" s="2554"/>
      <c r="R702" s="2554"/>
      <c r="S702" s="2554"/>
      <c r="T702" s="2554"/>
      <c r="U702" s="2554"/>
      <c r="V702" s="2554"/>
      <c r="W702" s="2554"/>
      <c r="X702" s="2554"/>
      <c r="Y702" s="2554"/>
      <c r="Z702" s="2554"/>
      <c r="AA702" s="2554"/>
      <c r="AB702" s="2554"/>
      <c r="AC702" s="2554"/>
      <c r="AD702" s="2554"/>
      <c r="AE702" s="2554"/>
      <c r="AF702" s="2554"/>
      <c r="AG702" s="2554"/>
      <c r="AH702" s="2554"/>
      <c r="AI702" s="2554"/>
      <c r="AJ702" s="2554"/>
      <c r="AK702" s="2554"/>
      <c r="AL702" s="2554"/>
      <c r="AM702" s="2554"/>
      <c r="AN702" s="2554"/>
      <c r="AO702" s="2554"/>
      <c r="AP702" s="2554"/>
      <c r="AQ702" s="2554"/>
      <c r="AR702" s="2554"/>
      <c r="AS702" s="2554"/>
    </row>
    <row r="703" spans="2:45" x14ac:dyDescent="0.2">
      <c r="B703" s="2397"/>
      <c r="C703" s="2399"/>
      <c r="D703" s="2551" t="s">
        <v>1612</v>
      </c>
      <c r="E703" s="2547"/>
      <c r="F703" s="2548" t="s">
        <v>1572</v>
      </c>
      <c r="G703" s="2554">
        <v>0</v>
      </c>
      <c r="H703" s="2554">
        <v>0</v>
      </c>
      <c r="I703" s="2554">
        <v>0</v>
      </c>
      <c r="J703" s="2554">
        <v>0</v>
      </c>
      <c r="K703" s="2554">
        <v>0</v>
      </c>
      <c r="L703" s="2554">
        <v>0</v>
      </c>
      <c r="M703" s="2554">
        <v>0</v>
      </c>
      <c r="N703" s="2554">
        <v>0</v>
      </c>
      <c r="O703" s="2554">
        <v>0</v>
      </c>
      <c r="P703" s="2554">
        <v>0</v>
      </c>
      <c r="Q703" s="2554">
        <v>0</v>
      </c>
      <c r="R703" s="2554">
        <v>0</v>
      </c>
      <c r="S703" s="2554">
        <v>0</v>
      </c>
      <c r="T703" s="2554">
        <v>0</v>
      </c>
      <c r="U703" s="2554">
        <v>0</v>
      </c>
      <c r="V703" s="2554">
        <v>0</v>
      </c>
      <c r="W703" s="2554">
        <v>0</v>
      </c>
      <c r="X703" s="2554">
        <v>0</v>
      </c>
      <c r="Y703" s="2554">
        <v>0</v>
      </c>
      <c r="Z703" s="2554">
        <v>0</v>
      </c>
      <c r="AA703" s="2554">
        <v>0</v>
      </c>
      <c r="AB703" s="2554">
        <v>0</v>
      </c>
      <c r="AC703" s="2554">
        <v>0</v>
      </c>
      <c r="AD703" s="2554">
        <v>0</v>
      </c>
      <c r="AE703" s="2554">
        <v>0</v>
      </c>
      <c r="AF703" s="2554">
        <v>0</v>
      </c>
      <c r="AG703" s="2554">
        <v>0</v>
      </c>
      <c r="AH703" s="2554">
        <v>0</v>
      </c>
      <c r="AI703" s="2554">
        <v>0</v>
      </c>
      <c r="AJ703" s="2554">
        <v>0</v>
      </c>
      <c r="AK703" s="2554">
        <v>0</v>
      </c>
      <c r="AL703" s="2554">
        <v>0</v>
      </c>
      <c r="AM703" s="2554">
        <v>0</v>
      </c>
      <c r="AN703" s="2554">
        <v>0</v>
      </c>
      <c r="AO703" s="2554">
        <v>0</v>
      </c>
      <c r="AP703" s="2554">
        <v>0</v>
      </c>
      <c r="AQ703" s="2554">
        <v>0</v>
      </c>
      <c r="AR703" s="2554">
        <v>0</v>
      </c>
      <c r="AS703" s="2554">
        <v>0</v>
      </c>
    </row>
    <row r="704" spans="2:45" x14ac:dyDescent="0.2">
      <c r="B704" s="2397"/>
      <c r="C704" s="2193"/>
      <c r="D704" s="2564" t="s">
        <v>118</v>
      </c>
      <c r="E704" s="2564"/>
      <c r="F704" s="2565" t="s">
        <v>1572</v>
      </c>
      <c r="G704" s="2566">
        <f>G703+G702+G693+G692+G691</f>
        <v>219.75352842761231</v>
      </c>
      <c r="H704" s="2566">
        <f t="shared" ref="H704:AS704" si="129">H703+H702+H693+H692+H691</f>
        <v>220.879519189554</v>
      </c>
      <c r="I704" s="2566">
        <f t="shared" si="129"/>
        <v>222.24202446468479</v>
      </c>
      <c r="J704" s="2566">
        <f t="shared" si="129"/>
        <v>223.61402137524686</v>
      </c>
      <c r="K704" s="2566">
        <f t="shared" si="129"/>
        <v>225.0348941346131</v>
      </c>
      <c r="L704" s="2566">
        <f t="shared" si="129"/>
        <v>226.46631551528145</v>
      </c>
      <c r="M704" s="2566">
        <f t="shared" si="129"/>
        <v>227.94863578054819</v>
      </c>
      <c r="N704" s="2566">
        <f t="shared" si="129"/>
        <v>229.44269823880578</v>
      </c>
      <c r="O704" s="2566">
        <f t="shared" si="129"/>
        <v>230.94861676951524</v>
      </c>
      <c r="P704" s="2566">
        <f t="shared" si="129"/>
        <v>232.46650653290999</v>
      </c>
      <c r="Q704" s="2566">
        <f t="shared" si="129"/>
        <v>233.99648398561763</v>
      </c>
      <c r="R704" s="2566">
        <f t="shared" si="129"/>
        <v>235.53866689647955</v>
      </c>
      <c r="S704" s="2566">
        <f t="shared" si="129"/>
        <v>237.09317436257075</v>
      </c>
      <c r="T704" s="2566">
        <f t="shared" si="129"/>
        <v>238.66012682542282</v>
      </c>
      <c r="U704" s="2566">
        <f t="shared" si="129"/>
        <v>240.23964608745206</v>
      </c>
      <c r="V704" s="2566">
        <f t="shared" si="129"/>
        <v>241.83185532859619</v>
      </c>
      <c r="W704" s="2566">
        <f t="shared" si="129"/>
        <v>243.4368791231615</v>
      </c>
      <c r="X704" s="2566">
        <f t="shared" si="129"/>
        <v>245.05484345688393</v>
      </c>
      <c r="Y704" s="2566">
        <f t="shared" si="129"/>
        <v>246.59186304522035</v>
      </c>
      <c r="Z704" s="2566">
        <f t="shared" si="129"/>
        <v>248.10996287647035</v>
      </c>
      <c r="AA704" s="2566">
        <f t="shared" si="129"/>
        <v>249.83885353847927</v>
      </c>
      <c r="AB704" s="2566">
        <f t="shared" si="129"/>
        <v>251.58076008419255</v>
      </c>
      <c r="AC704" s="2566">
        <f t="shared" si="129"/>
        <v>253.5382614305033</v>
      </c>
      <c r="AD704" s="2566">
        <f t="shared" si="129"/>
        <v>255.61357061048582</v>
      </c>
      <c r="AE704" s="2566">
        <f t="shared" si="129"/>
        <v>257.70635610372995</v>
      </c>
      <c r="AF704" s="2566">
        <f t="shared" si="129"/>
        <v>260.12720829981544</v>
      </c>
      <c r="AG704" s="2566">
        <f t="shared" si="129"/>
        <v>262.57096461056835</v>
      </c>
      <c r="AH704" s="2566">
        <f t="shared" si="129"/>
        <v>265.14319389575712</v>
      </c>
      <c r="AI704" s="2566">
        <f t="shared" si="129"/>
        <v>267.74071521549058</v>
      </c>
      <c r="AJ704" s="2566">
        <f t="shared" si="129"/>
        <v>270.30545900963205</v>
      </c>
      <c r="AK704" s="2566">
        <f t="shared" si="129"/>
        <v>272.89477781911387</v>
      </c>
      <c r="AL704" s="2566">
        <f t="shared" si="129"/>
        <v>275.50890718507975</v>
      </c>
      <c r="AM704" s="2566">
        <f t="shared" si="129"/>
        <v>278.14808490689148</v>
      </c>
      <c r="AN704" s="2566">
        <f t="shared" si="129"/>
        <v>280.81255106378563</v>
      </c>
      <c r="AO704" s="2566">
        <f t="shared" si="129"/>
        <v>283.50254803673806</v>
      </c>
      <c r="AP704" s="2566">
        <f t="shared" si="129"/>
        <v>286.21832053053816</v>
      </c>
      <c r="AQ704" s="2566">
        <f t="shared" si="129"/>
        <v>288.96011559607518</v>
      </c>
      <c r="AR704" s="2566">
        <f t="shared" si="129"/>
        <v>291.72818265283763</v>
      </c>
      <c r="AS704" s="2566">
        <f t="shared" si="129"/>
        <v>294.52277351162951</v>
      </c>
    </row>
    <row r="705" spans="2:45" x14ac:dyDescent="0.2">
      <c r="B705" s="2397"/>
      <c r="C705" s="2398"/>
      <c r="D705" s="2399"/>
      <c r="E705" s="2400"/>
      <c r="F705" s="2400"/>
      <c r="G705" s="2400"/>
      <c r="H705" s="2400"/>
      <c r="I705" s="2400"/>
      <c r="J705" s="2400"/>
      <c r="K705" s="2400"/>
      <c r="L705" s="2400"/>
      <c r="M705" s="2400"/>
      <c r="N705" s="2400"/>
      <c r="O705" s="2400"/>
      <c r="P705" s="2400"/>
      <c r="Q705" s="2400"/>
      <c r="R705" s="2400"/>
      <c r="S705" s="2400"/>
      <c r="T705" s="2400"/>
      <c r="U705" s="2400"/>
      <c r="V705" s="2400"/>
      <c r="W705" s="2400"/>
      <c r="X705" s="2400"/>
      <c r="Y705" s="2400"/>
      <c r="Z705" s="2400"/>
      <c r="AA705" s="2400"/>
      <c r="AB705" s="2400"/>
      <c r="AC705" s="2400"/>
      <c r="AD705" s="2400"/>
      <c r="AE705" s="2400"/>
      <c r="AF705" s="2400"/>
      <c r="AG705" s="2400"/>
      <c r="AH705" s="2400"/>
      <c r="AI705" s="2400"/>
      <c r="AJ705" s="2400"/>
      <c r="AK705" s="2400"/>
      <c r="AL705" s="2400"/>
      <c r="AM705" s="2400"/>
      <c r="AN705" s="2400"/>
      <c r="AO705" s="2400"/>
      <c r="AP705" s="2400"/>
      <c r="AQ705" s="2400"/>
      <c r="AR705" s="2400"/>
      <c r="AS705" s="2400"/>
    </row>
    <row r="706" spans="2:45" x14ac:dyDescent="0.2">
      <c r="B706" s="2397"/>
      <c r="C706" s="2572"/>
      <c r="D706" s="2572"/>
      <c r="E706" s="2572"/>
      <c r="F706" s="2572"/>
      <c r="G706" s="2572"/>
      <c r="H706" s="2572"/>
      <c r="I706" s="2572"/>
      <c r="J706" s="2572"/>
      <c r="K706" s="2572"/>
      <c r="L706" s="2572"/>
      <c r="M706" s="2572"/>
      <c r="N706" s="2572"/>
      <c r="O706" s="2572"/>
      <c r="P706" s="2572"/>
      <c r="Q706" s="2572"/>
      <c r="R706" s="2572"/>
      <c r="S706" s="2572"/>
      <c r="T706" s="2572"/>
      <c r="U706" s="2572"/>
      <c r="V706" s="2572"/>
      <c r="W706" s="2572"/>
      <c r="X706" s="2572"/>
      <c r="Y706" s="2572"/>
      <c r="Z706" s="2572"/>
      <c r="AA706" s="2572"/>
      <c r="AB706" s="2572"/>
      <c r="AC706" s="2572"/>
      <c r="AD706" s="2572"/>
      <c r="AE706" s="2572"/>
      <c r="AF706" s="2572"/>
      <c r="AG706" s="2572"/>
      <c r="AH706" s="2572"/>
      <c r="AI706" s="2572"/>
      <c r="AJ706" s="2572"/>
      <c r="AK706" s="2572"/>
      <c r="AL706" s="2572"/>
      <c r="AM706" s="2572"/>
      <c r="AN706" s="2572"/>
      <c r="AO706" s="2572"/>
      <c r="AP706" s="2572"/>
      <c r="AQ706" s="2572"/>
      <c r="AR706" s="2572"/>
      <c r="AS706" s="2572"/>
    </row>
    <row r="707" spans="2:45" x14ac:dyDescent="0.2">
      <c r="B707" s="2554"/>
      <c r="C707" s="2573" t="s">
        <v>1616</v>
      </c>
      <c r="D707" s="2574"/>
      <c r="E707" s="2575"/>
      <c r="F707" s="2575"/>
      <c r="G707" s="2575"/>
      <c r="H707" s="2575"/>
      <c r="I707" s="2575"/>
      <c r="J707" s="2575"/>
      <c r="K707" s="2575"/>
      <c r="L707" s="2575"/>
      <c r="M707" s="2575"/>
      <c r="N707" s="2575"/>
      <c r="O707" s="2572"/>
      <c r="P707" s="2572"/>
      <c r="Q707" s="2572"/>
      <c r="R707" s="2572"/>
      <c r="S707" s="2572"/>
      <c r="T707" s="2572"/>
      <c r="U707" s="2572"/>
      <c r="V707" s="2572"/>
      <c r="W707" s="2572"/>
      <c r="X707" s="2572"/>
      <c r="Y707" s="2572"/>
      <c r="Z707" s="2572"/>
      <c r="AA707" s="2572"/>
      <c r="AB707" s="2572"/>
      <c r="AC707" s="2572"/>
      <c r="AD707" s="2572"/>
      <c r="AE707" s="2572"/>
      <c r="AF707" s="2572"/>
      <c r="AG707" s="2572"/>
      <c r="AH707" s="2572"/>
      <c r="AI707" s="2572"/>
      <c r="AJ707" s="2572"/>
      <c r="AK707" s="2572"/>
      <c r="AL707" s="2572"/>
      <c r="AM707" s="2572"/>
      <c r="AN707" s="2572"/>
      <c r="AO707" s="2572"/>
      <c r="AP707" s="2572"/>
      <c r="AQ707" s="2572"/>
      <c r="AR707" s="2572"/>
      <c r="AS707" s="2572"/>
    </row>
    <row r="708" spans="2:45" x14ac:dyDescent="0.2">
      <c r="B708" s="2554"/>
      <c r="C708" s="2576" t="s">
        <v>146</v>
      </c>
      <c r="D708" s="2576" t="s">
        <v>242</v>
      </c>
      <c r="E708" s="2577" t="s">
        <v>8</v>
      </c>
      <c r="F708" s="2578"/>
      <c r="G708" s="2577">
        <v>2012</v>
      </c>
      <c r="H708" s="2577">
        <v>2013</v>
      </c>
      <c r="I708" s="2577">
        <v>2014</v>
      </c>
      <c r="J708" s="2577">
        <v>2015</v>
      </c>
      <c r="K708" s="2577">
        <v>2016</v>
      </c>
      <c r="L708" s="2577">
        <v>2017</v>
      </c>
      <c r="M708" s="2577">
        <v>2018</v>
      </c>
      <c r="N708" s="2577">
        <v>2019</v>
      </c>
      <c r="O708" s="2577">
        <v>2020</v>
      </c>
      <c r="P708" s="2577">
        <v>2021</v>
      </c>
      <c r="Q708" s="2577">
        <v>2022</v>
      </c>
      <c r="R708" s="2577">
        <v>2023</v>
      </c>
      <c r="S708" s="2577">
        <v>2024</v>
      </c>
      <c r="T708" s="2577">
        <v>2025</v>
      </c>
      <c r="U708" s="2577">
        <v>2026</v>
      </c>
      <c r="V708" s="2577">
        <v>2027</v>
      </c>
      <c r="W708" s="2577">
        <v>2028</v>
      </c>
      <c r="X708" s="2577">
        <v>2029</v>
      </c>
      <c r="Y708" s="2577">
        <v>2030</v>
      </c>
      <c r="Z708" s="2577">
        <v>2031</v>
      </c>
      <c r="AA708" s="2577">
        <v>2032</v>
      </c>
      <c r="AB708" s="2577">
        <v>2033</v>
      </c>
      <c r="AC708" s="2577">
        <v>2034</v>
      </c>
      <c r="AD708" s="2577">
        <v>2035</v>
      </c>
      <c r="AE708" s="2577">
        <v>2036</v>
      </c>
      <c r="AF708" s="2577">
        <v>2037</v>
      </c>
      <c r="AG708" s="2577">
        <v>2038</v>
      </c>
      <c r="AH708" s="2577">
        <v>2039</v>
      </c>
      <c r="AI708" s="2577">
        <v>2040</v>
      </c>
      <c r="AJ708" s="2577">
        <v>2041</v>
      </c>
      <c r="AK708" s="2577">
        <v>2042</v>
      </c>
      <c r="AL708" s="2577">
        <v>2043</v>
      </c>
      <c r="AM708" s="2577">
        <v>2044</v>
      </c>
      <c r="AN708" s="2577">
        <v>2045</v>
      </c>
      <c r="AO708" s="2577">
        <v>2046</v>
      </c>
      <c r="AP708" s="2577">
        <v>2047</v>
      </c>
      <c r="AQ708" s="2577">
        <v>2048</v>
      </c>
      <c r="AR708" s="2577">
        <v>2049</v>
      </c>
      <c r="AS708" s="2577">
        <v>2050</v>
      </c>
    </row>
    <row r="709" spans="2:45" x14ac:dyDescent="0.2">
      <c r="B709" s="2554"/>
      <c r="C709" s="2579"/>
      <c r="D709" s="2580" t="s">
        <v>1600</v>
      </c>
      <c r="E709" s="2581"/>
      <c r="F709" s="2582" t="s">
        <v>1160</v>
      </c>
      <c r="G709" s="2583">
        <f t="shared" ref="G709:AS709" si="130">G657*21+G674*310</f>
        <v>4934.6735645428907</v>
      </c>
      <c r="H709" s="2583">
        <f t="shared" si="130"/>
        <v>4922.3989688974998</v>
      </c>
      <c r="I709" s="2583">
        <f t="shared" si="130"/>
        <v>4938.6083095436998</v>
      </c>
      <c r="J709" s="2583">
        <f t="shared" si="130"/>
        <v>4940.9268413526006</v>
      </c>
      <c r="K709" s="2583">
        <f t="shared" si="130"/>
        <v>4934.010109984315</v>
      </c>
      <c r="L709" s="2583">
        <f t="shared" si="130"/>
        <v>4917.1418014868232</v>
      </c>
      <c r="M709" s="2583">
        <f t="shared" si="130"/>
        <v>4887.4680470395442</v>
      </c>
      <c r="N709" s="2583">
        <f t="shared" si="130"/>
        <v>4859.308532542902</v>
      </c>
      <c r="O709" s="2583">
        <f t="shared" si="130"/>
        <v>4832.4291976476206</v>
      </c>
      <c r="P709" s="2583">
        <f t="shared" si="130"/>
        <v>4805.8237034576714</v>
      </c>
      <c r="Q709" s="2583">
        <f t="shared" si="130"/>
        <v>4778.0155794102011</v>
      </c>
      <c r="R709" s="2583">
        <f t="shared" si="130"/>
        <v>4756.5955075438687</v>
      </c>
      <c r="S709" s="2583">
        <f t="shared" si="130"/>
        <v>4740.2402043405809</v>
      </c>
      <c r="T709" s="2583">
        <f t="shared" si="130"/>
        <v>4727.9058344962787</v>
      </c>
      <c r="U709" s="2583">
        <f t="shared" si="130"/>
        <v>4718.7660303632529</v>
      </c>
      <c r="V709" s="2583">
        <f t="shared" si="130"/>
        <v>4712.1640860113985</v>
      </c>
      <c r="W709" s="2583">
        <f t="shared" si="130"/>
        <v>4707.5777998109843</v>
      </c>
      <c r="X709" s="2583">
        <f t="shared" si="130"/>
        <v>4704.6089522354941</v>
      </c>
      <c r="Y709" s="2583">
        <f t="shared" si="130"/>
        <v>4702.9385198193513</v>
      </c>
      <c r="Z709" s="2583">
        <f t="shared" si="130"/>
        <v>4702.3099479478697</v>
      </c>
      <c r="AA709" s="2583">
        <f t="shared" si="130"/>
        <v>4702.5171240840591</v>
      </c>
      <c r="AB709" s="2583">
        <f t="shared" si="130"/>
        <v>4703.3904305617789</v>
      </c>
      <c r="AC709" s="2583">
        <f t="shared" si="130"/>
        <v>4704.7975788430322</v>
      </c>
      <c r="AD709" s="2583">
        <f t="shared" si="130"/>
        <v>4706.6318746933384</v>
      </c>
      <c r="AE709" s="2583">
        <f t="shared" si="130"/>
        <v>4708.8071706756436</v>
      </c>
      <c r="AF709" s="2583">
        <f t="shared" si="130"/>
        <v>4711.2542783296794</v>
      </c>
      <c r="AG709" s="2583">
        <f t="shared" si="130"/>
        <v>4713.9166375391778</v>
      </c>
      <c r="AH709" s="2583">
        <f t="shared" si="130"/>
        <v>4716.7483381449874</v>
      </c>
      <c r="AI709" s="2583">
        <f t="shared" si="130"/>
        <v>4719.7120028811341</v>
      </c>
      <c r="AJ709" s="2583">
        <f t="shared" si="130"/>
        <v>4722.7821450725005</v>
      </c>
      <c r="AK709" s="2583">
        <f t="shared" si="130"/>
        <v>4725.9322656730628</v>
      </c>
      <c r="AL709" s="2583">
        <f t="shared" si="130"/>
        <v>4729.1412217240368</v>
      </c>
      <c r="AM709" s="2583">
        <f t="shared" si="130"/>
        <v>4732.3904811322645</v>
      </c>
      <c r="AN709" s="2583">
        <f t="shared" si="130"/>
        <v>4735.6652615700232</v>
      </c>
      <c r="AO709" s="2583">
        <f t="shared" si="130"/>
        <v>4738.9537059798467</v>
      </c>
      <c r="AP709" s="2583">
        <f t="shared" si="130"/>
        <v>4742.2445766436531</v>
      </c>
      <c r="AQ709" s="2583">
        <f t="shared" si="130"/>
        <v>4745.5289064206099</v>
      </c>
      <c r="AR709" s="2583">
        <f t="shared" si="130"/>
        <v>4748.7989067148801</v>
      </c>
      <c r="AS709" s="2583">
        <f t="shared" si="130"/>
        <v>4752.0477316617507</v>
      </c>
    </row>
    <row r="710" spans="2:45" x14ac:dyDescent="0.2">
      <c r="B710" s="2554"/>
      <c r="C710" s="2579"/>
      <c r="D710" s="2580" t="s">
        <v>1602</v>
      </c>
      <c r="E710" s="2581"/>
      <c r="F710" s="2582" t="s">
        <v>1160</v>
      </c>
      <c r="G710" s="2584">
        <f>G658*21</f>
        <v>85.144058999999999</v>
      </c>
      <c r="H710" s="2583">
        <f t="shared" ref="H710:AS710" si="131">+H658*21</f>
        <v>84.633003000000002</v>
      </c>
      <c r="I710" s="2583">
        <f t="shared" si="131"/>
        <v>82.652661000000009</v>
      </c>
      <c r="J710" s="2583">
        <f t="shared" si="131"/>
        <v>80.132870999999994</v>
      </c>
      <c r="K710" s="2583">
        <f t="shared" si="131"/>
        <v>77.424984000000009</v>
      </c>
      <c r="L710" s="2583">
        <f t="shared" si="131"/>
        <v>74.67095999999998</v>
      </c>
      <c r="M710" s="2583">
        <f t="shared" si="131"/>
        <v>71.924033999999992</v>
      </c>
      <c r="N710" s="2583">
        <f t="shared" si="131"/>
        <v>71.924033999999992</v>
      </c>
      <c r="O710" s="2583">
        <f t="shared" si="131"/>
        <v>71.924033999999992</v>
      </c>
      <c r="P710" s="2583">
        <f t="shared" si="131"/>
        <v>71.924033999999992</v>
      </c>
      <c r="Q710" s="2583">
        <f t="shared" si="131"/>
        <v>71.924033999999992</v>
      </c>
      <c r="R710" s="2583">
        <f t="shared" si="131"/>
        <v>71.924033999999992</v>
      </c>
      <c r="S710" s="2583">
        <f t="shared" si="131"/>
        <v>71.924033999999992</v>
      </c>
      <c r="T710" s="2583">
        <f t="shared" si="131"/>
        <v>71.924033999999992</v>
      </c>
      <c r="U710" s="2583">
        <f t="shared" si="131"/>
        <v>71.924033999999992</v>
      </c>
      <c r="V710" s="2583">
        <f t="shared" si="131"/>
        <v>71.924033999999992</v>
      </c>
      <c r="W710" s="2583">
        <f t="shared" si="131"/>
        <v>71.924033999999992</v>
      </c>
      <c r="X710" s="2583">
        <f t="shared" si="131"/>
        <v>71.924033999999992</v>
      </c>
      <c r="Y710" s="2583">
        <f t="shared" si="131"/>
        <v>71.924033999999992</v>
      </c>
      <c r="Z710" s="2583">
        <f t="shared" si="131"/>
        <v>71.924033999999992</v>
      </c>
      <c r="AA710" s="2583">
        <f t="shared" si="131"/>
        <v>71.924033999999992</v>
      </c>
      <c r="AB710" s="2583">
        <f t="shared" si="131"/>
        <v>71.924033999999992</v>
      </c>
      <c r="AC710" s="2583">
        <f t="shared" si="131"/>
        <v>71.924033999999992</v>
      </c>
      <c r="AD710" s="2583">
        <f t="shared" si="131"/>
        <v>71.924033999999992</v>
      </c>
      <c r="AE710" s="2583">
        <f t="shared" si="131"/>
        <v>71.924033999999992</v>
      </c>
      <c r="AF710" s="2583">
        <f t="shared" si="131"/>
        <v>71.924033999999992</v>
      </c>
      <c r="AG710" s="2583">
        <f t="shared" si="131"/>
        <v>71.924033999999992</v>
      </c>
      <c r="AH710" s="2583">
        <f t="shared" si="131"/>
        <v>71.924033999999992</v>
      </c>
      <c r="AI710" s="2583">
        <f t="shared" si="131"/>
        <v>71.924033999999992</v>
      </c>
      <c r="AJ710" s="2583">
        <f t="shared" si="131"/>
        <v>71.924033999999992</v>
      </c>
      <c r="AK710" s="2583">
        <f t="shared" si="131"/>
        <v>71.924033999999992</v>
      </c>
      <c r="AL710" s="2583">
        <f t="shared" si="131"/>
        <v>71.924033999999992</v>
      </c>
      <c r="AM710" s="2583">
        <f t="shared" si="131"/>
        <v>71.924033999999992</v>
      </c>
      <c r="AN710" s="2583">
        <f t="shared" si="131"/>
        <v>71.924033999999992</v>
      </c>
      <c r="AO710" s="2583">
        <f t="shared" si="131"/>
        <v>71.924033999999992</v>
      </c>
      <c r="AP710" s="2583">
        <f t="shared" si="131"/>
        <v>71.924033999999992</v>
      </c>
      <c r="AQ710" s="2583">
        <f t="shared" si="131"/>
        <v>71.924033999999992</v>
      </c>
      <c r="AR710" s="2583">
        <f t="shared" si="131"/>
        <v>71.924033999999992</v>
      </c>
      <c r="AS710" s="2583">
        <f t="shared" si="131"/>
        <v>71.924033999999992</v>
      </c>
    </row>
    <row r="711" spans="2:45" x14ac:dyDescent="0.2">
      <c r="B711" s="2554"/>
      <c r="C711" s="2579"/>
      <c r="D711" s="2580" t="s">
        <v>1617</v>
      </c>
      <c r="E711" s="2581"/>
      <c r="F711" s="2582" t="s">
        <v>1160</v>
      </c>
      <c r="G711" s="2583">
        <f t="shared" ref="G711:AS711" si="132">G659*21+G676*310+G693</f>
        <v>6136.5501170620209</v>
      </c>
      <c r="H711" s="2583">
        <f t="shared" si="132"/>
        <v>6195.676891053633</v>
      </c>
      <c r="I711" s="2583">
        <f t="shared" si="132"/>
        <v>6221.2704906766603</v>
      </c>
      <c r="J711" s="2583">
        <f t="shared" si="132"/>
        <v>6236.974219313448</v>
      </c>
      <c r="K711" s="2583">
        <f t="shared" si="132"/>
        <v>6246.9855559489852</v>
      </c>
      <c r="L711" s="2583">
        <f t="shared" si="132"/>
        <v>6250.3450647300779</v>
      </c>
      <c r="M711" s="2583">
        <f t="shared" si="132"/>
        <v>6245.7010837599692</v>
      </c>
      <c r="N711" s="2583">
        <f t="shared" si="132"/>
        <v>6243.4218454663833</v>
      </c>
      <c r="O711" s="2583">
        <f t="shared" si="132"/>
        <v>6241.9604645037834</v>
      </c>
      <c r="P711" s="2583">
        <f t="shared" si="132"/>
        <v>6240.8427911190793</v>
      </c>
      <c r="Q711" s="2583">
        <f t="shared" si="132"/>
        <v>6239.0877361750054</v>
      </c>
      <c r="R711" s="2583">
        <f t="shared" si="132"/>
        <v>6241.6190862553185</v>
      </c>
      <c r="S711" s="2583">
        <f t="shared" si="132"/>
        <v>6247.6703486511224</v>
      </c>
      <c r="T711" s="2583">
        <f t="shared" si="132"/>
        <v>6256.4956897958118</v>
      </c>
      <c r="U711" s="2583">
        <f t="shared" si="132"/>
        <v>6267.3274901020313</v>
      </c>
      <c r="V711" s="2583">
        <f t="shared" si="132"/>
        <v>6279.7578992556691</v>
      </c>
      <c r="W711" s="2583">
        <f t="shared" si="132"/>
        <v>6293.5321895780635</v>
      </c>
      <c r="X711" s="2583">
        <f t="shared" si="132"/>
        <v>6308.2736635074643</v>
      </c>
      <c r="Y711" s="2583">
        <f t="shared" si="132"/>
        <v>6323.896306675163</v>
      </c>
      <c r="Z711" s="2583">
        <f t="shared" si="132"/>
        <v>6340.1371977636481</v>
      </c>
      <c r="AA711" s="2583">
        <f t="shared" si="132"/>
        <v>6357.2734817823784</v>
      </c>
      <c r="AB711" s="2583">
        <f t="shared" si="132"/>
        <v>6374.8057129769286</v>
      </c>
      <c r="AC711" s="2583">
        <f t="shared" si="132"/>
        <v>6393.0310192815896</v>
      </c>
      <c r="AD711" s="2583">
        <f t="shared" si="132"/>
        <v>6411.6911472203956</v>
      </c>
      <c r="AE711" s="2583">
        <f t="shared" si="132"/>
        <v>6430.5402317574935</v>
      </c>
      <c r="AF711" s="2583">
        <f t="shared" si="132"/>
        <v>6450.0109822175573</v>
      </c>
      <c r="AG711" s="2583">
        <f t="shared" si="132"/>
        <v>6469.6687422679242</v>
      </c>
      <c r="AH711" s="2583">
        <f t="shared" si="132"/>
        <v>6489.57195797034</v>
      </c>
      <c r="AI711" s="2583">
        <f t="shared" si="132"/>
        <v>6509.5064580626076</v>
      </c>
      <c r="AJ711" s="2583">
        <f t="shared" si="132"/>
        <v>6529.5742988066968</v>
      </c>
      <c r="AK711" s="2583">
        <f t="shared" si="132"/>
        <v>6549.7189112347723</v>
      </c>
      <c r="AL711" s="2583">
        <f t="shared" si="132"/>
        <v>6569.9098609796383</v>
      </c>
      <c r="AM711" s="2583">
        <f t="shared" si="132"/>
        <v>6590.1191257891496</v>
      </c>
      <c r="AN711" s="2583">
        <f t="shared" si="132"/>
        <v>6610.3281271620717</v>
      </c>
      <c r="AO711" s="2583">
        <f t="shared" si="132"/>
        <v>6630.5132533604465</v>
      </c>
      <c r="AP711" s="2583">
        <f t="shared" si="132"/>
        <v>6650.6624107490452</v>
      </c>
      <c r="AQ711" s="2583">
        <f t="shared" si="132"/>
        <v>6670.7506768039366</v>
      </c>
      <c r="AR711" s="2583">
        <f t="shared" si="132"/>
        <v>6690.7638449267924</v>
      </c>
      <c r="AS711" s="2583">
        <f t="shared" si="132"/>
        <v>6710.7779600816002</v>
      </c>
    </row>
    <row r="712" spans="2:45" x14ac:dyDescent="0.2">
      <c r="B712" s="2554"/>
      <c r="C712" s="2579"/>
      <c r="D712" s="2580" t="s">
        <v>1618</v>
      </c>
      <c r="E712" s="2581"/>
      <c r="F712" s="2582" t="s">
        <v>1160</v>
      </c>
      <c r="G712" s="2585">
        <f t="shared" ref="G712:AS712" si="133">G668*21+G685*310+G702</f>
        <v>1496.2330135045324</v>
      </c>
      <c r="H712" s="2585">
        <f t="shared" si="133"/>
        <v>1510.9567113252858</v>
      </c>
      <c r="I712" s="2585">
        <f t="shared" si="133"/>
        <v>1533.3785610249415</v>
      </c>
      <c r="J712" s="2585">
        <f t="shared" si="133"/>
        <v>1553.5942689407404</v>
      </c>
      <c r="K712" s="2585">
        <f t="shared" si="133"/>
        <v>1572.1394021418587</v>
      </c>
      <c r="L712" s="2585">
        <f t="shared" si="133"/>
        <v>1588.6882250483893</v>
      </c>
      <c r="M712" s="2585">
        <f t="shared" si="133"/>
        <v>1603.7463693596515</v>
      </c>
      <c r="N712" s="2585">
        <f t="shared" si="133"/>
        <v>1619.8134566180163</v>
      </c>
      <c r="O712" s="2585">
        <f t="shared" si="133"/>
        <v>1635.795156316274</v>
      </c>
      <c r="P712" s="2585">
        <f t="shared" si="133"/>
        <v>1651.9457101186526</v>
      </c>
      <c r="Q712" s="2585">
        <f t="shared" si="133"/>
        <v>1667.9682880932069</v>
      </c>
      <c r="R712" s="2585">
        <f t="shared" si="133"/>
        <v>1684.660686322698</v>
      </c>
      <c r="S712" s="2585">
        <f t="shared" si="133"/>
        <v>1701.9061062593407</v>
      </c>
      <c r="T712" s="2585">
        <f t="shared" si="133"/>
        <v>1719.5915266203492</v>
      </c>
      <c r="U712" s="2585">
        <f t="shared" si="133"/>
        <v>1737.6109204951865</v>
      </c>
      <c r="V712" s="2585">
        <f t="shared" si="133"/>
        <v>1755.8635890437665</v>
      </c>
      <c r="W712" s="2585">
        <f t="shared" si="133"/>
        <v>1774.2613807393359</v>
      </c>
      <c r="X712" s="2585">
        <f t="shared" si="133"/>
        <v>1792.8282943272925</v>
      </c>
      <c r="Y712" s="2585">
        <f t="shared" si="133"/>
        <v>1811.5702103672579</v>
      </c>
      <c r="Z712" s="2585">
        <f t="shared" si="133"/>
        <v>1830.4776088505268</v>
      </c>
      <c r="AA712" s="2585">
        <f t="shared" si="133"/>
        <v>1849.5338929779541</v>
      </c>
      <c r="AB712" s="2585">
        <f t="shared" si="133"/>
        <v>1868.6966692651361</v>
      </c>
      <c r="AC712" s="2585">
        <f t="shared" si="133"/>
        <v>1887.9499064854517</v>
      </c>
      <c r="AD712" s="2585">
        <f t="shared" si="133"/>
        <v>1907.2750133465502</v>
      </c>
      <c r="AE712" s="2585">
        <f t="shared" si="133"/>
        <v>1926.6521682205375</v>
      </c>
      <c r="AF712" s="2585">
        <f t="shared" si="133"/>
        <v>1946.0637534149503</v>
      </c>
      <c r="AG712" s="2585">
        <f t="shared" si="133"/>
        <v>1965.488777233727</v>
      </c>
      <c r="AH712" s="2585">
        <f t="shared" si="133"/>
        <v>1984.9067459989647</v>
      </c>
      <c r="AI712" s="2585">
        <f t="shared" si="133"/>
        <v>2004.2976922509547</v>
      </c>
      <c r="AJ712" s="2585">
        <f t="shared" si="133"/>
        <v>2023.6704977435697</v>
      </c>
      <c r="AK712" s="2585">
        <f t="shared" si="133"/>
        <v>2042.9979466597124</v>
      </c>
      <c r="AL712" s="2585">
        <f t="shared" si="133"/>
        <v>2062.2587858176416</v>
      </c>
      <c r="AM712" s="2585">
        <f t="shared" si="133"/>
        <v>2081.4271137091173</v>
      </c>
      <c r="AN712" s="2585">
        <f t="shared" si="133"/>
        <v>2100.4826401875175</v>
      </c>
      <c r="AO712" s="2585">
        <f t="shared" si="133"/>
        <v>2119.4091052023737</v>
      </c>
      <c r="AP712" s="2585">
        <f t="shared" si="133"/>
        <v>2138.1838291699096</v>
      </c>
      <c r="AQ712" s="2585">
        <f t="shared" si="133"/>
        <v>2156.7889642652381</v>
      </c>
      <c r="AR712" s="2585">
        <f t="shared" si="133"/>
        <v>2175.2069313350698</v>
      </c>
      <c r="AS712" s="2585">
        <f t="shared" si="133"/>
        <v>2193.4203668349264</v>
      </c>
    </row>
    <row r="713" spans="2:45" x14ac:dyDescent="0.2">
      <c r="B713" s="2554"/>
      <c r="C713" s="2579"/>
      <c r="D713" s="2580" t="s">
        <v>1612</v>
      </c>
      <c r="E713" s="2586"/>
      <c r="F713" s="2582" t="s">
        <v>1160</v>
      </c>
      <c r="G713" s="2587">
        <f t="shared" ref="G713:AS713" si="134">G669*21+G686*310</f>
        <v>11.00001</v>
      </c>
      <c r="H713" s="2588">
        <f t="shared" si="134"/>
        <v>11.00001</v>
      </c>
      <c r="I713" s="2588">
        <f t="shared" si="134"/>
        <v>2.9999970000000005</v>
      </c>
      <c r="J713" s="2588">
        <f t="shared" si="134"/>
        <v>2.9999970000000005</v>
      </c>
      <c r="K713" s="2588">
        <f t="shared" si="134"/>
        <v>2.9999970000000005</v>
      </c>
      <c r="L713" s="2588">
        <f t="shared" si="134"/>
        <v>2.9999970000000005</v>
      </c>
      <c r="M713" s="2588">
        <f t="shared" si="134"/>
        <v>2.9999970000000005</v>
      </c>
      <c r="N713" s="2588">
        <f t="shared" si="134"/>
        <v>2.9999970000000005</v>
      </c>
      <c r="O713" s="2588">
        <f t="shared" si="134"/>
        <v>2.9999970000000005</v>
      </c>
      <c r="P713" s="2588">
        <f t="shared" si="134"/>
        <v>0</v>
      </c>
      <c r="Q713" s="2588">
        <f t="shared" si="134"/>
        <v>0</v>
      </c>
      <c r="R713" s="2588">
        <f t="shared" si="134"/>
        <v>0</v>
      </c>
      <c r="S713" s="2588">
        <f t="shared" si="134"/>
        <v>0</v>
      </c>
      <c r="T713" s="2588">
        <f t="shared" si="134"/>
        <v>0</v>
      </c>
      <c r="U713" s="2588">
        <f t="shared" si="134"/>
        <v>0</v>
      </c>
      <c r="V713" s="2588">
        <f t="shared" si="134"/>
        <v>0</v>
      </c>
      <c r="W713" s="2588">
        <f t="shared" si="134"/>
        <v>0</v>
      </c>
      <c r="X713" s="2588">
        <f t="shared" si="134"/>
        <v>0</v>
      </c>
      <c r="Y713" s="2588">
        <f t="shared" si="134"/>
        <v>0</v>
      </c>
      <c r="Z713" s="2588">
        <f t="shared" si="134"/>
        <v>0</v>
      </c>
      <c r="AA713" s="2588">
        <f t="shared" si="134"/>
        <v>0</v>
      </c>
      <c r="AB713" s="2588">
        <f t="shared" si="134"/>
        <v>0</v>
      </c>
      <c r="AC713" s="2588">
        <f t="shared" si="134"/>
        <v>0</v>
      </c>
      <c r="AD713" s="2588">
        <f t="shared" si="134"/>
        <v>0</v>
      </c>
      <c r="AE713" s="2588">
        <f t="shared" si="134"/>
        <v>0</v>
      </c>
      <c r="AF713" s="2588">
        <f t="shared" si="134"/>
        <v>0</v>
      </c>
      <c r="AG713" s="2588">
        <f t="shared" si="134"/>
        <v>0</v>
      </c>
      <c r="AH713" s="2588">
        <f t="shared" si="134"/>
        <v>0</v>
      </c>
      <c r="AI713" s="2588">
        <f t="shared" si="134"/>
        <v>0</v>
      </c>
      <c r="AJ713" s="2588">
        <f t="shared" si="134"/>
        <v>0</v>
      </c>
      <c r="AK713" s="2588">
        <f t="shared" si="134"/>
        <v>0</v>
      </c>
      <c r="AL713" s="2588">
        <f t="shared" si="134"/>
        <v>0</v>
      </c>
      <c r="AM713" s="2588">
        <f t="shared" si="134"/>
        <v>0</v>
      </c>
      <c r="AN713" s="2588">
        <f t="shared" si="134"/>
        <v>0</v>
      </c>
      <c r="AO713" s="2588">
        <f t="shared" si="134"/>
        <v>0</v>
      </c>
      <c r="AP713" s="2588">
        <f t="shared" si="134"/>
        <v>0</v>
      </c>
      <c r="AQ713" s="2588">
        <f t="shared" si="134"/>
        <v>0</v>
      </c>
      <c r="AR713" s="2588">
        <f t="shared" si="134"/>
        <v>0</v>
      </c>
      <c r="AS713" s="2588">
        <f t="shared" si="134"/>
        <v>0</v>
      </c>
    </row>
    <row r="714" spans="2:45" x14ac:dyDescent="0.2">
      <c r="B714" s="2554"/>
      <c r="C714" s="2589"/>
      <c r="D714" s="2590" t="s">
        <v>118</v>
      </c>
      <c r="E714" s="2590"/>
      <c r="F714" s="2591" t="s">
        <v>1160</v>
      </c>
      <c r="G714" s="2592">
        <f>+SUM(G709:G713)</f>
        <v>12663.600764109444</v>
      </c>
      <c r="H714" s="2592">
        <f t="shared" ref="H714:AS714" si="135">+SUM(H709:H713)</f>
        <v>12724.665584276418</v>
      </c>
      <c r="I714" s="2592">
        <f t="shared" si="135"/>
        <v>12778.910019245302</v>
      </c>
      <c r="J714" s="2592">
        <f t="shared" si="135"/>
        <v>12814.628197606789</v>
      </c>
      <c r="K714" s="2592">
        <f t="shared" si="135"/>
        <v>12833.56004907516</v>
      </c>
      <c r="L714" s="2592">
        <f t="shared" si="135"/>
        <v>12833.846048265292</v>
      </c>
      <c r="M714" s="2592">
        <f t="shared" si="135"/>
        <v>12811.839531159165</v>
      </c>
      <c r="N714" s="2592">
        <f t="shared" si="135"/>
        <v>12797.467865627301</v>
      </c>
      <c r="O714" s="2592">
        <f t="shared" si="135"/>
        <v>12785.108849467677</v>
      </c>
      <c r="P714" s="2592">
        <f t="shared" si="135"/>
        <v>12770.536238695404</v>
      </c>
      <c r="Q714" s="2592">
        <f t="shared" si="135"/>
        <v>12756.995637678412</v>
      </c>
      <c r="R714" s="2592">
        <f t="shared" si="135"/>
        <v>12754.799314121887</v>
      </c>
      <c r="S714" s="2592">
        <f t="shared" si="135"/>
        <v>12761.740693251044</v>
      </c>
      <c r="T714" s="2592">
        <f t="shared" si="135"/>
        <v>12775.917084912438</v>
      </c>
      <c r="U714" s="2592">
        <f t="shared" si="135"/>
        <v>12795.628474960471</v>
      </c>
      <c r="V714" s="2592">
        <f t="shared" si="135"/>
        <v>12819.709608310835</v>
      </c>
      <c r="W714" s="2592">
        <f t="shared" si="135"/>
        <v>12847.295404128383</v>
      </c>
      <c r="X714" s="2592">
        <f t="shared" si="135"/>
        <v>12877.634944070251</v>
      </c>
      <c r="Y714" s="2592">
        <f t="shared" si="135"/>
        <v>12910.329070861771</v>
      </c>
      <c r="Z714" s="2592">
        <f t="shared" si="135"/>
        <v>12944.848788562045</v>
      </c>
      <c r="AA714" s="2592">
        <f t="shared" si="135"/>
        <v>12981.248532844391</v>
      </c>
      <c r="AB714" s="2592">
        <f t="shared" si="135"/>
        <v>13018.816846803844</v>
      </c>
      <c r="AC714" s="2592">
        <f t="shared" si="135"/>
        <v>13057.702538610074</v>
      </c>
      <c r="AD714" s="2592">
        <f t="shared" si="135"/>
        <v>13097.522069260283</v>
      </c>
      <c r="AE714" s="2592">
        <f t="shared" si="135"/>
        <v>13137.923604653675</v>
      </c>
      <c r="AF714" s="2592">
        <f t="shared" si="135"/>
        <v>13179.253047962186</v>
      </c>
      <c r="AG714" s="2592">
        <f t="shared" si="135"/>
        <v>13220.998191040828</v>
      </c>
      <c r="AH714" s="2592">
        <f t="shared" si="135"/>
        <v>13263.151076114293</v>
      </c>
      <c r="AI714" s="2592">
        <f t="shared" si="135"/>
        <v>13305.440187194698</v>
      </c>
      <c r="AJ714" s="2592">
        <f t="shared" si="135"/>
        <v>13347.950975622767</v>
      </c>
      <c r="AK714" s="2592">
        <f t="shared" si="135"/>
        <v>13390.573157567547</v>
      </c>
      <c r="AL714" s="2592">
        <f t="shared" si="135"/>
        <v>13433.233902521315</v>
      </c>
      <c r="AM714" s="2592">
        <f t="shared" si="135"/>
        <v>13475.860754630532</v>
      </c>
      <c r="AN714" s="2592">
        <f t="shared" si="135"/>
        <v>13518.400062919613</v>
      </c>
      <c r="AO714" s="2592">
        <f t="shared" si="135"/>
        <v>13560.800098542668</v>
      </c>
      <c r="AP714" s="2592">
        <f t="shared" si="135"/>
        <v>13603.014850562608</v>
      </c>
      <c r="AQ714" s="2592">
        <f t="shared" si="135"/>
        <v>13644.992581489783</v>
      </c>
      <c r="AR714" s="2592">
        <f t="shared" si="135"/>
        <v>13686.693716976741</v>
      </c>
      <c r="AS714" s="2592">
        <f t="shared" si="135"/>
        <v>13728.170092578275</v>
      </c>
    </row>
    <row r="715" spans="2:45" x14ac:dyDescent="0.2">
      <c r="B715" s="2554"/>
      <c r="C715" s="2572"/>
      <c r="D715" s="2572"/>
      <c r="E715" s="2572"/>
      <c r="F715" s="2572"/>
      <c r="G715" s="2572"/>
      <c r="H715" s="2572"/>
      <c r="I715" s="2572"/>
      <c r="J715" s="2572"/>
      <c r="K715" s="2572"/>
      <c r="L715" s="2572"/>
      <c r="M715" s="2572"/>
      <c r="N715" s="2572"/>
      <c r="O715" s="2572"/>
      <c r="P715" s="2572"/>
      <c r="Q715" s="2572"/>
      <c r="R715" s="2572"/>
      <c r="S715" s="2572"/>
      <c r="T715" s="2572"/>
      <c r="U715" s="2572"/>
      <c r="V715" s="2572"/>
      <c r="W715" s="2572"/>
      <c r="X715" s="2572"/>
      <c r="Y715" s="2572"/>
      <c r="Z715" s="2572"/>
      <c r="AA715" s="2572"/>
      <c r="AB715" s="2572"/>
      <c r="AC715" s="2572"/>
      <c r="AD715" s="2572"/>
      <c r="AE715" s="2572"/>
      <c r="AF715" s="2572"/>
      <c r="AG715" s="2572"/>
      <c r="AH715" s="2572"/>
      <c r="AI715" s="2572"/>
      <c r="AJ715" s="2572"/>
      <c r="AK715" s="2572"/>
      <c r="AL715" s="2572"/>
      <c r="AM715" s="2572"/>
      <c r="AN715" s="2572"/>
      <c r="AO715" s="2572"/>
      <c r="AP715" s="2572"/>
      <c r="AQ715" s="2572"/>
      <c r="AR715" s="2572"/>
      <c r="AS715" s="2572"/>
    </row>
    <row r="716" spans="2:45" x14ac:dyDescent="0.2">
      <c r="B716" s="2554"/>
      <c r="C716" s="2572"/>
      <c r="D716" s="2572"/>
      <c r="E716" s="2572"/>
      <c r="F716" s="2572"/>
      <c r="G716" s="2572"/>
      <c r="H716" s="2572"/>
      <c r="I716" s="2572"/>
      <c r="J716" s="2572"/>
      <c r="K716" s="2572"/>
      <c r="L716" s="2572"/>
      <c r="M716" s="2572"/>
      <c r="N716" s="2572"/>
      <c r="O716" s="2572"/>
      <c r="P716" s="2572"/>
      <c r="Q716" s="2572"/>
      <c r="R716" s="2572"/>
      <c r="S716" s="2572"/>
      <c r="T716" s="2572"/>
      <c r="U716" s="2572"/>
      <c r="V716" s="2572"/>
      <c r="W716" s="2572"/>
      <c r="X716" s="2572"/>
      <c r="Y716" s="2572"/>
      <c r="Z716" s="2572"/>
      <c r="AA716" s="2572"/>
      <c r="AB716" s="2572"/>
      <c r="AC716" s="2572"/>
      <c r="AD716" s="2572"/>
      <c r="AE716" s="2572"/>
      <c r="AF716" s="2572"/>
      <c r="AG716" s="2572"/>
      <c r="AH716" s="2572"/>
      <c r="AI716" s="2572"/>
      <c r="AJ716" s="2572"/>
      <c r="AK716" s="2572"/>
      <c r="AL716" s="2572"/>
      <c r="AM716" s="2572"/>
      <c r="AN716" s="2572"/>
      <c r="AO716" s="2572"/>
      <c r="AP716" s="2572"/>
      <c r="AQ716" s="2572"/>
      <c r="AR716" s="2572"/>
      <c r="AS716" s="2572"/>
    </row>
    <row r="717" spans="2:45" x14ac:dyDescent="0.2">
      <c r="B717" s="2554"/>
      <c r="C717" s="2572"/>
      <c r="D717" s="2572"/>
      <c r="E717" s="2572"/>
      <c r="F717" s="2572" t="s">
        <v>1619</v>
      </c>
      <c r="G717" s="2593">
        <v>12663.600764109444</v>
      </c>
      <c r="H717" s="2593">
        <v>12724.665584276418</v>
      </c>
      <c r="I717" s="2593">
        <v>12778.910019245302</v>
      </c>
      <c r="J717" s="2593">
        <v>12814.628197606789</v>
      </c>
      <c r="K717" s="2593">
        <v>12833.56004907516</v>
      </c>
      <c r="L717" s="2593">
        <v>12833.846048265292</v>
      </c>
      <c r="M717" s="2593">
        <v>12811.839531159165</v>
      </c>
      <c r="N717" s="2593">
        <v>12797.467865627301</v>
      </c>
      <c r="O717" s="2593">
        <v>12785.108849467677</v>
      </c>
      <c r="P717" s="2593">
        <v>12770.536238695404</v>
      </c>
      <c r="Q717" s="2593">
        <v>12756.995637678412</v>
      </c>
      <c r="R717" s="2593">
        <v>12754.799314121887</v>
      </c>
      <c r="S717" s="2593">
        <v>12761.740693251044</v>
      </c>
      <c r="T717" s="2593">
        <v>12775.917084912438</v>
      </c>
      <c r="U717" s="2593">
        <v>12795.628474960471</v>
      </c>
      <c r="V717" s="2593">
        <v>12819.709608310835</v>
      </c>
      <c r="W717" s="2593">
        <v>12847.295404128383</v>
      </c>
      <c r="X717" s="2593">
        <v>12877.634944070251</v>
      </c>
      <c r="Y717" s="2593">
        <v>12910.329070861771</v>
      </c>
      <c r="Z717" s="2593">
        <v>12944.848788562045</v>
      </c>
      <c r="AA717" s="2593">
        <v>12981.248532844391</v>
      </c>
      <c r="AB717" s="2593">
        <v>13018.816846803844</v>
      </c>
      <c r="AC717" s="2593">
        <v>13057.702538610074</v>
      </c>
      <c r="AD717" s="2593">
        <v>13097.522069260283</v>
      </c>
      <c r="AE717" s="2593">
        <v>13137.923604653675</v>
      </c>
      <c r="AF717" s="2593">
        <v>13179.253047962186</v>
      </c>
      <c r="AG717" s="2593">
        <v>13220.998191040828</v>
      </c>
      <c r="AH717" s="2593">
        <v>13263.151076114293</v>
      </c>
      <c r="AI717" s="2593">
        <v>13305.440187194698</v>
      </c>
      <c r="AJ717" s="2593">
        <v>13347.950975622767</v>
      </c>
      <c r="AK717" s="2593">
        <v>13390.573157567547</v>
      </c>
      <c r="AL717" s="2593">
        <v>13433.233902521315</v>
      </c>
      <c r="AM717" s="2593">
        <v>13475.860754630532</v>
      </c>
      <c r="AN717" s="2593">
        <v>13518.400062919613</v>
      </c>
      <c r="AO717" s="2593">
        <v>13560.800098542668</v>
      </c>
      <c r="AP717" s="2593">
        <v>13603.014850562608</v>
      </c>
      <c r="AQ717" s="2593">
        <v>13644.992581489783</v>
      </c>
      <c r="AR717" s="2593">
        <v>13686.693716976741</v>
      </c>
      <c r="AS717" s="2593">
        <v>13728.170092578275</v>
      </c>
    </row>
    <row r="719" spans="2:45" ht="15.75" x14ac:dyDescent="0.25">
      <c r="B719" s="2152" t="s">
        <v>434</v>
      </c>
      <c r="C719" s="2153"/>
      <c r="D719" s="2153"/>
      <c r="E719" s="2153"/>
      <c r="F719" s="2153"/>
      <c r="G719" s="2153"/>
      <c r="H719" s="2153"/>
      <c r="I719" s="2153"/>
      <c r="J719" s="2153"/>
      <c r="K719" s="2153"/>
      <c r="L719" s="2153"/>
      <c r="M719" s="2153"/>
      <c r="N719" s="2153"/>
      <c r="O719" s="2153"/>
      <c r="P719" s="2153"/>
      <c r="Q719" s="2153"/>
      <c r="R719" s="2153"/>
      <c r="S719" s="2153"/>
      <c r="T719" s="2153"/>
      <c r="U719" s="2153"/>
      <c r="V719" s="2153"/>
      <c r="W719" s="2153"/>
      <c r="X719" s="2153"/>
      <c r="Y719" s="2153"/>
      <c r="Z719" s="2153"/>
      <c r="AA719" s="2153"/>
      <c r="AB719" s="2153"/>
      <c r="AC719" s="2153"/>
      <c r="AD719" s="2153"/>
      <c r="AE719" s="2153"/>
      <c r="AF719" s="2153"/>
      <c r="AG719" s="2153"/>
      <c r="AH719" s="2153"/>
      <c r="AI719" s="2153"/>
      <c r="AJ719" s="2153"/>
      <c r="AK719" s="2153"/>
      <c r="AL719" s="2153"/>
      <c r="AM719" s="2153"/>
      <c r="AN719" s="2153"/>
      <c r="AO719" s="2153"/>
      <c r="AP719" s="2153"/>
      <c r="AQ719" s="2153"/>
      <c r="AR719" s="2153"/>
      <c r="AS719" s="2153"/>
    </row>
    <row r="720" spans="2:45" x14ac:dyDescent="0.2">
      <c r="B720" s="2154"/>
      <c r="C720" s="2154"/>
      <c r="D720" s="2154"/>
      <c r="E720" s="2154"/>
      <c r="F720" s="2154"/>
      <c r="G720" s="2154"/>
      <c r="H720" s="2154"/>
      <c r="I720" s="2154"/>
      <c r="J720" s="2154"/>
      <c r="K720" s="2154"/>
      <c r="L720" s="2154"/>
      <c r="M720" s="2154"/>
      <c r="N720" s="2154"/>
      <c r="O720" s="2154"/>
      <c r="P720" s="2154"/>
      <c r="Q720" s="2154"/>
      <c r="R720" s="2154"/>
      <c r="S720" s="2154"/>
      <c r="T720" s="2154"/>
      <c r="U720" s="2154"/>
      <c r="V720" s="2154"/>
      <c r="W720" s="2154"/>
      <c r="X720" s="2154"/>
      <c r="Y720" s="2154"/>
      <c r="Z720" s="2154"/>
      <c r="AA720" s="2154"/>
      <c r="AB720" s="2154"/>
      <c r="AC720" s="2154"/>
      <c r="AD720" s="2154"/>
      <c r="AE720" s="2154"/>
      <c r="AF720" s="2154"/>
      <c r="AG720" s="2154"/>
      <c r="AH720" s="2154"/>
      <c r="AI720" s="2154"/>
      <c r="AJ720" s="2154"/>
      <c r="AK720" s="2154"/>
      <c r="AL720" s="2154"/>
      <c r="AM720" s="2154"/>
      <c r="AN720" s="2154"/>
      <c r="AO720" s="2154"/>
      <c r="AP720" s="2154"/>
      <c r="AQ720" s="2154"/>
      <c r="AR720" s="2154"/>
      <c r="AS720" s="2154"/>
    </row>
    <row r="721" spans="2:45" x14ac:dyDescent="0.2">
      <c r="B721" s="2154"/>
      <c r="C721" s="2594" t="s">
        <v>1345</v>
      </c>
      <c r="D721" s="2154"/>
      <c r="E721" s="2154"/>
      <c r="F721" s="2154"/>
      <c r="G721" s="2154"/>
      <c r="H721" s="2154"/>
      <c r="I721" s="2154"/>
      <c r="J721" s="2154"/>
      <c r="K721" s="2154"/>
      <c r="L721" s="2154"/>
      <c r="M721" s="2154"/>
      <c r="N721" s="2154"/>
      <c r="O721" s="2154"/>
      <c r="P721" s="2154"/>
      <c r="Q721" s="2154"/>
      <c r="R721" s="2154"/>
      <c r="S721" s="2154"/>
      <c r="T721" s="2154"/>
      <c r="U721" s="2154"/>
      <c r="V721" s="2154"/>
      <c r="W721" s="2154"/>
      <c r="X721" s="2154"/>
      <c r="Y721" s="2154"/>
      <c r="Z721" s="2154"/>
      <c r="AA721" s="2154"/>
      <c r="AB721" s="2154"/>
      <c r="AC721" s="2154"/>
      <c r="AD721" s="2154"/>
      <c r="AE721" s="2154"/>
      <c r="AF721" s="2154"/>
      <c r="AG721" s="2154"/>
      <c r="AH721" s="2154"/>
      <c r="AI721" s="2154"/>
      <c r="AJ721" s="2154"/>
      <c r="AK721" s="2154"/>
      <c r="AL721" s="2154"/>
      <c r="AM721" s="2154"/>
      <c r="AN721" s="2154"/>
      <c r="AO721" s="2154"/>
      <c r="AP721" s="2154"/>
      <c r="AQ721" s="2154"/>
      <c r="AR721" s="2154"/>
      <c r="AS721" s="2154"/>
    </row>
    <row r="722" spans="2:45" x14ac:dyDescent="0.2">
      <c r="B722" s="2154"/>
      <c r="C722" s="2158" t="s">
        <v>242</v>
      </c>
      <c r="D722" s="2159" t="s">
        <v>1029</v>
      </c>
      <c r="E722" s="2159" t="s">
        <v>8</v>
      </c>
      <c r="F722" s="2160"/>
      <c r="G722" s="2159">
        <v>2012</v>
      </c>
      <c r="H722" s="2159">
        <v>2013</v>
      </c>
      <c r="I722" s="2159">
        <v>2014</v>
      </c>
      <c r="J722" s="2159">
        <v>2015</v>
      </c>
      <c r="K722" s="2159">
        <v>2016</v>
      </c>
      <c r="L722" s="2159">
        <v>2017</v>
      </c>
      <c r="M722" s="2159">
        <v>2018</v>
      </c>
      <c r="N722" s="2159">
        <v>2019</v>
      </c>
      <c r="O722" s="2159">
        <v>2020</v>
      </c>
      <c r="P722" s="2159">
        <v>2021</v>
      </c>
      <c r="Q722" s="2159">
        <v>2022</v>
      </c>
      <c r="R722" s="2159">
        <v>2023</v>
      </c>
      <c r="S722" s="2159">
        <v>2024</v>
      </c>
      <c r="T722" s="2159">
        <v>2025</v>
      </c>
      <c r="U722" s="2159">
        <v>2026</v>
      </c>
      <c r="V722" s="2159">
        <v>2027</v>
      </c>
      <c r="W722" s="2159">
        <v>2028</v>
      </c>
      <c r="X722" s="2159">
        <v>2029</v>
      </c>
      <c r="Y722" s="2159">
        <v>2030</v>
      </c>
      <c r="Z722" s="2159">
        <v>2031</v>
      </c>
      <c r="AA722" s="2159">
        <v>2032</v>
      </c>
      <c r="AB722" s="2159">
        <v>2033</v>
      </c>
      <c r="AC722" s="2159">
        <v>2034</v>
      </c>
      <c r="AD722" s="2159">
        <v>2035</v>
      </c>
      <c r="AE722" s="2159">
        <v>2036</v>
      </c>
      <c r="AF722" s="2159">
        <v>2037</v>
      </c>
      <c r="AG722" s="2159">
        <v>2038</v>
      </c>
      <c r="AH722" s="2159">
        <v>2039</v>
      </c>
      <c r="AI722" s="2159">
        <v>2040</v>
      </c>
      <c r="AJ722" s="2159">
        <v>2041</v>
      </c>
      <c r="AK722" s="2159">
        <v>2042</v>
      </c>
      <c r="AL722" s="2159">
        <v>2043</v>
      </c>
      <c r="AM722" s="2159">
        <v>2044</v>
      </c>
      <c r="AN722" s="2159">
        <v>2045</v>
      </c>
      <c r="AO722" s="2159">
        <v>2046</v>
      </c>
      <c r="AP722" s="2159">
        <v>2047</v>
      </c>
      <c r="AQ722" s="2159">
        <v>2048</v>
      </c>
      <c r="AR722" s="2159">
        <v>2049</v>
      </c>
      <c r="AS722" s="2159">
        <v>2050</v>
      </c>
    </row>
    <row r="723" spans="2:45" x14ac:dyDescent="0.2">
      <c r="B723" s="2154"/>
      <c r="C723" s="2161" t="s">
        <v>398</v>
      </c>
      <c r="D723" s="2162" t="s">
        <v>1163</v>
      </c>
      <c r="E723" s="2163"/>
      <c r="F723" s="2164"/>
      <c r="G723" s="2376">
        <f>G704/1000</f>
        <v>0.21975352842761231</v>
      </c>
      <c r="H723" s="2376">
        <f t="shared" ref="H723:AS723" si="136">H704/1000</f>
        <v>0.22087951918955401</v>
      </c>
      <c r="I723" s="2376">
        <f t="shared" si="136"/>
        <v>0.2222420244646848</v>
      </c>
      <c r="J723" s="2376">
        <f t="shared" si="136"/>
        <v>0.22361402137524686</v>
      </c>
      <c r="K723" s="2376">
        <f t="shared" si="136"/>
        <v>0.22503489413461308</v>
      </c>
      <c r="L723" s="2376">
        <f t="shared" si="136"/>
        <v>0.22646631551528146</v>
      </c>
      <c r="M723" s="2376">
        <f t="shared" si="136"/>
        <v>0.22794863578054819</v>
      </c>
      <c r="N723" s="2376">
        <f t="shared" si="136"/>
        <v>0.22944269823880578</v>
      </c>
      <c r="O723" s="2376">
        <f t="shared" si="136"/>
        <v>0.23094861676951525</v>
      </c>
      <c r="P723" s="2376">
        <f t="shared" si="136"/>
        <v>0.23246650653290998</v>
      </c>
      <c r="Q723" s="2376">
        <f t="shared" si="136"/>
        <v>0.23399648398561762</v>
      </c>
      <c r="R723" s="2376">
        <f t="shared" si="136"/>
        <v>0.23553866689647956</v>
      </c>
      <c r="S723" s="2376">
        <f t="shared" si="136"/>
        <v>0.23709317436257074</v>
      </c>
      <c r="T723" s="2376">
        <f t="shared" si="136"/>
        <v>0.23866012682542281</v>
      </c>
      <c r="U723" s="2376">
        <f t="shared" si="136"/>
        <v>0.24023964608745205</v>
      </c>
      <c r="V723" s="2376">
        <f t="shared" si="136"/>
        <v>0.24183185532859619</v>
      </c>
      <c r="W723" s="2376">
        <f t="shared" si="136"/>
        <v>0.2434368791231615</v>
      </c>
      <c r="X723" s="2376">
        <f t="shared" si="136"/>
        <v>0.24505484345688394</v>
      </c>
      <c r="Y723" s="2376">
        <f t="shared" si="136"/>
        <v>0.24659186304522035</v>
      </c>
      <c r="Z723" s="2376">
        <f t="shared" si="136"/>
        <v>0.24810996287647036</v>
      </c>
      <c r="AA723" s="2376">
        <f t="shared" si="136"/>
        <v>0.24983885353847926</v>
      </c>
      <c r="AB723" s="2376">
        <f t="shared" si="136"/>
        <v>0.25158076008419256</v>
      </c>
      <c r="AC723" s="2376">
        <f t="shared" si="136"/>
        <v>0.25353826143050329</v>
      </c>
      <c r="AD723" s="2376">
        <f t="shared" si="136"/>
        <v>0.25561357061048584</v>
      </c>
      <c r="AE723" s="2376">
        <f t="shared" si="136"/>
        <v>0.25770635610372994</v>
      </c>
      <c r="AF723" s="2376">
        <f t="shared" si="136"/>
        <v>0.26012720829981545</v>
      </c>
      <c r="AG723" s="2376">
        <f t="shared" si="136"/>
        <v>0.26257096461056834</v>
      </c>
      <c r="AH723" s="2376">
        <f t="shared" si="136"/>
        <v>0.26514319389575713</v>
      </c>
      <c r="AI723" s="2376">
        <f t="shared" si="136"/>
        <v>0.26774071521549059</v>
      </c>
      <c r="AJ723" s="2376">
        <f t="shared" si="136"/>
        <v>0.27030545900963204</v>
      </c>
      <c r="AK723" s="2376">
        <f t="shared" si="136"/>
        <v>0.27289477781911387</v>
      </c>
      <c r="AL723" s="2376">
        <f t="shared" si="136"/>
        <v>0.27550890718507975</v>
      </c>
      <c r="AM723" s="2376">
        <f t="shared" si="136"/>
        <v>0.27814808490689147</v>
      </c>
      <c r="AN723" s="2376">
        <f t="shared" si="136"/>
        <v>0.28081255106378561</v>
      </c>
      <c r="AO723" s="2376">
        <f t="shared" si="136"/>
        <v>0.28350254803673808</v>
      </c>
      <c r="AP723" s="2376">
        <f t="shared" si="136"/>
        <v>0.28621832053053814</v>
      </c>
      <c r="AQ723" s="2376">
        <f t="shared" si="136"/>
        <v>0.28896011559607521</v>
      </c>
      <c r="AR723" s="2376">
        <f t="shared" si="136"/>
        <v>0.29172818265283762</v>
      </c>
      <c r="AS723" s="2376">
        <f t="shared" si="136"/>
        <v>0.29452277351162953</v>
      </c>
    </row>
    <row r="724" spans="2:45" x14ac:dyDescent="0.2">
      <c r="B724" s="2154"/>
      <c r="C724" s="2161" t="s">
        <v>400</v>
      </c>
      <c r="D724" s="2162" t="s">
        <v>1163</v>
      </c>
      <c r="E724" s="2163"/>
      <c r="F724" s="2164"/>
      <c r="G724" s="2376">
        <f t="shared" ref="G724:AS724" si="137">G670*21/1000</f>
        <v>6.2979788705828463</v>
      </c>
      <c r="H724" s="2376">
        <f t="shared" si="137"/>
        <v>6.2963998582794671</v>
      </c>
      <c r="I724" s="2376">
        <f t="shared" si="137"/>
        <v>6.3204109779224256</v>
      </c>
      <c r="J724" s="2376">
        <f t="shared" si="137"/>
        <v>6.3359723628596436</v>
      </c>
      <c r="K724" s="2376">
        <f t="shared" si="137"/>
        <v>6.3405779136041831</v>
      </c>
      <c r="L724" s="2376">
        <f t="shared" si="137"/>
        <v>6.3333802663567624</v>
      </c>
      <c r="M724" s="2376">
        <f t="shared" si="137"/>
        <v>6.3119764506934795</v>
      </c>
      <c r="N724" s="2376">
        <f t="shared" si="137"/>
        <v>6.2957083569839289</v>
      </c>
      <c r="O724" s="2376">
        <f t="shared" si="137"/>
        <v>6.2806748099447338</v>
      </c>
      <c r="P724" s="2376">
        <f t="shared" si="137"/>
        <v>6.2630773349705606</v>
      </c>
      <c r="Q724" s="2376">
        <f t="shared" si="137"/>
        <v>6.2471811097583201</v>
      </c>
      <c r="R724" s="2376">
        <f t="shared" si="137"/>
        <v>6.2382550644723187</v>
      </c>
      <c r="S724" s="2376">
        <f t="shared" si="137"/>
        <v>6.2348906172862222</v>
      </c>
      <c r="T724" s="2376">
        <f t="shared" si="137"/>
        <v>6.2359549275750155</v>
      </c>
      <c r="U724" s="2376">
        <f t="shared" si="137"/>
        <v>6.2405346104491661</v>
      </c>
      <c r="V724" s="2376">
        <f t="shared" si="137"/>
        <v>6.2478885753171731</v>
      </c>
      <c r="W724" s="2376">
        <f t="shared" si="137"/>
        <v>6.2574195129682417</v>
      </c>
      <c r="X724" s="2376">
        <f t="shared" si="137"/>
        <v>6.2687406284518241</v>
      </c>
      <c r="Y724" s="2376">
        <f t="shared" si="137"/>
        <v>6.281531445162825</v>
      </c>
      <c r="Z724" s="2376">
        <f t="shared" si="137"/>
        <v>6.2955230118114223</v>
      </c>
      <c r="AA724" s="2376">
        <f t="shared" si="137"/>
        <v>6.3104921339212536</v>
      </c>
      <c r="AB724" s="2376">
        <f t="shared" si="137"/>
        <v>6.3262328794383107</v>
      </c>
      <c r="AC724" s="2376">
        <f t="shared" si="137"/>
        <v>6.3425974388511071</v>
      </c>
      <c r="AD724" s="2376">
        <f t="shared" si="137"/>
        <v>6.359462147320265</v>
      </c>
      <c r="AE724" s="2376">
        <f t="shared" si="137"/>
        <v>6.3767233606232274</v>
      </c>
      <c r="AF724" s="2376">
        <f t="shared" si="137"/>
        <v>6.3942964389901764</v>
      </c>
      <c r="AG724" s="2376">
        <f t="shared" si="137"/>
        <v>6.4121070523196737</v>
      </c>
      <c r="AH724" s="2376">
        <f t="shared" si="137"/>
        <v>6.430092123860228</v>
      </c>
      <c r="AI724" s="2376">
        <f t="shared" si="137"/>
        <v>6.4481976949318121</v>
      </c>
      <c r="AJ724" s="2376">
        <f t="shared" si="137"/>
        <v>6.4664041701327202</v>
      </c>
      <c r="AK724" s="2376">
        <f t="shared" si="137"/>
        <v>6.4846632270593112</v>
      </c>
      <c r="AL724" s="2376">
        <f t="shared" si="137"/>
        <v>6.5029365451139647</v>
      </c>
      <c r="AM724" s="2376">
        <f t="shared" si="137"/>
        <v>6.5211848642807562</v>
      </c>
      <c r="AN724" s="2376">
        <f t="shared" si="137"/>
        <v>6.5393770475736837</v>
      </c>
      <c r="AO724" s="2376">
        <f t="shared" si="137"/>
        <v>6.5574880511664864</v>
      </c>
      <c r="AP724" s="2376">
        <f t="shared" si="137"/>
        <v>6.5754885182470346</v>
      </c>
      <c r="AQ724" s="2376">
        <f t="shared" si="137"/>
        <v>6.5933551225347324</v>
      </c>
      <c r="AR724" s="2376">
        <f t="shared" si="137"/>
        <v>6.611065951726312</v>
      </c>
      <c r="AS724" s="2376">
        <f t="shared" si="137"/>
        <v>6.6286002239864308</v>
      </c>
    </row>
    <row r="725" spans="2:45" x14ac:dyDescent="0.2">
      <c r="B725" s="2154"/>
      <c r="C725" s="2166" t="s">
        <v>401</v>
      </c>
      <c r="D725" s="2167" t="s">
        <v>1163</v>
      </c>
      <c r="E725" s="2168"/>
      <c r="F725" s="2169"/>
      <c r="G725" s="2381">
        <f t="shared" ref="G725:AS725" si="138">G687*310/1000</f>
        <v>6.1458683650989849</v>
      </c>
      <c r="H725" s="2381">
        <f t="shared" si="138"/>
        <v>6.2073862068073975</v>
      </c>
      <c r="I725" s="2381">
        <f t="shared" si="138"/>
        <v>6.2362570168581906</v>
      </c>
      <c r="J725" s="2381">
        <f t="shared" si="138"/>
        <v>6.2550418133718972</v>
      </c>
      <c r="K725" s="2381">
        <f t="shared" si="138"/>
        <v>6.2679472413363628</v>
      </c>
      <c r="L725" s="2381">
        <f t="shared" si="138"/>
        <v>6.2739994663932466</v>
      </c>
      <c r="M725" s="2381">
        <f t="shared" si="138"/>
        <v>6.2719144446851356</v>
      </c>
      <c r="N725" s="2381">
        <f t="shared" si="138"/>
        <v>6.2723168104045666</v>
      </c>
      <c r="O725" s="2381">
        <f t="shared" si="138"/>
        <v>6.2734854227534287</v>
      </c>
      <c r="P725" s="2381">
        <f t="shared" si="138"/>
        <v>6.2749923971919346</v>
      </c>
      <c r="Q725" s="2381">
        <f t="shared" si="138"/>
        <v>6.2758180439344748</v>
      </c>
      <c r="R725" s="2381">
        <f t="shared" si="138"/>
        <v>6.281005582753088</v>
      </c>
      <c r="S725" s="2381">
        <f t="shared" si="138"/>
        <v>6.2897569016022521</v>
      </c>
      <c r="T725" s="2381">
        <f t="shared" si="138"/>
        <v>6.3013020305120024</v>
      </c>
      <c r="U725" s="2381">
        <f t="shared" si="138"/>
        <v>6.314854218423851</v>
      </c>
      <c r="V725" s="2381">
        <f t="shared" si="138"/>
        <v>6.3299891776650634</v>
      </c>
      <c r="W725" s="2381">
        <f t="shared" si="138"/>
        <v>6.3464390120369796</v>
      </c>
      <c r="X725" s="2381">
        <f t="shared" si="138"/>
        <v>6.3638394721615441</v>
      </c>
      <c r="Y725" s="2381">
        <f t="shared" si="138"/>
        <v>6.3822057626537267</v>
      </c>
      <c r="Z725" s="2381">
        <f t="shared" si="138"/>
        <v>6.4012158138741535</v>
      </c>
      <c r="AA725" s="2381">
        <f t="shared" si="138"/>
        <v>6.4209175453846585</v>
      </c>
      <c r="AB725" s="2381">
        <f t="shared" si="138"/>
        <v>6.441003207281339</v>
      </c>
      <c r="AC725" s="2381">
        <f t="shared" si="138"/>
        <v>6.4615668383284639</v>
      </c>
      <c r="AD725" s="2381">
        <f t="shared" si="138"/>
        <v>6.4824463513295338</v>
      </c>
      <c r="AE725" s="2381">
        <f t="shared" si="138"/>
        <v>6.5034938879267168</v>
      </c>
      <c r="AF725" s="2381">
        <f t="shared" si="138"/>
        <v>6.5248294006721954</v>
      </c>
      <c r="AG725" s="2381">
        <f t="shared" si="138"/>
        <v>6.546320174110587</v>
      </c>
      <c r="AH725" s="2381">
        <f t="shared" si="138"/>
        <v>6.567915758358307</v>
      </c>
      <c r="AI725" s="2381">
        <f t="shared" si="138"/>
        <v>6.5895017770473938</v>
      </c>
      <c r="AJ725" s="2381">
        <f t="shared" si="138"/>
        <v>6.6112413464804147</v>
      </c>
      <c r="AK725" s="2381">
        <f t="shared" si="138"/>
        <v>6.6330151526891212</v>
      </c>
      <c r="AL725" s="2381">
        <f t="shared" si="138"/>
        <v>6.6547884502222736</v>
      </c>
      <c r="AM725" s="2381">
        <f t="shared" si="138"/>
        <v>6.676527805442884</v>
      </c>
      <c r="AN725" s="2381">
        <f t="shared" si="138"/>
        <v>6.6982104642821421</v>
      </c>
      <c r="AO725" s="2381">
        <f t="shared" si="138"/>
        <v>6.7198094993394424</v>
      </c>
      <c r="AP725" s="2381">
        <f t="shared" si="138"/>
        <v>6.7413080117850361</v>
      </c>
      <c r="AQ725" s="2381">
        <f t="shared" si="138"/>
        <v>6.762677343358976</v>
      </c>
      <c r="AR725" s="2381">
        <f t="shared" si="138"/>
        <v>6.7838995825975914</v>
      </c>
      <c r="AS725" s="2381">
        <f t="shared" si="138"/>
        <v>6.8050470950802175</v>
      </c>
    </row>
    <row r="726" spans="2:45" x14ac:dyDescent="0.2">
      <c r="B726" s="2154"/>
      <c r="C726" s="2171" t="s">
        <v>118</v>
      </c>
      <c r="D726" s="2168" t="s">
        <v>1163</v>
      </c>
      <c r="E726" s="2168"/>
      <c r="F726" s="2169"/>
      <c r="G726" s="2383">
        <f>SUM(G723:G725)</f>
        <v>12.663600764109443</v>
      </c>
      <c r="H726" s="2383">
        <f t="shared" ref="H726:AS726" si="139">SUM(H723:H725)</f>
        <v>12.724665584276419</v>
      </c>
      <c r="I726" s="2383">
        <f t="shared" si="139"/>
        <v>12.778910019245302</v>
      </c>
      <c r="J726" s="2383">
        <f t="shared" si="139"/>
        <v>12.814628197606787</v>
      </c>
      <c r="K726" s="2383">
        <f t="shared" si="139"/>
        <v>12.83356004907516</v>
      </c>
      <c r="L726" s="2383">
        <f t="shared" si="139"/>
        <v>12.83384604826529</v>
      </c>
      <c r="M726" s="2383">
        <f t="shared" si="139"/>
        <v>12.811839531159162</v>
      </c>
      <c r="N726" s="2383">
        <f t="shared" si="139"/>
        <v>12.797467865627301</v>
      </c>
      <c r="O726" s="2383">
        <f t="shared" si="139"/>
        <v>12.785108849467678</v>
      </c>
      <c r="P726" s="2383">
        <f t="shared" si="139"/>
        <v>12.770536238695406</v>
      </c>
      <c r="Q726" s="2383">
        <f t="shared" si="139"/>
        <v>12.756995637678411</v>
      </c>
      <c r="R726" s="2383">
        <f t="shared" si="139"/>
        <v>12.754799314121886</v>
      </c>
      <c r="S726" s="2383">
        <f t="shared" si="139"/>
        <v>12.761740693251046</v>
      </c>
      <c r="T726" s="2383">
        <f t="shared" si="139"/>
        <v>12.775917084912439</v>
      </c>
      <c r="U726" s="2383">
        <f t="shared" si="139"/>
        <v>12.79562847496047</v>
      </c>
      <c r="V726" s="2383">
        <f t="shared" si="139"/>
        <v>12.819709608310832</v>
      </c>
      <c r="W726" s="2383">
        <f t="shared" si="139"/>
        <v>12.847295404128383</v>
      </c>
      <c r="X726" s="2383">
        <f t="shared" si="139"/>
        <v>12.877634944070252</v>
      </c>
      <c r="Y726" s="2383">
        <f t="shared" si="139"/>
        <v>12.910329070861772</v>
      </c>
      <c r="Z726" s="2383">
        <f t="shared" si="139"/>
        <v>12.944848788562046</v>
      </c>
      <c r="AA726" s="2383">
        <f t="shared" si="139"/>
        <v>12.981248532844392</v>
      </c>
      <c r="AB726" s="2383">
        <f t="shared" si="139"/>
        <v>13.018816846803842</v>
      </c>
      <c r="AC726" s="2383">
        <f t="shared" si="139"/>
        <v>13.057702538610075</v>
      </c>
      <c r="AD726" s="2383">
        <f t="shared" si="139"/>
        <v>13.097522069260284</v>
      </c>
      <c r="AE726" s="2383">
        <f t="shared" si="139"/>
        <v>13.137923604653675</v>
      </c>
      <c r="AF726" s="2383">
        <f t="shared" si="139"/>
        <v>13.179253047962188</v>
      </c>
      <c r="AG726" s="2383">
        <f t="shared" si="139"/>
        <v>13.220998191040829</v>
      </c>
      <c r="AH726" s="2383">
        <f t="shared" si="139"/>
        <v>13.263151076114292</v>
      </c>
      <c r="AI726" s="2383">
        <f t="shared" si="139"/>
        <v>13.305440187194696</v>
      </c>
      <c r="AJ726" s="2383">
        <f t="shared" si="139"/>
        <v>13.347950975622766</v>
      </c>
      <c r="AK726" s="2383">
        <f t="shared" si="139"/>
        <v>13.390573157567546</v>
      </c>
      <c r="AL726" s="2383">
        <f t="shared" si="139"/>
        <v>13.433233902521318</v>
      </c>
      <c r="AM726" s="2383">
        <f t="shared" si="139"/>
        <v>13.475860754630531</v>
      </c>
      <c r="AN726" s="2383">
        <f t="shared" si="139"/>
        <v>13.518400062919611</v>
      </c>
      <c r="AO726" s="2383">
        <f t="shared" si="139"/>
        <v>13.560800098542668</v>
      </c>
      <c r="AP726" s="2383">
        <f t="shared" si="139"/>
        <v>13.603014850562609</v>
      </c>
      <c r="AQ726" s="2383">
        <f t="shared" si="139"/>
        <v>13.644992581489785</v>
      </c>
      <c r="AR726" s="2383">
        <f t="shared" si="139"/>
        <v>13.686693716976741</v>
      </c>
      <c r="AS726" s="2383">
        <f t="shared" si="139"/>
        <v>13.728170092578278</v>
      </c>
    </row>
    <row r="727" spans="2:45" x14ac:dyDescent="0.2">
      <c r="B727" s="2154"/>
      <c r="C727" s="2173"/>
      <c r="D727" s="2163"/>
      <c r="E727" s="2163"/>
      <c r="F727" s="2164"/>
      <c r="G727" s="2163"/>
      <c r="H727" s="2163"/>
      <c r="I727" s="2163"/>
      <c r="J727" s="2163"/>
      <c r="K727" s="2163"/>
      <c r="L727" s="2163"/>
      <c r="M727" s="2163"/>
      <c r="N727" s="2163"/>
      <c r="O727" s="2163"/>
      <c r="P727" s="2163"/>
      <c r="Q727" s="2163"/>
      <c r="R727" s="2163"/>
      <c r="S727" s="2163"/>
      <c r="T727" s="2163"/>
      <c r="U727" s="2163"/>
      <c r="V727" s="2163"/>
      <c r="W727" s="2163"/>
      <c r="X727" s="2163"/>
      <c r="Y727" s="2163"/>
      <c r="Z727" s="2163"/>
      <c r="AA727" s="2163"/>
      <c r="AB727" s="2163"/>
      <c r="AC727" s="2163"/>
      <c r="AD727" s="2163"/>
      <c r="AE727" s="2163"/>
      <c r="AF727" s="2163"/>
      <c r="AG727" s="2163"/>
      <c r="AH727" s="2163"/>
      <c r="AI727" s="2163"/>
      <c r="AJ727" s="2163"/>
      <c r="AK727" s="2163"/>
      <c r="AL727" s="2163"/>
      <c r="AM727" s="2163"/>
      <c r="AN727" s="2163"/>
      <c r="AO727" s="2163"/>
      <c r="AP727" s="2163"/>
      <c r="AQ727" s="2163"/>
      <c r="AR727" s="2163"/>
      <c r="AS727" s="2163"/>
    </row>
    <row r="728" spans="2:45" x14ac:dyDescent="0.2">
      <c r="B728" s="2154"/>
      <c r="C728" s="2594" t="s">
        <v>1188</v>
      </c>
      <c r="D728" s="2154"/>
      <c r="E728" s="2154"/>
      <c r="F728" s="2154"/>
      <c r="G728" s="2154"/>
      <c r="H728" s="2154"/>
      <c r="I728" s="2154"/>
      <c r="J728" s="2154"/>
      <c r="K728" s="2154"/>
      <c r="L728" s="2154"/>
      <c r="M728" s="2154"/>
      <c r="N728" s="2154"/>
      <c r="O728" s="2154"/>
      <c r="P728" s="2154"/>
      <c r="Q728" s="2154"/>
      <c r="R728" s="2154"/>
      <c r="S728" s="2154"/>
      <c r="T728" s="2154"/>
      <c r="U728" s="2154"/>
      <c r="V728" s="2154"/>
      <c r="W728" s="2154"/>
      <c r="X728" s="2154"/>
      <c r="Y728" s="2154"/>
      <c r="Z728" s="2154"/>
      <c r="AA728" s="2154"/>
      <c r="AB728" s="2154"/>
      <c r="AC728" s="2154"/>
      <c r="AD728" s="2154"/>
      <c r="AE728" s="2154"/>
      <c r="AF728" s="2154"/>
      <c r="AG728" s="2154"/>
      <c r="AH728" s="2154"/>
      <c r="AI728" s="2154"/>
      <c r="AJ728" s="2154"/>
      <c r="AK728" s="2154"/>
      <c r="AL728" s="2154"/>
      <c r="AM728" s="2154"/>
      <c r="AN728" s="2154"/>
      <c r="AO728" s="2154"/>
      <c r="AP728" s="2154"/>
      <c r="AQ728" s="2154"/>
      <c r="AR728" s="2154"/>
      <c r="AS728" s="2154"/>
    </row>
    <row r="729" spans="2:45" x14ac:dyDescent="0.2">
      <c r="B729" s="2154"/>
      <c r="C729" s="2158" t="s">
        <v>242</v>
      </c>
      <c r="D729" s="2159" t="s">
        <v>1029</v>
      </c>
      <c r="E729" s="2159" t="s">
        <v>8</v>
      </c>
      <c r="F729" s="2160"/>
      <c r="G729" s="2159">
        <v>2012</v>
      </c>
      <c r="H729" s="2159">
        <v>2013</v>
      </c>
      <c r="I729" s="2159">
        <v>2014</v>
      </c>
      <c r="J729" s="2159">
        <v>2015</v>
      </c>
      <c r="K729" s="2159">
        <v>2016</v>
      </c>
      <c r="L729" s="2159">
        <v>2017</v>
      </c>
      <c r="M729" s="2159">
        <v>2018</v>
      </c>
      <c r="N729" s="2159">
        <v>2019</v>
      </c>
      <c r="O729" s="2159">
        <v>2020</v>
      </c>
      <c r="P729" s="2159">
        <v>2021</v>
      </c>
      <c r="Q729" s="2159">
        <v>2022</v>
      </c>
      <c r="R729" s="2159">
        <v>2023</v>
      </c>
      <c r="S729" s="2159">
        <v>2024</v>
      </c>
      <c r="T729" s="2159">
        <v>2025</v>
      </c>
      <c r="U729" s="2159">
        <v>2026</v>
      </c>
      <c r="V729" s="2159">
        <v>2027</v>
      </c>
      <c r="W729" s="2159">
        <v>2028</v>
      </c>
      <c r="X729" s="2159">
        <v>2029</v>
      </c>
      <c r="Y729" s="2159">
        <v>2030</v>
      </c>
      <c r="Z729" s="2159">
        <v>2031</v>
      </c>
      <c r="AA729" s="2159">
        <v>2032</v>
      </c>
      <c r="AB729" s="2159">
        <v>2033</v>
      </c>
      <c r="AC729" s="2159">
        <v>2034</v>
      </c>
      <c r="AD729" s="2159">
        <v>2035</v>
      </c>
      <c r="AE729" s="2159">
        <v>2036</v>
      </c>
      <c r="AF729" s="2159">
        <v>2037</v>
      </c>
      <c r="AG729" s="2159">
        <v>2038</v>
      </c>
      <c r="AH729" s="2159">
        <v>2039</v>
      </c>
      <c r="AI729" s="2159">
        <v>2040</v>
      </c>
      <c r="AJ729" s="2159">
        <v>2041</v>
      </c>
      <c r="AK729" s="2159">
        <v>2042</v>
      </c>
      <c r="AL729" s="2159">
        <v>2043</v>
      </c>
      <c r="AM729" s="2159">
        <v>2044</v>
      </c>
      <c r="AN729" s="2159">
        <v>2045</v>
      </c>
      <c r="AO729" s="2159">
        <v>2046</v>
      </c>
      <c r="AP729" s="2159">
        <v>2047</v>
      </c>
      <c r="AQ729" s="2159">
        <v>2048</v>
      </c>
      <c r="AR729" s="2159">
        <v>2049</v>
      </c>
      <c r="AS729" s="2159">
        <v>2050</v>
      </c>
    </row>
    <row r="730" spans="2:45" x14ac:dyDescent="0.2">
      <c r="B730" s="2154"/>
      <c r="C730" s="2174" t="s">
        <v>1347</v>
      </c>
      <c r="D730" s="2175" t="s">
        <v>1163</v>
      </c>
      <c r="E730" s="2176"/>
      <c r="F730" s="2177"/>
      <c r="G730" s="2389">
        <f t="shared" ref="G730:AS730" si="140">(G612-G618-G640)/10^3</f>
        <v>1.7843563972094125E-3</v>
      </c>
      <c r="H730" s="2389">
        <f t="shared" si="140"/>
        <v>1.8325319203966813E-3</v>
      </c>
      <c r="I730" s="2389">
        <f t="shared" si="140"/>
        <v>1.887327695857163E-3</v>
      </c>
      <c r="J730" s="2389">
        <f t="shared" si="140"/>
        <v>1.944586050976317E-3</v>
      </c>
      <c r="K730" s="2389">
        <f t="shared" si="140"/>
        <v>2.0025256269782668E-3</v>
      </c>
      <c r="L730" s="2389">
        <f t="shared" si="140"/>
        <v>2.0604632565486268E-3</v>
      </c>
      <c r="M730" s="2389">
        <f t="shared" si="140"/>
        <v>2.1228543710071711E-3</v>
      </c>
      <c r="N730" s="2389">
        <f t="shared" si="140"/>
        <v>2.1881556369303676E-3</v>
      </c>
      <c r="O730" s="2389">
        <f t="shared" si="140"/>
        <v>2.2521269858122501E-3</v>
      </c>
      <c r="P730" s="2389">
        <f t="shared" si="140"/>
        <v>2.3258995529353839E-3</v>
      </c>
      <c r="Q730" s="2389">
        <f t="shared" si="140"/>
        <v>2.4002921508707422E-3</v>
      </c>
      <c r="R730" s="2389">
        <f t="shared" si="140"/>
        <v>2.4718048504164883E-3</v>
      </c>
      <c r="S730" s="2389">
        <f t="shared" si="140"/>
        <v>2.5412191134889981E-3</v>
      </c>
      <c r="T730" s="2389">
        <f t="shared" si="140"/>
        <v>2.609048803290452E-3</v>
      </c>
      <c r="U730" s="2389">
        <f t="shared" si="140"/>
        <v>2.6756304868233824E-3</v>
      </c>
      <c r="V730" s="2389">
        <f t="shared" si="140"/>
        <v>2.7411399153881516E-3</v>
      </c>
      <c r="W730" s="2389">
        <f t="shared" si="140"/>
        <v>2.8056693527206086E-3</v>
      </c>
      <c r="X730" s="2389">
        <f t="shared" si="140"/>
        <v>2.8696338670676567E-3</v>
      </c>
      <c r="Y730" s="2389">
        <f t="shared" si="140"/>
        <v>2.9332871336719096E-3</v>
      </c>
      <c r="Z730" s="2389">
        <f t="shared" si="140"/>
        <v>2.9968086501768166E-3</v>
      </c>
      <c r="AA730" s="2389">
        <f t="shared" si="140"/>
        <v>3.0602788742192782E-3</v>
      </c>
      <c r="AB730" s="2389">
        <f t="shared" si="140"/>
        <v>3.1236893394495559E-3</v>
      </c>
      <c r="AC730" s="2389">
        <f t="shared" si="140"/>
        <v>3.1870617607527183E-3</v>
      </c>
      <c r="AD730" s="2389">
        <f t="shared" si="140"/>
        <v>3.2504158280767881E-3</v>
      </c>
      <c r="AE730" s="2389">
        <f t="shared" si="140"/>
        <v>3.3137515396906617E-3</v>
      </c>
      <c r="AF730" s="2389">
        <f t="shared" si="140"/>
        <v>3.3770352491732359E-3</v>
      </c>
      <c r="AG730" s="2389">
        <f t="shared" si="140"/>
        <v>3.440239678165387E-3</v>
      </c>
      <c r="AH730" s="2389">
        <f t="shared" si="140"/>
        <v>3.5033229389967143E-3</v>
      </c>
      <c r="AI730" s="2389">
        <f t="shared" si="140"/>
        <v>3.566247245737379E-3</v>
      </c>
      <c r="AJ730" s="2389">
        <f t="shared" si="140"/>
        <v>3.6353368214638217E-3</v>
      </c>
      <c r="AK730" s="2389">
        <f t="shared" si="140"/>
        <v>3.7042290803243776E-3</v>
      </c>
      <c r="AL730" s="2389">
        <f t="shared" si="140"/>
        <v>3.7728608711125561E-3</v>
      </c>
      <c r="AM730" s="2389">
        <f t="shared" si="140"/>
        <v>3.8411493717007031E-3</v>
      </c>
      <c r="AN730" s="2389">
        <f t="shared" si="140"/>
        <v>3.9090288094014124E-3</v>
      </c>
      <c r="AO730" s="2389">
        <f t="shared" si="140"/>
        <v>3.9764471040553756E-3</v>
      </c>
      <c r="AP730" s="2389">
        <f t="shared" si="140"/>
        <v>4.0433262652568103E-3</v>
      </c>
      <c r="AQ730" s="2389">
        <f t="shared" si="140"/>
        <v>4.1096063587524097E-3</v>
      </c>
      <c r="AR730" s="2389">
        <f t="shared" si="140"/>
        <v>4.1752263166616611E-3</v>
      </c>
      <c r="AS730" s="2389">
        <f t="shared" si="140"/>
        <v>4.2401139428432716E-3</v>
      </c>
    </row>
    <row r="731" spans="2:45" x14ac:dyDescent="0.2">
      <c r="B731" s="2154"/>
      <c r="C731" s="2173"/>
      <c r="D731" s="2163"/>
      <c r="E731" s="2163"/>
      <c r="F731" s="2164"/>
      <c r="G731" s="2163"/>
      <c r="H731" s="2163"/>
      <c r="I731" s="2163"/>
      <c r="J731" s="2163"/>
      <c r="K731" s="2163"/>
      <c r="L731" s="2163"/>
      <c r="M731" s="2163"/>
      <c r="N731" s="2163"/>
      <c r="O731" s="2163"/>
      <c r="P731" s="2163"/>
      <c r="Q731" s="2163"/>
      <c r="R731" s="2163"/>
      <c r="S731" s="2163"/>
      <c r="T731" s="2163"/>
      <c r="U731" s="2163"/>
      <c r="V731" s="2163"/>
      <c r="W731" s="2163"/>
      <c r="X731" s="2163"/>
      <c r="Y731" s="2163"/>
      <c r="Z731" s="2163"/>
      <c r="AA731" s="2163"/>
      <c r="AB731" s="2163"/>
      <c r="AC731" s="2163"/>
      <c r="AD731" s="2163"/>
      <c r="AE731" s="2163"/>
      <c r="AF731" s="2163"/>
      <c r="AG731" s="2163"/>
      <c r="AH731" s="2163"/>
      <c r="AI731" s="2163"/>
      <c r="AJ731" s="2163"/>
      <c r="AK731" s="2163"/>
      <c r="AL731" s="2163"/>
      <c r="AM731" s="2163"/>
      <c r="AN731" s="2163"/>
      <c r="AO731" s="2163"/>
      <c r="AP731" s="2163"/>
      <c r="AQ731" s="2163"/>
      <c r="AR731" s="2163"/>
      <c r="AS731" s="2163"/>
    </row>
    <row r="732" spans="2:45" x14ac:dyDescent="0.2">
      <c r="B732" s="2154"/>
      <c r="C732" s="2594" t="s">
        <v>1189</v>
      </c>
      <c r="D732" s="2154"/>
      <c r="E732" s="2154"/>
      <c r="F732" s="2154"/>
      <c r="G732" s="2154"/>
      <c r="H732" s="2154"/>
      <c r="I732" s="2154"/>
      <c r="J732" s="2154"/>
      <c r="K732" s="2154"/>
      <c r="L732" s="2154"/>
      <c r="M732" s="2154"/>
      <c r="N732" s="2154"/>
      <c r="O732" s="2154"/>
      <c r="P732" s="2154"/>
      <c r="Q732" s="2154"/>
      <c r="R732" s="2154"/>
      <c r="S732" s="2154"/>
      <c r="T732" s="2154"/>
      <c r="U732" s="2154"/>
      <c r="V732" s="2154"/>
      <c r="W732" s="2154"/>
      <c r="X732" s="2154"/>
      <c r="Y732" s="2154"/>
      <c r="Z732" s="2154"/>
      <c r="AA732" s="2154"/>
      <c r="AB732" s="2154"/>
      <c r="AC732" s="2154"/>
      <c r="AD732" s="2154"/>
      <c r="AE732" s="2154"/>
      <c r="AF732" s="2154"/>
      <c r="AG732" s="2154"/>
      <c r="AH732" s="2154"/>
      <c r="AI732" s="2154"/>
      <c r="AJ732" s="2154"/>
      <c r="AK732" s="2154"/>
      <c r="AL732" s="2154"/>
      <c r="AM732" s="2154"/>
      <c r="AN732" s="2154"/>
      <c r="AO732" s="2154"/>
      <c r="AP732" s="2154"/>
      <c r="AQ732" s="2154"/>
      <c r="AR732" s="2154"/>
      <c r="AS732" s="2154"/>
    </row>
    <row r="733" spans="2:45" x14ac:dyDescent="0.2">
      <c r="B733" s="2154"/>
      <c r="C733" s="2158" t="s">
        <v>242</v>
      </c>
      <c r="D733" s="2159" t="s">
        <v>1029</v>
      </c>
      <c r="E733" s="2159" t="s">
        <v>8</v>
      </c>
      <c r="F733" s="2160"/>
      <c r="G733" s="2159">
        <v>2012</v>
      </c>
      <c r="H733" s="2159">
        <v>2013</v>
      </c>
      <c r="I733" s="2159">
        <v>2014</v>
      </c>
      <c r="J733" s="2159">
        <v>2015</v>
      </c>
      <c r="K733" s="2159">
        <v>2016</v>
      </c>
      <c r="L733" s="2159">
        <v>2017</v>
      </c>
      <c r="M733" s="2159">
        <v>2018</v>
      </c>
      <c r="N733" s="2159">
        <v>2019</v>
      </c>
      <c r="O733" s="2159">
        <v>2020</v>
      </c>
      <c r="P733" s="2159">
        <v>2021</v>
      </c>
      <c r="Q733" s="2159">
        <v>2022</v>
      </c>
      <c r="R733" s="2159">
        <v>2023</v>
      </c>
      <c r="S733" s="2159">
        <v>2024</v>
      </c>
      <c r="T733" s="2159">
        <v>2025</v>
      </c>
      <c r="U733" s="2159">
        <v>2026</v>
      </c>
      <c r="V733" s="2159">
        <v>2027</v>
      </c>
      <c r="W733" s="2159">
        <v>2028</v>
      </c>
      <c r="X733" s="2159">
        <v>2029</v>
      </c>
      <c r="Y733" s="2159">
        <v>2030</v>
      </c>
      <c r="Z733" s="2159">
        <v>2031</v>
      </c>
      <c r="AA733" s="2159">
        <v>2032</v>
      </c>
      <c r="AB733" s="2159">
        <v>2033</v>
      </c>
      <c r="AC733" s="2159">
        <v>2034</v>
      </c>
      <c r="AD733" s="2159">
        <v>2035</v>
      </c>
      <c r="AE733" s="2159">
        <v>2036</v>
      </c>
      <c r="AF733" s="2159">
        <v>2037</v>
      </c>
      <c r="AG733" s="2159">
        <v>2038</v>
      </c>
      <c r="AH733" s="2159">
        <v>2039</v>
      </c>
      <c r="AI733" s="2159">
        <v>2040</v>
      </c>
      <c r="AJ733" s="2159">
        <v>2041</v>
      </c>
      <c r="AK733" s="2159">
        <v>2042</v>
      </c>
      <c r="AL733" s="2159">
        <v>2043</v>
      </c>
      <c r="AM733" s="2159">
        <v>2044</v>
      </c>
      <c r="AN733" s="2159">
        <v>2045</v>
      </c>
      <c r="AO733" s="2159">
        <v>2046</v>
      </c>
      <c r="AP733" s="2159">
        <v>2047</v>
      </c>
      <c r="AQ733" s="2159">
        <v>2048</v>
      </c>
      <c r="AR733" s="2159">
        <v>2049</v>
      </c>
      <c r="AS733" s="2159">
        <v>2050</v>
      </c>
    </row>
    <row r="734" spans="2:45" x14ac:dyDescent="0.2">
      <c r="B734" s="2154"/>
      <c r="C734" s="2174" t="s">
        <v>1347</v>
      </c>
      <c r="D734" s="2175" t="s">
        <v>1163</v>
      </c>
      <c r="E734" s="2176"/>
      <c r="F734" s="2177"/>
      <c r="G734" s="2389">
        <f>G726+G730</f>
        <v>12.665385120506652</v>
      </c>
      <c r="H734" s="2389">
        <f t="shared" ref="H734:AS734" si="141">H726+H730</f>
        <v>12.726498116196815</v>
      </c>
      <c r="I734" s="2389">
        <f t="shared" si="141"/>
        <v>12.78079734694116</v>
      </c>
      <c r="J734" s="2389">
        <f t="shared" si="141"/>
        <v>12.816572783657763</v>
      </c>
      <c r="K734" s="2389">
        <f t="shared" si="141"/>
        <v>12.835562574702138</v>
      </c>
      <c r="L734" s="2389">
        <f t="shared" si="141"/>
        <v>12.835906511521838</v>
      </c>
      <c r="M734" s="2389">
        <f t="shared" si="141"/>
        <v>12.81396238553017</v>
      </c>
      <c r="N734" s="2389">
        <f t="shared" si="141"/>
        <v>12.799656021264232</v>
      </c>
      <c r="O734" s="2389">
        <f t="shared" si="141"/>
        <v>12.78736097645349</v>
      </c>
      <c r="P734" s="2389">
        <f t="shared" si="141"/>
        <v>12.772862138248342</v>
      </c>
      <c r="Q734" s="2389">
        <f t="shared" si="141"/>
        <v>12.759395929829282</v>
      </c>
      <c r="R734" s="2389">
        <f t="shared" si="141"/>
        <v>12.757271118972303</v>
      </c>
      <c r="S734" s="2389">
        <f t="shared" si="141"/>
        <v>12.764281912364535</v>
      </c>
      <c r="T734" s="2389">
        <f t="shared" si="141"/>
        <v>12.778526133715729</v>
      </c>
      <c r="U734" s="2389">
        <f t="shared" si="141"/>
        <v>12.798304105447293</v>
      </c>
      <c r="V734" s="2389">
        <f t="shared" si="141"/>
        <v>12.82245074822622</v>
      </c>
      <c r="W734" s="2389">
        <f t="shared" si="141"/>
        <v>12.850101073481104</v>
      </c>
      <c r="X734" s="2389">
        <f t="shared" si="141"/>
        <v>12.88050457793732</v>
      </c>
      <c r="Y734" s="2389">
        <f t="shared" si="141"/>
        <v>12.913262357995444</v>
      </c>
      <c r="Z734" s="2389">
        <f t="shared" si="141"/>
        <v>12.947845597212224</v>
      </c>
      <c r="AA734" s="2389">
        <f t="shared" si="141"/>
        <v>12.984308811718611</v>
      </c>
      <c r="AB734" s="2389">
        <f t="shared" si="141"/>
        <v>13.021940536143292</v>
      </c>
      <c r="AC734" s="2389">
        <f t="shared" si="141"/>
        <v>13.060889600370828</v>
      </c>
      <c r="AD734" s="2389">
        <f t="shared" si="141"/>
        <v>13.100772485088362</v>
      </c>
      <c r="AE734" s="2389">
        <f t="shared" si="141"/>
        <v>13.141237356193367</v>
      </c>
      <c r="AF734" s="2389">
        <f t="shared" si="141"/>
        <v>13.182630083211361</v>
      </c>
      <c r="AG734" s="2389">
        <f t="shared" si="141"/>
        <v>13.224438430718994</v>
      </c>
      <c r="AH734" s="2389">
        <f t="shared" si="141"/>
        <v>13.266654399053289</v>
      </c>
      <c r="AI734" s="2389">
        <f t="shared" si="141"/>
        <v>13.309006434440434</v>
      </c>
      <c r="AJ734" s="2389">
        <f t="shared" si="141"/>
        <v>13.35158631244423</v>
      </c>
      <c r="AK734" s="2389">
        <f t="shared" si="141"/>
        <v>13.39427738664787</v>
      </c>
      <c r="AL734" s="2389">
        <f t="shared" si="141"/>
        <v>13.43700676339243</v>
      </c>
      <c r="AM734" s="2389">
        <f t="shared" si="141"/>
        <v>13.479701904002232</v>
      </c>
      <c r="AN734" s="2389">
        <f t="shared" si="141"/>
        <v>13.522309091729012</v>
      </c>
      <c r="AO734" s="2389">
        <f t="shared" si="141"/>
        <v>13.564776545646723</v>
      </c>
      <c r="AP734" s="2389">
        <f t="shared" si="141"/>
        <v>13.607058176827865</v>
      </c>
      <c r="AQ734" s="2389">
        <f t="shared" si="141"/>
        <v>13.649102187848538</v>
      </c>
      <c r="AR734" s="2389">
        <f t="shared" si="141"/>
        <v>13.690868943293403</v>
      </c>
      <c r="AS734" s="2389">
        <f t="shared" si="141"/>
        <v>13.732410206521122</v>
      </c>
    </row>
    <row r="735" spans="2:45" x14ac:dyDescent="0.2">
      <c r="B735" s="2154"/>
      <c r="C735" s="2154"/>
      <c r="D735" s="2154"/>
      <c r="E735" s="2154"/>
      <c r="F735" s="2154"/>
      <c r="G735" s="2154"/>
      <c r="H735" s="2154"/>
      <c r="I735" s="2154"/>
      <c r="J735" s="2154"/>
      <c r="K735" s="2154"/>
      <c r="L735" s="2154"/>
      <c r="M735" s="2154"/>
      <c r="N735" s="2154"/>
      <c r="O735" s="2154"/>
      <c r="P735" s="2154"/>
      <c r="Q735" s="2154"/>
      <c r="R735" s="2154"/>
      <c r="S735" s="2154"/>
      <c r="T735" s="2154"/>
      <c r="U735" s="2154"/>
      <c r="V735" s="2154"/>
      <c r="W735" s="2154"/>
      <c r="X735" s="2154"/>
      <c r="Y735" s="2154"/>
      <c r="Z735" s="2154"/>
      <c r="AA735" s="2154"/>
      <c r="AB735" s="2154"/>
      <c r="AC735" s="2154"/>
      <c r="AD735" s="2154"/>
      <c r="AE735" s="2154"/>
      <c r="AF735" s="2154"/>
      <c r="AG735" s="2154"/>
      <c r="AH735" s="2154"/>
      <c r="AI735" s="2154"/>
      <c r="AJ735" s="2154"/>
      <c r="AK735" s="2154"/>
      <c r="AL735" s="2154"/>
      <c r="AM735" s="2154"/>
      <c r="AN735" s="2154"/>
      <c r="AO735" s="2154"/>
      <c r="AP735" s="2154"/>
      <c r="AQ735" s="2154"/>
      <c r="AR735" s="2154"/>
      <c r="AS735" s="2154"/>
    </row>
    <row r="736" spans="2:45" x14ac:dyDescent="0.2">
      <c r="B736" s="2154"/>
      <c r="C736" s="2594" t="s">
        <v>1348</v>
      </c>
      <c r="D736" s="2154"/>
      <c r="E736" s="2154"/>
      <c r="F736" s="2154"/>
      <c r="G736" s="2154"/>
      <c r="H736" s="2154"/>
      <c r="I736" s="2154"/>
      <c r="J736" s="2154"/>
      <c r="K736" s="2154"/>
      <c r="L736" s="2154"/>
      <c r="M736" s="2154"/>
      <c r="N736" s="2154"/>
      <c r="O736" s="2154"/>
      <c r="P736" s="2154"/>
      <c r="Q736" s="2154"/>
      <c r="R736" s="2154"/>
      <c r="S736" s="2154"/>
      <c r="T736" s="2154"/>
      <c r="U736" s="2154"/>
      <c r="V736" s="2154"/>
      <c r="W736" s="2154"/>
      <c r="X736" s="2154"/>
      <c r="Y736" s="2154"/>
      <c r="Z736" s="2154"/>
      <c r="AA736" s="2154"/>
      <c r="AB736" s="2154"/>
      <c r="AC736" s="2154"/>
      <c r="AD736" s="2154"/>
      <c r="AE736" s="2154"/>
      <c r="AF736" s="2154"/>
      <c r="AG736" s="2154"/>
      <c r="AH736" s="2154"/>
      <c r="AI736" s="2154"/>
      <c r="AJ736" s="2154"/>
      <c r="AK736" s="2154"/>
      <c r="AL736" s="2154"/>
      <c r="AM736" s="2154"/>
      <c r="AN736" s="2154"/>
      <c r="AO736" s="2154"/>
      <c r="AP736" s="2154"/>
      <c r="AQ736" s="2154"/>
      <c r="AR736" s="2154"/>
      <c r="AS736" s="2154"/>
    </row>
    <row r="737" spans="2:45" x14ac:dyDescent="0.2">
      <c r="B737" s="2154"/>
      <c r="C737" s="2158" t="s">
        <v>242</v>
      </c>
      <c r="D737" s="2159" t="s">
        <v>1029</v>
      </c>
      <c r="E737" s="2159" t="s">
        <v>8</v>
      </c>
      <c r="F737" s="2160"/>
      <c r="G737" s="2159">
        <v>2012</v>
      </c>
      <c r="H737" s="2159">
        <v>2013</v>
      </c>
      <c r="I737" s="2159">
        <v>2014</v>
      </c>
      <c r="J737" s="2159">
        <v>2015</v>
      </c>
      <c r="K737" s="2159">
        <v>2016</v>
      </c>
      <c r="L737" s="2159">
        <v>2017</v>
      </c>
      <c r="M737" s="2159">
        <v>2018</v>
      </c>
      <c r="N737" s="2159">
        <v>2019</v>
      </c>
      <c r="O737" s="2159">
        <v>2020</v>
      </c>
      <c r="P737" s="2159">
        <v>2021</v>
      </c>
      <c r="Q737" s="2159">
        <v>2022</v>
      </c>
      <c r="R737" s="2159">
        <v>2023</v>
      </c>
      <c r="S737" s="2159">
        <v>2024</v>
      </c>
      <c r="T737" s="2159">
        <v>2025</v>
      </c>
      <c r="U737" s="2159">
        <v>2026</v>
      </c>
      <c r="V737" s="2159">
        <v>2027</v>
      </c>
      <c r="W737" s="2159">
        <v>2028</v>
      </c>
      <c r="X737" s="2159">
        <v>2029</v>
      </c>
      <c r="Y737" s="2159">
        <v>2030</v>
      </c>
      <c r="Z737" s="2159">
        <v>2031</v>
      </c>
      <c r="AA737" s="2159">
        <v>2032</v>
      </c>
      <c r="AB737" s="2159">
        <v>2033</v>
      </c>
      <c r="AC737" s="2159">
        <v>2034</v>
      </c>
      <c r="AD737" s="2159">
        <v>2035</v>
      </c>
      <c r="AE737" s="2159">
        <v>2036</v>
      </c>
      <c r="AF737" s="2159">
        <v>2037</v>
      </c>
      <c r="AG737" s="2159">
        <v>2038</v>
      </c>
      <c r="AH737" s="2159">
        <v>2039</v>
      </c>
      <c r="AI737" s="2159">
        <v>2040</v>
      </c>
      <c r="AJ737" s="2159">
        <v>2041</v>
      </c>
      <c r="AK737" s="2159">
        <v>2042</v>
      </c>
      <c r="AL737" s="2159">
        <v>2043</v>
      </c>
      <c r="AM737" s="2159">
        <v>2044</v>
      </c>
      <c r="AN737" s="2159">
        <v>2045</v>
      </c>
      <c r="AO737" s="2159">
        <v>2046</v>
      </c>
      <c r="AP737" s="2159">
        <v>2047</v>
      </c>
      <c r="AQ737" s="2159">
        <v>2048</v>
      </c>
      <c r="AR737" s="2159">
        <v>2049</v>
      </c>
      <c r="AS737" s="2159">
        <v>2050</v>
      </c>
    </row>
    <row r="738" spans="2:45" x14ac:dyDescent="0.2">
      <c r="B738" s="2154"/>
      <c r="C738" s="2174" t="s">
        <v>1347</v>
      </c>
      <c r="D738" s="2175" t="s">
        <v>1163</v>
      </c>
      <c r="E738" s="2176"/>
      <c r="F738" s="2177"/>
      <c r="G738" s="2389">
        <v>0</v>
      </c>
      <c r="H738" s="2389">
        <v>0</v>
      </c>
      <c r="I738" s="2389">
        <v>0</v>
      </c>
      <c r="J738" s="2389">
        <v>0</v>
      </c>
      <c r="K738" s="2389">
        <v>0</v>
      </c>
      <c r="L738" s="2389">
        <v>0</v>
      </c>
      <c r="M738" s="2389">
        <v>0</v>
      </c>
      <c r="N738" s="2389">
        <v>0</v>
      </c>
      <c r="O738" s="2389">
        <v>0</v>
      </c>
      <c r="P738" s="2389">
        <v>0</v>
      </c>
      <c r="Q738" s="2389">
        <v>0</v>
      </c>
      <c r="R738" s="2389">
        <v>0</v>
      </c>
      <c r="S738" s="2389">
        <v>0</v>
      </c>
      <c r="T738" s="2389">
        <v>0</v>
      </c>
      <c r="U738" s="2389">
        <v>0</v>
      </c>
      <c r="V738" s="2389">
        <v>0</v>
      </c>
      <c r="W738" s="2389">
        <v>0</v>
      </c>
      <c r="X738" s="2389">
        <v>0</v>
      </c>
      <c r="Y738" s="2389">
        <v>0</v>
      </c>
      <c r="Z738" s="2389">
        <v>0</v>
      </c>
      <c r="AA738" s="2389">
        <v>0</v>
      </c>
      <c r="AB738" s="2389">
        <v>0</v>
      </c>
      <c r="AC738" s="2389">
        <v>0</v>
      </c>
      <c r="AD738" s="2389">
        <v>0</v>
      </c>
      <c r="AE738" s="2389">
        <v>0</v>
      </c>
      <c r="AF738" s="2389">
        <v>0</v>
      </c>
      <c r="AG738" s="2389">
        <v>0</v>
      </c>
      <c r="AH738" s="2389">
        <v>0</v>
      </c>
      <c r="AI738" s="2389">
        <v>0</v>
      </c>
      <c r="AJ738" s="2389">
        <v>0</v>
      </c>
      <c r="AK738" s="2389">
        <v>0</v>
      </c>
      <c r="AL738" s="2389">
        <v>0</v>
      </c>
      <c r="AM738" s="2389">
        <v>0</v>
      </c>
      <c r="AN738" s="2389">
        <v>0</v>
      </c>
      <c r="AO738" s="2389">
        <v>0</v>
      </c>
      <c r="AP738" s="2389">
        <v>0</v>
      </c>
      <c r="AQ738" s="2389">
        <v>0</v>
      </c>
      <c r="AR738" s="2389">
        <v>0</v>
      </c>
      <c r="AS738" s="2389">
        <v>0</v>
      </c>
    </row>
    <row r="739" spans="2:45" x14ac:dyDescent="0.2">
      <c r="B739" s="2154"/>
      <c r="C739" s="2154"/>
      <c r="D739" s="2154"/>
      <c r="E739" s="2154"/>
      <c r="F739" s="2154"/>
      <c r="G739" s="2154"/>
      <c r="H739" s="2154"/>
      <c r="I739" s="2154"/>
      <c r="J739" s="2154"/>
      <c r="K739" s="2154"/>
      <c r="L739" s="2154"/>
      <c r="M739" s="2154"/>
      <c r="N739" s="2154"/>
      <c r="O739" s="2154"/>
      <c r="P739" s="2154"/>
      <c r="Q739" s="2154"/>
      <c r="R739" s="2154"/>
      <c r="S739" s="2154"/>
      <c r="T739" s="2154"/>
      <c r="U739" s="2154"/>
      <c r="V739" s="2154"/>
      <c r="W739" s="2154"/>
      <c r="X739" s="2154"/>
      <c r="Y739" s="2154"/>
      <c r="Z739" s="2154"/>
      <c r="AA739" s="2154"/>
      <c r="AB739" s="2154"/>
      <c r="AC739" s="2154"/>
      <c r="AD739" s="2154"/>
      <c r="AE739" s="2154"/>
      <c r="AF739" s="2154"/>
      <c r="AG739" s="2154"/>
      <c r="AH739" s="2154"/>
      <c r="AI739" s="2154"/>
      <c r="AJ739" s="2154"/>
      <c r="AK739" s="2154"/>
      <c r="AL739" s="2154"/>
      <c r="AM739" s="2154"/>
      <c r="AN739" s="2154"/>
      <c r="AO739" s="2154"/>
      <c r="AP739" s="2154"/>
      <c r="AQ739" s="2154"/>
      <c r="AR739" s="2154"/>
      <c r="AS739" s="2154"/>
    </row>
  </sheetData>
  <mergeCells count="16">
    <mergeCell ref="B405:B411"/>
    <mergeCell ref="C6:F6"/>
    <mergeCell ref="C7:F7"/>
    <mergeCell ref="C8:F8"/>
    <mergeCell ref="B366:B369"/>
    <mergeCell ref="B387:B389"/>
    <mergeCell ref="B562:B564"/>
    <mergeCell ref="B580:B581"/>
    <mergeCell ref="B582:B583"/>
    <mergeCell ref="B603:B604"/>
    <mergeCell ref="B429:B434"/>
    <mergeCell ref="B446:B452"/>
    <mergeCell ref="B468:B470"/>
    <mergeCell ref="B490:B493"/>
    <mergeCell ref="B513:B516"/>
    <mergeCell ref="B559:B560"/>
  </mergeCells>
  <dataValidations count="3">
    <dataValidation type="list" allowBlank="1" showInputMessage="1" showErrorMessage="1" sqref="G7">
      <formula1>$C$14:$C$17</formula1>
    </dataValidation>
    <dataValidation type="list" allowBlank="1" showInputMessage="1" showErrorMessage="1" sqref="G8">
      <formula1>$C$22:$C$25</formula1>
    </dataValidation>
    <dataValidation allowBlank="1" showInputMessage="1" showErrorMessage="1" sqref="D664:D667 D681:D684 D698:D701"/>
  </dataValidations>
  <pageMargins left="0.7" right="0.7" top="0.75" bottom="0.75" header="0.3" footer="0.3"/>
  <pageSetup orientation="portrait" horizontalDpi="4294967292" verticalDpi="4294967292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AT320"/>
  <sheetViews>
    <sheetView zoomScale="75" zoomScaleNormal="75" zoomScalePageLayoutView="125" workbookViewId="0">
      <selection activeCell="O9" sqref="O9"/>
    </sheetView>
  </sheetViews>
  <sheetFormatPr baseColWidth="10" defaultColWidth="11.42578125" defaultRowHeight="15" x14ac:dyDescent="0.25"/>
  <cols>
    <col min="1" max="1" width="6.28515625" style="2198" customWidth="1"/>
    <col min="2" max="2" width="19.28515625" style="2198" customWidth="1"/>
    <col min="3" max="3" width="22.42578125" style="2198" customWidth="1"/>
    <col min="4" max="5" width="11.42578125" style="2198"/>
    <col min="6" max="6" width="16.42578125" style="2198" customWidth="1"/>
    <col min="7" max="7" width="13" style="2198" customWidth="1"/>
    <col min="8" max="8" width="12.42578125" style="2198" customWidth="1"/>
    <col min="9" max="9" width="13.28515625" style="2198" customWidth="1"/>
    <col min="10" max="23" width="12.28515625" style="2198" customWidth="1"/>
    <col min="24" max="24" width="11" style="2198" customWidth="1"/>
    <col min="25" max="43" width="12" style="2198" customWidth="1"/>
    <col min="44" max="16384" width="11.42578125" style="2198"/>
  </cols>
  <sheetData>
    <row r="1" spans="2:43" ht="21" x14ac:dyDescent="0.35">
      <c r="B1" s="1982" t="s">
        <v>866</v>
      </c>
    </row>
    <row r="2" spans="2:43" x14ac:dyDescent="0.25">
      <c r="B2" s="1985"/>
    </row>
    <row r="4" spans="2:43" ht="15.75" x14ac:dyDescent="0.25">
      <c r="B4" s="2199" t="s">
        <v>1021</v>
      </c>
      <c r="C4" s="2200"/>
      <c r="D4" s="2201"/>
      <c r="E4" s="2202"/>
      <c r="F4" s="2202"/>
      <c r="G4" s="2202"/>
      <c r="H4" s="2202"/>
      <c r="I4" s="2202"/>
      <c r="J4" s="2202"/>
      <c r="K4" s="2202"/>
      <c r="L4" s="2202"/>
      <c r="M4" s="2202"/>
      <c r="N4" s="2202"/>
      <c r="O4" s="2202"/>
    </row>
    <row r="5" spans="2:43" x14ac:dyDescent="0.25">
      <c r="B5" s="2203"/>
      <c r="C5" s="2204"/>
      <c r="D5" s="2205"/>
      <c r="E5" s="2206"/>
      <c r="F5" s="2206"/>
      <c r="G5" s="2206"/>
      <c r="H5" s="2206"/>
      <c r="I5" s="2206"/>
      <c r="J5" s="2206"/>
      <c r="K5" s="2206"/>
      <c r="L5" s="2206"/>
      <c r="M5" s="2206"/>
      <c r="N5" s="2206"/>
      <c r="O5" s="2206"/>
    </row>
    <row r="6" spans="2:43" ht="15.75" x14ac:dyDescent="0.25">
      <c r="B6" s="2207"/>
      <c r="C6" s="3613" t="s">
        <v>1022</v>
      </c>
      <c r="D6" s="3613"/>
      <c r="E6" s="3613"/>
      <c r="F6" s="3613"/>
      <c r="G6" s="2208" t="s">
        <v>1023</v>
      </c>
      <c r="H6" s="2205"/>
      <c r="I6" s="2205"/>
      <c r="J6" s="2205"/>
      <c r="K6" s="2205"/>
      <c r="L6" s="2205"/>
      <c r="M6" s="2205"/>
      <c r="N6" s="2205"/>
      <c r="O6" s="2205"/>
    </row>
    <row r="7" spans="2:43" ht="36.75" customHeight="1" x14ac:dyDescent="0.25">
      <c r="B7" s="2207"/>
      <c r="C7" s="3614" t="s">
        <v>1208</v>
      </c>
      <c r="D7" s="3614"/>
      <c r="E7" s="3614"/>
      <c r="F7" s="3614"/>
      <c r="G7" s="2209" t="e">
        <f>#REF!</f>
        <v>#REF!</v>
      </c>
      <c r="H7" s="2205"/>
      <c r="I7" s="2205"/>
      <c r="J7" s="2205"/>
      <c r="K7" s="2205"/>
      <c r="L7" s="2205"/>
      <c r="M7" s="2205"/>
      <c r="N7" s="2205"/>
      <c r="O7" s="2205"/>
    </row>
    <row r="8" spans="2:43" ht="14.1" customHeight="1" x14ac:dyDescent="0.25">
      <c r="B8" s="2205"/>
      <c r="C8" s="3615" t="s">
        <v>1209</v>
      </c>
      <c r="D8" s="3615"/>
      <c r="E8" s="3615"/>
      <c r="F8" s="3615"/>
      <c r="G8" s="2209" t="e">
        <f>#REF!</f>
        <v>#REF!</v>
      </c>
      <c r="H8" s="2205"/>
      <c r="I8" s="2205"/>
      <c r="J8" s="2205"/>
      <c r="K8" s="2205"/>
      <c r="L8" s="2205"/>
      <c r="M8" s="2205"/>
      <c r="N8" s="2205"/>
      <c r="O8" s="2205"/>
    </row>
    <row r="9" spans="2:43" ht="15" customHeight="1" x14ac:dyDescent="0.25">
      <c r="B9" s="2205"/>
      <c r="C9" s="2210"/>
      <c r="D9" s="2210"/>
      <c r="E9" s="2210"/>
      <c r="F9" s="2210"/>
      <c r="G9" s="2211"/>
      <c r="H9" s="2205"/>
      <c r="I9" s="2205"/>
      <c r="J9" s="2205"/>
      <c r="K9" s="2205"/>
      <c r="L9" s="2205"/>
      <c r="M9" s="2205"/>
      <c r="N9" s="2205"/>
      <c r="O9" s="2205"/>
    </row>
    <row r="11" spans="2:43" ht="15.75" x14ac:dyDescent="0.25">
      <c r="B11" s="2212" t="s">
        <v>1027</v>
      </c>
      <c r="C11" s="2212"/>
      <c r="D11" s="2213"/>
      <c r="E11" s="2213"/>
      <c r="F11" s="2213"/>
      <c r="G11" s="2213"/>
      <c r="H11" s="2213"/>
      <c r="I11" s="2213"/>
      <c r="J11" s="2213"/>
      <c r="K11" s="2213"/>
      <c r="L11" s="2213"/>
      <c r="M11" s="2213"/>
      <c r="N11" s="2213"/>
      <c r="O11" s="2213"/>
      <c r="P11" s="2213"/>
      <c r="Q11" s="2213"/>
      <c r="R11" s="2213"/>
      <c r="S11" s="2213"/>
      <c r="T11" s="2213"/>
      <c r="U11" s="2213"/>
      <c r="V11" s="2213"/>
      <c r="W11" s="2213"/>
      <c r="X11" s="2213"/>
      <c r="Y11" s="2213"/>
      <c r="Z11" s="2213"/>
      <c r="AA11" s="2213"/>
      <c r="AB11" s="2213"/>
      <c r="AC11" s="2213"/>
      <c r="AD11" s="2213"/>
      <c r="AE11" s="2213"/>
      <c r="AF11" s="2213"/>
      <c r="AG11" s="2213"/>
      <c r="AH11" s="2213"/>
      <c r="AI11" s="2213"/>
      <c r="AJ11" s="2213"/>
      <c r="AK11" s="2213"/>
      <c r="AL11" s="2213"/>
      <c r="AM11" s="2213"/>
      <c r="AN11" s="2213"/>
      <c r="AO11" s="2213"/>
      <c r="AP11" s="2213"/>
      <c r="AQ11" s="2213"/>
    </row>
    <row r="12" spans="2:43" x14ac:dyDescent="0.25">
      <c r="B12" s="2214"/>
      <c r="C12" s="2215"/>
      <c r="D12" s="2215"/>
      <c r="E12" s="2215"/>
      <c r="F12" s="2215"/>
      <c r="G12" s="2215"/>
      <c r="H12" s="2215"/>
      <c r="I12" s="2215"/>
      <c r="J12" s="2215"/>
      <c r="K12" s="2215"/>
      <c r="L12" s="2215"/>
      <c r="M12" s="2215"/>
      <c r="N12" s="2215"/>
      <c r="O12" s="2215"/>
      <c r="P12" s="2215"/>
      <c r="Q12" s="2215"/>
      <c r="R12" s="2215"/>
      <c r="S12" s="2215"/>
      <c r="T12" s="2215"/>
      <c r="U12" s="2215"/>
      <c r="V12" s="2215"/>
      <c r="W12" s="2215"/>
      <c r="X12" s="2215"/>
      <c r="Y12" s="2215"/>
      <c r="Z12" s="2215"/>
      <c r="AA12" s="2215"/>
      <c r="AB12" s="2215"/>
      <c r="AC12" s="2215"/>
      <c r="AD12" s="2215"/>
      <c r="AE12" s="2215"/>
      <c r="AF12" s="2215"/>
      <c r="AG12" s="2215"/>
      <c r="AH12" s="2215"/>
      <c r="AI12" s="2215"/>
      <c r="AJ12" s="2215"/>
      <c r="AK12" s="2215"/>
      <c r="AL12" s="2215"/>
      <c r="AM12" s="2215"/>
      <c r="AN12" s="2215"/>
      <c r="AO12" s="2215"/>
      <c r="AP12" s="2215"/>
      <c r="AQ12" s="2215"/>
    </row>
    <row r="13" spans="2:43" x14ac:dyDescent="0.25">
      <c r="B13" s="2216" t="s">
        <v>1210</v>
      </c>
      <c r="C13" s="2217" t="s">
        <v>1211</v>
      </c>
      <c r="D13" s="2218"/>
      <c r="E13" s="2218"/>
      <c r="F13" s="2218"/>
      <c r="G13" s="2218"/>
      <c r="H13" s="2218"/>
      <c r="I13" s="2218"/>
      <c r="J13" s="2218"/>
      <c r="K13" s="2218"/>
      <c r="L13" s="2218"/>
      <c r="M13" s="2218"/>
      <c r="N13" s="2218"/>
      <c r="O13" s="2218"/>
      <c r="P13" s="2218"/>
      <c r="Q13" s="2218"/>
      <c r="R13" s="2218"/>
      <c r="S13" s="2218"/>
      <c r="T13" s="2218"/>
      <c r="U13" s="2218"/>
      <c r="V13" s="2218"/>
      <c r="W13" s="2218"/>
      <c r="X13" s="2218"/>
      <c r="Y13" s="2218"/>
      <c r="Z13" s="2218"/>
      <c r="AA13" s="2218"/>
      <c r="AB13" s="2218"/>
      <c r="AC13" s="2218"/>
      <c r="AD13" s="2218"/>
      <c r="AE13" s="2218"/>
      <c r="AF13" s="2218"/>
      <c r="AG13" s="2218"/>
      <c r="AH13" s="2218"/>
      <c r="AI13" s="2218"/>
      <c r="AJ13" s="2218"/>
      <c r="AK13" s="2218"/>
      <c r="AL13" s="2218"/>
      <c r="AM13" s="2218"/>
      <c r="AN13" s="2218"/>
      <c r="AO13" s="2218"/>
      <c r="AP13" s="2218"/>
      <c r="AQ13" s="2218"/>
    </row>
    <row r="14" spans="2:43" x14ac:dyDescent="0.25">
      <c r="B14" s="2216"/>
      <c r="C14" s="2219" t="s">
        <v>521</v>
      </c>
      <c r="D14" s="2219" t="s">
        <v>1029</v>
      </c>
      <c r="E14" s="2219" t="s">
        <v>8</v>
      </c>
      <c r="F14" s="2219"/>
      <c r="G14" s="2219">
        <v>2014</v>
      </c>
      <c r="H14" s="2219">
        <v>2015</v>
      </c>
      <c r="I14" s="2219">
        <v>2016</v>
      </c>
      <c r="J14" s="2219">
        <v>2017</v>
      </c>
      <c r="K14" s="2219">
        <v>2018</v>
      </c>
      <c r="L14" s="2219">
        <v>2019</v>
      </c>
      <c r="M14" s="2219">
        <v>2020</v>
      </c>
      <c r="N14" s="2219">
        <v>2021</v>
      </c>
      <c r="O14" s="2219">
        <v>2022</v>
      </c>
      <c r="P14" s="2219">
        <v>2023</v>
      </c>
      <c r="Q14" s="2219">
        <v>2024</v>
      </c>
      <c r="R14" s="2219">
        <v>2025</v>
      </c>
      <c r="S14" s="2219">
        <v>2026</v>
      </c>
      <c r="T14" s="2219">
        <v>2027</v>
      </c>
      <c r="U14" s="2219">
        <v>2028</v>
      </c>
      <c r="V14" s="2219">
        <v>2029</v>
      </c>
      <c r="W14" s="2219">
        <v>2030</v>
      </c>
      <c r="X14" s="2219">
        <v>2031</v>
      </c>
      <c r="Y14" s="2219">
        <v>2032</v>
      </c>
      <c r="Z14" s="2219">
        <v>2033</v>
      </c>
      <c r="AA14" s="2219">
        <v>2034</v>
      </c>
      <c r="AB14" s="2219">
        <v>2035</v>
      </c>
      <c r="AC14" s="2219">
        <v>2036</v>
      </c>
      <c r="AD14" s="2219">
        <v>2037</v>
      </c>
      <c r="AE14" s="2219">
        <v>2038</v>
      </c>
      <c r="AF14" s="2219">
        <v>2039</v>
      </c>
      <c r="AG14" s="2219">
        <v>2040</v>
      </c>
      <c r="AH14" s="2219">
        <v>2041</v>
      </c>
      <c r="AI14" s="2219">
        <v>2042</v>
      </c>
      <c r="AJ14" s="2219">
        <v>2043</v>
      </c>
      <c r="AK14" s="2219">
        <v>2044</v>
      </c>
      <c r="AL14" s="2219">
        <v>2045</v>
      </c>
      <c r="AM14" s="2219">
        <v>2046</v>
      </c>
      <c r="AN14" s="2219">
        <v>2047</v>
      </c>
      <c r="AO14" s="2219">
        <v>2048</v>
      </c>
      <c r="AP14" s="2219">
        <v>2049</v>
      </c>
      <c r="AQ14" s="2219">
        <v>2050</v>
      </c>
    </row>
    <row r="15" spans="2:43" x14ac:dyDescent="0.25">
      <c r="B15" s="2216"/>
      <c r="C15" s="2220" t="s">
        <v>1212</v>
      </c>
      <c r="D15" s="2220" t="s">
        <v>1213</v>
      </c>
      <c r="E15" s="2220" t="s">
        <v>133</v>
      </c>
      <c r="F15" s="2215"/>
      <c r="G15" s="2221">
        <v>0</v>
      </c>
      <c r="H15" s="2221">
        <v>0</v>
      </c>
      <c r="I15" s="2221">
        <v>0</v>
      </c>
      <c r="J15" s="2221">
        <v>0</v>
      </c>
      <c r="K15" s="2221">
        <v>0</v>
      </c>
      <c r="L15" s="2221">
        <v>0</v>
      </c>
      <c r="M15" s="2221">
        <v>0</v>
      </c>
      <c r="N15" s="2221">
        <v>0</v>
      </c>
      <c r="O15" s="2221">
        <v>0</v>
      </c>
      <c r="P15" s="2221">
        <v>0</v>
      </c>
      <c r="Q15" s="2221">
        <v>0</v>
      </c>
      <c r="R15" s="2221">
        <v>0</v>
      </c>
      <c r="S15" s="2221">
        <v>0</v>
      </c>
      <c r="T15" s="2221">
        <v>0</v>
      </c>
      <c r="U15" s="2221">
        <v>0</v>
      </c>
      <c r="V15" s="2221">
        <v>0</v>
      </c>
      <c r="W15" s="2221">
        <v>0</v>
      </c>
      <c r="X15" s="2221">
        <v>0</v>
      </c>
      <c r="Y15" s="2221">
        <v>0</v>
      </c>
      <c r="Z15" s="2221">
        <v>0</v>
      </c>
      <c r="AA15" s="2221">
        <v>0</v>
      </c>
      <c r="AB15" s="2221">
        <v>0</v>
      </c>
      <c r="AC15" s="2221">
        <v>0</v>
      </c>
      <c r="AD15" s="2221">
        <v>0</v>
      </c>
      <c r="AE15" s="2221">
        <v>0</v>
      </c>
      <c r="AF15" s="2221">
        <v>0</v>
      </c>
      <c r="AG15" s="2221">
        <v>0</v>
      </c>
      <c r="AH15" s="2221">
        <v>0</v>
      </c>
      <c r="AI15" s="2221">
        <v>0</v>
      </c>
      <c r="AJ15" s="2221">
        <v>0</v>
      </c>
      <c r="AK15" s="2221">
        <v>0</v>
      </c>
      <c r="AL15" s="2221">
        <v>0</v>
      </c>
      <c r="AM15" s="2221">
        <v>0</v>
      </c>
      <c r="AN15" s="2221">
        <v>0</v>
      </c>
      <c r="AO15" s="2221">
        <v>0</v>
      </c>
      <c r="AP15" s="2221">
        <v>0</v>
      </c>
      <c r="AQ15" s="2221">
        <v>0</v>
      </c>
    </row>
    <row r="16" spans="2:43" x14ac:dyDescent="0.25">
      <c r="B16" s="2216"/>
      <c r="C16" s="2220" t="s">
        <v>1214</v>
      </c>
      <c r="D16" s="2220" t="s">
        <v>1213</v>
      </c>
      <c r="E16" s="2220" t="s">
        <v>1215</v>
      </c>
      <c r="F16" s="2215"/>
      <c r="G16" s="2221">
        <v>0</v>
      </c>
      <c r="H16" s="2221">
        <v>463.32800000000003</v>
      </c>
      <c r="I16" s="2221">
        <v>880.32320000000004</v>
      </c>
      <c r="J16" s="2221">
        <v>1320.4848</v>
      </c>
      <c r="K16" s="2221">
        <v>1760.6464000000001</v>
      </c>
      <c r="L16" s="2221">
        <v>2200.808</v>
      </c>
      <c r="M16" s="2221">
        <v>2640.9696000000004</v>
      </c>
      <c r="N16" s="2221">
        <v>3081.1312000000003</v>
      </c>
      <c r="O16" s="2221">
        <v>3521.2928000000006</v>
      </c>
      <c r="P16" s="2221">
        <v>3961.4544000000005</v>
      </c>
      <c r="Q16" s="2221">
        <v>4401.616</v>
      </c>
      <c r="R16" s="2221">
        <v>4841.7776000000003</v>
      </c>
      <c r="S16" s="2221">
        <v>5281.9391999999998</v>
      </c>
      <c r="T16" s="2221">
        <v>5722.1007999999993</v>
      </c>
      <c r="U16" s="2221">
        <v>6162.2623999999996</v>
      </c>
      <c r="V16" s="2221">
        <v>6602.4239999999982</v>
      </c>
      <c r="W16" s="2221">
        <v>7042.5855999999994</v>
      </c>
      <c r="X16" s="2221">
        <v>7482.747199999998</v>
      </c>
      <c r="Y16" s="2221">
        <v>7922.9087999999974</v>
      </c>
      <c r="Z16" s="2221">
        <v>8363.0703999999969</v>
      </c>
      <c r="AA16" s="2221">
        <v>8803.2319999999963</v>
      </c>
      <c r="AB16" s="2221">
        <v>9266.5600000000013</v>
      </c>
      <c r="AC16" s="2221">
        <v>10193.216</v>
      </c>
      <c r="AD16" s="2221">
        <v>11119.871999999999</v>
      </c>
      <c r="AE16" s="2221">
        <v>12046.528000000002</v>
      </c>
      <c r="AF16" s="2221">
        <v>12973.184000000003</v>
      </c>
      <c r="AG16" s="2221">
        <v>13899.84</v>
      </c>
      <c r="AH16" s="2221">
        <v>14826.496000000001</v>
      </c>
      <c r="AI16" s="2221">
        <v>15753.152000000002</v>
      </c>
      <c r="AJ16" s="2221">
        <v>16679.808000000001</v>
      </c>
      <c r="AK16" s="2221">
        <v>17606.464</v>
      </c>
      <c r="AL16" s="2221">
        <v>18533.120000000003</v>
      </c>
      <c r="AM16" s="2221">
        <v>19459.776000000002</v>
      </c>
      <c r="AN16" s="2221">
        <v>20386.432000000001</v>
      </c>
      <c r="AO16" s="2221">
        <v>21313.088000000003</v>
      </c>
      <c r="AP16" s="2221">
        <v>22239.743999999999</v>
      </c>
      <c r="AQ16" s="2221">
        <v>23166.400000000001</v>
      </c>
    </row>
    <row r="17" spans="2:43" x14ac:dyDescent="0.25">
      <c r="B17" s="2216"/>
      <c r="C17" s="2220" t="s">
        <v>1216</v>
      </c>
      <c r="D17" s="2220" t="s">
        <v>1213</v>
      </c>
      <c r="E17" s="2220" t="s">
        <v>133</v>
      </c>
      <c r="F17" s="2215"/>
      <c r="G17" s="2221">
        <v>0</v>
      </c>
      <c r="H17" s="2221">
        <v>1666</v>
      </c>
      <c r="I17" s="2221">
        <v>3332</v>
      </c>
      <c r="J17" s="2221">
        <v>4998</v>
      </c>
      <c r="K17" s="2221">
        <v>6664</v>
      </c>
      <c r="L17" s="2221">
        <v>8330</v>
      </c>
      <c r="M17" s="2221">
        <v>10000</v>
      </c>
      <c r="N17" s="2221">
        <v>12000</v>
      </c>
      <c r="O17" s="2221">
        <v>14000</v>
      </c>
      <c r="P17" s="2221">
        <v>16000</v>
      </c>
      <c r="Q17" s="2221">
        <v>18000</v>
      </c>
      <c r="R17" s="2221">
        <v>20000</v>
      </c>
      <c r="S17" s="2221">
        <v>22000</v>
      </c>
      <c r="T17" s="2221">
        <v>24000</v>
      </c>
      <c r="U17" s="2221">
        <v>26000</v>
      </c>
      <c r="V17" s="2221">
        <v>28000</v>
      </c>
      <c r="W17" s="2221">
        <v>30000</v>
      </c>
      <c r="X17" s="2221">
        <v>30000</v>
      </c>
      <c r="Y17" s="2221">
        <v>30000</v>
      </c>
      <c r="Z17" s="2221">
        <v>30000</v>
      </c>
      <c r="AA17" s="2221">
        <v>30000</v>
      </c>
      <c r="AB17" s="2221">
        <v>30000</v>
      </c>
      <c r="AC17" s="2221">
        <v>30000</v>
      </c>
      <c r="AD17" s="2221">
        <v>30000</v>
      </c>
      <c r="AE17" s="2221">
        <v>30000</v>
      </c>
      <c r="AF17" s="2221">
        <v>30000</v>
      </c>
      <c r="AG17" s="2221">
        <v>30000</v>
      </c>
      <c r="AH17" s="2221">
        <v>30000</v>
      </c>
      <c r="AI17" s="2221">
        <v>30000</v>
      </c>
      <c r="AJ17" s="2221">
        <v>30000</v>
      </c>
      <c r="AK17" s="2221">
        <v>30000</v>
      </c>
      <c r="AL17" s="2221">
        <v>30000</v>
      </c>
      <c r="AM17" s="2221">
        <v>30000</v>
      </c>
      <c r="AN17" s="2221">
        <v>30000</v>
      </c>
      <c r="AO17" s="2221">
        <v>30000</v>
      </c>
      <c r="AP17" s="2221">
        <v>30000</v>
      </c>
      <c r="AQ17" s="2221">
        <v>30000</v>
      </c>
    </row>
    <row r="18" spans="2:43" x14ac:dyDescent="0.25">
      <c r="B18" s="2216"/>
      <c r="C18" s="2222" t="s">
        <v>1016</v>
      </c>
      <c r="D18" s="2220" t="s">
        <v>1213</v>
      </c>
      <c r="E18" s="2220" t="s">
        <v>133</v>
      </c>
      <c r="F18" s="2215"/>
      <c r="G18" s="2221">
        <v>0</v>
      </c>
      <c r="H18" s="2221">
        <v>179912.04444444444</v>
      </c>
      <c r="I18" s="2221">
        <v>359824.08888888889</v>
      </c>
      <c r="J18" s="2221">
        <v>539736.1333333333</v>
      </c>
      <c r="K18" s="2221">
        <v>719648.17777777778</v>
      </c>
      <c r="L18" s="2221">
        <v>899560.22222222225</v>
      </c>
      <c r="M18" s="2221">
        <v>1079472.2666666666</v>
      </c>
      <c r="N18" s="2221">
        <v>1259384.311111111</v>
      </c>
      <c r="O18" s="2221">
        <v>1439296.3555555553</v>
      </c>
      <c r="P18" s="2221">
        <v>1619208.3999999997</v>
      </c>
      <c r="Q18" s="2221">
        <v>1799120.444444444</v>
      </c>
      <c r="R18" s="2221">
        <v>1979032.4888888884</v>
      </c>
      <c r="S18" s="2221">
        <v>2158944.5333333327</v>
      </c>
      <c r="T18" s="2221">
        <v>2338856.5777777773</v>
      </c>
      <c r="U18" s="2221">
        <v>2518768.6222222219</v>
      </c>
      <c r="V18" s="2221">
        <v>2698680.6666666665</v>
      </c>
      <c r="W18" s="2221">
        <v>2878592.7111111111</v>
      </c>
      <c r="X18" s="2221">
        <v>3058504.7555555557</v>
      </c>
      <c r="Y18" s="2221">
        <v>3238416.8000000003</v>
      </c>
      <c r="Z18" s="2221">
        <v>3418328.8444444449</v>
      </c>
      <c r="AA18" s="2221">
        <v>3598240.8888888895</v>
      </c>
      <c r="AB18" s="2221">
        <v>3778152.933333334</v>
      </c>
      <c r="AC18" s="2221">
        <v>3958064.9777777786</v>
      </c>
      <c r="AD18" s="2221">
        <v>4137977.0222222232</v>
      </c>
      <c r="AE18" s="2221">
        <v>4317889.0666666673</v>
      </c>
      <c r="AF18" s="2221">
        <v>4317889.0666666673</v>
      </c>
      <c r="AG18" s="2221">
        <v>4317889.0666666673</v>
      </c>
      <c r="AH18" s="2221">
        <v>4317889.0666666673</v>
      </c>
      <c r="AI18" s="2221">
        <v>4317889.0666666673</v>
      </c>
      <c r="AJ18" s="2221">
        <v>4317889.0666666673</v>
      </c>
      <c r="AK18" s="2221">
        <v>4317889.0666666673</v>
      </c>
      <c r="AL18" s="2221">
        <v>4317889.0666666673</v>
      </c>
      <c r="AM18" s="2221">
        <v>4317889.0666666673</v>
      </c>
      <c r="AN18" s="2221">
        <v>4317889.0666666673</v>
      </c>
      <c r="AO18" s="2221">
        <v>4317889.0666666673</v>
      </c>
      <c r="AP18" s="2221">
        <v>4317889.0666666673</v>
      </c>
      <c r="AQ18" s="2221">
        <v>4317889.0666666673</v>
      </c>
    </row>
    <row r="19" spans="2:43" x14ac:dyDescent="0.25">
      <c r="B19" s="2216"/>
      <c r="C19" s="2223" t="s">
        <v>1217</v>
      </c>
      <c r="D19" s="2224" t="s">
        <v>1213</v>
      </c>
      <c r="E19" s="2224"/>
      <c r="F19" s="2224"/>
      <c r="G19" s="2225" t="e">
        <f t="shared" ref="G19:AQ19" si="0">INDEX($G$15:$AQ$18,$G$7,MATCH(G14,$G$14:$AQ$14,0))</f>
        <v>#REF!</v>
      </c>
      <c r="H19" s="2225" t="e">
        <f t="shared" si="0"/>
        <v>#REF!</v>
      </c>
      <c r="I19" s="2225" t="e">
        <f t="shared" si="0"/>
        <v>#REF!</v>
      </c>
      <c r="J19" s="2225" t="e">
        <f t="shared" si="0"/>
        <v>#REF!</v>
      </c>
      <c r="K19" s="2225" t="e">
        <f t="shared" si="0"/>
        <v>#REF!</v>
      </c>
      <c r="L19" s="2225" t="e">
        <f t="shared" si="0"/>
        <v>#REF!</v>
      </c>
      <c r="M19" s="2225" t="e">
        <f t="shared" si="0"/>
        <v>#REF!</v>
      </c>
      <c r="N19" s="2225" t="e">
        <f t="shared" si="0"/>
        <v>#REF!</v>
      </c>
      <c r="O19" s="2225" t="e">
        <f t="shared" si="0"/>
        <v>#REF!</v>
      </c>
      <c r="P19" s="2225" t="e">
        <f t="shared" si="0"/>
        <v>#REF!</v>
      </c>
      <c r="Q19" s="2225" t="e">
        <f t="shared" si="0"/>
        <v>#REF!</v>
      </c>
      <c r="R19" s="2225" t="e">
        <f t="shared" si="0"/>
        <v>#REF!</v>
      </c>
      <c r="S19" s="2225" t="e">
        <f t="shared" si="0"/>
        <v>#REF!</v>
      </c>
      <c r="T19" s="2225" t="e">
        <f t="shared" si="0"/>
        <v>#REF!</v>
      </c>
      <c r="U19" s="2225" t="e">
        <f t="shared" si="0"/>
        <v>#REF!</v>
      </c>
      <c r="V19" s="2225" t="e">
        <f t="shared" si="0"/>
        <v>#REF!</v>
      </c>
      <c r="W19" s="2225" t="e">
        <f t="shared" si="0"/>
        <v>#REF!</v>
      </c>
      <c r="X19" s="2225" t="e">
        <f t="shared" si="0"/>
        <v>#REF!</v>
      </c>
      <c r="Y19" s="2225" t="e">
        <f t="shared" si="0"/>
        <v>#REF!</v>
      </c>
      <c r="Z19" s="2225" t="e">
        <f t="shared" si="0"/>
        <v>#REF!</v>
      </c>
      <c r="AA19" s="2225" t="e">
        <f t="shared" si="0"/>
        <v>#REF!</v>
      </c>
      <c r="AB19" s="2225" t="e">
        <f t="shared" si="0"/>
        <v>#REF!</v>
      </c>
      <c r="AC19" s="2225" t="e">
        <f t="shared" si="0"/>
        <v>#REF!</v>
      </c>
      <c r="AD19" s="2225" t="e">
        <f t="shared" si="0"/>
        <v>#REF!</v>
      </c>
      <c r="AE19" s="2225" t="e">
        <f t="shared" si="0"/>
        <v>#REF!</v>
      </c>
      <c r="AF19" s="2225" t="e">
        <f t="shared" si="0"/>
        <v>#REF!</v>
      </c>
      <c r="AG19" s="2225" t="e">
        <f t="shared" si="0"/>
        <v>#REF!</v>
      </c>
      <c r="AH19" s="2225" t="e">
        <f t="shared" si="0"/>
        <v>#REF!</v>
      </c>
      <c r="AI19" s="2225" t="e">
        <f t="shared" si="0"/>
        <v>#REF!</v>
      </c>
      <c r="AJ19" s="2225" t="e">
        <f t="shared" si="0"/>
        <v>#REF!</v>
      </c>
      <c r="AK19" s="2225" t="e">
        <f t="shared" si="0"/>
        <v>#REF!</v>
      </c>
      <c r="AL19" s="2225" t="e">
        <f t="shared" si="0"/>
        <v>#REF!</v>
      </c>
      <c r="AM19" s="2225" t="e">
        <f t="shared" si="0"/>
        <v>#REF!</v>
      </c>
      <c r="AN19" s="2225" t="e">
        <f t="shared" si="0"/>
        <v>#REF!</v>
      </c>
      <c r="AO19" s="2225" t="e">
        <f t="shared" si="0"/>
        <v>#REF!</v>
      </c>
      <c r="AP19" s="2225" t="e">
        <f t="shared" si="0"/>
        <v>#REF!</v>
      </c>
      <c r="AQ19" s="2225" t="e">
        <f t="shared" si="0"/>
        <v>#REF!</v>
      </c>
    </row>
    <row r="20" spans="2:43" x14ac:dyDescent="0.25">
      <c r="B20" s="2216"/>
      <c r="C20" s="2215"/>
      <c r="D20" s="2215"/>
      <c r="E20" s="2215"/>
      <c r="F20" s="2215"/>
      <c r="G20" s="2215"/>
      <c r="H20" s="2215"/>
      <c r="I20" s="2215"/>
      <c r="J20" s="2215"/>
      <c r="K20" s="2215"/>
      <c r="L20" s="2215"/>
      <c r="M20" s="2215"/>
      <c r="N20" s="2215"/>
      <c r="O20" s="2215"/>
      <c r="P20" s="2215"/>
      <c r="Q20" s="2215"/>
      <c r="R20" s="2215"/>
      <c r="S20" s="2215"/>
      <c r="T20" s="2215"/>
      <c r="U20" s="2215"/>
      <c r="V20" s="2215"/>
      <c r="W20" s="2215"/>
      <c r="X20" s="2215"/>
      <c r="Y20" s="2215"/>
      <c r="Z20" s="2215"/>
      <c r="AA20" s="2215"/>
      <c r="AB20" s="2215"/>
      <c r="AC20" s="2215"/>
      <c r="AD20" s="2215"/>
      <c r="AE20" s="2215"/>
      <c r="AF20" s="2215"/>
      <c r="AG20" s="2215"/>
      <c r="AH20" s="2215"/>
      <c r="AI20" s="2215"/>
      <c r="AJ20" s="2215"/>
      <c r="AK20" s="2215"/>
      <c r="AL20" s="2215"/>
      <c r="AM20" s="2215"/>
      <c r="AN20" s="2215"/>
      <c r="AO20" s="2215"/>
      <c r="AP20" s="2215"/>
      <c r="AQ20" s="2215"/>
    </row>
    <row r="21" spans="2:43" x14ac:dyDescent="0.25">
      <c r="B21" s="2216"/>
      <c r="C21" s="2217" t="s">
        <v>1218</v>
      </c>
      <c r="D21" s="2226"/>
      <c r="E21" s="2226"/>
      <c r="F21" s="2215"/>
      <c r="G21" s="2215"/>
      <c r="H21" s="2215"/>
      <c r="I21" s="2215"/>
      <c r="J21" s="2215"/>
      <c r="K21" s="2215"/>
      <c r="L21" s="2215"/>
      <c r="M21" s="2215"/>
      <c r="N21" s="2215"/>
      <c r="O21" s="2215"/>
      <c r="P21" s="2215"/>
      <c r="Q21" s="2215"/>
      <c r="R21" s="2215"/>
      <c r="S21" s="2215"/>
      <c r="T21" s="2215"/>
      <c r="U21" s="2215"/>
      <c r="V21" s="2215"/>
      <c r="W21" s="2215"/>
      <c r="X21" s="2215"/>
      <c r="Y21" s="2215"/>
      <c r="Z21" s="2215"/>
      <c r="AA21" s="2215"/>
      <c r="AB21" s="2215"/>
      <c r="AC21" s="2215"/>
      <c r="AD21" s="2215"/>
      <c r="AE21" s="2215"/>
      <c r="AF21" s="2215"/>
      <c r="AG21" s="2215"/>
      <c r="AH21" s="2215"/>
      <c r="AI21" s="2215"/>
      <c r="AJ21" s="2215"/>
      <c r="AK21" s="2215"/>
      <c r="AL21" s="2215"/>
      <c r="AM21" s="2215"/>
      <c r="AN21" s="2215"/>
      <c r="AO21" s="2215"/>
      <c r="AP21" s="2215"/>
      <c r="AQ21" s="2215"/>
    </row>
    <row r="22" spans="2:43" x14ac:dyDescent="0.25">
      <c r="B22" s="2216"/>
      <c r="C22" s="2227" t="s">
        <v>1023</v>
      </c>
      <c r="D22" s="2219" t="s">
        <v>1029</v>
      </c>
      <c r="E22" s="2219" t="s">
        <v>8</v>
      </c>
      <c r="F22" s="2219"/>
      <c r="G22" s="2219">
        <v>2014</v>
      </c>
      <c r="H22" s="2219">
        <v>2015</v>
      </c>
      <c r="I22" s="2219">
        <v>2016</v>
      </c>
      <c r="J22" s="2219">
        <v>2017</v>
      </c>
      <c r="K22" s="2219">
        <v>2018</v>
      </c>
      <c r="L22" s="2219">
        <v>2019</v>
      </c>
      <c r="M22" s="2219">
        <v>2020</v>
      </c>
      <c r="N22" s="2219">
        <v>2021</v>
      </c>
      <c r="O22" s="2219">
        <v>2022</v>
      </c>
      <c r="P22" s="2219">
        <v>2023</v>
      </c>
      <c r="Q22" s="2219">
        <v>2024</v>
      </c>
      <c r="R22" s="2219">
        <v>2025</v>
      </c>
      <c r="S22" s="2219">
        <v>2026</v>
      </c>
      <c r="T22" s="2219">
        <v>2027</v>
      </c>
      <c r="U22" s="2219">
        <v>2028</v>
      </c>
      <c r="V22" s="2219">
        <v>2029</v>
      </c>
      <c r="W22" s="2219">
        <v>2030</v>
      </c>
      <c r="X22" s="2219">
        <v>2031</v>
      </c>
      <c r="Y22" s="2219">
        <v>2032</v>
      </c>
      <c r="Z22" s="2219">
        <v>2033</v>
      </c>
      <c r="AA22" s="2219">
        <v>2034</v>
      </c>
      <c r="AB22" s="2219">
        <v>2035</v>
      </c>
      <c r="AC22" s="2219">
        <v>2036</v>
      </c>
      <c r="AD22" s="2219">
        <v>2037</v>
      </c>
      <c r="AE22" s="2219">
        <v>2038</v>
      </c>
      <c r="AF22" s="2219">
        <v>2039</v>
      </c>
      <c r="AG22" s="2219">
        <v>2040</v>
      </c>
      <c r="AH22" s="2219">
        <v>2041</v>
      </c>
      <c r="AI22" s="2219">
        <v>2042</v>
      </c>
      <c r="AJ22" s="2219">
        <v>2043</v>
      </c>
      <c r="AK22" s="2219">
        <v>2044</v>
      </c>
      <c r="AL22" s="2219">
        <v>2045</v>
      </c>
      <c r="AM22" s="2219">
        <v>2046</v>
      </c>
      <c r="AN22" s="2219">
        <v>2047</v>
      </c>
      <c r="AO22" s="2219">
        <v>2048</v>
      </c>
      <c r="AP22" s="2219">
        <v>2049</v>
      </c>
      <c r="AQ22" s="2219">
        <v>2050</v>
      </c>
    </row>
    <row r="23" spans="2:43" x14ac:dyDescent="0.25">
      <c r="B23" s="2216"/>
      <c r="C23" s="2220">
        <v>1</v>
      </c>
      <c r="D23" s="2220" t="s">
        <v>1031</v>
      </c>
      <c r="E23" s="2220" t="s">
        <v>12</v>
      </c>
      <c r="F23" s="2215"/>
      <c r="G23" s="2221">
        <v>0</v>
      </c>
      <c r="H23" s="2221">
        <v>0</v>
      </c>
      <c r="I23" s="2221">
        <v>0</v>
      </c>
      <c r="J23" s="2221">
        <v>0</v>
      </c>
      <c r="K23" s="2221">
        <v>0</v>
      </c>
      <c r="L23" s="2221">
        <v>0</v>
      </c>
      <c r="M23" s="2221">
        <v>0</v>
      </c>
      <c r="N23" s="2221">
        <v>0</v>
      </c>
      <c r="O23" s="2221">
        <v>0</v>
      </c>
      <c r="P23" s="2221">
        <v>0</v>
      </c>
      <c r="Q23" s="2221">
        <v>0</v>
      </c>
      <c r="R23" s="2221">
        <v>0</v>
      </c>
      <c r="S23" s="2221">
        <v>0</v>
      </c>
      <c r="T23" s="2221">
        <v>0</v>
      </c>
      <c r="U23" s="2221">
        <v>0</v>
      </c>
      <c r="V23" s="2221">
        <v>0</v>
      </c>
      <c r="W23" s="2221">
        <v>0</v>
      </c>
      <c r="X23" s="2221">
        <v>0</v>
      </c>
      <c r="Y23" s="2221">
        <v>0</v>
      </c>
      <c r="Z23" s="2221">
        <v>0</v>
      </c>
      <c r="AA23" s="2221">
        <v>0</v>
      </c>
      <c r="AB23" s="2221">
        <v>0</v>
      </c>
      <c r="AC23" s="2221">
        <v>0</v>
      </c>
      <c r="AD23" s="2221">
        <v>0</v>
      </c>
      <c r="AE23" s="2221">
        <v>0</v>
      </c>
      <c r="AF23" s="2221">
        <v>0</v>
      </c>
      <c r="AG23" s="2221">
        <v>0</v>
      </c>
      <c r="AH23" s="2221">
        <v>0</v>
      </c>
      <c r="AI23" s="2221">
        <v>0</v>
      </c>
      <c r="AJ23" s="2221">
        <v>0</v>
      </c>
      <c r="AK23" s="2221">
        <v>0</v>
      </c>
      <c r="AL23" s="2221">
        <v>0</v>
      </c>
      <c r="AM23" s="2221">
        <v>0</v>
      </c>
      <c r="AN23" s="2221">
        <v>0</v>
      </c>
      <c r="AO23" s="2221">
        <v>0</v>
      </c>
      <c r="AP23" s="2221">
        <v>0</v>
      </c>
      <c r="AQ23" s="2221">
        <v>0</v>
      </c>
    </row>
    <row r="24" spans="2:43" x14ac:dyDescent="0.25">
      <c r="B24" s="2216"/>
      <c r="C24" s="2220">
        <v>2</v>
      </c>
      <c r="D24" s="2220" t="s">
        <v>1031</v>
      </c>
      <c r="E24" s="2220" t="s">
        <v>12</v>
      </c>
      <c r="F24" s="2215"/>
      <c r="G24" s="2228">
        <v>0</v>
      </c>
      <c r="H24" s="2229">
        <v>3.5999999999999999E-3</v>
      </c>
      <c r="I24" s="2229">
        <v>5.4000000000000003E-3</v>
      </c>
      <c r="J24" s="2229">
        <v>7.1999999999999998E-3</v>
      </c>
      <c r="K24" s="2229">
        <v>8.9999999999999993E-3</v>
      </c>
      <c r="L24" s="2229">
        <v>1.0799999999999999E-2</v>
      </c>
      <c r="M24" s="2229">
        <v>1.2599999999999998E-2</v>
      </c>
      <c r="N24" s="2229">
        <v>1.4399999999999998E-2</v>
      </c>
      <c r="O24" s="2229">
        <v>1.6199999999999996E-2</v>
      </c>
      <c r="P24" s="2229">
        <v>1.7999999999999995E-2</v>
      </c>
      <c r="Q24" s="2229">
        <v>1.9799999999999995E-2</v>
      </c>
      <c r="R24" s="2229">
        <v>2.1599999999999998E-2</v>
      </c>
      <c r="S24" s="2229">
        <v>2.3399999999999997E-2</v>
      </c>
      <c r="T24" s="2229">
        <v>2.52E-2</v>
      </c>
      <c r="U24" s="2229">
        <v>2.7000000000000003E-2</v>
      </c>
      <c r="V24" s="2229">
        <v>0.03</v>
      </c>
      <c r="W24" s="2228">
        <v>0.03</v>
      </c>
      <c r="X24" s="2228">
        <v>0.03</v>
      </c>
      <c r="Y24" s="2228">
        <v>0.03</v>
      </c>
      <c r="Z24" s="2228">
        <v>0.03</v>
      </c>
      <c r="AA24" s="2228">
        <v>0.03</v>
      </c>
      <c r="AB24" s="2228">
        <v>0.03</v>
      </c>
      <c r="AC24" s="2228">
        <v>0.03</v>
      </c>
      <c r="AD24" s="2228">
        <v>0.03</v>
      </c>
      <c r="AE24" s="2228">
        <v>0.03</v>
      </c>
      <c r="AF24" s="2228">
        <v>0.03</v>
      </c>
      <c r="AG24" s="2228">
        <v>0.03</v>
      </c>
      <c r="AH24" s="2228">
        <v>0.03</v>
      </c>
      <c r="AI24" s="2228">
        <v>0.03</v>
      </c>
      <c r="AJ24" s="2228">
        <v>0.03</v>
      </c>
      <c r="AK24" s="2228">
        <v>0.03</v>
      </c>
      <c r="AL24" s="2228">
        <v>0.03</v>
      </c>
      <c r="AM24" s="2228">
        <v>0.03</v>
      </c>
      <c r="AN24" s="2228">
        <v>0.03</v>
      </c>
      <c r="AO24" s="2228">
        <v>0.03</v>
      </c>
      <c r="AP24" s="2228">
        <v>0.03</v>
      </c>
      <c r="AQ24" s="2228">
        <v>0.03</v>
      </c>
    </row>
    <row r="25" spans="2:43" x14ac:dyDescent="0.25">
      <c r="B25" s="2216"/>
      <c r="C25" s="2220">
        <v>3</v>
      </c>
      <c r="D25" s="2220" t="s">
        <v>1031</v>
      </c>
      <c r="E25" s="2220" t="s">
        <v>12</v>
      </c>
      <c r="F25" s="2215"/>
      <c r="G25" s="2228">
        <v>0</v>
      </c>
      <c r="H25" s="2229">
        <v>4.4000000000000003E-3</v>
      </c>
      <c r="I25" s="2229">
        <v>8.8000000000000005E-3</v>
      </c>
      <c r="J25" s="2229">
        <v>1.32E-2</v>
      </c>
      <c r="K25" s="2229">
        <v>1.7600000000000001E-2</v>
      </c>
      <c r="L25" s="2229">
        <v>2.2000000000000002E-2</v>
      </c>
      <c r="M25" s="2229">
        <v>2.64E-2</v>
      </c>
      <c r="N25" s="2229">
        <v>3.0800000000000001E-2</v>
      </c>
      <c r="O25" s="2229">
        <v>3.5200000000000002E-2</v>
      </c>
      <c r="P25" s="2229">
        <v>3.9599999999999996E-2</v>
      </c>
      <c r="Q25" s="2229">
        <v>4.4000000000000004E-2</v>
      </c>
      <c r="R25" s="2229">
        <v>4.8400000000000006E-2</v>
      </c>
      <c r="S25" s="2229">
        <v>5.2800000000000014E-2</v>
      </c>
      <c r="T25" s="2229">
        <v>5.7200000000000015E-2</v>
      </c>
      <c r="U25" s="2229">
        <v>6.1600000000000016E-2</v>
      </c>
      <c r="V25" s="2229">
        <v>6.6000000000000017E-2</v>
      </c>
      <c r="W25" s="2230">
        <v>7.0000000000000007E-2</v>
      </c>
      <c r="X25" s="2230">
        <v>7.0000000000000007E-2</v>
      </c>
      <c r="Y25" s="2230">
        <v>7.0000000000000007E-2</v>
      </c>
      <c r="Z25" s="2230">
        <v>7.0000000000000007E-2</v>
      </c>
      <c r="AA25" s="2230">
        <v>7.0000000000000007E-2</v>
      </c>
      <c r="AB25" s="2230">
        <v>7.0000000000000007E-2</v>
      </c>
      <c r="AC25" s="2230">
        <v>7.0000000000000007E-2</v>
      </c>
      <c r="AD25" s="2230">
        <v>7.0000000000000007E-2</v>
      </c>
      <c r="AE25" s="2230">
        <v>7.0000000000000007E-2</v>
      </c>
      <c r="AF25" s="2230">
        <v>7.0000000000000007E-2</v>
      </c>
      <c r="AG25" s="2230">
        <v>7.0000000000000007E-2</v>
      </c>
      <c r="AH25" s="2230">
        <v>7.0000000000000007E-2</v>
      </c>
      <c r="AI25" s="2230">
        <v>7.0000000000000007E-2</v>
      </c>
      <c r="AJ25" s="2230">
        <v>7.0000000000000007E-2</v>
      </c>
      <c r="AK25" s="2230">
        <v>7.0000000000000007E-2</v>
      </c>
      <c r="AL25" s="2230">
        <v>7.0000000000000007E-2</v>
      </c>
      <c r="AM25" s="2230">
        <v>7.0000000000000007E-2</v>
      </c>
      <c r="AN25" s="2230">
        <v>7.0000000000000007E-2</v>
      </c>
      <c r="AO25" s="2230">
        <v>7.0000000000000007E-2</v>
      </c>
      <c r="AP25" s="2230">
        <v>7.0000000000000007E-2</v>
      </c>
      <c r="AQ25" s="2230">
        <v>7.0000000000000007E-2</v>
      </c>
    </row>
    <row r="26" spans="2:43" x14ac:dyDescent="0.25">
      <c r="B26" s="2216"/>
      <c r="C26" s="2222">
        <v>4</v>
      </c>
      <c r="D26" s="2220" t="s">
        <v>1031</v>
      </c>
      <c r="E26" s="2220" t="s">
        <v>12</v>
      </c>
      <c r="F26" s="2215"/>
      <c r="G26" s="2228">
        <v>0</v>
      </c>
      <c r="H26" s="2230">
        <v>3.8461538461538464E-2</v>
      </c>
      <c r="I26" s="2230">
        <v>7.6923076923076927E-2</v>
      </c>
      <c r="J26" s="2230">
        <v>0.11538461538461538</v>
      </c>
      <c r="K26" s="2230">
        <v>0.15384615384615385</v>
      </c>
      <c r="L26" s="2230">
        <v>0.19230769230769229</v>
      </c>
      <c r="M26" s="2230">
        <v>0.23076923076923075</v>
      </c>
      <c r="N26" s="2230">
        <v>0.26923076923076922</v>
      </c>
      <c r="O26" s="2230">
        <v>0.30769230769230771</v>
      </c>
      <c r="P26" s="2230">
        <v>0.34615384615384615</v>
      </c>
      <c r="Q26" s="2230">
        <v>0.38461538461538458</v>
      </c>
      <c r="R26" s="2230">
        <v>0.42307692307692307</v>
      </c>
      <c r="S26" s="2230">
        <v>0.46153846153846151</v>
      </c>
      <c r="T26" s="2230">
        <v>0.5</v>
      </c>
      <c r="U26" s="2230">
        <v>0.53846153846153844</v>
      </c>
      <c r="V26" s="2230">
        <v>0.57692307692307698</v>
      </c>
      <c r="W26" s="2230">
        <v>0.61538461538461542</v>
      </c>
      <c r="X26" s="2230">
        <v>0.65384615384615385</v>
      </c>
      <c r="Y26" s="2230">
        <v>0.69230769230769229</v>
      </c>
      <c r="Z26" s="2230">
        <v>0.73076923076923062</v>
      </c>
      <c r="AA26" s="2230">
        <v>0.76923076923076905</v>
      </c>
      <c r="AB26" s="2230">
        <v>0.80769230769230749</v>
      </c>
      <c r="AC26" s="2230">
        <v>0.84615384615384581</v>
      </c>
      <c r="AD26" s="2230">
        <v>0.88461538461538425</v>
      </c>
      <c r="AE26" s="2230">
        <v>0.92307692307692268</v>
      </c>
      <c r="AF26" s="2230">
        <v>0.96153846153846101</v>
      </c>
      <c r="AG26" s="2230">
        <v>1</v>
      </c>
      <c r="AH26" s="2230">
        <v>1</v>
      </c>
      <c r="AI26" s="2230">
        <v>1</v>
      </c>
      <c r="AJ26" s="2230">
        <v>1</v>
      </c>
      <c r="AK26" s="2230">
        <v>1</v>
      </c>
      <c r="AL26" s="2230">
        <v>1</v>
      </c>
      <c r="AM26" s="2230">
        <v>1</v>
      </c>
      <c r="AN26" s="2230">
        <v>1</v>
      </c>
      <c r="AO26" s="2230">
        <v>1</v>
      </c>
      <c r="AP26" s="2230">
        <v>1</v>
      </c>
      <c r="AQ26" s="2230">
        <v>1</v>
      </c>
    </row>
    <row r="27" spans="2:43" x14ac:dyDescent="0.25">
      <c r="B27" s="2216"/>
      <c r="C27" s="2224" t="s">
        <v>1217</v>
      </c>
      <c r="D27" s="2224" t="s">
        <v>1031</v>
      </c>
      <c r="E27" s="2231"/>
      <c r="F27" s="2231"/>
      <c r="G27" s="2231" t="e">
        <f t="shared" ref="G27:AQ27" si="1">INDEX($G$23:$AQ$26,$G$7,MATCH(G22,$G$22:$AQ$22,0))</f>
        <v>#REF!</v>
      </c>
      <c r="H27" s="2231" t="e">
        <f t="shared" si="1"/>
        <v>#REF!</v>
      </c>
      <c r="I27" s="2231" t="e">
        <f t="shared" si="1"/>
        <v>#REF!</v>
      </c>
      <c r="J27" s="2231" t="e">
        <f t="shared" si="1"/>
        <v>#REF!</v>
      </c>
      <c r="K27" s="2231" t="e">
        <f t="shared" si="1"/>
        <v>#REF!</v>
      </c>
      <c r="L27" s="2231" t="e">
        <f t="shared" si="1"/>
        <v>#REF!</v>
      </c>
      <c r="M27" s="2231" t="e">
        <f t="shared" si="1"/>
        <v>#REF!</v>
      </c>
      <c r="N27" s="2231" t="e">
        <f t="shared" si="1"/>
        <v>#REF!</v>
      </c>
      <c r="O27" s="2231" t="e">
        <f t="shared" si="1"/>
        <v>#REF!</v>
      </c>
      <c r="P27" s="2231" t="e">
        <f t="shared" si="1"/>
        <v>#REF!</v>
      </c>
      <c r="Q27" s="2231" t="e">
        <f t="shared" si="1"/>
        <v>#REF!</v>
      </c>
      <c r="R27" s="2231" t="e">
        <f t="shared" si="1"/>
        <v>#REF!</v>
      </c>
      <c r="S27" s="2231" t="e">
        <f t="shared" si="1"/>
        <v>#REF!</v>
      </c>
      <c r="T27" s="2231" t="e">
        <f t="shared" si="1"/>
        <v>#REF!</v>
      </c>
      <c r="U27" s="2231" t="e">
        <f t="shared" si="1"/>
        <v>#REF!</v>
      </c>
      <c r="V27" s="2231" t="e">
        <f t="shared" si="1"/>
        <v>#REF!</v>
      </c>
      <c r="W27" s="2231" t="e">
        <f t="shared" si="1"/>
        <v>#REF!</v>
      </c>
      <c r="X27" s="2231" t="e">
        <f t="shared" si="1"/>
        <v>#REF!</v>
      </c>
      <c r="Y27" s="2231" t="e">
        <f t="shared" si="1"/>
        <v>#REF!</v>
      </c>
      <c r="Z27" s="2231" t="e">
        <f t="shared" si="1"/>
        <v>#REF!</v>
      </c>
      <c r="AA27" s="2231" t="e">
        <f t="shared" si="1"/>
        <v>#REF!</v>
      </c>
      <c r="AB27" s="2231" t="e">
        <f t="shared" si="1"/>
        <v>#REF!</v>
      </c>
      <c r="AC27" s="2231" t="e">
        <f t="shared" si="1"/>
        <v>#REF!</v>
      </c>
      <c r="AD27" s="2231" t="e">
        <f t="shared" si="1"/>
        <v>#REF!</v>
      </c>
      <c r="AE27" s="2231" t="e">
        <f t="shared" si="1"/>
        <v>#REF!</v>
      </c>
      <c r="AF27" s="2231" t="e">
        <f t="shared" si="1"/>
        <v>#REF!</v>
      </c>
      <c r="AG27" s="2231" t="e">
        <f t="shared" si="1"/>
        <v>#REF!</v>
      </c>
      <c r="AH27" s="2231" t="e">
        <f t="shared" si="1"/>
        <v>#REF!</v>
      </c>
      <c r="AI27" s="2231" t="e">
        <f t="shared" si="1"/>
        <v>#REF!</v>
      </c>
      <c r="AJ27" s="2231" t="e">
        <f t="shared" si="1"/>
        <v>#REF!</v>
      </c>
      <c r="AK27" s="2231" t="e">
        <f t="shared" si="1"/>
        <v>#REF!</v>
      </c>
      <c r="AL27" s="2231" t="e">
        <f t="shared" si="1"/>
        <v>#REF!</v>
      </c>
      <c r="AM27" s="2231" t="e">
        <f t="shared" si="1"/>
        <v>#REF!</v>
      </c>
      <c r="AN27" s="2231" t="e">
        <f t="shared" si="1"/>
        <v>#REF!</v>
      </c>
      <c r="AO27" s="2231" t="e">
        <f t="shared" si="1"/>
        <v>#REF!</v>
      </c>
      <c r="AP27" s="2231" t="e">
        <f t="shared" si="1"/>
        <v>#REF!</v>
      </c>
      <c r="AQ27" s="2231" t="e">
        <f t="shared" si="1"/>
        <v>#REF!</v>
      </c>
    </row>
    <row r="28" spans="2:43" x14ac:dyDescent="0.25">
      <c r="B28" s="2216"/>
      <c r="C28" s="2215"/>
      <c r="D28" s="2215"/>
      <c r="E28" s="2215"/>
      <c r="F28" s="2215"/>
      <c r="G28" s="2215"/>
      <c r="H28" s="2215"/>
      <c r="I28" s="2215"/>
      <c r="J28" s="2215"/>
      <c r="K28" s="2215"/>
      <c r="L28" s="2215"/>
      <c r="M28" s="2215"/>
      <c r="N28" s="2215"/>
      <c r="O28" s="2215"/>
      <c r="P28" s="2215"/>
      <c r="Q28" s="2215"/>
      <c r="R28" s="2215"/>
      <c r="S28" s="2215"/>
      <c r="T28" s="2215"/>
      <c r="U28" s="2215"/>
      <c r="V28" s="2215"/>
      <c r="W28" s="2215"/>
      <c r="X28" s="2215"/>
      <c r="Y28" s="2215"/>
      <c r="Z28" s="2215"/>
      <c r="AA28" s="2215"/>
      <c r="AB28" s="2215"/>
      <c r="AC28" s="2215"/>
      <c r="AD28" s="2215"/>
      <c r="AE28" s="2215"/>
      <c r="AF28" s="2215"/>
      <c r="AG28" s="2215"/>
      <c r="AH28" s="2215"/>
      <c r="AI28" s="2215"/>
      <c r="AJ28" s="2215"/>
      <c r="AK28" s="2215"/>
      <c r="AL28" s="2215"/>
      <c r="AM28" s="2215"/>
      <c r="AN28" s="2215"/>
      <c r="AO28" s="2215"/>
      <c r="AP28" s="2215"/>
      <c r="AQ28" s="2215"/>
    </row>
    <row r="29" spans="2:43" x14ac:dyDescent="0.25">
      <c r="B29" s="2216"/>
      <c r="C29" s="2215"/>
      <c r="D29" s="2215"/>
      <c r="E29" s="2215"/>
      <c r="F29" s="2215"/>
      <c r="G29" s="2215"/>
      <c r="H29" s="2215"/>
      <c r="I29" s="2215"/>
      <c r="J29" s="2215"/>
      <c r="K29" s="2215"/>
      <c r="L29" s="2215"/>
      <c r="M29" s="2215"/>
      <c r="N29" s="2215"/>
      <c r="O29" s="2215"/>
      <c r="P29" s="2215"/>
      <c r="Q29" s="2215"/>
      <c r="R29" s="2215"/>
      <c r="S29" s="2215"/>
      <c r="T29" s="2215"/>
      <c r="U29" s="2215"/>
      <c r="V29" s="2215"/>
      <c r="W29" s="2215"/>
      <c r="X29" s="2215"/>
      <c r="Y29" s="2215"/>
      <c r="Z29" s="2215"/>
      <c r="AA29" s="2215"/>
      <c r="AB29" s="2215"/>
      <c r="AC29" s="2215"/>
      <c r="AD29" s="2215"/>
      <c r="AE29" s="2215"/>
      <c r="AF29" s="2215"/>
      <c r="AG29" s="2215"/>
      <c r="AH29" s="2215"/>
      <c r="AI29" s="2215"/>
      <c r="AJ29" s="2215"/>
      <c r="AK29" s="2215"/>
      <c r="AL29" s="2215"/>
      <c r="AM29" s="2215"/>
      <c r="AN29" s="2215"/>
      <c r="AO29" s="2215"/>
      <c r="AP29" s="2215"/>
      <c r="AQ29" s="2215"/>
    </row>
    <row r="30" spans="2:43" x14ac:dyDescent="0.25">
      <c r="B30" s="2216"/>
      <c r="C30" s="2215"/>
      <c r="D30" s="2215"/>
      <c r="E30" s="2215"/>
      <c r="F30" s="2215"/>
      <c r="G30" s="2215"/>
      <c r="H30" s="2215"/>
      <c r="I30" s="2215"/>
      <c r="J30" s="2215"/>
      <c r="K30" s="2215"/>
      <c r="L30" s="2215"/>
      <c r="M30" s="2215"/>
      <c r="N30" s="2215"/>
      <c r="O30" s="2215"/>
      <c r="P30" s="2215"/>
      <c r="Q30" s="2215"/>
      <c r="R30" s="2215"/>
      <c r="S30" s="2215"/>
      <c r="T30" s="2215"/>
      <c r="U30" s="2215"/>
      <c r="V30" s="2215"/>
      <c r="W30" s="2215"/>
      <c r="X30" s="2215"/>
      <c r="Y30" s="2215"/>
      <c r="Z30" s="2215"/>
      <c r="AA30" s="2215"/>
      <c r="AB30" s="2215"/>
      <c r="AC30" s="2215"/>
      <c r="AD30" s="2215"/>
      <c r="AE30" s="2215"/>
      <c r="AF30" s="2215"/>
      <c r="AG30" s="2215"/>
      <c r="AH30" s="2215"/>
      <c r="AI30" s="2215"/>
      <c r="AJ30" s="2215"/>
      <c r="AK30" s="2215"/>
      <c r="AL30" s="2215"/>
      <c r="AM30" s="2215"/>
      <c r="AN30" s="2215"/>
      <c r="AO30" s="2215"/>
      <c r="AP30" s="2215"/>
      <c r="AQ30" s="2215"/>
    </row>
    <row r="31" spans="2:43" x14ac:dyDescent="0.25">
      <c r="B31" s="2216" t="s">
        <v>1219</v>
      </c>
      <c r="C31" s="2215" t="s">
        <v>1220</v>
      </c>
      <c r="D31" s="2215"/>
      <c r="E31" s="2215"/>
      <c r="F31" s="2215"/>
      <c r="G31" s="2215"/>
      <c r="H31" s="2215"/>
      <c r="I31" s="2215"/>
      <c r="J31" s="2215"/>
      <c r="K31" s="2215"/>
      <c r="L31" s="2215"/>
      <c r="M31" s="2215"/>
      <c r="N31" s="2215"/>
      <c r="O31" s="2215"/>
      <c r="P31" s="2215"/>
      <c r="Q31" s="2215"/>
      <c r="R31" s="2215"/>
      <c r="S31" s="2215"/>
      <c r="T31" s="2215"/>
      <c r="U31" s="2215"/>
      <c r="V31" s="2215"/>
      <c r="W31" s="2215"/>
      <c r="X31" s="2215"/>
      <c r="Y31" s="2215"/>
      <c r="Z31" s="2215"/>
      <c r="AA31" s="2215"/>
      <c r="AB31" s="2215"/>
      <c r="AC31" s="2215"/>
      <c r="AD31" s="2215"/>
      <c r="AE31" s="2215"/>
      <c r="AF31" s="2215"/>
      <c r="AG31" s="2215"/>
      <c r="AH31" s="2215"/>
      <c r="AI31" s="2215"/>
      <c r="AJ31" s="2215"/>
      <c r="AK31" s="2215"/>
      <c r="AL31" s="2215"/>
      <c r="AM31" s="2215"/>
      <c r="AN31" s="2215"/>
      <c r="AO31" s="2215"/>
      <c r="AP31" s="2215"/>
      <c r="AQ31" s="2215"/>
    </row>
    <row r="32" spans="2:43" x14ac:dyDescent="0.25">
      <c r="B32" s="2216"/>
      <c r="C32" s="2227" t="s">
        <v>1023</v>
      </c>
      <c r="D32" s="2219" t="s">
        <v>1029</v>
      </c>
      <c r="E32" s="2219" t="s">
        <v>8</v>
      </c>
      <c r="F32" s="2219"/>
      <c r="G32" s="2219">
        <v>2014</v>
      </c>
      <c r="H32" s="2219">
        <v>2015</v>
      </c>
      <c r="I32" s="2219">
        <v>2016</v>
      </c>
      <c r="J32" s="2219">
        <v>2017</v>
      </c>
      <c r="K32" s="2219">
        <v>2018</v>
      </c>
      <c r="L32" s="2219">
        <v>2019</v>
      </c>
      <c r="M32" s="2219">
        <v>2020</v>
      </c>
      <c r="N32" s="2219">
        <v>2021</v>
      </c>
      <c r="O32" s="2219">
        <v>2022</v>
      </c>
      <c r="P32" s="2219">
        <v>2023</v>
      </c>
      <c r="Q32" s="2219">
        <v>2024</v>
      </c>
      <c r="R32" s="2219">
        <v>2025</v>
      </c>
      <c r="S32" s="2219">
        <v>2026</v>
      </c>
      <c r="T32" s="2219">
        <v>2027</v>
      </c>
      <c r="U32" s="2219">
        <v>2028</v>
      </c>
      <c r="V32" s="2219">
        <v>2029</v>
      </c>
      <c r="W32" s="2219">
        <v>2030</v>
      </c>
      <c r="X32" s="2219">
        <v>2031</v>
      </c>
      <c r="Y32" s="2219">
        <v>2032</v>
      </c>
      <c r="Z32" s="2219">
        <v>2033</v>
      </c>
      <c r="AA32" s="2219">
        <v>2034</v>
      </c>
      <c r="AB32" s="2219">
        <v>2035</v>
      </c>
      <c r="AC32" s="2219">
        <v>2036</v>
      </c>
      <c r="AD32" s="2219">
        <v>2037</v>
      </c>
      <c r="AE32" s="2219">
        <v>2038</v>
      </c>
      <c r="AF32" s="2219">
        <v>2039</v>
      </c>
      <c r="AG32" s="2219">
        <v>2040</v>
      </c>
      <c r="AH32" s="2219">
        <v>2041</v>
      </c>
      <c r="AI32" s="2219">
        <v>2042</v>
      </c>
      <c r="AJ32" s="2219">
        <v>2043</v>
      </c>
      <c r="AK32" s="2219">
        <v>2044</v>
      </c>
      <c r="AL32" s="2219">
        <v>2045</v>
      </c>
      <c r="AM32" s="2219">
        <v>2046</v>
      </c>
      <c r="AN32" s="2219">
        <v>2047</v>
      </c>
      <c r="AO32" s="2219">
        <v>2048</v>
      </c>
      <c r="AP32" s="2219">
        <v>2049</v>
      </c>
      <c r="AQ32" s="2219">
        <v>2050</v>
      </c>
    </row>
    <row r="33" spans="1:43" x14ac:dyDescent="0.25">
      <c r="B33" s="2216"/>
      <c r="C33" s="2220">
        <v>1</v>
      </c>
      <c r="D33" s="2220" t="s">
        <v>1213</v>
      </c>
      <c r="E33" s="2220"/>
      <c r="F33" s="2215"/>
      <c r="G33" s="2221">
        <v>0</v>
      </c>
      <c r="H33" s="2221">
        <v>0</v>
      </c>
      <c r="I33" s="2221">
        <v>0</v>
      </c>
      <c r="J33" s="2221">
        <v>0</v>
      </c>
      <c r="K33" s="2221">
        <v>0</v>
      </c>
      <c r="L33" s="2221">
        <v>0</v>
      </c>
      <c r="M33" s="2221">
        <v>0</v>
      </c>
      <c r="N33" s="2221">
        <v>0</v>
      </c>
      <c r="O33" s="2221">
        <v>0</v>
      </c>
      <c r="P33" s="2221">
        <v>0</v>
      </c>
      <c r="Q33" s="2221">
        <v>0</v>
      </c>
      <c r="R33" s="2221">
        <v>0</v>
      </c>
      <c r="S33" s="2221">
        <v>0</v>
      </c>
      <c r="T33" s="2221">
        <v>0</v>
      </c>
      <c r="U33" s="2221">
        <v>0</v>
      </c>
      <c r="V33" s="2221">
        <v>0</v>
      </c>
      <c r="W33" s="2221">
        <v>0</v>
      </c>
      <c r="X33" s="2221">
        <v>0</v>
      </c>
      <c r="Y33" s="2221">
        <v>0</v>
      </c>
      <c r="Z33" s="2221">
        <v>0</v>
      </c>
      <c r="AA33" s="2221">
        <v>0</v>
      </c>
      <c r="AB33" s="2221">
        <v>0</v>
      </c>
      <c r="AC33" s="2221">
        <v>0</v>
      </c>
      <c r="AD33" s="2221">
        <v>0</v>
      </c>
      <c r="AE33" s="2221">
        <v>0</v>
      </c>
      <c r="AF33" s="2221">
        <v>0</v>
      </c>
      <c r="AG33" s="2221">
        <v>0</v>
      </c>
      <c r="AH33" s="2221">
        <v>0</v>
      </c>
      <c r="AI33" s="2221">
        <v>0</v>
      </c>
      <c r="AJ33" s="2221">
        <v>0</v>
      </c>
      <c r="AK33" s="2221">
        <v>0</v>
      </c>
      <c r="AL33" s="2221">
        <v>0</v>
      </c>
      <c r="AM33" s="2221">
        <v>0</v>
      </c>
      <c r="AN33" s="2221">
        <v>0</v>
      </c>
      <c r="AO33" s="2221">
        <v>0</v>
      </c>
      <c r="AP33" s="2221">
        <v>0</v>
      </c>
      <c r="AQ33" s="2221">
        <v>0</v>
      </c>
    </row>
    <row r="34" spans="1:43" x14ac:dyDescent="0.25">
      <c r="B34" s="2216"/>
      <c r="C34" s="2220">
        <v>2</v>
      </c>
      <c r="D34" s="2220" t="s">
        <v>1213</v>
      </c>
      <c r="E34" s="2220"/>
      <c r="F34" s="2215"/>
      <c r="G34" s="2221">
        <v>0</v>
      </c>
      <c r="H34" s="2221">
        <v>6250</v>
      </c>
      <c r="I34" s="2221">
        <v>12500</v>
      </c>
      <c r="J34" s="2221">
        <v>18750</v>
      </c>
      <c r="K34" s="2221">
        <v>25000</v>
      </c>
      <c r="L34" s="2221">
        <v>31250</v>
      </c>
      <c r="M34" s="2221">
        <v>37500</v>
      </c>
      <c r="N34" s="2221">
        <v>43750</v>
      </c>
      <c r="O34" s="2221">
        <v>50000</v>
      </c>
      <c r="P34" s="2221">
        <v>56250</v>
      </c>
      <c r="Q34" s="2221">
        <v>62500</v>
      </c>
      <c r="R34" s="2221">
        <v>68750</v>
      </c>
      <c r="S34" s="2221">
        <v>75000</v>
      </c>
      <c r="T34" s="2221">
        <v>81250</v>
      </c>
      <c r="U34" s="2221">
        <v>87500</v>
      </c>
      <c r="V34" s="2221">
        <v>93750</v>
      </c>
      <c r="W34" s="2221">
        <v>100000</v>
      </c>
      <c r="X34" s="2221">
        <v>100000</v>
      </c>
      <c r="Y34" s="2221">
        <v>100000</v>
      </c>
      <c r="Z34" s="2221">
        <v>100000</v>
      </c>
      <c r="AA34" s="2221">
        <v>100000</v>
      </c>
      <c r="AB34" s="2221">
        <v>100000</v>
      </c>
      <c r="AC34" s="2221">
        <v>100000</v>
      </c>
      <c r="AD34" s="2221">
        <v>100000</v>
      </c>
      <c r="AE34" s="2221">
        <v>100000</v>
      </c>
      <c r="AF34" s="2221">
        <v>100000</v>
      </c>
      <c r="AG34" s="2221">
        <v>100000</v>
      </c>
      <c r="AH34" s="2221">
        <v>100000</v>
      </c>
      <c r="AI34" s="2221">
        <v>100000</v>
      </c>
      <c r="AJ34" s="2221">
        <v>100000</v>
      </c>
      <c r="AK34" s="2221">
        <v>100000</v>
      </c>
      <c r="AL34" s="2221">
        <v>100000</v>
      </c>
      <c r="AM34" s="2221">
        <v>100000</v>
      </c>
      <c r="AN34" s="2221">
        <v>100000</v>
      </c>
      <c r="AO34" s="2221">
        <v>100000</v>
      </c>
      <c r="AP34" s="2221">
        <v>100000</v>
      </c>
      <c r="AQ34" s="2221">
        <v>100000</v>
      </c>
    </row>
    <row r="35" spans="1:43" x14ac:dyDescent="0.25">
      <c r="B35" s="2216"/>
      <c r="C35" s="2220">
        <v>3</v>
      </c>
      <c r="D35" s="2220" t="s">
        <v>1213</v>
      </c>
      <c r="E35" s="2220"/>
      <c r="F35" s="2215"/>
      <c r="G35" s="2221">
        <v>0</v>
      </c>
      <c r="H35" s="2221">
        <v>6250</v>
      </c>
      <c r="I35" s="2221">
        <v>12500</v>
      </c>
      <c r="J35" s="2221">
        <v>18750</v>
      </c>
      <c r="K35" s="2221">
        <v>25000</v>
      </c>
      <c r="L35" s="2221">
        <v>31250</v>
      </c>
      <c r="M35" s="2221">
        <v>37500</v>
      </c>
      <c r="N35" s="2221">
        <v>43750</v>
      </c>
      <c r="O35" s="2221">
        <v>50000</v>
      </c>
      <c r="P35" s="2221">
        <v>56250</v>
      </c>
      <c r="Q35" s="2221">
        <v>62500</v>
      </c>
      <c r="R35" s="2221">
        <v>68750</v>
      </c>
      <c r="S35" s="2221">
        <v>75000</v>
      </c>
      <c r="T35" s="2221">
        <v>81250</v>
      </c>
      <c r="U35" s="2221">
        <v>87500</v>
      </c>
      <c r="V35" s="2221">
        <v>93750</v>
      </c>
      <c r="W35" s="2221">
        <v>100000</v>
      </c>
      <c r="X35" s="2221">
        <v>102500</v>
      </c>
      <c r="Y35" s="2221">
        <v>105000</v>
      </c>
      <c r="Z35" s="2221">
        <v>107500</v>
      </c>
      <c r="AA35" s="2221">
        <v>110000</v>
      </c>
      <c r="AB35" s="2221">
        <v>112500</v>
      </c>
      <c r="AC35" s="2221">
        <v>115000</v>
      </c>
      <c r="AD35" s="2221">
        <v>117500</v>
      </c>
      <c r="AE35" s="2221">
        <v>120000</v>
      </c>
      <c r="AF35" s="2221">
        <v>122500</v>
      </c>
      <c r="AG35" s="2221">
        <v>125000</v>
      </c>
      <c r="AH35" s="2221">
        <v>127500</v>
      </c>
      <c r="AI35" s="2221">
        <v>130000</v>
      </c>
      <c r="AJ35" s="2221">
        <v>132500</v>
      </c>
      <c r="AK35" s="2221">
        <v>135000</v>
      </c>
      <c r="AL35" s="2221">
        <v>137500</v>
      </c>
      <c r="AM35" s="2221">
        <v>140000</v>
      </c>
      <c r="AN35" s="2221">
        <v>142500</v>
      </c>
      <c r="AO35" s="2221">
        <v>145000</v>
      </c>
      <c r="AP35" s="2221">
        <v>147500</v>
      </c>
      <c r="AQ35" s="2221">
        <v>150000</v>
      </c>
    </row>
    <row r="36" spans="1:43" x14ac:dyDescent="0.25">
      <c r="B36" s="2216"/>
      <c r="C36" s="2222">
        <v>4</v>
      </c>
      <c r="D36" s="2220" t="s">
        <v>1213</v>
      </c>
      <c r="E36" s="2220"/>
      <c r="F36" s="2232"/>
      <c r="G36" s="2221">
        <v>0</v>
      </c>
      <c r="H36" s="2221">
        <v>8333</v>
      </c>
      <c r="I36" s="2221">
        <v>16666</v>
      </c>
      <c r="J36" s="2221">
        <v>24999</v>
      </c>
      <c r="K36" s="2221">
        <v>33332</v>
      </c>
      <c r="L36" s="2221">
        <v>41665</v>
      </c>
      <c r="M36" s="2221">
        <v>50000</v>
      </c>
      <c r="N36" s="2221">
        <v>55000</v>
      </c>
      <c r="O36" s="2221">
        <v>60000</v>
      </c>
      <c r="P36" s="2221">
        <v>65000</v>
      </c>
      <c r="Q36" s="2221">
        <v>70000</v>
      </c>
      <c r="R36" s="2221">
        <v>75000</v>
      </c>
      <c r="S36" s="2221">
        <v>80000</v>
      </c>
      <c r="T36" s="2221">
        <v>85000</v>
      </c>
      <c r="U36" s="2221">
        <v>90000</v>
      </c>
      <c r="V36" s="2221">
        <v>95000</v>
      </c>
      <c r="W36" s="2221">
        <v>100000</v>
      </c>
      <c r="X36" s="2221">
        <v>105000</v>
      </c>
      <c r="Y36" s="2221">
        <v>110000</v>
      </c>
      <c r="Z36" s="2221">
        <v>115000</v>
      </c>
      <c r="AA36" s="2221">
        <v>120000</v>
      </c>
      <c r="AB36" s="2221">
        <v>125000</v>
      </c>
      <c r="AC36" s="2221">
        <v>130000</v>
      </c>
      <c r="AD36" s="2221">
        <v>135000</v>
      </c>
      <c r="AE36" s="2221">
        <v>140000</v>
      </c>
      <c r="AF36" s="2221">
        <v>145000</v>
      </c>
      <c r="AG36" s="2221">
        <v>150000</v>
      </c>
      <c r="AH36" s="2221">
        <v>155000</v>
      </c>
      <c r="AI36" s="2221">
        <v>160000</v>
      </c>
      <c r="AJ36" s="2221">
        <v>165000</v>
      </c>
      <c r="AK36" s="2221">
        <v>170000</v>
      </c>
      <c r="AL36" s="2221">
        <v>175000</v>
      </c>
      <c r="AM36" s="2221">
        <v>180000</v>
      </c>
      <c r="AN36" s="2221">
        <v>185000</v>
      </c>
      <c r="AO36" s="2221">
        <v>190000</v>
      </c>
      <c r="AP36" s="2221">
        <v>195000</v>
      </c>
      <c r="AQ36" s="2221">
        <v>200000</v>
      </c>
    </row>
    <row r="37" spans="1:43" x14ac:dyDescent="0.25">
      <c r="B37" s="2216"/>
      <c r="C37" s="2223" t="s">
        <v>1217</v>
      </c>
      <c r="D37" s="2233" t="s">
        <v>1213</v>
      </c>
      <c r="E37" s="2233"/>
      <c r="F37" s="2234"/>
      <c r="G37" s="2235" t="e">
        <f t="shared" ref="G37:AQ37" si="2">INDEX($G$33:$AQ$36,$G$8,MATCH(G32,$G$32:$AQ$32,0))</f>
        <v>#REF!</v>
      </c>
      <c r="H37" s="2236" t="e">
        <f t="shared" si="2"/>
        <v>#REF!</v>
      </c>
      <c r="I37" s="2236" t="e">
        <f t="shared" si="2"/>
        <v>#REF!</v>
      </c>
      <c r="J37" s="2236" t="e">
        <f t="shared" si="2"/>
        <v>#REF!</v>
      </c>
      <c r="K37" s="2236" t="e">
        <f t="shared" si="2"/>
        <v>#REF!</v>
      </c>
      <c r="L37" s="2236" t="e">
        <f t="shared" si="2"/>
        <v>#REF!</v>
      </c>
      <c r="M37" s="2236" t="e">
        <f t="shared" si="2"/>
        <v>#REF!</v>
      </c>
      <c r="N37" s="2236" t="e">
        <f t="shared" si="2"/>
        <v>#REF!</v>
      </c>
      <c r="O37" s="2236" t="e">
        <f t="shared" si="2"/>
        <v>#REF!</v>
      </c>
      <c r="P37" s="2236" t="e">
        <f t="shared" si="2"/>
        <v>#REF!</v>
      </c>
      <c r="Q37" s="2236" t="e">
        <f t="shared" si="2"/>
        <v>#REF!</v>
      </c>
      <c r="R37" s="2236" t="e">
        <f t="shared" si="2"/>
        <v>#REF!</v>
      </c>
      <c r="S37" s="2236" t="e">
        <f t="shared" si="2"/>
        <v>#REF!</v>
      </c>
      <c r="T37" s="2236" t="e">
        <f t="shared" si="2"/>
        <v>#REF!</v>
      </c>
      <c r="U37" s="2236" t="e">
        <f t="shared" si="2"/>
        <v>#REF!</v>
      </c>
      <c r="V37" s="2236" t="e">
        <f t="shared" si="2"/>
        <v>#REF!</v>
      </c>
      <c r="W37" s="2236" t="e">
        <f t="shared" si="2"/>
        <v>#REF!</v>
      </c>
      <c r="X37" s="2236" t="e">
        <f t="shared" si="2"/>
        <v>#REF!</v>
      </c>
      <c r="Y37" s="2236" t="e">
        <f t="shared" si="2"/>
        <v>#REF!</v>
      </c>
      <c r="Z37" s="2236" t="e">
        <f t="shared" si="2"/>
        <v>#REF!</v>
      </c>
      <c r="AA37" s="2236" t="e">
        <f t="shared" si="2"/>
        <v>#REF!</v>
      </c>
      <c r="AB37" s="2236" t="e">
        <f t="shared" si="2"/>
        <v>#REF!</v>
      </c>
      <c r="AC37" s="2236" t="e">
        <f t="shared" si="2"/>
        <v>#REF!</v>
      </c>
      <c r="AD37" s="2236" t="e">
        <f t="shared" si="2"/>
        <v>#REF!</v>
      </c>
      <c r="AE37" s="2236" t="e">
        <f t="shared" si="2"/>
        <v>#REF!</v>
      </c>
      <c r="AF37" s="2236" t="e">
        <f t="shared" si="2"/>
        <v>#REF!</v>
      </c>
      <c r="AG37" s="2236" t="e">
        <f t="shared" si="2"/>
        <v>#REF!</v>
      </c>
      <c r="AH37" s="2236" t="e">
        <f t="shared" si="2"/>
        <v>#REF!</v>
      </c>
      <c r="AI37" s="2236" t="e">
        <f t="shared" si="2"/>
        <v>#REF!</v>
      </c>
      <c r="AJ37" s="2236" t="e">
        <f t="shared" si="2"/>
        <v>#REF!</v>
      </c>
      <c r="AK37" s="2236" t="e">
        <f t="shared" si="2"/>
        <v>#REF!</v>
      </c>
      <c r="AL37" s="2236" t="e">
        <f t="shared" si="2"/>
        <v>#REF!</v>
      </c>
      <c r="AM37" s="2236" t="e">
        <f t="shared" si="2"/>
        <v>#REF!</v>
      </c>
      <c r="AN37" s="2236" t="e">
        <f t="shared" si="2"/>
        <v>#REF!</v>
      </c>
      <c r="AO37" s="2236" t="e">
        <f t="shared" si="2"/>
        <v>#REF!</v>
      </c>
      <c r="AP37" s="2236" t="e">
        <f t="shared" si="2"/>
        <v>#REF!</v>
      </c>
      <c r="AQ37" s="2236" t="e">
        <f t="shared" si="2"/>
        <v>#REF!</v>
      </c>
    </row>
    <row r="38" spans="1:43" x14ac:dyDescent="0.25">
      <c r="B38" s="2216"/>
      <c r="C38" s="2215"/>
      <c r="D38" s="2237"/>
      <c r="E38" s="2237"/>
      <c r="F38" s="2238"/>
      <c r="G38" s="2239"/>
      <c r="H38" s="2239"/>
      <c r="I38" s="2239"/>
      <c r="J38" s="2239"/>
      <c r="K38" s="2239"/>
      <c r="L38" s="2239"/>
      <c r="M38" s="2239"/>
      <c r="N38" s="2239"/>
      <c r="O38" s="2239"/>
      <c r="P38" s="2239"/>
      <c r="Q38" s="2239"/>
      <c r="R38" s="2239"/>
      <c r="S38" s="2239"/>
      <c r="T38" s="2239"/>
      <c r="U38" s="2239"/>
      <c r="V38" s="2239"/>
      <c r="W38" s="2239"/>
      <c r="X38" s="2239"/>
      <c r="Y38" s="2239"/>
      <c r="Z38" s="2239"/>
      <c r="AA38" s="2239"/>
      <c r="AB38" s="2239"/>
      <c r="AC38" s="2239"/>
      <c r="AD38" s="2239"/>
      <c r="AE38" s="2239"/>
      <c r="AF38" s="2239"/>
      <c r="AG38" s="2239"/>
      <c r="AH38" s="2239"/>
      <c r="AI38" s="2239"/>
      <c r="AJ38" s="2239"/>
      <c r="AK38" s="2239"/>
      <c r="AL38" s="2239"/>
      <c r="AM38" s="2239"/>
      <c r="AN38" s="2239"/>
      <c r="AO38" s="2239"/>
      <c r="AP38" s="2239"/>
      <c r="AQ38" s="2239"/>
    </row>
    <row r="39" spans="1:43" x14ac:dyDescent="0.25">
      <c r="B39" s="2216"/>
      <c r="C39" s="2215"/>
      <c r="D39" s="2240" t="s">
        <v>12</v>
      </c>
      <c r="E39" s="2241" t="s">
        <v>1221</v>
      </c>
      <c r="F39" s="2238"/>
      <c r="G39" s="2239"/>
      <c r="H39" s="2239"/>
      <c r="I39" s="2239"/>
      <c r="J39" s="2239"/>
      <c r="K39" s="2239"/>
      <c r="L39" s="2239"/>
      <c r="M39" s="2239"/>
      <c r="N39" s="2239"/>
      <c r="O39" s="2239"/>
      <c r="P39" s="2239"/>
      <c r="Q39" s="2239"/>
      <c r="R39" s="2239"/>
      <c r="S39" s="2239"/>
      <c r="T39" s="2239"/>
      <c r="U39" s="2239"/>
      <c r="V39" s="2239"/>
      <c r="W39" s="2239"/>
      <c r="X39" s="2239"/>
      <c r="Y39" s="2239"/>
      <c r="Z39" s="2239"/>
      <c r="AA39" s="2239"/>
      <c r="AB39" s="2239"/>
      <c r="AC39" s="2239"/>
      <c r="AD39" s="2239"/>
      <c r="AE39" s="2239"/>
      <c r="AF39" s="2239"/>
      <c r="AG39" s="2239"/>
      <c r="AH39" s="2239"/>
      <c r="AI39" s="2239"/>
      <c r="AJ39" s="2239"/>
      <c r="AK39" s="2239"/>
      <c r="AL39" s="2239"/>
      <c r="AM39" s="2239"/>
      <c r="AN39" s="2239"/>
      <c r="AO39" s="2239"/>
      <c r="AP39" s="2239"/>
      <c r="AQ39" s="2239"/>
    </row>
    <row r="40" spans="1:43" x14ac:dyDescent="0.25">
      <c r="B40" s="2216"/>
      <c r="C40" s="2215"/>
      <c r="D40" s="2240" t="s">
        <v>133</v>
      </c>
      <c r="E40" s="2241" t="s">
        <v>1222</v>
      </c>
      <c r="F40" s="2238"/>
      <c r="G40" s="2239"/>
      <c r="H40" s="2239"/>
      <c r="I40" s="2239"/>
      <c r="J40" s="2239"/>
      <c r="K40" s="2239"/>
      <c r="L40" s="2239"/>
      <c r="M40" s="2239"/>
      <c r="N40" s="2239"/>
      <c r="O40" s="2239"/>
      <c r="P40" s="2239"/>
      <c r="Q40" s="2239"/>
      <c r="R40" s="2239"/>
      <c r="S40" s="2239"/>
      <c r="T40" s="2239"/>
      <c r="U40" s="2239"/>
      <c r="V40" s="2239"/>
      <c r="W40" s="2239"/>
      <c r="X40" s="2239"/>
      <c r="Y40" s="2239"/>
      <c r="Z40" s="2239"/>
      <c r="AA40" s="2239"/>
      <c r="AB40" s="2239"/>
      <c r="AC40" s="2239"/>
      <c r="AD40" s="2239"/>
      <c r="AE40" s="2239"/>
      <c r="AF40" s="2239"/>
      <c r="AG40" s="2239"/>
      <c r="AH40" s="2239"/>
      <c r="AI40" s="2239"/>
      <c r="AJ40" s="2239"/>
      <c r="AK40" s="2239"/>
      <c r="AL40" s="2239"/>
      <c r="AM40" s="2239"/>
      <c r="AN40" s="2239"/>
      <c r="AO40" s="2239"/>
      <c r="AP40" s="2239"/>
      <c r="AQ40" s="2239"/>
    </row>
    <row r="41" spans="1:43" ht="15.75" x14ac:dyDescent="0.25">
      <c r="B41" s="2212" t="s">
        <v>1048</v>
      </c>
      <c r="C41" s="2213"/>
      <c r="D41" s="2213"/>
      <c r="E41" s="2213"/>
      <c r="F41" s="2213"/>
      <c r="G41" s="2213"/>
      <c r="H41" s="2213"/>
      <c r="I41" s="2213"/>
      <c r="J41" s="2213"/>
      <c r="K41" s="2213"/>
      <c r="L41" s="2213"/>
      <c r="M41" s="2213"/>
      <c r="N41" s="2213"/>
      <c r="O41" s="2213"/>
      <c r="P41" s="2213"/>
      <c r="Q41" s="2213"/>
      <c r="R41" s="2213"/>
      <c r="S41" s="2213"/>
      <c r="T41" s="2213"/>
      <c r="U41" s="2213"/>
      <c r="V41" s="2213"/>
      <c r="W41" s="2213"/>
      <c r="X41" s="2213"/>
      <c r="Y41" s="2213"/>
      <c r="Z41" s="2213"/>
      <c r="AA41" s="2213"/>
      <c r="AB41" s="2213"/>
      <c r="AC41" s="2213"/>
      <c r="AD41" s="2213"/>
      <c r="AE41" s="2213"/>
      <c r="AF41" s="2213"/>
      <c r="AG41" s="2213"/>
      <c r="AH41" s="2213"/>
      <c r="AI41" s="2213"/>
      <c r="AJ41" s="2213"/>
      <c r="AK41" s="2213"/>
      <c r="AL41" s="2213"/>
      <c r="AM41" s="2213"/>
      <c r="AN41" s="2213"/>
      <c r="AO41" s="2213"/>
      <c r="AP41" s="2213"/>
      <c r="AQ41" s="2213"/>
    </row>
    <row r="42" spans="1:43" x14ac:dyDescent="0.25">
      <c r="B42" s="2242"/>
      <c r="C42" s="2242"/>
      <c r="D42" s="2242"/>
      <c r="E42" s="2242"/>
      <c r="F42" s="2242"/>
      <c r="G42" s="2242"/>
      <c r="H42" s="2242"/>
      <c r="I42" s="2242"/>
      <c r="J42" s="2242"/>
      <c r="K42" s="2242"/>
      <c r="L42" s="2242"/>
      <c r="M42" s="2242"/>
      <c r="N42" s="2242"/>
      <c r="O42" s="2242"/>
      <c r="P42" s="2242"/>
      <c r="Q42" s="2242"/>
      <c r="R42" s="2242"/>
      <c r="S42" s="2242"/>
      <c r="T42" s="2242"/>
      <c r="U42" s="2242"/>
      <c r="V42" s="2242"/>
      <c r="W42" s="2242"/>
      <c r="X42" s="2242"/>
      <c r="Y42" s="2242"/>
      <c r="Z42" s="2242"/>
      <c r="AA42" s="2242"/>
      <c r="AB42" s="2242"/>
      <c r="AC42" s="2242"/>
      <c r="AD42" s="2242"/>
      <c r="AE42" s="2242"/>
      <c r="AF42" s="2242"/>
      <c r="AG42" s="2242"/>
      <c r="AH42" s="2242"/>
      <c r="AI42" s="2242"/>
      <c r="AJ42" s="2242"/>
      <c r="AK42" s="2242"/>
      <c r="AL42" s="2242"/>
      <c r="AM42" s="2242"/>
      <c r="AN42" s="2242"/>
      <c r="AO42" s="2242"/>
      <c r="AP42" s="2242"/>
      <c r="AQ42" s="2242"/>
    </row>
    <row r="43" spans="1:43" s="2243" customFormat="1" x14ac:dyDescent="0.25">
      <c r="A43" s="2198"/>
      <c r="B43" s="2216"/>
      <c r="C43" s="2218" t="s">
        <v>1223</v>
      </c>
      <c r="D43" s="2218"/>
      <c r="E43" s="2218"/>
      <c r="F43" s="2218"/>
      <c r="G43" s="2218"/>
      <c r="H43" s="2218"/>
      <c r="I43" s="2218"/>
      <c r="J43" s="2218"/>
      <c r="K43" s="2218"/>
      <c r="L43" s="2218"/>
      <c r="M43" s="2218"/>
      <c r="N43" s="2218"/>
      <c r="O43" s="2218"/>
      <c r="P43" s="2218"/>
      <c r="Q43" s="2218"/>
      <c r="R43" s="2218"/>
      <c r="S43" s="2218"/>
      <c r="T43" s="2218"/>
      <c r="U43" s="2218"/>
      <c r="V43" s="2218"/>
      <c r="W43" s="2218"/>
      <c r="X43" s="2218"/>
      <c r="Y43" s="2218"/>
      <c r="Z43" s="2218"/>
      <c r="AA43" s="2218"/>
      <c r="AB43" s="2218"/>
      <c r="AC43" s="2218"/>
      <c r="AD43" s="2218"/>
      <c r="AE43" s="2218"/>
      <c r="AF43" s="2218"/>
      <c r="AG43" s="2218"/>
      <c r="AH43" s="2218"/>
      <c r="AI43" s="2218"/>
      <c r="AJ43" s="2218"/>
      <c r="AK43" s="2218"/>
      <c r="AL43" s="2218"/>
      <c r="AM43" s="2218"/>
      <c r="AN43" s="2218"/>
      <c r="AO43" s="2218"/>
      <c r="AP43" s="2218"/>
      <c r="AQ43" s="2218"/>
    </row>
    <row r="44" spans="1:43" s="2243" customFormat="1" x14ac:dyDescent="0.25">
      <c r="A44" s="2198"/>
      <c r="B44" s="2216"/>
      <c r="C44" s="2227"/>
      <c r="D44" s="2219" t="s">
        <v>1029</v>
      </c>
      <c r="E44" s="2219" t="s">
        <v>8</v>
      </c>
      <c r="F44" s="2219"/>
      <c r="G44" s="2219">
        <v>2014</v>
      </c>
      <c r="H44" s="2219">
        <v>2015</v>
      </c>
      <c r="I44" s="2219">
        <v>2016</v>
      </c>
      <c r="J44" s="2219">
        <v>2017</v>
      </c>
      <c r="K44" s="2219">
        <v>2018</v>
      </c>
      <c r="L44" s="2219">
        <v>2019</v>
      </c>
      <c r="M44" s="2219">
        <v>2020</v>
      </c>
      <c r="N44" s="2219">
        <v>2021</v>
      </c>
      <c r="O44" s="2219">
        <v>2022</v>
      </c>
      <c r="P44" s="2219">
        <v>2023</v>
      </c>
      <c r="Q44" s="2219">
        <v>2024</v>
      </c>
      <c r="R44" s="2219">
        <v>2025</v>
      </c>
      <c r="S44" s="2219">
        <v>2026</v>
      </c>
      <c r="T44" s="2219">
        <v>2027</v>
      </c>
      <c r="U44" s="2219">
        <v>2028</v>
      </c>
      <c r="V44" s="2219">
        <v>2029</v>
      </c>
      <c r="W44" s="2219">
        <v>2030</v>
      </c>
      <c r="X44" s="2219">
        <v>2031</v>
      </c>
      <c r="Y44" s="2219">
        <v>2032</v>
      </c>
      <c r="Z44" s="2219">
        <v>2033</v>
      </c>
      <c r="AA44" s="2219">
        <v>2034</v>
      </c>
      <c r="AB44" s="2219">
        <v>2035</v>
      </c>
      <c r="AC44" s="2219">
        <v>2036</v>
      </c>
      <c r="AD44" s="2219">
        <v>2037</v>
      </c>
      <c r="AE44" s="2219">
        <v>2038</v>
      </c>
      <c r="AF44" s="2219">
        <v>2039</v>
      </c>
      <c r="AG44" s="2219">
        <v>2040</v>
      </c>
      <c r="AH44" s="2219">
        <v>2041</v>
      </c>
      <c r="AI44" s="2219">
        <v>2042</v>
      </c>
      <c r="AJ44" s="2219">
        <v>2043</v>
      </c>
      <c r="AK44" s="2219">
        <v>2044</v>
      </c>
      <c r="AL44" s="2219">
        <v>2045</v>
      </c>
      <c r="AM44" s="2219">
        <v>2046</v>
      </c>
      <c r="AN44" s="2219">
        <v>2047</v>
      </c>
      <c r="AO44" s="2219">
        <v>2048</v>
      </c>
      <c r="AP44" s="2219">
        <v>2049</v>
      </c>
      <c r="AQ44" s="2219">
        <v>2050</v>
      </c>
    </row>
    <row r="45" spans="1:43" s="2243" customFormat="1" x14ac:dyDescent="0.25">
      <c r="A45" s="2198"/>
      <c r="B45" s="2216"/>
      <c r="C45" s="2244" t="s">
        <v>1224</v>
      </c>
      <c r="D45" s="2220" t="s">
        <v>1225</v>
      </c>
      <c r="E45" s="2220" t="s">
        <v>12</v>
      </c>
      <c r="F45" s="2215"/>
      <c r="G45" s="2245">
        <f>6062522+2788718</f>
        <v>8851240</v>
      </c>
      <c r="H45" s="2245">
        <f>6062522+2788718</f>
        <v>8851240</v>
      </c>
      <c r="I45" s="2245">
        <f t="shared" ref="I45:AQ45" si="3">6062522+2788718</f>
        <v>8851240</v>
      </c>
      <c r="J45" s="2245">
        <f t="shared" si="3"/>
        <v>8851240</v>
      </c>
      <c r="K45" s="2245">
        <f t="shared" si="3"/>
        <v>8851240</v>
      </c>
      <c r="L45" s="2245">
        <f t="shared" si="3"/>
        <v>8851240</v>
      </c>
      <c r="M45" s="2245">
        <f t="shared" si="3"/>
        <v>8851240</v>
      </c>
      <c r="N45" s="2245">
        <f t="shared" si="3"/>
        <v>8851240</v>
      </c>
      <c r="O45" s="2245">
        <f t="shared" si="3"/>
        <v>8851240</v>
      </c>
      <c r="P45" s="2245">
        <f t="shared" si="3"/>
        <v>8851240</v>
      </c>
      <c r="Q45" s="2245">
        <f t="shared" si="3"/>
        <v>8851240</v>
      </c>
      <c r="R45" s="2245">
        <f t="shared" si="3"/>
        <v>8851240</v>
      </c>
      <c r="S45" s="2245">
        <f t="shared" si="3"/>
        <v>8851240</v>
      </c>
      <c r="T45" s="2245">
        <f t="shared" si="3"/>
        <v>8851240</v>
      </c>
      <c r="U45" s="2245">
        <f t="shared" si="3"/>
        <v>8851240</v>
      </c>
      <c r="V45" s="2245">
        <f t="shared" si="3"/>
        <v>8851240</v>
      </c>
      <c r="W45" s="2245">
        <f t="shared" si="3"/>
        <v>8851240</v>
      </c>
      <c r="X45" s="2245">
        <f t="shared" si="3"/>
        <v>8851240</v>
      </c>
      <c r="Y45" s="2245">
        <f t="shared" si="3"/>
        <v>8851240</v>
      </c>
      <c r="Z45" s="2245">
        <f t="shared" si="3"/>
        <v>8851240</v>
      </c>
      <c r="AA45" s="2245">
        <f t="shared" si="3"/>
        <v>8851240</v>
      </c>
      <c r="AB45" s="2245">
        <f t="shared" si="3"/>
        <v>8851240</v>
      </c>
      <c r="AC45" s="2245">
        <f t="shared" si="3"/>
        <v>8851240</v>
      </c>
      <c r="AD45" s="2245">
        <f t="shared" si="3"/>
        <v>8851240</v>
      </c>
      <c r="AE45" s="2245">
        <f t="shared" si="3"/>
        <v>8851240</v>
      </c>
      <c r="AF45" s="2245">
        <f t="shared" si="3"/>
        <v>8851240</v>
      </c>
      <c r="AG45" s="2245">
        <f t="shared" si="3"/>
        <v>8851240</v>
      </c>
      <c r="AH45" s="2245">
        <f t="shared" si="3"/>
        <v>8851240</v>
      </c>
      <c r="AI45" s="2245">
        <f t="shared" si="3"/>
        <v>8851240</v>
      </c>
      <c r="AJ45" s="2245">
        <f t="shared" si="3"/>
        <v>8851240</v>
      </c>
      <c r="AK45" s="2245">
        <f t="shared" si="3"/>
        <v>8851240</v>
      </c>
      <c r="AL45" s="2245">
        <f t="shared" si="3"/>
        <v>8851240</v>
      </c>
      <c r="AM45" s="2245">
        <f t="shared" si="3"/>
        <v>8851240</v>
      </c>
      <c r="AN45" s="2245">
        <f t="shared" si="3"/>
        <v>8851240</v>
      </c>
      <c r="AO45" s="2245">
        <f t="shared" si="3"/>
        <v>8851240</v>
      </c>
      <c r="AP45" s="2245">
        <f t="shared" si="3"/>
        <v>8851240</v>
      </c>
      <c r="AQ45" s="2245">
        <f t="shared" si="3"/>
        <v>8851240</v>
      </c>
    </row>
    <row r="46" spans="1:43" s="2243" customFormat="1" x14ac:dyDescent="0.25">
      <c r="A46" s="2198"/>
      <c r="B46" s="2216"/>
      <c r="C46" s="2244" t="s">
        <v>1226</v>
      </c>
      <c r="D46" s="2220" t="s">
        <v>1225</v>
      </c>
      <c r="E46" s="2220" t="s">
        <v>133</v>
      </c>
      <c r="F46" s="2215"/>
      <c r="G46" s="2245">
        <v>4002033.9610648849</v>
      </c>
      <c r="H46" s="2245">
        <v>3997643.3225997752</v>
      </c>
      <c r="I46" s="2245">
        <v>3993076.8076052694</v>
      </c>
      <c r="J46" s="2245">
        <v>3988221.5197195695</v>
      </c>
      <c r="K46" s="2245">
        <v>3982916.3683245876</v>
      </c>
      <c r="L46" s="2245">
        <v>3978039.7152335257</v>
      </c>
      <c r="M46" s="2245">
        <v>3973540.9254737031</v>
      </c>
      <c r="N46" s="2245">
        <v>3968553.4181967378</v>
      </c>
      <c r="O46" s="2245">
        <v>3963321.8998140637</v>
      </c>
      <c r="P46" s="2245">
        <v>3957656.4729449372</v>
      </c>
      <c r="Q46" s="2245">
        <v>3950081.2968305661</v>
      </c>
      <c r="R46" s="2245">
        <v>3941742.6820926396</v>
      </c>
      <c r="S46" s="2245">
        <v>3934394.1574760601</v>
      </c>
      <c r="T46" s="2245">
        <v>3927185.7169600548</v>
      </c>
      <c r="U46" s="2245">
        <v>3920186.9199898276</v>
      </c>
      <c r="V46" s="2245">
        <v>3913096.294101424</v>
      </c>
      <c r="W46" s="2245">
        <v>3905714.3022213029</v>
      </c>
      <c r="X46" s="2245">
        <v>3897950.9748990946</v>
      </c>
      <c r="Y46" s="2245">
        <v>3889555.6270007319</v>
      </c>
      <c r="Z46" s="2245">
        <v>3880843.445021051</v>
      </c>
      <c r="AA46" s="2245">
        <v>3870693.9237652021</v>
      </c>
      <c r="AB46" s="2245">
        <v>3859841.1522215386</v>
      </c>
      <c r="AC46" s="2245">
        <v>3848197.3478916283</v>
      </c>
      <c r="AD46" s="2245">
        <v>3835872.4446790712</v>
      </c>
      <c r="AE46" s="2245">
        <v>3822610.3458964117</v>
      </c>
      <c r="AF46" s="2245">
        <v>3808662.6425501178</v>
      </c>
      <c r="AG46" s="2245">
        <v>3794825.5869294275</v>
      </c>
      <c r="AH46" s="2245">
        <v>3780785.3738996414</v>
      </c>
      <c r="AI46" s="2245">
        <v>3766746.6062430935</v>
      </c>
      <c r="AJ46" s="2245">
        <v>3752439.3926983313</v>
      </c>
      <c r="AK46" s="2245">
        <v>3737500.6387404436</v>
      </c>
      <c r="AL46" s="2245">
        <v>3721926.3707014192</v>
      </c>
      <c r="AM46" s="2245">
        <v>3705115.1692781863</v>
      </c>
      <c r="AN46" s="2245">
        <v>3687870.6610622108</v>
      </c>
      <c r="AO46" s="2245">
        <v>3669160.0177691937</v>
      </c>
      <c r="AP46" s="2245">
        <v>3650386.9135996397</v>
      </c>
      <c r="AQ46" s="2245">
        <v>3631064.1961790281</v>
      </c>
    </row>
    <row r="47" spans="1:43" s="2243" customFormat="1" x14ac:dyDescent="0.25">
      <c r="A47" s="2198"/>
      <c r="B47" s="2216"/>
      <c r="C47" s="2244" t="s">
        <v>1227</v>
      </c>
      <c r="D47" s="2220" t="s">
        <v>1225</v>
      </c>
      <c r="E47" s="2246" t="s">
        <v>136</v>
      </c>
      <c r="F47" s="2215"/>
      <c r="G47" s="2245">
        <v>434047.7045357629</v>
      </c>
      <c r="H47" s="2245">
        <v>434047.7045357629</v>
      </c>
      <c r="I47" s="2245">
        <v>434047.7045357629</v>
      </c>
      <c r="J47" s="2245">
        <v>434047.7045357629</v>
      </c>
      <c r="K47" s="2245">
        <v>434047.7045357629</v>
      </c>
      <c r="L47" s="2245">
        <v>434047.7045357629</v>
      </c>
      <c r="M47" s="2245">
        <v>434047.7045357629</v>
      </c>
      <c r="N47" s="2245">
        <v>434047.7045357629</v>
      </c>
      <c r="O47" s="2245">
        <v>434047.7045357629</v>
      </c>
      <c r="P47" s="2245">
        <v>434047.7045357629</v>
      </c>
      <c r="Q47" s="2245">
        <v>434047.7045357629</v>
      </c>
      <c r="R47" s="2245">
        <v>434047.7045357629</v>
      </c>
      <c r="S47" s="2245">
        <v>434047.7045357629</v>
      </c>
      <c r="T47" s="2245">
        <v>434047.7045357629</v>
      </c>
      <c r="U47" s="2245">
        <v>434047.7045357629</v>
      </c>
      <c r="V47" s="2245">
        <v>434047.7045357629</v>
      </c>
      <c r="W47" s="2245">
        <v>434047.7045357629</v>
      </c>
      <c r="X47" s="2245">
        <v>434047.7045357629</v>
      </c>
      <c r="Y47" s="2245">
        <v>434047.7045357629</v>
      </c>
      <c r="Z47" s="2245">
        <v>434047.7045357629</v>
      </c>
      <c r="AA47" s="2245">
        <v>434047.7045357629</v>
      </c>
      <c r="AB47" s="2245">
        <v>434047.7045357629</v>
      </c>
      <c r="AC47" s="2245">
        <v>434047.7045357629</v>
      </c>
      <c r="AD47" s="2245">
        <v>434047.7045357629</v>
      </c>
      <c r="AE47" s="2245">
        <v>434047.7045357629</v>
      </c>
      <c r="AF47" s="2245">
        <v>434047.7045357629</v>
      </c>
      <c r="AG47" s="2245">
        <v>434047.7045357629</v>
      </c>
      <c r="AH47" s="2245">
        <v>434047.7045357629</v>
      </c>
      <c r="AI47" s="2245">
        <v>434047.7045357629</v>
      </c>
      <c r="AJ47" s="2245">
        <v>434047.7045357629</v>
      </c>
      <c r="AK47" s="2245">
        <v>434047.7045357629</v>
      </c>
      <c r="AL47" s="2245">
        <v>434047.7045357629</v>
      </c>
      <c r="AM47" s="2245">
        <v>434047.7045357629</v>
      </c>
      <c r="AN47" s="2245">
        <v>434047.7045357629</v>
      </c>
      <c r="AO47" s="2245">
        <v>434047.7045357629</v>
      </c>
      <c r="AP47" s="2245">
        <v>434047.7045357629</v>
      </c>
      <c r="AQ47" s="2245">
        <v>434047.7045357629</v>
      </c>
    </row>
    <row r="48" spans="1:43" s="2243" customFormat="1" x14ac:dyDescent="0.25">
      <c r="A48" s="2198"/>
      <c r="B48" s="2216"/>
      <c r="C48" s="2244" t="s">
        <v>1228</v>
      </c>
      <c r="D48" s="2220" t="s">
        <v>1225</v>
      </c>
      <c r="E48" s="2246" t="s">
        <v>136</v>
      </c>
      <c r="F48" s="2215"/>
      <c r="G48" s="2245">
        <v>23166.400000000001</v>
      </c>
      <c r="H48" s="2245">
        <v>23166.400000000001</v>
      </c>
      <c r="I48" s="2245">
        <v>23166.400000000001</v>
      </c>
      <c r="J48" s="2245">
        <v>23166.400000000001</v>
      </c>
      <c r="K48" s="2245">
        <v>23166.400000000001</v>
      </c>
      <c r="L48" s="2245">
        <v>23166.400000000001</v>
      </c>
      <c r="M48" s="2245">
        <v>23166.400000000001</v>
      </c>
      <c r="N48" s="2245">
        <v>23166.400000000001</v>
      </c>
      <c r="O48" s="2245">
        <v>23166.400000000001</v>
      </c>
      <c r="P48" s="2245">
        <v>23166.400000000001</v>
      </c>
      <c r="Q48" s="2245">
        <v>23166.400000000001</v>
      </c>
      <c r="R48" s="2245">
        <v>23166.400000000001</v>
      </c>
      <c r="S48" s="2245">
        <v>23166.400000000001</v>
      </c>
      <c r="T48" s="2245">
        <v>23166.400000000001</v>
      </c>
      <c r="U48" s="2245">
        <v>23166.400000000001</v>
      </c>
      <c r="V48" s="2245">
        <v>23166.400000000001</v>
      </c>
      <c r="W48" s="2245">
        <v>23166.400000000001</v>
      </c>
      <c r="X48" s="2245">
        <v>23166.400000000001</v>
      </c>
      <c r="Y48" s="2245">
        <v>23166.400000000001</v>
      </c>
      <c r="Z48" s="2245">
        <v>23166.400000000001</v>
      </c>
      <c r="AA48" s="2245">
        <v>23166.400000000001</v>
      </c>
      <c r="AB48" s="2245">
        <v>23166.400000000001</v>
      </c>
      <c r="AC48" s="2245">
        <v>23166.400000000001</v>
      </c>
      <c r="AD48" s="2245">
        <v>23166.400000000001</v>
      </c>
      <c r="AE48" s="2245">
        <v>23166.400000000001</v>
      </c>
      <c r="AF48" s="2245">
        <v>23166.400000000001</v>
      </c>
      <c r="AG48" s="2245">
        <v>23166.400000000001</v>
      </c>
      <c r="AH48" s="2245">
        <v>23166.400000000001</v>
      </c>
      <c r="AI48" s="2245">
        <v>23166.400000000001</v>
      </c>
      <c r="AJ48" s="2245">
        <v>23166.400000000001</v>
      </c>
      <c r="AK48" s="2245">
        <v>23166.400000000001</v>
      </c>
      <c r="AL48" s="2245">
        <v>23166.400000000001</v>
      </c>
      <c r="AM48" s="2245">
        <v>23166.400000000001</v>
      </c>
      <c r="AN48" s="2245">
        <v>23166.400000000001</v>
      </c>
      <c r="AO48" s="2245">
        <v>23166.400000000001</v>
      </c>
      <c r="AP48" s="2245">
        <v>23166.400000000001</v>
      </c>
      <c r="AQ48" s="2245">
        <v>23166.400000000001</v>
      </c>
    </row>
    <row r="49" spans="1:43" s="2243" customFormat="1" x14ac:dyDescent="0.25">
      <c r="A49" s="2198"/>
      <c r="B49" s="2216"/>
      <c r="C49" s="2244" t="s">
        <v>1229</v>
      </c>
      <c r="D49" s="2220" t="s">
        <v>1225</v>
      </c>
      <c r="E49" s="2246" t="s">
        <v>136</v>
      </c>
      <c r="F49" s="2215"/>
      <c r="G49" s="2245">
        <v>9734.7899999999991</v>
      </c>
      <c r="H49" s="2245">
        <v>9734.7899999999991</v>
      </c>
      <c r="I49" s="2245">
        <v>9734.7899999999991</v>
      </c>
      <c r="J49" s="2245">
        <v>9734.7899999999991</v>
      </c>
      <c r="K49" s="2245">
        <v>9734.7899999999991</v>
      </c>
      <c r="L49" s="2245">
        <v>9734.7899999999991</v>
      </c>
      <c r="M49" s="2245">
        <v>9734.7899999999991</v>
      </c>
      <c r="N49" s="2245">
        <v>9734.7899999999991</v>
      </c>
      <c r="O49" s="2245">
        <v>9734.7899999999991</v>
      </c>
      <c r="P49" s="2245">
        <v>9734.7899999999991</v>
      </c>
      <c r="Q49" s="2245">
        <v>9734.7899999999991</v>
      </c>
      <c r="R49" s="2245">
        <v>9734.7899999999991</v>
      </c>
      <c r="S49" s="2245">
        <v>9734.7899999999991</v>
      </c>
      <c r="T49" s="2245">
        <v>9734.7899999999991</v>
      </c>
      <c r="U49" s="2245">
        <v>9734.7899999999991</v>
      </c>
      <c r="V49" s="2245">
        <v>9734.7899999999991</v>
      </c>
      <c r="W49" s="2245">
        <v>9734.7899999999991</v>
      </c>
      <c r="X49" s="2245">
        <v>9734.7899999999991</v>
      </c>
      <c r="Y49" s="2245">
        <v>9734.7899999999991</v>
      </c>
      <c r="Z49" s="2245">
        <v>9734.7899999999991</v>
      </c>
      <c r="AA49" s="2245">
        <v>9734.7899999999991</v>
      </c>
      <c r="AB49" s="2245">
        <v>9734.7899999999991</v>
      </c>
      <c r="AC49" s="2245">
        <v>9734.7899999999991</v>
      </c>
      <c r="AD49" s="2245">
        <v>9734.7899999999991</v>
      </c>
      <c r="AE49" s="2245">
        <v>9734.7899999999991</v>
      </c>
      <c r="AF49" s="2245">
        <v>9734.7899999999991</v>
      </c>
      <c r="AG49" s="2245">
        <v>9734.7899999999991</v>
      </c>
      <c r="AH49" s="2245">
        <v>9734.7899999999991</v>
      </c>
      <c r="AI49" s="2245">
        <v>9734.7899999999991</v>
      </c>
      <c r="AJ49" s="2245">
        <v>9734.7899999999991</v>
      </c>
      <c r="AK49" s="2245">
        <v>9734.7899999999991</v>
      </c>
      <c r="AL49" s="2245">
        <v>9734.7899999999991</v>
      </c>
      <c r="AM49" s="2245">
        <v>9734.7899999999991</v>
      </c>
      <c r="AN49" s="2245">
        <v>9734.7899999999991</v>
      </c>
      <c r="AO49" s="2245">
        <v>9734.7899999999991</v>
      </c>
      <c r="AP49" s="2245">
        <v>9734.7899999999991</v>
      </c>
      <c r="AQ49" s="2245">
        <v>9734.7899999999991</v>
      </c>
    </row>
    <row r="50" spans="1:43" s="2243" customFormat="1" x14ac:dyDescent="0.25">
      <c r="A50" s="2198"/>
      <c r="B50" s="2216"/>
      <c r="C50" s="2247" t="s">
        <v>1230</v>
      </c>
      <c r="D50" s="2222" t="s">
        <v>1231</v>
      </c>
      <c r="E50" s="2222" t="s">
        <v>133</v>
      </c>
      <c r="F50" s="2248"/>
      <c r="G50" s="2249">
        <v>7972461</v>
      </c>
      <c r="H50" s="2249">
        <v>7972461</v>
      </c>
      <c r="I50" s="2249">
        <v>7972461</v>
      </c>
      <c r="J50" s="2249">
        <v>7972461</v>
      </c>
      <c r="K50" s="2249">
        <v>7972461</v>
      </c>
      <c r="L50" s="2249">
        <v>7972461</v>
      </c>
      <c r="M50" s="2249">
        <v>7972461</v>
      </c>
      <c r="N50" s="2249">
        <v>7972461</v>
      </c>
      <c r="O50" s="2249">
        <v>7972461</v>
      </c>
      <c r="P50" s="2249">
        <v>7972461</v>
      </c>
      <c r="Q50" s="2249">
        <v>7972461</v>
      </c>
      <c r="R50" s="2249">
        <v>7972461</v>
      </c>
      <c r="S50" s="2249">
        <v>7972461</v>
      </c>
      <c r="T50" s="2249">
        <v>7972461</v>
      </c>
      <c r="U50" s="2249">
        <v>7972461</v>
      </c>
      <c r="V50" s="2249">
        <v>7972461</v>
      </c>
      <c r="W50" s="2249">
        <v>7972461</v>
      </c>
      <c r="X50" s="2249">
        <v>7972461</v>
      </c>
      <c r="Y50" s="2249">
        <v>7972461</v>
      </c>
      <c r="Z50" s="2249">
        <v>7972461</v>
      </c>
      <c r="AA50" s="2249">
        <v>7972461</v>
      </c>
      <c r="AB50" s="2249">
        <v>7972461</v>
      </c>
      <c r="AC50" s="2249">
        <v>7972461</v>
      </c>
      <c r="AD50" s="2249">
        <v>7972461</v>
      </c>
      <c r="AE50" s="2249">
        <v>7972461</v>
      </c>
      <c r="AF50" s="2249">
        <v>7972461</v>
      </c>
      <c r="AG50" s="2249">
        <v>7972461</v>
      </c>
      <c r="AH50" s="2249">
        <v>7972461</v>
      </c>
      <c r="AI50" s="2249">
        <v>7972461</v>
      </c>
      <c r="AJ50" s="2249">
        <v>7972461</v>
      </c>
      <c r="AK50" s="2249">
        <v>7972461</v>
      </c>
      <c r="AL50" s="2249">
        <v>7972461</v>
      </c>
      <c r="AM50" s="2249">
        <v>7972461</v>
      </c>
      <c r="AN50" s="2249">
        <v>7972461</v>
      </c>
      <c r="AO50" s="2249">
        <v>7972461</v>
      </c>
      <c r="AP50" s="2249">
        <v>7972461</v>
      </c>
      <c r="AQ50" s="2249">
        <v>7972461</v>
      </c>
    </row>
    <row r="51" spans="1:43" x14ac:dyDescent="0.25">
      <c r="B51" s="2216"/>
      <c r="C51" s="2242"/>
      <c r="D51" s="2242"/>
      <c r="E51" s="2242"/>
      <c r="F51" s="2242"/>
      <c r="G51" s="2242"/>
      <c r="H51" s="2242"/>
      <c r="I51" s="2242"/>
      <c r="J51" s="2242"/>
      <c r="K51" s="2242"/>
      <c r="L51" s="2242"/>
      <c r="M51" s="2242"/>
      <c r="N51" s="2242"/>
      <c r="O51" s="2242"/>
      <c r="P51" s="2242"/>
      <c r="Q51" s="2242"/>
      <c r="R51" s="2242"/>
      <c r="S51" s="2242"/>
      <c r="T51" s="2242"/>
      <c r="U51" s="2242"/>
      <c r="V51" s="2242"/>
      <c r="W51" s="2242"/>
      <c r="X51" s="2242"/>
      <c r="Y51" s="2242"/>
      <c r="Z51" s="2242"/>
      <c r="AA51" s="2242"/>
      <c r="AB51" s="2242"/>
      <c r="AC51" s="2242"/>
      <c r="AD51" s="2242"/>
      <c r="AE51" s="2242"/>
      <c r="AF51" s="2242"/>
      <c r="AG51" s="2242"/>
      <c r="AH51" s="2242"/>
      <c r="AI51" s="2242"/>
      <c r="AJ51" s="2242"/>
      <c r="AK51" s="2242"/>
      <c r="AL51" s="2242"/>
      <c r="AM51" s="2242"/>
      <c r="AN51" s="2242"/>
      <c r="AO51" s="2242"/>
      <c r="AP51" s="2242"/>
      <c r="AQ51" s="2242"/>
    </row>
    <row r="52" spans="1:43" x14ac:dyDescent="0.25">
      <c r="B52" s="2216"/>
      <c r="C52" s="2218" t="s">
        <v>1232</v>
      </c>
      <c r="D52" s="2218"/>
      <c r="E52" s="2218"/>
      <c r="F52" s="2218"/>
      <c r="G52" s="2218"/>
      <c r="H52" s="2218"/>
      <c r="I52" s="2218"/>
      <c r="J52" s="2218"/>
      <c r="K52" s="2218"/>
      <c r="L52" s="2218"/>
      <c r="M52" s="2218"/>
      <c r="N52" s="2218"/>
      <c r="O52" s="2218"/>
      <c r="P52" s="2218"/>
      <c r="Q52" s="2218"/>
      <c r="R52" s="2218"/>
      <c r="S52" s="2218"/>
      <c r="T52" s="2218"/>
      <c r="U52" s="2218"/>
      <c r="V52" s="2218"/>
      <c r="W52" s="2218"/>
      <c r="X52" s="2218"/>
      <c r="Y52" s="2218"/>
      <c r="Z52" s="2218"/>
      <c r="AA52" s="2218"/>
      <c r="AB52" s="2218"/>
      <c r="AC52" s="2218"/>
      <c r="AD52" s="2218"/>
      <c r="AE52" s="2218"/>
      <c r="AF52" s="2218"/>
      <c r="AG52" s="2218"/>
      <c r="AH52" s="2218"/>
      <c r="AI52" s="2218"/>
      <c r="AJ52" s="2218"/>
      <c r="AK52" s="2218"/>
      <c r="AL52" s="2218"/>
      <c r="AM52" s="2218"/>
      <c r="AN52" s="2218"/>
      <c r="AO52" s="2218"/>
      <c r="AP52" s="2218"/>
      <c r="AQ52" s="2218"/>
    </row>
    <row r="53" spans="1:43" x14ac:dyDescent="0.25">
      <c r="B53" s="2216"/>
      <c r="C53" s="2219" t="s">
        <v>521</v>
      </c>
      <c r="D53" s="2219" t="s">
        <v>1029</v>
      </c>
      <c r="E53" s="2219" t="s">
        <v>8</v>
      </c>
      <c r="F53" s="2219"/>
      <c r="G53" s="2219">
        <v>2014</v>
      </c>
      <c r="H53" s="2219">
        <v>2015</v>
      </c>
      <c r="I53" s="2219">
        <v>2016</v>
      </c>
      <c r="J53" s="2219">
        <v>2017</v>
      </c>
      <c r="K53" s="2219">
        <v>2018</v>
      </c>
      <c r="L53" s="2219">
        <v>2019</v>
      </c>
      <c r="M53" s="2219">
        <v>2020</v>
      </c>
      <c r="N53" s="2219">
        <v>2021</v>
      </c>
      <c r="O53" s="2219">
        <v>2022</v>
      </c>
      <c r="P53" s="2219">
        <v>2023</v>
      </c>
      <c r="Q53" s="2219">
        <v>2024</v>
      </c>
      <c r="R53" s="2219">
        <v>2025</v>
      </c>
      <c r="S53" s="2219">
        <v>2026</v>
      </c>
      <c r="T53" s="2219">
        <v>2027</v>
      </c>
      <c r="U53" s="2219">
        <v>2028</v>
      </c>
      <c r="V53" s="2219">
        <v>2029</v>
      </c>
      <c r="W53" s="2219">
        <v>2030</v>
      </c>
      <c r="X53" s="2219">
        <v>2031</v>
      </c>
      <c r="Y53" s="2219">
        <v>2032</v>
      </c>
      <c r="Z53" s="2219">
        <v>2033</v>
      </c>
      <c r="AA53" s="2219">
        <v>2034</v>
      </c>
      <c r="AB53" s="2219">
        <v>2035</v>
      </c>
      <c r="AC53" s="2219">
        <v>2036</v>
      </c>
      <c r="AD53" s="2219">
        <v>2037</v>
      </c>
      <c r="AE53" s="2219">
        <v>2038</v>
      </c>
      <c r="AF53" s="2219">
        <v>2039</v>
      </c>
      <c r="AG53" s="2219">
        <v>2040</v>
      </c>
      <c r="AH53" s="2219">
        <v>2041</v>
      </c>
      <c r="AI53" s="2219">
        <v>2042</v>
      </c>
      <c r="AJ53" s="2219">
        <v>2043</v>
      </c>
      <c r="AK53" s="2219">
        <v>2044</v>
      </c>
      <c r="AL53" s="2219">
        <v>2045</v>
      </c>
      <c r="AM53" s="2219">
        <v>2046</v>
      </c>
      <c r="AN53" s="2219">
        <v>2047</v>
      </c>
      <c r="AO53" s="2219">
        <v>2048</v>
      </c>
      <c r="AP53" s="2219">
        <v>2049</v>
      </c>
      <c r="AQ53" s="2219">
        <v>2050</v>
      </c>
    </row>
    <row r="54" spans="1:43" x14ac:dyDescent="0.25">
      <c r="B54" s="2216"/>
      <c r="C54" s="2244" t="s">
        <v>1233</v>
      </c>
      <c r="D54" s="2250" t="s">
        <v>1225</v>
      </c>
      <c r="E54" s="2220" t="s">
        <v>1234</v>
      </c>
      <c r="F54" s="2215"/>
      <c r="G54" s="2245">
        <v>1434785</v>
      </c>
      <c r="H54" s="2245">
        <v>1438218</v>
      </c>
      <c r="I54" s="2245">
        <v>1442509</v>
      </c>
      <c r="J54" s="2245">
        <v>1447658</v>
      </c>
      <c r="K54" s="2245">
        <v>1453665</v>
      </c>
      <c r="L54" s="2245">
        <v>1460531</v>
      </c>
      <c r="M54" s="2245">
        <v>1467397</v>
      </c>
      <c r="N54" s="2245">
        <v>1474263</v>
      </c>
      <c r="O54" s="2245">
        <v>1481129</v>
      </c>
      <c r="P54" s="2245">
        <v>1487995</v>
      </c>
      <c r="Q54" s="2245">
        <v>1494861</v>
      </c>
      <c r="R54" s="2245">
        <v>1501727</v>
      </c>
      <c r="S54" s="2245">
        <v>1508593</v>
      </c>
      <c r="T54" s="2245">
        <v>1515459</v>
      </c>
      <c r="U54" s="2245">
        <v>1522325</v>
      </c>
      <c r="V54" s="2245">
        <v>1529191</v>
      </c>
      <c r="W54" s="2245">
        <v>1529191</v>
      </c>
      <c r="X54" s="2245">
        <v>1529191</v>
      </c>
      <c r="Y54" s="2245">
        <v>1529191</v>
      </c>
      <c r="Z54" s="2245">
        <v>1529191</v>
      </c>
      <c r="AA54" s="2245">
        <v>1529191</v>
      </c>
      <c r="AB54" s="2245">
        <v>1529191</v>
      </c>
      <c r="AC54" s="2245">
        <v>1529191</v>
      </c>
      <c r="AD54" s="2245">
        <v>1529191</v>
      </c>
      <c r="AE54" s="2245">
        <v>1529191</v>
      </c>
      <c r="AF54" s="2245">
        <v>1529191</v>
      </c>
      <c r="AG54" s="2245">
        <v>1529191</v>
      </c>
      <c r="AH54" s="2245">
        <v>1529191</v>
      </c>
      <c r="AI54" s="2245">
        <v>1529191</v>
      </c>
      <c r="AJ54" s="2245">
        <v>1529191</v>
      </c>
      <c r="AK54" s="2245">
        <v>1529191</v>
      </c>
      <c r="AL54" s="2245">
        <v>1529191</v>
      </c>
      <c r="AM54" s="2245">
        <v>1529191</v>
      </c>
      <c r="AN54" s="2245">
        <v>1529191</v>
      </c>
      <c r="AO54" s="2245">
        <v>1529191</v>
      </c>
      <c r="AP54" s="2245">
        <v>1529191</v>
      </c>
      <c r="AQ54" s="2245">
        <v>1529191</v>
      </c>
    </row>
    <row r="55" spans="1:43" x14ac:dyDescent="0.25">
      <c r="B55" s="2216"/>
      <c r="C55" s="2244" t="s">
        <v>1235</v>
      </c>
      <c r="D55" s="2250" t="s">
        <v>1225</v>
      </c>
      <c r="E55" s="2220" t="s">
        <v>1234</v>
      </c>
      <c r="F55" s="2215"/>
      <c r="G55" s="2245">
        <v>573602</v>
      </c>
      <c r="H55" s="2245">
        <v>577278.4</v>
      </c>
      <c r="I55" s="2245">
        <v>581874.32000000007</v>
      </c>
      <c r="J55" s="2245">
        <v>588309.28</v>
      </c>
      <c r="K55" s="2245">
        <v>595663.76</v>
      </c>
      <c r="L55" s="2245">
        <v>603018.23999999999</v>
      </c>
      <c r="M55" s="2245">
        <v>610372.72</v>
      </c>
      <c r="N55" s="2245">
        <v>617727.19999999995</v>
      </c>
      <c r="O55" s="2245">
        <v>625081.67999999993</v>
      </c>
      <c r="P55" s="2245">
        <v>632436.15999999992</v>
      </c>
      <c r="Q55" s="2245">
        <v>639790.6399999999</v>
      </c>
      <c r="R55" s="2245">
        <v>647145.11999999988</v>
      </c>
      <c r="S55" s="2245">
        <v>654499.59999999986</v>
      </c>
      <c r="T55" s="2245">
        <v>661854.07999999984</v>
      </c>
      <c r="U55" s="2245">
        <v>669208.55999999982</v>
      </c>
      <c r="V55" s="2245">
        <v>676563.0399999998</v>
      </c>
      <c r="W55" s="2245">
        <v>683917.51999999979</v>
      </c>
      <c r="X55" s="2245">
        <v>691271.99999999977</v>
      </c>
      <c r="Y55" s="2245">
        <v>698626.47999999975</v>
      </c>
      <c r="Z55" s="2245">
        <v>705980.95999999973</v>
      </c>
      <c r="AA55" s="2245">
        <v>713335.43999999971</v>
      </c>
      <c r="AB55" s="2245">
        <v>720689.91999999969</v>
      </c>
      <c r="AC55" s="2245">
        <v>728044.39999999967</v>
      </c>
      <c r="AD55" s="2245">
        <v>735398.87999999966</v>
      </c>
      <c r="AE55" s="2245">
        <v>742753.35999999964</v>
      </c>
      <c r="AF55" s="2245">
        <v>750107.83999999962</v>
      </c>
      <c r="AG55" s="2245">
        <v>757462.3199999996</v>
      </c>
      <c r="AH55" s="2245">
        <v>764816.79999999958</v>
      </c>
      <c r="AI55" s="2245">
        <v>772171.27999999956</v>
      </c>
      <c r="AJ55" s="2245">
        <v>779525.75999999954</v>
      </c>
      <c r="AK55" s="2245">
        <v>786880.23999999953</v>
      </c>
      <c r="AL55" s="2245">
        <v>786880.23999999953</v>
      </c>
      <c r="AM55" s="2245">
        <v>786880.24</v>
      </c>
      <c r="AN55" s="2245">
        <v>786880.24</v>
      </c>
      <c r="AO55" s="2245">
        <v>786880.24</v>
      </c>
      <c r="AP55" s="2245">
        <v>786880.24</v>
      </c>
      <c r="AQ55" s="2245">
        <v>786880.24</v>
      </c>
    </row>
    <row r="56" spans="1:43" x14ac:dyDescent="0.25">
      <c r="B56" s="2216"/>
      <c r="C56" s="2244" t="s">
        <v>1236</v>
      </c>
      <c r="D56" s="2250" t="s">
        <v>1225</v>
      </c>
      <c r="E56" s="2220" t="s">
        <v>1234</v>
      </c>
      <c r="F56" s="2215"/>
      <c r="G56" s="2245">
        <v>255126</v>
      </c>
      <c r="H56" s="2245">
        <v>258014.6</v>
      </c>
      <c r="I56" s="2245">
        <v>261625.68</v>
      </c>
      <c r="J56" s="2245">
        <v>265959.67999999999</v>
      </c>
      <c r="K56" s="2245">
        <v>271015.71999999997</v>
      </c>
      <c r="L56" s="2245">
        <v>276794.23999999999</v>
      </c>
      <c r="M56" s="2245">
        <v>282572.76</v>
      </c>
      <c r="N56" s="2245">
        <v>288351.28000000003</v>
      </c>
      <c r="O56" s="2245">
        <v>294129.80000000005</v>
      </c>
      <c r="P56" s="2245">
        <v>299908.32000000007</v>
      </c>
      <c r="Q56" s="2245">
        <v>305686.84000000008</v>
      </c>
      <c r="R56" s="2245">
        <v>311465.3600000001</v>
      </c>
      <c r="S56" s="2245">
        <v>317243.88000000012</v>
      </c>
      <c r="T56" s="2245">
        <v>323022.40000000014</v>
      </c>
      <c r="U56" s="2245">
        <v>328800.92000000016</v>
      </c>
      <c r="V56" s="2245">
        <v>334579.44000000018</v>
      </c>
      <c r="W56" s="2245">
        <v>340357.9600000002</v>
      </c>
      <c r="X56" s="2245">
        <v>346136.48000000021</v>
      </c>
      <c r="Y56" s="2245">
        <v>351915.00000000023</v>
      </c>
      <c r="Z56" s="2245">
        <v>357693.52000000025</v>
      </c>
      <c r="AA56" s="2245">
        <v>363472.04000000027</v>
      </c>
      <c r="AB56" s="2245">
        <v>369250.56000000029</v>
      </c>
      <c r="AC56" s="2245">
        <v>375029.08000000031</v>
      </c>
      <c r="AD56" s="2245">
        <v>380807.60000000033</v>
      </c>
      <c r="AE56" s="2245">
        <v>386586.12000000034</v>
      </c>
      <c r="AF56" s="2245">
        <v>392364.64000000036</v>
      </c>
      <c r="AG56" s="2245">
        <v>398143.16000000038</v>
      </c>
      <c r="AH56" s="2245">
        <v>403921.6800000004</v>
      </c>
      <c r="AI56" s="2245">
        <v>409700.20000000042</v>
      </c>
      <c r="AJ56" s="2245">
        <v>415478.72000000044</v>
      </c>
      <c r="AK56" s="2245">
        <v>421257.24000000046</v>
      </c>
      <c r="AL56" s="2245">
        <v>427035.76000000047</v>
      </c>
      <c r="AM56" s="2245">
        <v>432814.28000000049</v>
      </c>
      <c r="AN56" s="2245">
        <v>438592.80000000051</v>
      </c>
      <c r="AO56" s="2245">
        <v>444371.32000000053</v>
      </c>
      <c r="AP56" s="2245">
        <v>450149.84000000055</v>
      </c>
      <c r="AQ56" s="2245">
        <v>455928.36000000057</v>
      </c>
    </row>
    <row r="57" spans="1:43" x14ac:dyDescent="0.25">
      <c r="B57" s="2216"/>
      <c r="C57" s="2244" t="s">
        <v>1237</v>
      </c>
      <c r="D57" s="2250" t="s">
        <v>1225</v>
      </c>
      <c r="E57" s="2220" t="s">
        <v>133</v>
      </c>
      <c r="F57" s="2215"/>
      <c r="G57" s="2245">
        <v>25878</v>
      </c>
      <c r="H57" s="2245">
        <v>25878</v>
      </c>
      <c r="I57" s="2245">
        <v>25878</v>
      </c>
      <c r="J57" s="2245">
        <v>25878</v>
      </c>
      <c r="K57" s="2245">
        <v>25878</v>
      </c>
      <c r="L57" s="2245">
        <v>25878</v>
      </c>
      <c r="M57" s="2245">
        <v>25878</v>
      </c>
      <c r="N57" s="2245">
        <v>25878</v>
      </c>
      <c r="O57" s="2245">
        <v>25878</v>
      </c>
      <c r="P57" s="2245">
        <v>25878</v>
      </c>
      <c r="Q57" s="2245">
        <v>25878</v>
      </c>
      <c r="R57" s="2245">
        <v>25878</v>
      </c>
      <c r="S57" s="2245">
        <v>25878</v>
      </c>
      <c r="T57" s="2245">
        <v>25878</v>
      </c>
      <c r="U57" s="2245">
        <v>25878</v>
      </c>
      <c r="V57" s="2245">
        <v>25878</v>
      </c>
      <c r="W57" s="2245">
        <v>25878</v>
      </c>
      <c r="X57" s="2245">
        <v>25878</v>
      </c>
      <c r="Y57" s="2245">
        <v>25878</v>
      </c>
      <c r="Z57" s="2245">
        <v>25878</v>
      </c>
      <c r="AA57" s="2245">
        <v>25878</v>
      </c>
      <c r="AB57" s="2245">
        <v>25878</v>
      </c>
      <c r="AC57" s="2245">
        <v>25878</v>
      </c>
      <c r="AD57" s="2245">
        <v>25878</v>
      </c>
      <c r="AE57" s="2245">
        <v>25878</v>
      </c>
      <c r="AF57" s="2245">
        <v>25878</v>
      </c>
      <c r="AG57" s="2245">
        <v>25878</v>
      </c>
      <c r="AH57" s="2245">
        <v>25878</v>
      </c>
      <c r="AI57" s="2245">
        <v>25878</v>
      </c>
      <c r="AJ57" s="2245">
        <v>25878</v>
      </c>
      <c r="AK57" s="2245">
        <v>25878</v>
      </c>
      <c r="AL57" s="2245">
        <v>25878</v>
      </c>
      <c r="AM57" s="2245">
        <v>25878</v>
      </c>
      <c r="AN57" s="2245">
        <v>25878</v>
      </c>
      <c r="AO57" s="2245">
        <v>25878</v>
      </c>
      <c r="AP57" s="2245">
        <v>25878</v>
      </c>
      <c r="AQ57" s="2245">
        <v>25878</v>
      </c>
    </row>
    <row r="58" spans="1:43" x14ac:dyDescent="0.25">
      <c r="B58" s="2216"/>
      <c r="C58" s="2244" t="s">
        <v>1238</v>
      </c>
      <c r="D58" s="2250" t="s">
        <v>1225</v>
      </c>
      <c r="E58" s="2220" t="s">
        <v>133</v>
      </c>
      <c r="F58" s="2215"/>
      <c r="G58" s="2245">
        <v>16866.7</v>
      </c>
      <c r="H58" s="2245">
        <v>16866.7</v>
      </c>
      <c r="I58" s="2245">
        <v>16866.7</v>
      </c>
      <c r="J58" s="2245">
        <v>16866.7</v>
      </c>
      <c r="K58" s="2245">
        <v>16866.7</v>
      </c>
      <c r="L58" s="2245">
        <v>16866.7</v>
      </c>
      <c r="M58" s="2245">
        <v>16866.7</v>
      </c>
      <c r="N58" s="2245">
        <v>16866.7</v>
      </c>
      <c r="O58" s="2245">
        <v>16866.7</v>
      </c>
      <c r="P58" s="2245">
        <v>16866.7</v>
      </c>
      <c r="Q58" s="2245">
        <v>16866.7</v>
      </c>
      <c r="R58" s="2245">
        <v>16866.7</v>
      </c>
      <c r="S58" s="2245">
        <v>16866.7</v>
      </c>
      <c r="T58" s="2245">
        <v>16866.7</v>
      </c>
      <c r="U58" s="2245">
        <v>16866.7</v>
      </c>
      <c r="V58" s="2245">
        <v>16866.7</v>
      </c>
      <c r="W58" s="2245">
        <v>16866.7</v>
      </c>
      <c r="X58" s="2245">
        <v>16866.7</v>
      </c>
      <c r="Y58" s="2245">
        <v>16866.7</v>
      </c>
      <c r="Z58" s="2245">
        <v>16866.7</v>
      </c>
      <c r="AA58" s="2245">
        <v>16866.7</v>
      </c>
      <c r="AB58" s="2245">
        <v>16866.7</v>
      </c>
      <c r="AC58" s="2245">
        <v>16866.7</v>
      </c>
      <c r="AD58" s="2245">
        <v>16866.7</v>
      </c>
      <c r="AE58" s="2245">
        <v>16866.7</v>
      </c>
      <c r="AF58" s="2245">
        <v>16866.7</v>
      </c>
      <c r="AG58" s="2245">
        <v>16866.7</v>
      </c>
      <c r="AH58" s="2245">
        <v>16866.7</v>
      </c>
      <c r="AI58" s="2245">
        <v>16866.7</v>
      </c>
      <c r="AJ58" s="2245">
        <v>16866.7</v>
      </c>
      <c r="AK58" s="2245">
        <v>16866.7</v>
      </c>
      <c r="AL58" s="2245">
        <v>16866.7</v>
      </c>
      <c r="AM58" s="2245">
        <v>16866.7</v>
      </c>
      <c r="AN58" s="2245">
        <v>16866.7</v>
      </c>
      <c r="AO58" s="2245">
        <v>16866.7</v>
      </c>
      <c r="AP58" s="2245">
        <v>16866.7</v>
      </c>
      <c r="AQ58" s="2245">
        <v>16866.7</v>
      </c>
    </row>
    <row r="59" spans="1:43" x14ac:dyDescent="0.25">
      <c r="B59" s="2216"/>
      <c r="C59" s="2244" t="s">
        <v>1239</v>
      </c>
      <c r="D59" s="2250" t="s">
        <v>1225</v>
      </c>
      <c r="E59" s="2220" t="s">
        <v>133</v>
      </c>
      <c r="F59" s="2215"/>
      <c r="G59" s="2245">
        <v>7060.3043742523496</v>
      </c>
      <c r="H59" s="2245">
        <v>7060.3043742523496</v>
      </c>
      <c r="I59" s="2245">
        <v>7060.3043742523496</v>
      </c>
      <c r="J59" s="2245">
        <v>7060.3043742523496</v>
      </c>
      <c r="K59" s="2245">
        <v>7060.3043742523496</v>
      </c>
      <c r="L59" s="2245">
        <v>7060.3043742523496</v>
      </c>
      <c r="M59" s="2245">
        <v>7060.3043742523496</v>
      </c>
      <c r="N59" s="2245">
        <v>7060.3043742523496</v>
      </c>
      <c r="O59" s="2245">
        <v>7060.3043742523496</v>
      </c>
      <c r="P59" s="2245">
        <v>7060.3043742523496</v>
      </c>
      <c r="Q59" s="2245">
        <v>7060.3043742523496</v>
      </c>
      <c r="R59" s="2245">
        <v>7060.3043742523496</v>
      </c>
      <c r="S59" s="2245">
        <v>7060.3043742523496</v>
      </c>
      <c r="T59" s="2245">
        <v>7060.3043742523496</v>
      </c>
      <c r="U59" s="2245">
        <v>7060.3043742523496</v>
      </c>
      <c r="V59" s="2245">
        <v>7060.3043742523496</v>
      </c>
      <c r="W59" s="2245">
        <v>7060.3043742523496</v>
      </c>
      <c r="X59" s="2245">
        <v>7060.3043742523496</v>
      </c>
      <c r="Y59" s="2245">
        <v>7060.3043742523496</v>
      </c>
      <c r="Z59" s="2245">
        <v>7060.3043742523496</v>
      </c>
      <c r="AA59" s="2245">
        <v>7060.3043742523496</v>
      </c>
      <c r="AB59" s="2245">
        <v>7060.3043742523496</v>
      </c>
      <c r="AC59" s="2245">
        <v>7060.3043742523496</v>
      </c>
      <c r="AD59" s="2245">
        <v>7060.3043742523496</v>
      </c>
      <c r="AE59" s="2245">
        <v>7060.3043742523496</v>
      </c>
      <c r="AF59" s="2245">
        <v>7060.3043742523496</v>
      </c>
      <c r="AG59" s="2245">
        <v>7060.3043742523496</v>
      </c>
      <c r="AH59" s="2245">
        <v>7060.3043742523496</v>
      </c>
      <c r="AI59" s="2245">
        <v>7060.3043742523496</v>
      </c>
      <c r="AJ59" s="2245">
        <v>7060.3043742523496</v>
      </c>
      <c r="AK59" s="2245">
        <v>7060.3043742523496</v>
      </c>
      <c r="AL59" s="2245">
        <v>7060.3043742523496</v>
      </c>
      <c r="AM59" s="2245">
        <v>7060.3043742523496</v>
      </c>
      <c r="AN59" s="2245">
        <v>7060.3043742523496</v>
      </c>
      <c r="AO59" s="2245">
        <v>7060.3043742523496</v>
      </c>
      <c r="AP59" s="2245">
        <v>7060.3043742523496</v>
      </c>
      <c r="AQ59" s="2245">
        <v>7060.3043742523496</v>
      </c>
    </row>
    <row r="60" spans="1:43" x14ac:dyDescent="0.25">
      <c r="B60" s="2216"/>
      <c r="C60" s="2247" t="s">
        <v>1240</v>
      </c>
      <c r="D60" s="2251" t="s">
        <v>1225</v>
      </c>
      <c r="E60" s="2222" t="s">
        <v>133</v>
      </c>
      <c r="F60" s="2248"/>
      <c r="G60" s="2249">
        <v>93600.441912136957</v>
      </c>
      <c r="H60" s="2249">
        <v>93600.441912136957</v>
      </c>
      <c r="I60" s="2249">
        <v>93600.441912136957</v>
      </c>
      <c r="J60" s="2249">
        <v>93600.441912136957</v>
      </c>
      <c r="K60" s="2249">
        <v>93600.441912136957</v>
      </c>
      <c r="L60" s="2249">
        <v>93600.441912136957</v>
      </c>
      <c r="M60" s="2249">
        <v>93600.441912136957</v>
      </c>
      <c r="N60" s="2249">
        <v>93600.441912136957</v>
      </c>
      <c r="O60" s="2249">
        <v>93600.441912136957</v>
      </c>
      <c r="P60" s="2249">
        <v>93600.441912136957</v>
      </c>
      <c r="Q60" s="2249">
        <v>93600.441912136957</v>
      </c>
      <c r="R60" s="2249">
        <v>93600.441912136957</v>
      </c>
      <c r="S60" s="2249">
        <v>93600.441912136957</v>
      </c>
      <c r="T60" s="2249">
        <v>93600.441912136957</v>
      </c>
      <c r="U60" s="2249">
        <v>93600.441912136957</v>
      </c>
      <c r="V60" s="2249">
        <v>93600.441912136957</v>
      </c>
      <c r="W60" s="2249">
        <v>93600.441912136957</v>
      </c>
      <c r="X60" s="2249">
        <v>93600.441912136957</v>
      </c>
      <c r="Y60" s="2249">
        <v>93600.441912136957</v>
      </c>
      <c r="Z60" s="2249">
        <v>93600.441912136957</v>
      </c>
      <c r="AA60" s="2249">
        <v>93600.441912136957</v>
      </c>
      <c r="AB60" s="2249">
        <v>93600.441912136957</v>
      </c>
      <c r="AC60" s="2249">
        <v>93600.441912136957</v>
      </c>
      <c r="AD60" s="2249">
        <v>93600.441912136957</v>
      </c>
      <c r="AE60" s="2249">
        <v>93600.441912136957</v>
      </c>
      <c r="AF60" s="2249">
        <v>93600.441912136957</v>
      </c>
      <c r="AG60" s="2249">
        <v>93600.441912136957</v>
      </c>
      <c r="AH60" s="2249">
        <v>93600.441912136957</v>
      </c>
      <c r="AI60" s="2249">
        <v>93600.441912136957</v>
      </c>
      <c r="AJ60" s="2249">
        <v>93600.441912136957</v>
      </c>
      <c r="AK60" s="2249">
        <v>93600.441912136957</v>
      </c>
      <c r="AL60" s="2249">
        <v>93600.441912136957</v>
      </c>
      <c r="AM60" s="2249">
        <v>93600.441912136957</v>
      </c>
      <c r="AN60" s="2249">
        <v>93600.441912136957</v>
      </c>
      <c r="AO60" s="2249">
        <v>93600.441912136957</v>
      </c>
      <c r="AP60" s="2249">
        <v>93600.441912136957</v>
      </c>
      <c r="AQ60" s="2249">
        <v>93600.441912136957</v>
      </c>
    </row>
    <row r="61" spans="1:43" x14ac:dyDescent="0.25">
      <c r="B61" s="2216"/>
      <c r="C61" s="2252"/>
      <c r="D61" s="2253"/>
      <c r="E61" s="2214"/>
      <c r="F61" s="2214"/>
      <c r="G61" s="2254"/>
      <c r="H61" s="2254"/>
      <c r="I61" s="2254"/>
      <c r="J61" s="2254"/>
      <c r="K61" s="2254"/>
      <c r="L61" s="2254"/>
      <c r="M61" s="2254"/>
      <c r="N61" s="2254"/>
      <c r="O61" s="2254"/>
      <c r="P61" s="2254"/>
      <c r="Q61" s="2254"/>
      <c r="R61" s="2254"/>
      <c r="S61" s="2254"/>
      <c r="T61" s="2254"/>
      <c r="U61" s="2254"/>
      <c r="V61" s="2254"/>
      <c r="W61" s="2254"/>
      <c r="X61" s="2254"/>
      <c r="Y61" s="2254"/>
      <c r="Z61" s="2254"/>
      <c r="AA61" s="2254"/>
      <c r="AB61" s="2254"/>
      <c r="AC61" s="2254"/>
      <c r="AD61" s="2254"/>
      <c r="AE61" s="2254"/>
      <c r="AF61" s="2254"/>
      <c r="AG61" s="2254"/>
      <c r="AH61" s="2254"/>
      <c r="AI61" s="2254"/>
      <c r="AJ61" s="2254"/>
      <c r="AK61" s="2254"/>
      <c r="AL61" s="2254"/>
      <c r="AM61" s="2254"/>
      <c r="AN61" s="2254"/>
      <c r="AO61" s="2254"/>
      <c r="AP61" s="2254"/>
      <c r="AQ61" s="2254"/>
    </row>
    <row r="62" spans="1:43" ht="17.100000000000001" customHeight="1" x14ac:dyDescent="0.25">
      <c r="B62" s="2216"/>
      <c r="C62" s="2218" t="s">
        <v>1241</v>
      </c>
      <c r="D62" s="2218"/>
      <c r="E62" s="2218"/>
      <c r="F62" s="2218"/>
      <c r="G62" s="2255"/>
      <c r="H62" s="2255"/>
      <c r="I62" s="2255"/>
      <c r="J62" s="2255"/>
      <c r="K62" s="2255"/>
      <c r="L62" s="2255"/>
      <c r="M62" s="2255"/>
      <c r="N62" s="2255"/>
      <c r="O62" s="2255"/>
      <c r="P62" s="2255"/>
      <c r="Q62" s="2255"/>
      <c r="R62" s="2255"/>
      <c r="S62" s="2255"/>
      <c r="T62" s="2255"/>
      <c r="U62" s="2255"/>
      <c r="V62" s="2255"/>
      <c r="W62" s="2255"/>
      <c r="X62" s="2255"/>
      <c r="Y62" s="2255"/>
      <c r="Z62" s="2255"/>
      <c r="AA62" s="2255"/>
      <c r="AB62" s="2255"/>
      <c r="AC62" s="2255"/>
      <c r="AD62" s="2255"/>
      <c r="AE62" s="2255"/>
      <c r="AF62" s="2255"/>
      <c r="AG62" s="2255"/>
      <c r="AH62" s="2255"/>
      <c r="AI62" s="2255"/>
      <c r="AJ62" s="2255"/>
      <c r="AK62" s="2255"/>
      <c r="AL62" s="2255"/>
      <c r="AM62" s="2255"/>
      <c r="AN62" s="2255"/>
      <c r="AO62" s="2255"/>
      <c r="AP62" s="2255"/>
      <c r="AQ62" s="2255"/>
    </row>
    <row r="63" spans="1:43" x14ac:dyDescent="0.25">
      <c r="B63" s="2216"/>
      <c r="C63" s="2219" t="s">
        <v>521</v>
      </c>
      <c r="D63" s="2219" t="s">
        <v>1029</v>
      </c>
      <c r="E63" s="2219" t="s">
        <v>8</v>
      </c>
      <c r="F63" s="2219"/>
      <c r="G63" s="2219">
        <v>2014</v>
      </c>
      <c r="H63" s="2219">
        <v>2015</v>
      </c>
      <c r="I63" s="2219">
        <v>2016</v>
      </c>
      <c r="J63" s="2219">
        <v>2017</v>
      </c>
      <c r="K63" s="2219">
        <v>2018</v>
      </c>
      <c r="L63" s="2219">
        <v>2019</v>
      </c>
      <c r="M63" s="2219">
        <v>2020</v>
      </c>
      <c r="N63" s="2219">
        <v>2021</v>
      </c>
      <c r="O63" s="2219">
        <v>2022</v>
      </c>
      <c r="P63" s="2219">
        <v>2023</v>
      </c>
      <c r="Q63" s="2219">
        <v>2024</v>
      </c>
      <c r="R63" s="2219">
        <v>2025</v>
      </c>
      <c r="S63" s="2219">
        <v>2026</v>
      </c>
      <c r="T63" s="2219">
        <v>2027</v>
      </c>
      <c r="U63" s="2219">
        <v>2028</v>
      </c>
      <c r="V63" s="2219">
        <v>2029</v>
      </c>
      <c r="W63" s="2219">
        <v>2030</v>
      </c>
      <c r="X63" s="2219">
        <v>2031</v>
      </c>
      <c r="Y63" s="2219">
        <v>2032</v>
      </c>
      <c r="Z63" s="2219">
        <v>2033</v>
      </c>
      <c r="AA63" s="2219">
        <v>2034</v>
      </c>
      <c r="AB63" s="2219">
        <v>2035</v>
      </c>
      <c r="AC63" s="2219">
        <v>2036</v>
      </c>
      <c r="AD63" s="2219">
        <v>2037</v>
      </c>
      <c r="AE63" s="2219">
        <v>2038</v>
      </c>
      <c r="AF63" s="2219">
        <v>2039</v>
      </c>
      <c r="AG63" s="2219">
        <v>2040</v>
      </c>
      <c r="AH63" s="2219">
        <v>2041</v>
      </c>
      <c r="AI63" s="2219">
        <v>2042</v>
      </c>
      <c r="AJ63" s="2219">
        <v>2043</v>
      </c>
      <c r="AK63" s="2219">
        <v>2044</v>
      </c>
      <c r="AL63" s="2219">
        <v>2045</v>
      </c>
      <c r="AM63" s="2219">
        <v>2046</v>
      </c>
      <c r="AN63" s="2219">
        <v>2047</v>
      </c>
      <c r="AO63" s="2219">
        <v>2048</v>
      </c>
      <c r="AP63" s="2219">
        <v>2049</v>
      </c>
      <c r="AQ63" s="2219">
        <v>2050</v>
      </c>
    </row>
    <row r="64" spans="1:43" x14ac:dyDescent="0.25">
      <c r="B64" s="2216"/>
      <c r="C64" s="2244" t="s">
        <v>1242</v>
      </c>
      <c r="D64" s="2250" t="s">
        <v>1243</v>
      </c>
      <c r="E64" s="2220" t="s">
        <v>133</v>
      </c>
      <c r="F64" s="2215"/>
      <c r="G64" s="2245">
        <v>22888931</v>
      </c>
      <c r="H64" s="2245">
        <v>22888931</v>
      </c>
      <c r="I64" s="2245">
        <v>22888931</v>
      </c>
      <c r="J64" s="2245">
        <v>22888931</v>
      </c>
      <c r="K64" s="2245">
        <v>22888931</v>
      </c>
      <c r="L64" s="2245">
        <v>22888931</v>
      </c>
      <c r="M64" s="2245">
        <v>22888931</v>
      </c>
      <c r="N64" s="2245">
        <v>22888931</v>
      </c>
      <c r="O64" s="2245">
        <v>22888931</v>
      </c>
      <c r="P64" s="2245">
        <v>22888931</v>
      </c>
      <c r="Q64" s="2245">
        <v>22888931</v>
      </c>
      <c r="R64" s="2245">
        <v>22888931</v>
      </c>
      <c r="S64" s="2245">
        <v>22888931</v>
      </c>
      <c r="T64" s="2245">
        <v>22888931</v>
      </c>
      <c r="U64" s="2245">
        <v>22888931</v>
      </c>
      <c r="V64" s="2245">
        <v>22888931</v>
      </c>
      <c r="W64" s="2245">
        <v>22888931</v>
      </c>
      <c r="X64" s="2245">
        <v>22888931</v>
      </c>
      <c r="Y64" s="2245">
        <v>22888931</v>
      </c>
      <c r="Z64" s="2245">
        <v>22888931</v>
      </c>
      <c r="AA64" s="2245">
        <v>22888931</v>
      </c>
      <c r="AB64" s="2245">
        <v>22888931</v>
      </c>
      <c r="AC64" s="2245">
        <v>22888931</v>
      </c>
      <c r="AD64" s="2245">
        <v>22888931</v>
      </c>
      <c r="AE64" s="2245">
        <v>22888931</v>
      </c>
      <c r="AF64" s="2245">
        <v>22888931</v>
      </c>
      <c r="AG64" s="2245">
        <v>22888931</v>
      </c>
      <c r="AH64" s="2245">
        <v>22888931</v>
      </c>
      <c r="AI64" s="2245">
        <v>22888931</v>
      </c>
      <c r="AJ64" s="2245">
        <v>22888931</v>
      </c>
      <c r="AK64" s="2245">
        <v>22888931</v>
      </c>
      <c r="AL64" s="2245">
        <v>22888931</v>
      </c>
      <c r="AM64" s="2245">
        <v>22888931</v>
      </c>
      <c r="AN64" s="2245">
        <v>22888931</v>
      </c>
      <c r="AO64" s="2245">
        <v>22888931</v>
      </c>
      <c r="AP64" s="2245">
        <v>22888931</v>
      </c>
      <c r="AQ64" s="2245">
        <v>22888931</v>
      </c>
    </row>
    <row r="65" spans="2:43" x14ac:dyDescent="0.25">
      <c r="B65" s="2216"/>
      <c r="C65" s="2244" t="s">
        <v>1244</v>
      </c>
      <c r="D65" s="2250" t="s">
        <v>1243</v>
      </c>
      <c r="E65" s="2220" t="s">
        <v>133</v>
      </c>
      <c r="F65" s="2215"/>
      <c r="G65" s="2245">
        <v>10879641</v>
      </c>
      <c r="H65" s="2245">
        <v>10879641</v>
      </c>
      <c r="I65" s="2245">
        <v>10879641</v>
      </c>
      <c r="J65" s="2245">
        <v>10879641</v>
      </c>
      <c r="K65" s="2245">
        <v>10879641</v>
      </c>
      <c r="L65" s="2245">
        <v>10879641</v>
      </c>
      <c r="M65" s="2245">
        <v>10879641</v>
      </c>
      <c r="N65" s="2245">
        <v>18097000</v>
      </c>
      <c r="O65" s="2245">
        <v>18097000</v>
      </c>
      <c r="P65" s="2245">
        <v>18097000</v>
      </c>
      <c r="Q65" s="2245">
        <v>18097000</v>
      </c>
      <c r="R65" s="2245">
        <v>18097000</v>
      </c>
      <c r="S65" s="2245">
        <v>18097000</v>
      </c>
      <c r="T65" s="2245">
        <v>18097000</v>
      </c>
      <c r="U65" s="2245">
        <v>18097000</v>
      </c>
      <c r="V65" s="2245">
        <v>18097000</v>
      </c>
      <c r="W65" s="2245">
        <v>18097000</v>
      </c>
      <c r="X65" s="2245">
        <v>18097000</v>
      </c>
      <c r="Y65" s="2245">
        <v>18097000</v>
      </c>
      <c r="Z65" s="2245">
        <v>18097000</v>
      </c>
      <c r="AA65" s="2245">
        <v>18097000</v>
      </c>
      <c r="AB65" s="2245">
        <v>18097000</v>
      </c>
      <c r="AC65" s="2245">
        <v>18097000</v>
      </c>
      <c r="AD65" s="2245">
        <v>18097000</v>
      </c>
      <c r="AE65" s="2245">
        <v>18097000</v>
      </c>
      <c r="AF65" s="2245">
        <v>18097000</v>
      </c>
      <c r="AG65" s="2245">
        <v>18097000</v>
      </c>
      <c r="AH65" s="2245">
        <v>18097000</v>
      </c>
      <c r="AI65" s="2245">
        <v>18097000</v>
      </c>
      <c r="AJ65" s="2245">
        <v>18097000</v>
      </c>
      <c r="AK65" s="2245">
        <v>18097000</v>
      </c>
      <c r="AL65" s="2245">
        <v>18097000</v>
      </c>
      <c r="AM65" s="2245">
        <v>18097000</v>
      </c>
      <c r="AN65" s="2245">
        <v>18097000</v>
      </c>
      <c r="AO65" s="2245">
        <v>18097000</v>
      </c>
      <c r="AP65" s="2245">
        <v>18097000</v>
      </c>
      <c r="AQ65" s="2245">
        <v>18097000</v>
      </c>
    </row>
    <row r="66" spans="2:43" x14ac:dyDescent="0.25">
      <c r="B66" s="2216"/>
      <c r="C66" s="2244" t="s">
        <v>1245</v>
      </c>
      <c r="D66" s="2250" t="s">
        <v>1243</v>
      </c>
      <c r="E66" s="2220" t="s">
        <v>133</v>
      </c>
      <c r="F66" s="2215"/>
      <c r="G66" s="2245">
        <v>366453</v>
      </c>
      <c r="H66" s="2245">
        <v>366453</v>
      </c>
      <c r="I66" s="2245">
        <v>366453</v>
      </c>
      <c r="J66" s="2245">
        <v>366453</v>
      </c>
      <c r="K66" s="2245">
        <v>366453</v>
      </c>
      <c r="L66" s="2245">
        <v>366453</v>
      </c>
      <c r="M66" s="2245">
        <v>366453</v>
      </c>
      <c r="N66" s="2245">
        <v>366453</v>
      </c>
      <c r="O66" s="2245">
        <v>366453</v>
      </c>
      <c r="P66" s="2245">
        <v>366453</v>
      </c>
      <c r="Q66" s="2245">
        <v>366453</v>
      </c>
      <c r="R66" s="2245">
        <v>366453</v>
      </c>
      <c r="S66" s="2245">
        <v>366453</v>
      </c>
      <c r="T66" s="2245">
        <v>366453</v>
      </c>
      <c r="U66" s="2245">
        <v>366453</v>
      </c>
      <c r="V66" s="2245">
        <v>366453</v>
      </c>
      <c r="W66" s="2245">
        <v>366453</v>
      </c>
      <c r="X66" s="2245">
        <v>366453</v>
      </c>
      <c r="Y66" s="2245">
        <v>366453</v>
      </c>
      <c r="Z66" s="2245">
        <v>366453</v>
      </c>
      <c r="AA66" s="2245">
        <v>366453</v>
      </c>
      <c r="AB66" s="2245">
        <v>366453</v>
      </c>
      <c r="AC66" s="2245">
        <v>366453</v>
      </c>
      <c r="AD66" s="2245">
        <v>366453</v>
      </c>
      <c r="AE66" s="2245">
        <v>366453</v>
      </c>
      <c r="AF66" s="2245">
        <v>366453</v>
      </c>
      <c r="AG66" s="2245">
        <v>366453</v>
      </c>
      <c r="AH66" s="2245">
        <v>366453</v>
      </c>
      <c r="AI66" s="2245">
        <v>366453</v>
      </c>
      <c r="AJ66" s="2245">
        <v>366453</v>
      </c>
      <c r="AK66" s="2245">
        <v>366453</v>
      </c>
      <c r="AL66" s="2245">
        <v>366453</v>
      </c>
      <c r="AM66" s="2245">
        <v>366453</v>
      </c>
      <c r="AN66" s="2245">
        <v>366453</v>
      </c>
      <c r="AO66" s="2245">
        <v>366453</v>
      </c>
      <c r="AP66" s="2245">
        <v>366453</v>
      </c>
      <c r="AQ66" s="2245">
        <v>366453</v>
      </c>
    </row>
    <row r="67" spans="2:43" x14ac:dyDescent="0.25">
      <c r="B67" s="2216"/>
      <c r="C67" s="2247" t="s">
        <v>1246</v>
      </c>
      <c r="D67" s="2251" t="s">
        <v>1243</v>
      </c>
      <c r="E67" s="2222" t="s">
        <v>133</v>
      </c>
      <c r="F67" s="2248"/>
      <c r="G67" s="2249">
        <v>424590</v>
      </c>
      <c r="H67" s="2249">
        <v>424590</v>
      </c>
      <c r="I67" s="2249">
        <v>424590</v>
      </c>
      <c r="J67" s="2249">
        <v>424590</v>
      </c>
      <c r="K67" s="2249">
        <v>424590</v>
      </c>
      <c r="L67" s="2249">
        <v>424590</v>
      </c>
      <c r="M67" s="2249">
        <v>424590</v>
      </c>
      <c r="N67" s="2249">
        <v>424590</v>
      </c>
      <c r="O67" s="2249">
        <v>424590</v>
      </c>
      <c r="P67" s="2249">
        <v>424590</v>
      </c>
      <c r="Q67" s="2249">
        <v>424590</v>
      </c>
      <c r="R67" s="2249">
        <v>424590</v>
      </c>
      <c r="S67" s="2249">
        <v>424590</v>
      </c>
      <c r="T67" s="2249">
        <v>424590</v>
      </c>
      <c r="U67" s="2249">
        <v>424590</v>
      </c>
      <c r="V67" s="2249">
        <v>424590</v>
      </c>
      <c r="W67" s="2249">
        <v>424590</v>
      </c>
      <c r="X67" s="2249">
        <v>424590</v>
      </c>
      <c r="Y67" s="2249">
        <v>424590</v>
      </c>
      <c r="Z67" s="2249">
        <v>424590</v>
      </c>
      <c r="AA67" s="2249">
        <v>424590</v>
      </c>
      <c r="AB67" s="2249">
        <v>424590</v>
      </c>
      <c r="AC67" s="2249">
        <v>424590</v>
      </c>
      <c r="AD67" s="2249">
        <v>424590</v>
      </c>
      <c r="AE67" s="2249">
        <v>424590</v>
      </c>
      <c r="AF67" s="2249">
        <v>424590</v>
      </c>
      <c r="AG67" s="2249">
        <v>424590</v>
      </c>
      <c r="AH67" s="2249">
        <v>424590</v>
      </c>
      <c r="AI67" s="2249">
        <v>424590</v>
      </c>
      <c r="AJ67" s="2249">
        <v>424590</v>
      </c>
      <c r="AK67" s="2249">
        <v>424590</v>
      </c>
      <c r="AL67" s="2249">
        <v>424590</v>
      </c>
      <c r="AM67" s="2249">
        <v>424590</v>
      </c>
      <c r="AN67" s="2249">
        <v>424590</v>
      </c>
      <c r="AO67" s="2249">
        <v>424590</v>
      </c>
      <c r="AP67" s="2249">
        <v>424590</v>
      </c>
      <c r="AQ67" s="2249">
        <v>424590</v>
      </c>
    </row>
    <row r="68" spans="2:43" x14ac:dyDescent="0.25">
      <c r="B68" s="2216"/>
      <c r="C68" s="2252"/>
      <c r="D68" s="2253"/>
      <c r="E68" s="2214"/>
      <c r="F68" s="2214"/>
      <c r="G68" s="2254"/>
      <c r="H68" s="2254"/>
      <c r="I68" s="2254"/>
      <c r="J68" s="2254"/>
      <c r="K68" s="2254"/>
      <c r="L68" s="2254"/>
      <c r="M68" s="2254"/>
      <c r="N68" s="2254"/>
      <c r="O68" s="2254"/>
      <c r="P68" s="2254"/>
      <c r="Q68" s="2254"/>
      <c r="R68" s="2254"/>
      <c r="S68" s="2254"/>
      <c r="T68" s="2254"/>
      <c r="U68" s="2254"/>
      <c r="V68" s="2254"/>
      <c r="W68" s="2254"/>
      <c r="X68" s="2254"/>
      <c r="Y68" s="2254"/>
      <c r="Z68" s="2254"/>
      <c r="AA68" s="2254"/>
      <c r="AB68" s="2254"/>
      <c r="AC68" s="2254"/>
      <c r="AD68" s="2254"/>
      <c r="AE68" s="2254"/>
      <c r="AF68" s="2254"/>
      <c r="AG68" s="2254"/>
      <c r="AH68" s="2254"/>
      <c r="AI68" s="2254"/>
      <c r="AJ68" s="2254"/>
      <c r="AK68" s="2254"/>
      <c r="AL68" s="2254"/>
      <c r="AM68" s="2254"/>
      <c r="AN68" s="2254"/>
      <c r="AO68" s="2254"/>
      <c r="AP68" s="2254"/>
      <c r="AQ68" s="2254"/>
    </row>
    <row r="69" spans="2:43" x14ac:dyDescent="0.25">
      <c r="B69" s="2216"/>
      <c r="C69" s="2218" t="s">
        <v>1247</v>
      </c>
      <c r="D69" s="2250"/>
      <c r="E69" s="2215"/>
      <c r="F69" s="2215"/>
      <c r="G69" s="2245"/>
      <c r="H69" s="2245"/>
      <c r="I69" s="2245"/>
      <c r="J69" s="2245"/>
      <c r="K69" s="2245"/>
      <c r="L69" s="2245"/>
      <c r="M69" s="2245"/>
      <c r="N69" s="2245"/>
      <c r="O69" s="2245"/>
      <c r="P69" s="2245"/>
      <c r="Q69" s="2245"/>
      <c r="R69" s="2245"/>
      <c r="S69" s="2245"/>
      <c r="T69" s="2245"/>
      <c r="U69" s="2245"/>
      <c r="V69" s="2245"/>
      <c r="W69" s="2245"/>
      <c r="X69" s="2245"/>
      <c r="Y69" s="2245"/>
      <c r="Z69" s="2245"/>
      <c r="AA69" s="2245"/>
      <c r="AB69" s="2245"/>
      <c r="AC69" s="2245"/>
      <c r="AD69" s="2245"/>
      <c r="AE69" s="2245"/>
      <c r="AF69" s="2245"/>
      <c r="AG69" s="2245"/>
      <c r="AH69" s="2245"/>
      <c r="AI69" s="2245"/>
      <c r="AJ69" s="2245"/>
      <c r="AK69" s="2245"/>
      <c r="AL69" s="2245"/>
      <c r="AM69" s="2245"/>
      <c r="AN69" s="2245"/>
      <c r="AO69" s="2245"/>
      <c r="AP69" s="2245"/>
      <c r="AQ69" s="2245"/>
    </row>
    <row r="70" spans="2:43" x14ac:dyDescent="0.25">
      <c r="B70" s="2216"/>
      <c r="C70" s="2219" t="s">
        <v>521</v>
      </c>
      <c r="D70" s="2219" t="s">
        <v>1029</v>
      </c>
      <c r="E70" s="2219" t="s">
        <v>8</v>
      </c>
      <c r="F70" s="2256"/>
      <c r="G70" s="2256">
        <v>2014</v>
      </c>
      <c r="H70" s="2256">
        <v>2015</v>
      </c>
      <c r="I70" s="2256">
        <v>2016</v>
      </c>
      <c r="J70" s="2256">
        <v>2017</v>
      </c>
      <c r="K70" s="2256">
        <v>2018</v>
      </c>
      <c r="L70" s="2256">
        <v>2019</v>
      </c>
      <c r="M70" s="2256">
        <v>2020</v>
      </c>
      <c r="N70" s="2256">
        <v>2021</v>
      </c>
      <c r="O70" s="2256">
        <v>2022</v>
      </c>
      <c r="P70" s="2256">
        <v>2023</v>
      </c>
      <c r="Q70" s="2256">
        <v>2024</v>
      </c>
      <c r="R70" s="2256">
        <v>2025</v>
      </c>
      <c r="S70" s="2256">
        <v>2026</v>
      </c>
      <c r="T70" s="2256">
        <v>2027</v>
      </c>
      <c r="U70" s="2256">
        <v>2028</v>
      </c>
      <c r="V70" s="2256">
        <v>2029</v>
      </c>
      <c r="W70" s="2256">
        <v>2030</v>
      </c>
      <c r="X70" s="2256">
        <v>2031</v>
      </c>
      <c r="Y70" s="2256">
        <v>2032</v>
      </c>
      <c r="Z70" s="2256">
        <v>2033</v>
      </c>
      <c r="AA70" s="2256">
        <v>2034</v>
      </c>
      <c r="AB70" s="2256">
        <v>2035</v>
      </c>
      <c r="AC70" s="2256">
        <v>2036</v>
      </c>
      <c r="AD70" s="2256">
        <v>2037</v>
      </c>
      <c r="AE70" s="2256">
        <v>2038</v>
      </c>
      <c r="AF70" s="2256">
        <v>2039</v>
      </c>
      <c r="AG70" s="2256">
        <v>2040</v>
      </c>
      <c r="AH70" s="2256">
        <v>2041</v>
      </c>
      <c r="AI70" s="2256">
        <v>2042</v>
      </c>
      <c r="AJ70" s="2256">
        <v>2043</v>
      </c>
      <c r="AK70" s="2256">
        <v>2044</v>
      </c>
      <c r="AL70" s="2256">
        <v>2045</v>
      </c>
      <c r="AM70" s="2256">
        <v>2046</v>
      </c>
      <c r="AN70" s="2256">
        <v>2047</v>
      </c>
      <c r="AO70" s="2256">
        <v>2048</v>
      </c>
      <c r="AP70" s="2256">
        <v>2049</v>
      </c>
      <c r="AQ70" s="2256">
        <v>2050</v>
      </c>
    </row>
    <row r="71" spans="2:43" x14ac:dyDescent="0.25">
      <c r="B71" s="2216"/>
      <c r="C71" s="2244" t="s">
        <v>1248</v>
      </c>
      <c r="D71" s="2250" t="s">
        <v>1225</v>
      </c>
      <c r="E71" s="2250" t="s">
        <v>136</v>
      </c>
      <c r="F71" s="2215"/>
      <c r="G71" s="2245">
        <v>15598.160000000002</v>
      </c>
      <c r="H71" s="2245">
        <v>15598.160000000002</v>
      </c>
      <c r="I71" s="2245">
        <v>15598.160000000002</v>
      </c>
      <c r="J71" s="2245">
        <v>15598.160000000002</v>
      </c>
      <c r="K71" s="2245">
        <v>15598.160000000002</v>
      </c>
      <c r="L71" s="2245">
        <v>15598.160000000002</v>
      </c>
      <c r="M71" s="2245">
        <v>15598.160000000002</v>
      </c>
      <c r="N71" s="2245">
        <v>15598.160000000002</v>
      </c>
      <c r="O71" s="2245">
        <v>15598.160000000002</v>
      </c>
      <c r="P71" s="2245">
        <v>15598.160000000002</v>
      </c>
      <c r="Q71" s="2245">
        <v>15598.160000000002</v>
      </c>
      <c r="R71" s="2245">
        <v>15598.160000000002</v>
      </c>
      <c r="S71" s="2245">
        <v>15598.160000000002</v>
      </c>
      <c r="T71" s="2245">
        <v>15598.160000000002</v>
      </c>
      <c r="U71" s="2245">
        <v>15598.160000000002</v>
      </c>
      <c r="V71" s="2245">
        <v>15598.160000000002</v>
      </c>
      <c r="W71" s="2245">
        <v>15598.160000000002</v>
      </c>
      <c r="X71" s="2245">
        <v>15598.160000000002</v>
      </c>
      <c r="Y71" s="2245">
        <v>15598.160000000002</v>
      </c>
      <c r="Z71" s="2245">
        <v>15598.160000000002</v>
      </c>
      <c r="AA71" s="2245">
        <v>15598.160000000002</v>
      </c>
      <c r="AB71" s="2245">
        <v>15598.160000000002</v>
      </c>
      <c r="AC71" s="2245">
        <v>15598.160000000002</v>
      </c>
      <c r="AD71" s="2245">
        <v>15598.160000000002</v>
      </c>
      <c r="AE71" s="2245">
        <v>15598.160000000002</v>
      </c>
      <c r="AF71" s="2245">
        <v>15598.160000000002</v>
      </c>
      <c r="AG71" s="2245">
        <v>15598.160000000002</v>
      </c>
      <c r="AH71" s="2245">
        <v>15598.160000000002</v>
      </c>
      <c r="AI71" s="2245">
        <v>15598.160000000002</v>
      </c>
      <c r="AJ71" s="2245">
        <v>15598.160000000002</v>
      </c>
      <c r="AK71" s="2245">
        <v>15598.160000000002</v>
      </c>
      <c r="AL71" s="2245">
        <v>15598.160000000002</v>
      </c>
      <c r="AM71" s="2245">
        <v>15598.160000000002</v>
      </c>
      <c r="AN71" s="2245">
        <v>15598.160000000002</v>
      </c>
      <c r="AO71" s="2245">
        <v>15598.160000000002</v>
      </c>
      <c r="AP71" s="2245">
        <v>15598.160000000002</v>
      </c>
      <c r="AQ71" s="2245">
        <v>15598.160000000002</v>
      </c>
    </row>
    <row r="72" spans="2:43" x14ac:dyDescent="0.25">
      <c r="B72" s="2216"/>
      <c r="C72" s="2244" t="s">
        <v>1249</v>
      </c>
      <c r="D72" s="2250" t="s">
        <v>1225</v>
      </c>
      <c r="E72" s="2250"/>
      <c r="F72" s="2215"/>
      <c r="G72" s="2257">
        <f>G73+G74</f>
        <v>8454.0747619047615</v>
      </c>
      <c r="H72" s="2257">
        <f t="shared" ref="H72:AQ72" si="4">H73+H74</f>
        <v>8454.0747619047615</v>
      </c>
      <c r="I72" s="2257">
        <f t="shared" si="4"/>
        <v>8454.0747619047615</v>
      </c>
      <c r="J72" s="2257">
        <f t="shared" si="4"/>
        <v>8454.0747619047615</v>
      </c>
      <c r="K72" s="2257">
        <f t="shared" si="4"/>
        <v>8454.0747619047615</v>
      </c>
      <c r="L72" s="2257">
        <f t="shared" si="4"/>
        <v>8454.0747619047615</v>
      </c>
      <c r="M72" s="2257">
        <f t="shared" si="4"/>
        <v>8454.0747619047615</v>
      </c>
      <c r="N72" s="2257">
        <f t="shared" si="4"/>
        <v>8454.0747619047615</v>
      </c>
      <c r="O72" s="2257">
        <f t="shared" si="4"/>
        <v>8454.0747619047615</v>
      </c>
      <c r="P72" s="2257">
        <f t="shared" si="4"/>
        <v>8454.0747619047615</v>
      </c>
      <c r="Q72" s="2257">
        <f t="shared" si="4"/>
        <v>8454.0747619047615</v>
      </c>
      <c r="R72" s="2257">
        <f t="shared" si="4"/>
        <v>8454.0747619047615</v>
      </c>
      <c r="S72" s="2257">
        <f t="shared" si="4"/>
        <v>8454.0747619047615</v>
      </c>
      <c r="T72" s="2257">
        <f t="shared" si="4"/>
        <v>8454.0747619047615</v>
      </c>
      <c r="U72" s="2257">
        <f t="shared" si="4"/>
        <v>8454.0747619047615</v>
      </c>
      <c r="V72" s="2257">
        <f t="shared" si="4"/>
        <v>8454.0747619047615</v>
      </c>
      <c r="W72" s="2257">
        <f t="shared" si="4"/>
        <v>8454.0747619047615</v>
      </c>
      <c r="X72" s="2257">
        <f t="shared" si="4"/>
        <v>8454.0747619047615</v>
      </c>
      <c r="Y72" s="2257">
        <f t="shared" si="4"/>
        <v>8454.0747619047615</v>
      </c>
      <c r="Z72" s="2257">
        <f t="shared" si="4"/>
        <v>8454.0747619047615</v>
      </c>
      <c r="AA72" s="2257">
        <f t="shared" si="4"/>
        <v>8454.0747619047615</v>
      </c>
      <c r="AB72" s="2257">
        <f t="shared" si="4"/>
        <v>8454.0747619047615</v>
      </c>
      <c r="AC72" s="2257">
        <f t="shared" si="4"/>
        <v>8454.0747619047615</v>
      </c>
      <c r="AD72" s="2257">
        <f t="shared" si="4"/>
        <v>8454.0747619047615</v>
      </c>
      <c r="AE72" s="2257">
        <f t="shared" si="4"/>
        <v>8454.0747619047615</v>
      </c>
      <c r="AF72" s="2257">
        <f t="shared" si="4"/>
        <v>8454.0747619047615</v>
      </c>
      <c r="AG72" s="2257">
        <f t="shared" si="4"/>
        <v>8454.0747619047615</v>
      </c>
      <c r="AH72" s="2257">
        <f t="shared" si="4"/>
        <v>8454.0747619047615</v>
      </c>
      <c r="AI72" s="2257">
        <f t="shared" si="4"/>
        <v>8454.0747619047615</v>
      </c>
      <c r="AJ72" s="2257">
        <f t="shared" si="4"/>
        <v>8454.0747619047615</v>
      </c>
      <c r="AK72" s="2257">
        <f t="shared" si="4"/>
        <v>8454.0747619047615</v>
      </c>
      <c r="AL72" s="2257">
        <f t="shared" si="4"/>
        <v>8454.0747619047615</v>
      </c>
      <c r="AM72" s="2257">
        <f t="shared" si="4"/>
        <v>8454.0747619047615</v>
      </c>
      <c r="AN72" s="2257">
        <f t="shared" si="4"/>
        <v>8454.0747619047615</v>
      </c>
      <c r="AO72" s="2257">
        <f t="shared" si="4"/>
        <v>8454.0747619047615</v>
      </c>
      <c r="AP72" s="2257">
        <f t="shared" si="4"/>
        <v>8454.0747619047615</v>
      </c>
      <c r="AQ72" s="2257">
        <f t="shared" si="4"/>
        <v>8454.0747619047615</v>
      </c>
    </row>
    <row r="73" spans="2:43" x14ac:dyDescent="0.25">
      <c r="B73" s="2216"/>
      <c r="C73" s="2244" t="s">
        <v>1250</v>
      </c>
      <c r="D73" s="2250" t="s">
        <v>1225</v>
      </c>
      <c r="E73" s="2250" t="s">
        <v>136</v>
      </c>
      <c r="F73" s="2215"/>
      <c r="G73" s="2245">
        <v>7867.9508333333333</v>
      </c>
      <c r="H73" s="2245">
        <v>7867.9508333333333</v>
      </c>
      <c r="I73" s="2245">
        <v>7867.9508333333333</v>
      </c>
      <c r="J73" s="2245">
        <v>7867.9508333333333</v>
      </c>
      <c r="K73" s="2245">
        <v>7867.9508333333333</v>
      </c>
      <c r="L73" s="2245">
        <v>7867.9508333333333</v>
      </c>
      <c r="M73" s="2245">
        <v>7867.9508333333333</v>
      </c>
      <c r="N73" s="2245">
        <v>7867.9508333333333</v>
      </c>
      <c r="O73" s="2245">
        <v>7867.9508333333333</v>
      </c>
      <c r="P73" s="2245">
        <v>7867.9508333333333</v>
      </c>
      <c r="Q73" s="2245">
        <v>7867.9508333333333</v>
      </c>
      <c r="R73" s="2245">
        <v>7867.9508333333333</v>
      </c>
      <c r="S73" s="2245">
        <v>7867.9508333333333</v>
      </c>
      <c r="T73" s="2245">
        <v>7867.9508333333333</v>
      </c>
      <c r="U73" s="2245">
        <v>7867.9508333333333</v>
      </c>
      <c r="V73" s="2245">
        <v>7867.9508333333333</v>
      </c>
      <c r="W73" s="2245">
        <v>7867.9508333333333</v>
      </c>
      <c r="X73" s="2245">
        <v>7867.9508333333333</v>
      </c>
      <c r="Y73" s="2245">
        <v>7867.9508333333333</v>
      </c>
      <c r="Z73" s="2245">
        <v>7867.9508333333333</v>
      </c>
      <c r="AA73" s="2245">
        <v>7867.9508333333333</v>
      </c>
      <c r="AB73" s="2245">
        <v>7867.9508333333333</v>
      </c>
      <c r="AC73" s="2245">
        <v>7867.9508333333333</v>
      </c>
      <c r="AD73" s="2245">
        <v>7867.9508333333333</v>
      </c>
      <c r="AE73" s="2245">
        <v>7867.9508333333333</v>
      </c>
      <c r="AF73" s="2245">
        <v>7867.9508333333333</v>
      </c>
      <c r="AG73" s="2245">
        <v>7867.9508333333333</v>
      </c>
      <c r="AH73" s="2245">
        <v>7867.9508333333333</v>
      </c>
      <c r="AI73" s="2245">
        <v>7867.9508333333333</v>
      </c>
      <c r="AJ73" s="2245">
        <v>7867.9508333333333</v>
      </c>
      <c r="AK73" s="2245">
        <v>7867.9508333333333</v>
      </c>
      <c r="AL73" s="2245">
        <v>7867.9508333333333</v>
      </c>
      <c r="AM73" s="2245">
        <v>7867.9508333333333</v>
      </c>
      <c r="AN73" s="2245">
        <v>7867.9508333333333</v>
      </c>
      <c r="AO73" s="2245">
        <v>7867.9508333333333</v>
      </c>
      <c r="AP73" s="2245">
        <v>7867.9508333333333</v>
      </c>
      <c r="AQ73" s="2245">
        <v>7867.9508333333333</v>
      </c>
    </row>
    <row r="74" spans="2:43" x14ac:dyDescent="0.25">
      <c r="B74" s="2216"/>
      <c r="C74" s="2244" t="s">
        <v>1251</v>
      </c>
      <c r="D74" s="2250" t="s">
        <v>1225</v>
      </c>
      <c r="E74" s="2250" t="s">
        <v>136</v>
      </c>
      <c r="F74" s="2215"/>
      <c r="G74" s="2245">
        <v>586.12392857142856</v>
      </c>
      <c r="H74" s="2245">
        <v>586.12392857142856</v>
      </c>
      <c r="I74" s="2245">
        <v>586.12392857142856</v>
      </c>
      <c r="J74" s="2245">
        <v>586.12392857142856</v>
      </c>
      <c r="K74" s="2245">
        <v>586.12392857142856</v>
      </c>
      <c r="L74" s="2245">
        <v>586.12392857142856</v>
      </c>
      <c r="M74" s="2245">
        <v>586.12392857142856</v>
      </c>
      <c r="N74" s="2245">
        <v>586.12392857142856</v>
      </c>
      <c r="O74" s="2245">
        <v>586.12392857142856</v>
      </c>
      <c r="P74" s="2245">
        <v>586.12392857142856</v>
      </c>
      <c r="Q74" s="2245">
        <v>586.12392857142856</v>
      </c>
      <c r="R74" s="2245">
        <v>586.12392857142856</v>
      </c>
      <c r="S74" s="2245">
        <v>586.12392857142856</v>
      </c>
      <c r="T74" s="2245">
        <v>586.12392857142856</v>
      </c>
      <c r="U74" s="2245">
        <v>586.12392857142856</v>
      </c>
      <c r="V74" s="2245">
        <v>586.12392857142856</v>
      </c>
      <c r="W74" s="2245">
        <v>586.12392857142856</v>
      </c>
      <c r="X74" s="2245">
        <v>586.12392857142856</v>
      </c>
      <c r="Y74" s="2245">
        <v>586.12392857142856</v>
      </c>
      <c r="Z74" s="2245">
        <v>586.12392857142856</v>
      </c>
      <c r="AA74" s="2245">
        <v>586.12392857142856</v>
      </c>
      <c r="AB74" s="2245">
        <v>586.12392857142856</v>
      </c>
      <c r="AC74" s="2245">
        <v>586.12392857142856</v>
      </c>
      <c r="AD74" s="2245">
        <v>586.12392857142856</v>
      </c>
      <c r="AE74" s="2245">
        <v>586.12392857142856</v>
      </c>
      <c r="AF74" s="2245">
        <v>586.12392857142856</v>
      </c>
      <c r="AG74" s="2245">
        <v>586.12392857142856</v>
      </c>
      <c r="AH74" s="2245">
        <v>586.12392857142856</v>
      </c>
      <c r="AI74" s="2245">
        <v>586.12392857142856</v>
      </c>
      <c r="AJ74" s="2245">
        <v>586.12392857142856</v>
      </c>
      <c r="AK74" s="2245">
        <v>586.12392857142856</v>
      </c>
      <c r="AL74" s="2245">
        <v>586.12392857142856</v>
      </c>
      <c r="AM74" s="2245">
        <v>586.12392857142856</v>
      </c>
      <c r="AN74" s="2245">
        <v>586.12392857142856</v>
      </c>
      <c r="AO74" s="2245">
        <v>586.12392857142856</v>
      </c>
      <c r="AP74" s="2245">
        <v>586.12392857142856</v>
      </c>
      <c r="AQ74" s="2245">
        <v>586.12392857142856</v>
      </c>
    </row>
    <row r="75" spans="2:43" x14ac:dyDescent="0.25">
      <c r="B75" s="2216"/>
      <c r="C75" s="2258" t="s">
        <v>1252</v>
      </c>
      <c r="D75" s="2250" t="s">
        <v>1225</v>
      </c>
      <c r="E75" s="2250"/>
      <c r="F75" s="2215"/>
      <c r="G75" s="2257">
        <f>G76+G77+G78+G79</f>
        <v>71579.479523809525</v>
      </c>
      <c r="H75" s="2257">
        <f t="shared" ref="H75:AQ75" si="5">H76+H77+H78+H79</f>
        <v>71579.479523809525</v>
      </c>
      <c r="I75" s="2257">
        <f t="shared" si="5"/>
        <v>71579.479523809525</v>
      </c>
      <c r="J75" s="2257">
        <f t="shared" si="5"/>
        <v>71579.479523809525</v>
      </c>
      <c r="K75" s="2257">
        <f t="shared" si="5"/>
        <v>71579.479523809525</v>
      </c>
      <c r="L75" s="2257">
        <f t="shared" si="5"/>
        <v>71579.479523809525</v>
      </c>
      <c r="M75" s="2257">
        <f t="shared" si="5"/>
        <v>71579.479523809525</v>
      </c>
      <c r="N75" s="2257">
        <f t="shared" si="5"/>
        <v>71579.479523809525</v>
      </c>
      <c r="O75" s="2257">
        <f t="shared" si="5"/>
        <v>71579.479523809525</v>
      </c>
      <c r="P75" s="2257">
        <f t="shared" si="5"/>
        <v>71579.479523809525</v>
      </c>
      <c r="Q75" s="2257">
        <f t="shared" si="5"/>
        <v>71579.479523809525</v>
      </c>
      <c r="R75" s="2257">
        <f t="shared" si="5"/>
        <v>71579.479523809525</v>
      </c>
      <c r="S75" s="2257">
        <f t="shared" si="5"/>
        <v>71579.479523809525</v>
      </c>
      <c r="T75" s="2257">
        <f t="shared" si="5"/>
        <v>71579.479523809525</v>
      </c>
      <c r="U75" s="2257">
        <f t="shared" si="5"/>
        <v>71579.479523809525</v>
      </c>
      <c r="V75" s="2257">
        <f t="shared" si="5"/>
        <v>71579.479523809525</v>
      </c>
      <c r="W75" s="2257">
        <f t="shared" si="5"/>
        <v>71579.479523809525</v>
      </c>
      <c r="X75" s="2257">
        <f t="shared" si="5"/>
        <v>71579.479523809525</v>
      </c>
      <c r="Y75" s="2257">
        <f t="shared" si="5"/>
        <v>71579.479523809525</v>
      </c>
      <c r="Z75" s="2257">
        <f t="shared" si="5"/>
        <v>71579.479523809525</v>
      </c>
      <c r="AA75" s="2257">
        <f t="shared" si="5"/>
        <v>71579.479523809525</v>
      </c>
      <c r="AB75" s="2257">
        <f t="shared" si="5"/>
        <v>71579.479523809525</v>
      </c>
      <c r="AC75" s="2257">
        <f t="shared" si="5"/>
        <v>71579.479523809525</v>
      </c>
      <c r="AD75" s="2257">
        <f t="shared" si="5"/>
        <v>71579.479523809525</v>
      </c>
      <c r="AE75" s="2257">
        <f t="shared" si="5"/>
        <v>71579.479523809525</v>
      </c>
      <c r="AF75" s="2257">
        <f t="shared" si="5"/>
        <v>71579.479523809525</v>
      </c>
      <c r="AG75" s="2257">
        <f t="shared" si="5"/>
        <v>71579.479523809525</v>
      </c>
      <c r="AH75" s="2257">
        <f t="shared" si="5"/>
        <v>71579.479523809525</v>
      </c>
      <c r="AI75" s="2257">
        <f t="shared" si="5"/>
        <v>71579.479523809525</v>
      </c>
      <c r="AJ75" s="2257">
        <f t="shared" si="5"/>
        <v>71579.479523809525</v>
      </c>
      <c r="AK75" s="2257">
        <f t="shared" si="5"/>
        <v>71579.479523809525</v>
      </c>
      <c r="AL75" s="2257">
        <f t="shared" si="5"/>
        <v>71579.479523809525</v>
      </c>
      <c r="AM75" s="2257">
        <f t="shared" si="5"/>
        <v>71579.479523809525</v>
      </c>
      <c r="AN75" s="2257">
        <f t="shared" si="5"/>
        <v>71579.479523809525</v>
      </c>
      <c r="AO75" s="2257">
        <f t="shared" si="5"/>
        <v>71579.479523809525</v>
      </c>
      <c r="AP75" s="2257">
        <f t="shared" si="5"/>
        <v>71579.479523809525</v>
      </c>
      <c r="AQ75" s="2257">
        <f t="shared" si="5"/>
        <v>71579.479523809525</v>
      </c>
    </row>
    <row r="76" spans="2:43" x14ac:dyDescent="0.25">
      <c r="B76" s="2216"/>
      <c r="C76" s="2259" t="s">
        <v>1253</v>
      </c>
      <c r="D76" s="2250" t="s">
        <v>1225</v>
      </c>
      <c r="E76" s="2250" t="s">
        <v>136</v>
      </c>
      <c r="F76" s="2215"/>
      <c r="G76" s="2245">
        <v>25878.30178571428</v>
      </c>
      <c r="H76" s="2245">
        <v>25878.30178571428</v>
      </c>
      <c r="I76" s="2245">
        <v>25878.30178571428</v>
      </c>
      <c r="J76" s="2245">
        <v>25878.30178571428</v>
      </c>
      <c r="K76" s="2245">
        <v>25878.30178571428</v>
      </c>
      <c r="L76" s="2245">
        <v>25878.30178571428</v>
      </c>
      <c r="M76" s="2245">
        <v>25878.30178571428</v>
      </c>
      <c r="N76" s="2245">
        <v>25878.30178571428</v>
      </c>
      <c r="O76" s="2245">
        <v>25878.30178571428</v>
      </c>
      <c r="P76" s="2245">
        <v>25878.30178571428</v>
      </c>
      <c r="Q76" s="2245">
        <v>25878.30178571428</v>
      </c>
      <c r="R76" s="2245">
        <v>25878.30178571428</v>
      </c>
      <c r="S76" s="2245">
        <v>25878.30178571428</v>
      </c>
      <c r="T76" s="2245">
        <v>25878.30178571428</v>
      </c>
      <c r="U76" s="2245">
        <v>25878.30178571428</v>
      </c>
      <c r="V76" s="2245">
        <v>25878.30178571428</v>
      </c>
      <c r="W76" s="2245">
        <v>25878.30178571428</v>
      </c>
      <c r="X76" s="2245">
        <v>25878.30178571428</v>
      </c>
      <c r="Y76" s="2245">
        <v>25878.30178571428</v>
      </c>
      <c r="Z76" s="2245">
        <v>25878.30178571428</v>
      </c>
      <c r="AA76" s="2245">
        <v>25878.30178571428</v>
      </c>
      <c r="AB76" s="2245">
        <v>25878.30178571428</v>
      </c>
      <c r="AC76" s="2245">
        <v>25878.30178571428</v>
      </c>
      <c r="AD76" s="2245">
        <v>25878.30178571428</v>
      </c>
      <c r="AE76" s="2245">
        <v>25878.30178571428</v>
      </c>
      <c r="AF76" s="2245">
        <v>25878.30178571428</v>
      </c>
      <c r="AG76" s="2245">
        <v>25878.30178571428</v>
      </c>
      <c r="AH76" s="2245">
        <v>25878.30178571428</v>
      </c>
      <c r="AI76" s="2245">
        <v>25878.30178571428</v>
      </c>
      <c r="AJ76" s="2245">
        <v>25878.30178571428</v>
      </c>
      <c r="AK76" s="2245">
        <v>25878.30178571428</v>
      </c>
      <c r="AL76" s="2245">
        <v>25878.30178571428</v>
      </c>
      <c r="AM76" s="2245">
        <v>25878.30178571428</v>
      </c>
      <c r="AN76" s="2245">
        <v>25878.30178571428</v>
      </c>
      <c r="AO76" s="2245">
        <v>25878.30178571428</v>
      </c>
      <c r="AP76" s="2245">
        <v>25878.30178571428</v>
      </c>
      <c r="AQ76" s="2245">
        <v>25878.30178571428</v>
      </c>
    </row>
    <row r="77" spans="2:43" x14ac:dyDescent="0.25">
      <c r="B77" s="2216"/>
      <c r="C77" s="2259" t="s">
        <v>1254</v>
      </c>
      <c r="D77" s="2250" t="s">
        <v>1225</v>
      </c>
      <c r="E77" s="2250" t="s">
        <v>136</v>
      </c>
      <c r="F77" s="2215"/>
      <c r="G77" s="2245">
        <v>45687.235238095236</v>
      </c>
      <c r="H77" s="2245">
        <v>45687.235238095236</v>
      </c>
      <c r="I77" s="2245">
        <v>45687.235238095236</v>
      </c>
      <c r="J77" s="2245">
        <v>45687.235238095236</v>
      </c>
      <c r="K77" s="2245">
        <v>45687.235238095236</v>
      </c>
      <c r="L77" s="2245">
        <v>45687.235238095236</v>
      </c>
      <c r="M77" s="2245">
        <v>45687.235238095236</v>
      </c>
      <c r="N77" s="2245">
        <v>45687.235238095236</v>
      </c>
      <c r="O77" s="2245">
        <v>45687.235238095236</v>
      </c>
      <c r="P77" s="2245">
        <v>45687.235238095236</v>
      </c>
      <c r="Q77" s="2245">
        <v>45687.235238095236</v>
      </c>
      <c r="R77" s="2245">
        <v>45687.235238095236</v>
      </c>
      <c r="S77" s="2245">
        <v>45687.235238095236</v>
      </c>
      <c r="T77" s="2245">
        <v>45687.235238095236</v>
      </c>
      <c r="U77" s="2245">
        <v>45687.235238095236</v>
      </c>
      <c r="V77" s="2245">
        <v>45687.235238095236</v>
      </c>
      <c r="W77" s="2245">
        <v>45687.235238095236</v>
      </c>
      <c r="X77" s="2245">
        <v>45687.235238095236</v>
      </c>
      <c r="Y77" s="2245">
        <v>45687.235238095236</v>
      </c>
      <c r="Z77" s="2245">
        <v>45687.235238095236</v>
      </c>
      <c r="AA77" s="2245">
        <v>45687.235238095236</v>
      </c>
      <c r="AB77" s="2245">
        <v>45687.235238095236</v>
      </c>
      <c r="AC77" s="2245">
        <v>45687.235238095236</v>
      </c>
      <c r="AD77" s="2245">
        <v>45687.235238095236</v>
      </c>
      <c r="AE77" s="2245">
        <v>45687.235238095236</v>
      </c>
      <c r="AF77" s="2245">
        <v>45687.235238095236</v>
      </c>
      <c r="AG77" s="2245">
        <v>45687.235238095236</v>
      </c>
      <c r="AH77" s="2245">
        <v>45687.235238095236</v>
      </c>
      <c r="AI77" s="2245">
        <v>45687.235238095236</v>
      </c>
      <c r="AJ77" s="2245">
        <v>45687.235238095236</v>
      </c>
      <c r="AK77" s="2245">
        <v>45687.235238095236</v>
      </c>
      <c r="AL77" s="2245">
        <v>45687.235238095236</v>
      </c>
      <c r="AM77" s="2245">
        <v>45687.235238095236</v>
      </c>
      <c r="AN77" s="2245">
        <v>45687.235238095236</v>
      </c>
      <c r="AO77" s="2245">
        <v>45687.235238095236</v>
      </c>
      <c r="AP77" s="2245">
        <v>45687.235238095236</v>
      </c>
      <c r="AQ77" s="2245">
        <v>45687.235238095236</v>
      </c>
    </row>
    <row r="78" spans="2:43" x14ac:dyDescent="0.25">
      <c r="B78" s="2216"/>
      <c r="C78" s="2259" t="s">
        <v>1255</v>
      </c>
      <c r="D78" s="2250" t="s">
        <v>1225</v>
      </c>
      <c r="E78" s="2250" t="s">
        <v>136</v>
      </c>
      <c r="F78" s="2215"/>
      <c r="G78" s="2245">
        <v>0</v>
      </c>
      <c r="H78" s="2245">
        <v>0</v>
      </c>
      <c r="I78" s="2245">
        <v>0</v>
      </c>
      <c r="J78" s="2245">
        <v>0</v>
      </c>
      <c r="K78" s="2245">
        <v>0</v>
      </c>
      <c r="L78" s="2245">
        <v>0</v>
      </c>
      <c r="M78" s="2245"/>
      <c r="N78" s="2245">
        <v>0</v>
      </c>
      <c r="O78" s="2245">
        <v>0</v>
      </c>
      <c r="P78" s="2245">
        <v>0</v>
      </c>
      <c r="Q78" s="2245">
        <v>0</v>
      </c>
      <c r="R78" s="2245">
        <v>0</v>
      </c>
      <c r="S78" s="2245">
        <v>0</v>
      </c>
      <c r="T78" s="2245">
        <v>0</v>
      </c>
      <c r="U78" s="2245">
        <v>0</v>
      </c>
      <c r="V78" s="2245"/>
      <c r="W78" s="2245">
        <v>0</v>
      </c>
      <c r="X78" s="2245">
        <v>0</v>
      </c>
      <c r="Y78" s="2245">
        <v>0</v>
      </c>
      <c r="Z78" s="2245">
        <v>0</v>
      </c>
      <c r="AA78" s="2245">
        <v>0</v>
      </c>
      <c r="AB78" s="2245">
        <v>0</v>
      </c>
      <c r="AC78" s="2245">
        <v>0</v>
      </c>
      <c r="AD78" s="2245">
        <v>0</v>
      </c>
      <c r="AE78" s="2245">
        <v>0</v>
      </c>
      <c r="AF78" s="2245">
        <v>0</v>
      </c>
      <c r="AG78" s="2245">
        <v>0</v>
      </c>
      <c r="AH78" s="2245">
        <v>0</v>
      </c>
      <c r="AI78" s="2245">
        <v>0</v>
      </c>
      <c r="AJ78" s="2245">
        <v>0</v>
      </c>
      <c r="AK78" s="2245">
        <v>0</v>
      </c>
      <c r="AL78" s="2245">
        <v>0</v>
      </c>
      <c r="AM78" s="2245">
        <v>0</v>
      </c>
      <c r="AN78" s="2245">
        <v>0</v>
      </c>
      <c r="AO78" s="2245"/>
      <c r="AP78" s="2245">
        <v>0</v>
      </c>
      <c r="AQ78" s="2245">
        <v>0</v>
      </c>
    </row>
    <row r="79" spans="2:43" x14ac:dyDescent="0.25">
      <c r="B79" s="2216"/>
      <c r="C79" s="2260" t="s">
        <v>1256</v>
      </c>
      <c r="D79" s="2251" t="s">
        <v>1225</v>
      </c>
      <c r="E79" s="2251" t="s">
        <v>136</v>
      </c>
      <c r="F79" s="2248"/>
      <c r="G79" s="2249">
        <v>13.942500000000001</v>
      </c>
      <c r="H79" s="2249">
        <v>13.942500000000001</v>
      </c>
      <c r="I79" s="2249">
        <v>13.942500000000001</v>
      </c>
      <c r="J79" s="2249">
        <v>13.942500000000001</v>
      </c>
      <c r="K79" s="2249">
        <v>13.942500000000001</v>
      </c>
      <c r="L79" s="2249">
        <v>13.942500000000001</v>
      </c>
      <c r="M79" s="2249">
        <v>13.942500000000001</v>
      </c>
      <c r="N79" s="2249">
        <v>13.942500000000001</v>
      </c>
      <c r="O79" s="2249">
        <v>13.942500000000001</v>
      </c>
      <c r="P79" s="2249">
        <v>13.942500000000001</v>
      </c>
      <c r="Q79" s="2249">
        <v>13.942500000000001</v>
      </c>
      <c r="R79" s="2249">
        <v>13.942500000000001</v>
      </c>
      <c r="S79" s="2249">
        <v>13.942500000000001</v>
      </c>
      <c r="T79" s="2249">
        <v>13.942500000000001</v>
      </c>
      <c r="U79" s="2249">
        <v>13.942500000000001</v>
      </c>
      <c r="V79" s="2249">
        <v>13.942500000000001</v>
      </c>
      <c r="W79" s="2249">
        <v>13.942500000000001</v>
      </c>
      <c r="X79" s="2249">
        <v>13.942500000000001</v>
      </c>
      <c r="Y79" s="2249">
        <v>13.942500000000001</v>
      </c>
      <c r="Z79" s="2249">
        <v>13.942500000000001</v>
      </c>
      <c r="AA79" s="2249">
        <v>13.942500000000001</v>
      </c>
      <c r="AB79" s="2249">
        <v>13.942500000000001</v>
      </c>
      <c r="AC79" s="2249">
        <v>13.942500000000001</v>
      </c>
      <c r="AD79" s="2249">
        <v>13.942500000000001</v>
      </c>
      <c r="AE79" s="2249">
        <v>13.942500000000001</v>
      </c>
      <c r="AF79" s="2249">
        <v>13.942500000000001</v>
      </c>
      <c r="AG79" s="2249">
        <v>13.942500000000001</v>
      </c>
      <c r="AH79" s="2249">
        <v>13.942500000000001</v>
      </c>
      <c r="AI79" s="2249">
        <v>13.942500000000001</v>
      </c>
      <c r="AJ79" s="2249">
        <v>13.942500000000001</v>
      </c>
      <c r="AK79" s="2249">
        <v>13.942500000000001</v>
      </c>
      <c r="AL79" s="2249">
        <v>13.942500000000001</v>
      </c>
      <c r="AM79" s="2249">
        <v>13.942500000000001</v>
      </c>
      <c r="AN79" s="2249">
        <v>13.942500000000001</v>
      </c>
      <c r="AO79" s="2249">
        <v>13.942500000000001</v>
      </c>
      <c r="AP79" s="2249">
        <v>13.942500000000001</v>
      </c>
      <c r="AQ79" s="2249">
        <v>13.942500000000001</v>
      </c>
    </row>
    <row r="80" spans="2:43" x14ac:dyDescent="0.25">
      <c r="B80" s="2216"/>
      <c r="C80" s="2247"/>
      <c r="D80" s="2251"/>
      <c r="E80" s="2251"/>
      <c r="F80" s="2248"/>
      <c r="G80" s="2261"/>
      <c r="H80" s="2261"/>
      <c r="I80" s="2261"/>
      <c r="J80" s="2261"/>
      <c r="K80" s="2261"/>
      <c r="L80" s="2261"/>
      <c r="M80" s="2261"/>
      <c r="N80" s="2261"/>
      <c r="O80" s="2261"/>
      <c r="P80" s="2261"/>
      <c r="Q80" s="2261"/>
      <c r="R80" s="2261"/>
      <c r="S80" s="2261"/>
      <c r="T80" s="2261"/>
      <c r="U80" s="2261"/>
      <c r="V80" s="2261"/>
      <c r="W80" s="2261"/>
      <c r="X80" s="2261"/>
      <c r="Y80" s="2261"/>
      <c r="Z80" s="2261"/>
      <c r="AA80" s="2261"/>
      <c r="AB80" s="2261"/>
      <c r="AC80" s="2261"/>
      <c r="AD80" s="2261"/>
      <c r="AE80" s="2261"/>
      <c r="AF80" s="2261"/>
      <c r="AG80" s="2261"/>
      <c r="AH80" s="2261"/>
      <c r="AI80" s="2261"/>
      <c r="AJ80" s="2261"/>
      <c r="AK80" s="2261"/>
      <c r="AL80" s="2261"/>
      <c r="AM80" s="2261"/>
      <c r="AN80" s="2261"/>
      <c r="AO80" s="2261"/>
      <c r="AP80" s="2261"/>
      <c r="AQ80" s="2261"/>
    </row>
    <row r="81" spans="1:43" x14ac:dyDescent="0.25">
      <c r="B81" s="2216"/>
      <c r="C81" s="2218"/>
      <c r="D81" s="2218"/>
      <c r="E81" s="2218"/>
      <c r="F81" s="2218"/>
      <c r="G81" s="2218"/>
      <c r="H81" s="2218"/>
      <c r="I81" s="2218"/>
      <c r="J81" s="2218"/>
      <c r="K81" s="2218"/>
      <c r="L81" s="2218"/>
      <c r="M81" s="2218"/>
      <c r="N81" s="2218"/>
      <c r="O81" s="2218"/>
      <c r="P81" s="2218"/>
      <c r="Q81" s="2218"/>
      <c r="R81" s="2218"/>
      <c r="S81" s="2218"/>
      <c r="T81" s="2218"/>
      <c r="U81" s="2218"/>
      <c r="V81" s="2218"/>
      <c r="W81" s="2218"/>
      <c r="X81" s="2218"/>
      <c r="Y81" s="2218"/>
      <c r="Z81" s="2218"/>
      <c r="AA81" s="2218"/>
      <c r="AB81" s="2218"/>
      <c r="AC81" s="2218"/>
      <c r="AD81" s="2218"/>
      <c r="AE81" s="2218"/>
      <c r="AF81" s="2218"/>
      <c r="AG81" s="2218"/>
      <c r="AH81" s="2218"/>
      <c r="AI81" s="2218"/>
      <c r="AJ81" s="2218"/>
      <c r="AK81" s="2218"/>
      <c r="AL81" s="2218"/>
      <c r="AM81" s="2218"/>
      <c r="AN81" s="2218"/>
      <c r="AO81" s="2218"/>
      <c r="AP81" s="2218"/>
      <c r="AQ81" s="2218"/>
    </row>
    <row r="82" spans="1:43" x14ac:dyDescent="0.25">
      <c r="B82" s="2216"/>
      <c r="C82" s="2218" t="s">
        <v>1257</v>
      </c>
      <c r="D82" s="2218"/>
      <c r="E82" s="2218"/>
      <c r="F82" s="2218"/>
      <c r="G82" s="2218"/>
      <c r="H82" s="2218"/>
      <c r="I82" s="2218"/>
      <c r="J82" s="2218"/>
      <c r="K82" s="2218"/>
      <c r="L82" s="2218"/>
      <c r="M82" s="2218"/>
      <c r="N82" s="2218"/>
      <c r="O82" s="2218"/>
      <c r="P82" s="2218"/>
      <c r="Q82" s="2218"/>
      <c r="R82" s="2218"/>
      <c r="S82" s="2218"/>
      <c r="T82" s="2218"/>
      <c r="U82" s="2218"/>
      <c r="V82" s="2218"/>
      <c r="W82" s="2218"/>
      <c r="X82" s="2218"/>
      <c r="Y82" s="2218"/>
      <c r="Z82" s="2218"/>
      <c r="AA82" s="2218"/>
      <c r="AB82" s="2218"/>
      <c r="AC82" s="2218"/>
      <c r="AD82" s="2218"/>
      <c r="AE82" s="2218"/>
      <c r="AF82" s="2218"/>
      <c r="AG82" s="2218"/>
      <c r="AH82" s="2218"/>
      <c r="AI82" s="2218"/>
      <c r="AJ82" s="2218"/>
      <c r="AK82" s="2218"/>
      <c r="AL82" s="2218"/>
      <c r="AM82" s="2218"/>
      <c r="AN82" s="2218"/>
      <c r="AO82" s="2218"/>
      <c r="AP82" s="2218"/>
      <c r="AQ82" s="2218"/>
    </row>
    <row r="83" spans="1:43" x14ac:dyDescent="0.25">
      <c r="B83" s="2216"/>
      <c r="C83" s="2219" t="s">
        <v>521</v>
      </c>
      <c r="D83" s="2219" t="s">
        <v>1029</v>
      </c>
      <c r="E83" s="2219" t="s">
        <v>8</v>
      </c>
      <c r="F83" s="2219"/>
      <c r="G83" s="2219">
        <v>2014</v>
      </c>
      <c r="H83" s="2219">
        <v>2015</v>
      </c>
      <c r="I83" s="2219">
        <v>2016</v>
      </c>
      <c r="J83" s="2219">
        <v>2017</v>
      </c>
      <c r="K83" s="2219">
        <v>2018</v>
      </c>
      <c r="L83" s="2219">
        <v>2019</v>
      </c>
      <c r="M83" s="2219">
        <v>2020</v>
      </c>
      <c r="N83" s="2219">
        <v>2021</v>
      </c>
      <c r="O83" s="2219">
        <v>2022</v>
      </c>
      <c r="P83" s="2219">
        <v>2023</v>
      </c>
      <c r="Q83" s="2219">
        <v>2024</v>
      </c>
      <c r="R83" s="2219">
        <v>2025</v>
      </c>
      <c r="S83" s="2219">
        <v>2026</v>
      </c>
      <c r="T83" s="2219">
        <v>2027</v>
      </c>
      <c r="U83" s="2219">
        <v>2028</v>
      </c>
      <c r="V83" s="2219">
        <v>2029</v>
      </c>
      <c r="W83" s="2219">
        <v>2030</v>
      </c>
      <c r="X83" s="2219">
        <v>2031</v>
      </c>
      <c r="Y83" s="2219">
        <v>2032</v>
      </c>
      <c r="Z83" s="2219">
        <v>2033</v>
      </c>
      <c r="AA83" s="2219">
        <v>2034</v>
      </c>
      <c r="AB83" s="2219">
        <v>2035</v>
      </c>
      <c r="AC83" s="2219">
        <v>2036</v>
      </c>
      <c r="AD83" s="2219">
        <v>2037</v>
      </c>
      <c r="AE83" s="2219">
        <v>2038</v>
      </c>
      <c r="AF83" s="2219">
        <v>2039</v>
      </c>
      <c r="AG83" s="2219">
        <v>2040</v>
      </c>
      <c r="AH83" s="2219">
        <v>2041</v>
      </c>
      <c r="AI83" s="2219">
        <v>2042</v>
      </c>
      <c r="AJ83" s="2219">
        <v>2043</v>
      </c>
      <c r="AK83" s="2219">
        <v>2044</v>
      </c>
      <c r="AL83" s="2219">
        <v>2045</v>
      </c>
      <c r="AM83" s="2219">
        <v>2046</v>
      </c>
      <c r="AN83" s="2219">
        <v>2047</v>
      </c>
      <c r="AO83" s="2219">
        <v>2048</v>
      </c>
      <c r="AP83" s="2219">
        <v>2049</v>
      </c>
      <c r="AQ83" s="2219">
        <v>2050</v>
      </c>
    </row>
    <row r="84" spans="1:43" x14ac:dyDescent="0.25">
      <c r="B84" s="2216"/>
      <c r="C84" s="2244" t="s">
        <v>1226</v>
      </c>
      <c r="D84" s="2250" t="s">
        <v>1258</v>
      </c>
      <c r="E84" s="2220" t="s">
        <v>136</v>
      </c>
      <c r="F84" s="2262"/>
      <c r="G84" s="2262">
        <v>5.3</v>
      </c>
      <c r="H84" s="2262">
        <v>5.3</v>
      </c>
      <c r="I84" s="2262">
        <v>5.3</v>
      </c>
      <c r="J84" s="2262">
        <v>5.3</v>
      </c>
      <c r="K84" s="2262">
        <v>5.3</v>
      </c>
      <c r="L84" s="2262">
        <v>5.3</v>
      </c>
      <c r="M84" s="2262">
        <v>5.3</v>
      </c>
      <c r="N84" s="2262">
        <v>5.3</v>
      </c>
      <c r="O84" s="2262">
        <v>5.3</v>
      </c>
      <c r="P84" s="2262">
        <v>5.3</v>
      </c>
      <c r="Q84" s="2262">
        <v>5.3</v>
      </c>
      <c r="R84" s="2262">
        <v>5.3</v>
      </c>
      <c r="S84" s="2262">
        <v>5.3</v>
      </c>
      <c r="T84" s="2262">
        <v>5.3</v>
      </c>
      <c r="U84" s="2262">
        <v>5.3</v>
      </c>
      <c r="V84" s="2262">
        <v>5.3</v>
      </c>
      <c r="W84" s="2262">
        <v>5.3</v>
      </c>
      <c r="X84" s="2262">
        <v>5.3</v>
      </c>
      <c r="Y84" s="2262">
        <v>5.3</v>
      </c>
      <c r="Z84" s="2262">
        <v>5.3</v>
      </c>
      <c r="AA84" s="2262">
        <v>5.3</v>
      </c>
      <c r="AB84" s="2262">
        <v>5.3</v>
      </c>
      <c r="AC84" s="2262">
        <v>5.3</v>
      </c>
      <c r="AD84" s="2262">
        <v>5.3</v>
      </c>
      <c r="AE84" s="2262">
        <v>5.3</v>
      </c>
      <c r="AF84" s="2262">
        <v>5.3</v>
      </c>
      <c r="AG84" s="2262">
        <v>5.3</v>
      </c>
      <c r="AH84" s="2262">
        <v>5.3</v>
      </c>
      <c r="AI84" s="2262">
        <v>5.3</v>
      </c>
      <c r="AJ84" s="2262">
        <v>5.3</v>
      </c>
      <c r="AK84" s="2262">
        <v>5.3</v>
      </c>
      <c r="AL84" s="2262">
        <v>5.3</v>
      </c>
      <c r="AM84" s="2262">
        <v>5.3</v>
      </c>
      <c r="AN84" s="2262">
        <v>5.3</v>
      </c>
      <c r="AO84" s="2262">
        <v>5.3</v>
      </c>
      <c r="AP84" s="2262">
        <v>5.3</v>
      </c>
      <c r="AQ84" s="2262">
        <v>5.3</v>
      </c>
    </row>
    <row r="85" spans="1:43" x14ac:dyDescent="0.25">
      <c r="B85" s="2216"/>
      <c r="C85" s="2244" t="s">
        <v>1259</v>
      </c>
      <c r="D85" s="2250" t="s">
        <v>1258</v>
      </c>
      <c r="E85" s="2220" t="s">
        <v>136</v>
      </c>
      <c r="F85" s="2262"/>
      <c r="G85" s="2262">
        <v>5.3</v>
      </c>
      <c r="H85" s="2262">
        <v>5.3</v>
      </c>
      <c r="I85" s="2262">
        <v>5.3</v>
      </c>
      <c r="J85" s="2262">
        <v>5.3</v>
      </c>
      <c r="K85" s="2262">
        <v>5.3</v>
      </c>
      <c r="L85" s="2262">
        <v>5.3</v>
      </c>
      <c r="M85" s="2262">
        <v>5.3</v>
      </c>
      <c r="N85" s="2262">
        <v>5.3</v>
      </c>
      <c r="O85" s="2262">
        <v>5.3</v>
      </c>
      <c r="P85" s="2262">
        <v>5.3</v>
      </c>
      <c r="Q85" s="2262">
        <v>5.3</v>
      </c>
      <c r="R85" s="2262">
        <v>5.3</v>
      </c>
      <c r="S85" s="2262">
        <v>5.3</v>
      </c>
      <c r="T85" s="2262">
        <v>5.3</v>
      </c>
      <c r="U85" s="2262">
        <v>5.3</v>
      </c>
      <c r="V85" s="2262">
        <v>5.3</v>
      </c>
      <c r="W85" s="2262">
        <v>5.3</v>
      </c>
      <c r="X85" s="2262">
        <v>5.3</v>
      </c>
      <c r="Y85" s="2262">
        <v>5.3</v>
      </c>
      <c r="Z85" s="2262">
        <v>5.3</v>
      </c>
      <c r="AA85" s="2262">
        <v>5.3</v>
      </c>
      <c r="AB85" s="2262">
        <v>5.3</v>
      </c>
      <c r="AC85" s="2262">
        <v>5.3</v>
      </c>
      <c r="AD85" s="2262">
        <v>5.3</v>
      </c>
      <c r="AE85" s="2262">
        <v>5.3</v>
      </c>
      <c r="AF85" s="2262">
        <v>5.3</v>
      </c>
      <c r="AG85" s="2262">
        <v>5.3</v>
      </c>
      <c r="AH85" s="2262">
        <v>5.3</v>
      </c>
      <c r="AI85" s="2262">
        <v>5.3</v>
      </c>
      <c r="AJ85" s="2262">
        <v>5.3</v>
      </c>
      <c r="AK85" s="2262">
        <v>5.3</v>
      </c>
      <c r="AL85" s="2262">
        <v>5.3</v>
      </c>
      <c r="AM85" s="2262">
        <v>5.3</v>
      </c>
      <c r="AN85" s="2262">
        <v>5.3</v>
      </c>
      <c r="AO85" s="2262">
        <v>5.3</v>
      </c>
      <c r="AP85" s="2262">
        <v>5.3</v>
      </c>
      <c r="AQ85" s="2262">
        <v>5.3</v>
      </c>
    </row>
    <row r="86" spans="1:43" x14ac:dyDescent="0.25">
      <c r="B86" s="2216"/>
      <c r="C86" s="2244" t="s">
        <v>1260</v>
      </c>
      <c r="D86" s="2250" t="s">
        <v>1258</v>
      </c>
      <c r="E86" s="2220" t="s">
        <v>136</v>
      </c>
      <c r="F86" s="2262"/>
      <c r="G86" s="2262">
        <v>5.3</v>
      </c>
      <c r="H86" s="2262">
        <v>5.3</v>
      </c>
      <c r="I86" s="2262">
        <v>5.3</v>
      </c>
      <c r="J86" s="2262">
        <v>5.3</v>
      </c>
      <c r="K86" s="2262">
        <v>5.3</v>
      </c>
      <c r="L86" s="2262">
        <v>5.3</v>
      </c>
      <c r="M86" s="2262">
        <v>5.3</v>
      </c>
      <c r="N86" s="2262">
        <v>5.3</v>
      </c>
      <c r="O86" s="2262">
        <v>5.3</v>
      </c>
      <c r="P86" s="2262">
        <v>5.3</v>
      </c>
      <c r="Q86" s="2262">
        <v>5.3</v>
      </c>
      <c r="R86" s="2262">
        <v>5.3</v>
      </c>
      <c r="S86" s="2262">
        <v>5.3</v>
      </c>
      <c r="T86" s="2262">
        <v>5.3</v>
      </c>
      <c r="U86" s="2262">
        <v>5.3</v>
      </c>
      <c r="V86" s="2262">
        <v>5.3</v>
      </c>
      <c r="W86" s="2262">
        <v>5.3</v>
      </c>
      <c r="X86" s="2262">
        <v>5.3</v>
      </c>
      <c r="Y86" s="2262">
        <v>5.3</v>
      </c>
      <c r="Z86" s="2262">
        <v>5.3</v>
      </c>
      <c r="AA86" s="2262">
        <v>5.3</v>
      </c>
      <c r="AB86" s="2262">
        <v>5.3</v>
      </c>
      <c r="AC86" s="2262">
        <v>5.3</v>
      </c>
      <c r="AD86" s="2262">
        <v>5.3</v>
      </c>
      <c r="AE86" s="2262">
        <v>5.3</v>
      </c>
      <c r="AF86" s="2262">
        <v>5.3</v>
      </c>
      <c r="AG86" s="2262">
        <v>5.3</v>
      </c>
      <c r="AH86" s="2262">
        <v>5.3</v>
      </c>
      <c r="AI86" s="2262">
        <v>5.3</v>
      </c>
      <c r="AJ86" s="2262">
        <v>5.3</v>
      </c>
      <c r="AK86" s="2262">
        <v>5.3</v>
      </c>
      <c r="AL86" s="2262">
        <v>5.3</v>
      </c>
      <c r="AM86" s="2262">
        <v>5.3</v>
      </c>
      <c r="AN86" s="2262">
        <v>5.3</v>
      </c>
      <c r="AO86" s="2262">
        <v>5.3</v>
      </c>
      <c r="AP86" s="2262">
        <v>5.3</v>
      </c>
      <c r="AQ86" s="2262">
        <v>5.3</v>
      </c>
    </row>
    <row r="87" spans="1:43" x14ac:dyDescent="0.25">
      <c r="B87" s="2216"/>
      <c r="C87" s="2244" t="s">
        <v>1261</v>
      </c>
      <c r="D87" s="2250" t="s">
        <v>1258</v>
      </c>
      <c r="E87" s="2220" t="s">
        <v>136</v>
      </c>
      <c r="F87" s="2262"/>
      <c r="G87" s="2262">
        <v>15</v>
      </c>
      <c r="H87" s="2262">
        <v>15</v>
      </c>
      <c r="I87" s="2262">
        <v>15</v>
      </c>
      <c r="J87" s="2262">
        <v>15</v>
      </c>
      <c r="K87" s="2262">
        <v>15</v>
      </c>
      <c r="L87" s="2262">
        <v>15</v>
      </c>
      <c r="M87" s="2262">
        <v>15</v>
      </c>
      <c r="N87" s="2262">
        <v>15</v>
      </c>
      <c r="O87" s="2262">
        <v>15</v>
      </c>
      <c r="P87" s="2262">
        <v>15</v>
      </c>
      <c r="Q87" s="2262">
        <v>15</v>
      </c>
      <c r="R87" s="2262">
        <v>15</v>
      </c>
      <c r="S87" s="2262">
        <v>15</v>
      </c>
      <c r="T87" s="2262">
        <v>15</v>
      </c>
      <c r="U87" s="2262">
        <v>15</v>
      </c>
      <c r="V87" s="2262">
        <v>15</v>
      </c>
      <c r="W87" s="2262">
        <v>15</v>
      </c>
      <c r="X87" s="2262">
        <v>15</v>
      </c>
      <c r="Y87" s="2262">
        <v>15</v>
      </c>
      <c r="Z87" s="2262">
        <v>15</v>
      </c>
      <c r="AA87" s="2262">
        <v>15</v>
      </c>
      <c r="AB87" s="2262">
        <v>15</v>
      </c>
      <c r="AC87" s="2262">
        <v>15</v>
      </c>
      <c r="AD87" s="2262">
        <v>15</v>
      </c>
      <c r="AE87" s="2262">
        <v>15</v>
      </c>
      <c r="AF87" s="2262">
        <v>15</v>
      </c>
      <c r="AG87" s="2262">
        <v>15</v>
      </c>
      <c r="AH87" s="2262">
        <v>15</v>
      </c>
      <c r="AI87" s="2262">
        <v>15</v>
      </c>
      <c r="AJ87" s="2262">
        <v>15</v>
      </c>
      <c r="AK87" s="2262">
        <v>15</v>
      </c>
      <c r="AL87" s="2262">
        <v>15</v>
      </c>
      <c r="AM87" s="2262">
        <v>15</v>
      </c>
      <c r="AN87" s="2262">
        <v>15</v>
      </c>
      <c r="AO87" s="2262">
        <v>15</v>
      </c>
      <c r="AP87" s="2262">
        <v>15</v>
      </c>
      <c r="AQ87" s="2262">
        <v>15</v>
      </c>
    </row>
    <row r="88" spans="1:43" x14ac:dyDescent="0.25">
      <c r="B88" s="2216"/>
      <c r="C88" s="2244" t="s">
        <v>1235</v>
      </c>
      <c r="D88" s="2250" t="s">
        <v>1258</v>
      </c>
      <c r="E88" s="2220" t="s">
        <v>1087</v>
      </c>
      <c r="F88" s="2262"/>
      <c r="G88" s="2262">
        <v>23</v>
      </c>
      <c r="H88" s="2262">
        <v>23</v>
      </c>
      <c r="I88" s="2262">
        <v>23</v>
      </c>
      <c r="J88" s="2262">
        <v>23</v>
      </c>
      <c r="K88" s="2262">
        <v>23</v>
      </c>
      <c r="L88" s="2262">
        <v>23</v>
      </c>
      <c r="M88" s="2262">
        <v>23</v>
      </c>
      <c r="N88" s="2262">
        <v>23</v>
      </c>
      <c r="O88" s="2262">
        <v>23</v>
      </c>
      <c r="P88" s="2262">
        <v>23</v>
      </c>
      <c r="Q88" s="2262">
        <v>23</v>
      </c>
      <c r="R88" s="2262">
        <v>23</v>
      </c>
      <c r="S88" s="2262">
        <v>23</v>
      </c>
      <c r="T88" s="2262">
        <v>23</v>
      </c>
      <c r="U88" s="2262">
        <v>23</v>
      </c>
      <c r="V88" s="2262">
        <v>23</v>
      </c>
      <c r="W88" s="2262">
        <v>23</v>
      </c>
      <c r="X88" s="2262">
        <v>23</v>
      </c>
      <c r="Y88" s="2262">
        <v>23</v>
      </c>
      <c r="Z88" s="2262">
        <v>23</v>
      </c>
      <c r="AA88" s="2262">
        <v>23</v>
      </c>
      <c r="AB88" s="2262">
        <v>23</v>
      </c>
      <c r="AC88" s="2262">
        <v>23</v>
      </c>
      <c r="AD88" s="2262">
        <v>23</v>
      </c>
      <c r="AE88" s="2262">
        <v>23</v>
      </c>
      <c r="AF88" s="2262">
        <v>23</v>
      </c>
      <c r="AG88" s="2262">
        <v>23</v>
      </c>
      <c r="AH88" s="2262">
        <v>23</v>
      </c>
      <c r="AI88" s="2262">
        <v>23</v>
      </c>
      <c r="AJ88" s="2262">
        <v>23</v>
      </c>
      <c r="AK88" s="2262">
        <v>23</v>
      </c>
      <c r="AL88" s="2262">
        <v>23</v>
      </c>
      <c r="AM88" s="2262">
        <v>23</v>
      </c>
      <c r="AN88" s="2262">
        <v>23</v>
      </c>
      <c r="AO88" s="2262">
        <v>23</v>
      </c>
      <c r="AP88" s="2262">
        <v>23</v>
      </c>
      <c r="AQ88" s="2262">
        <v>23</v>
      </c>
    </row>
    <row r="89" spans="1:43" x14ac:dyDescent="0.25">
      <c r="B89" s="2216"/>
      <c r="C89" s="2244" t="s">
        <v>1236</v>
      </c>
      <c r="D89" s="2250" t="s">
        <v>1258</v>
      </c>
      <c r="E89" s="2220" t="s">
        <v>1087</v>
      </c>
      <c r="F89" s="2262"/>
      <c r="G89" s="2262">
        <v>32</v>
      </c>
      <c r="H89" s="2262">
        <v>32</v>
      </c>
      <c r="I89" s="2262">
        <v>32</v>
      </c>
      <c r="J89" s="2262">
        <v>32</v>
      </c>
      <c r="K89" s="2262">
        <v>32</v>
      </c>
      <c r="L89" s="2262">
        <v>32</v>
      </c>
      <c r="M89" s="2262">
        <v>32</v>
      </c>
      <c r="N89" s="2262">
        <v>32</v>
      </c>
      <c r="O89" s="2262">
        <v>32</v>
      </c>
      <c r="P89" s="2262">
        <v>32</v>
      </c>
      <c r="Q89" s="2262">
        <v>32</v>
      </c>
      <c r="R89" s="2262">
        <v>32</v>
      </c>
      <c r="S89" s="2262">
        <v>32</v>
      </c>
      <c r="T89" s="2262">
        <v>32</v>
      </c>
      <c r="U89" s="2262">
        <v>32</v>
      </c>
      <c r="V89" s="2262">
        <v>32</v>
      </c>
      <c r="W89" s="2262">
        <v>32</v>
      </c>
      <c r="X89" s="2262">
        <v>32</v>
      </c>
      <c r="Y89" s="2262">
        <v>32</v>
      </c>
      <c r="Z89" s="2262">
        <v>32</v>
      </c>
      <c r="AA89" s="2262">
        <v>32</v>
      </c>
      <c r="AB89" s="2262">
        <v>32</v>
      </c>
      <c r="AC89" s="2262">
        <v>32</v>
      </c>
      <c r="AD89" s="2262">
        <v>32</v>
      </c>
      <c r="AE89" s="2262">
        <v>32</v>
      </c>
      <c r="AF89" s="2262">
        <v>32</v>
      </c>
      <c r="AG89" s="2262">
        <v>32</v>
      </c>
      <c r="AH89" s="2262">
        <v>32</v>
      </c>
      <c r="AI89" s="2262">
        <v>32</v>
      </c>
      <c r="AJ89" s="2262">
        <v>32</v>
      </c>
      <c r="AK89" s="2262">
        <v>32</v>
      </c>
      <c r="AL89" s="2262">
        <v>32</v>
      </c>
      <c r="AM89" s="2262">
        <v>32</v>
      </c>
      <c r="AN89" s="2262">
        <v>32</v>
      </c>
      <c r="AO89" s="2262">
        <v>32</v>
      </c>
      <c r="AP89" s="2262">
        <v>32</v>
      </c>
      <c r="AQ89" s="2262">
        <v>32</v>
      </c>
    </row>
    <row r="90" spans="1:43" x14ac:dyDescent="0.25">
      <c r="B90" s="2216"/>
      <c r="C90" s="2244" t="s">
        <v>1262</v>
      </c>
      <c r="D90" s="2250" t="s">
        <v>1258</v>
      </c>
      <c r="E90" s="2220" t="s">
        <v>136</v>
      </c>
      <c r="F90" s="2218"/>
      <c r="G90" s="2262">
        <v>10.029999999999999</v>
      </c>
      <c r="H90" s="2262">
        <v>10.029999999999999</v>
      </c>
      <c r="I90" s="2262">
        <v>10.029999999999999</v>
      </c>
      <c r="J90" s="2262">
        <v>10.029999999999999</v>
      </c>
      <c r="K90" s="2262">
        <v>10.029999999999999</v>
      </c>
      <c r="L90" s="2262">
        <v>10.029999999999999</v>
      </c>
      <c r="M90" s="2262">
        <v>10.029999999999999</v>
      </c>
      <c r="N90" s="2262">
        <v>10.029999999999999</v>
      </c>
      <c r="O90" s="2262">
        <v>10.029999999999999</v>
      </c>
      <c r="P90" s="2262">
        <v>10.029999999999999</v>
      </c>
      <c r="Q90" s="2262">
        <v>10.029999999999999</v>
      </c>
      <c r="R90" s="2262">
        <v>10.029999999999999</v>
      </c>
      <c r="S90" s="2262">
        <v>10.029999999999999</v>
      </c>
      <c r="T90" s="2262">
        <v>10.029999999999999</v>
      </c>
      <c r="U90" s="2262">
        <v>10.029999999999999</v>
      </c>
      <c r="V90" s="2262">
        <v>10.029999999999999</v>
      </c>
      <c r="W90" s="2262">
        <v>10.029999999999999</v>
      </c>
      <c r="X90" s="2262">
        <v>10.029999999999999</v>
      </c>
      <c r="Y90" s="2262">
        <v>10.029999999999999</v>
      </c>
      <c r="Z90" s="2262">
        <v>10.029999999999999</v>
      </c>
      <c r="AA90" s="2262">
        <v>10.029999999999999</v>
      </c>
      <c r="AB90" s="2262">
        <v>10.029999999999999</v>
      </c>
      <c r="AC90" s="2262">
        <v>10.029999999999999</v>
      </c>
      <c r="AD90" s="2262">
        <v>10.029999999999999</v>
      </c>
      <c r="AE90" s="2262">
        <v>10.029999999999999</v>
      </c>
      <c r="AF90" s="2262">
        <v>10.029999999999999</v>
      </c>
      <c r="AG90" s="2262">
        <v>10.029999999999999</v>
      </c>
      <c r="AH90" s="2262">
        <v>10.029999999999999</v>
      </c>
      <c r="AI90" s="2262">
        <v>10.029999999999999</v>
      </c>
      <c r="AJ90" s="2262">
        <v>10.029999999999999</v>
      </c>
      <c r="AK90" s="2262">
        <v>10.029999999999999</v>
      </c>
      <c r="AL90" s="2262">
        <v>10.029999999999999</v>
      </c>
      <c r="AM90" s="2262">
        <v>10.029999999999999</v>
      </c>
      <c r="AN90" s="2262">
        <v>10.029999999999999</v>
      </c>
      <c r="AO90" s="2262">
        <v>10.029999999999999</v>
      </c>
      <c r="AP90" s="2262">
        <v>10.029999999999999</v>
      </c>
      <c r="AQ90" s="2262">
        <v>10.029999999999999</v>
      </c>
    </row>
    <row r="91" spans="1:43" x14ac:dyDescent="0.25">
      <c r="B91" s="2216"/>
      <c r="C91" s="2247" t="s">
        <v>1240</v>
      </c>
      <c r="D91" s="2251" t="s">
        <v>1258</v>
      </c>
      <c r="E91" s="2222" t="s">
        <v>1073</v>
      </c>
      <c r="F91" s="2263"/>
      <c r="G91" s="2264">
        <v>8.74</v>
      </c>
      <c r="H91" s="2264">
        <v>8.74</v>
      </c>
      <c r="I91" s="2264">
        <v>8.74</v>
      </c>
      <c r="J91" s="2264">
        <v>8.74</v>
      </c>
      <c r="K91" s="2264">
        <v>8.74</v>
      </c>
      <c r="L91" s="2264">
        <v>8.74</v>
      </c>
      <c r="M91" s="2264">
        <v>8.74</v>
      </c>
      <c r="N91" s="2264">
        <v>8.74</v>
      </c>
      <c r="O91" s="2264">
        <v>8.74</v>
      </c>
      <c r="P91" s="2264">
        <v>8.74</v>
      </c>
      <c r="Q91" s="2264">
        <v>8.74</v>
      </c>
      <c r="R91" s="2264">
        <v>8.74</v>
      </c>
      <c r="S91" s="2264">
        <v>8.74</v>
      </c>
      <c r="T91" s="2264">
        <v>8.74</v>
      </c>
      <c r="U91" s="2264">
        <v>8.74</v>
      </c>
      <c r="V91" s="2264">
        <v>8.74</v>
      </c>
      <c r="W91" s="2264">
        <v>8.74</v>
      </c>
      <c r="X91" s="2264">
        <v>8.74</v>
      </c>
      <c r="Y91" s="2264">
        <v>8.74</v>
      </c>
      <c r="Z91" s="2264">
        <v>8.74</v>
      </c>
      <c r="AA91" s="2264">
        <v>8.74</v>
      </c>
      <c r="AB91" s="2264">
        <v>8.74</v>
      </c>
      <c r="AC91" s="2264">
        <v>8.74</v>
      </c>
      <c r="AD91" s="2264">
        <v>8.74</v>
      </c>
      <c r="AE91" s="2264">
        <v>8.74</v>
      </c>
      <c r="AF91" s="2264">
        <v>8.74</v>
      </c>
      <c r="AG91" s="2264">
        <v>8.74</v>
      </c>
      <c r="AH91" s="2264">
        <v>8.74</v>
      </c>
      <c r="AI91" s="2264">
        <v>8.74</v>
      </c>
      <c r="AJ91" s="2264">
        <v>8.74</v>
      </c>
      <c r="AK91" s="2264">
        <v>8.74</v>
      </c>
      <c r="AL91" s="2264">
        <v>8.74</v>
      </c>
      <c r="AM91" s="2264">
        <v>8.74</v>
      </c>
      <c r="AN91" s="2264">
        <v>8.74</v>
      </c>
      <c r="AO91" s="2264">
        <v>8.74</v>
      </c>
      <c r="AP91" s="2264">
        <v>8.74</v>
      </c>
      <c r="AQ91" s="2264">
        <v>8.74</v>
      </c>
    </row>
    <row r="92" spans="1:43" x14ac:dyDescent="0.25">
      <c r="B92" s="2216"/>
      <c r="C92" s="2244"/>
      <c r="D92" s="2218"/>
      <c r="E92" s="2218"/>
      <c r="F92" s="2218"/>
      <c r="G92" s="2218"/>
      <c r="H92" s="2218"/>
      <c r="I92" s="2218"/>
      <c r="J92" s="2218"/>
      <c r="K92" s="2218"/>
      <c r="L92" s="2218"/>
      <c r="M92" s="2218"/>
      <c r="N92" s="2218"/>
      <c r="O92" s="2218"/>
      <c r="P92" s="2218"/>
      <c r="Q92" s="2218"/>
      <c r="R92" s="2218"/>
      <c r="S92" s="2218"/>
      <c r="T92" s="2218"/>
      <c r="U92" s="2218"/>
      <c r="V92" s="2218"/>
      <c r="W92" s="2218"/>
      <c r="X92" s="2218"/>
      <c r="Y92" s="2218"/>
      <c r="Z92" s="2218"/>
      <c r="AA92" s="2218"/>
      <c r="AB92" s="2218"/>
      <c r="AC92" s="2218"/>
      <c r="AD92" s="2218"/>
      <c r="AE92" s="2218"/>
      <c r="AF92" s="2218"/>
      <c r="AG92" s="2218"/>
      <c r="AH92" s="2218"/>
      <c r="AI92" s="2218"/>
      <c r="AJ92" s="2218"/>
      <c r="AK92" s="2218"/>
      <c r="AL92" s="2218"/>
      <c r="AM92" s="2218"/>
      <c r="AN92" s="2218"/>
      <c r="AO92" s="2218"/>
      <c r="AP92" s="2218"/>
      <c r="AQ92" s="2218"/>
    </row>
    <row r="93" spans="1:43" x14ac:dyDescent="0.25">
      <c r="B93" s="2216"/>
      <c r="C93" s="2218" t="s">
        <v>1263</v>
      </c>
      <c r="D93" s="2218"/>
      <c r="E93" s="2218"/>
      <c r="F93" s="2218"/>
      <c r="G93" s="2218"/>
      <c r="H93" s="2218"/>
      <c r="I93" s="2218"/>
      <c r="J93" s="2218"/>
      <c r="K93" s="2218"/>
      <c r="L93" s="2218"/>
      <c r="M93" s="2218"/>
      <c r="N93" s="2218"/>
      <c r="O93" s="2218"/>
      <c r="P93" s="2218"/>
      <c r="Q93" s="2218"/>
      <c r="R93" s="2218"/>
      <c r="S93" s="2218"/>
      <c r="T93" s="2218"/>
      <c r="U93" s="2218"/>
      <c r="V93" s="2218"/>
      <c r="W93" s="2218"/>
      <c r="X93" s="2218"/>
      <c r="Y93" s="2218"/>
      <c r="Z93" s="2218"/>
      <c r="AA93" s="2218"/>
      <c r="AB93" s="2218"/>
      <c r="AC93" s="2218"/>
      <c r="AD93" s="2218"/>
      <c r="AE93" s="2218"/>
      <c r="AF93" s="2218"/>
      <c r="AG93" s="2218"/>
      <c r="AH93" s="2218"/>
      <c r="AI93" s="2218"/>
      <c r="AJ93" s="2218"/>
      <c r="AK93" s="2218"/>
      <c r="AL93" s="2218"/>
      <c r="AM93" s="2218"/>
      <c r="AN93" s="2218"/>
      <c r="AO93" s="2218"/>
      <c r="AP93" s="2218"/>
      <c r="AQ93" s="2218"/>
    </row>
    <row r="94" spans="1:43" x14ac:dyDescent="0.25">
      <c r="A94" s="2265"/>
      <c r="B94" s="2216"/>
      <c r="C94" s="2219" t="s">
        <v>521</v>
      </c>
      <c r="D94" s="2219" t="s">
        <v>1029</v>
      </c>
      <c r="E94" s="2219" t="s">
        <v>8</v>
      </c>
      <c r="F94" s="2219"/>
      <c r="G94" s="2219">
        <v>2014</v>
      </c>
      <c r="H94" s="2219">
        <v>2015</v>
      </c>
      <c r="I94" s="2219">
        <v>2016</v>
      </c>
      <c r="J94" s="2219">
        <v>2017</v>
      </c>
      <c r="K94" s="2219">
        <v>2018</v>
      </c>
      <c r="L94" s="2219">
        <v>2019</v>
      </c>
      <c r="M94" s="2219">
        <v>2020</v>
      </c>
      <c r="N94" s="2219">
        <v>2021</v>
      </c>
      <c r="O94" s="2219">
        <v>2022</v>
      </c>
      <c r="P94" s="2219">
        <v>2023</v>
      </c>
      <c r="Q94" s="2219">
        <v>2024</v>
      </c>
      <c r="R94" s="2219">
        <v>2025</v>
      </c>
      <c r="S94" s="2219">
        <v>2026</v>
      </c>
      <c r="T94" s="2219">
        <v>2027</v>
      </c>
      <c r="U94" s="2219">
        <v>2028</v>
      </c>
      <c r="V94" s="2219">
        <v>2029</v>
      </c>
      <c r="W94" s="2219">
        <v>2030</v>
      </c>
      <c r="X94" s="2219">
        <v>2031</v>
      </c>
      <c r="Y94" s="2219">
        <v>2032</v>
      </c>
      <c r="Z94" s="2219">
        <v>2033</v>
      </c>
      <c r="AA94" s="2219">
        <v>2034</v>
      </c>
      <c r="AB94" s="2219">
        <v>2035</v>
      </c>
      <c r="AC94" s="2219">
        <v>2036</v>
      </c>
      <c r="AD94" s="2219">
        <v>2037</v>
      </c>
      <c r="AE94" s="2219">
        <v>2038</v>
      </c>
      <c r="AF94" s="2219">
        <v>2039</v>
      </c>
      <c r="AG94" s="2219">
        <v>2040</v>
      </c>
      <c r="AH94" s="2219">
        <v>2041</v>
      </c>
      <c r="AI94" s="2219">
        <v>2042</v>
      </c>
      <c r="AJ94" s="2219">
        <v>2043</v>
      </c>
      <c r="AK94" s="2219">
        <v>2044</v>
      </c>
      <c r="AL94" s="2219">
        <v>2045</v>
      </c>
      <c r="AM94" s="2219">
        <v>2046</v>
      </c>
      <c r="AN94" s="2219">
        <v>2047</v>
      </c>
      <c r="AO94" s="2219">
        <v>2048</v>
      </c>
      <c r="AP94" s="2219">
        <v>2049</v>
      </c>
      <c r="AQ94" s="2219">
        <v>2050</v>
      </c>
    </row>
    <row r="95" spans="1:43" x14ac:dyDescent="0.25">
      <c r="B95" s="2216"/>
      <c r="C95" s="2244" t="s">
        <v>1226</v>
      </c>
      <c r="D95" s="2250" t="s">
        <v>1264</v>
      </c>
      <c r="E95" s="2250" t="s">
        <v>136</v>
      </c>
      <c r="F95" s="2262"/>
      <c r="G95" s="2266">
        <v>0.5</v>
      </c>
      <c r="H95" s="2266">
        <v>0.5</v>
      </c>
      <c r="I95" s="2266">
        <v>0.5</v>
      </c>
      <c r="J95" s="2266">
        <v>0.5</v>
      </c>
      <c r="K95" s="2266">
        <v>0.5</v>
      </c>
      <c r="L95" s="2266">
        <v>0.5</v>
      </c>
      <c r="M95" s="2266">
        <v>0.5</v>
      </c>
      <c r="N95" s="2266">
        <v>0.5</v>
      </c>
      <c r="O95" s="2266">
        <v>0.5</v>
      </c>
      <c r="P95" s="2266">
        <v>0.5</v>
      </c>
      <c r="Q95" s="2266">
        <v>0.5</v>
      </c>
      <c r="R95" s="2266">
        <v>0.5</v>
      </c>
      <c r="S95" s="2266">
        <v>0.5</v>
      </c>
      <c r="T95" s="2266">
        <v>0.5</v>
      </c>
      <c r="U95" s="2266">
        <v>0.5</v>
      </c>
      <c r="V95" s="2266">
        <v>0.5</v>
      </c>
      <c r="W95" s="2266">
        <v>0.5</v>
      </c>
      <c r="X95" s="2266">
        <v>0.5</v>
      </c>
      <c r="Y95" s="2266">
        <v>0.5</v>
      </c>
      <c r="Z95" s="2266">
        <v>0.5</v>
      </c>
      <c r="AA95" s="2266">
        <v>0.5</v>
      </c>
      <c r="AB95" s="2266">
        <v>0.5</v>
      </c>
      <c r="AC95" s="2266">
        <v>0.5</v>
      </c>
      <c r="AD95" s="2266">
        <v>0.5</v>
      </c>
      <c r="AE95" s="2266">
        <v>0.5</v>
      </c>
      <c r="AF95" s="2266">
        <v>0.5</v>
      </c>
      <c r="AG95" s="2266">
        <v>0.5</v>
      </c>
      <c r="AH95" s="2266">
        <v>0.5</v>
      </c>
      <c r="AI95" s="2266">
        <v>0.5</v>
      </c>
      <c r="AJ95" s="2266">
        <v>0.5</v>
      </c>
      <c r="AK95" s="2266">
        <v>0.5</v>
      </c>
      <c r="AL95" s="2266">
        <v>0.5</v>
      </c>
      <c r="AM95" s="2266">
        <v>0.5</v>
      </c>
      <c r="AN95" s="2266">
        <v>0.5</v>
      </c>
      <c r="AO95" s="2266">
        <v>0.5</v>
      </c>
      <c r="AP95" s="2266">
        <v>0.5</v>
      </c>
      <c r="AQ95" s="2266">
        <v>0.5</v>
      </c>
    </row>
    <row r="96" spans="1:43" x14ac:dyDescent="0.25">
      <c r="B96" s="2216"/>
      <c r="C96" s="2244" t="s">
        <v>1259</v>
      </c>
      <c r="D96" s="2250" t="s">
        <v>1264</v>
      </c>
      <c r="E96" s="2250" t="s">
        <v>136</v>
      </c>
      <c r="F96" s="2262"/>
      <c r="G96" s="2266">
        <v>0.5</v>
      </c>
      <c r="H96" s="2266">
        <v>0.5</v>
      </c>
      <c r="I96" s="2266">
        <v>0.5</v>
      </c>
      <c r="J96" s="2266">
        <v>0.5</v>
      </c>
      <c r="K96" s="2266">
        <v>0.5</v>
      </c>
      <c r="L96" s="2266">
        <v>0.5</v>
      </c>
      <c r="M96" s="2266">
        <v>0.5</v>
      </c>
      <c r="N96" s="2266">
        <v>0.5</v>
      </c>
      <c r="O96" s="2266">
        <v>0.5</v>
      </c>
      <c r="P96" s="2266">
        <v>0.5</v>
      </c>
      <c r="Q96" s="2266">
        <v>0.5</v>
      </c>
      <c r="R96" s="2266">
        <v>0.5</v>
      </c>
      <c r="S96" s="2266">
        <v>0.5</v>
      </c>
      <c r="T96" s="2266">
        <v>0.5</v>
      </c>
      <c r="U96" s="2266">
        <v>0.5</v>
      </c>
      <c r="V96" s="2266">
        <v>0.5</v>
      </c>
      <c r="W96" s="2266">
        <v>0.5</v>
      </c>
      <c r="X96" s="2266">
        <v>0.5</v>
      </c>
      <c r="Y96" s="2266">
        <v>0.5</v>
      </c>
      <c r="Z96" s="2266">
        <v>0.5</v>
      </c>
      <c r="AA96" s="2266">
        <v>0.5</v>
      </c>
      <c r="AB96" s="2266">
        <v>0.5</v>
      </c>
      <c r="AC96" s="2266">
        <v>0.5</v>
      </c>
      <c r="AD96" s="2266">
        <v>0.5</v>
      </c>
      <c r="AE96" s="2266">
        <v>0.5</v>
      </c>
      <c r="AF96" s="2266">
        <v>0.5</v>
      </c>
      <c r="AG96" s="2266">
        <v>0.5</v>
      </c>
      <c r="AH96" s="2266">
        <v>0.5</v>
      </c>
      <c r="AI96" s="2266">
        <v>0.5</v>
      </c>
      <c r="AJ96" s="2266">
        <v>0.5</v>
      </c>
      <c r="AK96" s="2266">
        <v>0.5</v>
      </c>
      <c r="AL96" s="2266">
        <v>0.5</v>
      </c>
      <c r="AM96" s="2266">
        <v>0.5</v>
      </c>
      <c r="AN96" s="2266">
        <v>0.5</v>
      </c>
      <c r="AO96" s="2266">
        <v>0.5</v>
      </c>
      <c r="AP96" s="2266">
        <v>0.5</v>
      </c>
      <c r="AQ96" s="2266">
        <v>0.5</v>
      </c>
    </row>
    <row r="97" spans="2:43" x14ac:dyDescent="0.25">
      <c r="B97" s="2216"/>
      <c r="C97" s="2244" t="s">
        <v>1260</v>
      </c>
      <c r="D97" s="2250" t="s">
        <v>1264</v>
      </c>
      <c r="E97" s="2250" t="s">
        <v>136</v>
      </c>
      <c r="F97" s="2262"/>
      <c r="G97" s="2266">
        <v>0.5</v>
      </c>
      <c r="H97" s="2266">
        <v>0.5</v>
      </c>
      <c r="I97" s="2266">
        <v>0.5</v>
      </c>
      <c r="J97" s="2266">
        <v>0.5</v>
      </c>
      <c r="K97" s="2266">
        <v>0.5</v>
      </c>
      <c r="L97" s="2266">
        <v>0.5</v>
      </c>
      <c r="M97" s="2266">
        <v>0.5</v>
      </c>
      <c r="N97" s="2266">
        <v>0.5</v>
      </c>
      <c r="O97" s="2266">
        <v>0.5</v>
      </c>
      <c r="P97" s="2266">
        <v>0.5</v>
      </c>
      <c r="Q97" s="2266">
        <v>0.5</v>
      </c>
      <c r="R97" s="2266">
        <v>0.5</v>
      </c>
      <c r="S97" s="2266">
        <v>0.5</v>
      </c>
      <c r="T97" s="2266">
        <v>0.5</v>
      </c>
      <c r="U97" s="2266">
        <v>0.5</v>
      </c>
      <c r="V97" s="2266">
        <v>0.5</v>
      </c>
      <c r="W97" s="2266">
        <v>0.5</v>
      </c>
      <c r="X97" s="2266">
        <v>0.5</v>
      </c>
      <c r="Y97" s="2266">
        <v>0.5</v>
      </c>
      <c r="Z97" s="2266">
        <v>0.5</v>
      </c>
      <c r="AA97" s="2266">
        <v>0.5</v>
      </c>
      <c r="AB97" s="2266">
        <v>0.5</v>
      </c>
      <c r="AC97" s="2266">
        <v>0.5</v>
      </c>
      <c r="AD97" s="2266">
        <v>0.5</v>
      </c>
      <c r="AE97" s="2266">
        <v>0.5</v>
      </c>
      <c r="AF97" s="2266">
        <v>0.5</v>
      </c>
      <c r="AG97" s="2266">
        <v>0.5</v>
      </c>
      <c r="AH97" s="2266">
        <v>0.5</v>
      </c>
      <c r="AI97" s="2266">
        <v>0.5</v>
      </c>
      <c r="AJ97" s="2266">
        <v>0.5</v>
      </c>
      <c r="AK97" s="2266">
        <v>0.5</v>
      </c>
      <c r="AL97" s="2266">
        <v>0.5</v>
      </c>
      <c r="AM97" s="2266">
        <v>0.5</v>
      </c>
      <c r="AN97" s="2266">
        <v>0.5</v>
      </c>
      <c r="AO97" s="2266">
        <v>0.5</v>
      </c>
      <c r="AP97" s="2266">
        <v>0.5</v>
      </c>
      <c r="AQ97" s="2266">
        <v>0.5</v>
      </c>
    </row>
    <row r="98" spans="2:43" x14ac:dyDescent="0.25">
      <c r="B98" s="2216"/>
      <c r="C98" s="2244" t="s">
        <v>1246</v>
      </c>
      <c r="D98" s="2250" t="s">
        <v>1264</v>
      </c>
      <c r="E98" s="2250" t="s">
        <v>136</v>
      </c>
      <c r="F98" s="2262"/>
      <c r="G98" s="2266">
        <v>0.5</v>
      </c>
      <c r="H98" s="2266">
        <v>0.5</v>
      </c>
      <c r="I98" s="2266">
        <v>0.5</v>
      </c>
      <c r="J98" s="2266">
        <v>0.5</v>
      </c>
      <c r="K98" s="2266">
        <v>0.5</v>
      </c>
      <c r="L98" s="2266">
        <v>0.5</v>
      </c>
      <c r="M98" s="2266">
        <v>0.5</v>
      </c>
      <c r="N98" s="2266">
        <v>0.5</v>
      </c>
      <c r="O98" s="2266">
        <v>0.5</v>
      </c>
      <c r="P98" s="2266">
        <v>0.5</v>
      </c>
      <c r="Q98" s="2266">
        <v>0.5</v>
      </c>
      <c r="R98" s="2266">
        <v>0.5</v>
      </c>
      <c r="S98" s="2266">
        <v>0.5</v>
      </c>
      <c r="T98" s="2266">
        <v>0.5</v>
      </c>
      <c r="U98" s="2266">
        <v>0.5</v>
      </c>
      <c r="V98" s="2266">
        <v>0.5</v>
      </c>
      <c r="W98" s="2266">
        <v>0.5</v>
      </c>
      <c r="X98" s="2266">
        <v>0.5</v>
      </c>
      <c r="Y98" s="2266">
        <v>0.5</v>
      </c>
      <c r="Z98" s="2266">
        <v>0.5</v>
      </c>
      <c r="AA98" s="2266">
        <v>0.5</v>
      </c>
      <c r="AB98" s="2266">
        <v>0.5</v>
      </c>
      <c r="AC98" s="2266">
        <v>0.5</v>
      </c>
      <c r="AD98" s="2266">
        <v>0.5</v>
      </c>
      <c r="AE98" s="2266">
        <v>0.5</v>
      </c>
      <c r="AF98" s="2266">
        <v>0.5</v>
      </c>
      <c r="AG98" s="2266">
        <v>0.5</v>
      </c>
      <c r="AH98" s="2266">
        <v>0.5</v>
      </c>
      <c r="AI98" s="2266">
        <v>0.5</v>
      </c>
      <c r="AJ98" s="2266">
        <v>0.5</v>
      </c>
      <c r="AK98" s="2266">
        <v>0.5</v>
      </c>
      <c r="AL98" s="2266">
        <v>0.5</v>
      </c>
      <c r="AM98" s="2266">
        <v>0.5</v>
      </c>
      <c r="AN98" s="2266">
        <v>0.5</v>
      </c>
      <c r="AO98" s="2266">
        <v>0.5</v>
      </c>
      <c r="AP98" s="2266">
        <v>0.5</v>
      </c>
      <c r="AQ98" s="2266">
        <v>0.5</v>
      </c>
    </row>
    <row r="99" spans="2:43" x14ac:dyDescent="0.25">
      <c r="B99" s="2216"/>
      <c r="C99" s="2244" t="s">
        <v>1261</v>
      </c>
      <c r="D99" s="2250" t="s">
        <v>1264</v>
      </c>
      <c r="E99" s="2250" t="s">
        <v>136</v>
      </c>
      <c r="F99" s="2262"/>
      <c r="G99" s="2266">
        <v>0.36</v>
      </c>
      <c r="H99" s="2266">
        <v>0.36</v>
      </c>
      <c r="I99" s="2266">
        <v>0.36</v>
      </c>
      <c r="J99" s="2266">
        <v>0.36</v>
      </c>
      <c r="K99" s="2266">
        <v>0.36</v>
      </c>
      <c r="L99" s="2266">
        <v>0.36</v>
      </c>
      <c r="M99" s="2266">
        <v>0.36</v>
      </c>
      <c r="N99" s="2266">
        <v>0.36</v>
      </c>
      <c r="O99" s="2266">
        <v>0.36</v>
      </c>
      <c r="P99" s="2266">
        <v>0.36</v>
      </c>
      <c r="Q99" s="2266">
        <v>0.36</v>
      </c>
      <c r="R99" s="2266">
        <v>0.36</v>
      </c>
      <c r="S99" s="2266">
        <v>0.36</v>
      </c>
      <c r="T99" s="2266">
        <v>0.36</v>
      </c>
      <c r="U99" s="2266">
        <v>0.36</v>
      </c>
      <c r="V99" s="2266">
        <v>0.36</v>
      </c>
      <c r="W99" s="2266">
        <v>0.36</v>
      </c>
      <c r="X99" s="2266">
        <v>0.36</v>
      </c>
      <c r="Y99" s="2266">
        <v>0.36</v>
      </c>
      <c r="Z99" s="2266">
        <v>0.36</v>
      </c>
      <c r="AA99" s="2266">
        <v>0.36</v>
      </c>
      <c r="AB99" s="2266">
        <v>0.36</v>
      </c>
      <c r="AC99" s="2266">
        <v>0.36</v>
      </c>
      <c r="AD99" s="2266">
        <v>0.36</v>
      </c>
      <c r="AE99" s="2266">
        <v>0.36</v>
      </c>
      <c r="AF99" s="2266">
        <v>0.36</v>
      </c>
      <c r="AG99" s="2266">
        <v>0.36</v>
      </c>
      <c r="AH99" s="2266">
        <v>0.36</v>
      </c>
      <c r="AI99" s="2266">
        <v>0.36</v>
      </c>
      <c r="AJ99" s="2266">
        <v>0.36</v>
      </c>
      <c r="AK99" s="2266">
        <v>0.36</v>
      </c>
      <c r="AL99" s="2266">
        <v>0.36</v>
      </c>
      <c r="AM99" s="2266">
        <v>0.36</v>
      </c>
      <c r="AN99" s="2266">
        <v>0.36</v>
      </c>
      <c r="AO99" s="2266">
        <v>0.36</v>
      </c>
      <c r="AP99" s="2266">
        <v>0.36</v>
      </c>
      <c r="AQ99" s="2266">
        <v>0.36</v>
      </c>
    </row>
    <row r="100" spans="2:43" x14ac:dyDescent="0.25">
      <c r="B100" s="2216"/>
      <c r="C100" s="2244" t="s">
        <v>1235</v>
      </c>
      <c r="D100" s="2250" t="s">
        <v>1264</v>
      </c>
      <c r="E100" s="2250" t="s">
        <v>136</v>
      </c>
      <c r="F100" s="2262"/>
      <c r="G100" s="2266">
        <v>0.53</v>
      </c>
      <c r="H100" s="2266">
        <v>0.53</v>
      </c>
      <c r="I100" s="2266">
        <v>0.53</v>
      </c>
      <c r="J100" s="2266">
        <v>0.53</v>
      </c>
      <c r="K100" s="2266">
        <v>0.53</v>
      </c>
      <c r="L100" s="2266">
        <v>0.53</v>
      </c>
      <c r="M100" s="2266">
        <v>0.53</v>
      </c>
      <c r="N100" s="2266">
        <v>0.53</v>
      </c>
      <c r="O100" s="2266">
        <v>0.53</v>
      </c>
      <c r="P100" s="2266">
        <v>0.53</v>
      </c>
      <c r="Q100" s="2266">
        <v>0.53</v>
      </c>
      <c r="R100" s="2266">
        <v>0.53</v>
      </c>
      <c r="S100" s="2266">
        <v>0.53</v>
      </c>
      <c r="T100" s="2266">
        <v>0.53</v>
      </c>
      <c r="U100" s="2266">
        <v>0.53</v>
      </c>
      <c r="V100" s="2266">
        <v>0.53</v>
      </c>
      <c r="W100" s="2266">
        <v>0.53</v>
      </c>
      <c r="X100" s="2266">
        <v>0.53</v>
      </c>
      <c r="Y100" s="2266">
        <v>0.53</v>
      </c>
      <c r="Z100" s="2266">
        <v>0.53</v>
      </c>
      <c r="AA100" s="2266">
        <v>0.53</v>
      </c>
      <c r="AB100" s="2266">
        <v>0.53</v>
      </c>
      <c r="AC100" s="2266">
        <v>0.53</v>
      </c>
      <c r="AD100" s="2266">
        <v>0.53</v>
      </c>
      <c r="AE100" s="2266">
        <v>0.53</v>
      </c>
      <c r="AF100" s="2266">
        <v>0.53</v>
      </c>
      <c r="AG100" s="2266">
        <v>0.53</v>
      </c>
      <c r="AH100" s="2266">
        <v>0.53</v>
      </c>
      <c r="AI100" s="2266">
        <v>0.53</v>
      </c>
      <c r="AJ100" s="2266">
        <v>0.53</v>
      </c>
      <c r="AK100" s="2266">
        <v>0.53</v>
      </c>
      <c r="AL100" s="2266">
        <v>0.53</v>
      </c>
      <c r="AM100" s="2266">
        <v>0.53</v>
      </c>
      <c r="AN100" s="2266">
        <v>0.53</v>
      </c>
      <c r="AO100" s="2266">
        <v>0.53</v>
      </c>
      <c r="AP100" s="2266">
        <v>0.53</v>
      </c>
      <c r="AQ100" s="2266">
        <v>0.53</v>
      </c>
    </row>
    <row r="101" spans="2:43" x14ac:dyDescent="0.25">
      <c r="B101" s="2216"/>
      <c r="C101" s="2244" t="s">
        <v>1236</v>
      </c>
      <c r="D101" s="2250" t="s">
        <v>1264</v>
      </c>
      <c r="E101" s="2250" t="s">
        <v>136</v>
      </c>
      <c r="F101" s="2262"/>
      <c r="G101" s="2266">
        <v>0.45</v>
      </c>
      <c r="H101" s="2266">
        <v>0.45</v>
      </c>
      <c r="I101" s="2266">
        <v>0.45</v>
      </c>
      <c r="J101" s="2266">
        <v>0.45</v>
      </c>
      <c r="K101" s="2266">
        <v>0.45</v>
      </c>
      <c r="L101" s="2266">
        <v>0.45</v>
      </c>
      <c r="M101" s="2266">
        <v>0.45</v>
      </c>
      <c r="N101" s="2266">
        <v>0.45</v>
      </c>
      <c r="O101" s="2266">
        <v>0.45</v>
      </c>
      <c r="P101" s="2266">
        <v>0.45</v>
      </c>
      <c r="Q101" s="2266">
        <v>0.45</v>
      </c>
      <c r="R101" s="2266">
        <v>0.45</v>
      </c>
      <c r="S101" s="2266">
        <v>0.45</v>
      </c>
      <c r="T101" s="2266">
        <v>0.45</v>
      </c>
      <c r="U101" s="2266">
        <v>0.45</v>
      </c>
      <c r="V101" s="2266">
        <v>0.45</v>
      </c>
      <c r="W101" s="2266">
        <v>0.45</v>
      </c>
      <c r="X101" s="2266">
        <v>0.45</v>
      </c>
      <c r="Y101" s="2266">
        <v>0.45</v>
      </c>
      <c r="Z101" s="2266">
        <v>0.45</v>
      </c>
      <c r="AA101" s="2266">
        <v>0.45</v>
      </c>
      <c r="AB101" s="2266">
        <v>0.45</v>
      </c>
      <c r="AC101" s="2266">
        <v>0.45</v>
      </c>
      <c r="AD101" s="2266">
        <v>0.45</v>
      </c>
      <c r="AE101" s="2266">
        <v>0.45</v>
      </c>
      <c r="AF101" s="2266">
        <v>0.45</v>
      </c>
      <c r="AG101" s="2266">
        <v>0.45</v>
      </c>
      <c r="AH101" s="2266">
        <v>0.45</v>
      </c>
      <c r="AI101" s="2266">
        <v>0.45</v>
      </c>
      <c r="AJ101" s="2266">
        <v>0.45</v>
      </c>
      <c r="AK101" s="2266">
        <v>0.45</v>
      </c>
      <c r="AL101" s="2266">
        <v>0.45</v>
      </c>
      <c r="AM101" s="2266">
        <v>0.45</v>
      </c>
      <c r="AN101" s="2266">
        <v>0.45</v>
      </c>
      <c r="AO101" s="2266">
        <v>0.45</v>
      </c>
      <c r="AP101" s="2266">
        <v>0.45</v>
      </c>
      <c r="AQ101" s="2266">
        <v>0.45</v>
      </c>
    </row>
    <row r="102" spans="2:43" x14ac:dyDescent="0.25">
      <c r="B102" s="2216"/>
      <c r="C102" s="2244" t="s">
        <v>1262</v>
      </c>
      <c r="D102" s="2250" t="s">
        <v>1264</v>
      </c>
      <c r="E102" s="2250" t="s">
        <v>136</v>
      </c>
      <c r="F102" s="2262"/>
      <c r="G102" s="2266">
        <v>0.46</v>
      </c>
      <c r="H102" s="2266">
        <v>0.46</v>
      </c>
      <c r="I102" s="2266">
        <v>0.46</v>
      </c>
      <c r="J102" s="2266">
        <v>0.46</v>
      </c>
      <c r="K102" s="2266">
        <v>0.46</v>
      </c>
      <c r="L102" s="2266">
        <v>0.46</v>
      </c>
      <c r="M102" s="2266">
        <v>0.46</v>
      </c>
      <c r="N102" s="2266">
        <v>0.46</v>
      </c>
      <c r="O102" s="2266">
        <v>0.46</v>
      </c>
      <c r="P102" s="2266">
        <v>0.46</v>
      </c>
      <c r="Q102" s="2266">
        <v>0.46</v>
      </c>
      <c r="R102" s="2266">
        <v>0.46</v>
      </c>
      <c r="S102" s="2266">
        <v>0.46</v>
      </c>
      <c r="T102" s="2266">
        <v>0.46</v>
      </c>
      <c r="U102" s="2266">
        <v>0.46</v>
      </c>
      <c r="V102" s="2266">
        <v>0.46</v>
      </c>
      <c r="W102" s="2266">
        <v>0.46</v>
      </c>
      <c r="X102" s="2266">
        <v>0.46</v>
      </c>
      <c r="Y102" s="2266">
        <v>0.46</v>
      </c>
      <c r="Z102" s="2266">
        <v>0.46</v>
      </c>
      <c r="AA102" s="2266">
        <v>0.46</v>
      </c>
      <c r="AB102" s="2266">
        <v>0.46</v>
      </c>
      <c r="AC102" s="2266">
        <v>0.46</v>
      </c>
      <c r="AD102" s="2266">
        <v>0.46</v>
      </c>
      <c r="AE102" s="2266">
        <v>0.46</v>
      </c>
      <c r="AF102" s="2266">
        <v>0.46</v>
      </c>
      <c r="AG102" s="2266">
        <v>0.46</v>
      </c>
      <c r="AH102" s="2266">
        <v>0.46</v>
      </c>
      <c r="AI102" s="2266">
        <v>0.46</v>
      </c>
      <c r="AJ102" s="2266">
        <v>0.46</v>
      </c>
      <c r="AK102" s="2266">
        <v>0.46</v>
      </c>
      <c r="AL102" s="2266">
        <v>0.46</v>
      </c>
      <c r="AM102" s="2266">
        <v>0.46</v>
      </c>
      <c r="AN102" s="2266">
        <v>0.46</v>
      </c>
      <c r="AO102" s="2266">
        <v>0.46</v>
      </c>
      <c r="AP102" s="2266">
        <v>0.46</v>
      </c>
      <c r="AQ102" s="2266">
        <v>0.46</v>
      </c>
    </row>
    <row r="103" spans="2:43" x14ac:dyDescent="0.25">
      <c r="B103" s="2216"/>
      <c r="C103" s="2244" t="s">
        <v>1240</v>
      </c>
      <c r="D103" s="2250" t="s">
        <v>1264</v>
      </c>
      <c r="E103" s="2250" t="s">
        <v>136</v>
      </c>
      <c r="F103" s="2262"/>
      <c r="G103" s="2266">
        <v>0.46</v>
      </c>
      <c r="H103" s="2266">
        <v>0.46</v>
      </c>
      <c r="I103" s="2266">
        <v>0.46</v>
      </c>
      <c r="J103" s="2266">
        <v>0.46</v>
      </c>
      <c r="K103" s="2266">
        <v>0.46</v>
      </c>
      <c r="L103" s="2266">
        <v>0.46</v>
      </c>
      <c r="M103" s="2266">
        <v>0.46</v>
      </c>
      <c r="N103" s="2266">
        <v>0.46</v>
      </c>
      <c r="O103" s="2266">
        <v>0.46</v>
      </c>
      <c r="P103" s="2266">
        <v>0.46</v>
      </c>
      <c r="Q103" s="2266">
        <v>0.46</v>
      </c>
      <c r="R103" s="2266">
        <v>0.46</v>
      </c>
      <c r="S103" s="2266">
        <v>0.46</v>
      </c>
      <c r="T103" s="2266">
        <v>0.46</v>
      </c>
      <c r="U103" s="2266">
        <v>0.46</v>
      </c>
      <c r="V103" s="2266">
        <v>0.46</v>
      </c>
      <c r="W103" s="2266">
        <v>0.46</v>
      </c>
      <c r="X103" s="2266">
        <v>0.46</v>
      </c>
      <c r="Y103" s="2266">
        <v>0.46</v>
      </c>
      <c r="Z103" s="2266">
        <v>0.46</v>
      </c>
      <c r="AA103" s="2266">
        <v>0.46</v>
      </c>
      <c r="AB103" s="2266">
        <v>0.46</v>
      </c>
      <c r="AC103" s="2266">
        <v>0.46</v>
      </c>
      <c r="AD103" s="2266">
        <v>0.46</v>
      </c>
      <c r="AE103" s="2266">
        <v>0.46</v>
      </c>
      <c r="AF103" s="2266">
        <v>0.46</v>
      </c>
      <c r="AG103" s="2266">
        <v>0.46</v>
      </c>
      <c r="AH103" s="2266">
        <v>0.46</v>
      </c>
      <c r="AI103" s="2266">
        <v>0.46</v>
      </c>
      <c r="AJ103" s="2266">
        <v>0.46</v>
      </c>
      <c r="AK103" s="2266">
        <v>0.46</v>
      </c>
      <c r="AL103" s="2266">
        <v>0.46</v>
      </c>
      <c r="AM103" s="2266">
        <v>0.46</v>
      </c>
      <c r="AN103" s="2266">
        <v>0.46</v>
      </c>
      <c r="AO103" s="2266">
        <v>0.46</v>
      </c>
      <c r="AP103" s="2266">
        <v>0.46</v>
      </c>
      <c r="AQ103" s="2266">
        <v>0.46</v>
      </c>
    </row>
    <row r="104" spans="2:43" x14ac:dyDescent="0.25">
      <c r="B104" s="2216"/>
      <c r="C104" s="2247" t="s">
        <v>1265</v>
      </c>
      <c r="D104" s="2251" t="s">
        <v>1266</v>
      </c>
      <c r="E104" s="2251" t="s">
        <v>136</v>
      </c>
      <c r="F104" s="2264"/>
      <c r="G104" s="2261">
        <v>0.5</v>
      </c>
      <c r="H104" s="2261">
        <v>0.5</v>
      </c>
      <c r="I104" s="2261">
        <v>0.5</v>
      </c>
      <c r="J104" s="2261">
        <v>0.5</v>
      </c>
      <c r="K104" s="2261">
        <v>0.5</v>
      </c>
      <c r="L104" s="2261">
        <v>0.5</v>
      </c>
      <c r="M104" s="2261">
        <v>0.5</v>
      </c>
      <c r="N104" s="2261">
        <v>0.5</v>
      </c>
      <c r="O104" s="2261">
        <v>0.5</v>
      </c>
      <c r="P104" s="2261">
        <v>0.5</v>
      </c>
      <c r="Q104" s="2261">
        <v>0.5</v>
      </c>
      <c r="R104" s="2261">
        <v>0.5</v>
      </c>
      <c r="S104" s="2261">
        <v>0.5</v>
      </c>
      <c r="T104" s="2261">
        <v>0.5</v>
      </c>
      <c r="U104" s="2261">
        <v>0.5</v>
      </c>
      <c r="V104" s="2261">
        <v>0.5</v>
      </c>
      <c r="W104" s="2261">
        <v>0.5</v>
      </c>
      <c r="X104" s="2261">
        <v>0.5</v>
      </c>
      <c r="Y104" s="2261">
        <v>0.5</v>
      </c>
      <c r="Z104" s="2261">
        <v>0.5</v>
      </c>
      <c r="AA104" s="2261">
        <v>0.5</v>
      </c>
      <c r="AB104" s="2261">
        <v>0.5</v>
      </c>
      <c r="AC104" s="2261">
        <v>0.5</v>
      </c>
      <c r="AD104" s="2261">
        <v>0.5</v>
      </c>
      <c r="AE104" s="2261">
        <v>0.5</v>
      </c>
      <c r="AF104" s="2261">
        <v>0.5</v>
      </c>
      <c r="AG104" s="2261">
        <v>0.5</v>
      </c>
      <c r="AH104" s="2261">
        <v>0.5</v>
      </c>
      <c r="AI104" s="2261">
        <v>0.5</v>
      </c>
      <c r="AJ104" s="2261">
        <v>0.5</v>
      </c>
      <c r="AK104" s="2261">
        <v>0.5</v>
      </c>
      <c r="AL104" s="2261">
        <v>0.5</v>
      </c>
      <c r="AM104" s="2261">
        <v>0.5</v>
      </c>
      <c r="AN104" s="2261">
        <v>0.5</v>
      </c>
      <c r="AO104" s="2261">
        <v>0.5</v>
      </c>
      <c r="AP104" s="2261">
        <v>0.5</v>
      </c>
      <c r="AQ104" s="2261">
        <v>0.5</v>
      </c>
    </row>
    <row r="105" spans="2:43" x14ac:dyDescent="0.25">
      <c r="B105" s="2216"/>
      <c r="C105" s="2218"/>
      <c r="D105" s="2218"/>
      <c r="E105" s="2218"/>
      <c r="F105" s="2218"/>
      <c r="G105" s="2218"/>
      <c r="H105" s="2218"/>
      <c r="I105" s="2218"/>
      <c r="J105" s="2218"/>
      <c r="K105" s="2218"/>
      <c r="L105" s="2218"/>
      <c r="M105" s="2218"/>
      <c r="N105" s="2218"/>
      <c r="O105" s="2218"/>
      <c r="P105" s="2218"/>
      <c r="Q105" s="2218"/>
      <c r="R105" s="2218"/>
      <c r="S105" s="2218"/>
      <c r="T105" s="2218"/>
      <c r="U105" s="2218"/>
      <c r="V105" s="2218"/>
      <c r="W105" s="2218"/>
      <c r="X105" s="2218"/>
      <c r="Y105" s="2218"/>
      <c r="Z105" s="2218"/>
      <c r="AA105" s="2218"/>
      <c r="AB105" s="2218"/>
      <c r="AC105" s="2218"/>
      <c r="AD105" s="2218"/>
      <c r="AE105" s="2218"/>
      <c r="AF105" s="2218"/>
      <c r="AG105" s="2218"/>
      <c r="AH105" s="2218"/>
      <c r="AI105" s="2218"/>
      <c r="AJ105" s="2218"/>
      <c r="AK105" s="2218"/>
      <c r="AL105" s="2218"/>
      <c r="AM105" s="2218"/>
      <c r="AN105" s="2218"/>
      <c r="AO105" s="2218"/>
      <c r="AP105" s="2218"/>
      <c r="AQ105" s="2218"/>
    </row>
    <row r="106" spans="2:43" x14ac:dyDescent="0.25">
      <c r="B106" s="2216"/>
      <c r="C106" s="2218" t="s">
        <v>1267</v>
      </c>
      <c r="D106" s="2218"/>
      <c r="E106" s="2218"/>
      <c r="F106" s="2218"/>
      <c r="G106" s="2218"/>
      <c r="H106" s="2218"/>
      <c r="I106" s="2218"/>
      <c r="J106" s="2218"/>
      <c r="K106" s="2218"/>
      <c r="L106" s="2218"/>
      <c r="M106" s="2218"/>
      <c r="N106" s="2218"/>
      <c r="O106" s="2218"/>
      <c r="P106" s="2218"/>
      <c r="Q106" s="2218"/>
      <c r="R106" s="2218"/>
      <c r="S106" s="2218"/>
      <c r="T106" s="2218"/>
      <c r="U106" s="2218"/>
      <c r="V106" s="2218"/>
      <c r="W106" s="2218"/>
      <c r="X106" s="2218"/>
      <c r="Y106" s="2218"/>
      <c r="Z106" s="2218"/>
      <c r="AA106" s="2218"/>
      <c r="AB106" s="2218"/>
      <c r="AC106" s="2218"/>
      <c r="AD106" s="2218"/>
      <c r="AE106" s="2218"/>
      <c r="AF106" s="2218"/>
      <c r="AG106" s="2218"/>
      <c r="AH106" s="2218"/>
      <c r="AI106" s="2218"/>
      <c r="AJ106" s="2218"/>
      <c r="AK106" s="2218"/>
      <c r="AL106" s="2218"/>
      <c r="AM106" s="2218"/>
      <c r="AN106" s="2218"/>
      <c r="AO106" s="2218"/>
      <c r="AP106" s="2218"/>
      <c r="AQ106" s="2218"/>
    </row>
    <row r="107" spans="2:43" x14ac:dyDescent="0.25">
      <c r="B107" s="2216"/>
      <c r="C107" s="2219" t="s">
        <v>521</v>
      </c>
      <c r="D107" s="2219" t="s">
        <v>1029</v>
      </c>
      <c r="E107" s="2219" t="s">
        <v>8</v>
      </c>
      <c r="F107" s="2219"/>
      <c r="G107" s="2219">
        <v>2014</v>
      </c>
      <c r="H107" s="2219">
        <v>2015</v>
      </c>
      <c r="I107" s="2219">
        <v>2016</v>
      </c>
      <c r="J107" s="2219">
        <v>2017</v>
      </c>
      <c r="K107" s="2219">
        <v>2018</v>
      </c>
      <c r="L107" s="2219">
        <v>2019</v>
      </c>
      <c r="M107" s="2219">
        <v>2020</v>
      </c>
      <c r="N107" s="2219">
        <v>2021</v>
      </c>
      <c r="O107" s="2219">
        <v>2022</v>
      </c>
      <c r="P107" s="2219">
        <v>2023</v>
      </c>
      <c r="Q107" s="2219">
        <v>2024</v>
      </c>
      <c r="R107" s="2219">
        <v>2025</v>
      </c>
      <c r="S107" s="2219">
        <v>2026</v>
      </c>
      <c r="T107" s="2219">
        <v>2027</v>
      </c>
      <c r="U107" s="2219">
        <v>2028</v>
      </c>
      <c r="V107" s="2219">
        <v>2029</v>
      </c>
      <c r="W107" s="2219">
        <v>2030</v>
      </c>
      <c r="X107" s="2219">
        <v>2031</v>
      </c>
      <c r="Y107" s="2219">
        <v>2032</v>
      </c>
      <c r="Z107" s="2219">
        <v>2033</v>
      </c>
      <c r="AA107" s="2219">
        <v>2034</v>
      </c>
      <c r="AB107" s="2219">
        <v>2035</v>
      </c>
      <c r="AC107" s="2219">
        <v>2036</v>
      </c>
      <c r="AD107" s="2219">
        <v>2037</v>
      </c>
      <c r="AE107" s="2219">
        <v>2038</v>
      </c>
      <c r="AF107" s="2219">
        <v>2039</v>
      </c>
      <c r="AG107" s="2219">
        <v>2040</v>
      </c>
      <c r="AH107" s="2219">
        <v>2041</v>
      </c>
      <c r="AI107" s="2219">
        <v>2042</v>
      </c>
      <c r="AJ107" s="2219">
        <v>2043</v>
      </c>
      <c r="AK107" s="2219">
        <v>2044</v>
      </c>
      <c r="AL107" s="2219">
        <v>2045</v>
      </c>
      <c r="AM107" s="2219">
        <v>2046</v>
      </c>
      <c r="AN107" s="2219">
        <v>2047</v>
      </c>
      <c r="AO107" s="2219">
        <v>2048</v>
      </c>
      <c r="AP107" s="2219">
        <v>2049</v>
      </c>
      <c r="AQ107" s="2219">
        <v>2050</v>
      </c>
    </row>
    <row r="108" spans="2:43" x14ac:dyDescent="0.25">
      <c r="B108" s="2216"/>
      <c r="C108" s="2244" t="s">
        <v>1226</v>
      </c>
      <c r="D108" s="2250"/>
      <c r="E108" s="2250" t="s">
        <v>136</v>
      </c>
      <c r="F108" s="2262"/>
      <c r="G108" s="2266">
        <v>1.75</v>
      </c>
      <c r="H108" s="2266">
        <v>1.75</v>
      </c>
      <c r="I108" s="2266">
        <v>1.75</v>
      </c>
      <c r="J108" s="2266">
        <v>1.75</v>
      </c>
      <c r="K108" s="2266">
        <v>1.75</v>
      </c>
      <c r="L108" s="2266">
        <v>1.75</v>
      </c>
      <c r="M108" s="2266">
        <v>1.75</v>
      </c>
      <c r="N108" s="2266">
        <v>1.75</v>
      </c>
      <c r="O108" s="2266">
        <v>1.75</v>
      </c>
      <c r="P108" s="2266">
        <v>1.75</v>
      </c>
      <c r="Q108" s="2266">
        <v>1.75</v>
      </c>
      <c r="R108" s="2266">
        <v>1.75</v>
      </c>
      <c r="S108" s="2266">
        <v>1.75</v>
      </c>
      <c r="T108" s="2266">
        <v>1.75</v>
      </c>
      <c r="U108" s="2266">
        <v>1.75</v>
      </c>
      <c r="V108" s="2266">
        <v>1.75</v>
      </c>
      <c r="W108" s="2266">
        <v>1.75</v>
      </c>
      <c r="X108" s="2266">
        <v>1.75</v>
      </c>
      <c r="Y108" s="2266">
        <v>1.75</v>
      </c>
      <c r="Z108" s="2266">
        <v>1.75</v>
      </c>
      <c r="AA108" s="2266">
        <v>1.75</v>
      </c>
      <c r="AB108" s="2266">
        <v>1.75</v>
      </c>
      <c r="AC108" s="2266">
        <v>1.75</v>
      </c>
      <c r="AD108" s="2266">
        <v>1.75</v>
      </c>
      <c r="AE108" s="2266">
        <v>1.75</v>
      </c>
      <c r="AF108" s="2266">
        <v>1.75</v>
      </c>
      <c r="AG108" s="2266">
        <v>1.75</v>
      </c>
      <c r="AH108" s="2266">
        <v>1.75</v>
      </c>
      <c r="AI108" s="2266">
        <v>1.75</v>
      </c>
      <c r="AJ108" s="2266">
        <v>1.75</v>
      </c>
      <c r="AK108" s="2266">
        <v>1.75</v>
      </c>
      <c r="AL108" s="2266">
        <v>1.75</v>
      </c>
      <c r="AM108" s="2266">
        <v>1.75</v>
      </c>
      <c r="AN108" s="2266">
        <v>1.75</v>
      </c>
      <c r="AO108" s="2266">
        <v>1.75</v>
      </c>
      <c r="AP108" s="2266">
        <v>1.75</v>
      </c>
      <c r="AQ108" s="2266">
        <v>1.75</v>
      </c>
    </row>
    <row r="109" spans="2:43" x14ac:dyDescent="0.25">
      <c r="B109" s="2216"/>
      <c r="C109" s="2244" t="s">
        <v>1259</v>
      </c>
      <c r="D109" s="2250"/>
      <c r="E109" s="2250" t="s">
        <v>136</v>
      </c>
      <c r="F109" s="2262"/>
      <c r="G109" s="2266">
        <v>1.75</v>
      </c>
      <c r="H109" s="2266">
        <v>1.75</v>
      </c>
      <c r="I109" s="2266">
        <v>1.75</v>
      </c>
      <c r="J109" s="2266">
        <v>1.75</v>
      </c>
      <c r="K109" s="2266">
        <v>1.75</v>
      </c>
      <c r="L109" s="2266">
        <v>1.75</v>
      </c>
      <c r="M109" s="2266">
        <v>1.75</v>
      </c>
      <c r="N109" s="2266">
        <v>1.75</v>
      </c>
      <c r="O109" s="2266">
        <v>1.75</v>
      </c>
      <c r="P109" s="2266">
        <v>1.75</v>
      </c>
      <c r="Q109" s="2266">
        <v>1.75</v>
      </c>
      <c r="R109" s="2266">
        <v>1.75</v>
      </c>
      <c r="S109" s="2266">
        <v>1.75</v>
      </c>
      <c r="T109" s="2266">
        <v>1.75</v>
      </c>
      <c r="U109" s="2266">
        <v>1.75</v>
      </c>
      <c r="V109" s="2266">
        <v>1.75</v>
      </c>
      <c r="W109" s="2266">
        <v>1.75</v>
      </c>
      <c r="X109" s="2266">
        <v>1.75</v>
      </c>
      <c r="Y109" s="2266">
        <v>1.75</v>
      </c>
      <c r="Z109" s="2266">
        <v>1.75</v>
      </c>
      <c r="AA109" s="2266">
        <v>1.75</v>
      </c>
      <c r="AB109" s="2266">
        <v>1.75</v>
      </c>
      <c r="AC109" s="2266">
        <v>1.75</v>
      </c>
      <c r="AD109" s="2266">
        <v>1.75</v>
      </c>
      <c r="AE109" s="2266">
        <v>1.75</v>
      </c>
      <c r="AF109" s="2266">
        <v>1.75</v>
      </c>
      <c r="AG109" s="2266">
        <v>1.75</v>
      </c>
      <c r="AH109" s="2266">
        <v>1.75</v>
      </c>
      <c r="AI109" s="2266">
        <v>1.75</v>
      </c>
      <c r="AJ109" s="2266">
        <v>1.75</v>
      </c>
      <c r="AK109" s="2266">
        <v>1.75</v>
      </c>
      <c r="AL109" s="2266">
        <v>1.75</v>
      </c>
      <c r="AM109" s="2266">
        <v>1.75</v>
      </c>
      <c r="AN109" s="2266">
        <v>1.75</v>
      </c>
      <c r="AO109" s="2266">
        <v>1.75</v>
      </c>
      <c r="AP109" s="2266">
        <v>1.75</v>
      </c>
      <c r="AQ109" s="2266">
        <v>1.75</v>
      </c>
    </row>
    <row r="110" spans="2:43" x14ac:dyDescent="0.25">
      <c r="B110" s="2216"/>
      <c r="C110" s="2244" t="s">
        <v>1260</v>
      </c>
      <c r="D110" s="2250"/>
      <c r="E110" s="2250" t="s">
        <v>136</v>
      </c>
      <c r="F110" s="2262"/>
      <c r="G110" s="2266">
        <v>1.75</v>
      </c>
      <c r="H110" s="2266">
        <v>1.75</v>
      </c>
      <c r="I110" s="2266">
        <v>1.75</v>
      </c>
      <c r="J110" s="2266">
        <v>1.75</v>
      </c>
      <c r="K110" s="2266">
        <v>1.75</v>
      </c>
      <c r="L110" s="2266">
        <v>1.75</v>
      </c>
      <c r="M110" s="2266">
        <v>1.75</v>
      </c>
      <c r="N110" s="2266">
        <v>1.75</v>
      </c>
      <c r="O110" s="2266">
        <v>1.75</v>
      </c>
      <c r="P110" s="2266">
        <v>1.75</v>
      </c>
      <c r="Q110" s="2266">
        <v>1.75</v>
      </c>
      <c r="R110" s="2266">
        <v>1.75</v>
      </c>
      <c r="S110" s="2266">
        <v>1.75</v>
      </c>
      <c r="T110" s="2266">
        <v>1.75</v>
      </c>
      <c r="U110" s="2266">
        <v>1.75</v>
      </c>
      <c r="V110" s="2266">
        <v>1.75</v>
      </c>
      <c r="W110" s="2266">
        <v>1.75</v>
      </c>
      <c r="X110" s="2266">
        <v>1.75</v>
      </c>
      <c r="Y110" s="2266">
        <v>1.75</v>
      </c>
      <c r="Z110" s="2266">
        <v>1.75</v>
      </c>
      <c r="AA110" s="2266">
        <v>1.75</v>
      </c>
      <c r="AB110" s="2266">
        <v>1.75</v>
      </c>
      <c r="AC110" s="2266">
        <v>1.75</v>
      </c>
      <c r="AD110" s="2266">
        <v>1.75</v>
      </c>
      <c r="AE110" s="2266">
        <v>1.75</v>
      </c>
      <c r="AF110" s="2266">
        <v>1.75</v>
      </c>
      <c r="AG110" s="2266">
        <v>1.75</v>
      </c>
      <c r="AH110" s="2266">
        <v>1.75</v>
      </c>
      <c r="AI110" s="2266">
        <v>1.75</v>
      </c>
      <c r="AJ110" s="2266">
        <v>1.75</v>
      </c>
      <c r="AK110" s="2266">
        <v>1.75</v>
      </c>
      <c r="AL110" s="2266">
        <v>1.75</v>
      </c>
      <c r="AM110" s="2266">
        <v>1.75</v>
      </c>
      <c r="AN110" s="2266">
        <v>1.75</v>
      </c>
      <c r="AO110" s="2266">
        <v>1.75</v>
      </c>
      <c r="AP110" s="2266">
        <v>1.75</v>
      </c>
      <c r="AQ110" s="2266">
        <v>1.75</v>
      </c>
    </row>
    <row r="111" spans="2:43" x14ac:dyDescent="0.25">
      <c r="B111" s="2216"/>
      <c r="C111" s="2244" t="s">
        <v>1246</v>
      </c>
      <c r="D111" s="2250"/>
      <c r="E111" s="2250" t="s">
        <v>136</v>
      </c>
      <c r="F111" s="2262"/>
      <c r="G111" s="2266">
        <v>1.75</v>
      </c>
      <c r="H111" s="2266">
        <v>1.75</v>
      </c>
      <c r="I111" s="2266">
        <v>1.75</v>
      </c>
      <c r="J111" s="2266">
        <v>1.75</v>
      </c>
      <c r="K111" s="2266">
        <v>1.75</v>
      </c>
      <c r="L111" s="2266">
        <v>1.75</v>
      </c>
      <c r="M111" s="2266">
        <v>1.75</v>
      </c>
      <c r="N111" s="2266">
        <v>1.75</v>
      </c>
      <c r="O111" s="2266">
        <v>1.75</v>
      </c>
      <c r="P111" s="2266">
        <v>1.75</v>
      </c>
      <c r="Q111" s="2266">
        <v>1.75</v>
      </c>
      <c r="R111" s="2266">
        <v>1.75</v>
      </c>
      <c r="S111" s="2266">
        <v>1.75</v>
      </c>
      <c r="T111" s="2266">
        <v>1.75</v>
      </c>
      <c r="U111" s="2266">
        <v>1.75</v>
      </c>
      <c r="V111" s="2266">
        <v>1.75</v>
      </c>
      <c r="W111" s="2266">
        <v>1.75</v>
      </c>
      <c r="X111" s="2266">
        <v>1.75</v>
      </c>
      <c r="Y111" s="2266">
        <v>1.75</v>
      </c>
      <c r="Z111" s="2266">
        <v>1.75</v>
      </c>
      <c r="AA111" s="2266">
        <v>1.75</v>
      </c>
      <c r="AB111" s="2266">
        <v>1.75</v>
      </c>
      <c r="AC111" s="2266">
        <v>1.75</v>
      </c>
      <c r="AD111" s="2266">
        <v>1.75</v>
      </c>
      <c r="AE111" s="2266">
        <v>1.75</v>
      </c>
      <c r="AF111" s="2266">
        <v>1.75</v>
      </c>
      <c r="AG111" s="2266">
        <v>1.75</v>
      </c>
      <c r="AH111" s="2266">
        <v>1.75</v>
      </c>
      <c r="AI111" s="2266">
        <v>1.75</v>
      </c>
      <c r="AJ111" s="2266">
        <v>1.75</v>
      </c>
      <c r="AK111" s="2266">
        <v>1.75</v>
      </c>
      <c r="AL111" s="2266">
        <v>1.75</v>
      </c>
      <c r="AM111" s="2266">
        <v>1.75</v>
      </c>
      <c r="AN111" s="2266">
        <v>1.75</v>
      </c>
      <c r="AO111" s="2266">
        <v>1.75</v>
      </c>
      <c r="AP111" s="2266">
        <v>1.75</v>
      </c>
      <c r="AQ111" s="2266">
        <v>1.75</v>
      </c>
    </row>
    <row r="112" spans="2:43" x14ac:dyDescent="0.25">
      <c r="B112" s="2216"/>
      <c r="C112" s="2244" t="s">
        <v>1261</v>
      </c>
      <c r="D112" s="2250"/>
      <c r="E112" s="2250" t="s">
        <v>136</v>
      </c>
      <c r="F112" s="2262"/>
      <c r="G112" s="2266">
        <v>1.56</v>
      </c>
      <c r="H112" s="2266">
        <v>1.56</v>
      </c>
      <c r="I112" s="2266">
        <v>1.56</v>
      </c>
      <c r="J112" s="2266">
        <v>1.56</v>
      </c>
      <c r="K112" s="2266">
        <v>1.56</v>
      </c>
      <c r="L112" s="2266">
        <v>1.56</v>
      </c>
      <c r="M112" s="2266">
        <v>1.56</v>
      </c>
      <c r="N112" s="2266">
        <v>1.56</v>
      </c>
      <c r="O112" s="2266">
        <v>1.56</v>
      </c>
      <c r="P112" s="2266">
        <v>1.56</v>
      </c>
      <c r="Q112" s="2266">
        <v>1.56</v>
      </c>
      <c r="R112" s="2266">
        <v>1.56</v>
      </c>
      <c r="S112" s="2266">
        <v>1.56</v>
      </c>
      <c r="T112" s="2266">
        <v>1.56</v>
      </c>
      <c r="U112" s="2266">
        <v>1.56</v>
      </c>
      <c r="V112" s="2266">
        <v>1.56</v>
      </c>
      <c r="W112" s="2266">
        <v>1.56</v>
      </c>
      <c r="X112" s="2266">
        <v>1.56</v>
      </c>
      <c r="Y112" s="2266">
        <v>1.56</v>
      </c>
      <c r="Z112" s="2266">
        <v>1.56</v>
      </c>
      <c r="AA112" s="2266">
        <v>1.56</v>
      </c>
      <c r="AB112" s="2266">
        <v>1.56</v>
      </c>
      <c r="AC112" s="2266">
        <v>1.56</v>
      </c>
      <c r="AD112" s="2266">
        <v>1.56</v>
      </c>
      <c r="AE112" s="2266">
        <v>1.56</v>
      </c>
      <c r="AF112" s="2266">
        <v>1.56</v>
      </c>
      <c r="AG112" s="2266">
        <v>1.56</v>
      </c>
      <c r="AH112" s="2266">
        <v>1.56</v>
      </c>
      <c r="AI112" s="2266">
        <v>1.56</v>
      </c>
      <c r="AJ112" s="2266">
        <v>1.56</v>
      </c>
      <c r="AK112" s="2266">
        <v>1.56</v>
      </c>
      <c r="AL112" s="2266">
        <v>1.56</v>
      </c>
      <c r="AM112" s="2266">
        <v>1.56</v>
      </c>
      <c r="AN112" s="2266">
        <v>1.56</v>
      </c>
      <c r="AO112" s="2266">
        <v>1.56</v>
      </c>
      <c r="AP112" s="2266">
        <v>1.56</v>
      </c>
      <c r="AQ112" s="2266">
        <v>1.56</v>
      </c>
    </row>
    <row r="113" spans="2:43" x14ac:dyDescent="0.25">
      <c r="B113" s="2216"/>
      <c r="C113" s="2244" t="s">
        <v>1268</v>
      </c>
      <c r="D113" s="2250"/>
      <c r="E113" s="2250" t="s">
        <v>136</v>
      </c>
      <c r="F113" s="2262"/>
      <c r="G113" s="2266">
        <v>1.77</v>
      </c>
      <c r="H113" s="2266">
        <v>1.77</v>
      </c>
      <c r="I113" s="2266">
        <v>1.77</v>
      </c>
      <c r="J113" s="2266">
        <v>1.77</v>
      </c>
      <c r="K113" s="2266">
        <v>1.77</v>
      </c>
      <c r="L113" s="2266">
        <v>1.77</v>
      </c>
      <c r="M113" s="2266">
        <v>1.77</v>
      </c>
      <c r="N113" s="2266">
        <v>1.77</v>
      </c>
      <c r="O113" s="2266">
        <v>1.77</v>
      </c>
      <c r="P113" s="2266">
        <v>1.77</v>
      </c>
      <c r="Q113" s="2266">
        <v>1.77</v>
      </c>
      <c r="R113" s="2266">
        <v>1.77</v>
      </c>
      <c r="S113" s="2266">
        <v>1.77</v>
      </c>
      <c r="T113" s="2266">
        <v>1.77</v>
      </c>
      <c r="U113" s="2266">
        <v>1.77</v>
      </c>
      <c r="V113" s="2266">
        <v>1.77</v>
      </c>
      <c r="W113" s="2266">
        <v>1.77</v>
      </c>
      <c r="X113" s="2266">
        <v>1.77</v>
      </c>
      <c r="Y113" s="2266">
        <v>1.77</v>
      </c>
      <c r="Z113" s="2266">
        <v>1.77</v>
      </c>
      <c r="AA113" s="2266">
        <v>1.77</v>
      </c>
      <c r="AB113" s="2266">
        <v>1.77</v>
      </c>
      <c r="AC113" s="2266">
        <v>1.77</v>
      </c>
      <c r="AD113" s="2266">
        <v>1.77</v>
      </c>
      <c r="AE113" s="2266">
        <v>1.77</v>
      </c>
      <c r="AF113" s="2266">
        <v>1.77</v>
      </c>
      <c r="AG113" s="2266">
        <v>1.77</v>
      </c>
      <c r="AH113" s="2266">
        <v>1.77</v>
      </c>
      <c r="AI113" s="2266">
        <v>1.77</v>
      </c>
      <c r="AJ113" s="2266">
        <v>1.77</v>
      </c>
      <c r="AK113" s="2266">
        <v>1.77</v>
      </c>
      <c r="AL113" s="2266">
        <v>1.77</v>
      </c>
      <c r="AM113" s="2266">
        <v>1.77</v>
      </c>
      <c r="AN113" s="2266">
        <v>1.77</v>
      </c>
      <c r="AO113" s="2266">
        <v>1.77</v>
      </c>
      <c r="AP113" s="2266">
        <v>1.77</v>
      </c>
      <c r="AQ113" s="2266">
        <v>1.77</v>
      </c>
    </row>
    <row r="114" spans="2:43" x14ac:dyDescent="0.25">
      <c r="B114" s="2216"/>
      <c r="C114" s="2244" t="s">
        <v>1240</v>
      </c>
      <c r="D114" s="2250"/>
      <c r="E114" s="2250" t="s">
        <v>136</v>
      </c>
      <c r="F114" s="2262"/>
      <c r="G114" s="2266">
        <v>1.64</v>
      </c>
      <c r="H114" s="2266">
        <v>1.64</v>
      </c>
      <c r="I114" s="2266">
        <v>1.64</v>
      </c>
      <c r="J114" s="2266">
        <v>1.64</v>
      </c>
      <c r="K114" s="2266">
        <v>1.64</v>
      </c>
      <c r="L114" s="2266">
        <v>1.64</v>
      </c>
      <c r="M114" s="2266">
        <v>1.64</v>
      </c>
      <c r="N114" s="2266">
        <v>1.64</v>
      </c>
      <c r="O114" s="2266">
        <v>1.64</v>
      </c>
      <c r="P114" s="2266">
        <v>1.64</v>
      </c>
      <c r="Q114" s="2266">
        <v>1.64</v>
      </c>
      <c r="R114" s="2266">
        <v>1.64</v>
      </c>
      <c r="S114" s="2266">
        <v>1.64</v>
      </c>
      <c r="T114" s="2266">
        <v>1.64</v>
      </c>
      <c r="U114" s="2266">
        <v>1.64</v>
      </c>
      <c r="V114" s="2266">
        <v>1.64</v>
      </c>
      <c r="W114" s="2266">
        <v>1.64</v>
      </c>
      <c r="X114" s="2266">
        <v>1.64</v>
      </c>
      <c r="Y114" s="2266">
        <v>1.64</v>
      </c>
      <c r="Z114" s="2266">
        <v>1.64</v>
      </c>
      <c r="AA114" s="2266">
        <v>1.64</v>
      </c>
      <c r="AB114" s="2266">
        <v>1.64</v>
      </c>
      <c r="AC114" s="2266">
        <v>1.64</v>
      </c>
      <c r="AD114" s="2266">
        <v>1.64</v>
      </c>
      <c r="AE114" s="2266">
        <v>1.64</v>
      </c>
      <c r="AF114" s="2266">
        <v>1.64</v>
      </c>
      <c r="AG114" s="2266">
        <v>1.64</v>
      </c>
      <c r="AH114" s="2266">
        <v>1.64</v>
      </c>
      <c r="AI114" s="2266">
        <v>1.64</v>
      </c>
      <c r="AJ114" s="2266">
        <v>1.64</v>
      </c>
      <c r="AK114" s="2266">
        <v>1.64</v>
      </c>
      <c r="AL114" s="2266">
        <v>1.64</v>
      </c>
      <c r="AM114" s="2266">
        <v>1.64</v>
      </c>
      <c r="AN114" s="2266">
        <v>1.64</v>
      </c>
      <c r="AO114" s="2266">
        <v>1.64</v>
      </c>
      <c r="AP114" s="2266">
        <v>1.64</v>
      </c>
      <c r="AQ114" s="2266">
        <v>1.64</v>
      </c>
    </row>
    <row r="115" spans="2:43" x14ac:dyDescent="0.25">
      <c r="B115" s="2216"/>
      <c r="C115" s="2247" t="s">
        <v>1265</v>
      </c>
      <c r="D115" s="2251"/>
      <c r="E115" s="2251" t="s">
        <v>136</v>
      </c>
      <c r="F115" s="2264"/>
      <c r="G115" s="2261">
        <v>1.28</v>
      </c>
      <c r="H115" s="2261">
        <v>1.28</v>
      </c>
      <c r="I115" s="2261">
        <v>1.28</v>
      </c>
      <c r="J115" s="2261">
        <v>1.28</v>
      </c>
      <c r="K115" s="2261">
        <v>1.28</v>
      </c>
      <c r="L115" s="2261">
        <v>1.28</v>
      </c>
      <c r="M115" s="2261">
        <v>1.28</v>
      </c>
      <c r="N115" s="2261">
        <v>1.28</v>
      </c>
      <c r="O115" s="2261">
        <v>1.28</v>
      </c>
      <c r="P115" s="2261">
        <v>1.28</v>
      </c>
      <c r="Q115" s="2261">
        <v>1.28</v>
      </c>
      <c r="R115" s="2261">
        <v>1.28</v>
      </c>
      <c r="S115" s="2261">
        <v>1.28</v>
      </c>
      <c r="T115" s="2261">
        <v>1.28</v>
      </c>
      <c r="U115" s="2261">
        <v>1.28</v>
      </c>
      <c r="V115" s="2261">
        <v>1.28</v>
      </c>
      <c r="W115" s="2261">
        <v>1.28</v>
      </c>
      <c r="X115" s="2261">
        <v>1.28</v>
      </c>
      <c r="Y115" s="2261">
        <v>1.28</v>
      </c>
      <c r="Z115" s="2261">
        <v>1.28</v>
      </c>
      <c r="AA115" s="2261">
        <v>1.28</v>
      </c>
      <c r="AB115" s="2261">
        <v>1.28</v>
      </c>
      <c r="AC115" s="2261">
        <v>1.28</v>
      </c>
      <c r="AD115" s="2261">
        <v>1.28</v>
      </c>
      <c r="AE115" s="2261">
        <v>1.28</v>
      </c>
      <c r="AF115" s="2261">
        <v>1.28</v>
      </c>
      <c r="AG115" s="2261">
        <v>1.28</v>
      </c>
      <c r="AH115" s="2261">
        <v>1.28</v>
      </c>
      <c r="AI115" s="2261">
        <v>1.28</v>
      </c>
      <c r="AJ115" s="2261">
        <v>1.28</v>
      </c>
      <c r="AK115" s="2261">
        <v>1.28</v>
      </c>
      <c r="AL115" s="2261">
        <v>1.28</v>
      </c>
      <c r="AM115" s="2261">
        <v>1.28</v>
      </c>
      <c r="AN115" s="2261">
        <v>1.28</v>
      </c>
      <c r="AO115" s="2261">
        <v>1.28</v>
      </c>
      <c r="AP115" s="2261">
        <v>1.28</v>
      </c>
      <c r="AQ115" s="2261">
        <v>1.28</v>
      </c>
    </row>
    <row r="116" spans="2:43" x14ac:dyDescent="0.25">
      <c r="B116" s="2216"/>
      <c r="C116" s="2218"/>
      <c r="D116" s="2218"/>
      <c r="E116" s="2218"/>
      <c r="F116" s="2218"/>
      <c r="G116" s="2218"/>
      <c r="H116" s="2218"/>
      <c r="I116" s="2218"/>
      <c r="J116" s="2218"/>
      <c r="K116" s="2218"/>
      <c r="L116" s="2218"/>
      <c r="M116" s="2218"/>
      <c r="N116" s="2218"/>
      <c r="O116" s="2218"/>
      <c r="P116" s="2218"/>
      <c r="Q116" s="2218"/>
      <c r="R116" s="2218"/>
      <c r="S116" s="2218"/>
      <c r="T116" s="2218"/>
      <c r="U116" s="2218"/>
      <c r="V116" s="2218"/>
      <c r="W116" s="2218"/>
      <c r="X116" s="2218"/>
      <c r="Y116" s="2218"/>
      <c r="Z116" s="2218"/>
      <c r="AA116" s="2218"/>
      <c r="AB116" s="2218"/>
      <c r="AC116" s="2218"/>
      <c r="AD116" s="2218"/>
      <c r="AE116" s="2218"/>
      <c r="AF116" s="2218"/>
      <c r="AG116" s="2218"/>
      <c r="AH116" s="2218"/>
      <c r="AI116" s="2218"/>
      <c r="AJ116" s="2218"/>
      <c r="AK116" s="2218"/>
      <c r="AL116" s="2218"/>
      <c r="AM116" s="2218"/>
      <c r="AN116" s="2218"/>
      <c r="AO116" s="2218"/>
      <c r="AP116" s="2218"/>
      <c r="AQ116" s="2218"/>
    </row>
    <row r="117" spans="2:43" x14ac:dyDescent="0.25">
      <c r="B117" s="2216"/>
      <c r="C117" s="2218" t="s">
        <v>1269</v>
      </c>
      <c r="D117" s="2218"/>
      <c r="E117" s="2218"/>
      <c r="F117" s="2218"/>
      <c r="G117" s="2218"/>
      <c r="H117" s="2218"/>
      <c r="I117" s="2218"/>
      <c r="J117" s="2218"/>
      <c r="K117" s="2218"/>
      <c r="L117" s="2218"/>
      <c r="M117" s="2218"/>
      <c r="N117" s="2218"/>
      <c r="O117" s="2218"/>
      <c r="P117" s="2218"/>
      <c r="Q117" s="2218"/>
      <c r="R117" s="2218"/>
      <c r="S117" s="2218"/>
      <c r="T117" s="2218"/>
      <c r="U117" s="2218"/>
      <c r="V117" s="2218"/>
      <c r="W117" s="2218"/>
      <c r="X117" s="2218"/>
      <c r="Y117" s="2218"/>
      <c r="Z117" s="2218"/>
      <c r="AA117" s="2218"/>
      <c r="AB117" s="2218"/>
      <c r="AC117" s="2218"/>
      <c r="AD117" s="2218"/>
      <c r="AE117" s="2218"/>
      <c r="AF117" s="2218"/>
      <c r="AG117" s="2218"/>
      <c r="AH117" s="2218"/>
      <c r="AI117" s="2218"/>
      <c r="AJ117" s="2218"/>
      <c r="AK117" s="2218"/>
      <c r="AL117" s="2218"/>
      <c r="AM117" s="2218"/>
      <c r="AN117" s="2218"/>
      <c r="AO117" s="2218"/>
      <c r="AP117" s="2218"/>
      <c r="AQ117" s="2218"/>
    </row>
    <row r="118" spans="2:43" x14ac:dyDescent="0.25">
      <c r="B118" s="2216"/>
      <c r="C118" s="2219" t="s">
        <v>521</v>
      </c>
      <c r="D118" s="2219" t="s">
        <v>1029</v>
      </c>
      <c r="E118" s="2219" t="s">
        <v>8</v>
      </c>
      <c r="F118" s="2219"/>
      <c r="G118" s="2219">
        <v>2014</v>
      </c>
      <c r="H118" s="2219">
        <v>2015</v>
      </c>
      <c r="I118" s="2219">
        <v>2016</v>
      </c>
      <c r="J118" s="2219">
        <v>2017</v>
      </c>
      <c r="K118" s="2219">
        <v>2018</v>
      </c>
      <c r="L118" s="2219">
        <v>2019</v>
      </c>
      <c r="M118" s="2219">
        <v>2020</v>
      </c>
      <c r="N118" s="2219">
        <v>2021</v>
      </c>
      <c r="O118" s="2219">
        <v>2022</v>
      </c>
      <c r="P118" s="2219">
        <v>2023</v>
      </c>
      <c r="Q118" s="2219">
        <v>2024</v>
      </c>
      <c r="R118" s="2219">
        <v>2025</v>
      </c>
      <c r="S118" s="2219">
        <v>2026</v>
      </c>
      <c r="T118" s="2219">
        <v>2027</v>
      </c>
      <c r="U118" s="2219">
        <v>2028</v>
      </c>
      <c r="V118" s="2219">
        <v>2029</v>
      </c>
      <c r="W118" s="2219">
        <v>2030</v>
      </c>
      <c r="X118" s="2219">
        <v>2031</v>
      </c>
      <c r="Y118" s="2219">
        <v>2032</v>
      </c>
      <c r="Z118" s="2219">
        <v>2033</v>
      </c>
      <c r="AA118" s="2219">
        <v>2034</v>
      </c>
      <c r="AB118" s="2219">
        <v>2035</v>
      </c>
      <c r="AC118" s="2219">
        <v>2036</v>
      </c>
      <c r="AD118" s="2219">
        <v>2037</v>
      </c>
      <c r="AE118" s="2219">
        <v>2038</v>
      </c>
      <c r="AF118" s="2219">
        <v>2039</v>
      </c>
      <c r="AG118" s="2219">
        <v>2040</v>
      </c>
      <c r="AH118" s="2219">
        <v>2041</v>
      </c>
      <c r="AI118" s="2219">
        <v>2042</v>
      </c>
      <c r="AJ118" s="2219">
        <v>2043</v>
      </c>
      <c r="AK118" s="2219">
        <v>2044</v>
      </c>
      <c r="AL118" s="2219">
        <v>2045</v>
      </c>
      <c r="AM118" s="2219">
        <v>2046</v>
      </c>
      <c r="AN118" s="2219">
        <v>2047</v>
      </c>
      <c r="AO118" s="2219">
        <v>2048</v>
      </c>
      <c r="AP118" s="2219">
        <v>2049</v>
      </c>
      <c r="AQ118" s="2219">
        <v>2050</v>
      </c>
    </row>
    <row r="119" spans="2:43" x14ac:dyDescent="0.25">
      <c r="B119" s="2216"/>
      <c r="C119" s="2244" t="s">
        <v>1226</v>
      </c>
      <c r="D119" s="2250" t="s">
        <v>1031</v>
      </c>
      <c r="E119" s="2250" t="s">
        <v>136</v>
      </c>
      <c r="F119" s="2262"/>
      <c r="G119" s="2266">
        <v>0.28999999999999998</v>
      </c>
      <c r="H119" s="2266">
        <v>0.28999999999999998</v>
      </c>
      <c r="I119" s="2266">
        <v>0.28999999999999998</v>
      </c>
      <c r="J119" s="2266">
        <v>0.28999999999999998</v>
      </c>
      <c r="K119" s="2266">
        <v>0.28999999999999998</v>
      </c>
      <c r="L119" s="2266">
        <v>0.28999999999999998</v>
      </c>
      <c r="M119" s="2266">
        <v>0.28999999999999998</v>
      </c>
      <c r="N119" s="2266">
        <v>0.28999999999999998</v>
      </c>
      <c r="O119" s="2266">
        <v>0.28999999999999998</v>
      </c>
      <c r="P119" s="2266">
        <v>0.28999999999999998</v>
      </c>
      <c r="Q119" s="2266">
        <v>0.28999999999999998</v>
      </c>
      <c r="R119" s="2266">
        <v>0.28999999999999998</v>
      </c>
      <c r="S119" s="2266">
        <v>0.28999999999999998</v>
      </c>
      <c r="T119" s="2266">
        <v>0.28999999999999998</v>
      </c>
      <c r="U119" s="2266">
        <v>0.28999999999999998</v>
      </c>
      <c r="V119" s="2266">
        <v>0.28999999999999998</v>
      </c>
      <c r="W119" s="2266">
        <v>0.28999999999999998</v>
      </c>
      <c r="X119" s="2266">
        <v>0.28999999999999998</v>
      </c>
      <c r="Y119" s="2266">
        <v>0.28999999999999998</v>
      </c>
      <c r="Z119" s="2266">
        <v>0.28999999999999998</v>
      </c>
      <c r="AA119" s="2266">
        <v>0.28999999999999998</v>
      </c>
      <c r="AB119" s="2266">
        <v>0.28999999999999998</v>
      </c>
      <c r="AC119" s="2266">
        <v>0.28999999999999998</v>
      </c>
      <c r="AD119" s="2266">
        <v>0.28999999999999998</v>
      </c>
      <c r="AE119" s="2266">
        <v>0.28999999999999998</v>
      </c>
      <c r="AF119" s="2266">
        <v>0.28999999999999998</v>
      </c>
      <c r="AG119" s="2266">
        <v>0.28999999999999998</v>
      </c>
      <c r="AH119" s="2266">
        <v>0.28999999999999998</v>
      </c>
      <c r="AI119" s="2266">
        <v>0.28999999999999998</v>
      </c>
      <c r="AJ119" s="2266">
        <v>0.28999999999999998</v>
      </c>
      <c r="AK119" s="2266">
        <v>0.28999999999999998</v>
      </c>
      <c r="AL119" s="2266">
        <v>0.28999999999999998</v>
      </c>
      <c r="AM119" s="2266">
        <v>0.28999999999999998</v>
      </c>
      <c r="AN119" s="2266">
        <v>0.28999999999999998</v>
      </c>
      <c r="AO119" s="2266">
        <v>0.28999999999999998</v>
      </c>
      <c r="AP119" s="2266">
        <v>0.28999999999999998</v>
      </c>
      <c r="AQ119" s="2266">
        <v>0.28999999999999998</v>
      </c>
    </row>
    <row r="120" spans="2:43" x14ac:dyDescent="0.25">
      <c r="B120" s="2216"/>
      <c r="C120" s="2244" t="s">
        <v>1259</v>
      </c>
      <c r="D120" s="2250" t="s">
        <v>1031</v>
      </c>
      <c r="E120" s="2250" t="s">
        <v>136</v>
      </c>
      <c r="F120" s="2262"/>
      <c r="G120" s="2266">
        <v>0.28999999999999998</v>
      </c>
      <c r="H120" s="2266">
        <v>0.28999999999999998</v>
      </c>
      <c r="I120" s="2266">
        <v>0.28999999999999998</v>
      </c>
      <c r="J120" s="2266">
        <v>0.28999999999999998</v>
      </c>
      <c r="K120" s="2266">
        <v>0.28999999999999998</v>
      </c>
      <c r="L120" s="2266">
        <v>0.28999999999999998</v>
      </c>
      <c r="M120" s="2266">
        <v>0.28999999999999998</v>
      </c>
      <c r="N120" s="2266">
        <v>0.28999999999999998</v>
      </c>
      <c r="O120" s="2266">
        <v>0.28999999999999998</v>
      </c>
      <c r="P120" s="2266">
        <v>0.28999999999999998</v>
      </c>
      <c r="Q120" s="2266">
        <v>0.28999999999999998</v>
      </c>
      <c r="R120" s="2266">
        <v>0.28999999999999998</v>
      </c>
      <c r="S120" s="2266">
        <v>0.28999999999999998</v>
      </c>
      <c r="T120" s="2266">
        <v>0.28999999999999998</v>
      </c>
      <c r="U120" s="2266">
        <v>0.28999999999999998</v>
      </c>
      <c r="V120" s="2266">
        <v>0.28999999999999998</v>
      </c>
      <c r="W120" s="2266">
        <v>0.28999999999999998</v>
      </c>
      <c r="X120" s="2266">
        <v>0.28999999999999998</v>
      </c>
      <c r="Y120" s="2266">
        <v>0.28999999999999998</v>
      </c>
      <c r="Z120" s="2266">
        <v>0.28999999999999998</v>
      </c>
      <c r="AA120" s="2266">
        <v>0.28999999999999998</v>
      </c>
      <c r="AB120" s="2266">
        <v>0.28999999999999998</v>
      </c>
      <c r="AC120" s="2266">
        <v>0.28999999999999998</v>
      </c>
      <c r="AD120" s="2266">
        <v>0.28999999999999998</v>
      </c>
      <c r="AE120" s="2266">
        <v>0.28999999999999998</v>
      </c>
      <c r="AF120" s="2266">
        <v>0.28999999999999998</v>
      </c>
      <c r="AG120" s="2266">
        <v>0.28999999999999998</v>
      </c>
      <c r="AH120" s="2266">
        <v>0.28999999999999998</v>
      </c>
      <c r="AI120" s="2266">
        <v>0.28999999999999998</v>
      </c>
      <c r="AJ120" s="2266">
        <v>0.28999999999999998</v>
      </c>
      <c r="AK120" s="2266">
        <v>0.28999999999999998</v>
      </c>
      <c r="AL120" s="2266">
        <v>0.28999999999999998</v>
      </c>
      <c r="AM120" s="2266">
        <v>0.28999999999999998</v>
      </c>
      <c r="AN120" s="2266">
        <v>0.28999999999999998</v>
      </c>
      <c r="AO120" s="2266">
        <v>0.28999999999999998</v>
      </c>
      <c r="AP120" s="2266">
        <v>0.28999999999999998</v>
      </c>
      <c r="AQ120" s="2266">
        <v>0.28999999999999998</v>
      </c>
    </row>
    <row r="121" spans="2:43" x14ac:dyDescent="0.25">
      <c r="B121" s="2216"/>
      <c r="C121" s="2244" t="s">
        <v>1260</v>
      </c>
      <c r="D121" s="2250" t="s">
        <v>1031</v>
      </c>
      <c r="E121" s="2250" t="s">
        <v>136</v>
      </c>
      <c r="F121" s="2262"/>
      <c r="G121" s="2266">
        <v>0.28999999999999998</v>
      </c>
      <c r="H121" s="2266">
        <v>0.28999999999999998</v>
      </c>
      <c r="I121" s="2266">
        <v>0.28999999999999998</v>
      </c>
      <c r="J121" s="2266">
        <v>0.28999999999999998</v>
      </c>
      <c r="K121" s="2266">
        <v>0.28999999999999998</v>
      </c>
      <c r="L121" s="2266">
        <v>0.28999999999999998</v>
      </c>
      <c r="M121" s="2266">
        <v>0.28999999999999998</v>
      </c>
      <c r="N121" s="2266">
        <v>0.28999999999999998</v>
      </c>
      <c r="O121" s="2266">
        <v>0.28999999999999998</v>
      </c>
      <c r="P121" s="2266">
        <v>0.28999999999999998</v>
      </c>
      <c r="Q121" s="2266">
        <v>0.28999999999999998</v>
      </c>
      <c r="R121" s="2266">
        <v>0.28999999999999998</v>
      </c>
      <c r="S121" s="2266">
        <v>0.28999999999999998</v>
      </c>
      <c r="T121" s="2266">
        <v>0.28999999999999998</v>
      </c>
      <c r="U121" s="2266">
        <v>0.28999999999999998</v>
      </c>
      <c r="V121" s="2266">
        <v>0.28999999999999998</v>
      </c>
      <c r="W121" s="2266">
        <v>0.28999999999999998</v>
      </c>
      <c r="X121" s="2266">
        <v>0.28999999999999998</v>
      </c>
      <c r="Y121" s="2266">
        <v>0.28999999999999998</v>
      </c>
      <c r="Z121" s="2266">
        <v>0.28999999999999998</v>
      </c>
      <c r="AA121" s="2266">
        <v>0.28999999999999998</v>
      </c>
      <c r="AB121" s="2266">
        <v>0.28999999999999998</v>
      </c>
      <c r="AC121" s="2266">
        <v>0.28999999999999998</v>
      </c>
      <c r="AD121" s="2266">
        <v>0.28999999999999998</v>
      </c>
      <c r="AE121" s="2266">
        <v>0.28999999999999998</v>
      </c>
      <c r="AF121" s="2266">
        <v>0.28999999999999998</v>
      </c>
      <c r="AG121" s="2266">
        <v>0.28999999999999998</v>
      </c>
      <c r="AH121" s="2266">
        <v>0.28999999999999998</v>
      </c>
      <c r="AI121" s="2266">
        <v>0.28999999999999998</v>
      </c>
      <c r="AJ121" s="2266">
        <v>0.28999999999999998</v>
      </c>
      <c r="AK121" s="2266">
        <v>0.28999999999999998</v>
      </c>
      <c r="AL121" s="2266">
        <v>0.28999999999999998</v>
      </c>
      <c r="AM121" s="2266">
        <v>0.28999999999999998</v>
      </c>
      <c r="AN121" s="2266">
        <v>0.28999999999999998</v>
      </c>
      <c r="AO121" s="2266">
        <v>0.28999999999999998</v>
      </c>
      <c r="AP121" s="2266">
        <v>0.28999999999999998</v>
      </c>
      <c r="AQ121" s="2266">
        <v>0.28999999999999998</v>
      </c>
    </row>
    <row r="122" spans="2:43" x14ac:dyDescent="0.25">
      <c r="B122" s="2216"/>
      <c r="C122" s="2244" t="s">
        <v>1261</v>
      </c>
      <c r="D122" s="2250" t="s">
        <v>1031</v>
      </c>
      <c r="E122" s="2250" t="s">
        <v>136</v>
      </c>
      <c r="F122" s="2262"/>
      <c r="G122" s="2266">
        <v>0.25</v>
      </c>
      <c r="H122" s="2266">
        <v>0.25</v>
      </c>
      <c r="I122" s="2266">
        <v>0.25</v>
      </c>
      <c r="J122" s="2266">
        <v>0.25</v>
      </c>
      <c r="K122" s="2266">
        <v>0.25</v>
      </c>
      <c r="L122" s="2266">
        <v>0.25</v>
      </c>
      <c r="M122" s="2266">
        <v>0.25</v>
      </c>
      <c r="N122" s="2266">
        <v>0.25</v>
      </c>
      <c r="O122" s="2266">
        <v>0.25</v>
      </c>
      <c r="P122" s="2266">
        <v>0.25</v>
      </c>
      <c r="Q122" s="2266">
        <v>0.25</v>
      </c>
      <c r="R122" s="2266">
        <v>0.25</v>
      </c>
      <c r="S122" s="2266">
        <v>0.25</v>
      </c>
      <c r="T122" s="2266">
        <v>0.25</v>
      </c>
      <c r="U122" s="2266">
        <v>0.25</v>
      </c>
      <c r="V122" s="2266">
        <v>0.25</v>
      </c>
      <c r="W122" s="2266">
        <v>0.25</v>
      </c>
      <c r="X122" s="2266">
        <v>0.25</v>
      </c>
      <c r="Y122" s="2266">
        <v>0.25</v>
      </c>
      <c r="Z122" s="2266">
        <v>0.25</v>
      </c>
      <c r="AA122" s="2266">
        <v>0.25</v>
      </c>
      <c r="AB122" s="2266">
        <v>0.25</v>
      </c>
      <c r="AC122" s="2266">
        <v>0.25</v>
      </c>
      <c r="AD122" s="2266">
        <v>0.25</v>
      </c>
      <c r="AE122" s="2266">
        <v>0.25</v>
      </c>
      <c r="AF122" s="2266">
        <v>0.25</v>
      </c>
      <c r="AG122" s="2266">
        <v>0.25</v>
      </c>
      <c r="AH122" s="2266">
        <v>0.25</v>
      </c>
      <c r="AI122" s="2266">
        <v>0.25</v>
      </c>
      <c r="AJ122" s="2266">
        <v>0.25</v>
      </c>
      <c r="AK122" s="2266">
        <v>0.25</v>
      </c>
      <c r="AL122" s="2266">
        <v>0.25</v>
      </c>
      <c r="AM122" s="2266">
        <v>0.25</v>
      </c>
      <c r="AN122" s="2266">
        <v>0.25</v>
      </c>
      <c r="AO122" s="2266">
        <v>0.25</v>
      </c>
      <c r="AP122" s="2266">
        <v>0.25</v>
      </c>
      <c r="AQ122" s="2266">
        <v>0.25</v>
      </c>
    </row>
    <row r="123" spans="2:43" x14ac:dyDescent="0.25">
      <c r="B123" s="2216"/>
      <c r="C123" s="2244" t="s">
        <v>1268</v>
      </c>
      <c r="D123" s="2250" t="s">
        <v>1031</v>
      </c>
      <c r="E123" s="2250" t="s">
        <v>136</v>
      </c>
      <c r="F123" s="2262"/>
      <c r="G123" s="2266">
        <v>0.22</v>
      </c>
      <c r="H123" s="2266">
        <v>0.22</v>
      </c>
      <c r="I123" s="2266">
        <v>0.22</v>
      </c>
      <c r="J123" s="2266">
        <v>0.22</v>
      </c>
      <c r="K123" s="2266">
        <v>0.22</v>
      </c>
      <c r="L123" s="2266">
        <v>0.22</v>
      </c>
      <c r="M123" s="2266">
        <v>0.22</v>
      </c>
      <c r="N123" s="2266">
        <v>0.22</v>
      </c>
      <c r="O123" s="2266">
        <v>0.22</v>
      </c>
      <c r="P123" s="2266">
        <v>0.22</v>
      </c>
      <c r="Q123" s="2266">
        <v>0.22</v>
      </c>
      <c r="R123" s="2266">
        <v>0.22</v>
      </c>
      <c r="S123" s="2266">
        <v>0.22</v>
      </c>
      <c r="T123" s="2266">
        <v>0.22</v>
      </c>
      <c r="U123" s="2266">
        <v>0.22</v>
      </c>
      <c r="V123" s="2266">
        <v>0.22</v>
      </c>
      <c r="W123" s="2266">
        <v>0.22</v>
      </c>
      <c r="X123" s="2266">
        <v>0.22</v>
      </c>
      <c r="Y123" s="2266">
        <v>0.22</v>
      </c>
      <c r="Z123" s="2266">
        <v>0.22</v>
      </c>
      <c r="AA123" s="2266">
        <v>0.22</v>
      </c>
      <c r="AB123" s="2266">
        <v>0.22</v>
      </c>
      <c r="AC123" s="2266">
        <v>0.22</v>
      </c>
      <c r="AD123" s="2266">
        <v>0.22</v>
      </c>
      <c r="AE123" s="2266">
        <v>0.22</v>
      </c>
      <c r="AF123" s="2266">
        <v>0.22</v>
      </c>
      <c r="AG123" s="2266">
        <v>0.22</v>
      </c>
      <c r="AH123" s="2266">
        <v>0.22</v>
      </c>
      <c r="AI123" s="2266">
        <v>0.22</v>
      </c>
      <c r="AJ123" s="2266">
        <v>0.22</v>
      </c>
      <c r="AK123" s="2266">
        <v>0.22</v>
      </c>
      <c r="AL123" s="2266">
        <v>0.22</v>
      </c>
      <c r="AM123" s="2266">
        <v>0.22</v>
      </c>
      <c r="AN123" s="2266">
        <v>0.22</v>
      </c>
      <c r="AO123" s="2266">
        <v>0.22</v>
      </c>
      <c r="AP123" s="2266">
        <v>0.22</v>
      </c>
      <c r="AQ123" s="2266">
        <v>0.22</v>
      </c>
    </row>
    <row r="124" spans="2:43" x14ac:dyDescent="0.25">
      <c r="B124" s="2216"/>
      <c r="C124" s="2244" t="s">
        <v>1240</v>
      </c>
      <c r="D124" s="2250" t="s">
        <v>1031</v>
      </c>
      <c r="E124" s="2250" t="s">
        <v>136</v>
      </c>
      <c r="F124" s="2262"/>
      <c r="G124" s="2266">
        <v>0.25</v>
      </c>
      <c r="H124" s="2266">
        <v>0.25</v>
      </c>
      <c r="I124" s="2266">
        <v>0.25</v>
      </c>
      <c r="J124" s="2266">
        <v>0.25</v>
      </c>
      <c r="K124" s="2266">
        <v>0.25</v>
      </c>
      <c r="L124" s="2266">
        <v>0.25</v>
      </c>
      <c r="M124" s="2266">
        <v>0.25</v>
      </c>
      <c r="N124" s="2266">
        <v>0.25</v>
      </c>
      <c r="O124" s="2266">
        <v>0.25</v>
      </c>
      <c r="P124" s="2266">
        <v>0.25</v>
      </c>
      <c r="Q124" s="2266">
        <v>0.25</v>
      </c>
      <c r="R124" s="2266">
        <v>0.25</v>
      </c>
      <c r="S124" s="2266">
        <v>0.25</v>
      </c>
      <c r="T124" s="2266">
        <v>0.25</v>
      </c>
      <c r="U124" s="2266">
        <v>0.25</v>
      </c>
      <c r="V124" s="2266">
        <v>0.25</v>
      </c>
      <c r="W124" s="2266">
        <v>0.25</v>
      </c>
      <c r="X124" s="2266">
        <v>0.25</v>
      </c>
      <c r="Y124" s="2266">
        <v>0.25</v>
      </c>
      <c r="Z124" s="2266">
        <v>0.25</v>
      </c>
      <c r="AA124" s="2266">
        <v>0.25</v>
      </c>
      <c r="AB124" s="2266">
        <v>0.25</v>
      </c>
      <c r="AC124" s="2266">
        <v>0.25</v>
      </c>
      <c r="AD124" s="2266">
        <v>0.25</v>
      </c>
      <c r="AE124" s="2266">
        <v>0.25</v>
      </c>
      <c r="AF124" s="2266">
        <v>0.25</v>
      </c>
      <c r="AG124" s="2266">
        <v>0.25</v>
      </c>
      <c r="AH124" s="2266">
        <v>0.25</v>
      </c>
      <c r="AI124" s="2266">
        <v>0.25</v>
      </c>
      <c r="AJ124" s="2266">
        <v>0.25</v>
      </c>
      <c r="AK124" s="2266">
        <v>0.25</v>
      </c>
      <c r="AL124" s="2266">
        <v>0.25</v>
      </c>
      <c r="AM124" s="2266">
        <v>0.25</v>
      </c>
      <c r="AN124" s="2266">
        <v>0.25</v>
      </c>
      <c r="AO124" s="2266">
        <v>0.25</v>
      </c>
      <c r="AP124" s="2266">
        <v>0.25</v>
      </c>
      <c r="AQ124" s="2266">
        <v>0.25</v>
      </c>
    </row>
    <row r="125" spans="2:43" x14ac:dyDescent="0.25">
      <c r="B125" s="2216"/>
      <c r="C125" s="2247" t="s">
        <v>1265</v>
      </c>
      <c r="D125" s="2251" t="s">
        <v>1031</v>
      </c>
      <c r="E125" s="2251" t="s">
        <v>136</v>
      </c>
      <c r="F125" s="2264"/>
      <c r="G125" s="2261">
        <v>0.28999999999999998</v>
      </c>
      <c r="H125" s="2261">
        <v>0.28999999999999998</v>
      </c>
      <c r="I125" s="2261">
        <v>0.28999999999999998</v>
      </c>
      <c r="J125" s="2261">
        <v>0.28999999999999998</v>
      </c>
      <c r="K125" s="2261">
        <v>0.28999999999999998</v>
      </c>
      <c r="L125" s="2261">
        <v>0.28999999999999998</v>
      </c>
      <c r="M125" s="2261">
        <v>0.28999999999999998</v>
      </c>
      <c r="N125" s="2261">
        <v>0.28999999999999998</v>
      </c>
      <c r="O125" s="2261">
        <v>0.28999999999999998</v>
      </c>
      <c r="P125" s="2261">
        <v>0.28999999999999998</v>
      </c>
      <c r="Q125" s="2261">
        <v>0.28999999999999998</v>
      </c>
      <c r="R125" s="2261">
        <v>0.28999999999999998</v>
      </c>
      <c r="S125" s="2261">
        <v>0.28999999999999998</v>
      </c>
      <c r="T125" s="2261">
        <v>0.28999999999999998</v>
      </c>
      <c r="U125" s="2261">
        <v>0.28999999999999998</v>
      </c>
      <c r="V125" s="2261">
        <v>0.28999999999999998</v>
      </c>
      <c r="W125" s="2261">
        <v>0.28999999999999998</v>
      </c>
      <c r="X125" s="2261">
        <v>0.28999999999999998</v>
      </c>
      <c r="Y125" s="2261">
        <v>0.28999999999999998</v>
      </c>
      <c r="Z125" s="2261">
        <v>0.28999999999999998</v>
      </c>
      <c r="AA125" s="2261">
        <v>0.28999999999999998</v>
      </c>
      <c r="AB125" s="2261">
        <v>0.28999999999999998</v>
      </c>
      <c r="AC125" s="2261">
        <v>0.28999999999999998</v>
      </c>
      <c r="AD125" s="2261">
        <v>0.28999999999999998</v>
      </c>
      <c r="AE125" s="2261">
        <v>0.28999999999999998</v>
      </c>
      <c r="AF125" s="2261">
        <v>0.28999999999999998</v>
      </c>
      <c r="AG125" s="2261">
        <v>0.28999999999999998</v>
      </c>
      <c r="AH125" s="2261">
        <v>0.28999999999999998</v>
      </c>
      <c r="AI125" s="2261">
        <v>0.28999999999999998</v>
      </c>
      <c r="AJ125" s="2261">
        <v>0.28999999999999998</v>
      </c>
      <c r="AK125" s="2261">
        <v>0.28999999999999998</v>
      </c>
      <c r="AL125" s="2261">
        <v>0.28999999999999998</v>
      </c>
      <c r="AM125" s="2261">
        <v>0.28999999999999998</v>
      </c>
      <c r="AN125" s="2261">
        <v>0.28999999999999998</v>
      </c>
      <c r="AO125" s="2261">
        <v>0.28999999999999998</v>
      </c>
      <c r="AP125" s="2261">
        <v>0.28999999999999998</v>
      </c>
      <c r="AQ125" s="2261">
        <v>0.28999999999999998</v>
      </c>
    </row>
    <row r="126" spans="2:43" x14ac:dyDescent="0.25">
      <c r="B126" s="2216"/>
      <c r="C126" s="2218"/>
      <c r="D126" s="2218"/>
      <c r="E126" s="2218"/>
      <c r="F126" s="2218"/>
      <c r="G126" s="2218"/>
      <c r="H126" s="2218"/>
      <c r="I126" s="2218"/>
      <c r="J126" s="2218"/>
      <c r="K126" s="2218"/>
      <c r="L126" s="2218"/>
      <c r="M126" s="2218"/>
      <c r="N126" s="2218"/>
      <c r="O126" s="2218"/>
      <c r="P126" s="2218"/>
      <c r="Q126" s="2218"/>
      <c r="R126" s="2218"/>
      <c r="S126" s="2218"/>
      <c r="T126" s="2218"/>
      <c r="U126" s="2218"/>
      <c r="V126" s="2218"/>
      <c r="W126" s="2218"/>
      <c r="X126" s="2218"/>
      <c r="Y126" s="2218"/>
      <c r="Z126" s="2218"/>
      <c r="AA126" s="2218"/>
      <c r="AB126" s="2218"/>
      <c r="AC126" s="2218"/>
      <c r="AD126" s="2218"/>
      <c r="AE126" s="2218"/>
      <c r="AF126" s="2218"/>
      <c r="AG126" s="2218"/>
      <c r="AH126" s="2218"/>
      <c r="AI126" s="2218"/>
      <c r="AJ126" s="2218"/>
      <c r="AK126" s="2218"/>
      <c r="AL126" s="2218"/>
      <c r="AM126" s="2218"/>
      <c r="AN126" s="2218"/>
      <c r="AO126" s="2218"/>
      <c r="AP126" s="2218"/>
      <c r="AQ126" s="2218"/>
    </row>
    <row r="127" spans="2:43" x14ac:dyDescent="0.25">
      <c r="B127" s="2216"/>
      <c r="C127" s="2218" t="s">
        <v>1270</v>
      </c>
      <c r="D127" s="2218"/>
      <c r="E127" s="2218"/>
      <c r="F127" s="2218"/>
      <c r="G127" s="2218"/>
      <c r="H127" s="2218"/>
      <c r="I127" s="2218"/>
      <c r="J127" s="2218"/>
      <c r="K127" s="2218"/>
      <c r="L127" s="2218"/>
      <c r="M127" s="2218"/>
      <c r="N127" s="2218"/>
      <c r="O127" s="2218"/>
      <c r="P127" s="2218"/>
      <c r="Q127" s="2218"/>
      <c r="R127" s="2218"/>
      <c r="S127" s="2218"/>
      <c r="T127" s="2218"/>
      <c r="U127" s="2218"/>
      <c r="V127" s="2218"/>
      <c r="W127" s="2218"/>
      <c r="X127" s="2218"/>
      <c r="Y127" s="2218"/>
      <c r="Z127" s="2218"/>
      <c r="AA127" s="2218"/>
      <c r="AB127" s="2218"/>
      <c r="AC127" s="2218"/>
      <c r="AD127" s="2218"/>
      <c r="AE127" s="2218"/>
      <c r="AF127" s="2218"/>
      <c r="AG127" s="2218"/>
      <c r="AH127" s="2218"/>
      <c r="AI127" s="2218"/>
      <c r="AJ127" s="2218"/>
      <c r="AK127" s="2218"/>
      <c r="AL127" s="2218"/>
      <c r="AM127" s="2218"/>
      <c r="AN127" s="2218"/>
      <c r="AO127" s="2218"/>
      <c r="AP127" s="2218"/>
      <c r="AQ127" s="2218"/>
    </row>
    <row r="128" spans="2:43" x14ac:dyDescent="0.25">
      <c r="B128" s="2216"/>
      <c r="C128" s="2219" t="s">
        <v>521</v>
      </c>
      <c r="D128" s="2219" t="s">
        <v>1029</v>
      </c>
      <c r="E128" s="2219" t="s">
        <v>8</v>
      </c>
      <c r="F128" s="2219"/>
      <c r="G128" s="2219">
        <v>2014</v>
      </c>
      <c r="H128" s="2219">
        <v>2015</v>
      </c>
      <c r="I128" s="2219">
        <v>2016</v>
      </c>
      <c r="J128" s="2219">
        <v>2017</v>
      </c>
      <c r="K128" s="2219">
        <v>2018</v>
      </c>
      <c r="L128" s="2219">
        <v>2019</v>
      </c>
      <c r="M128" s="2219">
        <v>2020</v>
      </c>
      <c r="N128" s="2219">
        <v>2021</v>
      </c>
      <c r="O128" s="2219">
        <v>2022</v>
      </c>
      <c r="P128" s="2219">
        <v>2023</v>
      </c>
      <c r="Q128" s="2219">
        <v>2024</v>
      </c>
      <c r="R128" s="2219">
        <v>2025</v>
      </c>
      <c r="S128" s="2219">
        <v>2026</v>
      </c>
      <c r="T128" s="2219">
        <v>2027</v>
      </c>
      <c r="U128" s="2219">
        <v>2028</v>
      </c>
      <c r="V128" s="2219">
        <v>2029</v>
      </c>
      <c r="W128" s="2219">
        <v>2030</v>
      </c>
      <c r="X128" s="2219">
        <v>2031</v>
      </c>
      <c r="Y128" s="2219">
        <v>2032</v>
      </c>
      <c r="Z128" s="2219">
        <v>2033</v>
      </c>
      <c r="AA128" s="2219">
        <v>2034</v>
      </c>
      <c r="AB128" s="2219">
        <v>2035</v>
      </c>
      <c r="AC128" s="2219">
        <v>2036</v>
      </c>
      <c r="AD128" s="2219">
        <v>2037</v>
      </c>
      <c r="AE128" s="2219">
        <v>2038</v>
      </c>
      <c r="AF128" s="2219">
        <v>2039</v>
      </c>
      <c r="AG128" s="2219">
        <v>2040</v>
      </c>
      <c r="AH128" s="2219">
        <v>2041</v>
      </c>
      <c r="AI128" s="2219">
        <v>2042</v>
      </c>
      <c r="AJ128" s="2219">
        <v>2043</v>
      </c>
      <c r="AK128" s="2219">
        <v>2044</v>
      </c>
      <c r="AL128" s="2219">
        <v>2045</v>
      </c>
      <c r="AM128" s="2219">
        <v>2046</v>
      </c>
      <c r="AN128" s="2219">
        <v>2047</v>
      </c>
      <c r="AO128" s="2219">
        <v>2048</v>
      </c>
      <c r="AP128" s="2219">
        <v>2049</v>
      </c>
      <c r="AQ128" s="2219">
        <v>2050</v>
      </c>
    </row>
    <row r="129" spans="2:43" x14ac:dyDescent="0.25">
      <c r="B129" s="2216"/>
      <c r="C129" s="2244" t="s">
        <v>1226</v>
      </c>
      <c r="D129" s="2250" t="s">
        <v>1031</v>
      </c>
      <c r="E129" s="2250" t="s">
        <v>136</v>
      </c>
      <c r="F129" s="2262"/>
      <c r="G129" s="2266">
        <v>0.5</v>
      </c>
      <c r="H129" s="2266">
        <v>0.5</v>
      </c>
      <c r="I129" s="2266">
        <v>0.5</v>
      </c>
      <c r="J129" s="2266">
        <v>0.5</v>
      </c>
      <c r="K129" s="2266">
        <v>0.5</v>
      </c>
      <c r="L129" s="2266">
        <v>0.5</v>
      </c>
      <c r="M129" s="2266">
        <v>0.5</v>
      </c>
      <c r="N129" s="2266">
        <v>0.5</v>
      </c>
      <c r="O129" s="2266">
        <v>0.5</v>
      </c>
      <c r="P129" s="2266">
        <v>0.5</v>
      </c>
      <c r="Q129" s="2266">
        <v>0.5</v>
      </c>
      <c r="R129" s="2266">
        <v>0.5</v>
      </c>
      <c r="S129" s="2266">
        <v>0.5</v>
      </c>
      <c r="T129" s="2266">
        <v>0.5</v>
      </c>
      <c r="U129" s="2266">
        <v>0.5</v>
      </c>
      <c r="V129" s="2266">
        <v>0.5</v>
      </c>
      <c r="W129" s="2266">
        <v>0.5</v>
      </c>
      <c r="X129" s="2266">
        <v>0.5</v>
      </c>
      <c r="Y129" s="2266">
        <v>0.5</v>
      </c>
      <c r="Z129" s="2266">
        <v>0.5</v>
      </c>
      <c r="AA129" s="2266">
        <v>0.5</v>
      </c>
      <c r="AB129" s="2266">
        <v>0.5</v>
      </c>
      <c r="AC129" s="2266">
        <v>0.5</v>
      </c>
      <c r="AD129" s="2266">
        <v>0.5</v>
      </c>
      <c r="AE129" s="2266">
        <v>0.5</v>
      </c>
      <c r="AF129" s="2266">
        <v>0.5</v>
      </c>
      <c r="AG129" s="2266">
        <v>0.5</v>
      </c>
      <c r="AH129" s="2266">
        <v>0.5</v>
      </c>
      <c r="AI129" s="2266">
        <v>0.5</v>
      </c>
      <c r="AJ129" s="2266">
        <v>0.5</v>
      </c>
      <c r="AK129" s="2266">
        <v>0.5</v>
      </c>
      <c r="AL129" s="2266">
        <v>0.5</v>
      </c>
      <c r="AM129" s="2266">
        <v>0.5</v>
      </c>
      <c r="AN129" s="2266">
        <v>0.5</v>
      </c>
      <c r="AO129" s="2266">
        <v>0.5</v>
      </c>
      <c r="AP129" s="2266">
        <v>0.5</v>
      </c>
      <c r="AQ129" s="2266">
        <v>0.5</v>
      </c>
    </row>
    <row r="130" spans="2:43" x14ac:dyDescent="0.25">
      <c r="B130" s="2216"/>
      <c r="C130" s="2244" t="s">
        <v>1259</v>
      </c>
      <c r="D130" s="2250" t="s">
        <v>1031</v>
      </c>
      <c r="E130" s="2250" t="s">
        <v>136</v>
      </c>
      <c r="F130" s="2262"/>
      <c r="G130" s="2266">
        <v>0.5</v>
      </c>
      <c r="H130" s="2266">
        <v>0.5</v>
      </c>
      <c r="I130" s="2266">
        <v>0.5</v>
      </c>
      <c r="J130" s="2266">
        <v>0.5</v>
      </c>
      <c r="K130" s="2266">
        <v>0.5</v>
      </c>
      <c r="L130" s="2266">
        <v>0.5</v>
      </c>
      <c r="M130" s="2266">
        <v>0.5</v>
      </c>
      <c r="N130" s="2266">
        <v>0.5</v>
      </c>
      <c r="O130" s="2266">
        <v>0.5</v>
      </c>
      <c r="P130" s="2266">
        <v>0.5</v>
      </c>
      <c r="Q130" s="2266">
        <v>0.5</v>
      </c>
      <c r="R130" s="2266">
        <v>0.5</v>
      </c>
      <c r="S130" s="2266">
        <v>0.5</v>
      </c>
      <c r="T130" s="2266">
        <v>0.5</v>
      </c>
      <c r="U130" s="2266">
        <v>0.5</v>
      </c>
      <c r="V130" s="2266">
        <v>0.5</v>
      </c>
      <c r="W130" s="2266">
        <v>0.5</v>
      </c>
      <c r="X130" s="2266">
        <v>0.5</v>
      </c>
      <c r="Y130" s="2266">
        <v>0.5</v>
      </c>
      <c r="Z130" s="2266">
        <v>0.5</v>
      </c>
      <c r="AA130" s="2266">
        <v>0.5</v>
      </c>
      <c r="AB130" s="2266">
        <v>0.5</v>
      </c>
      <c r="AC130" s="2266">
        <v>0.5</v>
      </c>
      <c r="AD130" s="2266">
        <v>0.5</v>
      </c>
      <c r="AE130" s="2266">
        <v>0.5</v>
      </c>
      <c r="AF130" s="2266">
        <v>0.5</v>
      </c>
      <c r="AG130" s="2266">
        <v>0.5</v>
      </c>
      <c r="AH130" s="2266">
        <v>0.5</v>
      </c>
      <c r="AI130" s="2266">
        <v>0.5</v>
      </c>
      <c r="AJ130" s="2266">
        <v>0.5</v>
      </c>
      <c r="AK130" s="2266">
        <v>0.5</v>
      </c>
      <c r="AL130" s="2266">
        <v>0.5</v>
      </c>
      <c r="AM130" s="2266">
        <v>0.5</v>
      </c>
      <c r="AN130" s="2266">
        <v>0.5</v>
      </c>
      <c r="AO130" s="2266">
        <v>0.5</v>
      </c>
      <c r="AP130" s="2266">
        <v>0.5</v>
      </c>
      <c r="AQ130" s="2266">
        <v>0.5</v>
      </c>
    </row>
    <row r="131" spans="2:43" x14ac:dyDescent="0.25">
      <c r="B131" s="2216"/>
      <c r="C131" s="2244" t="s">
        <v>1260</v>
      </c>
      <c r="D131" s="2250" t="s">
        <v>1031</v>
      </c>
      <c r="E131" s="2250" t="s">
        <v>136</v>
      </c>
      <c r="F131" s="2262"/>
      <c r="G131" s="2266">
        <v>0.5</v>
      </c>
      <c r="H131" s="2266">
        <v>0.5</v>
      </c>
      <c r="I131" s="2266">
        <v>0.5</v>
      </c>
      <c r="J131" s="2266">
        <v>0.5</v>
      </c>
      <c r="K131" s="2266">
        <v>0.5</v>
      </c>
      <c r="L131" s="2266">
        <v>0.5</v>
      </c>
      <c r="M131" s="2266">
        <v>0.5</v>
      </c>
      <c r="N131" s="2266">
        <v>0.5</v>
      </c>
      <c r="O131" s="2266">
        <v>0.5</v>
      </c>
      <c r="P131" s="2266">
        <v>0.5</v>
      </c>
      <c r="Q131" s="2266">
        <v>0.5</v>
      </c>
      <c r="R131" s="2266">
        <v>0.5</v>
      </c>
      <c r="S131" s="2266">
        <v>0.5</v>
      </c>
      <c r="T131" s="2266">
        <v>0.5</v>
      </c>
      <c r="U131" s="2266">
        <v>0.5</v>
      </c>
      <c r="V131" s="2266">
        <v>0.5</v>
      </c>
      <c r="W131" s="2266">
        <v>0.5</v>
      </c>
      <c r="X131" s="2266">
        <v>0.5</v>
      </c>
      <c r="Y131" s="2266">
        <v>0.5</v>
      </c>
      <c r="Z131" s="2266">
        <v>0.5</v>
      </c>
      <c r="AA131" s="2266">
        <v>0.5</v>
      </c>
      <c r="AB131" s="2266">
        <v>0.5</v>
      </c>
      <c r="AC131" s="2266">
        <v>0.5</v>
      </c>
      <c r="AD131" s="2266">
        <v>0.5</v>
      </c>
      <c r="AE131" s="2266">
        <v>0.5</v>
      </c>
      <c r="AF131" s="2266">
        <v>0.5</v>
      </c>
      <c r="AG131" s="2266">
        <v>0.5</v>
      </c>
      <c r="AH131" s="2266">
        <v>0.5</v>
      </c>
      <c r="AI131" s="2266">
        <v>0.5</v>
      </c>
      <c r="AJ131" s="2266">
        <v>0.5</v>
      </c>
      <c r="AK131" s="2266">
        <v>0.5</v>
      </c>
      <c r="AL131" s="2266">
        <v>0.5</v>
      </c>
      <c r="AM131" s="2266">
        <v>0.5</v>
      </c>
      <c r="AN131" s="2266">
        <v>0.5</v>
      </c>
      <c r="AO131" s="2266">
        <v>0.5</v>
      </c>
      <c r="AP131" s="2266">
        <v>0.5</v>
      </c>
      <c r="AQ131" s="2266">
        <v>0.5</v>
      </c>
    </row>
    <row r="132" spans="2:43" x14ac:dyDescent="0.25">
      <c r="B132" s="2216"/>
      <c r="C132" s="2244" t="s">
        <v>1261</v>
      </c>
      <c r="D132" s="2250" t="s">
        <v>1031</v>
      </c>
      <c r="E132" s="2250" t="s">
        <v>136</v>
      </c>
      <c r="F132" s="2218"/>
      <c r="G132" s="2266">
        <v>0.5</v>
      </c>
      <c r="H132" s="2266">
        <v>0.5</v>
      </c>
      <c r="I132" s="2266">
        <v>0.5</v>
      </c>
      <c r="J132" s="2266">
        <v>0.5</v>
      </c>
      <c r="K132" s="2266">
        <v>0.5</v>
      </c>
      <c r="L132" s="2266">
        <v>0.5</v>
      </c>
      <c r="M132" s="2266">
        <v>0.5</v>
      </c>
      <c r="N132" s="2266">
        <v>0.5</v>
      </c>
      <c r="O132" s="2266">
        <v>0.5</v>
      </c>
      <c r="P132" s="2266">
        <v>0.5</v>
      </c>
      <c r="Q132" s="2266">
        <v>0.5</v>
      </c>
      <c r="R132" s="2266">
        <v>0.5</v>
      </c>
      <c r="S132" s="2266">
        <v>0.5</v>
      </c>
      <c r="T132" s="2266">
        <v>0.5</v>
      </c>
      <c r="U132" s="2266">
        <v>0.5</v>
      </c>
      <c r="V132" s="2266">
        <v>0.5</v>
      </c>
      <c r="W132" s="2266">
        <v>0.5</v>
      </c>
      <c r="X132" s="2266">
        <v>0.5</v>
      </c>
      <c r="Y132" s="2266">
        <v>0.5</v>
      </c>
      <c r="Z132" s="2266">
        <v>0.5</v>
      </c>
      <c r="AA132" s="2266">
        <v>0.5</v>
      </c>
      <c r="AB132" s="2266">
        <v>0.5</v>
      </c>
      <c r="AC132" s="2266">
        <v>0.5</v>
      </c>
      <c r="AD132" s="2266">
        <v>0.5</v>
      </c>
      <c r="AE132" s="2266">
        <v>0.5</v>
      </c>
      <c r="AF132" s="2266">
        <v>0.5</v>
      </c>
      <c r="AG132" s="2266">
        <v>0.5</v>
      </c>
      <c r="AH132" s="2266">
        <v>0.5</v>
      </c>
      <c r="AI132" s="2266">
        <v>0.5</v>
      </c>
      <c r="AJ132" s="2266">
        <v>0.5</v>
      </c>
      <c r="AK132" s="2266">
        <v>0.5</v>
      </c>
      <c r="AL132" s="2266">
        <v>0.5</v>
      </c>
      <c r="AM132" s="2266">
        <v>0.5</v>
      </c>
      <c r="AN132" s="2266">
        <v>0.5</v>
      </c>
      <c r="AO132" s="2266">
        <v>0.5</v>
      </c>
      <c r="AP132" s="2266">
        <v>0.5</v>
      </c>
      <c r="AQ132" s="2266">
        <v>0.5</v>
      </c>
    </row>
    <row r="133" spans="2:43" x14ac:dyDescent="0.25">
      <c r="B133" s="2216"/>
      <c r="C133" s="2244" t="s">
        <v>1268</v>
      </c>
      <c r="D133" s="2250" t="s">
        <v>1031</v>
      </c>
      <c r="E133" s="2250" t="s">
        <v>136</v>
      </c>
      <c r="F133" s="2218"/>
      <c r="G133" s="2266">
        <v>0.5</v>
      </c>
      <c r="H133" s="2266">
        <v>0.5</v>
      </c>
      <c r="I133" s="2266">
        <v>0.5</v>
      </c>
      <c r="J133" s="2266">
        <v>0.5</v>
      </c>
      <c r="K133" s="2266">
        <v>0.5</v>
      </c>
      <c r="L133" s="2266">
        <v>0.5</v>
      </c>
      <c r="M133" s="2266">
        <v>0.5</v>
      </c>
      <c r="N133" s="2266">
        <v>0.5</v>
      </c>
      <c r="O133" s="2266">
        <v>0.5</v>
      </c>
      <c r="P133" s="2266">
        <v>0.5</v>
      </c>
      <c r="Q133" s="2266">
        <v>0.5</v>
      </c>
      <c r="R133" s="2266">
        <v>0.5</v>
      </c>
      <c r="S133" s="2266">
        <v>0.5</v>
      </c>
      <c r="T133" s="2266">
        <v>0.5</v>
      </c>
      <c r="U133" s="2266">
        <v>0.5</v>
      </c>
      <c r="V133" s="2266">
        <v>0.5</v>
      </c>
      <c r="W133" s="2266">
        <v>0.5</v>
      </c>
      <c r="X133" s="2266">
        <v>0.5</v>
      </c>
      <c r="Y133" s="2266">
        <v>0.5</v>
      </c>
      <c r="Z133" s="2266">
        <v>0.5</v>
      </c>
      <c r="AA133" s="2266">
        <v>0.5</v>
      </c>
      <c r="AB133" s="2266">
        <v>0.5</v>
      </c>
      <c r="AC133" s="2266">
        <v>0.5</v>
      </c>
      <c r="AD133" s="2266">
        <v>0.5</v>
      </c>
      <c r="AE133" s="2266">
        <v>0.5</v>
      </c>
      <c r="AF133" s="2266">
        <v>0.5</v>
      </c>
      <c r="AG133" s="2266">
        <v>0.5</v>
      </c>
      <c r="AH133" s="2266">
        <v>0.5</v>
      </c>
      <c r="AI133" s="2266">
        <v>0.5</v>
      </c>
      <c r="AJ133" s="2266">
        <v>0.5</v>
      </c>
      <c r="AK133" s="2266">
        <v>0.5</v>
      </c>
      <c r="AL133" s="2266">
        <v>0.5</v>
      </c>
      <c r="AM133" s="2266">
        <v>0.5</v>
      </c>
      <c r="AN133" s="2266">
        <v>0.5</v>
      </c>
      <c r="AO133" s="2266">
        <v>0.5</v>
      </c>
      <c r="AP133" s="2266">
        <v>0.5</v>
      </c>
      <c r="AQ133" s="2266">
        <v>0.5</v>
      </c>
    </row>
    <row r="134" spans="2:43" x14ac:dyDescent="0.25">
      <c r="B134" s="2216"/>
      <c r="C134" s="2244" t="s">
        <v>1240</v>
      </c>
      <c r="D134" s="2250" t="s">
        <v>1031</v>
      </c>
      <c r="E134" s="2250" t="s">
        <v>136</v>
      </c>
      <c r="F134" s="2218"/>
      <c r="G134" s="2266">
        <v>0.5</v>
      </c>
      <c r="H134" s="2266">
        <v>0.5</v>
      </c>
      <c r="I134" s="2266">
        <v>0.5</v>
      </c>
      <c r="J134" s="2266">
        <v>0.5</v>
      </c>
      <c r="K134" s="2266">
        <v>0.5</v>
      </c>
      <c r="L134" s="2266">
        <v>0.5</v>
      </c>
      <c r="M134" s="2266">
        <v>0.5</v>
      </c>
      <c r="N134" s="2266">
        <v>0.5</v>
      </c>
      <c r="O134" s="2266">
        <v>0.5</v>
      </c>
      <c r="P134" s="2266">
        <v>0.5</v>
      </c>
      <c r="Q134" s="2266">
        <v>0.5</v>
      </c>
      <c r="R134" s="2266">
        <v>0.5</v>
      </c>
      <c r="S134" s="2266">
        <v>0.5</v>
      </c>
      <c r="T134" s="2266">
        <v>0.5</v>
      </c>
      <c r="U134" s="2266">
        <v>0.5</v>
      </c>
      <c r="V134" s="2266">
        <v>0.5</v>
      </c>
      <c r="W134" s="2266">
        <v>0.5</v>
      </c>
      <c r="X134" s="2266">
        <v>0.5</v>
      </c>
      <c r="Y134" s="2266">
        <v>0.5</v>
      </c>
      <c r="Z134" s="2266">
        <v>0.5</v>
      </c>
      <c r="AA134" s="2266">
        <v>0.5</v>
      </c>
      <c r="AB134" s="2266">
        <v>0.5</v>
      </c>
      <c r="AC134" s="2266">
        <v>0.5</v>
      </c>
      <c r="AD134" s="2266">
        <v>0.5</v>
      </c>
      <c r="AE134" s="2266">
        <v>0.5</v>
      </c>
      <c r="AF134" s="2266">
        <v>0.5</v>
      </c>
      <c r="AG134" s="2266">
        <v>0.5</v>
      </c>
      <c r="AH134" s="2266">
        <v>0.5</v>
      </c>
      <c r="AI134" s="2266">
        <v>0.5</v>
      </c>
      <c r="AJ134" s="2266">
        <v>0.5</v>
      </c>
      <c r="AK134" s="2266">
        <v>0.5</v>
      </c>
      <c r="AL134" s="2266">
        <v>0.5</v>
      </c>
      <c r="AM134" s="2266">
        <v>0.5</v>
      </c>
      <c r="AN134" s="2266">
        <v>0.5</v>
      </c>
      <c r="AO134" s="2266">
        <v>0.5</v>
      </c>
      <c r="AP134" s="2266">
        <v>0.5</v>
      </c>
      <c r="AQ134" s="2266">
        <v>0.5</v>
      </c>
    </row>
    <row r="135" spans="2:43" x14ac:dyDescent="0.25">
      <c r="B135" s="2216"/>
      <c r="C135" s="2247" t="s">
        <v>1271</v>
      </c>
      <c r="D135" s="2251" t="s">
        <v>1031</v>
      </c>
      <c r="E135" s="2251" t="s">
        <v>136</v>
      </c>
      <c r="F135" s="2263"/>
      <c r="G135" s="2261">
        <v>0.5</v>
      </c>
      <c r="H135" s="2261">
        <v>0.5</v>
      </c>
      <c r="I135" s="2261">
        <v>0.5</v>
      </c>
      <c r="J135" s="2261">
        <v>0.5</v>
      </c>
      <c r="K135" s="2261">
        <v>0.5</v>
      </c>
      <c r="L135" s="2261">
        <v>0.5</v>
      </c>
      <c r="M135" s="2261">
        <v>0.5</v>
      </c>
      <c r="N135" s="2261">
        <v>0.5</v>
      </c>
      <c r="O135" s="2261">
        <v>0.5</v>
      </c>
      <c r="P135" s="2261">
        <v>0.5</v>
      </c>
      <c r="Q135" s="2261">
        <v>0.5</v>
      </c>
      <c r="R135" s="2261">
        <v>0.5</v>
      </c>
      <c r="S135" s="2261">
        <v>0.5</v>
      </c>
      <c r="T135" s="2261">
        <v>0.5</v>
      </c>
      <c r="U135" s="2261">
        <v>0.5</v>
      </c>
      <c r="V135" s="2261">
        <v>0.5</v>
      </c>
      <c r="W135" s="2261">
        <v>0.5</v>
      </c>
      <c r="X135" s="2261">
        <v>0.5</v>
      </c>
      <c r="Y135" s="2261">
        <v>0.5</v>
      </c>
      <c r="Z135" s="2261">
        <v>0.5</v>
      </c>
      <c r="AA135" s="2261">
        <v>0.5</v>
      </c>
      <c r="AB135" s="2261">
        <v>0.5</v>
      </c>
      <c r="AC135" s="2261">
        <v>0.5</v>
      </c>
      <c r="AD135" s="2261">
        <v>0.5</v>
      </c>
      <c r="AE135" s="2261">
        <v>0.5</v>
      </c>
      <c r="AF135" s="2261">
        <v>0.5</v>
      </c>
      <c r="AG135" s="2261">
        <v>0.5</v>
      </c>
      <c r="AH135" s="2261">
        <v>0.5</v>
      </c>
      <c r="AI135" s="2261">
        <v>0.5</v>
      </c>
      <c r="AJ135" s="2261">
        <v>0.5</v>
      </c>
      <c r="AK135" s="2261">
        <v>0.5</v>
      </c>
      <c r="AL135" s="2261">
        <v>0.5</v>
      </c>
      <c r="AM135" s="2261">
        <v>0.5</v>
      </c>
      <c r="AN135" s="2261">
        <v>0.5</v>
      </c>
      <c r="AO135" s="2261">
        <v>0.5</v>
      </c>
      <c r="AP135" s="2261">
        <v>0.5</v>
      </c>
      <c r="AQ135" s="2261">
        <v>0.5</v>
      </c>
    </row>
    <row r="136" spans="2:43" x14ac:dyDescent="0.25">
      <c r="B136" s="2216"/>
      <c r="C136" s="2244"/>
      <c r="D136" s="2218"/>
      <c r="E136" s="2218"/>
      <c r="F136" s="2218"/>
      <c r="G136" s="2218"/>
      <c r="H136" s="2218"/>
      <c r="I136" s="2218"/>
      <c r="J136" s="2218"/>
      <c r="K136" s="2218"/>
      <c r="L136" s="2218"/>
      <c r="M136" s="2218"/>
      <c r="N136" s="2218"/>
      <c r="O136" s="2218"/>
      <c r="P136" s="2218"/>
      <c r="Q136" s="2218"/>
      <c r="R136" s="2218"/>
      <c r="S136" s="2218"/>
      <c r="T136" s="2218"/>
      <c r="U136" s="2218"/>
      <c r="V136" s="2218"/>
      <c r="W136" s="2218"/>
      <c r="X136" s="2218"/>
      <c r="Y136" s="2218"/>
      <c r="Z136" s="2218"/>
      <c r="AA136" s="2218"/>
      <c r="AB136" s="2218"/>
      <c r="AC136" s="2218"/>
      <c r="AD136" s="2218"/>
      <c r="AE136" s="2218"/>
      <c r="AF136" s="2218"/>
      <c r="AG136" s="2218"/>
      <c r="AH136" s="2218"/>
      <c r="AI136" s="2218"/>
      <c r="AJ136" s="2218"/>
      <c r="AK136" s="2218"/>
      <c r="AL136" s="2218"/>
      <c r="AM136" s="2218"/>
      <c r="AN136" s="2218"/>
      <c r="AO136" s="2218"/>
      <c r="AP136" s="2218"/>
      <c r="AQ136" s="2218"/>
    </row>
    <row r="137" spans="2:43" x14ac:dyDescent="0.25">
      <c r="B137" s="2216"/>
      <c r="C137" s="2218" t="s">
        <v>1272</v>
      </c>
      <c r="D137" s="2218"/>
      <c r="E137" s="2218"/>
      <c r="F137" s="2218"/>
      <c r="G137" s="2218"/>
      <c r="H137" s="2218"/>
      <c r="I137" s="2218"/>
      <c r="J137" s="2218"/>
      <c r="K137" s="2218"/>
      <c r="L137" s="2218"/>
      <c r="M137" s="2218"/>
      <c r="N137" s="2218"/>
      <c r="O137" s="2218"/>
      <c r="P137" s="2218"/>
      <c r="Q137" s="2218"/>
      <c r="R137" s="2218"/>
      <c r="S137" s="2218"/>
      <c r="T137" s="2218"/>
      <c r="U137" s="2218"/>
      <c r="V137" s="2218"/>
      <c r="W137" s="2218"/>
      <c r="X137" s="2218"/>
      <c r="Y137" s="2218"/>
      <c r="Z137" s="2218"/>
      <c r="AA137" s="2218"/>
      <c r="AB137" s="2218"/>
      <c r="AC137" s="2218"/>
      <c r="AD137" s="2218"/>
      <c r="AE137" s="2218"/>
      <c r="AF137" s="2218"/>
      <c r="AG137" s="2218"/>
      <c r="AH137" s="2218"/>
      <c r="AI137" s="2218"/>
      <c r="AJ137" s="2218"/>
      <c r="AK137" s="2218"/>
      <c r="AL137" s="2218"/>
      <c r="AM137" s="2218"/>
      <c r="AN137" s="2218"/>
      <c r="AO137" s="2218"/>
      <c r="AP137" s="2218"/>
      <c r="AQ137" s="2218"/>
    </row>
    <row r="138" spans="2:43" x14ac:dyDescent="0.25">
      <c r="B138" s="2216"/>
      <c r="C138" s="2219" t="s">
        <v>521</v>
      </c>
      <c r="D138" s="2219" t="s">
        <v>1029</v>
      </c>
      <c r="E138" s="2219" t="s">
        <v>8</v>
      </c>
      <c r="F138" s="2219"/>
      <c r="G138" s="2219">
        <v>2014</v>
      </c>
      <c r="H138" s="2219">
        <v>2015</v>
      </c>
      <c r="I138" s="2219">
        <v>2016</v>
      </c>
      <c r="J138" s="2219">
        <v>2017</v>
      </c>
      <c r="K138" s="2219">
        <v>2018</v>
      </c>
      <c r="L138" s="2219">
        <v>2019</v>
      </c>
      <c r="M138" s="2219">
        <v>2020</v>
      </c>
      <c r="N138" s="2219">
        <v>2021</v>
      </c>
      <c r="O138" s="2219">
        <v>2022</v>
      </c>
      <c r="P138" s="2219">
        <v>2023</v>
      </c>
      <c r="Q138" s="2219">
        <v>2024</v>
      </c>
      <c r="R138" s="2219">
        <v>2025</v>
      </c>
      <c r="S138" s="2219">
        <v>2026</v>
      </c>
      <c r="T138" s="2219">
        <v>2027</v>
      </c>
      <c r="U138" s="2219">
        <v>2028</v>
      </c>
      <c r="V138" s="2219">
        <v>2029</v>
      </c>
      <c r="W138" s="2219">
        <v>2030</v>
      </c>
      <c r="X138" s="2219">
        <v>2031</v>
      </c>
      <c r="Y138" s="2219">
        <v>2032</v>
      </c>
      <c r="Z138" s="2219">
        <v>2033</v>
      </c>
      <c r="AA138" s="2219">
        <v>2034</v>
      </c>
      <c r="AB138" s="2219">
        <v>2035</v>
      </c>
      <c r="AC138" s="2219">
        <v>2036</v>
      </c>
      <c r="AD138" s="2219">
        <v>2037</v>
      </c>
      <c r="AE138" s="2219">
        <v>2038</v>
      </c>
      <c r="AF138" s="2219">
        <v>2039</v>
      </c>
      <c r="AG138" s="2219">
        <v>2040</v>
      </c>
      <c r="AH138" s="2219">
        <v>2041</v>
      </c>
      <c r="AI138" s="2219">
        <v>2042</v>
      </c>
      <c r="AJ138" s="2219">
        <v>2043</v>
      </c>
      <c r="AK138" s="2219">
        <v>2044</v>
      </c>
      <c r="AL138" s="2219">
        <v>2045</v>
      </c>
      <c r="AM138" s="2219">
        <v>2046</v>
      </c>
      <c r="AN138" s="2219">
        <v>2047</v>
      </c>
      <c r="AO138" s="2219">
        <v>2048</v>
      </c>
      <c r="AP138" s="2219">
        <v>2049</v>
      </c>
      <c r="AQ138" s="2219">
        <v>2050</v>
      </c>
    </row>
    <row r="139" spans="2:43" x14ac:dyDescent="0.25">
      <c r="B139" s="2216"/>
      <c r="C139" s="2244" t="s">
        <v>1226</v>
      </c>
      <c r="D139" s="2250" t="s">
        <v>1273</v>
      </c>
      <c r="E139" s="2250" t="s">
        <v>136</v>
      </c>
      <c r="F139" s="2262"/>
      <c r="G139" s="2266">
        <v>3.6666666666666701</v>
      </c>
      <c r="H139" s="2266">
        <v>3.6666666666666701</v>
      </c>
      <c r="I139" s="2266">
        <v>3.6666666666666701</v>
      </c>
      <c r="J139" s="2266">
        <v>3.6666666666666701</v>
      </c>
      <c r="K139" s="2266">
        <v>3.6666666666666701</v>
      </c>
      <c r="L139" s="2266">
        <v>3.6666666666666701</v>
      </c>
      <c r="M139" s="2266">
        <v>3.6666666666666701</v>
      </c>
      <c r="N139" s="2266">
        <v>3.6666666666666701</v>
      </c>
      <c r="O139" s="2266">
        <v>3.6666666666666701</v>
      </c>
      <c r="P139" s="2266">
        <v>3.6666666666666701</v>
      </c>
      <c r="Q139" s="2266">
        <v>3.6666666666666701</v>
      </c>
      <c r="R139" s="2266">
        <v>3.6666666666666701</v>
      </c>
      <c r="S139" s="2266">
        <v>3.6666666666666701</v>
      </c>
      <c r="T139" s="2266">
        <v>3.6666666666666701</v>
      </c>
      <c r="U139" s="2266">
        <v>3.6666666666666701</v>
      </c>
      <c r="V139" s="2266">
        <v>3.6666666666666701</v>
      </c>
      <c r="W139" s="2266">
        <v>3.6666666666666701</v>
      </c>
      <c r="X139" s="2266">
        <v>3.6666666666666701</v>
      </c>
      <c r="Y139" s="2266">
        <v>3.6666666666666701</v>
      </c>
      <c r="Z139" s="2266">
        <v>3.6666666666666701</v>
      </c>
      <c r="AA139" s="2266">
        <v>3.6666666666666701</v>
      </c>
      <c r="AB139" s="2266">
        <v>3.6666666666666701</v>
      </c>
      <c r="AC139" s="2266">
        <v>3.6666666666666701</v>
      </c>
      <c r="AD139" s="2266">
        <v>3.6666666666666701</v>
      </c>
      <c r="AE139" s="2266">
        <v>3.6666666666666701</v>
      </c>
      <c r="AF139" s="2266">
        <v>3.6666666666666701</v>
      </c>
      <c r="AG139" s="2266">
        <v>3.6666666666666701</v>
      </c>
      <c r="AH139" s="2266">
        <v>3.6666666666666701</v>
      </c>
      <c r="AI139" s="2266">
        <v>3.6666666666666701</v>
      </c>
      <c r="AJ139" s="2266">
        <v>3.6666666666666701</v>
      </c>
      <c r="AK139" s="2266">
        <v>3.6666666666666701</v>
      </c>
      <c r="AL139" s="2266">
        <v>3.6666666666666701</v>
      </c>
      <c r="AM139" s="2266">
        <v>3.6666666666666701</v>
      </c>
      <c r="AN139" s="2266">
        <v>3.6666666666666701</v>
      </c>
      <c r="AO139" s="2266">
        <v>3.6666666666666701</v>
      </c>
      <c r="AP139" s="2266">
        <v>3.6666666666666701</v>
      </c>
      <c r="AQ139" s="2266">
        <v>3.6666666666666701</v>
      </c>
    </row>
    <row r="140" spans="2:43" x14ac:dyDescent="0.25">
      <c r="B140" s="2216"/>
      <c r="C140" s="2244" t="s">
        <v>1259</v>
      </c>
      <c r="D140" s="2250" t="s">
        <v>1273</v>
      </c>
      <c r="E140" s="2250" t="s">
        <v>136</v>
      </c>
      <c r="F140" s="2262"/>
      <c r="G140" s="2266">
        <v>3.6666666666666701</v>
      </c>
      <c r="H140" s="2266">
        <v>3.6666666666666701</v>
      </c>
      <c r="I140" s="2266">
        <v>3.6666666666666701</v>
      </c>
      <c r="J140" s="2266">
        <v>3.6666666666666701</v>
      </c>
      <c r="K140" s="2266">
        <v>3.6666666666666701</v>
      </c>
      <c r="L140" s="2266">
        <v>3.6666666666666701</v>
      </c>
      <c r="M140" s="2266">
        <v>3.6666666666666701</v>
      </c>
      <c r="N140" s="2266">
        <v>3.6666666666666701</v>
      </c>
      <c r="O140" s="2266">
        <v>3.6666666666666701</v>
      </c>
      <c r="P140" s="2266">
        <v>3.6666666666666701</v>
      </c>
      <c r="Q140" s="2266">
        <v>3.6666666666666701</v>
      </c>
      <c r="R140" s="2266">
        <v>3.6666666666666701</v>
      </c>
      <c r="S140" s="2266">
        <v>3.6666666666666701</v>
      </c>
      <c r="T140" s="2266">
        <v>3.6666666666666701</v>
      </c>
      <c r="U140" s="2266">
        <v>3.6666666666666701</v>
      </c>
      <c r="V140" s="2266">
        <v>3.6666666666666701</v>
      </c>
      <c r="W140" s="2266">
        <v>3.6666666666666701</v>
      </c>
      <c r="X140" s="2266">
        <v>3.6666666666666701</v>
      </c>
      <c r="Y140" s="2266">
        <v>3.6666666666666701</v>
      </c>
      <c r="Z140" s="2266">
        <v>3.6666666666666701</v>
      </c>
      <c r="AA140" s="2266">
        <v>3.6666666666666701</v>
      </c>
      <c r="AB140" s="2266">
        <v>3.6666666666666701</v>
      </c>
      <c r="AC140" s="2266">
        <v>3.6666666666666701</v>
      </c>
      <c r="AD140" s="2266">
        <v>3.6666666666666701</v>
      </c>
      <c r="AE140" s="2266">
        <v>3.6666666666666701</v>
      </c>
      <c r="AF140" s="2266">
        <v>3.6666666666666701</v>
      </c>
      <c r="AG140" s="2266">
        <v>3.6666666666666701</v>
      </c>
      <c r="AH140" s="2266">
        <v>3.6666666666666701</v>
      </c>
      <c r="AI140" s="2266">
        <v>3.6666666666666701</v>
      </c>
      <c r="AJ140" s="2266">
        <v>3.6666666666666701</v>
      </c>
      <c r="AK140" s="2266">
        <v>3.6666666666666701</v>
      </c>
      <c r="AL140" s="2266">
        <v>3.6666666666666701</v>
      </c>
      <c r="AM140" s="2266">
        <v>3.6666666666666701</v>
      </c>
      <c r="AN140" s="2266">
        <v>3.6666666666666701</v>
      </c>
      <c r="AO140" s="2266">
        <v>3.6666666666666701</v>
      </c>
      <c r="AP140" s="2266">
        <v>3.6666666666666701</v>
      </c>
      <c r="AQ140" s="2266">
        <v>3.6666666666666701</v>
      </c>
    </row>
    <row r="141" spans="2:43" x14ac:dyDescent="0.25">
      <c r="B141" s="2216"/>
      <c r="C141" s="2244" t="s">
        <v>1260</v>
      </c>
      <c r="D141" s="2250" t="s">
        <v>1273</v>
      </c>
      <c r="E141" s="2250" t="s">
        <v>136</v>
      </c>
      <c r="F141" s="2262"/>
      <c r="G141" s="2266">
        <v>3.6666666666666701</v>
      </c>
      <c r="H141" s="2266">
        <v>3.6666666666666701</v>
      </c>
      <c r="I141" s="2266">
        <v>3.6666666666666701</v>
      </c>
      <c r="J141" s="2266">
        <v>3.6666666666666701</v>
      </c>
      <c r="K141" s="2266">
        <v>3.6666666666666701</v>
      </c>
      <c r="L141" s="2266">
        <v>3.6666666666666701</v>
      </c>
      <c r="M141" s="2266">
        <v>3.6666666666666701</v>
      </c>
      <c r="N141" s="2266">
        <v>3.6666666666666701</v>
      </c>
      <c r="O141" s="2266">
        <v>3.6666666666666701</v>
      </c>
      <c r="P141" s="2266">
        <v>3.6666666666666701</v>
      </c>
      <c r="Q141" s="2266">
        <v>3.6666666666666701</v>
      </c>
      <c r="R141" s="2266">
        <v>3.6666666666666701</v>
      </c>
      <c r="S141" s="2266">
        <v>3.6666666666666701</v>
      </c>
      <c r="T141" s="2266">
        <v>3.6666666666666701</v>
      </c>
      <c r="U141" s="2266">
        <v>3.6666666666666701</v>
      </c>
      <c r="V141" s="2266">
        <v>3.6666666666666701</v>
      </c>
      <c r="W141" s="2266">
        <v>3.6666666666666701</v>
      </c>
      <c r="X141" s="2266">
        <v>3.6666666666666701</v>
      </c>
      <c r="Y141" s="2266">
        <v>3.6666666666666701</v>
      </c>
      <c r="Z141" s="2266">
        <v>3.6666666666666701</v>
      </c>
      <c r="AA141" s="2266">
        <v>3.6666666666666701</v>
      </c>
      <c r="AB141" s="2266">
        <v>3.6666666666666701</v>
      </c>
      <c r="AC141" s="2266">
        <v>3.6666666666666701</v>
      </c>
      <c r="AD141" s="2266">
        <v>3.6666666666666701</v>
      </c>
      <c r="AE141" s="2266">
        <v>3.6666666666666701</v>
      </c>
      <c r="AF141" s="2266">
        <v>3.6666666666666701</v>
      </c>
      <c r="AG141" s="2266">
        <v>3.6666666666666701</v>
      </c>
      <c r="AH141" s="2266">
        <v>3.6666666666666701</v>
      </c>
      <c r="AI141" s="2266">
        <v>3.6666666666666701</v>
      </c>
      <c r="AJ141" s="2266">
        <v>3.6666666666666701</v>
      </c>
      <c r="AK141" s="2266">
        <v>3.6666666666666701</v>
      </c>
      <c r="AL141" s="2266">
        <v>3.6666666666666701</v>
      </c>
      <c r="AM141" s="2266">
        <v>3.6666666666666701</v>
      </c>
      <c r="AN141" s="2266">
        <v>3.6666666666666701</v>
      </c>
      <c r="AO141" s="2266">
        <v>3.6666666666666701</v>
      </c>
      <c r="AP141" s="2266">
        <v>3.6666666666666701</v>
      </c>
      <c r="AQ141" s="2266">
        <v>3.6666666666666701</v>
      </c>
    </row>
    <row r="142" spans="2:43" x14ac:dyDescent="0.25">
      <c r="B142" s="2216"/>
      <c r="C142" s="2244" t="s">
        <v>1261</v>
      </c>
      <c r="D142" s="2250" t="s">
        <v>1273</v>
      </c>
      <c r="E142" s="2250" t="s">
        <v>136</v>
      </c>
      <c r="F142" s="2218"/>
      <c r="G142" s="2266">
        <v>3.6666666666666701</v>
      </c>
      <c r="H142" s="2266">
        <v>3.6666666666666701</v>
      </c>
      <c r="I142" s="2266">
        <v>3.6666666666666701</v>
      </c>
      <c r="J142" s="2266">
        <v>3.6666666666666701</v>
      </c>
      <c r="K142" s="2266">
        <v>3.6666666666666701</v>
      </c>
      <c r="L142" s="2266">
        <v>3.6666666666666701</v>
      </c>
      <c r="M142" s="2266">
        <v>3.6666666666666701</v>
      </c>
      <c r="N142" s="2266">
        <v>3.6666666666666701</v>
      </c>
      <c r="O142" s="2266">
        <v>3.6666666666666701</v>
      </c>
      <c r="P142" s="2266">
        <v>3.6666666666666701</v>
      </c>
      <c r="Q142" s="2266">
        <v>3.6666666666666701</v>
      </c>
      <c r="R142" s="2266">
        <v>3.6666666666666701</v>
      </c>
      <c r="S142" s="2266">
        <v>3.6666666666666701</v>
      </c>
      <c r="T142" s="2266">
        <v>3.6666666666666701</v>
      </c>
      <c r="U142" s="2266">
        <v>3.6666666666666701</v>
      </c>
      <c r="V142" s="2266">
        <v>3.6666666666666701</v>
      </c>
      <c r="W142" s="2266">
        <v>3.6666666666666701</v>
      </c>
      <c r="X142" s="2266">
        <v>3.6666666666666701</v>
      </c>
      <c r="Y142" s="2266">
        <v>3.6666666666666701</v>
      </c>
      <c r="Z142" s="2266">
        <v>3.6666666666666701</v>
      </c>
      <c r="AA142" s="2266">
        <v>3.6666666666666701</v>
      </c>
      <c r="AB142" s="2266">
        <v>3.6666666666666701</v>
      </c>
      <c r="AC142" s="2266">
        <v>3.6666666666666701</v>
      </c>
      <c r="AD142" s="2266">
        <v>3.6666666666666701</v>
      </c>
      <c r="AE142" s="2266">
        <v>3.6666666666666701</v>
      </c>
      <c r="AF142" s="2266">
        <v>3.6666666666666701</v>
      </c>
      <c r="AG142" s="2266">
        <v>3.6666666666666701</v>
      </c>
      <c r="AH142" s="2266">
        <v>3.6666666666666701</v>
      </c>
      <c r="AI142" s="2266">
        <v>3.6666666666666701</v>
      </c>
      <c r="AJ142" s="2266">
        <v>3.6666666666666701</v>
      </c>
      <c r="AK142" s="2266">
        <v>3.6666666666666701</v>
      </c>
      <c r="AL142" s="2266">
        <v>3.6666666666666701</v>
      </c>
      <c r="AM142" s="2266">
        <v>3.6666666666666701</v>
      </c>
      <c r="AN142" s="2266">
        <v>3.6666666666666701</v>
      </c>
      <c r="AO142" s="2266">
        <v>3.6666666666666701</v>
      </c>
      <c r="AP142" s="2266">
        <v>3.6666666666666701</v>
      </c>
      <c r="AQ142" s="2266">
        <v>3.6666666666666701</v>
      </c>
    </row>
    <row r="143" spans="2:43" x14ac:dyDescent="0.25">
      <c r="B143" s="2216"/>
      <c r="C143" s="2244" t="s">
        <v>1268</v>
      </c>
      <c r="D143" s="2250" t="s">
        <v>1273</v>
      </c>
      <c r="E143" s="2250" t="s">
        <v>136</v>
      </c>
      <c r="F143" s="2226"/>
      <c r="G143" s="2266">
        <v>3.6666666666666701</v>
      </c>
      <c r="H143" s="2266">
        <v>3.6666666666666701</v>
      </c>
      <c r="I143" s="2266">
        <v>3.6666666666666701</v>
      </c>
      <c r="J143" s="2266">
        <v>3.6666666666666701</v>
      </c>
      <c r="K143" s="2266">
        <v>3.6666666666666701</v>
      </c>
      <c r="L143" s="2266">
        <v>3.6666666666666701</v>
      </c>
      <c r="M143" s="2266">
        <v>3.6666666666666701</v>
      </c>
      <c r="N143" s="2266">
        <v>3.6666666666666701</v>
      </c>
      <c r="O143" s="2266">
        <v>3.6666666666666701</v>
      </c>
      <c r="P143" s="2266">
        <v>3.6666666666666701</v>
      </c>
      <c r="Q143" s="2266">
        <v>3.6666666666666701</v>
      </c>
      <c r="R143" s="2266">
        <v>3.6666666666666701</v>
      </c>
      <c r="S143" s="2266">
        <v>3.6666666666666701</v>
      </c>
      <c r="T143" s="2266">
        <v>3.6666666666666701</v>
      </c>
      <c r="U143" s="2266">
        <v>3.6666666666666701</v>
      </c>
      <c r="V143" s="2266">
        <v>3.6666666666666701</v>
      </c>
      <c r="W143" s="2266">
        <v>3.6666666666666701</v>
      </c>
      <c r="X143" s="2266">
        <v>3.6666666666666701</v>
      </c>
      <c r="Y143" s="2266">
        <v>3.6666666666666701</v>
      </c>
      <c r="Z143" s="2266">
        <v>3.6666666666666701</v>
      </c>
      <c r="AA143" s="2266">
        <v>3.6666666666666701</v>
      </c>
      <c r="AB143" s="2266">
        <v>3.6666666666666701</v>
      </c>
      <c r="AC143" s="2266">
        <v>3.6666666666666701</v>
      </c>
      <c r="AD143" s="2266">
        <v>3.6666666666666701</v>
      </c>
      <c r="AE143" s="2266">
        <v>3.6666666666666701</v>
      </c>
      <c r="AF143" s="2266">
        <v>3.6666666666666701</v>
      </c>
      <c r="AG143" s="2266">
        <v>3.6666666666666701</v>
      </c>
      <c r="AH143" s="2266">
        <v>3.6666666666666701</v>
      </c>
      <c r="AI143" s="2266">
        <v>3.6666666666666701</v>
      </c>
      <c r="AJ143" s="2266">
        <v>3.6666666666666701</v>
      </c>
      <c r="AK143" s="2266">
        <v>3.6666666666666701</v>
      </c>
      <c r="AL143" s="2266">
        <v>3.6666666666666701</v>
      </c>
      <c r="AM143" s="2266">
        <v>3.6666666666666701</v>
      </c>
      <c r="AN143" s="2266">
        <v>3.6666666666666701</v>
      </c>
      <c r="AO143" s="2266">
        <v>3.6666666666666701</v>
      </c>
      <c r="AP143" s="2266">
        <v>3.6666666666666701</v>
      </c>
      <c r="AQ143" s="2266">
        <v>3.6666666666666701</v>
      </c>
    </row>
    <row r="144" spans="2:43" x14ac:dyDescent="0.25">
      <c r="B144" s="2216"/>
      <c r="C144" s="2244" t="s">
        <v>1240</v>
      </c>
      <c r="D144" s="2250" t="s">
        <v>1273</v>
      </c>
      <c r="E144" s="2250" t="s">
        <v>136</v>
      </c>
      <c r="F144" s="2226"/>
      <c r="G144" s="2266">
        <v>3.6666666666666701</v>
      </c>
      <c r="H144" s="2266">
        <v>3.6666666666666701</v>
      </c>
      <c r="I144" s="2266">
        <v>3.6666666666666701</v>
      </c>
      <c r="J144" s="2266">
        <v>3.6666666666666701</v>
      </c>
      <c r="K144" s="2266">
        <v>3.6666666666666701</v>
      </c>
      <c r="L144" s="2266">
        <v>3.6666666666666701</v>
      </c>
      <c r="M144" s="2266">
        <v>3.6666666666666701</v>
      </c>
      <c r="N144" s="2266">
        <v>3.6666666666666701</v>
      </c>
      <c r="O144" s="2266">
        <v>3.6666666666666701</v>
      </c>
      <c r="P144" s="2266">
        <v>3.6666666666666701</v>
      </c>
      <c r="Q144" s="2266">
        <v>3.6666666666666701</v>
      </c>
      <c r="R144" s="2266">
        <v>3.6666666666666701</v>
      </c>
      <c r="S144" s="2266">
        <v>3.6666666666666701</v>
      </c>
      <c r="T144" s="2266">
        <v>3.6666666666666701</v>
      </c>
      <c r="U144" s="2266">
        <v>3.6666666666666701</v>
      </c>
      <c r="V144" s="2266">
        <v>3.6666666666666701</v>
      </c>
      <c r="W144" s="2266">
        <v>3.6666666666666701</v>
      </c>
      <c r="X144" s="2266">
        <v>3.6666666666666701</v>
      </c>
      <c r="Y144" s="2266">
        <v>3.6666666666666701</v>
      </c>
      <c r="Z144" s="2266">
        <v>3.6666666666666701</v>
      </c>
      <c r="AA144" s="2266">
        <v>3.6666666666666701</v>
      </c>
      <c r="AB144" s="2266">
        <v>3.6666666666666701</v>
      </c>
      <c r="AC144" s="2266">
        <v>3.6666666666666701</v>
      </c>
      <c r="AD144" s="2266">
        <v>3.6666666666666701</v>
      </c>
      <c r="AE144" s="2266">
        <v>3.6666666666666701</v>
      </c>
      <c r="AF144" s="2266">
        <v>3.6666666666666701</v>
      </c>
      <c r="AG144" s="2266">
        <v>3.6666666666666701</v>
      </c>
      <c r="AH144" s="2266">
        <v>3.6666666666666701</v>
      </c>
      <c r="AI144" s="2266">
        <v>3.6666666666666701</v>
      </c>
      <c r="AJ144" s="2266">
        <v>3.6666666666666701</v>
      </c>
      <c r="AK144" s="2266">
        <v>3.6666666666666701</v>
      </c>
      <c r="AL144" s="2266">
        <v>3.6666666666666701</v>
      </c>
      <c r="AM144" s="2266">
        <v>3.6666666666666701</v>
      </c>
      <c r="AN144" s="2266">
        <v>3.6666666666666701</v>
      </c>
      <c r="AO144" s="2266">
        <v>3.6666666666666701</v>
      </c>
      <c r="AP144" s="2266">
        <v>3.6666666666666701</v>
      </c>
      <c r="AQ144" s="2266">
        <v>3.6666666666666701</v>
      </c>
    </row>
    <row r="145" spans="2:43" x14ac:dyDescent="0.25">
      <c r="B145" s="2216"/>
      <c r="C145" s="2247" t="s">
        <v>1265</v>
      </c>
      <c r="D145" s="2251" t="s">
        <v>1273</v>
      </c>
      <c r="E145" s="2251" t="s">
        <v>136</v>
      </c>
      <c r="F145" s="2232"/>
      <c r="G145" s="2261">
        <v>3.6666666666666701</v>
      </c>
      <c r="H145" s="2261">
        <v>3.6666666666666701</v>
      </c>
      <c r="I145" s="2261">
        <v>3.6666666666666701</v>
      </c>
      <c r="J145" s="2261">
        <v>3.6666666666666701</v>
      </c>
      <c r="K145" s="2261">
        <v>3.6666666666666701</v>
      </c>
      <c r="L145" s="2261">
        <v>3.6666666666666701</v>
      </c>
      <c r="M145" s="2261">
        <v>3.6666666666666701</v>
      </c>
      <c r="N145" s="2261">
        <v>3.6666666666666701</v>
      </c>
      <c r="O145" s="2261">
        <v>3.6666666666666701</v>
      </c>
      <c r="P145" s="2261">
        <v>3.6666666666666701</v>
      </c>
      <c r="Q145" s="2261">
        <v>3.6666666666666701</v>
      </c>
      <c r="R145" s="2261">
        <v>3.6666666666666701</v>
      </c>
      <c r="S145" s="2261">
        <v>3.6666666666666701</v>
      </c>
      <c r="T145" s="2261">
        <v>3.6666666666666701</v>
      </c>
      <c r="U145" s="2261">
        <v>3.6666666666666701</v>
      </c>
      <c r="V145" s="2261">
        <v>3.6666666666666701</v>
      </c>
      <c r="W145" s="2261">
        <v>3.6666666666666701</v>
      </c>
      <c r="X145" s="2261">
        <v>3.6666666666666701</v>
      </c>
      <c r="Y145" s="2261">
        <v>3.6666666666666701</v>
      </c>
      <c r="Z145" s="2261">
        <v>3.6666666666666701</v>
      </c>
      <c r="AA145" s="2261">
        <v>3.6666666666666701</v>
      </c>
      <c r="AB145" s="2261">
        <v>3.6666666666666701</v>
      </c>
      <c r="AC145" s="2261">
        <v>3.6666666666666701</v>
      </c>
      <c r="AD145" s="2261">
        <v>3.6666666666666701</v>
      </c>
      <c r="AE145" s="2261">
        <v>3.6666666666666701</v>
      </c>
      <c r="AF145" s="2261">
        <v>3.6666666666666701</v>
      </c>
      <c r="AG145" s="2261">
        <v>3.6666666666666701</v>
      </c>
      <c r="AH145" s="2261">
        <v>3.6666666666666701</v>
      </c>
      <c r="AI145" s="2261">
        <v>3.6666666666666701</v>
      </c>
      <c r="AJ145" s="2261">
        <v>3.6666666666666701</v>
      </c>
      <c r="AK145" s="2261">
        <v>3.6666666666666701</v>
      </c>
      <c r="AL145" s="2261">
        <v>3.6666666666666701</v>
      </c>
      <c r="AM145" s="2261">
        <v>3.6666666666666701</v>
      </c>
      <c r="AN145" s="2261">
        <v>3.6666666666666701</v>
      </c>
      <c r="AO145" s="2261">
        <v>3.6666666666666701</v>
      </c>
      <c r="AP145" s="2261">
        <v>3.6666666666666701</v>
      </c>
      <c r="AQ145" s="2261">
        <v>3.6666666666666701</v>
      </c>
    </row>
    <row r="146" spans="2:43" x14ac:dyDescent="0.25">
      <c r="B146" s="2216"/>
      <c r="C146" s="2220"/>
      <c r="D146" s="2267"/>
      <c r="E146" s="2215"/>
      <c r="F146" s="2226"/>
      <c r="G146" s="2228"/>
      <c r="H146" s="2228"/>
      <c r="I146" s="2228"/>
      <c r="J146" s="2228"/>
      <c r="K146" s="2228"/>
      <c r="L146" s="2228"/>
      <c r="M146" s="2228"/>
      <c r="N146" s="2228"/>
      <c r="O146" s="2228"/>
      <c r="P146" s="2228"/>
      <c r="Q146" s="2228"/>
      <c r="R146" s="2228"/>
      <c r="S146" s="2228"/>
      <c r="T146" s="2228"/>
      <c r="U146" s="2228"/>
      <c r="V146" s="2228"/>
      <c r="W146" s="2228"/>
      <c r="X146" s="2228"/>
      <c r="Y146" s="2228"/>
      <c r="Z146" s="2228"/>
      <c r="AA146" s="2228"/>
      <c r="AB146" s="2228"/>
      <c r="AC146" s="2228"/>
      <c r="AD146" s="2228"/>
      <c r="AE146" s="2228"/>
      <c r="AF146" s="2228"/>
      <c r="AG146" s="2228"/>
      <c r="AH146" s="2228"/>
      <c r="AI146" s="2228"/>
      <c r="AJ146" s="2228"/>
      <c r="AK146" s="2228"/>
      <c r="AL146" s="2228"/>
      <c r="AM146" s="2228"/>
      <c r="AN146" s="2228"/>
      <c r="AO146" s="2228"/>
      <c r="AP146" s="2228"/>
      <c r="AQ146" s="2228"/>
    </row>
    <row r="147" spans="2:43" x14ac:dyDescent="0.25">
      <c r="B147" s="2216"/>
      <c r="C147" s="2218" t="s">
        <v>1274</v>
      </c>
      <c r="D147" s="2217"/>
      <c r="E147" s="2217"/>
      <c r="F147" s="2217"/>
      <c r="G147" s="2217"/>
      <c r="H147" s="2217"/>
      <c r="I147" s="2217"/>
      <c r="J147" s="2217"/>
      <c r="K147" s="2217"/>
      <c r="L147" s="2217"/>
      <c r="M147" s="2217"/>
      <c r="N147" s="2217"/>
      <c r="O147" s="2217"/>
      <c r="P147" s="2217"/>
      <c r="Q147" s="2217"/>
      <c r="R147" s="2217"/>
      <c r="S147" s="2217"/>
      <c r="T147" s="2217"/>
      <c r="U147" s="2217"/>
      <c r="V147" s="2217"/>
      <c r="W147" s="2217"/>
      <c r="X147" s="2217"/>
      <c r="Y147" s="2217"/>
      <c r="Z147" s="2217"/>
      <c r="AA147" s="2217"/>
      <c r="AB147" s="2217"/>
      <c r="AC147" s="2217"/>
      <c r="AD147" s="2217"/>
      <c r="AE147" s="2217"/>
      <c r="AF147" s="2217"/>
      <c r="AG147" s="2217"/>
      <c r="AH147" s="2217"/>
      <c r="AI147" s="2217"/>
      <c r="AJ147" s="2217"/>
      <c r="AK147" s="2217"/>
      <c r="AL147" s="2217"/>
      <c r="AM147" s="2217"/>
      <c r="AN147" s="2217"/>
      <c r="AO147" s="2217"/>
      <c r="AP147" s="2217"/>
      <c r="AQ147" s="2217"/>
    </row>
    <row r="148" spans="2:43" x14ac:dyDescent="0.25">
      <c r="B148" s="2216"/>
      <c r="C148" s="2219"/>
      <c r="D148" s="2219" t="s">
        <v>1029</v>
      </c>
      <c r="E148" s="2219" t="s">
        <v>8</v>
      </c>
      <c r="F148" s="2219"/>
      <c r="G148" s="2219">
        <v>2014</v>
      </c>
      <c r="H148" s="2219">
        <v>2015</v>
      </c>
      <c r="I148" s="2219">
        <v>2016</v>
      </c>
      <c r="J148" s="2219">
        <v>2017</v>
      </c>
      <c r="K148" s="2219">
        <v>2018</v>
      </c>
      <c r="L148" s="2219">
        <v>2019</v>
      </c>
      <c r="M148" s="2219">
        <v>2020</v>
      </c>
      <c r="N148" s="2219">
        <v>2021</v>
      </c>
      <c r="O148" s="2219">
        <v>2022</v>
      </c>
      <c r="P148" s="2219">
        <v>2023</v>
      </c>
      <c r="Q148" s="2219">
        <v>2024</v>
      </c>
      <c r="R148" s="2219">
        <v>2025</v>
      </c>
      <c r="S148" s="2219">
        <v>2026</v>
      </c>
      <c r="T148" s="2219">
        <v>2027</v>
      </c>
      <c r="U148" s="2219">
        <v>2028</v>
      </c>
      <c r="V148" s="2219">
        <v>2029</v>
      </c>
      <c r="W148" s="2219">
        <v>2030</v>
      </c>
      <c r="X148" s="2219">
        <v>2031</v>
      </c>
      <c r="Y148" s="2219">
        <v>2032</v>
      </c>
      <c r="Z148" s="2219">
        <v>2033</v>
      </c>
      <c r="AA148" s="2219">
        <v>2034</v>
      </c>
      <c r="AB148" s="2219">
        <v>2035</v>
      </c>
      <c r="AC148" s="2219">
        <v>2036</v>
      </c>
      <c r="AD148" s="2219">
        <v>2037</v>
      </c>
      <c r="AE148" s="2219">
        <v>2038</v>
      </c>
      <c r="AF148" s="2219">
        <v>2039</v>
      </c>
      <c r="AG148" s="2219">
        <v>2040</v>
      </c>
      <c r="AH148" s="2219">
        <v>2041</v>
      </c>
      <c r="AI148" s="2219">
        <v>2042</v>
      </c>
      <c r="AJ148" s="2219">
        <v>2043</v>
      </c>
      <c r="AK148" s="2219">
        <v>2044</v>
      </c>
      <c r="AL148" s="2219">
        <v>2045</v>
      </c>
      <c r="AM148" s="2219">
        <v>2046</v>
      </c>
      <c r="AN148" s="2219">
        <v>2047</v>
      </c>
      <c r="AO148" s="2219">
        <v>2048</v>
      </c>
      <c r="AP148" s="2219">
        <v>2049</v>
      </c>
      <c r="AQ148" s="2219">
        <v>2050</v>
      </c>
    </row>
    <row r="149" spans="2:43" ht="22.5" x14ac:dyDescent="0.25">
      <c r="B149" s="2216"/>
      <c r="C149" s="2268" t="s">
        <v>1275</v>
      </c>
      <c r="D149" s="2269" t="s">
        <v>1076</v>
      </c>
      <c r="E149" s="2270"/>
      <c r="F149" s="2270"/>
      <c r="G149" s="2271">
        <v>0.5</v>
      </c>
      <c r="H149" s="2271">
        <v>0.5</v>
      </c>
      <c r="I149" s="2271">
        <v>0.5</v>
      </c>
      <c r="J149" s="2271">
        <v>0.5</v>
      </c>
      <c r="K149" s="2271">
        <v>0.5</v>
      </c>
      <c r="L149" s="2271">
        <v>0.5</v>
      </c>
      <c r="M149" s="2271">
        <v>0.5</v>
      </c>
      <c r="N149" s="2271">
        <v>0.5</v>
      </c>
      <c r="O149" s="2271">
        <v>0.5</v>
      </c>
      <c r="P149" s="2271">
        <v>0.5</v>
      </c>
      <c r="Q149" s="2271">
        <v>0.5</v>
      </c>
      <c r="R149" s="2271">
        <v>0.5</v>
      </c>
      <c r="S149" s="2271">
        <v>0.5</v>
      </c>
      <c r="T149" s="2271">
        <v>0.5</v>
      </c>
      <c r="U149" s="2271">
        <v>0.5</v>
      </c>
      <c r="V149" s="2271">
        <v>0.5</v>
      </c>
      <c r="W149" s="2271">
        <v>0.5</v>
      </c>
      <c r="X149" s="2271">
        <v>0.5</v>
      </c>
      <c r="Y149" s="2271">
        <v>0.5</v>
      </c>
      <c r="Z149" s="2271">
        <v>0.5</v>
      </c>
      <c r="AA149" s="2271">
        <v>0.5</v>
      </c>
      <c r="AB149" s="2271">
        <v>0.5</v>
      </c>
      <c r="AC149" s="2271">
        <v>0.5</v>
      </c>
      <c r="AD149" s="2271">
        <v>0.5</v>
      </c>
      <c r="AE149" s="2271">
        <v>0.5</v>
      </c>
      <c r="AF149" s="2271">
        <v>0.5</v>
      </c>
      <c r="AG149" s="2271">
        <v>0.5</v>
      </c>
      <c r="AH149" s="2271">
        <v>0.5</v>
      </c>
      <c r="AI149" s="2271">
        <v>0.5</v>
      </c>
      <c r="AJ149" s="2271">
        <v>0.5</v>
      </c>
      <c r="AK149" s="2271">
        <v>0.5</v>
      </c>
      <c r="AL149" s="2271">
        <v>0.5</v>
      </c>
      <c r="AM149" s="2271">
        <v>0.5</v>
      </c>
      <c r="AN149" s="2271">
        <v>0.5</v>
      </c>
      <c r="AO149" s="2271">
        <v>0.5</v>
      </c>
      <c r="AP149" s="2271">
        <v>0.5</v>
      </c>
      <c r="AQ149" s="2271">
        <v>0.5</v>
      </c>
    </row>
    <row r="150" spans="2:43" x14ac:dyDescent="0.25">
      <c r="B150" s="2216"/>
      <c r="C150" s="2220"/>
      <c r="D150" s="2272"/>
      <c r="E150" s="2215"/>
      <c r="F150" s="2226"/>
      <c r="G150" s="2228"/>
      <c r="H150" s="2228"/>
      <c r="I150" s="2228"/>
      <c r="J150" s="2228"/>
      <c r="K150" s="2228"/>
      <c r="L150" s="2228"/>
      <c r="M150" s="2228"/>
      <c r="N150" s="2228"/>
      <c r="O150" s="2228"/>
      <c r="P150" s="2228"/>
      <c r="Q150" s="2228"/>
      <c r="R150" s="2228"/>
      <c r="S150" s="2228"/>
      <c r="T150" s="2228"/>
      <c r="U150" s="2228"/>
      <c r="V150" s="2228"/>
      <c r="W150" s="2228"/>
      <c r="X150" s="2228"/>
      <c r="Y150" s="2228"/>
      <c r="Z150" s="2228"/>
      <c r="AA150" s="2228"/>
      <c r="AB150" s="2228"/>
      <c r="AC150" s="2228"/>
      <c r="AD150" s="2228"/>
      <c r="AE150" s="2228"/>
      <c r="AF150" s="2228"/>
      <c r="AG150" s="2228"/>
      <c r="AH150" s="2228"/>
      <c r="AI150" s="2228"/>
      <c r="AJ150" s="2228"/>
      <c r="AK150" s="2228"/>
      <c r="AL150" s="2228"/>
      <c r="AM150" s="2228"/>
      <c r="AN150" s="2228"/>
      <c r="AO150" s="2228"/>
      <c r="AP150" s="2228"/>
      <c r="AQ150" s="2228"/>
    </row>
    <row r="151" spans="2:43" x14ac:dyDescent="0.25">
      <c r="B151" s="2216"/>
      <c r="C151" s="2220"/>
      <c r="D151" s="2272"/>
      <c r="E151" s="2215"/>
      <c r="F151" s="2226"/>
      <c r="G151" s="2228"/>
      <c r="H151" s="2228"/>
      <c r="I151" s="2228"/>
      <c r="J151" s="2228"/>
      <c r="K151" s="2228"/>
      <c r="L151" s="2228"/>
      <c r="M151" s="2228"/>
      <c r="N151" s="2228"/>
      <c r="O151" s="2228"/>
      <c r="P151" s="2228"/>
      <c r="Q151" s="2228"/>
      <c r="R151" s="2228"/>
      <c r="S151" s="2228"/>
      <c r="T151" s="2228"/>
      <c r="U151" s="2228"/>
      <c r="V151" s="2228"/>
      <c r="W151" s="2228"/>
      <c r="X151" s="2228"/>
      <c r="Y151" s="2228"/>
      <c r="Z151" s="2228"/>
      <c r="AA151" s="2228"/>
      <c r="AB151" s="2228"/>
      <c r="AC151" s="2228"/>
      <c r="AD151" s="2228"/>
      <c r="AE151" s="2228"/>
      <c r="AF151" s="2228"/>
      <c r="AG151" s="2228"/>
      <c r="AH151" s="2228"/>
      <c r="AI151" s="2228"/>
      <c r="AJ151" s="2228"/>
      <c r="AK151" s="2228"/>
      <c r="AL151" s="2228"/>
      <c r="AM151" s="2228"/>
      <c r="AN151" s="2228"/>
      <c r="AO151" s="2228"/>
      <c r="AP151" s="2228"/>
      <c r="AQ151" s="2228"/>
    </row>
    <row r="152" spans="2:43" x14ac:dyDescent="0.25">
      <c r="B152" s="2216"/>
      <c r="C152" s="2220"/>
      <c r="D152" s="2240" t="s">
        <v>12</v>
      </c>
      <c r="E152" s="2218" t="s">
        <v>1276</v>
      </c>
      <c r="F152" s="2226"/>
      <c r="G152" s="2228"/>
      <c r="H152" s="2228"/>
      <c r="I152" s="2228"/>
      <c r="J152" s="2228"/>
      <c r="K152" s="2228"/>
      <c r="L152" s="2228"/>
      <c r="M152" s="2228"/>
      <c r="N152" s="2228"/>
      <c r="O152" s="2228"/>
      <c r="P152" s="2228"/>
      <c r="Q152" s="2228"/>
      <c r="R152" s="2228"/>
      <c r="S152" s="2228"/>
      <c r="T152" s="2228"/>
      <c r="U152" s="2228"/>
      <c r="V152" s="2228"/>
      <c r="W152" s="2228"/>
      <c r="X152" s="2228"/>
      <c r="Y152" s="2228"/>
      <c r="Z152" s="2228"/>
      <c r="AA152" s="2228"/>
      <c r="AB152" s="2228"/>
      <c r="AC152" s="2228"/>
      <c r="AD152" s="2228"/>
      <c r="AE152" s="2228"/>
      <c r="AF152" s="2228"/>
      <c r="AG152" s="2228"/>
      <c r="AH152" s="2228"/>
      <c r="AI152" s="2228"/>
      <c r="AJ152" s="2228"/>
      <c r="AK152" s="2228"/>
      <c r="AL152" s="2228"/>
      <c r="AM152" s="2228"/>
      <c r="AN152" s="2228"/>
      <c r="AO152" s="2228"/>
      <c r="AP152" s="2228"/>
      <c r="AQ152" s="2228"/>
    </row>
    <row r="153" spans="2:43" x14ac:dyDescent="0.25">
      <c r="B153" s="2216"/>
      <c r="C153" s="2220"/>
      <c r="D153" s="2240" t="s">
        <v>133</v>
      </c>
      <c r="E153" s="2218" t="s">
        <v>1277</v>
      </c>
      <c r="F153" s="2226"/>
      <c r="G153" s="2228"/>
      <c r="H153" s="2228"/>
      <c r="I153" s="2228"/>
      <c r="J153" s="2228"/>
      <c r="K153" s="2228"/>
      <c r="L153" s="2228"/>
      <c r="M153" s="2228"/>
      <c r="N153" s="2228"/>
      <c r="O153" s="2228"/>
      <c r="P153" s="2228"/>
      <c r="Q153" s="2228"/>
      <c r="R153" s="2228"/>
      <c r="S153" s="2228"/>
      <c r="T153" s="2228"/>
      <c r="U153" s="2228"/>
      <c r="V153" s="2228"/>
      <c r="W153" s="2228"/>
      <c r="X153" s="2228"/>
      <c r="Y153" s="2228"/>
      <c r="Z153" s="2228"/>
      <c r="AA153" s="2228"/>
      <c r="AB153" s="2228"/>
      <c r="AC153" s="2228"/>
      <c r="AD153" s="2228"/>
      <c r="AE153" s="2228"/>
      <c r="AF153" s="2228"/>
      <c r="AG153" s="2228"/>
      <c r="AH153" s="2228"/>
      <c r="AI153" s="2228"/>
      <c r="AJ153" s="2228"/>
      <c r="AK153" s="2228"/>
      <c r="AL153" s="2228"/>
      <c r="AM153" s="2228"/>
      <c r="AN153" s="2228"/>
      <c r="AO153" s="2228"/>
      <c r="AP153" s="2228"/>
      <c r="AQ153" s="2228"/>
    </row>
    <row r="154" spans="2:43" x14ac:dyDescent="0.25">
      <c r="B154" s="2216"/>
      <c r="C154" s="2220"/>
      <c r="D154" s="2240" t="s">
        <v>136</v>
      </c>
      <c r="E154" s="2218" t="s">
        <v>1278</v>
      </c>
      <c r="F154" s="2226"/>
      <c r="G154" s="2228"/>
      <c r="H154" s="2228"/>
      <c r="I154" s="2228"/>
      <c r="J154" s="2228"/>
      <c r="K154" s="2228"/>
      <c r="L154" s="2228"/>
      <c r="M154" s="2228"/>
      <c r="N154" s="2228"/>
      <c r="O154" s="2228"/>
      <c r="P154" s="2228"/>
      <c r="Q154" s="2228"/>
      <c r="R154" s="2228"/>
      <c r="S154" s="2228"/>
      <c r="T154" s="2228"/>
      <c r="U154" s="2228"/>
      <c r="V154" s="2228"/>
      <c r="W154" s="2228"/>
      <c r="X154" s="2228"/>
      <c r="Y154" s="2228"/>
      <c r="Z154" s="2228"/>
      <c r="AA154" s="2228"/>
      <c r="AB154" s="2228"/>
      <c r="AC154" s="2228"/>
      <c r="AD154" s="2228"/>
      <c r="AE154" s="2228"/>
      <c r="AF154" s="2228"/>
      <c r="AG154" s="2228"/>
      <c r="AH154" s="2228"/>
      <c r="AI154" s="2228"/>
      <c r="AJ154" s="2228"/>
      <c r="AK154" s="2228"/>
      <c r="AL154" s="2228"/>
      <c r="AM154" s="2228"/>
      <c r="AN154" s="2228"/>
      <c r="AO154" s="2228"/>
      <c r="AP154" s="2228"/>
      <c r="AQ154" s="2228"/>
    </row>
    <row r="155" spans="2:43" x14ac:dyDescent="0.25">
      <c r="B155" s="2216"/>
      <c r="C155" s="2220"/>
      <c r="D155" s="2240" t="s">
        <v>317</v>
      </c>
      <c r="E155" s="2218" t="s">
        <v>1279</v>
      </c>
      <c r="F155" s="2226"/>
      <c r="G155" s="2228"/>
      <c r="H155" s="2228"/>
      <c r="I155" s="2228"/>
      <c r="J155" s="2228"/>
      <c r="K155" s="2228"/>
      <c r="L155" s="2228"/>
      <c r="M155" s="2228"/>
      <c r="N155" s="2228"/>
      <c r="O155" s="2228"/>
      <c r="P155" s="2228"/>
      <c r="Q155" s="2228"/>
      <c r="R155" s="2228"/>
      <c r="S155" s="2228"/>
      <c r="T155" s="2228"/>
      <c r="U155" s="2228"/>
      <c r="V155" s="2228"/>
      <c r="W155" s="2228"/>
      <c r="X155" s="2228"/>
      <c r="Y155" s="2228"/>
      <c r="Z155" s="2228"/>
      <c r="AA155" s="2228"/>
      <c r="AB155" s="2228"/>
      <c r="AC155" s="2228"/>
      <c r="AD155" s="2228"/>
      <c r="AE155" s="2228"/>
      <c r="AF155" s="2228"/>
      <c r="AG155" s="2228"/>
      <c r="AH155" s="2228"/>
      <c r="AI155" s="2228"/>
      <c r="AJ155" s="2228"/>
      <c r="AK155" s="2228"/>
      <c r="AL155" s="2228"/>
      <c r="AM155" s="2228"/>
      <c r="AN155" s="2228"/>
      <c r="AO155" s="2228"/>
      <c r="AP155" s="2228"/>
      <c r="AQ155" s="2228"/>
    </row>
    <row r="156" spans="2:43" x14ac:dyDescent="0.25">
      <c r="B156" s="2216"/>
      <c r="C156" s="2220"/>
      <c r="D156" s="2240" t="s">
        <v>319</v>
      </c>
      <c r="E156" s="2218" t="s">
        <v>1280</v>
      </c>
      <c r="F156" s="2226"/>
      <c r="G156" s="2228"/>
      <c r="H156" s="2228"/>
      <c r="I156" s="2228"/>
      <c r="J156" s="2228"/>
      <c r="K156" s="2228"/>
      <c r="L156" s="2228"/>
      <c r="M156" s="2228"/>
      <c r="N156" s="2228"/>
      <c r="O156" s="2228"/>
      <c r="P156" s="2228"/>
      <c r="Q156" s="2228"/>
      <c r="R156" s="2228"/>
      <c r="S156" s="2228"/>
      <c r="T156" s="2228"/>
      <c r="U156" s="2228"/>
      <c r="V156" s="2228"/>
      <c r="W156" s="2228"/>
      <c r="X156" s="2228"/>
      <c r="Y156" s="2228"/>
      <c r="Z156" s="2228"/>
      <c r="AA156" s="2228"/>
      <c r="AB156" s="2228"/>
      <c r="AC156" s="2228"/>
      <c r="AD156" s="2228"/>
      <c r="AE156" s="2228"/>
      <c r="AF156" s="2228"/>
      <c r="AG156" s="2228"/>
      <c r="AH156" s="2228"/>
      <c r="AI156" s="2228"/>
      <c r="AJ156" s="2228"/>
      <c r="AK156" s="2228"/>
      <c r="AL156" s="2228"/>
      <c r="AM156" s="2228"/>
      <c r="AN156" s="2228"/>
      <c r="AO156" s="2228"/>
      <c r="AP156" s="2228"/>
      <c r="AQ156" s="2228"/>
    </row>
    <row r="157" spans="2:43" x14ac:dyDescent="0.25">
      <c r="B157" s="2216"/>
      <c r="C157" s="2220"/>
      <c r="D157" s="2240" t="s">
        <v>1067</v>
      </c>
      <c r="E157" s="2218" t="s">
        <v>1281</v>
      </c>
      <c r="F157" s="2226"/>
      <c r="G157" s="2228"/>
      <c r="H157" s="2228"/>
      <c r="I157" s="2228"/>
      <c r="J157" s="2228"/>
      <c r="K157" s="2228"/>
      <c r="L157" s="2228"/>
      <c r="M157" s="2228"/>
      <c r="N157" s="2228"/>
      <c r="O157" s="2228"/>
      <c r="P157" s="2228"/>
      <c r="Q157" s="2228"/>
      <c r="R157" s="2228"/>
      <c r="S157" s="2228"/>
      <c r="T157" s="2228"/>
      <c r="U157" s="2228"/>
      <c r="V157" s="2228"/>
      <c r="W157" s="2228"/>
      <c r="X157" s="2228"/>
      <c r="Y157" s="2228"/>
      <c r="Z157" s="2228"/>
      <c r="AA157" s="2228"/>
      <c r="AB157" s="2228"/>
      <c r="AC157" s="2228"/>
      <c r="AD157" s="2228"/>
      <c r="AE157" s="2228"/>
      <c r="AF157" s="2228"/>
      <c r="AG157" s="2228"/>
      <c r="AH157" s="2228"/>
      <c r="AI157" s="2228"/>
      <c r="AJ157" s="2228"/>
      <c r="AK157" s="2228"/>
      <c r="AL157" s="2228"/>
      <c r="AM157" s="2228"/>
      <c r="AN157" s="2228"/>
      <c r="AO157" s="2228"/>
      <c r="AP157" s="2228"/>
      <c r="AQ157" s="2228"/>
    </row>
    <row r="158" spans="2:43" x14ac:dyDescent="0.25">
      <c r="B158" s="2216"/>
      <c r="C158" s="2220"/>
      <c r="D158" s="2240" t="s">
        <v>1073</v>
      </c>
      <c r="E158" s="2218" t="s">
        <v>1282</v>
      </c>
      <c r="F158" s="2226"/>
      <c r="G158" s="2228"/>
      <c r="H158" s="2228"/>
      <c r="I158" s="2228"/>
      <c r="J158" s="2228"/>
      <c r="K158" s="2228"/>
      <c r="L158" s="2228"/>
      <c r="M158" s="2228"/>
      <c r="N158" s="2228"/>
      <c r="O158" s="2228"/>
      <c r="P158" s="2228"/>
      <c r="Q158" s="2228"/>
      <c r="R158" s="2228"/>
      <c r="S158" s="2228"/>
      <c r="T158" s="2228"/>
      <c r="U158" s="2228"/>
      <c r="V158" s="2228"/>
      <c r="W158" s="2228"/>
      <c r="X158" s="2228"/>
      <c r="Y158" s="2228"/>
      <c r="Z158" s="2228"/>
      <c r="AA158" s="2228"/>
      <c r="AB158" s="2228"/>
      <c r="AC158" s="2228"/>
      <c r="AD158" s="2228"/>
      <c r="AE158" s="2228"/>
      <c r="AF158" s="2228"/>
      <c r="AG158" s="2228"/>
      <c r="AH158" s="2228"/>
      <c r="AI158" s="2228"/>
      <c r="AJ158" s="2228"/>
      <c r="AK158" s="2228"/>
      <c r="AL158" s="2228"/>
      <c r="AM158" s="2228"/>
      <c r="AN158" s="2228"/>
      <c r="AO158" s="2228"/>
      <c r="AP158" s="2228"/>
      <c r="AQ158" s="2228"/>
    </row>
    <row r="159" spans="2:43" x14ac:dyDescent="0.25">
      <c r="B159" s="2216"/>
      <c r="C159" s="2220"/>
      <c r="D159" s="2240" t="s">
        <v>1087</v>
      </c>
      <c r="E159" s="2218" t="s">
        <v>1283</v>
      </c>
      <c r="F159" s="2226"/>
      <c r="G159" s="2228"/>
      <c r="H159" s="2228"/>
      <c r="I159" s="2228"/>
      <c r="J159" s="2228"/>
      <c r="K159" s="2228"/>
      <c r="L159" s="2228"/>
      <c r="M159" s="2228"/>
      <c r="N159" s="2228"/>
      <c r="O159" s="2228"/>
      <c r="P159" s="2228"/>
      <c r="Q159" s="2228"/>
      <c r="R159" s="2228"/>
      <c r="S159" s="2228"/>
      <c r="T159" s="2228"/>
      <c r="U159" s="2228"/>
      <c r="V159" s="2228"/>
      <c r="W159" s="2228"/>
      <c r="X159" s="2228"/>
      <c r="Y159" s="2228"/>
      <c r="Z159" s="2228"/>
      <c r="AA159" s="2228"/>
      <c r="AB159" s="2228"/>
      <c r="AC159" s="2228"/>
      <c r="AD159" s="2228"/>
      <c r="AE159" s="2228"/>
      <c r="AF159" s="2228"/>
      <c r="AG159" s="2228"/>
      <c r="AH159" s="2228"/>
      <c r="AI159" s="2228"/>
      <c r="AJ159" s="2228"/>
      <c r="AK159" s="2228"/>
      <c r="AL159" s="2228"/>
      <c r="AM159" s="2228"/>
      <c r="AN159" s="2228"/>
      <c r="AO159" s="2228"/>
      <c r="AP159" s="2228"/>
      <c r="AQ159" s="2228"/>
    </row>
    <row r="160" spans="2:43" x14ac:dyDescent="0.25">
      <c r="B160" s="2216"/>
      <c r="C160" s="2220"/>
      <c r="D160" s="2240" t="s">
        <v>1077</v>
      </c>
      <c r="E160" s="2218" t="s">
        <v>1284</v>
      </c>
      <c r="F160" s="2226"/>
      <c r="G160" s="2228"/>
      <c r="H160" s="2228"/>
      <c r="I160" s="2228"/>
      <c r="J160" s="2228"/>
      <c r="K160" s="2228"/>
      <c r="L160" s="2228"/>
      <c r="M160" s="2228"/>
      <c r="N160" s="2228"/>
      <c r="O160" s="2228"/>
      <c r="P160" s="2228"/>
      <c r="Q160" s="2228"/>
      <c r="R160" s="2228"/>
      <c r="S160" s="2228"/>
      <c r="T160" s="2228"/>
      <c r="U160" s="2228"/>
      <c r="V160" s="2228"/>
      <c r="W160" s="2228"/>
      <c r="X160" s="2228"/>
      <c r="Y160" s="2228"/>
      <c r="Z160" s="2228"/>
      <c r="AA160" s="2228"/>
      <c r="AB160" s="2228"/>
      <c r="AC160" s="2228"/>
      <c r="AD160" s="2228"/>
      <c r="AE160" s="2228"/>
      <c r="AF160" s="2228"/>
      <c r="AG160" s="2228"/>
      <c r="AH160" s="2228"/>
      <c r="AI160" s="2228"/>
      <c r="AJ160" s="2228"/>
      <c r="AK160" s="2228"/>
      <c r="AL160" s="2228"/>
      <c r="AM160" s="2228"/>
      <c r="AN160" s="2228"/>
      <c r="AO160" s="2228"/>
      <c r="AP160" s="2228"/>
      <c r="AQ160" s="2228"/>
    </row>
    <row r="161" spans="2:43" ht="15.75" x14ac:dyDescent="0.25">
      <c r="B161" s="2212" t="s">
        <v>168</v>
      </c>
      <c r="C161" s="2213"/>
      <c r="D161" s="2213"/>
      <c r="E161" s="2213"/>
      <c r="F161" s="2213"/>
      <c r="G161" s="2213"/>
      <c r="H161" s="2213"/>
      <c r="I161" s="2213"/>
      <c r="J161" s="2213"/>
      <c r="K161" s="2213"/>
      <c r="L161" s="2213"/>
      <c r="M161" s="2213"/>
      <c r="N161" s="2213"/>
      <c r="O161" s="2213"/>
      <c r="P161" s="2213"/>
      <c r="Q161" s="2213"/>
      <c r="R161" s="2213"/>
      <c r="S161" s="2213"/>
      <c r="T161" s="2213"/>
      <c r="U161" s="2213"/>
      <c r="V161" s="2213"/>
      <c r="W161" s="2213"/>
      <c r="X161" s="2213"/>
      <c r="Y161" s="2213"/>
      <c r="Z161" s="2213"/>
      <c r="AA161" s="2213"/>
      <c r="AB161" s="2213"/>
      <c r="AC161" s="2213"/>
      <c r="AD161" s="2213"/>
      <c r="AE161" s="2213"/>
      <c r="AF161" s="2213"/>
      <c r="AG161" s="2213"/>
      <c r="AH161" s="2213"/>
      <c r="AI161" s="2213"/>
      <c r="AJ161" s="2213"/>
      <c r="AK161" s="2213"/>
      <c r="AL161" s="2213"/>
      <c r="AM161" s="2213"/>
      <c r="AN161" s="2213"/>
      <c r="AO161" s="2213"/>
      <c r="AP161" s="2213"/>
      <c r="AQ161" s="2213"/>
    </row>
    <row r="162" spans="2:43" x14ac:dyDescent="0.25">
      <c r="B162" s="2218"/>
      <c r="C162" s="2218"/>
      <c r="D162" s="2218"/>
      <c r="E162" s="2218"/>
      <c r="F162" s="2218"/>
      <c r="G162" s="2218"/>
      <c r="H162" s="2218"/>
      <c r="I162" s="2218"/>
      <c r="J162" s="2218"/>
      <c r="K162" s="2218"/>
      <c r="L162" s="2218"/>
      <c r="M162" s="2218"/>
      <c r="N162" s="2218"/>
      <c r="O162" s="2218"/>
      <c r="P162" s="2218"/>
      <c r="Q162" s="2218"/>
      <c r="R162" s="2218"/>
      <c r="S162" s="2218"/>
      <c r="T162" s="2218"/>
      <c r="U162" s="2218"/>
      <c r="V162" s="2218"/>
      <c r="W162" s="2218"/>
      <c r="X162" s="2218"/>
      <c r="Y162" s="2218"/>
      <c r="Z162" s="2218"/>
      <c r="AA162" s="2218"/>
      <c r="AB162" s="2218"/>
      <c r="AC162" s="2218"/>
      <c r="AD162" s="2218"/>
      <c r="AE162" s="2218"/>
      <c r="AF162" s="2218"/>
      <c r="AG162" s="2218"/>
      <c r="AH162" s="2218"/>
      <c r="AI162" s="2218"/>
      <c r="AJ162" s="2218"/>
      <c r="AK162" s="2218"/>
      <c r="AL162" s="2218"/>
      <c r="AM162" s="2218"/>
      <c r="AN162" s="2218"/>
      <c r="AO162" s="2218"/>
      <c r="AP162" s="2218"/>
      <c r="AQ162" s="2218"/>
    </row>
    <row r="163" spans="2:43" x14ac:dyDescent="0.25">
      <c r="B163" s="2273"/>
      <c r="C163" s="2218" t="s">
        <v>1285</v>
      </c>
      <c r="D163" s="2218"/>
      <c r="E163" s="2218"/>
      <c r="F163" s="2218"/>
      <c r="G163" s="2218"/>
      <c r="H163" s="2218"/>
      <c r="I163" s="2218"/>
      <c r="J163" s="2218"/>
      <c r="K163" s="2218"/>
      <c r="L163" s="2218"/>
      <c r="M163" s="2218"/>
      <c r="N163" s="2218"/>
      <c r="O163" s="2218"/>
      <c r="P163" s="2218"/>
      <c r="Q163" s="2218"/>
      <c r="R163" s="2218"/>
      <c r="S163" s="2218"/>
      <c r="T163" s="2218"/>
      <c r="U163" s="2218"/>
      <c r="V163" s="2218"/>
      <c r="W163" s="2218"/>
      <c r="X163" s="2218"/>
      <c r="Y163" s="2218"/>
      <c r="Z163" s="2218"/>
      <c r="AA163" s="2218"/>
      <c r="AB163" s="2218"/>
      <c r="AC163" s="2218"/>
      <c r="AD163" s="2218"/>
      <c r="AE163" s="2218"/>
      <c r="AF163" s="2218"/>
      <c r="AG163" s="2218"/>
      <c r="AH163" s="2218"/>
      <c r="AI163" s="2218"/>
      <c r="AJ163" s="2218"/>
      <c r="AK163" s="2218"/>
      <c r="AL163" s="2218"/>
      <c r="AM163" s="2218"/>
      <c r="AN163" s="2218"/>
      <c r="AO163" s="2218"/>
      <c r="AP163" s="2218"/>
      <c r="AQ163" s="2218"/>
    </row>
    <row r="164" spans="2:43" x14ac:dyDescent="0.25">
      <c r="B164" s="2273"/>
      <c r="C164" s="2227"/>
      <c r="D164" s="2227" t="s">
        <v>1029</v>
      </c>
      <c r="E164" s="2227" t="s">
        <v>8</v>
      </c>
      <c r="F164" s="2227"/>
      <c r="G164" s="2227">
        <v>2014</v>
      </c>
      <c r="H164" s="2227">
        <v>2015</v>
      </c>
      <c r="I164" s="2227">
        <v>2016</v>
      </c>
      <c r="J164" s="2227">
        <v>2017</v>
      </c>
      <c r="K164" s="2227">
        <v>2018</v>
      </c>
      <c r="L164" s="2227">
        <v>2019</v>
      </c>
      <c r="M164" s="2227">
        <v>2020</v>
      </c>
      <c r="N164" s="2227">
        <v>2021</v>
      </c>
      <c r="O164" s="2227">
        <v>2022</v>
      </c>
      <c r="P164" s="2227">
        <v>2023</v>
      </c>
      <c r="Q164" s="2227">
        <v>2024</v>
      </c>
      <c r="R164" s="2227">
        <v>2025</v>
      </c>
      <c r="S164" s="2227">
        <v>2026</v>
      </c>
      <c r="T164" s="2227">
        <v>2027</v>
      </c>
      <c r="U164" s="2227">
        <v>2028</v>
      </c>
      <c r="V164" s="2227">
        <v>2029</v>
      </c>
      <c r="W164" s="2227">
        <v>2030</v>
      </c>
      <c r="X164" s="2227">
        <v>2031</v>
      </c>
      <c r="Y164" s="2227">
        <v>2032</v>
      </c>
      <c r="Z164" s="2227">
        <v>2033</v>
      </c>
      <c r="AA164" s="2227">
        <v>2034</v>
      </c>
      <c r="AB164" s="2227">
        <v>2035</v>
      </c>
      <c r="AC164" s="2227">
        <v>2036</v>
      </c>
      <c r="AD164" s="2227">
        <v>2037</v>
      </c>
      <c r="AE164" s="2227">
        <v>2038</v>
      </c>
      <c r="AF164" s="2227">
        <v>2039</v>
      </c>
      <c r="AG164" s="2227">
        <v>2040</v>
      </c>
      <c r="AH164" s="2227">
        <v>2041</v>
      </c>
      <c r="AI164" s="2227">
        <v>2042</v>
      </c>
      <c r="AJ164" s="2227">
        <v>2043</v>
      </c>
      <c r="AK164" s="2227">
        <v>2044</v>
      </c>
      <c r="AL164" s="2227">
        <v>2045</v>
      </c>
      <c r="AM164" s="2227">
        <v>2046</v>
      </c>
      <c r="AN164" s="2227">
        <v>2047</v>
      </c>
      <c r="AO164" s="2227">
        <v>2048</v>
      </c>
      <c r="AP164" s="2227">
        <v>2049</v>
      </c>
      <c r="AQ164" s="2227">
        <v>2050</v>
      </c>
    </row>
    <row r="165" spans="2:43" x14ac:dyDescent="0.25">
      <c r="B165" s="2273"/>
      <c r="C165" s="2274" t="s">
        <v>1260</v>
      </c>
      <c r="D165" s="2275" t="s">
        <v>1225</v>
      </c>
      <c r="E165" s="2274"/>
      <c r="F165" s="2275"/>
      <c r="G165" s="2274" t="e">
        <f t="shared" ref="G165:AQ165" si="6">G48+G37</f>
        <v>#REF!</v>
      </c>
      <c r="H165" s="2275" t="e">
        <f t="shared" si="6"/>
        <v>#REF!</v>
      </c>
      <c r="I165" s="2274" t="e">
        <f t="shared" si="6"/>
        <v>#REF!</v>
      </c>
      <c r="J165" s="2275" t="e">
        <f t="shared" si="6"/>
        <v>#REF!</v>
      </c>
      <c r="K165" s="2274" t="e">
        <f t="shared" si="6"/>
        <v>#REF!</v>
      </c>
      <c r="L165" s="2275" t="e">
        <f t="shared" si="6"/>
        <v>#REF!</v>
      </c>
      <c r="M165" s="2274" t="e">
        <f t="shared" si="6"/>
        <v>#REF!</v>
      </c>
      <c r="N165" s="2275" t="e">
        <f t="shared" si="6"/>
        <v>#REF!</v>
      </c>
      <c r="O165" s="2274" t="e">
        <f t="shared" si="6"/>
        <v>#REF!</v>
      </c>
      <c r="P165" s="2275" t="e">
        <f t="shared" si="6"/>
        <v>#REF!</v>
      </c>
      <c r="Q165" s="2274" t="e">
        <f t="shared" si="6"/>
        <v>#REF!</v>
      </c>
      <c r="R165" s="2275" t="e">
        <f t="shared" si="6"/>
        <v>#REF!</v>
      </c>
      <c r="S165" s="2274" t="e">
        <f t="shared" si="6"/>
        <v>#REF!</v>
      </c>
      <c r="T165" s="2275" t="e">
        <f t="shared" si="6"/>
        <v>#REF!</v>
      </c>
      <c r="U165" s="2274" t="e">
        <f t="shared" si="6"/>
        <v>#REF!</v>
      </c>
      <c r="V165" s="2275" t="e">
        <f t="shared" si="6"/>
        <v>#REF!</v>
      </c>
      <c r="W165" s="2274" t="e">
        <f t="shared" si="6"/>
        <v>#REF!</v>
      </c>
      <c r="X165" s="2275" t="e">
        <f t="shared" si="6"/>
        <v>#REF!</v>
      </c>
      <c r="Y165" s="2274" t="e">
        <f t="shared" si="6"/>
        <v>#REF!</v>
      </c>
      <c r="Z165" s="2275" t="e">
        <f t="shared" si="6"/>
        <v>#REF!</v>
      </c>
      <c r="AA165" s="2274" t="e">
        <f t="shared" si="6"/>
        <v>#REF!</v>
      </c>
      <c r="AB165" s="2275" t="e">
        <f t="shared" si="6"/>
        <v>#REF!</v>
      </c>
      <c r="AC165" s="2274" t="e">
        <f t="shared" si="6"/>
        <v>#REF!</v>
      </c>
      <c r="AD165" s="2275" t="e">
        <f t="shared" si="6"/>
        <v>#REF!</v>
      </c>
      <c r="AE165" s="2274" t="e">
        <f t="shared" si="6"/>
        <v>#REF!</v>
      </c>
      <c r="AF165" s="2275" t="e">
        <f t="shared" si="6"/>
        <v>#REF!</v>
      </c>
      <c r="AG165" s="2274" t="e">
        <f t="shared" si="6"/>
        <v>#REF!</v>
      </c>
      <c r="AH165" s="2275" t="e">
        <f t="shared" si="6"/>
        <v>#REF!</v>
      </c>
      <c r="AI165" s="2274" t="e">
        <f t="shared" si="6"/>
        <v>#REF!</v>
      </c>
      <c r="AJ165" s="2275" t="e">
        <f t="shared" si="6"/>
        <v>#REF!</v>
      </c>
      <c r="AK165" s="2274" t="e">
        <f t="shared" si="6"/>
        <v>#REF!</v>
      </c>
      <c r="AL165" s="2275" t="e">
        <f t="shared" si="6"/>
        <v>#REF!</v>
      </c>
      <c r="AM165" s="2274" t="e">
        <f t="shared" si="6"/>
        <v>#REF!</v>
      </c>
      <c r="AN165" s="2275" t="e">
        <f t="shared" si="6"/>
        <v>#REF!</v>
      </c>
      <c r="AO165" s="2274" t="e">
        <f t="shared" si="6"/>
        <v>#REF!</v>
      </c>
      <c r="AP165" s="2275" t="e">
        <f t="shared" si="6"/>
        <v>#REF!</v>
      </c>
      <c r="AQ165" s="2274" t="e">
        <f t="shared" si="6"/>
        <v>#REF!</v>
      </c>
    </row>
    <row r="166" spans="2:43" x14ac:dyDescent="0.25">
      <c r="B166" s="2273"/>
      <c r="C166" s="2244"/>
      <c r="D166" s="2220"/>
      <c r="E166" s="2215"/>
      <c r="F166" s="2215"/>
      <c r="G166" s="2276"/>
      <c r="H166" s="2277"/>
      <c r="I166" s="2277"/>
      <c r="J166" s="2277"/>
      <c r="K166" s="2277"/>
      <c r="L166" s="2277"/>
      <c r="M166" s="2277"/>
      <c r="N166" s="2277"/>
      <c r="O166" s="2277"/>
      <c r="P166" s="2277"/>
      <c r="Q166" s="2277"/>
      <c r="R166" s="2277"/>
      <c r="S166" s="2277"/>
      <c r="T166" s="2277"/>
      <c r="U166" s="2277"/>
      <c r="V166" s="2277"/>
      <c r="W166" s="2277"/>
      <c r="X166" s="2277"/>
      <c r="Y166" s="2277"/>
      <c r="Z166" s="2277"/>
      <c r="AA166" s="2277"/>
      <c r="AB166" s="2277"/>
      <c r="AC166" s="2277"/>
      <c r="AD166" s="2277"/>
      <c r="AE166" s="2277"/>
      <c r="AF166" s="2277"/>
      <c r="AG166" s="2277"/>
      <c r="AH166" s="2228"/>
      <c r="AI166" s="2228"/>
      <c r="AJ166" s="2228"/>
      <c r="AK166" s="2228"/>
      <c r="AL166" s="2228"/>
      <c r="AM166" s="2228"/>
      <c r="AN166" s="2228"/>
      <c r="AO166" s="2228"/>
      <c r="AP166" s="2228"/>
      <c r="AQ166" s="2228"/>
    </row>
    <row r="167" spans="2:43" x14ac:dyDescent="0.25">
      <c r="B167" s="2226"/>
      <c r="C167" s="2218" t="s">
        <v>1286</v>
      </c>
      <c r="D167" s="2218"/>
      <c r="E167" s="2218"/>
      <c r="F167" s="2218"/>
      <c r="G167" s="2218"/>
      <c r="H167" s="2218"/>
      <c r="I167" s="2218"/>
      <c r="J167" s="2218"/>
      <c r="K167" s="2218"/>
      <c r="L167" s="2218"/>
      <c r="M167" s="2218"/>
      <c r="N167" s="2218"/>
      <c r="O167" s="2218"/>
      <c r="P167" s="2218"/>
      <c r="Q167" s="2218"/>
      <c r="R167" s="2218"/>
      <c r="S167" s="2218"/>
      <c r="T167" s="2218"/>
      <c r="U167" s="2218"/>
      <c r="V167" s="2218"/>
      <c r="W167" s="2218"/>
      <c r="X167" s="2218"/>
      <c r="Y167" s="2218"/>
      <c r="Z167" s="2218"/>
      <c r="AA167" s="2218"/>
      <c r="AB167" s="2218"/>
      <c r="AC167" s="2218"/>
      <c r="AD167" s="2218"/>
      <c r="AE167" s="2218"/>
      <c r="AF167" s="2218"/>
      <c r="AG167" s="2218"/>
      <c r="AH167" s="2218"/>
      <c r="AI167" s="2218"/>
      <c r="AJ167" s="2218"/>
      <c r="AK167" s="2218"/>
      <c r="AL167" s="2218"/>
      <c r="AM167" s="2218"/>
      <c r="AN167" s="2218"/>
      <c r="AO167" s="2218"/>
      <c r="AP167" s="2218"/>
      <c r="AQ167" s="2218"/>
    </row>
    <row r="168" spans="2:43" ht="14.1" customHeight="1" x14ac:dyDescent="0.25">
      <c r="B168" s="2278"/>
      <c r="C168" s="2227"/>
      <c r="D168" s="2219" t="s">
        <v>1029</v>
      </c>
      <c r="E168" s="2219" t="s">
        <v>8</v>
      </c>
      <c r="F168" s="2219"/>
      <c r="G168" s="2219">
        <v>2014</v>
      </c>
      <c r="H168" s="2219">
        <v>2015</v>
      </c>
      <c r="I168" s="2219">
        <v>2016</v>
      </c>
      <c r="J168" s="2219">
        <v>2017</v>
      </c>
      <c r="K168" s="2219">
        <v>2018</v>
      </c>
      <c r="L168" s="2219">
        <v>2019</v>
      </c>
      <c r="M168" s="2219">
        <v>2020</v>
      </c>
      <c r="N168" s="2219">
        <v>2021</v>
      </c>
      <c r="O168" s="2219">
        <v>2022</v>
      </c>
      <c r="P168" s="2219">
        <v>2023</v>
      </c>
      <c r="Q168" s="2219">
        <v>2024</v>
      </c>
      <c r="R168" s="2219">
        <v>2025</v>
      </c>
      <c r="S168" s="2219">
        <v>2026</v>
      </c>
      <c r="T168" s="2219">
        <v>2027</v>
      </c>
      <c r="U168" s="2219">
        <v>2028</v>
      </c>
      <c r="V168" s="2219">
        <v>2029</v>
      </c>
      <c r="W168" s="2219">
        <v>2030</v>
      </c>
      <c r="X168" s="2219">
        <v>2031</v>
      </c>
      <c r="Y168" s="2219">
        <v>2032</v>
      </c>
      <c r="Z168" s="2219">
        <v>2033</v>
      </c>
      <c r="AA168" s="2219">
        <v>2034</v>
      </c>
      <c r="AB168" s="2219">
        <v>2035</v>
      </c>
      <c r="AC168" s="2219">
        <v>2036</v>
      </c>
      <c r="AD168" s="2219">
        <v>2037</v>
      </c>
      <c r="AE168" s="2219">
        <v>2038</v>
      </c>
      <c r="AF168" s="2219">
        <v>2039</v>
      </c>
      <c r="AG168" s="2219">
        <v>2040</v>
      </c>
      <c r="AH168" s="2219">
        <v>2041</v>
      </c>
      <c r="AI168" s="2219">
        <v>2042</v>
      </c>
      <c r="AJ168" s="2219">
        <v>2043</v>
      </c>
      <c r="AK168" s="2219">
        <v>2044</v>
      </c>
      <c r="AL168" s="2219">
        <v>2045</v>
      </c>
      <c r="AM168" s="2219">
        <v>2046</v>
      </c>
      <c r="AN168" s="2219">
        <v>2047</v>
      </c>
      <c r="AO168" s="2219">
        <v>2048</v>
      </c>
      <c r="AP168" s="2219">
        <v>2049</v>
      </c>
      <c r="AQ168" s="2219">
        <v>2050</v>
      </c>
    </row>
    <row r="169" spans="2:43" x14ac:dyDescent="0.25">
      <c r="B169" s="2279"/>
      <c r="C169" s="2274" t="s">
        <v>1287</v>
      </c>
      <c r="D169" s="2275" t="s">
        <v>1288</v>
      </c>
      <c r="E169" s="2280"/>
      <c r="F169" s="2280"/>
      <c r="G169" s="2281">
        <f t="shared" ref="G169:AQ169" si="7">-1*G139*G129*(1+G119)*G108*G95*G84*G46/10^3</f>
        <v>-43893.057849346871</v>
      </c>
      <c r="H169" s="2281">
        <f t="shared" si="7"/>
        <v>-43844.902698736063</v>
      </c>
      <c r="I169" s="2281">
        <f t="shared" si="7"/>
        <v>-43794.818589312265</v>
      </c>
      <c r="J169" s="2281">
        <f t="shared" si="7"/>
        <v>-43741.56730905937</v>
      </c>
      <c r="K169" s="2281">
        <f t="shared" si="7"/>
        <v>-43683.382066419021</v>
      </c>
      <c r="L169" s="2281">
        <f t="shared" si="7"/>
        <v>-43629.896459270341</v>
      </c>
      <c r="M169" s="2281">
        <f t="shared" si="7"/>
        <v>-43580.555139056407</v>
      </c>
      <c r="N169" s="2281">
        <f t="shared" si="7"/>
        <v>-43525.853717838676</v>
      </c>
      <c r="O169" s="2281">
        <f t="shared" si="7"/>
        <v>-43468.476059067005</v>
      </c>
      <c r="P169" s="2281">
        <f t="shared" si="7"/>
        <v>-43406.339427612322</v>
      </c>
      <c r="Q169" s="2281">
        <f t="shared" si="7"/>
        <v>-43323.25726323243</v>
      </c>
      <c r="R169" s="2281">
        <f t="shared" si="7"/>
        <v>-43231.801942603961</v>
      </c>
      <c r="S169" s="2281">
        <f t="shared" si="7"/>
        <v>-43151.205621023262</v>
      </c>
      <c r="T169" s="2281">
        <f t="shared" si="7"/>
        <v>-43072.145698081375</v>
      </c>
      <c r="U169" s="2281">
        <f t="shared" si="7"/>
        <v>-42995.38508003598</v>
      </c>
      <c r="V169" s="2281">
        <f t="shared" si="7"/>
        <v>-42917.617311112554</v>
      </c>
      <c r="W169" s="2281">
        <f t="shared" si="7"/>
        <v>-42836.653931043846</v>
      </c>
      <c r="X169" s="2281">
        <f t="shared" si="7"/>
        <v>-42751.508183013655</v>
      </c>
      <c r="Y169" s="2281">
        <f t="shared" si="7"/>
        <v>-42659.430630810632</v>
      </c>
      <c r="Z169" s="2281">
        <f t="shared" si="7"/>
        <v>-42563.87814141436</v>
      </c>
      <c r="AA169" s="2281">
        <f t="shared" si="7"/>
        <v>-42452.561364005604</v>
      </c>
      <c r="AB169" s="2281">
        <f t="shared" si="7"/>
        <v>-42333.53155720581</v>
      </c>
      <c r="AC169" s="2281">
        <f t="shared" si="7"/>
        <v>-42205.825950004204</v>
      </c>
      <c r="AD169" s="2281">
        <f t="shared" si="7"/>
        <v>-42070.650263101132</v>
      </c>
      <c r="AE169" s="2281">
        <f t="shared" si="7"/>
        <v>-41925.195708058789</v>
      </c>
      <c r="AF169" s="2281">
        <f t="shared" si="7"/>
        <v>-41772.221656413938</v>
      </c>
      <c r="AG169" s="2281">
        <f t="shared" si="7"/>
        <v>-41620.461154446086</v>
      </c>
      <c r="AH169" s="2281">
        <f t="shared" si="7"/>
        <v>-41466.472485501967</v>
      </c>
      <c r="AI169" s="2281">
        <f t="shared" si="7"/>
        <v>-41312.499668959841</v>
      </c>
      <c r="AJ169" s="2281">
        <f t="shared" si="7"/>
        <v>-41155.582621805115</v>
      </c>
      <c r="AK169" s="2281">
        <f t="shared" si="7"/>
        <v>-40991.739036755622</v>
      </c>
      <c r="AL169" s="2281">
        <f t="shared" si="7"/>
        <v>-40820.92533186236</v>
      </c>
      <c r="AM169" s="2281">
        <f t="shared" si="7"/>
        <v>-40636.545328152788</v>
      </c>
      <c r="AN169" s="2281">
        <f t="shared" si="7"/>
        <v>-40447.41295094879</v>
      </c>
      <c r="AO169" s="2281">
        <f t="shared" si="7"/>
        <v>-40242.200462387002</v>
      </c>
      <c r="AP169" s="2281">
        <f t="shared" si="7"/>
        <v>-40036.302922450384</v>
      </c>
      <c r="AQ169" s="2281">
        <f t="shared" si="7"/>
        <v>-39824.377396130316</v>
      </c>
    </row>
    <row r="170" spans="2:43" x14ac:dyDescent="0.25">
      <c r="B170" s="2282"/>
      <c r="C170" s="2218"/>
      <c r="D170" s="2218"/>
      <c r="E170" s="2218"/>
      <c r="F170" s="2218"/>
      <c r="G170" s="2218"/>
      <c r="H170" s="2218"/>
      <c r="I170" s="2218"/>
      <c r="J170" s="2218"/>
      <c r="K170" s="2218"/>
      <c r="L170" s="2218"/>
      <c r="M170" s="2218"/>
      <c r="N170" s="2218"/>
      <c r="O170" s="2218"/>
      <c r="P170" s="2218"/>
      <c r="Q170" s="2218"/>
      <c r="R170" s="2218"/>
      <c r="S170" s="2218"/>
      <c r="T170" s="2218"/>
      <c r="U170" s="2218"/>
      <c r="V170" s="2218"/>
      <c r="W170" s="2218"/>
      <c r="X170" s="2218"/>
      <c r="Y170" s="2218"/>
      <c r="Z170" s="2218"/>
      <c r="AA170" s="2218"/>
      <c r="AB170" s="2218"/>
      <c r="AC170" s="2218"/>
      <c r="AD170" s="2218"/>
      <c r="AE170" s="2218"/>
      <c r="AF170" s="2218"/>
      <c r="AG170" s="2218"/>
      <c r="AH170" s="2218"/>
      <c r="AI170" s="2218"/>
      <c r="AJ170" s="2218"/>
      <c r="AK170" s="2218"/>
      <c r="AL170" s="2218"/>
      <c r="AM170" s="2218"/>
      <c r="AN170" s="2218"/>
      <c r="AO170" s="2218"/>
      <c r="AP170" s="2218"/>
      <c r="AQ170" s="2218"/>
    </row>
    <row r="171" spans="2:43" x14ac:dyDescent="0.25">
      <c r="B171" s="2282"/>
      <c r="C171" s="2218" t="s">
        <v>1289</v>
      </c>
      <c r="D171" s="2218"/>
      <c r="E171" s="2218"/>
      <c r="F171" s="2218"/>
      <c r="G171" s="2218"/>
      <c r="H171" s="2218"/>
      <c r="I171" s="2218"/>
      <c r="J171" s="2218"/>
      <c r="K171" s="2218"/>
      <c r="L171" s="2218"/>
      <c r="M171" s="2218"/>
      <c r="N171" s="2218"/>
      <c r="O171" s="2218"/>
      <c r="P171" s="2218"/>
      <c r="Q171" s="2218"/>
      <c r="R171" s="2218"/>
      <c r="S171" s="2218"/>
      <c r="T171" s="2218"/>
      <c r="U171" s="2218"/>
      <c r="V171" s="2218"/>
      <c r="W171" s="2218"/>
      <c r="X171" s="2218"/>
      <c r="Y171" s="2218"/>
      <c r="Z171" s="2218"/>
      <c r="AA171" s="2218"/>
      <c r="AB171" s="2218"/>
      <c r="AC171" s="2218"/>
      <c r="AD171" s="2218"/>
      <c r="AE171" s="2218"/>
      <c r="AF171" s="2218"/>
      <c r="AG171" s="2218"/>
      <c r="AH171" s="2218"/>
      <c r="AI171" s="2218"/>
      <c r="AJ171" s="2218"/>
      <c r="AK171" s="2218"/>
      <c r="AL171" s="2218"/>
      <c r="AM171" s="2218"/>
      <c r="AN171" s="2218"/>
      <c r="AO171" s="2218"/>
      <c r="AP171" s="2218"/>
      <c r="AQ171" s="2218"/>
    </row>
    <row r="172" spans="2:43" x14ac:dyDescent="0.25">
      <c r="B172" s="2282"/>
      <c r="C172" s="2227"/>
      <c r="D172" s="2219" t="s">
        <v>1029</v>
      </c>
      <c r="E172" s="2219" t="s">
        <v>8</v>
      </c>
      <c r="F172" s="2219"/>
      <c r="G172" s="2219">
        <v>2014</v>
      </c>
      <c r="H172" s="2219">
        <v>2015</v>
      </c>
      <c r="I172" s="2219">
        <v>2016</v>
      </c>
      <c r="J172" s="2219">
        <v>2017</v>
      </c>
      <c r="K172" s="2219">
        <v>2018</v>
      </c>
      <c r="L172" s="2219">
        <v>2019</v>
      </c>
      <c r="M172" s="2219">
        <v>2020</v>
      </c>
      <c r="N172" s="2219">
        <v>2021</v>
      </c>
      <c r="O172" s="2219">
        <v>2022</v>
      </c>
      <c r="P172" s="2219">
        <v>2023</v>
      </c>
      <c r="Q172" s="2219">
        <v>2024</v>
      </c>
      <c r="R172" s="2219">
        <v>2025</v>
      </c>
      <c r="S172" s="2219">
        <v>2026</v>
      </c>
      <c r="T172" s="2219">
        <v>2027</v>
      </c>
      <c r="U172" s="2219">
        <v>2028</v>
      </c>
      <c r="V172" s="2219">
        <v>2029</v>
      </c>
      <c r="W172" s="2219">
        <v>2030</v>
      </c>
      <c r="X172" s="2219">
        <v>2031</v>
      </c>
      <c r="Y172" s="2219">
        <v>2032</v>
      </c>
      <c r="Z172" s="2219">
        <v>2033</v>
      </c>
      <c r="AA172" s="2219">
        <v>2034</v>
      </c>
      <c r="AB172" s="2219">
        <v>2035</v>
      </c>
      <c r="AC172" s="2219">
        <v>2036</v>
      </c>
      <c r="AD172" s="2219">
        <v>2037</v>
      </c>
      <c r="AE172" s="2219">
        <v>2038</v>
      </c>
      <c r="AF172" s="2219">
        <v>2039</v>
      </c>
      <c r="AG172" s="2219">
        <v>2040</v>
      </c>
      <c r="AH172" s="2219">
        <v>2041</v>
      </c>
      <c r="AI172" s="2219">
        <v>2042</v>
      </c>
      <c r="AJ172" s="2219">
        <v>2043</v>
      </c>
      <c r="AK172" s="2219">
        <v>2044</v>
      </c>
      <c r="AL172" s="2219">
        <v>2045</v>
      </c>
      <c r="AM172" s="2219">
        <v>2046</v>
      </c>
      <c r="AN172" s="2219">
        <v>2047</v>
      </c>
      <c r="AO172" s="2219">
        <v>2048</v>
      </c>
      <c r="AP172" s="2219">
        <v>2049</v>
      </c>
      <c r="AQ172" s="2219">
        <v>2050</v>
      </c>
    </row>
    <row r="173" spans="2:43" x14ac:dyDescent="0.25">
      <c r="B173" s="2282"/>
      <c r="C173" s="2274" t="s">
        <v>1259</v>
      </c>
      <c r="D173" s="2275" t="s">
        <v>1288</v>
      </c>
      <c r="E173" s="2280" t="s">
        <v>12</v>
      </c>
      <c r="F173" s="2280"/>
      <c r="G173" s="2281">
        <f t="shared" ref="G173:AQ173" si="8">-1*G139*G129*(1+G119)*G108*G95*G84*G47/10^3</f>
        <v>-4760.4995834405854</v>
      </c>
      <c r="H173" s="2281">
        <f t="shared" si="8"/>
        <v>-4760.4995834405854</v>
      </c>
      <c r="I173" s="2281">
        <f t="shared" si="8"/>
        <v>-4760.4995834405854</v>
      </c>
      <c r="J173" s="2281">
        <f t="shared" si="8"/>
        <v>-4760.4995834405854</v>
      </c>
      <c r="K173" s="2281">
        <f t="shared" si="8"/>
        <v>-4760.4995834405854</v>
      </c>
      <c r="L173" s="2281">
        <f t="shared" si="8"/>
        <v>-4760.4995834405854</v>
      </c>
      <c r="M173" s="2281">
        <f t="shared" si="8"/>
        <v>-4760.4995834405854</v>
      </c>
      <c r="N173" s="2281">
        <f t="shared" si="8"/>
        <v>-4760.4995834405854</v>
      </c>
      <c r="O173" s="2281">
        <f t="shared" si="8"/>
        <v>-4760.4995834405854</v>
      </c>
      <c r="P173" s="2281">
        <f t="shared" si="8"/>
        <v>-4760.4995834405854</v>
      </c>
      <c r="Q173" s="2281">
        <f t="shared" si="8"/>
        <v>-4760.4995834405854</v>
      </c>
      <c r="R173" s="2281">
        <f t="shared" si="8"/>
        <v>-4760.4995834405854</v>
      </c>
      <c r="S173" s="2281">
        <f t="shared" si="8"/>
        <v>-4760.4995834405854</v>
      </c>
      <c r="T173" s="2281">
        <f t="shared" si="8"/>
        <v>-4760.4995834405854</v>
      </c>
      <c r="U173" s="2281">
        <f t="shared" si="8"/>
        <v>-4760.4995834405854</v>
      </c>
      <c r="V173" s="2281">
        <f t="shared" si="8"/>
        <v>-4760.4995834405854</v>
      </c>
      <c r="W173" s="2281">
        <f t="shared" si="8"/>
        <v>-4760.4995834405854</v>
      </c>
      <c r="X173" s="2281">
        <f t="shared" si="8"/>
        <v>-4760.4995834405854</v>
      </c>
      <c r="Y173" s="2281">
        <f t="shared" si="8"/>
        <v>-4760.4995834405854</v>
      </c>
      <c r="Z173" s="2281">
        <f t="shared" si="8"/>
        <v>-4760.4995834405854</v>
      </c>
      <c r="AA173" s="2281">
        <f t="shared" si="8"/>
        <v>-4760.4995834405854</v>
      </c>
      <c r="AB173" s="2281">
        <f t="shared" si="8"/>
        <v>-4760.4995834405854</v>
      </c>
      <c r="AC173" s="2281">
        <f t="shared" si="8"/>
        <v>-4760.4995834405854</v>
      </c>
      <c r="AD173" s="2281">
        <f t="shared" si="8"/>
        <v>-4760.4995834405854</v>
      </c>
      <c r="AE173" s="2281">
        <f t="shared" si="8"/>
        <v>-4760.4995834405854</v>
      </c>
      <c r="AF173" s="2281">
        <f t="shared" si="8"/>
        <v>-4760.4995834405854</v>
      </c>
      <c r="AG173" s="2281">
        <f t="shared" si="8"/>
        <v>-4760.4995834405854</v>
      </c>
      <c r="AH173" s="2281">
        <f t="shared" si="8"/>
        <v>-4760.4995834405854</v>
      </c>
      <c r="AI173" s="2281">
        <f t="shared" si="8"/>
        <v>-4760.4995834405854</v>
      </c>
      <c r="AJ173" s="2281">
        <f t="shared" si="8"/>
        <v>-4760.4995834405854</v>
      </c>
      <c r="AK173" s="2281">
        <f t="shared" si="8"/>
        <v>-4760.4995834405854</v>
      </c>
      <c r="AL173" s="2281">
        <f t="shared" si="8"/>
        <v>-4760.4995834405854</v>
      </c>
      <c r="AM173" s="2281">
        <f t="shared" si="8"/>
        <v>-4760.4995834405854</v>
      </c>
      <c r="AN173" s="2281">
        <f t="shared" si="8"/>
        <v>-4760.4995834405854</v>
      </c>
      <c r="AO173" s="2281">
        <f t="shared" si="8"/>
        <v>-4760.4995834405854</v>
      </c>
      <c r="AP173" s="2281">
        <f t="shared" si="8"/>
        <v>-4760.4995834405854</v>
      </c>
      <c r="AQ173" s="2281">
        <f t="shared" si="8"/>
        <v>-4760.4995834405854</v>
      </c>
    </row>
    <row r="174" spans="2:43" x14ac:dyDescent="0.25">
      <c r="B174" s="2282"/>
      <c r="C174" s="2218"/>
      <c r="D174" s="2218"/>
      <c r="E174" s="2218"/>
      <c r="F174" s="2218"/>
      <c r="G174" s="2218"/>
      <c r="H174" s="2218"/>
      <c r="I174" s="2218"/>
      <c r="J174" s="2218"/>
      <c r="K174" s="2218"/>
      <c r="L174" s="2218"/>
      <c r="M174" s="2218"/>
      <c r="N174" s="2218"/>
      <c r="O174" s="2218"/>
      <c r="P174" s="2218"/>
      <c r="Q174" s="2218"/>
      <c r="R174" s="2218"/>
      <c r="S174" s="2218"/>
      <c r="T174" s="2218"/>
      <c r="U174" s="2218"/>
      <c r="V174" s="2218"/>
      <c r="W174" s="2218"/>
      <c r="X174" s="2218"/>
      <c r="Y174" s="2218"/>
      <c r="Z174" s="2218"/>
      <c r="AA174" s="2218"/>
      <c r="AB174" s="2218"/>
      <c r="AC174" s="2218"/>
      <c r="AD174" s="2218"/>
      <c r="AE174" s="2218"/>
      <c r="AF174" s="2218"/>
      <c r="AG174" s="2218"/>
      <c r="AH174" s="2218"/>
      <c r="AI174" s="2218"/>
      <c r="AJ174" s="2218"/>
      <c r="AK174" s="2218"/>
      <c r="AL174" s="2218"/>
      <c r="AM174" s="2218"/>
      <c r="AN174" s="2218"/>
      <c r="AO174" s="2218"/>
      <c r="AP174" s="2218"/>
      <c r="AQ174" s="2218"/>
    </row>
    <row r="175" spans="2:43" x14ac:dyDescent="0.25">
      <c r="B175" s="2279"/>
      <c r="C175" s="2218" t="s">
        <v>1290</v>
      </c>
      <c r="D175" s="2218"/>
      <c r="E175" s="2218"/>
      <c r="F175" s="2218"/>
      <c r="G175" s="2218"/>
      <c r="H175" s="2218"/>
      <c r="I175" s="2218"/>
      <c r="J175" s="2218"/>
      <c r="K175" s="2218"/>
      <c r="L175" s="2218"/>
      <c r="M175" s="2218"/>
      <c r="N175" s="2218"/>
      <c r="O175" s="2218"/>
      <c r="P175" s="2218"/>
      <c r="Q175" s="2218"/>
      <c r="R175" s="2218"/>
      <c r="S175" s="2218"/>
      <c r="T175" s="2218"/>
      <c r="U175" s="2218"/>
      <c r="V175" s="2218"/>
      <c r="W175" s="2218"/>
      <c r="X175" s="2218"/>
      <c r="Y175" s="2218"/>
      <c r="Z175" s="2218"/>
      <c r="AA175" s="2218"/>
      <c r="AB175" s="2218"/>
      <c r="AC175" s="2218"/>
      <c r="AD175" s="2218"/>
      <c r="AE175" s="2218"/>
      <c r="AF175" s="2218"/>
      <c r="AG175" s="2218"/>
      <c r="AH175" s="2218"/>
      <c r="AI175" s="2218"/>
      <c r="AJ175" s="2218"/>
      <c r="AK175" s="2218"/>
      <c r="AL175" s="2218"/>
      <c r="AM175" s="2218"/>
      <c r="AN175" s="2218"/>
      <c r="AO175" s="2218"/>
      <c r="AP175" s="2218"/>
      <c r="AQ175" s="2218"/>
    </row>
    <row r="176" spans="2:43" x14ac:dyDescent="0.25">
      <c r="B176" s="2282"/>
      <c r="C176" s="2227"/>
      <c r="D176" s="2219" t="s">
        <v>1029</v>
      </c>
      <c r="E176" s="2219" t="s">
        <v>8</v>
      </c>
      <c r="F176" s="2219"/>
      <c r="G176" s="2219">
        <v>2014</v>
      </c>
      <c r="H176" s="2219">
        <v>2015</v>
      </c>
      <c r="I176" s="2219">
        <v>2016</v>
      </c>
      <c r="J176" s="2219">
        <v>2017</v>
      </c>
      <c r="K176" s="2219">
        <v>2018</v>
      </c>
      <c r="L176" s="2219">
        <v>2019</v>
      </c>
      <c r="M176" s="2219">
        <v>2020</v>
      </c>
      <c r="N176" s="2219">
        <v>2021</v>
      </c>
      <c r="O176" s="2219">
        <v>2022</v>
      </c>
      <c r="P176" s="2219">
        <v>2023</v>
      </c>
      <c r="Q176" s="2219">
        <v>2024</v>
      </c>
      <c r="R176" s="2219">
        <v>2025</v>
      </c>
      <c r="S176" s="2219">
        <v>2026</v>
      </c>
      <c r="T176" s="2219">
        <v>2027</v>
      </c>
      <c r="U176" s="2219">
        <v>2028</v>
      </c>
      <c r="V176" s="2219">
        <v>2029</v>
      </c>
      <c r="W176" s="2219">
        <v>2030</v>
      </c>
      <c r="X176" s="2219">
        <v>2031</v>
      </c>
      <c r="Y176" s="2219">
        <v>2032</v>
      </c>
      <c r="Z176" s="2219">
        <v>2033</v>
      </c>
      <c r="AA176" s="2219">
        <v>2034</v>
      </c>
      <c r="AB176" s="2219">
        <v>2035</v>
      </c>
      <c r="AC176" s="2219">
        <v>2036</v>
      </c>
      <c r="AD176" s="2219">
        <v>2037</v>
      </c>
      <c r="AE176" s="2219">
        <v>2038</v>
      </c>
      <c r="AF176" s="2219">
        <v>2039</v>
      </c>
      <c r="AG176" s="2219">
        <v>2040</v>
      </c>
      <c r="AH176" s="2219">
        <v>2041</v>
      </c>
      <c r="AI176" s="2219">
        <v>2042</v>
      </c>
      <c r="AJ176" s="2219">
        <v>2043</v>
      </c>
      <c r="AK176" s="2219">
        <v>2044</v>
      </c>
      <c r="AL176" s="2219">
        <v>2045</v>
      </c>
      <c r="AM176" s="2219">
        <v>2046</v>
      </c>
      <c r="AN176" s="2219">
        <v>2047</v>
      </c>
      <c r="AO176" s="2219">
        <v>2048</v>
      </c>
      <c r="AP176" s="2219">
        <v>2049</v>
      </c>
      <c r="AQ176" s="2219">
        <v>2050</v>
      </c>
    </row>
    <row r="177" spans="2:43" x14ac:dyDescent="0.25">
      <c r="B177" s="2282"/>
      <c r="C177" s="2244" t="s">
        <v>1261</v>
      </c>
      <c r="D177" s="2220" t="s">
        <v>1288</v>
      </c>
      <c r="E177" s="2215"/>
      <c r="F177" s="2215"/>
      <c r="G177" s="2245">
        <f t="shared" ref="G177:AQ178" si="9">-1*G142*G132*(1+G122)*G112*G99*G87*G54/10^3</f>
        <v>-27698.524425000018</v>
      </c>
      <c r="H177" s="2245">
        <f t="shared" si="9"/>
        <v>-27764.798490000019</v>
      </c>
      <c r="I177" s="2245">
        <f t="shared" si="9"/>
        <v>-27847.63624500002</v>
      </c>
      <c r="J177" s="2245">
        <f t="shared" si="9"/>
        <v>-27947.037690000019</v>
      </c>
      <c r="K177" s="2245">
        <f t="shared" si="9"/>
        <v>-28063.002825000021</v>
      </c>
      <c r="L177" s="2245">
        <f t="shared" si="9"/>
        <v>-28195.550955000021</v>
      </c>
      <c r="M177" s="2245">
        <f t="shared" si="9"/>
        <v>-28328.09908500002</v>
      </c>
      <c r="N177" s="2245">
        <f t="shared" si="9"/>
        <v>-28460.647215000023</v>
      </c>
      <c r="O177" s="2245">
        <f t="shared" si="9"/>
        <v>-28593.195345000022</v>
      </c>
      <c r="P177" s="2245">
        <f t="shared" si="9"/>
        <v>-28725.743475000021</v>
      </c>
      <c r="Q177" s="2245">
        <f t="shared" si="9"/>
        <v>-28858.29160500002</v>
      </c>
      <c r="R177" s="2245">
        <f t="shared" si="9"/>
        <v>-28990.839735000023</v>
      </c>
      <c r="S177" s="2245">
        <f t="shared" si="9"/>
        <v>-29123.387865000022</v>
      </c>
      <c r="T177" s="2245">
        <f t="shared" si="9"/>
        <v>-29255.935995000018</v>
      </c>
      <c r="U177" s="2245">
        <f t="shared" si="9"/>
        <v>-29388.484125000021</v>
      </c>
      <c r="V177" s="2245">
        <f t="shared" si="9"/>
        <v>-29521.03225500002</v>
      </c>
      <c r="W177" s="2245">
        <f t="shared" si="9"/>
        <v>-29521.03225500002</v>
      </c>
      <c r="X177" s="2245">
        <f t="shared" si="9"/>
        <v>-29521.03225500002</v>
      </c>
      <c r="Y177" s="2245">
        <f t="shared" si="9"/>
        <v>-29521.03225500002</v>
      </c>
      <c r="Z177" s="2245">
        <f t="shared" si="9"/>
        <v>-29521.03225500002</v>
      </c>
      <c r="AA177" s="2245">
        <f t="shared" si="9"/>
        <v>-29521.03225500002</v>
      </c>
      <c r="AB177" s="2245">
        <f t="shared" si="9"/>
        <v>-29521.03225500002</v>
      </c>
      <c r="AC177" s="2245">
        <f t="shared" si="9"/>
        <v>-29521.03225500002</v>
      </c>
      <c r="AD177" s="2245">
        <f t="shared" si="9"/>
        <v>-29521.03225500002</v>
      </c>
      <c r="AE177" s="2245">
        <f t="shared" si="9"/>
        <v>-29521.03225500002</v>
      </c>
      <c r="AF177" s="2245">
        <f t="shared" si="9"/>
        <v>-29521.03225500002</v>
      </c>
      <c r="AG177" s="2245">
        <f t="shared" si="9"/>
        <v>-29521.03225500002</v>
      </c>
      <c r="AH177" s="2245">
        <f t="shared" si="9"/>
        <v>-29521.03225500002</v>
      </c>
      <c r="AI177" s="2245">
        <f t="shared" si="9"/>
        <v>-29521.03225500002</v>
      </c>
      <c r="AJ177" s="2245">
        <f t="shared" si="9"/>
        <v>-29521.03225500002</v>
      </c>
      <c r="AK177" s="2245">
        <f t="shared" si="9"/>
        <v>-29521.03225500002</v>
      </c>
      <c r="AL177" s="2245">
        <f t="shared" si="9"/>
        <v>-29521.03225500002</v>
      </c>
      <c r="AM177" s="2245">
        <f t="shared" si="9"/>
        <v>-29521.03225500002</v>
      </c>
      <c r="AN177" s="2245">
        <f t="shared" si="9"/>
        <v>-29521.03225500002</v>
      </c>
      <c r="AO177" s="2245">
        <f t="shared" si="9"/>
        <v>-29521.03225500002</v>
      </c>
      <c r="AP177" s="2245">
        <f t="shared" si="9"/>
        <v>-29521.03225500002</v>
      </c>
      <c r="AQ177" s="2245">
        <f t="shared" si="9"/>
        <v>-29521.03225500002</v>
      </c>
    </row>
    <row r="178" spans="2:43" x14ac:dyDescent="0.25">
      <c r="B178" s="2282"/>
      <c r="C178" s="2244" t="s">
        <v>1291</v>
      </c>
      <c r="D178" s="2220" t="s">
        <v>1288</v>
      </c>
      <c r="E178" s="2215"/>
      <c r="F178" s="2215"/>
      <c r="G178" s="2245">
        <f t="shared" si="9"/>
        <v>-27681.453755582021</v>
      </c>
      <c r="H178" s="2245">
        <f t="shared" si="9"/>
        <v>-27858.873110094424</v>
      </c>
      <c r="I178" s="2245">
        <f t="shared" si="9"/>
        <v>-28080.667572011145</v>
      </c>
      <c r="J178" s="2245">
        <f t="shared" si="9"/>
        <v>-28391.212248736505</v>
      </c>
      <c r="K178" s="2245">
        <f t="shared" si="9"/>
        <v>-28746.132032866182</v>
      </c>
      <c r="L178" s="2245">
        <f t="shared" si="9"/>
        <v>-29101.051816995863</v>
      </c>
      <c r="M178" s="2245">
        <f t="shared" si="9"/>
        <v>-29455.97160112554</v>
      </c>
      <c r="N178" s="2245">
        <f t="shared" si="9"/>
        <v>-29810.891385255221</v>
      </c>
      <c r="O178" s="2245">
        <f t="shared" si="9"/>
        <v>-30165.811169384899</v>
      </c>
      <c r="P178" s="2245">
        <f t="shared" si="9"/>
        <v>-30520.73095351458</v>
      </c>
      <c r="Q178" s="2245">
        <f t="shared" si="9"/>
        <v>-30875.650737644261</v>
      </c>
      <c r="R178" s="2245">
        <f t="shared" si="9"/>
        <v>-31230.570521773938</v>
      </c>
      <c r="S178" s="2245">
        <f t="shared" si="9"/>
        <v>-31585.490305903619</v>
      </c>
      <c r="T178" s="2245">
        <f t="shared" si="9"/>
        <v>-31940.410090033296</v>
      </c>
      <c r="U178" s="2245">
        <f t="shared" si="9"/>
        <v>-32295.329874162977</v>
      </c>
      <c r="V178" s="2245">
        <f t="shared" si="9"/>
        <v>-32650.249658292654</v>
      </c>
      <c r="W178" s="2245">
        <f t="shared" si="9"/>
        <v>-33005.169442422331</v>
      </c>
      <c r="X178" s="2245">
        <f t="shared" si="9"/>
        <v>-33360.089226552016</v>
      </c>
      <c r="Y178" s="2245">
        <f t="shared" si="9"/>
        <v>-33715.009010681693</v>
      </c>
      <c r="Z178" s="2245">
        <f t="shared" si="9"/>
        <v>-34069.928794811378</v>
      </c>
      <c r="AA178" s="2245">
        <f t="shared" si="9"/>
        <v>-34424.848578941055</v>
      </c>
      <c r="AB178" s="2245">
        <f t="shared" si="9"/>
        <v>-34779.768363070732</v>
      </c>
      <c r="AC178" s="2245">
        <f t="shared" si="9"/>
        <v>-35134.68814720041</v>
      </c>
      <c r="AD178" s="2245">
        <f t="shared" si="9"/>
        <v>-35489.607931330094</v>
      </c>
      <c r="AE178" s="2245">
        <f t="shared" si="9"/>
        <v>-35844.527715459772</v>
      </c>
      <c r="AF178" s="2245">
        <f t="shared" si="9"/>
        <v>-36199.447499589449</v>
      </c>
      <c r="AG178" s="2245">
        <f t="shared" si="9"/>
        <v>-36554.367283719133</v>
      </c>
      <c r="AH178" s="2245">
        <f t="shared" si="9"/>
        <v>-36909.287067848811</v>
      </c>
      <c r="AI178" s="2245">
        <f t="shared" si="9"/>
        <v>-37264.206851978488</v>
      </c>
      <c r="AJ178" s="2245">
        <f t="shared" si="9"/>
        <v>-37619.126636108165</v>
      </c>
      <c r="AK178" s="2245">
        <f t="shared" si="9"/>
        <v>-37974.04642023785</v>
      </c>
      <c r="AL178" s="2245">
        <f t="shared" si="9"/>
        <v>-37974.04642023785</v>
      </c>
      <c r="AM178" s="2245">
        <f t="shared" si="9"/>
        <v>-37974.046420237872</v>
      </c>
      <c r="AN178" s="2245">
        <f t="shared" si="9"/>
        <v>-37974.046420237872</v>
      </c>
      <c r="AO178" s="2245">
        <f t="shared" si="9"/>
        <v>-37974.046420237872</v>
      </c>
      <c r="AP178" s="2245">
        <f t="shared" si="9"/>
        <v>-37974.046420237872</v>
      </c>
      <c r="AQ178" s="2245">
        <f t="shared" si="9"/>
        <v>-37974.046420237872</v>
      </c>
    </row>
    <row r="179" spans="2:43" x14ac:dyDescent="0.25">
      <c r="B179" s="2282"/>
      <c r="C179" s="2244" t="s">
        <v>1292</v>
      </c>
      <c r="D179" s="2220" t="s">
        <v>1288</v>
      </c>
      <c r="E179" s="2215"/>
      <c r="F179" s="2215"/>
      <c r="G179" s="2245">
        <f t="shared" ref="G179:AQ179" si="10">-1*G143*G133*(1+G123)*G113*G101*G89*G56/10^3</f>
        <v>-14544.263828160014</v>
      </c>
      <c r="H179" s="2245">
        <f t="shared" si="10"/>
        <v>-14708.937599136014</v>
      </c>
      <c r="I179" s="2245">
        <f t="shared" si="10"/>
        <v>-14914.798625548814</v>
      </c>
      <c r="J179" s="2245">
        <f t="shared" si="10"/>
        <v>-15161.871990988813</v>
      </c>
      <c r="K179" s="2245">
        <f t="shared" si="10"/>
        <v>-15450.107528275212</v>
      </c>
      <c r="L179" s="2245">
        <f t="shared" si="10"/>
        <v>-15779.530320998414</v>
      </c>
      <c r="M179" s="2245">
        <f t="shared" si="10"/>
        <v>-16108.953113721616</v>
      </c>
      <c r="N179" s="2245">
        <f t="shared" si="10"/>
        <v>-16438.375906444817</v>
      </c>
      <c r="O179" s="2245">
        <f t="shared" si="10"/>
        <v>-16767.798699168019</v>
      </c>
      <c r="P179" s="2245">
        <f t="shared" si="10"/>
        <v>-17097.221491891221</v>
      </c>
      <c r="Q179" s="2245">
        <f t="shared" si="10"/>
        <v>-17426.64428461442</v>
      </c>
      <c r="R179" s="2245">
        <f t="shared" si="10"/>
        <v>-17756.067077337622</v>
      </c>
      <c r="S179" s="2245">
        <f t="shared" si="10"/>
        <v>-18085.489870060825</v>
      </c>
      <c r="T179" s="2245">
        <f t="shared" si="10"/>
        <v>-18414.912662784023</v>
      </c>
      <c r="U179" s="2245">
        <f t="shared" si="10"/>
        <v>-18744.335455507226</v>
      </c>
      <c r="V179" s="2245">
        <f t="shared" si="10"/>
        <v>-19073.758248230428</v>
      </c>
      <c r="W179" s="2245">
        <f t="shared" si="10"/>
        <v>-19403.18104095363</v>
      </c>
      <c r="X179" s="2245">
        <f t="shared" si="10"/>
        <v>-19732.603833676829</v>
      </c>
      <c r="Y179" s="2245">
        <f t="shared" si="10"/>
        <v>-20062.026626400031</v>
      </c>
      <c r="Z179" s="2245">
        <f t="shared" si="10"/>
        <v>-20391.449419123233</v>
      </c>
      <c r="AA179" s="2245">
        <f t="shared" si="10"/>
        <v>-20720.872211846432</v>
      </c>
      <c r="AB179" s="2245">
        <f t="shared" si="10"/>
        <v>-21050.295004569634</v>
      </c>
      <c r="AC179" s="2245">
        <f t="shared" si="10"/>
        <v>-21379.717797292837</v>
      </c>
      <c r="AD179" s="2245">
        <f t="shared" si="10"/>
        <v>-21709.140590016039</v>
      </c>
      <c r="AE179" s="2245">
        <f t="shared" si="10"/>
        <v>-22038.563382739241</v>
      </c>
      <c r="AF179" s="2245">
        <f t="shared" si="10"/>
        <v>-22367.986175462443</v>
      </c>
      <c r="AG179" s="2245">
        <f t="shared" si="10"/>
        <v>-22697.408968185646</v>
      </c>
      <c r="AH179" s="2245">
        <f t="shared" si="10"/>
        <v>-23026.831760908844</v>
      </c>
      <c r="AI179" s="2245">
        <f t="shared" si="10"/>
        <v>-23356.254553632047</v>
      </c>
      <c r="AJ179" s="2245">
        <f t="shared" si="10"/>
        <v>-23685.677346355249</v>
      </c>
      <c r="AK179" s="2245">
        <f t="shared" si="10"/>
        <v>-24015.100139078448</v>
      </c>
      <c r="AL179" s="2245">
        <f t="shared" si="10"/>
        <v>-24344.52293180165</v>
      </c>
      <c r="AM179" s="2245">
        <f t="shared" si="10"/>
        <v>-24673.945724524852</v>
      </c>
      <c r="AN179" s="2245">
        <f t="shared" si="10"/>
        <v>-25003.368517248055</v>
      </c>
      <c r="AO179" s="2245">
        <f t="shared" si="10"/>
        <v>-25332.791309971253</v>
      </c>
      <c r="AP179" s="2245">
        <f t="shared" si="10"/>
        <v>-25662.214102694456</v>
      </c>
      <c r="AQ179" s="2245">
        <f t="shared" si="10"/>
        <v>-25991.636895417658</v>
      </c>
    </row>
    <row r="180" spans="2:43" x14ac:dyDescent="0.25">
      <c r="B180" s="2282"/>
      <c r="C180" s="2244" t="s">
        <v>1237</v>
      </c>
      <c r="D180" s="2220" t="s">
        <v>1288</v>
      </c>
      <c r="E180" s="2215"/>
      <c r="F180" s="2215"/>
      <c r="G180" s="2245">
        <f t="shared" ref="G180:AQ180" si="11">-1*G144*G134*(1+G124)*G114*G103*G91*G57/10^3</f>
        <v>-391.01666626000031</v>
      </c>
      <c r="H180" s="2245">
        <f t="shared" si="11"/>
        <v>-391.01666626000031</v>
      </c>
      <c r="I180" s="2245">
        <f t="shared" si="11"/>
        <v>-391.01666626000031</v>
      </c>
      <c r="J180" s="2245">
        <f t="shared" si="11"/>
        <v>-391.01666626000031</v>
      </c>
      <c r="K180" s="2245">
        <f t="shared" si="11"/>
        <v>-391.01666626000031</v>
      </c>
      <c r="L180" s="2245">
        <f t="shared" si="11"/>
        <v>-391.01666626000031</v>
      </c>
      <c r="M180" s="2245">
        <f t="shared" si="11"/>
        <v>-391.01666626000031</v>
      </c>
      <c r="N180" s="2245">
        <f t="shared" si="11"/>
        <v>-391.01666626000031</v>
      </c>
      <c r="O180" s="2245">
        <f t="shared" si="11"/>
        <v>-391.01666626000031</v>
      </c>
      <c r="P180" s="2245">
        <f t="shared" si="11"/>
        <v>-391.01666626000031</v>
      </c>
      <c r="Q180" s="2245">
        <f t="shared" si="11"/>
        <v>-391.01666626000031</v>
      </c>
      <c r="R180" s="2245">
        <f t="shared" si="11"/>
        <v>-391.01666626000031</v>
      </c>
      <c r="S180" s="2245">
        <f t="shared" si="11"/>
        <v>-391.01666626000031</v>
      </c>
      <c r="T180" s="2245">
        <f t="shared" si="11"/>
        <v>-391.01666626000031</v>
      </c>
      <c r="U180" s="2245">
        <f t="shared" si="11"/>
        <v>-391.01666626000031</v>
      </c>
      <c r="V180" s="2245">
        <f t="shared" si="11"/>
        <v>-391.01666626000031</v>
      </c>
      <c r="W180" s="2245">
        <f t="shared" si="11"/>
        <v>-391.01666626000031</v>
      </c>
      <c r="X180" s="2245">
        <f t="shared" si="11"/>
        <v>-391.01666626000031</v>
      </c>
      <c r="Y180" s="2245">
        <f t="shared" si="11"/>
        <v>-391.01666626000031</v>
      </c>
      <c r="Z180" s="2245">
        <f t="shared" si="11"/>
        <v>-391.01666626000031</v>
      </c>
      <c r="AA180" s="2245">
        <f t="shared" si="11"/>
        <v>-391.01666626000031</v>
      </c>
      <c r="AB180" s="2245">
        <f t="shared" si="11"/>
        <v>-391.01666626000031</v>
      </c>
      <c r="AC180" s="2245">
        <f t="shared" si="11"/>
        <v>-391.01666626000031</v>
      </c>
      <c r="AD180" s="2245">
        <f t="shared" si="11"/>
        <v>-391.01666626000031</v>
      </c>
      <c r="AE180" s="2245">
        <f t="shared" si="11"/>
        <v>-391.01666626000031</v>
      </c>
      <c r="AF180" s="2245">
        <f t="shared" si="11"/>
        <v>-391.01666626000031</v>
      </c>
      <c r="AG180" s="2245">
        <f t="shared" si="11"/>
        <v>-391.01666626000031</v>
      </c>
      <c r="AH180" s="2245">
        <f t="shared" si="11"/>
        <v>-391.01666626000031</v>
      </c>
      <c r="AI180" s="2245">
        <f t="shared" si="11"/>
        <v>-391.01666626000031</v>
      </c>
      <c r="AJ180" s="2245">
        <f t="shared" si="11"/>
        <v>-391.01666626000031</v>
      </c>
      <c r="AK180" s="2245">
        <f t="shared" si="11"/>
        <v>-391.01666626000031</v>
      </c>
      <c r="AL180" s="2245">
        <f t="shared" si="11"/>
        <v>-391.01666626000031</v>
      </c>
      <c r="AM180" s="2245">
        <f t="shared" si="11"/>
        <v>-391.01666626000031</v>
      </c>
      <c r="AN180" s="2245">
        <f t="shared" si="11"/>
        <v>-391.01666626000031</v>
      </c>
      <c r="AO180" s="2245">
        <f t="shared" si="11"/>
        <v>-391.01666626000031</v>
      </c>
      <c r="AP180" s="2245">
        <f t="shared" si="11"/>
        <v>-391.01666626000031</v>
      </c>
      <c r="AQ180" s="2245">
        <f t="shared" si="11"/>
        <v>-391.01666626000031</v>
      </c>
    </row>
    <row r="181" spans="2:43" x14ac:dyDescent="0.25">
      <c r="B181" s="2282"/>
      <c r="C181" s="2244" t="s">
        <v>1238</v>
      </c>
      <c r="D181" s="2220" t="s">
        <v>1288</v>
      </c>
      <c r="E181" s="2215"/>
      <c r="F181" s="2215"/>
      <c r="G181" s="2245">
        <f>-1*G142*G132*(1+G122)*G112*G99*G87*G58/10^3</f>
        <v>-325.61164350000024</v>
      </c>
      <c r="H181" s="2245">
        <f t="shared" ref="H181:AQ181" si="12">-1*H144*H134*(1+H124)*H114*H103*H91*H58/10^3</f>
        <v>-254.85589322233355</v>
      </c>
      <c r="I181" s="2245">
        <f t="shared" si="12"/>
        <v>-254.85589322233355</v>
      </c>
      <c r="J181" s="2245">
        <f t="shared" si="12"/>
        <v>-254.85589322233355</v>
      </c>
      <c r="K181" s="2245">
        <f t="shared" si="12"/>
        <v>-254.85589322233355</v>
      </c>
      <c r="L181" s="2245">
        <f t="shared" si="12"/>
        <v>-254.85589322233355</v>
      </c>
      <c r="M181" s="2245">
        <f t="shared" si="12"/>
        <v>-254.85589322233355</v>
      </c>
      <c r="N181" s="2245">
        <f t="shared" si="12"/>
        <v>-254.85589322233355</v>
      </c>
      <c r="O181" s="2245">
        <f t="shared" si="12"/>
        <v>-254.85589322233355</v>
      </c>
      <c r="P181" s="2245">
        <f t="shared" si="12"/>
        <v>-254.85589322233355</v>
      </c>
      <c r="Q181" s="2245">
        <f t="shared" si="12"/>
        <v>-254.85589322233355</v>
      </c>
      <c r="R181" s="2245">
        <f t="shared" si="12"/>
        <v>-254.85589322233355</v>
      </c>
      <c r="S181" s="2245">
        <f t="shared" si="12"/>
        <v>-254.85589322233355</v>
      </c>
      <c r="T181" s="2245">
        <f t="shared" si="12"/>
        <v>-254.85589322233355</v>
      </c>
      <c r="U181" s="2245">
        <f t="shared" si="12"/>
        <v>-254.85589322233355</v>
      </c>
      <c r="V181" s="2245">
        <f t="shared" si="12"/>
        <v>-254.85589322233355</v>
      </c>
      <c r="W181" s="2245">
        <f t="shared" si="12"/>
        <v>-254.85589322233355</v>
      </c>
      <c r="X181" s="2245">
        <f t="shared" si="12"/>
        <v>-254.85589322233355</v>
      </c>
      <c r="Y181" s="2245">
        <f t="shared" si="12"/>
        <v>-254.85589322233355</v>
      </c>
      <c r="Z181" s="2245">
        <f t="shared" si="12"/>
        <v>-254.85589322233355</v>
      </c>
      <c r="AA181" s="2245">
        <f t="shared" si="12"/>
        <v>-254.85589322233355</v>
      </c>
      <c r="AB181" s="2245">
        <f t="shared" si="12"/>
        <v>-254.85589322233355</v>
      </c>
      <c r="AC181" s="2245">
        <f t="shared" si="12"/>
        <v>-254.85589322233355</v>
      </c>
      <c r="AD181" s="2245">
        <f t="shared" si="12"/>
        <v>-254.85589322233355</v>
      </c>
      <c r="AE181" s="2245">
        <f t="shared" si="12"/>
        <v>-254.85589322233355</v>
      </c>
      <c r="AF181" s="2245">
        <f t="shared" si="12"/>
        <v>-254.85589322233355</v>
      </c>
      <c r="AG181" s="2245">
        <f t="shared" si="12"/>
        <v>-254.85589322233355</v>
      </c>
      <c r="AH181" s="2245">
        <f t="shared" si="12"/>
        <v>-254.85589322233355</v>
      </c>
      <c r="AI181" s="2245">
        <f t="shared" si="12"/>
        <v>-254.85589322233355</v>
      </c>
      <c r="AJ181" s="2245">
        <f t="shared" si="12"/>
        <v>-254.85589322233355</v>
      </c>
      <c r="AK181" s="2245">
        <f t="shared" si="12"/>
        <v>-254.85589322233355</v>
      </c>
      <c r="AL181" s="2245">
        <f t="shared" si="12"/>
        <v>-254.85589322233355</v>
      </c>
      <c r="AM181" s="2245">
        <f t="shared" si="12"/>
        <v>-254.85589322233355</v>
      </c>
      <c r="AN181" s="2245">
        <f t="shared" si="12"/>
        <v>-254.85589322233355</v>
      </c>
      <c r="AO181" s="2245">
        <f t="shared" si="12"/>
        <v>-254.85589322233355</v>
      </c>
      <c r="AP181" s="2245">
        <f t="shared" si="12"/>
        <v>-254.85589322233355</v>
      </c>
      <c r="AQ181" s="2245">
        <f t="shared" si="12"/>
        <v>-254.85589322233355</v>
      </c>
    </row>
    <row r="182" spans="2:43" x14ac:dyDescent="0.25">
      <c r="B182" s="2282"/>
      <c r="C182" s="2244" t="s">
        <v>1239</v>
      </c>
      <c r="D182" s="2220" t="s">
        <v>1288</v>
      </c>
      <c r="E182" s="2215"/>
      <c r="F182" s="2215"/>
      <c r="G182" s="2245">
        <f t="shared" ref="G182:AQ182" si="13">-1*G144*G134*(1+G124)*G114*G103*G91*G59/10^3</f>
        <v>-106.681222629301</v>
      </c>
      <c r="H182" s="2245">
        <f t="shared" si="13"/>
        <v>-106.681222629301</v>
      </c>
      <c r="I182" s="2245">
        <f t="shared" si="13"/>
        <v>-106.681222629301</v>
      </c>
      <c r="J182" s="2245">
        <f t="shared" si="13"/>
        <v>-106.681222629301</v>
      </c>
      <c r="K182" s="2245">
        <f t="shared" si="13"/>
        <v>-106.681222629301</v>
      </c>
      <c r="L182" s="2245">
        <f t="shared" si="13"/>
        <v>-106.681222629301</v>
      </c>
      <c r="M182" s="2245">
        <f t="shared" si="13"/>
        <v>-106.681222629301</v>
      </c>
      <c r="N182" s="2245">
        <f t="shared" si="13"/>
        <v>-106.681222629301</v>
      </c>
      <c r="O182" s="2245">
        <f t="shared" si="13"/>
        <v>-106.681222629301</v>
      </c>
      <c r="P182" s="2245">
        <f t="shared" si="13"/>
        <v>-106.681222629301</v>
      </c>
      <c r="Q182" s="2245">
        <f t="shared" si="13"/>
        <v>-106.681222629301</v>
      </c>
      <c r="R182" s="2245">
        <f t="shared" si="13"/>
        <v>-106.681222629301</v>
      </c>
      <c r="S182" s="2245">
        <f t="shared" si="13"/>
        <v>-106.681222629301</v>
      </c>
      <c r="T182" s="2245">
        <f t="shared" si="13"/>
        <v>-106.681222629301</v>
      </c>
      <c r="U182" s="2245">
        <f t="shared" si="13"/>
        <v>-106.681222629301</v>
      </c>
      <c r="V182" s="2245">
        <f t="shared" si="13"/>
        <v>-106.681222629301</v>
      </c>
      <c r="W182" s="2245">
        <f t="shared" si="13"/>
        <v>-106.681222629301</v>
      </c>
      <c r="X182" s="2245">
        <f t="shared" si="13"/>
        <v>-106.681222629301</v>
      </c>
      <c r="Y182" s="2245">
        <f t="shared" si="13"/>
        <v>-106.681222629301</v>
      </c>
      <c r="Z182" s="2245">
        <f t="shared" si="13"/>
        <v>-106.681222629301</v>
      </c>
      <c r="AA182" s="2245">
        <f t="shared" si="13"/>
        <v>-106.681222629301</v>
      </c>
      <c r="AB182" s="2245">
        <f t="shared" si="13"/>
        <v>-106.681222629301</v>
      </c>
      <c r="AC182" s="2245">
        <f t="shared" si="13"/>
        <v>-106.681222629301</v>
      </c>
      <c r="AD182" s="2245">
        <f t="shared" si="13"/>
        <v>-106.681222629301</v>
      </c>
      <c r="AE182" s="2245">
        <f t="shared" si="13"/>
        <v>-106.681222629301</v>
      </c>
      <c r="AF182" s="2245">
        <f t="shared" si="13"/>
        <v>-106.681222629301</v>
      </c>
      <c r="AG182" s="2245">
        <f t="shared" si="13"/>
        <v>-106.681222629301</v>
      </c>
      <c r="AH182" s="2245">
        <f t="shared" si="13"/>
        <v>-106.681222629301</v>
      </c>
      <c r="AI182" s="2245">
        <f t="shared" si="13"/>
        <v>-106.681222629301</v>
      </c>
      <c r="AJ182" s="2245">
        <f t="shared" si="13"/>
        <v>-106.681222629301</v>
      </c>
      <c r="AK182" s="2245">
        <f t="shared" si="13"/>
        <v>-106.681222629301</v>
      </c>
      <c r="AL182" s="2245">
        <f t="shared" si="13"/>
        <v>-106.681222629301</v>
      </c>
      <c r="AM182" s="2245">
        <f t="shared" si="13"/>
        <v>-106.681222629301</v>
      </c>
      <c r="AN182" s="2245">
        <f t="shared" si="13"/>
        <v>-106.681222629301</v>
      </c>
      <c r="AO182" s="2245">
        <f t="shared" si="13"/>
        <v>-106.681222629301</v>
      </c>
      <c r="AP182" s="2245">
        <f t="shared" si="13"/>
        <v>-106.681222629301</v>
      </c>
      <c r="AQ182" s="2245">
        <f t="shared" si="13"/>
        <v>-106.681222629301</v>
      </c>
    </row>
    <row r="183" spans="2:43" x14ac:dyDescent="0.25">
      <c r="B183" s="2282"/>
      <c r="C183" s="2244" t="s">
        <v>1240</v>
      </c>
      <c r="D183" s="2220" t="s">
        <v>1288</v>
      </c>
      <c r="E183" s="2215"/>
      <c r="F183" s="2215"/>
      <c r="G183" s="2245">
        <f t="shared" ref="G183:AQ183" si="14">-1*G144*G134*(1+G124)*G114*G103*G91*G60/10^3</f>
        <v>-1414.3029892938634</v>
      </c>
      <c r="H183" s="2245">
        <f t="shared" si="14"/>
        <v>-1414.3029892938634</v>
      </c>
      <c r="I183" s="2245">
        <f t="shared" si="14"/>
        <v>-1414.3029892938634</v>
      </c>
      <c r="J183" s="2245">
        <f t="shared" si="14"/>
        <v>-1414.3029892938634</v>
      </c>
      <c r="K183" s="2245">
        <f t="shared" si="14"/>
        <v>-1414.3029892938634</v>
      </c>
      <c r="L183" s="2245">
        <f t="shared" si="14"/>
        <v>-1414.3029892938634</v>
      </c>
      <c r="M183" s="2245">
        <f t="shared" si="14"/>
        <v>-1414.3029892938634</v>
      </c>
      <c r="N183" s="2245">
        <f t="shared" si="14"/>
        <v>-1414.3029892938634</v>
      </c>
      <c r="O183" s="2245">
        <f t="shared" si="14"/>
        <v>-1414.3029892938634</v>
      </c>
      <c r="P183" s="2245">
        <f t="shared" si="14"/>
        <v>-1414.3029892938634</v>
      </c>
      <c r="Q183" s="2245">
        <f t="shared" si="14"/>
        <v>-1414.3029892938634</v>
      </c>
      <c r="R183" s="2245">
        <f t="shared" si="14"/>
        <v>-1414.3029892938634</v>
      </c>
      <c r="S183" s="2245">
        <f t="shared" si="14"/>
        <v>-1414.3029892938634</v>
      </c>
      <c r="T183" s="2245">
        <f t="shared" si="14"/>
        <v>-1414.3029892938634</v>
      </c>
      <c r="U183" s="2245">
        <f t="shared" si="14"/>
        <v>-1414.3029892938634</v>
      </c>
      <c r="V183" s="2245">
        <f t="shared" si="14"/>
        <v>-1414.3029892938634</v>
      </c>
      <c r="W183" s="2245">
        <f t="shared" si="14"/>
        <v>-1414.3029892938634</v>
      </c>
      <c r="X183" s="2245">
        <f t="shared" si="14"/>
        <v>-1414.3029892938634</v>
      </c>
      <c r="Y183" s="2245">
        <f t="shared" si="14"/>
        <v>-1414.3029892938634</v>
      </c>
      <c r="Z183" s="2245">
        <f t="shared" si="14"/>
        <v>-1414.3029892938634</v>
      </c>
      <c r="AA183" s="2245">
        <f t="shared" si="14"/>
        <v>-1414.3029892938634</v>
      </c>
      <c r="AB183" s="2245">
        <f t="shared" si="14"/>
        <v>-1414.3029892938634</v>
      </c>
      <c r="AC183" s="2245">
        <f t="shared" si="14"/>
        <v>-1414.3029892938634</v>
      </c>
      <c r="AD183" s="2245">
        <f t="shared" si="14"/>
        <v>-1414.3029892938634</v>
      </c>
      <c r="AE183" s="2245">
        <f t="shared" si="14"/>
        <v>-1414.3029892938634</v>
      </c>
      <c r="AF183" s="2245">
        <f t="shared" si="14"/>
        <v>-1414.3029892938634</v>
      </c>
      <c r="AG183" s="2245">
        <f t="shared" si="14"/>
        <v>-1414.3029892938634</v>
      </c>
      <c r="AH183" s="2245">
        <f t="shared" si="14"/>
        <v>-1414.3029892938634</v>
      </c>
      <c r="AI183" s="2245">
        <f t="shared" si="14"/>
        <v>-1414.3029892938634</v>
      </c>
      <c r="AJ183" s="2245">
        <f t="shared" si="14"/>
        <v>-1414.3029892938634</v>
      </c>
      <c r="AK183" s="2245">
        <f t="shared" si="14"/>
        <v>-1414.3029892938634</v>
      </c>
      <c r="AL183" s="2245">
        <f t="shared" si="14"/>
        <v>-1414.3029892938634</v>
      </c>
      <c r="AM183" s="2245">
        <f t="shared" si="14"/>
        <v>-1414.3029892938634</v>
      </c>
      <c r="AN183" s="2245">
        <f t="shared" si="14"/>
        <v>-1414.3029892938634</v>
      </c>
      <c r="AO183" s="2245">
        <f t="shared" si="14"/>
        <v>-1414.3029892938634</v>
      </c>
      <c r="AP183" s="2245">
        <f t="shared" si="14"/>
        <v>-1414.3029892938634</v>
      </c>
      <c r="AQ183" s="2245">
        <f t="shared" si="14"/>
        <v>-1414.3029892938634</v>
      </c>
    </row>
    <row r="184" spans="2:43" x14ac:dyDescent="0.25">
      <c r="B184" s="2282"/>
      <c r="C184" s="2283" t="s">
        <v>118</v>
      </c>
      <c r="D184" s="2222" t="s">
        <v>1288</v>
      </c>
      <c r="E184" s="2248"/>
      <c r="F184" s="2248"/>
      <c r="G184" s="2284">
        <f>SUM(G177:G183)</f>
        <v>-72161.854530425204</v>
      </c>
      <c r="H184" s="2284">
        <f t="shared" ref="H184:AQ184" si="15">SUM(H177:H183)</f>
        <v>-72499.465970635953</v>
      </c>
      <c r="I184" s="2284">
        <f t="shared" si="15"/>
        <v>-73009.959213965485</v>
      </c>
      <c r="J184" s="2284">
        <f t="shared" si="15"/>
        <v>-73666.978701130836</v>
      </c>
      <c r="K184" s="2284">
        <f t="shared" si="15"/>
        <v>-74426.099157546909</v>
      </c>
      <c r="L184" s="2284">
        <f t="shared" si="15"/>
        <v>-75242.989864399788</v>
      </c>
      <c r="M184" s="2284">
        <f t="shared" si="15"/>
        <v>-76059.880571252666</v>
      </c>
      <c r="N184" s="2284">
        <f t="shared" si="15"/>
        <v>-76876.77127810556</v>
      </c>
      <c r="O184" s="2284">
        <f t="shared" si="15"/>
        <v>-77693.661984958439</v>
      </c>
      <c r="P184" s="2284">
        <f t="shared" si="15"/>
        <v>-78510.552691811317</v>
      </c>
      <c r="Q184" s="2284">
        <f t="shared" si="15"/>
        <v>-79327.443398664196</v>
      </c>
      <c r="R184" s="2284">
        <f t="shared" si="15"/>
        <v>-80144.334105517075</v>
      </c>
      <c r="S184" s="2284">
        <f t="shared" si="15"/>
        <v>-80961.224812369968</v>
      </c>
      <c r="T184" s="2284">
        <f t="shared" si="15"/>
        <v>-81778.115519222833</v>
      </c>
      <c r="U184" s="2284">
        <f t="shared" si="15"/>
        <v>-82595.006226075726</v>
      </c>
      <c r="V184" s="2284">
        <f t="shared" si="15"/>
        <v>-83411.89693292859</v>
      </c>
      <c r="W184" s="2284">
        <f t="shared" si="15"/>
        <v>-84096.239509781473</v>
      </c>
      <c r="X184" s="2284">
        <f t="shared" si="15"/>
        <v>-84780.582086634357</v>
      </c>
      <c r="Y184" s="2284">
        <f t="shared" si="15"/>
        <v>-85464.92466348724</v>
      </c>
      <c r="Z184" s="2284">
        <f t="shared" si="15"/>
        <v>-86149.267240340123</v>
      </c>
      <c r="AA184" s="2284">
        <f t="shared" si="15"/>
        <v>-86833.609817193006</v>
      </c>
      <c r="AB184" s="2284">
        <f t="shared" si="15"/>
        <v>-87517.952394045889</v>
      </c>
      <c r="AC184" s="2284">
        <f t="shared" si="15"/>
        <v>-88202.294970898758</v>
      </c>
      <c r="AD184" s="2284">
        <f t="shared" si="15"/>
        <v>-88886.637547751656</v>
      </c>
      <c r="AE184" s="2284">
        <f t="shared" si="15"/>
        <v>-89570.980124604524</v>
      </c>
      <c r="AF184" s="2284">
        <f t="shared" si="15"/>
        <v>-90255.322701457408</v>
      </c>
      <c r="AG184" s="2284">
        <f t="shared" si="15"/>
        <v>-90939.665278310291</v>
      </c>
      <c r="AH184" s="2284">
        <f t="shared" si="15"/>
        <v>-91624.007855163174</v>
      </c>
      <c r="AI184" s="2284">
        <f t="shared" si="15"/>
        <v>-92308.350432016043</v>
      </c>
      <c r="AJ184" s="2284">
        <f t="shared" si="15"/>
        <v>-92992.693008868926</v>
      </c>
      <c r="AK184" s="2284">
        <f t="shared" si="15"/>
        <v>-93677.035585721809</v>
      </c>
      <c r="AL184" s="2284">
        <f t="shared" si="15"/>
        <v>-94006.458378445008</v>
      </c>
      <c r="AM184" s="2284">
        <f t="shared" si="15"/>
        <v>-94335.881171168236</v>
      </c>
      <c r="AN184" s="2284">
        <f t="shared" si="15"/>
        <v>-94665.303963891434</v>
      </c>
      <c r="AO184" s="2284">
        <f t="shared" si="15"/>
        <v>-94994.726756614633</v>
      </c>
      <c r="AP184" s="2284">
        <f t="shared" si="15"/>
        <v>-95324.149549337846</v>
      </c>
      <c r="AQ184" s="2284">
        <f t="shared" si="15"/>
        <v>-95653.572342061045</v>
      </c>
    </row>
    <row r="185" spans="2:43" x14ac:dyDescent="0.25">
      <c r="B185" s="2282"/>
      <c r="C185" s="2244"/>
      <c r="D185" s="2220"/>
      <c r="E185" s="2215"/>
      <c r="F185" s="2215"/>
      <c r="G185" s="2245"/>
      <c r="H185" s="2245"/>
      <c r="I185" s="2245"/>
      <c r="J185" s="2245"/>
      <c r="K185" s="2245"/>
      <c r="L185" s="2245"/>
      <c r="M185" s="2245"/>
      <c r="N185" s="2245"/>
      <c r="O185" s="2245"/>
      <c r="P185" s="2245"/>
      <c r="Q185" s="2245"/>
      <c r="R185" s="2245"/>
      <c r="S185" s="2245"/>
      <c r="T185" s="2245"/>
      <c r="U185" s="2245"/>
      <c r="V185" s="2245"/>
      <c r="W185" s="2245"/>
      <c r="X185" s="2245"/>
      <c r="Y185" s="2245"/>
      <c r="Z185" s="2245"/>
      <c r="AA185" s="2245"/>
      <c r="AB185" s="2245"/>
      <c r="AC185" s="2245"/>
      <c r="AD185" s="2245"/>
      <c r="AE185" s="2245"/>
      <c r="AF185" s="2245"/>
      <c r="AG185" s="2245"/>
      <c r="AH185" s="2245"/>
      <c r="AI185" s="2245"/>
      <c r="AJ185" s="2245"/>
      <c r="AK185" s="2245"/>
      <c r="AL185" s="2245"/>
      <c r="AM185" s="2245"/>
      <c r="AN185" s="2245"/>
      <c r="AO185" s="2245"/>
      <c r="AP185" s="2245"/>
      <c r="AQ185" s="2245"/>
    </row>
    <row r="186" spans="2:43" x14ac:dyDescent="0.25">
      <c r="B186" s="2279"/>
      <c r="C186" s="2218" t="s">
        <v>1293</v>
      </c>
      <c r="D186" s="2218"/>
      <c r="E186" s="2218"/>
      <c r="F186" s="2218"/>
      <c r="G186" s="2218"/>
      <c r="H186" s="2218"/>
      <c r="I186" s="2218"/>
      <c r="J186" s="2218"/>
      <c r="K186" s="2218"/>
      <c r="L186" s="2218"/>
      <c r="M186" s="2218"/>
      <c r="N186" s="2218"/>
      <c r="O186" s="2218"/>
      <c r="P186" s="2218"/>
      <c r="Q186" s="2218"/>
      <c r="R186" s="2218"/>
      <c r="S186" s="2218"/>
      <c r="T186" s="2218"/>
      <c r="U186" s="2218"/>
      <c r="V186" s="2218"/>
      <c r="W186" s="2218"/>
      <c r="X186" s="2218"/>
      <c r="Y186" s="2218"/>
      <c r="Z186" s="2218"/>
      <c r="AA186" s="2218"/>
      <c r="AB186" s="2218"/>
      <c r="AC186" s="2218"/>
      <c r="AD186" s="2218"/>
      <c r="AE186" s="2218"/>
      <c r="AF186" s="2218"/>
      <c r="AG186" s="2218"/>
      <c r="AH186" s="2218"/>
      <c r="AI186" s="2218"/>
      <c r="AJ186" s="2218"/>
      <c r="AK186" s="2218"/>
      <c r="AL186" s="2218"/>
      <c r="AM186" s="2218"/>
      <c r="AN186" s="2218"/>
      <c r="AO186" s="2218"/>
      <c r="AP186" s="2218"/>
      <c r="AQ186" s="2218"/>
    </row>
    <row r="187" spans="2:43" x14ac:dyDescent="0.25">
      <c r="B187" s="2282"/>
      <c r="C187" s="2227"/>
      <c r="D187" s="2219" t="s">
        <v>1029</v>
      </c>
      <c r="E187" s="2219" t="s">
        <v>8</v>
      </c>
      <c r="F187" s="2219"/>
      <c r="G187" s="2219">
        <v>2014</v>
      </c>
      <c r="H187" s="2219">
        <v>2015</v>
      </c>
      <c r="I187" s="2219">
        <v>2016</v>
      </c>
      <c r="J187" s="2219">
        <v>2017</v>
      </c>
      <c r="K187" s="2219">
        <v>2018</v>
      </c>
      <c r="L187" s="2219">
        <v>2019</v>
      </c>
      <c r="M187" s="2219">
        <v>2020</v>
      </c>
      <c r="N187" s="2219">
        <v>2021</v>
      </c>
      <c r="O187" s="2219">
        <v>2022</v>
      </c>
      <c r="P187" s="2219">
        <v>2023</v>
      </c>
      <c r="Q187" s="2219">
        <v>2024</v>
      </c>
      <c r="R187" s="2219">
        <v>2025</v>
      </c>
      <c r="S187" s="2219">
        <v>2026</v>
      </c>
      <c r="T187" s="2219">
        <v>2027</v>
      </c>
      <c r="U187" s="2219">
        <v>2028</v>
      </c>
      <c r="V187" s="2219">
        <v>2029</v>
      </c>
      <c r="W187" s="2219">
        <v>2030</v>
      </c>
      <c r="X187" s="2219">
        <v>2031</v>
      </c>
      <c r="Y187" s="2219">
        <v>2032</v>
      </c>
      <c r="Z187" s="2219">
        <v>2033</v>
      </c>
      <c r="AA187" s="2219">
        <v>2034</v>
      </c>
      <c r="AB187" s="2219">
        <v>2035</v>
      </c>
      <c r="AC187" s="2219">
        <v>2036</v>
      </c>
      <c r="AD187" s="2219">
        <v>2037</v>
      </c>
      <c r="AE187" s="2219">
        <v>2038</v>
      </c>
      <c r="AF187" s="2219">
        <v>2039</v>
      </c>
      <c r="AG187" s="2219">
        <v>2040</v>
      </c>
      <c r="AH187" s="2219">
        <v>2041</v>
      </c>
      <c r="AI187" s="2219">
        <v>2042</v>
      </c>
      <c r="AJ187" s="2219">
        <v>2043</v>
      </c>
      <c r="AK187" s="2219">
        <v>2044</v>
      </c>
      <c r="AL187" s="2219">
        <v>2045</v>
      </c>
      <c r="AM187" s="2219">
        <v>2046</v>
      </c>
      <c r="AN187" s="2219">
        <v>2047</v>
      </c>
      <c r="AO187" s="2219">
        <v>2048</v>
      </c>
      <c r="AP187" s="2219">
        <v>2049</v>
      </c>
      <c r="AQ187" s="2219">
        <v>2050</v>
      </c>
    </row>
    <row r="188" spans="2:43" x14ac:dyDescent="0.25">
      <c r="B188" s="2282"/>
      <c r="C188" s="2244" t="s">
        <v>1294</v>
      </c>
      <c r="D188" s="2220" t="s">
        <v>1288</v>
      </c>
      <c r="E188" s="2215" t="s">
        <v>133</v>
      </c>
      <c r="F188" s="2215"/>
      <c r="G188" s="2245">
        <f t="shared" ref="G188:AQ188" si="16">-G143*G133*G123*(1+G113)*G100*G88*G75/10^3</f>
        <v>-974.84625237607406</v>
      </c>
      <c r="H188" s="2245">
        <f t="shared" si="16"/>
        <v>-974.84625237607406</v>
      </c>
      <c r="I188" s="2245">
        <f t="shared" si="16"/>
        <v>-974.84625237607406</v>
      </c>
      <c r="J188" s="2245">
        <f t="shared" si="16"/>
        <v>-974.84625237607406</v>
      </c>
      <c r="K188" s="2245">
        <f t="shared" si="16"/>
        <v>-974.84625237607406</v>
      </c>
      <c r="L188" s="2245">
        <f t="shared" si="16"/>
        <v>-974.84625237607406</v>
      </c>
      <c r="M188" s="2245">
        <f t="shared" si="16"/>
        <v>-974.84625237607406</v>
      </c>
      <c r="N188" s="2245">
        <f t="shared" si="16"/>
        <v>-974.84625237607406</v>
      </c>
      <c r="O188" s="2245">
        <f t="shared" si="16"/>
        <v>-974.84625237607406</v>
      </c>
      <c r="P188" s="2245">
        <f t="shared" si="16"/>
        <v>-974.84625237607406</v>
      </c>
      <c r="Q188" s="2245">
        <f t="shared" si="16"/>
        <v>-974.84625237607406</v>
      </c>
      <c r="R188" s="2245">
        <f t="shared" si="16"/>
        <v>-974.84625237607406</v>
      </c>
      <c r="S188" s="2245">
        <f t="shared" si="16"/>
        <v>-974.84625237607406</v>
      </c>
      <c r="T188" s="2245">
        <f t="shared" si="16"/>
        <v>-974.84625237607406</v>
      </c>
      <c r="U188" s="2245">
        <f t="shared" si="16"/>
        <v>-974.84625237607406</v>
      </c>
      <c r="V188" s="2245">
        <f t="shared" si="16"/>
        <v>-974.84625237607406</v>
      </c>
      <c r="W188" s="2245">
        <f t="shared" si="16"/>
        <v>-974.84625237607406</v>
      </c>
      <c r="X188" s="2245">
        <f t="shared" si="16"/>
        <v>-974.84625237607406</v>
      </c>
      <c r="Y188" s="2245">
        <f t="shared" si="16"/>
        <v>-974.84625237607406</v>
      </c>
      <c r="Z188" s="2245">
        <f t="shared" si="16"/>
        <v>-974.84625237607406</v>
      </c>
      <c r="AA188" s="2245">
        <f t="shared" si="16"/>
        <v>-974.84625237607406</v>
      </c>
      <c r="AB188" s="2245">
        <f t="shared" si="16"/>
        <v>-974.84625237607406</v>
      </c>
      <c r="AC188" s="2245">
        <f t="shared" si="16"/>
        <v>-974.84625237607406</v>
      </c>
      <c r="AD188" s="2245">
        <f t="shared" si="16"/>
        <v>-974.84625237607406</v>
      </c>
      <c r="AE188" s="2245">
        <f t="shared" si="16"/>
        <v>-974.84625237607406</v>
      </c>
      <c r="AF188" s="2245">
        <f t="shared" si="16"/>
        <v>-974.84625237607406</v>
      </c>
      <c r="AG188" s="2245">
        <f t="shared" si="16"/>
        <v>-974.84625237607406</v>
      </c>
      <c r="AH188" s="2245">
        <f t="shared" si="16"/>
        <v>-974.84625237607406</v>
      </c>
      <c r="AI188" s="2245">
        <f t="shared" si="16"/>
        <v>-974.84625237607406</v>
      </c>
      <c r="AJ188" s="2245">
        <f t="shared" si="16"/>
        <v>-974.84625237607406</v>
      </c>
      <c r="AK188" s="2245">
        <f t="shared" si="16"/>
        <v>-974.84625237607406</v>
      </c>
      <c r="AL188" s="2245">
        <f t="shared" si="16"/>
        <v>-974.84625237607406</v>
      </c>
      <c r="AM188" s="2245">
        <f t="shared" si="16"/>
        <v>-974.84625237607406</v>
      </c>
      <c r="AN188" s="2245">
        <f t="shared" si="16"/>
        <v>-974.84625237607406</v>
      </c>
      <c r="AO188" s="2245">
        <f t="shared" si="16"/>
        <v>-974.84625237607406</v>
      </c>
      <c r="AP188" s="2245">
        <f t="shared" si="16"/>
        <v>-974.84625237607406</v>
      </c>
      <c r="AQ188" s="2245">
        <f t="shared" si="16"/>
        <v>-974.84625237607406</v>
      </c>
    </row>
    <row r="189" spans="2:43" x14ac:dyDescent="0.25">
      <c r="B189" s="2282"/>
      <c r="C189" s="2244" t="s">
        <v>1295</v>
      </c>
      <c r="D189" s="2220" t="s">
        <v>1288</v>
      </c>
      <c r="E189" s="2215" t="s">
        <v>133</v>
      </c>
      <c r="F189" s="2215"/>
      <c r="G189" s="2245">
        <f t="shared" ref="G189:AQ189" si="17">G143*G133*(1+G123)*G113*G100*G88*G73/10^3</f>
        <v>379.69936845427611</v>
      </c>
      <c r="H189" s="2245">
        <f t="shared" si="17"/>
        <v>379.69936845427611</v>
      </c>
      <c r="I189" s="2245">
        <f t="shared" si="17"/>
        <v>379.69936845427611</v>
      </c>
      <c r="J189" s="2245">
        <f t="shared" si="17"/>
        <v>379.69936845427611</v>
      </c>
      <c r="K189" s="2245">
        <f t="shared" si="17"/>
        <v>379.69936845427611</v>
      </c>
      <c r="L189" s="2245">
        <f t="shared" si="17"/>
        <v>379.69936845427611</v>
      </c>
      <c r="M189" s="2245">
        <f t="shared" si="17"/>
        <v>379.69936845427611</v>
      </c>
      <c r="N189" s="2245">
        <f t="shared" si="17"/>
        <v>379.69936845427611</v>
      </c>
      <c r="O189" s="2245">
        <f t="shared" si="17"/>
        <v>379.69936845427611</v>
      </c>
      <c r="P189" s="2245">
        <f t="shared" si="17"/>
        <v>379.69936845427611</v>
      </c>
      <c r="Q189" s="2245">
        <f t="shared" si="17"/>
        <v>379.69936845427611</v>
      </c>
      <c r="R189" s="2245">
        <f t="shared" si="17"/>
        <v>379.69936845427611</v>
      </c>
      <c r="S189" s="2245">
        <f t="shared" si="17"/>
        <v>379.69936845427611</v>
      </c>
      <c r="T189" s="2245">
        <f t="shared" si="17"/>
        <v>379.69936845427611</v>
      </c>
      <c r="U189" s="2245">
        <f t="shared" si="17"/>
        <v>379.69936845427611</v>
      </c>
      <c r="V189" s="2245">
        <f t="shared" si="17"/>
        <v>379.69936845427611</v>
      </c>
      <c r="W189" s="2245">
        <f t="shared" si="17"/>
        <v>379.69936845427611</v>
      </c>
      <c r="X189" s="2245">
        <f t="shared" si="17"/>
        <v>379.69936845427611</v>
      </c>
      <c r="Y189" s="2245">
        <f t="shared" si="17"/>
        <v>379.69936845427611</v>
      </c>
      <c r="Z189" s="2245">
        <f t="shared" si="17"/>
        <v>379.69936845427611</v>
      </c>
      <c r="AA189" s="2245">
        <f t="shared" si="17"/>
        <v>379.69936845427611</v>
      </c>
      <c r="AB189" s="2245">
        <f t="shared" si="17"/>
        <v>379.69936845427611</v>
      </c>
      <c r="AC189" s="2245">
        <f t="shared" si="17"/>
        <v>379.69936845427611</v>
      </c>
      <c r="AD189" s="2245">
        <f t="shared" si="17"/>
        <v>379.69936845427611</v>
      </c>
      <c r="AE189" s="2245">
        <f t="shared" si="17"/>
        <v>379.69936845427611</v>
      </c>
      <c r="AF189" s="2245">
        <f t="shared" si="17"/>
        <v>379.69936845427611</v>
      </c>
      <c r="AG189" s="2245">
        <f t="shared" si="17"/>
        <v>379.69936845427611</v>
      </c>
      <c r="AH189" s="2245">
        <f t="shared" si="17"/>
        <v>379.69936845427611</v>
      </c>
      <c r="AI189" s="2245">
        <f t="shared" si="17"/>
        <v>379.69936845427611</v>
      </c>
      <c r="AJ189" s="2245">
        <f t="shared" si="17"/>
        <v>379.69936845427611</v>
      </c>
      <c r="AK189" s="2245">
        <f t="shared" si="17"/>
        <v>379.69936845427611</v>
      </c>
      <c r="AL189" s="2245">
        <f t="shared" si="17"/>
        <v>379.69936845427611</v>
      </c>
      <c r="AM189" s="2245">
        <f t="shared" si="17"/>
        <v>379.69936845427611</v>
      </c>
      <c r="AN189" s="2245">
        <f t="shared" si="17"/>
        <v>379.69936845427611</v>
      </c>
      <c r="AO189" s="2245">
        <f t="shared" si="17"/>
        <v>379.69936845427611</v>
      </c>
      <c r="AP189" s="2245">
        <f t="shared" si="17"/>
        <v>379.69936845427611</v>
      </c>
      <c r="AQ189" s="2245">
        <f t="shared" si="17"/>
        <v>379.69936845427611</v>
      </c>
    </row>
    <row r="190" spans="2:43" x14ac:dyDescent="0.25">
      <c r="B190" s="2282"/>
      <c r="C190" s="2244" t="s">
        <v>1251</v>
      </c>
      <c r="D190" s="2220"/>
      <c r="E190" s="2215"/>
      <c r="F190" s="2215"/>
      <c r="G190" s="2245">
        <f t="shared" ref="G190:AQ190" si="18">G143*G133*(1+G123)*G113*G100*G88*G74/10^3</f>
        <v>28.285749393813237</v>
      </c>
      <c r="H190" s="2245">
        <f t="shared" si="18"/>
        <v>28.285749393813237</v>
      </c>
      <c r="I190" s="2245">
        <f t="shared" si="18"/>
        <v>28.285749393813237</v>
      </c>
      <c r="J190" s="2245">
        <f t="shared" si="18"/>
        <v>28.285749393813237</v>
      </c>
      <c r="K190" s="2245">
        <f t="shared" si="18"/>
        <v>28.285749393813237</v>
      </c>
      <c r="L190" s="2245">
        <f t="shared" si="18"/>
        <v>28.285749393813237</v>
      </c>
      <c r="M190" s="2245">
        <f t="shared" si="18"/>
        <v>28.285749393813237</v>
      </c>
      <c r="N190" s="2245">
        <f t="shared" si="18"/>
        <v>28.285749393813237</v>
      </c>
      <c r="O190" s="2245">
        <f t="shared" si="18"/>
        <v>28.285749393813237</v>
      </c>
      <c r="P190" s="2245">
        <f t="shared" si="18"/>
        <v>28.285749393813237</v>
      </c>
      <c r="Q190" s="2245">
        <f t="shared" si="18"/>
        <v>28.285749393813237</v>
      </c>
      <c r="R190" s="2245">
        <f t="shared" si="18"/>
        <v>28.285749393813237</v>
      </c>
      <c r="S190" s="2245">
        <f t="shared" si="18"/>
        <v>28.285749393813237</v>
      </c>
      <c r="T190" s="2245">
        <f t="shared" si="18"/>
        <v>28.285749393813237</v>
      </c>
      <c r="U190" s="2245">
        <f t="shared" si="18"/>
        <v>28.285749393813237</v>
      </c>
      <c r="V190" s="2245">
        <f t="shared" si="18"/>
        <v>28.285749393813237</v>
      </c>
      <c r="W190" s="2245">
        <f t="shared" si="18"/>
        <v>28.285749393813237</v>
      </c>
      <c r="X190" s="2245">
        <f t="shared" si="18"/>
        <v>28.285749393813237</v>
      </c>
      <c r="Y190" s="2245">
        <f t="shared" si="18"/>
        <v>28.285749393813237</v>
      </c>
      <c r="Z190" s="2245">
        <f t="shared" si="18"/>
        <v>28.285749393813237</v>
      </c>
      <c r="AA190" s="2245">
        <f t="shared" si="18"/>
        <v>28.285749393813237</v>
      </c>
      <c r="AB190" s="2245">
        <f t="shared" si="18"/>
        <v>28.285749393813237</v>
      </c>
      <c r="AC190" s="2245">
        <f t="shared" si="18"/>
        <v>28.285749393813237</v>
      </c>
      <c r="AD190" s="2245">
        <f t="shared" si="18"/>
        <v>28.285749393813237</v>
      </c>
      <c r="AE190" s="2245">
        <f t="shared" si="18"/>
        <v>28.285749393813237</v>
      </c>
      <c r="AF190" s="2245">
        <f t="shared" si="18"/>
        <v>28.285749393813237</v>
      </c>
      <c r="AG190" s="2245">
        <f t="shared" si="18"/>
        <v>28.285749393813237</v>
      </c>
      <c r="AH190" s="2245">
        <f t="shared" si="18"/>
        <v>28.285749393813237</v>
      </c>
      <c r="AI190" s="2245">
        <f t="shared" si="18"/>
        <v>28.285749393813237</v>
      </c>
      <c r="AJ190" s="2245">
        <f t="shared" si="18"/>
        <v>28.285749393813237</v>
      </c>
      <c r="AK190" s="2245">
        <f t="shared" si="18"/>
        <v>28.285749393813237</v>
      </c>
      <c r="AL190" s="2245">
        <f t="shared" si="18"/>
        <v>28.285749393813237</v>
      </c>
      <c r="AM190" s="2245">
        <f t="shared" si="18"/>
        <v>28.285749393813237</v>
      </c>
      <c r="AN190" s="2245">
        <f t="shared" si="18"/>
        <v>28.285749393813237</v>
      </c>
      <c r="AO190" s="2245">
        <f t="shared" si="18"/>
        <v>28.285749393813237</v>
      </c>
      <c r="AP190" s="2245">
        <f t="shared" si="18"/>
        <v>28.285749393813237</v>
      </c>
      <c r="AQ190" s="2245">
        <f t="shared" si="18"/>
        <v>28.285749393813237</v>
      </c>
    </row>
    <row r="191" spans="2:43" x14ac:dyDescent="0.25">
      <c r="B191" s="2282"/>
      <c r="C191" s="2283" t="s">
        <v>118</v>
      </c>
      <c r="D191" s="2248" t="s">
        <v>1288</v>
      </c>
      <c r="E191" s="2248"/>
      <c r="F191" s="2248"/>
      <c r="G191" s="2284">
        <f>G189+G188</f>
        <v>-595.14688392179801</v>
      </c>
      <c r="H191" s="2284">
        <f t="shared" ref="H191:AQ191" si="19">H189+H188</f>
        <v>-595.14688392179801</v>
      </c>
      <c r="I191" s="2284">
        <f t="shared" si="19"/>
        <v>-595.14688392179801</v>
      </c>
      <c r="J191" s="2284">
        <f t="shared" si="19"/>
        <v>-595.14688392179801</v>
      </c>
      <c r="K191" s="2284">
        <f t="shared" si="19"/>
        <v>-595.14688392179801</v>
      </c>
      <c r="L191" s="2284">
        <f t="shared" si="19"/>
        <v>-595.14688392179801</v>
      </c>
      <c r="M191" s="2284">
        <f t="shared" si="19"/>
        <v>-595.14688392179801</v>
      </c>
      <c r="N191" s="2284">
        <f t="shared" si="19"/>
        <v>-595.14688392179801</v>
      </c>
      <c r="O191" s="2284">
        <f t="shared" si="19"/>
        <v>-595.14688392179801</v>
      </c>
      <c r="P191" s="2284">
        <f t="shared" si="19"/>
        <v>-595.14688392179801</v>
      </c>
      <c r="Q191" s="2284">
        <f t="shared" si="19"/>
        <v>-595.14688392179801</v>
      </c>
      <c r="R191" s="2284">
        <f t="shared" si="19"/>
        <v>-595.14688392179801</v>
      </c>
      <c r="S191" s="2284">
        <f t="shared" si="19"/>
        <v>-595.14688392179801</v>
      </c>
      <c r="T191" s="2284">
        <f t="shared" si="19"/>
        <v>-595.14688392179801</v>
      </c>
      <c r="U191" s="2284">
        <f t="shared" si="19"/>
        <v>-595.14688392179801</v>
      </c>
      <c r="V191" s="2284">
        <f t="shared" si="19"/>
        <v>-595.14688392179801</v>
      </c>
      <c r="W191" s="2284">
        <f t="shared" si="19"/>
        <v>-595.14688392179801</v>
      </c>
      <c r="X191" s="2284">
        <f t="shared" si="19"/>
        <v>-595.14688392179801</v>
      </c>
      <c r="Y191" s="2284">
        <f t="shared" si="19"/>
        <v>-595.14688392179801</v>
      </c>
      <c r="Z191" s="2284">
        <f t="shared" si="19"/>
        <v>-595.14688392179801</v>
      </c>
      <c r="AA191" s="2284">
        <f t="shared" si="19"/>
        <v>-595.14688392179801</v>
      </c>
      <c r="AB191" s="2284">
        <f t="shared" si="19"/>
        <v>-595.14688392179801</v>
      </c>
      <c r="AC191" s="2284">
        <f t="shared" si="19"/>
        <v>-595.14688392179801</v>
      </c>
      <c r="AD191" s="2284">
        <f t="shared" si="19"/>
        <v>-595.14688392179801</v>
      </c>
      <c r="AE191" s="2284">
        <f t="shared" si="19"/>
        <v>-595.14688392179801</v>
      </c>
      <c r="AF191" s="2284">
        <f t="shared" si="19"/>
        <v>-595.14688392179801</v>
      </c>
      <c r="AG191" s="2284">
        <f t="shared" si="19"/>
        <v>-595.14688392179801</v>
      </c>
      <c r="AH191" s="2284">
        <f t="shared" si="19"/>
        <v>-595.14688392179801</v>
      </c>
      <c r="AI191" s="2284">
        <f t="shared" si="19"/>
        <v>-595.14688392179801</v>
      </c>
      <c r="AJ191" s="2284">
        <f t="shared" si="19"/>
        <v>-595.14688392179801</v>
      </c>
      <c r="AK191" s="2284">
        <f t="shared" si="19"/>
        <v>-595.14688392179801</v>
      </c>
      <c r="AL191" s="2284">
        <f t="shared" si="19"/>
        <v>-595.14688392179801</v>
      </c>
      <c r="AM191" s="2284">
        <f t="shared" si="19"/>
        <v>-595.14688392179801</v>
      </c>
      <c r="AN191" s="2284">
        <f t="shared" si="19"/>
        <v>-595.14688392179801</v>
      </c>
      <c r="AO191" s="2284">
        <f t="shared" si="19"/>
        <v>-595.14688392179801</v>
      </c>
      <c r="AP191" s="2284">
        <f t="shared" si="19"/>
        <v>-595.14688392179801</v>
      </c>
      <c r="AQ191" s="2284">
        <f t="shared" si="19"/>
        <v>-595.14688392179801</v>
      </c>
    </row>
    <row r="192" spans="2:43" x14ac:dyDescent="0.25">
      <c r="B192" s="2282"/>
      <c r="C192" s="2244"/>
      <c r="D192" s="2220"/>
      <c r="E192" s="2215"/>
      <c r="F192" s="2215"/>
      <c r="G192" s="2245"/>
      <c r="H192" s="2245"/>
      <c r="I192" s="2245"/>
      <c r="J192" s="2245"/>
      <c r="K192" s="2245"/>
      <c r="L192" s="2245"/>
      <c r="M192" s="2245"/>
      <c r="N192" s="2245"/>
      <c r="O192" s="2245"/>
      <c r="P192" s="2245"/>
      <c r="Q192" s="2245"/>
      <c r="R192" s="2245"/>
      <c r="S192" s="2245"/>
      <c r="T192" s="2245"/>
      <c r="U192" s="2245"/>
      <c r="V192" s="2245"/>
      <c r="W192" s="2245"/>
      <c r="X192" s="2245"/>
      <c r="Y192" s="2245"/>
      <c r="Z192" s="2245"/>
      <c r="AA192" s="2245"/>
      <c r="AB192" s="2245"/>
      <c r="AC192" s="2245"/>
      <c r="AD192" s="2245"/>
      <c r="AE192" s="2245"/>
      <c r="AF192" s="2245"/>
      <c r="AG192" s="2245"/>
      <c r="AH192" s="2245"/>
      <c r="AI192" s="2245"/>
      <c r="AJ192" s="2245"/>
      <c r="AK192" s="2245"/>
      <c r="AL192" s="2245"/>
      <c r="AM192" s="2245"/>
      <c r="AN192" s="2245"/>
      <c r="AO192" s="2245"/>
      <c r="AP192" s="2245"/>
      <c r="AQ192" s="2245"/>
    </row>
    <row r="193" spans="2:43" x14ac:dyDescent="0.25">
      <c r="B193" s="2282"/>
      <c r="C193" s="2285" t="s">
        <v>1296</v>
      </c>
      <c r="D193" s="2285"/>
      <c r="E193" s="2285"/>
      <c r="F193" s="2285"/>
      <c r="G193" s="2285"/>
      <c r="H193" s="2285"/>
      <c r="I193" s="2285"/>
      <c r="J193" s="2285"/>
      <c r="K193" s="2285"/>
      <c r="L193" s="2285"/>
      <c r="M193" s="2285"/>
      <c r="N193" s="2285"/>
      <c r="O193" s="2285"/>
      <c r="P193" s="2285"/>
      <c r="Q193" s="2285"/>
      <c r="R193" s="2285"/>
      <c r="S193" s="2285"/>
      <c r="T193" s="2285"/>
      <c r="U193" s="2285"/>
      <c r="V193" s="2285"/>
      <c r="W193" s="2285"/>
      <c r="X193" s="2285"/>
      <c r="Y193" s="2285"/>
      <c r="Z193" s="2285"/>
      <c r="AA193" s="2285"/>
      <c r="AB193" s="2285"/>
      <c r="AC193" s="2285"/>
      <c r="AD193" s="2285"/>
      <c r="AE193" s="2285"/>
      <c r="AF193" s="2285"/>
      <c r="AG193" s="2285"/>
      <c r="AH193" s="2285"/>
      <c r="AI193" s="2285"/>
      <c r="AJ193" s="2285"/>
      <c r="AK193" s="2285"/>
      <c r="AL193" s="2285"/>
      <c r="AM193" s="2285"/>
      <c r="AN193" s="2285"/>
      <c r="AO193" s="2285"/>
      <c r="AP193" s="2285"/>
      <c r="AQ193" s="2285"/>
    </row>
    <row r="194" spans="2:43" x14ac:dyDescent="0.25">
      <c r="B194" s="2282"/>
      <c r="C194" s="2286"/>
      <c r="D194" s="2256" t="s">
        <v>1029</v>
      </c>
      <c r="E194" s="2256" t="s">
        <v>8</v>
      </c>
      <c r="F194" s="2256"/>
      <c r="G194" s="2256">
        <v>2014</v>
      </c>
      <c r="H194" s="2256">
        <v>2015</v>
      </c>
      <c r="I194" s="2256">
        <v>2016</v>
      </c>
      <c r="J194" s="2256">
        <v>2017</v>
      </c>
      <c r="K194" s="2256">
        <v>2018</v>
      </c>
      <c r="L194" s="2256">
        <v>2019</v>
      </c>
      <c r="M194" s="2256">
        <v>2020</v>
      </c>
      <c r="N194" s="2256">
        <v>2021</v>
      </c>
      <c r="O194" s="2256">
        <v>2022</v>
      </c>
      <c r="P194" s="2256">
        <v>2023</v>
      </c>
      <c r="Q194" s="2256">
        <v>2024</v>
      </c>
      <c r="R194" s="2256">
        <v>2025</v>
      </c>
      <c r="S194" s="2256">
        <v>2026</v>
      </c>
      <c r="T194" s="2256">
        <v>2027</v>
      </c>
      <c r="U194" s="2256">
        <v>2028</v>
      </c>
      <c r="V194" s="2256">
        <v>2029</v>
      </c>
      <c r="W194" s="2256">
        <v>2030</v>
      </c>
      <c r="X194" s="2256">
        <v>2031</v>
      </c>
      <c r="Y194" s="2256">
        <v>2032</v>
      </c>
      <c r="Z194" s="2256">
        <v>2033</v>
      </c>
      <c r="AA194" s="2256">
        <v>2034</v>
      </c>
      <c r="AB194" s="2256">
        <v>2035</v>
      </c>
      <c r="AC194" s="2256">
        <v>2036</v>
      </c>
      <c r="AD194" s="2256">
        <v>2037</v>
      </c>
      <c r="AE194" s="2256">
        <v>2038</v>
      </c>
      <c r="AF194" s="2256">
        <v>2039</v>
      </c>
      <c r="AG194" s="2256">
        <v>2040</v>
      </c>
      <c r="AH194" s="2256">
        <v>2041</v>
      </c>
      <c r="AI194" s="2256">
        <v>2042</v>
      </c>
      <c r="AJ194" s="2256">
        <v>2043</v>
      </c>
      <c r="AK194" s="2256">
        <v>2044</v>
      </c>
      <c r="AL194" s="2256">
        <v>2045</v>
      </c>
      <c r="AM194" s="2256">
        <v>2046</v>
      </c>
      <c r="AN194" s="2256">
        <v>2047</v>
      </c>
      <c r="AO194" s="2256">
        <v>2048</v>
      </c>
      <c r="AP194" s="2256">
        <v>2049</v>
      </c>
      <c r="AQ194" s="2256">
        <v>2050</v>
      </c>
    </row>
    <row r="195" spans="2:43" x14ac:dyDescent="0.25">
      <c r="B195" s="2282"/>
      <c r="C195" s="2287" t="s">
        <v>1297</v>
      </c>
      <c r="D195" s="2250" t="s">
        <v>1288</v>
      </c>
      <c r="E195" s="2215"/>
      <c r="F195" s="2288"/>
      <c r="G195" s="2289">
        <f t="shared" ref="G195:AQ195" si="20">G139*G129*(1+G119)*G108*G95*G84*G49/10^3</f>
        <v>106.76813459812509</v>
      </c>
      <c r="H195" s="2289">
        <f t="shared" si="20"/>
        <v>106.76813459812509</v>
      </c>
      <c r="I195" s="2289">
        <f t="shared" si="20"/>
        <v>106.76813459812509</v>
      </c>
      <c r="J195" s="2289">
        <f t="shared" si="20"/>
        <v>106.76813459812509</v>
      </c>
      <c r="K195" s="2289">
        <f t="shared" si="20"/>
        <v>106.76813459812509</v>
      </c>
      <c r="L195" s="2289">
        <f t="shared" si="20"/>
        <v>106.76813459812509</v>
      </c>
      <c r="M195" s="2289">
        <f t="shared" si="20"/>
        <v>106.76813459812509</v>
      </c>
      <c r="N195" s="2289">
        <f t="shared" si="20"/>
        <v>106.76813459812509</v>
      </c>
      <c r="O195" s="2289">
        <f t="shared" si="20"/>
        <v>106.76813459812509</v>
      </c>
      <c r="P195" s="2289">
        <f t="shared" si="20"/>
        <v>106.76813459812509</v>
      </c>
      <c r="Q195" s="2289">
        <f t="shared" si="20"/>
        <v>106.76813459812509</v>
      </c>
      <c r="R195" s="2289">
        <f t="shared" si="20"/>
        <v>106.76813459812509</v>
      </c>
      <c r="S195" s="2289">
        <f t="shared" si="20"/>
        <v>106.76813459812509</v>
      </c>
      <c r="T195" s="2289">
        <f t="shared" si="20"/>
        <v>106.76813459812509</v>
      </c>
      <c r="U195" s="2289">
        <f t="shared" si="20"/>
        <v>106.76813459812509</v>
      </c>
      <c r="V195" s="2289">
        <f t="shared" si="20"/>
        <v>106.76813459812509</v>
      </c>
      <c r="W195" s="2289">
        <f t="shared" si="20"/>
        <v>106.76813459812509</v>
      </c>
      <c r="X195" s="2289">
        <f t="shared" si="20"/>
        <v>106.76813459812509</v>
      </c>
      <c r="Y195" s="2289">
        <f t="shared" si="20"/>
        <v>106.76813459812509</v>
      </c>
      <c r="Z195" s="2289">
        <f t="shared" si="20"/>
        <v>106.76813459812509</v>
      </c>
      <c r="AA195" s="2289">
        <f t="shared" si="20"/>
        <v>106.76813459812509</v>
      </c>
      <c r="AB195" s="2289">
        <f t="shared" si="20"/>
        <v>106.76813459812509</v>
      </c>
      <c r="AC195" s="2289">
        <f t="shared" si="20"/>
        <v>106.76813459812509</v>
      </c>
      <c r="AD195" s="2289">
        <f t="shared" si="20"/>
        <v>106.76813459812509</v>
      </c>
      <c r="AE195" s="2289">
        <f t="shared" si="20"/>
        <v>106.76813459812509</v>
      </c>
      <c r="AF195" s="2289">
        <f t="shared" si="20"/>
        <v>106.76813459812509</v>
      </c>
      <c r="AG195" s="2289">
        <f t="shared" si="20"/>
        <v>106.76813459812509</v>
      </c>
      <c r="AH195" s="2289">
        <f t="shared" si="20"/>
        <v>106.76813459812509</v>
      </c>
      <c r="AI195" s="2289">
        <f t="shared" si="20"/>
        <v>106.76813459812509</v>
      </c>
      <c r="AJ195" s="2289">
        <f t="shared" si="20"/>
        <v>106.76813459812509</v>
      </c>
      <c r="AK195" s="2289">
        <f t="shared" si="20"/>
        <v>106.76813459812509</v>
      </c>
      <c r="AL195" s="2289">
        <f t="shared" si="20"/>
        <v>106.76813459812509</v>
      </c>
      <c r="AM195" s="2289">
        <f t="shared" si="20"/>
        <v>106.76813459812509</v>
      </c>
      <c r="AN195" s="2289">
        <f t="shared" si="20"/>
        <v>106.76813459812509</v>
      </c>
      <c r="AO195" s="2289">
        <f t="shared" si="20"/>
        <v>106.76813459812509</v>
      </c>
      <c r="AP195" s="2289">
        <f t="shared" si="20"/>
        <v>106.76813459812509</v>
      </c>
      <c r="AQ195" s="2289">
        <f t="shared" si="20"/>
        <v>106.76813459812509</v>
      </c>
    </row>
    <row r="196" spans="2:43" x14ac:dyDescent="0.25">
      <c r="B196" s="2282"/>
      <c r="C196" s="2244" t="s">
        <v>1298</v>
      </c>
      <c r="D196" s="2250" t="s">
        <v>1288</v>
      </c>
      <c r="E196" s="2215"/>
      <c r="F196" s="2215"/>
      <c r="G196" s="2245">
        <f t="shared" ref="G196:AQ196" si="21">G143*G133*(G123+1)*G113*G100*G88*G71/10^3</f>
        <v>752.75146305656062</v>
      </c>
      <c r="H196" s="2245">
        <f t="shared" si="21"/>
        <v>752.75146305656062</v>
      </c>
      <c r="I196" s="2245">
        <f t="shared" si="21"/>
        <v>752.75146305656062</v>
      </c>
      <c r="J196" s="2245">
        <f t="shared" si="21"/>
        <v>752.75146305656062</v>
      </c>
      <c r="K196" s="2245">
        <f t="shared" si="21"/>
        <v>752.75146305656062</v>
      </c>
      <c r="L196" s="2245">
        <f t="shared" si="21"/>
        <v>752.75146305656062</v>
      </c>
      <c r="M196" s="2245">
        <f t="shared" si="21"/>
        <v>752.75146305656062</v>
      </c>
      <c r="N196" s="2245">
        <f t="shared" si="21"/>
        <v>752.75146305656062</v>
      </c>
      <c r="O196" s="2245">
        <f t="shared" si="21"/>
        <v>752.75146305656062</v>
      </c>
      <c r="P196" s="2245">
        <f t="shared" si="21"/>
        <v>752.75146305656062</v>
      </c>
      <c r="Q196" s="2245">
        <f t="shared" si="21"/>
        <v>752.75146305656062</v>
      </c>
      <c r="R196" s="2245">
        <f t="shared" si="21"/>
        <v>752.75146305656062</v>
      </c>
      <c r="S196" s="2245">
        <f t="shared" si="21"/>
        <v>752.75146305656062</v>
      </c>
      <c r="T196" s="2245">
        <f t="shared" si="21"/>
        <v>752.75146305656062</v>
      </c>
      <c r="U196" s="2245">
        <f t="shared" si="21"/>
        <v>752.75146305656062</v>
      </c>
      <c r="V196" s="2245">
        <f t="shared" si="21"/>
        <v>752.75146305656062</v>
      </c>
      <c r="W196" s="2245">
        <f t="shared" si="21"/>
        <v>752.75146305656062</v>
      </c>
      <c r="X196" s="2245">
        <f t="shared" si="21"/>
        <v>752.75146305656062</v>
      </c>
      <c r="Y196" s="2245">
        <f t="shared" si="21"/>
        <v>752.75146305656062</v>
      </c>
      <c r="Z196" s="2245">
        <f t="shared" si="21"/>
        <v>752.75146305656062</v>
      </c>
      <c r="AA196" s="2245">
        <f t="shared" si="21"/>
        <v>752.75146305656062</v>
      </c>
      <c r="AB196" s="2245">
        <f t="shared" si="21"/>
        <v>752.75146305656062</v>
      </c>
      <c r="AC196" s="2245">
        <f t="shared" si="21"/>
        <v>752.75146305656062</v>
      </c>
      <c r="AD196" s="2245">
        <f t="shared" si="21"/>
        <v>752.75146305656062</v>
      </c>
      <c r="AE196" s="2245">
        <f t="shared" si="21"/>
        <v>752.75146305656062</v>
      </c>
      <c r="AF196" s="2245">
        <f t="shared" si="21"/>
        <v>752.75146305656062</v>
      </c>
      <c r="AG196" s="2245">
        <f t="shared" si="21"/>
        <v>752.75146305656062</v>
      </c>
      <c r="AH196" s="2245">
        <f t="shared" si="21"/>
        <v>752.75146305656062</v>
      </c>
      <c r="AI196" s="2245">
        <f t="shared" si="21"/>
        <v>752.75146305656062</v>
      </c>
      <c r="AJ196" s="2245">
        <f t="shared" si="21"/>
        <v>752.75146305656062</v>
      </c>
      <c r="AK196" s="2245">
        <f t="shared" si="21"/>
        <v>752.75146305656062</v>
      </c>
      <c r="AL196" s="2245">
        <f t="shared" si="21"/>
        <v>752.75146305656062</v>
      </c>
      <c r="AM196" s="2245">
        <f t="shared" si="21"/>
        <v>752.75146305656062</v>
      </c>
      <c r="AN196" s="2245">
        <f t="shared" si="21"/>
        <v>752.75146305656062</v>
      </c>
      <c r="AO196" s="2245">
        <f t="shared" si="21"/>
        <v>752.75146305656062</v>
      </c>
      <c r="AP196" s="2245">
        <f t="shared" si="21"/>
        <v>752.75146305656062</v>
      </c>
      <c r="AQ196" s="2245">
        <f t="shared" si="21"/>
        <v>752.75146305656062</v>
      </c>
    </row>
    <row r="197" spans="2:43" x14ac:dyDescent="0.25">
      <c r="B197" s="2282"/>
      <c r="C197" s="2283" t="s">
        <v>118</v>
      </c>
      <c r="D197" s="2251" t="s">
        <v>1288</v>
      </c>
      <c r="E197" s="2248"/>
      <c r="F197" s="2248"/>
      <c r="G197" s="2284">
        <f>G195+G196</f>
        <v>859.51959765468575</v>
      </c>
      <c r="H197" s="2284">
        <f t="shared" ref="H197:AQ197" si="22">H195+H196</f>
        <v>859.51959765468575</v>
      </c>
      <c r="I197" s="2284">
        <f t="shared" si="22"/>
        <v>859.51959765468575</v>
      </c>
      <c r="J197" s="2284">
        <f t="shared" si="22"/>
        <v>859.51959765468575</v>
      </c>
      <c r="K197" s="2284">
        <f t="shared" si="22"/>
        <v>859.51959765468575</v>
      </c>
      <c r="L197" s="2284">
        <f t="shared" si="22"/>
        <v>859.51959765468575</v>
      </c>
      <c r="M197" s="2284">
        <f t="shared" si="22"/>
        <v>859.51959765468575</v>
      </c>
      <c r="N197" s="2284">
        <f t="shared" si="22"/>
        <v>859.51959765468575</v>
      </c>
      <c r="O197" s="2284">
        <f t="shared" si="22"/>
        <v>859.51959765468575</v>
      </c>
      <c r="P197" s="2284">
        <f t="shared" si="22"/>
        <v>859.51959765468575</v>
      </c>
      <c r="Q197" s="2284">
        <f t="shared" si="22"/>
        <v>859.51959765468575</v>
      </c>
      <c r="R197" s="2284">
        <f t="shared" si="22"/>
        <v>859.51959765468575</v>
      </c>
      <c r="S197" s="2284">
        <f t="shared" si="22"/>
        <v>859.51959765468575</v>
      </c>
      <c r="T197" s="2284">
        <f t="shared" si="22"/>
        <v>859.51959765468575</v>
      </c>
      <c r="U197" s="2284">
        <f t="shared" si="22"/>
        <v>859.51959765468575</v>
      </c>
      <c r="V197" s="2284">
        <f t="shared" si="22"/>
        <v>859.51959765468575</v>
      </c>
      <c r="W197" s="2284">
        <f t="shared" si="22"/>
        <v>859.51959765468575</v>
      </c>
      <c r="X197" s="2284">
        <f t="shared" si="22"/>
        <v>859.51959765468575</v>
      </c>
      <c r="Y197" s="2284">
        <f t="shared" si="22"/>
        <v>859.51959765468575</v>
      </c>
      <c r="Z197" s="2284">
        <f t="shared" si="22"/>
        <v>859.51959765468575</v>
      </c>
      <c r="AA197" s="2284">
        <f t="shared" si="22"/>
        <v>859.51959765468575</v>
      </c>
      <c r="AB197" s="2284">
        <f t="shared" si="22"/>
        <v>859.51959765468575</v>
      </c>
      <c r="AC197" s="2284">
        <f t="shared" si="22"/>
        <v>859.51959765468575</v>
      </c>
      <c r="AD197" s="2284">
        <f t="shared" si="22"/>
        <v>859.51959765468575</v>
      </c>
      <c r="AE197" s="2284">
        <f t="shared" si="22"/>
        <v>859.51959765468575</v>
      </c>
      <c r="AF197" s="2284">
        <f t="shared" si="22"/>
        <v>859.51959765468575</v>
      </c>
      <c r="AG197" s="2284">
        <f t="shared" si="22"/>
        <v>859.51959765468575</v>
      </c>
      <c r="AH197" s="2284">
        <f t="shared" si="22"/>
        <v>859.51959765468575</v>
      </c>
      <c r="AI197" s="2284">
        <f t="shared" si="22"/>
        <v>859.51959765468575</v>
      </c>
      <c r="AJ197" s="2284">
        <f t="shared" si="22"/>
        <v>859.51959765468575</v>
      </c>
      <c r="AK197" s="2284">
        <f t="shared" si="22"/>
        <v>859.51959765468575</v>
      </c>
      <c r="AL197" s="2284">
        <f t="shared" si="22"/>
        <v>859.51959765468575</v>
      </c>
      <c r="AM197" s="2284">
        <f t="shared" si="22"/>
        <v>859.51959765468575</v>
      </c>
      <c r="AN197" s="2284">
        <f t="shared" si="22"/>
        <v>859.51959765468575</v>
      </c>
      <c r="AO197" s="2284">
        <f t="shared" si="22"/>
        <v>859.51959765468575</v>
      </c>
      <c r="AP197" s="2284">
        <f t="shared" si="22"/>
        <v>859.51959765468575</v>
      </c>
      <c r="AQ197" s="2284">
        <f t="shared" si="22"/>
        <v>859.51959765468575</v>
      </c>
    </row>
    <row r="198" spans="2:43" x14ac:dyDescent="0.25">
      <c r="B198" s="2282"/>
      <c r="C198" s="2244"/>
      <c r="D198" s="2220"/>
      <c r="E198" s="2215"/>
      <c r="F198" s="2215"/>
      <c r="G198" s="2245"/>
      <c r="H198" s="2245"/>
      <c r="I198" s="2245"/>
      <c r="J198" s="2245"/>
      <c r="K198" s="2245"/>
      <c r="L198" s="2245"/>
      <c r="M198" s="2245"/>
      <c r="N198" s="2245"/>
      <c r="O198" s="2245"/>
      <c r="P198" s="2245"/>
      <c r="Q198" s="2245"/>
      <c r="R198" s="2245"/>
      <c r="S198" s="2245"/>
      <c r="T198" s="2245"/>
      <c r="U198" s="2245"/>
      <c r="V198" s="2245"/>
      <c r="W198" s="2245"/>
      <c r="X198" s="2245"/>
      <c r="Y198" s="2245"/>
      <c r="Z198" s="2245"/>
      <c r="AA198" s="2245"/>
      <c r="AB198" s="2245"/>
      <c r="AC198" s="2245"/>
      <c r="AD198" s="2245"/>
      <c r="AE198" s="2245"/>
      <c r="AF198" s="2245"/>
      <c r="AG198" s="2245"/>
      <c r="AH198" s="2245"/>
      <c r="AI198" s="2245"/>
      <c r="AJ198" s="2245"/>
      <c r="AK198" s="2245"/>
      <c r="AL198" s="2245"/>
      <c r="AM198" s="2245"/>
      <c r="AN198" s="2245"/>
      <c r="AO198" s="2245"/>
      <c r="AP198" s="2245"/>
      <c r="AQ198" s="2245"/>
    </row>
    <row r="199" spans="2:43" x14ac:dyDescent="0.25">
      <c r="B199" s="2282"/>
      <c r="C199" s="2285" t="s">
        <v>1299</v>
      </c>
      <c r="D199" s="2285"/>
      <c r="E199" s="2285"/>
      <c r="F199" s="2285"/>
      <c r="G199" s="2285"/>
      <c r="H199" s="2285"/>
      <c r="I199" s="2285"/>
      <c r="J199" s="2285"/>
      <c r="K199" s="2285"/>
      <c r="L199" s="2285"/>
      <c r="M199" s="2285"/>
      <c r="N199" s="2285"/>
      <c r="O199" s="2285"/>
      <c r="P199" s="2285"/>
      <c r="Q199" s="2285"/>
      <c r="R199" s="2285"/>
      <c r="S199" s="2285"/>
      <c r="T199" s="2285"/>
      <c r="U199" s="2285"/>
      <c r="V199" s="2285"/>
      <c r="W199" s="2285"/>
      <c r="X199" s="2285"/>
      <c r="Y199" s="2285"/>
      <c r="Z199" s="2285"/>
      <c r="AA199" s="2285"/>
      <c r="AB199" s="2285"/>
      <c r="AC199" s="2285"/>
      <c r="AD199" s="2285"/>
      <c r="AE199" s="2285"/>
      <c r="AF199" s="2285"/>
      <c r="AG199" s="2285"/>
      <c r="AH199" s="2285"/>
      <c r="AI199" s="2285"/>
      <c r="AJ199" s="2285"/>
      <c r="AK199" s="2285"/>
      <c r="AL199" s="2285"/>
      <c r="AM199" s="2285"/>
      <c r="AN199" s="2285"/>
      <c r="AO199" s="2285"/>
      <c r="AP199" s="2285"/>
      <c r="AQ199" s="2285"/>
    </row>
    <row r="200" spans="2:43" x14ac:dyDescent="0.25">
      <c r="B200" s="2282"/>
      <c r="C200" s="2286"/>
      <c r="D200" s="2256" t="s">
        <v>1029</v>
      </c>
      <c r="E200" s="2256" t="s">
        <v>8</v>
      </c>
      <c r="F200" s="2256"/>
      <c r="G200" s="2256">
        <v>2014</v>
      </c>
      <c r="H200" s="2256">
        <v>2015</v>
      </c>
      <c r="I200" s="2256">
        <v>2016</v>
      </c>
      <c r="J200" s="2256">
        <v>2017</v>
      </c>
      <c r="K200" s="2256">
        <v>2018</v>
      </c>
      <c r="L200" s="2256">
        <v>2019</v>
      </c>
      <c r="M200" s="2256">
        <v>2020</v>
      </c>
      <c r="N200" s="2256">
        <v>2021</v>
      </c>
      <c r="O200" s="2256">
        <v>2022</v>
      </c>
      <c r="P200" s="2256">
        <v>2023</v>
      </c>
      <c r="Q200" s="2256">
        <v>2024</v>
      </c>
      <c r="R200" s="2256">
        <v>2025</v>
      </c>
      <c r="S200" s="2256">
        <v>2026</v>
      </c>
      <c r="T200" s="2256">
        <v>2027</v>
      </c>
      <c r="U200" s="2256">
        <v>2028</v>
      </c>
      <c r="V200" s="2256">
        <v>2029</v>
      </c>
      <c r="W200" s="2256">
        <v>2030</v>
      </c>
      <c r="X200" s="2256">
        <v>2031</v>
      </c>
      <c r="Y200" s="2256">
        <v>2032</v>
      </c>
      <c r="Z200" s="2256">
        <v>2033</v>
      </c>
      <c r="AA200" s="2256">
        <v>2034</v>
      </c>
      <c r="AB200" s="2256">
        <v>2035</v>
      </c>
      <c r="AC200" s="2256">
        <v>2036</v>
      </c>
      <c r="AD200" s="2256">
        <v>2037</v>
      </c>
      <c r="AE200" s="2256">
        <v>2038</v>
      </c>
      <c r="AF200" s="2256">
        <v>2039</v>
      </c>
      <c r="AG200" s="2256">
        <v>2040</v>
      </c>
      <c r="AH200" s="2256">
        <v>2041</v>
      </c>
      <c r="AI200" s="2256">
        <v>2042</v>
      </c>
      <c r="AJ200" s="2256">
        <v>2043</v>
      </c>
      <c r="AK200" s="2256">
        <v>2044</v>
      </c>
      <c r="AL200" s="2256">
        <v>2045</v>
      </c>
      <c r="AM200" s="2256">
        <v>2046</v>
      </c>
      <c r="AN200" s="2256">
        <v>2047</v>
      </c>
      <c r="AO200" s="2256">
        <v>2048</v>
      </c>
      <c r="AP200" s="2256">
        <v>2049</v>
      </c>
      <c r="AQ200" s="2256">
        <v>2050</v>
      </c>
    </row>
    <row r="201" spans="2:43" x14ac:dyDescent="0.25">
      <c r="B201" s="2282"/>
      <c r="C201" s="2287" t="s">
        <v>1265</v>
      </c>
      <c r="D201" s="2250" t="s">
        <v>1288</v>
      </c>
      <c r="E201" s="2215"/>
      <c r="F201" s="2288"/>
      <c r="G201" s="2289">
        <f t="shared" ref="G201:AQ201" si="23">G145*G135*G115*G50*(G125+1)*G104/10^3</f>
        <v>12067.116969600012</v>
      </c>
      <c r="H201" s="2289">
        <f t="shared" si="23"/>
        <v>12067.116969600012</v>
      </c>
      <c r="I201" s="2289">
        <f t="shared" si="23"/>
        <v>12067.116969600012</v>
      </c>
      <c r="J201" s="2289">
        <f t="shared" si="23"/>
        <v>12067.116969600012</v>
      </c>
      <c r="K201" s="2289">
        <f t="shared" si="23"/>
        <v>12067.116969600012</v>
      </c>
      <c r="L201" s="2289">
        <f t="shared" si="23"/>
        <v>12067.116969600012</v>
      </c>
      <c r="M201" s="2289">
        <f t="shared" si="23"/>
        <v>12067.116969600012</v>
      </c>
      <c r="N201" s="2289">
        <f t="shared" si="23"/>
        <v>12067.116969600012</v>
      </c>
      <c r="O201" s="2289">
        <f t="shared" si="23"/>
        <v>12067.116969600012</v>
      </c>
      <c r="P201" s="2289">
        <f t="shared" si="23"/>
        <v>12067.116969600012</v>
      </c>
      <c r="Q201" s="2289">
        <f t="shared" si="23"/>
        <v>12067.116969600012</v>
      </c>
      <c r="R201" s="2289">
        <f t="shared" si="23"/>
        <v>12067.116969600012</v>
      </c>
      <c r="S201" s="2289">
        <f t="shared" si="23"/>
        <v>12067.116969600012</v>
      </c>
      <c r="T201" s="2289">
        <f t="shared" si="23"/>
        <v>12067.116969600012</v>
      </c>
      <c r="U201" s="2289">
        <f t="shared" si="23"/>
        <v>12067.116969600012</v>
      </c>
      <c r="V201" s="2289">
        <f t="shared" si="23"/>
        <v>12067.116969600012</v>
      </c>
      <c r="W201" s="2289">
        <f t="shared" si="23"/>
        <v>12067.116969600012</v>
      </c>
      <c r="X201" s="2289">
        <f t="shared" si="23"/>
        <v>12067.116969600012</v>
      </c>
      <c r="Y201" s="2289">
        <f t="shared" si="23"/>
        <v>12067.116969600012</v>
      </c>
      <c r="Z201" s="2289">
        <f t="shared" si="23"/>
        <v>12067.116969600012</v>
      </c>
      <c r="AA201" s="2289">
        <f t="shared" si="23"/>
        <v>12067.116969600012</v>
      </c>
      <c r="AB201" s="2289">
        <f t="shared" si="23"/>
        <v>12067.116969600012</v>
      </c>
      <c r="AC201" s="2289">
        <f t="shared" si="23"/>
        <v>12067.116969600012</v>
      </c>
      <c r="AD201" s="2289">
        <f t="shared" si="23"/>
        <v>12067.116969600012</v>
      </c>
      <c r="AE201" s="2289">
        <f t="shared" si="23"/>
        <v>12067.116969600012</v>
      </c>
      <c r="AF201" s="2289">
        <f t="shared" si="23"/>
        <v>12067.116969600012</v>
      </c>
      <c r="AG201" s="2289">
        <f t="shared" si="23"/>
        <v>12067.116969600012</v>
      </c>
      <c r="AH201" s="2289">
        <f t="shared" si="23"/>
        <v>12067.116969600012</v>
      </c>
      <c r="AI201" s="2289">
        <f t="shared" si="23"/>
        <v>12067.116969600012</v>
      </c>
      <c r="AJ201" s="2289">
        <f t="shared" si="23"/>
        <v>12067.116969600012</v>
      </c>
      <c r="AK201" s="2289">
        <f t="shared" si="23"/>
        <v>12067.116969600012</v>
      </c>
      <c r="AL201" s="2289">
        <f t="shared" si="23"/>
        <v>12067.116969600012</v>
      </c>
      <c r="AM201" s="2289">
        <f t="shared" si="23"/>
        <v>12067.116969600012</v>
      </c>
      <c r="AN201" s="2289">
        <f t="shared" si="23"/>
        <v>12067.116969600012</v>
      </c>
      <c r="AO201" s="2289">
        <f t="shared" si="23"/>
        <v>12067.116969600012</v>
      </c>
      <c r="AP201" s="2289">
        <f t="shared" si="23"/>
        <v>12067.116969600012</v>
      </c>
      <c r="AQ201" s="2289">
        <f t="shared" si="23"/>
        <v>12067.116969600012</v>
      </c>
    </row>
    <row r="202" spans="2:43" x14ac:dyDescent="0.25">
      <c r="B202" s="2282"/>
      <c r="C202" s="2283" t="s">
        <v>118</v>
      </c>
      <c r="D202" s="2251" t="s">
        <v>1288</v>
      </c>
      <c r="E202" s="2248"/>
      <c r="F202" s="2248"/>
      <c r="G202" s="2290">
        <f>G201</f>
        <v>12067.116969600012</v>
      </c>
      <c r="H202" s="2290">
        <f t="shared" ref="H202:AQ202" si="24">H201</f>
        <v>12067.116969600012</v>
      </c>
      <c r="I202" s="2290">
        <f t="shared" si="24"/>
        <v>12067.116969600012</v>
      </c>
      <c r="J202" s="2290">
        <f t="shared" si="24"/>
        <v>12067.116969600012</v>
      </c>
      <c r="K202" s="2290">
        <f t="shared" si="24"/>
        <v>12067.116969600012</v>
      </c>
      <c r="L202" s="2290">
        <f t="shared" si="24"/>
        <v>12067.116969600012</v>
      </c>
      <c r="M202" s="2290">
        <f t="shared" si="24"/>
        <v>12067.116969600012</v>
      </c>
      <c r="N202" s="2290">
        <f t="shared" si="24"/>
        <v>12067.116969600012</v>
      </c>
      <c r="O202" s="2290">
        <f t="shared" si="24"/>
        <v>12067.116969600012</v>
      </c>
      <c r="P202" s="2290">
        <f t="shared" si="24"/>
        <v>12067.116969600012</v>
      </c>
      <c r="Q202" s="2290">
        <f t="shared" si="24"/>
        <v>12067.116969600012</v>
      </c>
      <c r="R202" s="2290">
        <f t="shared" si="24"/>
        <v>12067.116969600012</v>
      </c>
      <c r="S202" s="2290">
        <f t="shared" si="24"/>
        <v>12067.116969600012</v>
      </c>
      <c r="T202" s="2290">
        <f t="shared" si="24"/>
        <v>12067.116969600012</v>
      </c>
      <c r="U202" s="2290">
        <f t="shared" si="24"/>
        <v>12067.116969600012</v>
      </c>
      <c r="V202" s="2290">
        <f t="shared" si="24"/>
        <v>12067.116969600012</v>
      </c>
      <c r="W202" s="2290">
        <f t="shared" si="24"/>
        <v>12067.116969600012</v>
      </c>
      <c r="X202" s="2290">
        <f t="shared" si="24"/>
        <v>12067.116969600012</v>
      </c>
      <c r="Y202" s="2290">
        <f t="shared" si="24"/>
        <v>12067.116969600012</v>
      </c>
      <c r="Z202" s="2290">
        <f t="shared" si="24"/>
        <v>12067.116969600012</v>
      </c>
      <c r="AA202" s="2290">
        <f t="shared" si="24"/>
        <v>12067.116969600012</v>
      </c>
      <c r="AB202" s="2290">
        <f t="shared" si="24"/>
        <v>12067.116969600012</v>
      </c>
      <c r="AC202" s="2290">
        <f t="shared" si="24"/>
        <v>12067.116969600012</v>
      </c>
      <c r="AD202" s="2290">
        <f t="shared" si="24"/>
        <v>12067.116969600012</v>
      </c>
      <c r="AE202" s="2290">
        <f t="shared" si="24"/>
        <v>12067.116969600012</v>
      </c>
      <c r="AF202" s="2290">
        <f t="shared" si="24"/>
        <v>12067.116969600012</v>
      </c>
      <c r="AG202" s="2290">
        <f t="shared" si="24"/>
        <v>12067.116969600012</v>
      </c>
      <c r="AH202" s="2290">
        <f t="shared" si="24"/>
        <v>12067.116969600012</v>
      </c>
      <c r="AI202" s="2290">
        <f t="shared" si="24"/>
        <v>12067.116969600012</v>
      </c>
      <c r="AJ202" s="2290">
        <f t="shared" si="24"/>
        <v>12067.116969600012</v>
      </c>
      <c r="AK202" s="2290">
        <f t="shared" si="24"/>
        <v>12067.116969600012</v>
      </c>
      <c r="AL202" s="2290">
        <f t="shared" si="24"/>
        <v>12067.116969600012</v>
      </c>
      <c r="AM202" s="2290">
        <f t="shared" si="24"/>
        <v>12067.116969600012</v>
      </c>
      <c r="AN202" s="2290">
        <f t="shared" si="24"/>
        <v>12067.116969600012</v>
      </c>
      <c r="AO202" s="2290">
        <f t="shared" si="24"/>
        <v>12067.116969600012</v>
      </c>
      <c r="AP202" s="2290">
        <f t="shared" si="24"/>
        <v>12067.116969600012</v>
      </c>
      <c r="AQ202" s="2290">
        <f t="shared" si="24"/>
        <v>12067.116969600012</v>
      </c>
    </row>
    <row r="203" spans="2:43" x14ac:dyDescent="0.25">
      <c r="B203" s="2282"/>
      <c r="C203" s="2244"/>
      <c r="D203" s="2220"/>
      <c r="E203" s="2215"/>
      <c r="F203" s="2215"/>
      <c r="G203" s="2291"/>
      <c r="H203" s="2291"/>
      <c r="I203" s="2291"/>
      <c r="J203" s="2291"/>
      <c r="K203" s="2291"/>
      <c r="L203" s="2291"/>
      <c r="M203" s="2291"/>
      <c r="N203" s="2291"/>
      <c r="O203" s="2291"/>
      <c r="P203" s="2291"/>
      <c r="Q203" s="2291"/>
      <c r="R203" s="2291"/>
      <c r="S203" s="2291"/>
      <c r="T203" s="2291"/>
      <c r="U203" s="2291"/>
      <c r="V203" s="2291"/>
      <c r="W203" s="2291"/>
      <c r="X203" s="2291"/>
      <c r="Y203" s="2291"/>
      <c r="Z203" s="2291"/>
      <c r="AA203" s="2291"/>
      <c r="AB203" s="2291"/>
      <c r="AC203" s="2291"/>
      <c r="AD203" s="2291"/>
      <c r="AE203" s="2291"/>
      <c r="AF203" s="2291"/>
      <c r="AG203" s="2291"/>
      <c r="AH203" s="2291"/>
      <c r="AI203" s="2291"/>
      <c r="AJ203" s="2291"/>
      <c r="AK203" s="2291"/>
      <c r="AL203" s="2291"/>
      <c r="AM203" s="2291"/>
      <c r="AN203" s="2291"/>
      <c r="AO203" s="2291"/>
      <c r="AP203" s="2291"/>
      <c r="AQ203" s="2291"/>
    </row>
    <row r="204" spans="2:43" x14ac:dyDescent="0.25">
      <c r="B204" s="2282"/>
      <c r="C204" s="2285" t="s">
        <v>1300</v>
      </c>
      <c r="D204" s="2285"/>
      <c r="E204" s="2285"/>
      <c r="F204" s="2285"/>
      <c r="G204" s="2285"/>
      <c r="H204" s="2285"/>
      <c r="I204" s="2285"/>
      <c r="J204" s="2285"/>
      <c r="K204" s="2285"/>
      <c r="L204" s="2285"/>
      <c r="M204" s="2285"/>
      <c r="N204" s="2285"/>
      <c r="O204" s="2285"/>
      <c r="P204" s="2285"/>
      <c r="Q204" s="2285"/>
      <c r="R204" s="2285"/>
      <c r="S204" s="2285"/>
      <c r="T204" s="2285"/>
      <c r="U204" s="2285"/>
      <c r="V204" s="2285"/>
      <c r="W204" s="2285"/>
      <c r="X204" s="2285"/>
      <c r="Y204" s="2285"/>
      <c r="Z204" s="2285"/>
      <c r="AA204" s="2285"/>
      <c r="AB204" s="2285"/>
      <c r="AC204" s="2285"/>
      <c r="AD204" s="2285"/>
      <c r="AE204" s="2285"/>
      <c r="AF204" s="2285"/>
      <c r="AG204" s="2285"/>
      <c r="AH204" s="2285"/>
      <c r="AI204" s="2285"/>
      <c r="AJ204" s="2285"/>
      <c r="AK204" s="2285"/>
      <c r="AL204" s="2285"/>
      <c r="AM204" s="2285"/>
      <c r="AN204" s="2285"/>
      <c r="AO204" s="2285"/>
      <c r="AP204" s="2285"/>
      <c r="AQ204" s="2285"/>
    </row>
    <row r="205" spans="2:43" x14ac:dyDescent="0.25">
      <c r="B205" s="2282"/>
      <c r="C205" s="2286"/>
      <c r="D205" s="2256" t="s">
        <v>1029</v>
      </c>
      <c r="E205" s="2256" t="s">
        <v>8</v>
      </c>
      <c r="F205" s="2256"/>
      <c r="G205" s="2256">
        <v>2014</v>
      </c>
      <c r="H205" s="2256">
        <v>2015</v>
      </c>
      <c r="I205" s="2256">
        <v>2016</v>
      </c>
      <c r="J205" s="2256">
        <v>2017</v>
      </c>
      <c r="K205" s="2256">
        <v>2018</v>
      </c>
      <c r="L205" s="2256">
        <v>2019</v>
      </c>
      <c r="M205" s="2256">
        <v>2020</v>
      </c>
      <c r="N205" s="2256">
        <v>2021</v>
      </c>
      <c r="O205" s="2256">
        <v>2022</v>
      </c>
      <c r="P205" s="2256">
        <v>2023</v>
      </c>
      <c r="Q205" s="2256">
        <v>2024</v>
      </c>
      <c r="R205" s="2256">
        <v>2025</v>
      </c>
      <c r="S205" s="2256">
        <v>2026</v>
      </c>
      <c r="T205" s="2256">
        <v>2027</v>
      </c>
      <c r="U205" s="2256">
        <v>2028</v>
      </c>
      <c r="V205" s="2256">
        <v>2029</v>
      </c>
      <c r="W205" s="2256">
        <v>2030</v>
      </c>
      <c r="X205" s="2256">
        <v>2031</v>
      </c>
      <c r="Y205" s="2256">
        <v>2032</v>
      </c>
      <c r="Z205" s="2256">
        <v>2033</v>
      </c>
      <c r="AA205" s="2256">
        <v>2034</v>
      </c>
      <c r="AB205" s="2256">
        <v>2035</v>
      </c>
      <c r="AC205" s="2256">
        <v>2036</v>
      </c>
      <c r="AD205" s="2256">
        <v>2037</v>
      </c>
      <c r="AE205" s="2256">
        <v>2038</v>
      </c>
      <c r="AF205" s="2256">
        <v>2039</v>
      </c>
      <c r="AG205" s="2256">
        <v>2040</v>
      </c>
      <c r="AH205" s="2256">
        <v>2041</v>
      </c>
      <c r="AI205" s="2256">
        <v>2042</v>
      </c>
      <c r="AJ205" s="2256">
        <v>2043</v>
      </c>
      <c r="AK205" s="2256">
        <v>2044</v>
      </c>
      <c r="AL205" s="2256">
        <v>2045</v>
      </c>
      <c r="AM205" s="2256">
        <v>2046</v>
      </c>
      <c r="AN205" s="2256">
        <v>2047</v>
      </c>
      <c r="AO205" s="2256">
        <v>2048</v>
      </c>
      <c r="AP205" s="2256">
        <v>2049</v>
      </c>
      <c r="AQ205" s="2256">
        <v>2050</v>
      </c>
    </row>
    <row r="206" spans="2:43" x14ac:dyDescent="0.25">
      <c r="B206" s="2282"/>
      <c r="C206" s="2244" t="s">
        <v>1242</v>
      </c>
      <c r="D206" s="2250" t="s">
        <v>1288</v>
      </c>
      <c r="E206" s="2215"/>
      <c r="F206" s="2288"/>
      <c r="G206" s="2289">
        <f t="shared" ref="G206:AQ207" si="25">G142*G132*(1+G122)*G99*G64*G112/10^3</f>
        <v>29458.05419700003</v>
      </c>
      <c r="H206" s="2289">
        <f t="shared" si="25"/>
        <v>29458.05419700003</v>
      </c>
      <c r="I206" s="2289">
        <f t="shared" si="25"/>
        <v>29458.05419700003</v>
      </c>
      <c r="J206" s="2289">
        <f t="shared" si="25"/>
        <v>29458.05419700003</v>
      </c>
      <c r="K206" s="2289">
        <f t="shared" si="25"/>
        <v>29458.05419700003</v>
      </c>
      <c r="L206" s="2289">
        <f t="shared" si="25"/>
        <v>29458.05419700003</v>
      </c>
      <c r="M206" s="2289">
        <f t="shared" si="25"/>
        <v>29458.05419700003</v>
      </c>
      <c r="N206" s="2289">
        <f t="shared" si="25"/>
        <v>29458.05419700003</v>
      </c>
      <c r="O206" s="2289">
        <f t="shared" si="25"/>
        <v>29458.05419700003</v>
      </c>
      <c r="P206" s="2289">
        <f t="shared" si="25"/>
        <v>29458.05419700003</v>
      </c>
      <c r="Q206" s="2289">
        <f t="shared" si="25"/>
        <v>29458.05419700003</v>
      </c>
      <c r="R206" s="2289">
        <f t="shared" si="25"/>
        <v>29458.05419700003</v>
      </c>
      <c r="S206" s="2289">
        <f t="shared" si="25"/>
        <v>29458.05419700003</v>
      </c>
      <c r="T206" s="2289">
        <f t="shared" si="25"/>
        <v>29458.05419700003</v>
      </c>
      <c r="U206" s="2289">
        <f t="shared" si="25"/>
        <v>29458.05419700003</v>
      </c>
      <c r="V206" s="2289">
        <f t="shared" si="25"/>
        <v>29458.05419700003</v>
      </c>
      <c r="W206" s="2289">
        <f t="shared" si="25"/>
        <v>29458.05419700003</v>
      </c>
      <c r="X206" s="2289">
        <f t="shared" si="25"/>
        <v>29458.05419700003</v>
      </c>
      <c r="Y206" s="2289">
        <f t="shared" si="25"/>
        <v>29458.05419700003</v>
      </c>
      <c r="Z206" s="2289">
        <f t="shared" si="25"/>
        <v>29458.05419700003</v>
      </c>
      <c r="AA206" s="2289">
        <f t="shared" si="25"/>
        <v>29458.05419700003</v>
      </c>
      <c r="AB206" s="2289">
        <f t="shared" si="25"/>
        <v>29458.05419700003</v>
      </c>
      <c r="AC206" s="2289">
        <f t="shared" si="25"/>
        <v>29458.05419700003</v>
      </c>
      <c r="AD206" s="2289">
        <f t="shared" si="25"/>
        <v>29458.05419700003</v>
      </c>
      <c r="AE206" s="2289">
        <f t="shared" si="25"/>
        <v>29458.05419700003</v>
      </c>
      <c r="AF206" s="2289">
        <f t="shared" si="25"/>
        <v>29458.05419700003</v>
      </c>
      <c r="AG206" s="2289">
        <f t="shared" si="25"/>
        <v>29458.05419700003</v>
      </c>
      <c r="AH206" s="2289">
        <f t="shared" si="25"/>
        <v>29458.05419700003</v>
      </c>
      <c r="AI206" s="2289">
        <f t="shared" si="25"/>
        <v>29458.05419700003</v>
      </c>
      <c r="AJ206" s="2289">
        <f t="shared" si="25"/>
        <v>29458.05419700003</v>
      </c>
      <c r="AK206" s="2289">
        <f t="shared" si="25"/>
        <v>29458.05419700003</v>
      </c>
      <c r="AL206" s="2289">
        <f t="shared" si="25"/>
        <v>29458.05419700003</v>
      </c>
      <c r="AM206" s="2289">
        <f t="shared" si="25"/>
        <v>29458.05419700003</v>
      </c>
      <c r="AN206" s="2289">
        <f t="shared" si="25"/>
        <v>29458.05419700003</v>
      </c>
      <c r="AO206" s="2289">
        <f t="shared" si="25"/>
        <v>29458.05419700003</v>
      </c>
      <c r="AP206" s="2289">
        <f t="shared" si="25"/>
        <v>29458.05419700003</v>
      </c>
      <c r="AQ206" s="2289">
        <f t="shared" si="25"/>
        <v>29458.05419700003</v>
      </c>
    </row>
    <row r="207" spans="2:43" x14ac:dyDescent="0.25">
      <c r="B207" s="2282"/>
      <c r="C207" s="2244" t="s">
        <v>1244</v>
      </c>
      <c r="D207" s="2250" t="s">
        <v>1288</v>
      </c>
      <c r="E207" s="2215"/>
      <c r="F207" s="2215"/>
      <c r="G207" s="2289">
        <f t="shared" si="25"/>
        <v>22827.84770009702</v>
      </c>
      <c r="H207" s="2289">
        <f t="shared" si="25"/>
        <v>22827.84770009702</v>
      </c>
      <c r="I207" s="2289">
        <f t="shared" si="25"/>
        <v>22827.84770009702</v>
      </c>
      <c r="J207" s="2289">
        <f t="shared" si="25"/>
        <v>22827.84770009702</v>
      </c>
      <c r="K207" s="2289">
        <f t="shared" si="25"/>
        <v>22827.84770009702</v>
      </c>
      <c r="L207" s="2289">
        <f t="shared" si="25"/>
        <v>22827.84770009702</v>
      </c>
      <c r="M207" s="2289">
        <f t="shared" si="25"/>
        <v>22827.84770009702</v>
      </c>
      <c r="N207" s="2289">
        <f t="shared" si="25"/>
        <v>37971.433049000043</v>
      </c>
      <c r="O207" s="2289">
        <f t="shared" si="25"/>
        <v>37971.433049000043</v>
      </c>
      <c r="P207" s="2289">
        <f t="shared" si="25"/>
        <v>37971.433049000043</v>
      </c>
      <c r="Q207" s="2289">
        <f t="shared" si="25"/>
        <v>37971.433049000043</v>
      </c>
      <c r="R207" s="2289">
        <f t="shared" si="25"/>
        <v>37971.433049000043</v>
      </c>
      <c r="S207" s="2289">
        <f t="shared" si="25"/>
        <v>37971.433049000043</v>
      </c>
      <c r="T207" s="2289">
        <f t="shared" si="25"/>
        <v>37971.433049000043</v>
      </c>
      <c r="U207" s="2289">
        <f t="shared" si="25"/>
        <v>37971.433049000043</v>
      </c>
      <c r="V207" s="2289">
        <f t="shared" si="25"/>
        <v>37971.433049000043</v>
      </c>
      <c r="W207" s="2289">
        <f t="shared" si="25"/>
        <v>37971.433049000043</v>
      </c>
      <c r="X207" s="2289">
        <f t="shared" si="25"/>
        <v>37971.433049000043</v>
      </c>
      <c r="Y207" s="2289">
        <f t="shared" si="25"/>
        <v>37971.433049000043</v>
      </c>
      <c r="Z207" s="2289">
        <f t="shared" si="25"/>
        <v>37971.433049000043</v>
      </c>
      <c r="AA207" s="2289">
        <f t="shared" si="25"/>
        <v>37971.433049000043</v>
      </c>
      <c r="AB207" s="2289">
        <f t="shared" si="25"/>
        <v>37971.433049000043</v>
      </c>
      <c r="AC207" s="2289">
        <f t="shared" si="25"/>
        <v>37971.433049000043</v>
      </c>
      <c r="AD207" s="2289">
        <f t="shared" si="25"/>
        <v>37971.433049000043</v>
      </c>
      <c r="AE207" s="2289">
        <f t="shared" si="25"/>
        <v>37971.433049000043</v>
      </c>
      <c r="AF207" s="2289">
        <f t="shared" si="25"/>
        <v>37971.433049000043</v>
      </c>
      <c r="AG207" s="2289">
        <f t="shared" si="25"/>
        <v>37971.433049000043</v>
      </c>
      <c r="AH207" s="2289">
        <f t="shared" si="25"/>
        <v>37971.433049000043</v>
      </c>
      <c r="AI207" s="2289">
        <f t="shared" si="25"/>
        <v>37971.433049000043</v>
      </c>
      <c r="AJ207" s="2289">
        <f t="shared" si="25"/>
        <v>37971.433049000043</v>
      </c>
      <c r="AK207" s="2289">
        <f t="shared" si="25"/>
        <v>37971.433049000043</v>
      </c>
      <c r="AL207" s="2289">
        <f t="shared" si="25"/>
        <v>37971.433049000043</v>
      </c>
      <c r="AM207" s="2289">
        <f t="shared" si="25"/>
        <v>37971.433049000043</v>
      </c>
      <c r="AN207" s="2289">
        <f t="shared" si="25"/>
        <v>37971.433049000043</v>
      </c>
      <c r="AO207" s="2289">
        <f t="shared" si="25"/>
        <v>37971.433049000043</v>
      </c>
      <c r="AP207" s="2289">
        <f t="shared" si="25"/>
        <v>37971.433049000043</v>
      </c>
      <c r="AQ207" s="2289">
        <f t="shared" si="25"/>
        <v>37971.433049000043</v>
      </c>
    </row>
    <row r="208" spans="2:43" x14ac:dyDescent="0.25">
      <c r="B208" s="2282"/>
      <c r="C208" s="2244" t="s">
        <v>1245</v>
      </c>
      <c r="D208" s="2250" t="s">
        <v>1288</v>
      </c>
      <c r="E208" s="2215"/>
      <c r="F208" s="2215"/>
      <c r="G208" s="2289">
        <f t="shared" ref="G208:AQ208" si="26">G144*G134*(1+G124)*G103*G66*G114/10^3</f>
        <v>633.5361615000005</v>
      </c>
      <c r="H208" s="2289">
        <f t="shared" si="26"/>
        <v>633.5361615000005</v>
      </c>
      <c r="I208" s="2289">
        <f t="shared" si="26"/>
        <v>633.5361615000005</v>
      </c>
      <c r="J208" s="2289">
        <f t="shared" si="26"/>
        <v>633.5361615000005</v>
      </c>
      <c r="K208" s="2289">
        <f t="shared" si="26"/>
        <v>633.5361615000005</v>
      </c>
      <c r="L208" s="2289">
        <f t="shared" si="26"/>
        <v>633.5361615000005</v>
      </c>
      <c r="M208" s="2289">
        <f t="shared" si="26"/>
        <v>633.5361615000005</v>
      </c>
      <c r="N208" s="2289">
        <f t="shared" si="26"/>
        <v>633.5361615000005</v>
      </c>
      <c r="O208" s="2289">
        <f t="shared" si="26"/>
        <v>633.5361615000005</v>
      </c>
      <c r="P208" s="2289">
        <f t="shared" si="26"/>
        <v>633.5361615000005</v>
      </c>
      <c r="Q208" s="2289">
        <f t="shared" si="26"/>
        <v>633.5361615000005</v>
      </c>
      <c r="R208" s="2289">
        <f t="shared" si="26"/>
        <v>633.5361615000005</v>
      </c>
      <c r="S208" s="2289">
        <f t="shared" si="26"/>
        <v>633.5361615000005</v>
      </c>
      <c r="T208" s="2289">
        <f t="shared" si="26"/>
        <v>633.5361615000005</v>
      </c>
      <c r="U208" s="2289">
        <f t="shared" si="26"/>
        <v>633.5361615000005</v>
      </c>
      <c r="V208" s="2289">
        <f t="shared" si="26"/>
        <v>633.5361615000005</v>
      </c>
      <c r="W208" s="2289">
        <f t="shared" si="26"/>
        <v>633.5361615000005</v>
      </c>
      <c r="X208" s="2289">
        <f t="shared" si="26"/>
        <v>633.5361615000005</v>
      </c>
      <c r="Y208" s="2289">
        <f t="shared" si="26"/>
        <v>633.5361615000005</v>
      </c>
      <c r="Z208" s="2289">
        <f t="shared" si="26"/>
        <v>633.5361615000005</v>
      </c>
      <c r="AA208" s="2289">
        <f t="shared" si="26"/>
        <v>633.5361615000005</v>
      </c>
      <c r="AB208" s="2289">
        <f t="shared" si="26"/>
        <v>633.5361615000005</v>
      </c>
      <c r="AC208" s="2289">
        <f t="shared" si="26"/>
        <v>633.5361615000005</v>
      </c>
      <c r="AD208" s="2289">
        <f t="shared" si="26"/>
        <v>633.5361615000005</v>
      </c>
      <c r="AE208" s="2289">
        <f t="shared" si="26"/>
        <v>633.5361615000005</v>
      </c>
      <c r="AF208" s="2289">
        <f t="shared" si="26"/>
        <v>633.5361615000005</v>
      </c>
      <c r="AG208" s="2289">
        <f t="shared" si="26"/>
        <v>633.5361615000005</v>
      </c>
      <c r="AH208" s="2289">
        <f t="shared" si="26"/>
        <v>633.5361615000005</v>
      </c>
      <c r="AI208" s="2289">
        <f t="shared" si="26"/>
        <v>633.5361615000005</v>
      </c>
      <c r="AJ208" s="2289">
        <f t="shared" si="26"/>
        <v>633.5361615000005</v>
      </c>
      <c r="AK208" s="2289">
        <f t="shared" si="26"/>
        <v>633.5361615000005</v>
      </c>
      <c r="AL208" s="2289">
        <f t="shared" si="26"/>
        <v>633.5361615000005</v>
      </c>
      <c r="AM208" s="2289">
        <f t="shared" si="26"/>
        <v>633.5361615000005</v>
      </c>
      <c r="AN208" s="2289">
        <f t="shared" si="26"/>
        <v>633.5361615000005</v>
      </c>
      <c r="AO208" s="2289">
        <f t="shared" si="26"/>
        <v>633.5361615000005</v>
      </c>
      <c r="AP208" s="2289">
        <f t="shared" si="26"/>
        <v>633.5361615000005</v>
      </c>
      <c r="AQ208" s="2289">
        <f t="shared" si="26"/>
        <v>633.5361615000005</v>
      </c>
    </row>
    <row r="209" spans="2:43" x14ac:dyDescent="0.25">
      <c r="B209" s="2282"/>
      <c r="C209" s="2244" t="s">
        <v>1246</v>
      </c>
      <c r="D209" s="2250" t="s">
        <v>1288</v>
      </c>
      <c r="E209" s="2215"/>
      <c r="F209" s="2215"/>
      <c r="G209" s="2289">
        <f t="shared" ref="G209:AQ209" si="27">G139*G129*(1+G119)*G108*G95*G67/10^3</f>
        <v>878.63593125000091</v>
      </c>
      <c r="H209" s="2289">
        <f t="shared" si="27"/>
        <v>878.63593125000091</v>
      </c>
      <c r="I209" s="2289">
        <f t="shared" si="27"/>
        <v>878.63593125000091</v>
      </c>
      <c r="J209" s="2289">
        <f t="shared" si="27"/>
        <v>878.63593125000091</v>
      </c>
      <c r="K209" s="2289">
        <f t="shared" si="27"/>
        <v>878.63593125000091</v>
      </c>
      <c r="L209" s="2289">
        <f t="shared" si="27"/>
        <v>878.63593125000091</v>
      </c>
      <c r="M209" s="2289">
        <f t="shared" si="27"/>
        <v>878.63593125000091</v>
      </c>
      <c r="N209" s="2289">
        <f t="shared" si="27"/>
        <v>878.63593125000091</v>
      </c>
      <c r="O209" s="2289">
        <f t="shared" si="27"/>
        <v>878.63593125000091</v>
      </c>
      <c r="P209" s="2289">
        <f t="shared" si="27"/>
        <v>878.63593125000091</v>
      </c>
      <c r="Q209" s="2289">
        <f t="shared" si="27"/>
        <v>878.63593125000091</v>
      </c>
      <c r="R209" s="2289">
        <f t="shared" si="27"/>
        <v>878.63593125000091</v>
      </c>
      <c r="S209" s="2289">
        <f t="shared" si="27"/>
        <v>878.63593125000091</v>
      </c>
      <c r="T209" s="2289">
        <f t="shared" si="27"/>
        <v>878.63593125000091</v>
      </c>
      <c r="U209" s="2289">
        <f t="shared" si="27"/>
        <v>878.63593125000091</v>
      </c>
      <c r="V209" s="2289">
        <f t="shared" si="27"/>
        <v>878.63593125000091</v>
      </c>
      <c r="W209" s="2289">
        <f t="shared" si="27"/>
        <v>878.63593125000091</v>
      </c>
      <c r="X209" s="2289">
        <f t="shared" si="27"/>
        <v>878.63593125000091</v>
      </c>
      <c r="Y209" s="2289">
        <f t="shared" si="27"/>
        <v>878.63593125000091</v>
      </c>
      <c r="Z209" s="2289">
        <f t="shared" si="27"/>
        <v>878.63593125000091</v>
      </c>
      <c r="AA209" s="2289">
        <f t="shared" si="27"/>
        <v>878.63593125000091</v>
      </c>
      <c r="AB209" s="2289">
        <f t="shared" si="27"/>
        <v>878.63593125000091</v>
      </c>
      <c r="AC209" s="2289">
        <f t="shared" si="27"/>
        <v>878.63593125000091</v>
      </c>
      <c r="AD209" s="2289">
        <f t="shared" si="27"/>
        <v>878.63593125000091</v>
      </c>
      <c r="AE209" s="2289">
        <f t="shared" si="27"/>
        <v>878.63593125000091</v>
      </c>
      <c r="AF209" s="2289">
        <f t="shared" si="27"/>
        <v>878.63593125000091</v>
      </c>
      <c r="AG209" s="2289">
        <f t="shared" si="27"/>
        <v>878.63593125000091</v>
      </c>
      <c r="AH209" s="2289">
        <f t="shared" si="27"/>
        <v>878.63593125000091</v>
      </c>
      <c r="AI209" s="2289">
        <f t="shared" si="27"/>
        <v>878.63593125000091</v>
      </c>
      <c r="AJ209" s="2289">
        <f t="shared" si="27"/>
        <v>878.63593125000091</v>
      </c>
      <c r="AK209" s="2289">
        <f t="shared" si="27"/>
        <v>878.63593125000091</v>
      </c>
      <c r="AL209" s="2289">
        <f t="shared" si="27"/>
        <v>878.63593125000091</v>
      </c>
      <c r="AM209" s="2289">
        <f t="shared" si="27"/>
        <v>878.63593125000091</v>
      </c>
      <c r="AN209" s="2289">
        <f t="shared" si="27"/>
        <v>878.63593125000091</v>
      </c>
      <c r="AO209" s="2289">
        <f t="shared" si="27"/>
        <v>878.63593125000091</v>
      </c>
      <c r="AP209" s="2289">
        <f t="shared" si="27"/>
        <v>878.63593125000091</v>
      </c>
      <c r="AQ209" s="2289">
        <f t="shared" si="27"/>
        <v>878.63593125000091</v>
      </c>
    </row>
    <row r="210" spans="2:43" x14ac:dyDescent="0.25">
      <c r="B210" s="2282"/>
      <c r="C210" s="2283" t="s">
        <v>118</v>
      </c>
      <c r="D210" s="2251" t="s">
        <v>1288</v>
      </c>
      <c r="E210" s="2248"/>
      <c r="F210" s="2248"/>
      <c r="G210" s="2284">
        <f>SUM(G206:G208)</f>
        <v>52919.43805859705</v>
      </c>
      <c r="H210" s="2284">
        <f t="shared" ref="H210:AQ210" si="28">SUM(H206:H208)</f>
        <v>52919.43805859705</v>
      </c>
      <c r="I210" s="2284">
        <f t="shared" si="28"/>
        <v>52919.43805859705</v>
      </c>
      <c r="J210" s="2284">
        <f t="shared" si="28"/>
        <v>52919.43805859705</v>
      </c>
      <c r="K210" s="2284">
        <f t="shared" si="28"/>
        <v>52919.43805859705</v>
      </c>
      <c r="L210" s="2284">
        <f t="shared" si="28"/>
        <v>52919.43805859705</v>
      </c>
      <c r="M210" s="2284">
        <f t="shared" si="28"/>
        <v>52919.43805859705</v>
      </c>
      <c r="N210" s="2284">
        <f t="shared" si="28"/>
        <v>68063.023407500077</v>
      </c>
      <c r="O210" s="2284">
        <f t="shared" si="28"/>
        <v>68063.023407500077</v>
      </c>
      <c r="P210" s="2284">
        <f t="shared" si="28"/>
        <v>68063.023407500077</v>
      </c>
      <c r="Q210" s="2284">
        <f t="shared" si="28"/>
        <v>68063.023407500077</v>
      </c>
      <c r="R210" s="2284">
        <f t="shared" si="28"/>
        <v>68063.023407500077</v>
      </c>
      <c r="S210" s="2284">
        <f t="shared" si="28"/>
        <v>68063.023407500077</v>
      </c>
      <c r="T210" s="2284">
        <f t="shared" si="28"/>
        <v>68063.023407500077</v>
      </c>
      <c r="U210" s="2284">
        <f t="shared" si="28"/>
        <v>68063.023407500077</v>
      </c>
      <c r="V210" s="2284">
        <f t="shared" si="28"/>
        <v>68063.023407500077</v>
      </c>
      <c r="W210" s="2284">
        <f t="shared" si="28"/>
        <v>68063.023407500077</v>
      </c>
      <c r="X210" s="2284">
        <f t="shared" si="28"/>
        <v>68063.023407500077</v>
      </c>
      <c r="Y210" s="2284">
        <f t="shared" si="28"/>
        <v>68063.023407500077</v>
      </c>
      <c r="Z210" s="2284">
        <f t="shared" si="28"/>
        <v>68063.023407500077</v>
      </c>
      <c r="AA210" s="2284">
        <f t="shared" si="28"/>
        <v>68063.023407500077</v>
      </c>
      <c r="AB210" s="2284">
        <f t="shared" si="28"/>
        <v>68063.023407500077</v>
      </c>
      <c r="AC210" s="2284">
        <f t="shared" si="28"/>
        <v>68063.023407500077</v>
      </c>
      <c r="AD210" s="2284">
        <f t="shared" si="28"/>
        <v>68063.023407500077</v>
      </c>
      <c r="AE210" s="2284">
        <f t="shared" si="28"/>
        <v>68063.023407500077</v>
      </c>
      <c r="AF210" s="2284">
        <f t="shared" si="28"/>
        <v>68063.023407500077</v>
      </c>
      <c r="AG210" s="2284">
        <f t="shared" si="28"/>
        <v>68063.023407500077</v>
      </c>
      <c r="AH210" s="2284">
        <f t="shared" si="28"/>
        <v>68063.023407500077</v>
      </c>
      <c r="AI210" s="2284">
        <f t="shared" si="28"/>
        <v>68063.023407500077</v>
      </c>
      <c r="AJ210" s="2284">
        <f t="shared" si="28"/>
        <v>68063.023407500077</v>
      </c>
      <c r="AK210" s="2284">
        <f t="shared" si="28"/>
        <v>68063.023407500077</v>
      </c>
      <c r="AL210" s="2284">
        <f t="shared" si="28"/>
        <v>68063.023407500077</v>
      </c>
      <c r="AM210" s="2284">
        <f t="shared" si="28"/>
        <v>68063.023407500077</v>
      </c>
      <c r="AN210" s="2284">
        <f t="shared" si="28"/>
        <v>68063.023407500077</v>
      </c>
      <c r="AO210" s="2284">
        <f t="shared" si="28"/>
        <v>68063.023407500077</v>
      </c>
      <c r="AP210" s="2284">
        <f t="shared" si="28"/>
        <v>68063.023407500077</v>
      </c>
      <c r="AQ210" s="2284">
        <f t="shared" si="28"/>
        <v>68063.023407500077</v>
      </c>
    </row>
    <row r="211" spans="2:43" x14ac:dyDescent="0.25">
      <c r="B211" s="2282"/>
      <c r="C211" s="2244"/>
      <c r="D211" s="2220"/>
      <c r="E211" s="2215"/>
      <c r="F211" s="2215"/>
      <c r="G211" s="2291"/>
      <c r="H211" s="2291"/>
      <c r="I211" s="2291"/>
      <c r="J211" s="2291"/>
      <c r="K211" s="2291"/>
      <c r="L211" s="2291"/>
      <c r="M211" s="2291"/>
      <c r="N211" s="2291"/>
      <c r="O211" s="2291"/>
      <c r="P211" s="2291"/>
      <c r="Q211" s="2291"/>
      <c r="R211" s="2291"/>
      <c r="S211" s="2291"/>
      <c r="T211" s="2291"/>
      <c r="U211" s="2291"/>
      <c r="V211" s="2291"/>
      <c r="W211" s="2291"/>
      <c r="X211" s="2291"/>
      <c r="Y211" s="2291"/>
      <c r="Z211" s="2291"/>
      <c r="AA211" s="2291"/>
      <c r="AB211" s="2291"/>
      <c r="AC211" s="2291"/>
      <c r="AD211" s="2291"/>
      <c r="AE211" s="2291"/>
      <c r="AF211" s="2291"/>
      <c r="AG211" s="2291"/>
      <c r="AH211" s="2291"/>
      <c r="AI211" s="2291"/>
      <c r="AJ211" s="2291"/>
      <c r="AK211" s="2291"/>
      <c r="AL211" s="2291"/>
      <c r="AM211" s="2291"/>
      <c r="AN211" s="2291"/>
      <c r="AO211" s="2291"/>
      <c r="AP211" s="2291"/>
      <c r="AQ211" s="2291"/>
    </row>
    <row r="212" spans="2:43" x14ac:dyDescent="0.25">
      <c r="B212" s="2282"/>
      <c r="C212" s="2244"/>
      <c r="D212" s="2250"/>
      <c r="E212" s="2215"/>
      <c r="F212" s="2215"/>
      <c r="G212" s="2279"/>
      <c r="H212" s="2279"/>
      <c r="I212" s="2279"/>
      <c r="J212" s="2279"/>
      <c r="K212" s="2279"/>
      <c r="L212" s="2279"/>
      <c r="M212" s="2279"/>
      <c r="N212" s="2279"/>
      <c r="O212" s="2279"/>
      <c r="P212" s="2279"/>
      <c r="Q212" s="2279"/>
      <c r="R212" s="2279"/>
      <c r="S212" s="2279"/>
      <c r="T212" s="2279"/>
      <c r="U212" s="2279"/>
      <c r="V212" s="2279"/>
      <c r="W212" s="2279"/>
      <c r="X212" s="2279"/>
      <c r="Y212" s="2279"/>
      <c r="Z212" s="2279"/>
      <c r="AA212" s="2279"/>
      <c r="AB212" s="2279"/>
      <c r="AC212" s="2279"/>
      <c r="AD212" s="2279"/>
      <c r="AE212" s="2279"/>
      <c r="AF212" s="2279"/>
      <c r="AG212" s="2279"/>
      <c r="AH212" s="2279"/>
      <c r="AI212" s="2279"/>
      <c r="AJ212" s="2279"/>
      <c r="AK212" s="2279"/>
      <c r="AL212" s="2279"/>
      <c r="AM212" s="2279"/>
      <c r="AN212" s="2279"/>
      <c r="AO212" s="2279"/>
      <c r="AP212" s="2279"/>
      <c r="AQ212" s="2279"/>
    </row>
    <row r="213" spans="2:43" x14ac:dyDescent="0.25">
      <c r="B213" s="2282"/>
      <c r="C213" s="2244"/>
      <c r="D213" s="2240" t="s">
        <v>12</v>
      </c>
      <c r="E213" s="2218" t="s">
        <v>1301</v>
      </c>
      <c r="F213" s="2215"/>
      <c r="G213" s="2279"/>
      <c r="H213" s="2279"/>
      <c r="I213" s="2279"/>
      <c r="J213" s="2279"/>
      <c r="K213" s="2279"/>
      <c r="L213" s="2279"/>
      <c r="M213" s="2279"/>
      <c r="N213" s="2279"/>
      <c r="O213" s="2279"/>
      <c r="P213" s="2279"/>
      <c r="Q213" s="2279"/>
      <c r="R213" s="2279"/>
      <c r="S213" s="2279"/>
      <c r="T213" s="2279"/>
      <c r="U213" s="2279"/>
      <c r="V213" s="2279"/>
      <c r="W213" s="2279"/>
      <c r="X213" s="2279"/>
      <c r="Y213" s="2279"/>
      <c r="Z213" s="2279"/>
      <c r="AA213" s="2279"/>
      <c r="AB213" s="2279"/>
      <c r="AC213" s="2279"/>
      <c r="AD213" s="2279"/>
      <c r="AE213" s="2279"/>
      <c r="AF213" s="2279"/>
      <c r="AG213" s="2279"/>
      <c r="AH213" s="2279"/>
      <c r="AI213" s="2279"/>
      <c r="AJ213" s="2279"/>
      <c r="AK213" s="2279"/>
      <c r="AL213" s="2279"/>
      <c r="AM213" s="2279"/>
      <c r="AN213" s="2279"/>
      <c r="AO213" s="2279"/>
      <c r="AP213" s="2279"/>
      <c r="AQ213" s="2279"/>
    </row>
    <row r="214" spans="2:43" x14ac:dyDescent="0.25">
      <c r="B214" s="2292"/>
      <c r="C214" s="2252"/>
      <c r="D214" s="2293" t="s">
        <v>133</v>
      </c>
      <c r="E214" s="2242" t="s">
        <v>1302</v>
      </c>
      <c r="F214" s="2214"/>
      <c r="G214" s="2294"/>
      <c r="H214" s="2294"/>
      <c r="I214" s="2294"/>
      <c r="J214" s="2294"/>
      <c r="K214" s="2294"/>
      <c r="L214" s="2294"/>
      <c r="M214" s="2294"/>
      <c r="N214" s="2294"/>
      <c r="O214" s="2294"/>
      <c r="P214" s="2294"/>
      <c r="Q214" s="2294"/>
      <c r="R214" s="2294"/>
      <c r="S214" s="2294"/>
      <c r="T214" s="2294"/>
      <c r="U214" s="2294"/>
      <c r="V214" s="2294"/>
      <c r="W214" s="2294"/>
      <c r="X214" s="2294"/>
      <c r="Y214" s="2294"/>
      <c r="Z214" s="2294"/>
      <c r="AA214" s="2294"/>
      <c r="AB214" s="2294"/>
      <c r="AC214" s="2294"/>
      <c r="AD214" s="2294"/>
      <c r="AE214" s="2294"/>
      <c r="AF214" s="2294"/>
      <c r="AG214" s="2294"/>
      <c r="AH214" s="2294"/>
      <c r="AI214" s="2294"/>
      <c r="AJ214" s="2294"/>
      <c r="AK214" s="2294"/>
      <c r="AL214" s="2294"/>
      <c r="AM214" s="2294"/>
      <c r="AN214" s="2294"/>
      <c r="AO214" s="2294"/>
      <c r="AP214" s="2294"/>
      <c r="AQ214" s="2294"/>
    </row>
    <row r="215" spans="2:43" x14ac:dyDescent="0.25">
      <c r="B215" s="2292"/>
      <c r="C215" s="2252"/>
      <c r="D215" s="2214"/>
      <c r="E215" s="2214"/>
      <c r="F215" s="2214"/>
      <c r="G215" s="2254"/>
      <c r="H215" s="2254"/>
      <c r="I215" s="2254"/>
      <c r="J215" s="2254"/>
      <c r="K215" s="2254"/>
      <c r="L215" s="2254"/>
      <c r="M215" s="2254"/>
      <c r="N215" s="2254"/>
      <c r="O215" s="2254"/>
      <c r="P215" s="2254"/>
      <c r="Q215" s="2254"/>
      <c r="R215" s="2254"/>
      <c r="S215" s="2254"/>
      <c r="T215" s="2254"/>
      <c r="U215" s="2254"/>
      <c r="V215" s="2254"/>
      <c r="W215" s="2254"/>
      <c r="X215" s="2254"/>
      <c r="Y215" s="2254"/>
      <c r="Z215" s="2254"/>
      <c r="AA215" s="2254"/>
      <c r="AB215" s="2254"/>
      <c r="AC215" s="2254"/>
      <c r="AD215" s="2254"/>
      <c r="AE215" s="2254"/>
      <c r="AF215" s="2254"/>
      <c r="AG215" s="2254"/>
      <c r="AH215" s="2254"/>
      <c r="AI215" s="2254"/>
      <c r="AJ215" s="2254"/>
      <c r="AK215" s="2254"/>
      <c r="AL215" s="2254"/>
      <c r="AM215" s="2254"/>
      <c r="AN215" s="2254"/>
      <c r="AO215" s="2254"/>
      <c r="AP215" s="2254"/>
      <c r="AQ215" s="2254"/>
    </row>
    <row r="216" spans="2:43" x14ac:dyDescent="0.25">
      <c r="B216" s="2198" t="s">
        <v>229</v>
      </c>
    </row>
    <row r="218" spans="2:43" x14ac:dyDescent="0.25">
      <c r="B218" s="2295">
        <v>1</v>
      </c>
      <c r="C218" s="2296" t="s">
        <v>1303</v>
      </c>
      <c r="D218" s="2297"/>
      <c r="E218" s="2297"/>
      <c r="F218" s="2297"/>
      <c r="G218" s="2297"/>
      <c r="H218" s="2297"/>
      <c r="I218" s="2297"/>
      <c r="J218" s="2297"/>
      <c r="K218" s="2297"/>
      <c r="L218" s="2297"/>
      <c r="M218" s="2297"/>
      <c r="N218" s="2297"/>
      <c r="O218" s="2297"/>
      <c r="P218" s="2297"/>
      <c r="Q218" s="2297"/>
      <c r="R218" s="2297"/>
      <c r="S218" s="2297"/>
      <c r="T218" s="2297"/>
      <c r="U218" s="2297"/>
      <c r="V218" s="2297"/>
      <c r="W218" s="2297"/>
      <c r="X218" s="2297"/>
      <c r="Y218" s="2297"/>
      <c r="Z218" s="2297"/>
      <c r="AA218" s="2297"/>
      <c r="AB218" s="2297"/>
      <c r="AC218" s="2297"/>
      <c r="AD218" s="2297"/>
      <c r="AE218" s="2297"/>
      <c r="AF218" s="2297"/>
      <c r="AG218" s="2297"/>
      <c r="AH218" s="2297"/>
      <c r="AI218" s="2297"/>
      <c r="AJ218" s="2297"/>
      <c r="AK218" s="2297"/>
      <c r="AL218" s="2297"/>
      <c r="AM218" s="2297"/>
      <c r="AN218" s="2297"/>
      <c r="AO218" s="2297"/>
      <c r="AP218" s="2297"/>
      <c r="AQ218" s="2297"/>
    </row>
    <row r="219" spans="2:43" x14ac:dyDescent="0.25">
      <c r="B219" s="2295"/>
      <c r="C219" s="2298"/>
      <c r="D219" s="2298" t="s">
        <v>1029</v>
      </c>
      <c r="E219" s="2299" t="s">
        <v>8</v>
      </c>
      <c r="F219" s="2299"/>
      <c r="G219" s="2300">
        <v>2014</v>
      </c>
      <c r="H219" s="2300">
        <v>2015</v>
      </c>
      <c r="I219" s="2300">
        <v>2016</v>
      </c>
      <c r="J219" s="2300">
        <v>2017</v>
      </c>
      <c r="K219" s="2300">
        <v>2018</v>
      </c>
      <c r="L219" s="2300">
        <v>2019</v>
      </c>
      <c r="M219" s="2300">
        <v>2020</v>
      </c>
      <c r="N219" s="2300">
        <v>2021</v>
      </c>
      <c r="O219" s="2300">
        <v>2022</v>
      </c>
      <c r="P219" s="2300">
        <v>2023</v>
      </c>
      <c r="Q219" s="2300">
        <v>2024</v>
      </c>
      <c r="R219" s="2300">
        <v>2025</v>
      </c>
      <c r="S219" s="2300">
        <v>2026</v>
      </c>
      <c r="T219" s="2300">
        <v>2027</v>
      </c>
      <c r="U219" s="2300">
        <v>2028</v>
      </c>
      <c r="V219" s="2300">
        <v>2029</v>
      </c>
      <c r="W219" s="2300">
        <v>2030</v>
      </c>
      <c r="X219" s="2300">
        <v>2031</v>
      </c>
      <c r="Y219" s="2300">
        <v>2032</v>
      </c>
      <c r="Z219" s="2300">
        <v>2033</v>
      </c>
      <c r="AA219" s="2300">
        <v>2034</v>
      </c>
      <c r="AB219" s="2300">
        <v>2035</v>
      </c>
      <c r="AC219" s="2300">
        <v>2036</v>
      </c>
      <c r="AD219" s="2300">
        <v>2037</v>
      </c>
      <c r="AE219" s="2300">
        <v>2038</v>
      </c>
      <c r="AF219" s="2300">
        <v>2039</v>
      </c>
      <c r="AG219" s="2300">
        <v>2040</v>
      </c>
      <c r="AH219" s="2300">
        <v>2041</v>
      </c>
      <c r="AI219" s="2300">
        <v>2042</v>
      </c>
      <c r="AJ219" s="2300">
        <v>2043</v>
      </c>
      <c r="AK219" s="2300">
        <v>2044</v>
      </c>
      <c r="AL219" s="2300">
        <v>2045</v>
      </c>
      <c r="AM219" s="2300">
        <v>2046</v>
      </c>
      <c r="AN219" s="2300">
        <v>2047</v>
      </c>
      <c r="AO219" s="2300">
        <v>2048</v>
      </c>
      <c r="AP219" s="2300">
        <v>2049</v>
      </c>
      <c r="AQ219" s="2300">
        <v>2050</v>
      </c>
    </row>
    <row r="220" spans="2:43" x14ac:dyDescent="0.25">
      <c r="B220" s="2295"/>
      <c r="C220" s="2301" t="s">
        <v>1260</v>
      </c>
      <c r="D220" s="2302" t="s">
        <v>1288</v>
      </c>
      <c r="E220" s="2303"/>
      <c r="F220" s="2303"/>
      <c r="G220" s="2304" t="e">
        <f t="shared" ref="G220:AQ220" si="29">-1*G141*G131*(1+G121)*G110*G97*G86*G165/10^3</f>
        <v>#REF!</v>
      </c>
      <c r="H220" s="2304" t="e">
        <f t="shared" si="29"/>
        <v>#REF!</v>
      </c>
      <c r="I220" s="2304" t="e">
        <f t="shared" si="29"/>
        <v>#REF!</v>
      </c>
      <c r="J220" s="2304" t="e">
        <f t="shared" si="29"/>
        <v>#REF!</v>
      </c>
      <c r="K220" s="2304" t="e">
        <f t="shared" si="29"/>
        <v>#REF!</v>
      </c>
      <c r="L220" s="2304" t="e">
        <f t="shared" si="29"/>
        <v>#REF!</v>
      </c>
      <c r="M220" s="2304" t="e">
        <f t="shared" si="29"/>
        <v>#REF!</v>
      </c>
      <c r="N220" s="2304" t="e">
        <f t="shared" si="29"/>
        <v>#REF!</v>
      </c>
      <c r="O220" s="2304" t="e">
        <f t="shared" si="29"/>
        <v>#REF!</v>
      </c>
      <c r="P220" s="2304" t="e">
        <f t="shared" si="29"/>
        <v>#REF!</v>
      </c>
      <c r="Q220" s="2304" t="e">
        <f t="shared" si="29"/>
        <v>#REF!</v>
      </c>
      <c r="R220" s="2304" t="e">
        <f t="shared" si="29"/>
        <v>#REF!</v>
      </c>
      <c r="S220" s="2304" t="e">
        <f t="shared" si="29"/>
        <v>#REF!</v>
      </c>
      <c r="T220" s="2304" t="e">
        <f t="shared" si="29"/>
        <v>#REF!</v>
      </c>
      <c r="U220" s="2304" t="e">
        <f t="shared" si="29"/>
        <v>#REF!</v>
      </c>
      <c r="V220" s="2304" t="e">
        <f t="shared" si="29"/>
        <v>#REF!</v>
      </c>
      <c r="W220" s="2304" t="e">
        <f t="shared" si="29"/>
        <v>#REF!</v>
      </c>
      <c r="X220" s="2304" t="e">
        <f t="shared" si="29"/>
        <v>#REF!</v>
      </c>
      <c r="Y220" s="2304" t="e">
        <f t="shared" si="29"/>
        <v>#REF!</v>
      </c>
      <c r="Z220" s="2304" t="e">
        <f t="shared" si="29"/>
        <v>#REF!</v>
      </c>
      <c r="AA220" s="2304" t="e">
        <f t="shared" si="29"/>
        <v>#REF!</v>
      </c>
      <c r="AB220" s="2304" t="e">
        <f t="shared" si="29"/>
        <v>#REF!</v>
      </c>
      <c r="AC220" s="2304" t="e">
        <f t="shared" si="29"/>
        <v>#REF!</v>
      </c>
      <c r="AD220" s="2304" t="e">
        <f t="shared" si="29"/>
        <v>#REF!</v>
      </c>
      <c r="AE220" s="2304" t="e">
        <f t="shared" si="29"/>
        <v>#REF!</v>
      </c>
      <c r="AF220" s="2304" t="e">
        <f t="shared" si="29"/>
        <v>#REF!</v>
      </c>
      <c r="AG220" s="2304" t="e">
        <f t="shared" si="29"/>
        <v>#REF!</v>
      </c>
      <c r="AH220" s="2304" t="e">
        <f t="shared" si="29"/>
        <v>#REF!</v>
      </c>
      <c r="AI220" s="2304" t="e">
        <f t="shared" si="29"/>
        <v>#REF!</v>
      </c>
      <c r="AJ220" s="2304" t="e">
        <f t="shared" si="29"/>
        <v>#REF!</v>
      </c>
      <c r="AK220" s="2304" t="e">
        <f t="shared" si="29"/>
        <v>#REF!</v>
      </c>
      <c r="AL220" s="2304" t="e">
        <f t="shared" si="29"/>
        <v>#REF!</v>
      </c>
      <c r="AM220" s="2304" t="e">
        <f t="shared" si="29"/>
        <v>#REF!</v>
      </c>
      <c r="AN220" s="2304" t="e">
        <f t="shared" si="29"/>
        <v>#REF!</v>
      </c>
      <c r="AO220" s="2304" t="e">
        <f t="shared" si="29"/>
        <v>#REF!</v>
      </c>
      <c r="AP220" s="2304" t="e">
        <f t="shared" si="29"/>
        <v>#REF!</v>
      </c>
      <c r="AQ220" s="2304" t="e">
        <f t="shared" si="29"/>
        <v>#REF!</v>
      </c>
    </row>
    <row r="221" spans="2:43" x14ac:dyDescent="0.25">
      <c r="B221" s="2305"/>
      <c r="C221" s="2243"/>
      <c r="D221" s="2243"/>
      <c r="E221" s="2243"/>
      <c r="F221" s="2243"/>
      <c r="G221" s="2243"/>
      <c r="H221" s="2243"/>
      <c r="I221" s="2243"/>
      <c r="J221" s="2243"/>
      <c r="K221" s="2243"/>
      <c r="L221" s="2243"/>
      <c r="M221" s="2243"/>
      <c r="N221" s="2243"/>
      <c r="O221" s="2243"/>
      <c r="P221" s="2243"/>
      <c r="Q221" s="2243"/>
      <c r="R221" s="2243"/>
      <c r="S221" s="2243"/>
      <c r="T221" s="2243"/>
      <c r="U221" s="2243"/>
      <c r="V221" s="2243"/>
      <c r="W221" s="2243"/>
      <c r="X221" s="2243"/>
      <c r="Y221" s="2243"/>
      <c r="Z221" s="2243"/>
      <c r="AA221" s="2243"/>
      <c r="AB221" s="2243"/>
      <c r="AC221" s="2243"/>
      <c r="AD221" s="2243"/>
      <c r="AE221" s="2243"/>
      <c r="AF221" s="2243"/>
      <c r="AG221" s="2243"/>
      <c r="AH221" s="2243"/>
      <c r="AI221" s="2243"/>
      <c r="AJ221" s="2243"/>
      <c r="AK221" s="2243"/>
      <c r="AL221" s="2243"/>
      <c r="AM221" s="2243"/>
      <c r="AN221" s="2243"/>
      <c r="AO221" s="2243"/>
      <c r="AP221" s="2243"/>
      <c r="AQ221" s="2243"/>
    </row>
    <row r="222" spans="2:43" x14ac:dyDescent="0.25">
      <c r="B222" s="2305">
        <v>2</v>
      </c>
      <c r="C222" s="2305" t="s">
        <v>1304</v>
      </c>
      <c r="D222" s="2243"/>
      <c r="E222" s="2243"/>
      <c r="F222" s="2243"/>
      <c r="G222" s="2243"/>
      <c r="H222" s="2243"/>
      <c r="I222" s="2243"/>
      <c r="J222" s="2243"/>
      <c r="K222" s="2243"/>
      <c r="L222" s="2243"/>
      <c r="M222" s="2243"/>
      <c r="N222" s="2243"/>
      <c r="O222" s="2243"/>
      <c r="P222" s="2243"/>
      <c r="Q222" s="2243"/>
      <c r="R222" s="2243"/>
      <c r="S222" s="2243"/>
      <c r="T222" s="2243"/>
      <c r="U222" s="2243"/>
      <c r="V222" s="2243"/>
      <c r="W222" s="2243"/>
      <c r="X222" s="2243"/>
      <c r="Y222" s="2243"/>
      <c r="Z222" s="2243"/>
      <c r="AA222" s="2243"/>
      <c r="AB222" s="2243"/>
      <c r="AC222" s="2243"/>
      <c r="AD222" s="2243"/>
      <c r="AE222" s="2243"/>
      <c r="AF222" s="2243"/>
      <c r="AG222" s="2243"/>
      <c r="AH222" s="2243"/>
      <c r="AI222" s="2243"/>
      <c r="AJ222" s="2243"/>
      <c r="AK222" s="2243"/>
      <c r="AL222" s="2243"/>
      <c r="AM222" s="2243"/>
      <c r="AN222" s="2243"/>
      <c r="AO222" s="2243"/>
      <c r="AP222" s="2243"/>
      <c r="AQ222" s="2243"/>
    </row>
    <row r="223" spans="2:43" x14ac:dyDescent="0.25">
      <c r="B223" s="2306"/>
      <c r="C223" s="2307"/>
      <c r="D223" s="2308" t="s">
        <v>1029</v>
      </c>
      <c r="E223" s="2308" t="s">
        <v>8</v>
      </c>
      <c r="F223" s="2308"/>
      <c r="G223" s="2308">
        <v>2014</v>
      </c>
      <c r="H223" s="2308">
        <v>2015</v>
      </c>
      <c r="I223" s="2308">
        <v>2016</v>
      </c>
      <c r="J223" s="2308">
        <v>2017</v>
      </c>
      <c r="K223" s="2308">
        <v>2018</v>
      </c>
      <c r="L223" s="2308">
        <v>2019</v>
      </c>
      <c r="M223" s="2308">
        <v>2020</v>
      </c>
      <c r="N223" s="2308">
        <v>2021</v>
      </c>
      <c r="O223" s="2308">
        <v>2022</v>
      </c>
      <c r="P223" s="2308">
        <v>2023</v>
      </c>
      <c r="Q223" s="2308">
        <v>2024</v>
      </c>
      <c r="R223" s="2308">
        <v>2025</v>
      </c>
      <c r="S223" s="2308">
        <v>2026</v>
      </c>
      <c r="T223" s="2308">
        <v>2027</v>
      </c>
      <c r="U223" s="2308">
        <v>2028</v>
      </c>
      <c r="V223" s="2308">
        <v>2029</v>
      </c>
      <c r="W223" s="2308">
        <v>2030</v>
      </c>
      <c r="X223" s="2308">
        <v>2031</v>
      </c>
      <c r="Y223" s="2308">
        <v>2032</v>
      </c>
      <c r="Z223" s="2308">
        <v>2033</v>
      </c>
      <c r="AA223" s="2308">
        <v>2034</v>
      </c>
      <c r="AB223" s="2308">
        <v>2035</v>
      </c>
      <c r="AC223" s="2308">
        <v>2036</v>
      </c>
      <c r="AD223" s="2308">
        <v>2037</v>
      </c>
      <c r="AE223" s="2308">
        <v>2038</v>
      </c>
      <c r="AF223" s="2308">
        <v>2039</v>
      </c>
      <c r="AG223" s="2308">
        <v>2040</v>
      </c>
      <c r="AH223" s="2308">
        <v>2041</v>
      </c>
      <c r="AI223" s="2308">
        <v>2042</v>
      </c>
      <c r="AJ223" s="2308">
        <v>2043</v>
      </c>
      <c r="AK223" s="2308">
        <v>2044</v>
      </c>
      <c r="AL223" s="2308">
        <v>2045</v>
      </c>
      <c r="AM223" s="2308">
        <v>2046</v>
      </c>
      <c r="AN223" s="2308">
        <v>2047</v>
      </c>
      <c r="AO223" s="2308">
        <v>2048</v>
      </c>
      <c r="AP223" s="2308">
        <v>2049</v>
      </c>
      <c r="AQ223" s="2308">
        <v>2050</v>
      </c>
    </row>
    <row r="224" spans="2:43" x14ac:dyDescent="0.25">
      <c r="B224" s="2309" t="s">
        <v>623</v>
      </c>
      <c r="C224" s="2310" t="s">
        <v>1305</v>
      </c>
      <c r="D224" s="2311" t="s">
        <v>1306</v>
      </c>
      <c r="E224" s="2312"/>
      <c r="F224" s="2313"/>
      <c r="G224" s="2314" t="e">
        <f t="shared" ref="G224:AQ224" si="30">G19*G27/10^3</f>
        <v>#REF!</v>
      </c>
      <c r="H224" s="2314" t="e">
        <f t="shared" si="30"/>
        <v>#REF!</v>
      </c>
      <c r="I224" s="2314" t="e">
        <f t="shared" si="30"/>
        <v>#REF!</v>
      </c>
      <c r="J224" s="2314" t="e">
        <f t="shared" si="30"/>
        <v>#REF!</v>
      </c>
      <c r="K224" s="2314" t="e">
        <f t="shared" si="30"/>
        <v>#REF!</v>
      </c>
      <c r="L224" s="2314" t="e">
        <f t="shared" si="30"/>
        <v>#REF!</v>
      </c>
      <c r="M224" s="2314" t="e">
        <f t="shared" si="30"/>
        <v>#REF!</v>
      </c>
      <c r="N224" s="2314" t="e">
        <f t="shared" si="30"/>
        <v>#REF!</v>
      </c>
      <c r="O224" s="2314" t="e">
        <f t="shared" si="30"/>
        <v>#REF!</v>
      </c>
      <c r="P224" s="2314" t="e">
        <f t="shared" si="30"/>
        <v>#REF!</v>
      </c>
      <c r="Q224" s="2314" t="e">
        <f t="shared" si="30"/>
        <v>#REF!</v>
      </c>
      <c r="R224" s="2314" t="e">
        <f t="shared" si="30"/>
        <v>#REF!</v>
      </c>
      <c r="S224" s="2314" t="e">
        <f t="shared" si="30"/>
        <v>#REF!</v>
      </c>
      <c r="T224" s="2314" t="e">
        <f t="shared" si="30"/>
        <v>#REF!</v>
      </c>
      <c r="U224" s="2314" t="e">
        <f t="shared" si="30"/>
        <v>#REF!</v>
      </c>
      <c r="V224" s="2314" t="e">
        <f t="shared" si="30"/>
        <v>#REF!</v>
      </c>
      <c r="W224" s="2314" t="e">
        <f t="shared" si="30"/>
        <v>#REF!</v>
      </c>
      <c r="X224" s="2314" t="e">
        <f t="shared" si="30"/>
        <v>#REF!</v>
      </c>
      <c r="Y224" s="2314" t="e">
        <f t="shared" si="30"/>
        <v>#REF!</v>
      </c>
      <c r="Z224" s="2314" t="e">
        <f t="shared" si="30"/>
        <v>#REF!</v>
      </c>
      <c r="AA224" s="2314" t="e">
        <f t="shared" si="30"/>
        <v>#REF!</v>
      </c>
      <c r="AB224" s="2314" t="e">
        <f t="shared" si="30"/>
        <v>#REF!</v>
      </c>
      <c r="AC224" s="2314" t="e">
        <f t="shared" si="30"/>
        <v>#REF!</v>
      </c>
      <c r="AD224" s="2314" t="e">
        <f t="shared" si="30"/>
        <v>#REF!</v>
      </c>
      <c r="AE224" s="2314" t="e">
        <f t="shared" si="30"/>
        <v>#REF!</v>
      </c>
      <c r="AF224" s="2314" t="e">
        <f t="shared" si="30"/>
        <v>#REF!</v>
      </c>
      <c r="AG224" s="2314" t="e">
        <f t="shared" si="30"/>
        <v>#REF!</v>
      </c>
      <c r="AH224" s="2314" t="e">
        <f t="shared" si="30"/>
        <v>#REF!</v>
      </c>
      <c r="AI224" s="2314" t="e">
        <f t="shared" si="30"/>
        <v>#REF!</v>
      </c>
      <c r="AJ224" s="2314" t="e">
        <f t="shared" si="30"/>
        <v>#REF!</v>
      </c>
      <c r="AK224" s="2314" t="e">
        <f t="shared" si="30"/>
        <v>#REF!</v>
      </c>
      <c r="AL224" s="2314" t="e">
        <f t="shared" si="30"/>
        <v>#REF!</v>
      </c>
      <c r="AM224" s="2314" t="e">
        <f t="shared" si="30"/>
        <v>#REF!</v>
      </c>
      <c r="AN224" s="2314" t="e">
        <f t="shared" si="30"/>
        <v>#REF!</v>
      </c>
      <c r="AO224" s="2314" t="e">
        <f t="shared" si="30"/>
        <v>#REF!</v>
      </c>
      <c r="AP224" s="2314" t="e">
        <f t="shared" si="30"/>
        <v>#REF!</v>
      </c>
      <c r="AQ224" s="2314" t="e">
        <f t="shared" si="30"/>
        <v>#REF!</v>
      </c>
    </row>
    <row r="225" spans="2:46" x14ac:dyDescent="0.25">
      <c r="B225" s="2309"/>
      <c r="C225" s="2310" t="s">
        <v>1307</v>
      </c>
      <c r="D225" s="2311" t="s">
        <v>1306</v>
      </c>
      <c r="E225" s="2312"/>
      <c r="F225" s="2313"/>
      <c r="G225" s="2314"/>
      <c r="H225" s="2314" t="e">
        <f>H224-G224</f>
        <v>#REF!</v>
      </c>
      <c r="I225" s="2314" t="e">
        <f>I224-H224</f>
        <v>#REF!</v>
      </c>
      <c r="J225" s="2314" t="e">
        <f>J224-I224</f>
        <v>#REF!</v>
      </c>
      <c r="K225" s="2314" t="e">
        <f t="shared" ref="K225:AQ225" si="31">K224-J224</f>
        <v>#REF!</v>
      </c>
      <c r="L225" s="2314" t="e">
        <f t="shared" si="31"/>
        <v>#REF!</v>
      </c>
      <c r="M225" s="2314" t="e">
        <f t="shared" si="31"/>
        <v>#REF!</v>
      </c>
      <c r="N225" s="2314" t="e">
        <f t="shared" si="31"/>
        <v>#REF!</v>
      </c>
      <c r="O225" s="2314" t="e">
        <f t="shared" si="31"/>
        <v>#REF!</v>
      </c>
      <c r="P225" s="2314" t="e">
        <f t="shared" si="31"/>
        <v>#REF!</v>
      </c>
      <c r="Q225" s="2314" t="e">
        <f t="shared" si="31"/>
        <v>#REF!</v>
      </c>
      <c r="R225" s="2314" t="e">
        <f t="shared" si="31"/>
        <v>#REF!</v>
      </c>
      <c r="S225" s="2314" t="e">
        <f t="shared" si="31"/>
        <v>#REF!</v>
      </c>
      <c r="T225" s="2314" t="e">
        <f t="shared" si="31"/>
        <v>#REF!</v>
      </c>
      <c r="U225" s="2314" t="e">
        <f t="shared" si="31"/>
        <v>#REF!</v>
      </c>
      <c r="V225" s="2314" t="e">
        <f t="shared" si="31"/>
        <v>#REF!</v>
      </c>
      <c r="W225" s="2314" t="e">
        <f t="shared" si="31"/>
        <v>#REF!</v>
      </c>
      <c r="X225" s="2314" t="e">
        <f t="shared" si="31"/>
        <v>#REF!</v>
      </c>
      <c r="Y225" s="2314" t="e">
        <f t="shared" si="31"/>
        <v>#REF!</v>
      </c>
      <c r="Z225" s="2314" t="e">
        <f t="shared" si="31"/>
        <v>#REF!</v>
      </c>
      <c r="AA225" s="2314" t="e">
        <f t="shared" si="31"/>
        <v>#REF!</v>
      </c>
      <c r="AB225" s="2314" t="e">
        <f t="shared" si="31"/>
        <v>#REF!</v>
      </c>
      <c r="AC225" s="2314" t="e">
        <f t="shared" si="31"/>
        <v>#REF!</v>
      </c>
      <c r="AD225" s="2314" t="e">
        <f t="shared" si="31"/>
        <v>#REF!</v>
      </c>
      <c r="AE225" s="2314" t="e">
        <f t="shared" si="31"/>
        <v>#REF!</v>
      </c>
      <c r="AF225" s="2314" t="e">
        <f t="shared" si="31"/>
        <v>#REF!</v>
      </c>
      <c r="AG225" s="2314" t="e">
        <f t="shared" si="31"/>
        <v>#REF!</v>
      </c>
      <c r="AH225" s="2314" t="e">
        <f t="shared" si="31"/>
        <v>#REF!</v>
      </c>
      <c r="AI225" s="2314" t="e">
        <f t="shared" si="31"/>
        <v>#REF!</v>
      </c>
      <c r="AJ225" s="2314" t="e">
        <f t="shared" si="31"/>
        <v>#REF!</v>
      </c>
      <c r="AK225" s="2314" t="e">
        <f t="shared" si="31"/>
        <v>#REF!</v>
      </c>
      <c r="AL225" s="2314" t="e">
        <f t="shared" si="31"/>
        <v>#REF!</v>
      </c>
      <c r="AM225" s="2314" t="e">
        <f t="shared" si="31"/>
        <v>#REF!</v>
      </c>
      <c r="AN225" s="2314" t="e">
        <f t="shared" si="31"/>
        <v>#REF!</v>
      </c>
      <c r="AO225" s="2314" t="e">
        <f t="shared" si="31"/>
        <v>#REF!</v>
      </c>
      <c r="AP225" s="2314" t="e">
        <f t="shared" si="31"/>
        <v>#REF!</v>
      </c>
      <c r="AQ225" s="2314" t="e">
        <f t="shared" si="31"/>
        <v>#REF!</v>
      </c>
    </row>
    <row r="226" spans="2:46" x14ac:dyDescent="0.25">
      <c r="B226" s="2309"/>
      <c r="C226" s="2310" t="s">
        <v>1308</v>
      </c>
      <c r="D226" s="2311" t="s">
        <v>1306</v>
      </c>
      <c r="E226" s="2312"/>
      <c r="F226" s="2313"/>
      <c r="G226" s="2314"/>
      <c r="H226" s="2314" t="e">
        <f>H225</f>
        <v>#REF!</v>
      </c>
      <c r="I226" s="2314" t="e">
        <f>I225</f>
        <v>#REF!</v>
      </c>
      <c r="J226" s="2314" t="e">
        <f t="shared" ref="J226:O226" si="32">J225</f>
        <v>#REF!</v>
      </c>
      <c r="K226" s="2314" t="e">
        <f t="shared" si="32"/>
        <v>#REF!</v>
      </c>
      <c r="L226" s="2314" t="e">
        <f t="shared" si="32"/>
        <v>#REF!</v>
      </c>
      <c r="M226" s="2314" t="e">
        <f t="shared" si="32"/>
        <v>#REF!</v>
      </c>
      <c r="N226" s="2314" t="e">
        <f t="shared" si="32"/>
        <v>#REF!</v>
      </c>
      <c r="O226" s="2314" t="e">
        <f t="shared" si="32"/>
        <v>#REF!</v>
      </c>
      <c r="P226" s="2314" t="e">
        <f>P225+G226</f>
        <v>#REF!</v>
      </c>
      <c r="Q226" s="2314" t="e">
        <f t="shared" ref="Q226:AQ226" si="33">Q225+H226</f>
        <v>#REF!</v>
      </c>
      <c r="R226" s="2314" t="e">
        <f t="shared" si="33"/>
        <v>#REF!</v>
      </c>
      <c r="S226" s="2314" t="e">
        <f t="shared" si="33"/>
        <v>#REF!</v>
      </c>
      <c r="T226" s="2314" t="e">
        <f t="shared" si="33"/>
        <v>#REF!</v>
      </c>
      <c r="U226" s="2314" t="e">
        <f t="shared" si="33"/>
        <v>#REF!</v>
      </c>
      <c r="V226" s="2314" t="e">
        <f t="shared" si="33"/>
        <v>#REF!</v>
      </c>
      <c r="W226" s="2314" t="e">
        <f t="shared" si="33"/>
        <v>#REF!</v>
      </c>
      <c r="X226" s="2314" t="e">
        <f t="shared" si="33"/>
        <v>#REF!</v>
      </c>
      <c r="Y226" s="2314" t="e">
        <f t="shared" si="33"/>
        <v>#REF!</v>
      </c>
      <c r="Z226" s="2314" t="e">
        <f t="shared" si="33"/>
        <v>#REF!</v>
      </c>
      <c r="AA226" s="2314" t="e">
        <f t="shared" si="33"/>
        <v>#REF!</v>
      </c>
      <c r="AB226" s="2314" t="e">
        <f t="shared" si="33"/>
        <v>#REF!</v>
      </c>
      <c r="AC226" s="2314" t="e">
        <f t="shared" si="33"/>
        <v>#REF!</v>
      </c>
      <c r="AD226" s="2314" t="e">
        <f t="shared" si="33"/>
        <v>#REF!</v>
      </c>
      <c r="AE226" s="2314" t="e">
        <f t="shared" si="33"/>
        <v>#REF!</v>
      </c>
      <c r="AF226" s="2314" t="e">
        <f t="shared" si="33"/>
        <v>#REF!</v>
      </c>
      <c r="AG226" s="2314" t="e">
        <f t="shared" si="33"/>
        <v>#REF!</v>
      </c>
      <c r="AH226" s="2314" t="e">
        <f t="shared" si="33"/>
        <v>#REF!</v>
      </c>
      <c r="AI226" s="2314" t="e">
        <f t="shared" si="33"/>
        <v>#REF!</v>
      </c>
      <c r="AJ226" s="2314" t="e">
        <f t="shared" si="33"/>
        <v>#REF!</v>
      </c>
      <c r="AK226" s="2314" t="e">
        <f t="shared" si="33"/>
        <v>#REF!</v>
      </c>
      <c r="AL226" s="2314" t="e">
        <f t="shared" si="33"/>
        <v>#REF!</v>
      </c>
      <c r="AM226" s="2314" t="e">
        <f t="shared" si="33"/>
        <v>#REF!</v>
      </c>
      <c r="AN226" s="2314" t="e">
        <f t="shared" si="33"/>
        <v>#REF!</v>
      </c>
      <c r="AO226" s="2314" t="e">
        <f t="shared" si="33"/>
        <v>#REF!</v>
      </c>
      <c r="AP226" s="2314" t="e">
        <f t="shared" si="33"/>
        <v>#REF!</v>
      </c>
      <c r="AQ226" s="2314" t="e">
        <f t="shared" si="33"/>
        <v>#REF!</v>
      </c>
      <c r="AT226" s="2315"/>
    </row>
    <row r="227" spans="2:46" x14ac:dyDescent="0.25">
      <c r="B227" s="2316"/>
      <c r="C227" s="2310" t="s">
        <v>1309</v>
      </c>
      <c r="D227" s="2311" t="s">
        <v>1258</v>
      </c>
      <c r="E227" s="2312" t="s">
        <v>12</v>
      </c>
      <c r="F227" s="2313"/>
      <c r="G227" s="2317">
        <v>5.3</v>
      </c>
      <c r="H227" s="2317">
        <v>5.3</v>
      </c>
      <c r="I227" s="2317">
        <v>5.3</v>
      </c>
      <c r="J227" s="2317">
        <v>5.3</v>
      </c>
      <c r="K227" s="2317">
        <v>5.3</v>
      </c>
      <c r="L227" s="2317">
        <v>5.3</v>
      </c>
      <c r="M227" s="2317">
        <v>5.3</v>
      </c>
      <c r="N227" s="2317">
        <v>5.3</v>
      </c>
      <c r="O227" s="2317">
        <v>5.3</v>
      </c>
      <c r="P227" s="2317">
        <v>5.3</v>
      </c>
      <c r="Q227" s="2317">
        <v>5.3</v>
      </c>
      <c r="R227" s="2317">
        <v>5.3</v>
      </c>
      <c r="S227" s="2317">
        <v>5.3</v>
      </c>
      <c r="T227" s="2317">
        <v>5.3</v>
      </c>
      <c r="U227" s="2317">
        <v>5.3</v>
      </c>
      <c r="V227" s="2317">
        <v>5.3</v>
      </c>
      <c r="W227" s="2317">
        <v>5.3</v>
      </c>
      <c r="X227" s="2317">
        <v>5.3</v>
      </c>
      <c r="Y227" s="2317">
        <v>5.3</v>
      </c>
      <c r="Z227" s="2317">
        <v>5.3</v>
      </c>
      <c r="AA227" s="2317">
        <v>5.3</v>
      </c>
      <c r="AB227" s="2317">
        <v>5.3</v>
      </c>
      <c r="AC227" s="2317">
        <v>5.3</v>
      </c>
      <c r="AD227" s="2317">
        <v>5.3</v>
      </c>
      <c r="AE227" s="2317">
        <v>5.3</v>
      </c>
      <c r="AF227" s="2317">
        <v>5.3</v>
      </c>
      <c r="AG227" s="2317">
        <v>5.3</v>
      </c>
      <c r="AH227" s="2317">
        <v>5.3</v>
      </c>
      <c r="AI227" s="2317">
        <v>5.3</v>
      </c>
      <c r="AJ227" s="2317">
        <v>5.3</v>
      </c>
      <c r="AK227" s="2317">
        <v>5.3</v>
      </c>
      <c r="AL227" s="2317">
        <v>5.3</v>
      </c>
      <c r="AM227" s="2317">
        <v>5.3</v>
      </c>
      <c r="AN227" s="2317">
        <v>5.3</v>
      </c>
      <c r="AO227" s="2317">
        <v>5.3</v>
      </c>
      <c r="AP227" s="2317">
        <v>5.3</v>
      </c>
      <c r="AQ227" s="2317">
        <v>5.3</v>
      </c>
    </row>
    <row r="228" spans="2:46" x14ac:dyDescent="0.25">
      <c r="B228" s="2316"/>
      <c r="C228" s="2310" t="s">
        <v>1310</v>
      </c>
      <c r="D228" s="2311" t="s">
        <v>1264</v>
      </c>
      <c r="E228" s="2312" t="s">
        <v>12</v>
      </c>
      <c r="F228" s="2313"/>
      <c r="G228" s="2317">
        <v>0.5</v>
      </c>
      <c r="H228" s="2317">
        <v>0.5</v>
      </c>
      <c r="I228" s="2317">
        <v>0.5</v>
      </c>
      <c r="J228" s="2317">
        <v>0.5</v>
      </c>
      <c r="K228" s="2317">
        <v>0.5</v>
      </c>
      <c r="L228" s="2317">
        <v>0.5</v>
      </c>
      <c r="M228" s="2317">
        <v>0.5</v>
      </c>
      <c r="N228" s="2317">
        <v>0.5</v>
      </c>
      <c r="O228" s="2317">
        <v>0.5</v>
      </c>
      <c r="P228" s="2317">
        <v>0.5</v>
      </c>
      <c r="Q228" s="2317">
        <v>0.5</v>
      </c>
      <c r="R228" s="2317">
        <v>0.5</v>
      </c>
      <c r="S228" s="2317">
        <v>0.5</v>
      </c>
      <c r="T228" s="2317">
        <v>0.5</v>
      </c>
      <c r="U228" s="2317">
        <v>0.5</v>
      </c>
      <c r="V228" s="2317">
        <v>0.5</v>
      </c>
      <c r="W228" s="2317">
        <v>0.5</v>
      </c>
      <c r="X228" s="2317">
        <v>0.5</v>
      </c>
      <c r="Y228" s="2317">
        <v>0.5</v>
      </c>
      <c r="Z228" s="2317">
        <v>0.5</v>
      </c>
      <c r="AA228" s="2317">
        <v>0.5</v>
      </c>
      <c r="AB228" s="2317">
        <v>0.5</v>
      </c>
      <c r="AC228" s="2317">
        <v>0.5</v>
      </c>
      <c r="AD228" s="2317">
        <v>0.5</v>
      </c>
      <c r="AE228" s="2317">
        <v>0.5</v>
      </c>
      <c r="AF228" s="2317">
        <v>0.5</v>
      </c>
      <c r="AG228" s="2317">
        <v>0.5</v>
      </c>
      <c r="AH228" s="2317">
        <v>0.5</v>
      </c>
      <c r="AI228" s="2317">
        <v>0.5</v>
      </c>
      <c r="AJ228" s="2317">
        <v>0.5</v>
      </c>
      <c r="AK228" s="2317">
        <v>0.5</v>
      </c>
      <c r="AL228" s="2317">
        <v>0.5</v>
      </c>
      <c r="AM228" s="2317">
        <v>0.5</v>
      </c>
      <c r="AN228" s="2317">
        <v>0.5</v>
      </c>
      <c r="AO228" s="2317">
        <v>0.5</v>
      </c>
      <c r="AP228" s="2317">
        <v>0.5</v>
      </c>
      <c r="AQ228" s="2317">
        <v>0.5</v>
      </c>
    </row>
    <row r="229" spans="2:46" x14ac:dyDescent="0.25">
      <c r="B229" s="2316"/>
      <c r="C229" s="2310" t="s">
        <v>1311</v>
      </c>
      <c r="D229" s="2311" t="s">
        <v>1312</v>
      </c>
      <c r="E229" s="2312" t="s">
        <v>12</v>
      </c>
      <c r="F229" s="2313"/>
      <c r="G229" s="2314">
        <v>10</v>
      </c>
      <c r="H229" s="2314">
        <v>10</v>
      </c>
      <c r="I229" s="2314">
        <v>10</v>
      </c>
      <c r="J229" s="2314">
        <v>10</v>
      </c>
      <c r="K229" s="2314">
        <v>10</v>
      </c>
      <c r="L229" s="2314">
        <v>10</v>
      </c>
      <c r="M229" s="2314">
        <v>10</v>
      </c>
      <c r="N229" s="2314">
        <v>10</v>
      </c>
      <c r="O229" s="2314">
        <v>10</v>
      </c>
      <c r="P229" s="2314">
        <v>10</v>
      </c>
      <c r="Q229" s="2314">
        <v>10</v>
      </c>
      <c r="R229" s="2314">
        <v>10</v>
      </c>
      <c r="S229" s="2314">
        <v>10</v>
      </c>
      <c r="T229" s="2314">
        <v>10</v>
      </c>
      <c r="U229" s="2314">
        <v>10</v>
      </c>
      <c r="V229" s="2314">
        <v>10</v>
      </c>
      <c r="W229" s="2314">
        <v>10</v>
      </c>
      <c r="X229" s="2314">
        <v>10</v>
      </c>
      <c r="Y229" s="2314">
        <v>10</v>
      </c>
      <c r="Z229" s="2314">
        <v>10</v>
      </c>
      <c r="AA229" s="2314">
        <v>10</v>
      </c>
      <c r="AB229" s="2314">
        <v>10</v>
      </c>
      <c r="AC229" s="2314">
        <v>10</v>
      </c>
      <c r="AD229" s="2314">
        <v>10</v>
      </c>
      <c r="AE229" s="2314">
        <v>10</v>
      </c>
      <c r="AF229" s="2314">
        <v>10</v>
      </c>
      <c r="AG229" s="2314">
        <v>10</v>
      </c>
      <c r="AH229" s="2314">
        <v>10</v>
      </c>
      <c r="AI229" s="2314">
        <v>10</v>
      </c>
      <c r="AJ229" s="2314">
        <v>10</v>
      </c>
      <c r="AK229" s="2314">
        <v>10</v>
      </c>
      <c r="AL229" s="2314">
        <v>10</v>
      </c>
      <c r="AM229" s="2314">
        <v>10</v>
      </c>
      <c r="AN229" s="2314">
        <v>10</v>
      </c>
      <c r="AO229" s="2314">
        <v>10</v>
      </c>
      <c r="AP229" s="2314">
        <v>10</v>
      </c>
      <c r="AQ229" s="2314">
        <v>10</v>
      </c>
    </row>
    <row r="230" spans="2:46" x14ac:dyDescent="0.25">
      <c r="B230" s="2316"/>
      <c r="C230" s="2310" t="s">
        <v>1313</v>
      </c>
      <c r="D230" s="2311"/>
      <c r="E230" s="2243"/>
      <c r="F230" s="2313"/>
      <c r="G230" s="2318">
        <v>1.75</v>
      </c>
      <c r="H230" s="2318">
        <v>1.75</v>
      </c>
      <c r="I230" s="2318">
        <v>1.75</v>
      </c>
      <c r="J230" s="2318">
        <v>1.75</v>
      </c>
      <c r="K230" s="2318">
        <v>1.75</v>
      </c>
      <c r="L230" s="2318">
        <v>1.75</v>
      </c>
      <c r="M230" s="2318">
        <v>1.75</v>
      </c>
      <c r="N230" s="2318">
        <v>1.75</v>
      </c>
      <c r="O230" s="2318">
        <v>1.75</v>
      </c>
      <c r="P230" s="2318">
        <v>1.75</v>
      </c>
      <c r="Q230" s="2318">
        <v>1.75</v>
      </c>
      <c r="R230" s="2318">
        <v>1.75</v>
      </c>
      <c r="S230" s="2318">
        <v>1.75</v>
      </c>
      <c r="T230" s="2318">
        <v>1.75</v>
      </c>
      <c r="U230" s="2318">
        <v>1.75</v>
      </c>
      <c r="V230" s="2318">
        <v>1.75</v>
      </c>
      <c r="W230" s="2318">
        <v>1.75</v>
      </c>
      <c r="X230" s="2318">
        <v>1.75</v>
      </c>
      <c r="Y230" s="2318">
        <v>1.75</v>
      </c>
      <c r="Z230" s="2318">
        <v>1.75</v>
      </c>
      <c r="AA230" s="2318">
        <v>1.75</v>
      </c>
      <c r="AB230" s="2318">
        <v>1.75</v>
      </c>
      <c r="AC230" s="2318">
        <v>1.75</v>
      </c>
      <c r="AD230" s="2318">
        <v>1.75</v>
      </c>
      <c r="AE230" s="2318">
        <v>1.75</v>
      </c>
      <c r="AF230" s="2318">
        <v>1.75</v>
      </c>
      <c r="AG230" s="2318">
        <v>1.75</v>
      </c>
      <c r="AH230" s="2318">
        <v>1.75</v>
      </c>
      <c r="AI230" s="2318">
        <v>1.75</v>
      </c>
      <c r="AJ230" s="2318">
        <v>1.75</v>
      </c>
      <c r="AK230" s="2318">
        <v>1.75</v>
      </c>
      <c r="AL230" s="2318">
        <v>1.75</v>
      </c>
      <c r="AM230" s="2318">
        <v>1.75</v>
      </c>
      <c r="AN230" s="2318">
        <v>1.75</v>
      </c>
      <c r="AO230" s="2318">
        <v>1.75</v>
      </c>
      <c r="AP230" s="2318">
        <v>1.75</v>
      </c>
      <c r="AQ230" s="2318">
        <v>1.75</v>
      </c>
    </row>
    <row r="231" spans="2:46" x14ac:dyDescent="0.25">
      <c r="B231" s="2316"/>
      <c r="C231" s="2310"/>
      <c r="D231" s="2311"/>
      <c r="E231" s="2243"/>
      <c r="F231" s="2313"/>
      <c r="G231" s="2318"/>
      <c r="H231" s="2318"/>
      <c r="I231" s="2318"/>
      <c r="J231" s="2318"/>
      <c r="K231" s="2318"/>
      <c r="L231" s="2318"/>
      <c r="M231" s="2318"/>
      <c r="N231" s="2318"/>
      <c r="O231" s="2318"/>
      <c r="P231" s="2318"/>
      <c r="Q231" s="2318"/>
      <c r="R231" s="2318"/>
      <c r="S231" s="2318"/>
      <c r="T231" s="2318"/>
      <c r="U231" s="2318"/>
      <c r="V231" s="2318"/>
      <c r="W231" s="2318"/>
      <c r="X231" s="2318"/>
      <c r="Y231" s="2318"/>
      <c r="Z231" s="2318"/>
      <c r="AA231" s="2318"/>
      <c r="AB231" s="2318"/>
      <c r="AC231" s="2318"/>
      <c r="AD231" s="2318"/>
      <c r="AE231" s="2318"/>
      <c r="AF231" s="2318"/>
      <c r="AG231" s="2318"/>
      <c r="AH231" s="2318"/>
      <c r="AI231" s="2318"/>
      <c r="AJ231" s="2318"/>
      <c r="AK231" s="2318"/>
      <c r="AL231" s="2318"/>
      <c r="AM231" s="2318"/>
      <c r="AN231" s="2318"/>
      <c r="AO231" s="2318"/>
      <c r="AP231" s="2318"/>
      <c r="AQ231" s="2318"/>
    </row>
    <row r="232" spans="2:46" x14ac:dyDescent="0.25">
      <c r="B232" s="2309" t="s">
        <v>624</v>
      </c>
      <c r="C232" s="2319" t="s">
        <v>1314</v>
      </c>
      <c r="D232" s="2311" t="s">
        <v>1315</v>
      </c>
      <c r="E232" s="2312"/>
      <c r="F232" s="2313"/>
      <c r="G232" s="2320">
        <f>G226*G227*G228*G229*G230</f>
        <v>0</v>
      </c>
      <c r="H232" s="2320" t="e">
        <f>H226*H227*H228*H229*H230</f>
        <v>#REF!</v>
      </c>
      <c r="I232" s="2320" t="e">
        <f>I226*I227*I228*I229*I230</f>
        <v>#REF!</v>
      </c>
      <c r="J232" s="2320" t="e">
        <f t="shared" ref="J232:AQ232" si="34">J226*J227*J228*J229*J230</f>
        <v>#REF!</v>
      </c>
      <c r="K232" s="2320" t="e">
        <f t="shared" si="34"/>
        <v>#REF!</v>
      </c>
      <c r="L232" s="2320" t="e">
        <f t="shared" si="34"/>
        <v>#REF!</v>
      </c>
      <c r="M232" s="2320" t="e">
        <f t="shared" si="34"/>
        <v>#REF!</v>
      </c>
      <c r="N232" s="2320" t="e">
        <f t="shared" si="34"/>
        <v>#REF!</v>
      </c>
      <c r="O232" s="2320" t="e">
        <f t="shared" si="34"/>
        <v>#REF!</v>
      </c>
      <c r="P232" s="2320" t="e">
        <f t="shared" si="34"/>
        <v>#REF!</v>
      </c>
      <c r="Q232" s="2320" t="e">
        <f t="shared" si="34"/>
        <v>#REF!</v>
      </c>
      <c r="R232" s="2320" t="e">
        <f t="shared" si="34"/>
        <v>#REF!</v>
      </c>
      <c r="S232" s="2320" t="e">
        <f t="shared" si="34"/>
        <v>#REF!</v>
      </c>
      <c r="T232" s="2320" t="e">
        <f t="shared" si="34"/>
        <v>#REF!</v>
      </c>
      <c r="U232" s="2320" t="e">
        <f t="shared" si="34"/>
        <v>#REF!</v>
      </c>
      <c r="V232" s="2320" t="e">
        <f t="shared" si="34"/>
        <v>#REF!</v>
      </c>
      <c r="W232" s="2320" t="e">
        <f t="shared" si="34"/>
        <v>#REF!</v>
      </c>
      <c r="X232" s="2320" t="e">
        <f t="shared" si="34"/>
        <v>#REF!</v>
      </c>
      <c r="Y232" s="2320" t="e">
        <f t="shared" si="34"/>
        <v>#REF!</v>
      </c>
      <c r="Z232" s="2320" t="e">
        <f t="shared" si="34"/>
        <v>#REF!</v>
      </c>
      <c r="AA232" s="2320" t="e">
        <f t="shared" si="34"/>
        <v>#REF!</v>
      </c>
      <c r="AB232" s="2320" t="e">
        <f t="shared" si="34"/>
        <v>#REF!</v>
      </c>
      <c r="AC232" s="2320" t="e">
        <f t="shared" si="34"/>
        <v>#REF!</v>
      </c>
      <c r="AD232" s="2320" t="e">
        <f t="shared" si="34"/>
        <v>#REF!</v>
      </c>
      <c r="AE232" s="2320" t="e">
        <f t="shared" si="34"/>
        <v>#REF!</v>
      </c>
      <c r="AF232" s="2320" t="e">
        <f t="shared" si="34"/>
        <v>#REF!</v>
      </c>
      <c r="AG232" s="2320" t="e">
        <f t="shared" si="34"/>
        <v>#REF!</v>
      </c>
      <c r="AH232" s="2320" t="e">
        <f t="shared" si="34"/>
        <v>#REF!</v>
      </c>
      <c r="AI232" s="2320" t="e">
        <f t="shared" si="34"/>
        <v>#REF!</v>
      </c>
      <c r="AJ232" s="2320" t="e">
        <f t="shared" si="34"/>
        <v>#REF!</v>
      </c>
      <c r="AK232" s="2320" t="e">
        <f t="shared" si="34"/>
        <v>#REF!</v>
      </c>
      <c r="AL232" s="2320" t="e">
        <f t="shared" si="34"/>
        <v>#REF!</v>
      </c>
      <c r="AM232" s="2320" t="e">
        <f t="shared" si="34"/>
        <v>#REF!</v>
      </c>
      <c r="AN232" s="2320" t="e">
        <f t="shared" si="34"/>
        <v>#REF!</v>
      </c>
      <c r="AO232" s="2320" t="e">
        <f t="shared" si="34"/>
        <v>#REF!</v>
      </c>
      <c r="AP232" s="2320" t="e">
        <f t="shared" si="34"/>
        <v>#REF!</v>
      </c>
      <c r="AQ232" s="2320" t="e">
        <f t="shared" si="34"/>
        <v>#REF!</v>
      </c>
    </row>
    <row r="233" spans="2:46" x14ac:dyDescent="0.25">
      <c r="B233" s="2316"/>
      <c r="C233" s="2310" t="s">
        <v>1316</v>
      </c>
      <c r="D233" s="2311"/>
      <c r="E233" s="2312" t="s">
        <v>133</v>
      </c>
      <c r="F233" s="2311"/>
      <c r="G233" s="2321">
        <v>0.6</v>
      </c>
      <c r="H233" s="2321">
        <v>0.6</v>
      </c>
      <c r="I233" s="2321">
        <v>0.6</v>
      </c>
      <c r="J233" s="2321">
        <v>0.6</v>
      </c>
      <c r="K233" s="2321">
        <v>0.6</v>
      </c>
      <c r="L233" s="2321">
        <v>0.6</v>
      </c>
      <c r="M233" s="2321">
        <v>0.6</v>
      </c>
      <c r="N233" s="2321">
        <v>0.6</v>
      </c>
      <c r="O233" s="2321">
        <v>0.6</v>
      </c>
      <c r="P233" s="2321">
        <v>0.6</v>
      </c>
      <c r="Q233" s="2321">
        <v>0.6</v>
      </c>
      <c r="R233" s="2321">
        <v>0.6</v>
      </c>
      <c r="S233" s="2321">
        <v>0.6</v>
      </c>
      <c r="T233" s="2321">
        <v>0.6</v>
      </c>
      <c r="U233" s="2321">
        <v>0.6</v>
      </c>
      <c r="V233" s="2321">
        <v>0.6</v>
      </c>
      <c r="W233" s="2321">
        <v>0.6</v>
      </c>
      <c r="X233" s="2321">
        <v>0.6</v>
      </c>
      <c r="Y233" s="2321">
        <v>0.6</v>
      </c>
      <c r="Z233" s="2321">
        <v>0.6</v>
      </c>
      <c r="AA233" s="2321">
        <v>0.6</v>
      </c>
      <c r="AB233" s="2321">
        <v>0.6</v>
      </c>
      <c r="AC233" s="2321">
        <v>0.6</v>
      </c>
      <c r="AD233" s="2321">
        <v>0.6</v>
      </c>
      <c r="AE233" s="2321">
        <v>0.6</v>
      </c>
      <c r="AF233" s="2321">
        <v>0.6</v>
      </c>
      <c r="AG233" s="2321">
        <v>0.6</v>
      </c>
      <c r="AH233" s="2321">
        <v>0.6</v>
      </c>
      <c r="AI233" s="2321">
        <v>0.6</v>
      </c>
      <c r="AJ233" s="2321">
        <v>0.6</v>
      </c>
      <c r="AK233" s="2321">
        <v>0.6</v>
      </c>
      <c r="AL233" s="2321">
        <v>0.6</v>
      </c>
      <c r="AM233" s="2321">
        <v>0.6</v>
      </c>
      <c r="AN233" s="2321">
        <v>0.6</v>
      </c>
      <c r="AO233" s="2321">
        <v>0.6</v>
      </c>
      <c r="AP233" s="2321">
        <v>0.6</v>
      </c>
      <c r="AQ233" s="2321">
        <v>0.6</v>
      </c>
    </row>
    <row r="234" spans="2:46" x14ac:dyDescent="0.25">
      <c r="B234" s="2316"/>
      <c r="C234" s="2310" t="s">
        <v>1317</v>
      </c>
      <c r="D234" s="2311" t="s">
        <v>1315</v>
      </c>
      <c r="E234" s="2312"/>
      <c r="F234" s="2311"/>
      <c r="G234" s="2322">
        <f>G233*G232</f>
        <v>0</v>
      </c>
      <c r="H234" s="2322" t="e">
        <f t="shared" ref="H234:AQ234" si="35">H233*H232</f>
        <v>#REF!</v>
      </c>
      <c r="I234" s="2322" t="e">
        <f t="shared" si="35"/>
        <v>#REF!</v>
      </c>
      <c r="J234" s="2322" t="e">
        <f t="shared" si="35"/>
        <v>#REF!</v>
      </c>
      <c r="K234" s="2322" t="e">
        <f t="shared" si="35"/>
        <v>#REF!</v>
      </c>
      <c r="L234" s="2322" t="e">
        <f t="shared" si="35"/>
        <v>#REF!</v>
      </c>
      <c r="M234" s="2322" t="e">
        <f t="shared" si="35"/>
        <v>#REF!</v>
      </c>
      <c r="N234" s="2322" t="e">
        <f>N233*N232</f>
        <v>#REF!</v>
      </c>
      <c r="O234" s="2322" t="e">
        <f t="shared" si="35"/>
        <v>#REF!</v>
      </c>
      <c r="P234" s="2322" t="e">
        <f t="shared" si="35"/>
        <v>#REF!</v>
      </c>
      <c r="Q234" s="2322" t="e">
        <f t="shared" si="35"/>
        <v>#REF!</v>
      </c>
      <c r="R234" s="2322" t="e">
        <f t="shared" si="35"/>
        <v>#REF!</v>
      </c>
      <c r="S234" s="2322" t="e">
        <f t="shared" si="35"/>
        <v>#REF!</v>
      </c>
      <c r="T234" s="2322" t="e">
        <f t="shared" si="35"/>
        <v>#REF!</v>
      </c>
      <c r="U234" s="2322" t="e">
        <f t="shared" si="35"/>
        <v>#REF!</v>
      </c>
      <c r="V234" s="2322" t="e">
        <f t="shared" si="35"/>
        <v>#REF!</v>
      </c>
      <c r="W234" s="2322" t="e">
        <f t="shared" si="35"/>
        <v>#REF!</v>
      </c>
      <c r="X234" s="2322" t="e">
        <f t="shared" si="35"/>
        <v>#REF!</v>
      </c>
      <c r="Y234" s="2322" t="e">
        <f t="shared" si="35"/>
        <v>#REF!</v>
      </c>
      <c r="Z234" s="2322" t="e">
        <f t="shared" si="35"/>
        <v>#REF!</v>
      </c>
      <c r="AA234" s="2322" t="e">
        <f t="shared" si="35"/>
        <v>#REF!</v>
      </c>
      <c r="AB234" s="2322" t="e">
        <f t="shared" si="35"/>
        <v>#REF!</v>
      </c>
      <c r="AC234" s="2322" t="e">
        <f t="shared" si="35"/>
        <v>#REF!</v>
      </c>
      <c r="AD234" s="2322" t="e">
        <f t="shared" si="35"/>
        <v>#REF!</v>
      </c>
      <c r="AE234" s="2322" t="e">
        <f t="shared" si="35"/>
        <v>#REF!</v>
      </c>
      <c r="AF234" s="2322" t="e">
        <f t="shared" si="35"/>
        <v>#REF!</v>
      </c>
      <c r="AG234" s="2322" t="e">
        <f t="shared" si="35"/>
        <v>#REF!</v>
      </c>
      <c r="AH234" s="2322" t="e">
        <f t="shared" si="35"/>
        <v>#REF!</v>
      </c>
      <c r="AI234" s="2322" t="e">
        <f t="shared" si="35"/>
        <v>#REF!</v>
      </c>
      <c r="AJ234" s="2322" t="e">
        <f t="shared" si="35"/>
        <v>#REF!</v>
      </c>
      <c r="AK234" s="2322" t="e">
        <f t="shared" si="35"/>
        <v>#REF!</v>
      </c>
      <c r="AL234" s="2322" t="e">
        <f t="shared" si="35"/>
        <v>#REF!</v>
      </c>
      <c r="AM234" s="2322" t="e">
        <f t="shared" si="35"/>
        <v>#REF!</v>
      </c>
      <c r="AN234" s="2322" t="e">
        <f t="shared" si="35"/>
        <v>#REF!</v>
      </c>
      <c r="AO234" s="2322" t="e">
        <f t="shared" si="35"/>
        <v>#REF!</v>
      </c>
      <c r="AP234" s="2322" t="e">
        <f t="shared" si="35"/>
        <v>#REF!</v>
      </c>
      <c r="AQ234" s="2322" t="e">
        <f t="shared" si="35"/>
        <v>#REF!</v>
      </c>
    </row>
    <row r="235" spans="2:46" x14ac:dyDescent="0.25">
      <c r="B235" s="2323"/>
      <c r="C235" s="2310" t="s">
        <v>1318</v>
      </c>
      <c r="D235" s="2311" t="s">
        <v>1319</v>
      </c>
      <c r="E235" s="2243"/>
      <c r="F235" s="2243"/>
      <c r="G235" s="2314">
        <v>2686</v>
      </c>
      <c r="H235" s="2314">
        <v>2686</v>
      </c>
      <c r="I235" s="2314">
        <v>2686</v>
      </c>
      <c r="J235" s="2314">
        <v>2686</v>
      </c>
      <c r="K235" s="2314">
        <v>2686</v>
      </c>
      <c r="L235" s="2314">
        <v>2686</v>
      </c>
      <c r="M235" s="2314">
        <v>2686</v>
      </c>
      <c r="N235" s="2314">
        <v>2686</v>
      </c>
      <c r="O235" s="2314">
        <v>2686</v>
      </c>
      <c r="P235" s="2314">
        <v>2686</v>
      </c>
      <c r="Q235" s="2314">
        <v>2686</v>
      </c>
      <c r="R235" s="2314">
        <v>2686</v>
      </c>
      <c r="S235" s="2314">
        <v>2686</v>
      </c>
      <c r="T235" s="2314">
        <v>2686</v>
      </c>
      <c r="U235" s="2314">
        <v>2686</v>
      </c>
      <c r="V235" s="2314">
        <v>2686</v>
      </c>
      <c r="W235" s="2314">
        <v>2686</v>
      </c>
      <c r="X235" s="2314">
        <v>2686</v>
      </c>
      <c r="Y235" s="2314">
        <v>2686</v>
      </c>
      <c r="Z235" s="2314">
        <v>2686</v>
      </c>
      <c r="AA235" s="2314">
        <v>2686</v>
      </c>
      <c r="AB235" s="2314">
        <v>2686</v>
      </c>
      <c r="AC235" s="2314">
        <v>2686</v>
      </c>
      <c r="AD235" s="2314">
        <v>2686</v>
      </c>
      <c r="AE235" s="2314">
        <v>2686</v>
      </c>
      <c r="AF235" s="2314">
        <v>2686</v>
      </c>
      <c r="AG235" s="2314">
        <v>2686</v>
      </c>
      <c r="AH235" s="2314">
        <v>2686</v>
      </c>
      <c r="AI235" s="2314">
        <v>2686</v>
      </c>
      <c r="AJ235" s="2314">
        <v>2686</v>
      </c>
      <c r="AK235" s="2314">
        <v>2686</v>
      </c>
      <c r="AL235" s="2314">
        <v>2686</v>
      </c>
      <c r="AM235" s="2314">
        <v>2686</v>
      </c>
      <c r="AN235" s="2314">
        <v>2686</v>
      </c>
      <c r="AO235" s="2314">
        <v>2686</v>
      </c>
      <c r="AP235" s="2314">
        <v>2686</v>
      </c>
      <c r="AQ235" s="2314">
        <v>2686</v>
      </c>
    </row>
    <row r="236" spans="2:46" x14ac:dyDescent="0.25">
      <c r="B236" s="2316"/>
      <c r="C236" s="2310" t="s">
        <v>1320</v>
      </c>
      <c r="D236" s="2311" t="s">
        <v>1031</v>
      </c>
      <c r="E236" s="2243"/>
      <c r="F236" s="2243"/>
      <c r="G236" s="2317">
        <v>0.3</v>
      </c>
      <c r="H236" s="2317">
        <v>0.3</v>
      </c>
      <c r="I236" s="2317">
        <v>0.3</v>
      </c>
      <c r="J236" s="2317">
        <v>0.3</v>
      </c>
      <c r="K236" s="2317">
        <v>0.3</v>
      </c>
      <c r="L236" s="2317">
        <v>0.3</v>
      </c>
      <c r="M236" s="2317">
        <v>0.3</v>
      </c>
      <c r="N236" s="2317">
        <v>0.3</v>
      </c>
      <c r="O236" s="2317">
        <v>0.3</v>
      </c>
      <c r="P236" s="2317">
        <v>0.3</v>
      </c>
      <c r="Q236" s="2317">
        <v>0.3</v>
      </c>
      <c r="R236" s="2317">
        <v>0.3</v>
      </c>
      <c r="S236" s="2317">
        <v>0.3</v>
      </c>
      <c r="T236" s="2317">
        <v>0.3</v>
      </c>
      <c r="U236" s="2317">
        <v>0.3</v>
      </c>
      <c r="V236" s="2317">
        <v>0.3</v>
      </c>
      <c r="W236" s="2317">
        <v>0.3</v>
      </c>
      <c r="X236" s="2317">
        <v>0.3</v>
      </c>
      <c r="Y236" s="2317">
        <v>0.3</v>
      </c>
      <c r="Z236" s="2317">
        <v>0.3</v>
      </c>
      <c r="AA236" s="2317">
        <v>0.3</v>
      </c>
      <c r="AB236" s="2317">
        <v>0.3</v>
      </c>
      <c r="AC236" s="2317">
        <v>0.3</v>
      </c>
      <c r="AD236" s="2317">
        <v>0.3</v>
      </c>
      <c r="AE236" s="2317">
        <v>0.3</v>
      </c>
      <c r="AF236" s="2317">
        <v>0.3</v>
      </c>
      <c r="AG236" s="2317">
        <v>0.3</v>
      </c>
      <c r="AH236" s="2317">
        <v>0.3</v>
      </c>
      <c r="AI236" s="2317">
        <v>0.3</v>
      </c>
      <c r="AJ236" s="2317">
        <v>0.3</v>
      </c>
      <c r="AK236" s="2317">
        <v>0.3</v>
      </c>
      <c r="AL236" s="2317">
        <v>0.3</v>
      </c>
      <c r="AM236" s="2317">
        <v>0.3</v>
      </c>
      <c r="AN236" s="2317">
        <v>0.3</v>
      </c>
      <c r="AO236" s="2317">
        <v>0.3</v>
      </c>
      <c r="AP236" s="2317">
        <v>0.3</v>
      </c>
      <c r="AQ236" s="2317">
        <v>0.3</v>
      </c>
    </row>
    <row r="237" spans="2:46" x14ac:dyDescent="0.25">
      <c r="B237" s="2316"/>
      <c r="C237" s="2310" t="s">
        <v>1321</v>
      </c>
      <c r="D237" s="2311" t="s">
        <v>1322</v>
      </c>
      <c r="E237" s="2243"/>
      <c r="F237" s="2243"/>
      <c r="G237" s="2314">
        <v>1162.952</v>
      </c>
      <c r="H237" s="2314">
        <v>1162.952</v>
      </c>
      <c r="I237" s="2314">
        <v>1162.952</v>
      </c>
      <c r="J237" s="2314">
        <v>1162.952</v>
      </c>
      <c r="K237" s="2314">
        <v>1162.952</v>
      </c>
      <c r="L237" s="2314">
        <v>1162.952</v>
      </c>
      <c r="M237" s="2314">
        <v>1162.952</v>
      </c>
      <c r="N237" s="2314">
        <v>1162.952</v>
      </c>
      <c r="O237" s="2314">
        <v>1162.952</v>
      </c>
      <c r="P237" s="2314">
        <v>1162.952</v>
      </c>
      <c r="Q237" s="2314">
        <v>1162.952</v>
      </c>
      <c r="R237" s="2314">
        <v>1162.952</v>
      </c>
      <c r="S237" s="2314">
        <v>1162.952</v>
      </c>
      <c r="T237" s="2314">
        <v>1162.952</v>
      </c>
      <c r="U237" s="2314">
        <v>1162.952</v>
      </c>
      <c r="V237" s="2314">
        <v>1162.952</v>
      </c>
      <c r="W237" s="2314">
        <v>1162.952</v>
      </c>
      <c r="X237" s="2314">
        <v>1162.952</v>
      </c>
      <c r="Y237" s="2314">
        <v>1162.952</v>
      </c>
      <c r="Z237" s="2314">
        <v>1162.952</v>
      </c>
      <c r="AA237" s="2314">
        <v>1162.952</v>
      </c>
      <c r="AB237" s="2314">
        <v>1162.952</v>
      </c>
      <c r="AC237" s="2314">
        <v>1162.952</v>
      </c>
      <c r="AD237" s="2314">
        <v>1162.952</v>
      </c>
      <c r="AE237" s="2314">
        <v>1162.952</v>
      </c>
      <c r="AF237" s="2314">
        <v>1162.952</v>
      </c>
      <c r="AG237" s="2314">
        <v>1162.952</v>
      </c>
      <c r="AH237" s="2314">
        <v>1162.952</v>
      </c>
      <c r="AI237" s="2314">
        <v>1162.952</v>
      </c>
      <c r="AJ237" s="2314">
        <v>1162.952</v>
      </c>
      <c r="AK237" s="2314">
        <v>1162.952</v>
      </c>
      <c r="AL237" s="2314">
        <v>1162.952</v>
      </c>
      <c r="AM237" s="2314">
        <v>1162.952</v>
      </c>
      <c r="AN237" s="2314">
        <v>1162.952</v>
      </c>
      <c r="AO237" s="2314">
        <v>1162.952</v>
      </c>
      <c r="AP237" s="2314">
        <v>1162.952</v>
      </c>
      <c r="AQ237" s="2314">
        <v>1162.952</v>
      </c>
    </row>
    <row r="238" spans="2:46" x14ac:dyDescent="0.25">
      <c r="B238" s="2316"/>
      <c r="C238" s="2310" t="s">
        <v>1323</v>
      </c>
      <c r="D238" s="2311" t="s">
        <v>1152</v>
      </c>
      <c r="E238" s="2243"/>
      <c r="F238" s="2243"/>
      <c r="G238" s="2324">
        <f>G237*G236*G235*G234/10^6</f>
        <v>0</v>
      </c>
      <c r="H238" s="2324" t="e">
        <f t="shared" ref="H238:AP238" si="36">H237*H236*H235*H234/10^6</f>
        <v>#REF!</v>
      </c>
      <c r="I238" s="2324" t="e">
        <f t="shared" si="36"/>
        <v>#REF!</v>
      </c>
      <c r="J238" s="2324" t="e">
        <f t="shared" si="36"/>
        <v>#REF!</v>
      </c>
      <c r="K238" s="2324" t="e">
        <f t="shared" si="36"/>
        <v>#REF!</v>
      </c>
      <c r="L238" s="2324" t="e">
        <f t="shared" si="36"/>
        <v>#REF!</v>
      </c>
      <c r="M238" s="2324" t="e">
        <f t="shared" si="36"/>
        <v>#REF!</v>
      </c>
      <c r="N238" s="2324" t="e">
        <f t="shared" si="36"/>
        <v>#REF!</v>
      </c>
      <c r="O238" s="2324" t="e">
        <f t="shared" si="36"/>
        <v>#REF!</v>
      </c>
      <c r="P238" s="2324" t="e">
        <f t="shared" si="36"/>
        <v>#REF!</v>
      </c>
      <c r="Q238" s="2324" t="e">
        <f t="shared" si="36"/>
        <v>#REF!</v>
      </c>
      <c r="R238" s="2324" t="e">
        <f t="shared" si="36"/>
        <v>#REF!</v>
      </c>
      <c r="S238" s="2324" t="e">
        <f t="shared" si="36"/>
        <v>#REF!</v>
      </c>
      <c r="T238" s="2324" t="e">
        <f t="shared" si="36"/>
        <v>#REF!</v>
      </c>
      <c r="U238" s="2324" t="e">
        <f t="shared" si="36"/>
        <v>#REF!</v>
      </c>
      <c r="V238" s="2324" t="e">
        <f t="shared" si="36"/>
        <v>#REF!</v>
      </c>
      <c r="W238" s="2324" t="e">
        <f t="shared" si="36"/>
        <v>#REF!</v>
      </c>
      <c r="X238" s="2324" t="e">
        <f t="shared" si="36"/>
        <v>#REF!</v>
      </c>
      <c r="Y238" s="2324" t="e">
        <f t="shared" si="36"/>
        <v>#REF!</v>
      </c>
      <c r="Z238" s="2324" t="e">
        <f t="shared" si="36"/>
        <v>#REF!</v>
      </c>
      <c r="AA238" s="2324" t="e">
        <f t="shared" si="36"/>
        <v>#REF!</v>
      </c>
      <c r="AB238" s="2324" t="e">
        <f t="shared" si="36"/>
        <v>#REF!</v>
      </c>
      <c r="AC238" s="2324" t="e">
        <f t="shared" si="36"/>
        <v>#REF!</v>
      </c>
      <c r="AD238" s="2324" t="e">
        <f t="shared" si="36"/>
        <v>#REF!</v>
      </c>
      <c r="AE238" s="2324" t="e">
        <f t="shared" si="36"/>
        <v>#REF!</v>
      </c>
      <c r="AF238" s="2324" t="e">
        <f t="shared" si="36"/>
        <v>#REF!</v>
      </c>
      <c r="AG238" s="2324" t="e">
        <f t="shared" si="36"/>
        <v>#REF!</v>
      </c>
      <c r="AH238" s="2324" t="e">
        <f t="shared" si="36"/>
        <v>#REF!</v>
      </c>
      <c r="AI238" s="2324" t="e">
        <f t="shared" si="36"/>
        <v>#REF!</v>
      </c>
      <c r="AJ238" s="2324" t="e">
        <f t="shared" si="36"/>
        <v>#REF!</v>
      </c>
      <c r="AK238" s="2324" t="e">
        <f t="shared" si="36"/>
        <v>#REF!</v>
      </c>
      <c r="AL238" s="2324" t="e">
        <f t="shared" si="36"/>
        <v>#REF!</v>
      </c>
      <c r="AM238" s="2324" t="e">
        <f t="shared" si="36"/>
        <v>#REF!</v>
      </c>
      <c r="AN238" s="2324" t="e">
        <f t="shared" si="36"/>
        <v>#REF!</v>
      </c>
      <c r="AO238" s="2324" t="e">
        <f t="shared" si="36"/>
        <v>#REF!</v>
      </c>
      <c r="AP238" s="2324" t="e">
        <f t="shared" si="36"/>
        <v>#REF!</v>
      </c>
      <c r="AQ238" s="2324" t="e">
        <f>AQ237*AQ236*AQ235*AQ234/10^6</f>
        <v>#REF!</v>
      </c>
    </row>
    <row r="239" spans="2:46" x14ac:dyDescent="0.25">
      <c r="B239" s="2316"/>
      <c r="C239" s="2310" t="s">
        <v>233</v>
      </c>
      <c r="D239" s="2311" t="s">
        <v>1324</v>
      </c>
      <c r="E239" s="2243"/>
      <c r="F239" s="2243"/>
      <c r="G239" s="2325">
        <v>0.8</v>
      </c>
      <c r="H239" s="2325">
        <v>0.8</v>
      </c>
      <c r="I239" s="2325">
        <v>0.8</v>
      </c>
      <c r="J239" s="2325">
        <v>0.8</v>
      </c>
      <c r="K239" s="2325">
        <v>0.8</v>
      </c>
      <c r="L239" s="2325">
        <v>0.8</v>
      </c>
      <c r="M239" s="2325">
        <v>0.8</v>
      </c>
      <c r="N239" s="2325">
        <v>0.8</v>
      </c>
      <c r="O239" s="2325">
        <v>0.8</v>
      </c>
      <c r="P239" s="2325">
        <v>0.8</v>
      </c>
      <c r="Q239" s="2325">
        <v>0.8</v>
      </c>
      <c r="R239" s="2325">
        <v>0.8</v>
      </c>
      <c r="S239" s="2325">
        <v>0.8</v>
      </c>
      <c r="T239" s="2325">
        <v>0.8</v>
      </c>
      <c r="U239" s="2325">
        <v>0.8</v>
      </c>
      <c r="V239" s="2325">
        <v>0.8</v>
      </c>
      <c r="W239" s="2325">
        <v>0.8</v>
      </c>
      <c r="X239" s="2325">
        <v>0.8</v>
      </c>
      <c r="Y239" s="2325">
        <v>0.8</v>
      </c>
      <c r="Z239" s="2325">
        <v>0.8</v>
      </c>
      <c r="AA239" s="2325">
        <v>0.8</v>
      </c>
      <c r="AB239" s="2325">
        <v>0.8</v>
      </c>
      <c r="AC239" s="2325">
        <v>0.8</v>
      </c>
      <c r="AD239" s="2325">
        <v>0.8</v>
      </c>
      <c r="AE239" s="2325">
        <v>0.8</v>
      </c>
      <c r="AF239" s="2325">
        <v>0.8</v>
      </c>
      <c r="AG239" s="2325">
        <v>0.8</v>
      </c>
      <c r="AH239" s="2325">
        <v>0.8</v>
      </c>
      <c r="AI239" s="2325">
        <v>0.8</v>
      </c>
      <c r="AJ239" s="2325">
        <v>0.8</v>
      </c>
      <c r="AK239" s="2325">
        <v>0.8</v>
      </c>
      <c r="AL239" s="2325">
        <v>0.8</v>
      </c>
      <c r="AM239" s="2325">
        <v>0.8</v>
      </c>
      <c r="AN239" s="2325">
        <v>0.8</v>
      </c>
      <c r="AO239" s="2325">
        <v>0.8</v>
      </c>
      <c r="AP239" s="2325">
        <v>0.8</v>
      </c>
      <c r="AQ239" s="2325">
        <v>0.8</v>
      </c>
    </row>
    <row r="240" spans="2:46" x14ac:dyDescent="0.25">
      <c r="B240" s="2316"/>
      <c r="C240" s="2319" t="s">
        <v>1325</v>
      </c>
      <c r="D240" s="2311" t="s">
        <v>1146</v>
      </c>
      <c r="E240" s="2326"/>
      <c r="F240" s="2326"/>
      <c r="G240" s="2324">
        <f>G238*10^3/(8760*G239)</f>
        <v>0</v>
      </c>
      <c r="H240" s="2324" t="e">
        <f>IF(H238*10^3/(8760*H239)&gt;G240,H238*10^3/(8760*H239),G240)</f>
        <v>#REF!</v>
      </c>
      <c r="I240" s="2324" t="e">
        <f t="shared" ref="I240:AQ240" si="37">IF(I238*10^3/(8760*I239)&gt;H240,I238*10^3/(8760*I239),H240)</f>
        <v>#REF!</v>
      </c>
      <c r="J240" s="2324" t="e">
        <f t="shared" si="37"/>
        <v>#REF!</v>
      </c>
      <c r="K240" s="2324" t="e">
        <f t="shared" si="37"/>
        <v>#REF!</v>
      </c>
      <c r="L240" s="2324" t="e">
        <f t="shared" si="37"/>
        <v>#REF!</v>
      </c>
      <c r="M240" s="2324" t="e">
        <f t="shared" si="37"/>
        <v>#REF!</v>
      </c>
      <c r="N240" s="2324" t="e">
        <f t="shared" si="37"/>
        <v>#REF!</v>
      </c>
      <c r="O240" s="2324" t="e">
        <f t="shared" si="37"/>
        <v>#REF!</v>
      </c>
      <c r="P240" s="2324" t="e">
        <f t="shared" si="37"/>
        <v>#REF!</v>
      </c>
      <c r="Q240" s="2324" t="e">
        <f t="shared" si="37"/>
        <v>#REF!</v>
      </c>
      <c r="R240" s="2324" t="e">
        <f t="shared" si="37"/>
        <v>#REF!</v>
      </c>
      <c r="S240" s="2324" t="e">
        <f t="shared" si="37"/>
        <v>#REF!</v>
      </c>
      <c r="T240" s="2324" t="e">
        <f t="shared" si="37"/>
        <v>#REF!</v>
      </c>
      <c r="U240" s="2324" t="e">
        <f t="shared" si="37"/>
        <v>#REF!</v>
      </c>
      <c r="V240" s="2324" t="e">
        <f t="shared" si="37"/>
        <v>#REF!</v>
      </c>
      <c r="W240" s="2324" t="e">
        <f t="shared" si="37"/>
        <v>#REF!</v>
      </c>
      <c r="X240" s="2324" t="e">
        <f t="shared" si="37"/>
        <v>#REF!</v>
      </c>
      <c r="Y240" s="2324" t="e">
        <f t="shared" si="37"/>
        <v>#REF!</v>
      </c>
      <c r="Z240" s="2324" t="e">
        <f t="shared" si="37"/>
        <v>#REF!</v>
      </c>
      <c r="AA240" s="2324" t="e">
        <f t="shared" si="37"/>
        <v>#REF!</v>
      </c>
      <c r="AB240" s="2324" t="e">
        <f t="shared" si="37"/>
        <v>#REF!</v>
      </c>
      <c r="AC240" s="2324" t="e">
        <f t="shared" si="37"/>
        <v>#REF!</v>
      </c>
      <c r="AD240" s="2324" t="e">
        <f t="shared" si="37"/>
        <v>#REF!</v>
      </c>
      <c r="AE240" s="2324" t="e">
        <f t="shared" si="37"/>
        <v>#REF!</v>
      </c>
      <c r="AF240" s="2324" t="e">
        <f t="shared" si="37"/>
        <v>#REF!</v>
      </c>
      <c r="AG240" s="2324" t="e">
        <f t="shared" si="37"/>
        <v>#REF!</v>
      </c>
      <c r="AH240" s="2324" t="e">
        <f t="shared" si="37"/>
        <v>#REF!</v>
      </c>
      <c r="AI240" s="2324" t="e">
        <f t="shared" si="37"/>
        <v>#REF!</v>
      </c>
      <c r="AJ240" s="2324" t="e">
        <f t="shared" si="37"/>
        <v>#REF!</v>
      </c>
      <c r="AK240" s="2324" t="e">
        <f t="shared" si="37"/>
        <v>#REF!</v>
      </c>
      <c r="AL240" s="2324" t="e">
        <f t="shared" si="37"/>
        <v>#REF!</v>
      </c>
      <c r="AM240" s="2324" t="e">
        <f t="shared" si="37"/>
        <v>#REF!</v>
      </c>
      <c r="AN240" s="2324" t="e">
        <f t="shared" si="37"/>
        <v>#REF!</v>
      </c>
      <c r="AO240" s="2324" t="e">
        <f t="shared" si="37"/>
        <v>#REF!</v>
      </c>
      <c r="AP240" s="2324" t="e">
        <f t="shared" si="37"/>
        <v>#REF!</v>
      </c>
      <c r="AQ240" s="2324" t="e">
        <f t="shared" si="37"/>
        <v>#REF!</v>
      </c>
    </row>
    <row r="241" spans="2:45" x14ac:dyDescent="0.25">
      <c r="B241" s="2316"/>
      <c r="C241" s="2319"/>
      <c r="D241" s="2311"/>
      <c r="E241" s="2326"/>
      <c r="F241" s="2326"/>
      <c r="G241" s="2324"/>
      <c r="H241" s="2324"/>
      <c r="I241" s="2324"/>
      <c r="J241" s="2324"/>
      <c r="K241" s="2324"/>
      <c r="L241" s="2324"/>
      <c r="M241" s="2324"/>
      <c r="N241" s="2324"/>
      <c r="O241" s="2324"/>
      <c r="P241" s="2324"/>
      <c r="Q241" s="2324"/>
      <c r="R241" s="2324"/>
      <c r="S241" s="2324"/>
      <c r="T241" s="2324"/>
      <c r="U241" s="2324"/>
      <c r="V241" s="2324"/>
      <c r="W241" s="2324"/>
      <c r="X241" s="2324"/>
      <c r="Y241" s="2324"/>
      <c r="Z241" s="2324"/>
      <c r="AA241" s="2324"/>
      <c r="AB241" s="2324"/>
      <c r="AC241" s="2324"/>
      <c r="AD241" s="2324"/>
      <c r="AE241" s="2324"/>
      <c r="AF241" s="2324"/>
      <c r="AG241" s="2324"/>
      <c r="AH241" s="2324"/>
      <c r="AI241" s="2324"/>
      <c r="AJ241" s="2324"/>
      <c r="AK241" s="2324"/>
      <c r="AL241" s="2324"/>
      <c r="AM241" s="2324"/>
      <c r="AN241" s="2324"/>
      <c r="AO241" s="2324"/>
      <c r="AP241" s="2324"/>
      <c r="AQ241" s="2324"/>
    </row>
    <row r="242" spans="2:45" x14ac:dyDescent="0.25">
      <c r="B242" s="2309" t="s">
        <v>1326</v>
      </c>
      <c r="C242" s="2310" t="s">
        <v>1327</v>
      </c>
      <c r="D242" s="2311" t="s">
        <v>1328</v>
      </c>
      <c r="E242" s="2326"/>
      <c r="F242" s="2326"/>
      <c r="G242" s="2324">
        <f>G238*G149</f>
        <v>0</v>
      </c>
      <c r="H242" s="2324" t="e">
        <f t="shared" ref="H242:AQ242" si="38">H238*H149</f>
        <v>#REF!</v>
      </c>
      <c r="I242" s="2324" t="e">
        <f t="shared" si="38"/>
        <v>#REF!</v>
      </c>
      <c r="J242" s="2324" t="e">
        <f t="shared" si="38"/>
        <v>#REF!</v>
      </c>
      <c r="K242" s="2324" t="e">
        <f t="shared" si="38"/>
        <v>#REF!</v>
      </c>
      <c r="L242" s="2324" t="e">
        <f t="shared" si="38"/>
        <v>#REF!</v>
      </c>
      <c r="M242" s="2324" t="e">
        <f t="shared" si="38"/>
        <v>#REF!</v>
      </c>
      <c r="N242" s="2324" t="e">
        <f t="shared" si="38"/>
        <v>#REF!</v>
      </c>
      <c r="O242" s="2324" t="e">
        <f t="shared" si="38"/>
        <v>#REF!</v>
      </c>
      <c r="P242" s="2324" t="e">
        <f t="shared" si="38"/>
        <v>#REF!</v>
      </c>
      <c r="Q242" s="2324" t="e">
        <f t="shared" si="38"/>
        <v>#REF!</v>
      </c>
      <c r="R242" s="2324" t="e">
        <f t="shared" si="38"/>
        <v>#REF!</v>
      </c>
      <c r="S242" s="2324" t="e">
        <f t="shared" si="38"/>
        <v>#REF!</v>
      </c>
      <c r="T242" s="2324" t="e">
        <f t="shared" si="38"/>
        <v>#REF!</v>
      </c>
      <c r="U242" s="2324" t="e">
        <f t="shared" si="38"/>
        <v>#REF!</v>
      </c>
      <c r="V242" s="2324" t="e">
        <f t="shared" si="38"/>
        <v>#REF!</v>
      </c>
      <c r="W242" s="2324" t="e">
        <f t="shared" si="38"/>
        <v>#REF!</v>
      </c>
      <c r="X242" s="2324" t="e">
        <f t="shared" si="38"/>
        <v>#REF!</v>
      </c>
      <c r="Y242" s="2324" t="e">
        <f t="shared" si="38"/>
        <v>#REF!</v>
      </c>
      <c r="Z242" s="2324" t="e">
        <f t="shared" si="38"/>
        <v>#REF!</v>
      </c>
      <c r="AA242" s="2324" t="e">
        <f t="shared" si="38"/>
        <v>#REF!</v>
      </c>
      <c r="AB242" s="2324" t="e">
        <f t="shared" si="38"/>
        <v>#REF!</v>
      </c>
      <c r="AC242" s="2324" t="e">
        <f t="shared" si="38"/>
        <v>#REF!</v>
      </c>
      <c r="AD242" s="2324" t="e">
        <f t="shared" si="38"/>
        <v>#REF!</v>
      </c>
      <c r="AE242" s="2324" t="e">
        <f t="shared" si="38"/>
        <v>#REF!</v>
      </c>
      <c r="AF242" s="2324" t="e">
        <f t="shared" si="38"/>
        <v>#REF!</v>
      </c>
      <c r="AG242" s="2324" t="e">
        <f t="shared" si="38"/>
        <v>#REF!</v>
      </c>
      <c r="AH242" s="2324" t="e">
        <f t="shared" si="38"/>
        <v>#REF!</v>
      </c>
      <c r="AI242" s="2324" t="e">
        <f t="shared" si="38"/>
        <v>#REF!</v>
      </c>
      <c r="AJ242" s="2324" t="e">
        <f t="shared" si="38"/>
        <v>#REF!</v>
      </c>
      <c r="AK242" s="2324" t="e">
        <f t="shared" si="38"/>
        <v>#REF!</v>
      </c>
      <c r="AL242" s="2324" t="e">
        <f t="shared" si="38"/>
        <v>#REF!</v>
      </c>
      <c r="AM242" s="2324" t="e">
        <f t="shared" si="38"/>
        <v>#REF!</v>
      </c>
      <c r="AN242" s="2324" t="e">
        <f t="shared" si="38"/>
        <v>#REF!</v>
      </c>
      <c r="AO242" s="2324" t="e">
        <f t="shared" si="38"/>
        <v>#REF!</v>
      </c>
      <c r="AP242" s="2324" t="e">
        <f t="shared" si="38"/>
        <v>#REF!</v>
      </c>
      <c r="AQ242" s="2324" t="e">
        <f t="shared" si="38"/>
        <v>#REF!</v>
      </c>
    </row>
    <row r="243" spans="2:45" x14ac:dyDescent="0.25">
      <c r="B243" s="2316"/>
      <c r="C243" s="2319"/>
      <c r="D243" s="2311"/>
      <c r="E243" s="2326"/>
      <c r="F243" s="2326"/>
      <c r="G243" s="2324"/>
      <c r="H243" s="2324"/>
      <c r="I243" s="2324"/>
      <c r="J243" s="2324"/>
      <c r="K243" s="2324"/>
      <c r="L243" s="2324"/>
      <c r="M243" s="2324"/>
      <c r="N243" s="2324"/>
      <c r="O243" s="2324"/>
      <c r="P243" s="2324"/>
      <c r="Q243" s="2324"/>
      <c r="R243" s="2324"/>
      <c r="S243" s="2324"/>
      <c r="T243" s="2324"/>
      <c r="U243" s="2324"/>
      <c r="V243" s="2324"/>
      <c r="W243" s="2324"/>
      <c r="X243" s="2324"/>
      <c r="Y243" s="2324"/>
      <c r="Z243" s="2324"/>
      <c r="AA243" s="2324"/>
      <c r="AB243" s="2324"/>
      <c r="AC243" s="2324"/>
      <c r="AD243" s="2324"/>
      <c r="AE243" s="2324"/>
      <c r="AF243" s="2324"/>
      <c r="AG243" s="2324"/>
      <c r="AH243" s="2324"/>
      <c r="AI243" s="2324"/>
      <c r="AJ243" s="2324"/>
      <c r="AK243" s="2324"/>
      <c r="AL243" s="2324"/>
      <c r="AM243" s="2324"/>
      <c r="AN243" s="2324"/>
      <c r="AO243" s="2324"/>
      <c r="AP243" s="2324"/>
      <c r="AQ243" s="2324"/>
    </row>
    <row r="244" spans="2:45" x14ac:dyDescent="0.25">
      <c r="B244" s="2316"/>
      <c r="C244" s="2319"/>
      <c r="D244" s="2327"/>
      <c r="E244" s="2326"/>
      <c r="F244" s="2326"/>
      <c r="G244" s="2324"/>
      <c r="H244" s="2324"/>
      <c r="I244" s="2324"/>
      <c r="J244" s="2324"/>
      <c r="K244" s="2324"/>
      <c r="L244" s="2324"/>
      <c r="M244" s="2324"/>
      <c r="N244" s="2324"/>
      <c r="O244" s="2324"/>
      <c r="P244" s="2324"/>
      <c r="Q244" s="2324"/>
      <c r="R244" s="2324"/>
      <c r="S244" s="2324"/>
      <c r="T244" s="2324"/>
      <c r="U244" s="2324"/>
      <c r="V244" s="2324"/>
      <c r="W244" s="2324"/>
      <c r="X244" s="2324"/>
      <c r="Y244" s="2324"/>
      <c r="Z244" s="2324"/>
      <c r="AA244" s="2324"/>
      <c r="AB244" s="2324"/>
      <c r="AC244" s="2324"/>
      <c r="AD244" s="2324"/>
      <c r="AE244" s="2324"/>
      <c r="AF244" s="2324"/>
      <c r="AG244" s="2324"/>
      <c r="AH244" s="2324"/>
      <c r="AI244" s="2324"/>
      <c r="AJ244" s="2324"/>
      <c r="AK244" s="2324"/>
      <c r="AL244" s="2324"/>
      <c r="AM244" s="2324"/>
      <c r="AN244" s="2324"/>
      <c r="AO244" s="2324"/>
      <c r="AP244" s="2324"/>
      <c r="AQ244" s="2324"/>
    </row>
    <row r="245" spans="2:45" x14ac:dyDescent="0.25">
      <c r="B245" s="2316"/>
      <c r="C245" s="2319"/>
      <c r="D245" s="2327"/>
      <c r="E245" s="2327" t="s">
        <v>12</v>
      </c>
      <c r="F245" s="2305" t="s">
        <v>1329</v>
      </c>
      <c r="G245" s="2324"/>
      <c r="H245" s="2324"/>
      <c r="I245" s="2324"/>
      <c r="J245" s="2324"/>
      <c r="K245" s="2324"/>
      <c r="L245" s="2324"/>
      <c r="M245" s="2324"/>
      <c r="N245" s="2324"/>
      <c r="O245" s="2324"/>
      <c r="P245" s="2324"/>
      <c r="Q245" s="2324"/>
      <c r="R245" s="2324"/>
      <c r="S245" s="2324"/>
      <c r="T245" s="2324"/>
      <c r="U245" s="2324"/>
      <c r="V245" s="2324"/>
      <c r="W245" s="2324"/>
      <c r="X245" s="2324"/>
      <c r="Y245" s="2324"/>
      <c r="Z245" s="2324"/>
      <c r="AA245" s="2324"/>
      <c r="AB245" s="2324"/>
      <c r="AC245" s="2324"/>
      <c r="AD245" s="2324"/>
      <c r="AE245" s="2324"/>
      <c r="AF245" s="2324"/>
      <c r="AG245" s="2324"/>
      <c r="AH245" s="2324"/>
      <c r="AI245" s="2324"/>
      <c r="AJ245" s="2324"/>
      <c r="AK245" s="2324"/>
      <c r="AL245" s="2324"/>
      <c r="AM245" s="2324"/>
      <c r="AN245" s="2324"/>
      <c r="AO245" s="2324"/>
      <c r="AP245" s="2324"/>
      <c r="AQ245" s="2324"/>
    </row>
    <row r="246" spans="2:45" x14ac:dyDescent="0.25">
      <c r="B246" s="2316"/>
      <c r="C246" s="2319"/>
      <c r="D246" s="2327"/>
      <c r="E246" s="2327" t="s">
        <v>133</v>
      </c>
      <c r="F246" s="2305" t="s">
        <v>1330</v>
      </c>
      <c r="G246" s="2324"/>
      <c r="H246" s="2324"/>
      <c r="I246" s="2324"/>
      <c r="J246" s="2324"/>
      <c r="K246" s="2324"/>
      <c r="L246" s="2324"/>
      <c r="M246" s="2324"/>
      <c r="N246" s="2324"/>
      <c r="O246" s="2324"/>
      <c r="P246" s="2324"/>
      <c r="Q246" s="2324"/>
      <c r="R246" s="2324"/>
      <c r="S246" s="2324"/>
      <c r="T246" s="2324"/>
      <c r="U246" s="2324"/>
      <c r="V246" s="2324"/>
      <c r="W246" s="2324"/>
      <c r="X246" s="2324"/>
      <c r="Y246" s="2324"/>
      <c r="Z246" s="2324"/>
      <c r="AA246" s="2324"/>
      <c r="AB246" s="2324"/>
      <c r="AC246" s="2324"/>
      <c r="AD246" s="2324"/>
      <c r="AE246" s="2324"/>
      <c r="AF246" s="2324"/>
      <c r="AG246" s="2324"/>
      <c r="AH246" s="2324"/>
      <c r="AI246" s="2324"/>
      <c r="AJ246" s="2324"/>
      <c r="AK246" s="2324"/>
      <c r="AL246" s="2324"/>
      <c r="AM246" s="2324"/>
      <c r="AN246" s="2324"/>
      <c r="AO246" s="2324"/>
      <c r="AP246" s="2324"/>
      <c r="AQ246" s="2324"/>
    </row>
    <row r="247" spans="2:45" x14ac:dyDescent="0.25">
      <c r="B247" s="2328"/>
      <c r="C247" s="2243"/>
      <c r="D247" s="2243"/>
      <c r="E247" s="2327" t="s">
        <v>136</v>
      </c>
      <c r="F247" s="2305" t="s">
        <v>1331</v>
      </c>
      <c r="G247" s="2243"/>
      <c r="H247" s="2243"/>
      <c r="I247" s="2243"/>
      <c r="J247" s="2243"/>
      <c r="K247" s="2243"/>
      <c r="L247" s="2243"/>
      <c r="M247" s="2243"/>
      <c r="N247" s="2243"/>
      <c r="O247" s="2243"/>
      <c r="P247" s="2243"/>
      <c r="Q247" s="2243"/>
      <c r="R247" s="2243"/>
      <c r="S247" s="2243"/>
      <c r="T247" s="2243"/>
      <c r="U247" s="2243"/>
      <c r="V247" s="2243"/>
      <c r="W247" s="2243"/>
      <c r="X247" s="2243"/>
      <c r="Y247" s="2243"/>
      <c r="Z247" s="2243"/>
      <c r="AA247" s="2243"/>
      <c r="AB247" s="2243"/>
      <c r="AC247" s="2243"/>
      <c r="AD247" s="2243"/>
      <c r="AE247" s="2243"/>
      <c r="AF247" s="2243"/>
      <c r="AG247" s="2243"/>
      <c r="AH247" s="2243"/>
      <c r="AI247" s="2243"/>
      <c r="AJ247" s="2243"/>
      <c r="AK247" s="2243"/>
      <c r="AL247" s="2243"/>
      <c r="AM247" s="2243"/>
      <c r="AN247" s="2243"/>
      <c r="AO247" s="2243"/>
      <c r="AP247" s="2243"/>
      <c r="AQ247" s="2243"/>
    </row>
    <row r="248" spans="2:45" x14ac:dyDescent="0.25">
      <c r="B248" s="2328"/>
      <c r="E248" s="2329"/>
      <c r="AR248" s="2330"/>
      <c r="AS248" s="2330"/>
    </row>
    <row r="249" spans="2:45" ht="15.75" x14ac:dyDescent="0.25">
      <c r="B249" s="2199" t="s">
        <v>181</v>
      </c>
      <c r="C249" s="2331"/>
      <c r="D249" s="2201"/>
      <c r="E249" s="2202"/>
      <c r="F249" s="2202"/>
      <c r="G249" s="2202"/>
      <c r="H249" s="2202"/>
      <c r="I249" s="2202"/>
      <c r="J249" s="2202"/>
      <c r="K249" s="2202"/>
      <c r="L249" s="2202"/>
      <c r="M249" s="2202"/>
      <c r="N249" s="2202"/>
      <c r="O249" s="2202"/>
      <c r="P249" s="2202"/>
      <c r="Q249" s="2202"/>
      <c r="R249" s="2202"/>
      <c r="S249" s="2202"/>
      <c r="T249" s="2202"/>
      <c r="U249" s="2202"/>
      <c r="V249" s="2202"/>
      <c r="W249" s="2202"/>
      <c r="X249" s="2202"/>
      <c r="Y249" s="2202"/>
      <c r="Z249" s="2202"/>
      <c r="AA249" s="2202"/>
      <c r="AB249" s="2202"/>
      <c r="AC249" s="2202"/>
      <c r="AD249" s="2202"/>
      <c r="AE249" s="2202"/>
      <c r="AF249" s="2202"/>
      <c r="AG249" s="2202"/>
      <c r="AH249" s="2202"/>
      <c r="AI249" s="2202"/>
      <c r="AJ249" s="2202"/>
      <c r="AK249" s="2202"/>
      <c r="AL249" s="2202"/>
      <c r="AM249" s="2202"/>
      <c r="AN249" s="2202"/>
      <c r="AO249" s="2202"/>
      <c r="AP249" s="2202"/>
      <c r="AQ249" s="2202"/>
      <c r="AR249" s="2332"/>
      <c r="AS249" s="2332"/>
    </row>
    <row r="250" spans="2:45" x14ac:dyDescent="0.25">
      <c r="B250" s="2203"/>
      <c r="C250" s="2204"/>
      <c r="D250" s="2205"/>
      <c r="E250" s="2206"/>
      <c r="F250" s="2206"/>
      <c r="G250" s="2206"/>
      <c r="H250" s="2206"/>
      <c r="I250" s="2206"/>
      <c r="J250" s="2206"/>
      <c r="K250" s="2206"/>
      <c r="L250" s="2206"/>
      <c r="M250" s="2206"/>
      <c r="N250" s="2206"/>
      <c r="O250" s="2206"/>
      <c r="P250" s="2206"/>
      <c r="Q250" s="2206"/>
      <c r="R250" s="2206"/>
      <c r="S250" s="2206"/>
      <c r="T250" s="2206"/>
      <c r="U250" s="2206"/>
      <c r="V250" s="2206"/>
      <c r="W250" s="2206"/>
      <c r="X250" s="2206"/>
      <c r="Y250" s="2206"/>
      <c r="Z250" s="2206"/>
      <c r="AA250" s="2206"/>
      <c r="AB250" s="2206"/>
      <c r="AC250" s="2206"/>
      <c r="AD250" s="2206"/>
      <c r="AE250" s="2206"/>
      <c r="AF250" s="2206"/>
      <c r="AG250" s="2206"/>
      <c r="AH250" s="2206"/>
      <c r="AI250" s="2206"/>
      <c r="AJ250" s="2206"/>
      <c r="AK250" s="2206"/>
      <c r="AL250" s="2206"/>
      <c r="AM250" s="2206"/>
      <c r="AN250" s="2206"/>
      <c r="AO250" s="2206"/>
      <c r="AP250" s="2206"/>
      <c r="AQ250" s="2206"/>
      <c r="AR250" s="2333"/>
      <c r="AS250" s="2333"/>
    </row>
    <row r="251" spans="2:45" x14ac:dyDescent="0.25">
      <c r="B251" s="2334"/>
      <c r="C251" s="2335"/>
      <c r="D251" s="2336"/>
      <c r="E251" s="2336"/>
      <c r="F251" s="2336"/>
      <c r="G251" s="2337"/>
      <c r="H251" s="2337"/>
      <c r="I251" s="2337"/>
      <c r="J251" s="2337"/>
      <c r="K251" s="2337"/>
      <c r="L251" s="2337"/>
      <c r="M251" s="2337"/>
      <c r="N251" s="2337"/>
      <c r="O251" s="2337"/>
      <c r="P251" s="2337"/>
      <c r="Q251" s="2337"/>
      <c r="R251" s="2337"/>
      <c r="S251" s="2337"/>
      <c r="T251" s="2337"/>
      <c r="U251" s="2337"/>
      <c r="V251" s="2337"/>
      <c r="W251" s="2337"/>
      <c r="X251" s="2337"/>
      <c r="Y251" s="2337"/>
      <c r="Z251" s="2337"/>
      <c r="AA251" s="2337"/>
      <c r="AB251" s="2337"/>
      <c r="AC251" s="2337"/>
      <c r="AD251" s="2337"/>
      <c r="AE251" s="2337"/>
      <c r="AF251" s="2337"/>
      <c r="AG251" s="2337"/>
      <c r="AH251" s="2337"/>
      <c r="AI251" s="2337"/>
      <c r="AJ251" s="2337"/>
      <c r="AK251" s="2337"/>
      <c r="AL251" s="2337"/>
      <c r="AM251" s="2337"/>
      <c r="AN251" s="2337"/>
      <c r="AO251" s="2337"/>
      <c r="AP251" s="2337"/>
      <c r="AQ251" s="2337"/>
    </row>
    <row r="252" spans="2:45" x14ac:dyDescent="0.25">
      <c r="B252" s="2203"/>
      <c r="C252" s="2338" t="s">
        <v>1332</v>
      </c>
      <c r="D252" s="2339"/>
      <c r="E252" s="2340"/>
      <c r="F252" s="2340"/>
      <c r="G252" s="2340"/>
      <c r="H252" s="2340"/>
      <c r="I252" s="2340"/>
      <c r="J252" s="2340"/>
      <c r="K252" s="2340"/>
      <c r="L252" s="2340"/>
      <c r="M252" s="2340"/>
      <c r="N252" s="2340"/>
      <c r="O252" s="2340"/>
      <c r="P252" s="2340"/>
      <c r="Q252" s="2340"/>
      <c r="R252" s="2340"/>
      <c r="S252" s="2340"/>
      <c r="T252" s="2340"/>
      <c r="U252" s="2340"/>
      <c r="V252" s="2340"/>
      <c r="W252" s="2340"/>
      <c r="X252" s="2340"/>
      <c r="Y252" s="2340"/>
      <c r="Z252" s="2340"/>
      <c r="AA252" s="2340"/>
      <c r="AB252" s="2340"/>
      <c r="AC252" s="2340"/>
      <c r="AD252" s="2340"/>
      <c r="AE252" s="2340"/>
      <c r="AF252" s="2340"/>
      <c r="AG252" s="2340"/>
      <c r="AH252" s="2340"/>
      <c r="AI252" s="2340"/>
      <c r="AJ252" s="2340"/>
      <c r="AK252" s="2340"/>
      <c r="AL252" s="2340"/>
      <c r="AM252" s="2340"/>
      <c r="AN252" s="2340"/>
      <c r="AO252" s="2340"/>
      <c r="AP252" s="2340"/>
      <c r="AQ252" s="2340"/>
    </row>
    <row r="253" spans="2:45" x14ac:dyDescent="0.25">
      <c r="B253" s="2203"/>
      <c r="C253" s="2341" t="s">
        <v>242</v>
      </c>
      <c r="D253" s="2342" t="s">
        <v>1029</v>
      </c>
      <c r="E253" s="2342" t="s">
        <v>8</v>
      </c>
      <c r="F253" s="2343"/>
      <c r="G253" s="2342">
        <v>2014</v>
      </c>
      <c r="H253" s="2342">
        <v>2015</v>
      </c>
      <c r="I253" s="2342">
        <v>2016</v>
      </c>
      <c r="J253" s="2342">
        <v>2017</v>
      </c>
      <c r="K253" s="2342">
        <v>2018</v>
      </c>
      <c r="L253" s="2342">
        <v>2019</v>
      </c>
      <c r="M253" s="2342">
        <v>2020</v>
      </c>
      <c r="N253" s="2342">
        <v>2021</v>
      </c>
      <c r="O253" s="2342">
        <v>2022</v>
      </c>
      <c r="P253" s="2342">
        <v>2023</v>
      </c>
      <c r="Q253" s="2342">
        <v>2024</v>
      </c>
      <c r="R253" s="2342">
        <v>2025</v>
      </c>
      <c r="S253" s="2342">
        <v>2026</v>
      </c>
      <c r="T253" s="2342">
        <v>2027</v>
      </c>
      <c r="U253" s="2342">
        <v>2028</v>
      </c>
      <c r="V253" s="2342">
        <v>2029</v>
      </c>
      <c r="W253" s="2342">
        <v>2030</v>
      </c>
      <c r="X253" s="2342">
        <v>2031</v>
      </c>
      <c r="Y253" s="2342">
        <v>2032</v>
      </c>
      <c r="Z253" s="2342">
        <v>2033</v>
      </c>
      <c r="AA253" s="2342">
        <v>2034</v>
      </c>
      <c r="AB253" s="2342">
        <v>2035</v>
      </c>
      <c r="AC253" s="2342">
        <v>2036</v>
      </c>
      <c r="AD253" s="2342">
        <v>2037</v>
      </c>
      <c r="AE253" s="2342">
        <v>2038</v>
      </c>
      <c r="AF253" s="2342">
        <v>2039</v>
      </c>
      <c r="AG253" s="2342">
        <v>2040</v>
      </c>
      <c r="AH253" s="2342">
        <v>2041</v>
      </c>
      <c r="AI253" s="2342">
        <v>2042</v>
      </c>
      <c r="AJ253" s="2342">
        <v>2043</v>
      </c>
      <c r="AK253" s="2342">
        <v>2044</v>
      </c>
      <c r="AL253" s="2342">
        <v>2045</v>
      </c>
      <c r="AM253" s="2342">
        <v>2046</v>
      </c>
      <c r="AN253" s="2342">
        <v>2047</v>
      </c>
      <c r="AO253" s="2342">
        <v>2048</v>
      </c>
      <c r="AP253" s="2342">
        <v>2049</v>
      </c>
      <c r="AQ253" s="2342">
        <v>2050</v>
      </c>
    </row>
    <row r="254" spans="2:45" x14ac:dyDescent="0.25">
      <c r="B254" s="2203"/>
      <c r="C254" s="2339" t="s">
        <v>1333</v>
      </c>
      <c r="D254" s="2344" t="s">
        <v>1152</v>
      </c>
      <c r="E254" s="2344"/>
      <c r="F254" s="2344"/>
      <c r="G254" s="2345">
        <f t="shared" ref="G254:AQ254" si="39">G238</f>
        <v>0</v>
      </c>
      <c r="H254" s="2345" t="e">
        <f t="shared" si="39"/>
        <v>#REF!</v>
      </c>
      <c r="I254" s="2345" t="e">
        <f t="shared" si="39"/>
        <v>#REF!</v>
      </c>
      <c r="J254" s="2345" t="e">
        <f t="shared" si="39"/>
        <v>#REF!</v>
      </c>
      <c r="K254" s="2345" t="e">
        <f t="shared" si="39"/>
        <v>#REF!</v>
      </c>
      <c r="L254" s="2345" t="e">
        <f t="shared" si="39"/>
        <v>#REF!</v>
      </c>
      <c r="M254" s="2345" t="e">
        <f t="shared" si="39"/>
        <v>#REF!</v>
      </c>
      <c r="N254" s="2345" t="e">
        <f t="shared" si="39"/>
        <v>#REF!</v>
      </c>
      <c r="O254" s="2345" t="e">
        <f t="shared" si="39"/>
        <v>#REF!</v>
      </c>
      <c r="P254" s="2345" t="e">
        <f t="shared" si="39"/>
        <v>#REF!</v>
      </c>
      <c r="Q254" s="2345" t="e">
        <f t="shared" si="39"/>
        <v>#REF!</v>
      </c>
      <c r="R254" s="2345" t="e">
        <f t="shared" si="39"/>
        <v>#REF!</v>
      </c>
      <c r="S254" s="2345" t="e">
        <f t="shared" si="39"/>
        <v>#REF!</v>
      </c>
      <c r="T254" s="2345" t="e">
        <f t="shared" si="39"/>
        <v>#REF!</v>
      </c>
      <c r="U254" s="2345" t="e">
        <f t="shared" si="39"/>
        <v>#REF!</v>
      </c>
      <c r="V254" s="2345" t="e">
        <f t="shared" si="39"/>
        <v>#REF!</v>
      </c>
      <c r="W254" s="2345" t="e">
        <f t="shared" si="39"/>
        <v>#REF!</v>
      </c>
      <c r="X254" s="2345" t="e">
        <f t="shared" si="39"/>
        <v>#REF!</v>
      </c>
      <c r="Y254" s="2345" t="e">
        <f t="shared" si="39"/>
        <v>#REF!</v>
      </c>
      <c r="Z254" s="2345" t="e">
        <f t="shared" si="39"/>
        <v>#REF!</v>
      </c>
      <c r="AA254" s="2345" t="e">
        <f t="shared" si="39"/>
        <v>#REF!</v>
      </c>
      <c r="AB254" s="2345" t="e">
        <f t="shared" si="39"/>
        <v>#REF!</v>
      </c>
      <c r="AC254" s="2345" t="e">
        <f t="shared" si="39"/>
        <v>#REF!</v>
      </c>
      <c r="AD254" s="2345" t="e">
        <f t="shared" si="39"/>
        <v>#REF!</v>
      </c>
      <c r="AE254" s="2345" t="e">
        <f t="shared" si="39"/>
        <v>#REF!</v>
      </c>
      <c r="AF254" s="2345" t="e">
        <f t="shared" si="39"/>
        <v>#REF!</v>
      </c>
      <c r="AG254" s="2345" t="e">
        <f t="shared" si="39"/>
        <v>#REF!</v>
      </c>
      <c r="AH254" s="2345" t="e">
        <f t="shared" si="39"/>
        <v>#REF!</v>
      </c>
      <c r="AI254" s="2345" t="e">
        <f t="shared" si="39"/>
        <v>#REF!</v>
      </c>
      <c r="AJ254" s="2345" t="e">
        <f t="shared" si="39"/>
        <v>#REF!</v>
      </c>
      <c r="AK254" s="2345" t="e">
        <f t="shared" si="39"/>
        <v>#REF!</v>
      </c>
      <c r="AL254" s="2345" t="e">
        <f t="shared" si="39"/>
        <v>#REF!</v>
      </c>
      <c r="AM254" s="2345" t="e">
        <f t="shared" si="39"/>
        <v>#REF!</v>
      </c>
      <c r="AN254" s="2345" t="e">
        <f t="shared" si="39"/>
        <v>#REF!</v>
      </c>
      <c r="AO254" s="2345" t="e">
        <f t="shared" si="39"/>
        <v>#REF!</v>
      </c>
      <c r="AP254" s="2345" t="e">
        <f t="shared" si="39"/>
        <v>#REF!</v>
      </c>
      <c r="AQ254" s="2345" t="e">
        <f t="shared" si="39"/>
        <v>#REF!</v>
      </c>
    </row>
    <row r="255" spans="2:45" x14ac:dyDescent="0.25">
      <c r="B255" s="2203"/>
      <c r="C255" s="2346" t="s">
        <v>1334</v>
      </c>
      <c r="D255" s="2347" t="s">
        <v>1146</v>
      </c>
      <c r="E255" s="2347"/>
      <c r="F255" s="2347"/>
      <c r="G255" s="2348">
        <f>G240</f>
        <v>0</v>
      </c>
      <c r="H255" s="2348" t="e">
        <f t="shared" ref="H255:AQ255" si="40">H240</f>
        <v>#REF!</v>
      </c>
      <c r="I255" s="2348" t="e">
        <f t="shared" si="40"/>
        <v>#REF!</v>
      </c>
      <c r="J255" s="2348" t="e">
        <f t="shared" si="40"/>
        <v>#REF!</v>
      </c>
      <c r="K255" s="2348" t="e">
        <f t="shared" si="40"/>
        <v>#REF!</v>
      </c>
      <c r="L255" s="2348" t="e">
        <f t="shared" si="40"/>
        <v>#REF!</v>
      </c>
      <c r="M255" s="2348" t="e">
        <f t="shared" si="40"/>
        <v>#REF!</v>
      </c>
      <c r="N255" s="2348" t="e">
        <f t="shared" si="40"/>
        <v>#REF!</v>
      </c>
      <c r="O255" s="2348" t="e">
        <f t="shared" si="40"/>
        <v>#REF!</v>
      </c>
      <c r="P255" s="2348" t="e">
        <f t="shared" si="40"/>
        <v>#REF!</v>
      </c>
      <c r="Q255" s="2348" t="e">
        <f t="shared" si="40"/>
        <v>#REF!</v>
      </c>
      <c r="R255" s="2348" t="e">
        <f t="shared" si="40"/>
        <v>#REF!</v>
      </c>
      <c r="S255" s="2348" t="e">
        <f t="shared" si="40"/>
        <v>#REF!</v>
      </c>
      <c r="T255" s="2348" t="e">
        <f t="shared" si="40"/>
        <v>#REF!</v>
      </c>
      <c r="U255" s="2348" t="e">
        <f t="shared" si="40"/>
        <v>#REF!</v>
      </c>
      <c r="V255" s="2348" t="e">
        <f t="shared" si="40"/>
        <v>#REF!</v>
      </c>
      <c r="W255" s="2348" t="e">
        <f t="shared" si="40"/>
        <v>#REF!</v>
      </c>
      <c r="X255" s="2348" t="e">
        <f t="shared" si="40"/>
        <v>#REF!</v>
      </c>
      <c r="Y255" s="2348" t="e">
        <f t="shared" si="40"/>
        <v>#REF!</v>
      </c>
      <c r="Z255" s="2348" t="e">
        <f t="shared" si="40"/>
        <v>#REF!</v>
      </c>
      <c r="AA255" s="2348" t="e">
        <f t="shared" si="40"/>
        <v>#REF!</v>
      </c>
      <c r="AB255" s="2348" t="e">
        <f t="shared" si="40"/>
        <v>#REF!</v>
      </c>
      <c r="AC255" s="2348" t="e">
        <f t="shared" si="40"/>
        <v>#REF!</v>
      </c>
      <c r="AD255" s="2348" t="e">
        <f t="shared" si="40"/>
        <v>#REF!</v>
      </c>
      <c r="AE255" s="2348" t="e">
        <f t="shared" si="40"/>
        <v>#REF!</v>
      </c>
      <c r="AF255" s="2348" t="e">
        <f t="shared" si="40"/>
        <v>#REF!</v>
      </c>
      <c r="AG255" s="2348" t="e">
        <f t="shared" si="40"/>
        <v>#REF!</v>
      </c>
      <c r="AH255" s="2348" t="e">
        <f t="shared" si="40"/>
        <v>#REF!</v>
      </c>
      <c r="AI255" s="2348" t="e">
        <f t="shared" si="40"/>
        <v>#REF!</v>
      </c>
      <c r="AJ255" s="2348" t="e">
        <f t="shared" si="40"/>
        <v>#REF!</v>
      </c>
      <c r="AK255" s="2348" t="e">
        <f t="shared" si="40"/>
        <v>#REF!</v>
      </c>
      <c r="AL255" s="2348" t="e">
        <f t="shared" si="40"/>
        <v>#REF!</v>
      </c>
      <c r="AM255" s="2348" t="e">
        <f t="shared" si="40"/>
        <v>#REF!</v>
      </c>
      <c r="AN255" s="2348" t="e">
        <f t="shared" si="40"/>
        <v>#REF!</v>
      </c>
      <c r="AO255" s="2348" t="e">
        <f t="shared" si="40"/>
        <v>#REF!</v>
      </c>
      <c r="AP255" s="2348" t="e">
        <f t="shared" si="40"/>
        <v>#REF!</v>
      </c>
      <c r="AQ255" s="2348" t="e">
        <f t="shared" si="40"/>
        <v>#REF!</v>
      </c>
    </row>
    <row r="256" spans="2:45" x14ac:dyDescent="0.25">
      <c r="B256" s="2349"/>
      <c r="C256" s="2350"/>
      <c r="D256" s="2350"/>
      <c r="E256" s="2350"/>
      <c r="F256" s="2350"/>
      <c r="G256" s="2350"/>
      <c r="H256" s="2350"/>
      <c r="I256" s="2350"/>
      <c r="J256" s="2350"/>
      <c r="K256" s="2350"/>
      <c r="L256" s="2350"/>
      <c r="M256" s="2350"/>
      <c r="N256" s="2350"/>
      <c r="O256" s="2350"/>
      <c r="P256" s="2350"/>
      <c r="Q256" s="2350"/>
      <c r="R256" s="2350"/>
      <c r="S256" s="2350"/>
      <c r="T256" s="2350"/>
      <c r="U256" s="2350"/>
      <c r="V256" s="2350"/>
      <c r="W256" s="2350"/>
      <c r="X256" s="2350"/>
      <c r="Y256" s="2350"/>
      <c r="Z256" s="2350"/>
      <c r="AA256" s="2350"/>
      <c r="AB256" s="2350"/>
      <c r="AC256" s="2350"/>
      <c r="AD256" s="2350"/>
      <c r="AE256" s="2350"/>
      <c r="AF256" s="2350"/>
      <c r="AG256" s="2350"/>
      <c r="AH256" s="2350"/>
      <c r="AI256" s="2350"/>
      <c r="AJ256" s="2350"/>
      <c r="AK256" s="2350"/>
      <c r="AL256" s="2350"/>
      <c r="AM256" s="2350"/>
      <c r="AN256" s="2350"/>
      <c r="AO256" s="2350"/>
      <c r="AP256" s="2350"/>
      <c r="AQ256" s="2350"/>
    </row>
    <row r="257" spans="2:43" ht="15.75" x14ac:dyDescent="0.25">
      <c r="B257" s="2351"/>
      <c r="C257" s="2350"/>
      <c r="D257" s="2350"/>
      <c r="E257" s="2350"/>
      <c r="F257" s="2350"/>
      <c r="G257" s="2350"/>
      <c r="H257" s="2350"/>
      <c r="I257" s="2350"/>
      <c r="J257" s="2350"/>
      <c r="K257" s="2350"/>
      <c r="L257" s="2350"/>
      <c r="M257" s="2350"/>
      <c r="N257" s="2350"/>
      <c r="O257" s="2350"/>
      <c r="P257" s="2350"/>
      <c r="Q257" s="2350"/>
      <c r="R257" s="2350"/>
      <c r="S257" s="2350"/>
      <c r="T257" s="2350"/>
      <c r="U257" s="2350"/>
      <c r="V257" s="2350"/>
      <c r="W257" s="2350"/>
      <c r="X257" s="2350"/>
      <c r="Y257" s="2350"/>
      <c r="Z257" s="2350"/>
      <c r="AA257" s="2350"/>
      <c r="AB257" s="2350"/>
      <c r="AC257" s="2350"/>
      <c r="AD257" s="2350"/>
      <c r="AE257" s="2350"/>
      <c r="AF257" s="2350"/>
      <c r="AG257" s="2350"/>
      <c r="AH257" s="2350"/>
      <c r="AI257" s="2350"/>
      <c r="AJ257" s="2350"/>
      <c r="AK257" s="2350"/>
      <c r="AL257" s="2350"/>
      <c r="AM257" s="2350"/>
      <c r="AN257" s="2350"/>
      <c r="AO257" s="2350"/>
      <c r="AP257" s="2350"/>
      <c r="AQ257" s="2350"/>
    </row>
    <row r="258" spans="2:43" x14ac:dyDescent="0.25">
      <c r="B258" s="2349"/>
      <c r="C258" s="2350" t="s">
        <v>1335</v>
      </c>
      <c r="D258" s="2350"/>
      <c r="E258" s="2350"/>
      <c r="F258" s="2350"/>
      <c r="G258" s="2350"/>
      <c r="H258" s="2350"/>
      <c r="I258" s="2350"/>
      <c r="J258" s="2350"/>
      <c r="K258" s="2350"/>
      <c r="L258" s="2350"/>
      <c r="M258" s="2350"/>
      <c r="N258" s="2350"/>
      <c r="O258" s="2350"/>
      <c r="P258" s="2350"/>
      <c r="Q258" s="2350"/>
      <c r="R258" s="2350"/>
      <c r="S258" s="2350"/>
      <c r="T258" s="2350"/>
      <c r="U258" s="2350"/>
      <c r="V258" s="2350"/>
      <c r="W258" s="2350"/>
      <c r="X258" s="2350"/>
      <c r="Y258" s="2350"/>
      <c r="Z258" s="2350"/>
      <c r="AA258" s="2350"/>
      <c r="AB258" s="2350"/>
      <c r="AC258" s="2350"/>
      <c r="AD258" s="2350"/>
      <c r="AE258" s="2350"/>
      <c r="AF258" s="2350"/>
      <c r="AG258" s="2350"/>
      <c r="AH258" s="2350"/>
      <c r="AI258" s="2350"/>
      <c r="AJ258" s="2350"/>
      <c r="AK258" s="2350"/>
      <c r="AL258" s="2350"/>
      <c r="AM258" s="2350"/>
      <c r="AN258" s="2350"/>
      <c r="AO258" s="2350"/>
      <c r="AP258" s="2350"/>
      <c r="AQ258" s="2350"/>
    </row>
    <row r="259" spans="2:43" x14ac:dyDescent="0.25">
      <c r="B259" s="2349"/>
      <c r="C259" s="2341" t="s">
        <v>242</v>
      </c>
      <c r="D259" s="2342" t="s">
        <v>1029</v>
      </c>
      <c r="E259" s="2342" t="s">
        <v>8</v>
      </c>
      <c r="F259" s="2343"/>
      <c r="G259" s="2342">
        <v>2014</v>
      </c>
      <c r="H259" s="2342">
        <v>2015</v>
      </c>
      <c r="I259" s="2342">
        <v>2016</v>
      </c>
      <c r="J259" s="2342">
        <v>2017</v>
      </c>
      <c r="K259" s="2342">
        <v>2018</v>
      </c>
      <c r="L259" s="2342">
        <v>2019</v>
      </c>
      <c r="M259" s="2342">
        <v>2020</v>
      </c>
      <c r="N259" s="2342">
        <v>2021</v>
      </c>
      <c r="O259" s="2342">
        <v>2022</v>
      </c>
      <c r="P259" s="2342">
        <v>2023</v>
      </c>
      <c r="Q259" s="2342">
        <v>2024</v>
      </c>
      <c r="R259" s="2342">
        <v>2025</v>
      </c>
      <c r="S259" s="2342">
        <v>2026</v>
      </c>
      <c r="T259" s="2342">
        <v>2027</v>
      </c>
      <c r="U259" s="2342">
        <v>2028</v>
      </c>
      <c r="V259" s="2342">
        <v>2029</v>
      </c>
      <c r="W259" s="2342">
        <v>2030</v>
      </c>
      <c r="X259" s="2342">
        <v>2031</v>
      </c>
      <c r="Y259" s="2342">
        <v>2032</v>
      </c>
      <c r="Z259" s="2342">
        <v>2033</v>
      </c>
      <c r="AA259" s="2342">
        <v>2034</v>
      </c>
      <c r="AB259" s="2342">
        <v>2035</v>
      </c>
      <c r="AC259" s="2342">
        <v>2036</v>
      </c>
      <c r="AD259" s="2342">
        <v>2037</v>
      </c>
      <c r="AE259" s="2342">
        <v>2038</v>
      </c>
      <c r="AF259" s="2342">
        <v>2039</v>
      </c>
      <c r="AG259" s="2342">
        <v>2040</v>
      </c>
      <c r="AH259" s="2342">
        <v>2041</v>
      </c>
      <c r="AI259" s="2342">
        <v>2042</v>
      </c>
      <c r="AJ259" s="2342">
        <v>2043</v>
      </c>
      <c r="AK259" s="2342">
        <v>2044</v>
      </c>
      <c r="AL259" s="2342">
        <v>2045</v>
      </c>
      <c r="AM259" s="2342">
        <v>2046</v>
      </c>
      <c r="AN259" s="2342">
        <v>2047</v>
      </c>
      <c r="AO259" s="2342">
        <v>2048</v>
      </c>
      <c r="AP259" s="2342">
        <v>2049</v>
      </c>
      <c r="AQ259" s="2342">
        <v>2050</v>
      </c>
    </row>
    <row r="260" spans="2:43" x14ac:dyDescent="0.25">
      <c r="B260" s="2349"/>
      <c r="C260" s="2352" t="s">
        <v>1226</v>
      </c>
      <c r="D260" s="2353"/>
      <c r="E260" s="2354"/>
      <c r="F260" s="2355"/>
      <c r="G260" s="2356">
        <f t="shared" ref="G260:AQ260" si="41">G169</f>
        <v>-43893.057849346871</v>
      </c>
      <c r="H260" s="2356">
        <f t="shared" si="41"/>
        <v>-43844.902698736063</v>
      </c>
      <c r="I260" s="2356">
        <f t="shared" si="41"/>
        <v>-43794.818589312265</v>
      </c>
      <c r="J260" s="2356">
        <f t="shared" si="41"/>
        <v>-43741.56730905937</v>
      </c>
      <c r="K260" s="2356">
        <f t="shared" si="41"/>
        <v>-43683.382066419021</v>
      </c>
      <c r="L260" s="2356">
        <f t="shared" si="41"/>
        <v>-43629.896459270341</v>
      </c>
      <c r="M260" s="2356">
        <f t="shared" si="41"/>
        <v>-43580.555139056407</v>
      </c>
      <c r="N260" s="2356">
        <f t="shared" si="41"/>
        <v>-43525.853717838676</v>
      </c>
      <c r="O260" s="2356">
        <f t="shared" si="41"/>
        <v>-43468.476059067005</v>
      </c>
      <c r="P260" s="2356">
        <f t="shared" si="41"/>
        <v>-43406.339427612322</v>
      </c>
      <c r="Q260" s="2356">
        <f t="shared" si="41"/>
        <v>-43323.25726323243</v>
      </c>
      <c r="R260" s="2356">
        <f t="shared" si="41"/>
        <v>-43231.801942603961</v>
      </c>
      <c r="S260" s="2356">
        <f t="shared" si="41"/>
        <v>-43151.205621023262</v>
      </c>
      <c r="T260" s="2356">
        <f t="shared" si="41"/>
        <v>-43072.145698081375</v>
      </c>
      <c r="U260" s="2356">
        <f t="shared" si="41"/>
        <v>-42995.38508003598</v>
      </c>
      <c r="V260" s="2356">
        <f t="shared" si="41"/>
        <v>-42917.617311112554</v>
      </c>
      <c r="W260" s="2356">
        <f t="shared" si="41"/>
        <v>-42836.653931043846</v>
      </c>
      <c r="X260" s="2356">
        <f t="shared" si="41"/>
        <v>-42751.508183013655</v>
      </c>
      <c r="Y260" s="2356">
        <f t="shared" si="41"/>
        <v>-42659.430630810632</v>
      </c>
      <c r="Z260" s="2356">
        <f t="shared" si="41"/>
        <v>-42563.87814141436</v>
      </c>
      <c r="AA260" s="2356">
        <f t="shared" si="41"/>
        <v>-42452.561364005604</v>
      </c>
      <c r="AB260" s="2356">
        <f t="shared" si="41"/>
        <v>-42333.53155720581</v>
      </c>
      <c r="AC260" s="2356">
        <f t="shared" si="41"/>
        <v>-42205.825950004204</v>
      </c>
      <c r="AD260" s="2356">
        <f t="shared" si="41"/>
        <v>-42070.650263101132</v>
      </c>
      <c r="AE260" s="2356">
        <f t="shared" si="41"/>
        <v>-41925.195708058789</v>
      </c>
      <c r="AF260" s="2356">
        <f t="shared" si="41"/>
        <v>-41772.221656413938</v>
      </c>
      <c r="AG260" s="2356">
        <f t="shared" si="41"/>
        <v>-41620.461154446086</v>
      </c>
      <c r="AH260" s="2356">
        <f t="shared" si="41"/>
        <v>-41466.472485501967</v>
      </c>
      <c r="AI260" s="2356">
        <f t="shared" si="41"/>
        <v>-41312.499668959841</v>
      </c>
      <c r="AJ260" s="2356">
        <f t="shared" si="41"/>
        <v>-41155.582621805115</v>
      </c>
      <c r="AK260" s="2356">
        <f t="shared" si="41"/>
        <v>-40991.739036755622</v>
      </c>
      <c r="AL260" s="2356">
        <f t="shared" si="41"/>
        <v>-40820.92533186236</v>
      </c>
      <c r="AM260" s="2356">
        <f t="shared" si="41"/>
        <v>-40636.545328152788</v>
      </c>
      <c r="AN260" s="2356">
        <f t="shared" si="41"/>
        <v>-40447.41295094879</v>
      </c>
      <c r="AO260" s="2356">
        <f t="shared" si="41"/>
        <v>-40242.200462387002</v>
      </c>
      <c r="AP260" s="2356">
        <f t="shared" si="41"/>
        <v>-40036.302922450384</v>
      </c>
      <c r="AQ260" s="2356">
        <f t="shared" si="41"/>
        <v>-39824.377396130316</v>
      </c>
    </row>
    <row r="261" spans="2:43" x14ac:dyDescent="0.25">
      <c r="B261" s="2349"/>
      <c r="C261" s="2352" t="s">
        <v>1259</v>
      </c>
      <c r="D261" s="2353"/>
      <c r="E261" s="2354"/>
      <c r="F261" s="2355"/>
      <c r="G261" s="2356">
        <f t="shared" ref="G261:AQ261" si="42">G173</f>
        <v>-4760.4995834405854</v>
      </c>
      <c r="H261" s="2356">
        <f t="shared" si="42"/>
        <v>-4760.4995834405854</v>
      </c>
      <c r="I261" s="2356">
        <f t="shared" si="42"/>
        <v>-4760.4995834405854</v>
      </c>
      <c r="J261" s="2356">
        <f t="shared" si="42"/>
        <v>-4760.4995834405854</v>
      </c>
      <c r="K261" s="2356">
        <f t="shared" si="42"/>
        <v>-4760.4995834405854</v>
      </c>
      <c r="L261" s="2356">
        <f t="shared" si="42"/>
        <v>-4760.4995834405854</v>
      </c>
      <c r="M261" s="2356">
        <f t="shared" si="42"/>
        <v>-4760.4995834405854</v>
      </c>
      <c r="N261" s="2356">
        <f t="shared" si="42"/>
        <v>-4760.4995834405854</v>
      </c>
      <c r="O261" s="2356">
        <f t="shared" si="42"/>
        <v>-4760.4995834405854</v>
      </c>
      <c r="P261" s="2356">
        <f t="shared" si="42"/>
        <v>-4760.4995834405854</v>
      </c>
      <c r="Q261" s="2356">
        <f t="shared" si="42"/>
        <v>-4760.4995834405854</v>
      </c>
      <c r="R261" s="2356">
        <f t="shared" si="42"/>
        <v>-4760.4995834405854</v>
      </c>
      <c r="S261" s="2356">
        <f t="shared" si="42"/>
        <v>-4760.4995834405854</v>
      </c>
      <c r="T261" s="2356">
        <f t="shared" si="42"/>
        <v>-4760.4995834405854</v>
      </c>
      <c r="U261" s="2356">
        <f t="shared" si="42"/>
        <v>-4760.4995834405854</v>
      </c>
      <c r="V261" s="2356">
        <f t="shared" si="42"/>
        <v>-4760.4995834405854</v>
      </c>
      <c r="W261" s="2356">
        <f t="shared" si="42"/>
        <v>-4760.4995834405854</v>
      </c>
      <c r="X261" s="2356">
        <f t="shared" si="42"/>
        <v>-4760.4995834405854</v>
      </c>
      <c r="Y261" s="2356">
        <f t="shared" si="42"/>
        <v>-4760.4995834405854</v>
      </c>
      <c r="Z261" s="2356">
        <f t="shared" si="42"/>
        <v>-4760.4995834405854</v>
      </c>
      <c r="AA261" s="2356">
        <f t="shared" si="42"/>
        <v>-4760.4995834405854</v>
      </c>
      <c r="AB261" s="2356">
        <f t="shared" si="42"/>
        <v>-4760.4995834405854</v>
      </c>
      <c r="AC261" s="2356">
        <f t="shared" si="42"/>
        <v>-4760.4995834405854</v>
      </c>
      <c r="AD261" s="2356">
        <f t="shared" si="42"/>
        <v>-4760.4995834405854</v>
      </c>
      <c r="AE261" s="2356">
        <f t="shared" si="42"/>
        <v>-4760.4995834405854</v>
      </c>
      <c r="AF261" s="2356">
        <f t="shared" si="42"/>
        <v>-4760.4995834405854</v>
      </c>
      <c r="AG261" s="2356">
        <f t="shared" si="42"/>
        <v>-4760.4995834405854</v>
      </c>
      <c r="AH261" s="2356">
        <f t="shared" si="42"/>
        <v>-4760.4995834405854</v>
      </c>
      <c r="AI261" s="2356">
        <f t="shared" si="42"/>
        <v>-4760.4995834405854</v>
      </c>
      <c r="AJ261" s="2356">
        <f t="shared" si="42"/>
        <v>-4760.4995834405854</v>
      </c>
      <c r="AK261" s="2356">
        <f t="shared" si="42"/>
        <v>-4760.4995834405854</v>
      </c>
      <c r="AL261" s="2356">
        <f t="shared" si="42"/>
        <v>-4760.4995834405854</v>
      </c>
      <c r="AM261" s="2356">
        <f t="shared" si="42"/>
        <v>-4760.4995834405854</v>
      </c>
      <c r="AN261" s="2356">
        <f t="shared" si="42"/>
        <v>-4760.4995834405854</v>
      </c>
      <c r="AO261" s="2356">
        <f t="shared" si="42"/>
        <v>-4760.4995834405854</v>
      </c>
      <c r="AP261" s="2356">
        <f t="shared" si="42"/>
        <v>-4760.4995834405854</v>
      </c>
      <c r="AQ261" s="2356">
        <f t="shared" si="42"/>
        <v>-4760.4995834405854</v>
      </c>
    </row>
    <row r="262" spans="2:43" x14ac:dyDescent="0.25">
      <c r="B262" s="2349"/>
      <c r="C262" s="2352" t="s">
        <v>1336</v>
      </c>
      <c r="D262" s="2353"/>
      <c r="E262" s="2354"/>
      <c r="F262" s="2355"/>
      <c r="G262" s="2356" t="e">
        <f t="shared" ref="G262:AQ262" si="43">G220</f>
        <v>#REF!</v>
      </c>
      <c r="H262" s="2356" t="e">
        <f t="shared" si="43"/>
        <v>#REF!</v>
      </c>
      <c r="I262" s="2356" t="e">
        <f t="shared" si="43"/>
        <v>#REF!</v>
      </c>
      <c r="J262" s="2356" t="e">
        <f t="shared" si="43"/>
        <v>#REF!</v>
      </c>
      <c r="K262" s="2356" t="e">
        <f t="shared" si="43"/>
        <v>#REF!</v>
      </c>
      <c r="L262" s="2356" t="e">
        <f t="shared" si="43"/>
        <v>#REF!</v>
      </c>
      <c r="M262" s="2356" t="e">
        <f t="shared" si="43"/>
        <v>#REF!</v>
      </c>
      <c r="N262" s="2356" t="e">
        <f t="shared" si="43"/>
        <v>#REF!</v>
      </c>
      <c r="O262" s="2356" t="e">
        <f t="shared" si="43"/>
        <v>#REF!</v>
      </c>
      <c r="P262" s="2356" t="e">
        <f t="shared" si="43"/>
        <v>#REF!</v>
      </c>
      <c r="Q262" s="2356" t="e">
        <f t="shared" si="43"/>
        <v>#REF!</v>
      </c>
      <c r="R262" s="2356" t="e">
        <f t="shared" si="43"/>
        <v>#REF!</v>
      </c>
      <c r="S262" s="2356" t="e">
        <f t="shared" si="43"/>
        <v>#REF!</v>
      </c>
      <c r="T262" s="2356" t="e">
        <f t="shared" si="43"/>
        <v>#REF!</v>
      </c>
      <c r="U262" s="2356" t="e">
        <f t="shared" si="43"/>
        <v>#REF!</v>
      </c>
      <c r="V262" s="2356" t="e">
        <f t="shared" si="43"/>
        <v>#REF!</v>
      </c>
      <c r="W262" s="2356" t="e">
        <f t="shared" si="43"/>
        <v>#REF!</v>
      </c>
      <c r="X262" s="2356" t="e">
        <f t="shared" si="43"/>
        <v>#REF!</v>
      </c>
      <c r="Y262" s="2356" t="e">
        <f t="shared" si="43"/>
        <v>#REF!</v>
      </c>
      <c r="Z262" s="2356" t="e">
        <f t="shared" si="43"/>
        <v>#REF!</v>
      </c>
      <c r="AA262" s="2356" t="e">
        <f t="shared" si="43"/>
        <v>#REF!</v>
      </c>
      <c r="AB262" s="2356" t="e">
        <f t="shared" si="43"/>
        <v>#REF!</v>
      </c>
      <c r="AC262" s="2356" t="e">
        <f t="shared" si="43"/>
        <v>#REF!</v>
      </c>
      <c r="AD262" s="2356" t="e">
        <f t="shared" si="43"/>
        <v>#REF!</v>
      </c>
      <c r="AE262" s="2356" t="e">
        <f t="shared" si="43"/>
        <v>#REF!</v>
      </c>
      <c r="AF262" s="2356" t="e">
        <f t="shared" si="43"/>
        <v>#REF!</v>
      </c>
      <c r="AG262" s="2356" t="e">
        <f t="shared" si="43"/>
        <v>#REF!</v>
      </c>
      <c r="AH262" s="2356" t="e">
        <f t="shared" si="43"/>
        <v>#REF!</v>
      </c>
      <c r="AI262" s="2356" t="e">
        <f t="shared" si="43"/>
        <v>#REF!</v>
      </c>
      <c r="AJ262" s="2356" t="e">
        <f t="shared" si="43"/>
        <v>#REF!</v>
      </c>
      <c r="AK262" s="2356" t="e">
        <f t="shared" si="43"/>
        <v>#REF!</v>
      </c>
      <c r="AL262" s="2356" t="e">
        <f t="shared" si="43"/>
        <v>#REF!</v>
      </c>
      <c r="AM262" s="2356" t="e">
        <f t="shared" si="43"/>
        <v>#REF!</v>
      </c>
      <c r="AN262" s="2356" t="e">
        <f t="shared" si="43"/>
        <v>#REF!</v>
      </c>
      <c r="AO262" s="2356" t="e">
        <f t="shared" si="43"/>
        <v>#REF!</v>
      </c>
      <c r="AP262" s="2356" t="e">
        <f t="shared" si="43"/>
        <v>#REF!</v>
      </c>
      <c r="AQ262" s="2356" t="e">
        <f t="shared" si="43"/>
        <v>#REF!</v>
      </c>
    </row>
    <row r="263" spans="2:43" x14ac:dyDescent="0.25">
      <c r="B263" s="2349"/>
      <c r="C263" s="2357" t="s">
        <v>1337</v>
      </c>
      <c r="D263" s="2358"/>
      <c r="E263" s="2359"/>
      <c r="F263" s="2360"/>
      <c r="G263" s="2361">
        <f t="shared" ref="G263:AQ263" si="44">G184</f>
        <v>-72161.854530425204</v>
      </c>
      <c r="H263" s="2361">
        <f t="shared" si="44"/>
        <v>-72499.465970635953</v>
      </c>
      <c r="I263" s="2361">
        <f t="shared" si="44"/>
        <v>-73009.959213965485</v>
      </c>
      <c r="J263" s="2361">
        <f t="shared" si="44"/>
        <v>-73666.978701130836</v>
      </c>
      <c r="K263" s="2361">
        <f t="shared" si="44"/>
        <v>-74426.099157546909</v>
      </c>
      <c r="L263" s="2361">
        <f t="shared" si="44"/>
        <v>-75242.989864399788</v>
      </c>
      <c r="M263" s="2361">
        <f t="shared" si="44"/>
        <v>-76059.880571252666</v>
      </c>
      <c r="N263" s="2361">
        <f t="shared" si="44"/>
        <v>-76876.77127810556</v>
      </c>
      <c r="O263" s="2361">
        <f t="shared" si="44"/>
        <v>-77693.661984958439</v>
      </c>
      <c r="P263" s="2361">
        <f t="shared" si="44"/>
        <v>-78510.552691811317</v>
      </c>
      <c r="Q263" s="2361">
        <f t="shared" si="44"/>
        <v>-79327.443398664196</v>
      </c>
      <c r="R263" s="2361">
        <f t="shared" si="44"/>
        <v>-80144.334105517075</v>
      </c>
      <c r="S263" s="2361">
        <f t="shared" si="44"/>
        <v>-80961.224812369968</v>
      </c>
      <c r="T263" s="2361">
        <f t="shared" si="44"/>
        <v>-81778.115519222833</v>
      </c>
      <c r="U263" s="2361">
        <f t="shared" si="44"/>
        <v>-82595.006226075726</v>
      </c>
      <c r="V263" s="2361">
        <f t="shared" si="44"/>
        <v>-83411.89693292859</v>
      </c>
      <c r="W263" s="2361">
        <f t="shared" si="44"/>
        <v>-84096.239509781473</v>
      </c>
      <c r="X263" s="2361">
        <f t="shared" si="44"/>
        <v>-84780.582086634357</v>
      </c>
      <c r="Y263" s="2361">
        <f t="shared" si="44"/>
        <v>-85464.92466348724</v>
      </c>
      <c r="Z263" s="2361">
        <f t="shared" si="44"/>
        <v>-86149.267240340123</v>
      </c>
      <c r="AA263" s="2361">
        <f t="shared" si="44"/>
        <v>-86833.609817193006</v>
      </c>
      <c r="AB263" s="2361">
        <f t="shared" si="44"/>
        <v>-87517.952394045889</v>
      </c>
      <c r="AC263" s="2361">
        <f t="shared" si="44"/>
        <v>-88202.294970898758</v>
      </c>
      <c r="AD263" s="2361">
        <f t="shared" si="44"/>
        <v>-88886.637547751656</v>
      </c>
      <c r="AE263" s="2361">
        <f t="shared" si="44"/>
        <v>-89570.980124604524</v>
      </c>
      <c r="AF263" s="2361">
        <f t="shared" si="44"/>
        <v>-90255.322701457408</v>
      </c>
      <c r="AG263" s="2361">
        <f t="shared" si="44"/>
        <v>-90939.665278310291</v>
      </c>
      <c r="AH263" s="2361">
        <f t="shared" si="44"/>
        <v>-91624.007855163174</v>
      </c>
      <c r="AI263" s="2361">
        <f t="shared" si="44"/>
        <v>-92308.350432016043</v>
      </c>
      <c r="AJ263" s="2361">
        <f t="shared" si="44"/>
        <v>-92992.693008868926</v>
      </c>
      <c r="AK263" s="2361">
        <f t="shared" si="44"/>
        <v>-93677.035585721809</v>
      </c>
      <c r="AL263" s="2361">
        <f t="shared" si="44"/>
        <v>-94006.458378445008</v>
      </c>
      <c r="AM263" s="2361">
        <f t="shared" si="44"/>
        <v>-94335.881171168236</v>
      </c>
      <c r="AN263" s="2361">
        <f t="shared" si="44"/>
        <v>-94665.303963891434</v>
      </c>
      <c r="AO263" s="2361">
        <f t="shared" si="44"/>
        <v>-94994.726756614633</v>
      </c>
      <c r="AP263" s="2361">
        <f t="shared" si="44"/>
        <v>-95324.149549337846</v>
      </c>
      <c r="AQ263" s="2361">
        <f t="shared" si="44"/>
        <v>-95653.572342061045</v>
      </c>
    </row>
    <row r="264" spans="2:43" x14ac:dyDescent="0.25">
      <c r="B264" s="2349"/>
      <c r="C264" s="2362"/>
      <c r="D264" s="2362" t="s">
        <v>118</v>
      </c>
      <c r="E264" s="2362"/>
      <c r="F264" s="2363" t="s">
        <v>1160</v>
      </c>
      <c r="G264" s="2364" t="e">
        <f>SUM(G260:G263)</f>
        <v>#REF!</v>
      </c>
      <c r="H264" s="2364" t="e">
        <f t="shared" ref="H264:AQ264" si="45">SUM(H260:H263)</f>
        <v>#REF!</v>
      </c>
      <c r="I264" s="2364" t="e">
        <f t="shared" si="45"/>
        <v>#REF!</v>
      </c>
      <c r="J264" s="2364" t="e">
        <f t="shared" si="45"/>
        <v>#REF!</v>
      </c>
      <c r="K264" s="2364" t="e">
        <f t="shared" si="45"/>
        <v>#REF!</v>
      </c>
      <c r="L264" s="2364" t="e">
        <f t="shared" si="45"/>
        <v>#REF!</v>
      </c>
      <c r="M264" s="2364" t="e">
        <f t="shared" si="45"/>
        <v>#REF!</v>
      </c>
      <c r="N264" s="2364" t="e">
        <f t="shared" si="45"/>
        <v>#REF!</v>
      </c>
      <c r="O264" s="2364" t="e">
        <f t="shared" si="45"/>
        <v>#REF!</v>
      </c>
      <c r="P264" s="2364" t="e">
        <f t="shared" si="45"/>
        <v>#REF!</v>
      </c>
      <c r="Q264" s="2364" t="e">
        <f t="shared" si="45"/>
        <v>#REF!</v>
      </c>
      <c r="R264" s="2364" t="e">
        <f t="shared" si="45"/>
        <v>#REF!</v>
      </c>
      <c r="S264" s="2364" t="e">
        <f t="shared" si="45"/>
        <v>#REF!</v>
      </c>
      <c r="T264" s="2364" t="e">
        <f t="shared" si="45"/>
        <v>#REF!</v>
      </c>
      <c r="U264" s="2364" t="e">
        <f t="shared" si="45"/>
        <v>#REF!</v>
      </c>
      <c r="V264" s="2364" t="e">
        <f t="shared" si="45"/>
        <v>#REF!</v>
      </c>
      <c r="W264" s="2364" t="e">
        <f t="shared" si="45"/>
        <v>#REF!</v>
      </c>
      <c r="X264" s="2364" t="e">
        <f t="shared" si="45"/>
        <v>#REF!</v>
      </c>
      <c r="Y264" s="2364" t="e">
        <f t="shared" si="45"/>
        <v>#REF!</v>
      </c>
      <c r="Z264" s="2364" t="e">
        <f t="shared" si="45"/>
        <v>#REF!</v>
      </c>
      <c r="AA264" s="2364" t="e">
        <f t="shared" si="45"/>
        <v>#REF!</v>
      </c>
      <c r="AB264" s="2364" t="e">
        <f t="shared" si="45"/>
        <v>#REF!</v>
      </c>
      <c r="AC264" s="2364" t="e">
        <f t="shared" si="45"/>
        <v>#REF!</v>
      </c>
      <c r="AD264" s="2364" t="e">
        <f t="shared" si="45"/>
        <v>#REF!</v>
      </c>
      <c r="AE264" s="2364" t="e">
        <f t="shared" si="45"/>
        <v>#REF!</v>
      </c>
      <c r="AF264" s="2364" t="e">
        <f t="shared" si="45"/>
        <v>#REF!</v>
      </c>
      <c r="AG264" s="2364" t="e">
        <f t="shared" si="45"/>
        <v>#REF!</v>
      </c>
      <c r="AH264" s="2364" t="e">
        <f t="shared" si="45"/>
        <v>#REF!</v>
      </c>
      <c r="AI264" s="2364" t="e">
        <f t="shared" si="45"/>
        <v>#REF!</v>
      </c>
      <c r="AJ264" s="2364" t="e">
        <f t="shared" si="45"/>
        <v>#REF!</v>
      </c>
      <c r="AK264" s="2364" t="e">
        <f t="shared" si="45"/>
        <v>#REF!</v>
      </c>
      <c r="AL264" s="2364" t="e">
        <f t="shared" si="45"/>
        <v>#REF!</v>
      </c>
      <c r="AM264" s="2364" t="e">
        <f t="shared" si="45"/>
        <v>#REF!</v>
      </c>
      <c r="AN264" s="2364" t="e">
        <f t="shared" si="45"/>
        <v>#REF!</v>
      </c>
      <c r="AO264" s="2364" t="e">
        <f t="shared" si="45"/>
        <v>#REF!</v>
      </c>
      <c r="AP264" s="2364" t="e">
        <f t="shared" si="45"/>
        <v>#REF!</v>
      </c>
      <c r="AQ264" s="2364" t="e">
        <f t="shared" si="45"/>
        <v>#REF!</v>
      </c>
    </row>
    <row r="265" spans="2:43" x14ac:dyDescent="0.25">
      <c r="B265" s="2349"/>
      <c r="C265" s="2350"/>
      <c r="D265" s="2350"/>
      <c r="E265" s="2350"/>
      <c r="F265" s="2350"/>
      <c r="G265" s="2350"/>
      <c r="H265" s="2350"/>
      <c r="I265" s="2350"/>
      <c r="J265" s="2350"/>
      <c r="K265" s="2350"/>
      <c r="L265" s="2350"/>
      <c r="M265" s="2350"/>
      <c r="N265" s="2350"/>
      <c r="O265" s="2350"/>
      <c r="P265" s="2350"/>
      <c r="Q265" s="2350"/>
      <c r="R265" s="2350"/>
      <c r="S265" s="2350"/>
      <c r="T265" s="2350"/>
      <c r="U265" s="2350"/>
      <c r="V265" s="2350"/>
      <c r="W265" s="2350"/>
      <c r="X265" s="2350"/>
      <c r="Y265" s="2350"/>
      <c r="Z265" s="2350"/>
      <c r="AA265" s="2350"/>
      <c r="AB265" s="2350"/>
      <c r="AC265" s="2350"/>
      <c r="AD265" s="2350"/>
      <c r="AE265" s="2350"/>
      <c r="AF265" s="2350"/>
      <c r="AG265" s="2350"/>
      <c r="AH265" s="2350"/>
      <c r="AI265" s="2350"/>
      <c r="AJ265" s="2350"/>
      <c r="AK265" s="2350"/>
      <c r="AL265" s="2350"/>
      <c r="AM265" s="2350"/>
      <c r="AN265" s="2350"/>
      <c r="AO265" s="2350"/>
      <c r="AP265" s="2350"/>
      <c r="AQ265" s="2350"/>
    </row>
    <row r="266" spans="2:43" x14ac:dyDescent="0.25">
      <c r="B266" s="2349"/>
      <c r="C266" s="2350" t="s">
        <v>1338</v>
      </c>
      <c r="D266" s="2350"/>
      <c r="E266" s="2350"/>
      <c r="F266" s="2350"/>
      <c r="G266" s="2350"/>
      <c r="H266" s="2350"/>
      <c r="I266" s="2350"/>
      <c r="J266" s="2350"/>
      <c r="K266" s="2350"/>
      <c r="L266" s="2350"/>
      <c r="M266" s="2350"/>
      <c r="N266" s="2350"/>
      <c r="O266" s="2350"/>
      <c r="P266" s="2350"/>
      <c r="Q266" s="2350"/>
      <c r="R266" s="2350"/>
      <c r="S266" s="2350"/>
      <c r="T266" s="2350"/>
      <c r="U266" s="2350"/>
      <c r="V266" s="2350"/>
      <c r="W266" s="2350"/>
      <c r="X266" s="2350"/>
      <c r="Y266" s="2350"/>
      <c r="Z266" s="2350"/>
      <c r="AA266" s="2350"/>
      <c r="AB266" s="2350"/>
      <c r="AC266" s="2350"/>
      <c r="AD266" s="2350"/>
      <c r="AE266" s="2350"/>
      <c r="AF266" s="2350"/>
      <c r="AG266" s="2350"/>
      <c r="AH266" s="2350"/>
      <c r="AI266" s="2350"/>
      <c r="AJ266" s="2350"/>
      <c r="AK266" s="2350"/>
      <c r="AL266" s="2350"/>
      <c r="AM266" s="2350"/>
      <c r="AN266" s="2350"/>
      <c r="AO266" s="2350"/>
      <c r="AP266" s="2350"/>
      <c r="AQ266" s="2350"/>
    </row>
    <row r="267" spans="2:43" x14ac:dyDescent="0.25">
      <c r="B267" s="2349"/>
      <c r="C267" s="2341" t="s">
        <v>242</v>
      </c>
      <c r="D267" s="2342" t="s">
        <v>1029</v>
      </c>
      <c r="E267" s="2342" t="s">
        <v>8</v>
      </c>
      <c r="F267" s="2343"/>
      <c r="G267" s="2342">
        <v>2014</v>
      </c>
      <c r="H267" s="2342">
        <v>2015</v>
      </c>
      <c r="I267" s="2342">
        <v>2016</v>
      </c>
      <c r="J267" s="2342">
        <v>2017</v>
      </c>
      <c r="K267" s="2342">
        <v>2018</v>
      </c>
      <c r="L267" s="2342">
        <v>2019</v>
      </c>
      <c r="M267" s="2342">
        <v>2020</v>
      </c>
      <c r="N267" s="2342">
        <v>2021</v>
      </c>
      <c r="O267" s="2342">
        <v>2022</v>
      </c>
      <c r="P267" s="2342">
        <v>2023</v>
      </c>
      <c r="Q267" s="2342">
        <v>2024</v>
      </c>
      <c r="R267" s="2342">
        <v>2025</v>
      </c>
      <c r="S267" s="2342">
        <v>2026</v>
      </c>
      <c r="T267" s="2342">
        <v>2027</v>
      </c>
      <c r="U267" s="2342">
        <v>2028</v>
      </c>
      <c r="V267" s="2342">
        <v>2029</v>
      </c>
      <c r="W267" s="2342">
        <v>2030</v>
      </c>
      <c r="X267" s="2342">
        <v>2031</v>
      </c>
      <c r="Y267" s="2342">
        <v>2032</v>
      </c>
      <c r="Z267" s="2342">
        <v>2033</v>
      </c>
      <c r="AA267" s="2342">
        <v>2034</v>
      </c>
      <c r="AB267" s="2342">
        <v>2035</v>
      </c>
      <c r="AC267" s="2342">
        <v>2036</v>
      </c>
      <c r="AD267" s="2342">
        <v>2037</v>
      </c>
      <c r="AE267" s="2342">
        <v>2038</v>
      </c>
      <c r="AF267" s="2342">
        <v>2039</v>
      </c>
      <c r="AG267" s="2342">
        <v>2040</v>
      </c>
      <c r="AH267" s="2342">
        <v>2041</v>
      </c>
      <c r="AI267" s="2342">
        <v>2042</v>
      </c>
      <c r="AJ267" s="2342">
        <v>2043</v>
      </c>
      <c r="AK267" s="2342">
        <v>2044</v>
      </c>
      <c r="AL267" s="2342">
        <v>2045</v>
      </c>
      <c r="AM267" s="2342">
        <v>2046</v>
      </c>
      <c r="AN267" s="2342">
        <v>2047</v>
      </c>
      <c r="AO267" s="2342">
        <v>2048</v>
      </c>
      <c r="AP267" s="2342">
        <v>2049</v>
      </c>
      <c r="AQ267" s="2342">
        <v>2050</v>
      </c>
    </row>
    <row r="268" spans="2:43" x14ac:dyDescent="0.25">
      <c r="B268" s="2349"/>
      <c r="C268" s="2352" t="s">
        <v>1233</v>
      </c>
      <c r="D268" s="2353"/>
      <c r="E268" s="2354"/>
      <c r="F268" s="2355"/>
      <c r="G268" s="2356">
        <f t="shared" ref="G268:AQ274" si="46">G177</f>
        <v>-27698.524425000018</v>
      </c>
      <c r="H268" s="2356">
        <f t="shared" si="46"/>
        <v>-27764.798490000019</v>
      </c>
      <c r="I268" s="2356">
        <f t="shared" si="46"/>
        <v>-27847.63624500002</v>
      </c>
      <c r="J268" s="2356">
        <f t="shared" si="46"/>
        <v>-27947.037690000019</v>
      </c>
      <c r="K268" s="2356">
        <f t="shared" si="46"/>
        <v>-28063.002825000021</v>
      </c>
      <c r="L268" s="2356">
        <f t="shared" si="46"/>
        <v>-28195.550955000021</v>
      </c>
      <c r="M268" s="2356">
        <f t="shared" si="46"/>
        <v>-28328.09908500002</v>
      </c>
      <c r="N268" s="2356">
        <f t="shared" si="46"/>
        <v>-28460.647215000023</v>
      </c>
      <c r="O268" s="2356">
        <f t="shared" si="46"/>
        <v>-28593.195345000022</v>
      </c>
      <c r="P268" s="2356">
        <f t="shared" si="46"/>
        <v>-28725.743475000021</v>
      </c>
      <c r="Q268" s="2356">
        <f t="shared" si="46"/>
        <v>-28858.29160500002</v>
      </c>
      <c r="R268" s="2356">
        <f t="shared" si="46"/>
        <v>-28990.839735000023</v>
      </c>
      <c r="S268" s="2356">
        <f t="shared" si="46"/>
        <v>-29123.387865000022</v>
      </c>
      <c r="T268" s="2356">
        <f t="shared" si="46"/>
        <v>-29255.935995000018</v>
      </c>
      <c r="U268" s="2356">
        <f t="shared" si="46"/>
        <v>-29388.484125000021</v>
      </c>
      <c r="V268" s="2356">
        <f t="shared" si="46"/>
        <v>-29521.03225500002</v>
      </c>
      <c r="W268" s="2356">
        <f t="shared" si="46"/>
        <v>-29521.03225500002</v>
      </c>
      <c r="X268" s="2356">
        <f t="shared" si="46"/>
        <v>-29521.03225500002</v>
      </c>
      <c r="Y268" s="2356">
        <f t="shared" si="46"/>
        <v>-29521.03225500002</v>
      </c>
      <c r="Z268" s="2356">
        <f t="shared" si="46"/>
        <v>-29521.03225500002</v>
      </c>
      <c r="AA268" s="2356">
        <f t="shared" si="46"/>
        <v>-29521.03225500002</v>
      </c>
      <c r="AB268" s="2356">
        <f t="shared" si="46"/>
        <v>-29521.03225500002</v>
      </c>
      <c r="AC268" s="2356">
        <f t="shared" si="46"/>
        <v>-29521.03225500002</v>
      </c>
      <c r="AD268" s="2356">
        <f t="shared" si="46"/>
        <v>-29521.03225500002</v>
      </c>
      <c r="AE268" s="2356">
        <f t="shared" si="46"/>
        <v>-29521.03225500002</v>
      </c>
      <c r="AF268" s="2356">
        <f t="shared" si="46"/>
        <v>-29521.03225500002</v>
      </c>
      <c r="AG268" s="2356">
        <f t="shared" si="46"/>
        <v>-29521.03225500002</v>
      </c>
      <c r="AH268" s="2356">
        <f t="shared" si="46"/>
        <v>-29521.03225500002</v>
      </c>
      <c r="AI268" s="2356">
        <f t="shared" si="46"/>
        <v>-29521.03225500002</v>
      </c>
      <c r="AJ268" s="2356">
        <f t="shared" si="46"/>
        <v>-29521.03225500002</v>
      </c>
      <c r="AK268" s="2356">
        <f t="shared" si="46"/>
        <v>-29521.03225500002</v>
      </c>
      <c r="AL268" s="2356">
        <f t="shared" si="46"/>
        <v>-29521.03225500002</v>
      </c>
      <c r="AM268" s="2356">
        <f t="shared" si="46"/>
        <v>-29521.03225500002</v>
      </c>
      <c r="AN268" s="2356">
        <f t="shared" si="46"/>
        <v>-29521.03225500002</v>
      </c>
      <c r="AO268" s="2356">
        <f t="shared" si="46"/>
        <v>-29521.03225500002</v>
      </c>
      <c r="AP268" s="2356">
        <f t="shared" si="46"/>
        <v>-29521.03225500002</v>
      </c>
      <c r="AQ268" s="2356">
        <f t="shared" si="46"/>
        <v>-29521.03225500002</v>
      </c>
    </row>
    <row r="269" spans="2:43" x14ac:dyDescent="0.25">
      <c r="B269" s="2349"/>
      <c r="C269" s="2352" t="s">
        <v>1235</v>
      </c>
      <c r="D269" s="2353"/>
      <c r="E269" s="2354"/>
      <c r="F269" s="2355"/>
      <c r="G269" s="2356">
        <f t="shared" si="46"/>
        <v>-27681.453755582021</v>
      </c>
      <c r="H269" s="2356">
        <f t="shared" si="46"/>
        <v>-27858.873110094424</v>
      </c>
      <c r="I269" s="2356">
        <f t="shared" si="46"/>
        <v>-28080.667572011145</v>
      </c>
      <c r="J269" s="2356">
        <f t="shared" si="46"/>
        <v>-28391.212248736505</v>
      </c>
      <c r="K269" s="2356">
        <f t="shared" si="46"/>
        <v>-28746.132032866182</v>
      </c>
      <c r="L269" s="2356">
        <f t="shared" si="46"/>
        <v>-29101.051816995863</v>
      </c>
      <c r="M269" s="2356">
        <f t="shared" si="46"/>
        <v>-29455.97160112554</v>
      </c>
      <c r="N269" s="2356">
        <f t="shared" si="46"/>
        <v>-29810.891385255221</v>
      </c>
      <c r="O269" s="2356">
        <f t="shared" si="46"/>
        <v>-30165.811169384899</v>
      </c>
      <c r="P269" s="2356">
        <f t="shared" si="46"/>
        <v>-30520.73095351458</v>
      </c>
      <c r="Q269" s="2356">
        <f t="shared" si="46"/>
        <v>-30875.650737644261</v>
      </c>
      <c r="R269" s="2356">
        <f t="shared" si="46"/>
        <v>-31230.570521773938</v>
      </c>
      <c r="S269" s="2356">
        <f t="shared" si="46"/>
        <v>-31585.490305903619</v>
      </c>
      <c r="T269" s="2356">
        <f t="shared" si="46"/>
        <v>-31940.410090033296</v>
      </c>
      <c r="U269" s="2356">
        <f t="shared" si="46"/>
        <v>-32295.329874162977</v>
      </c>
      <c r="V269" s="2356">
        <f t="shared" si="46"/>
        <v>-32650.249658292654</v>
      </c>
      <c r="W269" s="2356">
        <f t="shared" si="46"/>
        <v>-33005.169442422331</v>
      </c>
      <c r="X269" s="2356">
        <f t="shared" si="46"/>
        <v>-33360.089226552016</v>
      </c>
      <c r="Y269" s="2356">
        <f t="shared" si="46"/>
        <v>-33715.009010681693</v>
      </c>
      <c r="Z269" s="2356">
        <f t="shared" si="46"/>
        <v>-34069.928794811378</v>
      </c>
      <c r="AA269" s="2356">
        <f t="shared" si="46"/>
        <v>-34424.848578941055</v>
      </c>
      <c r="AB269" s="2356">
        <f t="shared" si="46"/>
        <v>-34779.768363070732</v>
      </c>
      <c r="AC269" s="2356">
        <f t="shared" si="46"/>
        <v>-35134.68814720041</v>
      </c>
      <c r="AD269" s="2356">
        <f t="shared" si="46"/>
        <v>-35489.607931330094</v>
      </c>
      <c r="AE269" s="2356">
        <f t="shared" si="46"/>
        <v>-35844.527715459772</v>
      </c>
      <c r="AF269" s="2356">
        <f t="shared" si="46"/>
        <v>-36199.447499589449</v>
      </c>
      <c r="AG269" s="2356">
        <f t="shared" si="46"/>
        <v>-36554.367283719133</v>
      </c>
      <c r="AH269" s="2356">
        <f t="shared" si="46"/>
        <v>-36909.287067848811</v>
      </c>
      <c r="AI269" s="2356">
        <f t="shared" si="46"/>
        <v>-37264.206851978488</v>
      </c>
      <c r="AJ269" s="2356">
        <f t="shared" si="46"/>
        <v>-37619.126636108165</v>
      </c>
      <c r="AK269" s="2356">
        <f t="shared" si="46"/>
        <v>-37974.04642023785</v>
      </c>
      <c r="AL269" s="2356">
        <f t="shared" si="46"/>
        <v>-37974.04642023785</v>
      </c>
      <c r="AM269" s="2356">
        <f t="shared" si="46"/>
        <v>-37974.046420237872</v>
      </c>
      <c r="AN269" s="2356">
        <f t="shared" si="46"/>
        <v>-37974.046420237872</v>
      </c>
      <c r="AO269" s="2356">
        <f t="shared" si="46"/>
        <v>-37974.046420237872</v>
      </c>
      <c r="AP269" s="2356">
        <f t="shared" si="46"/>
        <v>-37974.046420237872</v>
      </c>
      <c r="AQ269" s="2356">
        <f t="shared" si="46"/>
        <v>-37974.046420237872</v>
      </c>
    </row>
    <row r="270" spans="2:43" x14ac:dyDescent="0.25">
      <c r="B270" s="2349"/>
      <c r="C270" s="2352" t="s">
        <v>1236</v>
      </c>
      <c r="D270" s="2353"/>
      <c r="E270" s="2354"/>
      <c r="F270" s="2355"/>
      <c r="G270" s="2356">
        <f t="shared" si="46"/>
        <v>-14544.263828160014</v>
      </c>
      <c r="H270" s="2356">
        <f t="shared" si="46"/>
        <v>-14708.937599136014</v>
      </c>
      <c r="I270" s="2356">
        <f t="shared" si="46"/>
        <v>-14914.798625548814</v>
      </c>
      <c r="J270" s="2356">
        <f t="shared" si="46"/>
        <v>-15161.871990988813</v>
      </c>
      <c r="K270" s="2356">
        <f t="shared" si="46"/>
        <v>-15450.107528275212</v>
      </c>
      <c r="L270" s="2356">
        <f t="shared" si="46"/>
        <v>-15779.530320998414</v>
      </c>
      <c r="M270" s="2356">
        <f t="shared" si="46"/>
        <v>-16108.953113721616</v>
      </c>
      <c r="N270" s="2356">
        <f t="shared" si="46"/>
        <v>-16438.375906444817</v>
      </c>
      <c r="O270" s="2356">
        <f t="shared" si="46"/>
        <v>-16767.798699168019</v>
      </c>
      <c r="P270" s="2356">
        <f t="shared" si="46"/>
        <v>-17097.221491891221</v>
      </c>
      <c r="Q270" s="2356">
        <f t="shared" si="46"/>
        <v>-17426.64428461442</v>
      </c>
      <c r="R270" s="2356">
        <f t="shared" si="46"/>
        <v>-17756.067077337622</v>
      </c>
      <c r="S270" s="2356">
        <f t="shared" si="46"/>
        <v>-18085.489870060825</v>
      </c>
      <c r="T270" s="2356">
        <f t="shared" si="46"/>
        <v>-18414.912662784023</v>
      </c>
      <c r="U270" s="2356">
        <f t="shared" si="46"/>
        <v>-18744.335455507226</v>
      </c>
      <c r="V270" s="2356">
        <f t="shared" si="46"/>
        <v>-19073.758248230428</v>
      </c>
      <c r="W270" s="2356">
        <f t="shared" si="46"/>
        <v>-19403.18104095363</v>
      </c>
      <c r="X270" s="2356">
        <f t="shared" si="46"/>
        <v>-19732.603833676829</v>
      </c>
      <c r="Y270" s="2356">
        <f t="shared" si="46"/>
        <v>-20062.026626400031</v>
      </c>
      <c r="Z270" s="2356">
        <f t="shared" si="46"/>
        <v>-20391.449419123233</v>
      </c>
      <c r="AA270" s="2356">
        <f t="shared" si="46"/>
        <v>-20720.872211846432</v>
      </c>
      <c r="AB270" s="2356">
        <f t="shared" si="46"/>
        <v>-21050.295004569634</v>
      </c>
      <c r="AC270" s="2356">
        <f t="shared" si="46"/>
        <v>-21379.717797292837</v>
      </c>
      <c r="AD270" s="2356">
        <f t="shared" si="46"/>
        <v>-21709.140590016039</v>
      </c>
      <c r="AE270" s="2356">
        <f t="shared" si="46"/>
        <v>-22038.563382739241</v>
      </c>
      <c r="AF270" s="2356">
        <f t="shared" si="46"/>
        <v>-22367.986175462443</v>
      </c>
      <c r="AG270" s="2356">
        <f t="shared" si="46"/>
        <v>-22697.408968185646</v>
      </c>
      <c r="AH270" s="2356">
        <f t="shared" si="46"/>
        <v>-23026.831760908844</v>
      </c>
      <c r="AI270" s="2356">
        <f t="shared" si="46"/>
        <v>-23356.254553632047</v>
      </c>
      <c r="AJ270" s="2356">
        <f t="shared" si="46"/>
        <v>-23685.677346355249</v>
      </c>
      <c r="AK270" s="2356">
        <f t="shared" si="46"/>
        <v>-24015.100139078448</v>
      </c>
      <c r="AL270" s="2356">
        <f t="shared" si="46"/>
        <v>-24344.52293180165</v>
      </c>
      <c r="AM270" s="2356">
        <f t="shared" si="46"/>
        <v>-24673.945724524852</v>
      </c>
      <c r="AN270" s="2356">
        <f t="shared" si="46"/>
        <v>-25003.368517248055</v>
      </c>
      <c r="AO270" s="2356">
        <f t="shared" si="46"/>
        <v>-25332.791309971253</v>
      </c>
      <c r="AP270" s="2356">
        <f t="shared" si="46"/>
        <v>-25662.214102694456</v>
      </c>
      <c r="AQ270" s="2356">
        <f t="shared" si="46"/>
        <v>-25991.636895417658</v>
      </c>
    </row>
    <row r="271" spans="2:43" x14ac:dyDescent="0.25">
      <c r="B271" s="2349"/>
      <c r="C271" s="2352" t="s">
        <v>1237</v>
      </c>
      <c r="D271" s="2353"/>
      <c r="E271" s="2354"/>
      <c r="F271" s="2355"/>
      <c r="G271" s="2356">
        <f t="shared" si="46"/>
        <v>-391.01666626000031</v>
      </c>
      <c r="H271" s="2356">
        <f t="shared" si="46"/>
        <v>-391.01666626000031</v>
      </c>
      <c r="I271" s="2356">
        <f t="shared" si="46"/>
        <v>-391.01666626000031</v>
      </c>
      <c r="J271" s="2356">
        <f t="shared" si="46"/>
        <v>-391.01666626000031</v>
      </c>
      <c r="K271" s="2356">
        <f t="shared" si="46"/>
        <v>-391.01666626000031</v>
      </c>
      <c r="L271" s="2356">
        <f t="shared" si="46"/>
        <v>-391.01666626000031</v>
      </c>
      <c r="M271" s="2356">
        <f t="shared" si="46"/>
        <v>-391.01666626000031</v>
      </c>
      <c r="N271" s="2356">
        <f t="shared" si="46"/>
        <v>-391.01666626000031</v>
      </c>
      <c r="O271" s="2356">
        <f t="shared" si="46"/>
        <v>-391.01666626000031</v>
      </c>
      <c r="P271" s="2356">
        <f t="shared" si="46"/>
        <v>-391.01666626000031</v>
      </c>
      <c r="Q271" s="2356">
        <f t="shared" si="46"/>
        <v>-391.01666626000031</v>
      </c>
      <c r="R271" s="2356">
        <f t="shared" si="46"/>
        <v>-391.01666626000031</v>
      </c>
      <c r="S271" s="2356">
        <f t="shared" si="46"/>
        <v>-391.01666626000031</v>
      </c>
      <c r="T271" s="2356">
        <f t="shared" si="46"/>
        <v>-391.01666626000031</v>
      </c>
      <c r="U271" s="2356">
        <f t="shared" si="46"/>
        <v>-391.01666626000031</v>
      </c>
      <c r="V271" s="2356">
        <f t="shared" si="46"/>
        <v>-391.01666626000031</v>
      </c>
      <c r="W271" s="2356">
        <f t="shared" si="46"/>
        <v>-391.01666626000031</v>
      </c>
      <c r="X271" s="2356">
        <f t="shared" si="46"/>
        <v>-391.01666626000031</v>
      </c>
      <c r="Y271" s="2356">
        <f t="shared" si="46"/>
        <v>-391.01666626000031</v>
      </c>
      <c r="Z271" s="2356">
        <f t="shared" si="46"/>
        <v>-391.01666626000031</v>
      </c>
      <c r="AA271" s="2356">
        <f t="shared" si="46"/>
        <v>-391.01666626000031</v>
      </c>
      <c r="AB271" s="2356">
        <f t="shared" si="46"/>
        <v>-391.01666626000031</v>
      </c>
      <c r="AC271" s="2356">
        <f t="shared" si="46"/>
        <v>-391.01666626000031</v>
      </c>
      <c r="AD271" s="2356">
        <f t="shared" si="46"/>
        <v>-391.01666626000031</v>
      </c>
      <c r="AE271" s="2356">
        <f t="shared" si="46"/>
        <v>-391.01666626000031</v>
      </c>
      <c r="AF271" s="2356">
        <f t="shared" si="46"/>
        <v>-391.01666626000031</v>
      </c>
      <c r="AG271" s="2356">
        <f t="shared" si="46"/>
        <v>-391.01666626000031</v>
      </c>
      <c r="AH271" s="2356">
        <f t="shared" si="46"/>
        <v>-391.01666626000031</v>
      </c>
      <c r="AI271" s="2356">
        <f t="shared" si="46"/>
        <v>-391.01666626000031</v>
      </c>
      <c r="AJ271" s="2356">
        <f t="shared" si="46"/>
        <v>-391.01666626000031</v>
      </c>
      <c r="AK271" s="2356">
        <f t="shared" si="46"/>
        <v>-391.01666626000031</v>
      </c>
      <c r="AL271" s="2356">
        <f t="shared" si="46"/>
        <v>-391.01666626000031</v>
      </c>
      <c r="AM271" s="2356">
        <f t="shared" si="46"/>
        <v>-391.01666626000031</v>
      </c>
      <c r="AN271" s="2356">
        <f t="shared" si="46"/>
        <v>-391.01666626000031</v>
      </c>
      <c r="AO271" s="2356">
        <f t="shared" si="46"/>
        <v>-391.01666626000031</v>
      </c>
      <c r="AP271" s="2356">
        <f t="shared" si="46"/>
        <v>-391.01666626000031</v>
      </c>
      <c r="AQ271" s="2356">
        <f t="shared" si="46"/>
        <v>-391.01666626000031</v>
      </c>
    </row>
    <row r="272" spans="2:43" x14ac:dyDescent="0.25">
      <c r="B272" s="2349"/>
      <c r="C272" s="2352" t="s">
        <v>1238</v>
      </c>
      <c r="D272" s="2353"/>
      <c r="E272" s="2354"/>
      <c r="F272" s="2355"/>
      <c r="G272" s="2356">
        <f t="shared" si="46"/>
        <v>-325.61164350000024</v>
      </c>
      <c r="H272" s="2356">
        <f t="shared" si="46"/>
        <v>-254.85589322233355</v>
      </c>
      <c r="I272" s="2356">
        <f t="shared" si="46"/>
        <v>-254.85589322233355</v>
      </c>
      <c r="J272" s="2356">
        <f t="shared" si="46"/>
        <v>-254.85589322233355</v>
      </c>
      <c r="K272" s="2356">
        <f t="shared" si="46"/>
        <v>-254.85589322233355</v>
      </c>
      <c r="L272" s="2356">
        <f t="shared" si="46"/>
        <v>-254.85589322233355</v>
      </c>
      <c r="M272" s="2356">
        <f t="shared" si="46"/>
        <v>-254.85589322233355</v>
      </c>
      <c r="N272" s="2356">
        <f t="shared" si="46"/>
        <v>-254.85589322233355</v>
      </c>
      <c r="O272" s="2356">
        <f t="shared" si="46"/>
        <v>-254.85589322233355</v>
      </c>
      <c r="P272" s="2356">
        <f t="shared" si="46"/>
        <v>-254.85589322233355</v>
      </c>
      <c r="Q272" s="2356">
        <f t="shared" si="46"/>
        <v>-254.85589322233355</v>
      </c>
      <c r="R272" s="2356">
        <f t="shared" si="46"/>
        <v>-254.85589322233355</v>
      </c>
      <c r="S272" s="2356">
        <f t="shared" si="46"/>
        <v>-254.85589322233355</v>
      </c>
      <c r="T272" s="2356">
        <f t="shared" si="46"/>
        <v>-254.85589322233355</v>
      </c>
      <c r="U272" s="2356">
        <f t="shared" si="46"/>
        <v>-254.85589322233355</v>
      </c>
      <c r="V272" s="2356">
        <f t="shared" si="46"/>
        <v>-254.85589322233355</v>
      </c>
      <c r="W272" s="2356">
        <f t="shared" si="46"/>
        <v>-254.85589322233355</v>
      </c>
      <c r="X272" s="2356">
        <f t="shared" si="46"/>
        <v>-254.85589322233355</v>
      </c>
      <c r="Y272" s="2356">
        <f t="shared" si="46"/>
        <v>-254.85589322233355</v>
      </c>
      <c r="Z272" s="2356">
        <f t="shared" si="46"/>
        <v>-254.85589322233355</v>
      </c>
      <c r="AA272" s="2356">
        <f t="shared" si="46"/>
        <v>-254.85589322233355</v>
      </c>
      <c r="AB272" s="2356">
        <f t="shared" si="46"/>
        <v>-254.85589322233355</v>
      </c>
      <c r="AC272" s="2356">
        <f t="shared" si="46"/>
        <v>-254.85589322233355</v>
      </c>
      <c r="AD272" s="2356">
        <f t="shared" si="46"/>
        <v>-254.85589322233355</v>
      </c>
      <c r="AE272" s="2356">
        <f t="shared" si="46"/>
        <v>-254.85589322233355</v>
      </c>
      <c r="AF272" s="2356">
        <f t="shared" si="46"/>
        <v>-254.85589322233355</v>
      </c>
      <c r="AG272" s="2356">
        <f t="shared" si="46"/>
        <v>-254.85589322233355</v>
      </c>
      <c r="AH272" s="2356">
        <f t="shared" si="46"/>
        <v>-254.85589322233355</v>
      </c>
      <c r="AI272" s="2356">
        <f t="shared" si="46"/>
        <v>-254.85589322233355</v>
      </c>
      <c r="AJ272" s="2356">
        <f t="shared" si="46"/>
        <v>-254.85589322233355</v>
      </c>
      <c r="AK272" s="2356">
        <f t="shared" si="46"/>
        <v>-254.85589322233355</v>
      </c>
      <c r="AL272" s="2356">
        <f t="shared" si="46"/>
        <v>-254.85589322233355</v>
      </c>
      <c r="AM272" s="2356">
        <f t="shared" si="46"/>
        <v>-254.85589322233355</v>
      </c>
      <c r="AN272" s="2356">
        <f t="shared" si="46"/>
        <v>-254.85589322233355</v>
      </c>
      <c r="AO272" s="2356">
        <f t="shared" si="46"/>
        <v>-254.85589322233355</v>
      </c>
      <c r="AP272" s="2356">
        <f t="shared" si="46"/>
        <v>-254.85589322233355</v>
      </c>
      <c r="AQ272" s="2356">
        <f t="shared" si="46"/>
        <v>-254.85589322233355</v>
      </c>
    </row>
    <row r="273" spans="2:43" x14ac:dyDescent="0.25">
      <c r="B273" s="2349"/>
      <c r="C273" s="2352" t="s">
        <v>1239</v>
      </c>
      <c r="D273" s="2353"/>
      <c r="E273" s="2354"/>
      <c r="F273" s="2355"/>
      <c r="G273" s="2356">
        <f t="shared" si="46"/>
        <v>-106.681222629301</v>
      </c>
      <c r="H273" s="2356">
        <f t="shared" si="46"/>
        <v>-106.681222629301</v>
      </c>
      <c r="I273" s="2356">
        <f t="shared" si="46"/>
        <v>-106.681222629301</v>
      </c>
      <c r="J273" s="2356">
        <f t="shared" si="46"/>
        <v>-106.681222629301</v>
      </c>
      <c r="K273" s="2356">
        <f t="shared" si="46"/>
        <v>-106.681222629301</v>
      </c>
      <c r="L273" s="2356">
        <f t="shared" si="46"/>
        <v>-106.681222629301</v>
      </c>
      <c r="M273" s="2356">
        <f t="shared" si="46"/>
        <v>-106.681222629301</v>
      </c>
      <c r="N273" s="2356">
        <f t="shared" si="46"/>
        <v>-106.681222629301</v>
      </c>
      <c r="O273" s="2356">
        <f t="shared" si="46"/>
        <v>-106.681222629301</v>
      </c>
      <c r="P273" s="2356">
        <f t="shared" si="46"/>
        <v>-106.681222629301</v>
      </c>
      <c r="Q273" s="2356">
        <f t="shared" si="46"/>
        <v>-106.681222629301</v>
      </c>
      <c r="R273" s="2356">
        <f t="shared" si="46"/>
        <v>-106.681222629301</v>
      </c>
      <c r="S273" s="2356">
        <f t="shared" si="46"/>
        <v>-106.681222629301</v>
      </c>
      <c r="T273" s="2356">
        <f t="shared" si="46"/>
        <v>-106.681222629301</v>
      </c>
      <c r="U273" s="2356">
        <f t="shared" si="46"/>
        <v>-106.681222629301</v>
      </c>
      <c r="V273" s="2356">
        <f t="shared" si="46"/>
        <v>-106.681222629301</v>
      </c>
      <c r="W273" s="2356">
        <f t="shared" si="46"/>
        <v>-106.681222629301</v>
      </c>
      <c r="X273" s="2356">
        <f t="shared" si="46"/>
        <v>-106.681222629301</v>
      </c>
      <c r="Y273" s="2356">
        <f t="shared" si="46"/>
        <v>-106.681222629301</v>
      </c>
      <c r="Z273" s="2356">
        <f t="shared" si="46"/>
        <v>-106.681222629301</v>
      </c>
      <c r="AA273" s="2356">
        <f t="shared" si="46"/>
        <v>-106.681222629301</v>
      </c>
      <c r="AB273" s="2356">
        <f t="shared" si="46"/>
        <v>-106.681222629301</v>
      </c>
      <c r="AC273" s="2356">
        <f t="shared" si="46"/>
        <v>-106.681222629301</v>
      </c>
      <c r="AD273" s="2356">
        <f t="shared" si="46"/>
        <v>-106.681222629301</v>
      </c>
      <c r="AE273" s="2356">
        <f t="shared" si="46"/>
        <v>-106.681222629301</v>
      </c>
      <c r="AF273" s="2356">
        <f t="shared" si="46"/>
        <v>-106.681222629301</v>
      </c>
      <c r="AG273" s="2356">
        <f t="shared" si="46"/>
        <v>-106.681222629301</v>
      </c>
      <c r="AH273" s="2356">
        <f t="shared" si="46"/>
        <v>-106.681222629301</v>
      </c>
      <c r="AI273" s="2356">
        <f t="shared" si="46"/>
        <v>-106.681222629301</v>
      </c>
      <c r="AJ273" s="2356">
        <f t="shared" si="46"/>
        <v>-106.681222629301</v>
      </c>
      <c r="AK273" s="2356">
        <f t="shared" si="46"/>
        <v>-106.681222629301</v>
      </c>
      <c r="AL273" s="2356">
        <f t="shared" si="46"/>
        <v>-106.681222629301</v>
      </c>
      <c r="AM273" s="2356">
        <f t="shared" si="46"/>
        <v>-106.681222629301</v>
      </c>
      <c r="AN273" s="2356">
        <f t="shared" si="46"/>
        <v>-106.681222629301</v>
      </c>
      <c r="AO273" s="2356">
        <f t="shared" si="46"/>
        <v>-106.681222629301</v>
      </c>
      <c r="AP273" s="2356">
        <f t="shared" si="46"/>
        <v>-106.681222629301</v>
      </c>
      <c r="AQ273" s="2356">
        <f t="shared" si="46"/>
        <v>-106.681222629301</v>
      </c>
    </row>
    <row r="274" spans="2:43" x14ac:dyDescent="0.25">
      <c r="B274" s="2349"/>
      <c r="C274" s="2352" t="s">
        <v>1240</v>
      </c>
      <c r="D274" s="2353"/>
      <c r="E274" s="2354"/>
      <c r="F274" s="2355"/>
      <c r="G274" s="2356">
        <f t="shared" si="46"/>
        <v>-1414.3029892938634</v>
      </c>
      <c r="H274" s="2356">
        <f t="shared" si="46"/>
        <v>-1414.3029892938634</v>
      </c>
      <c r="I274" s="2356">
        <f t="shared" si="46"/>
        <v>-1414.3029892938634</v>
      </c>
      <c r="J274" s="2356">
        <f t="shared" si="46"/>
        <v>-1414.3029892938634</v>
      </c>
      <c r="K274" s="2356">
        <f t="shared" si="46"/>
        <v>-1414.3029892938634</v>
      </c>
      <c r="L274" s="2356">
        <f t="shared" si="46"/>
        <v>-1414.3029892938634</v>
      </c>
      <c r="M274" s="2356">
        <f t="shared" si="46"/>
        <v>-1414.3029892938634</v>
      </c>
      <c r="N274" s="2356">
        <f t="shared" si="46"/>
        <v>-1414.3029892938634</v>
      </c>
      <c r="O274" s="2356">
        <f t="shared" si="46"/>
        <v>-1414.3029892938634</v>
      </c>
      <c r="P274" s="2356">
        <f t="shared" si="46"/>
        <v>-1414.3029892938634</v>
      </c>
      <c r="Q274" s="2356">
        <f t="shared" si="46"/>
        <v>-1414.3029892938634</v>
      </c>
      <c r="R274" s="2356">
        <f t="shared" si="46"/>
        <v>-1414.3029892938634</v>
      </c>
      <c r="S274" s="2356">
        <f t="shared" si="46"/>
        <v>-1414.3029892938634</v>
      </c>
      <c r="T274" s="2356">
        <f t="shared" si="46"/>
        <v>-1414.3029892938634</v>
      </c>
      <c r="U274" s="2356">
        <f t="shared" si="46"/>
        <v>-1414.3029892938634</v>
      </c>
      <c r="V274" s="2356">
        <f t="shared" si="46"/>
        <v>-1414.3029892938634</v>
      </c>
      <c r="W274" s="2356">
        <f t="shared" si="46"/>
        <v>-1414.3029892938634</v>
      </c>
      <c r="X274" s="2356">
        <f t="shared" si="46"/>
        <v>-1414.3029892938634</v>
      </c>
      <c r="Y274" s="2356">
        <f t="shared" si="46"/>
        <v>-1414.3029892938634</v>
      </c>
      <c r="Z274" s="2356">
        <f t="shared" si="46"/>
        <v>-1414.3029892938634</v>
      </c>
      <c r="AA274" s="2356">
        <f t="shared" si="46"/>
        <v>-1414.3029892938634</v>
      </c>
      <c r="AB274" s="2356">
        <f t="shared" si="46"/>
        <v>-1414.3029892938634</v>
      </c>
      <c r="AC274" s="2356">
        <f t="shared" si="46"/>
        <v>-1414.3029892938634</v>
      </c>
      <c r="AD274" s="2356">
        <f t="shared" si="46"/>
        <v>-1414.3029892938634</v>
      </c>
      <c r="AE274" s="2356">
        <f t="shared" si="46"/>
        <v>-1414.3029892938634</v>
      </c>
      <c r="AF274" s="2356">
        <f t="shared" si="46"/>
        <v>-1414.3029892938634</v>
      </c>
      <c r="AG274" s="2356">
        <f t="shared" si="46"/>
        <v>-1414.3029892938634</v>
      </c>
      <c r="AH274" s="2356">
        <f t="shared" si="46"/>
        <v>-1414.3029892938634</v>
      </c>
      <c r="AI274" s="2356">
        <f t="shared" si="46"/>
        <v>-1414.3029892938634</v>
      </c>
      <c r="AJ274" s="2356">
        <f t="shared" si="46"/>
        <v>-1414.3029892938634</v>
      </c>
      <c r="AK274" s="2356">
        <f t="shared" si="46"/>
        <v>-1414.3029892938634</v>
      </c>
      <c r="AL274" s="2356">
        <f t="shared" si="46"/>
        <v>-1414.3029892938634</v>
      </c>
      <c r="AM274" s="2356">
        <f t="shared" si="46"/>
        <v>-1414.3029892938634</v>
      </c>
      <c r="AN274" s="2356">
        <f>AN183</f>
        <v>-1414.3029892938634</v>
      </c>
      <c r="AO274" s="2356">
        <f>AO183</f>
        <v>-1414.3029892938634</v>
      </c>
      <c r="AP274" s="2356">
        <f>AP183</f>
        <v>-1414.3029892938634</v>
      </c>
      <c r="AQ274" s="2356">
        <f>AQ183</f>
        <v>-1414.3029892938634</v>
      </c>
    </row>
    <row r="275" spans="2:43" x14ac:dyDescent="0.25">
      <c r="B275" s="2349"/>
      <c r="C275" s="2362"/>
      <c r="D275" s="2362" t="s">
        <v>118</v>
      </c>
      <c r="E275" s="2362"/>
      <c r="F275" s="2363" t="s">
        <v>1160</v>
      </c>
      <c r="G275" s="2364">
        <f>SUM(G268:G274)</f>
        <v>-72161.854530425204</v>
      </c>
      <c r="H275" s="2364">
        <f t="shared" ref="H275:AQ275" si="47">SUM(H268:H274)</f>
        <v>-72499.465970635953</v>
      </c>
      <c r="I275" s="2364">
        <f t="shared" si="47"/>
        <v>-73009.959213965485</v>
      </c>
      <c r="J275" s="2364">
        <f t="shared" si="47"/>
        <v>-73666.978701130836</v>
      </c>
      <c r="K275" s="2364">
        <f t="shared" si="47"/>
        <v>-74426.099157546909</v>
      </c>
      <c r="L275" s="2364">
        <f t="shared" si="47"/>
        <v>-75242.989864399788</v>
      </c>
      <c r="M275" s="2364">
        <f t="shared" si="47"/>
        <v>-76059.880571252666</v>
      </c>
      <c r="N275" s="2364">
        <f t="shared" si="47"/>
        <v>-76876.77127810556</v>
      </c>
      <c r="O275" s="2364">
        <f t="shared" si="47"/>
        <v>-77693.661984958439</v>
      </c>
      <c r="P275" s="2364">
        <f t="shared" si="47"/>
        <v>-78510.552691811317</v>
      </c>
      <c r="Q275" s="2364">
        <f t="shared" si="47"/>
        <v>-79327.443398664196</v>
      </c>
      <c r="R275" s="2364">
        <f t="shared" si="47"/>
        <v>-80144.334105517075</v>
      </c>
      <c r="S275" s="2364">
        <f t="shared" si="47"/>
        <v>-80961.224812369968</v>
      </c>
      <c r="T275" s="2364">
        <f t="shared" si="47"/>
        <v>-81778.115519222833</v>
      </c>
      <c r="U275" s="2364">
        <f t="shared" si="47"/>
        <v>-82595.006226075726</v>
      </c>
      <c r="V275" s="2364">
        <f t="shared" si="47"/>
        <v>-83411.89693292859</v>
      </c>
      <c r="W275" s="2364">
        <f t="shared" si="47"/>
        <v>-84096.239509781473</v>
      </c>
      <c r="X275" s="2364">
        <f t="shared" si="47"/>
        <v>-84780.582086634357</v>
      </c>
      <c r="Y275" s="2364">
        <f t="shared" si="47"/>
        <v>-85464.92466348724</v>
      </c>
      <c r="Z275" s="2364">
        <f t="shared" si="47"/>
        <v>-86149.267240340123</v>
      </c>
      <c r="AA275" s="2364">
        <f t="shared" si="47"/>
        <v>-86833.609817193006</v>
      </c>
      <c r="AB275" s="2364">
        <f t="shared" si="47"/>
        <v>-87517.952394045889</v>
      </c>
      <c r="AC275" s="2364">
        <f t="shared" si="47"/>
        <v>-88202.294970898758</v>
      </c>
      <c r="AD275" s="2364">
        <f t="shared" si="47"/>
        <v>-88886.637547751656</v>
      </c>
      <c r="AE275" s="2364">
        <f t="shared" si="47"/>
        <v>-89570.980124604524</v>
      </c>
      <c r="AF275" s="2364">
        <f t="shared" si="47"/>
        <v>-90255.322701457408</v>
      </c>
      <c r="AG275" s="2364">
        <f t="shared" si="47"/>
        <v>-90939.665278310291</v>
      </c>
      <c r="AH275" s="2364">
        <f t="shared" si="47"/>
        <v>-91624.007855163174</v>
      </c>
      <c r="AI275" s="2364">
        <f t="shared" si="47"/>
        <v>-92308.350432016043</v>
      </c>
      <c r="AJ275" s="2364">
        <f t="shared" si="47"/>
        <v>-92992.693008868926</v>
      </c>
      <c r="AK275" s="2364">
        <f t="shared" si="47"/>
        <v>-93677.035585721809</v>
      </c>
      <c r="AL275" s="2364">
        <f t="shared" si="47"/>
        <v>-94006.458378445008</v>
      </c>
      <c r="AM275" s="2364">
        <f t="shared" si="47"/>
        <v>-94335.881171168236</v>
      </c>
      <c r="AN275" s="2364">
        <f t="shared" si="47"/>
        <v>-94665.303963891434</v>
      </c>
      <c r="AO275" s="2364">
        <f t="shared" si="47"/>
        <v>-94994.726756614633</v>
      </c>
      <c r="AP275" s="2364">
        <f t="shared" si="47"/>
        <v>-95324.149549337846</v>
      </c>
      <c r="AQ275" s="2364">
        <f t="shared" si="47"/>
        <v>-95653.572342061045</v>
      </c>
    </row>
    <row r="276" spans="2:43" x14ac:dyDescent="0.25">
      <c r="B276" s="2349"/>
      <c r="C276" s="2350"/>
      <c r="D276" s="2350"/>
      <c r="E276" s="2350"/>
      <c r="F276" s="2350"/>
      <c r="G276" s="2350"/>
      <c r="H276" s="2350"/>
      <c r="I276" s="2350"/>
      <c r="J276" s="2350"/>
      <c r="K276" s="2350"/>
      <c r="L276" s="2350"/>
      <c r="M276" s="2350"/>
      <c r="N276" s="2350"/>
      <c r="O276" s="2350"/>
      <c r="P276" s="2350"/>
      <c r="Q276" s="2350"/>
      <c r="R276" s="2350"/>
      <c r="S276" s="2350"/>
      <c r="T276" s="2350"/>
      <c r="U276" s="2350"/>
      <c r="V276" s="2350"/>
      <c r="W276" s="2350"/>
      <c r="X276" s="2350"/>
      <c r="Y276" s="2350"/>
      <c r="Z276" s="2350"/>
      <c r="AA276" s="2350"/>
      <c r="AB276" s="2350"/>
      <c r="AC276" s="2350"/>
      <c r="AD276" s="2350"/>
      <c r="AE276" s="2350"/>
      <c r="AF276" s="2350"/>
      <c r="AG276" s="2350"/>
      <c r="AH276" s="2350"/>
      <c r="AI276" s="2350"/>
      <c r="AJ276" s="2350"/>
      <c r="AK276" s="2350"/>
      <c r="AL276" s="2350"/>
      <c r="AM276" s="2350"/>
      <c r="AN276" s="2350"/>
      <c r="AO276" s="2350"/>
      <c r="AP276" s="2350"/>
      <c r="AQ276" s="2350"/>
    </row>
    <row r="277" spans="2:43" x14ac:dyDescent="0.25">
      <c r="B277" s="2349"/>
      <c r="C277" s="2350" t="s">
        <v>1339</v>
      </c>
      <c r="D277" s="2350"/>
      <c r="E277" s="2350"/>
      <c r="F277" s="2350"/>
      <c r="G277" s="2350"/>
      <c r="H277" s="2350"/>
      <c r="I277" s="2350"/>
      <c r="J277" s="2350"/>
      <c r="K277" s="2350"/>
      <c r="L277" s="2350"/>
      <c r="M277" s="2350"/>
      <c r="N277" s="2350"/>
      <c r="O277" s="2350"/>
      <c r="P277" s="2350"/>
      <c r="Q277" s="2350"/>
      <c r="R277" s="2350"/>
      <c r="S277" s="2350"/>
      <c r="T277" s="2350"/>
      <c r="U277" s="2350"/>
      <c r="V277" s="2350"/>
      <c r="W277" s="2350"/>
      <c r="X277" s="2350"/>
      <c r="Y277" s="2350"/>
      <c r="Z277" s="2350"/>
      <c r="AA277" s="2350"/>
      <c r="AB277" s="2350"/>
      <c r="AC277" s="2350"/>
      <c r="AD277" s="2350"/>
      <c r="AE277" s="2350"/>
      <c r="AF277" s="2350"/>
      <c r="AG277" s="2350"/>
      <c r="AH277" s="2350"/>
      <c r="AI277" s="2350"/>
      <c r="AJ277" s="2350"/>
      <c r="AK277" s="2350"/>
      <c r="AL277" s="2350"/>
      <c r="AM277" s="2350"/>
      <c r="AN277" s="2350"/>
      <c r="AO277" s="2350"/>
      <c r="AP277" s="2350"/>
      <c r="AQ277" s="2350"/>
    </row>
    <row r="278" spans="2:43" x14ac:dyDescent="0.25">
      <c r="B278" s="2349"/>
      <c r="C278" s="2341" t="s">
        <v>242</v>
      </c>
      <c r="D278" s="2342" t="s">
        <v>1029</v>
      </c>
      <c r="E278" s="2342" t="s">
        <v>8</v>
      </c>
      <c r="F278" s="2343"/>
      <c r="G278" s="2342">
        <v>2014</v>
      </c>
      <c r="H278" s="2342">
        <v>2015</v>
      </c>
      <c r="I278" s="2342">
        <v>2016</v>
      </c>
      <c r="J278" s="2342">
        <v>2017</v>
      </c>
      <c r="K278" s="2342">
        <v>2018</v>
      </c>
      <c r="L278" s="2342">
        <v>2019</v>
      </c>
      <c r="M278" s="2342">
        <v>2020</v>
      </c>
      <c r="N278" s="2342">
        <v>2021</v>
      </c>
      <c r="O278" s="2342">
        <v>2022</v>
      </c>
      <c r="P278" s="2342">
        <v>2023</v>
      </c>
      <c r="Q278" s="2342">
        <v>2024</v>
      </c>
      <c r="R278" s="2342">
        <v>2025</v>
      </c>
      <c r="S278" s="2342">
        <v>2026</v>
      </c>
      <c r="T278" s="2342">
        <v>2027</v>
      </c>
      <c r="U278" s="2342">
        <v>2028</v>
      </c>
      <c r="V278" s="2342">
        <v>2029</v>
      </c>
      <c r="W278" s="2342">
        <v>2030</v>
      </c>
      <c r="X278" s="2342">
        <v>2031</v>
      </c>
      <c r="Y278" s="2342">
        <v>2032</v>
      </c>
      <c r="Z278" s="2342">
        <v>2033</v>
      </c>
      <c r="AA278" s="2342">
        <v>2034</v>
      </c>
      <c r="AB278" s="2342">
        <v>2035</v>
      </c>
      <c r="AC278" s="2342">
        <v>2036</v>
      </c>
      <c r="AD278" s="2342">
        <v>2037</v>
      </c>
      <c r="AE278" s="2342">
        <v>2038</v>
      </c>
      <c r="AF278" s="2342">
        <v>2039</v>
      </c>
      <c r="AG278" s="2342">
        <v>2040</v>
      </c>
      <c r="AH278" s="2342">
        <v>2041</v>
      </c>
      <c r="AI278" s="2342">
        <v>2042</v>
      </c>
      <c r="AJ278" s="2342">
        <v>2043</v>
      </c>
      <c r="AK278" s="2342">
        <v>2044</v>
      </c>
      <c r="AL278" s="2342">
        <v>2045</v>
      </c>
      <c r="AM278" s="2342">
        <v>2046</v>
      </c>
      <c r="AN278" s="2342">
        <v>2047</v>
      </c>
      <c r="AO278" s="2342">
        <v>2048</v>
      </c>
      <c r="AP278" s="2342">
        <v>2049</v>
      </c>
      <c r="AQ278" s="2342">
        <v>2050</v>
      </c>
    </row>
    <row r="279" spans="2:43" x14ac:dyDescent="0.25">
      <c r="B279" s="2349"/>
      <c r="C279" s="2352" t="s">
        <v>1242</v>
      </c>
      <c r="D279" s="2353"/>
      <c r="E279" s="2354"/>
      <c r="F279" s="2355"/>
      <c r="G279" s="2356">
        <f t="shared" ref="G279:AQ282" si="48">G206</f>
        <v>29458.05419700003</v>
      </c>
      <c r="H279" s="2356">
        <f t="shared" si="48"/>
        <v>29458.05419700003</v>
      </c>
      <c r="I279" s="2356">
        <f t="shared" si="48"/>
        <v>29458.05419700003</v>
      </c>
      <c r="J279" s="2356">
        <f t="shared" si="48"/>
        <v>29458.05419700003</v>
      </c>
      <c r="K279" s="2356">
        <f t="shared" si="48"/>
        <v>29458.05419700003</v>
      </c>
      <c r="L279" s="2356">
        <f t="shared" si="48"/>
        <v>29458.05419700003</v>
      </c>
      <c r="M279" s="2356">
        <f t="shared" si="48"/>
        <v>29458.05419700003</v>
      </c>
      <c r="N279" s="2356">
        <f t="shared" si="48"/>
        <v>29458.05419700003</v>
      </c>
      <c r="O279" s="2356">
        <f t="shared" si="48"/>
        <v>29458.05419700003</v>
      </c>
      <c r="P279" s="2356">
        <f t="shared" si="48"/>
        <v>29458.05419700003</v>
      </c>
      <c r="Q279" s="2356">
        <f t="shared" si="48"/>
        <v>29458.05419700003</v>
      </c>
      <c r="R279" s="2356">
        <f t="shared" si="48"/>
        <v>29458.05419700003</v>
      </c>
      <c r="S279" s="2356">
        <f t="shared" si="48"/>
        <v>29458.05419700003</v>
      </c>
      <c r="T279" s="2356">
        <f t="shared" si="48"/>
        <v>29458.05419700003</v>
      </c>
      <c r="U279" s="2356">
        <f t="shared" si="48"/>
        <v>29458.05419700003</v>
      </c>
      <c r="V279" s="2356">
        <f t="shared" si="48"/>
        <v>29458.05419700003</v>
      </c>
      <c r="W279" s="2356">
        <f t="shared" si="48"/>
        <v>29458.05419700003</v>
      </c>
      <c r="X279" s="2356">
        <f t="shared" si="48"/>
        <v>29458.05419700003</v>
      </c>
      <c r="Y279" s="2356">
        <f t="shared" si="48"/>
        <v>29458.05419700003</v>
      </c>
      <c r="Z279" s="2356">
        <f t="shared" si="48"/>
        <v>29458.05419700003</v>
      </c>
      <c r="AA279" s="2356">
        <f t="shared" si="48"/>
        <v>29458.05419700003</v>
      </c>
      <c r="AB279" s="2356">
        <f t="shared" si="48"/>
        <v>29458.05419700003</v>
      </c>
      <c r="AC279" s="2356">
        <f t="shared" si="48"/>
        <v>29458.05419700003</v>
      </c>
      <c r="AD279" s="2356">
        <f t="shared" si="48"/>
        <v>29458.05419700003</v>
      </c>
      <c r="AE279" s="2356">
        <f t="shared" si="48"/>
        <v>29458.05419700003</v>
      </c>
      <c r="AF279" s="2356">
        <f t="shared" si="48"/>
        <v>29458.05419700003</v>
      </c>
      <c r="AG279" s="2356">
        <f t="shared" si="48"/>
        <v>29458.05419700003</v>
      </c>
      <c r="AH279" s="2356">
        <f t="shared" si="48"/>
        <v>29458.05419700003</v>
      </c>
      <c r="AI279" s="2356">
        <f t="shared" si="48"/>
        <v>29458.05419700003</v>
      </c>
      <c r="AJ279" s="2356">
        <f t="shared" si="48"/>
        <v>29458.05419700003</v>
      </c>
      <c r="AK279" s="2356">
        <f t="shared" si="48"/>
        <v>29458.05419700003</v>
      </c>
      <c r="AL279" s="2356">
        <f t="shared" si="48"/>
        <v>29458.05419700003</v>
      </c>
      <c r="AM279" s="2356">
        <f t="shared" si="48"/>
        <v>29458.05419700003</v>
      </c>
      <c r="AN279" s="2356">
        <f t="shared" si="48"/>
        <v>29458.05419700003</v>
      </c>
      <c r="AO279" s="2356">
        <f t="shared" si="48"/>
        <v>29458.05419700003</v>
      </c>
      <c r="AP279" s="2356">
        <f t="shared" si="48"/>
        <v>29458.05419700003</v>
      </c>
      <c r="AQ279" s="2356">
        <f t="shared" si="48"/>
        <v>29458.05419700003</v>
      </c>
    </row>
    <row r="280" spans="2:43" x14ac:dyDescent="0.25">
      <c r="B280" s="2349"/>
      <c r="C280" s="2352" t="s">
        <v>1244</v>
      </c>
      <c r="D280" s="2353"/>
      <c r="E280" s="2354"/>
      <c r="F280" s="2355"/>
      <c r="G280" s="2356">
        <f t="shared" si="48"/>
        <v>22827.84770009702</v>
      </c>
      <c r="H280" s="2356">
        <f t="shared" si="48"/>
        <v>22827.84770009702</v>
      </c>
      <c r="I280" s="2356">
        <f t="shared" si="48"/>
        <v>22827.84770009702</v>
      </c>
      <c r="J280" s="2356">
        <f t="shared" si="48"/>
        <v>22827.84770009702</v>
      </c>
      <c r="K280" s="2356">
        <f t="shared" si="48"/>
        <v>22827.84770009702</v>
      </c>
      <c r="L280" s="2356">
        <f t="shared" si="48"/>
        <v>22827.84770009702</v>
      </c>
      <c r="M280" s="2356">
        <f t="shared" si="48"/>
        <v>22827.84770009702</v>
      </c>
      <c r="N280" s="2356">
        <f t="shared" si="48"/>
        <v>37971.433049000043</v>
      </c>
      <c r="O280" s="2356">
        <f t="shared" si="48"/>
        <v>37971.433049000043</v>
      </c>
      <c r="P280" s="2356">
        <f t="shared" si="48"/>
        <v>37971.433049000043</v>
      </c>
      <c r="Q280" s="2356">
        <f t="shared" si="48"/>
        <v>37971.433049000043</v>
      </c>
      <c r="R280" s="2356">
        <f t="shared" si="48"/>
        <v>37971.433049000043</v>
      </c>
      <c r="S280" s="2356">
        <f t="shared" si="48"/>
        <v>37971.433049000043</v>
      </c>
      <c r="T280" s="2356">
        <f t="shared" si="48"/>
        <v>37971.433049000043</v>
      </c>
      <c r="U280" s="2356">
        <f t="shared" si="48"/>
        <v>37971.433049000043</v>
      </c>
      <c r="V280" s="2356">
        <f t="shared" si="48"/>
        <v>37971.433049000043</v>
      </c>
      <c r="W280" s="2356">
        <f t="shared" si="48"/>
        <v>37971.433049000043</v>
      </c>
      <c r="X280" s="2356">
        <f t="shared" si="48"/>
        <v>37971.433049000043</v>
      </c>
      <c r="Y280" s="2356">
        <f t="shared" si="48"/>
        <v>37971.433049000043</v>
      </c>
      <c r="Z280" s="2356">
        <f t="shared" si="48"/>
        <v>37971.433049000043</v>
      </c>
      <c r="AA280" s="2356">
        <f t="shared" si="48"/>
        <v>37971.433049000043</v>
      </c>
      <c r="AB280" s="2356">
        <f t="shared" si="48"/>
        <v>37971.433049000043</v>
      </c>
      <c r="AC280" s="2356">
        <f t="shared" si="48"/>
        <v>37971.433049000043</v>
      </c>
      <c r="AD280" s="2356">
        <f t="shared" si="48"/>
        <v>37971.433049000043</v>
      </c>
      <c r="AE280" s="2356">
        <f t="shared" si="48"/>
        <v>37971.433049000043</v>
      </c>
      <c r="AF280" s="2356">
        <f t="shared" si="48"/>
        <v>37971.433049000043</v>
      </c>
      <c r="AG280" s="2356">
        <f t="shared" si="48"/>
        <v>37971.433049000043</v>
      </c>
      <c r="AH280" s="2356">
        <f t="shared" si="48"/>
        <v>37971.433049000043</v>
      </c>
      <c r="AI280" s="2356">
        <f t="shared" si="48"/>
        <v>37971.433049000043</v>
      </c>
      <c r="AJ280" s="2356">
        <f t="shared" si="48"/>
        <v>37971.433049000043</v>
      </c>
      <c r="AK280" s="2356">
        <f t="shared" si="48"/>
        <v>37971.433049000043</v>
      </c>
      <c r="AL280" s="2356">
        <f t="shared" si="48"/>
        <v>37971.433049000043</v>
      </c>
      <c r="AM280" s="2356">
        <f t="shared" si="48"/>
        <v>37971.433049000043</v>
      </c>
      <c r="AN280" s="2356">
        <f t="shared" si="48"/>
        <v>37971.433049000043</v>
      </c>
      <c r="AO280" s="2356">
        <f t="shared" si="48"/>
        <v>37971.433049000043</v>
      </c>
      <c r="AP280" s="2356">
        <f t="shared" si="48"/>
        <v>37971.433049000043</v>
      </c>
      <c r="AQ280" s="2356">
        <f t="shared" si="48"/>
        <v>37971.433049000043</v>
      </c>
    </row>
    <row r="281" spans="2:43" x14ac:dyDescent="0.25">
      <c r="B281" s="2349"/>
      <c r="C281" s="2352" t="s">
        <v>1245</v>
      </c>
      <c r="D281" s="2353"/>
      <c r="E281" s="2354"/>
      <c r="F281" s="2355"/>
      <c r="G281" s="2356">
        <f t="shared" si="48"/>
        <v>633.5361615000005</v>
      </c>
      <c r="H281" s="2356">
        <f t="shared" si="48"/>
        <v>633.5361615000005</v>
      </c>
      <c r="I281" s="2356">
        <f t="shared" si="48"/>
        <v>633.5361615000005</v>
      </c>
      <c r="J281" s="2356">
        <f t="shared" si="48"/>
        <v>633.5361615000005</v>
      </c>
      <c r="K281" s="2356">
        <f t="shared" si="48"/>
        <v>633.5361615000005</v>
      </c>
      <c r="L281" s="2356">
        <f t="shared" si="48"/>
        <v>633.5361615000005</v>
      </c>
      <c r="M281" s="2356">
        <f t="shared" si="48"/>
        <v>633.5361615000005</v>
      </c>
      <c r="N281" s="2356">
        <f t="shared" si="48"/>
        <v>633.5361615000005</v>
      </c>
      <c r="O281" s="2356">
        <f t="shared" si="48"/>
        <v>633.5361615000005</v>
      </c>
      <c r="P281" s="2356">
        <f t="shared" si="48"/>
        <v>633.5361615000005</v>
      </c>
      <c r="Q281" s="2356">
        <f t="shared" si="48"/>
        <v>633.5361615000005</v>
      </c>
      <c r="R281" s="2356">
        <f t="shared" si="48"/>
        <v>633.5361615000005</v>
      </c>
      <c r="S281" s="2356">
        <f t="shared" si="48"/>
        <v>633.5361615000005</v>
      </c>
      <c r="T281" s="2356">
        <f t="shared" si="48"/>
        <v>633.5361615000005</v>
      </c>
      <c r="U281" s="2356">
        <f t="shared" si="48"/>
        <v>633.5361615000005</v>
      </c>
      <c r="V281" s="2356">
        <f t="shared" si="48"/>
        <v>633.5361615000005</v>
      </c>
      <c r="W281" s="2356">
        <f t="shared" si="48"/>
        <v>633.5361615000005</v>
      </c>
      <c r="X281" s="2356">
        <f t="shared" si="48"/>
        <v>633.5361615000005</v>
      </c>
      <c r="Y281" s="2356">
        <f t="shared" si="48"/>
        <v>633.5361615000005</v>
      </c>
      <c r="Z281" s="2356">
        <f t="shared" si="48"/>
        <v>633.5361615000005</v>
      </c>
      <c r="AA281" s="2356">
        <f t="shared" si="48"/>
        <v>633.5361615000005</v>
      </c>
      <c r="AB281" s="2356">
        <f t="shared" si="48"/>
        <v>633.5361615000005</v>
      </c>
      <c r="AC281" s="2356">
        <f t="shared" si="48"/>
        <v>633.5361615000005</v>
      </c>
      <c r="AD281" s="2356">
        <f t="shared" si="48"/>
        <v>633.5361615000005</v>
      </c>
      <c r="AE281" s="2356">
        <f t="shared" si="48"/>
        <v>633.5361615000005</v>
      </c>
      <c r="AF281" s="2356">
        <f t="shared" si="48"/>
        <v>633.5361615000005</v>
      </c>
      <c r="AG281" s="2356">
        <f t="shared" si="48"/>
        <v>633.5361615000005</v>
      </c>
      <c r="AH281" s="2356">
        <f t="shared" si="48"/>
        <v>633.5361615000005</v>
      </c>
      <c r="AI281" s="2356">
        <f t="shared" si="48"/>
        <v>633.5361615000005</v>
      </c>
      <c r="AJ281" s="2356">
        <f t="shared" si="48"/>
        <v>633.5361615000005</v>
      </c>
      <c r="AK281" s="2356">
        <f t="shared" si="48"/>
        <v>633.5361615000005</v>
      </c>
      <c r="AL281" s="2356">
        <f t="shared" si="48"/>
        <v>633.5361615000005</v>
      </c>
      <c r="AM281" s="2356">
        <f t="shared" si="48"/>
        <v>633.5361615000005</v>
      </c>
      <c r="AN281" s="2356">
        <f t="shared" si="48"/>
        <v>633.5361615000005</v>
      </c>
      <c r="AO281" s="2356">
        <f t="shared" si="48"/>
        <v>633.5361615000005</v>
      </c>
      <c r="AP281" s="2356">
        <f t="shared" si="48"/>
        <v>633.5361615000005</v>
      </c>
      <c r="AQ281" s="2356">
        <f t="shared" si="48"/>
        <v>633.5361615000005</v>
      </c>
    </row>
    <row r="282" spans="2:43" x14ac:dyDescent="0.25">
      <c r="B282" s="2349"/>
      <c r="C282" s="2352" t="s">
        <v>1246</v>
      </c>
      <c r="D282" s="2353"/>
      <c r="E282" s="2354"/>
      <c r="F282" s="2355"/>
      <c r="G282" s="2356">
        <f t="shared" si="48"/>
        <v>878.63593125000091</v>
      </c>
      <c r="H282" s="2356">
        <f t="shared" si="48"/>
        <v>878.63593125000091</v>
      </c>
      <c r="I282" s="2356">
        <f t="shared" si="48"/>
        <v>878.63593125000091</v>
      </c>
      <c r="J282" s="2356">
        <f t="shared" si="48"/>
        <v>878.63593125000091</v>
      </c>
      <c r="K282" s="2356">
        <f t="shared" si="48"/>
        <v>878.63593125000091</v>
      </c>
      <c r="L282" s="2356">
        <f t="shared" si="48"/>
        <v>878.63593125000091</v>
      </c>
      <c r="M282" s="2356">
        <f t="shared" si="48"/>
        <v>878.63593125000091</v>
      </c>
      <c r="N282" s="2356">
        <f t="shared" si="48"/>
        <v>878.63593125000091</v>
      </c>
      <c r="O282" s="2356">
        <f t="shared" si="48"/>
        <v>878.63593125000091</v>
      </c>
      <c r="P282" s="2356">
        <f t="shared" si="48"/>
        <v>878.63593125000091</v>
      </c>
      <c r="Q282" s="2356">
        <f t="shared" si="48"/>
        <v>878.63593125000091</v>
      </c>
      <c r="R282" s="2356">
        <f t="shared" si="48"/>
        <v>878.63593125000091</v>
      </c>
      <c r="S282" s="2356">
        <f t="shared" si="48"/>
        <v>878.63593125000091</v>
      </c>
      <c r="T282" s="2356">
        <f t="shared" si="48"/>
        <v>878.63593125000091</v>
      </c>
      <c r="U282" s="2356">
        <f t="shared" si="48"/>
        <v>878.63593125000091</v>
      </c>
      <c r="V282" s="2356">
        <f t="shared" si="48"/>
        <v>878.63593125000091</v>
      </c>
      <c r="W282" s="2356">
        <f t="shared" si="48"/>
        <v>878.63593125000091</v>
      </c>
      <c r="X282" s="2356">
        <f t="shared" si="48"/>
        <v>878.63593125000091</v>
      </c>
      <c r="Y282" s="2356">
        <f t="shared" si="48"/>
        <v>878.63593125000091</v>
      </c>
      <c r="Z282" s="2356">
        <f t="shared" si="48"/>
        <v>878.63593125000091</v>
      </c>
      <c r="AA282" s="2356">
        <f t="shared" si="48"/>
        <v>878.63593125000091</v>
      </c>
      <c r="AB282" s="2356">
        <f t="shared" si="48"/>
        <v>878.63593125000091</v>
      </c>
      <c r="AC282" s="2356">
        <f t="shared" si="48"/>
        <v>878.63593125000091</v>
      </c>
      <c r="AD282" s="2356">
        <f t="shared" si="48"/>
        <v>878.63593125000091</v>
      </c>
      <c r="AE282" s="2356">
        <f t="shared" si="48"/>
        <v>878.63593125000091</v>
      </c>
      <c r="AF282" s="2356">
        <f t="shared" si="48"/>
        <v>878.63593125000091</v>
      </c>
      <c r="AG282" s="2356">
        <f t="shared" si="48"/>
        <v>878.63593125000091</v>
      </c>
      <c r="AH282" s="2356">
        <f t="shared" si="48"/>
        <v>878.63593125000091</v>
      </c>
      <c r="AI282" s="2356">
        <f t="shared" si="48"/>
        <v>878.63593125000091</v>
      </c>
      <c r="AJ282" s="2356">
        <f t="shared" si="48"/>
        <v>878.63593125000091</v>
      </c>
      <c r="AK282" s="2356">
        <f t="shared" si="48"/>
        <v>878.63593125000091</v>
      </c>
      <c r="AL282" s="2356">
        <f t="shared" si="48"/>
        <v>878.63593125000091</v>
      </c>
      <c r="AM282" s="2356">
        <f t="shared" si="48"/>
        <v>878.63593125000091</v>
      </c>
      <c r="AN282" s="2356">
        <f t="shared" si="48"/>
        <v>878.63593125000091</v>
      </c>
      <c r="AO282" s="2356">
        <f t="shared" si="48"/>
        <v>878.63593125000091</v>
      </c>
      <c r="AP282" s="2356">
        <f t="shared" si="48"/>
        <v>878.63593125000091</v>
      </c>
      <c r="AQ282" s="2356">
        <f t="shared" si="48"/>
        <v>878.63593125000091</v>
      </c>
    </row>
    <row r="283" spans="2:43" x14ac:dyDescent="0.25">
      <c r="B283" s="2349"/>
      <c r="C283" s="2362"/>
      <c r="D283" s="2362" t="s">
        <v>118</v>
      </c>
      <c r="E283" s="2362"/>
      <c r="F283" s="2363" t="s">
        <v>1160</v>
      </c>
      <c r="G283" s="2364">
        <f t="shared" ref="G283:AQ283" si="49">SUM(G279:G282)</f>
        <v>53798.073989847049</v>
      </c>
      <c r="H283" s="2364">
        <f t="shared" si="49"/>
        <v>53798.073989847049</v>
      </c>
      <c r="I283" s="2364">
        <f t="shared" si="49"/>
        <v>53798.073989847049</v>
      </c>
      <c r="J283" s="2364">
        <f t="shared" si="49"/>
        <v>53798.073989847049</v>
      </c>
      <c r="K283" s="2364">
        <f t="shared" si="49"/>
        <v>53798.073989847049</v>
      </c>
      <c r="L283" s="2364">
        <f t="shared" si="49"/>
        <v>53798.073989847049</v>
      </c>
      <c r="M283" s="2364">
        <f t="shared" si="49"/>
        <v>53798.073989847049</v>
      </c>
      <c r="N283" s="2364">
        <f t="shared" si="49"/>
        <v>68941.659338750076</v>
      </c>
      <c r="O283" s="2364">
        <f t="shared" si="49"/>
        <v>68941.659338750076</v>
      </c>
      <c r="P283" s="2364">
        <f t="shared" si="49"/>
        <v>68941.659338750076</v>
      </c>
      <c r="Q283" s="2364">
        <f t="shared" si="49"/>
        <v>68941.659338750076</v>
      </c>
      <c r="R283" s="2364">
        <f t="shared" si="49"/>
        <v>68941.659338750076</v>
      </c>
      <c r="S283" s="2364">
        <f t="shared" si="49"/>
        <v>68941.659338750076</v>
      </c>
      <c r="T283" s="2364">
        <f t="shared" si="49"/>
        <v>68941.659338750076</v>
      </c>
      <c r="U283" s="2364">
        <f t="shared" si="49"/>
        <v>68941.659338750076</v>
      </c>
      <c r="V283" s="2364">
        <f t="shared" si="49"/>
        <v>68941.659338750076</v>
      </c>
      <c r="W283" s="2364">
        <f t="shared" si="49"/>
        <v>68941.659338750076</v>
      </c>
      <c r="X283" s="2364">
        <f t="shared" si="49"/>
        <v>68941.659338750076</v>
      </c>
      <c r="Y283" s="2364">
        <f t="shared" si="49"/>
        <v>68941.659338750076</v>
      </c>
      <c r="Z283" s="2364">
        <f t="shared" si="49"/>
        <v>68941.659338750076</v>
      </c>
      <c r="AA283" s="2364">
        <f t="shared" si="49"/>
        <v>68941.659338750076</v>
      </c>
      <c r="AB283" s="2364">
        <f t="shared" si="49"/>
        <v>68941.659338750076</v>
      </c>
      <c r="AC283" s="2364">
        <f t="shared" si="49"/>
        <v>68941.659338750076</v>
      </c>
      <c r="AD283" s="2364">
        <f t="shared" si="49"/>
        <v>68941.659338750076</v>
      </c>
      <c r="AE283" s="2364">
        <f t="shared" si="49"/>
        <v>68941.659338750076</v>
      </c>
      <c r="AF283" s="2364">
        <f t="shared" si="49"/>
        <v>68941.659338750076</v>
      </c>
      <c r="AG283" s="2364">
        <f t="shared" si="49"/>
        <v>68941.659338750076</v>
      </c>
      <c r="AH283" s="2364">
        <f t="shared" si="49"/>
        <v>68941.659338750076</v>
      </c>
      <c r="AI283" s="2364">
        <f t="shared" si="49"/>
        <v>68941.659338750076</v>
      </c>
      <c r="AJ283" s="2364">
        <f t="shared" si="49"/>
        <v>68941.659338750076</v>
      </c>
      <c r="AK283" s="2364">
        <f t="shared" si="49"/>
        <v>68941.659338750076</v>
      </c>
      <c r="AL283" s="2364">
        <f t="shared" si="49"/>
        <v>68941.659338750076</v>
      </c>
      <c r="AM283" s="2364">
        <f t="shared" si="49"/>
        <v>68941.659338750076</v>
      </c>
      <c r="AN283" s="2364">
        <f t="shared" si="49"/>
        <v>68941.659338750076</v>
      </c>
      <c r="AO283" s="2364">
        <f t="shared" si="49"/>
        <v>68941.659338750076</v>
      </c>
      <c r="AP283" s="2364">
        <f t="shared" si="49"/>
        <v>68941.659338750076</v>
      </c>
      <c r="AQ283" s="2364">
        <f t="shared" si="49"/>
        <v>68941.659338750076</v>
      </c>
    </row>
    <row r="284" spans="2:43" x14ac:dyDescent="0.25">
      <c r="B284" s="2349"/>
      <c r="C284" s="2350"/>
      <c r="D284" s="2350"/>
      <c r="E284" s="2350"/>
      <c r="F284" s="2350"/>
      <c r="G284" s="2350"/>
      <c r="H284" s="2350"/>
      <c r="I284" s="2350"/>
      <c r="J284" s="2350"/>
      <c r="K284" s="2350"/>
      <c r="L284" s="2350"/>
      <c r="M284" s="2350"/>
      <c r="N284" s="2350"/>
      <c r="O284" s="2350"/>
      <c r="P284" s="2350"/>
      <c r="Q284" s="2350"/>
      <c r="R284" s="2350"/>
      <c r="S284" s="2350"/>
      <c r="T284" s="2350"/>
      <c r="U284" s="2350"/>
      <c r="V284" s="2350"/>
      <c r="W284" s="2350"/>
      <c r="X284" s="2350"/>
      <c r="Y284" s="2350"/>
      <c r="Z284" s="2350"/>
      <c r="AA284" s="2350"/>
      <c r="AB284" s="2350"/>
      <c r="AC284" s="2350"/>
      <c r="AD284" s="2350"/>
      <c r="AE284" s="2350"/>
      <c r="AF284" s="2350"/>
      <c r="AG284" s="2350"/>
      <c r="AH284" s="2350"/>
      <c r="AI284" s="2350"/>
      <c r="AJ284" s="2350"/>
      <c r="AK284" s="2350"/>
      <c r="AL284" s="2350"/>
      <c r="AM284" s="2350"/>
      <c r="AN284" s="2350"/>
      <c r="AO284" s="2350"/>
      <c r="AP284" s="2350"/>
      <c r="AQ284" s="2350"/>
    </row>
    <row r="285" spans="2:43" x14ac:dyDescent="0.25">
      <c r="B285" s="2349"/>
      <c r="C285" s="2350" t="s">
        <v>1340</v>
      </c>
      <c r="D285" s="2350"/>
      <c r="E285" s="2350"/>
      <c r="F285" s="2350"/>
      <c r="G285" s="2350"/>
      <c r="H285" s="2350"/>
      <c r="I285" s="2350"/>
      <c r="J285" s="2350"/>
      <c r="K285" s="2350"/>
      <c r="L285" s="2350"/>
      <c r="M285" s="2350"/>
      <c r="N285" s="2350"/>
      <c r="O285" s="2350"/>
      <c r="P285" s="2350"/>
      <c r="Q285" s="2350"/>
      <c r="R285" s="2350"/>
      <c r="S285" s="2350"/>
      <c r="T285" s="2350"/>
      <c r="U285" s="2350"/>
      <c r="V285" s="2350"/>
      <c r="W285" s="2350"/>
      <c r="X285" s="2350"/>
      <c r="Y285" s="2350"/>
      <c r="Z285" s="2350"/>
      <c r="AA285" s="2350"/>
      <c r="AB285" s="2350"/>
      <c r="AC285" s="2350"/>
      <c r="AD285" s="2350"/>
      <c r="AE285" s="2350"/>
      <c r="AF285" s="2350"/>
      <c r="AG285" s="2350"/>
      <c r="AH285" s="2350"/>
      <c r="AI285" s="2350"/>
      <c r="AJ285" s="2350"/>
      <c r="AK285" s="2350"/>
      <c r="AL285" s="2350"/>
      <c r="AM285" s="2350"/>
      <c r="AN285" s="2350"/>
      <c r="AO285" s="2350"/>
      <c r="AP285" s="2350"/>
      <c r="AQ285" s="2350"/>
    </row>
    <row r="286" spans="2:43" x14ac:dyDescent="0.25">
      <c r="B286" s="2349"/>
      <c r="C286" s="2341" t="s">
        <v>242</v>
      </c>
      <c r="D286" s="2342" t="s">
        <v>1029</v>
      </c>
      <c r="E286" s="2342" t="s">
        <v>8</v>
      </c>
      <c r="F286" s="2343"/>
      <c r="G286" s="2342">
        <v>2014</v>
      </c>
      <c r="H286" s="2342">
        <v>2015</v>
      </c>
      <c r="I286" s="2342">
        <v>2016</v>
      </c>
      <c r="J286" s="2342">
        <v>2017</v>
      </c>
      <c r="K286" s="2342">
        <v>2018</v>
      </c>
      <c r="L286" s="2342">
        <v>2019</v>
      </c>
      <c r="M286" s="2342">
        <v>2020</v>
      </c>
      <c r="N286" s="2342">
        <v>2021</v>
      </c>
      <c r="O286" s="2342">
        <v>2022</v>
      </c>
      <c r="P286" s="2342">
        <v>2023</v>
      </c>
      <c r="Q286" s="2342">
        <v>2024</v>
      </c>
      <c r="R286" s="2342">
        <v>2025</v>
      </c>
      <c r="S286" s="2342">
        <v>2026</v>
      </c>
      <c r="T286" s="2342">
        <v>2027</v>
      </c>
      <c r="U286" s="2342">
        <v>2028</v>
      </c>
      <c r="V286" s="2342">
        <v>2029</v>
      </c>
      <c r="W286" s="2342">
        <v>2030</v>
      </c>
      <c r="X286" s="2342">
        <v>2031</v>
      </c>
      <c r="Y286" s="2342">
        <v>2032</v>
      </c>
      <c r="Z286" s="2342">
        <v>2033</v>
      </c>
      <c r="AA286" s="2342">
        <v>2034</v>
      </c>
      <c r="AB286" s="2342">
        <v>2035</v>
      </c>
      <c r="AC286" s="2342">
        <v>2036</v>
      </c>
      <c r="AD286" s="2342">
        <v>2037</v>
      </c>
      <c r="AE286" s="2342">
        <v>2038</v>
      </c>
      <c r="AF286" s="2342">
        <v>2039</v>
      </c>
      <c r="AG286" s="2342">
        <v>2040</v>
      </c>
      <c r="AH286" s="2342">
        <v>2041</v>
      </c>
      <c r="AI286" s="2342">
        <v>2042</v>
      </c>
      <c r="AJ286" s="2342">
        <v>2043</v>
      </c>
      <c r="AK286" s="2342">
        <v>2044</v>
      </c>
      <c r="AL286" s="2342">
        <v>2045</v>
      </c>
      <c r="AM286" s="2342">
        <v>2046</v>
      </c>
      <c r="AN286" s="2342">
        <v>2047</v>
      </c>
      <c r="AO286" s="2342">
        <v>2048</v>
      </c>
      <c r="AP286" s="2342">
        <v>2049</v>
      </c>
      <c r="AQ286" s="2342">
        <v>2050</v>
      </c>
    </row>
    <row r="287" spans="2:43" x14ac:dyDescent="0.25">
      <c r="B287" s="2349"/>
      <c r="C287" s="2352" t="s">
        <v>1341</v>
      </c>
      <c r="D287" s="2353"/>
      <c r="E287" s="2354"/>
      <c r="F287" s="2355"/>
      <c r="G287" s="2356" t="e">
        <f>G260+G261+G262+G263</f>
        <v>#REF!</v>
      </c>
      <c r="H287" s="2356" t="e">
        <f t="shared" ref="H287:AQ287" si="50">H260+H261+H262+H263</f>
        <v>#REF!</v>
      </c>
      <c r="I287" s="2356" t="e">
        <f t="shared" si="50"/>
        <v>#REF!</v>
      </c>
      <c r="J287" s="2356" t="e">
        <f t="shared" si="50"/>
        <v>#REF!</v>
      </c>
      <c r="K287" s="2356" t="e">
        <f t="shared" si="50"/>
        <v>#REF!</v>
      </c>
      <c r="L287" s="2356" t="e">
        <f t="shared" si="50"/>
        <v>#REF!</v>
      </c>
      <c r="M287" s="2356" t="e">
        <f t="shared" si="50"/>
        <v>#REF!</v>
      </c>
      <c r="N287" s="2356" t="e">
        <f t="shared" si="50"/>
        <v>#REF!</v>
      </c>
      <c r="O287" s="2356" t="e">
        <f t="shared" si="50"/>
        <v>#REF!</v>
      </c>
      <c r="P287" s="2356" t="e">
        <f t="shared" si="50"/>
        <v>#REF!</v>
      </c>
      <c r="Q287" s="2356" t="e">
        <f t="shared" si="50"/>
        <v>#REF!</v>
      </c>
      <c r="R287" s="2356" t="e">
        <f t="shared" si="50"/>
        <v>#REF!</v>
      </c>
      <c r="S287" s="2356" t="e">
        <f t="shared" si="50"/>
        <v>#REF!</v>
      </c>
      <c r="T287" s="2356" t="e">
        <f t="shared" si="50"/>
        <v>#REF!</v>
      </c>
      <c r="U287" s="2356" t="e">
        <f t="shared" si="50"/>
        <v>#REF!</v>
      </c>
      <c r="V287" s="2356" t="e">
        <f t="shared" si="50"/>
        <v>#REF!</v>
      </c>
      <c r="W287" s="2356" t="e">
        <f t="shared" si="50"/>
        <v>#REF!</v>
      </c>
      <c r="X287" s="2356" t="e">
        <f t="shared" si="50"/>
        <v>#REF!</v>
      </c>
      <c r="Y287" s="2356" t="e">
        <f t="shared" si="50"/>
        <v>#REF!</v>
      </c>
      <c r="Z287" s="2356" t="e">
        <f t="shared" si="50"/>
        <v>#REF!</v>
      </c>
      <c r="AA287" s="2356" t="e">
        <f t="shared" si="50"/>
        <v>#REF!</v>
      </c>
      <c r="AB287" s="2356" t="e">
        <f t="shared" si="50"/>
        <v>#REF!</v>
      </c>
      <c r="AC287" s="2356" t="e">
        <f t="shared" si="50"/>
        <v>#REF!</v>
      </c>
      <c r="AD287" s="2356" t="e">
        <f t="shared" si="50"/>
        <v>#REF!</v>
      </c>
      <c r="AE287" s="2356" t="e">
        <f t="shared" si="50"/>
        <v>#REF!</v>
      </c>
      <c r="AF287" s="2356" t="e">
        <f t="shared" si="50"/>
        <v>#REF!</v>
      </c>
      <c r="AG287" s="2356" t="e">
        <f t="shared" si="50"/>
        <v>#REF!</v>
      </c>
      <c r="AH287" s="2356" t="e">
        <f t="shared" si="50"/>
        <v>#REF!</v>
      </c>
      <c r="AI287" s="2356" t="e">
        <f t="shared" si="50"/>
        <v>#REF!</v>
      </c>
      <c r="AJ287" s="2356" t="e">
        <f t="shared" si="50"/>
        <v>#REF!</v>
      </c>
      <c r="AK287" s="2356" t="e">
        <f t="shared" si="50"/>
        <v>#REF!</v>
      </c>
      <c r="AL287" s="2356" t="e">
        <f t="shared" si="50"/>
        <v>#REF!</v>
      </c>
      <c r="AM287" s="2356" t="e">
        <f t="shared" si="50"/>
        <v>#REF!</v>
      </c>
      <c r="AN287" s="2356" t="e">
        <f t="shared" si="50"/>
        <v>#REF!</v>
      </c>
      <c r="AO287" s="2356" t="e">
        <f t="shared" si="50"/>
        <v>#REF!</v>
      </c>
      <c r="AP287" s="2356" t="e">
        <f t="shared" si="50"/>
        <v>#REF!</v>
      </c>
      <c r="AQ287" s="2356" t="e">
        <f t="shared" si="50"/>
        <v>#REF!</v>
      </c>
    </row>
    <row r="288" spans="2:43" x14ac:dyDescent="0.25">
      <c r="B288" s="2349"/>
      <c r="C288" s="2352" t="s">
        <v>1342</v>
      </c>
      <c r="D288" s="2353"/>
      <c r="E288" s="2354"/>
      <c r="F288" s="2355"/>
      <c r="G288" s="2356">
        <f t="shared" ref="G288:AQ288" si="51">G188</f>
        <v>-974.84625237607406</v>
      </c>
      <c r="H288" s="2356">
        <f t="shared" si="51"/>
        <v>-974.84625237607406</v>
      </c>
      <c r="I288" s="2356">
        <f t="shared" si="51"/>
        <v>-974.84625237607406</v>
      </c>
      <c r="J288" s="2356">
        <f t="shared" si="51"/>
        <v>-974.84625237607406</v>
      </c>
      <c r="K288" s="2356">
        <f t="shared" si="51"/>
        <v>-974.84625237607406</v>
      </c>
      <c r="L288" s="2356">
        <f t="shared" si="51"/>
        <v>-974.84625237607406</v>
      </c>
      <c r="M288" s="2356">
        <f t="shared" si="51"/>
        <v>-974.84625237607406</v>
      </c>
      <c r="N288" s="2356">
        <f t="shared" si="51"/>
        <v>-974.84625237607406</v>
      </c>
      <c r="O288" s="2356">
        <f t="shared" si="51"/>
        <v>-974.84625237607406</v>
      </c>
      <c r="P288" s="2356">
        <f t="shared" si="51"/>
        <v>-974.84625237607406</v>
      </c>
      <c r="Q288" s="2356">
        <f t="shared" si="51"/>
        <v>-974.84625237607406</v>
      </c>
      <c r="R288" s="2356">
        <f t="shared" si="51"/>
        <v>-974.84625237607406</v>
      </c>
      <c r="S288" s="2356">
        <f t="shared" si="51"/>
        <v>-974.84625237607406</v>
      </c>
      <c r="T288" s="2356">
        <f t="shared" si="51"/>
        <v>-974.84625237607406</v>
      </c>
      <c r="U288" s="2356">
        <f t="shared" si="51"/>
        <v>-974.84625237607406</v>
      </c>
      <c r="V288" s="2356">
        <f t="shared" si="51"/>
        <v>-974.84625237607406</v>
      </c>
      <c r="W288" s="2356">
        <f t="shared" si="51"/>
        <v>-974.84625237607406</v>
      </c>
      <c r="X288" s="2356">
        <f t="shared" si="51"/>
        <v>-974.84625237607406</v>
      </c>
      <c r="Y288" s="2356">
        <f t="shared" si="51"/>
        <v>-974.84625237607406</v>
      </c>
      <c r="Z288" s="2356">
        <f t="shared" si="51"/>
        <v>-974.84625237607406</v>
      </c>
      <c r="AA288" s="2356">
        <f t="shared" si="51"/>
        <v>-974.84625237607406</v>
      </c>
      <c r="AB288" s="2356">
        <f t="shared" si="51"/>
        <v>-974.84625237607406</v>
      </c>
      <c r="AC288" s="2356">
        <f t="shared" si="51"/>
        <v>-974.84625237607406</v>
      </c>
      <c r="AD288" s="2356">
        <f t="shared" si="51"/>
        <v>-974.84625237607406</v>
      </c>
      <c r="AE288" s="2356">
        <f t="shared" si="51"/>
        <v>-974.84625237607406</v>
      </c>
      <c r="AF288" s="2356">
        <f t="shared" si="51"/>
        <v>-974.84625237607406</v>
      </c>
      <c r="AG288" s="2356">
        <f t="shared" si="51"/>
        <v>-974.84625237607406</v>
      </c>
      <c r="AH288" s="2356">
        <f t="shared" si="51"/>
        <v>-974.84625237607406</v>
      </c>
      <c r="AI288" s="2356">
        <f t="shared" si="51"/>
        <v>-974.84625237607406</v>
      </c>
      <c r="AJ288" s="2356">
        <f t="shared" si="51"/>
        <v>-974.84625237607406</v>
      </c>
      <c r="AK288" s="2356">
        <f t="shared" si="51"/>
        <v>-974.84625237607406</v>
      </c>
      <c r="AL288" s="2356">
        <f t="shared" si="51"/>
        <v>-974.84625237607406</v>
      </c>
      <c r="AM288" s="2356">
        <f t="shared" si="51"/>
        <v>-974.84625237607406</v>
      </c>
      <c r="AN288" s="2356">
        <f t="shared" si="51"/>
        <v>-974.84625237607406</v>
      </c>
      <c r="AO288" s="2356">
        <f t="shared" si="51"/>
        <v>-974.84625237607406</v>
      </c>
      <c r="AP288" s="2356">
        <f t="shared" si="51"/>
        <v>-974.84625237607406</v>
      </c>
      <c r="AQ288" s="2356">
        <f t="shared" si="51"/>
        <v>-974.84625237607406</v>
      </c>
    </row>
    <row r="289" spans="2:43" x14ac:dyDescent="0.25">
      <c r="B289" s="2349"/>
      <c r="C289" s="2352" t="s">
        <v>1343</v>
      </c>
      <c r="D289" s="2353"/>
      <c r="E289" s="2354"/>
      <c r="F289" s="2355"/>
      <c r="G289" s="2356">
        <f>G283</f>
        <v>53798.073989847049</v>
      </c>
      <c r="H289" s="2356">
        <f t="shared" ref="H289:AQ289" si="52">H283</f>
        <v>53798.073989847049</v>
      </c>
      <c r="I289" s="2356">
        <f t="shared" si="52"/>
        <v>53798.073989847049</v>
      </c>
      <c r="J289" s="2356">
        <f t="shared" si="52"/>
        <v>53798.073989847049</v>
      </c>
      <c r="K289" s="2356">
        <f t="shared" si="52"/>
        <v>53798.073989847049</v>
      </c>
      <c r="L289" s="2356">
        <f t="shared" si="52"/>
        <v>53798.073989847049</v>
      </c>
      <c r="M289" s="2356">
        <f t="shared" si="52"/>
        <v>53798.073989847049</v>
      </c>
      <c r="N289" s="2356">
        <f t="shared" si="52"/>
        <v>68941.659338750076</v>
      </c>
      <c r="O289" s="2356">
        <f t="shared" si="52"/>
        <v>68941.659338750076</v>
      </c>
      <c r="P289" s="2356">
        <f t="shared" si="52"/>
        <v>68941.659338750076</v>
      </c>
      <c r="Q289" s="2356">
        <f t="shared" si="52"/>
        <v>68941.659338750076</v>
      </c>
      <c r="R289" s="2356">
        <f t="shared" si="52"/>
        <v>68941.659338750076</v>
      </c>
      <c r="S289" s="2356">
        <f t="shared" si="52"/>
        <v>68941.659338750076</v>
      </c>
      <c r="T289" s="2356">
        <f t="shared" si="52"/>
        <v>68941.659338750076</v>
      </c>
      <c r="U289" s="2356">
        <f t="shared" si="52"/>
        <v>68941.659338750076</v>
      </c>
      <c r="V289" s="2356">
        <f t="shared" si="52"/>
        <v>68941.659338750076</v>
      </c>
      <c r="W289" s="2356">
        <f t="shared" si="52"/>
        <v>68941.659338750076</v>
      </c>
      <c r="X289" s="2356">
        <f t="shared" si="52"/>
        <v>68941.659338750076</v>
      </c>
      <c r="Y289" s="2356">
        <f t="shared" si="52"/>
        <v>68941.659338750076</v>
      </c>
      <c r="Z289" s="2356">
        <f t="shared" si="52"/>
        <v>68941.659338750076</v>
      </c>
      <c r="AA289" s="2356">
        <f t="shared" si="52"/>
        <v>68941.659338750076</v>
      </c>
      <c r="AB289" s="2356">
        <f t="shared" si="52"/>
        <v>68941.659338750076</v>
      </c>
      <c r="AC289" s="2356">
        <f t="shared" si="52"/>
        <v>68941.659338750076</v>
      </c>
      <c r="AD289" s="2356">
        <f t="shared" si="52"/>
        <v>68941.659338750076</v>
      </c>
      <c r="AE289" s="2356">
        <f t="shared" si="52"/>
        <v>68941.659338750076</v>
      </c>
      <c r="AF289" s="2356">
        <f t="shared" si="52"/>
        <v>68941.659338750076</v>
      </c>
      <c r="AG289" s="2356">
        <f t="shared" si="52"/>
        <v>68941.659338750076</v>
      </c>
      <c r="AH289" s="2356">
        <f t="shared" si="52"/>
        <v>68941.659338750076</v>
      </c>
      <c r="AI289" s="2356">
        <f t="shared" si="52"/>
        <v>68941.659338750076</v>
      </c>
      <c r="AJ289" s="2356">
        <f t="shared" si="52"/>
        <v>68941.659338750076</v>
      </c>
      <c r="AK289" s="2356">
        <f t="shared" si="52"/>
        <v>68941.659338750076</v>
      </c>
      <c r="AL289" s="2356">
        <f t="shared" si="52"/>
        <v>68941.659338750076</v>
      </c>
      <c r="AM289" s="2356">
        <f t="shared" si="52"/>
        <v>68941.659338750076</v>
      </c>
      <c r="AN289" s="2356">
        <f t="shared" si="52"/>
        <v>68941.659338750076</v>
      </c>
      <c r="AO289" s="2356">
        <f t="shared" si="52"/>
        <v>68941.659338750076</v>
      </c>
      <c r="AP289" s="2356">
        <f t="shared" si="52"/>
        <v>68941.659338750076</v>
      </c>
      <c r="AQ289" s="2356">
        <f t="shared" si="52"/>
        <v>68941.659338750076</v>
      </c>
    </row>
    <row r="290" spans="2:43" x14ac:dyDescent="0.25">
      <c r="B290" s="2349"/>
      <c r="C290" s="2352" t="s">
        <v>509</v>
      </c>
      <c r="D290" s="2353"/>
      <c r="E290" s="2354"/>
      <c r="F290" s="2355"/>
      <c r="G290" s="2356">
        <f t="shared" ref="G290:AQ290" si="53">G202</f>
        <v>12067.116969600012</v>
      </c>
      <c r="H290" s="2356">
        <f t="shared" si="53"/>
        <v>12067.116969600012</v>
      </c>
      <c r="I290" s="2356">
        <f t="shared" si="53"/>
        <v>12067.116969600012</v>
      </c>
      <c r="J290" s="2356">
        <f t="shared" si="53"/>
        <v>12067.116969600012</v>
      </c>
      <c r="K290" s="2356">
        <f t="shared" si="53"/>
        <v>12067.116969600012</v>
      </c>
      <c r="L290" s="2356">
        <f t="shared" si="53"/>
        <v>12067.116969600012</v>
      </c>
      <c r="M290" s="2356">
        <f t="shared" si="53"/>
        <v>12067.116969600012</v>
      </c>
      <c r="N290" s="2356">
        <f t="shared" si="53"/>
        <v>12067.116969600012</v>
      </c>
      <c r="O290" s="2356">
        <f t="shared" si="53"/>
        <v>12067.116969600012</v>
      </c>
      <c r="P290" s="2356">
        <f t="shared" si="53"/>
        <v>12067.116969600012</v>
      </c>
      <c r="Q290" s="2356">
        <f t="shared" si="53"/>
        <v>12067.116969600012</v>
      </c>
      <c r="R290" s="2356">
        <f t="shared" si="53"/>
        <v>12067.116969600012</v>
      </c>
      <c r="S290" s="2356">
        <f t="shared" si="53"/>
        <v>12067.116969600012</v>
      </c>
      <c r="T290" s="2356">
        <f t="shared" si="53"/>
        <v>12067.116969600012</v>
      </c>
      <c r="U290" s="2356">
        <f t="shared" si="53"/>
        <v>12067.116969600012</v>
      </c>
      <c r="V290" s="2356">
        <f t="shared" si="53"/>
        <v>12067.116969600012</v>
      </c>
      <c r="W290" s="2356">
        <f t="shared" si="53"/>
        <v>12067.116969600012</v>
      </c>
      <c r="X290" s="2356">
        <f t="shared" si="53"/>
        <v>12067.116969600012</v>
      </c>
      <c r="Y290" s="2356">
        <f t="shared" si="53"/>
        <v>12067.116969600012</v>
      </c>
      <c r="Z290" s="2356">
        <f t="shared" si="53"/>
        <v>12067.116969600012</v>
      </c>
      <c r="AA290" s="2356">
        <f t="shared" si="53"/>
        <v>12067.116969600012</v>
      </c>
      <c r="AB290" s="2356">
        <f t="shared" si="53"/>
        <v>12067.116969600012</v>
      </c>
      <c r="AC290" s="2356">
        <f t="shared" si="53"/>
        <v>12067.116969600012</v>
      </c>
      <c r="AD290" s="2356">
        <f t="shared" si="53"/>
        <v>12067.116969600012</v>
      </c>
      <c r="AE290" s="2356">
        <f t="shared" si="53"/>
        <v>12067.116969600012</v>
      </c>
      <c r="AF290" s="2356">
        <f t="shared" si="53"/>
        <v>12067.116969600012</v>
      </c>
      <c r="AG290" s="2356">
        <f t="shared" si="53"/>
        <v>12067.116969600012</v>
      </c>
      <c r="AH290" s="2356">
        <f t="shared" si="53"/>
        <v>12067.116969600012</v>
      </c>
      <c r="AI290" s="2356">
        <f t="shared" si="53"/>
        <v>12067.116969600012</v>
      </c>
      <c r="AJ290" s="2356">
        <f t="shared" si="53"/>
        <v>12067.116969600012</v>
      </c>
      <c r="AK290" s="2356">
        <f t="shared" si="53"/>
        <v>12067.116969600012</v>
      </c>
      <c r="AL290" s="2356">
        <f t="shared" si="53"/>
        <v>12067.116969600012</v>
      </c>
      <c r="AM290" s="2356">
        <f t="shared" si="53"/>
        <v>12067.116969600012</v>
      </c>
      <c r="AN290" s="2356">
        <f t="shared" si="53"/>
        <v>12067.116969600012</v>
      </c>
      <c r="AO290" s="2356">
        <f t="shared" si="53"/>
        <v>12067.116969600012</v>
      </c>
      <c r="AP290" s="2356">
        <f t="shared" si="53"/>
        <v>12067.116969600012</v>
      </c>
      <c r="AQ290" s="2356">
        <f t="shared" si="53"/>
        <v>12067.116969600012</v>
      </c>
    </row>
    <row r="291" spans="2:43" x14ac:dyDescent="0.25">
      <c r="B291" s="2349"/>
      <c r="C291" s="2352" t="s">
        <v>1344</v>
      </c>
      <c r="D291" s="2353"/>
      <c r="E291" s="2354"/>
      <c r="F291" s="2355"/>
      <c r="G291" s="2356">
        <f t="shared" ref="G291:AQ291" si="54">G197</f>
        <v>859.51959765468575</v>
      </c>
      <c r="H291" s="2356">
        <f t="shared" si="54"/>
        <v>859.51959765468575</v>
      </c>
      <c r="I291" s="2356">
        <f t="shared" si="54"/>
        <v>859.51959765468575</v>
      </c>
      <c r="J291" s="2356">
        <f t="shared" si="54"/>
        <v>859.51959765468575</v>
      </c>
      <c r="K291" s="2356">
        <f t="shared" si="54"/>
        <v>859.51959765468575</v>
      </c>
      <c r="L291" s="2356">
        <f t="shared" si="54"/>
        <v>859.51959765468575</v>
      </c>
      <c r="M291" s="2356">
        <f t="shared" si="54"/>
        <v>859.51959765468575</v>
      </c>
      <c r="N291" s="2356">
        <f t="shared" si="54"/>
        <v>859.51959765468575</v>
      </c>
      <c r="O291" s="2356">
        <f t="shared" si="54"/>
        <v>859.51959765468575</v>
      </c>
      <c r="P291" s="2356">
        <f t="shared" si="54"/>
        <v>859.51959765468575</v>
      </c>
      <c r="Q291" s="2356">
        <f t="shared" si="54"/>
        <v>859.51959765468575</v>
      </c>
      <c r="R291" s="2356">
        <f t="shared" si="54"/>
        <v>859.51959765468575</v>
      </c>
      <c r="S291" s="2356">
        <f t="shared" si="54"/>
        <v>859.51959765468575</v>
      </c>
      <c r="T291" s="2356">
        <f t="shared" si="54"/>
        <v>859.51959765468575</v>
      </c>
      <c r="U291" s="2356">
        <f t="shared" si="54"/>
        <v>859.51959765468575</v>
      </c>
      <c r="V291" s="2356">
        <f t="shared" si="54"/>
        <v>859.51959765468575</v>
      </c>
      <c r="W291" s="2356">
        <f t="shared" si="54"/>
        <v>859.51959765468575</v>
      </c>
      <c r="X291" s="2356">
        <f t="shared" si="54"/>
        <v>859.51959765468575</v>
      </c>
      <c r="Y291" s="2356">
        <f t="shared" si="54"/>
        <v>859.51959765468575</v>
      </c>
      <c r="Z291" s="2356">
        <f t="shared" si="54"/>
        <v>859.51959765468575</v>
      </c>
      <c r="AA291" s="2356">
        <f t="shared" si="54"/>
        <v>859.51959765468575</v>
      </c>
      <c r="AB291" s="2356">
        <f t="shared" si="54"/>
        <v>859.51959765468575</v>
      </c>
      <c r="AC291" s="2356">
        <f t="shared" si="54"/>
        <v>859.51959765468575</v>
      </c>
      <c r="AD291" s="2356">
        <f t="shared" si="54"/>
        <v>859.51959765468575</v>
      </c>
      <c r="AE291" s="2356">
        <f t="shared" si="54"/>
        <v>859.51959765468575</v>
      </c>
      <c r="AF291" s="2356">
        <f t="shared" si="54"/>
        <v>859.51959765468575</v>
      </c>
      <c r="AG291" s="2356">
        <f t="shared" si="54"/>
        <v>859.51959765468575</v>
      </c>
      <c r="AH291" s="2356">
        <f t="shared" si="54"/>
        <v>859.51959765468575</v>
      </c>
      <c r="AI291" s="2356">
        <f t="shared" si="54"/>
        <v>859.51959765468575</v>
      </c>
      <c r="AJ291" s="2356">
        <f t="shared" si="54"/>
        <v>859.51959765468575</v>
      </c>
      <c r="AK291" s="2356">
        <f t="shared" si="54"/>
        <v>859.51959765468575</v>
      </c>
      <c r="AL291" s="2356">
        <f t="shared" si="54"/>
        <v>859.51959765468575</v>
      </c>
      <c r="AM291" s="2356">
        <f t="shared" si="54"/>
        <v>859.51959765468575</v>
      </c>
      <c r="AN291" s="2356">
        <f t="shared" si="54"/>
        <v>859.51959765468575</v>
      </c>
      <c r="AO291" s="2356">
        <f t="shared" si="54"/>
        <v>859.51959765468575</v>
      </c>
      <c r="AP291" s="2356">
        <f t="shared" si="54"/>
        <v>859.51959765468575</v>
      </c>
      <c r="AQ291" s="2356">
        <f t="shared" si="54"/>
        <v>859.51959765468575</v>
      </c>
    </row>
    <row r="292" spans="2:43" x14ac:dyDescent="0.25">
      <c r="B292" s="2349"/>
      <c r="C292" s="2352" t="s">
        <v>1250</v>
      </c>
      <c r="D292" s="2353"/>
      <c r="E292" s="2354"/>
      <c r="F292" s="2355"/>
      <c r="G292" s="2356">
        <f t="shared" ref="G292:AQ293" si="55">G189</f>
        <v>379.69936845427611</v>
      </c>
      <c r="H292" s="2356">
        <f t="shared" si="55"/>
        <v>379.69936845427611</v>
      </c>
      <c r="I292" s="2356">
        <f t="shared" si="55"/>
        <v>379.69936845427611</v>
      </c>
      <c r="J292" s="2356">
        <f t="shared" si="55"/>
        <v>379.69936845427611</v>
      </c>
      <c r="K292" s="2356">
        <f t="shared" si="55"/>
        <v>379.69936845427611</v>
      </c>
      <c r="L292" s="2356">
        <f t="shared" si="55"/>
        <v>379.69936845427611</v>
      </c>
      <c r="M292" s="2356">
        <f t="shared" si="55"/>
        <v>379.69936845427611</v>
      </c>
      <c r="N292" s="2356">
        <f t="shared" si="55"/>
        <v>379.69936845427611</v>
      </c>
      <c r="O292" s="2356">
        <f t="shared" si="55"/>
        <v>379.69936845427611</v>
      </c>
      <c r="P292" s="2356">
        <f t="shared" si="55"/>
        <v>379.69936845427611</v>
      </c>
      <c r="Q292" s="2356">
        <f t="shared" si="55"/>
        <v>379.69936845427611</v>
      </c>
      <c r="R292" s="2356">
        <f t="shared" si="55"/>
        <v>379.69936845427611</v>
      </c>
      <c r="S292" s="2356">
        <f t="shared" si="55"/>
        <v>379.69936845427611</v>
      </c>
      <c r="T292" s="2356">
        <f t="shared" si="55"/>
        <v>379.69936845427611</v>
      </c>
      <c r="U292" s="2356">
        <f t="shared" si="55"/>
        <v>379.69936845427611</v>
      </c>
      <c r="V292" s="2356">
        <f t="shared" si="55"/>
        <v>379.69936845427611</v>
      </c>
      <c r="W292" s="2356">
        <f t="shared" si="55"/>
        <v>379.69936845427611</v>
      </c>
      <c r="X292" s="2356">
        <f t="shared" si="55"/>
        <v>379.69936845427611</v>
      </c>
      <c r="Y292" s="2356">
        <f t="shared" si="55"/>
        <v>379.69936845427611</v>
      </c>
      <c r="Z292" s="2356">
        <f t="shared" si="55"/>
        <v>379.69936845427611</v>
      </c>
      <c r="AA292" s="2356">
        <f t="shared" si="55"/>
        <v>379.69936845427611</v>
      </c>
      <c r="AB292" s="2356">
        <f t="shared" si="55"/>
        <v>379.69936845427611</v>
      </c>
      <c r="AC292" s="2356">
        <f t="shared" si="55"/>
        <v>379.69936845427611</v>
      </c>
      <c r="AD292" s="2356">
        <f t="shared" si="55"/>
        <v>379.69936845427611</v>
      </c>
      <c r="AE292" s="2356">
        <f t="shared" si="55"/>
        <v>379.69936845427611</v>
      </c>
      <c r="AF292" s="2356">
        <f t="shared" si="55"/>
        <v>379.69936845427611</v>
      </c>
      <c r="AG292" s="2356">
        <f t="shared" si="55"/>
        <v>379.69936845427611</v>
      </c>
      <c r="AH292" s="2356">
        <f t="shared" si="55"/>
        <v>379.69936845427611</v>
      </c>
      <c r="AI292" s="2356">
        <f t="shared" si="55"/>
        <v>379.69936845427611</v>
      </c>
      <c r="AJ292" s="2356">
        <f t="shared" si="55"/>
        <v>379.69936845427611</v>
      </c>
      <c r="AK292" s="2356">
        <f t="shared" si="55"/>
        <v>379.69936845427611</v>
      </c>
      <c r="AL292" s="2356">
        <f t="shared" si="55"/>
        <v>379.69936845427611</v>
      </c>
      <c r="AM292" s="2356">
        <f t="shared" si="55"/>
        <v>379.69936845427611</v>
      </c>
      <c r="AN292" s="2356">
        <f t="shared" si="55"/>
        <v>379.69936845427611</v>
      </c>
      <c r="AO292" s="2356">
        <f t="shared" si="55"/>
        <v>379.69936845427611</v>
      </c>
      <c r="AP292" s="2356">
        <f t="shared" si="55"/>
        <v>379.69936845427611</v>
      </c>
      <c r="AQ292" s="2356">
        <f t="shared" si="55"/>
        <v>379.69936845427611</v>
      </c>
    </row>
    <row r="293" spans="2:43" x14ac:dyDescent="0.25">
      <c r="B293" s="2349"/>
      <c r="C293" s="2352" t="s">
        <v>1251</v>
      </c>
      <c r="D293" s="2353"/>
      <c r="E293" s="2354"/>
      <c r="F293" s="2355"/>
      <c r="G293" s="2356">
        <f t="shared" si="55"/>
        <v>28.285749393813237</v>
      </c>
      <c r="H293" s="2356">
        <f t="shared" si="55"/>
        <v>28.285749393813237</v>
      </c>
      <c r="I293" s="2356">
        <f t="shared" si="55"/>
        <v>28.285749393813237</v>
      </c>
      <c r="J293" s="2356">
        <f t="shared" si="55"/>
        <v>28.285749393813237</v>
      </c>
      <c r="K293" s="2356">
        <f t="shared" si="55"/>
        <v>28.285749393813237</v>
      </c>
      <c r="L293" s="2356">
        <f t="shared" si="55"/>
        <v>28.285749393813237</v>
      </c>
      <c r="M293" s="2356">
        <f t="shared" si="55"/>
        <v>28.285749393813237</v>
      </c>
      <c r="N293" s="2356">
        <f t="shared" si="55"/>
        <v>28.285749393813237</v>
      </c>
      <c r="O293" s="2356">
        <f t="shared" si="55"/>
        <v>28.285749393813237</v>
      </c>
      <c r="P293" s="2356">
        <f t="shared" si="55"/>
        <v>28.285749393813237</v>
      </c>
      <c r="Q293" s="2356">
        <f t="shared" si="55"/>
        <v>28.285749393813237</v>
      </c>
      <c r="R293" s="2356">
        <f t="shared" si="55"/>
        <v>28.285749393813237</v>
      </c>
      <c r="S293" s="2356">
        <f t="shared" si="55"/>
        <v>28.285749393813237</v>
      </c>
      <c r="T293" s="2356">
        <f t="shared" si="55"/>
        <v>28.285749393813237</v>
      </c>
      <c r="U293" s="2356">
        <f t="shared" si="55"/>
        <v>28.285749393813237</v>
      </c>
      <c r="V293" s="2356">
        <f t="shared" si="55"/>
        <v>28.285749393813237</v>
      </c>
      <c r="W293" s="2356">
        <f t="shared" si="55"/>
        <v>28.285749393813237</v>
      </c>
      <c r="X293" s="2356">
        <f t="shared" si="55"/>
        <v>28.285749393813237</v>
      </c>
      <c r="Y293" s="2356">
        <f t="shared" si="55"/>
        <v>28.285749393813237</v>
      </c>
      <c r="Z293" s="2356">
        <f t="shared" si="55"/>
        <v>28.285749393813237</v>
      </c>
      <c r="AA293" s="2356">
        <f t="shared" si="55"/>
        <v>28.285749393813237</v>
      </c>
      <c r="AB293" s="2356">
        <f t="shared" si="55"/>
        <v>28.285749393813237</v>
      </c>
      <c r="AC293" s="2356">
        <f t="shared" si="55"/>
        <v>28.285749393813237</v>
      </c>
      <c r="AD293" s="2356">
        <f t="shared" si="55"/>
        <v>28.285749393813237</v>
      </c>
      <c r="AE293" s="2356">
        <f t="shared" si="55"/>
        <v>28.285749393813237</v>
      </c>
      <c r="AF293" s="2356">
        <f t="shared" si="55"/>
        <v>28.285749393813237</v>
      </c>
      <c r="AG293" s="2356">
        <f t="shared" si="55"/>
        <v>28.285749393813237</v>
      </c>
      <c r="AH293" s="2356">
        <f t="shared" si="55"/>
        <v>28.285749393813237</v>
      </c>
      <c r="AI293" s="2356">
        <f t="shared" si="55"/>
        <v>28.285749393813237</v>
      </c>
      <c r="AJ293" s="2356">
        <f t="shared" si="55"/>
        <v>28.285749393813237</v>
      </c>
      <c r="AK293" s="2356">
        <f t="shared" si="55"/>
        <v>28.285749393813237</v>
      </c>
      <c r="AL293" s="2356">
        <f t="shared" si="55"/>
        <v>28.285749393813237</v>
      </c>
      <c r="AM293" s="2356">
        <f t="shared" si="55"/>
        <v>28.285749393813237</v>
      </c>
      <c r="AN293" s="2356">
        <f t="shared" si="55"/>
        <v>28.285749393813237</v>
      </c>
      <c r="AO293" s="2356">
        <f t="shared" si="55"/>
        <v>28.285749393813237</v>
      </c>
      <c r="AP293" s="2356">
        <f t="shared" si="55"/>
        <v>28.285749393813237</v>
      </c>
      <c r="AQ293" s="2356">
        <f t="shared" si="55"/>
        <v>28.285749393813237</v>
      </c>
    </row>
    <row r="294" spans="2:43" x14ac:dyDescent="0.25">
      <c r="B294" s="2349"/>
      <c r="C294" s="2362"/>
      <c r="D294" s="2362" t="s">
        <v>118</v>
      </c>
      <c r="E294" s="2362"/>
      <c r="F294" s="2363" t="s">
        <v>1160</v>
      </c>
      <c r="G294" s="2364" t="e">
        <f>SUM(G287:G293)</f>
        <v>#REF!</v>
      </c>
      <c r="H294" s="2364" t="e">
        <f t="shared" ref="H294:AQ294" si="56">SUM(H287:H293)</f>
        <v>#REF!</v>
      </c>
      <c r="I294" s="2364" t="e">
        <f t="shared" si="56"/>
        <v>#REF!</v>
      </c>
      <c r="J294" s="2364" t="e">
        <f t="shared" si="56"/>
        <v>#REF!</v>
      </c>
      <c r="K294" s="2364" t="e">
        <f t="shared" si="56"/>
        <v>#REF!</v>
      </c>
      <c r="L294" s="2364" t="e">
        <f t="shared" si="56"/>
        <v>#REF!</v>
      </c>
      <c r="M294" s="2364" t="e">
        <f t="shared" si="56"/>
        <v>#REF!</v>
      </c>
      <c r="N294" s="2364" t="e">
        <f t="shared" si="56"/>
        <v>#REF!</v>
      </c>
      <c r="O294" s="2364" t="e">
        <f t="shared" si="56"/>
        <v>#REF!</v>
      </c>
      <c r="P294" s="2364" t="e">
        <f t="shared" si="56"/>
        <v>#REF!</v>
      </c>
      <c r="Q294" s="2364" t="e">
        <f t="shared" si="56"/>
        <v>#REF!</v>
      </c>
      <c r="R294" s="2364" t="e">
        <f t="shared" si="56"/>
        <v>#REF!</v>
      </c>
      <c r="S294" s="2364" t="e">
        <f t="shared" si="56"/>
        <v>#REF!</v>
      </c>
      <c r="T294" s="2364" t="e">
        <f t="shared" si="56"/>
        <v>#REF!</v>
      </c>
      <c r="U294" s="2364" t="e">
        <f t="shared" si="56"/>
        <v>#REF!</v>
      </c>
      <c r="V294" s="2364" t="e">
        <f t="shared" si="56"/>
        <v>#REF!</v>
      </c>
      <c r="W294" s="2364" t="e">
        <f t="shared" si="56"/>
        <v>#REF!</v>
      </c>
      <c r="X294" s="2364" t="e">
        <f t="shared" si="56"/>
        <v>#REF!</v>
      </c>
      <c r="Y294" s="2364" t="e">
        <f t="shared" si="56"/>
        <v>#REF!</v>
      </c>
      <c r="Z294" s="2364" t="e">
        <f t="shared" si="56"/>
        <v>#REF!</v>
      </c>
      <c r="AA294" s="2364" t="e">
        <f t="shared" si="56"/>
        <v>#REF!</v>
      </c>
      <c r="AB294" s="2364" t="e">
        <f t="shared" si="56"/>
        <v>#REF!</v>
      </c>
      <c r="AC294" s="2364" t="e">
        <f t="shared" si="56"/>
        <v>#REF!</v>
      </c>
      <c r="AD294" s="2364" t="e">
        <f t="shared" si="56"/>
        <v>#REF!</v>
      </c>
      <c r="AE294" s="2364" t="e">
        <f t="shared" si="56"/>
        <v>#REF!</v>
      </c>
      <c r="AF294" s="2364" t="e">
        <f t="shared" si="56"/>
        <v>#REF!</v>
      </c>
      <c r="AG294" s="2364" t="e">
        <f t="shared" si="56"/>
        <v>#REF!</v>
      </c>
      <c r="AH294" s="2364" t="e">
        <f t="shared" si="56"/>
        <v>#REF!</v>
      </c>
      <c r="AI294" s="2364" t="e">
        <f t="shared" si="56"/>
        <v>#REF!</v>
      </c>
      <c r="AJ294" s="2364" t="e">
        <f t="shared" si="56"/>
        <v>#REF!</v>
      </c>
      <c r="AK294" s="2364" t="e">
        <f t="shared" si="56"/>
        <v>#REF!</v>
      </c>
      <c r="AL294" s="2364" t="e">
        <f t="shared" si="56"/>
        <v>#REF!</v>
      </c>
      <c r="AM294" s="2364" t="e">
        <f t="shared" si="56"/>
        <v>#REF!</v>
      </c>
      <c r="AN294" s="2364" t="e">
        <f t="shared" si="56"/>
        <v>#REF!</v>
      </c>
      <c r="AO294" s="2364" t="e">
        <f t="shared" si="56"/>
        <v>#REF!</v>
      </c>
      <c r="AP294" s="2364" t="e">
        <f t="shared" si="56"/>
        <v>#REF!</v>
      </c>
      <c r="AQ294" s="2364" t="e">
        <f t="shared" si="56"/>
        <v>#REF!</v>
      </c>
    </row>
    <row r="295" spans="2:43" x14ac:dyDescent="0.25">
      <c r="B295" s="2349"/>
      <c r="C295" s="2349"/>
      <c r="D295" s="2349"/>
      <c r="E295" s="2349"/>
      <c r="F295" s="2349"/>
      <c r="G295" s="2349"/>
      <c r="H295" s="2349"/>
      <c r="I295" s="2349"/>
      <c r="J295" s="2349"/>
      <c r="K295" s="2349"/>
      <c r="L295" s="2349"/>
      <c r="M295" s="2349"/>
      <c r="N295" s="2349"/>
      <c r="O295" s="2349"/>
      <c r="P295" s="2349"/>
      <c r="Q295" s="2349"/>
      <c r="R295" s="2349"/>
      <c r="S295" s="2349"/>
      <c r="T295" s="2349"/>
      <c r="U295" s="2349"/>
      <c r="V295" s="2349"/>
      <c r="W295" s="2349"/>
      <c r="X295" s="2349"/>
      <c r="Y295" s="2349"/>
      <c r="Z295" s="2349"/>
      <c r="AA295" s="2349"/>
      <c r="AB295" s="2349"/>
      <c r="AC295" s="2349"/>
      <c r="AD295" s="2349"/>
      <c r="AE295" s="2349"/>
      <c r="AF295" s="2349"/>
      <c r="AG295" s="2349"/>
      <c r="AH295" s="2349"/>
      <c r="AI295" s="2349"/>
      <c r="AJ295" s="2349"/>
      <c r="AK295" s="2349"/>
      <c r="AL295" s="2349"/>
      <c r="AM295" s="2349"/>
      <c r="AN295" s="2349"/>
      <c r="AO295" s="2349"/>
      <c r="AP295" s="2349"/>
      <c r="AQ295" s="2349"/>
    </row>
    <row r="296" spans="2:43" x14ac:dyDescent="0.25">
      <c r="B296" s="2349"/>
      <c r="C296" s="2349"/>
      <c r="D296" s="2349"/>
      <c r="E296" s="2349"/>
      <c r="F296" s="2349"/>
      <c r="G296" s="2349"/>
      <c r="H296" s="2349"/>
      <c r="I296" s="2349"/>
      <c r="J296" s="2349"/>
      <c r="K296" s="2349"/>
      <c r="L296" s="2349"/>
      <c r="M296" s="2349"/>
      <c r="N296" s="2349"/>
      <c r="O296" s="2349"/>
      <c r="P296" s="2349"/>
      <c r="Q296" s="2349"/>
      <c r="R296" s="2349"/>
      <c r="S296" s="2349"/>
      <c r="T296" s="2349"/>
      <c r="U296" s="2349"/>
      <c r="V296" s="2349"/>
      <c r="W296" s="2349"/>
      <c r="X296" s="2349"/>
      <c r="Y296" s="2349"/>
      <c r="Z296" s="2349"/>
      <c r="AA296" s="2349"/>
      <c r="AB296" s="2349"/>
      <c r="AC296" s="2349"/>
      <c r="AD296" s="2349"/>
      <c r="AE296" s="2349"/>
      <c r="AF296" s="2349"/>
      <c r="AG296" s="2349"/>
      <c r="AH296" s="2349"/>
      <c r="AI296" s="2349"/>
      <c r="AJ296" s="2349"/>
      <c r="AK296" s="2349"/>
      <c r="AL296" s="2349"/>
      <c r="AM296" s="2349"/>
      <c r="AN296" s="2349"/>
      <c r="AO296" s="2349"/>
      <c r="AP296" s="2349"/>
      <c r="AQ296" s="2349"/>
    </row>
    <row r="297" spans="2:43" x14ac:dyDescent="0.25">
      <c r="B297" s="2349"/>
      <c r="C297" s="2349"/>
      <c r="D297" s="2349"/>
      <c r="E297" s="2349"/>
      <c r="F297" s="2349"/>
      <c r="G297" s="2349"/>
      <c r="H297" s="2349"/>
      <c r="I297" s="2349"/>
      <c r="J297" s="2349"/>
      <c r="K297" s="2349"/>
      <c r="L297" s="2349"/>
      <c r="M297" s="2349"/>
      <c r="N297" s="2349"/>
      <c r="O297" s="2349"/>
      <c r="P297" s="2349"/>
      <c r="Q297" s="2349"/>
      <c r="R297" s="2349"/>
      <c r="S297" s="2349"/>
      <c r="T297" s="2349"/>
      <c r="U297" s="2349"/>
      <c r="V297" s="2349"/>
      <c r="W297" s="2349"/>
      <c r="X297" s="2349"/>
      <c r="Y297" s="2349"/>
      <c r="Z297" s="2349"/>
      <c r="AA297" s="2349"/>
      <c r="AB297" s="2349"/>
      <c r="AC297" s="2349"/>
      <c r="AD297" s="2349"/>
      <c r="AE297" s="2349"/>
      <c r="AF297" s="2349"/>
      <c r="AG297" s="2349"/>
      <c r="AH297" s="2349"/>
      <c r="AI297" s="2349"/>
      <c r="AJ297" s="2349"/>
      <c r="AK297" s="2349"/>
      <c r="AL297" s="2349"/>
      <c r="AM297" s="2349"/>
      <c r="AN297" s="2349"/>
      <c r="AO297" s="2349"/>
      <c r="AP297" s="2349"/>
      <c r="AQ297" s="2349"/>
    </row>
    <row r="298" spans="2:43" x14ac:dyDescent="0.25">
      <c r="B298" s="2349"/>
      <c r="C298" s="2349"/>
      <c r="D298" s="2349"/>
      <c r="E298" s="2349"/>
      <c r="F298" s="2349"/>
      <c r="G298" s="2349"/>
      <c r="H298" s="2349"/>
      <c r="I298" s="2349"/>
      <c r="J298" s="2349"/>
      <c r="K298" s="2349"/>
      <c r="L298" s="2349"/>
      <c r="M298" s="2349"/>
      <c r="N298" s="2349"/>
      <c r="O298" s="2349"/>
      <c r="P298" s="2349"/>
      <c r="Q298" s="2349"/>
      <c r="R298" s="2349"/>
      <c r="S298" s="2349"/>
      <c r="T298" s="2349"/>
      <c r="U298" s="2349"/>
      <c r="V298" s="2349"/>
      <c r="W298" s="2349"/>
      <c r="X298" s="2349"/>
      <c r="Y298" s="2349"/>
      <c r="Z298" s="2349"/>
      <c r="AA298" s="2349"/>
      <c r="AB298" s="2349"/>
      <c r="AC298" s="2349"/>
      <c r="AD298" s="2349"/>
      <c r="AE298" s="2349"/>
      <c r="AF298" s="2349"/>
      <c r="AG298" s="2349"/>
      <c r="AH298" s="2349"/>
      <c r="AI298" s="2349"/>
      <c r="AJ298" s="2349"/>
      <c r="AK298" s="2349"/>
      <c r="AL298" s="2349"/>
      <c r="AM298" s="2349"/>
      <c r="AN298" s="2349"/>
      <c r="AO298" s="2349"/>
      <c r="AP298" s="2349"/>
      <c r="AQ298" s="2349"/>
    </row>
    <row r="300" spans="2:43" ht="15.75" x14ac:dyDescent="0.25">
      <c r="B300" s="2365" t="s">
        <v>434</v>
      </c>
      <c r="C300" s="2366"/>
      <c r="D300" s="2366"/>
      <c r="E300" s="2366"/>
      <c r="F300" s="2366"/>
      <c r="G300" s="2366"/>
      <c r="H300" s="2366"/>
      <c r="I300" s="2366"/>
      <c r="J300" s="2366"/>
      <c r="K300" s="2366"/>
      <c r="L300" s="2366"/>
      <c r="M300" s="2366"/>
      <c r="N300" s="2366"/>
      <c r="O300" s="2366"/>
      <c r="P300" s="2366"/>
      <c r="Q300" s="2366"/>
      <c r="R300" s="2366"/>
      <c r="S300" s="2366"/>
      <c r="T300" s="2366"/>
      <c r="U300" s="2366"/>
      <c r="V300" s="2366"/>
      <c r="W300" s="2366"/>
      <c r="X300" s="2366"/>
      <c r="Y300" s="2366"/>
      <c r="Z300" s="2366"/>
      <c r="AA300" s="2366"/>
      <c r="AB300" s="2366"/>
      <c r="AC300" s="2366"/>
      <c r="AD300" s="2366"/>
      <c r="AE300" s="2366"/>
      <c r="AF300" s="2366"/>
      <c r="AG300" s="2366"/>
      <c r="AH300" s="2366"/>
      <c r="AI300" s="2366"/>
      <c r="AJ300" s="2366"/>
      <c r="AK300" s="2366"/>
      <c r="AL300" s="2366"/>
      <c r="AM300" s="2366"/>
      <c r="AN300" s="2366"/>
      <c r="AO300" s="2366"/>
      <c r="AP300" s="2366"/>
      <c r="AQ300" s="2366"/>
    </row>
    <row r="301" spans="2:43" x14ac:dyDescent="0.25">
      <c r="B301" s="2367"/>
      <c r="C301" s="2367"/>
      <c r="D301" s="2367"/>
      <c r="E301" s="2367"/>
      <c r="F301" s="2367"/>
      <c r="G301" s="2367"/>
      <c r="H301" s="2367"/>
      <c r="I301" s="2367"/>
      <c r="J301" s="2367"/>
      <c r="K301" s="2367"/>
      <c r="L301" s="2367"/>
      <c r="M301" s="2367"/>
      <c r="N301" s="2367"/>
      <c r="O301" s="2367"/>
      <c r="P301" s="2367"/>
      <c r="Q301" s="2367"/>
      <c r="R301" s="2367"/>
      <c r="S301" s="2367"/>
      <c r="T301" s="2367"/>
      <c r="U301" s="2367"/>
      <c r="V301" s="2367"/>
      <c r="W301" s="2367"/>
      <c r="X301" s="2367"/>
      <c r="Y301" s="2367"/>
      <c r="Z301" s="2367"/>
      <c r="AA301" s="2367"/>
      <c r="AB301" s="2367"/>
      <c r="AC301" s="2367"/>
      <c r="AD301" s="2367"/>
      <c r="AE301" s="2367"/>
      <c r="AF301" s="2367"/>
      <c r="AG301" s="2367"/>
      <c r="AH301" s="2367"/>
      <c r="AI301" s="2367"/>
      <c r="AJ301" s="2367"/>
      <c r="AK301" s="2367"/>
      <c r="AL301" s="2367"/>
      <c r="AM301" s="2367"/>
      <c r="AN301" s="2367"/>
      <c r="AO301" s="2367"/>
      <c r="AP301" s="2367"/>
      <c r="AQ301" s="2367"/>
    </row>
    <row r="302" spans="2:43" x14ac:dyDescent="0.25">
      <c r="B302" s="2367"/>
      <c r="C302" s="2368" t="s">
        <v>1345</v>
      </c>
      <c r="D302" s="2367"/>
      <c r="E302" s="2367"/>
      <c r="F302" s="2367"/>
      <c r="G302" s="2367"/>
      <c r="H302" s="2367"/>
      <c r="I302" s="2367"/>
      <c r="J302" s="2367"/>
      <c r="K302" s="2367"/>
      <c r="L302" s="2367"/>
      <c r="M302" s="2367"/>
      <c r="N302" s="2367"/>
      <c r="O302" s="2367"/>
      <c r="P302" s="2367"/>
      <c r="Q302" s="2367"/>
      <c r="R302" s="2367"/>
      <c r="S302" s="2367"/>
      <c r="T302" s="2367"/>
      <c r="U302" s="2367"/>
      <c r="V302" s="2367"/>
      <c r="W302" s="2367"/>
      <c r="X302" s="2367"/>
      <c r="Y302" s="2367"/>
      <c r="Z302" s="2367"/>
      <c r="AA302" s="2367"/>
      <c r="AB302" s="2367"/>
      <c r="AC302" s="2367"/>
      <c r="AD302" s="2367"/>
      <c r="AE302" s="2367"/>
      <c r="AF302" s="2367"/>
      <c r="AG302" s="2367"/>
      <c r="AH302" s="2367"/>
      <c r="AI302" s="2367"/>
      <c r="AJ302" s="2367"/>
      <c r="AK302" s="2367"/>
      <c r="AL302" s="2367"/>
      <c r="AM302" s="2367"/>
      <c r="AN302" s="2367"/>
      <c r="AO302" s="2367"/>
      <c r="AP302" s="2367"/>
      <c r="AQ302" s="2367"/>
    </row>
    <row r="303" spans="2:43" x14ac:dyDescent="0.25">
      <c r="B303" s="2367"/>
      <c r="C303" s="2369" t="s">
        <v>242</v>
      </c>
      <c r="D303" s="2370" t="s">
        <v>1029</v>
      </c>
      <c r="E303" s="2370" t="s">
        <v>8</v>
      </c>
      <c r="F303" s="2371"/>
      <c r="G303" s="2370">
        <v>2014</v>
      </c>
      <c r="H303" s="2370">
        <v>2015</v>
      </c>
      <c r="I303" s="2370">
        <v>2016</v>
      </c>
      <c r="J303" s="2370">
        <v>2017</v>
      </c>
      <c r="K303" s="2370">
        <v>2018</v>
      </c>
      <c r="L303" s="2370">
        <v>2019</v>
      </c>
      <c r="M303" s="2370">
        <v>2020</v>
      </c>
      <c r="N303" s="2370">
        <v>2021</v>
      </c>
      <c r="O303" s="2370">
        <v>2022</v>
      </c>
      <c r="P303" s="2370">
        <v>2023</v>
      </c>
      <c r="Q303" s="2370">
        <v>2024</v>
      </c>
      <c r="R303" s="2370">
        <v>2025</v>
      </c>
      <c r="S303" s="2370">
        <v>2026</v>
      </c>
      <c r="T303" s="2370">
        <v>2027</v>
      </c>
      <c r="U303" s="2370">
        <v>2028</v>
      </c>
      <c r="V303" s="2370">
        <v>2029</v>
      </c>
      <c r="W303" s="2370">
        <v>2030</v>
      </c>
      <c r="X303" s="2370">
        <v>2031</v>
      </c>
      <c r="Y303" s="2370">
        <v>2032</v>
      </c>
      <c r="Z303" s="2370">
        <v>2033</v>
      </c>
      <c r="AA303" s="2370">
        <v>2034</v>
      </c>
      <c r="AB303" s="2370">
        <v>2035</v>
      </c>
      <c r="AC303" s="2370">
        <v>2036</v>
      </c>
      <c r="AD303" s="2370">
        <v>2037</v>
      </c>
      <c r="AE303" s="2370">
        <v>2038</v>
      </c>
      <c r="AF303" s="2370">
        <v>2039</v>
      </c>
      <c r="AG303" s="2370">
        <v>2040</v>
      </c>
      <c r="AH303" s="2370">
        <v>2041</v>
      </c>
      <c r="AI303" s="2370">
        <v>2042</v>
      </c>
      <c r="AJ303" s="2370">
        <v>2043</v>
      </c>
      <c r="AK303" s="2370">
        <v>2044</v>
      </c>
      <c r="AL303" s="2370">
        <v>2045</v>
      </c>
      <c r="AM303" s="2370">
        <v>2046</v>
      </c>
      <c r="AN303" s="2370">
        <v>2047</v>
      </c>
      <c r="AO303" s="2370">
        <v>2048</v>
      </c>
      <c r="AP303" s="2370">
        <v>2049</v>
      </c>
      <c r="AQ303" s="2370">
        <v>2050</v>
      </c>
    </row>
    <row r="304" spans="2:43" x14ac:dyDescent="0.25">
      <c r="B304" s="2367"/>
      <c r="C304" s="2372" t="s">
        <v>398</v>
      </c>
      <c r="D304" s="2373" t="s">
        <v>1163</v>
      </c>
      <c r="E304" s="2374"/>
      <c r="F304" s="2375"/>
      <c r="G304" s="2376" t="e">
        <f>G294/10^3</f>
        <v>#REF!</v>
      </c>
      <c r="H304" s="2376" t="e">
        <f t="shared" ref="H304:AQ304" si="57">H294/10^3</f>
        <v>#REF!</v>
      </c>
      <c r="I304" s="2376" t="e">
        <f t="shared" si="57"/>
        <v>#REF!</v>
      </c>
      <c r="J304" s="2376" t="e">
        <f t="shared" si="57"/>
        <v>#REF!</v>
      </c>
      <c r="K304" s="2376" t="e">
        <f t="shared" si="57"/>
        <v>#REF!</v>
      </c>
      <c r="L304" s="2376" t="e">
        <f t="shared" si="57"/>
        <v>#REF!</v>
      </c>
      <c r="M304" s="2376" t="e">
        <f t="shared" si="57"/>
        <v>#REF!</v>
      </c>
      <c r="N304" s="2376" t="e">
        <f t="shared" si="57"/>
        <v>#REF!</v>
      </c>
      <c r="O304" s="2376" t="e">
        <f t="shared" si="57"/>
        <v>#REF!</v>
      </c>
      <c r="P304" s="2376" t="e">
        <f t="shared" si="57"/>
        <v>#REF!</v>
      </c>
      <c r="Q304" s="2376" t="e">
        <f t="shared" si="57"/>
        <v>#REF!</v>
      </c>
      <c r="R304" s="2376" t="e">
        <f t="shared" si="57"/>
        <v>#REF!</v>
      </c>
      <c r="S304" s="2376" t="e">
        <f t="shared" si="57"/>
        <v>#REF!</v>
      </c>
      <c r="T304" s="2376" t="e">
        <f t="shared" si="57"/>
        <v>#REF!</v>
      </c>
      <c r="U304" s="2376" t="e">
        <f t="shared" si="57"/>
        <v>#REF!</v>
      </c>
      <c r="V304" s="2376" t="e">
        <f t="shared" si="57"/>
        <v>#REF!</v>
      </c>
      <c r="W304" s="2376" t="e">
        <f t="shared" si="57"/>
        <v>#REF!</v>
      </c>
      <c r="X304" s="2376" t="e">
        <f t="shared" si="57"/>
        <v>#REF!</v>
      </c>
      <c r="Y304" s="2376" t="e">
        <f t="shared" si="57"/>
        <v>#REF!</v>
      </c>
      <c r="Z304" s="2376" t="e">
        <f t="shared" si="57"/>
        <v>#REF!</v>
      </c>
      <c r="AA304" s="2376" t="e">
        <f t="shared" si="57"/>
        <v>#REF!</v>
      </c>
      <c r="AB304" s="2376" t="e">
        <f t="shared" si="57"/>
        <v>#REF!</v>
      </c>
      <c r="AC304" s="2376" t="e">
        <f t="shared" si="57"/>
        <v>#REF!</v>
      </c>
      <c r="AD304" s="2376" t="e">
        <f t="shared" si="57"/>
        <v>#REF!</v>
      </c>
      <c r="AE304" s="2376" t="e">
        <f t="shared" si="57"/>
        <v>#REF!</v>
      </c>
      <c r="AF304" s="2376" t="e">
        <f t="shared" si="57"/>
        <v>#REF!</v>
      </c>
      <c r="AG304" s="2376" t="e">
        <f t="shared" si="57"/>
        <v>#REF!</v>
      </c>
      <c r="AH304" s="2376" t="e">
        <f t="shared" si="57"/>
        <v>#REF!</v>
      </c>
      <c r="AI304" s="2376" t="e">
        <f t="shared" si="57"/>
        <v>#REF!</v>
      </c>
      <c r="AJ304" s="2376" t="e">
        <f t="shared" si="57"/>
        <v>#REF!</v>
      </c>
      <c r="AK304" s="2376" t="e">
        <f t="shared" si="57"/>
        <v>#REF!</v>
      </c>
      <c r="AL304" s="2376" t="e">
        <f t="shared" si="57"/>
        <v>#REF!</v>
      </c>
      <c r="AM304" s="2376" t="e">
        <f t="shared" si="57"/>
        <v>#REF!</v>
      </c>
      <c r="AN304" s="2376" t="e">
        <f t="shared" si="57"/>
        <v>#REF!</v>
      </c>
      <c r="AO304" s="2376" t="e">
        <f t="shared" si="57"/>
        <v>#REF!</v>
      </c>
      <c r="AP304" s="2376" t="e">
        <f t="shared" si="57"/>
        <v>#REF!</v>
      </c>
      <c r="AQ304" s="2376" t="e">
        <f t="shared" si="57"/>
        <v>#REF!</v>
      </c>
    </row>
    <row r="305" spans="2:43" x14ac:dyDescent="0.25">
      <c r="B305" s="2367"/>
      <c r="C305" s="2372" t="s">
        <v>400</v>
      </c>
      <c r="D305" s="2373" t="s">
        <v>1163</v>
      </c>
      <c r="E305" s="2374"/>
      <c r="F305" s="2375"/>
      <c r="G305" s="2376">
        <v>0</v>
      </c>
      <c r="H305" s="2376">
        <v>0</v>
      </c>
      <c r="I305" s="2376">
        <v>0</v>
      </c>
      <c r="J305" s="2376">
        <v>0</v>
      </c>
      <c r="K305" s="2376">
        <v>0</v>
      </c>
      <c r="L305" s="2376">
        <v>0</v>
      </c>
      <c r="M305" s="2376">
        <v>0</v>
      </c>
      <c r="N305" s="2376">
        <v>0</v>
      </c>
      <c r="O305" s="2376">
        <v>0</v>
      </c>
      <c r="P305" s="2376">
        <v>0</v>
      </c>
      <c r="Q305" s="2376">
        <v>0</v>
      </c>
      <c r="R305" s="2376">
        <v>0</v>
      </c>
      <c r="S305" s="2376">
        <v>0</v>
      </c>
      <c r="T305" s="2376">
        <v>0</v>
      </c>
      <c r="U305" s="2376">
        <v>0</v>
      </c>
      <c r="V305" s="2376">
        <v>0</v>
      </c>
      <c r="W305" s="2376">
        <v>0</v>
      </c>
      <c r="X305" s="2376">
        <v>0</v>
      </c>
      <c r="Y305" s="2376">
        <v>0</v>
      </c>
      <c r="Z305" s="2376">
        <v>0</v>
      </c>
      <c r="AA305" s="2376">
        <v>0</v>
      </c>
      <c r="AB305" s="2376">
        <v>0</v>
      </c>
      <c r="AC305" s="2376">
        <v>0</v>
      </c>
      <c r="AD305" s="2376">
        <v>0</v>
      </c>
      <c r="AE305" s="2376">
        <v>0</v>
      </c>
      <c r="AF305" s="2376">
        <v>0</v>
      </c>
      <c r="AG305" s="2376">
        <v>0</v>
      </c>
      <c r="AH305" s="2376">
        <v>0</v>
      </c>
      <c r="AI305" s="2376">
        <v>0</v>
      </c>
      <c r="AJ305" s="2376">
        <v>0</v>
      </c>
      <c r="AK305" s="2376">
        <v>0</v>
      </c>
      <c r="AL305" s="2376">
        <v>0</v>
      </c>
      <c r="AM305" s="2376">
        <v>0</v>
      </c>
      <c r="AN305" s="2376">
        <v>0</v>
      </c>
      <c r="AO305" s="2376">
        <v>0</v>
      </c>
      <c r="AP305" s="2376">
        <v>0</v>
      </c>
      <c r="AQ305" s="2376">
        <v>0</v>
      </c>
    </row>
    <row r="306" spans="2:43" x14ac:dyDescent="0.25">
      <c r="B306" s="2367"/>
      <c r="C306" s="2377" t="s">
        <v>401</v>
      </c>
      <c r="D306" s="2378" t="s">
        <v>1163</v>
      </c>
      <c r="E306" s="2379"/>
      <c r="F306" s="2380"/>
      <c r="G306" s="2381">
        <v>0</v>
      </c>
      <c r="H306" s="2381">
        <v>0</v>
      </c>
      <c r="I306" s="2381">
        <v>0</v>
      </c>
      <c r="J306" s="2381">
        <v>0</v>
      </c>
      <c r="K306" s="2381">
        <v>0</v>
      </c>
      <c r="L306" s="2381">
        <v>0</v>
      </c>
      <c r="M306" s="2381">
        <v>0</v>
      </c>
      <c r="N306" s="2381">
        <v>0</v>
      </c>
      <c r="O306" s="2381">
        <v>0</v>
      </c>
      <c r="P306" s="2381">
        <v>0</v>
      </c>
      <c r="Q306" s="2381">
        <v>0</v>
      </c>
      <c r="R306" s="2381">
        <v>0</v>
      </c>
      <c r="S306" s="2381">
        <v>0</v>
      </c>
      <c r="T306" s="2381">
        <v>0</v>
      </c>
      <c r="U306" s="2381">
        <v>0</v>
      </c>
      <c r="V306" s="2381">
        <v>0</v>
      </c>
      <c r="W306" s="2381">
        <v>0</v>
      </c>
      <c r="X306" s="2381">
        <v>0</v>
      </c>
      <c r="Y306" s="2381">
        <v>0</v>
      </c>
      <c r="Z306" s="2381">
        <v>0</v>
      </c>
      <c r="AA306" s="2381">
        <v>0</v>
      </c>
      <c r="AB306" s="2381">
        <v>0</v>
      </c>
      <c r="AC306" s="2381">
        <v>0</v>
      </c>
      <c r="AD306" s="2381">
        <v>0</v>
      </c>
      <c r="AE306" s="2381">
        <v>0</v>
      </c>
      <c r="AF306" s="2381">
        <v>0</v>
      </c>
      <c r="AG306" s="2381">
        <v>0</v>
      </c>
      <c r="AH306" s="2381">
        <v>0</v>
      </c>
      <c r="AI306" s="2381">
        <v>0</v>
      </c>
      <c r="AJ306" s="2381">
        <v>0</v>
      </c>
      <c r="AK306" s="2381">
        <v>0</v>
      </c>
      <c r="AL306" s="2381">
        <v>0</v>
      </c>
      <c r="AM306" s="2381">
        <v>0</v>
      </c>
      <c r="AN306" s="2381">
        <v>0</v>
      </c>
      <c r="AO306" s="2381">
        <v>0</v>
      </c>
      <c r="AP306" s="2381">
        <v>0</v>
      </c>
      <c r="AQ306" s="2381">
        <v>0</v>
      </c>
    </row>
    <row r="307" spans="2:43" x14ac:dyDescent="0.25">
      <c r="B307" s="2367"/>
      <c r="C307" s="2382" t="s">
        <v>118</v>
      </c>
      <c r="D307" s="2379" t="s">
        <v>1163</v>
      </c>
      <c r="E307" s="2379"/>
      <c r="F307" s="2380"/>
      <c r="G307" s="2383" t="e">
        <f>SUM(G304:G306)</f>
        <v>#REF!</v>
      </c>
      <c r="H307" s="2383" t="e">
        <f t="shared" ref="H307:AQ307" si="58">SUM(H304:H306)</f>
        <v>#REF!</v>
      </c>
      <c r="I307" s="2383" t="e">
        <f t="shared" si="58"/>
        <v>#REF!</v>
      </c>
      <c r="J307" s="2383" t="e">
        <f t="shared" si="58"/>
        <v>#REF!</v>
      </c>
      <c r="K307" s="2383" t="e">
        <f t="shared" si="58"/>
        <v>#REF!</v>
      </c>
      <c r="L307" s="2383" t="e">
        <f t="shared" si="58"/>
        <v>#REF!</v>
      </c>
      <c r="M307" s="2383" t="e">
        <f t="shared" si="58"/>
        <v>#REF!</v>
      </c>
      <c r="N307" s="2383" t="e">
        <f t="shared" si="58"/>
        <v>#REF!</v>
      </c>
      <c r="O307" s="2383" t="e">
        <f t="shared" si="58"/>
        <v>#REF!</v>
      </c>
      <c r="P307" s="2383" t="e">
        <f t="shared" si="58"/>
        <v>#REF!</v>
      </c>
      <c r="Q307" s="2383" t="e">
        <f t="shared" si="58"/>
        <v>#REF!</v>
      </c>
      <c r="R307" s="2383" t="e">
        <f t="shared" si="58"/>
        <v>#REF!</v>
      </c>
      <c r="S307" s="2383" t="e">
        <f t="shared" si="58"/>
        <v>#REF!</v>
      </c>
      <c r="T307" s="2383" t="e">
        <f t="shared" si="58"/>
        <v>#REF!</v>
      </c>
      <c r="U307" s="2383" t="e">
        <f t="shared" si="58"/>
        <v>#REF!</v>
      </c>
      <c r="V307" s="2383" t="e">
        <f t="shared" si="58"/>
        <v>#REF!</v>
      </c>
      <c r="W307" s="2383" t="e">
        <f t="shared" si="58"/>
        <v>#REF!</v>
      </c>
      <c r="X307" s="2383" t="e">
        <f t="shared" si="58"/>
        <v>#REF!</v>
      </c>
      <c r="Y307" s="2383" t="e">
        <f t="shared" si="58"/>
        <v>#REF!</v>
      </c>
      <c r="Z307" s="2383" t="e">
        <f t="shared" si="58"/>
        <v>#REF!</v>
      </c>
      <c r="AA307" s="2383" t="e">
        <f t="shared" si="58"/>
        <v>#REF!</v>
      </c>
      <c r="AB307" s="2383" t="e">
        <f t="shared" si="58"/>
        <v>#REF!</v>
      </c>
      <c r="AC307" s="2383" t="e">
        <f t="shared" si="58"/>
        <v>#REF!</v>
      </c>
      <c r="AD307" s="2383" t="e">
        <f t="shared" si="58"/>
        <v>#REF!</v>
      </c>
      <c r="AE307" s="2383" t="e">
        <f t="shared" si="58"/>
        <v>#REF!</v>
      </c>
      <c r="AF307" s="2383" t="e">
        <f t="shared" si="58"/>
        <v>#REF!</v>
      </c>
      <c r="AG307" s="2383" t="e">
        <f t="shared" si="58"/>
        <v>#REF!</v>
      </c>
      <c r="AH307" s="2383" t="e">
        <f t="shared" si="58"/>
        <v>#REF!</v>
      </c>
      <c r="AI307" s="2383" t="e">
        <f t="shared" si="58"/>
        <v>#REF!</v>
      </c>
      <c r="AJ307" s="2383" t="e">
        <f t="shared" si="58"/>
        <v>#REF!</v>
      </c>
      <c r="AK307" s="2383" t="e">
        <f t="shared" si="58"/>
        <v>#REF!</v>
      </c>
      <c r="AL307" s="2383" t="e">
        <f t="shared" si="58"/>
        <v>#REF!</v>
      </c>
      <c r="AM307" s="2383" t="e">
        <f t="shared" si="58"/>
        <v>#REF!</v>
      </c>
      <c r="AN307" s="2383" t="e">
        <f t="shared" si="58"/>
        <v>#REF!</v>
      </c>
      <c r="AO307" s="2383" t="e">
        <f t="shared" si="58"/>
        <v>#REF!</v>
      </c>
      <c r="AP307" s="2383" t="e">
        <f t="shared" si="58"/>
        <v>#REF!</v>
      </c>
      <c r="AQ307" s="2383" t="e">
        <f t="shared" si="58"/>
        <v>#REF!</v>
      </c>
    </row>
    <row r="308" spans="2:43" x14ac:dyDescent="0.25">
      <c r="B308" s="2367"/>
      <c r="C308" s="2384"/>
      <c r="D308" s="2374"/>
      <c r="E308" s="2374"/>
      <c r="F308" s="2375"/>
      <c r="G308" s="2374"/>
      <c r="H308" s="2374"/>
      <c r="I308" s="2374"/>
      <c r="J308" s="2374"/>
      <c r="K308" s="2374"/>
      <c r="L308" s="2374"/>
      <c r="M308" s="2374"/>
      <c r="N308" s="2374"/>
      <c r="O308" s="2374"/>
      <c r="P308" s="2374"/>
      <c r="Q308" s="2374"/>
      <c r="R308" s="2374"/>
      <c r="S308" s="2374"/>
      <c r="T308" s="2374"/>
      <c r="U308" s="2374"/>
      <c r="V308" s="2374"/>
      <c r="W308" s="2374"/>
      <c r="X308" s="2374"/>
      <c r="Y308" s="2374"/>
      <c r="Z308" s="2374"/>
      <c r="AA308" s="2374"/>
      <c r="AB308" s="2374"/>
      <c r="AC308" s="2374"/>
      <c r="AD308" s="2374"/>
      <c r="AE308" s="2374"/>
      <c r="AF308" s="2374"/>
      <c r="AG308" s="2374"/>
      <c r="AH308" s="2374"/>
      <c r="AI308" s="2374"/>
      <c r="AJ308" s="2374"/>
      <c r="AK308" s="2374"/>
      <c r="AL308" s="2374"/>
      <c r="AM308" s="2374"/>
      <c r="AN308" s="2374"/>
      <c r="AO308" s="2374"/>
      <c r="AP308" s="2374"/>
      <c r="AQ308" s="2374"/>
    </row>
    <row r="309" spans="2:43" x14ac:dyDescent="0.25">
      <c r="B309" s="2367"/>
      <c r="C309" s="2368" t="s">
        <v>1346</v>
      </c>
      <c r="D309" s="2367"/>
      <c r="E309" s="2367"/>
      <c r="F309" s="2367"/>
      <c r="G309" s="2367"/>
      <c r="H309" s="2367"/>
      <c r="I309" s="2367"/>
      <c r="J309" s="2367"/>
      <c r="K309" s="2367"/>
      <c r="L309" s="2367"/>
      <c r="M309" s="2367"/>
      <c r="N309" s="2367"/>
      <c r="O309" s="2367"/>
      <c r="P309" s="2367"/>
      <c r="Q309" s="2367"/>
      <c r="R309" s="2367"/>
      <c r="S309" s="2367"/>
      <c r="T309" s="2367"/>
      <c r="U309" s="2367"/>
      <c r="V309" s="2367"/>
      <c r="W309" s="2367"/>
      <c r="X309" s="2367"/>
      <c r="Y309" s="2367"/>
      <c r="Z309" s="2367"/>
      <c r="AA309" s="2367"/>
      <c r="AB309" s="2367"/>
      <c r="AC309" s="2367"/>
      <c r="AD309" s="2367"/>
      <c r="AE309" s="2367"/>
      <c r="AF309" s="2367"/>
      <c r="AG309" s="2367"/>
      <c r="AH309" s="2367"/>
      <c r="AI309" s="2367"/>
      <c r="AJ309" s="2367"/>
      <c r="AK309" s="2367"/>
      <c r="AL309" s="2367"/>
      <c r="AM309" s="2367"/>
      <c r="AN309" s="2367"/>
      <c r="AO309" s="2367"/>
      <c r="AP309" s="2367"/>
      <c r="AQ309" s="2367"/>
    </row>
    <row r="310" spans="2:43" x14ac:dyDescent="0.25">
      <c r="B310" s="2367"/>
      <c r="C310" s="2369" t="s">
        <v>242</v>
      </c>
      <c r="D310" s="2370" t="s">
        <v>1029</v>
      </c>
      <c r="E310" s="2370" t="s">
        <v>8</v>
      </c>
      <c r="F310" s="2371"/>
      <c r="G310" s="2370">
        <v>2014</v>
      </c>
      <c r="H310" s="2370">
        <v>2015</v>
      </c>
      <c r="I310" s="2370">
        <v>2016</v>
      </c>
      <c r="J310" s="2370">
        <v>2017</v>
      </c>
      <c r="K310" s="2370">
        <v>2018</v>
      </c>
      <c r="L310" s="2370">
        <v>2019</v>
      </c>
      <c r="M310" s="2370">
        <v>2020</v>
      </c>
      <c r="N310" s="2370">
        <v>2021</v>
      </c>
      <c r="O310" s="2370">
        <v>2022</v>
      </c>
      <c r="P310" s="2370">
        <v>2023</v>
      </c>
      <c r="Q310" s="2370">
        <v>2024</v>
      </c>
      <c r="R310" s="2370">
        <v>2025</v>
      </c>
      <c r="S310" s="2370">
        <v>2026</v>
      </c>
      <c r="T310" s="2370">
        <v>2027</v>
      </c>
      <c r="U310" s="2370">
        <v>2028</v>
      </c>
      <c r="V310" s="2370">
        <v>2029</v>
      </c>
      <c r="W310" s="2370">
        <v>2030</v>
      </c>
      <c r="X310" s="2370">
        <v>2031</v>
      </c>
      <c r="Y310" s="2370">
        <v>2032</v>
      </c>
      <c r="Z310" s="2370">
        <v>2033</v>
      </c>
      <c r="AA310" s="2370">
        <v>2034</v>
      </c>
      <c r="AB310" s="2370">
        <v>2035</v>
      </c>
      <c r="AC310" s="2370">
        <v>2036</v>
      </c>
      <c r="AD310" s="2370">
        <v>2037</v>
      </c>
      <c r="AE310" s="2370">
        <v>2038</v>
      </c>
      <c r="AF310" s="2370">
        <v>2039</v>
      </c>
      <c r="AG310" s="2370">
        <v>2040</v>
      </c>
      <c r="AH310" s="2370">
        <v>2041</v>
      </c>
      <c r="AI310" s="2370">
        <v>2042</v>
      </c>
      <c r="AJ310" s="2370">
        <v>2043</v>
      </c>
      <c r="AK310" s="2370">
        <v>2044</v>
      </c>
      <c r="AL310" s="2370">
        <v>2045</v>
      </c>
      <c r="AM310" s="2370">
        <v>2046</v>
      </c>
      <c r="AN310" s="2370">
        <v>2047</v>
      </c>
      <c r="AO310" s="2370">
        <v>2048</v>
      </c>
      <c r="AP310" s="2370">
        <v>2049</v>
      </c>
      <c r="AQ310" s="2370">
        <v>2050</v>
      </c>
    </row>
    <row r="311" spans="2:43" x14ac:dyDescent="0.25">
      <c r="B311" s="2367"/>
      <c r="C311" s="2385" t="s">
        <v>1347</v>
      </c>
      <c r="D311" s="2386" t="s">
        <v>1163</v>
      </c>
      <c r="E311" s="2387"/>
      <c r="F311" s="2388"/>
      <c r="G311" s="2389">
        <f t="shared" ref="G311:AQ311" si="59">G242/10^3</f>
        <v>0</v>
      </c>
      <c r="H311" s="2389" t="e">
        <f t="shared" si="59"/>
        <v>#REF!</v>
      </c>
      <c r="I311" s="2389" t="e">
        <f t="shared" si="59"/>
        <v>#REF!</v>
      </c>
      <c r="J311" s="2389" t="e">
        <f t="shared" si="59"/>
        <v>#REF!</v>
      </c>
      <c r="K311" s="2389" t="e">
        <f t="shared" si="59"/>
        <v>#REF!</v>
      </c>
      <c r="L311" s="2389" t="e">
        <f t="shared" si="59"/>
        <v>#REF!</v>
      </c>
      <c r="M311" s="2389" t="e">
        <f t="shared" si="59"/>
        <v>#REF!</v>
      </c>
      <c r="N311" s="2389" t="e">
        <f t="shared" si="59"/>
        <v>#REF!</v>
      </c>
      <c r="O311" s="2389" t="e">
        <f t="shared" si="59"/>
        <v>#REF!</v>
      </c>
      <c r="P311" s="2389" t="e">
        <f t="shared" si="59"/>
        <v>#REF!</v>
      </c>
      <c r="Q311" s="2389" t="e">
        <f t="shared" si="59"/>
        <v>#REF!</v>
      </c>
      <c r="R311" s="2389" t="e">
        <f t="shared" si="59"/>
        <v>#REF!</v>
      </c>
      <c r="S311" s="2389" t="e">
        <f t="shared" si="59"/>
        <v>#REF!</v>
      </c>
      <c r="T311" s="2389" t="e">
        <f t="shared" si="59"/>
        <v>#REF!</v>
      </c>
      <c r="U311" s="2389" t="e">
        <f t="shared" si="59"/>
        <v>#REF!</v>
      </c>
      <c r="V311" s="2389" t="e">
        <f t="shared" si="59"/>
        <v>#REF!</v>
      </c>
      <c r="W311" s="2389" t="e">
        <f t="shared" si="59"/>
        <v>#REF!</v>
      </c>
      <c r="X311" s="2389" t="e">
        <f t="shared" si="59"/>
        <v>#REF!</v>
      </c>
      <c r="Y311" s="2389" t="e">
        <f t="shared" si="59"/>
        <v>#REF!</v>
      </c>
      <c r="Z311" s="2389" t="e">
        <f t="shared" si="59"/>
        <v>#REF!</v>
      </c>
      <c r="AA311" s="2389" t="e">
        <f t="shared" si="59"/>
        <v>#REF!</v>
      </c>
      <c r="AB311" s="2389" t="e">
        <f t="shared" si="59"/>
        <v>#REF!</v>
      </c>
      <c r="AC311" s="2389" t="e">
        <f t="shared" si="59"/>
        <v>#REF!</v>
      </c>
      <c r="AD311" s="2389" t="e">
        <f t="shared" si="59"/>
        <v>#REF!</v>
      </c>
      <c r="AE311" s="2389" t="e">
        <f t="shared" si="59"/>
        <v>#REF!</v>
      </c>
      <c r="AF311" s="2389" t="e">
        <f t="shared" si="59"/>
        <v>#REF!</v>
      </c>
      <c r="AG311" s="2389" t="e">
        <f t="shared" si="59"/>
        <v>#REF!</v>
      </c>
      <c r="AH311" s="2389" t="e">
        <f t="shared" si="59"/>
        <v>#REF!</v>
      </c>
      <c r="AI311" s="2389" t="e">
        <f t="shared" si="59"/>
        <v>#REF!</v>
      </c>
      <c r="AJ311" s="2389" t="e">
        <f t="shared" si="59"/>
        <v>#REF!</v>
      </c>
      <c r="AK311" s="2389" t="e">
        <f t="shared" si="59"/>
        <v>#REF!</v>
      </c>
      <c r="AL311" s="2389" t="e">
        <f t="shared" si="59"/>
        <v>#REF!</v>
      </c>
      <c r="AM311" s="2389" t="e">
        <f t="shared" si="59"/>
        <v>#REF!</v>
      </c>
      <c r="AN311" s="2389" t="e">
        <f t="shared" si="59"/>
        <v>#REF!</v>
      </c>
      <c r="AO311" s="2389" t="e">
        <f t="shared" si="59"/>
        <v>#REF!</v>
      </c>
      <c r="AP311" s="2389" t="e">
        <f t="shared" si="59"/>
        <v>#REF!</v>
      </c>
      <c r="AQ311" s="2389" t="e">
        <f t="shared" si="59"/>
        <v>#REF!</v>
      </c>
    </row>
    <row r="312" spans="2:43" x14ac:dyDescent="0.25">
      <c r="B312" s="2367"/>
      <c r="C312" s="2384"/>
      <c r="D312" s="2374"/>
      <c r="E312" s="2374"/>
      <c r="F312" s="2375"/>
      <c r="G312" s="2374"/>
      <c r="H312" s="2374"/>
      <c r="I312" s="2374"/>
      <c r="J312" s="2374"/>
      <c r="K312" s="2374"/>
      <c r="L312" s="2374"/>
      <c r="M312" s="2374"/>
      <c r="N312" s="2374"/>
      <c r="O312" s="2374"/>
      <c r="P312" s="2374"/>
      <c r="Q312" s="2374"/>
      <c r="R312" s="2374"/>
      <c r="S312" s="2374"/>
      <c r="T312" s="2374"/>
      <c r="U312" s="2374"/>
      <c r="V312" s="2374"/>
      <c r="W312" s="2374"/>
      <c r="X312" s="2374"/>
      <c r="Y312" s="2374"/>
      <c r="Z312" s="2374"/>
      <c r="AA312" s="2374"/>
      <c r="AB312" s="2374"/>
      <c r="AC312" s="2374"/>
      <c r="AD312" s="2374"/>
      <c r="AE312" s="2374"/>
      <c r="AF312" s="2374"/>
      <c r="AG312" s="2374"/>
      <c r="AH312" s="2374"/>
      <c r="AI312" s="2374"/>
      <c r="AJ312" s="2374"/>
      <c r="AK312" s="2374"/>
      <c r="AL312" s="2374"/>
      <c r="AM312" s="2374"/>
      <c r="AN312" s="2374"/>
      <c r="AO312" s="2374"/>
      <c r="AP312" s="2374"/>
      <c r="AQ312" s="2374"/>
    </row>
    <row r="313" spans="2:43" x14ac:dyDescent="0.25">
      <c r="B313" s="2367"/>
      <c r="C313" s="2368" t="s">
        <v>1189</v>
      </c>
      <c r="D313" s="2367"/>
      <c r="E313" s="2367"/>
      <c r="F313" s="2367"/>
      <c r="G313" s="2367"/>
      <c r="H313" s="2367"/>
      <c r="I313" s="2367"/>
      <c r="J313" s="2367"/>
      <c r="K313" s="2367"/>
      <c r="L313" s="2367"/>
      <c r="M313" s="2367"/>
      <c r="N313" s="2367"/>
      <c r="O313" s="2367"/>
      <c r="P313" s="2367"/>
      <c r="Q313" s="2367"/>
      <c r="R313" s="2367"/>
      <c r="S313" s="2367"/>
      <c r="T313" s="2367"/>
      <c r="U313" s="2367"/>
      <c r="V313" s="2367"/>
      <c r="W313" s="2367"/>
      <c r="X313" s="2367"/>
      <c r="Y313" s="2367"/>
      <c r="Z313" s="2367"/>
      <c r="AA313" s="2367"/>
      <c r="AB313" s="2367"/>
      <c r="AC313" s="2367"/>
      <c r="AD313" s="2367"/>
      <c r="AE313" s="2367"/>
      <c r="AF313" s="2367"/>
      <c r="AG313" s="2367"/>
      <c r="AH313" s="2367"/>
      <c r="AI313" s="2367"/>
      <c r="AJ313" s="2367"/>
      <c r="AK313" s="2367"/>
      <c r="AL313" s="2367"/>
      <c r="AM313" s="2367"/>
      <c r="AN313" s="2367"/>
      <c r="AO313" s="2367"/>
      <c r="AP313" s="2367"/>
      <c r="AQ313" s="2367"/>
    </row>
    <row r="314" spans="2:43" x14ac:dyDescent="0.25">
      <c r="B314" s="2367"/>
      <c r="C314" s="2369" t="s">
        <v>242</v>
      </c>
      <c r="D314" s="2370" t="s">
        <v>1029</v>
      </c>
      <c r="E314" s="2370" t="s">
        <v>8</v>
      </c>
      <c r="F314" s="2371"/>
      <c r="G314" s="2370">
        <v>2014</v>
      </c>
      <c r="H314" s="2370">
        <v>2015</v>
      </c>
      <c r="I314" s="2370">
        <v>2016</v>
      </c>
      <c r="J314" s="2370">
        <v>2017</v>
      </c>
      <c r="K314" s="2370">
        <v>2018</v>
      </c>
      <c r="L314" s="2370">
        <v>2019</v>
      </c>
      <c r="M314" s="2370">
        <v>2020</v>
      </c>
      <c r="N314" s="2370">
        <v>2021</v>
      </c>
      <c r="O314" s="2370">
        <v>2022</v>
      </c>
      <c r="P314" s="2370">
        <v>2023</v>
      </c>
      <c r="Q314" s="2370">
        <v>2024</v>
      </c>
      <c r="R314" s="2370">
        <v>2025</v>
      </c>
      <c r="S314" s="2370">
        <v>2026</v>
      </c>
      <c r="T314" s="2370">
        <v>2027</v>
      </c>
      <c r="U314" s="2370">
        <v>2028</v>
      </c>
      <c r="V314" s="2370">
        <v>2029</v>
      </c>
      <c r="W314" s="2370">
        <v>2030</v>
      </c>
      <c r="X314" s="2370">
        <v>2031</v>
      </c>
      <c r="Y314" s="2370">
        <v>2032</v>
      </c>
      <c r="Z314" s="2370">
        <v>2033</v>
      </c>
      <c r="AA314" s="2370">
        <v>2034</v>
      </c>
      <c r="AB314" s="2370">
        <v>2035</v>
      </c>
      <c r="AC314" s="2370">
        <v>2036</v>
      </c>
      <c r="AD314" s="2370">
        <v>2037</v>
      </c>
      <c r="AE314" s="2370">
        <v>2038</v>
      </c>
      <c r="AF314" s="2370">
        <v>2039</v>
      </c>
      <c r="AG314" s="2370">
        <v>2040</v>
      </c>
      <c r="AH314" s="2370">
        <v>2041</v>
      </c>
      <c r="AI314" s="2370">
        <v>2042</v>
      </c>
      <c r="AJ314" s="2370">
        <v>2043</v>
      </c>
      <c r="AK314" s="2370">
        <v>2044</v>
      </c>
      <c r="AL314" s="2370">
        <v>2045</v>
      </c>
      <c r="AM314" s="2370">
        <v>2046</v>
      </c>
      <c r="AN314" s="2370">
        <v>2047</v>
      </c>
      <c r="AO314" s="2370">
        <v>2048</v>
      </c>
      <c r="AP314" s="2370">
        <v>2049</v>
      </c>
      <c r="AQ314" s="2370">
        <v>2050</v>
      </c>
    </row>
    <row r="315" spans="2:43" x14ac:dyDescent="0.25">
      <c r="B315" s="2367"/>
      <c r="C315" s="2385" t="s">
        <v>1347</v>
      </c>
      <c r="D315" s="2386" t="s">
        <v>1163</v>
      </c>
      <c r="E315" s="2387"/>
      <c r="F315" s="2388"/>
      <c r="G315" s="2389" t="e">
        <f>G307+G311</f>
        <v>#REF!</v>
      </c>
      <c r="H315" s="2389" t="e">
        <f t="shared" ref="H315:AQ315" si="60">H307+H311</f>
        <v>#REF!</v>
      </c>
      <c r="I315" s="2389" t="e">
        <f t="shared" si="60"/>
        <v>#REF!</v>
      </c>
      <c r="J315" s="2389" t="e">
        <f t="shared" si="60"/>
        <v>#REF!</v>
      </c>
      <c r="K315" s="2389" t="e">
        <f t="shared" si="60"/>
        <v>#REF!</v>
      </c>
      <c r="L315" s="2389" t="e">
        <f t="shared" si="60"/>
        <v>#REF!</v>
      </c>
      <c r="M315" s="2389" t="e">
        <f t="shared" si="60"/>
        <v>#REF!</v>
      </c>
      <c r="N315" s="2389" t="e">
        <f t="shared" si="60"/>
        <v>#REF!</v>
      </c>
      <c r="O315" s="2389" t="e">
        <f t="shared" si="60"/>
        <v>#REF!</v>
      </c>
      <c r="P315" s="2389" t="e">
        <f t="shared" si="60"/>
        <v>#REF!</v>
      </c>
      <c r="Q315" s="2389" t="e">
        <f t="shared" si="60"/>
        <v>#REF!</v>
      </c>
      <c r="R315" s="2389" t="e">
        <f t="shared" si="60"/>
        <v>#REF!</v>
      </c>
      <c r="S315" s="2389" t="e">
        <f t="shared" si="60"/>
        <v>#REF!</v>
      </c>
      <c r="T315" s="2389" t="e">
        <f t="shared" si="60"/>
        <v>#REF!</v>
      </c>
      <c r="U315" s="2389" t="e">
        <f t="shared" si="60"/>
        <v>#REF!</v>
      </c>
      <c r="V315" s="2389" t="e">
        <f t="shared" si="60"/>
        <v>#REF!</v>
      </c>
      <c r="W315" s="2389" t="e">
        <f t="shared" si="60"/>
        <v>#REF!</v>
      </c>
      <c r="X315" s="2389" t="e">
        <f t="shared" si="60"/>
        <v>#REF!</v>
      </c>
      <c r="Y315" s="2389" t="e">
        <f t="shared" si="60"/>
        <v>#REF!</v>
      </c>
      <c r="Z315" s="2389" t="e">
        <f t="shared" si="60"/>
        <v>#REF!</v>
      </c>
      <c r="AA315" s="2389" t="e">
        <f t="shared" si="60"/>
        <v>#REF!</v>
      </c>
      <c r="AB315" s="2389" t="e">
        <f t="shared" si="60"/>
        <v>#REF!</v>
      </c>
      <c r="AC315" s="2389" t="e">
        <f t="shared" si="60"/>
        <v>#REF!</v>
      </c>
      <c r="AD315" s="2389" t="e">
        <f t="shared" si="60"/>
        <v>#REF!</v>
      </c>
      <c r="AE315" s="2389" t="e">
        <f t="shared" si="60"/>
        <v>#REF!</v>
      </c>
      <c r="AF315" s="2389" t="e">
        <f t="shared" si="60"/>
        <v>#REF!</v>
      </c>
      <c r="AG315" s="2389" t="e">
        <f t="shared" si="60"/>
        <v>#REF!</v>
      </c>
      <c r="AH315" s="2389" t="e">
        <f t="shared" si="60"/>
        <v>#REF!</v>
      </c>
      <c r="AI315" s="2389" t="e">
        <f t="shared" si="60"/>
        <v>#REF!</v>
      </c>
      <c r="AJ315" s="2389" t="e">
        <f t="shared" si="60"/>
        <v>#REF!</v>
      </c>
      <c r="AK315" s="2389" t="e">
        <f t="shared" si="60"/>
        <v>#REF!</v>
      </c>
      <c r="AL315" s="2389" t="e">
        <f t="shared" si="60"/>
        <v>#REF!</v>
      </c>
      <c r="AM315" s="2389" t="e">
        <f t="shared" si="60"/>
        <v>#REF!</v>
      </c>
      <c r="AN315" s="2389" t="e">
        <f t="shared" si="60"/>
        <v>#REF!</v>
      </c>
      <c r="AO315" s="2389" t="e">
        <f t="shared" si="60"/>
        <v>#REF!</v>
      </c>
      <c r="AP315" s="2389" t="e">
        <f t="shared" si="60"/>
        <v>#REF!</v>
      </c>
      <c r="AQ315" s="2389" t="e">
        <f t="shared" si="60"/>
        <v>#REF!</v>
      </c>
    </row>
    <row r="316" spans="2:43" x14ac:dyDescent="0.25">
      <c r="B316" s="2367"/>
      <c r="C316" s="2367"/>
      <c r="D316" s="2367"/>
      <c r="E316" s="2367"/>
      <c r="F316" s="2367"/>
      <c r="G316" s="2367"/>
      <c r="H316" s="2367"/>
      <c r="I316" s="2367"/>
      <c r="J316" s="2367"/>
      <c r="K316" s="2367"/>
      <c r="L316" s="2367"/>
      <c r="M316" s="2367"/>
      <c r="N316" s="2367"/>
      <c r="O316" s="2367"/>
      <c r="P316" s="2367"/>
      <c r="Q316" s="2367"/>
      <c r="R316" s="2367"/>
      <c r="S316" s="2367"/>
      <c r="T316" s="2367"/>
      <c r="U316" s="2367"/>
      <c r="V316" s="2367"/>
      <c r="W316" s="2367"/>
      <c r="X316" s="2367"/>
      <c r="Y316" s="2367"/>
      <c r="Z316" s="2367"/>
      <c r="AA316" s="2367"/>
      <c r="AB316" s="2367"/>
      <c r="AC316" s="2367"/>
      <c r="AD316" s="2367"/>
      <c r="AE316" s="2367"/>
      <c r="AF316" s="2367"/>
      <c r="AG316" s="2367"/>
      <c r="AH316" s="2367"/>
      <c r="AI316" s="2367"/>
      <c r="AJ316" s="2367"/>
      <c r="AK316" s="2367"/>
      <c r="AL316" s="2367"/>
      <c r="AM316" s="2367"/>
      <c r="AN316" s="2367"/>
      <c r="AO316" s="2367"/>
      <c r="AP316" s="2367"/>
      <c r="AQ316" s="2367"/>
    </row>
    <row r="317" spans="2:43" x14ac:dyDescent="0.25">
      <c r="B317" s="2367"/>
      <c r="C317" s="2368" t="s">
        <v>1348</v>
      </c>
      <c r="D317" s="2367"/>
      <c r="E317" s="2367"/>
      <c r="F317" s="2367"/>
      <c r="G317" s="2367"/>
      <c r="H317" s="2367"/>
      <c r="I317" s="2367"/>
      <c r="J317" s="2367"/>
      <c r="K317" s="2367"/>
      <c r="L317" s="2367"/>
      <c r="M317" s="2367"/>
      <c r="N317" s="2367"/>
      <c r="O317" s="2367"/>
      <c r="P317" s="2367"/>
      <c r="Q317" s="2367"/>
      <c r="R317" s="2367"/>
      <c r="S317" s="2367"/>
      <c r="T317" s="2367"/>
      <c r="U317" s="2367"/>
      <c r="V317" s="2367"/>
      <c r="W317" s="2367"/>
      <c r="X317" s="2367"/>
      <c r="Y317" s="2367"/>
      <c r="Z317" s="2367"/>
      <c r="AA317" s="2367"/>
      <c r="AB317" s="2367"/>
      <c r="AC317" s="2367"/>
      <c r="AD317" s="2367"/>
      <c r="AE317" s="2367"/>
      <c r="AF317" s="2367"/>
      <c r="AG317" s="2367"/>
      <c r="AH317" s="2367"/>
      <c r="AI317" s="2367"/>
      <c r="AJ317" s="2367"/>
      <c r="AK317" s="2367"/>
      <c r="AL317" s="2367"/>
      <c r="AM317" s="2367"/>
      <c r="AN317" s="2367"/>
      <c r="AO317" s="2367"/>
      <c r="AP317" s="2367"/>
      <c r="AQ317" s="2367"/>
    </row>
    <row r="318" spans="2:43" x14ac:dyDescent="0.25">
      <c r="B318" s="2367"/>
      <c r="C318" s="2369" t="s">
        <v>242</v>
      </c>
      <c r="D318" s="2370" t="s">
        <v>1029</v>
      </c>
      <c r="E318" s="2370" t="s">
        <v>8</v>
      </c>
      <c r="F318" s="2371"/>
      <c r="G318" s="2370">
        <v>2014</v>
      </c>
      <c r="H318" s="2370">
        <v>2015</v>
      </c>
      <c r="I318" s="2370">
        <v>2016</v>
      </c>
      <c r="J318" s="2370">
        <v>2017</v>
      </c>
      <c r="K318" s="2370">
        <v>2018</v>
      </c>
      <c r="L318" s="2370">
        <v>2019</v>
      </c>
      <c r="M318" s="2370">
        <v>2020</v>
      </c>
      <c r="N318" s="2370">
        <v>2021</v>
      </c>
      <c r="O318" s="2370">
        <v>2022</v>
      </c>
      <c r="P318" s="2370">
        <v>2023</v>
      </c>
      <c r="Q318" s="2370">
        <v>2024</v>
      </c>
      <c r="R318" s="2370">
        <v>2025</v>
      </c>
      <c r="S318" s="2370">
        <v>2026</v>
      </c>
      <c r="T318" s="2370">
        <v>2027</v>
      </c>
      <c r="U318" s="2370">
        <v>2028</v>
      </c>
      <c r="V318" s="2370">
        <v>2029</v>
      </c>
      <c r="W318" s="2370">
        <v>2030</v>
      </c>
      <c r="X318" s="2370">
        <v>2031</v>
      </c>
      <c r="Y318" s="2370">
        <v>2032</v>
      </c>
      <c r="Z318" s="2370">
        <v>2033</v>
      </c>
      <c r="AA318" s="2370">
        <v>2034</v>
      </c>
      <c r="AB318" s="2370">
        <v>2035</v>
      </c>
      <c r="AC318" s="2370">
        <v>2036</v>
      </c>
      <c r="AD318" s="2370">
        <v>2037</v>
      </c>
      <c r="AE318" s="2370">
        <v>2038</v>
      </c>
      <c r="AF318" s="2370">
        <v>2039</v>
      </c>
      <c r="AG318" s="2370">
        <v>2040</v>
      </c>
      <c r="AH318" s="2370">
        <v>2041</v>
      </c>
      <c r="AI318" s="2370">
        <v>2042</v>
      </c>
      <c r="AJ318" s="2370">
        <v>2043</v>
      </c>
      <c r="AK318" s="2370">
        <v>2044</v>
      </c>
      <c r="AL318" s="2370">
        <v>2045</v>
      </c>
      <c r="AM318" s="2370">
        <v>2046</v>
      </c>
      <c r="AN318" s="2370">
        <v>2047</v>
      </c>
      <c r="AO318" s="2370">
        <v>2048</v>
      </c>
      <c r="AP318" s="2370">
        <v>2049</v>
      </c>
      <c r="AQ318" s="2370">
        <v>2050</v>
      </c>
    </row>
    <row r="319" spans="2:43" x14ac:dyDescent="0.25">
      <c r="B319" s="2367"/>
      <c r="C319" s="2385" t="s">
        <v>1347</v>
      </c>
      <c r="D319" s="2386" t="s">
        <v>1163</v>
      </c>
      <c r="E319" s="2387"/>
      <c r="F319" s="2388"/>
      <c r="G319" s="2389">
        <v>0</v>
      </c>
      <c r="H319" s="2389">
        <v>0</v>
      </c>
      <c r="I319" s="2389">
        <v>0</v>
      </c>
      <c r="J319" s="2389">
        <v>0</v>
      </c>
      <c r="K319" s="2389">
        <v>0</v>
      </c>
      <c r="L319" s="2389">
        <v>0</v>
      </c>
      <c r="M319" s="2389">
        <v>0</v>
      </c>
      <c r="N319" s="2389">
        <v>0</v>
      </c>
      <c r="O319" s="2389">
        <v>0</v>
      </c>
      <c r="P319" s="2389">
        <v>0</v>
      </c>
      <c r="Q319" s="2389">
        <v>0</v>
      </c>
      <c r="R319" s="2389">
        <v>0</v>
      </c>
      <c r="S319" s="2389">
        <v>0</v>
      </c>
      <c r="T319" s="2389">
        <v>0</v>
      </c>
      <c r="U319" s="2389">
        <v>0</v>
      </c>
      <c r="V319" s="2389">
        <v>0</v>
      </c>
      <c r="W319" s="2389">
        <v>0</v>
      </c>
      <c r="X319" s="2389">
        <v>0</v>
      </c>
      <c r="Y319" s="2389">
        <v>0</v>
      </c>
      <c r="Z319" s="2389">
        <v>0</v>
      </c>
      <c r="AA319" s="2389">
        <v>0</v>
      </c>
      <c r="AB319" s="2389">
        <v>0</v>
      </c>
      <c r="AC319" s="2389">
        <v>0</v>
      </c>
      <c r="AD319" s="2389">
        <v>0</v>
      </c>
      <c r="AE319" s="2389">
        <v>0</v>
      </c>
      <c r="AF319" s="2389">
        <v>0</v>
      </c>
      <c r="AG319" s="2389">
        <v>0</v>
      </c>
      <c r="AH319" s="2389">
        <v>0</v>
      </c>
      <c r="AI319" s="2389">
        <v>0</v>
      </c>
      <c r="AJ319" s="2389">
        <v>0</v>
      </c>
      <c r="AK319" s="2389">
        <v>0</v>
      </c>
      <c r="AL319" s="2389">
        <v>0</v>
      </c>
      <c r="AM319" s="2389">
        <v>0</v>
      </c>
      <c r="AN319" s="2389">
        <v>0</v>
      </c>
      <c r="AO319" s="2389">
        <v>0</v>
      </c>
      <c r="AP319" s="2389">
        <v>0</v>
      </c>
      <c r="AQ319" s="2389">
        <v>0</v>
      </c>
    </row>
    <row r="320" spans="2:43" x14ac:dyDescent="0.25">
      <c r="B320" s="2367"/>
      <c r="C320" s="2367"/>
      <c r="D320" s="2367"/>
      <c r="E320" s="2367"/>
      <c r="F320" s="2367"/>
      <c r="G320" s="2367"/>
      <c r="H320" s="2367"/>
      <c r="I320" s="2367"/>
      <c r="J320" s="2367"/>
      <c r="K320" s="2367"/>
      <c r="L320" s="2367"/>
      <c r="M320" s="2367"/>
      <c r="N320" s="2367"/>
      <c r="O320" s="2367"/>
      <c r="P320" s="2367"/>
      <c r="Q320" s="2367"/>
      <c r="R320" s="2367"/>
      <c r="S320" s="2367"/>
      <c r="T320" s="2367"/>
      <c r="U320" s="2367"/>
      <c r="V320" s="2367"/>
      <c r="W320" s="2367"/>
      <c r="X320" s="2367"/>
      <c r="Y320" s="2367"/>
      <c r="Z320" s="2367"/>
      <c r="AA320" s="2367"/>
      <c r="AB320" s="2367"/>
      <c r="AC320" s="2367"/>
      <c r="AD320" s="2367"/>
      <c r="AE320" s="2367"/>
      <c r="AF320" s="2367"/>
      <c r="AG320" s="2367"/>
      <c r="AH320" s="2367"/>
      <c r="AI320" s="2367"/>
      <c r="AJ320" s="2367"/>
      <c r="AK320" s="2367"/>
      <c r="AL320" s="2367"/>
      <c r="AM320" s="2367"/>
      <c r="AN320" s="2367"/>
      <c r="AO320" s="2367"/>
      <c r="AP320" s="2367"/>
      <c r="AQ320" s="2367"/>
    </row>
  </sheetData>
  <dataConsolidate/>
  <mergeCells count="3">
    <mergeCell ref="C6:F6"/>
    <mergeCell ref="C7:F7"/>
    <mergeCell ref="C8:F8"/>
  </mergeCells>
  <dataValidations count="2">
    <dataValidation type="list" allowBlank="1" showInputMessage="1" showErrorMessage="1" sqref="G7">
      <formula1>$C$23:$C$26</formula1>
    </dataValidation>
    <dataValidation type="list" allowBlank="1" showInputMessage="1" showErrorMessage="1" sqref="G8">
      <formula1>$C$33:$C$36</formula1>
    </dataValidation>
  </dataValidation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H115"/>
  <sheetViews>
    <sheetView zoomScale="78" zoomScaleNormal="78" workbookViewId="0">
      <selection activeCell="A26" sqref="A26"/>
    </sheetView>
  </sheetViews>
  <sheetFormatPr baseColWidth="10" defaultRowHeight="12.75" x14ac:dyDescent="0.2"/>
  <sheetData>
    <row r="6" spans="2:8" x14ac:dyDescent="0.2">
      <c r="C6" t="s">
        <v>4</v>
      </c>
      <c r="E6">
        <v>1</v>
      </c>
      <c r="F6">
        <v>2</v>
      </c>
      <c r="G6">
        <v>3</v>
      </c>
      <c r="H6">
        <v>4</v>
      </c>
    </row>
    <row r="7" spans="2:8" x14ac:dyDescent="0.2">
      <c r="C7" t="s">
        <v>5</v>
      </c>
      <c r="E7">
        <v>1</v>
      </c>
      <c r="F7">
        <v>2</v>
      </c>
      <c r="G7">
        <v>3</v>
      </c>
      <c r="H7">
        <v>4</v>
      </c>
    </row>
    <row r="11" spans="2:8" x14ac:dyDescent="0.2">
      <c r="B11" t="s">
        <v>46</v>
      </c>
      <c r="C11" t="s">
        <v>409</v>
      </c>
    </row>
    <row r="12" spans="2:8" x14ac:dyDescent="0.2">
      <c r="C12" t="s">
        <v>331</v>
      </c>
      <c r="E12">
        <v>1</v>
      </c>
      <c r="F12">
        <v>2</v>
      </c>
      <c r="G12">
        <v>3</v>
      </c>
      <c r="H12">
        <v>4</v>
      </c>
    </row>
    <row r="13" spans="2:8" x14ac:dyDescent="0.2">
      <c r="C13" t="s">
        <v>409</v>
      </c>
      <c r="E13" t="s">
        <v>1676</v>
      </c>
      <c r="F13" t="s">
        <v>1677</v>
      </c>
      <c r="G13" t="s">
        <v>1678</v>
      </c>
      <c r="H13" t="s">
        <v>1679</v>
      </c>
    </row>
    <row r="14" spans="2:8" x14ac:dyDescent="0.2">
      <c r="C14" t="s">
        <v>334</v>
      </c>
      <c r="E14">
        <v>1</v>
      </c>
      <c r="F14">
        <v>2</v>
      </c>
      <c r="G14">
        <v>3</v>
      </c>
      <c r="H14">
        <v>4</v>
      </c>
    </row>
    <row r="15" spans="2:8" x14ac:dyDescent="0.2">
      <c r="C15" t="s">
        <v>387</v>
      </c>
      <c r="E15">
        <v>1</v>
      </c>
      <c r="F15">
        <v>2</v>
      </c>
      <c r="G15">
        <v>3</v>
      </c>
      <c r="H15">
        <v>4</v>
      </c>
    </row>
    <row r="16" spans="2:8" x14ac:dyDescent="0.2">
      <c r="B16" t="s">
        <v>50</v>
      </c>
      <c r="C16" t="s">
        <v>417</v>
      </c>
      <c r="E16">
        <v>1</v>
      </c>
      <c r="F16">
        <v>2</v>
      </c>
      <c r="G16">
        <v>3</v>
      </c>
      <c r="H16">
        <v>4</v>
      </c>
    </row>
    <row r="17" spans="2:8" x14ac:dyDescent="0.2">
      <c r="B17" t="s">
        <v>208</v>
      </c>
      <c r="C17" t="s">
        <v>209</v>
      </c>
      <c r="E17">
        <v>1</v>
      </c>
      <c r="F17">
        <v>2</v>
      </c>
      <c r="G17">
        <v>3</v>
      </c>
      <c r="H17">
        <v>4</v>
      </c>
    </row>
    <row r="18" spans="2:8" x14ac:dyDescent="0.2">
      <c r="B18" t="s">
        <v>56</v>
      </c>
      <c r="C18" t="s">
        <v>408</v>
      </c>
    </row>
    <row r="19" spans="2:8" x14ac:dyDescent="0.2">
      <c r="C19" t="s">
        <v>247</v>
      </c>
      <c r="E19">
        <v>1</v>
      </c>
      <c r="F19">
        <v>2</v>
      </c>
      <c r="G19">
        <v>3</v>
      </c>
      <c r="H19">
        <v>4</v>
      </c>
    </row>
    <row r="20" spans="2:8" x14ac:dyDescent="0.2">
      <c r="C20" t="s">
        <v>259</v>
      </c>
      <c r="E20">
        <v>1</v>
      </c>
      <c r="F20">
        <v>2</v>
      </c>
      <c r="G20">
        <v>3</v>
      </c>
      <c r="H20">
        <v>4</v>
      </c>
    </row>
    <row r="21" spans="2:8" x14ac:dyDescent="0.2">
      <c r="C21" t="s">
        <v>268</v>
      </c>
      <c r="E21">
        <v>1</v>
      </c>
      <c r="F21">
        <v>2</v>
      </c>
      <c r="G21">
        <v>3</v>
      </c>
      <c r="H21">
        <v>4</v>
      </c>
    </row>
    <row r="22" spans="2:8" x14ac:dyDescent="0.2">
      <c r="B22" t="s">
        <v>58</v>
      </c>
      <c r="C22" t="s">
        <v>407</v>
      </c>
    </row>
    <row r="23" spans="2:8" x14ac:dyDescent="0.2">
      <c r="C23" t="s">
        <v>275</v>
      </c>
      <c r="E23">
        <v>1</v>
      </c>
      <c r="F23">
        <v>2</v>
      </c>
      <c r="G23">
        <v>3</v>
      </c>
      <c r="H23">
        <v>4</v>
      </c>
    </row>
    <row r="24" spans="2:8" x14ac:dyDescent="0.2">
      <c r="C24" t="s">
        <v>276</v>
      </c>
      <c r="E24">
        <v>1</v>
      </c>
      <c r="F24">
        <v>2</v>
      </c>
      <c r="G24">
        <v>3</v>
      </c>
      <c r="H24">
        <v>4</v>
      </c>
    </row>
    <row r="25" spans="2:8" x14ac:dyDescent="0.2">
      <c r="B25" t="s">
        <v>60</v>
      </c>
      <c r="C25" t="s">
        <v>303</v>
      </c>
      <c r="E25">
        <v>1</v>
      </c>
      <c r="F25">
        <v>2</v>
      </c>
      <c r="G25">
        <v>3</v>
      </c>
      <c r="H25">
        <v>4</v>
      </c>
    </row>
    <row r="26" spans="2:8" x14ac:dyDescent="0.2">
      <c r="B26" t="s">
        <v>311</v>
      </c>
      <c r="C26" t="s">
        <v>316</v>
      </c>
      <c r="E26">
        <v>1</v>
      </c>
      <c r="F26">
        <v>2</v>
      </c>
      <c r="G26">
        <v>3</v>
      </c>
      <c r="H26">
        <v>4</v>
      </c>
    </row>
    <row r="27" spans="2:8" x14ac:dyDescent="0.2">
      <c r="B27" t="s">
        <v>62</v>
      </c>
      <c r="C27" t="s">
        <v>410</v>
      </c>
    </row>
    <row r="28" spans="2:8" x14ac:dyDescent="0.2">
      <c r="C28" t="s">
        <v>411</v>
      </c>
      <c r="E28">
        <v>1</v>
      </c>
      <c r="F28">
        <v>2</v>
      </c>
      <c r="G28">
        <v>3</v>
      </c>
      <c r="H28">
        <v>4</v>
      </c>
    </row>
    <row r="29" spans="2:8" x14ac:dyDescent="0.2">
      <c r="C29" t="s">
        <v>919</v>
      </c>
      <c r="E29">
        <v>1</v>
      </c>
      <c r="F29">
        <v>2</v>
      </c>
      <c r="G29">
        <v>3</v>
      </c>
      <c r="H29">
        <v>4</v>
      </c>
    </row>
    <row r="30" spans="2:8" x14ac:dyDescent="0.2">
      <c r="B30" t="s">
        <v>68</v>
      </c>
      <c r="C30" t="s">
        <v>412</v>
      </c>
    </row>
    <row r="31" spans="2:8" x14ac:dyDescent="0.2">
      <c r="B31" t="s">
        <v>413</v>
      </c>
      <c r="C31" t="s">
        <v>477</v>
      </c>
    </row>
    <row r="35" spans="2:8" x14ac:dyDescent="0.2">
      <c r="B35" t="s">
        <v>419</v>
      </c>
    </row>
    <row r="38" spans="2:8" x14ac:dyDescent="0.2">
      <c r="B38" t="s">
        <v>421</v>
      </c>
      <c r="C38" t="s">
        <v>920</v>
      </c>
    </row>
    <row r="39" spans="2:8" x14ac:dyDescent="0.2">
      <c r="C39" t="s">
        <v>933</v>
      </c>
      <c r="E39">
        <v>1</v>
      </c>
      <c r="F39">
        <v>2</v>
      </c>
      <c r="G39">
        <v>3</v>
      </c>
      <c r="H39">
        <v>4</v>
      </c>
    </row>
    <row r="40" spans="2:8" x14ac:dyDescent="0.2">
      <c r="C40" t="s">
        <v>925</v>
      </c>
      <c r="E40">
        <v>1</v>
      </c>
      <c r="F40">
        <v>2</v>
      </c>
      <c r="G40">
        <v>3</v>
      </c>
      <c r="H40">
        <v>4</v>
      </c>
    </row>
    <row r="41" spans="2:8" x14ac:dyDescent="0.2">
      <c r="C41" t="s">
        <v>922</v>
      </c>
    </row>
    <row r="42" spans="2:8" x14ac:dyDescent="0.2">
      <c r="C42" t="s">
        <v>921</v>
      </c>
      <c r="E42">
        <v>1</v>
      </c>
      <c r="F42">
        <v>2</v>
      </c>
      <c r="G42">
        <v>3</v>
      </c>
      <c r="H42">
        <v>4</v>
      </c>
    </row>
    <row r="43" spans="2:8" x14ac:dyDescent="0.2">
      <c r="C43" t="s">
        <v>923</v>
      </c>
      <c r="E43">
        <v>1</v>
      </c>
      <c r="F43">
        <v>2</v>
      </c>
      <c r="G43">
        <v>3</v>
      </c>
      <c r="H43">
        <v>4</v>
      </c>
    </row>
    <row r="44" spans="2:8" x14ac:dyDescent="0.2">
      <c r="C44" t="s">
        <v>430</v>
      </c>
      <c r="E44">
        <v>1</v>
      </c>
      <c r="F44">
        <v>2</v>
      </c>
      <c r="G44">
        <v>3</v>
      </c>
      <c r="H44">
        <v>4</v>
      </c>
    </row>
    <row r="45" spans="2:8" x14ac:dyDescent="0.2">
      <c r="C45" t="s">
        <v>924</v>
      </c>
      <c r="E45">
        <v>1</v>
      </c>
      <c r="F45">
        <v>2</v>
      </c>
      <c r="G45">
        <v>3</v>
      </c>
      <c r="H45">
        <v>4</v>
      </c>
    </row>
    <row r="46" spans="2:8" x14ac:dyDescent="0.2">
      <c r="B46" t="s">
        <v>102</v>
      </c>
      <c r="C46" t="s">
        <v>422</v>
      </c>
    </row>
    <row r="47" spans="2:8" x14ac:dyDescent="0.2">
      <c r="C47" t="s">
        <v>933</v>
      </c>
      <c r="E47">
        <v>1</v>
      </c>
      <c r="F47">
        <v>2</v>
      </c>
      <c r="G47">
        <v>3</v>
      </c>
      <c r="H47">
        <v>4</v>
      </c>
    </row>
    <row r="48" spans="2:8" x14ac:dyDescent="0.2">
      <c r="C48" t="s">
        <v>431</v>
      </c>
      <c r="E48">
        <v>1</v>
      </c>
      <c r="F48">
        <v>2</v>
      </c>
      <c r="G48">
        <v>3</v>
      </c>
      <c r="H48">
        <v>4</v>
      </c>
    </row>
    <row r="49" spans="2:8" x14ac:dyDescent="0.2">
      <c r="C49" t="s">
        <v>432</v>
      </c>
      <c r="E49">
        <v>1</v>
      </c>
      <c r="F49">
        <v>2</v>
      </c>
      <c r="G49">
        <v>3</v>
      </c>
      <c r="H49">
        <v>4</v>
      </c>
    </row>
    <row r="50" spans="2:8" x14ac:dyDescent="0.2">
      <c r="B50" t="s">
        <v>425</v>
      </c>
      <c r="C50" t="s">
        <v>426</v>
      </c>
    </row>
    <row r="51" spans="2:8" x14ac:dyDescent="0.2">
      <c r="C51" t="s">
        <v>933</v>
      </c>
      <c r="E51">
        <v>1</v>
      </c>
      <c r="F51">
        <v>2</v>
      </c>
      <c r="G51">
        <v>3</v>
      </c>
      <c r="H51">
        <v>4</v>
      </c>
    </row>
    <row r="52" spans="2:8" x14ac:dyDescent="0.2">
      <c r="C52" t="s">
        <v>927</v>
      </c>
      <c r="E52">
        <v>1</v>
      </c>
      <c r="F52">
        <v>2</v>
      </c>
      <c r="G52">
        <v>3</v>
      </c>
      <c r="H52">
        <v>4</v>
      </c>
    </row>
    <row r="53" spans="2:8" x14ac:dyDescent="0.2">
      <c r="C53" t="s">
        <v>928</v>
      </c>
      <c r="E53">
        <v>1</v>
      </c>
      <c r="F53">
        <v>2</v>
      </c>
      <c r="G53">
        <v>3</v>
      </c>
      <c r="H53">
        <v>4</v>
      </c>
    </row>
    <row r="54" spans="2:8" x14ac:dyDescent="0.2">
      <c r="C54" t="s">
        <v>929</v>
      </c>
      <c r="E54">
        <v>1</v>
      </c>
      <c r="F54">
        <v>2</v>
      </c>
      <c r="G54">
        <v>3</v>
      </c>
      <c r="H54">
        <v>4</v>
      </c>
    </row>
    <row r="55" spans="2:8" x14ac:dyDescent="0.2">
      <c r="C55" t="s">
        <v>926</v>
      </c>
      <c r="E55">
        <v>1</v>
      </c>
      <c r="F55">
        <v>2</v>
      </c>
      <c r="G55">
        <v>3</v>
      </c>
      <c r="H55">
        <v>4</v>
      </c>
    </row>
    <row r="56" spans="2:8" x14ac:dyDescent="0.2">
      <c r="B56" t="s">
        <v>86</v>
      </c>
      <c r="C56" t="s">
        <v>479</v>
      </c>
    </row>
    <row r="57" spans="2:8" x14ac:dyDescent="0.2">
      <c r="C57" t="s">
        <v>933</v>
      </c>
      <c r="E57">
        <v>1</v>
      </c>
      <c r="F57">
        <v>2</v>
      </c>
      <c r="G57">
        <v>3</v>
      </c>
      <c r="H57">
        <v>4</v>
      </c>
    </row>
    <row r="58" spans="2:8" x14ac:dyDescent="0.2">
      <c r="C58" t="s">
        <v>930</v>
      </c>
    </row>
    <row r="59" spans="2:8" x14ac:dyDescent="0.2">
      <c r="C59" t="s">
        <v>528</v>
      </c>
      <c r="E59">
        <v>1</v>
      </c>
      <c r="F59">
        <v>2</v>
      </c>
      <c r="G59">
        <v>3</v>
      </c>
      <c r="H59">
        <v>4</v>
      </c>
    </row>
    <row r="60" spans="2:8" x14ac:dyDescent="0.2">
      <c r="C60" t="s">
        <v>931</v>
      </c>
    </row>
    <row r="61" spans="2:8" x14ac:dyDescent="0.2">
      <c r="C61" t="s">
        <v>932</v>
      </c>
    </row>
    <row r="62" spans="2:8" x14ac:dyDescent="0.2">
      <c r="B62" t="s">
        <v>554</v>
      </c>
      <c r="C62" t="s">
        <v>556</v>
      </c>
    </row>
    <row r="63" spans="2:8" x14ac:dyDescent="0.2">
      <c r="C63" t="s">
        <v>933</v>
      </c>
      <c r="E63">
        <v>1</v>
      </c>
      <c r="F63">
        <v>2</v>
      </c>
      <c r="G63">
        <v>3</v>
      </c>
      <c r="H63">
        <v>4</v>
      </c>
    </row>
    <row r="64" spans="2:8" x14ac:dyDescent="0.2">
      <c r="C64" t="s">
        <v>930</v>
      </c>
    </row>
    <row r="65" spans="3:3" x14ac:dyDescent="0.2">
      <c r="C65" t="s">
        <v>932</v>
      </c>
    </row>
    <row r="115" spans="5:7" x14ac:dyDescent="0.2">
      <c r="E115">
        <v>1</v>
      </c>
      <c r="F115">
        <v>2</v>
      </c>
      <c r="G115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41</vt:i4>
      </vt:variant>
      <vt:variant>
        <vt:lpstr>Rangos con nombre</vt:lpstr>
      </vt:variant>
      <vt:variant>
        <vt:i4>29</vt:i4>
      </vt:variant>
    </vt:vector>
  </HeadingPairs>
  <TitlesOfParts>
    <vt:vector size="70" baseType="lpstr">
      <vt:lpstr>Control</vt:lpstr>
      <vt:lpstr>Resultados Intermedios</vt:lpstr>
      <vt:lpstr>Estructura del Modelo</vt:lpstr>
      <vt:lpstr>Conversiones</vt:lpstr>
      <vt:lpstr>Constantes</vt:lpstr>
      <vt:lpstr>Supuestos Globales</vt:lpstr>
      <vt:lpstr>D.a</vt:lpstr>
      <vt:lpstr>A.a</vt:lpstr>
      <vt:lpstr>I.a</vt:lpstr>
      <vt:lpstr>III.a</vt:lpstr>
      <vt:lpstr>III.b.1</vt:lpstr>
      <vt:lpstr>III.b.2</vt:lpstr>
      <vt:lpstr>III.b.3</vt:lpstr>
      <vt:lpstr>III.c</vt:lpstr>
      <vt:lpstr>III.d</vt:lpstr>
      <vt:lpstr>III.e</vt:lpstr>
      <vt:lpstr>IV.a</vt:lpstr>
      <vt:lpstr>V.a</vt:lpstr>
      <vt:lpstr>V.b</vt:lpstr>
      <vt:lpstr>X.a</vt:lpstr>
      <vt:lpstr>X.b</vt:lpstr>
      <vt:lpstr>XI.a</vt:lpstr>
      <vt:lpstr>XII.a</vt:lpstr>
      <vt:lpstr>XII.b</vt:lpstr>
      <vt:lpstr>XIV.a</vt:lpstr>
      <vt:lpstr>XV.b</vt:lpstr>
      <vt:lpstr>2015</vt:lpstr>
      <vt:lpstr>2020</vt:lpstr>
      <vt:lpstr>2025</vt:lpstr>
      <vt:lpstr>2030</vt:lpstr>
      <vt:lpstr>2035</vt:lpstr>
      <vt:lpstr>2040</vt:lpstr>
      <vt:lpstr>2045</vt:lpstr>
      <vt:lpstr>2050</vt:lpstr>
      <vt:lpstr>-&gt; otros Insumos</vt:lpstr>
      <vt:lpstr>Demanda 301216</vt:lpstr>
      <vt:lpstr>-&gt; Demanda 171016</vt:lpstr>
      <vt:lpstr>Residuos</vt:lpstr>
      <vt:lpstr>Sector Agropecuario</vt:lpstr>
      <vt:lpstr>Sector Forestal</vt:lpstr>
      <vt:lpstr>Listas</vt:lpstr>
      <vt:lpstr>'2015'!ano.balanceneto</vt:lpstr>
      <vt:lpstr>'2020'!ano.balanceneto</vt:lpstr>
      <vt:lpstr>'2025'!ano.balanceneto</vt:lpstr>
      <vt:lpstr>'2030'!ano.balanceneto</vt:lpstr>
      <vt:lpstr>'2035'!ano.balanceneto</vt:lpstr>
      <vt:lpstr>'2040'!ano.balanceneto</vt:lpstr>
      <vt:lpstr>'2045'!ano.balanceneto</vt:lpstr>
      <vt:lpstr>'2050'!ano.balanceneto</vt:lpstr>
      <vt:lpstr>'2015'!ano.vector</vt:lpstr>
      <vt:lpstr>'2020'!ano.vector</vt:lpstr>
      <vt:lpstr>'2025'!ano.vector</vt:lpstr>
      <vt:lpstr>'2030'!ano.vector</vt:lpstr>
      <vt:lpstr>'2035'!ano.vector</vt:lpstr>
      <vt:lpstr>'2040'!ano.vector</vt:lpstr>
      <vt:lpstr>'2045'!ano.vector</vt:lpstr>
      <vt:lpstr>'2050'!ano.vector</vt:lpstr>
      <vt:lpstr>'Supuestos Globales'!Cost.FinanceCostTable</vt:lpstr>
      <vt:lpstr>'Supuestos Globales'!discount_factors</vt:lpstr>
      <vt:lpstr>'Supuestos Globales'!Discount_rate</vt:lpstr>
      <vt:lpstr>Global.UKIncidentSolarEnergy</vt:lpstr>
      <vt:lpstr>Global.UKIncidentSolarEnergy_SouthFacing</vt:lpstr>
      <vt:lpstr>'2015'!this.Year</vt:lpstr>
      <vt:lpstr>'2020'!this.Year</vt:lpstr>
      <vt:lpstr>'2025'!this.Year</vt:lpstr>
      <vt:lpstr>'2030'!this.Year</vt:lpstr>
      <vt:lpstr>'2035'!this.Year</vt:lpstr>
      <vt:lpstr>'2040'!this.Year</vt:lpstr>
      <vt:lpstr>'2045'!this.Year</vt:lpstr>
      <vt:lpstr>'2050'!this.Year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Calculadora 2050</dc:title>
  <dc:creator>Ministerio de Energía</dc:creator>
  <cp:keywords>Calculadora 2050</cp:keywords>
  <cp:lastModifiedBy>Pablo Rodríguez Lara</cp:lastModifiedBy>
  <dcterms:created xsi:type="dcterms:W3CDTF">2016-07-29T19:31:03Z</dcterms:created>
  <dcterms:modified xsi:type="dcterms:W3CDTF">2017-10-25T19:21:11Z</dcterms:modified>
</cp:coreProperties>
</file>